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defaultThemeVersion="124226"/>
  <mc:AlternateContent xmlns:mc="http://schemas.openxmlformats.org/markup-compatibility/2006">
    <mc:Choice Requires="x15">
      <x15ac:absPath xmlns:x15ac="http://schemas.microsoft.com/office/spreadsheetml/2010/11/ac" url="https://trten-my.sharepoint.com/personal/bryan_neary_thomsonreuters_com/Documents/Desktop/HUBRescue280121/"/>
    </mc:Choice>
  </mc:AlternateContent>
  <xr:revisionPtr revIDLastSave="14" documentId="8_{E6FA4E17-08A0-4E37-A390-3CF32C292D45}" xr6:coauthVersionLast="47" xr6:coauthVersionMax="47" xr10:uidLastSave="{347F6B72-D777-4457-8101-FB2956F6BB40}"/>
  <bookViews>
    <workbookView xWindow="28680" yWindow="-120" windowWidth="24240" windowHeight="13740" tabRatio="702" xr2:uid="{00000000-000D-0000-FFFF-FFFF00000000}"/>
  </bookViews>
  <sheets>
    <sheet name="What's New - Mar 2022" sheetId="11" r:id="rId1"/>
    <sheet name="All regions" sheetId="1" r:id="rId2"/>
    <sheet name="Europe" sheetId="2" r:id="rId3"/>
    <sheet name="Middle East" sheetId="3" r:id="rId4"/>
    <sheet name="North America" sheetId="4" r:id="rId5"/>
    <sheet name="Asia" sheetId="5" r:id="rId6"/>
    <sheet name="Latin America and Caribbean" sheetId="6" r:id="rId7"/>
    <sheet name="Australia and Oceania" sheetId="7" r:id="rId8"/>
    <sheet name="Africa" sheetId="10" r:id="rId9"/>
    <sheet name="International" sheetId="8" r:id="rId10"/>
    <sheet name="D%$&amp;01_DevSheet" sheetId="12" state="veryHidden" r:id="rId11"/>
  </sheets>
  <definedNames>
    <definedName name="_xlnm._FilterDatabase" localSheetId="8" hidden="1">Africa!$A$1:$H$1</definedName>
    <definedName name="_xlnm._FilterDatabase" localSheetId="1" hidden="1">'All regions'!$A$1:$I$5904</definedName>
    <definedName name="_xlnm._FilterDatabase" localSheetId="5" hidden="1">Asia!$A$1:$H$973</definedName>
    <definedName name="_xlnm._FilterDatabase" localSheetId="7" hidden="1">'Australia and Oceania'!$A$1:$H$1</definedName>
    <definedName name="_xlnm._FilterDatabase" localSheetId="2" hidden="1">Europe!$A$1:$H$1444</definedName>
    <definedName name="_xlnm._FilterDatabase" localSheetId="9" hidden="1">International!$A$1:$H$1</definedName>
    <definedName name="_xlnm._FilterDatabase" localSheetId="6" hidden="1">'Latin America and Caribbean'!$A$1:$H$1</definedName>
    <definedName name="_xlnm._FilterDatabase" localSheetId="3" hidden="1">'Middle East'!$A$1:$H$1</definedName>
    <definedName name="_xlnm._FilterDatabase" localSheetId="4" hidden="1">'North America'!$A$1:$H$1441</definedName>
    <definedName name="_xlnm._FilterDatabase" localSheetId="0" hidden="1">'What''s New - Mar 2022'!$A$2:$I$2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 i="12" l="1"/>
  <c r="G2" i="12"/>
  <c r="H2" i="12"/>
  <c r="I2" i="12"/>
  <c r="J2" i="12"/>
  <c r="K2" i="12"/>
  <c r="L2" i="12"/>
  <c r="M2" i="12"/>
  <c r="N2" i="12"/>
  <c r="O2" i="12"/>
  <c r="P2" i="12"/>
  <c r="Q2" i="12"/>
  <c r="R2" i="12"/>
  <c r="S2" i="12"/>
  <c r="T2" i="12"/>
  <c r="U2" i="12"/>
  <c r="V2" i="12"/>
  <c r="W2" i="12"/>
  <c r="X2" i="12"/>
  <c r="Y2" i="12"/>
  <c r="Z2" i="12"/>
  <c r="AA2" i="12"/>
  <c r="AB2" i="12"/>
  <c r="AC2" i="12"/>
  <c r="AD2" i="12"/>
  <c r="AE2" i="12"/>
  <c r="AF2" i="12"/>
  <c r="AG2" i="12"/>
  <c r="AH2" i="12"/>
  <c r="AI2" i="12"/>
  <c r="AJ2" i="12"/>
  <c r="AK2" i="12"/>
  <c r="AL2" i="12"/>
  <c r="AM2" i="12"/>
  <c r="AN2" i="12"/>
  <c r="AO2" i="12"/>
  <c r="AP2" i="12"/>
  <c r="AQ2" i="12"/>
  <c r="AR2" i="12"/>
  <c r="AS2" i="12"/>
  <c r="AT2" i="12"/>
  <c r="AU2" i="12"/>
  <c r="AV2" i="12"/>
  <c r="AW2" i="12"/>
  <c r="AX2" i="12"/>
  <c r="AY2" i="12"/>
  <c r="AZ2" i="12"/>
  <c r="BA2" i="12"/>
  <c r="BB2" i="12"/>
  <c r="BC2" i="12"/>
  <c r="BD2" i="12"/>
  <c r="BE2" i="12"/>
  <c r="BF2" i="12"/>
  <c r="BG2" i="12"/>
  <c r="BH2" i="12"/>
  <c r="BI2" i="12"/>
  <c r="BJ2" i="12"/>
  <c r="BK2" i="12"/>
  <c r="BL2" i="12"/>
  <c r="BM2" i="12"/>
  <c r="BN2" i="12"/>
  <c r="BO2" i="12"/>
  <c r="BP2" i="12"/>
  <c r="BQ2" i="12"/>
  <c r="BR2" i="12"/>
  <c r="BS2" i="12"/>
  <c r="BT2" i="12"/>
  <c r="BU2" i="12"/>
  <c r="BV2" i="12"/>
  <c r="BW2" i="12"/>
  <c r="BX2" i="12"/>
  <c r="BY2" i="12"/>
  <c r="BZ2" i="12"/>
  <c r="CA2" i="12"/>
  <c r="CB2" i="12"/>
  <c r="CC2" i="12"/>
  <c r="CD2" i="12"/>
  <c r="CE2" i="12"/>
  <c r="CF2" i="12"/>
  <c r="CG2" i="12"/>
  <c r="CH2" i="12"/>
  <c r="CI2" i="12"/>
  <c r="CJ2" i="12"/>
  <c r="CK2" i="12"/>
  <c r="CL2" i="12"/>
  <c r="CM2" i="12"/>
  <c r="CN2" i="12"/>
  <c r="CO2" i="12"/>
  <c r="CP2" i="12"/>
  <c r="CQ2" i="12"/>
  <c r="CR2" i="12"/>
  <c r="CS2" i="12"/>
  <c r="CT2" i="12"/>
  <c r="CU2" i="12"/>
  <c r="CV2" i="12"/>
  <c r="CW2" i="12"/>
  <c r="CX2" i="12"/>
  <c r="CY2" i="12"/>
  <c r="CZ2" i="12"/>
  <c r="DA2" i="12"/>
  <c r="DB2" i="12"/>
  <c r="DC2" i="12"/>
  <c r="DD2" i="12"/>
  <c r="DE2" i="12"/>
  <c r="DF2" i="12"/>
  <c r="DG2" i="12"/>
  <c r="DH2" i="12"/>
  <c r="DI2" i="12"/>
  <c r="DJ2" i="12"/>
  <c r="DK2" i="12"/>
  <c r="DL2" i="12"/>
  <c r="DM2" i="12"/>
  <c r="DN2" i="12"/>
  <c r="DO2" i="12"/>
  <c r="DP2" i="12"/>
  <c r="DQ2" i="12"/>
  <c r="DR2" i="12"/>
  <c r="DS2" i="12"/>
  <c r="DT2" i="12"/>
  <c r="DU2" i="12"/>
  <c r="DV2" i="12"/>
  <c r="DW2" i="12"/>
  <c r="DX2" i="12"/>
  <c r="DY2" i="12"/>
  <c r="DZ2" i="12"/>
  <c r="EA2" i="12"/>
  <c r="EB2" i="12"/>
  <c r="EC2" i="12"/>
  <c r="ED2" i="12"/>
  <c r="EE2" i="12"/>
  <c r="EF2" i="12"/>
  <c r="EG2" i="12"/>
  <c r="EH2" i="12"/>
  <c r="EI2" i="12"/>
  <c r="EJ2" i="12"/>
  <c r="EK2" i="12"/>
  <c r="EL2" i="12"/>
  <c r="EM2" i="12"/>
  <c r="EN2" i="12"/>
  <c r="EO2" i="12"/>
  <c r="EP2" i="12"/>
  <c r="EQ2" i="12"/>
  <c r="ER2" i="12"/>
  <c r="ES2" i="12"/>
  <c r="ET2" i="12"/>
  <c r="EU2" i="12"/>
  <c r="EV2" i="12"/>
  <c r="EW2" i="12"/>
  <c r="EX2" i="12"/>
  <c r="EY2" i="12"/>
  <c r="EZ2" i="12"/>
  <c r="FA2" i="12"/>
  <c r="FB2" i="12"/>
  <c r="FC2" i="12"/>
  <c r="FD2" i="12"/>
  <c r="FE2" i="12"/>
  <c r="FF2" i="12"/>
  <c r="FG2" i="12"/>
  <c r="FH2" i="12"/>
  <c r="FI2" i="12"/>
  <c r="FJ2" i="12"/>
  <c r="FK2" i="12"/>
  <c r="FL2" i="12"/>
  <c r="FM2" i="12"/>
  <c r="FN2" i="12"/>
  <c r="FO2" i="12"/>
  <c r="FP2" i="12"/>
  <c r="FQ2" i="12"/>
  <c r="FR2" i="12"/>
  <c r="FS2" i="12"/>
  <c r="FT2" i="12"/>
  <c r="FU2" i="12"/>
  <c r="FV2" i="12"/>
  <c r="FW2" i="12"/>
  <c r="FX2" i="12"/>
  <c r="FY2" i="12"/>
  <c r="FZ2" i="12"/>
  <c r="GA2" i="12"/>
  <c r="GB2" i="12"/>
  <c r="GC2" i="12"/>
  <c r="GD2" i="12"/>
  <c r="GE2" i="12"/>
  <c r="GF2" i="12"/>
  <c r="GG2" i="12"/>
  <c r="GH2" i="12"/>
  <c r="GI2" i="12"/>
  <c r="GJ2" i="12"/>
  <c r="GK2" i="12"/>
  <c r="GL2" i="12"/>
  <c r="GM2" i="12"/>
  <c r="GN2" i="12"/>
  <c r="GO2" i="12"/>
  <c r="GP2" i="12"/>
  <c r="GQ2" i="12"/>
  <c r="GR2" i="12"/>
  <c r="GS2" i="12"/>
  <c r="GT2" i="12"/>
  <c r="GU2" i="12"/>
  <c r="GV2" i="12"/>
  <c r="GW2" i="12"/>
  <c r="GX2" i="12"/>
  <c r="GY2" i="12"/>
  <c r="GZ2" i="12"/>
  <c r="HA2" i="12"/>
  <c r="HB2" i="12"/>
  <c r="HC2" i="12"/>
  <c r="HD2" i="12"/>
  <c r="HE2" i="12"/>
  <c r="HF2" i="12"/>
  <c r="HG2" i="12"/>
  <c r="HH2" i="12"/>
  <c r="HI2" i="12"/>
  <c r="HJ2" i="12"/>
  <c r="HK2" i="12"/>
  <c r="HL2" i="12"/>
  <c r="HM2" i="12"/>
  <c r="HN2" i="12"/>
  <c r="HO2" i="12"/>
  <c r="HP2" i="12"/>
  <c r="HQ2" i="12"/>
  <c r="HR2" i="12"/>
  <c r="HS2" i="12"/>
  <c r="HT2" i="12"/>
  <c r="HU2" i="12"/>
  <c r="HV2" i="12"/>
  <c r="HW2" i="12"/>
  <c r="HX2" i="12"/>
  <c r="HY2" i="12"/>
  <c r="HZ2" i="12"/>
  <c r="IA2" i="12"/>
  <c r="IB2" i="12"/>
  <c r="IC2" i="12"/>
  <c r="ID2" i="12"/>
  <c r="IE2" i="12"/>
  <c r="IF2" i="12"/>
  <c r="IG2" i="12"/>
  <c r="IH2" i="12"/>
  <c r="II2" i="12"/>
  <c r="IJ2" i="12"/>
  <c r="IK2" i="12"/>
  <c r="IL2" i="12"/>
  <c r="IM2" i="12"/>
  <c r="IN2" i="12"/>
  <c r="IO2" i="12"/>
  <c r="IP2" i="12"/>
  <c r="IQ2" i="12"/>
  <c r="IR2" i="12"/>
  <c r="IS2" i="12"/>
  <c r="IT2" i="12"/>
  <c r="IU2" i="12"/>
  <c r="IV2" i="12"/>
  <c r="F3" i="12"/>
  <c r="G3" i="12"/>
  <c r="H3" i="12"/>
  <c r="I3" i="12"/>
  <c r="J3" i="12"/>
  <c r="K3" i="12"/>
  <c r="L3" i="12"/>
  <c r="M3" i="12"/>
  <c r="N3" i="12"/>
  <c r="O3" i="12"/>
  <c r="P3" i="12"/>
  <c r="Q3" i="12"/>
  <c r="R3" i="12"/>
  <c r="S3" i="12"/>
  <c r="T3" i="12"/>
  <c r="U3" i="12"/>
  <c r="V3" i="12"/>
  <c r="W3" i="12"/>
  <c r="X3" i="12"/>
  <c r="Y3" i="12"/>
  <c r="Z3" i="12"/>
  <c r="AA3" i="12"/>
  <c r="AB3" i="12"/>
  <c r="AC3" i="12"/>
  <c r="AD3" i="12"/>
  <c r="AE3" i="12"/>
  <c r="AF3" i="12"/>
  <c r="AG3" i="12"/>
  <c r="AH3" i="12"/>
  <c r="AI3" i="12"/>
  <c r="AJ3" i="12"/>
  <c r="AK3" i="12"/>
  <c r="AL3" i="12"/>
  <c r="AM3" i="12"/>
  <c r="AN3" i="12"/>
  <c r="AO3" i="12"/>
  <c r="AP3" i="12"/>
  <c r="AQ3" i="12"/>
  <c r="AR3" i="12"/>
  <c r="AS3" i="12"/>
  <c r="AT3" i="12"/>
  <c r="AU3" i="12"/>
  <c r="AV3" i="12"/>
  <c r="AW3" i="12"/>
  <c r="AX3" i="12"/>
  <c r="AY3" i="12"/>
  <c r="AZ3" i="12"/>
  <c r="BA3" i="12"/>
  <c r="BB3" i="12"/>
  <c r="BC3" i="12"/>
  <c r="BD3" i="12"/>
  <c r="BE3" i="12"/>
  <c r="BF3" i="12"/>
  <c r="BG3" i="12"/>
  <c r="BH3" i="12"/>
  <c r="BI3" i="12"/>
  <c r="BJ3" i="12"/>
  <c r="BK3" i="12"/>
  <c r="BL3" i="12"/>
  <c r="BM3" i="12"/>
  <c r="BN3" i="12"/>
  <c r="BO3" i="12"/>
  <c r="BP3" i="12"/>
  <c r="BQ3" i="12"/>
  <c r="BR3" i="12"/>
  <c r="BS3" i="12"/>
  <c r="BT3" i="12"/>
  <c r="BU3" i="12"/>
  <c r="BV3" i="12"/>
  <c r="BW3" i="12"/>
  <c r="BX3" i="12"/>
  <c r="BY3" i="12"/>
  <c r="BZ3" i="12"/>
  <c r="CA3" i="12"/>
  <c r="CB3" i="12"/>
  <c r="CC3" i="12"/>
  <c r="CD3" i="12"/>
  <c r="CE3" i="12"/>
  <c r="CF3" i="12"/>
  <c r="CG3" i="12"/>
  <c r="CH3" i="12"/>
  <c r="CI3" i="12"/>
  <c r="CJ3" i="12"/>
  <c r="CK3" i="12"/>
  <c r="CL3" i="12"/>
  <c r="CM3" i="12"/>
  <c r="CN3" i="12"/>
  <c r="CO3" i="12"/>
  <c r="CP3" i="12"/>
  <c r="CQ3" i="12"/>
  <c r="CR3" i="12"/>
  <c r="CS3" i="12"/>
  <c r="CT3" i="12"/>
  <c r="CU3" i="12"/>
  <c r="CV3" i="12"/>
  <c r="CW3" i="12"/>
  <c r="CX3" i="12"/>
  <c r="CY3" i="12"/>
  <c r="CZ3" i="12"/>
  <c r="DA3" i="12"/>
  <c r="DB3" i="12"/>
  <c r="DC3" i="12"/>
  <c r="DD3" i="12"/>
  <c r="DE3" i="12"/>
  <c r="DF3" i="12"/>
  <c r="DG3" i="12"/>
  <c r="DH3" i="12"/>
  <c r="DI3" i="12"/>
  <c r="DJ3" i="12"/>
  <c r="DK3" i="12"/>
  <c r="DL3" i="12"/>
  <c r="DM3" i="12"/>
  <c r="DN3" i="12"/>
  <c r="DO3" i="12"/>
  <c r="DP3" i="12"/>
  <c r="DQ3" i="12"/>
  <c r="DR3" i="12"/>
  <c r="DS3" i="12"/>
  <c r="DT3" i="12"/>
  <c r="DU3" i="12"/>
  <c r="DV3" i="12"/>
  <c r="DW3" i="12"/>
  <c r="DX3" i="12"/>
  <c r="DY3" i="12"/>
  <c r="DZ3" i="12"/>
  <c r="EA3" i="12"/>
  <c r="EB3" i="12"/>
  <c r="EC3" i="12"/>
  <c r="ED3" i="12"/>
  <c r="EE3" i="12"/>
  <c r="EF3" i="12"/>
  <c r="EG3" i="12"/>
  <c r="EH3" i="12"/>
  <c r="EI3" i="12"/>
  <c r="EJ3" i="12"/>
  <c r="EK3" i="12"/>
  <c r="EL3" i="12"/>
  <c r="EM3" i="12"/>
  <c r="EN3" i="12"/>
  <c r="EO3" i="12"/>
  <c r="EP3" i="12"/>
  <c r="EQ3" i="12"/>
  <c r="ER3" i="12"/>
  <c r="ES3" i="12"/>
  <c r="ET3" i="12"/>
  <c r="EU3" i="12"/>
  <c r="EV3" i="12"/>
  <c r="EW3" i="12"/>
  <c r="EX3" i="12"/>
  <c r="EY3" i="12"/>
  <c r="EZ3" i="12"/>
  <c r="FA3" i="12"/>
  <c r="FB3" i="12"/>
  <c r="FC3" i="12"/>
  <c r="FD3" i="12"/>
  <c r="FE3" i="12"/>
  <c r="FF3" i="12"/>
  <c r="FG3" i="12"/>
  <c r="FH3" i="12"/>
  <c r="FI3" i="12"/>
  <c r="FJ3" i="12"/>
  <c r="FK3" i="12"/>
  <c r="FL3" i="12"/>
  <c r="FM3" i="12"/>
  <c r="FN3" i="12"/>
  <c r="FO3" i="12"/>
  <c r="FP3" i="12"/>
  <c r="FQ3" i="12"/>
  <c r="FR3" i="12"/>
  <c r="FS3" i="12"/>
  <c r="FT3" i="12"/>
  <c r="FU3" i="12"/>
  <c r="FV3" i="12"/>
  <c r="FW3" i="12"/>
  <c r="FX3" i="12"/>
  <c r="FY3" i="12"/>
  <c r="FZ3" i="12"/>
  <c r="GA3" i="12"/>
  <c r="GB3" i="12"/>
  <c r="GC3" i="12"/>
  <c r="GD3" i="12"/>
  <c r="GE3" i="12"/>
  <c r="GF3" i="12"/>
  <c r="GG3" i="12"/>
  <c r="GH3" i="12"/>
  <c r="GI3" i="12"/>
  <c r="GJ3" i="12"/>
  <c r="GK3" i="12"/>
  <c r="GL3" i="12"/>
  <c r="GM3" i="12"/>
  <c r="GN3" i="12"/>
  <c r="GO3" i="12"/>
  <c r="GP3" i="12"/>
  <c r="GQ3" i="12"/>
  <c r="GR3" i="12"/>
  <c r="GS3" i="12"/>
  <c r="GT3" i="12"/>
  <c r="GU3" i="12"/>
  <c r="GV3" i="12"/>
  <c r="GW3" i="12"/>
  <c r="GX3" i="12"/>
  <c r="GY3" i="12"/>
  <c r="GZ3" i="12"/>
  <c r="HA3" i="12"/>
  <c r="HB3" i="12"/>
  <c r="HC3" i="12"/>
  <c r="HD3" i="12"/>
  <c r="HE3" i="12"/>
  <c r="HF3" i="12"/>
  <c r="HG3" i="12"/>
  <c r="HH3" i="12"/>
  <c r="HI3" i="12"/>
  <c r="HJ3" i="12"/>
  <c r="HK3" i="12"/>
  <c r="HL3" i="12"/>
  <c r="HM3" i="12"/>
  <c r="HN3" i="12"/>
  <c r="HO3" i="12"/>
  <c r="HP3" i="12"/>
  <c r="HQ3" i="12"/>
  <c r="HR3" i="12"/>
  <c r="HS3" i="12"/>
  <c r="HT3" i="12"/>
  <c r="HU3" i="12"/>
  <c r="HV3" i="12"/>
  <c r="HW3" i="12"/>
  <c r="HX3" i="12"/>
  <c r="HY3" i="12"/>
  <c r="HZ3" i="12"/>
  <c r="IA3" i="12"/>
  <c r="IB3" i="12"/>
  <c r="IC3" i="12"/>
  <c r="ID3" i="12"/>
  <c r="IE3" i="12"/>
  <c r="IF3" i="12"/>
  <c r="IG3" i="12"/>
  <c r="IH3" i="12"/>
  <c r="II3" i="12"/>
  <c r="IJ3" i="12"/>
  <c r="IK3" i="12"/>
  <c r="IL3" i="12"/>
  <c r="IM3" i="12"/>
  <c r="IN3" i="12"/>
  <c r="IO3" i="12"/>
  <c r="IP3" i="12"/>
  <c r="IQ3" i="12"/>
  <c r="IR3" i="12"/>
  <c r="IS3" i="12"/>
  <c r="IT3" i="12"/>
  <c r="IU3" i="12"/>
  <c r="IV3" i="12"/>
  <c r="F4" i="12"/>
  <c r="G4" i="12"/>
  <c r="H4" i="12"/>
  <c r="I4" i="12"/>
  <c r="J4" i="12"/>
  <c r="K4" i="12"/>
  <c r="L4" i="12"/>
  <c r="M4" i="12"/>
  <c r="N4" i="12"/>
  <c r="O4" i="12"/>
  <c r="P4" i="12"/>
  <c r="Q4" i="12"/>
  <c r="R4" i="12"/>
  <c r="S4" i="12"/>
  <c r="T4" i="12"/>
  <c r="U4" i="12"/>
  <c r="V4" i="12"/>
  <c r="W4" i="12"/>
  <c r="X4" i="12"/>
  <c r="Y4" i="12"/>
  <c r="Z4" i="12"/>
  <c r="AA4" i="12"/>
  <c r="AB4" i="12"/>
  <c r="AC4" i="12"/>
  <c r="AD4" i="12"/>
  <c r="AE4" i="12"/>
  <c r="AF4" i="12"/>
  <c r="AG4" i="12"/>
  <c r="AH4" i="12"/>
  <c r="AI4" i="12"/>
  <c r="AJ4" i="12"/>
  <c r="AK4" i="12"/>
  <c r="AL4" i="12"/>
  <c r="AM4" i="12"/>
  <c r="AN4" i="12"/>
  <c r="AO4" i="12"/>
  <c r="AP4" i="12"/>
  <c r="AQ4" i="12"/>
  <c r="AR4" i="12"/>
  <c r="AS4" i="12"/>
  <c r="AT4" i="12"/>
  <c r="AU4" i="12"/>
  <c r="AV4" i="12"/>
  <c r="AW4" i="12"/>
  <c r="AX4" i="12"/>
  <c r="AY4" i="12"/>
  <c r="AZ4" i="12"/>
  <c r="BA4" i="12"/>
  <c r="BB4" i="12"/>
  <c r="BC4" i="12"/>
  <c r="BD4" i="12"/>
  <c r="BE4" i="12"/>
  <c r="BF4" i="12"/>
  <c r="BG4" i="12"/>
  <c r="BH4" i="12"/>
  <c r="BI4" i="12"/>
  <c r="BJ4" i="12"/>
  <c r="BK4" i="12"/>
  <c r="BL4" i="12"/>
  <c r="BM4" i="12"/>
  <c r="BN4" i="12"/>
  <c r="BO4" i="12"/>
  <c r="BP4" i="12"/>
  <c r="BQ4" i="12"/>
  <c r="BR4" i="12"/>
  <c r="BS4" i="12"/>
  <c r="BT4" i="12"/>
  <c r="BU4" i="12"/>
  <c r="BV4" i="12"/>
  <c r="BW4" i="12"/>
  <c r="BX4" i="12"/>
  <c r="BY4" i="12"/>
  <c r="BZ4" i="12"/>
  <c r="CA4" i="12"/>
  <c r="CB4" i="12"/>
  <c r="CC4" i="12"/>
  <c r="CD4" i="12"/>
  <c r="CE4" i="12"/>
  <c r="CF4" i="12"/>
  <c r="CG4" i="12"/>
  <c r="CH4" i="12"/>
  <c r="CI4" i="12"/>
  <c r="CJ4" i="12"/>
  <c r="CK4" i="12"/>
  <c r="CL4" i="12"/>
  <c r="CM4" i="12"/>
  <c r="CN4" i="12"/>
  <c r="CO4" i="12"/>
  <c r="CP4" i="12"/>
  <c r="CQ4" i="12"/>
  <c r="CR4" i="12"/>
  <c r="CS4" i="12"/>
  <c r="CT4" i="12"/>
  <c r="CU4" i="12"/>
  <c r="CV4" i="12"/>
  <c r="CW4" i="12"/>
  <c r="CX4" i="12"/>
  <c r="CY4" i="12"/>
  <c r="CZ4" i="12"/>
  <c r="DA4" i="12"/>
  <c r="DB4" i="12"/>
  <c r="DC4" i="12"/>
  <c r="DD4" i="12"/>
  <c r="DE4" i="12"/>
  <c r="DF4" i="12"/>
  <c r="DG4" i="12"/>
  <c r="DH4" i="12"/>
  <c r="DI4" i="12"/>
  <c r="DJ4" i="12"/>
  <c r="DK4" i="12"/>
  <c r="DL4" i="12"/>
  <c r="DM4" i="12"/>
  <c r="DN4" i="12"/>
  <c r="DO4" i="12"/>
  <c r="DP4" i="12"/>
  <c r="DQ4" i="12"/>
  <c r="DR4" i="12"/>
  <c r="DS4" i="12"/>
  <c r="DT4" i="12"/>
  <c r="DU4" i="12"/>
  <c r="DV4" i="12"/>
  <c r="DW4" i="12"/>
  <c r="DX4" i="12"/>
  <c r="DY4" i="12"/>
  <c r="DZ4" i="12"/>
  <c r="EA4" i="12"/>
  <c r="EB4" i="12"/>
  <c r="EC4" i="12"/>
  <c r="ED4" i="12"/>
  <c r="EE4" i="12"/>
  <c r="EF4" i="12"/>
  <c r="EG4" i="12"/>
  <c r="EH4" i="12"/>
  <c r="EI4" i="12"/>
  <c r="EJ4" i="12"/>
  <c r="EK4" i="12"/>
  <c r="EL4" i="12"/>
  <c r="EM4" i="12"/>
  <c r="EN4" i="12"/>
  <c r="EO4" i="12"/>
  <c r="EP4" i="12"/>
  <c r="EQ4" i="12"/>
  <c r="ER4" i="12"/>
  <c r="ES4" i="12"/>
  <c r="ET4" i="12"/>
  <c r="EU4" i="12"/>
  <c r="EV4" i="12"/>
  <c r="EW4" i="12"/>
  <c r="EX4" i="12"/>
  <c r="EY4" i="12"/>
  <c r="EZ4" i="12"/>
  <c r="FA4" i="12"/>
  <c r="FB4" i="12"/>
  <c r="FC4" i="12"/>
  <c r="FD4" i="12"/>
  <c r="FE4" i="12"/>
  <c r="FF4" i="12"/>
  <c r="FG4" i="12"/>
  <c r="FH4" i="12"/>
  <c r="FI4" i="12"/>
  <c r="FJ4" i="12"/>
  <c r="FK4" i="12"/>
  <c r="FL4" i="12"/>
  <c r="FM4" i="12"/>
  <c r="FN4" i="12"/>
  <c r="FO4" i="12"/>
  <c r="FP4" i="12"/>
  <c r="FQ4" i="12"/>
  <c r="FR4" i="12"/>
  <c r="FS4" i="12"/>
  <c r="FT4" i="12"/>
  <c r="FU4" i="12"/>
  <c r="FV4" i="12"/>
  <c r="FW4" i="12"/>
  <c r="FX4" i="12"/>
  <c r="FY4" i="12"/>
  <c r="FZ4" i="12"/>
  <c r="GA4" i="12"/>
  <c r="GB4" i="12"/>
  <c r="GC4" i="12"/>
  <c r="GD4" i="12"/>
  <c r="GE4" i="12"/>
  <c r="GF4" i="12"/>
  <c r="GG4" i="12"/>
  <c r="GH4" i="12"/>
  <c r="GI4" i="12"/>
  <c r="GJ4" i="12"/>
  <c r="GK4" i="12"/>
  <c r="GL4" i="12"/>
  <c r="GM4" i="12"/>
  <c r="GN4" i="12"/>
  <c r="GO4" i="12"/>
  <c r="GP4" i="12"/>
  <c r="GQ4" i="12"/>
  <c r="GR4" i="12"/>
  <c r="GS4" i="12"/>
  <c r="GT4" i="12"/>
  <c r="GU4" i="12"/>
  <c r="GV4" i="12"/>
  <c r="GW4" i="12"/>
  <c r="GX4" i="12"/>
  <c r="GY4" i="12"/>
  <c r="GZ4" i="12"/>
  <c r="HA4" i="12"/>
  <c r="HB4" i="12"/>
  <c r="HC4" i="12"/>
  <c r="HD4" i="12"/>
  <c r="HE4" i="12"/>
  <c r="HF4" i="12"/>
  <c r="HG4" i="12"/>
  <c r="HH4" i="12"/>
  <c r="HI4" i="12"/>
  <c r="HJ4" i="12"/>
  <c r="HK4" i="12"/>
  <c r="HL4" i="12"/>
  <c r="HM4" i="12"/>
  <c r="HN4" i="12"/>
  <c r="HO4" i="12"/>
  <c r="HP4" i="12"/>
  <c r="HQ4" i="12"/>
  <c r="HR4" i="12"/>
  <c r="HS4" i="12"/>
  <c r="HT4" i="12"/>
  <c r="HU4" i="12"/>
  <c r="HV4" i="12"/>
  <c r="HW4" i="12"/>
  <c r="HX4" i="12"/>
  <c r="HY4" i="12"/>
  <c r="HZ4" i="12"/>
  <c r="IA4" i="12"/>
  <c r="IB4" i="12"/>
  <c r="IC4" i="12"/>
  <c r="ID4" i="12"/>
  <c r="IE4" i="12"/>
  <c r="IF4" i="12"/>
  <c r="IG4" i="12"/>
  <c r="IH4" i="12"/>
  <c r="II4" i="12"/>
  <c r="IJ4" i="12"/>
  <c r="IK4" i="12"/>
  <c r="IL4" i="12"/>
  <c r="IM4" i="12"/>
  <c r="IN4" i="12"/>
  <c r="IO4" i="12"/>
  <c r="IP4" i="12"/>
  <c r="IQ4" i="12"/>
  <c r="IR4" i="12"/>
  <c r="IS4" i="12"/>
  <c r="IT4" i="12"/>
  <c r="IU4" i="12"/>
  <c r="IV4" i="12"/>
  <c r="F5" i="12"/>
  <c r="G5" i="12"/>
  <c r="H5" i="12"/>
  <c r="I5" i="12"/>
  <c r="J5" i="12"/>
  <c r="K5" i="12"/>
  <c r="L5" i="12"/>
  <c r="M5" i="12"/>
  <c r="N5" i="12"/>
  <c r="O5" i="12"/>
  <c r="P5" i="12"/>
  <c r="Q5" i="12"/>
  <c r="R5" i="12"/>
  <c r="S5" i="12"/>
  <c r="T5" i="12"/>
  <c r="U5" i="12"/>
  <c r="V5" i="12"/>
  <c r="W5" i="12"/>
  <c r="X5" i="12"/>
  <c r="Y5" i="12"/>
  <c r="Z5" i="12"/>
  <c r="AA5" i="12"/>
  <c r="AB5" i="12"/>
  <c r="AC5" i="12"/>
  <c r="AD5" i="12"/>
  <c r="AE5" i="12"/>
  <c r="AF5" i="12"/>
  <c r="AG5" i="12"/>
  <c r="AH5" i="12"/>
  <c r="AI5" i="12"/>
  <c r="AJ5" i="12"/>
  <c r="AK5" i="12"/>
  <c r="AL5" i="12"/>
  <c r="AM5" i="12"/>
  <c r="AN5" i="12"/>
  <c r="AO5" i="12"/>
  <c r="AP5" i="12"/>
  <c r="AQ5" i="12"/>
  <c r="AR5" i="12"/>
  <c r="AS5" i="12"/>
  <c r="AT5" i="12"/>
  <c r="AU5" i="12"/>
  <c r="AV5" i="12"/>
  <c r="AW5" i="12"/>
  <c r="AX5" i="12"/>
  <c r="AY5" i="12"/>
  <c r="AZ5" i="12"/>
  <c r="BA5" i="12"/>
  <c r="BB5" i="12"/>
  <c r="BC5" i="12"/>
  <c r="BD5" i="12"/>
  <c r="BE5" i="12"/>
  <c r="BF5" i="12"/>
  <c r="BG5" i="12"/>
  <c r="BH5" i="12"/>
  <c r="BI5" i="12"/>
  <c r="BJ5" i="12"/>
  <c r="BK5" i="12"/>
  <c r="BL5" i="12"/>
  <c r="BM5" i="12"/>
  <c r="BN5" i="12"/>
  <c r="BO5" i="12"/>
  <c r="BP5" i="12"/>
  <c r="BQ5" i="12"/>
  <c r="BR5" i="12"/>
  <c r="BS5" i="12"/>
  <c r="BT5" i="12"/>
  <c r="BU5" i="12"/>
  <c r="BV5" i="12"/>
  <c r="BW5" i="12"/>
  <c r="BX5" i="12"/>
  <c r="BY5" i="12"/>
  <c r="BZ5" i="12"/>
  <c r="CA5" i="12"/>
  <c r="CB5" i="12"/>
  <c r="CC5" i="12"/>
  <c r="CD5" i="12"/>
  <c r="CE5" i="12"/>
  <c r="CF5" i="12"/>
  <c r="CG5" i="12"/>
  <c r="CH5" i="12"/>
  <c r="CI5" i="12"/>
  <c r="CJ5" i="12"/>
  <c r="CK5" i="12"/>
  <c r="CL5" i="12"/>
  <c r="CM5" i="12"/>
  <c r="CN5" i="12"/>
  <c r="CO5" i="12"/>
  <c r="CP5" i="12"/>
  <c r="CQ5" i="12"/>
  <c r="CR5" i="12"/>
  <c r="CS5" i="12"/>
  <c r="CT5" i="12"/>
  <c r="CU5" i="12"/>
  <c r="CV5" i="12"/>
  <c r="CW5" i="12"/>
  <c r="CX5" i="12"/>
  <c r="CY5" i="12"/>
  <c r="CZ5" i="12"/>
  <c r="DA5" i="12"/>
  <c r="DB5" i="12"/>
  <c r="DC5" i="12"/>
  <c r="DD5" i="12"/>
  <c r="DE5" i="12"/>
  <c r="DF5" i="12"/>
  <c r="DG5" i="12"/>
  <c r="DH5" i="12"/>
  <c r="DI5" i="12"/>
  <c r="DJ5" i="12"/>
  <c r="DK5" i="12"/>
  <c r="DL5" i="12"/>
  <c r="DM5" i="12"/>
  <c r="DN5" i="12"/>
  <c r="DO5" i="12"/>
  <c r="DP5" i="12"/>
  <c r="DQ5" i="12"/>
  <c r="DR5" i="12"/>
  <c r="DS5" i="12"/>
  <c r="DT5" i="12"/>
  <c r="DU5" i="12"/>
  <c r="DV5" i="12"/>
  <c r="DW5" i="12"/>
  <c r="DX5" i="12"/>
  <c r="DY5" i="12"/>
  <c r="DZ5" i="12"/>
  <c r="EA5" i="12"/>
  <c r="EB5" i="12"/>
  <c r="EC5" i="12"/>
  <c r="ED5" i="12"/>
  <c r="EE5" i="12"/>
  <c r="EF5" i="12"/>
  <c r="EG5" i="12"/>
  <c r="EH5" i="12"/>
  <c r="EI5" i="12"/>
  <c r="EJ5" i="12"/>
  <c r="EK5" i="12"/>
  <c r="EL5" i="12"/>
  <c r="EM5" i="12"/>
  <c r="EN5" i="12"/>
  <c r="EO5" i="12"/>
  <c r="EP5" i="12"/>
  <c r="EQ5" i="12"/>
  <c r="ER5" i="12"/>
  <c r="ES5" i="12"/>
  <c r="ET5" i="12"/>
  <c r="EU5" i="12"/>
  <c r="EV5" i="12"/>
  <c r="EW5" i="12"/>
  <c r="EX5" i="12"/>
  <c r="EY5" i="12"/>
  <c r="EZ5" i="12"/>
  <c r="FA5" i="12"/>
  <c r="FB5" i="12"/>
  <c r="FC5" i="12"/>
  <c r="FD5" i="12"/>
  <c r="FE5" i="12"/>
  <c r="FF5" i="12"/>
  <c r="FG5" i="12"/>
  <c r="FH5" i="12"/>
  <c r="FI5" i="12"/>
  <c r="FJ5" i="12"/>
  <c r="FK5" i="12"/>
  <c r="FL5" i="12"/>
  <c r="FM5" i="12"/>
  <c r="FN5" i="12"/>
  <c r="FO5" i="12"/>
  <c r="FP5" i="12"/>
  <c r="FQ5" i="12"/>
  <c r="FR5" i="12"/>
  <c r="FS5" i="12"/>
  <c r="FT5" i="12"/>
  <c r="FU5" i="12"/>
  <c r="FV5" i="12"/>
  <c r="FW5" i="12"/>
  <c r="FX5" i="12"/>
  <c r="FY5" i="12"/>
  <c r="FZ5" i="12"/>
  <c r="GA5" i="12"/>
  <c r="GB5" i="12"/>
  <c r="GC5" i="12"/>
  <c r="GD5" i="12"/>
  <c r="GE5" i="12"/>
  <c r="GF5" i="12"/>
  <c r="GG5" i="12"/>
  <c r="GH5" i="12"/>
  <c r="GI5" i="12"/>
  <c r="GJ5" i="12"/>
  <c r="GK5" i="12"/>
  <c r="GL5" i="12"/>
  <c r="GM5" i="12"/>
  <c r="GN5" i="12"/>
  <c r="GO5" i="12"/>
  <c r="GP5" i="12"/>
  <c r="GQ5" i="12"/>
  <c r="GR5" i="12"/>
  <c r="GS5" i="12"/>
  <c r="GT5" i="12"/>
  <c r="GU5" i="12"/>
  <c r="GV5" i="12"/>
  <c r="GW5" i="12"/>
  <c r="GX5" i="12"/>
  <c r="GY5" i="12"/>
  <c r="GZ5" i="12"/>
  <c r="HA5" i="12"/>
  <c r="HB5" i="12"/>
  <c r="HC5" i="12"/>
  <c r="HD5" i="12"/>
  <c r="HE5" i="12"/>
  <c r="HF5" i="12"/>
  <c r="HG5" i="12"/>
  <c r="HH5" i="12"/>
  <c r="HI5" i="12"/>
  <c r="HJ5" i="12"/>
  <c r="HK5" i="12"/>
  <c r="HL5" i="12"/>
  <c r="HM5" i="12"/>
  <c r="HN5" i="12"/>
  <c r="HO5" i="12"/>
  <c r="HP5" i="12"/>
  <c r="HQ5" i="12"/>
  <c r="HR5" i="12"/>
  <c r="HS5" i="12"/>
  <c r="HT5" i="12"/>
  <c r="HU5" i="12"/>
  <c r="HV5" i="12"/>
  <c r="HW5" i="12"/>
  <c r="HX5" i="12"/>
  <c r="HY5" i="12"/>
  <c r="HZ5" i="12"/>
  <c r="IA5" i="12"/>
  <c r="IB5" i="12"/>
  <c r="IC5" i="12"/>
  <c r="ID5" i="12"/>
  <c r="IE5" i="12"/>
  <c r="IF5" i="12"/>
  <c r="IG5" i="12"/>
  <c r="IH5" i="12"/>
  <c r="II5" i="12"/>
  <c r="IJ5" i="12"/>
  <c r="IK5" i="12"/>
  <c r="IL5" i="12"/>
  <c r="IM5" i="12"/>
  <c r="IN5" i="12"/>
  <c r="IO5" i="12"/>
  <c r="IP5" i="12"/>
  <c r="IQ5" i="12"/>
  <c r="IR5" i="12"/>
  <c r="IS5" i="12"/>
  <c r="IT5" i="12"/>
  <c r="IU5" i="12"/>
  <c r="IV5" i="12"/>
  <c r="F6" i="12"/>
  <c r="G6" i="12"/>
  <c r="H6" i="12"/>
  <c r="I6" i="12"/>
  <c r="J6" i="12"/>
  <c r="K6" i="12"/>
  <c r="L6" i="12"/>
  <c r="M6" i="12"/>
  <c r="N6" i="12"/>
  <c r="O6" i="12"/>
  <c r="P6" i="12"/>
  <c r="Q6" i="12"/>
  <c r="R6" i="12"/>
  <c r="S6" i="12"/>
  <c r="T6" i="12"/>
  <c r="U6" i="12"/>
  <c r="V6" i="12"/>
  <c r="W6" i="12"/>
  <c r="X6" i="12"/>
  <c r="Y6" i="12"/>
  <c r="Z6" i="12"/>
  <c r="AA6" i="12"/>
  <c r="AB6" i="12"/>
  <c r="AC6" i="12"/>
  <c r="AD6" i="12"/>
  <c r="AE6" i="12"/>
  <c r="AF6" i="12"/>
  <c r="AG6" i="12"/>
  <c r="AH6" i="12"/>
  <c r="AI6" i="12"/>
  <c r="AJ6" i="12"/>
  <c r="AK6" i="12"/>
  <c r="AL6" i="12"/>
  <c r="AM6" i="12"/>
  <c r="AN6" i="12"/>
  <c r="AO6" i="12"/>
  <c r="AP6" i="12"/>
  <c r="AQ6" i="12"/>
  <c r="AR6" i="12"/>
  <c r="AS6" i="12"/>
  <c r="AT6" i="12"/>
  <c r="AU6" i="12"/>
  <c r="AV6" i="12"/>
  <c r="AW6" i="12"/>
  <c r="AX6" i="12"/>
  <c r="AY6" i="12"/>
  <c r="AZ6" i="12"/>
  <c r="BA6" i="12"/>
  <c r="BB6" i="12"/>
  <c r="BC6" i="12"/>
  <c r="BD6" i="12"/>
  <c r="BE6" i="12"/>
  <c r="BF6" i="12"/>
  <c r="BG6" i="12"/>
  <c r="BH6" i="12"/>
  <c r="BI6" i="12"/>
  <c r="BJ6" i="12"/>
  <c r="BK6" i="12"/>
  <c r="BL6" i="12"/>
  <c r="BM6" i="12"/>
  <c r="BN6" i="12"/>
  <c r="BO6" i="12"/>
  <c r="BP6" i="12"/>
  <c r="BQ6" i="12"/>
  <c r="BR6" i="12"/>
  <c r="BS6" i="12"/>
  <c r="BT6" i="12"/>
  <c r="BU6" i="12"/>
  <c r="BV6" i="12"/>
  <c r="BW6" i="12"/>
  <c r="BX6" i="12"/>
  <c r="BY6" i="12"/>
  <c r="BZ6" i="12"/>
  <c r="CA6" i="12"/>
  <c r="CB6" i="12"/>
  <c r="CC6" i="12"/>
  <c r="CD6" i="12"/>
  <c r="CE6" i="12"/>
  <c r="CF6" i="12"/>
  <c r="CG6" i="12"/>
  <c r="CH6" i="12"/>
  <c r="CI6" i="12"/>
  <c r="CJ6" i="12"/>
  <c r="CK6" i="12"/>
  <c r="CL6" i="12"/>
  <c r="CM6" i="12"/>
  <c r="CN6" i="12"/>
  <c r="CO6" i="12"/>
  <c r="CP6" i="12"/>
  <c r="CQ6" i="12"/>
  <c r="CR6" i="12"/>
  <c r="CS6" i="12"/>
  <c r="CT6" i="12"/>
  <c r="CU6" i="12"/>
  <c r="CV6" i="12"/>
  <c r="CW6" i="12"/>
  <c r="CX6" i="12"/>
  <c r="CY6" i="12"/>
  <c r="CZ6" i="12"/>
  <c r="DA6" i="12"/>
  <c r="DB6" i="12"/>
  <c r="DC6" i="12"/>
  <c r="DD6" i="12"/>
  <c r="DE6" i="12"/>
  <c r="DF6" i="12"/>
  <c r="DG6" i="12"/>
  <c r="DH6" i="12"/>
  <c r="DI6" i="12"/>
  <c r="DJ6" i="12"/>
  <c r="DK6" i="12"/>
  <c r="DL6" i="12"/>
  <c r="DM6" i="12"/>
  <c r="DN6" i="12"/>
  <c r="DO6" i="12"/>
  <c r="DP6" i="12"/>
  <c r="DQ6" i="12"/>
  <c r="DR6" i="12"/>
  <c r="DS6" i="12"/>
  <c r="DT6" i="12"/>
  <c r="DU6" i="12"/>
  <c r="DV6" i="12"/>
  <c r="DW6" i="12"/>
  <c r="DX6" i="12"/>
  <c r="DY6" i="12"/>
  <c r="DZ6" i="12"/>
  <c r="EA6" i="12"/>
  <c r="EB6" i="12"/>
  <c r="EC6" i="12"/>
  <c r="ED6" i="12"/>
  <c r="EE6" i="12"/>
  <c r="EF6" i="12"/>
  <c r="EG6" i="12"/>
  <c r="EH6" i="12"/>
  <c r="EI6" i="12"/>
  <c r="EJ6" i="12"/>
  <c r="EK6" i="12"/>
  <c r="EL6" i="12"/>
  <c r="EM6" i="12"/>
  <c r="EN6" i="12"/>
  <c r="EO6" i="12"/>
  <c r="EP6" i="12"/>
  <c r="EQ6" i="12"/>
  <c r="ER6" i="12"/>
  <c r="ES6" i="12"/>
  <c r="ET6" i="12"/>
  <c r="EU6" i="12"/>
  <c r="EV6" i="12"/>
  <c r="EW6" i="12"/>
  <c r="EX6" i="12"/>
  <c r="EY6" i="12"/>
  <c r="EZ6" i="12"/>
  <c r="FA6" i="12"/>
  <c r="FB6" i="12"/>
  <c r="FC6" i="12"/>
  <c r="FD6" i="12"/>
  <c r="FE6" i="12"/>
  <c r="FF6" i="12"/>
  <c r="FG6" i="12"/>
  <c r="FH6" i="12"/>
  <c r="FI6" i="12"/>
  <c r="FJ6" i="12"/>
  <c r="FK6" i="12"/>
  <c r="FL6" i="12"/>
  <c r="FM6" i="12"/>
  <c r="FN6" i="12"/>
  <c r="FO6" i="12"/>
  <c r="FP6" i="12"/>
  <c r="FQ6" i="12"/>
  <c r="FR6" i="12"/>
  <c r="FS6" i="12"/>
  <c r="FT6" i="12"/>
  <c r="FU6" i="12"/>
  <c r="FV6" i="12"/>
  <c r="FW6" i="12"/>
  <c r="FX6" i="12"/>
  <c r="FY6" i="12"/>
  <c r="FZ6" i="12"/>
  <c r="GA6" i="12"/>
  <c r="GB6" i="12"/>
  <c r="GC6" i="12"/>
  <c r="GD6" i="12"/>
  <c r="GE6" i="12"/>
  <c r="GF6" i="12"/>
  <c r="GG6" i="12"/>
  <c r="GH6" i="12"/>
  <c r="GI6" i="12"/>
  <c r="GJ6" i="12"/>
  <c r="GK6" i="12"/>
  <c r="GL6" i="12"/>
  <c r="GM6" i="12"/>
  <c r="GN6" i="12"/>
  <c r="GO6" i="12"/>
  <c r="GP6" i="12"/>
  <c r="GQ6" i="12"/>
  <c r="GR6" i="12"/>
  <c r="GS6" i="12"/>
  <c r="GT6" i="12"/>
  <c r="GU6" i="12"/>
  <c r="GV6" i="12"/>
  <c r="GW6" i="12"/>
  <c r="GX6" i="12"/>
  <c r="GY6" i="12"/>
  <c r="GZ6" i="12"/>
  <c r="HA6" i="12"/>
  <c r="HB6" i="12"/>
  <c r="HC6" i="12"/>
  <c r="HD6" i="12"/>
  <c r="HE6" i="12"/>
  <c r="HF6" i="12"/>
  <c r="HG6" i="12"/>
  <c r="HH6" i="12"/>
  <c r="HI6" i="12"/>
  <c r="HJ6" i="12"/>
  <c r="HK6" i="12"/>
  <c r="HL6" i="12"/>
  <c r="HM6" i="12"/>
  <c r="HN6" i="12"/>
  <c r="HO6" i="12"/>
  <c r="HP6" i="12"/>
  <c r="HQ6" i="12"/>
  <c r="HR6" i="12"/>
  <c r="HS6" i="12"/>
  <c r="HT6" i="12"/>
  <c r="HU6" i="12"/>
  <c r="HV6" i="12"/>
  <c r="HW6" i="12"/>
  <c r="HX6" i="12"/>
  <c r="HY6" i="12"/>
  <c r="HZ6" i="12"/>
  <c r="IA6" i="12"/>
  <c r="IB6" i="12"/>
  <c r="IC6" i="12"/>
  <c r="ID6" i="12"/>
  <c r="IE6" i="12"/>
  <c r="IF6" i="12"/>
  <c r="IG6" i="12"/>
  <c r="IH6" i="12"/>
  <c r="II6" i="12"/>
  <c r="IJ6" i="12"/>
  <c r="IK6" i="12"/>
  <c r="IL6" i="12"/>
  <c r="IM6" i="12"/>
  <c r="IN6" i="12"/>
  <c r="IO6" i="12"/>
  <c r="IP6" i="12"/>
  <c r="IQ6" i="12"/>
  <c r="IR6" i="12"/>
  <c r="IS6" i="12"/>
  <c r="IT6" i="12"/>
  <c r="IU6" i="12"/>
  <c r="IV6" i="12"/>
  <c r="F7" i="12"/>
  <c r="G7" i="12"/>
  <c r="H7" i="12"/>
  <c r="I7" i="12"/>
  <c r="J7" i="12"/>
  <c r="K7" i="12"/>
  <c r="L7" i="12"/>
  <c r="M7" i="12"/>
  <c r="N7" i="12"/>
  <c r="O7" i="12"/>
  <c r="P7" i="12"/>
  <c r="Q7" i="12"/>
  <c r="R7" i="12"/>
  <c r="S7" i="12"/>
  <c r="T7" i="12"/>
  <c r="U7" i="12"/>
  <c r="V7" i="12"/>
  <c r="W7" i="12"/>
  <c r="X7" i="12"/>
  <c r="Y7" i="12"/>
  <c r="Z7" i="12"/>
  <c r="AA7" i="12"/>
  <c r="AB7" i="12"/>
  <c r="AC7" i="12"/>
  <c r="AD7" i="12"/>
  <c r="AE7" i="12"/>
  <c r="AF7" i="12"/>
  <c r="AG7" i="12"/>
  <c r="AH7" i="12"/>
  <c r="AI7" i="12"/>
  <c r="AJ7" i="12"/>
  <c r="AK7" i="12"/>
  <c r="AL7" i="12"/>
  <c r="AM7" i="12"/>
  <c r="AN7" i="12"/>
  <c r="AO7" i="12"/>
  <c r="AP7" i="12"/>
  <c r="AQ7" i="12"/>
  <c r="AR7" i="12"/>
  <c r="AS7" i="12"/>
  <c r="AT7" i="12"/>
  <c r="AU7" i="12"/>
  <c r="AV7" i="12"/>
  <c r="AW7" i="12"/>
  <c r="AX7" i="12"/>
  <c r="AY7" i="12"/>
  <c r="AZ7" i="12"/>
  <c r="BA7" i="12"/>
  <c r="BB7" i="12"/>
  <c r="BC7" i="12"/>
  <c r="BD7" i="12"/>
  <c r="BE7" i="12"/>
  <c r="BF7" i="12"/>
  <c r="BG7" i="12"/>
  <c r="BH7" i="12"/>
  <c r="BI7" i="12"/>
  <c r="BJ7" i="12"/>
  <c r="BK7" i="12"/>
  <c r="BL7" i="12"/>
  <c r="BM7" i="12"/>
  <c r="BN7" i="12"/>
  <c r="BO7" i="12"/>
  <c r="BP7" i="12"/>
  <c r="BQ7" i="12"/>
  <c r="BR7" i="12"/>
  <c r="BS7" i="12"/>
  <c r="BT7" i="12"/>
  <c r="BU7" i="12"/>
  <c r="BV7" i="12"/>
  <c r="BW7" i="12"/>
  <c r="BX7" i="12"/>
  <c r="BY7" i="12"/>
  <c r="BZ7" i="12"/>
  <c r="CA7" i="12"/>
  <c r="CB7" i="12"/>
  <c r="CC7" i="12"/>
  <c r="CD7" i="12"/>
  <c r="CE7" i="12"/>
  <c r="CF7" i="12"/>
  <c r="CG7" i="12"/>
  <c r="CH7" i="12"/>
  <c r="CI7" i="12"/>
  <c r="CJ7" i="12"/>
  <c r="CK7" i="12"/>
  <c r="CL7" i="12"/>
  <c r="CM7" i="12"/>
  <c r="CN7" i="12"/>
  <c r="CO7" i="12"/>
  <c r="CP7" i="12"/>
  <c r="CQ7" i="12"/>
  <c r="CR7" i="12"/>
  <c r="CS7" i="12"/>
  <c r="CT7" i="12"/>
  <c r="CU7" i="12"/>
  <c r="CV7" i="12"/>
  <c r="CW7" i="12"/>
  <c r="CX7" i="12"/>
  <c r="CY7" i="12"/>
  <c r="CZ7" i="12"/>
  <c r="DA7" i="12"/>
  <c r="DB7" i="12"/>
  <c r="DC7" i="12"/>
  <c r="DD7" i="12"/>
  <c r="DE7" i="12"/>
  <c r="DF7" i="12"/>
  <c r="DG7" i="12"/>
  <c r="DH7" i="12"/>
  <c r="DI7" i="12"/>
  <c r="DJ7" i="12"/>
  <c r="DK7" i="12"/>
  <c r="DL7" i="12"/>
  <c r="DM7" i="12"/>
  <c r="DN7" i="12"/>
  <c r="DO7" i="12"/>
  <c r="DP7" i="12"/>
  <c r="DQ7" i="12"/>
  <c r="DR7" i="12"/>
  <c r="DS7" i="12"/>
  <c r="DT7" i="12"/>
  <c r="DU7" i="12"/>
  <c r="DV7" i="12"/>
  <c r="DW7" i="12"/>
  <c r="DX7" i="12"/>
  <c r="DY7" i="12"/>
  <c r="DZ7" i="12"/>
  <c r="EA7" i="12"/>
  <c r="EB7" i="12"/>
  <c r="EC7" i="12"/>
  <c r="ED7" i="12"/>
  <c r="EE7" i="12"/>
  <c r="EF7" i="12"/>
  <c r="EG7" i="12"/>
  <c r="EH7" i="12"/>
  <c r="EI7" i="12"/>
  <c r="EJ7" i="12"/>
  <c r="EK7" i="12"/>
  <c r="EL7" i="12"/>
  <c r="EM7" i="12"/>
  <c r="EN7" i="12"/>
  <c r="EO7" i="12"/>
  <c r="EP7" i="12"/>
  <c r="EQ7" i="12"/>
  <c r="ER7" i="12"/>
  <c r="ES7" i="12"/>
  <c r="ET7" i="12"/>
  <c r="EU7" i="12"/>
  <c r="EV7" i="12"/>
  <c r="EW7" i="12"/>
  <c r="EX7" i="12"/>
  <c r="EY7" i="12"/>
  <c r="EZ7" i="12"/>
  <c r="FA7" i="12"/>
  <c r="FB7" i="12"/>
  <c r="FC7" i="12"/>
  <c r="FD7" i="12"/>
  <c r="FE7" i="12"/>
  <c r="FF7" i="12"/>
  <c r="FG7" i="12"/>
  <c r="FH7" i="12"/>
  <c r="FI7" i="12"/>
  <c r="FJ7" i="12"/>
  <c r="FK7" i="12"/>
  <c r="FL7" i="12"/>
  <c r="FM7" i="12"/>
  <c r="FN7" i="12"/>
  <c r="FO7" i="12"/>
  <c r="FP7" i="12"/>
  <c r="FQ7" i="12"/>
  <c r="FR7" i="12"/>
  <c r="FS7" i="12"/>
  <c r="FT7" i="12"/>
  <c r="FU7" i="12"/>
  <c r="FV7" i="12"/>
  <c r="FW7" i="12"/>
  <c r="FX7" i="12"/>
  <c r="FY7" i="12"/>
  <c r="FZ7" i="12"/>
  <c r="GA7" i="12"/>
  <c r="GB7" i="12"/>
  <c r="GC7" i="12"/>
  <c r="GD7" i="12"/>
  <c r="GE7" i="12"/>
  <c r="GF7" i="12"/>
  <c r="GG7" i="12"/>
  <c r="GH7" i="12"/>
  <c r="GI7" i="12"/>
  <c r="GJ7" i="12"/>
  <c r="GK7" i="12"/>
  <c r="GL7" i="12"/>
  <c r="GM7" i="12"/>
  <c r="GN7" i="12"/>
  <c r="GO7" i="12"/>
  <c r="GP7" i="12"/>
  <c r="GQ7" i="12"/>
  <c r="GR7" i="12"/>
  <c r="GS7" i="12"/>
  <c r="GT7" i="12"/>
  <c r="GU7" i="12"/>
  <c r="GV7" i="12"/>
  <c r="GW7" i="12"/>
  <c r="GX7" i="12"/>
  <c r="GY7" i="12"/>
  <c r="GZ7" i="12"/>
  <c r="HA7" i="12"/>
  <c r="HB7" i="12"/>
  <c r="HC7" i="12"/>
  <c r="HD7" i="12"/>
  <c r="HE7" i="12"/>
  <c r="HF7" i="12"/>
  <c r="HG7" i="12"/>
  <c r="HH7" i="12"/>
  <c r="HI7" i="12"/>
  <c r="HJ7" i="12"/>
  <c r="HK7" i="12"/>
  <c r="HL7" i="12"/>
  <c r="HM7" i="12"/>
  <c r="HN7" i="12"/>
  <c r="HO7" i="12"/>
  <c r="HP7" i="12"/>
  <c r="HQ7" i="12"/>
  <c r="HR7" i="12"/>
  <c r="HS7" i="12"/>
  <c r="HT7" i="12"/>
  <c r="HU7" i="12"/>
  <c r="HV7" i="12"/>
  <c r="HW7" i="12"/>
  <c r="HX7" i="12"/>
  <c r="HY7" i="12"/>
  <c r="HZ7" i="12"/>
  <c r="IA7" i="12"/>
  <c r="IB7" i="12"/>
  <c r="IC7" i="12"/>
  <c r="ID7" i="12"/>
  <c r="IE7" i="12"/>
  <c r="IF7" i="12"/>
  <c r="IG7" i="12"/>
  <c r="IH7" i="12"/>
  <c r="II7" i="12"/>
  <c r="IJ7" i="12"/>
  <c r="IK7" i="12"/>
  <c r="IL7" i="12"/>
  <c r="IM7" i="12"/>
  <c r="IN7" i="12"/>
  <c r="IO7" i="12"/>
  <c r="IP7" i="12"/>
  <c r="IQ7" i="12"/>
  <c r="IR7" i="12"/>
  <c r="IS7" i="12"/>
  <c r="IT7" i="12"/>
  <c r="IU7" i="12"/>
  <c r="IV7" i="12"/>
  <c r="F8" i="12"/>
  <c r="G8" i="12"/>
  <c r="H8" i="12"/>
  <c r="I8" i="12"/>
  <c r="J8" i="12"/>
  <c r="K8" i="12"/>
  <c r="L8" i="12"/>
  <c r="M8" i="12"/>
  <c r="N8" i="12"/>
  <c r="O8" i="12"/>
  <c r="P8" i="12"/>
  <c r="Q8" i="12"/>
  <c r="R8" i="12"/>
  <c r="S8" i="12"/>
  <c r="T8" i="12"/>
  <c r="U8" i="12"/>
  <c r="V8" i="12"/>
  <c r="W8" i="12"/>
  <c r="X8" i="12"/>
  <c r="Y8" i="12"/>
  <c r="Z8" i="12"/>
  <c r="AA8" i="12"/>
  <c r="AB8" i="12"/>
  <c r="AC8" i="12"/>
  <c r="AD8" i="12"/>
  <c r="AE8" i="12"/>
  <c r="AF8" i="12"/>
  <c r="AG8" i="12"/>
  <c r="AH8" i="12"/>
  <c r="AI8" i="12"/>
  <c r="AJ8" i="12"/>
  <c r="AK8" i="12"/>
  <c r="AL8" i="12"/>
  <c r="AM8" i="12"/>
  <c r="AN8" i="12"/>
  <c r="AO8" i="12"/>
  <c r="AP8" i="12"/>
  <c r="AQ8" i="12"/>
  <c r="AR8" i="12"/>
  <c r="AS8" i="12"/>
  <c r="AT8" i="12"/>
  <c r="AU8" i="12"/>
  <c r="AV8" i="12"/>
  <c r="AW8" i="12"/>
  <c r="AX8" i="12"/>
  <c r="AY8" i="12"/>
  <c r="AZ8" i="12"/>
  <c r="BA8" i="12"/>
  <c r="BB8" i="12"/>
  <c r="BC8" i="12"/>
  <c r="BD8" i="12"/>
  <c r="BE8" i="12"/>
  <c r="BF8" i="12"/>
  <c r="BG8" i="12"/>
  <c r="BH8" i="12"/>
  <c r="BI8" i="12"/>
  <c r="BJ8" i="12"/>
  <c r="BK8" i="12"/>
  <c r="BL8" i="12"/>
  <c r="BM8" i="12"/>
  <c r="BN8" i="12"/>
  <c r="BO8" i="12"/>
  <c r="BP8" i="12"/>
  <c r="BQ8" i="12"/>
  <c r="BR8" i="12"/>
  <c r="BS8" i="12"/>
  <c r="BT8" i="12"/>
  <c r="BU8" i="12"/>
  <c r="BV8" i="12"/>
  <c r="BW8" i="12"/>
  <c r="BX8" i="12"/>
  <c r="BY8" i="12"/>
  <c r="BZ8" i="12"/>
  <c r="CA8" i="12"/>
  <c r="CB8" i="12"/>
  <c r="CC8" i="12"/>
  <c r="CD8" i="12"/>
  <c r="CE8" i="12"/>
  <c r="CF8" i="12"/>
  <c r="CG8" i="12"/>
  <c r="CH8" i="12"/>
  <c r="CI8" i="12"/>
  <c r="CJ8" i="12"/>
  <c r="CK8" i="12"/>
  <c r="CL8" i="12"/>
  <c r="CM8" i="12"/>
  <c r="CN8" i="12"/>
  <c r="CO8" i="12"/>
  <c r="CP8" i="12"/>
  <c r="CQ8" i="12"/>
  <c r="CR8" i="12"/>
  <c r="CS8" i="12"/>
  <c r="CT8" i="12"/>
  <c r="CU8" i="12"/>
  <c r="CV8" i="12"/>
  <c r="CW8" i="12"/>
  <c r="CX8" i="12"/>
  <c r="CY8" i="12"/>
  <c r="CZ8" i="12"/>
  <c r="DA8" i="12"/>
  <c r="DB8" i="12"/>
  <c r="DC8" i="12"/>
  <c r="DD8" i="12"/>
  <c r="DE8" i="12"/>
  <c r="DF8" i="12"/>
  <c r="DG8" i="12"/>
  <c r="DH8" i="12"/>
  <c r="DI8" i="12"/>
  <c r="DJ8" i="12"/>
  <c r="DK8" i="12"/>
  <c r="DL8" i="12"/>
  <c r="DM8" i="12"/>
  <c r="DN8" i="12"/>
  <c r="DO8" i="12"/>
  <c r="DP8" i="12"/>
  <c r="DQ8" i="12"/>
  <c r="DR8" i="12"/>
  <c r="DS8" i="12"/>
  <c r="DT8" i="12"/>
  <c r="DU8" i="12"/>
  <c r="DV8" i="12"/>
  <c r="DW8" i="12"/>
  <c r="DX8" i="12"/>
  <c r="DY8" i="12"/>
  <c r="DZ8" i="12"/>
  <c r="EA8" i="12"/>
  <c r="EB8" i="12"/>
  <c r="EC8" i="12"/>
  <c r="ED8" i="12"/>
  <c r="EE8" i="12"/>
  <c r="EF8" i="12"/>
  <c r="EG8" i="12"/>
  <c r="EH8" i="12"/>
  <c r="EI8" i="12"/>
  <c r="EJ8" i="12"/>
  <c r="EK8" i="12"/>
  <c r="EL8" i="12"/>
  <c r="EM8" i="12"/>
  <c r="EN8" i="12"/>
  <c r="EO8" i="12"/>
  <c r="EP8" i="12"/>
  <c r="EQ8" i="12"/>
  <c r="ER8" i="12"/>
  <c r="ES8" i="12"/>
  <c r="ET8" i="12"/>
  <c r="EU8" i="12"/>
  <c r="EV8" i="12"/>
  <c r="EW8" i="12"/>
  <c r="EX8" i="12"/>
  <c r="EY8" i="12"/>
  <c r="EZ8" i="12"/>
  <c r="FA8" i="12"/>
  <c r="FB8" i="12"/>
  <c r="FC8" i="12"/>
  <c r="FD8" i="12"/>
  <c r="FE8" i="12"/>
  <c r="FF8" i="12"/>
  <c r="FG8" i="12"/>
  <c r="FH8" i="12"/>
  <c r="FI8" i="12"/>
  <c r="FJ8" i="12"/>
  <c r="FK8" i="12"/>
  <c r="FL8" i="12"/>
  <c r="FM8" i="12"/>
  <c r="FN8" i="12"/>
  <c r="FO8" i="12"/>
  <c r="FP8" i="12"/>
  <c r="FQ8" i="12"/>
  <c r="FR8" i="12"/>
  <c r="FS8" i="12"/>
  <c r="FT8" i="12"/>
  <c r="FU8" i="12"/>
  <c r="FV8" i="12"/>
  <c r="FW8" i="12"/>
  <c r="FX8" i="12"/>
  <c r="FY8" i="12"/>
  <c r="FZ8" i="12"/>
  <c r="GA8" i="12"/>
  <c r="GB8" i="12"/>
  <c r="GC8" i="12"/>
  <c r="GD8" i="12"/>
  <c r="GE8" i="12"/>
  <c r="GF8" i="12"/>
  <c r="GG8" i="12"/>
  <c r="GH8" i="12"/>
  <c r="GI8" i="12"/>
  <c r="GJ8" i="12"/>
  <c r="GK8" i="12"/>
  <c r="GL8" i="12"/>
  <c r="GM8" i="12"/>
  <c r="GN8" i="12"/>
  <c r="GO8" i="12"/>
  <c r="GP8" i="12"/>
  <c r="GQ8" i="12"/>
  <c r="GR8" i="12"/>
  <c r="GS8" i="12"/>
  <c r="GT8" i="12"/>
  <c r="GU8" i="12"/>
  <c r="GV8" i="12"/>
  <c r="GW8" i="12"/>
  <c r="GX8" i="12"/>
  <c r="GY8" i="12"/>
  <c r="GZ8" i="12"/>
  <c r="HA8" i="12"/>
  <c r="HB8" i="12"/>
  <c r="HC8" i="12"/>
  <c r="HD8" i="12"/>
  <c r="HE8" i="12"/>
  <c r="HF8" i="12"/>
  <c r="HG8" i="12"/>
  <c r="HH8" i="12"/>
  <c r="HI8" i="12"/>
  <c r="HJ8" i="12"/>
  <c r="HK8" i="12"/>
  <c r="HL8" i="12"/>
  <c r="HM8" i="12"/>
  <c r="HN8" i="12"/>
  <c r="HO8" i="12"/>
  <c r="HP8" i="12"/>
  <c r="HQ8" i="12"/>
  <c r="HR8" i="12"/>
  <c r="HS8" i="12"/>
  <c r="HT8" i="12"/>
  <c r="HU8" i="12"/>
  <c r="HV8" i="12"/>
  <c r="HW8" i="12"/>
  <c r="HX8" i="12"/>
  <c r="HY8" i="12"/>
  <c r="HZ8" i="12"/>
  <c r="IA8" i="12"/>
  <c r="IB8" i="12"/>
  <c r="IC8" i="12"/>
  <c r="ID8" i="12"/>
  <c r="IE8" i="12"/>
  <c r="IF8" i="12"/>
  <c r="IG8" i="12"/>
  <c r="IH8" i="12"/>
  <c r="II8" i="12"/>
  <c r="IJ8" i="12"/>
  <c r="IK8" i="12"/>
  <c r="IL8" i="12"/>
  <c r="IM8" i="12"/>
  <c r="IN8" i="12"/>
  <c r="IO8" i="12"/>
  <c r="IP8" i="12"/>
  <c r="IQ8" i="12"/>
  <c r="IR8" i="12"/>
  <c r="IS8" i="12"/>
  <c r="IT8" i="12"/>
  <c r="IU8" i="12"/>
  <c r="IV8" i="12"/>
  <c r="F9" i="12"/>
  <c r="G9" i="12"/>
  <c r="H9" i="12"/>
  <c r="I9" i="12"/>
  <c r="J9" i="12"/>
  <c r="K9" i="12"/>
  <c r="L9" i="12"/>
  <c r="M9" i="12"/>
  <c r="N9" i="12"/>
  <c r="O9" i="12"/>
  <c r="P9" i="12"/>
  <c r="Q9" i="12"/>
  <c r="R9" i="12"/>
  <c r="S9" i="12"/>
  <c r="T9" i="12"/>
  <c r="U9" i="12"/>
  <c r="V9" i="12"/>
  <c r="W9" i="12"/>
  <c r="X9" i="12"/>
  <c r="Y9" i="12"/>
  <c r="Z9" i="12"/>
  <c r="AA9" i="12"/>
  <c r="AB9" i="12"/>
  <c r="AC9" i="12"/>
  <c r="AD9" i="12"/>
  <c r="AE9" i="12"/>
  <c r="AF9" i="12"/>
  <c r="AG9" i="12"/>
  <c r="AH9" i="12"/>
  <c r="AI9" i="12"/>
  <c r="AJ9" i="12"/>
  <c r="AK9" i="12"/>
  <c r="AL9" i="12"/>
  <c r="AM9" i="12"/>
  <c r="AN9" i="12"/>
  <c r="AO9" i="12"/>
  <c r="AP9" i="12"/>
  <c r="AQ9" i="12"/>
  <c r="AR9" i="12"/>
  <c r="AS9" i="12"/>
  <c r="AT9" i="12"/>
  <c r="AU9" i="12"/>
  <c r="AV9" i="12"/>
  <c r="AW9" i="12"/>
  <c r="AX9" i="12"/>
  <c r="AY9" i="12"/>
  <c r="AZ9" i="12"/>
  <c r="BA9" i="12"/>
  <c r="BB9" i="12"/>
  <c r="BC9" i="12"/>
  <c r="BD9" i="12"/>
  <c r="BE9" i="12"/>
  <c r="BF9" i="12"/>
  <c r="BG9" i="12"/>
  <c r="BH9" i="12"/>
  <c r="BI9" i="12"/>
  <c r="BJ9" i="12"/>
  <c r="BK9" i="12"/>
  <c r="BL9" i="12"/>
  <c r="BM9" i="12"/>
  <c r="BN9" i="12"/>
  <c r="BO9" i="12"/>
  <c r="BP9" i="12"/>
  <c r="BQ9" i="12"/>
  <c r="BR9" i="12"/>
  <c r="BS9" i="12"/>
  <c r="BT9" i="12"/>
  <c r="BU9" i="12"/>
  <c r="BV9" i="12"/>
  <c r="BW9" i="12"/>
  <c r="BX9" i="12"/>
  <c r="BY9" i="12"/>
  <c r="BZ9" i="12"/>
  <c r="CA9" i="12"/>
  <c r="CB9" i="12"/>
  <c r="CC9" i="12"/>
  <c r="CD9" i="12"/>
  <c r="CE9" i="12"/>
  <c r="CF9" i="12"/>
  <c r="CG9" i="12"/>
  <c r="CH9" i="12"/>
  <c r="CI9" i="12"/>
  <c r="CJ9" i="12"/>
  <c r="CK9" i="12"/>
  <c r="CL9" i="12"/>
  <c r="CM9" i="12"/>
  <c r="CN9" i="12"/>
  <c r="CO9" i="12"/>
  <c r="CP9" i="12"/>
  <c r="CQ9" i="12"/>
  <c r="CR9" i="12"/>
  <c r="CS9" i="12"/>
  <c r="CT9" i="12"/>
  <c r="CU9" i="12"/>
  <c r="CV9" i="12"/>
  <c r="CW9" i="12"/>
  <c r="CX9" i="12"/>
  <c r="CY9" i="12"/>
  <c r="CZ9" i="12"/>
  <c r="DA9" i="12"/>
  <c r="DB9" i="12"/>
  <c r="DC9" i="12"/>
  <c r="DD9" i="12"/>
  <c r="DE9" i="12"/>
  <c r="DF9" i="12"/>
  <c r="DG9" i="12"/>
  <c r="DH9" i="12"/>
  <c r="DI9" i="12"/>
  <c r="DJ9" i="12"/>
  <c r="DK9" i="12"/>
  <c r="DL9" i="12"/>
  <c r="DM9" i="12"/>
  <c r="DN9" i="12"/>
  <c r="DO9" i="12"/>
  <c r="DP9" i="12"/>
  <c r="DQ9" i="12"/>
  <c r="DR9" i="12"/>
  <c r="DS9" i="12"/>
  <c r="DT9" i="12"/>
  <c r="DU9" i="12"/>
  <c r="DV9" i="12"/>
  <c r="DW9" i="12"/>
  <c r="DX9" i="12"/>
  <c r="DY9" i="12"/>
  <c r="DZ9" i="12"/>
  <c r="EA9" i="12"/>
  <c r="EB9" i="12"/>
  <c r="EC9" i="12"/>
  <c r="ED9" i="12"/>
  <c r="EE9" i="12"/>
  <c r="EF9" i="12"/>
  <c r="EG9" i="12"/>
  <c r="EH9" i="12"/>
  <c r="EI9" i="12"/>
  <c r="EJ9" i="12"/>
  <c r="EK9" i="12"/>
  <c r="EL9" i="12"/>
  <c r="EM9" i="12"/>
  <c r="EN9" i="12"/>
  <c r="EO9" i="12"/>
  <c r="EP9" i="12"/>
  <c r="EQ9" i="12"/>
  <c r="ER9" i="12"/>
  <c r="ES9" i="12"/>
  <c r="ET9" i="12"/>
  <c r="EU9" i="12"/>
  <c r="EV9" i="12"/>
  <c r="EW9" i="12"/>
  <c r="EX9" i="12"/>
  <c r="EY9" i="12"/>
  <c r="EZ9" i="12"/>
  <c r="FA9" i="12"/>
  <c r="FB9" i="12"/>
  <c r="FC9" i="12"/>
  <c r="FD9" i="12"/>
  <c r="FE9" i="12"/>
  <c r="FF9" i="12"/>
  <c r="FG9" i="12"/>
  <c r="FH9" i="12"/>
  <c r="FI9" i="12"/>
  <c r="FJ9" i="12"/>
  <c r="FK9" i="12"/>
  <c r="FL9" i="12"/>
  <c r="FM9" i="12"/>
  <c r="FN9" i="12"/>
  <c r="FO9" i="12"/>
  <c r="FP9" i="12"/>
  <c r="FQ9" i="12"/>
  <c r="FR9" i="12"/>
  <c r="FS9" i="12"/>
  <c r="FT9" i="12"/>
  <c r="FU9" i="12"/>
  <c r="FV9" i="12"/>
  <c r="FW9" i="12"/>
  <c r="FX9" i="12"/>
  <c r="FY9" i="12"/>
  <c r="FZ9" i="12"/>
  <c r="GA9" i="12"/>
  <c r="GB9" i="12"/>
  <c r="GC9" i="12"/>
  <c r="GD9" i="12"/>
  <c r="GE9" i="12"/>
  <c r="GF9" i="12"/>
  <c r="GG9" i="12"/>
  <c r="GH9" i="12"/>
  <c r="GI9" i="12"/>
  <c r="GJ9" i="12"/>
  <c r="GK9" i="12"/>
  <c r="GL9" i="12"/>
  <c r="GM9" i="12"/>
  <c r="GN9" i="12"/>
  <c r="GO9" i="12"/>
  <c r="GP9" i="12"/>
  <c r="GQ9" i="12"/>
  <c r="GR9" i="12"/>
  <c r="GS9" i="12"/>
  <c r="GT9" i="12"/>
  <c r="GU9" i="12"/>
  <c r="GV9" i="12"/>
  <c r="GW9" i="12"/>
  <c r="GX9" i="12"/>
  <c r="GY9" i="12"/>
  <c r="GZ9" i="12"/>
  <c r="HA9" i="12"/>
  <c r="HB9" i="12"/>
  <c r="HC9" i="12"/>
  <c r="HD9" i="12"/>
  <c r="HE9" i="12"/>
  <c r="HF9" i="12"/>
  <c r="HG9" i="12"/>
  <c r="HH9" i="12"/>
  <c r="HI9" i="12"/>
  <c r="HJ9" i="12"/>
  <c r="HK9" i="12"/>
  <c r="HL9" i="12"/>
  <c r="HM9" i="12"/>
  <c r="HN9" i="12"/>
  <c r="HO9" i="12"/>
  <c r="HP9" i="12"/>
  <c r="HQ9" i="12"/>
  <c r="HR9" i="12"/>
  <c r="HS9" i="12"/>
  <c r="HT9" i="12"/>
  <c r="HU9" i="12"/>
  <c r="HV9" i="12"/>
  <c r="HW9" i="12"/>
  <c r="HX9" i="12"/>
  <c r="HY9" i="12"/>
  <c r="HZ9" i="12"/>
  <c r="IA9" i="12"/>
  <c r="IB9" i="12"/>
  <c r="IC9" i="12"/>
  <c r="ID9" i="12"/>
  <c r="IE9" i="12"/>
  <c r="IF9" i="12"/>
  <c r="IG9" i="12"/>
  <c r="IH9" i="12"/>
  <c r="II9" i="12"/>
  <c r="IJ9" i="12"/>
  <c r="IK9" i="12"/>
  <c r="IL9" i="12"/>
  <c r="IM9" i="12"/>
  <c r="IN9" i="12"/>
  <c r="IO9" i="12"/>
  <c r="IP9" i="12"/>
  <c r="IQ9" i="12"/>
  <c r="IR9" i="12"/>
  <c r="IS9" i="12"/>
  <c r="IT9" i="12"/>
  <c r="IU9" i="12"/>
  <c r="IV9" i="12"/>
  <c r="F10" i="12"/>
  <c r="G10" i="12"/>
  <c r="H10" i="12"/>
  <c r="I10" i="12"/>
  <c r="J10" i="12"/>
  <c r="K10" i="12"/>
  <c r="L10" i="12"/>
  <c r="M10" i="12"/>
  <c r="N10" i="12"/>
  <c r="O10" i="12"/>
  <c r="P10" i="12"/>
  <c r="Q10" i="12"/>
  <c r="R10" i="12"/>
  <c r="S10" i="12"/>
  <c r="T10" i="12"/>
  <c r="U10" i="12"/>
  <c r="V10" i="12"/>
  <c r="W10" i="12"/>
  <c r="X10" i="12"/>
  <c r="Y10" i="12"/>
  <c r="Z10" i="12"/>
  <c r="AA10" i="12"/>
  <c r="AB10" i="12"/>
  <c r="AC10" i="12"/>
  <c r="AD10" i="12"/>
  <c r="AE10" i="12"/>
  <c r="AF10" i="12"/>
  <c r="AG10" i="12"/>
  <c r="AH10" i="12"/>
  <c r="AI10" i="12"/>
  <c r="AJ10" i="12"/>
  <c r="AK10" i="12"/>
  <c r="AL10" i="12"/>
  <c r="AM10" i="12"/>
  <c r="AN10" i="12"/>
  <c r="AO10" i="12"/>
  <c r="AP10" i="12"/>
  <c r="AQ10" i="12"/>
  <c r="AR10" i="12"/>
  <c r="AS10" i="12"/>
  <c r="AT10" i="12"/>
  <c r="AU10" i="12"/>
  <c r="AV10" i="12"/>
  <c r="AW10" i="12"/>
  <c r="AX10" i="12"/>
  <c r="AY10" i="12"/>
  <c r="AZ10" i="12"/>
  <c r="BA10" i="12"/>
  <c r="BB10" i="12"/>
  <c r="BC10" i="12"/>
  <c r="BD10" i="12"/>
  <c r="BE10" i="12"/>
  <c r="BF10" i="12"/>
  <c r="BG10" i="12"/>
  <c r="BH10" i="12"/>
  <c r="BI10" i="12"/>
  <c r="BJ10" i="12"/>
  <c r="BK10" i="12"/>
  <c r="BL10" i="12"/>
  <c r="BM10" i="12"/>
  <c r="BN10" i="12"/>
  <c r="BO10" i="12"/>
  <c r="BP10" i="12"/>
  <c r="BQ10" i="12"/>
  <c r="BR10" i="12"/>
  <c r="BS10" i="12"/>
  <c r="BT10" i="12"/>
  <c r="BU10" i="12"/>
  <c r="BV10" i="12"/>
  <c r="BW10" i="12"/>
  <c r="BX10" i="12"/>
  <c r="BY10" i="12"/>
  <c r="BZ10" i="12"/>
  <c r="CA10" i="12"/>
  <c r="CB10" i="12"/>
  <c r="CC10" i="12"/>
  <c r="CD10" i="12"/>
  <c r="CE10" i="12"/>
  <c r="CF10" i="12"/>
  <c r="CG10" i="12"/>
  <c r="CH10" i="12"/>
  <c r="CI10" i="12"/>
  <c r="CJ10" i="12"/>
  <c r="CK10" i="12"/>
  <c r="CL10" i="12"/>
  <c r="CM10" i="12"/>
  <c r="CN10" i="12"/>
  <c r="CO10" i="12"/>
  <c r="CP10" i="12"/>
  <c r="CQ10" i="12"/>
  <c r="CR10" i="12"/>
  <c r="CS10" i="12"/>
  <c r="CT10" i="12"/>
  <c r="CU10" i="12"/>
  <c r="CV10" i="12"/>
  <c r="CW10" i="12"/>
  <c r="CX10" i="12"/>
  <c r="CY10" i="12"/>
  <c r="CZ10" i="12"/>
  <c r="DA10" i="12"/>
  <c r="DB10" i="12"/>
  <c r="DC10" i="12"/>
  <c r="DD10" i="12"/>
  <c r="DE10" i="12"/>
  <c r="DF10" i="12"/>
  <c r="DG10" i="12"/>
  <c r="DH10" i="12"/>
  <c r="DI10" i="12"/>
  <c r="DJ10" i="12"/>
  <c r="DK10" i="12"/>
  <c r="DL10" i="12"/>
  <c r="DM10" i="12"/>
  <c r="DN10" i="12"/>
  <c r="DO10" i="12"/>
  <c r="DP10" i="12"/>
  <c r="DQ10" i="12"/>
  <c r="DR10" i="12"/>
  <c r="DS10" i="12"/>
  <c r="DT10" i="12"/>
  <c r="DU10" i="12"/>
  <c r="DV10" i="12"/>
  <c r="DW10" i="12"/>
  <c r="DX10" i="12"/>
  <c r="DY10" i="12"/>
  <c r="DZ10" i="12"/>
  <c r="EA10" i="12"/>
  <c r="EB10" i="12"/>
  <c r="EC10" i="12"/>
  <c r="ED10" i="12"/>
  <c r="EE10" i="12"/>
  <c r="EF10" i="12"/>
  <c r="EG10" i="12"/>
  <c r="EH10" i="12"/>
  <c r="EI10" i="12"/>
  <c r="EJ10" i="12"/>
  <c r="EK10" i="12"/>
  <c r="EL10" i="12"/>
  <c r="EM10" i="12"/>
  <c r="EN10" i="12"/>
  <c r="EO10" i="12"/>
  <c r="EP10" i="12"/>
  <c r="EQ10" i="12"/>
  <c r="ER10" i="12"/>
  <c r="ES10" i="12"/>
  <c r="ET10" i="12"/>
  <c r="EU10" i="12"/>
  <c r="EV10" i="12"/>
  <c r="EW10" i="12"/>
  <c r="EX10" i="12"/>
  <c r="EY10" i="12"/>
  <c r="EZ10" i="12"/>
  <c r="FA10" i="12"/>
  <c r="FB10" i="12"/>
  <c r="FC10" i="12"/>
  <c r="FD10" i="12"/>
  <c r="FE10" i="12"/>
  <c r="FF10" i="12"/>
  <c r="FG10" i="12"/>
  <c r="FH10" i="12"/>
  <c r="FI10" i="12"/>
  <c r="FJ10" i="12"/>
  <c r="FK10" i="12"/>
  <c r="FL10" i="12"/>
  <c r="FM10" i="12"/>
  <c r="FN10" i="12"/>
  <c r="FO10" i="12"/>
  <c r="FP10" i="12"/>
  <c r="FQ10" i="12"/>
  <c r="FR10" i="12"/>
  <c r="FS10" i="12"/>
  <c r="FT10" i="12"/>
  <c r="FU10" i="12"/>
  <c r="FV10" i="12"/>
  <c r="FW10" i="12"/>
  <c r="FX10" i="12"/>
  <c r="FY10" i="12"/>
  <c r="FZ10" i="12"/>
  <c r="GA10" i="12"/>
  <c r="GB10" i="12"/>
  <c r="GC10" i="12"/>
  <c r="GD10" i="12"/>
  <c r="GE10" i="12"/>
  <c r="GF10" i="12"/>
  <c r="GG10" i="12"/>
  <c r="GH10" i="12"/>
  <c r="GI10" i="12"/>
  <c r="GJ10" i="12"/>
  <c r="GK10" i="12"/>
  <c r="GL10" i="12"/>
  <c r="GM10" i="12"/>
  <c r="GN10" i="12"/>
  <c r="GO10" i="12"/>
  <c r="GP10" i="12"/>
  <c r="GQ10" i="12"/>
  <c r="GR10" i="12"/>
  <c r="GS10" i="12"/>
  <c r="GT10" i="12"/>
  <c r="GU10" i="12"/>
  <c r="GV10" i="12"/>
  <c r="GW10" i="12"/>
  <c r="GX10" i="12"/>
  <c r="GY10" i="12"/>
  <c r="GZ10" i="12"/>
  <c r="HA10" i="12"/>
  <c r="HB10" i="12"/>
  <c r="HC10" i="12"/>
  <c r="HD10" i="12"/>
  <c r="HE10" i="12"/>
  <c r="HF10" i="12"/>
  <c r="HG10" i="12"/>
  <c r="HH10" i="12"/>
  <c r="HI10" i="12"/>
  <c r="HJ10" i="12"/>
  <c r="HK10" i="12"/>
  <c r="HL10" i="12"/>
  <c r="HM10" i="12"/>
  <c r="HN10" i="12"/>
  <c r="HO10" i="12"/>
  <c r="HP10" i="12"/>
  <c r="HQ10" i="12"/>
  <c r="HR10" i="12"/>
  <c r="HS10" i="12"/>
  <c r="HT10" i="12"/>
  <c r="HU10" i="12"/>
  <c r="HV10" i="12"/>
  <c r="HW10" i="12"/>
  <c r="HX10" i="12"/>
  <c r="HY10" i="12"/>
  <c r="HZ10" i="12"/>
  <c r="IA10" i="12"/>
  <c r="IB10" i="12"/>
  <c r="IC10" i="12"/>
  <c r="ID10" i="12"/>
  <c r="IE10" i="12"/>
  <c r="IF10" i="12"/>
  <c r="IG10" i="12"/>
  <c r="IH10" i="12"/>
  <c r="II10" i="12"/>
  <c r="IJ10" i="12"/>
  <c r="IK10" i="12"/>
  <c r="IL10" i="12"/>
  <c r="IM10" i="12"/>
  <c r="IN10" i="12"/>
  <c r="IO10" i="12"/>
  <c r="IP10" i="12"/>
  <c r="IQ10" i="12"/>
  <c r="IR10" i="12"/>
  <c r="IS10" i="12"/>
  <c r="IT10" i="12"/>
  <c r="IU10" i="12"/>
  <c r="IV10" i="12"/>
  <c r="F11" i="12"/>
  <c r="G11" i="12"/>
  <c r="H11" i="12"/>
  <c r="I11" i="12"/>
  <c r="J11" i="12"/>
  <c r="K11" i="12"/>
  <c r="L11" i="12"/>
  <c r="M11" i="12"/>
  <c r="N11" i="12"/>
  <c r="O11" i="12"/>
  <c r="P11" i="12"/>
  <c r="Q11" i="12"/>
  <c r="R11" i="12"/>
  <c r="S11" i="12"/>
  <c r="T11" i="12"/>
  <c r="U11" i="12"/>
  <c r="V11" i="12"/>
  <c r="W11" i="12"/>
  <c r="X11" i="12"/>
  <c r="Y11" i="12"/>
  <c r="Z11" i="12"/>
  <c r="AA11" i="12"/>
  <c r="AB11" i="12"/>
  <c r="AC11" i="12"/>
  <c r="AD11" i="12"/>
  <c r="AE11" i="12"/>
  <c r="AF11" i="12"/>
  <c r="AG11" i="12"/>
  <c r="AH11" i="12"/>
  <c r="AI11" i="12"/>
  <c r="AJ11" i="12"/>
  <c r="AK11" i="12"/>
  <c r="AL11" i="12"/>
  <c r="AM11" i="12"/>
  <c r="AN11" i="12"/>
  <c r="AO11" i="12"/>
  <c r="AP11" i="12"/>
  <c r="AQ11" i="12"/>
  <c r="AR11" i="12"/>
  <c r="AS11" i="12"/>
  <c r="AT11" i="12"/>
  <c r="AU11" i="12"/>
  <c r="AV11" i="12"/>
  <c r="AW11" i="12"/>
  <c r="AX11" i="12"/>
  <c r="AY11" i="12"/>
  <c r="AZ11" i="12"/>
  <c r="BA11" i="12"/>
  <c r="BB11" i="12"/>
  <c r="BC11" i="12"/>
  <c r="BD11" i="12"/>
  <c r="BE11" i="12"/>
  <c r="BF11" i="12"/>
  <c r="BG11" i="12"/>
  <c r="BH11" i="12"/>
  <c r="BI11" i="12"/>
  <c r="BJ11" i="12"/>
  <c r="BK11" i="12"/>
  <c r="BL11" i="12"/>
  <c r="BM11" i="12"/>
  <c r="BN11" i="12"/>
  <c r="BO11" i="12"/>
  <c r="BP11" i="12"/>
  <c r="BQ11" i="12"/>
  <c r="BR11" i="12"/>
  <c r="BS11" i="12"/>
  <c r="BT11" i="12"/>
  <c r="BU11" i="12"/>
  <c r="BV11" i="12"/>
  <c r="BW11" i="12"/>
  <c r="BX11" i="12"/>
  <c r="BY11" i="12"/>
  <c r="BZ11" i="12"/>
  <c r="CA11" i="12"/>
  <c r="CB11" i="12"/>
  <c r="CC11" i="12"/>
  <c r="CD11" i="12"/>
  <c r="CE11" i="12"/>
  <c r="CF11" i="12"/>
  <c r="CG11" i="12"/>
  <c r="CH11" i="12"/>
  <c r="CI11" i="12"/>
  <c r="CJ11" i="12"/>
  <c r="CK11" i="12"/>
  <c r="CL11" i="12"/>
  <c r="CM11" i="12"/>
  <c r="CN11" i="12"/>
  <c r="CO11" i="12"/>
  <c r="CP11" i="12"/>
  <c r="CQ11" i="12"/>
  <c r="CR11" i="12"/>
  <c r="CS11" i="12"/>
  <c r="CT11" i="12"/>
  <c r="CU11" i="12"/>
  <c r="CV11" i="12"/>
  <c r="CW11" i="12"/>
  <c r="CX11" i="12"/>
  <c r="CY11" i="12"/>
  <c r="CZ11" i="12"/>
  <c r="DA11" i="12"/>
  <c r="DB11" i="12"/>
  <c r="DC11" i="12"/>
  <c r="DD11" i="12"/>
  <c r="DE11" i="12"/>
  <c r="DF11" i="12"/>
  <c r="DG11" i="12"/>
  <c r="DH11" i="12"/>
  <c r="DI11" i="12"/>
  <c r="DJ11" i="12"/>
  <c r="DK11" i="12"/>
  <c r="DL11" i="12"/>
  <c r="DM11" i="12"/>
  <c r="DN11" i="12"/>
  <c r="DO11" i="12"/>
  <c r="DP11" i="12"/>
  <c r="DQ11" i="12"/>
  <c r="DR11" i="12"/>
  <c r="DS11" i="12"/>
  <c r="DT11" i="12"/>
  <c r="DU11" i="12"/>
  <c r="DV11" i="12"/>
  <c r="DW11" i="12"/>
  <c r="DX11" i="12"/>
  <c r="DY11" i="12"/>
  <c r="DZ11" i="12"/>
  <c r="EA11" i="12"/>
  <c r="EB11" i="12"/>
  <c r="EC11" i="12"/>
  <c r="ED11" i="12"/>
  <c r="EE11" i="12"/>
  <c r="EF11" i="12"/>
  <c r="EG11" i="12"/>
  <c r="EH11" i="12"/>
  <c r="EI11" i="12"/>
  <c r="EJ11" i="12"/>
  <c r="EK11" i="12"/>
  <c r="EL11" i="12"/>
  <c r="EM11" i="12"/>
  <c r="EN11" i="12"/>
  <c r="EO11" i="12"/>
  <c r="EP11" i="12"/>
  <c r="EQ11" i="12"/>
  <c r="ER11" i="12"/>
  <c r="ES11" i="12"/>
  <c r="ET11" i="12"/>
  <c r="EU11" i="12"/>
  <c r="EV11" i="12"/>
  <c r="EW11" i="12"/>
  <c r="EX11" i="12"/>
  <c r="EY11" i="12"/>
  <c r="EZ11" i="12"/>
  <c r="FA11" i="12"/>
  <c r="FB11" i="12"/>
  <c r="FC11" i="12"/>
  <c r="FD11" i="12"/>
  <c r="FE11" i="12"/>
  <c r="FF11" i="12"/>
  <c r="FG11" i="12"/>
  <c r="FH11" i="12"/>
  <c r="FI11" i="12"/>
  <c r="FJ11" i="12"/>
  <c r="FK11" i="12"/>
  <c r="FL11" i="12"/>
  <c r="FM11" i="12"/>
  <c r="FN11" i="12"/>
  <c r="FO11" i="12"/>
  <c r="FP11" i="12"/>
  <c r="FQ11" i="12"/>
  <c r="FR11" i="12"/>
  <c r="FS11" i="12"/>
  <c r="FT11" i="12"/>
  <c r="FU11" i="12"/>
  <c r="FV11" i="12"/>
  <c r="FW11" i="12"/>
  <c r="FX11" i="12"/>
  <c r="FY11" i="12"/>
  <c r="FZ11" i="12"/>
  <c r="GA11" i="12"/>
  <c r="GB11" i="12"/>
  <c r="GC11" i="12"/>
  <c r="GD11" i="12"/>
  <c r="GE11" i="12"/>
  <c r="GF11" i="12"/>
  <c r="GG11" i="12"/>
  <c r="GH11" i="12"/>
  <c r="GI11" i="12"/>
  <c r="GJ11" i="12"/>
  <c r="GK11" i="12"/>
  <c r="GL11" i="12"/>
  <c r="GM11" i="12"/>
  <c r="GN11" i="12"/>
  <c r="GO11" i="12"/>
  <c r="GP11" i="12"/>
  <c r="GQ11" i="12"/>
  <c r="GR11" i="12"/>
  <c r="GS11" i="12"/>
  <c r="GT11" i="12"/>
  <c r="GU11" i="12"/>
  <c r="GV11" i="12"/>
  <c r="GW11" i="12"/>
  <c r="GX11" i="12"/>
  <c r="GY11" i="12"/>
  <c r="GZ11" i="12"/>
  <c r="HA11" i="12"/>
  <c r="HB11" i="12"/>
  <c r="HC11" i="12"/>
  <c r="HD11" i="12"/>
  <c r="HE11" i="12"/>
  <c r="HF11" i="12"/>
  <c r="HG11" i="12"/>
  <c r="HH11" i="12"/>
  <c r="HI11" i="12"/>
  <c r="HJ11" i="12"/>
  <c r="HK11" i="12"/>
  <c r="HL11" i="12"/>
  <c r="HM11" i="12"/>
  <c r="HN11" i="12"/>
  <c r="HO11" i="12"/>
  <c r="HP11" i="12"/>
  <c r="HQ11" i="12"/>
  <c r="HR11" i="12"/>
  <c r="HS11" i="12"/>
  <c r="HT11" i="12"/>
  <c r="HU11" i="12"/>
  <c r="HV11" i="12"/>
  <c r="HW11" i="12"/>
  <c r="HX11" i="12"/>
  <c r="HY11" i="12"/>
  <c r="HZ11" i="12"/>
  <c r="IA11" i="12"/>
  <c r="IB11" i="12"/>
  <c r="IC11" i="12"/>
  <c r="ID11" i="12"/>
  <c r="IE11" i="12"/>
  <c r="IF11" i="12"/>
  <c r="IG11" i="12"/>
  <c r="IH11" i="12"/>
  <c r="II11" i="12"/>
  <c r="IJ11" i="12"/>
  <c r="IK11" i="12"/>
  <c r="IL11" i="12"/>
  <c r="IM11" i="12"/>
  <c r="IN11" i="12"/>
  <c r="IO11" i="12"/>
  <c r="IP11" i="12"/>
  <c r="IQ11" i="12"/>
  <c r="IR11" i="12"/>
  <c r="IS11" i="12"/>
  <c r="IT11" i="12"/>
  <c r="IU11" i="12"/>
  <c r="IV11" i="12"/>
  <c r="F12" i="12"/>
  <c r="G12" i="12"/>
  <c r="H12" i="12"/>
  <c r="I12" i="12"/>
  <c r="J12" i="12"/>
  <c r="K12" i="12"/>
  <c r="L12" i="12"/>
  <c r="M12" i="12"/>
  <c r="N12" i="12"/>
  <c r="O12" i="12"/>
  <c r="P12" i="12"/>
  <c r="Q12" i="12"/>
  <c r="R12" i="12"/>
  <c r="S12" i="12"/>
  <c r="T12" i="12"/>
  <c r="U12" i="12"/>
  <c r="V12" i="12"/>
  <c r="W12" i="12"/>
  <c r="X12" i="12"/>
  <c r="Y12" i="12"/>
  <c r="Z12" i="12"/>
  <c r="AA12" i="12"/>
  <c r="AB12" i="12"/>
  <c r="AC12" i="12"/>
  <c r="AD12" i="12"/>
  <c r="AE12" i="12"/>
  <c r="AF12" i="12"/>
  <c r="AG12" i="12"/>
  <c r="AH12" i="12"/>
  <c r="AI12" i="12"/>
  <c r="AJ12" i="12"/>
  <c r="AK12" i="12"/>
  <c r="AL12" i="12"/>
  <c r="AM12" i="12"/>
  <c r="AN12" i="12"/>
  <c r="AO12" i="12"/>
  <c r="AP12" i="12"/>
  <c r="AQ12" i="12"/>
  <c r="AR12" i="12"/>
  <c r="AS12" i="12"/>
  <c r="AT12" i="12"/>
  <c r="AU12" i="12"/>
  <c r="AV12" i="12"/>
  <c r="AW12" i="12"/>
  <c r="AX12" i="12"/>
  <c r="AY12" i="12"/>
  <c r="AZ12" i="12"/>
  <c r="BA12" i="12"/>
  <c r="BB12" i="12"/>
  <c r="BC12" i="12"/>
  <c r="BD12" i="12"/>
  <c r="BE12" i="12"/>
  <c r="BF12" i="12"/>
  <c r="BG12" i="12"/>
  <c r="BH12" i="12"/>
  <c r="BI12" i="12"/>
  <c r="BJ12" i="12"/>
  <c r="BK12" i="12"/>
  <c r="BL12" i="12"/>
  <c r="BM12" i="12"/>
  <c r="BN12" i="12"/>
  <c r="BO12" i="12"/>
  <c r="BP12" i="12"/>
  <c r="BQ12" i="12"/>
  <c r="BR12" i="12"/>
  <c r="BS12" i="12"/>
  <c r="BT12" i="12"/>
  <c r="BU12" i="12"/>
  <c r="BV12" i="12"/>
  <c r="BW12" i="12"/>
  <c r="BX12" i="12"/>
  <c r="BY12" i="12"/>
  <c r="BZ12" i="12"/>
  <c r="CA12" i="12"/>
  <c r="CB12" i="12"/>
  <c r="CC12" i="12"/>
  <c r="CD12" i="12"/>
  <c r="CE12" i="12"/>
  <c r="CF12" i="12"/>
  <c r="CG12" i="12"/>
  <c r="CH12" i="12"/>
  <c r="CI12" i="12"/>
  <c r="CJ12" i="12"/>
  <c r="CK12" i="12"/>
  <c r="CL12" i="12"/>
  <c r="CM12" i="12"/>
  <c r="CN12" i="12"/>
  <c r="CO12" i="12"/>
  <c r="CP12" i="12"/>
  <c r="CQ12" i="12"/>
  <c r="CR12" i="12"/>
  <c r="CS12" i="12"/>
  <c r="CT12" i="12"/>
  <c r="CU12" i="12"/>
  <c r="CV12" i="12"/>
  <c r="CW12" i="12"/>
  <c r="CX12" i="12"/>
  <c r="CY12" i="12"/>
  <c r="CZ12" i="12"/>
  <c r="DA12" i="12"/>
  <c r="DB12" i="12"/>
  <c r="DC12" i="12"/>
  <c r="DD12" i="12"/>
  <c r="DE12" i="12"/>
  <c r="DF12" i="12"/>
  <c r="DG12" i="12"/>
  <c r="DH12" i="12"/>
  <c r="DI12" i="12"/>
  <c r="DJ12" i="12"/>
  <c r="DK12" i="12"/>
  <c r="DL12" i="12"/>
  <c r="DM12" i="12"/>
  <c r="DN12" i="12"/>
  <c r="DO12" i="12"/>
  <c r="DP12" i="12"/>
  <c r="DQ12" i="12"/>
  <c r="DR12" i="12"/>
  <c r="DS12" i="12"/>
  <c r="DT12" i="12"/>
  <c r="DU12" i="12"/>
  <c r="DV12" i="12"/>
  <c r="DW12" i="12"/>
  <c r="DX12" i="12"/>
  <c r="DY12" i="12"/>
  <c r="DZ12" i="12"/>
  <c r="EA12" i="12"/>
  <c r="EB12" i="12"/>
  <c r="EC12" i="12"/>
  <c r="ED12" i="12"/>
  <c r="EE12" i="12"/>
  <c r="EF12" i="12"/>
  <c r="EG12" i="12"/>
  <c r="EH12" i="12"/>
  <c r="EI12" i="12"/>
  <c r="EJ12" i="12"/>
  <c r="EK12" i="12"/>
  <c r="EL12" i="12"/>
  <c r="EM12" i="12"/>
  <c r="EN12" i="12"/>
  <c r="EO12" i="12"/>
  <c r="EP12" i="12"/>
  <c r="EQ12" i="12"/>
  <c r="ER12" i="12"/>
  <c r="ES12" i="12"/>
  <c r="ET12" i="12"/>
  <c r="EU12" i="12"/>
  <c r="EV12" i="12"/>
  <c r="EW12" i="12"/>
  <c r="EX12" i="12"/>
  <c r="EY12" i="12"/>
  <c r="EZ12" i="12"/>
  <c r="FA12" i="12"/>
  <c r="FB12" i="12"/>
  <c r="FC12" i="12"/>
  <c r="FD12" i="12"/>
  <c r="FE12" i="12"/>
  <c r="FF12" i="12"/>
  <c r="FG12" i="12"/>
  <c r="FH12" i="12"/>
  <c r="FI12" i="12"/>
  <c r="FJ12" i="12"/>
  <c r="FK12" i="12"/>
  <c r="FL12" i="12"/>
  <c r="FM12" i="12"/>
  <c r="FN12" i="12"/>
  <c r="FO12" i="12"/>
  <c r="FP12" i="12"/>
  <c r="FQ12" i="12"/>
  <c r="FR12" i="12"/>
  <c r="FS12" i="12"/>
  <c r="FT12" i="12"/>
  <c r="FU12" i="12"/>
  <c r="FV12" i="12"/>
  <c r="FW12" i="12"/>
  <c r="FX12" i="12"/>
  <c r="FY12" i="12"/>
  <c r="FZ12" i="12"/>
  <c r="GA12" i="12"/>
  <c r="GB12" i="12"/>
  <c r="GC12" i="12"/>
  <c r="GD12" i="12"/>
  <c r="GE12" i="12"/>
  <c r="GF12" i="12"/>
  <c r="GG12" i="12"/>
  <c r="GH12" i="12"/>
  <c r="GI12" i="12"/>
  <c r="GJ12" i="12"/>
  <c r="GK12" i="12"/>
  <c r="GL12" i="12"/>
  <c r="GM12" i="12"/>
  <c r="GN12" i="12"/>
  <c r="GO12" i="12"/>
  <c r="GP12" i="12"/>
  <c r="GQ12" i="12"/>
  <c r="GR12" i="12"/>
  <c r="GS12" i="12"/>
  <c r="GT12" i="12"/>
  <c r="GU12" i="12"/>
  <c r="GV12" i="12"/>
  <c r="GW12" i="12"/>
  <c r="GX12" i="12"/>
  <c r="GY12" i="12"/>
  <c r="GZ12" i="12"/>
  <c r="HA12" i="12"/>
  <c r="HB12" i="12"/>
  <c r="HC12" i="12"/>
  <c r="HD12" i="12"/>
  <c r="HE12" i="12"/>
  <c r="HF12" i="12"/>
  <c r="HG12" i="12"/>
  <c r="HH12" i="12"/>
  <c r="HI12" i="12"/>
  <c r="HJ12" i="12"/>
  <c r="HK12" i="12"/>
  <c r="HL12" i="12"/>
  <c r="HM12" i="12"/>
  <c r="HN12" i="12"/>
  <c r="HO12" i="12"/>
  <c r="HP12" i="12"/>
  <c r="HQ12" i="12"/>
  <c r="HR12" i="12"/>
  <c r="HS12" i="12"/>
  <c r="HT12" i="12"/>
  <c r="HU12" i="12"/>
  <c r="HV12" i="12"/>
  <c r="HW12" i="12"/>
  <c r="HX12" i="12"/>
  <c r="HY12" i="12"/>
  <c r="HZ12" i="12"/>
  <c r="IA12" i="12"/>
  <c r="IB12" i="12"/>
  <c r="IC12" i="12"/>
  <c r="ID12" i="12"/>
  <c r="IE12" i="12"/>
  <c r="IF12" i="12"/>
  <c r="IG12" i="12"/>
  <c r="IH12" i="12"/>
  <c r="II12" i="12"/>
  <c r="IJ12" i="12"/>
  <c r="IK12" i="12"/>
  <c r="IL12" i="12"/>
  <c r="IM12" i="12"/>
  <c r="IN12" i="12"/>
  <c r="IO12" i="12"/>
  <c r="IP12" i="12"/>
  <c r="IQ12" i="12"/>
  <c r="IR12" i="12"/>
  <c r="IS12" i="12"/>
  <c r="IT12" i="12"/>
  <c r="IU12" i="12"/>
  <c r="IV12" i="12"/>
  <c r="F13" i="12"/>
  <c r="G13" i="12"/>
  <c r="H13" i="12"/>
  <c r="I13" i="12"/>
  <c r="J13" i="12"/>
  <c r="K13" i="12"/>
  <c r="L13" i="12"/>
  <c r="M13" i="12"/>
  <c r="N13" i="12"/>
  <c r="O13" i="12"/>
  <c r="P13" i="12"/>
  <c r="Q13" i="12"/>
  <c r="R13" i="12"/>
  <c r="S13" i="12"/>
  <c r="T13" i="12"/>
  <c r="U13" i="12"/>
  <c r="V13" i="12"/>
  <c r="W13" i="12"/>
  <c r="X13" i="12"/>
  <c r="Y13" i="12"/>
  <c r="Z13" i="12"/>
  <c r="AA13" i="12"/>
  <c r="AB13" i="12"/>
  <c r="AC13" i="12"/>
  <c r="AD13" i="12"/>
  <c r="AE13" i="12"/>
  <c r="AF13" i="12"/>
  <c r="AG13" i="12"/>
  <c r="AH13" i="12"/>
  <c r="AI13" i="12"/>
  <c r="AJ13" i="12"/>
  <c r="AK13" i="12"/>
  <c r="AL13" i="12"/>
  <c r="AM13" i="12"/>
  <c r="AN13" i="12"/>
  <c r="AO13" i="12"/>
  <c r="AP13" i="12"/>
  <c r="AQ13" i="12"/>
  <c r="AR13" i="12"/>
  <c r="AS13" i="12"/>
  <c r="AT13" i="12"/>
  <c r="AU13" i="12"/>
  <c r="AV13" i="12"/>
  <c r="AW13" i="12"/>
  <c r="AX13" i="12"/>
  <c r="AY13" i="12"/>
  <c r="AZ13" i="12"/>
  <c r="BA13" i="12"/>
  <c r="BB13" i="12"/>
  <c r="BC13" i="12"/>
  <c r="BD13" i="12"/>
  <c r="BE13" i="12"/>
  <c r="BF13" i="12"/>
  <c r="BG13" i="12"/>
  <c r="BH13" i="12"/>
  <c r="BI13" i="12"/>
  <c r="BJ13" i="12"/>
  <c r="BK13" i="12"/>
  <c r="BL13" i="12"/>
  <c r="BM13" i="12"/>
  <c r="BN13" i="12"/>
  <c r="BO13" i="12"/>
  <c r="BP13" i="12"/>
  <c r="BQ13" i="12"/>
  <c r="BR13" i="12"/>
  <c r="BS13" i="12"/>
  <c r="BT13" i="12"/>
  <c r="BU13" i="12"/>
  <c r="BV13" i="12"/>
  <c r="BW13" i="12"/>
  <c r="BX13" i="12"/>
  <c r="BY13" i="12"/>
  <c r="BZ13" i="12"/>
  <c r="CA13" i="12"/>
  <c r="CB13" i="12"/>
  <c r="CC13" i="12"/>
  <c r="CD13" i="12"/>
  <c r="CE13" i="12"/>
  <c r="CF13" i="12"/>
  <c r="CG13" i="12"/>
  <c r="CH13" i="12"/>
  <c r="CI13" i="12"/>
  <c r="CJ13" i="12"/>
  <c r="CK13" i="12"/>
  <c r="CL13" i="12"/>
  <c r="CM13" i="12"/>
  <c r="CN13" i="12"/>
  <c r="CO13" i="12"/>
  <c r="CP13" i="12"/>
  <c r="CQ13" i="12"/>
  <c r="CR13" i="12"/>
  <c r="CS13" i="12"/>
  <c r="CT13" i="12"/>
  <c r="CU13" i="12"/>
  <c r="CV13" i="12"/>
  <c r="CW13" i="12"/>
  <c r="CX13" i="12"/>
  <c r="CY13" i="12"/>
  <c r="CZ13" i="12"/>
  <c r="DA13" i="12"/>
  <c r="DB13" i="12"/>
  <c r="DC13" i="12"/>
  <c r="DD13" i="12"/>
  <c r="DE13" i="12"/>
  <c r="DF13" i="12"/>
  <c r="DG13" i="12"/>
  <c r="DH13" i="12"/>
  <c r="DI13" i="12"/>
  <c r="DJ13" i="12"/>
  <c r="DK13" i="12"/>
  <c r="DL13" i="12"/>
  <c r="DM13" i="12"/>
  <c r="DN13" i="12"/>
  <c r="DO13" i="12"/>
  <c r="DP13" i="12"/>
  <c r="DQ13" i="12"/>
  <c r="DR13" i="12"/>
  <c r="DS13" i="12"/>
  <c r="DT13" i="12"/>
  <c r="DU13" i="12"/>
  <c r="DV13" i="12"/>
  <c r="DW13" i="12"/>
  <c r="DX13" i="12"/>
  <c r="DY13" i="12"/>
  <c r="DZ13" i="12"/>
  <c r="EA13" i="12"/>
  <c r="EB13" i="12"/>
  <c r="EC13" i="12"/>
  <c r="ED13" i="12"/>
  <c r="EE13" i="12"/>
  <c r="EF13" i="12"/>
  <c r="EG13" i="12"/>
  <c r="EH13" i="12"/>
  <c r="EI13" i="12"/>
  <c r="EJ13" i="12"/>
  <c r="EK13" i="12"/>
  <c r="EL13" i="12"/>
  <c r="EM13" i="12"/>
  <c r="EN13" i="12"/>
  <c r="EO13" i="12"/>
  <c r="EP13" i="12"/>
  <c r="EQ13" i="12"/>
  <c r="ER13" i="12"/>
  <c r="ES13" i="12"/>
  <c r="ET13" i="12"/>
  <c r="EU13" i="12"/>
  <c r="EV13" i="12"/>
  <c r="EW13" i="12"/>
  <c r="EX13" i="12"/>
  <c r="EY13" i="12"/>
  <c r="EZ13" i="12"/>
  <c r="FA13" i="12"/>
  <c r="FB13" i="12"/>
  <c r="FC13" i="12"/>
  <c r="FD13" i="12"/>
  <c r="FE13" i="12"/>
  <c r="FF13" i="12"/>
  <c r="FG13" i="12"/>
  <c r="FH13" i="12"/>
  <c r="FI13" i="12"/>
  <c r="FJ13" i="12"/>
  <c r="FK13" i="12"/>
  <c r="FL13" i="12"/>
  <c r="FM13" i="12"/>
  <c r="FN13" i="12"/>
  <c r="FO13" i="12"/>
  <c r="FP13" i="12"/>
  <c r="FQ13" i="12"/>
  <c r="FR13" i="12"/>
  <c r="FS13" i="12"/>
  <c r="FT13" i="12"/>
  <c r="FU13" i="12"/>
  <c r="FV13" i="12"/>
  <c r="FW13" i="12"/>
  <c r="FX13" i="12"/>
  <c r="FY13" i="12"/>
  <c r="FZ13" i="12"/>
  <c r="GA13" i="12"/>
  <c r="GB13" i="12"/>
  <c r="GC13" i="12"/>
  <c r="GD13" i="12"/>
  <c r="GE13" i="12"/>
  <c r="GF13" i="12"/>
  <c r="GG13" i="12"/>
  <c r="GH13" i="12"/>
  <c r="GI13" i="12"/>
  <c r="GJ13" i="12"/>
  <c r="GK13" i="12"/>
  <c r="GL13" i="12"/>
  <c r="GM13" i="12"/>
  <c r="GN13" i="12"/>
  <c r="GO13" i="12"/>
  <c r="GP13" i="12"/>
  <c r="GQ13" i="12"/>
  <c r="GR13" i="12"/>
  <c r="GS13" i="12"/>
  <c r="GT13" i="12"/>
  <c r="GU13" i="12"/>
  <c r="GV13" i="12"/>
  <c r="GW13" i="12"/>
  <c r="GX13" i="12"/>
  <c r="GY13" i="12"/>
  <c r="GZ13" i="12"/>
  <c r="HA13" i="12"/>
  <c r="HB13" i="12"/>
  <c r="HC13" i="12"/>
  <c r="HD13" i="12"/>
  <c r="HE13" i="12"/>
  <c r="HF13" i="12"/>
  <c r="HG13" i="12"/>
  <c r="HH13" i="12"/>
  <c r="HI13" i="12"/>
  <c r="HJ13" i="12"/>
  <c r="HK13" i="12"/>
  <c r="HL13" i="12"/>
  <c r="HM13" i="12"/>
  <c r="HN13" i="12"/>
  <c r="HO13" i="12"/>
  <c r="HP13" i="12"/>
  <c r="HQ13" i="12"/>
  <c r="HR13" i="12"/>
  <c r="HS13" i="12"/>
  <c r="HT13" i="12"/>
  <c r="HU13" i="12"/>
  <c r="HV13" i="12"/>
  <c r="HW13" i="12"/>
  <c r="HX13" i="12"/>
  <c r="HY13" i="12"/>
  <c r="HZ13" i="12"/>
  <c r="IA13" i="12"/>
  <c r="IB13" i="12"/>
  <c r="IC13" i="12"/>
  <c r="ID13" i="12"/>
  <c r="IE13" i="12"/>
  <c r="IF13" i="12"/>
  <c r="IG13" i="12"/>
  <c r="IH13" i="12"/>
  <c r="II13" i="12"/>
  <c r="IJ13" i="12"/>
  <c r="IK13" i="12"/>
  <c r="IL13" i="12"/>
  <c r="IM13" i="12"/>
  <c r="IN13" i="12"/>
  <c r="IO13" i="12"/>
  <c r="IP13" i="12"/>
  <c r="IQ13" i="12"/>
  <c r="IR13" i="12"/>
  <c r="IS13" i="12"/>
  <c r="IT13" i="12"/>
  <c r="IU13" i="12"/>
  <c r="IV13" i="12"/>
  <c r="F14" i="12"/>
  <c r="G14" i="12"/>
  <c r="H14" i="12"/>
  <c r="I14" i="12"/>
  <c r="J14" i="12"/>
  <c r="K14" i="12"/>
  <c r="L14" i="12"/>
  <c r="M14" i="12"/>
  <c r="N14" i="12"/>
  <c r="O14" i="12"/>
  <c r="P14" i="12"/>
  <c r="Q14" i="12"/>
  <c r="R14" i="12"/>
  <c r="S14" i="12"/>
  <c r="T14" i="12"/>
  <c r="U14" i="12"/>
  <c r="V14" i="12"/>
  <c r="W14" i="12"/>
  <c r="X14" i="12"/>
  <c r="Y14" i="12"/>
  <c r="Z14" i="12"/>
  <c r="AA14" i="12"/>
  <c r="AB14" i="12"/>
  <c r="AC14" i="12"/>
  <c r="AD14" i="12"/>
  <c r="AE14" i="12"/>
  <c r="AF14" i="12"/>
  <c r="AG14" i="12"/>
  <c r="AH14" i="12"/>
  <c r="AI14" i="12"/>
  <c r="AJ14" i="12"/>
  <c r="AK14" i="12"/>
  <c r="AL14" i="12"/>
  <c r="AM14" i="12"/>
  <c r="AN14" i="12"/>
  <c r="AO14" i="12"/>
  <c r="AP14" i="12"/>
  <c r="AQ14" i="12"/>
  <c r="AR14" i="12"/>
  <c r="AS14" i="12"/>
  <c r="AT14" i="12"/>
  <c r="AU14" i="12"/>
  <c r="AV14" i="12"/>
  <c r="AW14" i="12"/>
  <c r="AX14" i="12"/>
  <c r="AY14" i="12"/>
  <c r="AZ14" i="12"/>
  <c r="BA14" i="12"/>
  <c r="BB14" i="12"/>
  <c r="BC14" i="12"/>
  <c r="BD14" i="12"/>
  <c r="BE14" i="12"/>
  <c r="BF14" i="12"/>
  <c r="BG14" i="12"/>
  <c r="BH14" i="12"/>
  <c r="BI14" i="12"/>
  <c r="BJ14" i="12"/>
  <c r="BK14" i="12"/>
  <c r="BL14" i="12"/>
  <c r="BM14" i="12"/>
  <c r="BN14" i="12"/>
  <c r="BO14" i="12"/>
  <c r="BP14" i="12"/>
  <c r="BQ14" i="12"/>
  <c r="BR14" i="12"/>
  <c r="BS14" i="12"/>
  <c r="BT14" i="12"/>
  <c r="BU14" i="12"/>
  <c r="BV14" i="12"/>
  <c r="BW14" i="12"/>
  <c r="BX14" i="12"/>
  <c r="BY14" i="12"/>
  <c r="BZ14" i="12"/>
  <c r="CA14" i="12"/>
  <c r="CB14" i="12"/>
  <c r="CC14" i="12"/>
  <c r="CD14" i="12"/>
  <c r="CE14" i="12"/>
  <c r="CF14" i="12"/>
  <c r="CG14" i="12"/>
  <c r="CH14" i="12"/>
  <c r="CI14" i="12"/>
  <c r="CJ14" i="12"/>
  <c r="CK14" i="12"/>
  <c r="CL14" i="12"/>
  <c r="CM14" i="12"/>
  <c r="CN14" i="12"/>
  <c r="CO14" i="12"/>
  <c r="CP14" i="12"/>
  <c r="CQ14" i="12"/>
  <c r="CR14" i="12"/>
  <c r="CS14" i="12"/>
  <c r="CT14" i="12"/>
  <c r="CU14" i="12"/>
  <c r="CV14" i="12"/>
  <c r="CW14" i="12"/>
  <c r="CX14" i="12"/>
  <c r="CY14" i="12"/>
  <c r="CZ14" i="12"/>
  <c r="DA14" i="12"/>
  <c r="DB14" i="12"/>
  <c r="DC14" i="12"/>
  <c r="DD14" i="12"/>
  <c r="DE14" i="12"/>
  <c r="DF14" i="12"/>
  <c r="DG14" i="12"/>
  <c r="DH14" i="12"/>
  <c r="DI14" i="12"/>
  <c r="DJ14" i="12"/>
  <c r="DK14" i="12"/>
  <c r="DL14" i="12"/>
  <c r="DM14" i="12"/>
  <c r="DN14" i="12"/>
  <c r="DO14" i="12"/>
  <c r="DP14" i="12"/>
  <c r="DQ14" i="12"/>
  <c r="DR14" i="12"/>
  <c r="DS14" i="12"/>
  <c r="DT14" i="12"/>
  <c r="DU14" i="12"/>
  <c r="DV14" i="12"/>
  <c r="DW14" i="12"/>
  <c r="DX14" i="12"/>
  <c r="DY14" i="12"/>
  <c r="DZ14" i="12"/>
  <c r="EA14" i="12"/>
  <c r="EB14" i="12"/>
  <c r="EC14" i="12"/>
  <c r="ED14" i="12"/>
  <c r="EE14" i="12"/>
  <c r="EF14" i="12"/>
  <c r="EG14" i="12"/>
  <c r="EH14" i="12"/>
  <c r="EI14" i="12"/>
  <c r="EJ14" i="12"/>
  <c r="EK14" i="12"/>
  <c r="EL14" i="12"/>
  <c r="EM14" i="12"/>
  <c r="EN14" i="12"/>
  <c r="EO14" i="12"/>
  <c r="EP14" i="12"/>
  <c r="EQ14" i="12"/>
  <c r="ER14" i="12"/>
  <c r="ES14" i="12"/>
  <c r="ET14" i="12"/>
  <c r="EU14" i="12"/>
  <c r="EV14" i="12"/>
  <c r="EW14" i="12"/>
  <c r="EX14" i="12"/>
  <c r="EY14" i="12"/>
  <c r="EZ14" i="12"/>
  <c r="FA14" i="12"/>
  <c r="FB14" i="12"/>
  <c r="FC14" i="12"/>
  <c r="FD14" i="12"/>
  <c r="FE14" i="12"/>
  <c r="FF14" i="12"/>
  <c r="FG14" i="12"/>
  <c r="FH14" i="12"/>
  <c r="FI14" i="12"/>
  <c r="FJ14" i="12"/>
  <c r="FK14" i="12"/>
  <c r="FL14" i="12"/>
  <c r="FM14" i="12"/>
  <c r="FN14" i="12"/>
  <c r="FO14" i="12"/>
  <c r="FP14" i="12"/>
  <c r="FQ14" i="12"/>
  <c r="FR14" i="12"/>
  <c r="FS14" i="12"/>
  <c r="FT14" i="12"/>
  <c r="FU14" i="12"/>
  <c r="FV14" i="12"/>
  <c r="FW14" i="12"/>
  <c r="FX14" i="12"/>
  <c r="FY14" i="12"/>
  <c r="FZ14" i="12"/>
  <c r="GA14" i="12"/>
  <c r="GB14" i="12"/>
  <c r="GC14" i="12"/>
  <c r="GD14" i="12"/>
  <c r="GE14" i="12"/>
  <c r="GF14" i="12"/>
  <c r="GG14" i="12"/>
  <c r="GH14" i="12"/>
  <c r="GI14" i="12"/>
  <c r="GJ14" i="12"/>
  <c r="GK14" i="12"/>
  <c r="GL14" i="12"/>
  <c r="GM14" i="12"/>
  <c r="GN14" i="12"/>
  <c r="GO14" i="12"/>
  <c r="GP14" i="12"/>
  <c r="GQ14" i="12"/>
  <c r="GR14" i="12"/>
  <c r="GS14" i="12"/>
  <c r="GT14" i="12"/>
  <c r="GU14" i="12"/>
  <c r="GV14" i="12"/>
  <c r="GW14" i="12"/>
  <c r="GX14" i="12"/>
  <c r="GY14" i="12"/>
  <c r="GZ14" i="12"/>
  <c r="HA14" i="12"/>
  <c r="HB14" i="12"/>
  <c r="HC14" i="12"/>
  <c r="HD14" i="12"/>
  <c r="HE14" i="12"/>
  <c r="HF14" i="12"/>
  <c r="HG14" i="12"/>
  <c r="HH14" i="12"/>
  <c r="HI14" i="12"/>
  <c r="HJ14" i="12"/>
  <c r="HK14" i="12"/>
  <c r="HL14" i="12"/>
  <c r="HM14" i="12"/>
  <c r="HN14" i="12"/>
  <c r="HO14" i="12"/>
  <c r="HP14" i="12"/>
  <c r="HQ14" i="12"/>
  <c r="HR14" i="12"/>
  <c r="HS14" i="12"/>
  <c r="HT14" i="12"/>
  <c r="HU14" i="12"/>
  <c r="HV14" i="12"/>
  <c r="HW14" i="12"/>
  <c r="HX14" i="12"/>
  <c r="HY14" i="12"/>
  <c r="HZ14" i="12"/>
  <c r="IA14" i="12"/>
  <c r="IB14" i="12"/>
  <c r="IC14" i="12"/>
  <c r="ID14" i="12"/>
  <c r="IE14" i="12"/>
  <c r="IF14" i="12"/>
  <c r="IG14" i="12"/>
  <c r="IH14" i="12"/>
  <c r="II14" i="12"/>
  <c r="IJ14" i="12"/>
  <c r="IK14" i="12"/>
  <c r="IL14" i="12"/>
  <c r="IM14" i="12"/>
  <c r="IN14" i="12"/>
  <c r="IO14" i="12"/>
  <c r="IP14" i="12"/>
  <c r="IQ14" i="12"/>
  <c r="IR14" i="12"/>
  <c r="IS14" i="12"/>
  <c r="IT14" i="12"/>
  <c r="IU14" i="12"/>
  <c r="IV14" i="12"/>
  <c r="F15" i="12"/>
  <c r="G15" i="12"/>
  <c r="H15" i="12"/>
  <c r="I15" i="12"/>
  <c r="J15" i="12"/>
  <c r="K15" i="12"/>
  <c r="L15" i="12"/>
  <c r="M15" i="12"/>
  <c r="N15" i="12"/>
  <c r="O15" i="12"/>
  <c r="P15" i="12"/>
  <c r="Q15" i="12"/>
  <c r="R15" i="12"/>
  <c r="S15" i="12"/>
  <c r="T15" i="12"/>
  <c r="U15" i="12"/>
  <c r="V15" i="12"/>
  <c r="W15" i="12"/>
  <c r="X15" i="12"/>
  <c r="Y15" i="12"/>
  <c r="Z15" i="12"/>
  <c r="AA15" i="12"/>
  <c r="AB15" i="12"/>
  <c r="AC15" i="12"/>
  <c r="AD15" i="12"/>
  <c r="AE15" i="12"/>
  <c r="AF15" i="12"/>
  <c r="AG15" i="12"/>
  <c r="AH15" i="12"/>
  <c r="AI15" i="12"/>
  <c r="AJ15" i="12"/>
  <c r="AK15" i="12"/>
  <c r="AL15" i="12"/>
  <c r="AM15" i="12"/>
  <c r="AN15" i="12"/>
  <c r="AO15" i="12"/>
  <c r="AP15" i="12"/>
  <c r="AQ15" i="12"/>
  <c r="AR15" i="12"/>
  <c r="AS15" i="12"/>
  <c r="AT15" i="12"/>
  <c r="AU15" i="12"/>
  <c r="AV15" i="12"/>
  <c r="AW15" i="12"/>
  <c r="AX15" i="12"/>
  <c r="AY15" i="12"/>
  <c r="AZ15" i="12"/>
  <c r="BA15" i="12"/>
  <c r="BB15" i="12"/>
  <c r="BC15" i="12"/>
  <c r="BD15" i="12"/>
  <c r="BE15" i="12"/>
  <c r="BF15" i="12"/>
  <c r="BG15" i="12"/>
  <c r="BH15" i="12"/>
  <c r="BI15" i="12"/>
  <c r="BJ15" i="12"/>
  <c r="BK15" i="12"/>
  <c r="BL15" i="12"/>
  <c r="BM15" i="12"/>
  <c r="BN15" i="12"/>
  <c r="BO15" i="12"/>
  <c r="BP15" i="12"/>
  <c r="BQ15" i="12"/>
  <c r="BR15" i="12"/>
  <c r="BS15" i="12"/>
  <c r="BT15" i="12"/>
  <c r="BU15" i="12"/>
  <c r="BV15" i="12"/>
  <c r="BW15" i="12"/>
  <c r="BX15" i="12"/>
  <c r="BY15" i="12"/>
  <c r="BZ15" i="12"/>
  <c r="CA15" i="12"/>
  <c r="CB15" i="12"/>
  <c r="CC15" i="12"/>
  <c r="CD15" i="12"/>
  <c r="CE15" i="12"/>
  <c r="CF15" i="12"/>
  <c r="CG15" i="12"/>
  <c r="CH15" i="12"/>
  <c r="CI15" i="12"/>
  <c r="CJ15" i="12"/>
  <c r="CK15" i="12"/>
  <c r="CL15" i="12"/>
  <c r="CM15" i="12"/>
  <c r="CN15" i="12"/>
  <c r="CO15" i="12"/>
  <c r="CP15" i="12"/>
  <c r="CQ15" i="12"/>
  <c r="CR15" i="12"/>
  <c r="CS15" i="12"/>
  <c r="CT15" i="12"/>
  <c r="CU15" i="12"/>
  <c r="CV15" i="12"/>
  <c r="CW15" i="12"/>
  <c r="CX15" i="12"/>
  <c r="CY15" i="12"/>
  <c r="CZ15" i="12"/>
  <c r="DA15" i="12"/>
  <c r="DB15" i="12"/>
  <c r="DC15" i="12"/>
  <c r="DD15" i="12"/>
  <c r="DE15" i="12"/>
  <c r="DF15" i="12"/>
  <c r="DG15" i="12"/>
  <c r="DH15" i="12"/>
  <c r="DI15" i="12"/>
  <c r="DJ15" i="12"/>
  <c r="DK15" i="12"/>
  <c r="DL15" i="12"/>
  <c r="DM15" i="12"/>
  <c r="DN15" i="12"/>
  <c r="DO15" i="12"/>
  <c r="DP15" i="12"/>
  <c r="DQ15" i="12"/>
  <c r="DR15" i="12"/>
  <c r="DS15" i="12"/>
  <c r="DT15" i="12"/>
  <c r="DU15" i="12"/>
  <c r="DV15" i="12"/>
  <c r="DW15" i="12"/>
  <c r="DX15" i="12"/>
  <c r="DY15" i="12"/>
  <c r="DZ15" i="12"/>
  <c r="EA15" i="12"/>
  <c r="EB15" i="12"/>
  <c r="EC15" i="12"/>
  <c r="ED15" i="12"/>
  <c r="EE15" i="12"/>
  <c r="EF15" i="12"/>
  <c r="EG15" i="12"/>
  <c r="EH15" i="12"/>
  <c r="EI15" i="12"/>
  <c r="EJ15" i="12"/>
  <c r="EK15" i="12"/>
  <c r="EL15" i="12"/>
  <c r="EM15" i="12"/>
  <c r="EN15" i="12"/>
  <c r="EO15" i="12"/>
  <c r="EP15" i="12"/>
  <c r="EQ15" i="12"/>
  <c r="ER15" i="12"/>
  <c r="ES15" i="12"/>
  <c r="ET15" i="12"/>
  <c r="EU15" i="12"/>
  <c r="EV15" i="12"/>
  <c r="EW15" i="12"/>
  <c r="EX15" i="12"/>
  <c r="EY15" i="12"/>
  <c r="EZ15" i="12"/>
  <c r="FA15" i="12"/>
  <c r="FB15" i="12"/>
  <c r="FC15" i="12"/>
  <c r="FD15" i="12"/>
  <c r="FE15" i="12"/>
  <c r="FF15" i="12"/>
  <c r="FG15" i="12"/>
  <c r="FH15" i="12"/>
  <c r="FI15" i="12"/>
  <c r="FJ15" i="12"/>
  <c r="FK15" i="12"/>
  <c r="FL15" i="12"/>
  <c r="FM15" i="12"/>
  <c r="FN15" i="12"/>
  <c r="FO15" i="12"/>
  <c r="FP15" i="12"/>
  <c r="FQ15" i="12"/>
  <c r="FR15" i="12"/>
  <c r="FS15" i="12"/>
  <c r="FT15" i="12"/>
  <c r="FU15" i="12"/>
  <c r="FV15" i="12"/>
  <c r="FW15" i="12"/>
  <c r="FX15" i="12"/>
  <c r="FY15" i="12"/>
  <c r="FZ15" i="12"/>
  <c r="GA15" i="12"/>
  <c r="GB15" i="12"/>
  <c r="GC15" i="12"/>
  <c r="GD15" i="12"/>
  <c r="GE15" i="12"/>
  <c r="GF15" i="12"/>
  <c r="GG15" i="12"/>
  <c r="GH15" i="12"/>
  <c r="GI15" i="12"/>
  <c r="GJ15" i="12"/>
  <c r="GK15" i="12"/>
  <c r="GL15" i="12"/>
  <c r="GM15" i="12"/>
  <c r="GN15" i="12"/>
  <c r="GO15" i="12"/>
  <c r="GP15" i="12"/>
  <c r="GQ15" i="12"/>
  <c r="GR15" i="12"/>
  <c r="GS15" i="12"/>
  <c r="GT15" i="12"/>
  <c r="GU15" i="12"/>
  <c r="GV15" i="12"/>
  <c r="GW15" i="12"/>
  <c r="GX15" i="12"/>
  <c r="GY15" i="12"/>
  <c r="GZ15" i="12"/>
  <c r="HA15" i="12"/>
  <c r="HB15" i="12"/>
  <c r="HC15" i="12"/>
  <c r="HD15" i="12"/>
  <c r="HE15" i="12"/>
  <c r="HF15" i="12"/>
  <c r="HG15" i="12"/>
  <c r="HH15" i="12"/>
  <c r="HI15" i="12"/>
  <c r="HJ15" i="12"/>
  <c r="HK15" i="12"/>
  <c r="HL15" i="12"/>
  <c r="HM15" i="12"/>
  <c r="HN15" i="12"/>
  <c r="HO15" i="12"/>
  <c r="HP15" i="12"/>
  <c r="HQ15" i="12"/>
  <c r="HR15" i="12"/>
  <c r="HS15" i="12"/>
  <c r="HT15" i="12"/>
  <c r="HU15" i="12"/>
  <c r="HV15" i="12"/>
  <c r="HW15" i="12"/>
  <c r="HX15" i="12"/>
  <c r="HY15" i="12"/>
  <c r="HZ15" i="12"/>
  <c r="IA15" i="12"/>
  <c r="IB15" i="12"/>
  <c r="IC15" i="12"/>
  <c r="ID15" i="12"/>
  <c r="IE15" i="12"/>
  <c r="IF15" i="12"/>
  <c r="IG15" i="12"/>
  <c r="IH15" i="12"/>
  <c r="II15" i="12"/>
  <c r="IJ15" i="12"/>
  <c r="IK15" i="12"/>
  <c r="IL15" i="12"/>
  <c r="IM15" i="12"/>
  <c r="IN15" i="12"/>
  <c r="IO15" i="12"/>
  <c r="IP15" i="12"/>
  <c r="IQ15" i="12"/>
  <c r="IR15" i="12"/>
  <c r="IS15" i="12"/>
  <c r="IT15" i="12"/>
  <c r="IU15" i="12"/>
  <c r="IV15" i="12"/>
  <c r="F16" i="12"/>
  <c r="G16" i="12"/>
  <c r="H16" i="12"/>
  <c r="I16" i="12"/>
  <c r="J16" i="12"/>
  <c r="K16" i="12"/>
  <c r="L16" i="12"/>
  <c r="M16" i="12"/>
  <c r="N16" i="12"/>
  <c r="O16" i="12"/>
  <c r="P16" i="12"/>
  <c r="Q16" i="12"/>
  <c r="R16" i="12"/>
  <c r="S16" i="12"/>
  <c r="T16" i="12"/>
  <c r="U16" i="12"/>
  <c r="V16" i="12"/>
  <c r="W16" i="12"/>
  <c r="X16" i="12"/>
  <c r="Y16" i="12"/>
  <c r="Z16" i="12"/>
  <c r="AA16" i="12"/>
  <c r="AB16" i="12"/>
  <c r="AC16" i="12"/>
  <c r="AD16" i="12"/>
  <c r="AE16" i="12"/>
  <c r="AF16" i="12"/>
  <c r="AG16" i="12"/>
  <c r="AH16" i="12"/>
  <c r="AI16" i="12"/>
  <c r="AJ16" i="12"/>
  <c r="AK16" i="12"/>
  <c r="AL16" i="12"/>
  <c r="AM16" i="12"/>
  <c r="AN16" i="12"/>
  <c r="AO16" i="12"/>
  <c r="AP16" i="12"/>
  <c r="AQ16" i="12"/>
  <c r="AR16" i="12"/>
  <c r="AS16" i="12"/>
  <c r="AT16" i="12"/>
  <c r="AU16" i="12"/>
  <c r="AV16" i="12"/>
  <c r="AW16" i="12"/>
  <c r="AX16" i="12"/>
  <c r="AY16" i="12"/>
  <c r="AZ16" i="12"/>
  <c r="BA16" i="12"/>
  <c r="BB16" i="12"/>
  <c r="BC16" i="12"/>
  <c r="BD16" i="12"/>
  <c r="BE16" i="12"/>
  <c r="BF16" i="12"/>
  <c r="BG16" i="12"/>
  <c r="BH16" i="12"/>
  <c r="BI16" i="12"/>
  <c r="BJ16" i="12"/>
  <c r="BK16" i="12"/>
  <c r="BL16" i="12"/>
  <c r="BM16" i="12"/>
  <c r="BN16" i="12"/>
  <c r="BO16" i="12"/>
  <c r="BP16" i="12"/>
  <c r="BQ16" i="12"/>
  <c r="BR16" i="12"/>
  <c r="BS16" i="12"/>
  <c r="BT16" i="12"/>
  <c r="BU16" i="12"/>
  <c r="BV16" i="12"/>
  <c r="BW16" i="12"/>
  <c r="BX16" i="12"/>
  <c r="BY16" i="12"/>
  <c r="BZ16" i="12"/>
  <c r="CA16" i="12"/>
  <c r="CB16" i="12"/>
  <c r="CC16" i="12"/>
  <c r="CD16" i="12"/>
  <c r="CE16" i="12"/>
  <c r="CF16" i="12"/>
  <c r="CG16" i="12"/>
  <c r="CH16" i="12"/>
  <c r="CI16" i="12"/>
  <c r="CJ16" i="12"/>
  <c r="CK16" i="12"/>
  <c r="CL16" i="12"/>
  <c r="CM16" i="12"/>
  <c r="CN16" i="12"/>
  <c r="CO16" i="12"/>
  <c r="CP16" i="12"/>
  <c r="CQ16" i="12"/>
  <c r="CR16" i="12"/>
  <c r="CS16" i="12"/>
  <c r="CT16" i="12"/>
  <c r="CU16" i="12"/>
  <c r="CV16" i="12"/>
  <c r="CW16" i="12"/>
  <c r="CX16" i="12"/>
  <c r="CY16" i="12"/>
  <c r="CZ16" i="12"/>
  <c r="DA16" i="12"/>
  <c r="DB16" i="12"/>
  <c r="DC16" i="12"/>
  <c r="DD16" i="12"/>
  <c r="DE16" i="12"/>
  <c r="DF16" i="12"/>
  <c r="DG16" i="12"/>
  <c r="DH16" i="12"/>
  <c r="DI16" i="12"/>
  <c r="DJ16" i="12"/>
  <c r="DK16" i="12"/>
  <c r="DL16" i="12"/>
  <c r="DM16" i="12"/>
  <c r="DN16" i="12"/>
  <c r="DO16" i="12"/>
  <c r="DP16" i="12"/>
  <c r="DQ16" i="12"/>
  <c r="DR16" i="12"/>
  <c r="DS16" i="12"/>
  <c r="DT16" i="12"/>
  <c r="DU16" i="12"/>
  <c r="DV16" i="12"/>
  <c r="DW16" i="12"/>
  <c r="DX16" i="12"/>
  <c r="DY16" i="12"/>
  <c r="DZ16" i="12"/>
  <c r="EA16" i="12"/>
  <c r="EB16" i="12"/>
  <c r="EC16" i="12"/>
  <c r="ED16" i="12"/>
  <c r="EE16" i="12"/>
  <c r="EF16" i="12"/>
  <c r="EG16" i="12"/>
  <c r="EH16" i="12"/>
  <c r="EI16" i="12"/>
  <c r="EJ16" i="12"/>
  <c r="EK16" i="12"/>
  <c r="EL16" i="12"/>
  <c r="EM16" i="12"/>
  <c r="EN16" i="12"/>
  <c r="EO16" i="12"/>
  <c r="EP16" i="12"/>
  <c r="EQ16" i="12"/>
  <c r="ER16" i="12"/>
  <c r="ES16" i="12"/>
  <c r="ET16" i="12"/>
  <c r="EU16" i="12"/>
  <c r="EV16" i="12"/>
  <c r="EW16" i="12"/>
  <c r="EX16" i="12"/>
  <c r="EY16" i="12"/>
  <c r="EZ16" i="12"/>
  <c r="FA16" i="12"/>
  <c r="FB16" i="12"/>
  <c r="FC16" i="12"/>
  <c r="FD16" i="12"/>
  <c r="FE16" i="12"/>
  <c r="FF16" i="12"/>
  <c r="FG16" i="12"/>
  <c r="FH16" i="12"/>
  <c r="FI16" i="12"/>
  <c r="FJ16" i="12"/>
  <c r="FK16" i="12"/>
  <c r="FL16" i="12"/>
  <c r="FM16" i="12"/>
  <c r="FN16" i="12"/>
  <c r="FO16" i="12"/>
  <c r="FP16" i="12"/>
  <c r="FQ16" i="12"/>
  <c r="FR16" i="12"/>
  <c r="FS16" i="12"/>
  <c r="FT16" i="12"/>
  <c r="FU16" i="12"/>
  <c r="FV16" i="12"/>
  <c r="FW16" i="12"/>
  <c r="FX16" i="12"/>
  <c r="FY16" i="12"/>
  <c r="FZ16" i="12"/>
  <c r="GA16" i="12"/>
  <c r="GB16" i="12"/>
  <c r="GC16" i="12"/>
  <c r="GD16" i="12"/>
  <c r="GE16" i="12"/>
  <c r="GF16" i="12"/>
  <c r="GG16" i="12"/>
  <c r="GH16" i="12"/>
  <c r="GI16" i="12"/>
  <c r="GJ16" i="12"/>
  <c r="GK16" i="12"/>
  <c r="GL16" i="12"/>
  <c r="GM16" i="12"/>
  <c r="GN16" i="12"/>
  <c r="GO16" i="12"/>
  <c r="GP16" i="12"/>
  <c r="GQ16" i="12"/>
  <c r="GR16" i="12"/>
  <c r="GS16" i="12"/>
  <c r="GT16" i="12"/>
  <c r="GU16" i="12"/>
  <c r="GV16" i="12"/>
  <c r="GW16" i="12"/>
  <c r="GX16" i="12"/>
  <c r="GY16" i="12"/>
  <c r="GZ16" i="12"/>
  <c r="HA16" i="12"/>
  <c r="HB16" i="12"/>
  <c r="HC16" i="12"/>
  <c r="HD16" i="12"/>
  <c r="HE16" i="12"/>
  <c r="HF16" i="12"/>
  <c r="HG16" i="12"/>
  <c r="HH16" i="12"/>
  <c r="HI16" i="12"/>
  <c r="HJ16" i="12"/>
  <c r="HK16" i="12"/>
  <c r="HL16" i="12"/>
  <c r="HM16" i="12"/>
  <c r="HN16" i="12"/>
  <c r="HO16" i="12"/>
  <c r="HP16" i="12"/>
  <c r="HQ16" i="12"/>
  <c r="HR16" i="12"/>
  <c r="HS16" i="12"/>
  <c r="HT16" i="12"/>
  <c r="HU16" i="12"/>
  <c r="HV16" i="12"/>
  <c r="HW16" i="12"/>
  <c r="HX16" i="12"/>
  <c r="HY16" i="12"/>
  <c r="HZ16" i="12"/>
  <c r="IA16" i="12"/>
  <c r="IB16" i="12"/>
  <c r="IC16" i="12"/>
  <c r="ID16" i="12"/>
  <c r="IE16" i="12"/>
  <c r="IF16" i="12"/>
  <c r="IG16" i="12"/>
  <c r="IH16" i="12"/>
  <c r="II16" i="12"/>
  <c r="IJ16" i="12"/>
  <c r="IK16" i="12"/>
  <c r="IL16" i="12"/>
  <c r="IM16" i="12"/>
  <c r="IN16" i="12"/>
  <c r="IO16" i="12"/>
  <c r="IP16" i="12"/>
  <c r="IQ16" i="12"/>
  <c r="IR16" i="12"/>
  <c r="IS16" i="12"/>
  <c r="IT16" i="12"/>
  <c r="IU16" i="12"/>
  <c r="IV16" i="12"/>
  <c r="F17" i="12"/>
  <c r="G17" i="12"/>
  <c r="H17" i="12"/>
  <c r="I17" i="12"/>
  <c r="J17" i="12"/>
  <c r="K17" i="12"/>
  <c r="L17" i="12"/>
  <c r="M17" i="12"/>
  <c r="N17" i="12"/>
  <c r="O17" i="12"/>
  <c r="P17" i="12"/>
  <c r="Q17" i="12"/>
  <c r="R17" i="12"/>
  <c r="S17" i="12"/>
  <c r="T17" i="12"/>
  <c r="U17" i="12"/>
  <c r="V17" i="12"/>
  <c r="W17" i="12"/>
  <c r="X17" i="12"/>
  <c r="Y17" i="12"/>
  <c r="Z17" i="12"/>
  <c r="AA17" i="12"/>
  <c r="AB17" i="12"/>
  <c r="AC17" i="12"/>
  <c r="AD17" i="12"/>
  <c r="AE17" i="12"/>
  <c r="AF17" i="12"/>
  <c r="AG17" i="12"/>
  <c r="AH17" i="12"/>
  <c r="AI17" i="12"/>
  <c r="AJ17" i="12"/>
  <c r="AK17" i="12"/>
  <c r="AL17" i="12"/>
  <c r="AM17" i="12"/>
  <c r="AN17" i="12"/>
  <c r="AO17" i="12"/>
  <c r="AP17" i="12"/>
  <c r="AQ17" i="12"/>
  <c r="AR17" i="12"/>
  <c r="AS17" i="12"/>
  <c r="AT17" i="12"/>
  <c r="AU17" i="12"/>
  <c r="AV17" i="12"/>
  <c r="AW17" i="12"/>
  <c r="AX17" i="12"/>
  <c r="AY17" i="12"/>
  <c r="AZ17" i="12"/>
  <c r="BA17" i="12"/>
  <c r="BB17" i="12"/>
  <c r="BC17" i="12"/>
  <c r="BD17" i="12"/>
  <c r="BE17" i="12"/>
  <c r="BF17" i="12"/>
  <c r="BG17" i="12"/>
  <c r="BH17" i="12"/>
  <c r="BI17" i="12"/>
  <c r="BJ17" i="12"/>
  <c r="BK17" i="12"/>
  <c r="BL17" i="12"/>
  <c r="BM17" i="12"/>
  <c r="BN17" i="12"/>
  <c r="BO17" i="12"/>
  <c r="BP17" i="12"/>
  <c r="BQ17" i="12"/>
  <c r="BR17" i="12"/>
  <c r="BS17" i="12"/>
  <c r="BT17" i="12"/>
  <c r="BU17" i="12"/>
  <c r="BV17" i="12"/>
  <c r="BW17" i="12"/>
  <c r="BX17" i="12"/>
  <c r="BY17" i="12"/>
  <c r="BZ17" i="12"/>
  <c r="CA17" i="12"/>
  <c r="CB17" i="12"/>
  <c r="CC17" i="12"/>
  <c r="CD17" i="12"/>
  <c r="CE17" i="12"/>
  <c r="CF17" i="12"/>
  <c r="CG17" i="12"/>
  <c r="CH17" i="12"/>
  <c r="CI17" i="12"/>
  <c r="CJ17" i="12"/>
  <c r="CK17" i="12"/>
  <c r="CL17" i="12"/>
  <c r="CM17" i="12"/>
  <c r="CN17" i="12"/>
  <c r="CO17" i="12"/>
  <c r="CP17" i="12"/>
  <c r="CQ17" i="12"/>
  <c r="CR17" i="12"/>
  <c r="CS17" i="12"/>
  <c r="CT17" i="12"/>
  <c r="CU17" i="12"/>
  <c r="CV17" i="12"/>
  <c r="CW17" i="12"/>
  <c r="CX17" i="12"/>
  <c r="CY17" i="12"/>
  <c r="CZ17" i="12"/>
  <c r="DA17" i="12"/>
  <c r="DB17" i="12"/>
  <c r="DC17" i="12"/>
  <c r="DD17" i="12"/>
  <c r="DE17" i="12"/>
  <c r="DF17" i="12"/>
  <c r="DG17" i="12"/>
  <c r="DH17" i="12"/>
  <c r="DI17" i="12"/>
  <c r="DJ17" i="12"/>
  <c r="DK17" i="12"/>
  <c r="DL17" i="12"/>
  <c r="DM17" i="12"/>
  <c r="DN17" i="12"/>
  <c r="DO17" i="12"/>
  <c r="DP17" i="12"/>
  <c r="DQ17" i="12"/>
  <c r="DR17" i="12"/>
  <c r="DS17" i="12"/>
  <c r="DT17" i="12"/>
  <c r="DU17" i="12"/>
  <c r="DV17" i="12"/>
  <c r="DW17" i="12"/>
  <c r="DX17" i="12"/>
  <c r="DY17" i="12"/>
  <c r="DZ17" i="12"/>
  <c r="EA17" i="12"/>
  <c r="EB17" i="12"/>
  <c r="EC17" i="12"/>
  <c r="ED17" i="12"/>
  <c r="EE17" i="12"/>
  <c r="EF17" i="12"/>
  <c r="EG17" i="12"/>
  <c r="EH17" i="12"/>
  <c r="EI17" i="12"/>
  <c r="EJ17" i="12"/>
  <c r="EK17" i="12"/>
  <c r="EL17" i="12"/>
  <c r="EM17" i="12"/>
  <c r="EN17" i="12"/>
  <c r="EO17" i="12"/>
  <c r="EP17" i="12"/>
  <c r="EQ17" i="12"/>
  <c r="ER17" i="12"/>
  <c r="ES17" i="12"/>
  <c r="ET17" i="12"/>
  <c r="EU17" i="12"/>
  <c r="EV17" i="12"/>
  <c r="EW17" i="12"/>
  <c r="EX17" i="12"/>
  <c r="EY17" i="12"/>
  <c r="EZ17" i="12"/>
  <c r="FA17" i="12"/>
  <c r="FB17" i="12"/>
  <c r="FC17" i="12"/>
  <c r="FD17" i="12"/>
  <c r="FE17" i="12"/>
  <c r="FF17" i="12"/>
  <c r="FG17" i="12"/>
  <c r="FH17" i="12"/>
  <c r="FI17" i="12"/>
  <c r="FJ17" i="12"/>
  <c r="FK17" i="12"/>
  <c r="FL17" i="12"/>
  <c r="FM17" i="12"/>
  <c r="FN17" i="12"/>
  <c r="FO17" i="12"/>
  <c r="FP17" i="12"/>
  <c r="FQ17" i="12"/>
  <c r="FR17" i="12"/>
  <c r="FS17" i="12"/>
  <c r="FT17" i="12"/>
  <c r="FU17" i="12"/>
  <c r="FV17" i="12"/>
  <c r="FW17" i="12"/>
  <c r="FX17" i="12"/>
  <c r="FY17" i="12"/>
  <c r="FZ17" i="12"/>
  <c r="GA17" i="12"/>
  <c r="GB17" i="12"/>
  <c r="GC17" i="12"/>
  <c r="GD17" i="12"/>
  <c r="GE17" i="12"/>
  <c r="GF17" i="12"/>
  <c r="GG17" i="12"/>
  <c r="GH17" i="12"/>
  <c r="GI17" i="12"/>
  <c r="GJ17" i="12"/>
  <c r="GK17" i="12"/>
  <c r="GL17" i="12"/>
  <c r="GM17" i="12"/>
  <c r="GN17" i="12"/>
  <c r="GO17" i="12"/>
  <c r="GP17" i="12"/>
  <c r="GQ17" i="12"/>
  <c r="GR17" i="12"/>
  <c r="GS17" i="12"/>
  <c r="GT17" i="12"/>
  <c r="GU17" i="12"/>
  <c r="GV17" i="12"/>
  <c r="GW17" i="12"/>
  <c r="GX17" i="12"/>
  <c r="GY17" i="12"/>
  <c r="GZ17" i="12"/>
  <c r="HA17" i="12"/>
  <c r="HB17" i="12"/>
  <c r="HC17" i="12"/>
  <c r="HD17" i="12"/>
  <c r="HE17" i="12"/>
  <c r="HF17" i="12"/>
  <c r="HG17" i="12"/>
  <c r="HH17" i="12"/>
  <c r="HI17" i="12"/>
  <c r="HJ17" i="12"/>
  <c r="HK17" i="12"/>
  <c r="HL17" i="12"/>
  <c r="HM17" i="12"/>
  <c r="HN17" i="12"/>
  <c r="HO17" i="12"/>
  <c r="HP17" i="12"/>
  <c r="HQ17" i="12"/>
  <c r="HR17" i="12"/>
  <c r="HS17" i="12"/>
  <c r="HT17" i="12"/>
  <c r="HU17" i="12"/>
  <c r="HV17" i="12"/>
  <c r="HW17" i="12"/>
  <c r="HX17" i="12"/>
  <c r="HY17" i="12"/>
  <c r="HZ17" i="12"/>
  <c r="IA17" i="12"/>
  <c r="IB17" i="12"/>
  <c r="IC17" i="12"/>
  <c r="ID17" i="12"/>
  <c r="IE17" i="12"/>
  <c r="IF17" i="12"/>
  <c r="IG17" i="12"/>
  <c r="IH17" i="12"/>
  <c r="II17" i="12"/>
  <c r="IJ17" i="12"/>
  <c r="IK17" i="12"/>
  <c r="IL17" i="12"/>
  <c r="IM17" i="12"/>
  <c r="IN17" i="12"/>
  <c r="IO17" i="12"/>
  <c r="IP17" i="12"/>
  <c r="IQ17" i="12"/>
  <c r="IR17" i="12"/>
  <c r="IS17" i="12"/>
  <c r="IT17" i="12"/>
  <c r="IU17" i="12"/>
  <c r="IV17" i="12"/>
  <c r="F18" i="12"/>
  <c r="G18" i="12"/>
  <c r="H18" i="12"/>
  <c r="I18" i="12"/>
  <c r="J18" i="12"/>
  <c r="K18" i="12"/>
  <c r="L18" i="12"/>
  <c r="M18" i="12"/>
  <c r="N18" i="12"/>
  <c r="O18" i="12"/>
  <c r="P18" i="12"/>
  <c r="Q18" i="12"/>
  <c r="R18" i="12"/>
  <c r="S18" i="12"/>
  <c r="T18" i="12"/>
  <c r="U18" i="12"/>
  <c r="V18" i="12"/>
  <c r="W18" i="12"/>
  <c r="X18" i="12"/>
  <c r="Y18" i="12"/>
  <c r="Z18" i="12"/>
  <c r="AA18" i="12"/>
  <c r="AB18" i="12"/>
  <c r="AC18" i="12"/>
  <c r="AD18" i="12"/>
  <c r="AE18" i="12"/>
  <c r="AF18" i="12"/>
  <c r="AG18" i="12"/>
  <c r="AH18" i="12"/>
  <c r="AI18" i="12"/>
  <c r="AJ18" i="12"/>
  <c r="AK18" i="12"/>
  <c r="AL18" i="12"/>
  <c r="AM18" i="12"/>
  <c r="AN18" i="12"/>
  <c r="AO18" i="12"/>
  <c r="AP18" i="12"/>
  <c r="AQ18" i="12"/>
  <c r="AR18" i="12"/>
  <c r="AS18" i="12"/>
  <c r="AT18" i="12"/>
  <c r="AU18" i="12"/>
  <c r="AV18" i="12"/>
  <c r="AW18" i="12"/>
  <c r="AX18" i="12"/>
  <c r="AY18" i="12"/>
  <c r="AZ18" i="12"/>
  <c r="BA18" i="12"/>
  <c r="BB18" i="12"/>
  <c r="BC18" i="12"/>
  <c r="BD18" i="12"/>
  <c r="BE18" i="12"/>
  <c r="BF18" i="12"/>
  <c r="BG18" i="12"/>
  <c r="BH18" i="12"/>
  <c r="BI18" i="12"/>
  <c r="BJ18" i="12"/>
  <c r="BK18" i="12"/>
  <c r="BL18" i="12"/>
  <c r="BM18" i="12"/>
  <c r="BN18" i="12"/>
  <c r="BO18" i="12"/>
  <c r="BP18" i="12"/>
  <c r="BQ18" i="12"/>
  <c r="BR18" i="12"/>
  <c r="BS18" i="12"/>
  <c r="BT18" i="12"/>
  <c r="BU18" i="12"/>
  <c r="BV18" i="12"/>
  <c r="BW18" i="12"/>
  <c r="BX18" i="12"/>
  <c r="BY18" i="12"/>
  <c r="BZ18" i="12"/>
  <c r="CA18" i="12"/>
  <c r="CB18" i="12"/>
  <c r="CC18" i="12"/>
  <c r="CD18" i="12"/>
  <c r="CE18" i="12"/>
  <c r="CF18" i="12"/>
  <c r="CG18" i="12"/>
  <c r="CH18" i="12"/>
  <c r="CI18" i="12"/>
  <c r="CJ18" i="12"/>
  <c r="CK18" i="12"/>
  <c r="CL18" i="12"/>
  <c r="CM18" i="12"/>
  <c r="CN18" i="12"/>
  <c r="CO18" i="12"/>
  <c r="CP18" i="12"/>
  <c r="CQ18" i="12"/>
  <c r="CR18" i="12"/>
  <c r="CS18" i="12"/>
  <c r="CT18" i="12"/>
  <c r="CU18" i="12"/>
  <c r="CV18" i="12"/>
  <c r="CW18" i="12"/>
  <c r="CX18" i="12"/>
  <c r="CY18" i="12"/>
  <c r="CZ18" i="12"/>
  <c r="DA18" i="12"/>
  <c r="DB18" i="12"/>
  <c r="DC18" i="12"/>
  <c r="DD18" i="12"/>
  <c r="DE18" i="12"/>
  <c r="DF18" i="12"/>
  <c r="DG18" i="12"/>
  <c r="DH18" i="12"/>
  <c r="DI18" i="12"/>
  <c r="DJ18" i="12"/>
  <c r="DK18" i="12"/>
  <c r="DL18" i="12"/>
  <c r="DM18" i="12"/>
  <c r="DN18" i="12"/>
  <c r="DO18" i="12"/>
  <c r="DP18" i="12"/>
  <c r="DQ18" i="12"/>
  <c r="DR18" i="12"/>
  <c r="DS18" i="12"/>
  <c r="DT18" i="12"/>
  <c r="DU18" i="12"/>
  <c r="DV18" i="12"/>
  <c r="DW18" i="12"/>
  <c r="DX18" i="12"/>
  <c r="DY18" i="12"/>
  <c r="DZ18" i="12"/>
  <c r="EA18" i="12"/>
  <c r="EB18" i="12"/>
  <c r="EC18" i="12"/>
  <c r="ED18" i="12"/>
  <c r="EE18" i="12"/>
  <c r="EF18" i="12"/>
  <c r="EG18" i="12"/>
  <c r="EH18" i="12"/>
  <c r="EI18" i="12"/>
  <c r="EJ18" i="12"/>
  <c r="EK18" i="12"/>
  <c r="EL18" i="12"/>
  <c r="EM18" i="12"/>
  <c r="EN18" i="12"/>
  <c r="EO18" i="12"/>
  <c r="EP18" i="12"/>
  <c r="EQ18" i="12"/>
  <c r="ER18" i="12"/>
  <c r="ES18" i="12"/>
  <c r="ET18" i="12"/>
  <c r="EU18" i="12"/>
  <c r="EV18" i="12"/>
  <c r="EW18" i="12"/>
  <c r="EX18" i="12"/>
  <c r="EY18" i="12"/>
  <c r="EZ18" i="12"/>
  <c r="FA18" i="12"/>
  <c r="FB18" i="12"/>
  <c r="FC18" i="12"/>
  <c r="FD18" i="12"/>
  <c r="FE18" i="12"/>
  <c r="FF18" i="12"/>
  <c r="FG18" i="12"/>
  <c r="FH18" i="12"/>
  <c r="FI18" i="12"/>
  <c r="FJ18" i="12"/>
  <c r="FK18" i="12"/>
  <c r="FL18" i="12"/>
  <c r="FM18" i="12"/>
  <c r="FN18" i="12"/>
  <c r="FO18" i="12"/>
  <c r="FP18" i="12"/>
  <c r="FQ18" i="12"/>
  <c r="FR18" i="12"/>
  <c r="FS18" i="12"/>
  <c r="FT18" i="12"/>
  <c r="FU18" i="12"/>
  <c r="FV18" i="12"/>
  <c r="FW18" i="12"/>
  <c r="FX18" i="12"/>
  <c r="FY18" i="12"/>
  <c r="FZ18" i="12"/>
  <c r="GA18" i="12"/>
  <c r="GB18" i="12"/>
  <c r="GC18" i="12"/>
  <c r="GD18" i="12"/>
  <c r="GE18" i="12"/>
  <c r="GF18" i="12"/>
  <c r="GG18" i="12"/>
  <c r="GH18" i="12"/>
  <c r="GI18" i="12"/>
  <c r="GJ18" i="12"/>
  <c r="GK18" i="12"/>
  <c r="GL18" i="12"/>
  <c r="GM18" i="12"/>
  <c r="GN18" i="12"/>
  <c r="GO18" i="12"/>
  <c r="GP18" i="12"/>
  <c r="GQ18" i="12"/>
  <c r="GR18" i="12"/>
  <c r="GS18" i="12"/>
  <c r="GT18" i="12"/>
  <c r="GU18" i="12"/>
  <c r="GV18" i="12"/>
  <c r="GW18" i="12"/>
  <c r="GX18" i="12"/>
  <c r="GY18" i="12"/>
  <c r="GZ18" i="12"/>
  <c r="HA18" i="12"/>
  <c r="HB18" i="12"/>
  <c r="HC18" i="12"/>
  <c r="HD18" i="12"/>
  <c r="HE18" i="12"/>
  <c r="HF18" i="12"/>
  <c r="HG18" i="12"/>
  <c r="HH18" i="12"/>
  <c r="HI18" i="12"/>
  <c r="HJ18" i="12"/>
  <c r="HK18" i="12"/>
  <c r="HL18" i="12"/>
  <c r="HM18" i="12"/>
  <c r="HN18" i="12"/>
  <c r="HO18" i="12"/>
  <c r="HP18" i="12"/>
  <c r="HQ18" i="12"/>
  <c r="HR18" i="12"/>
  <c r="HS18" i="12"/>
  <c r="HT18" i="12"/>
  <c r="HU18" i="12"/>
  <c r="HV18" i="12"/>
  <c r="HW18" i="12"/>
  <c r="HX18" i="12"/>
  <c r="HY18" i="12"/>
  <c r="HZ18" i="12"/>
  <c r="IA18" i="12"/>
  <c r="IB18" i="12"/>
  <c r="IC18" i="12"/>
  <c r="ID18" i="12"/>
  <c r="IE18" i="12"/>
  <c r="IF18" i="12"/>
  <c r="IG18" i="12"/>
  <c r="IH18" i="12"/>
  <c r="II18" i="12"/>
  <c r="IJ18" i="12"/>
  <c r="IK18" i="12"/>
  <c r="IL18" i="12"/>
  <c r="IM18" i="12"/>
  <c r="IN18" i="12"/>
  <c r="IO18" i="12"/>
  <c r="IP18" i="12"/>
  <c r="IQ18" i="12"/>
  <c r="IR18" i="12"/>
  <c r="IS18" i="12"/>
  <c r="IT18" i="12"/>
  <c r="IU18" i="12"/>
  <c r="IV18" i="12"/>
  <c r="F19" i="12"/>
  <c r="G19" i="12"/>
  <c r="H19" i="12"/>
  <c r="I19" i="12"/>
  <c r="J19" i="12"/>
  <c r="K19" i="12"/>
  <c r="L19" i="12"/>
  <c r="M19" i="12"/>
  <c r="N19" i="12"/>
  <c r="O19" i="12"/>
  <c r="P19" i="12"/>
  <c r="Q19" i="12"/>
  <c r="R19" i="12"/>
  <c r="S19" i="12"/>
  <c r="T19" i="12"/>
  <c r="U19" i="12"/>
  <c r="V19" i="12"/>
  <c r="W19" i="12"/>
  <c r="X19" i="12"/>
  <c r="Y19" i="12"/>
  <c r="Z19" i="12"/>
  <c r="AA19" i="12"/>
  <c r="AB19" i="12"/>
  <c r="AC19" i="12"/>
  <c r="AD19" i="12"/>
  <c r="AE19" i="12"/>
  <c r="AF19" i="12"/>
  <c r="AG19" i="12"/>
  <c r="AH19" i="12"/>
  <c r="AI19" i="12"/>
  <c r="AJ19" i="12"/>
  <c r="AK19" i="12"/>
  <c r="AL19" i="12"/>
  <c r="AM19" i="12"/>
  <c r="AN19" i="12"/>
  <c r="AO19" i="12"/>
  <c r="AP19" i="12"/>
  <c r="AQ19" i="12"/>
  <c r="AR19" i="12"/>
  <c r="AS19" i="12"/>
  <c r="AT19" i="12"/>
  <c r="AU19" i="12"/>
  <c r="AV19" i="12"/>
  <c r="AW19" i="12"/>
  <c r="AX19" i="12"/>
  <c r="AY19" i="12"/>
  <c r="AZ19" i="12"/>
  <c r="BA19" i="12"/>
  <c r="BB19" i="12"/>
  <c r="BC19" i="12"/>
  <c r="BD19" i="12"/>
  <c r="BE19" i="12"/>
  <c r="BF19" i="12"/>
  <c r="BG19" i="12"/>
  <c r="BH19" i="12"/>
  <c r="BI19" i="12"/>
  <c r="BJ19" i="12"/>
  <c r="BK19" i="12"/>
  <c r="BL19" i="12"/>
  <c r="BM19" i="12"/>
  <c r="BN19" i="12"/>
  <c r="BO19" i="12"/>
  <c r="BP19" i="12"/>
  <c r="BQ19" i="12"/>
  <c r="BR19" i="12"/>
  <c r="BS19" i="12"/>
  <c r="BT19" i="12"/>
  <c r="BU19" i="12"/>
  <c r="BV19" i="12"/>
  <c r="BW19" i="12"/>
  <c r="BX19" i="12"/>
  <c r="BY19" i="12"/>
  <c r="BZ19" i="12"/>
  <c r="CA19" i="12"/>
  <c r="CB19" i="12"/>
  <c r="CC19" i="12"/>
  <c r="CD19" i="12"/>
  <c r="CE19" i="12"/>
  <c r="CF19" i="12"/>
  <c r="CG19" i="12"/>
  <c r="CH19" i="12"/>
  <c r="CI19" i="12"/>
  <c r="CJ19" i="12"/>
  <c r="CK19" i="12"/>
  <c r="CL19" i="12"/>
  <c r="CM19" i="12"/>
  <c r="CN19" i="12"/>
  <c r="CO19" i="12"/>
  <c r="CP19" i="12"/>
  <c r="CQ19" i="12"/>
  <c r="CR19" i="12"/>
  <c r="CS19" i="12"/>
  <c r="CT19" i="12"/>
  <c r="CU19" i="12"/>
  <c r="CV19" i="12"/>
  <c r="CW19" i="12"/>
  <c r="CX19" i="12"/>
  <c r="CY19" i="12"/>
  <c r="CZ19" i="12"/>
  <c r="DA19" i="12"/>
  <c r="DB19" i="12"/>
  <c r="DC19" i="12"/>
  <c r="DD19" i="12"/>
  <c r="DE19" i="12"/>
  <c r="DF19" i="12"/>
  <c r="DG19" i="12"/>
  <c r="DH19" i="12"/>
  <c r="DI19" i="12"/>
  <c r="DJ19" i="12"/>
  <c r="DK19" i="12"/>
  <c r="DL19" i="12"/>
  <c r="DM19" i="12"/>
  <c r="DN19" i="12"/>
  <c r="DO19" i="12"/>
  <c r="DP19" i="12"/>
  <c r="DQ19" i="12"/>
  <c r="DR19" i="12"/>
  <c r="DS19" i="12"/>
  <c r="DT19" i="12"/>
  <c r="DU19" i="12"/>
  <c r="DV19" i="12"/>
  <c r="DW19" i="12"/>
  <c r="DX19" i="12"/>
  <c r="DY19" i="12"/>
  <c r="DZ19" i="12"/>
  <c r="EA19" i="12"/>
  <c r="EB19" i="12"/>
  <c r="EC19" i="12"/>
  <c r="ED19" i="12"/>
  <c r="EE19" i="12"/>
  <c r="EF19" i="12"/>
  <c r="EG19" i="12"/>
  <c r="EH19" i="12"/>
  <c r="EI19" i="12"/>
  <c r="EJ19" i="12"/>
  <c r="EK19" i="12"/>
  <c r="EL19" i="12"/>
  <c r="EM19" i="12"/>
  <c r="EN19" i="12"/>
  <c r="EO19" i="12"/>
  <c r="EP19" i="12"/>
  <c r="EQ19" i="12"/>
  <c r="ER19" i="12"/>
  <c r="ES19" i="12"/>
  <c r="ET19" i="12"/>
  <c r="EU19" i="12"/>
  <c r="EV19" i="12"/>
  <c r="EW19" i="12"/>
  <c r="EX19" i="12"/>
  <c r="EY19" i="12"/>
  <c r="EZ19" i="12"/>
  <c r="FA19" i="12"/>
  <c r="FB19" i="12"/>
  <c r="FC19" i="12"/>
  <c r="FD19" i="12"/>
  <c r="FE19" i="12"/>
  <c r="FF19" i="12"/>
  <c r="FG19" i="12"/>
  <c r="FH19" i="12"/>
  <c r="FI19" i="12"/>
  <c r="FJ19" i="12"/>
  <c r="FK19" i="12"/>
  <c r="FL19" i="12"/>
  <c r="FM19" i="12"/>
  <c r="FN19" i="12"/>
  <c r="FO19" i="12"/>
  <c r="FP19" i="12"/>
  <c r="FQ19" i="12"/>
  <c r="FR19" i="12"/>
  <c r="FS19" i="12"/>
  <c r="FT19" i="12"/>
  <c r="FU19" i="12"/>
  <c r="FV19" i="12"/>
  <c r="FW19" i="12"/>
  <c r="FX19" i="12"/>
  <c r="FY19" i="12"/>
  <c r="FZ19" i="12"/>
  <c r="GA19" i="12"/>
  <c r="GB19" i="12"/>
  <c r="GC19" i="12"/>
  <c r="GD19" i="12"/>
  <c r="GE19" i="12"/>
  <c r="GF19" i="12"/>
  <c r="GG19" i="12"/>
  <c r="GH19" i="12"/>
  <c r="GI19" i="12"/>
  <c r="GJ19" i="12"/>
  <c r="GK19" i="12"/>
  <c r="GL19" i="12"/>
  <c r="GM19" i="12"/>
  <c r="GN19" i="12"/>
  <c r="GO19" i="12"/>
  <c r="GP19" i="12"/>
  <c r="GQ19" i="12"/>
  <c r="GR19" i="12"/>
  <c r="GS19" i="12"/>
  <c r="GT19" i="12"/>
  <c r="GU19" i="12"/>
  <c r="GV19" i="12"/>
  <c r="GW19" i="12"/>
  <c r="GX19" i="12"/>
  <c r="GY19" i="12"/>
  <c r="GZ19" i="12"/>
  <c r="HA19" i="12"/>
  <c r="HB19" i="12"/>
  <c r="HC19" i="12"/>
  <c r="HD19" i="12"/>
  <c r="HE19" i="12"/>
  <c r="HF19" i="12"/>
  <c r="HG19" i="12"/>
  <c r="HH19" i="12"/>
  <c r="HI19" i="12"/>
  <c r="HJ19" i="12"/>
  <c r="HK19" i="12"/>
  <c r="HL19" i="12"/>
  <c r="HM19" i="12"/>
  <c r="HN19" i="12"/>
  <c r="HO19" i="12"/>
  <c r="HP19" i="12"/>
  <c r="HQ19" i="12"/>
  <c r="HR19" i="12"/>
  <c r="HS19" i="12"/>
  <c r="HT19" i="12"/>
  <c r="HU19" i="12"/>
  <c r="HV19" i="12"/>
  <c r="HW19" i="12"/>
  <c r="HX19" i="12"/>
  <c r="HY19" i="12"/>
  <c r="HZ19" i="12"/>
  <c r="IA19" i="12"/>
  <c r="IB19" i="12"/>
  <c r="IC19" i="12"/>
  <c r="ID19" i="12"/>
  <c r="IE19" i="12"/>
  <c r="IF19" i="12"/>
  <c r="IG19" i="12"/>
  <c r="IH19" i="12"/>
  <c r="II19" i="12"/>
  <c r="IJ19" i="12"/>
  <c r="IK19" i="12"/>
  <c r="IL19" i="12"/>
  <c r="IM19" i="12"/>
  <c r="IN19" i="12"/>
  <c r="IO19" i="12"/>
  <c r="IP19" i="12"/>
  <c r="IQ19" i="12"/>
  <c r="IR19" i="12"/>
  <c r="IS19" i="12"/>
  <c r="IT19" i="12"/>
  <c r="IU19" i="12"/>
  <c r="IV19" i="12"/>
  <c r="F20" i="12"/>
  <c r="G20" i="12"/>
  <c r="H20" i="12"/>
  <c r="I20" i="12"/>
  <c r="J20" i="12"/>
  <c r="K20" i="12"/>
  <c r="L20" i="12"/>
  <c r="M20" i="12"/>
  <c r="N20" i="12"/>
  <c r="O20" i="12"/>
  <c r="P20" i="12"/>
  <c r="Q20" i="12"/>
  <c r="R20" i="12"/>
  <c r="S20" i="12"/>
  <c r="T20" i="12"/>
  <c r="U20" i="12"/>
  <c r="V20" i="12"/>
  <c r="W20" i="12"/>
  <c r="X20" i="12"/>
  <c r="Y20" i="12"/>
  <c r="Z20" i="12"/>
  <c r="AA20" i="12"/>
  <c r="AB20" i="12"/>
  <c r="AC20" i="12"/>
  <c r="AD20" i="12"/>
  <c r="AE20" i="12"/>
  <c r="AF20" i="12"/>
  <c r="AG20" i="12"/>
  <c r="AH20" i="12"/>
  <c r="AI20" i="12"/>
  <c r="AJ20" i="12"/>
  <c r="AK20" i="12"/>
  <c r="AL20" i="12"/>
  <c r="AM20" i="12"/>
  <c r="AN20" i="12"/>
  <c r="AO20" i="12"/>
  <c r="AP20" i="12"/>
  <c r="AQ20" i="12"/>
  <c r="AR20" i="12"/>
  <c r="AS20" i="12"/>
  <c r="AT20" i="12"/>
  <c r="AU20" i="12"/>
  <c r="AV20" i="12"/>
  <c r="AW20" i="12"/>
  <c r="AX20" i="12"/>
  <c r="AY20" i="12"/>
  <c r="AZ20" i="12"/>
  <c r="BA20" i="12"/>
  <c r="BB20" i="12"/>
  <c r="BC20" i="12"/>
  <c r="BD20" i="12"/>
  <c r="BE20" i="12"/>
  <c r="BF20" i="12"/>
  <c r="BG20" i="12"/>
  <c r="BH20" i="12"/>
  <c r="BI20" i="12"/>
  <c r="BJ20" i="12"/>
  <c r="BK20" i="12"/>
  <c r="BL20" i="12"/>
  <c r="BM20" i="12"/>
  <c r="BN20" i="12"/>
  <c r="BO20" i="12"/>
  <c r="BP20" i="12"/>
  <c r="BQ20" i="12"/>
  <c r="BR20" i="12"/>
  <c r="BS20" i="12"/>
  <c r="BT20" i="12"/>
  <c r="BU20" i="12"/>
  <c r="BV20" i="12"/>
  <c r="BW20" i="12"/>
  <c r="BX20" i="12"/>
  <c r="BY20" i="12"/>
  <c r="BZ20" i="12"/>
  <c r="CA20" i="12"/>
  <c r="CB20" i="12"/>
  <c r="CC20" i="12"/>
  <c r="CD20" i="12"/>
  <c r="CE20" i="12"/>
  <c r="CF20" i="12"/>
  <c r="CG20" i="12"/>
  <c r="CH20" i="12"/>
  <c r="CI20" i="12"/>
  <c r="CJ20" i="12"/>
  <c r="CK20" i="12"/>
  <c r="CL20" i="12"/>
  <c r="CM20" i="12"/>
  <c r="CN20" i="12"/>
  <c r="CO20" i="12"/>
  <c r="CP20" i="12"/>
  <c r="CQ20" i="12"/>
  <c r="CR20" i="12"/>
  <c r="CS20" i="12"/>
  <c r="CT20" i="12"/>
  <c r="CU20" i="12"/>
  <c r="CV20" i="12"/>
  <c r="CW20" i="12"/>
  <c r="CX20" i="12"/>
  <c r="CY20" i="12"/>
  <c r="CZ20" i="12"/>
  <c r="DA20" i="12"/>
  <c r="DB20" i="12"/>
  <c r="DC20" i="12"/>
  <c r="DD20" i="12"/>
  <c r="DE20" i="12"/>
  <c r="DF20" i="12"/>
  <c r="DG20" i="12"/>
  <c r="DH20" i="12"/>
  <c r="DI20" i="12"/>
  <c r="DJ20" i="12"/>
  <c r="DK20" i="12"/>
  <c r="DL20" i="12"/>
  <c r="DM20" i="12"/>
  <c r="DN20" i="12"/>
  <c r="DO20" i="12"/>
  <c r="DP20" i="12"/>
  <c r="DQ20" i="12"/>
  <c r="DR20" i="12"/>
  <c r="DS20" i="12"/>
  <c r="DT20" i="12"/>
  <c r="DU20" i="12"/>
  <c r="DV20" i="12"/>
  <c r="DW20" i="12"/>
  <c r="DX20" i="12"/>
  <c r="DY20" i="12"/>
  <c r="DZ20" i="12"/>
  <c r="EA20" i="12"/>
  <c r="EB20" i="12"/>
  <c r="EC20" i="12"/>
  <c r="ED20" i="12"/>
  <c r="EE20" i="12"/>
  <c r="EF20" i="12"/>
  <c r="EG20" i="12"/>
  <c r="EH20" i="12"/>
  <c r="EI20" i="12"/>
  <c r="EJ20" i="12"/>
  <c r="EK20" i="12"/>
  <c r="EL20" i="12"/>
  <c r="EM20" i="12"/>
  <c r="EN20" i="12"/>
  <c r="EO20" i="12"/>
  <c r="EP20" i="12"/>
  <c r="EQ20" i="12"/>
  <c r="ER20" i="12"/>
  <c r="ES20" i="12"/>
  <c r="ET20" i="12"/>
  <c r="EU20" i="12"/>
  <c r="EV20" i="12"/>
  <c r="EW20" i="12"/>
  <c r="EX20" i="12"/>
  <c r="EY20" i="12"/>
  <c r="EZ20" i="12"/>
  <c r="FA20" i="12"/>
  <c r="FB20" i="12"/>
  <c r="FC20" i="12"/>
  <c r="FD20" i="12"/>
  <c r="FE20" i="12"/>
  <c r="FF20" i="12"/>
  <c r="FG20" i="12"/>
  <c r="FH20" i="12"/>
  <c r="FI20" i="12"/>
  <c r="FJ20" i="12"/>
  <c r="FK20" i="12"/>
  <c r="FL20" i="12"/>
  <c r="FM20" i="12"/>
  <c r="FN20" i="12"/>
  <c r="FO20" i="12"/>
  <c r="FP20" i="12"/>
  <c r="FQ20" i="12"/>
  <c r="FR20" i="12"/>
  <c r="FS20" i="12"/>
  <c r="FT20" i="12"/>
  <c r="FU20" i="12"/>
  <c r="FV20" i="12"/>
  <c r="FW20" i="12"/>
  <c r="FX20" i="12"/>
  <c r="FY20" i="12"/>
  <c r="FZ20" i="12"/>
  <c r="GA20" i="12"/>
  <c r="GB20" i="12"/>
  <c r="GC20" i="12"/>
  <c r="GD20" i="12"/>
  <c r="GE20" i="12"/>
  <c r="GF20" i="12"/>
  <c r="GG20" i="12"/>
  <c r="GH20" i="12"/>
  <c r="GI20" i="12"/>
  <c r="GJ20" i="12"/>
  <c r="GK20" i="12"/>
  <c r="GL20" i="12"/>
  <c r="GM20" i="12"/>
  <c r="GN20" i="12"/>
  <c r="GO20" i="12"/>
  <c r="GP20" i="12"/>
  <c r="GQ20" i="12"/>
  <c r="GR20" i="12"/>
  <c r="GS20" i="12"/>
  <c r="GT20" i="12"/>
  <c r="GU20" i="12"/>
  <c r="GV20" i="12"/>
  <c r="GW20" i="12"/>
  <c r="GX20" i="12"/>
  <c r="GY20" i="12"/>
  <c r="GZ20" i="12"/>
  <c r="HA20" i="12"/>
  <c r="HB20" i="12"/>
  <c r="HC20" i="12"/>
  <c r="HD20" i="12"/>
  <c r="HE20" i="12"/>
  <c r="HF20" i="12"/>
  <c r="HG20" i="12"/>
  <c r="HH20" i="12"/>
  <c r="HI20" i="12"/>
  <c r="HJ20" i="12"/>
  <c r="HK20" i="12"/>
  <c r="HL20" i="12"/>
  <c r="HM20" i="12"/>
  <c r="HN20" i="12"/>
  <c r="HO20" i="12"/>
  <c r="HP20" i="12"/>
  <c r="HQ20" i="12"/>
  <c r="HR20" i="12"/>
  <c r="HS20" i="12"/>
  <c r="HT20" i="12"/>
  <c r="HU20" i="12"/>
  <c r="HV20" i="12"/>
  <c r="HW20" i="12"/>
  <c r="HX20" i="12"/>
  <c r="HY20" i="12"/>
  <c r="HZ20" i="12"/>
  <c r="IA20" i="12"/>
  <c r="IB20" i="12"/>
  <c r="IC20" i="12"/>
  <c r="ID20" i="12"/>
  <c r="IE20" i="12"/>
  <c r="IF20" i="12"/>
  <c r="IG20" i="12"/>
  <c r="IH20" i="12"/>
  <c r="II20" i="12"/>
  <c r="IJ20" i="12"/>
  <c r="IK20" i="12"/>
  <c r="IL20" i="12"/>
  <c r="IM20" i="12"/>
  <c r="IN20" i="12"/>
  <c r="IO20" i="12"/>
  <c r="IP20" i="12"/>
  <c r="IQ20" i="12"/>
  <c r="IR20" i="12"/>
  <c r="IS20" i="12"/>
  <c r="IT20" i="12"/>
  <c r="IU20" i="12"/>
  <c r="IV20" i="12"/>
  <c r="F21" i="12"/>
  <c r="G21" i="12"/>
  <c r="H21" i="12"/>
  <c r="I21" i="12"/>
  <c r="J21" i="12"/>
  <c r="K21" i="12"/>
  <c r="L21" i="12"/>
  <c r="M21" i="12"/>
  <c r="N21" i="12"/>
  <c r="O21" i="12"/>
  <c r="P21" i="12"/>
  <c r="Q21" i="12"/>
  <c r="R21" i="12"/>
  <c r="S21" i="12"/>
  <c r="T21" i="12"/>
  <c r="U21" i="12"/>
  <c r="V21" i="12"/>
  <c r="W21" i="12"/>
  <c r="X21" i="12"/>
  <c r="Y21" i="12"/>
  <c r="Z21" i="12"/>
  <c r="AA21" i="12"/>
  <c r="AB21" i="12"/>
  <c r="AC21" i="12"/>
  <c r="AD21" i="12"/>
  <c r="AE21" i="12"/>
  <c r="AF21" i="12"/>
  <c r="AG21" i="12"/>
  <c r="AH21" i="12"/>
  <c r="AI21" i="12"/>
  <c r="AJ21" i="12"/>
  <c r="AK21" i="12"/>
  <c r="AL21" i="12"/>
  <c r="AM21" i="12"/>
  <c r="AN21" i="12"/>
  <c r="AO21" i="12"/>
  <c r="AP21" i="12"/>
  <c r="AQ21" i="12"/>
  <c r="AR21" i="12"/>
  <c r="AS21" i="12"/>
  <c r="AT21" i="12"/>
  <c r="AU21" i="12"/>
  <c r="AV21" i="12"/>
  <c r="AW21" i="12"/>
  <c r="AX21" i="12"/>
  <c r="AY21" i="12"/>
  <c r="AZ21" i="12"/>
  <c r="BA21" i="12"/>
  <c r="BB21" i="12"/>
  <c r="BC21" i="12"/>
  <c r="BD21" i="12"/>
  <c r="BE21" i="12"/>
  <c r="BF21" i="12"/>
  <c r="BG21" i="12"/>
  <c r="BH21" i="12"/>
  <c r="BI21" i="12"/>
  <c r="BJ21" i="12"/>
  <c r="BK21" i="12"/>
  <c r="BL21" i="12"/>
  <c r="BM21" i="12"/>
  <c r="BN21" i="12"/>
  <c r="BO21" i="12"/>
  <c r="BP21" i="12"/>
  <c r="BQ21" i="12"/>
  <c r="BR21" i="12"/>
  <c r="BS21" i="12"/>
  <c r="BT21" i="12"/>
  <c r="BU21" i="12"/>
  <c r="BV21" i="12"/>
  <c r="BW21" i="12"/>
  <c r="BX21" i="12"/>
  <c r="BY21" i="12"/>
  <c r="BZ21" i="12"/>
  <c r="CA21" i="12"/>
  <c r="CB21" i="12"/>
  <c r="CC21" i="12"/>
  <c r="CD21" i="12"/>
  <c r="CE21" i="12"/>
  <c r="CF21" i="12"/>
  <c r="CG21" i="12"/>
  <c r="CH21" i="12"/>
  <c r="CI21" i="12"/>
  <c r="CJ21" i="12"/>
  <c r="CK21" i="12"/>
  <c r="CL21" i="12"/>
  <c r="CM21" i="12"/>
  <c r="CN21" i="12"/>
  <c r="CO21" i="12"/>
  <c r="CP21" i="12"/>
  <c r="CQ21" i="12"/>
  <c r="CR21" i="12"/>
  <c r="CS21" i="12"/>
  <c r="CT21" i="12"/>
  <c r="CU21" i="12"/>
  <c r="CV21" i="12"/>
  <c r="CW21" i="12"/>
  <c r="CX21" i="12"/>
  <c r="CY21" i="12"/>
  <c r="CZ21" i="12"/>
  <c r="DA21" i="12"/>
  <c r="DB21" i="12"/>
  <c r="DC21" i="12"/>
  <c r="DD21" i="12"/>
  <c r="DE21" i="12"/>
  <c r="DF21" i="12"/>
  <c r="DG21" i="12"/>
  <c r="DH21" i="12"/>
  <c r="DI21" i="12"/>
  <c r="DJ21" i="12"/>
  <c r="DK21" i="12"/>
  <c r="DL21" i="12"/>
  <c r="DM21" i="12"/>
  <c r="DN21" i="12"/>
  <c r="DO21" i="12"/>
  <c r="DP21" i="12"/>
  <c r="DQ21" i="12"/>
  <c r="DR21" i="12"/>
  <c r="DS21" i="12"/>
  <c r="DT21" i="12"/>
  <c r="DU21" i="12"/>
  <c r="DV21" i="12"/>
  <c r="DW21" i="12"/>
  <c r="DX21" i="12"/>
  <c r="DY21" i="12"/>
  <c r="DZ21" i="12"/>
  <c r="EA21" i="12"/>
  <c r="EB21" i="12"/>
  <c r="EC21" i="12"/>
  <c r="ED21" i="12"/>
  <c r="EE21" i="12"/>
  <c r="EF21" i="12"/>
  <c r="EG21" i="12"/>
  <c r="EH21" i="12"/>
  <c r="EI21" i="12"/>
  <c r="EJ21" i="12"/>
  <c r="EK21" i="12"/>
  <c r="EL21" i="12"/>
  <c r="EM21" i="12"/>
  <c r="EN21" i="12"/>
  <c r="EO21" i="12"/>
  <c r="EP21" i="12"/>
  <c r="EQ21" i="12"/>
  <c r="ER21" i="12"/>
  <c r="ES21" i="12"/>
  <c r="ET21" i="12"/>
  <c r="EU21" i="12"/>
  <c r="EV21" i="12"/>
  <c r="EW21" i="12"/>
  <c r="EX21" i="12"/>
  <c r="EY21" i="12"/>
  <c r="EZ21" i="12"/>
  <c r="FA21" i="12"/>
  <c r="FB21" i="12"/>
  <c r="FC21" i="12"/>
  <c r="FD21" i="12"/>
  <c r="FE21" i="12"/>
  <c r="FF21" i="12"/>
  <c r="FG21" i="12"/>
  <c r="FH21" i="12"/>
  <c r="FI21" i="12"/>
  <c r="FJ21" i="12"/>
  <c r="FK21" i="12"/>
  <c r="FL21" i="12"/>
  <c r="FM21" i="12"/>
  <c r="FN21" i="12"/>
  <c r="FO21" i="12"/>
  <c r="FP21" i="12"/>
  <c r="FQ21" i="12"/>
  <c r="FR21" i="12"/>
  <c r="FS21" i="12"/>
  <c r="FT21" i="12"/>
  <c r="FU21" i="12"/>
  <c r="FV21" i="12"/>
  <c r="FW21" i="12"/>
  <c r="FX21" i="12"/>
  <c r="FY21" i="12"/>
  <c r="FZ21" i="12"/>
  <c r="GA21" i="12"/>
  <c r="GB21" i="12"/>
  <c r="GC21" i="12"/>
  <c r="GD21" i="12"/>
  <c r="GE21" i="12"/>
  <c r="GF21" i="12"/>
  <c r="GG21" i="12"/>
  <c r="GH21" i="12"/>
  <c r="GI21" i="12"/>
  <c r="GJ21" i="12"/>
  <c r="GK21" i="12"/>
  <c r="GL21" i="12"/>
  <c r="GM21" i="12"/>
  <c r="GN21" i="12"/>
  <c r="GO21" i="12"/>
  <c r="GP21" i="12"/>
  <c r="GQ21" i="12"/>
  <c r="GR21" i="12"/>
  <c r="GS21" i="12"/>
  <c r="GT21" i="12"/>
  <c r="GU21" i="12"/>
  <c r="GV21" i="12"/>
  <c r="GW21" i="12"/>
  <c r="GX21" i="12"/>
  <c r="GY21" i="12"/>
  <c r="GZ21" i="12"/>
  <c r="HA21" i="12"/>
  <c r="HB21" i="12"/>
  <c r="HC21" i="12"/>
  <c r="HD21" i="12"/>
  <c r="HE21" i="12"/>
  <c r="HF21" i="12"/>
  <c r="HG21" i="12"/>
  <c r="HH21" i="12"/>
  <c r="HI21" i="12"/>
  <c r="HJ21" i="12"/>
  <c r="HK21" i="12"/>
  <c r="HL21" i="12"/>
  <c r="HM21" i="12"/>
  <c r="HN21" i="12"/>
  <c r="HO21" i="12"/>
  <c r="HP21" i="12"/>
  <c r="HQ21" i="12"/>
  <c r="HR21" i="12"/>
  <c r="HS21" i="12"/>
  <c r="HT21" i="12"/>
  <c r="HU21" i="12"/>
  <c r="HV21" i="12"/>
  <c r="HW21" i="12"/>
  <c r="HX21" i="12"/>
  <c r="HY21" i="12"/>
  <c r="HZ21" i="12"/>
  <c r="IA21" i="12"/>
  <c r="IB21" i="12"/>
  <c r="IC21" i="12"/>
  <c r="ID21" i="12"/>
  <c r="IE21" i="12"/>
  <c r="IF21" i="12"/>
  <c r="IG21" i="12"/>
  <c r="IH21" i="12"/>
  <c r="II21" i="12"/>
  <c r="IJ21" i="12"/>
  <c r="IK21" i="12"/>
  <c r="IL21" i="12"/>
  <c r="IM21" i="12"/>
  <c r="IN21" i="12"/>
  <c r="IO21" i="12"/>
  <c r="IP21" i="12"/>
  <c r="IQ21" i="12"/>
  <c r="IR21" i="12"/>
  <c r="IS21" i="12"/>
  <c r="IT21" i="12"/>
  <c r="IU21" i="12"/>
  <c r="IV21" i="12"/>
  <c r="F22" i="12"/>
  <c r="G22" i="12"/>
  <c r="H22" i="12"/>
  <c r="I22" i="12"/>
  <c r="J22" i="12"/>
  <c r="K22" i="12"/>
  <c r="L22" i="12"/>
  <c r="M22" i="12"/>
  <c r="N22" i="12"/>
  <c r="O22" i="12"/>
  <c r="P22" i="12"/>
  <c r="Q22" i="12"/>
  <c r="R22" i="12"/>
  <c r="S22" i="12"/>
  <c r="T22" i="12"/>
  <c r="U22" i="12"/>
  <c r="V22" i="12"/>
  <c r="W22" i="12"/>
  <c r="X22" i="12"/>
  <c r="Y22" i="12"/>
  <c r="Z22" i="12"/>
  <c r="AA22" i="12"/>
  <c r="AB22" i="12"/>
  <c r="AC22" i="12"/>
  <c r="AD22" i="12"/>
  <c r="AE22" i="12"/>
  <c r="AF22" i="12"/>
  <c r="AG22" i="12"/>
  <c r="AH22" i="12"/>
  <c r="AI22" i="12"/>
  <c r="AJ22" i="12"/>
  <c r="AK22" i="12"/>
  <c r="AL22" i="12"/>
  <c r="AM22" i="12"/>
  <c r="AN22" i="12"/>
  <c r="AO22" i="12"/>
  <c r="AP22" i="12"/>
  <c r="AQ22" i="12"/>
  <c r="AR22" i="12"/>
  <c r="AS22" i="12"/>
  <c r="AT22" i="12"/>
  <c r="AU22" i="12"/>
  <c r="AV22" i="12"/>
  <c r="AW22" i="12"/>
  <c r="AX22" i="12"/>
  <c r="AY22" i="12"/>
  <c r="AZ22" i="12"/>
  <c r="BA22" i="12"/>
  <c r="BB22" i="12"/>
  <c r="BC22" i="12"/>
  <c r="BD22" i="12"/>
  <c r="BE22" i="12"/>
  <c r="BF22" i="12"/>
  <c r="BG22" i="12"/>
  <c r="BH22" i="12"/>
  <c r="BI22" i="12"/>
  <c r="BJ22" i="12"/>
  <c r="BK22" i="12"/>
  <c r="BL22" i="12"/>
  <c r="BM22" i="12"/>
  <c r="BN22" i="12"/>
  <c r="BO22" i="12"/>
  <c r="BP22" i="12"/>
  <c r="BQ22" i="12"/>
  <c r="BR22" i="12"/>
  <c r="BS22" i="12"/>
  <c r="BT22" i="12"/>
  <c r="BU22" i="12"/>
  <c r="BV22" i="12"/>
  <c r="BW22" i="12"/>
  <c r="BX22" i="12"/>
  <c r="BY22" i="12"/>
  <c r="BZ22" i="12"/>
  <c r="CA22" i="12"/>
  <c r="CB22" i="12"/>
  <c r="CC22" i="12"/>
  <c r="CD22" i="12"/>
  <c r="CE22" i="12"/>
  <c r="CF22" i="12"/>
  <c r="CG22" i="12"/>
  <c r="CH22" i="12"/>
  <c r="CI22" i="12"/>
  <c r="CJ22" i="12"/>
  <c r="CK22" i="12"/>
  <c r="CL22" i="12"/>
  <c r="CM22" i="12"/>
  <c r="CN22" i="12"/>
  <c r="CO22" i="12"/>
  <c r="CP22" i="12"/>
  <c r="CQ22" i="12"/>
  <c r="CR22" i="12"/>
  <c r="CS22" i="12"/>
  <c r="CT22" i="12"/>
  <c r="CU22" i="12"/>
  <c r="CV22" i="12"/>
  <c r="CW22" i="12"/>
  <c r="CX22" i="12"/>
  <c r="CY22" i="12"/>
  <c r="CZ22" i="12"/>
  <c r="DA22" i="12"/>
  <c r="DB22" i="12"/>
  <c r="DC22" i="12"/>
  <c r="DD22" i="12"/>
  <c r="DE22" i="12"/>
  <c r="DF22" i="12"/>
  <c r="DG22" i="12"/>
  <c r="DH22" i="12"/>
  <c r="DI22" i="12"/>
  <c r="DJ22" i="12"/>
  <c r="DK22" i="12"/>
  <c r="DL22" i="12"/>
  <c r="DM22" i="12"/>
  <c r="DN22" i="12"/>
  <c r="DO22" i="12"/>
  <c r="DP22" i="12"/>
  <c r="DQ22" i="12"/>
  <c r="DR22" i="12"/>
  <c r="DS22" i="12"/>
  <c r="DT22" i="12"/>
  <c r="DU22" i="12"/>
  <c r="DV22" i="12"/>
  <c r="DW22" i="12"/>
  <c r="DX22" i="12"/>
  <c r="DY22" i="12"/>
  <c r="DZ22" i="12"/>
  <c r="EA22" i="12"/>
  <c r="EB22" i="12"/>
  <c r="EC22" i="12"/>
  <c r="ED22" i="12"/>
  <c r="EE22" i="12"/>
  <c r="EF22" i="12"/>
  <c r="EG22" i="12"/>
  <c r="EH22" i="12"/>
  <c r="EI22" i="12"/>
  <c r="EJ22" i="12"/>
  <c r="EK22" i="12"/>
  <c r="EL22" i="12"/>
  <c r="EM22" i="12"/>
  <c r="EN22" i="12"/>
  <c r="EO22" i="12"/>
  <c r="EP22" i="12"/>
  <c r="EQ22" i="12"/>
  <c r="ER22" i="12"/>
  <c r="ES22" i="12"/>
  <c r="ET22" i="12"/>
  <c r="EU22" i="12"/>
  <c r="EV22" i="12"/>
  <c r="EW22" i="12"/>
  <c r="EX22" i="12"/>
  <c r="EY22" i="12"/>
  <c r="EZ22" i="12"/>
  <c r="FA22" i="12"/>
  <c r="FB22" i="12"/>
  <c r="FC22" i="12"/>
  <c r="FD22" i="12"/>
  <c r="FE22" i="12"/>
  <c r="FF22" i="12"/>
  <c r="FG22" i="12"/>
  <c r="FH22" i="12"/>
  <c r="FI22" i="12"/>
  <c r="FJ22" i="12"/>
  <c r="FK22" i="12"/>
  <c r="FL22" i="12"/>
  <c r="FM22" i="12"/>
  <c r="FN22" i="12"/>
  <c r="FO22" i="12"/>
  <c r="FP22" i="12"/>
  <c r="FQ22" i="12"/>
  <c r="FR22" i="12"/>
  <c r="FS22" i="12"/>
  <c r="FT22" i="12"/>
  <c r="FU22" i="12"/>
  <c r="FV22" i="12"/>
  <c r="FW22" i="12"/>
  <c r="FX22" i="12"/>
  <c r="FY22" i="12"/>
  <c r="FZ22" i="12"/>
  <c r="GA22" i="12"/>
  <c r="GB22" i="12"/>
  <c r="GC22" i="12"/>
  <c r="GD22" i="12"/>
  <c r="GE22" i="12"/>
  <c r="GF22" i="12"/>
  <c r="GG22" i="12"/>
  <c r="GH22" i="12"/>
  <c r="GI22" i="12"/>
  <c r="GJ22" i="12"/>
  <c r="GK22" i="12"/>
  <c r="GL22" i="12"/>
  <c r="GM22" i="12"/>
  <c r="GN22" i="12"/>
  <c r="GO22" i="12"/>
  <c r="GP22" i="12"/>
  <c r="GQ22" i="12"/>
  <c r="GR22" i="12"/>
  <c r="GS22" i="12"/>
  <c r="GT22" i="12"/>
  <c r="GU22" i="12"/>
  <c r="GV22" i="12"/>
  <c r="GW22" i="12"/>
  <c r="GX22" i="12"/>
  <c r="GY22" i="12"/>
  <c r="GZ22" i="12"/>
  <c r="HA22" i="12"/>
  <c r="HB22" i="12"/>
  <c r="HC22" i="12"/>
  <c r="HD22" i="12"/>
  <c r="HE22" i="12"/>
  <c r="HF22" i="12"/>
  <c r="HG22" i="12"/>
  <c r="HH22" i="12"/>
  <c r="HI22" i="12"/>
  <c r="HJ22" i="12"/>
  <c r="HK22" i="12"/>
  <c r="HL22" i="12"/>
  <c r="HM22" i="12"/>
  <c r="HN22" i="12"/>
  <c r="HO22" i="12"/>
  <c r="HP22" i="12"/>
  <c r="HQ22" i="12"/>
  <c r="HR22" i="12"/>
  <c r="HS22" i="12"/>
  <c r="HT22" i="12"/>
  <c r="HU22" i="12"/>
  <c r="HV22" i="12"/>
  <c r="HW22" i="12"/>
  <c r="HX22" i="12"/>
  <c r="HY22" i="12"/>
  <c r="HZ22" i="12"/>
  <c r="IA22" i="12"/>
  <c r="IB22" i="12"/>
  <c r="IC22" i="12"/>
  <c r="ID22" i="12"/>
  <c r="IE22" i="12"/>
  <c r="IF22" i="12"/>
  <c r="IG22" i="12"/>
  <c r="IH22" i="12"/>
  <c r="II22" i="12"/>
  <c r="IJ22" i="12"/>
  <c r="IK22" i="12"/>
  <c r="IL22" i="12"/>
  <c r="IM22" i="12"/>
  <c r="IN22" i="12"/>
  <c r="IO22" i="12"/>
  <c r="IP22" i="12"/>
  <c r="IQ22" i="12"/>
  <c r="IR22" i="12"/>
  <c r="IS22" i="12"/>
  <c r="IT22" i="12"/>
  <c r="IU22" i="12"/>
  <c r="IV22" i="12"/>
  <c r="F23" i="12"/>
  <c r="G23" i="12"/>
  <c r="H23" i="12"/>
  <c r="I23" i="12"/>
  <c r="J23" i="12"/>
  <c r="K23" i="12"/>
  <c r="L23" i="12"/>
  <c r="M23" i="12"/>
  <c r="N23" i="12"/>
  <c r="O23" i="12"/>
  <c r="P23" i="12"/>
  <c r="Q23" i="12"/>
  <c r="R23" i="12"/>
  <c r="S23" i="12"/>
  <c r="T23" i="12"/>
  <c r="U23" i="12"/>
  <c r="V23" i="12"/>
  <c r="W23" i="12"/>
  <c r="X23" i="12"/>
  <c r="Y23" i="12"/>
  <c r="Z23" i="12"/>
  <c r="AA23" i="12"/>
  <c r="AB23" i="12"/>
  <c r="AC23" i="12"/>
  <c r="AD23" i="12"/>
  <c r="AE23" i="12"/>
  <c r="AF23" i="12"/>
  <c r="AG23" i="12"/>
  <c r="AH23" i="12"/>
  <c r="AI23" i="12"/>
  <c r="AJ23" i="12"/>
  <c r="AK23" i="12"/>
  <c r="AL23" i="12"/>
  <c r="AM23" i="12"/>
  <c r="AN23" i="12"/>
  <c r="AO23" i="12"/>
  <c r="AP23" i="12"/>
  <c r="AQ23" i="12"/>
  <c r="AR23" i="12"/>
  <c r="AS23" i="12"/>
  <c r="AT23" i="12"/>
  <c r="AU23" i="12"/>
  <c r="AV23" i="12"/>
  <c r="AW23" i="12"/>
  <c r="AX23" i="12"/>
  <c r="AY23" i="12"/>
  <c r="AZ23" i="12"/>
  <c r="BA23" i="12"/>
  <c r="BB23" i="12"/>
  <c r="BC23" i="12"/>
  <c r="BD23" i="12"/>
  <c r="BE23" i="12"/>
  <c r="BF23" i="12"/>
  <c r="BG23" i="12"/>
  <c r="BH23" i="12"/>
  <c r="BI23" i="12"/>
  <c r="BJ23" i="12"/>
  <c r="BK23" i="12"/>
  <c r="BL23" i="12"/>
  <c r="BM23" i="12"/>
  <c r="BN23" i="12"/>
  <c r="BO23" i="12"/>
  <c r="BP23" i="12"/>
  <c r="BQ23" i="12"/>
  <c r="BR23" i="12"/>
  <c r="BS23" i="12"/>
  <c r="BT23" i="12"/>
  <c r="BU23" i="12"/>
  <c r="BV23" i="12"/>
  <c r="BW23" i="12"/>
  <c r="BX23" i="12"/>
  <c r="BY23" i="12"/>
  <c r="BZ23" i="12"/>
  <c r="CA23" i="12"/>
  <c r="CB23" i="12"/>
  <c r="CC23" i="12"/>
  <c r="CD23" i="12"/>
  <c r="CE23" i="12"/>
  <c r="CF23" i="12"/>
  <c r="CG23" i="12"/>
  <c r="CH23" i="12"/>
  <c r="CI23" i="12"/>
  <c r="CJ23" i="12"/>
  <c r="CK23" i="12"/>
  <c r="CL23" i="12"/>
  <c r="CM23" i="12"/>
  <c r="CN23" i="12"/>
  <c r="CO23" i="12"/>
  <c r="CP23" i="12"/>
  <c r="CQ23" i="12"/>
  <c r="CR23" i="12"/>
  <c r="CS23" i="12"/>
  <c r="CT23" i="12"/>
  <c r="CU23" i="12"/>
  <c r="CV23" i="12"/>
  <c r="CW23" i="12"/>
  <c r="CX23" i="12"/>
  <c r="CY23" i="12"/>
  <c r="CZ23" i="12"/>
  <c r="DA23" i="12"/>
  <c r="DB23" i="12"/>
  <c r="DC23" i="12"/>
  <c r="DD23" i="12"/>
  <c r="DE23" i="12"/>
  <c r="DF23" i="12"/>
  <c r="DG23" i="12"/>
  <c r="DH23" i="12"/>
  <c r="DI23" i="12"/>
  <c r="DJ23" i="12"/>
  <c r="DK23" i="12"/>
  <c r="DL23" i="12"/>
  <c r="DM23" i="12"/>
  <c r="DN23" i="12"/>
  <c r="DO23" i="12"/>
  <c r="DP23" i="12"/>
  <c r="DQ23" i="12"/>
  <c r="DR23" i="12"/>
  <c r="DS23" i="12"/>
  <c r="DT23" i="12"/>
  <c r="DU23" i="12"/>
  <c r="DV23" i="12"/>
  <c r="DW23" i="12"/>
  <c r="DX23" i="12"/>
  <c r="DY23" i="12"/>
  <c r="DZ23" i="12"/>
  <c r="EA23" i="12"/>
  <c r="EB23" i="12"/>
  <c r="EC23" i="12"/>
  <c r="ED23" i="12"/>
  <c r="EE23" i="12"/>
  <c r="EF23" i="12"/>
  <c r="EG23" i="12"/>
  <c r="EH23" i="12"/>
  <c r="EI23" i="12"/>
  <c r="EJ23" i="12"/>
  <c r="EK23" i="12"/>
  <c r="EL23" i="12"/>
  <c r="EM23" i="12"/>
  <c r="EN23" i="12"/>
  <c r="EO23" i="12"/>
  <c r="EP23" i="12"/>
  <c r="EQ23" i="12"/>
  <c r="ER23" i="12"/>
  <c r="ES23" i="12"/>
  <c r="ET23" i="12"/>
  <c r="EU23" i="12"/>
  <c r="EV23" i="12"/>
  <c r="EW23" i="12"/>
  <c r="EX23" i="12"/>
  <c r="EY23" i="12"/>
  <c r="EZ23" i="12"/>
  <c r="FA23" i="12"/>
  <c r="FB23" i="12"/>
  <c r="FC23" i="12"/>
  <c r="FD23" i="12"/>
  <c r="FE23" i="12"/>
  <c r="FF23" i="12"/>
  <c r="FG23" i="12"/>
  <c r="FH23" i="12"/>
  <c r="FI23" i="12"/>
  <c r="FJ23" i="12"/>
  <c r="FK23" i="12"/>
  <c r="FL23" i="12"/>
  <c r="FM23" i="12"/>
  <c r="FN23" i="12"/>
  <c r="FO23" i="12"/>
  <c r="FP23" i="12"/>
  <c r="FQ23" i="12"/>
  <c r="FR23" i="12"/>
  <c r="FS23" i="12"/>
  <c r="FT23" i="12"/>
  <c r="FU23" i="12"/>
  <c r="FV23" i="12"/>
  <c r="FW23" i="12"/>
  <c r="FX23" i="12"/>
  <c r="FY23" i="12"/>
  <c r="FZ23" i="12"/>
  <c r="GA23" i="12"/>
  <c r="GB23" i="12"/>
  <c r="GC23" i="12"/>
  <c r="GD23" i="12"/>
  <c r="GE23" i="12"/>
  <c r="GF23" i="12"/>
  <c r="GG23" i="12"/>
  <c r="GH23" i="12"/>
  <c r="GI23" i="12"/>
  <c r="GJ23" i="12"/>
  <c r="GK23" i="12"/>
  <c r="GL23" i="12"/>
  <c r="GM23" i="12"/>
  <c r="GN23" i="12"/>
  <c r="GO23" i="12"/>
  <c r="GP23" i="12"/>
  <c r="GQ23" i="12"/>
  <c r="GR23" i="12"/>
  <c r="GS23" i="12"/>
  <c r="GT23" i="12"/>
  <c r="GU23" i="12"/>
  <c r="GV23" i="12"/>
  <c r="GW23" i="12"/>
  <c r="GX23" i="12"/>
  <c r="GY23" i="12"/>
  <c r="GZ23" i="12"/>
  <c r="HA23" i="12"/>
  <c r="HB23" i="12"/>
  <c r="HC23" i="12"/>
  <c r="HD23" i="12"/>
  <c r="HE23" i="12"/>
  <c r="HF23" i="12"/>
  <c r="HG23" i="12"/>
  <c r="HH23" i="12"/>
  <c r="HI23" i="12"/>
  <c r="HJ23" i="12"/>
  <c r="HK23" i="12"/>
  <c r="HL23" i="12"/>
  <c r="HM23" i="12"/>
  <c r="HN23" i="12"/>
  <c r="HO23" i="12"/>
  <c r="HP23" i="12"/>
  <c r="HQ23" i="12"/>
  <c r="HR23" i="12"/>
  <c r="HS23" i="12"/>
  <c r="HT23" i="12"/>
  <c r="HU23" i="12"/>
  <c r="HV23" i="12"/>
  <c r="HW23" i="12"/>
  <c r="HX23" i="12"/>
  <c r="HY23" i="12"/>
  <c r="HZ23" i="12"/>
  <c r="IA23" i="12"/>
  <c r="IB23" i="12"/>
  <c r="IC23" i="12"/>
  <c r="ID23" i="12"/>
  <c r="IE23" i="12"/>
  <c r="IF23" i="12"/>
  <c r="IG23" i="12"/>
  <c r="IH23" i="12"/>
  <c r="II23" i="12"/>
  <c r="IJ23" i="12"/>
  <c r="IK23" i="12"/>
  <c r="IL23" i="12"/>
  <c r="IM23" i="12"/>
  <c r="IN23" i="12"/>
  <c r="IO23" i="12"/>
  <c r="IP23" i="12"/>
  <c r="IQ23" i="12"/>
  <c r="IR23" i="12"/>
  <c r="IS23" i="12"/>
  <c r="IT23" i="12"/>
  <c r="IU23" i="12"/>
  <c r="IV23" i="12"/>
  <c r="F24" i="12"/>
  <c r="G24" i="12"/>
  <c r="H24" i="12"/>
  <c r="I24" i="12"/>
  <c r="J24" i="12"/>
  <c r="K24" i="12"/>
  <c r="L24" i="12"/>
  <c r="M24" i="12"/>
  <c r="N24" i="12"/>
  <c r="O24" i="12"/>
  <c r="P24" i="12"/>
  <c r="Q24" i="12"/>
  <c r="R24" i="12"/>
  <c r="S24" i="12"/>
  <c r="T24" i="12"/>
  <c r="U24" i="12"/>
  <c r="V24" i="12"/>
  <c r="W24" i="12"/>
  <c r="X24" i="12"/>
  <c r="Y24" i="12"/>
  <c r="Z24" i="12"/>
  <c r="AA24" i="12"/>
  <c r="AB24" i="12"/>
  <c r="AC24" i="12"/>
  <c r="AD24" i="12"/>
  <c r="AE24" i="12"/>
  <c r="AF24" i="12"/>
  <c r="AG24" i="12"/>
  <c r="AH24" i="12"/>
  <c r="AI24" i="12"/>
  <c r="AJ24" i="12"/>
  <c r="AK24" i="12"/>
  <c r="AL24" i="12"/>
  <c r="AM24" i="12"/>
  <c r="AN24" i="12"/>
  <c r="AO24" i="12"/>
  <c r="AP24" i="12"/>
  <c r="AQ24" i="12"/>
  <c r="AR24" i="12"/>
  <c r="AS24" i="12"/>
  <c r="AT24" i="12"/>
  <c r="AU24" i="12"/>
  <c r="AV24" i="12"/>
  <c r="AW24" i="12"/>
  <c r="AX24" i="12"/>
  <c r="AY24" i="12"/>
  <c r="AZ24" i="12"/>
  <c r="BA24" i="12"/>
  <c r="BB24" i="12"/>
  <c r="BC24" i="12"/>
  <c r="BD24" i="12"/>
  <c r="BE24" i="12"/>
  <c r="BF24" i="12"/>
  <c r="BG24" i="12"/>
  <c r="BH24" i="12"/>
  <c r="BI24" i="12"/>
  <c r="BJ24" i="12"/>
  <c r="BK24" i="12"/>
  <c r="BL24" i="12"/>
  <c r="BM24" i="12"/>
  <c r="BN24" i="12"/>
  <c r="BO24" i="12"/>
  <c r="BP24" i="12"/>
  <c r="BQ24" i="12"/>
  <c r="BR24" i="12"/>
  <c r="BS24" i="12"/>
  <c r="BT24" i="12"/>
  <c r="BU24" i="12"/>
  <c r="BV24" i="12"/>
  <c r="BW24" i="12"/>
  <c r="BX24" i="12"/>
  <c r="BY24" i="12"/>
  <c r="BZ24" i="12"/>
  <c r="CA24" i="12"/>
  <c r="CB24" i="12"/>
  <c r="CC24" i="12"/>
  <c r="CD24" i="12"/>
  <c r="CE24" i="12"/>
  <c r="CF24" i="12"/>
  <c r="CG24" i="12"/>
  <c r="CH24" i="12"/>
  <c r="CI24" i="12"/>
  <c r="CJ24" i="12"/>
  <c r="CK24" i="12"/>
  <c r="CL24" i="12"/>
  <c r="CM24" i="12"/>
  <c r="CN24" i="12"/>
  <c r="CO24" i="12"/>
  <c r="CP24" i="12"/>
  <c r="CQ24" i="12"/>
  <c r="CR24" i="12"/>
  <c r="CS24" i="12"/>
  <c r="CT24" i="12"/>
  <c r="CU24" i="12"/>
  <c r="CV24" i="12"/>
  <c r="CW24" i="12"/>
  <c r="CX24" i="12"/>
  <c r="CY24" i="12"/>
  <c r="CZ24" i="12"/>
  <c r="DA24" i="12"/>
  <c r="DB24" i="12"/>
  <c r="DC24" i="12"/>
  <c r="DD24" i="12"/>
  <c r="DE24" i="12"/>
  <c r="DF24" i="12"/>
  <c r="DG24" i="12"/>
  <c r="DH24" i="12"/>
  <c r="DI24" i="12"/>
  <c r="DJ24" i="12"/>
  <c r="DK24" i="12"/>
  <c r="DL24" i="12"/>
  <c r="DM24" i="12"/>
  <c r="DN24" i="12"/>
  <c r="DO24" i="12"/>
  <c r="DP24" i="12"/>
  <c r="DQ24" i="12"/>
  <c r="DR24" i="12"/>
  <c r="DS24" i="12"/>
  <c r="DT24" i="12"/>
  <c r="DU24" i="12"/>
  <c r="DV24" i="12"/>
  <c r="DW24" i="12"/>
  <c r="DX24" i="12"/>
  <c r="DY24" i="12"/>
  <c r="DZ24" i="12"/>
  <c r="EA24" i="12"/>
  <c r="EB24" i="12"/>
  <c r="EC24" i="12"/>
  <c r="ED24" i="12"/>
  <c r="EE24" i="12"/>
  <c r="EF24" i="12"/>
  <c r="EG24" i="12"/>
  <c r="EH24" i="12"/>
  <c r="EI24" i="12"/>
  <c r="EJ24" i="12"/>
  <c r="EK24" i="12"/>
  <c r="EL24" i="12"/>
  <c r="EM24" i="12"/>
  <c r="EN24" i="12"/>
  <c r="EO24" i="12"/>
  <c r="EP24" i="12"/>
  <c r="EQ24" i="12"/>
  <c r="ER24" i="12"/>
  <c r="ES24" i="12"/>
  <c r="ET24" i="12"/>
  <c r="EU24" i="12"/>
  <c r="EV24" i="12"/>
  <c r="EW24" i="12"/>
  <c r="EX24" i="12"/>
  <c r="EY24" i="12"/>
  <c r="EZ24" i="12"/>
  <c r="FA24" i="12"/>
  <c r="FB24" i="12"/>
  <c r="FC24" i="12"/>
  <c r="FD24" i="12"/>
  <c r="FE24" i="12"/>
  <c r="FF24" i="12"/>
  <c r="FG24" i="12"/>
  <c r="FH24" i="12"/>
  <c r="FI24" i="12"/>
  <c r="FJ24" i="12"/>
  <c r="FK24" i="12"/>
  <c r="FL24" i="12"/>
  <c r="FM24" i="12"/>
  <c r="FN24" i="12"/>
  <c r="FO24" i="12"/>
  <c r="FP24" i="12"/>
  <c r="FQ24" i="12"/>
  <c r="FR24" i="12"/>
  <c r="FS24" i="12"/>
  <c r="FT24" i="12"/>
  <c r="FU24" i="12"/>
  <c r="FV24" i="12"/>
  <c r="FW24" i="12"/>
  <c r="FX24" i="12"/>
  <c r="FY24" i="12"/>
  <c r="FZ24" i="12"/>
  <c r="GA24" i="12"/>
  <c r="GB24" i="12"/>
  <c r="GC24" i="12"/>
  <c r="GD24" i="12"/>
  <c r="GE24" i="12"/>
  <c r="GF24" i="12"/>
  <c r="GG24" i="12"/>
  <c r="GH24" i="12"/>
  <c r="GI24" i="12"/>
  <c r="GJ24" i="12"/>
  <c r="GK24" i="12"/>
  <c r="GL24" i="12"/>
  <c r="GM24" i="12"/>
  <c r="GN24" i="12"/>
  <c r="GO24" i="12"/>
  <c r="GP24" i="12"/>
  <c r="GQ24" i="12"/>
  <c r="GR24" i="12"/>
  <c r="GS24" i="12"/>
  <c r="GT24" i="12"/>
  <c r="GU24" i="12"/>
  <c r="GV24" i="12"/>
  <c r="GW24" i="12"/>
  <c r="GX24" i="12"/>
  <c r="GY24" i="12"/>
  <c r="GZ24" i="12"/>
  <c r="HA24" i="12"/>
  <c r="HB24" i="12"/>
  <c r="HC24" i="12"/>
  <c r="HD24" i="12"/>
  <c r="HE24" i="12"/>
  <c r="HF24" i="12"/>
  <c r="HG24" i="12"/>
  <c r="HH24" i="12"/>
  <c r="HI24" i="12"/>
  <c r="HJ24" i="12"/>
  <c r="HK24" i="12"/>
  <c r="HL24" i="12"/>
  <c r="HM24" i="12"/>
  <c r="HN24" i="12"/>
  <c r="HO24" i="12"/>
  <c r="HP24" i="12"/>
  <c r="HQ24" i="12"/>
  <c r="HR24" i="12"/>
  <c r="HS24" i="12"/>
  <c r="HT24" i="12"/>
  <c r="HU24" i="12"/>
  <c r="HV24" i="12"/>
  <c r="HW24" i="12"/>
  <c r="HX24" i="12"/>
  <c r="HY24" i="12"/>
  <c r="HZ24" i="12"/>
  <c r="IA24" i="12"/>
  <c r="IB24" i="12"/>
  <c r="IC24" i="12"/>
  <c r="ID24" i="12"/>
  <c r="IE24" i="12"/>
  <c r="IF24" i="12"/>
  <c r="IG24" i="12"/>
  <c r="IH24" i="12"/>
  <c r="II24" i="12"/>
  <c r="IJ24" i="12"/>
  <c r="IK24" i="12"/>
  <c r="IL24" i="12"/>
  <c r="IM24" i="12"/>
  <c r="IN24" i="12"/>
  <c r="IO24" i="12"/>
  <c r="IP24" i="12"/>
  <c r="IQ24" i="12"/>
  <c r="IR24" i="12"/>
  <c r="IS24" i="12"/>
  <c r="IT24" i="12"/>
  <c r="IU24" i="12"/>
  <c r="IV24" i="12"/>
  <c r="F25" i="12"/>
  <c r="G25" i="12"/>
  <c r="H25" i="12"/>
  <c r="I25" i="12"/>
  <c r="J25" i="12"/>
  <c r="K25" i="12"/>
  <c r="L25" i="12"/>
  <c r="M25" i="12"/>
  <c r="N25" i="12"/>
  <c r="O25" i="12"/>
  <c r="P25" i="12"/>
  <c r="Q25" i="12"/>
  <c r="R25" i="12"/>
  <c r="S25" i="12"/>
  <c r="T25" i="12"/>
  <c r="U25" i="12"/>
  <c r="V25" i="12"/>
  <c r="W25" i="12"/>
  <c r="X25" i="12"/>
  <c r="Y25" i="12"/>
  <c r="Z25" i="12"/>
  <c r="AA25" i="12"/>
  <c r="AB25" i="12"/>
  <c r="AC25" i="12"/>
  <c r="AD25" i="12"/>
  <c r="AE25" i="12"/>
  <c r="AF25" i="12"/>
  <c r="AG25" i="12"/>
  <c r="AH25" i="12"/>
  <c r="AI25" i="12"/>
  <c r="AJ25" i="12"/>
  <c r="AK25" i="12"/>
  <c r="AL25" i="12"/>
  <c r="AM25" i="12"/>
  <c r="AN25" i="12"/>
  <c r="AO25" i="12"/>
  <c r="AP25" i="12"/>
  <c r="AQ25" i="12"/>
  <c r="AR25" i="12"/>
  <c r="AS25" i="12"/>
  <c r="AT25" i="12"/>
  <c r="AU25" i="12"/>
  <c r="AV25" i="12"/>
  <c r="AW25" i="12"/>
  <c r="AX25" i="12"/>
  <c r="AY25" i="12"/>
  <c r="AZ25" i="12"/>
  <c r="BA25" i="12"/>
  <c r="BB25" i="12"/>
  <c r="BC25" i="12"/>
  <c r="BD25" i="12"/>
  <c r="BE25" i="12"/>
  <c r="BF25" i="12"/>
  <c r="BG25" i="12"/>
  <c r="BH25" i="12"/>
  <c r="BI25" i="12"/>
  <c r="BJ25" i="12"/>
  <c r="BK25" i="12"/>
  <c r="BL25" i="12"/>
  <c r="BM25" i="12"/>
  <c r="BN25" i="12"/>
  <c r="BO25" i="12"/>
  <c r="BP25" i="12"/>
  <c r="BQ25" i="12"/>
  <c r="BR25" i="12"/>
  <c r="BS25" i="12"/>
  <c r="BT25" i="12"/>
  <c r="BU25" i="12"/>
  <c r="BV25" i="12"/>
  <c r="BW25" i="12"/>
  <c r="BX25" i="12"/>
  <c r="BY25" i="12"/>
  <c r="BZ25" i="12"/>
  <c r="CA25" i="12"/>
  <c r="CB25" i="12"/>
  <c r="CC25" i="12"/>
  <c r="CD25" i="12"/>
  <c r="CE25" i="12"/>
  <c r="CF25" i="12"/>
  <c r="CG25" i="12"/>
  <c r="CH25" i="12"/>
  <c r="CI25" i="12"/>
  <c r="CJ25" i="12"/>
  <c r="CK25" i="12"/>
  <c r="CL25" i="12"/>
  <c r="CM25" i="12"/>
  <c r="CN25" i="12"/>
  <c r="CO25" i="12"/>
  <c r="CP25" i="12"/>
  <c r="CQ25" i="12"/>
  <c r="CR25" i="12"/>
  <c r="CS25" i="12"/>
  <c r="CT25" i="12"/>
  <c r="CU25" i="12"/>
  <c r="CV25" i="12"/>
  <c r="CW25" i="12"/>
  <c r="CX25" i="12"/>
  <c r="CY25" i="12"/>
  <c r="CZ25" i="12"/>
  <c r="DA25" i="12"/>
  <c r="DB25" i="12"/>
  <c r="DC25" i="12"/>
  <c r="DD25" i="12"/>
  <c r="DE25" i="12"/>
  <c r="DF25" i="12"/>
  <c r="DG25" i="12"/>
  <c r="DH25" i="12"/>
  <c r="DI25" i="12"/>
  <c r="DJ25" i="12"/>
  <c r="DK25" i="12"/>
  <c r="DL25" i="12"/>
  <c r="DM25" i="12"/>
  <c r="DN25" i="12"/>
  <c r="DO25" i="12"/>
  <c r="DP25" i="12"/>
  <c r="DQ25" i="12"/>
  <c r="DR25" i="12"/>
  <c r="DS25" i="12"/>
  <c r="DT25" i="12"/>
  <c r="DU25" i="12"/>
  <c r="DV25" i="12"/>
  <c r="DW25" i="12"/>
  <c r="DX25" i="12"/>
  <c r="DY25" i="12"/>
  <c r="DZ25" i="12"/>
  <c r="EA25" i="12"/>
  <c r="EB25" i="12"/>
  <c r="EC25" i="12"/>
  <c r="ED25" i="12"/>
  <c r="EE25" i="12"/>
  <c r="EF25" i="12"/>
  <c r="EG25" i="12"/>
  <c r="EH25" i="12"/>
  <c r="EI25" i="12"/>
  <c r="EJ25" i="12"/>
  <c r="EK25" i="12"/>
  <c r="EL25" i="12"/>
  <c r="EM25" i="12"/>
  <c r="EN25" i="12"/>
  <c r="EO25" i="12"/>
  <c r="EP25" i="12"/>
  <c r="EQ25" i="12"/>
  <c r="ER25" i="12"/>
  <c r="ES25" i="12"/>
  <c r="ET25" i="12"/>
  <c r="EU25" i="12"/>
  <c r="EV25" i="12"/>
  <c r="EW25" i="12"/>
  <c r="EX25" i="12"/>
  <c r="EY25" i="12"/>
  <c r="EZ25" i="12"/>
  <c r="FA25" i="12"/>
  <c r="FB25" i="12"/>
  <c r="FC25" i="12"/>
  <c r="FD25" i="12"/>
  <c r="FE25" i="12"/>
  <c r="FF25" i="12"/>
  <c r="FG25" i="12"/>
  <c r="FH25" i="12"/>
  <c r="FI25" i="12"/>
  <c r="FJ25" i="12"/>
  <c r="FK25" i="12"/>
  <c r="FL25" i="12"/>
  <c r="FM25" i="12"/>
  <c r="FN25" i="12"/>
  <c r="FO25" i="12"/>
  <c r="FP25" i="12"/>
  <c r="FQ25" i="12"/>
  <c r="FR25" i="12"/>
  <c r="FS25" i="12"/>
  <c r="FT25" i="12"/>
  <c r="FU25" i="12"/>
  <c r="FV25" i="12"/>
  <c r="FW25" i="12"/>
  <c r="FX25" i="12"/>
  <c r="FY25" i="12"/>
  <c r="FZ25" i="12"/>
  <c r="GA25" i="12"/>
  <c r="GB25" i="12"/>
  <c r="GC25" i="12"/>
  <c r="GD25" i="12"/>
  <c r="GE25" i="12"/>
  <c r="GF25" i="12"/>
  <c r="GG25" i="12"/>
  <c r="GH25" i="12"/>
  <c r="GI25" i="12"/>
  <c r="GJ25" i="12"/>
  <c r="GK25" i="12"/>
  <c r="GL25" i="12"/>
  <c r="GM25" i="12"/>
  <c r="GN25" i="12"/>
  <c r="GO25" i="12"/>
  <c r="GP25" i="12"/>
  <c r="GQ25" i="12"/>
  <c r="GR25" i="12"/>
  <c r="GS25" i="12"/>
  <c r="GT25" i="12"/>
  <c r="GU25" i="12"/>
  <c r="GV25" i="12"/>
  <c r="GW25" i="12"/>
  <c r="GX25" i="12"/>
  <c r="GY25" i="12"/>
  <c r="GZ25" i="12"/>
  <c r="HA25" i="12"/>
  <c r="HB25" i="12"/>
  <c r="HC25" i="12"/>
  <c r="HD25" i="12"/>
  <c r="HE25" i="12"/>
  <c r="HF25" i="12"/>
  <c r="HG25" i="12"/>
  <c r="HH25" i="12"/>
  <c r="HI25" i="12"/>
  <c r="HJ25" i="12"/>
  <c r="HK25" i="12"/>
  <c r="HL25" i="12"/>
  <c r="HM25" i="12"/>
  <c r="HN25" i="12"/>
  <c r="HO25" i="12"/>
  <c r="HP25" i="12"/>
  <c r="HQ25" i="12"/>
  <c r="HR25" i="12"/>
  <c r="HS25" i="12"/>
  <c r="HT25" i="12"/>
  <c r="HU25" i="12"/>
  <c r="HV25" i="12"/>
  <c r="HW25" i="12"/>
  <c r="HX25" i="12"/>
  <c r="HY25" i="12"/>
  <c r="HZ25" i="12"/>
  <c r="IA25" i="12"/>
  <c r="IB25" i="12"/>
  <c r="IC25" i="12"/>
  <c r="ID25" i="12"/>
  <c r="IE25" i="12"/>
  <c r="IF25" i="12"/>
  <c r="IG25" i="12"/>
  <c r="IH25" i="12"/>
  <c r="II25" i="12"/>
  <c r="IJ25" i="12"/>
  <c r="IK25" i="12"/>
  <c r="IL25" i="12"/>
  <c r="IM25" i="12"/>
  <c r="IN25" i="12"/>
  <c r="IO25" i="12"/>
  <c r="IP25" i="12"/>
  <c r="IQ25" i="12"/>
  <c r="IR25" i="12"/>
  <c r="IS25" i="12"/>
  <c r="IT25" i="12"/>
  <c r="IU25" i="12"/>
  <c r="IV25" i="12"/>
  <c r="F26" i="12"/>
  <c r="G26" i="12"/>
  <c r="H26" i="12"/>
  <c r="I26" i="12"/>
  <c r="J26" i="12"/>
  <c r="K26" i="12"/>
  <c r="L26" i="12"/>
  <c r="M26" i="12"/>
  <c r="N26" i="12"/>
  <c r="O26" i="12"/>
  <c r="P26" i="12"/>
  <c r="Q26" i="12"/>
  <c r="R26" i="12"/>
  <c r="S26" i="12"/>
  <c r="T26" i="12"/>
  <c r="U26" i="12"/>
  <c r="V26" i="12"/>
  <c r="W26" i="12"/>
  <c r="X26" i="12"/>
  <c r="Y26" i="12"/>
  <c r="Z26" i="12"/>
  <c r="AA26" i="12"/>
  <c r="AB26" i="12"/>
  <c r="AC26" i="12"/>
  <c r="AD26" i="12"/>
  <c r="AE26" i="12"/>
  <c r="AF26" i="12"/>
  <c r="AG26" i="12"/>
  <c r="AH26" i="12"/>
  <c r="AI26" i="12"/>
  <c r="AJ26" i="12"/>
  <c r="AK26" i="12"/>
  <c r="AL26" i="12"/>
  <c r="AM26" i="12"/>
  <c r="AN26" i="12"/>
  <c r="AO26" i="12"/>
  <c r="AP26" i="12"/>
  <c r="AQ26" i="12"/>
  <c r="AR26" i="12"/>
  <c r="AS26" i="12"/>
  <c r="AT26" i="12"/>
  <c r="AU26" i="12"/>
  <c r="AV26" i="12"/>
  <c r="AW26" i="12"/>
  <c r="AX26" i="12"/>
  <c r="AY26" i="12"/>
  <c r="AZ26" i="12"/>
  <c r="BA26" i="12"/>
  <c r="BB26" i="12"/>
  <c r="BC26" i="12"/>
  <c r="BD26" i="12"/>
  <c r="BE26" i="12"/>
  <c r="BF26" i="12"/>
  <c r="BG26" i="12"/>
  <c r="BH26" i="12"/>
  <c r="BI26" i="12"/>
  <c r="BJ26" i="12"/>
  <c r="BK26" i="12"/>
  <c r="BL26" i="12"/>
  <c r="BM26" i="12"/>
  <c r="BN26" i="12"/>
  <c r="BO26" i="12"/>
  <c r="BP26" i="12"/>
  <c r="BQ26" i="12"/>
  <c r="BR26" i="12"/>
  <c r="BS26" i="12"/>
  <c r="BT26" i="12"/>
  <c r="BU26" i="12"/>
  <c r="BV26" i="12"/>
  <c r="BW26" i="12"/>
  <c r="BX26" i="12"/>
  <c r="BY26" i="12"/>
  <c r="BZ26" i="12"/>
  <c r="CA26" i="12"/>
  <c r="CB26" i="12"/>
  <c r="CC26" i="12"/>
  <c r="CD26" i="12"/>
  <c r="CE26" i="12"/>
  <c r="CF26" i="12"/>
  <c r="CG26" i="12"/>
  <c r="CH26" i="12"/>
  <c r="CI26" i="12"/>
  <c r="CJ26" i="12"/>
  <c r="CK26" i="12"/>
  <c r="CL26" i="12"/>
  <c r="CM26" i="12"/>
  <c r="CN26" i="12"/>
  <c r="CO26" i="12"/>
  <c r="CP26" i="12"/>
  <c r="CQ26" i="12"/>
  <c r="CR26" i="12"/>
  <c r="CS26" i="12"/>
  <c r="CT26" i="12"/>
  <c r="CU26" i="12"/>
  <c r="CV26" i="12"/>
  <c r="CW26" i="12"/>
  <c r="CX26" i="12"/>
  <c r="CY26" i="12"/>
  <c r="CZ26" i="12"/>
  <c r="DA26" i="12"/>
  <c r="DB26" i="12"/>
  <c r="DC26" i="12"/>
  <c r="DD26" i="12"/>
  <c r="DE26" i="12"/>
  <c r="DF26" i="12"/>
  <c r="DG26" i="12"/>
  <c r="DH26" i="12"/>
  <c r="DI26" i="12"/>
  <c r="DJ26" i="12"/>
  <c r="DK26" i="12"/>
  <c r="DL26" i="12"/>
  <c r="DM26" i="12"/>
  <c r="DN26" i="12"/>
  <c r="DO26" i="12"/>
  <c r="DP26" i="12"/>
  <c r="DQ26" i="12"/>
  <c r="DR26" i="12"/>
  <c r="DS26" i="12"/>
  <c r="DT26" i="12"/>
  <c r="DU26" i="12"/>
  <c r="DV26" i="12"/>
  <c r="DW26" i="12"/>
  <c r="DX26" i="12"/>
  <c r="DY26" i="12"/>
  <c r="DZ26" i="12"/>
  <c r="EA26" i="12"/>
  <c r="EB26" i="12"/>
  <c r="EC26" i="12"/>
  <c r="ED26" i="12"/>
  <c r="EE26" i="12"/>
  <c r="EF26" i="12"/>
  <c r="EG26" i="12"/>
  <c r="EH26" i="12"/>
  <c r="EI26" i="12"/>
  <c r="EJ26" i="12"/>
  <c r="EK26" i="12"/>
  <c r="EL26" i="12"/>
  <c r="EM26" i="12"/>
  <c r="EN26" i="12"/>
  <c r="EO26" i="12"/>
  <c r="EP26" i="12"/>
  <c r="EQ26" i="12"/>
  <c r="ER26" i="12"/>
  <c r="ES26" i="12"/>
  <c r="ET26" i="12"/>
  <c r="EU26" i="12"/>
  <c r="EV26" i="12"/>
  <c r="EW26" i="12"/>
  <c r="EX26" i="12"/>
  <c r="EY26" i="12"/>
  <c r="EZ26" i="12"/>
  <c r="FA26" i="12"/>
  <c r="FB26" i="12"/>
  <c r="FC26" i="12"/>
  <c r="FD26" i="12"/>
  <c r="FE26" i="12"/>
  <c r="FF26" i="12"/>
  <c r="FG26" i="12"/>
  <c r="FH26" i="12"/>
  <c r="FI26" i="12"/>
  <c r="FJ26" i="12"/>
  <c r="FK26" i="12"/>
  <c r="FL26" i="12"/>
  <c r="FM26" i="12"/>
  <c r="FN26" i="12"/>
  <c r="FO26" i="12"/>
  <c r="FP26" i="12"/>
  <c r="FQ26" i="12"/>
  <c r="FR26" i="12"/>
  <c r="FS26" i="12"/>
  <c r="FT26" i="12"/>
  <c r="FU26" i="12"/>
  <c r="FV26" i="12"/>
  <c r="FW26" i="12"/>
  <c r="FX26" i="12"/>
  <c r="FY26" i="12"/>
  <c r="FZ26" i="12"/>
  <c r="GA26" i="12"/>
  <c r="GB26" i="12"/>
  <c r="GC26" i="12"/>
  <c r="GD26" i="12"/>
  <c r="GE26" i="12"/>
  <c r="GF26" i="12"/>
  <c r="GG26" i="12"/>
  <c r="GH26" i="12"/>
  <c r="GI26" i="12"/>
  <c r="GJ26" i="12"/>
  <c r="GK26" i="12"/>
  <c r="GL26" i="12"/>
  <c r="GM26" i="12"/>
  <c r="GN26" i="12"/>
  <c r="GO26" i="12"/>
  <c r="GP26" i="12"/>
  <c r="GQ26" i="12"/>
  <c r="GR26" i="12"/>
  <c r="GS26" i="12"/>
  <c r="GT26" i="12"/>
  <c r="GU26" i="12"/>
  <c r="GV26" i="12"/>
  <c r="GW26" i="12"/>
  <c r="GX26" i="12"/>
  <c r="GY26" i="12"/>
  <c r="GZ26" i="12"/>
  <c r="HA26" i="12"/>
  <c r="HB26" i="12"/>
  <c r="HC26" i="12"/>
  <c r="HD26" i="12"/>
  <c r="HE26" i="12"/>
  <c r="HF26" i="12"/>
  <c r="HG26" i="12"/>
  <c r="HH26" i="12"/>
  <c r="HI26" i="12"/>
  <c r="HJ26" i="12"/>
  <c r="HK26" i="12"/>
  <c r="HL26" i="12"/>
  <c r="HM26" i="12"/>
  <c r="HN26" i="12"/>
  <c r="HO26" i="12"/>
  <c r="HP26" i="12"/>
  <c r="HQ26" i="12"/>
  <c r="HR26" i="12"/>
  <c r="HS26" i="12"/>
  <c r="HT26" i="12"/>
  <c r="HU26" i="12"/>
  <c r="HV26" i="12"/>
  <c r="HW26" i="12"/>
  <c r="HX26" i="12"/>
  <c r="HY26" i="12"/>
  <c r="HZ26" i="12"/>
  <c r="IA26" i="12"/>
  <c r="IB26" i="12"/>
  <c r="IC26" i="12"/>
  <c r="ID26" i="12"/>
  <c r="IE26" i="12"/>
  <c r="IF26" i="12"/>
  <c r="IG26" i="12"/>
  <c r="IH26" i="12"/>
  <c r="II26" i="12"/>
  <c r="IJ26" i="12"/>
  <c r="IK26" i="12"/>
  <c r="IL26" i="12"/>
  <c r="IM26" i="12"/>
  <c r="IN26" i="12"/>
  <c r="IO26" i="12"/>
  <c r="IP26" i="12"/>
  <c r="IQ26" i="12"/>
  <c r="IR26" i="12"/>
  <c r="IS26" i="12"/>
  <c r="IT26" i="12"/>
  <c r="IU26" i="12"/>
  <c r="IV26" i="12"/>
  <c r="F27" i="12"/>
  <c r="G27" i="12"/>
  <c r="H27" i="12"/>
  <c r="I27" i="12"/>
  <c r="J27" i="12"/>
  <c r="K27" i="12"/>
  <c r="L27" i="12"/>
  <c r="M27" i="12"/>
  <c r="N27" i="12"/>
  <c r="O27" i="12"/>
  <c r="P27" i="12"/>
  <c r="Q27" i="12"/>
  <c r="R27" i="12"/>
  <c r="S27" i="12"/>
  <c r="T27" i="12"/>
  <c r="U27" i="12"/>
  <c r="V27" i="12"/>
  <c r="W27" i="12"/>
  <c r="X27" i="12"/>
  <c r="Y27" i="12"/>
  <c r="Z27" i="12"/>
  <c r="AA27" i="12"/>
  <c r="AB27" i="12"/>
  <c r="AC27" i="12"/>
  <c r="AD27" i="12"/>
  <c r="AE27" i="12"/>
  <c r="AF27" i="12"/>
  <c r="AG27" i="12"/>
  <c r="AH27" i="12"/>
  <c r="AI27" i="12"/>
  <c r="AJ27" i="12"/>
  <c r="AK27" i="12"/>
  <c r="AL27" i="12"/>
  <c r="AM27" i="12"/>
  <c r="AN27" i="12"/>
  <c r="AO27" i="12"/>
  <c r="AP27" i="12"/>
  <c r="AQ27" i="12"/>
  <c r="AR27" i="12"/>
  <c r="AS27" i="12"/>
  <c r="AT27" i="12"/>
  <c r="AU27" i="12"/>
  <c r="AV27" i="12"/>
  <c r="AW27" i="12"/>
  <c r="AX27" i="12"/>
  <c r="AY27" i="12"/>
  <c r="AZ27" i="12"/>
  <c r="BA27" i="12"/>
  <c r="BB27" i="12"/>
  <c r="BC27" i="12"/>
  <c r="BD27" i="12"/>
  <c r="BE27" i="12"/>
  <c r="BF27" i="12"/>
  <c r="BG27" i="12"/>
  <c r="BH27" i="12"/>
  <c r="BI27" i="12"/>
  <c r="BJ27" i="12"/>
  <c r="BK27" i="12"/>
  <c r="BL27" i="12"/>
  <c r="BM27" i="12"/>
  <c r="BN27" i="12"/>
  <c r="BO27" i="12"/>
  <c r="BP27" i="12"/>
  <c r="BQ27" i="12"/>
  <c r="BR27" i="12"/>
  <c r="BS27" i="12"/>
  <c r="BT27" i="12"/>
  <c r="BU27" i="12"/>
  <c r="BV27" i="12"/>
  <c r="BW27" i="12"/>
  <c r="BX27" i="12"/>
  <c r="BY27" i="12"/>
  <c r="BZ27" i="12"/>
  <c r="CA27" i="12"/>
  <c r="CB27" i="12"/>
  <c r="CC27" i="12"/>
  <c r="CD27" i="12"/>
  <c r="CE27" i="12"/>
  <c r="CF27" i="12"/>
  <c r="CG27" i="12"/>
  <c r="CH27" i="12"/>
  <c r="CI27" i="12"/>
  <c r="CJ27" i="12"/>
  <c r="CK27" i="12"/>
  <c r="CL27" i="12"/>
  <c r="CM27" i="12"/>
  <c r="CN27" i="12"/>
  <c r="CO27" i="12"/>
  <c r="CP27" i="12"/>
  <c r="CQ27" i="12"/>
  <c r="CR27" i="12"/>
  <c r="CS27" i="12"/>
  <c r="CT27" i="12"/>
  <c r="CU27" i="12"/>
  <c r="CV27" i="12"/>
  <c r="CW27" i="12"/>
  <c r="CX27" i="12"/>
  <c r="CY27" i="12"/>
  <c r="CZ27" i="12"/>
  <c r="DA27" i="12"/>
  <c r="DB27" i="12"/>
  <c r="DC27" i="12"/>
  <c r="DD27" i="12"/>
  <c r="DE27" i="12"/>
  <c r="DF27" i="12"/>
  <c r="DG27" i="12"/>
  <c r="DH27" i="12"/>
  <c r="DI27" i="12"/>
  <c r="DJ27" i="12"/>
  <c r="DK27" i="12"/>
  <c r="DL27" i="12"/>
  <c r="DM27" i="12"/>
  <c r="DN27" i="12"/>
  <c r="DO27" i="12"/>
  <c r="DP27" i="12"/>
  <c r="DQ27" i="12"/>
  <c r="DR27" i="12"/>
  <c r="DS27" i="12"/>
  <c r="DT27" i="12"/>
  <c r="DU27" i="12"/>
  <c r="DV27" i="12"/>
  <c r="DW27" i="12"/>
  <c r="DX27" i="12"/>
  <c r="DY27" i="12"/>
  <c r="DZ27" i="12"/>
  <c r="EA27" i="12"/>
  <c r="EB27" i="12"/>
  <c r="EC27" i="12"/>
  <c r="ED27" i="12"/>
  <c r="EE27" i="12"/>
  <c r="EF27" i="12"/>
  <c r="EG27" i="12"/>
  <c r="EH27" i="12"/>
  <c r="EI27" i="12"/>
  <c r="EJ27" i="12"/>
  <c r="EK27" i="12"/>
  <c r="EL27" i="12"/>
  <c r="EM27" i="12"/>
  <c r="EN27" i="12"/>
  <c r="EO27" i="12"/>
  <c r="EP27" i="12"/>
  <c r="EQ27" i="12"/>
  <c r="ER27" i="12"/>
  <c r="ES27" i="12"/>
  <c r="ET27" i="12"/>
  <c r="EU27" i="12"/>
  <c r="EV27" i="12"/>
  <c r="EW27" i="12"/>
  <c r="EX27" i="12"/>
  <c r="EY27" i="12"/>
  <c r="EZ27" i="12"/>
  <c r="FA27" i="12"/>
  <c r="FB27" i="12"/>
  <c r="FC27" i="12"/>
  <c r="FD27" i="12"/>
  <c r="FE27" i="12"/>
  <c r="FF27" i="12"/>
  <c r="FG27" i="12"/>
  <c r="FH27" i="12"/>
  <c r="FI27" i="12"/>
  <c r="FJ27" i="12"/>
  <c r="FK27" i="12"/>
  <c r="FL27" i="12"/>
  <c r="FM27" i="12"/>
  <c r="FN27" i="12"/>
  <c r="FO27" i="12"/>
  <c r="FP27" i="12"/>
  <c r="FQ27" i="12"/>
  <c r="FR27" i="12"/>
  <c r="FS27" i="12"/>
  <c r="FT27" i="12"/>
  <c r="FU27" i="12"/>
  <c r="FV27" i="12"/>
  <c r="FW27" i="12"/>
  <c r="FX27" i="12"/>
  <c r="FY27" i="12"/>
  <c r="FZ27" i="12"/>
  <c r="GA27" i="12"/>
  <c r="GB27" i="12"/>
  <c r="GC27" i="12"/>
  <c r="GD27" i="12"/>
  <c r="GE27" i="12"/>
  <c r="GF27" i="12"/>
  <c r="GG27" i="12"/>
  <c r="GH27" i="12"/>
  <c r="GI27" i="12"/>
  <c r="GJ27" i="12"/>
  <c r="GK27" i="12"/>
  <c r="GL27" i="12"/>
  <c r="GM27" i="12"/>
  <c r="GN27" i="12"/>
  <c r="GO27" i="12"/>
  <c r="GP27" i="12"/>
  <c r="GQ27" i="12"/>
  <c r="GR27" i="12"/>
  <c r="GS27" i="12"/>
  <c r="GT27" i="12"/>
  <c r="GU27" i="12"/>
  <c r="GV27" i="12"/>
  <c r="GW27" i="12"/>
  <c r="GX27" i="12"/>
  <c r="GY27" i="12"/>
  <c r="GZ27" i="12"/>
  <c r="HA27" i="12"/>
  <c r="HB27" i="12"/>
  <c r="HC27" i="12"/>
  <c r="HD27" i="12"/>
  <c r="HE27" i="12"/>
  <c r="HF27" i="12"/>
  <c r="HG27" i="12"/>
  <c r="HH27" i="12"/>
  <c r="HI27" i="12"/>
  <c r="HJ27" i="12"/>
  <c r="HK27" i="12"/>
  <c r="HL27" i="12"/>
  <c r="HM27" i="12"/>
  <c r="HN27" i="12"/>
  <c r="HO27" i="12"/>
  <c r="HP27" i="12"/>
  <c r="HQ27" i="12"/>
  <c r="HR27" i="12"/>
  <c r="HS27" i="12"/>
  <c r="HT27" i="12"/>
  <c r="HU27" i="12"/>
  <c r="HV27" i="12"/>
  <c r="HW27" i="12"/>
  <c r="HX27" i="12"/>
  <c r="HY27" i="12"/>
  <c r="HZ27" i="12"/>
  <c r="IA27" i="12"/>
  <c r="IB27" i="12"/>
  <c r="IC27" i="12"/>
  <c r="ID27" i="12"/>
  <c r="IE27" i="12"/>
  <c r="IF27" i="12"/>
  <c r="IG27" i="12"/>
  <c r="IH27" i="12"/>
  <c r="II27" i="12"/>
  <c r="IJ27" i="12"/>
  <c r="IK27" i="12"/>
  <c r="IL27" i="12"/>
  <c r="IM27" i="12"/>
  <c r="IN27" i="12"/>
  <c r="IO27" i="12"/>
  <c r="IP27" i="12"/>
  <c r="IQ27" i="12"/>
  <c r="IR27" i="12"/>
  <c r="IS27" i="12"/>
  <c r="IT27" i="12"/>
  <c r="IU27" i="12"/>
  <c r="IV27" i="12"/>
  <c r="F28" i="12"/>
  <c r="G28" i="12"/>
  <c r="H28" i="12"/>
  <c r="I28" i="12"/>
  <c r="J28" i="12"/>
  <c r="K28" i="12"/>
  <c r="L28" i="12"/>
  <c r="M28" i="12"/>
  <c r="N28" i="12"/>
  <c r="O28" i="12"/>
  <c r="P28" i="12"/>
  <c r="Q28" i="12"/>
  <c r="R28" i="12"/>
  <c r="S28" i="12"/>
  <c r="T28" i="12"/>
  <c r="U28" i="12"/>
  <c r="V28" i="12"/>
  <c r="W28" i="12"/>
  <c r="X28" i="12"/>
  <c r="Y28" i="12"/>
  <c r="Z28" i="12"/>
  <c r="AA28" i="12"/>
  <c r="AB28" i="12"/>
  <c r="AC28" i="12"/>
  <c r="AD28" i="12"/>
  <c r="AE28" i="12"/>
  <c r="AF28" i="12"/>
  <c r="AG28" i="12"/>
  <c r="AH28" i="12"/>
  <c r="AI28" i="12"/>
  <c r="AJ28" i="12"/>
  <c r="AK28" i="12"/>
  <c r="AL28" i="12"/>
  <c r="AM28" i="12"/>
  <c r="AN28" i="12"/>
  <c r="AO28" i="12"/>
  <c r="AP28" i="12"/>
  <c r="AQ28" i="12"/>
  <c r="AR28" i="12"/>
  <c r="AS28" i="12"/>
  <c r="AT28" i="12"/>
  <c r="AU28" i="12"/>
  <c r="AV28" i="12"/>
  <c r="AW28" i="12"/>
  <c r="AX28" i="12"/>
  <c r="AY28" i="12"/>
  <c r="AZ28" i="12"/>
  <c r="BA28" i="12"/>
  <c r="BB28" i="12"/>
  <c r="BC28" i="12"/>
  <c r="BD28" i="12"/>
  <c r="BE28" i="12"/>
  <c r="BF28" i="12"/>
  <c r="BG28" i="12"/>
  <c r="BH28" i="12"/>
  <c r="BI28" i="12"/>
  <c r="BJ28" i="12"/>
  <c r="BK28" i="12"/>
  <c r="BL28" i="12"/>
  <c r="BM28" i="12"/>
  <c r="BN28" i="12"/>
  <c r="BO28" i="12"/>
  <c r="BP28" i="12"/>
  <c r="BQ28" i="12"/>
  <c r="BR28" i="12"/>
  <c r="BS28" i="12"/>
  <c r="BT28" i="12"/>
  <c r="BU28" i="12"/>
  <c r="BV28" i="12"/>
  <c r="BW28" i="12"/>
  <c r="BX28" i="12"/>
  <c r="BY28" i="12"/>
  <c r="BZ28" i="12"/>
  <c r="CA28" i="12"/>
  <c r="CB28" i="12"/>
  <c r="CC28" i="12"/>
  <c r="CD28" i="12"/>
  <c r="CE28" i="12"/>
  <c r="CF28" i="12"/>
  <c r="CG28" i="12"/>
  <c r="CH28" i="12"/>
  <c r="CI28" i="12"/>
  <c r="CJ28" i="12"/>
  <c r="CK28" i="12"/>
  <c r="CL28" i="12"/>
  <c r="CM28" i="12"/>
  <c r="CN28" i="12"/>
  <c r="CO28" i="12"/>
  <c r="CP28" i="12"/>
  <c r="CQ28" i="12"/>
  <c r="CR28" i="12"/>
  <c r="CS28" i="12"/>
  <c r="CT28" i="12"/>
  <c r="CU28" i="12"/>
  <c r="CV28" i="12"/>
  <c r="CW28" i="12"/>
  <c r="CX28" i="12"/>
  <c r="CY28" i="12"/>
  <c r="CZ28" i="12"/>
  <c r="DA28" i="12"/>
  <c r="DB28" i="12"/>
  <c r="DC28" i="12"/>
  <c r="DD28" i="12"/>
  <c r="DE28" i="12"/>
  <c r="DF28" i="12"/>
  <c r="DG28" i="12"/>
  <c r="DH28" i="12"/>
  <c r="DI28" i="12"/>
  <c r="DJ28" i="12"/>
  <c r="DK28" i="12"/>
  <c r="DL28" i="12"/>
  <c r="DM28" i="12"/>
  <c r="DN28" i="12"/>
  <c r="DO28" i="12"/>
  <c r="DP28" i="12"/>
  <c r="DQ28" i="12"/>
  <c r="DR28" i="12"/>
  <c r="DS28" i="12"/>
  <c r="DT28" i="12"/>
  <c r="DU28" i="12"/>
  <c r="DV28" i="12"/>
  <c r="DW28" i="12"/>
  <c r="DX28" i="12"/>
  <c r="DY28" i="12"/>
  <c r="DZ28" i="12"/>
  <c r="EA28" i="12"/>
  <c r="EB28" i="12"/>
  <c r="EC28" i="12"/>
  <c r="ED28" i="12"/>
  <c r="EE28" i="12"/>
  <c r="EF28" i="12"/>
  <c r="EG28" i="12"/>
  <c r="EH28" i="12"/>
  <c r="EI28" i="12"/>
  <c r="EJ28" i="12"/>
  <c r="EK28" i="12"/>
  <c r="EL28" i="12"/>
  <c r="EM28" i="12"/>
  <c r="EN28" i="12"/>
  <c r="EO28" i="12"/>
  <c r="EP28" i="12"/>
  <c r="EQ28" i="12"/>
  <c r="ER28" i="12"/>
  <c r="ES28" i="12"/>
  <c r="ET28" i="12"/>
  <c r="EU28" i="12"/>
  <c r="EV28" i="12"/>
  <c r="EW28" i="12"/>
  <c r="EX28" i="12"/>
  <c r="EY28" i="12"/>
  <c r="EZ28" i="12"/>
  <c r="FA28" i="12"/>
  <c r="FB28" i="12"/>
  <c r="FC28" i="12"/>
  <c r="FD28" i="12"/>
  <c r="FE28" i="12"/>
  <c r="FF28" i="12"/>
  <c r="FG28" i="12"/>
  <c r="FH28" i="12"/>
  <c r="FI28" i="12"/>
  <c r="FJ28" i="12"/>
  <c r="FK28" i="12"/>
  <c r="FL28" i="12"/>
  <c r="FM28" i="12"/>
  <c r="FN28" i="12"/>
  <c r="FO28" i="12"/>
  <c r="FP28" i="12"/>
  <c r="FQ28" i="12"/>
  <c r="FR28" i="12"/>
  <c r="FS28" i="12"/>
  <c r="FT28" i="12"/>
  <c r="FU28" i="12"/>
  <c r="FV28" i="12"/>
  <c r="FW28" i="12"/>
  <c r="FX28" i="12"/>
  <c r="FY28" i="12"/>
  <c r="FZ28" i="12"/>
  <c r="GA28" i="12"/>
  <c r="GB28" i="12"/>
  <c r="GC28" i="12"/>
  <c r="GD28" i="12"/>
  <c r="GE28" i="12"/>
  <c r="GF28" i="12"/>
  <c r="GG28" i="12"/>
  <c r="GH28" i="12"/>
  <c r="GI28" i="12"/>
  <c r="GJ28" i="12"/>
  <c r="GK28" i="12"/>
  <c r="GL28" i="12"/>
  <c r="GM28" i="12"/>
  <c r="GN28" i="12"/>
  <c r="GO28" i="12"/>
  <c r="GP28" i="12"/>
  <c r="GQ28" i="12"/>
  <c r="GR28" i="12"/>
  <c r="GS28" i="12"/>
  <c r="GT28" i="12"/>
  <c r="GU28" i="12"/>
  <c r="GV28" i="12"/>
  <c r="GW28" i="12"/>
  <c r="GX28" i="12"/>
  <c r="GY28" i="12"/>
  <c r="GZ28" i="12"/>
  <c r="HA28" i="12"/>
  <c r="HB28" i="12"/>
  <c r="HC28" i="12"/>
  <c r="HD28" i="12"/>
  <c r="HE28" i="12"/>
  <c r="HF28" i="12"/>
  <c r="HG28" i="12"/>
  <c r="HH28" i="12"/>
  <c r="HI28" i="12"/>
  <c r="HJ28" i="12"/>
  <c r="HK28" i="12"/>
  <c r="HL28" i="12"/>
  <c r="HM28" i="12"/>
  <c r="HN28" i="12"/>
  <c r="HO28" i="12"/>
  <c r="HP28" i="12"/>
  <c r="HQ28" i="12"/>
  <c r="HR28" i="12"/>
  <c r="HS28" i="12"/>
  <c r="HT28" i="12"/>
  <c r="HU28" i="12"/>
  <c r="HV28" i="12"/>
  <c r="HW28" i="12"/>
  <c r="HX28" i="12"/>
  <c r="HY28" i="12"/>
  <c r="HZ28" i="12"/>
  <c r="IA28" i="12"/>
  <c r="IB28" i="12"/>
  <c r="IC28" i="12"/>
  <c r="ID28" i="12"/>
  <c r="IE28" i="12"/>
  <c r="IF28" i="12"/>
  <c r="IG28" i="12"/>
  <c r="IH28" i="12"/>
  <c r="II28" i="12"/>
  <c r="IJ28" i="12"/>
  <c r="IK28" i="12"/>
  <c r="IL28" i="12"/>
  <c r="IM28" i="12"/>
  <c r="IN28" i="12"/>
  <c r="IO28" i="12"/>
  <c r="IP28" i="12"/>
  <c r="IQ28" i="12"/>
  <c r="IR28" i="12"/>
  <c r="IS28" i="12"/>
  <c r="IT28" i="12"/>
  <c r="IU28" i="12"/>
  <c r="IV28" i="12"/>
  <c r="F29" i="12"/>
  <c r="G29" i="12"/>
  <c r="H29" i="12"/>
  <c r="I29" i="12"/>
  <c r="J29" i="12"/>
  <c r="K29" i="12"/>
  <c r="L29" i="12"/>
  <c r="M29" i="12"/>
  <c r="N29" i="12"/>
  <c r="O29" i="12"/>
  <c r="P29" i="12"/>
  <c r="Q29" i="12"/>
  <c r="R29" i="12"/>
  <c r="S29" i="12"/>
  <c r="T29" i="12"/>
  <c r="U29" i="12"/>
  <c r="V29" i="12"/>
  <c r="W29" i="12"/>
  <c r="X29" i="12"/>
  <c r="Y29" i="12"/>
  <c r="Z29" i="12"/>
  <c r="AA29" i="12"/>
  <c r="AB29" i="12"/>
  <c r="AC29" i="12"/>
  <c r="AD29" i="12"/>
  <c r="AE29" i="12"/>
  <c r="AF29" i="12"/>
  <c r="AG29" i="12"/>
  <c r="AH29" i="12"/>
  <c r="AI29" i="12"/>
  <c r="AJ29" i="12"/>
  <c r="AK29" i="12"/>
  <c r="AL29" i="12"/>
  <c r="AM29" i="12"/>
  <c r="AN29" i="12"/>
  <c r="AO29" i="12"/>
  <c r="AP29" i="12"/>
  <c r="AQ29" i="12"/>
  <c r="AR29" i="12"/>
  <c r="AS29" i="12"/>
  <c r="AT29" i="12"/>
  <c r="AU29" i="12"/>
  <c r="AV29" i="12"/>
  <c r="AW29" i="12"/>
  <c r="AX29" i="12"/>
  <c r="AY29" i="12"/>
  <c r="AZ29" i="12"/>
  <c r="BA29" i="12"/>
  <c r="BB29" i="12"/>
  <c r="BC29" i="12"/>
  <c r="BD29" i="12"/>
  <c r="BE29" i="12"/>
  <c r="BF29" i="12"/>
  <c r="BG29" i="12"/>
  <c r="BH29" i="12"/>
  <c r="BI29" i="12"/>
  <c r="BJ29" i="12"/>
  <c r="BK29" i="12"/>
  <c r="BL29" i="12"/>
  <c r="BM29" i="12"/>
  <c r="BN29" i="12"/>
  <c r="BO29" i="12"/>
  <c r="BP29" i="12"/>
  <c r="BQ29" i="12"/>
  <c r="BR29" i="12"/>
  <c r="BS29" i="12"/>
  <c r="BT29" i="12"/>
  <c r="BU29" i="12"/>
  <c r="BV29" i="12"/>
  <c r="BW29" i="12"/>
  <c r="BX29" i="12"/>
  <c r="BY29" i="12"/>
  <c r="BZ29" i="12"/>
  <c r="CA29" i="12"/>
  <c r="CB29" i="12"/>
  <c r="CC29" i="12"/>
  <c r="CD29" i="12"/>
  <c r="CE29" i="12"/>
  <c r="CF29" i="12"/>
  <c r="CG29" i="12"/>
  <c r="CH29" i="12"/>
  <c r="CI29" i="12"/>
  <c r="CJ29" i="12"/>
  <c r="CK29" i="12"/>
  <c r="CL29" i="12"/>
  <c r="CM29" i="12"/>
  <c r="CN29" i="12"/>
  <c r="CO29" i="12"/>
  <c r="CP29" i="12"/>
  <c r="CQ29" i="12"/>
  <c r="CR29" i="12"/>
  <c r="CS29" i="12"/>
  <c r="CT29" i="12"/>
  <c r="CU29" i="12"/>
  <c r="CV29" i="12"/>
  <c r="CW29" i="12"/>
  <c r="CX29" i="12"/>
  <c r="CY29" i="12"/>
  <c r="CZ29" i="12"/>
  <c r="DA29" i="12"/>
  <c r="DB29" i="12"/>
  <c r="DC29" i="12"/>
  <c r="DD29" i="12"/>
  <c r="DE29" i="12"/>
  <c r="DF29" i="12"/>
  <c r="DG29" i="12"/>
  <c r="DH29" i="12"/>
  <c r="DI29" i="12"/>
  <c r="DJ29" i="12"/>
  <c r="DK29" i="12"/>
  <c r="DL29" i="12"/>
  <c r="DM29" i="12"/>
  <c r="DN29" i="12"/>
  <c r="DO29" i="12"/>
  <c r="DP29" i="12"/>
  <c r="DQ29" i="12"/>
  <c r="DR29" i="12"/>
  <c r="DS29" i="12"/>
  <c r="DT29" i="12"/>
  <c r="DU29" i="12"/>
  <c r="DV29" i="12"/>
  <c r="DW29" i="12"/>
  <c r="DX29" i="12"/>
  <c r="DY29" i="12"/>
  <c r="DZ29" i="12"/>
  <c r="EA29" i="12"/>
  <c r="EB29" i="12"/>
  <c r="EC29" i="12"/>
  <c r="ED29" i="12"/>
  <c r="EE29" i="12"/>
  <c r="EF29" i="12"/>
  <c r="EG29" i="12"/>
  <c r="EH29" i="12"/>
  <c r="EI29" i="12"/>
  <c r="EJ29" i="12"/>
  <c r="EK29" i="12"/>
  <c r="EL29" i="12"/>
  <c r="EM29" i="12"/>
  <c r="EN29" i="12"/>
  <c r="EO29" i="12"/>
  <c r="EP29" i="12"/>
  <c r="EQ29" i="12"/>
  <c r="ER29" i="12"/>
  <c r="ES29" i="12"/>
  <c r="ET29" i="12"/>
  <c r="EU29" i="12"/>
  <c r="EV29" i="12"/>
  <c r="EW29" i="12"/>
  <c r="EX29" i="12"/>
  <c r="EY29" i="12"/>
  <c r="EZ29" i="12"/>
  <c r="FA29" i="12"/>
  <c r="FB29" i="12"/>
  <c r="FC29" i="12"/>
  <c r="FD29" i="12"/>
  <c r="FE29" i="12"/>
  <c r="FF29" i="12"/>
  <c r="FG29" i="12"/>
  <c r="FH29" i="12"/>
  <c r="FI29" i="12"/>
  <c r="FJ29" i="12"/>
  <c r="FK29" i="12"/>
  <c r="FL29" i="12"/>
  <c r="FM29" i="12"/>
  <c r="FN29" i="12"/>
  <c r="FO29" i="12"/>
  <c r="FP29" i="12"/>
  <c r="FQ29" i="12"/>
  <c r="FR29" i="12"/>
  <c r="FS29" i="12"/>
  <c r="FT29" i="12"/>
  <c r="FU29" i="12"/>
  <c r="FV29" i="12"/>
  <c r="FW29" i="12"/>
  <c r="FX29" i="12"/>
  <c r="FY29" i="12"/>
  <c r="FZ29" i="12"/>
  <c r="GA29" i="12"/>
  <c r="GB29" i="12"/>
  <c r="GC29" i="12"/>
  <c r="GD29" i="12"/>
  <c r="GE29" i="12"/>
  <c r="GF29" i="12"/>
  <c r="GG29" i="12"/>
  <c r="GH29" i="12"/>
  <c r="GI29" i="12"/>
  <c r="GJ29" i="12"/>
  <c r="GK29" i="12"/>
  <c r="GL29" i="12"/>
  <c r="GM29" i="12"/>
  <c r="GN29" i="12"/>
  <c r="GO29" i="12"/>
  <c r="GP29" i="12"/>
  <c r="GQ29" i="12"/>
  <c r="GR29" i="12"/>
  <c r="GS29" i="12"/>
  <c r="GT29" i="12"/>
  <c r="GU29" i="12"/>
  <c r="GV29" i="12"/>
  <c r="GW29" i="12"/>
  <c r="GX29" i="12"/>
  <c r="GY29" i="12"/>
  <c r="GZ29" i="12"/>
  <c r="HA29" i="12"/>
  <c r="HB29" i="12"/>
  <c r="HC29" i="12"/>
  <c r="HD29" i="12"/>
  <c r="HE29" i="12"/>
  <c r="HF29" i="12"/>
  <c r="HG29" i="12"/>
  <c r="HH29" i="12"/>
  <c r="HI29" i="12"/>
  <c r="HJ29" i="12"/>
  <c r="HK29" i="12"/>
  <c r="HL29" i="12"/>
  <c r="HM29" i="12"/>
  <c r="HN29" i="12"/>
  <c r="HO29" i="12"/>
  <c r="HP29" i="12"/>
  <c r="HQ29" i="12"/>
  <c r="HR29" i="12"/>
  <c r="HS29" i="12"/>
  <c r="HT29" i="12"/>
  <c r="HU29" i="12"/>
  <c r="HV29" i="12"/>
  <c r="HW29" i="12"/>
  <c r="HX29" i="12"/>
  <c r="HY29" i="12"/>
  <c r="HZ29" i="12"/>
  <c r="IA29" i="12"/>
  <c r="IB29" i="12"/>
  <c r="IC29" i="12"/>
  <c r="ID29" i="12"/>
  <c r="IE29" i="12"/>
  <c r="IF29" i="12"/>
  <c r="IG29" i="12"/>
  <c r="IH29" i="12"/>
  <c r="II29" i="12"/>
  <c r="IJ29" i="12"/>
  <c r="IK29" i="12"/>
  <c r="IL29" i="12"/>
  <c r="IM29" i="12"/>
  <c r="IN29" i="12"/>
  <c r="IO29" i="12"/>
  <c r="IP29" i="12"/>
  <c r="IQ29" i="12"/>
  <c r="IR29" i="12"/>
  <c r="IS29" i="12"/>
  <c r="IT29" i="12"/>
  <c r="IU29" i="12"/>
  <c r="IV29" i="12"/>
  <c r="F30" i="12"/>
  <c r="G30" i="12"/>
  <c r="H30" i="12"/>
  <c r="I30" i="12"/>
  <c r="J30" i="12"/>
  <c r="K30" i="12"/>
  <c r="L30" i="12"/>
  <c r="M30" i="12"/>
  <c r="N30" i="12"/>
  <c r="O30" i="12"/>
  <c r="P30" i="12"/>
  <c r="Q30" i="12"/>
  <c r="R30" i="12"/>
  <c r="S30" i="12"/>
  <c r="T30" i="12"/>
  <c r="U30" i="12"/>
  <c r="V30" i="12"/>
  <c r="W30" i="12"/>
  <c r="X30" i="12"/>
  <c r="Y30" i="12"/>
  <c r="Z30" i="12"/>
  <c r="AA30" i="12"/>
  <c r="AB30" i="12"/>
  <c r="AC30" i="12"/>
  <c r="AD30" i="12"/>
  <c r="AE30" i="12"/>
  <c r="AF30" i="12"/>
  <c r="AG30" i="12"/>
  <c r="AH30" i="12"/>
  <c r="AI30" i="12"/>
  <c r="AJ30" i="12"/>
  <c r="AK30" i="12"/>
  <c r="AL30" i="12"/>
  <c r="AM30" i="12"/>
  <c r="AN30" i="12"/>
  <c r="AO30" i="12"/>
  <c r="AP30" i="12"/>
  <c r="AQ30" i="12"/>
  <c r="AR30" i="12"/>
  <c r="AS30" i="12"/>
  <c r="AT30" i="12"/>
  <c r="AU30" i="12"/>
  <c r="AV30" i="12"/>
  <c r="AW30" i="12"/>
  <c r="AX30" i="12"/>
  <c r="AY30" i="12"/>
  <c r="AZ30" i="12"/>
  <c r="BA30" i="12"/>
  <c r="BB30" i="12"/>
  <c r="BC30" i="12"/>
  <c r="BD30" i="12"/>
  <c r="BE30" i="12"/>
  <c r="BF30" i="12"/>
  <c r="BG30" i="12"/>
  <c r="BH30" i="12"/>
  <c r="BI30" i="12"/>
  <c r="BJ30" i="12"/>
  <c r="BK30" i="12"/>
  <c r="BL30" i="12"/>
  <c r="BM30" i="12"/>
  <c r="BN30" i="12"/>
  <c r="BO30" i="12"/>
  <c r="BP30" i="12"/>
  <c r="BQ30" i="12"/>
  <c r="BR30" i="12"/>
  <c r="BS30" i="12"/>
  <c r="BT30" i="12"/>
  <c r="BU30" i="12"/>
  <c r="BV30" i="12"/>
  <c r="BW30" i="12"/>
  <c r="BX30" i="12"/>
  <c r="BY30" i="12"/>
  <c r="BZ30" i="12"/>
  <c r="CA30" i="12"/>
  <c r="CB30" i="12"/>
  <c r="CC30" i="12"/>
  <c r="CD30" i="12"/>
  <c r="CE30" i="12"/>
  <c r="CF30" i="12"/>
  <c r="CG30" i="12"/>
  <c r="CH30" i="12"/>
  <c r="CI30" i="12"/>
  <c r="CJ30" i="12"/>
  <c r="CK30" i="12"/>
  <c r="CL30" i="12"/>
  <c r="CM30" i="12"/>
  <c r="CN30" i="12"/>
  <c r="CO30" i="12"/>
  <c r="CP30" i="12"/>
  <c r="CQ30" i="12"/>
  <c r="CR30" i="12"/>
  <c r="CS30" i="12"/>
  <c r="CT30" i="12"/>
  <c r="CU30" i="12"/>
  <c r="CV30" i="12"/>
  <c r="CW30" i="12"/>
  <c r="CX30" i="12"/>
  <c r="CY30" i="12"/>
  <c r="CZ30" i="12"/>
  <c r="DA30" i="12"/>
  <c r="DB30" i="12"/>
  <c r="DC30" i="12"/>
  <c r="DD30" i="12"/>
  <c r="DE30" i="12"/>
  <c r="DF30" i="12"/>
  <c r="DG30" i="12"/>
  <c r="DH30" i="12"/>
  <c r="DI30" i="12"/>
  <c r="DJ30" i="12"/>
  <c r="DK30" i="12"/>
  <c r="DL30" i="12"/>
  <c r="DM30" i="12"/>
  <c r="DN30" i="12"/>
  <c r="DO30" i="12"/>
  <c r="DP30" i="12"/>
  <c r="DQ30" i="12"/>
  <c r="DR30" i="12"/>
  <c r="DS30" i="12"/>
  <c r="DT30" i="12"/>
  <c r="DU30" i="12"/>
  <c r="DV30" i="12"/>
  <c r="DW30" i="12"/>
  <c r="DX30" i="12"/>
  <c r="DY30" i="12"/>
  <c r="DZ30" i="12"/>
  <c r="EA30" i="12"/>
  <c r="EB30" i="12"/>
  <c r="EC30" i="12"/>
  <c r="ED30" i="12"/>
  <c r="EE30" i="12"/>
  <c r="EF30" i="12"/>
  <c r="EG30" i="12"/>
  <c r="EH30" i="12"/>
  <c r="EI30" i="12"/>
  <c r="EJ30" i="12"/>
  <c r="EK30" i="12"/>
  <c r="EL30" i="12"/>
  <c r="EM30" i="12"/>
  <c r="EN30" i="12"/>
  <c r="EO30" i="12"/>
  <c r="EP30" i="12"/>
  <c r="EQ30" i="12"/>
  <c r="ER30" i="12"/>
  <c r="ES30" i="12"/>
  <c r="ET30" i="12"/>
  <c r="EU30" i="12"/>
  <c r="EV30" i="12"/>
  <c r="EW30" i="12"/>
  <c r="EX30" i="12"/>
  <c r="EY30" i="12"/>
  <c r="EZ30" i="12"/>
  <c r="FA30" i="12"/>
  <c r="FB30" i="12"/>
  <c r="FC30" i="12"/>
  <c r="FD30" i="12"/>
  <c r="FE30" i="12"/>
  <c r="FF30" i="12"/>
  <c r="FG30" i="12"/>
  <c r="FH30" i="12"/>
  <c r="FI30" i="12"/>
  <c r="FJ30" i="12"/>
  <c r="FK30" i="12"/>
  <c r="FL30" i="12"/>
  <c r="FM30" i="12"/>
  <c r="FN30" i="12"/>
  <c r="FO30" i="12"/>
  <c r="FP30" i="12"/>
  <c r="FQ30" i="12"/>
  <c r="FR30" i="12"/>
  <c r="FS30" i="12"/>
  <c r="FT30" i="12"/>
  <c r="FU30" i="12"/>
  <c r="FV30" i="12"/>
  <c r="FW30" i="12"/>
  <c r="FX30" i="12"/>
  <c r="FY30" i="12"/>
  <c r="FZ30" i="12"/>
  <c r="GA30" i="12"/>
  <c r="GB30" i="12"/>
  <c r="GC30" i="12"/>
  <c r="GD30" i="12"/>
  <c r="GE30" i="12"/>
  <c r="GF30" i="12"/>
  <c r="GG30" i="12"/>
  <c r="GH30" i="12"/>
  <c r="GI30" i="12"/>
  <c r="GJ30" i="12"/>
  <c r="GK30" i="12"/>
  <c r="GL30" i="12"/>
  <c r="GM30" i="12"/>
  <c r="GN30" i="12"/>
  <c r="GO30" i="12"/>
  <c r="GP30" i="12"/>
  <c r="GQ30" i="12"/>
  <c r="GR30" i="12"/>
  <c r="GS30" i="12"/>
  <c r="GT30" i="12"/>
  <c r="GU30" i="12"/>
  <c r="GV30" i="12"/>
  <c r="GW30" i="12"/>
  <c r="GX30" i="12"/>
  <c r="GY30" i="12"/>
  <c r="GZ30" i="12"/>
  <c r="HA30" i="12"/>
  <c r="HB30" i="12"/>
  <c r="HC30" i="12"/>
  <c r="HD30" i="12"/>
  <c r="HE30" i="12"/>
  <c r="HF30" i="12"/>
  <c r="HG30" i="12"/>
  <c r="HH30" i="12"/>
  <c r="HI30" i="12"/>
  <c r="HJ30" i="12"/>
  <c r="HK30" i="12"/>
  <c r="HL30" i="12"/>
  <c r="HM30" i="12"/>
  <c r="HN30" i="12"/>
  <c r="HO30" i="12"/>
  <c r="HP30" i="12"/>
  <c r="HQ30" i="12"/>
  <c r="HR30" i="12"/>
  <c r="HS30" i="12"/>
  <c r="HT30" i="12"/>
  <c r="HU30" i="12"/>
  <c r="HV30" i="12"/>
  <c r="HW30" i="12"/>
  <c r="HX30" i="12"/>
  <c r="HY30" i="12"/>
  <c r="HZ30" i="12"/>
  <c r="IA30" i="12"/>
  <c r="IB30" i="12"/>
  <c r="IC30" i="12"/>
  <c r="ID30" i="12"/>
  <c r="IE30" i="12"/>
  <c r="IF30" i="12"/>
  <c r="IG30" i="12"/>
  <c r="IH30" i="12"/>
  <c r="II30" i="12"/>
  <c r="IJ30" i="12"/>
  <c r="IK30" i="12"/>
  <c r="IL30" i="12"/>
  <c r="IM30" i="12"/>
  <c r="IN30" i="12"/>
  <c r="IO30" i="12"/>
  <c r="IP30" i="12"/>
  <c r="IQ30" i="12"/>
  <c r="IR30" i="12"/>
  <c r="IS30" i="12"/>
  <c r="IT30" i="12"/>
  <c r="IU30" i="12"/>
  <c r="IV30" i="12"/>
  <c r="F31" i="12"/>
  <c r="G31" i="12"/>
  <c r="H31" i="12"/>
  <c r="I31" i="12"/>
  <c r="J31" i="12"/>
  <c r="K31" i="12"/>
  <c r="L31" i="12"/>
  <c r="M31" i="12"/>
  <c r="N31" i="12"/>
  <c r="O31" i="12"/>
  <c r="P31" i="12"/>
  <c r="Q31" i="12"/>
  <c r="R31" i="12"/>
  <c r="S31" i="12"/>
  <c r="T31" i="12"/>
  <c r="U31" i="12"/>
  <c r="V31" i="12"/>
  <c r="W31" i="12"/>
  <c r="X31" i="12"/>
  <c r="Y31" i="12"/>
  <c r="Z31" i="12"/>
  <c r="AA31" i="12"/>
  <c r="AB31" i="12"/>
  <c r="AC31" i="12"/>
  <c r="AD31" i="12"/>
  <c r="AE31" i="12"/>
  <c r="AF31" i="12"/>
  <c r="AG31" i="12"/>
  <c r="AH31" i="12"/>
  <c r="AI31" i="12"/>
  <c r="AJ31" i="12"/>
  <c r="AK31" i="12"/>
  <c r="AL31" i="12"/>
  <c r="AM31" i="12"/>
  <c r="AN31" i="12"/>
  <c r="AO31" i="12"/>
  <c r="AP31" i="12"/>
  <c r="AQ31" i="12"/>
  <c r="AR31" i="12"/>
  <c r="AS31" i="12"/>
  <c r="AT31" i="12"/>
  <c r="AU31" i="12"/>
  <c r="AV31" i="12"/>
  <c r="AW31" i="12"/>
  <c r="AX31" i="12"/>
  <c r="AY31" i="12"/>
  <c r="AZ31" i="12"/>
  <c r="BA31" i="12"/>
  <c r="BB31" i="12"/>
  <c r="BC31" i="12"/>
  <c r="BD31" i="12"/>
  <c r="BE31" i="12"/>
  <c r="BF31" i="12"/>
  <c r="BG31" i="12"/>
  <c r="BH31" i="12"/>
  <c r="BI31" i="12"/>
  <c r="BJ31" i="12"/>
  <c r="BK31" i="12"/>
  <c r="BL31" i="12"/>
  <c r="BM31" i="12"/>
  <c r="BN31" i="12"/>
  <c r="BO31" i="12"/>
  <c r="BP31" i="12"/>
  <c r="BQ31" i="12"/>
  <c r="BR31" i="12"/>
  <c r="BS31" i="12"/>
  <c r="BT31" i="12"/>
  <c r="BU31" i="12"/>
  <c r="BV31" i="12"/>
  <c r="BW31" i="12"/>
  <c r="BX31" i="12"/>
  <c r="BY31" i="12"/>
  <c r="BZ31" i="12"/>
  <c r="CA31" i="12"/>
  <c r="CB31" i="12"/>
  <c r="CC31" i="12"/>
  <c r="CD31" i="12"/>
  <c r="CE31" i="12"/>
  <c r="CF31" i="12"/>
  <c r="CG31" i="12"/>
  <c r="CH31" i="12"/>
  <c r="CI31" i="12"/>
  <c r="CJ31" i="12"/>
  <c r="CK31" i="12"/>
  <c r="CL31" i="12"/>
  <c r="CM31" i="12"/>
  <c r="CN31" i="12"/>
  <c r="CO31" i="12"/>
  <c r="CP31" i="12"/>
  <c r="CQ31" i="12"/>
  <c r="CR31" i="12"/>
  <c r="CS31" i="12"/>
  <c r="CT31" i="12"/>
  <c r="CU31" i="12"/>
  <c r="CV31" i="12"/>
  <c r="CW31" i="12"/>
  <c r="CX31" i="12"/>
  <c r="CY31" i="12"/>
  <c r="CZ31" i="12"/>
  <c r="DA31" i="12"/>
  <c r="DB31" i="12"/>
  <c r="DC31" i="12"/>
  <c r="DD31" i="12"/>
  <c r="DE31" i="12"/>
  <c r="DF31" i="12"/>
  <c r="DG31" i="12"/>
  <c r="DH31" i="12"/>
  <c r="DI31" i="12"/>
  <c r="DJ31" i="12"/>
  <c r="DK31" i="12"/>
  <c r="DL31" i="12"/>
  <c r="DM31" i="12"/>
  <c r="DN31" i="12"/>
  <c r="DO31" i="12"/>
  <c r="DP31" i="12"/>
  <c r="DQ31" i="12"/>
  <c r="DR31" i="12"/>
  <c r="DS31" i="12"/>
  <c r="DT31" i="12"/>
  <c r="DU31" i="12"/>
  <c r="DV31" i="12"/>
  <c r="DW31" i="12"/>
  <c r="DX31" i="12"/>
  <c r="DY31" i="12"/>
  <c r="DZ31" i="12"/>
  <c r="EA31" i="12"/>
  <c r="EB31" i="12"/>
  <c r="EC31" i="12"/>
  <c r="ED31" i="12"/>
  <c r="EE31" i="12"/>
  <c r="EF31" i="12"/>
  <c r="EG31" i="12"/>
  <c r="EH31" i="12"/>
  <c r="EI31" i="12"/>
  <c r="EJ31" i="12"/>
  <c r="EK31" i="12"/>
  <c r="EL31" i="12"/>
  <c r="EM31" i="12"/>
  <c r="EN31" i="12"/>
  <c r="EO31" i="12"/>
  <c r="EP31" i="12"/>
  <c r="EQ31" i="12"/>
  <c r="ER31" i="12"/>
  <c r="ES31" i="12"/>
  <c r="ET31" i="12"/>
  <c r="EU31" i="12"/>
  <c r="EV31" i="12"/>
  <c r="EW31" i="12"/>
  <c r="EX31" i="12"/>
  <c r="EY31" i="12"/>
  <c r="EZ31" i="12"/>
  <c r="FA31" i="12"/>
  <c r="FB31" i="12"/>
  <c r="FC31" i="12"/>
  <c r="FD31" i="12"/>
  <c r="FE31" i="12"/>
  <c r="FF31" i="12"/>
  <c r="FG31" i="12"/>
  <c r="FH31" i="12"/>
  <c r="FI31" i="12"/>
  <c r="FJ31" i="12"/>
  <c r="FK31" i="12"/>
  <c r="FL31" i="12"/>
  <c r="FM31" i="12"/>
  <c r="FN31" i="12"/>
  <c r="FO31" i="12"/>
  <c r="FP31" i="12"/>
  <c r="FQ31" i="12"/>
  <c r="FR31" i="12"/>
  <c r="FS31" i="12"/>
  <c r="FT31" i="12"/>
  <c r="FU31" i="12"/>
  <c r="FV31" i="12"/>
  <c r="FW31" i="12"/>
  <c r="FX31" i="12"/>
  <c r="FY31" i="12"/>
  <c r="FZ31" i="12"/>
  <c r="GA31" i="12"/>
  <c r="GB31" i="12"/>
  <c r="GC31" i="12"/>
  <c r="GD31" i="12"/>
  <c r="GE31" i="12"/>
  <c r="GF31" i="12"/>
  <c r="GG31" i="12"/>
  <c r="GH31" i="12"/>
  <c r="GI31" i="12"/>
  <c r="GJ31" i="12"/>
  <c r="GK31" i="12"/>
  <c r="GL31" i="12"/>
  <c r="GM31" i="12"/>
  <c r="GN31" i="12"/>
  <c r="GO31" i="12"/>
  <c r="GP31" i="12"/>
  <c r="GQ31" i="12"/>
  <c r="GR31" i="12"/>
  <c r="GS31" i="12"/>
  <c r="GT31" i="12"/>
  <c r="GU31" i="12"/>
  <c r="GV31" i="12"/>
  <c r="GW31" i="12"/>
  <c r="GX31" i="12"/>
  <c r="GY31" i="12"/>
  <c r="GZ31" i="12"/>
  <c r="HA31" i="12"/>
  <c r="HB31" i="12"/>
  <c r="HC31" i="12"/>
  <c r="HD31" i="12"/>
  <c r="HE31" i="12"/>
  <c r="HF31" i="12"/>
  <c r="HG31" i="12"/>
  <c r="HH31" i="12"/>
  <c r="HI31" i="12"/>
  <c r="HJ31" i="12"/>
  <c r="HK31" i="12"/>
  <c r="HL31" i="12"/>
  <c r="HM31" i="12"/>
  <c r="HN31" i="12"/>
  <c r="HO31" i="12"/>
  <c r="HP31" i="12"/>
  <c r="HQ31" i="12"/>
  <c r="HR31" i="12"/>
  <c r="HS31" i="12"/>
  <c r="HT31" i="12"/>
  <c r="HU31" i="12"/>
  <c r="HV31" i="12"/>
  <c r="HW31" i="12"/>
  <c r="HX31" i="12"/>
  <c r="HY31" i="12"/>
  <c r="HZ31" i="12"/>
  <c r="IA31" i="12"/>
  <c r="IB31" i="12"/>
  <c r="IC31" i="12"/>
  <c r="ID31" i="12"/>
  <c r="IE31" i="12"/>
  <c r="IF31" i="12"/>
  <c r="IG31" i="12"/>
  <c r="IH31" i="12"/>
  <c r="II31" i="12"/>
  <c r="IJ31" i="12"/>
  <c r="IK31" i="12"/>
  <c r="IL31" i="12"/>
  <c r="IM31" i="12"/>
  <c r="IN31" i="12"/>
  <c r="IO31" i="12"/>
  <c r="IP31" i="12"/>
  <c r="IQ31" i="12"/>
  <c r="IR31" i="12"/>
  <c r="IS31" i="12"/>
  <c r="IT31" i="12"/>
  <c r="IU31" i="12"/>
  <c r="IV31" i="12"/>
  <c r="F32" i="12"/>
  <c r="G32" i="12"/>
  <c r="H32" i="12"/>
  <c r="I32" i="12"/>
  <c r="J32" i="12"/>
  <c r="K32" i="12"/>
  <c r="L32" i="12"/>
  <c r="M32" i="12"/>
  <c r="N32" i="12"/>
  <c r="O32" i="12"/>
  <c r="P32" i="12"/>
  <c r="Q32" i="12"/>
  <c r="R32" i="12"/>
  <c r="S32" i="12"/>
  <c r="T32" i="12"/>
  <c r="U32" i="12"/>
  <c r="V32" i="12"/>
  <c r="W32" i="12"/>
  <c r="X32" i="12"/>
  <c r="Y32" i="12"/>
  <c r="Z32" i="12"/>
  <c r="AA32" i="12"/>
  <c r="AB32" i="12"/>
  <c r="AC32" i="12"/>
  <c r="AD32" i="12"/>
  <c r="AE32" i="12"/>
  <c r="AF32" i="12"/>
  <c r="AG32" i="12"/>
  <c r="AH32" i="12"/>
  <c r="AI32" i="12"/>
  <c r="AJ32" i="12"/>
  <c r="AK32" i="12"/>
  <c r="AL32" i="12"/>
  <c r="AM32" i="12"/>
  <c r="AN32" i="12"/>
  <c r="AO32" i="12"/>
  <c r="AP32" i="12"/>
  <c r="AQ32" i="12"/>
  <c r="AR32" i="12"/>
  <c r="AS32" i="12"/>
  <c r="AT32" i="12"/>
  <c r="AU32" i="12"/>
  <c r="AV32" i="12"/>
  <c r="AW32" i="12"/>
  <c r="AX32" i="12"/>
  <c r="AY32" i="12"/>
  <c r="AZ32" i="12"/>
  <c r="BA32" i="12"/>
  <c r="BB32" i="12"/>
  <c r="BC32" i="12"/>
  <c r="BD32" i="12"/>
  <c r="BE32" i="12"/>
  <c r="BF32" i="12"/>
  <c r="BG32" i="12"/>
  <c r="BH32" i="12"/>
  <c r="BI32" i="12"/>
  <c r="BJ32" i="12"/>
  <c r="BK32" i="12"/>
  <c r="BL32" i="12"/>
  <c r="BM32" i="12"/>
  <c r="BN32" i="12"/>
  <c r="BO32" i="12"/>
  <c r="BP32" i="12"/>
  <c r="BQ32" i="12"/>
  <c r="BR32" i="12"/>
  <c r="BS32" i="12"/>
  <c r="BT32" i="12"/>
  <c r="BU32" i="12"/>
  <c r="BV32" i="12"/>
  <c r="BW32" i="12"/>
  <c r="BX32" i="12"/>
  <c r="BY32" i="12"/>
  <c r="BZ32" i="12"/>
  <c r="CA32" i="12"/>
  <c r="CB32" i="12"/>
  <c r="CC32" i="12"/>
  <c r="CD32" i="12"/>
  <c r="CE32" i="12"/>
  <c r="CF32" i="12"/>
  <c r="CG32" i="12"/>
  <c r="CH32" i="12"/>
  <c r="CI32" i="12"/>
  <c r="CJ32" i="12"/>
  <c r="CK32" i="12"/>
  <c r="CL32" i="12"/>
  <c r="CM32" i="12"/>
  <c r="CN32" i="12"/>
  <c r="CO32" i="12"/>
  <c r="CP32" i="12"/>
  <c r="CQ32" i="12"/>
  <c r="CR32" i="12"/>
  <c r="CS32" i="12"/>
  <c r="CT32" i="12"/>
  <c r="CU32" i="12"/>
  <c r="CV32" i="12"/>
  <c r="CW32" i="12"/>
  <c r="CX32" i="12"/>
  <c r="CY32" i="12"/>
  <c r="CZ32" i="12"/>
  <c r="DA32" i="12"/>
  <c r="DB32" i="12"/>
  <c r="DC32" i="12"/>
  <c r="DD32" i="12"/>
  <c r="DE32" i="12"/>
  <c r="DF32" i="12"/>
  <c r="DG32" i="12"/>
  <c r="DH32" i="12"/>
  <c r="DI32" i="12"/>
  <c r="DJ32" i="12"/>
  <c r="DK32" i="12"/>
  <c r="DL32" i="12"/>
  <c r="DM32" i="12"/>
  <c r="DN32" i="12"/>
  <c r="DO32" i="12"/>
  <c r="DP32" i="12"/>
  <c r="DQ32" i="12"/>
  <c r="DR32" i="12"/>
  <c r="DS32" i="12"/>
  <c r="DT32" i="12"/>
  <c r="DU32" i="12"/>
  <c r="DV32" i="12"/>
  <c r="DW32" i="12"/>
  <c r="DX32" i="12"/>
  <c r="DY32" i="12"/>
  <c r="DZ32" i="12"/>
  <c r="EA32" i="12"/>
  <c r="EB32" i="12"/>
  <c r="EC32" i="12"/>
  <c r="ED32" i="12"/>
  <c r="EE32" i="12"/>
  <c r="EF32" i="12"/>
  <c r="EG32" i="12"/>
  <c r="EH32" i="12"/>
  <c r="EI32" i="12"/>
  <c r="EJ32" i="12"/>
  <c r="EK32" i="12"/>
  <c r="EL32" i="12"/>
  <c r="EM32" i="12"/>
  <c r="EN32" i="12"/>
  <c r="EO32" i="12"/>
  <c r="EP32" i="12"/>
  <c r="EQ32" i="12"/>
  <c r="ER32" i="12"/>
  <c r="ES32" i="12"/>
  <c r="ET32" i="12"/>
  <c r="EU32" i="12"/>
  <c r="EV32" i="12"/>
  <c r="EW32" i="12"/>
  <c r="EX32" i="12"/>
  <c r="EY32" i="12"/>
  <c r="EZ32" i="12"/>
  <c r="FA32" i="12"/>
  <c r="FB32" i="12"/>
  <c r="FC32" i="12"/>
  <c r="FD32" i="12"/>
  <c r="FE32" i="12"/>
  <c r="FF32" i="12"/>
  <c r="FG32" i="12"/>
  <c r="FH32" i="12"/>
  <c r="FI32" i="12"/>
  <c r="FJ32" i="12"/>
  <c r="FK32" i="12"/>
  <c r="FL32" i="12"/>
  <c r="FM32" i="12"/>
  <c r="FN32" i="12"/>
  <c r="FO32" i="12"/>
  <c r="FP32" i="12"/>
  <c r="FQ32" i="12"/>
  <c r="FR32" i="12"/>
  <c r="FS32" i="12"/>
  <c r="FT32" i="12"/>
  <c r="FU32" i="12"/>
  <c r="FV32" i="12"/>
  <c r="FW32" i="12"/>
  <c r="FX32" i="12"/>
  <c r="FY32" i="12"/>
  <c r="FZ32" i="12"/>
  <c r="GA32" i="12"/>
  <c r="GB32" i="12"/>
  <c r="GC32" i="12"/>
  <c r="GD32" i="12"/>
  <c r="GE32" i="12"/>
  <c r="GF32" i="12"/>
  <c r="GG32" i="12"/>
  <c r="GH32" i="12"/>
  <c r="GI32" i="12"/>
  <c r="GJ32" i="12"/>
  <c r="GK32" i="12"/>
  <c r="GL32" i="12"/>
  <c r="GM32" i="12"/>
  <c r="GN32" i="12"/>
  <c r="GO32" i="12"/>
  <c r="GP32" i="12"/>
  <c r="GQ32" i="12"/>
  <c r="GR32" i="12"/>
  <c r="GS32" i="12"/>
  <c r="GT32" i="12"/>
  <c r="GU32" i="12"/>
  <c r="GV32" i="12"/>
  <c r="GW32" i="12"/>
  <c r="GX32" i="12"/>
  <c r="GY32" i="12"/>
  <c r="GZ32" i="12"/>
  <c r="HA32" i="12"/>
  <c r="HB32" i="12"/>
  <c r="HC32" i="12"/>
  <c r="HD32" i="12"/>
  <c r="HE32" i="12"/>
  <c r="HF32" i="12"/>
  <c r="HG32" i="12"/>
  <c r="HH32" i="12"/>
  <c r="HI32" i="12"/>
  <c r="HJ32" i="12"/>
  <c r="HK32" i="12"/>
  <c r="HL32" i="12"/>
  <c r="HM32" i="12"/>
  <c r="HN32" i="12"/>
  <c r="HO32" i="12"/>
  <c r="HP32" i="12"/>
  <c r="HQ32" i="12"/>
  <c r="HR32" i="12"/>
  <c r="HS32" i="12"/>
  <c r="HT32" i="12"/>
  <c r="HU32" i="12"/>
  <c r="HV32" i="12"/>
  <c r="HW32" i="12"/>
  <c r="HX32" i="12"/>
  <c r="HY32" i="12"/>
  <c r="HZ32" i="12"/>
  <c r="IA32" i="12"/>
  <c r="IB32" i="12"/>
  <c r="IC32" i="12"/>
  <c r="ID32" i="12"/>
  <c r="IE32" i="12"/>
  <c r="IF32" i="12"/>
  <c r="IG32" i="12"/>
  <c r="IH32" i="12"/>
  <c r="II32" i="12"/>
  <c r="IJ32" i="12"/>
  <c r="IK32" i="12"/>
  <c r="IL32" i="12"/>
  <c r="IM32" i="12"/>
  <c r="IN32" i="12"/>
  <c r="IO32" i="12"/>
  <c r="IP32" i="12"/>
  <c r="IQ32" i="12"/>
  <c r="IR32" i="12"/>
  <c r="IS32" i="12"/>
  <c r="IT32" i="12"/>
  <c r="IU32" i="12"/>
  <c r="IV32" i="12"/>
  <c r="F33" i="12"/>
  <c r="G33" i="12"/>
  <c r="H33" i="12"/>
  <c r="I33" i="12"/>
  <c r="J33" i="12"/>
  <c r="K33" i="12"/>
  <c r="L33" i="12"/>
  <c r="M33" i="12"/>
  <c r="N33" i="12"/>
  <c r="O33" i="12"/>
  <c r="P33" i="12"/>
  <c r="Q33" i="12"/>
  <c r="R33" i="12"/>
  <c r="S33" i="12"/>
  <c r="T33" i="12"/>
  <c r="U33" i="12"/>
  <c r="V33" i="12"/>
  <c r="W33" i="12"/>
  <c r="X33" i="12"/>
  <c r="Y33" i="12"/>
  <c r="Z33" i="12"/>
  <c r="AA33" i="12"/>
  <c r="AB33" i="12"/>
  <c r="AC33" i="12"/>
  <c r="AD33" i="12"/>
  <c r="AE33" i="12"/>
  <c r="AF33" i="12"/>
  <c r="AG33" i="12"/>
  <c r="AH33" i="12"/>
  <c r="AI33" i="12"/>
  <c r="AJ33" i="12"/>
  <c r="AK33" i="12"/>
  <c r="AL33" i="12"/>
  <c r="AM33" i="12"/>
  <c r="AN33" i="12"/>
  <c r="AO33" i="12"/>
  <c r="AP33" i="12"/>
  <c r="AQ33" i="12"/>
  <c r="AR33" i="12"/>
  <c r="AS33" i="12"/>
  <c r="AT33" i="12"/>
  <c r="AU33" i="12"/>
  <c r="AV33" i="12"/>
  <c r="AW33" i="12"/>
  <c r="AX33" i="12"/>
  <c r="AY33" i="12"/>
  <c r="AZ33" i="12"/>
  <c r="BA33" i="12"/>
  <c r="BB33" i="12"/>
  <c r="BC33" i="12"/>
  <c r="BD33" i="12"/>
  <c r="BE33" i="12"/>
  <c r="BF33" i="12"/>
  <c r="BG33" i="12"/>
  <c r="BH33" i="12"/>
  <c r="BI33" i="12"/>
  <c r="BJ33" i="12"/>
  <c r="BK33" i="12"/>
  <c r="BL33" i="12"/>
  <c r="BM33" i="12"/>
  <c r="BN33" i="12"/>
  <c r="BO33" i="12"/>
  <c r="BP33" i="12"/>
  <c r="BQ33" i="12"/>
  <c r="BR33" i="12"/>
  <c r="BS33" i="12"/>
  <c r="BT33" i="12"/>
  <c r="BU33" i="12"/>
  <c r="BV33" i="12"/>
  <c r="BW33" i="12"/>
  <c r="BX33" i="12"/>
  <c r="BY33" i="12"/>
  <c r="BZ33" i="12"/>
  <c r="CA33" i="12"/>
  <c r="CB33" i="12"/>
  <c r="CC33" i="12"/>
  <c r="CD33" i="12"/>
  <c r="CE33" i="12"/>
  <c r="CF33" i="12"/>
  <c r="CG33" i="12"/>
  <c r="CH33" i="12"/>
  <c r="CI33" i="12"/>
  <c r="CJ33" i="12"/>
  <c r="CK33" i="12"/>
  <c r="CL33" i="12"/>
  <c r="CM33" i="12"/>
  <c r="CN33" i="12"/>
  <c r="CO33" i="12"/>
  <c r="CP33" i="12"/>
  <c r="CQ33" i="12"/>
  <c r="CR33" i="12"/>
  <c r="CS33" i="12"/>
  <c r="CT33" i="12"/>
  <c r="CU33" i="12"/>
  <c r="CV33" i="12"/>
  <c r="CW33" i="12"/>
  <c r="CX33" i="12"/>
  <c r="CY33" i="12"/>
  <c r="CZ33" i="12"/>
  <c r="DA33" i="12"/>
  <c r="DB33" i="12"/>
  <c r="DC33" i="12"/>
  <c r="DD33" i="12"/>
  <c r="DE33" i="12"/>
  <c r="DF33" i="12"/>
  <c r="DG33" i="12"/>
  <c r="DH33" i="12"/>
  <c r="DI33" i="12"/>
  <c r="DJ33" i="12"/>
  <c r="DK33" i="12"/>
  <c r="DL33" i="12"/>
  <c r="DM33" i="12"/>
  <c r="DN33" i="12"/>
  <c r="DO33" i="12"/>
  <c r="DP33" i="12"/>
  <c r="DQ33" i="12"/>
  <c r="DR33" i="12"/>
  <c r="DS33" i="12"/>
  <c r="DT33" i="12"/>
  <c r="DU33" i="12"/>
  <c r="DV33" i="12"/>
  <c r="DW33" i="12"/>
  <c r="DX33" i="12"/>
  <c r="DY33" i="12"/>
  <c r="DZ33" i="12"/>
  <c r="EA33" i="12"/>
  <c r="EB33" i="12"/>
  <c r="EC33" i="12"/>
  <c r="ED33" i="12"/>
  <c r="EE33" i="12"/>
  <c r="EF33" i="12"/>
  <c r="EG33" i="12"/>
  <c r="EH33" i="12"/>
  <c r="EI33" i="12"/>
  <c r="EJ33" i="12"/>
  <c r="EK33" i="12"/>
  <c r="EL33" i="12"/>
  <c r="EM33" i="12"/>
  <c r="EN33" i="12"/>
  <c r="EO33" i="12"/>
  <c r="EP33" i="12"/>
  <c r="EQ33" i="12"/>
  <c r="ER33" i="12"/>
  <c r="ES33" i="12"/>
  <c r="ET33" i="12"/>
  <c r="EU33" i="12"/>
  <c r="EV33" i="12"/>
  <c r="EW33" i="12"/>
  <c r="EX33" i="12"/>
  <c r="EY33" i="12"/>
  <c r="EZ33" i="12"/>
  <c r="FA33" i="12"/>
  <c r="FB33" i="12"/>
  <c r="FC33" i="12"/>
  <c r="FD33" i="12"/>
  <c r="FE33" i="12"/>
  <c r="FF33" i="12"/>
  <c r="FG33" i="12"/>
  <c r="FH33" i="12"/>
  <c r="FI33" i="12"/>
  <c r="FJ33" i="12"/>
  <c r="FK33" i="12"/>
  <c r="FL33" i="12"/>
  <c r="FM33" i="12"/>
  <c r="FN33" i="12"/>
  <c r="FO33" i="12"/>
  <c r="FP33" i="12"/>
  <c r="FQ33" i="12"/>
  <c r="FR33" i="12"/>
  <c r="FS33" i="12"/>
  <c r="FT33" i="12"/>
  <c r="FU33" i="12"/>
  <c r="FV33" i="12"/>
  <c r="FW33" i="12"/>
  <c r="FX33" i="12"/>
  <c r="FY33" i="12"/>
  <c r="FZ33" i="12"/>
  <c r="GA33" i="12"/>
  <c r="GB33" i="12"/>
  <c r="GC33" i="12"/>
  <c r="GD33" i="12"/>
  <c r="GE33" i="12"/>
  <c r="GF33" i="12"/>
  <c r="GG33" i="12"/>
  <c r="GH33" i="12"/>
  <c r="GI33" i="12"/>
  <c r="GJ33" i="12"/>
  <c r="GK33" i="12"/>
  <c r="GL33" i="12"/>
  <c r="GM33" i="12"/>
  <c r="GN33" i="12"/>
  <c r="GO33" i="12"/>
  <c r="GP33" i="12"/>
  <c r="GQ33" i="12"/>
  <c r="GR33" i="12"/>
  <c r="GS33" i="12"/>
  <c r="GT33" i="12"/>
  <c r="GU33" i="12"/>
  <c r="GV33" i="12"/>
  <c r="GW33" i="12"/>
  <c r="GX33" i="12"/>
  <c r="GY33" i="12"/>
  <c r="GZ33" i="12"/>
  <c r="HA33" i="12"/>
  <c r="HB33" i="12"/>
  <c r="HC33" i="12"/>
  <c r="HD33" i="12"/>
  <c r="HE33" i="12"/>
  <c r="HF33" i="12"/>
  <c r="HG33" i="12"/>
  <c r="HH33" i="12"/>
  <c r="HI33" i="12"/>
  <c r="HJ33" i="12"/>
  <c r="HK33" i="12"/>
  <c r="HL33" i="12"/>
  <c r="HM33" i="12"/>
  <c r="HN33" i="12"/>
  <c r="HO33" i="12"/>
  <c r="HP33" i="12"/>
  <c r="HQ33" i="12"/>
  <c r="HR33" i="12"/>
  <c r="HS33" i="12"/>
  <c r="HT33" i="12"/>
  <c r="HU33" i="12"/>
  <c r="HV33" i="12"/>
  <c r="HW33" i="12"/>
  <c r="HX33" i="12"/>
  <c r="HY33" i="12"/>
  <c r="HZ33" i="12"/>
  <c r="IA33" i="12"/>
  <c r="IB33" i="12"/>
  <c r="IC33" i="12"/>
  <c r="ID33" i="12"/>
  <c r="IE33" i="12"/>
  <c r="IF33" i="12"/>
  <c r="IG33" i="12"/>
  <c r="IH33" i="12"/>
  <c r="II33" i="12"/>
  <c r="IJ33" i="12"/>
  <c r="IK33" i="12"/>
  <c r="IL33" i="12"/>
  <c r="IM33" i="12"/>
  <c r="IN33" i="12"/>
  <c r="IO33" i="12"/>
  <c r="IP33" i="12"/>
  <c r="IQ33" i="12"/>
  <c r="IR33" i="12"/>
  <c r="IS33" i="12"/>
  <c r="IT33" i="12"/>
  <c r="IU33" i="12"/>
  <c r="IV33" i="12"/>
  <c r="F34" i="12"/>
  <c r="G34" i="12"/>
  <c r="H34" i="12"/>
  <c r="I34" i="12"/>
  <c r="J34" i="12"/>
  <c r="K34" i="12"/>
  <c r="L34" i="12"/>
  <c r="M34" i="12"/>
  <c r="N34" i="12"/>
  <c r="O34" i="12"/>
  <c r="P34" i="12"/>
  <c r="Q34" i="12"/>
  <c r="R34" i="12"/>
  <c r="S34" i="12"/>
  <c r="T34" i="12"/>
  <c r="U34" i="12"/>
  <c r="V34" i="12"/>
  <c r="W34" i="12"/>
  <c r="X34" i="12"/>
  <c r="Y34" i="12"/>
  <c r="Z34" i="12"/>
  <c r="AA34" i="12"/>
  <c r="AB34" i="12"/>
  <c r="AC34" i="12"/>
  <c r="AD34" i="12"/>
  <c r="AE34" i="12"/>
  <c r="AF34" i="12"/>
  <c r="AG34" i="12"/>
  <c r="AH34" i="12"/>
  <c r="AI34" i="12"/>
  <c r="AJ34" i="12"/>
  <c r="AK34" i="12"/>
  <c r="AL34" i="12"/>
  <c r="AM34" i="12"/>
  <c r="AN34" i="12"/>
  <c r="AO34" i="12"/>
  <c r="AP34" i="12"/>
  <c r="AQ34" i="12"/>
  <c r="AR34" i="12"/>
  <c r="AS34" i="12"/>
  <c r="AT34" i="12"/>
  <c r="AU34" i="12"/>
  <c r="AV34" i="12"/>
  <c r="AW34" i="12"/>
  <c r="AX34" i="12"/>
  <c r="AY34" i="12"/>
  <c r="AZ34" i="12"/>
  <c r="BA34" i="12"/>
  <c r="BB34" i="12"/>
  <c r="BC34" i="12"/>
  <c r="BD34" i="12"/>
  <c r="BE34" i="12"/>
  <c r="BF34" i="12"/>
  <c r="BG34" i="12"/>
  <c r="BH34" i="12"/>
  <c r="BI34" i="12"/>
  <c r="BJ34" i="12"/>
  <c r="BK34" i="12"/>
  <c r="BL34" i="12"/>
  <c r="BM34" i="12"/>
  <c r="BN34" i="12"/>
  <c r="BO34" i="12"/>
  <c r="BP34" i="12"/>
  <c r="BQ34" i="12"/>
  <c r="BR34" i="12"/>
  <c r="BS34" i="12"/>
  <c r="BT34" i="12"/>
  <c r="BU34" i="12"/>
  <c r="BV34" i="12"/>
  <c r="BW34" i="12"/>
  <c r="BX34" i="12"/>
  <c r="BY34" i="12"/>
  <c r="BZ34" i="12"/>
  <c r="CA34" i="12"/>
  <c r="CB34" i="12"/>
  <c r="CC34" i="12"/>
  <c r="CD34" i="12"/>
  <c r="CE34" i="12"/>
  <c r="CF34" i="12"/>
  <c r="CG34" i="12"/>
  <c r="CH34" i="12"/>
  <c r="CI34" i="12"/>
  <c r="CJ34" i="12"/>
  <c r="CK34" i="12"/>
  <c r="CL34" i="12"/>
  <c r="CM34" i="12"/>
  <c r="CN34" i="12"/>
  <c r="CO34" i="12"/>
  <c r="CP34" i="12"/>
  <c r="CQ34" i="12"/>
  <c r="CR34" i="12"/>
  <c r="CS34" i="12"/>
  <c r="CT34" i="12"/>
  <c r="CU34" i="12"/>
  <c r="CV34" i="12"/>
  <c r="CW34" i="12"/>
  <c r="CX34" i="12"/>
  <c r="CY34" i="12"/>
  <c r="CZ34" i="12"/>
  <c r="DA34" i="12"/>
  <c r="DB34" i="12"/>
  <c r="DC34" i="12"/>
  <c r="DD34" i="12"/>
  <c r="DE34" i="12"/>
  <c r="DF34" i="12"/>
  <c r="DG34" i="12"/>
  <c r="DH34" i="12"/>
  <c r="DI34" i="12"/>
  <c r="DJ34" i="12"/>
  <c r="DK34" i="12"/>
  <c r="DL34" i="12"/>
  <c r="DM34" i="12"/>
  <c r="DN34" i="12"/>
  <c r="DO34" i="12"/>
  <c r="DP34" i="12"/>
  <c r="DQ34" i="12"/>
  <c r="DR34" i="12"/>
  <c r="DS34" i="12"/>
  <c r="DT34" i="12"/>
  <c r="DU34" i="12"/>
  <c r="DV34" i="12"/>
  <c r="DW34" i="12"/>
  <c r="DX34" i="12"/>
  <c r="DY34" i="12"/>
  <c r="DZ34" i="12"/>
  <c r="EA34" i="12"/>
  <c r="EB34" i="12"/>
  <c r="EC34" i="12"/>
  <c r="ED34" i="12"/>
  <c r="EE34" i="12"/>
  <c r="EF34" i="12"/>
  <c r="EG34" i="12"/>
  <c r="EH34" i="12"/>
  <c r="EI34" i="12"/>
  <c r="EJ34" i="12"/>
  <c r="EK34" i="12"/>
  <c r="EL34" i="12"/>
  <c r="EM34" i="12"/>
  <c r="EN34" i="12"/>
  <c r="EO34" i="12"/>
  <c r="EP34" i="12"/>
  <c r="EQ34" i="12"/>
  <c r="ER34" i="12"/>
  <c r="ES34" i="12"/>
  <c r="ET34" i="12"/>
  <c r="EU34" i="12"/>
  <c r="EV34" i="12"/>
  <c r="EW34" i="12"/>
  <c r="EX34" i="12"/>
  <c r="EY34" i="12"/>
  <c r="EZ34" i="12"/>
  <c r="FA34" i="12"/>
  <c r="FB34" i="12"/>
  <c r="FC34" i="12"/>
  <c r="FD34" i="12"/>
  <c r="FE34" i="12"/>
  <c r="FF34" i="12"/>
  <c r="FG34" i="12"/>
  <c r="FH34" i="12"/>
  <c r="FI34" i="12"/>
  <c r="FJ34" i="12"/>
  <c r="FK34" i="12"/>
  <c r="FL34" i="12"/>
  <c r="FM34" i="12"/>
  <c r="FN34" i="12"/>
  <c r="FO34" i="12"/>
  <c r="FP34" i="12"/>
  <c r="FQ34" i="12"/>
  <c r="FR34" i="12"/>
  <c r="FS34" i="12"/>
  <c r="FT34" i="12"/>
  <c r="FU34" i="12"/>
  <c r="FV34" i="12"/>
  <c r="FW34" i="12"/>
  <c r="FX34" i="12"/>
  <c r="FY34" i="12"/>
  <c r="FZ34" i="12"/>
  <c r="GA34" i="12"/>
  <c r="GB34" i="12"/>
  <c r="GC34" i="12"/>
  <c r="GD34" i="12"/>
  <c r="GE34" i="12"/>
  <c r="GF34" i="12"/>
  <c r="GG34" i="12"/>
  <c r="GH34" i="12"/>
  <c r="GI34" i="12"/>
  <c r="GJ34" i="12"/>
  <c r="GK34" i="12"/>
  <c r="GL34" i="12"/>
  <c r="GM34" i="12"/>
  <c r="GN34" i="12"/>
  <c r="GO34" i="12"/>
  <c r="GP34" i="12"/>
  <c r="GQ34" i="12"/>
  <c r="GR34" i="12"/>
  <c r="GS34" i="12"/>
  <c r="GT34" i="12"/>
  <c r="GU34" i="12"/>
  <c r="GV34" i="12"/>
  <c r="GW34" i="12"/>
  <c r="GX34" i="12"/>
  <c r="GY34" i="12"/>
  <c r="GZ34" i="12"/>
  <c r="HA34" i="12"/>
  <c r="HB34" i="12"/>
  <c r="HC34" i="12"/>
  <c r="HD34" i="12"/>
  <c r="HE34" i="12"/>
  <c r="HF34" i="12"/>
  <c r="HG34" i="12"/>
  <c r="HH34" i="12"/>
  <c r="HI34" i="12"/>
  <c r="HJ34" i="12"/>
  <c r="HK34" i="12"/>
  <c r="HL34" i="12"/>
  <c r="HM34" i="12"/>
  <c r="HN34" i="12"/>
  <c r="HO34" i="12"/>
  <c r="HP34" i="12"/>
  <c r="HQ34" i="12"/>
  <c r="HR34" i="12"/>
  <c r="HS34" i="12"/>
  <c r="HT34" i="12"/>
  <c r="HU34" i="12"/>
  <c r="HV34" i="12"/>
  <c r="HW34" i="12"/>
  <c r="HX34" i="12"/>
  <c r="HY34" i="12"/>
  <c r="HZ34" i="12"/>
  <c r="IA34" i="12"/>
  <c r="IB34" i="12"/>
  <c r="IC34" i="12"/>
  <c r="ID34" i="12"/>
  <c r="IE34" i="12"/>
  <c r="IF34" i="12"/>
  <c r="IG34" i="12"/>
  <c r="IH34" i="12"/>
  <c r="II34" i="12"/>
  <c r="IJ34" i="12"/>
  <c r="IK34" i="12"/>
  <c r="IL34" i="12"/>
  <c r="IM34" i="12"/>
  <c r="IN34" i="12"/>
  <c r="IO34" i="12"/>
  <c r="IP34" i="12"/>
  <c r="IQ34" i="12"/>
  <c r="IR34" i="12"/>
  <c r="IS34" i="12"/>
  <c r="IT34" i="12"/>
  <c r="IU34" i="12"/>
  <c r="IV34" i="12"/>
  <c r="F35" i="12"/>
  <c r="G35" i="12"/>
  <c r="H35" i="12"/>
  <c r="I35" i="12"/>
  <c r="J35" i="12"/>
  <c r="K35" i="12"/>
  <c r="L35" i="12"/>
  <c r="M35" i="12"/>
  <c r="N35" i="12"/>
  <c r="O35" i="12"/>
  <c r="P35" i="12"/>
  <c r="Q35" i="12"/>
  <c r="R35" i="12"/>
  <c r="S35" i="12"/>
  <c r="T35" i="12"/>
  <c r="U35" i="12"/>
  <c r="V35" i="12"/>
  <c r="W35" i="12"/>
  <c r="X35" i="12"/>
  <c r="Y35" i="12"/>
  <c r="Z35" i="12"/>
  <c r="AA35" i="12"/>
  <c r="AB35" i="12"/>
  <c r="AC35" i="12"/>
  <c r="AD35" i="12"/>
  <c r="AE35" i="12"/>
  <c r="AF35" i="12"/>
  <c r="AG35" i="12"/>
  <c r="AH35" i="12"/>
  <c r="AI35" i="12"/>
  <c r="AJ35" i="12"/>
  <c r="AK35" i="12"/>
  <c r="AL35" i="12"/>
  <c r="AM35" i="12"/>
  <c r="AN35" i="12"/>
  <c r="AO35" i="12"/>
  <c r="AP35" i="12"/>
  <c r="AQ35" i="12"/>
  <c r="AR35" i="12"/>
  <c r="AS35" i="12"/>
  <c r="AT35" i="12"/>
  <c r="AU35" i="12"/>
  <c r="AV35" i="12"/>
  <c r="AW35" i="12"/>
  <c r="AX35" i="12"/>
  <c r="AY35" i="12"/>
  <c r="AZ35" i="12"/>
  <c r="BA35" i="12"/>
  <c r="BB35" i="12"/>
  <c r="BC35" i="12"/>
  <c r="BD35" i="12"/>
  <c r="BE35" i="12"/>
  <c r="BF35" i="12"/>
  <c r="BG35" i="12"/>
  <c r="BH35" i="12"/>
  <c r="BI35" i="12"/>
  <c r="BJ35" i="12"/>
  <c r="BK35" i="12"/>
  <c r="BL35" i="12"/>
  <c r="BM35" i="12"/>
  <c r="BN35" i="12"/>
  <c r="BO35" i="12"/>
  <c r="BP35" i="12"/>
  <c r="BQ35" i="12"/>
  <c r="BR35" i="12"/>
  <c r="BS35" i="12"/>
  <c r="BT35" i="12"/>
  <c r="BU35" i="12"/>
  <c r="BV35" i="12"/>
  <c r="BW35" i="12"/>
  <c r="BX35" i="12"/>
  <c r="BY35" i="12"/>
  <c r="BZ35" i="12"/>
  <c r="CA35" i="12"/>
  <c r="CB35" i="12"/>
  <c r="CC35" i="12"/>
  <c r="CD35" i="12"/>
  <c r="CE35" i="12"/>
  <c r="CF35" i="12"/>
  <c r="CG35" i="12"/>
  <c r="CH35" i="12"/>
  <c r="CI35" i="12"/>
  <c r="CJ35" i="12"/>
  <c r="CK35" i="12"/>
  <c r="CL35" i="12"/>
  <c r="CM35" i="12"/>
  <c r="CN35" i="12"/>
  <c r="CO35" i="12"/>
  <c r="CP35" i="12"/>
  <c r="CQ35" i="12"/>
  <c r="CR35" i="12"/>
  <c r="CS35" i="12"/>
  <c r="CT35" i="12"/>
  <c r="CU35" i="12"/>
  <c r="CV35" i="12"/>
  <c r="CW35" i="12"/>
  <c r="CX35" i="12"/>
  <c r="CY35" i="12"/>
  <c r="CZ35" i="12"/>
  <c r="DA35" i="12"/>
  <c r="DB35" i="12"/>
  <c r="DC35" i="12"/>
  <c r="DD35" i="12"/>
  <c r="DE35" i="12"/>
  <c r="DF35" i="12"/>
  <c r="DG35" i="12"/>
  <c r="DH35" i="12"/>
  <c r="DI35" i="12"/>
  <c r="DJ35" i="12"/>
  <c r="DK35" i="12"/>
  <c r="DL35" i="12"/>
  <c r="DM35" i="12"/>
  <c r="DN35" i="12"/>
  <c r="DO35" i="12"/>
  <c r="DP35" i="12"/>
  <c r="DQ35" i="12"/>
  <c r="DR35" i="12"/>
  <c r="DS35" i="12"/>
  <c r="DT35" i="12"/>
  <c r="DU35" i="12"/>
  <c r="DV35" i="12"/>
  <c r="DW35" i="12"/>
  <c r="DX35" i="12"/>
  <c r="DY35" i="12"/>
  <c r="DZ35" i="12"/>
  <c r="EA35" i="12"/>
  <c r="EB35" i="12"/>
  <c r="EC35" i="12"/>
  <c r="ED35" i="12"/>
  <c r="EE35" i="12"/>
  <c r="EF35" i="12"/>
  <c r="EG35" i="12"/>
  <c r="EH35" i="12"/>
  <c r="EI35" i="12"/>
  <c r="EJ35" i="12"/>
  <c r="EK35" i="12"/>
  <c r="EL35" i="12"/>
  <c r="EM35" i="12"/>
  <c r="EN35" i="12"/>
  <c r="EO35" i="12"/>
  <c r="EP35" i="12"/>
  <c r="EQ35" i="12"/>
  <c r="ER35" i="12"/>
  <c r="ES35" i="12"/>
  <c r="ET35" i="12"/>
  <c r="EU35" i="12"/>
  <c r="EV35" i="12"/>
  <c r="EW35" i="12"/>
  <c r="EX35" i="12"/>
  <c r="EY35" i="12"/>
  <c r="EZ35" i="12"/>
  <c r="FA35" i="12"/>
  <c r="FB35" i="12"/>
  <c r="FC35" i="12"/>
  <c r="FD35" i="12"/>
  <c r="FE35" i="12"/>
  <c r="FF35" i="12"/>
  <c r="FG35" i="12"/>
  <c r="FH35" i="12"/>
  <c r="FI35" i="12"/>
  <c r="FJ35" i="12"/>
  <c r="FK35" i="12"/>
  <c r="FL35" i="12"/>
  <c r="FM35" i="12"/>
  <c r="FN35" i="12"/>
  <c r="FO35" i="12"/>
  <c r="FP35" i="12"/>
  <c r="FQ35" i="12"/>
  <c r="FR35" i="12"/>
  <c r="FS35" i="12"/>
  <c r="FT35" i="12"/>
  <c r="FU35" i="12"/>
  <c r="FV35" i="12"/>
  <c r="FW35" i="12"/>
  <c r="FX35" i="12"/>
  <c r="FY35" i="12"/>
  <c r="FZ35" i="12"/>
  <c r="GA35" i="12"/>
  <c r="GB35" i="12"/>
  <c r="GC35" i="12"/>
  <c r="GD35" i="12"/>
  <c r="GE35" i="12"/>
  <c r="GF35" i="12"/>
  <c r="GG35" i="12"/>
  <c r="GH35" i="12"/>
  <c r="GI35" i="12"/>
  <c r="GJ35" i="12"/>
  <c r="GK35" i="12"/>
  <c r="GL35" i="12"/>
  <c r="GM35" i="12"/>
  <c r="GN35" i="12"/>
  <c r="GO35" i="12"/>
  <c r="GP35" i="12"/>
  <c r="GQ35" i="12"/>
  <c r="GR35" i="12"/>
  <c r="GS35" i="12"/>
  <c r="GT35" i="12"/>
  <c r="GU35" i="12"/>
  <c r="GV35" i="12"/>
  <c r="GW35" i="12"/>
  <c r="GX35" i="12"/>
  <c r="GY35" i="12"/>
  <c r="GZ35" i="12"/>
  <c r="HA35" i="12"/>
  <c r="HB35" i="12"/>
  <c r="HC35" i="12"/>
  <c r="HD35" i="12"/>
  <c r="HE35" i="12"/>
  <c r="HF35" i="12"/>
  <c r="HG35" i="12"/>
  <c r="HH35" i="12"/>
  <c r="HI35" i="12"/>
  <c r="HJ35" i="12"/>
  <c r="HK35" i="12"/>
  <c r="HL35" i="12"/>
  <c r="HM35" i="12"/>
  <c r="HN35" i="12"/>
  <c r="HO35" i="12"/>
  <c r="HP35" i="12"/>
  <c r="HQ35" i="12"/>
  <c r="HR35" i="12"/>
  <c r="HS35" i="12"/>
  <c r="HT35" i="12"/>
  <c r="HU35" i="12"/>
  <c r="HV35" i="12"/>
  <c r="HW35" i="12"/>
  <c r="HX35" i="12"/>
  <c r="HY35" i="12"/>
  <c r="HZ35" i="12"/>
  <c r="IA35" i="12"/>
  <c r="IB35" i="12"/>
  <c r="IC35" i="12"/>
  <c r="ID35" i="12"/>
  <c r="IE35" i="12"/>
  <c r="IF35" i="12"/>
  <c r="IG35" i="12"/>
  <c r="IH35" i="12"/>
  <c r="II35" i="12"/>
  <c r="IJ35" i="12"/>
  <c r="IK35" i="12"/>
  <c r="IL35" i="12"/>
  <c r="IM35" i="12"/>
  <c r="IN35" i="12"/>
  <c r="IO35" i="12"/>
  <c r="IP35" i="12"/>
  <c r="IQ35" i="12"/>
  <c r="IR35" i="12"/>
  <c r="IS35" i="12"/>
  <c r="IT35" i="12"/>
  <c r="IU35" i="12"/>
  <c r="IV35" i="12"/>
  <c r="F36" i="12"/>
  <c r="G36" i="12"/>
  <c r="H36" i="12"/>
  <c r="I36" i="12"/>
  <c r="J36" i="12"/>
  <c r="K36" i="12"/>
  <c r="L36" i="12"/>
  <c r="M36" i="12"/>
  <c r="N36" i="12"/>
  <c r="O36" i="12"/>
  <c r="P36" i="12"/>
  <c r="Q36" i="12"/>
  <c r="R36" i="12"/>
  <c r="S36" i="12"/>
  <c r="T36" i="12"/>
  <c r="U36" i="12"/>
  <c r="V36" i="12"/>
  <c r="W36" i="12"/>
  <c r="X36" i="12"/>
  <c r="Y36" i="12"/>
  <c r="Z36" i="12"/>
  <c r="AA36" i="12"/>
  <c r="AB36" i="12"/>
  <c r="AC36" i="12"/>
  <c r="AD36" i="12"/>
  <c r="AE36" i="12"/>
  <c r="AF36" i="12"/>
  <c r="AG36" i="12"/>
  <c r="AH36" i="12"/>
  <c r="AI36" i="12"/>
  <c r="AJ36" i="12"/>
  <c r="AK36" i="12"/>
  <c r="AL36" i="12"/>
  <c r="AM36" i="12"/>
  <c r="AN36" i="12"/>
  <c r="AO36" i="12"/>
  <c r="AP36" i="12"/>
  <c r="AQ36" i="12"/>
  <c r="AR36" i="12"/>
  <c r="AS36" i="12"/>
  <c r="AT36" i="12"/>
  <c r="AU36" i="12"/>
  <c r="AV36" i="12"/>
  <c r="AW36" i="12"/>
  <c r="AX36" i="12"/>
  <c r="AY36" i="12"/>
  <c r="AZ36" i="12"/>
  <c r="BA36" i="12"/>
  <c r="BB36" i="12"/>
  <c r="BC36" i="12"/>
  <c r="BD36" i="12"/>
  <c r="BE36" i="12"/>
  <c r="BF36" i="12"/>
  <c r="BG36" i="12"/>
  <c r="BH36" i="12"/>
  <c r="BI36" i="12"/>
  <c r="BJ36" i="12"/>
  <c r="BK36" i="12"/>
  <c r="BL36" i="12"/>
  <c r="BM36" i="12"/>
  <c r="BN36" i="12"/>
  <c r="BO36" i="12"/>
  <c r="BP36" i="12"/>
  <c r="BQ36" i="12"/>
  <c r="BR36" i="12"/>
  <c r="BS36" i="12"/>
  <c r="BT36" i="12"/>
  <c r="BU36" i="12"/>
  <c r="BV36" i="12"/>
  <c r="BW36" i="12"/>
  <c r="BX36" i="12"/>
  <c r="BY36" i="12"/>
  <c r="BZ36" i="12"/>
  <c r="CA36" i="12"/>
  <c r="CB36" i="12"/>
  <c r="CC36" i="12"/>
  <c r="CD36" i="12"/>
  <c r="CE36" i="12"/>
  <c r="CF36" i="12"/>
  <c r="CG36" i="12"/>
  <c r="CH36" i="12"/>
  <c r="CI36" i="12"/>
  <c r="CJ36" i="12"/>
  <c r="CK36" i="12"/>
  <c r="CL36" i="12"/>
  <c r="CM36" i="12"/>
  <c r="CN36" i="12"/>
  <c r="CO36" i="12"/>
  <c r="CP36" i="12"/>
  <c r="CQ36" i="12"/>
  <c r="CR36" i="12"/>
  <c r="CS36" i="12"/>
  <c r="CT36" i="12"/>
  <c r="CU36" i="12"/>
  <c r="CV36" i="12"/>
  <c r="CW36" i="12"/>
  <c r="CX36" i="12"/>
  <c r="CY36" i="12"/>
  <c r="CZ36" i="12"/>
  <c r="DA36" i="12"/>
  <c r="DB36" i="12"/>
  <c r="DC36" i="12"/>
  <c r="DD36" i="12"/>
  <c r="DE36" i="12"/>
  <c r="DF36" i="12"/>
  <c r="DG36" i="12"/>
  <c r="DH36" i="12"/>
  <c r="DI36" i="12"/>
  <c r="DJ36" i="12"/>
  <c r="DK36" i="12"/>
  <c r="DL36" i="12"/>
  <c r="DM36" i="12"/>
  <c r="DN36" i="12"/>
  <c r="DO36" i="12"/>
  <c r="DP36" i="12"/>
  <c r="DQ36" i="12"/>
  <c r="DR36" i="12"/>
  <c r="DS36" i="12"/>
  <c r="DT36" i="12"/>
  <c r="DU36" i="12"/>
  <c r="DV36" i="12"/>
  <c r="DW36" i="12"/>
  <c r="DX36" i="12"/>
  <c r="DY36" i="12"/>
  <c r="DZ36" i="12"/>
  <c r="EA36" i="12"/>
  <c r="EB36" i="12"/>
  <c r="EC36" i="12"/>
  <c r="ED36" i="12"/>
  <c r="EE36" i="12"/>
  <c r="EF36" i="12"/>
  <c r="EG36" i="12"/>
  <c r="EH36" i="12"/>
  <c r="EI36" i="12"/>
  <c r="EJ36" i="12"/>
  <c r="EK36" i="12"/>
  <c r="EL36" i="12"/>
  <c r="EM36" i="12"/>
  <c r="EN36" i="12"/>
  <c r="EO36" i="12"/>
  <c r="EP36" i="12"/>
  <c r="EQ36" i="12"/>
  <c r="ER36" i="12"/>
  <c r="ES36" i="12"/>
  <c r="ET36" i="12"/>
  <c r="EU36" i="12"/>
  <c r="EV36" i="12"/>
  <c r="EW36" i="12"/>
  <c r="EX36" i="12"/>
  <c r="EY36" i="12"/>
  <c r="EZ36" i="12"/>
  <c r="FA36" i="12"/>
  <c r="FB36" i="12"/>
  <c r="FC36" i="12"/>
  <c r="FD36" i="12"/>
  <c r="FE36" i="12"/>
  <c r="FF36" i="12"/>
  <c r="FG36" i="12"/>
  <c r="FH36" i="12"/>
  <c r="FI36" i="12"/>
  <c r="FJ36" i="12"/>
  <c r="FK36" i="12"/>
  <c r="FL36" i="12"/>
  <c r="FM36" i="12"/>
  <c r="FN36" i="12"/>
  <c r="FO36" i="12"/>
  <c r="FP36" i="12"/>
  <c r="FQ36" i="12"/>
  <c r="FR36" i="12"/>
  <c r="FS36" i="12"/>
  <c r="FT36" i="12"/>
  <c r="FU36" i="12"/>
  <c r="FV36" i="12"/>
  <c r="FW36" i="12"/>
  <c r="FX36" i="12"/>
  <c r="FY36" i="12"/>
  <c r="FZ36" i="12"/>
  <c r="GA36" i="12"/>
  <c r="GB36" i="12"/>
  <c r="GC36" i="12"/>
  <c r="GD36" i="12"/>
  <c r="GE36" i="12"/>
  <c r="GF36" i="12"/>
  <c r="GG36" i="12"/>
  <c r="GH36" i="12"/>
  <c r="GI36" i="12"/>
  <c r="GJ36" i="12"/>
  <c r="GK36" i="12"/>
  <c r="GL36" i="12"/>
  <c r="GM36" i="12"/>
  <c r="GN36" i="12"/>
  <c r="GO36" i="12"/>
  <c r="GP36" i="12"/>
  <c r="GQ36" i="12"/>
  <c r="GR36" i="12"/>
  <c r="GS36" i="12"/>
  <c r="GT36" i="12"/>
  <c r="GU36" i="12"/>
  <c r="GV36" i="12"/>
  <c r="GW36" i="12"/>
  <c r="GX36" i="12"/>
  <c r="GY36" i="12"/>
  <c r="GZ36" i="12"/>
  <c r="HA36" i="12"/>
  <c r="HB36" i="12"/>
  <c r="HC36" i="12"/>
  <c r="HD36" i="12"/>
  <c r="HE36" i="12"/>
  <c r="HF36" i="12"/>
  <c r="HG36" i="12"/>
  <c r="HH36" i="12"/>
  <c r="HI36" i="12"/>
  <c r="HJ36" i="12"/>
  <c r="HK36" i="12"/>
  <c r="HL36" i="12"/>
  <c r="HM36" i="12"/>
  <c r="HN36" i="12"/>
  <c r="HO36" i="12"/>
  <c r="HP36" i="12"/>
  <c r="HQ36" i="12"/>
  <c r="HR36" i="12"/>
  <c r="HS36" i="12"/>
  <c r="HT36" i="12"/>
  <c r="HU36" i="12"/>
  <c r="HV36" i="12"/>
  <c r="HW36" i="12"/>
  <c r="HX36" i="12"/>
  <c r="HY36" i="12"/>
  <c r="HZ36" i="12"/>
  <c r="IA36" i="12"/>
  <c r="IB36" i="12"/>
  <c r="IC36" i="12"/>
  <c r="ID36" i="12"/>
  <c r="IE36" i="12"/>
  <c r="IF36" i="12"/>
  <c r="IG36" i="12"/>
  <c r="IH36" i="12"/>
  <c r="II36" i="12"/>
  <c r="IJ36" i="12"/>
  <c r="IK36" i="12"/>
  <c r="IL36" i="12"/>
  <c r="IM36" i="12"/>
  <c r="IN36" i="12"/>
  <c r="IO36" i="12"/>
  <c r="IP36" i="12"/>
  <c r="IQ36" i="12"/>
  <c r="IR36" i="12"/>
  <c r="IS36" i="12"/>
  <c r="IT36" i="12"/>
  <c r="IU36" i="12"/>
  <c r="IV36" i="12"/>
  <c r="F37" i="12"/>
  <c r="G37" i="12"/>
  <c r="H37" i="12"/>
  <c r="I37" i="12"/>
  <c r="J37" i="12"/>
  <c r="K37" i="12"/>
  <c r="L37" i="12"/>
  <c r="M37" i="12"/>
  <c r="N37" i="12"/>
  <c r="O37" i="12"/>
  <c r="P37" i="12"/>
  <c r="Q37" i="12"/>
  <c r="R37" i="12"/>
  <c r="S37" i="12"/>
  <c r="T37" i="12"/>
  <c r="U37" i="12"/>
  <c r="V37" i="12"/>
  <c r="W37" i="12"/>
  <c r="X37" i="12"/>
  <c r="Y37" i="12"/>
  <c r="Z37" i="12"/>
  <c r="AA37" i="12"/>
  <c r="AB37" i="12"/>
  <c r="AC37" i="12"/>
  <c r="AD37" i="12"/>
  <c r="AE37" i="12"/>
  <c r="AF37" i="12"/>
  <c r="AG37" i="12"/>
  <c r="AH37" i="12"/>
  <c r="AI37" i="12"/>
  <c r="AJ37" i="12"/>
  <c r="AK37" i="12"/>
  <c r="AL37" i="12"/>
  <c r="AM37" i="12"/>
  <c r="AN37" i="12"/>
  <c r="AO37" i="12"/>
  <c r="AP37" i="12"/>
  <c r="AQ37" i="12"/>
  <c r="AR37" i="12"/>
  <c r="AS37" i="12"/>
  <c r="AT37" i="12"/>
  <c r="AU37" i="12"/>
  <c r="AV37" i="12"/>
  <c r="AW37" i="12"/>
  <c r="AX37" i="12"/>
  <c r="AY37" i="12"/>
  <c r="AZ37" i="12"/>
  <c r="BA37" i="12"/>
  <c r="BB37" i="12"/>
  <c r="BC37" i="12"/>
  <c r="BD37" i="12"/>
  <c r="BE37" i="12"/>
  <c r="BF37" i="12"/>
  <c r="BG37" i="12"/>
  <c r="BH37" i="12"/>
  <c r="BI37" i="12"/>
  <c r="BJ37" i="12"/>
  <c r="BK37" i="12"/>
  <c r="BL37" i="12"/>
  <c r="BM37" i="12"/>
  <c r="BN37" i="12"/>
  <c r="BO37" i="12"/>
  <c r="BP37" i="12"/>
  <c r="BQ37" i="12"/>
  <c r="BR37" i="12"/>
  <c r="BS37" i="12"/>
  <c r="BT37" i="12"/>
  <c r="BU37" i="12"/>
  <c r="BV37" i="12"/>
  <c r="BW37" i="12"/>
  <c r="BX37" i="12"/>
  <c r="BY37" i="12"/>
  <c r="BZ37" i="12"/>
  <c r="CA37" i="12"/>
  <c r="CB37" i="12"/>
  <c r="CC37" i="12"/>
  <c r="CD37" i="12"/>
  <c r="CE37" i="12"/>
  <c r="CF37" i="12"/>
  <c r="CG37" i="12"/>
  <c r="CH37" i="12"/>
  <c r="CI37" i="12"/>
  <c r="CJ37" i="12"/>
  <c r="CK37" i="12"/>
  <c r="CL37" i="12"/>
  <c r="CM37" i="12"/>
  <c r="CN37" i="12"/>
  <c r="CO37" i="12"/>
  <c r="CP37" i="12"/>
  <c r="CQ37" i="12"/>
  <c r="CR37" i="12"/>
  <c r="CS37" i="12"/>
  <c r="CT37" i="12"/>
  <c r="CU37" i="12"/>
  <c r="CV37" i="12"/>
  <c r="CW37" i="12"/>
  <c r="CX37" i="12"/>
  <c r="CY37" i="12"/>
  <c r="CZ37" i="12"/>
  <c r="DA37" i="12"/>
  <c r="DB37" i="12"/>
  <c r="DC37" i="12"/>
  <c r="DD37" i="12"/>
  <c r="DE37" i="12"/>
  <c r="DF37" i="12"/>
  <c r="DG37" i="12"/>
  <c r="DH37" i="12"/>
  <c r="DI37" i="12"/>
  <c r="DJ37" i="12"/>
  <c r="DK37" i="12"/>
  <c r="DL37" i="12"/>
  <c r="DM37" i="12"/>
  <c r="DN37" i="12"/>
  <c r="DO37" i="12"/>
  <c r="DP37" i="12"/>
  <c r="DQ37" i="12"/>
  <c r="DR37" i="12"/>
  <c r="DS37" i="12"/>
  <c r="DT37" i="12"/>
  <c r="DU37" i="12"/>
  <c r="DV37" i="12"/>
  <c r="DW37" i="12"/>
  <c r="DX37" i="12"/>
  <c r="DY37" i="12"/>
  <c r="DZ37" i="12"/>
  <c r="EA37" i="12"/>
  <c r="EB37" i="12"/>
  <c r="EC37" i="12"/>
  <c r="ED37" i="12"/>
  <c r="EE37" i="12"/>
  <c r="EF37" i="12"/>
  <c r="EG37" i="12"/>
  <c r="EH37" i="12"/>
  <c r="EI37" i="12"/>
  <c r="EJ37" i="12"/>
  <c r="EK37" i="12"/>
  <c r="EL37" i="12"/>
  <c r="EM37" i="12"/>
  <c r="EN37" i="12"/>
  <c r="EO37" i="12"/>
  <c r="EP37" i="12"/>
  <c r="EQ37" i="12"/>
  <c r="ER37" i="12"/>
  <c r="ES37" i="12"/>
  <c r="ET37" i="12"/>
  <c r="EU37" i="12"/>
  <c r="EV37" i="12"/>
  <c r="EW37" i="12"/>
  <c r="EX37" i="12"/>
  <c r="EY37" i="12"/>
  <c r="EZ37" i="12"/>
  <c r="FA37" i="12"/>
  <c r="FB37" i="12"/>
  <c r="FC37" i="12"/>
  <c r="FD37" i="12"/>
  <c r="FE37" i="12"/>
  <c r="FF37" i="12"/>
  <c r="FG37" i="12"/>
  <c r="FH37" i="12"/>
  <c r="FI37" i="12"/>
  <c r="FJ37" i="12"/>
  <c r="FK37" i="12"/>
  <c r="FL37" i="12"/>
  <c r="FM37" i="12"/>
  <c r="FN37" i="12"/>
  <c r="FO37" i="12"/>
  <c r="FP37" i="12"/>
  <c r="FQ37" i="12"/>
  <c r="FR37" i="12"/>
  <c r="FS37" i="12"/>
  <c r="FT37" i="12"/>
  <c r="FU37" i="12"/>
  <c r="FV37" i="12"/>
  <c r="FW37" i="12"/>
  <c r="FX37" i="12"/>
  <c r="FY37" i="12"/>
  <c r="FZ37" i="12"/>
  <c r="GA37" i="12"/>
  <c r="GB37" i="12"/>
  <c r="GC37" i="12"/>
  <c r="GD37" i="12"/>
  <c r="GE37" i="12"/>
  <c r="GF37" i="12"/>
  <c r="GG37" i="12"/>
  <c r="GH37" i="12"/>
  <c r="GI37" i="12"/>
  <c r="GJ37" i="12"/>
  <c r="GK37" i="12"/>
  <c r="GL37" i="12"/>
  <c r="GM37" i="12"/>
  <c r="GN37" i="12"/>
  <c r="GO37" i="12"/>
  <c r="GP37" i="12"/>
  <c r="GQ37" i="12"/>
  <c r="GR37" i="12"/>
  <c r="GS37" i="12"/>
  <c r="GT37" i="12"/>
  <c r="GU37" i="12"/>
  <c r="GV37" i="12"/>
  <c r="GW37" i="12"/>
  <c r="GX37" i="12"/>
  <c r="GY37" i="12"/>
  <c r="GZ37" i="12"/>
  <c r="HA37" i="12"/>
  <c r="HB37" i="12"/>
  <c r="HC37" i="12"/>
  <c r="HD37" i="12"/>
  <c r="HE37" i="12"/>
  <c r="HF37" i="12"/>
  <c r="HG37" i="12"/>
  <c r="HH37" i="12"/>
  <c r="HI37" i="12"/>
  <c r="HJ37" i="12"/>
  <c r="HK37" i="12"/>
  <c r="HL37" i="12"/>
  <c r="HM37" i="12"/>
  <c r="HN37" i="12"/>
  <c r="HO37" i="12"/>
  <c r="HP37" i="12"/>
  <c r="HQ37" i="12"/>
  <c r="HR37" i="12"/>
  <c r="HS37" i="12"/>
  <c r="HT37" i="12"/>
  <c r="HU37" i="12"/>
  <c r="HV37" i="12"/>
  <c r="HW37" i="12"/>
  <c r="HX37" i="12"/>
  <c r="HY37" i="12"/>
  <c r="HZ37" i="12"/>
  <c r="IA37" i="12"/>
  <c r="IB37" i="12"/>
  <c r="IC37" i="12"/>
  <c r="ID37" i="12"/>
  <c r="IE37" i="12"/>
  <c r="IF37" i="12"/>
  <c r="IG37" i="12"/>
  <c r="IH37" i="12"/>
  <c r="II37" i="12"/>
  <c r="IJ37" i="12"/>
  <c r="IK37" i="12"/>
  <c r="IL37" i="12"/>
  <c r="IM37" i="12"/>
  <c r="IN37" i="12"/>
  <c r="IO37" i="12"/>
  <c r="IP37" i="12"/>
  <c r="IQ37" i="12"/>
  <c r="IR37" i="12"/>
  <c r="IS37" i="12"/>
  <c r="IT37" i="12"/>
  <c r="IU37" i="12"/>
  <c r="IV37" i="12"/>
  <c r="F38" i="12"/>
  <c r="G38" i="12"/>
  <c r="H38" i="12"/>
  <c r="I38" i="12"/>
  <c r="J38" i="12"/>
  <c r="K38" i="12"/>
  <c r="L38" i="12"/>
  <c r="M38" i="12"/>
  <c r="N38" i="12"/>
  <c r="O38" i="12"/>
  <c r="P38" i="12"/>
  <c r="Q38" i="12"/>
  <c r="R38" i="12"/>
  <c r="S38" i="12"/>
  <c r="T38" i="12"/>
  <c r="U38" i="12"/>
  <c r="V38" i="12"/>
  <c r="W38" i="12"/>
  <c r="X38" i="12"/>
  <c r="Y38" i="12"/>
  <c r="Z38" i="12"/>
  <c r="AA38" i="12"/>
  <c r="AB38" i="12"/>
  <c r="AC38" i="12"/>
  <c r="AD38" i="12"/>
  <c r="AE38" i="12"/>
  <c r="AF38" i="12"/>
  <c r="AG38" i="12"/>
  <c r="AH38" i="12"/>
  <c r="AI38" i="12"/>
  <c r="AJ38" i="12"/>
  <c r="AK38" i="12"/>
  <c r="AL38" i="12"/>
  <c r="AM38" i="12"/>
  <c r="AN38" i="12"/>
  <c r="AO38" i="12"/>
  <c r="AP38" i="12"/>
  <c r="AQ38" i="12"/>
  <c r="AR38" i="12"/>
  <c r="AS38" i="12"/>
  <c r="AT38" i="12"/>
  <c r="AU38" i="12"/>
  <c r="AV38" i="12"/>
  <c r="AW38" i="12"/>
  <c r="AX38" i="12"/>
  <c r="AY38" i="12"/>
  <c r="AZ38" i="12"/>
  <c r="BA38" i="12"/>
  <c r="BB38" i="12"/>
  <c r="BC38" i="12"/>
  <c r="BD38" i="12"/>
  <c r="BE38" i="12"/>
  <c r="BF38" i="12"/>
  <c r="BG38" i="12"/>
  <c r="BH38" i="12"/>
  <c r="BI38" i="12"/>
  <c r="BJ38" i="12"/>
  <c r="BK38" i="12"/>
  <c r="BL38" i="12"/>
  <c r="BM38" i="12"/>
  <c r="BN38" i="12"/>
  <c r="BO38" i="12"/>
  <c r="BP38" i="12"/>
  <c r="BQ38" i="12"/>
  <c r="BR38" i="12"/>
  <c r="BS38" i="12"/>
  <c r="BT38" i="12"/>
  <c r="BU38" i="12"/>
  <c r="BV38" i="12"/>
  <c r="BW38" i="12"/>
  <c r="BX38" i="12"/>
  <c r="BY38" i="12"/>
  <c r="BZ38" i="12"/>
  <c r="CA38" i="12"/>
  <c r="CB38" i="12"/>
  <c r="CC38" i="12"/>
  <c r="CD38" i="12"/>
  <c r="CE38" i="12"/>
  <c r="CF38" i="12"/>
  <c r="CG38" i="12"/>
  <c r="CH38" i="12"/>
  <c r="CI38" i="12"/>
  <c r="CJ38" i="12"/>
  <c r="CK38" i="12"/>
  <c r="CL38" i="12"/>
  <c r="CM38" i="12"/>
  <c r="CN38" i="12"/>
  <c r="CO38" i="12"/>
  <c r="CP38" i="12"/>
  <c r="CQ38" i="12"/>
  <c r="CR38" i="12"/>
  <c r="CS38" i="12"/>
  <c r="CT38" i="12"/>
  <c r="CU38" i="12"/>
  <c r="CV38" i="12"/>
  <c r="CW38" i="12"/>
  <c r="CX38" i="12"/>
  <c r="CY38" i="12"/>
  <c r="CZ38" i="12"/>
  <c r="DA38" i="12"/>
  <c r="DB38" i="12"/>
  <c r="DC38" i="12"/>
  <c r="DD38" i="12"/>
  <c r="DE38" i="12"/>
  <c r="DF38" i="12"/>
  <c r="DG38" i="12"/>
  <c r="DH38" i="12"/>
  <c r="DI38" i="12"/>
  <c r="DJ38" i="12"/>
  <c r="DK38" i="12"/>
  <c r="DL38" i="12"/>
  <c r="DM38" i="12"/>
  <c r="DN38" i="12"/>
  <c r="DO38" i="12"/>
  <c r="DP38" i="12"/>
  <c r="DQ38" i="12"/>
  <c r="DR38" i="12"/>
  <c r="DS38" i="12"/>
  <c r="DT38" i="12"/>
  <c r="DU38" i="12"/>
  <c r="DV38" i="12"/>
  <c r="DW38" i="12"/>
  <c r="DX38" i="12"/>
  <c r="DY38" i="12"/>
  <c r="DZ38" i="12"/>
  <c r="EA38" i="12"/>
  <c r="EB38" i="12"/>
  <c r="EC38" i="12"/>
  <c r="ED38" i="12"/>
  <c r="EE38" i="12"/>
  <c r="EF38" i="12"/>
  <c r="EG38" i="12"/>
  <c r="EH38" i="12"/>
  <c r="EI38" i="12"/>
  <c r="EJ38" i="12"/>
  <c r="EK38" i="12"/>
  <c r="EL38" i="12"/>
  <c r="EM38" i="12"/>
  <c r="EN38" i="12"/>
  <c r="EO38" i="12"/>
  <c r="EP38" i="12"/>
  <c r="EQ38" i="12"/>
  <c r="ER38" i="12"/>
  <c r="ES38" i="12"/>
  <c r="ET38" i="12"/>
  <c r="EU38" i="12"/>
  <c r="EV38" i="12"/>
  <c r="EW38" i="12"/>
  <c r="EX38" i="12"/>
  <c r="EY38" i="12"/>
  <c r="EZ38" i="12"/>
  <c r="FA38" i="12"/>
  <c r="FB38" i="12"/>
  <c r="FC38" i="12"/>
  <c r="FD38" i="12"/>
  <c r="FE38" i="12"/>
  <c r="FF38" i="12"/>
  <c r="FG38" i="12"/>
  <c r="FH38" i="12"/>
  <c r="FI38" i="12"/>
  <c r="FJ38" i="12"/>
  <c r="FK38" i="12"/>
  <c r="FL38" i="12"/>
  <c r="FM38" i="12"/>
  <c r="FN38" i="12"/>
  <c r="FO38" i="12"/>
  <c r="FP38" i="12"/>
  <c r="FQ38" i="12"/>
  <c r="FR38" i="12"/>
  <c r="FS38" i="12"/>
  <c r="FT38" i="12"/>
  <c r="FU38" i="12"/>
  <c r="FV38" i="12"/>
  <c r="FW38" i="12"/>
  <c r="FX38" i="12"/>
  <c r="FY38" i="12"/>
  <c r="FZ38" i="12"/>
  <c r="GA38" i="12"/>
  <c r="GB38" i="12"/>
  <c r="GC38" i="12"/>
  <c r="GD38" i="12"/>
  <c r="GE38" i="12"/>
  <c r="GF38" i="12"/>
  <c r="GG38" i="12"/>
  <c r="GH38" i="12"/>
  <c r="GI38" i="12"/>
  <c r="GJ38" i="12"/>
  <c r="GK38" i="12"/>
  <c r="GL38" i="12"/>
  <c r="GM38" i="12"/>
  <c r="GN38" i="12"/>
  <c r="GO38" i="12"/>
  <c r="GP38" i="12"/>
  <c r="GQ38" i="12"/>
  <c r="GR38" i="12"/>
  <c r="GS38" i="12"/>
  <c r="GT38" i="12"/>
  <c r="GU38" i="12"/>
  <c r="GV38" i="12"/>
  <c r="GW38" i="12"/>
  <c r="GX38" i="12"/>
  <c r="GY38" i="12"/>
  <c r="GZ38" i="12"/>
  <c r="HA38" i="12"/>
  <c r="HB38" i="12"/>
  <c r="HC38" i="12"/>
  <c r="HD38" i="12"/>
  <c r="HE38" i="12"/>
  <c r="HF38" i="12"/>
  <c r="HG38" i="12"/>
  <c r="HH38" i="12"/>
  <c r="HI38" i="12"/>
  <c r="HJ38" i="12"/>
  <c r="HK38" i="12"/>
  <c r="HL38" i="12"/>
  <c r="HM38" i="12"/>
  <c r="HN38" i="12"/>
  <c r="HO38" i="12"/>
  <c r="HP38" i="12"/>
  <c r="HQ38" i="12"/>
  <c r="HR38" i="12"/>
  <c r="HS38" i="12"/>
  <c r="HT38" i="12"/>
  <c r="HU38" i="12"/>
  <c r="HV38" i="12"/>
  <c r="HW38" i="12"/>
  <c r="HX38" i="12"/>
  <c r="HY38" i="12"/>
  <c r="HZ38" i="12"/>
  <c r="IA38" i="12"/>
  <c r="IB38" i="12"/>
  <c r="IC38" i="12"/>
  <c r="ID38" i="12"/>
  <c r="IE38" i="12"/>
  <c r="IF38" i="12"/>
  <c r="IG38" i="12"/>
  <c r="IH38" i="12"/>
  <c r="II38" i="12"/>
  <c r="IJ38" i="12"/>
  <c r="IK38" i="12"/>
  <c r="IL38" i="12"/>
  <c r="IM38" i="12"/>
  <c r="IN38" i="12"/>
  <c r="IO38" i="12"/>
  <c r="IP38" i="12"/>
  <c r="IQ38" i="12"/>
  <c r="IR38" i="12"/>
  <c r="IS38" i="12"/>
  <c r="IT38" i="12"/>
  <c r="IU38" i="12"/>
  <c r="IV38" i="12"/>
  <c r="F39" i="12"/>
  <c r="G39" i="12"/>
  <c r="H39" i="12"/>
  <c r="I39" i="12"/>
  <c r="J39" i="12"/>
  <c r="K39" i="12"/>
  <c r="L39" i="12"/>
  <c r="M39" i="12"/>
  <c r="N39" i="12"/>
  <c r="O39" i="12"/>
  <c r="P39" i="12"/>
  <c r="Q39" i="12"/>
  <c r="R39" i="12"/>
  <c r="S39" i="12"/>
  <c r="T39" i="12"/>
  <c r="U39" i="12"/>
  <c r="V39" i="12"/>
  <c r="W39" i="12"/>
  <c r="X39" i="12"/>
  <c r="Y39" i="12"/>
  <c r="Z39" i="12"/>
  <c r="AA39" i="12"/>
  <c r="AB39" i="12"/>
  <c r="AC39" i="12"/>
  <c r="AD39" i="12"/>
  <c r="AE39" i="12"/>
  <c r="AF39" i="12"/>
  <c r="AG39" i="12"/>
  <c r="AH39" i="12"/>
  <c r="AI39" i="12"/>
  <c r="AJ39" i="12"/>
  <c r="AK39" i="12"/>
  <c r="AL39" i="12"/>
  <c r="AM39" i="12"/>
  <c r="AN39" i="12"/>
  <c r="AO39" i="12"/>
  <c r="AP39" i="12"/>
  <c r="AQ39" i="12"/>
  <c r="AR39" i="12"/>
  <c r="AS39" i="12"/>
  <c r="AT39" i="12"/>
  <c r="AU39" i="12"/>
  <c r="AV39" i="12"/>
  <c r="AW39" i="12"/>
  <c r="AX39" i="12"/>
  <c r="AY39" i="12"/>
  <c r="AZ39" i="12"/>
  <c r="BA39" i="12"/>
  <c r="BB39" i="12"/>
  <c r="BC39" i="12"/>
  <c r="BD39" i="12"/>
  <c r="BE39" i="12"/>
  <c r="BF39" i="12"/>
  <c r="BG39" i="12"/>
  <c r="BH39" i="12"/>
  <c r="BI39" i="12"/>
  <c r="BJ39" i="12"/>
  <c r="BK39" i="12"/>
  <c r="BL39" i="12"/>
  <c r="BM39" i="12"/>
  <c r="BN39" i="12"/>
  <c r="BO39" i="12"/>
  <c r="BP39" i="12"/>
  <c r="BQ39" i="12"/>
  <c r="BR39" i="12"/>
  <c r="BS39" i="12"/>
  <c r="BT39" i="12"/>
  <c r="BU39" i="12"/>
  <c r="BV39" i="12"/>
  <c r="BW39" i="12"/>
  <c r="BX39" i="12"/>
  <c r="BY39" i="12"/>
  <c r="BZ39" i="12"/>
  <c r="CA39" i="12"/>
  <c r="CB39" i="12"/>
  <c r="CC39" i="12"/>
  <c r="CD39" i="12"/>
  <c r="CE39" i="12"/>
  <c r="CF39" i="12"/>
  <c r="CG39" i="12"/>
  <c r="CH39" i="12"/>
  <c r="CI39" i="12"/>
  <c r="CJ39" i="12"/>
  <c r="CK39" i="12"/>
  <c r="CL39" i="12"/>
  <c r="CM39" i="12"/>
  <c r="CN39" i="12"/>
  <c r="CO39" i="12"/>
  <c r="CP39" i="12"/>
  <c r="CQ39" i="12"/>
  <c r="CR39" i="12"/>
  <c r="CS39" i="12"/>
  <c r="CT39" i="12"/>
  <c r="CU39" i="12"/>
  <c r="CV39" i="12"/>
  <c r="CW39" i="12"/>
  <c r="CX39" i="12"/>
  <c r="CY39" i="12"/>
  <c r="CZ39" i="12"/>
  <c r="DA39" i="12"/>
  <c r="DB39" i="12"/>
  <c r="DC39" i="12"/>
  <c r="DD39" i="12"/>
  <c r="DE39" i="12"/>
  <c r="DF39" i="12"/>
  <c r="DG39" i="12"/>
  <c r="DH39" i="12"/>
  <c r="DI39" i="12"/>
  <c r="DJ39" i="12"/>
  <c r="DK39" i="12"/>
  <c r="DL39" i="12"/>
  <c r="DM39" i="12"/>
  <c r="DN39" i="12"/>
  <c r="DO39" i="12"/>
  <c r="DP39" i="12"/>
  <c r="DQ39" i="12"/>
  <c r="DR39" i="12"/>
  <c r="DS39" i="12"/>
  <c r="DT39" i="12"/>
  <c r="DU39" i="12"/>
  <c r="DV39" i="12"/>
  <c r="DW39" i="12"/>
  <c r="DX39" i="12"/>
  <c r="DY39" i="12"/>
  <c r="DZ39" i="12"/>
  <c r="EA39" i="12"/>
  <c r="EB39" i="12"/>
  <c r="EC39" i="12"/>
  <c r="ED39" i="12"/>
  <c r="EE39" i="12"/>
  <c r="EF39" i="12"/>
  <c r="EG39" i="12"/>
  <c r="EH39" i="12"/>
  <c r="EI39" i="12"/>
  <c r="EJ39" i="12"/>
  <c r="EK39" i="12"/>
  <c r="EL39" i="12"/>
  <c r="EM39" i="12"/>
  <c r="EN39" i="12"/>
  <c r="EO39" i="12"/>
  <c r="EP39" i="12"/>
  <c r="EQ39" i="12"/>
  <c r="ER39" i="12"/>
  <c r="ES39" i="12"/>
  <c r="ET39" i="12"/>
  <c r="EU39" i="12"/>
  <c r="EV39" i="12"/>
  <c r="EW39" i="12"/>
  <c r="EX39" i="12"/>
  <c r="EY39" i="12"/>
  <c r="EZ39" i="12"/>
  <c r="FA39" i="12"/>
  <c r="FB39" i="12"/>
  <c r="FC39" i="12"/>
  <c r="FD39" i="12"/>
  <c r="FE39" i="12"/>
  <c r="FF39" i="12"/>
  <c r="FG39" i="12"/>
  <c r="FH39" i="12"/>
  <c r="FI39" i="12"/>
  <c r="FJ39" i="12"/>
  <c r="FK39" i="12"/>
  <c r="FL39" i="12"/>
  <c r="FM39" i="12"/>
  <c r="FN39" i="12"/>
  <c r="FO39" i="12"/>
  <c r="FP39" i="12"/>
  <c r="FQ39" i="12"/>
  <c r="FR39" i="12"/>
  <c r="FS39" i="12"/>
  <c r="FT39" i="12"/>
  <c r="FU39" i="12"/>
  <c r="FV39" i="12"/>
  <c r="FW39" i="12"/>
  <c r="FX39" i="12"/>
  <c r="FY39" i="12"/>
  <c r="FZ39" i="12"/>
  <c r="GA39" i="12"/>
  <c r="GB39" i="12"/>
  <c r="GC39" i="12"/>
  <c r="GD39" i="12"/>
  <c r="GE39" i="12"/>
  <c r="GF39" i="12"/>
  <c r="GG39" i="12"/>
  <c r="GH39" i="12"/>
  <c r="GI39" i="12"/>
  <c r="GJ39" i="12"/>
  <c r="GK39" i="12"/>
  <c r="GL39" i="12"/>
  <c r="GM39" i="12"/>
  <c r="GN39" i="12"/>
  <c r="GO39" i="12"/>
  <c r="GP39" i="12"/>
  <c r="GQ39" i="12"/>
  <c r="GR39" i="12"/>
  <c r="GS39" i="12"/>
  <c r="GT39" i="12"/>
  <c r="GU39" i="12"/>
  <c r="GV39" i="12"/>
  <c r="GW39" i="12"/>
  <c r="GX39" i="12"/>
  <c r="GY39" i="12"/>
  <c r="GZ39" i="12"/>
  <c r="HA39" i="12"/>
  <c r="HB39" i="12"/>
  <c r="HC39" i="12"/>
  <c r="HD39" i="12"/>
  <c r="HE39" i="12"/>
  <c r="HF39" i="12"/>
  <c r="HG39" i="12"/>
  <c r="HH39" i="12"/>
  <c r="HI39" i="12"/>
  <c r="HJ39" i="12"/>
  <c r="HK39" i="12"/>
  <c r="HL39" i="12"/>
  <c r="HM39" i="12"/>
  <c r="HN39" i="12"/>
  <c r="HO39" i="12"/>
  <c r="HP39" i="12"/>
  <c r="HQ39" i="12"/>
  <c r="HR39" i="12"/>
  <c r="HS39" i="12"/>
  <c r="HT39" i="12"/>
  <c r="HU39" i="12"/>
  <c r="HV39" i="12"/>
  <c r="HW39" i="12"/>
  <c r="HX39" i="12"/>
  <c r="HY39" i="12"/>
  <c r="HZ39" i="12"/>
  <c r="IA39" i="12"/>
  <c r="IB39" i="12"/>
  <c r="IC39" i="12"/>
  <c r="ID39" i="12"/>
  <c r="IE39" i="12"/>
  <c r="IF39" i="12"/>
  <c r="IG39" i="12"/>
  <c r="IH39" i="12"/>
  <c r="II39" i="12"/>
  <c r="IJ39" i="12"/>
  <c r="IK39" i="12"/>
  <c r="IL39" i="12"/>
  <c r="IM39" i="12"/>
  <c r="IN39" i="12"/>
  <c r="IO39" i="12"/>
  <c r="IP39" i="12"/>
  <c r="IQ39" i="12"/>
  <c r="IR39" i="12"/>
  <c r="IS39" i="12"/>
  <c r="IT39" i="12"/>
  <c r="IU39" i="12"/>
  <c r="IV39" i="12"/>
  <c r="F40" i="12"/>
  <c r="G40" i="12"/>
  <c r="H40" i="12"/>
  <c r="I40" i="12"/>
  <c r="J40" i="12"/>
  <c r="K40" i="12"/>
  <c r="L40" i="12"/>
  <c r="M40" i="12"/>
  <c r="N40" i="12"/>
  <c r="O40" i="12"/>
  <c r="P40" i="12"/>
  <c r="Q40" i="12"/>
  <c r="R40" i="12"/>
  <c r="S40" i="12"/>
  <c r="T40" i="12"/>
  <c r="U40" i="12"/>
  <c r="V40" i="12"/>
  <c r="W40" i="12"/>
  <c r="X40" i="12"/>
  <c r="Y40" i="12"/>
  <c r="Z40" i="12"/>
  <c r="AA40" i="12"/>
  <c r="AB40" i="12"/>
  <c r="AC40" i="12"/>
  <c r="AD40" i="12"/>
  <c r="AE40" i="12"/>
  <c r="AF40" i="12"/>
  <c r="AG40" i="12"/>
  <c r="AH40" i="12"/>
  <c r="AI40" i="12"/>
  <c r="AJ40" i="12"/>
  <c r="AK40" i="12"/>
  <c r="AL40" i="12"/>
  <c r="AM40" i="12"/>
  <c r="AN40" i="12"/>
  <c r="AO40" i="12"/>
  <c r="AP40" i="12"/>
  <c r="AQ40" i="12"/>
  <c r="AR40" i="12"/>
  <c r="AS40" i="12"/>
  <c r="AT40" i="12"/>
  <c r="AU40" i="12"/>
  <c r="AV40" i="12"/>
  <c r="AW40" i="12"/>
  <c r="AX40" i="12"/>
  <c r="AY40" i="12"/>
  <c r="AZ40" i="12"/>
  <c r="BA40" i="12"/>
  <c r="BB40" i="12"/>
  <c r="BC40" i="12"/>
  <c r="BD40" i="12"/>
  <c r="BE40" i="12"/>
  <c r="BF40" i="12"/>
  <c r="BG40" i="12"/>
  <c r="BH40" i="12"/>
  <c r="BI40" i="12"/>
  <c r="BJ40" i="12"/>
  <c r="BK40" i="12"/>
  <c r="BL40" i="12"/>
  <c r="BM40" i="12"/>
  <c r="BN40" i="12"/>
  <c r="BO40" i="12"/>
  <c r="BP40" i="12"/>
  <c r="BQ40" i="12"/>
  <c r="BR40" i="12"/>
  <c r="BS40" i="12"/>
  <c r="BT40" i="12"/>
  <c r="BU40" i="12"/>
  <c r="BV40" i="12"/>
  <c r="BW40" i="12"/>
  <c r="BX40" i="12"/>
  <c r="BY40" i="12"/>
  <c r="BZ40" i="12"/>
  <c r="CA40" i="12"/>
  <c r="CB40" i="12"/>
  <c r="CC40" i="12"/>
  <c r="CD40" i="12"/>
  <c r="CE40" i="12"/>
  <c r="CF40" i="12"/>
  <c r="CG40" i="12"/>
  <c r="CH40" i="12"/>
  <c r="CI40" i="12"/>
  <c r="CJ40" i="12"/>
  <c r="CK40" i="12"/>
  <c r="CL40" i="12"/>
  <c r="CM40" i="12"/>
  <c r="CN40" i="12"/>
  <c r="CO40" i="12"/>
  <c r="CP40" i="12"/>
  <c r="CQ40" i="12"/>
  <c r="CR40" i="12"/>
  <c r="CS40" i="12"/>
  <c r="CT40" i="12"/>
  <c r="CU40" i="12"/>
  <c r="CV40" i="12"/>
  <c r="CW40" i="12"/>
  <c r="CX40" i="12"/>
  <c r="CY40" i="12"/>
  <c r="CZ40" i="12"/>
  <c r="DA40" i="12"/>
  <c r="DB40" i="12"/>
  <c r="DC40" i="12"/>
  <c r="DD40" i="12"/>
  <c r="DE40" i="12"/>
  <c r="DF40" i="12"/>
  <c r="DG40" i="12"/>
  <c r="DH40" i="12"/>
  <c r="DI40" i="12"/>
  <c r="DJ40" i="12"/>
  <c r="DK40" i="12"/>
  <c r="DL40" i="12"/>
  <c r="DM40" i="12"/>
  <c r="DN40" i="12"/>
  <c r="DO40" i="12"/>
  <c r="DP40" i="12"/>
  <c r="DQ40" i="12"/>
  <c r="DR40" i="12"/>
  <c r="DS40" i="12"/>
  <c r="DT40" i="12"/>
  <c r="DU40" i="12"/>
  <c r="DV40" i="12"/>
  <c r="DW40" i="12"/>
  <c r="DX40" i="12"/>
  <c r="DY40" i="12"/>
  <c r="DZ40" i="12"/>
  <c r="EA40" i="12"/>
  <c r="EB40" i="12"/>
  <c r="EC40" i="12"/>
  <c r="ED40" i="12"/>
  <c r="EE40" i="12"/>
  <c r="EF40" i="12"/>
  <c r="EG40" i="12"/>
  <c r="EH40" i="12"/>
  <c r="EI40" i="12"/>
  <c r="EJ40" i="12"/>
  <c r="EK40" i="12"/>
  <c r="EL40" i="12"/>
  <c r="EM40" i="12"/>
  <c r="EN40" i="12"/>
  <c r="EO40" i="12"/>
  <c r="EP40" i="12"/>
  <c r="EQ40" i="12"/>
  <c r="ER40" i="12"/>
  <c r="ES40" i="12"/>
  <c r="ET40" i="12"/>
  <c r="EU40" i="12"/>
  <c r="EV40" i="12"/>
  <c r="EW40" i="12"/>
  <c r="EX40" i="12"/>
  <c r="EY40" i="12"/>
  <c r="EZ40" i="12"/>
  <c r="FA40" i="12"/>
  <c r="FB40" i="12"/>
  <c r="FC40" i="12"/>
  <c r="FD40" i="12"/>
  <c r="FE40" i="12"/>
  <c r="FF40" i="12"/>
  <c r="FG40" i="12"/>
  <c r="FH40" i="12"/>
  <c r="FI40" i="12"/>
  <c r="FJ40" i="12"/>
  <c r="FK40" i="12"/>
  <c r="FL40" i="12"/>
  <c r="FM40" i="12"/>
  <c r="FN40" i="12"/>
  <c r="FO40" i="12"/>
  <c r="FP40" i="12"/>
  <c r="FQ40" i="12"/>
  <c r="FR40" i="12"/>
  <c r="FS40" i="12"/>
  <c r="FT40" i="12"/>
  <c r="FU40" i="12"/>
  <c r="FV40" i="12"/>
  <c r="FW40" i="12"/>
  <c r="FX40" i="12"/>
  <c r="FY40" i="12"/>
  <c r="FZ40" i="12"/>
  <c r="GA40" i="12"/>
  <c r="GB40" i="12"/>
  <c r="GC40" i="12"/>
  <c r="GD40" i="12"/>
  <c r="GE40" i="12"/>
  <c r="GF40" i="12"/>
  <c r="GG40" i="12"/>
  <c r="GH40" i="12"/>
  <c r="GI40" i="12"/>
  <c r="GJ40" i="12"/>
  <c r="GK40" i="12"/>
  <c r="GL40" i="12"/>
  <c r="GM40" i="12"/>
  <c r="GN40" i="12"/>
  <c r="GO40" i="12"/>
  <c r="GP40" i="12"/>
  <c r="GQ40" i="12"/>
  <c r="GR40" i="12"/>
  <c r="GS40" i="12"/>
  <c r="GT40" i="12"/>
  <c r="GU40" i="12"/>
  <c r="GV40" i="12"/>
  <c r="GW40" i="12"/>
  <c r="GX40" i="12"/>
  <c r="GY40" i="12"/>
  <c r="GZ40" i="12"/>
  <c r="HA40" i="12"/>
  <c r="HB40" i="12"/>
  <c r="HC40" i="12"/>
  <c r="HD40" i="12"/>
  <c r="HE40" i="12"/>
  <c r="HF40" i="12"/>
  <c r="HG40" i="12"/>
  <c r="HH40" i="12"/>
  <c r="HI40" i="12"/>
  <c r="HJ40" i="12"/>
  <c r="HK40" i="12"/>
  <c r="HL40" i="12"/>
  <c r="HM40" i="12"/>
  <c r="HN40" i="12"/>
  <c r="HO40" i="12"/>
  <c r="HP40" i="12"/>
  <c r="HQ40" i="12"/>
  <c r="HR40" i="12"/>
  <c r="HS40" i="12"/>
  <c r="HT40" i="12"/>
  <c r="HU40" i="12"/>
  <c r="HV40" i="12"/>
  <c r="HW40" i="12"/>
  <c r="HX40" i="12"/>
  <c r="HY40" i="12"/>
  <c r="HZ40" i="12"/>
  <c r="IA40" i="12"/>
  <c r="IB40" i="12"/>
  <c r="IC40" i="12"/>
  <c r="ID40" i="12"/>
  <c r="IE40" i="12"/>
  <c r="IF40" i="12"/>
  <c r="IG40" i="12"/>
  <c r="IH40" i="12"/>
  <c r="II40" i="12"/>
  <c r="IJ40" i="12"/>
  <c r="IK40" i="12"/>
  <c r="IL40" i="12"/>
  <c r="IM40" i="12"/>
  <c r="IN40" i="12"/>
  <c r="IO40" i="12"/>
  <c r="IP40" i="12"/>
  <c r="IQ40" i="12"/>
  <c r="IR40" i="12"/>
  <c r="IS40" i="12"/>
  <c r="IT40" i="12"/>
  <c r="IU40" i="12"/>
  <c r="IV40" i="12"/>
  <c r="F41" i="12"/>
  <c r="G41" i="12"/>
  <c r="H41" i="12"/>
  <c r="I41" i="12"/>
  <c r="J41" i="12"/>
  <c r="K41" i="12"/>
  <c r="L41" i="12"/>
  <c r="M41" i="12"/>
  <c r="N41" i="12"/>
  <c r="O41" i="12"/>
  <c r="P41" i="12"/>
  <c r="Q41" i="12"/>
  <c r="R41" i="12"/>
  <c r="S41" i="12"/>
  <c r="T41" i="12"/>
  <c r="U41" i="12"/>
  <c r="V41" i="12"/>
  <c r="W41" i="12"/>
  <c r="X41" i="12"/>
  <c r="Y41" i="12"/>
  <c r="Z41" i="12"/>
  <c r="AA41" i="12"/>
  <c r="AB41" i="12"/>
  <c r="AC41" i="12"/>
  <c r="AD41" i="12"/>
  <c r="AE41" i="12"/>
  <c r="AF41" i="12"/>
  <c r="AG41" i="12"/>
  <c r="AH41" i="12"/>
  <c r="AI41" i="12"/>
  <c r="AJ41" i="12"/>
  <c r="AK41" i="12"/>
  <c r="AL41" i="12"/>
  <c r="AM41" i="12"/>
  <c r="AN41" i="12"/>
  <c r="AO41" i="12"/>
  <c r="AP41" i="12"/>
  <c r="AQ41" i="12"/>
  <c r="AR41" i="12"/>
  <c r="AS41" i="12"/>
  <c r="AT41" i="12"/>
  <c r="AU41" i="12"/>
  <c r="AV41" i="12"/>
  <c r="AW41" i="12"/>
  <c r="AX41" i="12"/>
  <c r="AY41" i="12"/>
  <c r="AZ41" i="12"/>
  <c r="BA41" i="12"/>
  <c r="BB41" i="12"/>
  <c r="BC41" i="12"/>
  <c r="BD41" i="12"/>
  <c r="BE41" i="12"/>
  <c r="BF41" i="12"/>
  <c r="BG41" i="12"/>
  <c r="BH41" i="12"/>
  <c r="BI41" i="12"/>
  <c r="BJ41" i="12"/>
  <c r="BK41" i="12"/>
  <c r="BL41" i="12"/>
  <c r="BM41" i="12"/>
  <c r="BN41" i="12"/>
  <c r="BO41" i="12"/>
  <c r="BP41" i="12"/>
  <c r="BQ41" i="12"/>
  <c r="BR41" i="12"/>
  <c r="BS41" i="12"/>
  <c r="BT41" i="12"/>
  <c r="BU41" i="12"/>
  <c r="BV41" i="12"/>
  <c r="BW41" i="12"/>
  <c r="BX41" i="12"/>
  <c r="BY41" i="12"/>
  <c r="BZ41" i="12"/>
  <c r="CA41" i="12"/>
  <c r="CB41" i="12"/>
  <c r="CC41" i="12"/>
  <c r="CD41" i="12"/>
  <c r="CE41" i="12"/>
  <c r="CF41" i="12"/>
  <c r="CG41" i="12"/>
  <c r="CH41" i="12"/>
  <c r="CI41" i="12"/>
  <c r="CJ41" i="12"/>
  <c r="CK41" i="12"/>
  <c r="CL41" i="12"/>
  <c r="CM41" i="12"/>
  <c r="CN41" i="12"/>
  <c r="CO41" i="12"/>
  <c r="CP41" i="12"/>
  <c r="CQ41" i="12"/>
  <c r="CR41" i="12"/>
  <c r="CS41" i="12"/>
  <c r="CT41" i="12"/>
  <c r="CU41" i="12"/>
  <c r="CV41" i="12"/>
  <c r="CW41" i="12"/>
  <c r="CX41" i="12"/>
  <c r="CY41" i="12"/>
  <c r="CZ41" i="12"/>
  <c r="DA41" i="12"/>
  <c r="DB41" i="12"/>
  <c r="DC41" i="12"/>
  <c r="DD41" i="12"/>
  <c r="DE41" i="12"/>
  <c r="DF41" i="12"/>
  <c r="DG41" i="12"/>
  <c r="DH41" i="12"/>
  <c r="DI41" i="12"/>
  <c r="DJ41" i="12"/>
  <c r="DK41" i="12"/>
  <c r="DL41" i="12"/>
  <c r="DM41" i="12"/>
  <c r="DN41" i="12"/>
  <c r="DO41" i="12"/>
  <c r="DP41" i="12"/>
  <c r="DQ41" i="12"/>
  <c r="DR41" i="12"/>
  <c r="DS41" i="12"/>
  <c r="DT41" i="12"/>
  <c r="DU41" i="12"/>
  <c r="DV41" i="12"/>
  <c r="DW41" i="12"/>
  <c r="DX41" i="12"/>
  <c r="DY41" i="12"/>
  <c r="DZ41" i="12"/>
  <c r="EA41" i="12"/>
  <c r="EB41" i="12"/>
  <c r="EC41" i="12"/>
  <c r="ED41" i="12"/>
  <c r="EE41" i="12"/>
  <c r="EF41" i="12"/>
  <c r="EG41" i="12"/>
  <c r="EH41" i="12"/>
  <c r="EI41" i="12"/>
  <c r="EJ41" i="12"/>
  <c r="EK41" i="12"/>
  <c r="EL41" i="12"/>
  <c r="EM41" i="12"/>
  <c r="EN41" i="12"/>
  <c r="EO41" i="12"/>
  <c r="EP41" i="12"/>
  <c r="EQ41" i="12"/>
  <c r="ER41" i="12"/>
  <c r="ES41" i="12"/>
  <c r="ET41" i="12"/>
  <c r="EU41" i="12"/>
  <c r="EV41" i="12"/>
  <c r="EW41" i="12"/>
  <c r="EX41" i="12"/>
  <c r="EY41" i="12"/>
  <c r="EZ41" i="12"/>
  <c r="FA41" i="12"/>
  <c r="FB41" i="12"/>
  <c r="FC41" i="12"/>
  <c r="FD41" i="12"/>
  <c r="FE41" i="12"/>
  <c r="FF41" i="12"/>
  <c r="FG41" i="12"/>
  <c r="FH41" i="12"/>
  <c r="FI41" i="12"/>
  <c r="FJ41" i="12"/>
  <c r="FK41" i="12"/>
  <c r="FL41" i="12"/>
  <c r="FM41" i="12"/>
  <c r="FN41" i="12"/>
  <c r="FO41" i="12"/>
  <c r="FP41" i="12"/>
  <c r="FQ41" i="12"/>
  <c r="FR41" i="12"/>
  <c r="FS41" i="12"/>
  <c r="FT41" i="12"/>
  <c r="FU41" i="12"/>
  <c r="FV41" i="12"/>
  <c r="FW41" i="12"/>
  <c r="FX41" i="12"/>
  <c r="FY41" i="12"/>
  <c r="FZ41" i="12"/>
  <c r="GA41" i="12"/>
  <c r="GB41" i="12"/>
  <c r="GC41" i="12"/>
  <c r="GD41" i="12"/>
  <c r="GE41" i="12"/>
  <c r="GF41" i="12"/>
  <c r="GG41" i="12"/>
  <c r="GH41" i="12"/>
  <c r="GI41" i="12"/>
  <c r="GJ41" i="12"/>
  <c r="GK41" i="12"/>
  <c r="GL41" i="12"/>
  <c r="GM41" i="12"/>
  <c r="GN41" i="12"/>
  <c r="GO41" i="12"/>
  <c r="GP41" i="12"/>
  <c r="GQ41" i="12"/>
  <c r="GR41" i="12"/>
  <c r="GS41" i="12"/>
  <c r="GT41" i="12"/>
  <c r="GU41" i="12"/>
  <c r="GV41" i="12"/>
  <c r="GW41" i="12"/>
  <c r="GX41" i="12"/>
  <c r="GY41" i="12"/>
  <c r="GZ41" i="12"/>
  <c r="HA41" i="12"/>
  <c r="HB41" i="12"/>
  <c r="HC41" i="12"/>
  <c r="HD41" i="12"/>
  <c r="HE41" i="12"/>
  <c r="HF41" i="12"/>
  <c r="HG41" i="12"/>
  <c r="HH41" i="12"/>
  <c r="HI41" i="12"/>
  <c r="HJ41" i="12"/>
  <c r="HK41" i="12"/>
  <c r="HL41" i="12"/>
  <c r="HM41" i="12"/>
  <c r="HN41" i="12"/>
  <c r="HO41" i="12"/>
  <c r="HP41" i="12"/>
  <c r="HQ41" i="12"/>
  <c r="HR41" i="12"/>
  <c r="HS41" i="12"/>
  <c r="HT41" i="12"/>
  <c r="HU41" i="12"/>
  <c r="HV41" i="12"/>
  <c r="HW41" i="12"/>
  <c r="HX41" i="12"/>
  <c r="HY41" i="12"/>
  <c r="HZ41" i="12"/>
  <c r="IA41" i="12"/>
  <c r="IB41" i="12"/>
  <c r="IC41" i="12"/>
  <c r="ID41" i="12"/>
  <c r="IE41" i="12"/>
  <c r="IF41" i="12"/>
  <c r="IG41" i="12"/>
  <c r="IH41" i="12"/>
  <c r="II41" i="12"/>
  <c r="IJ41" i="12"/>
  <c r="IK41" i="12"/>
  <c r="IL41" i="12"/>
  <c r="IM41" i="12"/>
  <c r="IN41" i="12"/>
  <c r="IO41" i="12"/>
  <c r="IP41" i="12"/>
  <c r="IQ41" i="12"/>
  <c r="IR41" i="12"/>
  <c r="IS41" i="12"/>
  <c r="IT41" i="12"/>
  <c r="IU41" i="12"/>
  <c r="IV41" i="12"/>
  <c r="F42" i="12"/>
  <c r="G42" i="12"/>
  <c r="H42" i="12"/>
  <c r="I42" i="12"/>
  <c r="J42" i="12"/>
  <c r="K42" i="12"/>
  <c r="L42" i="12"/>
  <c r="M42" i="12"/>
  <c r="N42" i="12"/>
  <c r="O42" i="12"/>
  <c r="P42" i="12"/>
  <c r="Q42" i="12"/>
  <c r="R42" i="12"/>
  <c r="S42" i="12"/>
  <c r="T42" i="12"/>
  <c r="U42" i="12"/>
  <c r="V42" i="12"/>
  <c r="W42" i="12"/>
  <c r="X42" i="12"/>
  <c r="Y42" i="12"/>
  <c r="Z42" i="12"/>
  <c r="AA42" i="12"/>
  <c r="AB42" i="12"/>
  <c r="AC42" i="12"/>
  <c r="AD42" i="12"/>
  <c r="AE42" i="12"/>
  <c r="AF42" i="12"/>
  <c r="AG42" i="12"/>
  <c r="AH42" i="12"/>
  <c r="AI42" i="12"/>
  <c r="AJ42" i="12"/>
  <c r="AK42" i="12"/>
  <c r="AL42" i="12"/>
  <c r="AM42" i="12"/>
  <c r="AN42" i="12"/>
  <c r="AO42" i="12"/>
  <c r="AP42" i="12"/>
  <c r="AQ42" i="12"/>
  <c r="AR42" i="12"/>
  <c r="AS42" i="12"/>
  <c r="AT42" i="12"/>
  <c r="AU42" i="12"/>
  <c r="AV42" i="12"/>
  <c r="AW42" i="12"/>
  <c r="AX42" i="12"/>
  <c r="AY42" i="12"/>
  <c r="AZ42" i="12"/>
  <c r="BA42" i="12"/>
  <c r="BB42" i="12"/>
  <c r="BC42" i="12"/>
  <c r="BD42" i="12"/>
  <c r="BE42" i="12"/>
  <c r="BF42" i="12"/>
  <c r="BG42" i="12"/>
  <c r="BH42" i="12"/>
  <c r="BI42" i="12"/>
  <c r="BJ42" i="12"/>
  <c r="BK42" i="12"/>
  <c r="BL42" i="12"/>
  <c r="BM42" i="12"/>
  <c r="BN42" i="12"/>
  <c r="BO42" i="12"/>
  <c r="BP42" i="12"/>
  <c r="BQ42" i="12"/>
  <c r="BR42" i="12"/>
  <c r="BS42" i="12"/>
  <c r="BT42" i="12"/>
  <c r="BU42" i="12"/>
  <c r="BV42" i="12"/>
  <c r="BW42" i="12"/>
  <c r="BX42" i="12"/>
  <c r="BY42" i="12"/>
  <c r="BZ42" i="12"/>
  <c r="CA42" i="12"/>
  <c r="CB42" i="12"/>
  <c r="CC42" i="12"/>
  <c r="CD42" i="12"/>
  <c r="CE42" i="12"/>
  <c r="CF42" i="12"/>
  <c r="CG42" i="12"/>
  <c r="CH42" i="12"/>
  <c r="CI42" i="12"/>
  <c r="CJ42" i="12"/>
  <c r="CK42" i="12"/>
  <c r="CL42" i="12"/>
  <c r="CM42" i="12"/>
  <c r="CN42" i="12"/>
  <c r="CO42" i="12"/>
  <c r="CP42" i="12"/>
  <c r="CQ42" i="12"/>
  <c r="CR42" i="12"/>
  <c r="CS42" i="12"/>
  <c r="CT42" i="12"/>
  <c r="CU42" i="12"/>
  <c r="CV42" i="12"/>
  <c r="CW42" i="12"/>
  <c r="CX42" i="12"/>
  <c r="CY42" i="12"/>
  <c r="CZ42" i="12"/>
  <c r="DA42" i="12"/>
  <c r="DB42" i="12"/>
  <c r="DC42" i="12"/>
  <c r="DD42" i="12"/>
  <c r="DE42" i="12"/>
  <c r="DF42" i="12"/>
  <c r="DG42" i="12"/>
  <c r="DH42" i="12"/>
  <c r="DI42" i="12"/>
  <c r="DJ42" i="12"/>
  <c r="DK42" i="12"/>
  <c r="DL42" i="12"/>
  <c r="DM42" i="12"/>
  <c r="DN42" i="12"/>
  <c r="DO42" i="12"/>
  <c r="DP42" i="12"/>
  <c r="DQ42" i="12"/>
  <c r="DR42" i="12"/>
  <c r="DS42" i="12"/>
  <c r="DT42" i="12"/>
  <c r="DU42" i="12"/>
  <c r="DV42" i="12"/>
  <c r="DW42" i="12"/>
  <c r="DX42" i="12"/>
  <c r="DY42" i="12"/>
  <c r="DZ42" i="12"/>
  <c r="EA42" i="12"/>
  <c r="EB42" i="12"/>
  <c r="EC42" i="12"/>
  <c r="ED42" i="12"/>
  <c r="EE42" i="12"/>
  <c r="EF42" i="12"/>
  <c r="EG42" i="12"/>
  <c r="EH42" i="12"/>
  <c r="EI42" i="12"/>
  <c r="EJ42" i="12"/>
  <c r="EK42" i="12"/>
  <c r="EL42" i="12"/>
  <c r="EM42" i="12"/>
  <c r="EN42" i="12"/>
  <c r="EO42" i="12"/>
  <c r="EP42" i="12"/>
  <c r="EQ42" i="12"/>
  <c r="ER42" i="12"/>
  <c r="ES42" i="12"/>
  <c r="ET42" i="12"/>
  <c r="EU42" i="12"/>
  <c r="EV42" i="12"/>
  <c r="EW42" i="12"/>
  <c r="EX42" i="12"/>
  <c r="EY42" i="12"/>
  <c r="EZ42" i="12"/>
  <c r="FA42" i="12"/>
  <c r="FB42" i="12"/>
  <c r="FC42" i="12"/>
  <c r="FD42" i="12"/>
  <c r="FE42" i="12"/>
  <c r="FF42" i="12"/>
  <c r="FG42" i="12"/>
  <c r="FH42" i="12"/>
  <c r="FI42" i="12"/>
  <c r="FJ42" i="12"/>
  <c r="FK42" i="12"/>
  <c r="FL42" i="12"/>
  <c r="FM42" i="12"/>
  <c r="FN42" i="12"/>
  <c r="FO42" i="12"/>
  <c r="FP42" i="12"/>
  <c r="FQ42" i="12"/>
  <c r="FR42" i="12"/>
  <c r="FS42" i="12"/>
  <c r="FT42" i="12"/>
  <c r="FU42" i="12"/>
  <c r="FV42" i="12"/>
  <c r="FW42" i="12"/>
  <c r="FX42" i="12"/>
  <c r="FY42" i="12"/>
  <c r="FZ42" i="12"/>
  <c r="GA42" i="12"/>
  <c r="GB42" i="12"/>
  <c r="GC42" i="12"/>
  <c r="GD42" i="12"/>
  <c r="GE42" i="12"/>
  <c r="GF42" i="12"/>
  <c r="GG42" i="12"/>
  <c r="GH42" i="12"/>
  <c r="GI42" i="12"/>
  <c r="GJ42" i="12"/>
  <c r="GK42" i="12"/>
  <c r="GL42" i="12"/>
  <c r="GM42" i="12"/>
  <c r="GN42" i="12"/>
  <c r="GO42" i="12"/>
  <c r="GP42" i="12"/>
  <c r="GQ42" i="12"/>
  <c r="GR42" i="12"/>
  <c r="GS42" i="12"/>
  <c r="GT42" i="12"/>
  <c r="GU42" i="12"/>
  <c r="GV42" i="12"/>
  <c r="GW42" i="12"/>
  <c r="GX42" i="12"/>
  <c r="GY42" i="12"/>
  <c r="GZ42" i="12"/>
  <c r="HA42" i="12"/>
  <c r="HB42" i="12"/>
  <c r="HC42" i="12"/>
  <c r="HD42" i="12"/>
  <c r="HE42" i="12"/>
  <c r="HF42" i="12"/>
  <c r="HG42" i="12"/>
  <c r="HH42" i="12"/>
  <c r="HI42" i="12"/>
  <c r="HJ42" i="12"/>
  <c r="HK42" i="12"/>
  <c r="HL42" i="12"/>
  <c r="HM42" i="12"/>
  <c r="HN42" i="12"/>
  <c r="HO42" i="12"/>
  <c r="HP42" i="12"/>
  <c r="HQ42" i="12"/>
  <c r="HR42" i="12"/>
  <c r="HS42" i="12"/>
  <c r="HT42" i="12"/>
  <c r="HU42" i="12"/>
  <c r="HV42" i="12"/>
  <c r="HW42" i="12"/>
  <c r="HX42" i="12"/>
  <c r="HY42" i="12"/>
  <c r="HZ42" i="12"/>
  <c r="IA42" i="12"/>
  <c r="IB42" i="12"/>
  <c r="IC42" i="12"/>
  <c r="ID42" i="12"/>
  <c r="IE42" i="12"/>
  <c r="IF42" i="12"/>
  <c r="IG42" i="12"/>
  <c r="IH42" i="12"/>
  <c r="II42" i="12"/>
  <c r="IJ42" i="12"/>
  <c r="IK42" i="12"/>
  <c r="IL42" i="12"/>
  <c r="IM42" i="12"/>
  <c r="IN42" i="12"/>
  <c r="IO42" i="12"/>
  <c r="IP42" i="12"/>
  <c r="IQ42" i="12"/>
  <c r="IR42" i="12"/>
  <c r="IS42" i="12"/>
  <c r="IT42" i="12"/>
  <c r="IU42" i="12"/>
  <c r="IV42" i="12"/>
  <c r="F43" i="12"/>
  <c r="G43" i="12"/>
  <c r="H43" i="12"/>
  <c r="I43" i="12"/>
  <c r="J43" i="12"/>
  <c r="K43" i="12"/>
  <c r="L43" i="12"/>
  <c r="M43" i="12"/>
  <c r="N43" i="12"/>
  <c r="O43" i="12"/>
  <c r="P43" i="12"/>
  <c r="Q43" i="12"/>
  <c r="R43" i="12"/>
  <c r="S43" i="12"/>
  <c r="T43" i="12"/>
  <c r="U43" i="12"/>
  <c r="V43" i="12"/>
  <c r="W43" i="12"/>
  <c r="X43" i="12"/>
  <c r="Y43" i="12"/>
  <c r="Z43" i="12"/>
  <c r="AA43" i="12"/>
  <c r="AB43" i="12"/>
  <c r="AC43" i="12"/>
  <c r="AD43" i="12"/>
  <c r="AE43" i="12"/>
  <c r="AF43" i="12"/>
  <c r="AG43" i="12"/>
  <c r="AH43" i="12"/>
  <c r="AI43" i="12"/>
  <c r="AJ43" i="12"/>
  <c r="AK43" i="12"/>
  <c r="AL43" i="12"/>
  <c r="AM43" i="12"/>
  <c r="AN43" i="12"/>
  <c r="AO43" i="12"/>
  <c r="AP43" i="12"/>
  <c r="AQ43" i="12"/>
  <c r="AR43" i="12"/>
  <c r="AS43" i="12"/>
  <c r="AT43" i="12"/>
  <c r="AU43" i="12"/>
  <c r="AV43" i="12"/>
  <c r="AW43" i="12"/>
  <c r="AX43" i="12"/>
  <c r="AY43" i="12"/>
  <c r="AZ43" i="12"/>
  <c r="BA43" i="12"/>
  <c r="BB43" i="12"/>
  <c r="BC43" i="12"/>
  <c r="BD43" i="12"/>
  <c r="BE43" i="12"/>
  <c r="BF43" i="12"/>
  <c r="BG43" i="12"/>
  <c r="BH43" i="12"/>
  <c r="BI43" i="12"/>
  <c r="BJ43" i="12"/>
  <c r="BK43" i="12"/>
  <c r="BL43" i="12"/>
  <c r="BM43" i="12"/>
  <c r="BN43" i="12"/>
  <c r="BO43" i="12"/>
  <c r="BP43" i="12"/>
  <c r="BQ43" i="12"/>
  <c r="BR43" i="12"/>
  <c r="BS43" i="12"/>
  <c r="BT43" i="12"/>
  <c r="BU43" i="12"/>
  <c r="BV43" i="12"/>
  <c r="BW43" i="12"/>
  <c r="BX43" i="12"/>
  <c r="BY43" i="12"/>
  <c r="BZ43" i="12"/>
  <c r="CA43" i="12"/>
  <c r="CB43" i="12"/>
  <c r="CC43" i="12"/>
  <c r="CD43" i="12"/>
  <c r="CE43" i="12"/>
  <c r="CF43" i="12"/>
  <c r="CG43" i="12"/>
  <c r="CH43" i="12"/>
  <c r="CI43" i="12"/>
  <c r="CJ43" i="12"/>
  <c r="CK43" i="12"/>
  <c r="CL43" i="12"/>
  <c r="CM43" i="12"/>
  <c r="CN43" i="12"/>
  <c r="CO43" i="12"/>
  <c r="CP43" i="12"/>
  <c r="CQ43" i="12"/>
  <c r="CR43" i="12"/>
  <c r="CS43" i="12"/>
  <c r="CT43" i="12"/>
  <c r="CU43" i="12"/>
  <c r="CV43" i="12"/>
  <c r="CW43" i="12"/>
  <c r="CX43" i="12"/>
  <c r="CY43" i="12"/>
  <c r="CZ43" i="12"/>
  <c r="DA43" i="12"/>
  <c r="DB43" i="12"/>
  <c r="DC43" i="12"/>
  <c r="DD43" i="12"/>
  <c r="DE43" i="12"/>
  <c r="DF43" i="12"/>
  <c r="DG43" i="12"/>
  <c r="DH43" i="12"/>
  <c r="DI43" i="12"/>
  <c r="DJ43" i="12"/>
  <c r="DK43" i="12"/>
  <c r="DL43" i="12"/>
  <c r="DM43" i="12"/>
  <c r="DN43" i="12"/>
  <c r="DO43" i="12"/>
  <c r="DP43" i="12"/>
  <c r="DQ43" i="12"/>
  <c r="DR43" i="12"/>
  <c r="DS43" i="12"/>
  <c r="DT43" i="12"/>
  <c r="DU43" i="12"/>
  <c r="DV43" i="12"/>
  <c r="DW43" i="12"/>
  <c r="DX43" i="12"/>
  <c r="DY43" i="12"/>
  <c r="DZ43" i="12"/>
  <c r="EA43" i="12"/>
  <c r="EB43" i="12"/>
  <c r="EC43" i="12"/>
  <c r="ED43" i="12"/>
  <c r="EE43" i="12"/>
  <c r="EF43" i="12"/>
  <c r="EG43" i="12"/>
  <c r="EH43" i="12"/>
  <c r="EI43" i="12"/>
  <c r="EJ43" i="12"/>
  <c r="EK43" i="12"/>
  <c r="EL43" i="12"/>
  <c r="EM43" i="12"/>
  <c r="EN43" i="12"/>
  <c r="EO43" i="12"/>
  <c r="EP43" i="12"/>
  <c r="EQ43" i="12"/>
  <c r="ER43" i="12"/>
  <c r="ES43" i="12"/>
  <c r="ET43" i="12"/>
  <c r="EU43" i="12"/>
  <c r="EV43" i="12"/>
  <c r="EW43" i="12"/>
  <c r="EX43" i="12"/>
  <c r="EY43" i="12"/>
  <c r="EZ43" i="12"/>
  <c r="FA43" i="12"/>
  <c r="FB43" i="12"/>
  <c r="FC43" i="12"/>
  <c r="FD43" i="12"/>
  <c r="FE43" i="12"/>
  <c r="FF43" i="12"/>
  <c r="FG43" i="12"/>
  <c r="FH43" i="12"/>
  <c r="FI43" i="12"/>
  <c r="FJ43" i="12"/>
  <c r="FK43" i="12"/>
  <c r="FL43" i="12"/>
  <c r="FM43" i="12"/>
  <c r="FN43" i="12"/>
  <c r="FO43" i="12"/>
  <c r="FP43" i="12"/>
  <c r="FQ43" i="12"/>
  <c r="FR43" i="12"/>
  <c r="FS43" i="12"/>
  <c r="FT43" i="12"/>
  <c r="FU43" i="12"/>
  <c r="FV43" i="12"/>
  <c r="FW43" i="12"/>
  <c r="FX43" i="12"/>
  <c r="FY43" i="12"/>
  <c r="FZ43" i="12"/>
  <c r="GA43" i="12"/>
  <c r="GB43" i="12"/>
  <c r="GC43" i="12"/>
  <c r="GD43" i="12"/>
  <c r="GE43" i="12"/>
  <c r="GF43" i="12"/>
  <c r="GG43" i="12"/>
  <c r="GH43" i="12"/>
  <c r="GI43" i="12"/>
  <c r="GJ43" i="12"/>
  <c r="GK43" i="12"/>
  <c r="GL43" i="12"/>
  <c r="GM43" i="12"/>
  <c r="GN43" i="12"/>
  <c r="GO43" i="12"/>
  <c r="GP43" i="12"/>
  <c r="GQ43" i="12"/>
  <c r="GR43" i="12"/>
  <c r="GS43" i="12"/>
  <c r="GT43" i="12"/>
  <c r="GU43" i="12"/>
  <c r="GV43" i="12"/>
  <c r="GW43" i="12"/>
  <c r="GX43" i="12"/>
  <c r="GY43" i="12"/>
  <c r="GZ43" i="12"/>
  <c r="HA43" i="12"/>
  <c r="HB43" i="12"/>
  <c r="HC43" i="12"/>
  <c r="HD43" i="12"/>
  <c r="HE43" i="12"/>
  <c r="HF43" i="12"/>
  <c r="HG43" i="12"/>
  <c r="HH43" i="12"/>
  <c r="HI43" i="12"/>
  <c r="HJ43" i="12"/>
  <c r="HK43" i="12"/>
  <c r="HL43" i="12"/>
  <c r="HM43" i="12"/>
  <c r="HN43" i="12"/>
  <c r="HO43" i="12"/>
  <c r="HP43" i="12"/>
  <c r="HQ43" i="12"/>
  <c r="HR43" i="12"/>
  <c r="HS43" i="12"/>
  <c r="HT43" i="12"/>
  <c r="HU43" i="12"/>
  <c r="HV43" i="12"/>
  <c r="HW43" i="12"/>
  <c r="HX43" i="12"/>
  <c r="HY43" i="12"/>
  <c r="HZ43" i="12"/>
  <c r="IA43" i="12"/>
  <c r="IB43" i="12"/>
  <c r="IC43" i="12"/>
  <c r="ID43" i="12"/>
  <c r="IE43" i="12"/>
  <c r="IF43" i="12"/>
  <c r="IG43" i="12"/>
  <c r="IH43" i="12"/>
  <c r="II43" i="12"/>
  <c r="IJ43" i="12"/>
  <c r="IK43" i="12"/>
  <c r="IL43" i="12"/>
  <c r="IM43" i="12"/>
  <c r="IN43" i="12"/>
  <c r="IO43" i="12"/>
  <c r="IP43" i="12"/>
  <c r="IQ43" i="12"/>
  <c r="IR43" i="12"/>
  <c r="IS43" i="12"/>
  <c r="IT43" i="12"/>
  <c r="IU43" i="12"/>
  <c r="IV43" i="12"/>
  <c r="F44" i="12"/>
  <c r="G44" i="12"/>
  <c r="H44" i="12"/>
  <c r="I44" i="12"/>
  <c r="J44" i="12"/>
  <c r="K44" i="12"/>
  <c r="L44" i="12"/>
  <c r="M44" i="12"/>
  <c r="N44" i="12"/>
  <c r="O44" i="12"/>
  <c r="P44" i="12"/>
  <c r="Q44" i="12"/>
  <c r="R44" i="12"/>
  <c r="S44" i="12"/>
  <c r="T44" i="12"/>
  <c r="U44" i="12"/>
  <c r="V44" i="12"/>
  <c r="W44" i="12"/>
  <c r="X44" i="12"/>
  <c r="Y44" i="12"/>
  <c r="Z44" i="12"/>
  <c r="AA44" i="12"/>
  <c r="AB44" i="12"/>
  <c r="AC44" i="12"/>
  <c r="AD44" i="12"/>
  <c r="AE44" i="12"/>
  <c r="AF44" i="12"/>
  <c r="AG44" i="12"/>
  <c r="AH44" i="12"/>
  <c r="AI44" i="12"/>
  <c r="AJ44" i="12"/>
  <c r="AK44" i="12"/>
  <c r="AL44" i="12"/>
  <c r="AM44" i="12"/>
  <c r="AN44" i="12"/>
  <c r="AO44" i="12"/>
  <c r="AP44" i="12"/>
  <c r="AQ44" i="12"/>
  <c r="AR44" i="12"/>
  <c r="AS44" i="12"/>
  <c r="AT44" i="12"/>
  <c r="AU44" i="12"/>
  <c r="AV44" i="12"/>
  <c r="AW44" i="12"/>
  <c r="AX44" i="12"/>
  <c r="AY44" i="12"/>
  <c r="AZ44" i="12"/>
  <c r="BA44" i="12"/>
  <c r="BB44" i="12"/>
  <c r="BC44" i="12"/>
  <c r="BD44" i="12"/>
  <c r="BE44" i="12"/>
  <c r="BF44" i="12"/>
  <c r="BG44" i="12"/>
  <c r="BH44" i="12"/>
  <c r="BI44" i="12"/>
  <c r="BJ44" i="12"/>
  <c r="BK44" i="12"/>
  <c r="BL44" i="12"/>
  <c r="BM44" i="12"/>
  <c r="BN44" i="12"/>
  <c r="BO44" i="12"/>
  <c r="BP44" i="12"/>
  <c r="BQ44" i="12"/>
  <c r="BR44" i="12"/>
  <c r="BS44" i="12"/>
  <c r="BT44" i="12"/>
  <c r="BU44" i="12"/>
  <c r="BV44" i="12"/>
  <c r="BW44" i="12"/>
  <c r="BX44" i="12"/>
  <c r="BY44" i="12"/>
  <c r="BZ44" i="12"/>
  <c r="CA44" i="12"/>
  <c r="CB44" i="12"/>
  <c r="CC44" i="12"/>
  <c r="CD44" i="12"/>
  <c r="CE44" i="12"/>
  <c r="CF44" i="12"/>
  <c r="CG44" i="12"/>
  <c r="CH44" i="12"/>
  <c r="CI44" i="12"/>
  <c r="CJ44" i="12"/>
  <c r="CK44" i="12"/>
  <c r="CL44" i="12"/>
  <c r="CM44" i="12"/>
  <c r="CN44" i="12"/>
  <c r="CO44" i="12"/>
  <c r="CP44" i="12"/>
  <c r="CQ44" i="12"/>
  <c r="CR44" i="12"/>
  <c r="CS44" i="12"/>
  <c r="CT44" i="12"/>
  <c r="CU44" i="12"/>
  <c r="CV44" i="12"/>
  <c r="CW44" i="12"/>
  <c r="CX44" i="12"/>
  <c r="CY44" i="12"/>
  <c r="CZ44" i="12"/>
  <c r="DA44" i="12"/>
  <c r="DB44" i="12"/>
  <c r="DC44" i="12"/>
  <c r="DD44" i="12"/>
  <c r="DE44" i="12"/>
  <c r="DF44" i="12"/>
  <c r="DG44" i="12"/>
  <c r="DH44" i="12"/>
  <c r="DI44" i="12"/>
  <c r="DJ44" i="12"/>
  <c r="DK44" i="12"/>
  <c r="DL44" i="12"/>
  <c r="DM44" i="12"/>
  <c r="DN44" i="12"/>
  <c r="DO44" i="12"/>
  <c r="DP44" i="12"/>
  <c r="DQ44" i="12"/>
  <c r="DR44" i="12"/>
  <c r="DS44" i="12"/>
  <c r="DT44" i="12"/>
  <c r="DU44" i="12"/>
  <c r="DV44" i="12"/>
  <c r="DW44" i="12"/>
  <c r="DX44" i="12"/>
  <c r="DY44" i="12"/>
  <c r="DZ44" i="12"/>
  <c r="EA44" i="12"/>
  <c r="EB44" i="12"/>
  <c r="EC44" i="12"/>
  <c r="ED44" i="12"/>
  <c r="EE44" i="12"/>
  <c r="EF44" i="12"/>
  <c r="EG44" i="12"/>
  <c r="EH44" i="12"/>
  <c r="EI44" i="12"/>
  <c r="EJ44" i="12"/>
  <c r="EK44" i="12"/>
  <c r="EL44" i="12"/>
  <c r="EM44" i="12"/>
  <c r="EN44" i="12"/>
  <c r="EO44" i="12"/>
  <c r="EP44" i="12"/>
  <c r="EQ44" i="12"/>
  <c r="ER44" i="12"/>
  <c r="ES44" i="12"/>
  <c r="ET44" i="12"/>
  <c r="EU44" i="12"/>
  <c r="EV44" i="12"/>
  <c r="EW44" i="12"/>
  <c r="EX44" i="12"/>
  <c r="EY44" i="12"/>
  <c r="EZ44" i="12"/>
  <c r="FA44" i="12"/>
  <c r="FB44" i="12"/>
  <c r="FC44" i="12"/>
  <c r="FD44" i="12"/>
  <c r="FE44" i="12"/>
  <c r="FF44" i="12"/>
  <c r="FG44" i="12"/>
  <c r="FH44" i="12"/>
  <c r="FI44" i="12"/>
  <c r="FJ44" i="12"/>
  <c r="FK44" i="12"/>
  <c r="FL44" i="12"/>
  <c r="FM44" i="12"/>
  <c r="FN44" i="12"/>
  <c r="FO44" i="12"/>
  <c r="FP44" i="12"/>
  <c r="FQ44" i="12"/>
  <c r="FR44" i="12"/>
  <c r="FS44" i="12"/>
  <c r="FT44" i="12"/>
  <c r="FU44" i="12"/>
  <c r="FV44" i="12"/>
  <c r="FW44" i="12"/>
  <c r="FX44" i="12"/>
  <c r="FY44" i="12"/>
  <c r="FZ44" i="12"/>
  <c r="GA44" i="12"/>
  <c r="GB44" i="12"/>
  <c r="GC44" i="12"/>
  <c r="GD44" i="12"/>
  <c r="GE44" i="12"/>
  <c r="GF44" i="12"/>
  <c r="GG44" i="12"/>
  <c r="GH44" i="12"/>
  <c r="GI44" i="12"/>
  <c r="GJ44" i="12"/>
  <c r="GK44" i="12"/>
  <c r="GL44" i="12"/>
  <c r="GM44" i="12"/>
  <c r="GN44" i="12"/>
  <c r="GO44" i="12"/>
  <c r="GP44" i="12"/>
  <c r="GQ44" i="12"/>
  <c r="GR44" i="12"/>
  <c r="GS44" i="12"/>
  <c r="GT44" i="12"/>
  <c r="GU44" i="12"/>
  <c r="GV44" i="12"/>
  <c r="GW44" i="12"/>
  <c r="GX44" i="12"/>
  <c r="GY44" i="12"/>
  <c r="GZ44" i="12"/>
  <c r="HA44" i="12"/>
  <c r="HB44" i="12"/>
  <c r="HC44" i="12"/>
  <c r="HD44" i="12"/>
  <c r="HE44" i="12"/>
  <c r="HF44" i="12"/>
  <c r="HG44" i="12"/>
  <c r="HH44" i="12"/>
  <c r="HI44" i="12"/>
  <c r="HJ44" i="12"/>
  <c r="HK44" i="12"/>
  <c r="HL44" i="12"/>
  <c r="HM44" i="12"/>
  <c r="HN44" i="12"/>
  <c r="HO44" i="12"/>
  <c r="HP44" i="12"/>
  <c r="HQ44" i="12"/>
  <c r="HR44" i="12"/>
  <c r="HS44" i="12"/>
  <c r="HT44" i="12"/>
  <c r="HU44" i="12"/>
  <c r="HV44" i="12"/>
  <c r="HW44" i="12"/>
  <c r="HX44" i="12"/>
  <c r="HY44" i="12"/>
  <c r="HZ44" i="12"/>
  <c r="IA44" i="12"/>
  <c r="IB44" i="12"/>
  <c r="IC44" i="12"/>
  <c r="ID44" i="12"/>
  <c r="IE44" i="12"/>
  <c r="IF44" i="12"/>
  <c r="IG44" i="12"/>
  <c r="IH44" i="12"/>
  <c r="II44" i="12"/>
  <c r="IJ44" i="12"/>
  <c r="IK44" i="12"/>
  <c r="IL44" i="12"/>
  <c r="IM44" i="12"/>
  <c r="IN44" i="12"/>
  <c r="IO44" i="12"/>
  <c r="IP44" i="12"/>
  <c r="IQ44" i="12"/>
  <c r="IR44" i="12"/>
  <c r="IS44" i="12"/>
  <c r="IT44" i="12"/>
  <c r="IU44" i="12"/>
  <c r="IV44" i="12"/>
  <c r="F45" i="12"/>
  <c r="G45" i="12"/>
  <c r="H45" i="12"/>
  <c r="I45" i="12"/>
  <c r="J45" i="12"/>
  <c r="K45" i="12"/>
  <c r="L45" i="12"/>
  <c r="M45" i="12"/>
  <c r="N45" i="12"/>
  <c r="O45" i="12"/>
  <c r="P45" i="12"/>
  <c r="Q45" i="12"/>
  <c r="R45" i="12"/>
  <c r="S45" i="12"/>
  <c r="T45" i="12"/>
  <c r="U45" i="12"/>
  <c r="V45" i="12"/>
  <c r="W45" i="12"/>
  <c r="X45" i="12"/>
  <c r="Y45" i="12"/>
  <c r="Z45" i="12"/>
  <c r="AA45" i="12"/>
  <c r="AB45" i="12"/>
  <c r="AC45" i="12"/>
  <c r="AD45" i="12"/>
  <c r="AE45" i="12"/>
  <c r="AF45" i="12"/>
  <c r="AG45" i="12"/>
  <c r="AH45" i="12"/>
  <c r="AI45" i="12"/>
  <c r="AJ45" i="12"/>
  <c r="AK45" i="12"/>
  <c r="AL45" i="12"/>
  <c r="AM45" i="12"/>
  <c r="AN45" i="12"/>
  <c r="AO45" i="12"/>
  <c r="AP45" i="12"/>
  <c r="AQ45" i="12"/>
  <c r="AR45" i="12"/>
  <c r="AS45" i="12"/>
  <c r="AT45" i="12"/>
  <c r="AU45" i="12"/>
  <c r="AV45" i="12"/>
  <c r="AW45" i="12"/>
  <c r="AX45" i="12"/>
  <c r="AY45" i="12"/>
  <c r="AZ45" i="12"/>
  <c r="BA45" i="12"/>
  <c r="BB45" i="12"/>
  <c r="BC45" i="12"/>
  <c r="BD45" i="12"/>
  <c r="BE45" i="12"/>
  <c r="BF45" i="12"/>
  <c r="BG45" i="12"/>
  <c r="BH45" i="12"/>
  <c r="BI45" i="12"/>
  <c r="BJ45" i="12"/>
  <c r="BK45" i="12"/>
  <c r="BL45" i="12"/>
  <c r="BM45" i="12"/>
  <c r="BN45" i="12"/>
  <c r="BO45" i="12"/>
  <c r="BP45" i="12"/>
  <c r="BQ45" i="12"/>
  <c r="BR45" i="12"/>
  <c r="BS45" i="12"/>
  <c r="BT45" i="12"/>
  <c r="BU45" i="12"/>
  <c r="BV45" i="12"/>
  <c r="BW45" i="12"/>
  <c r="BX45" i="12"/>
  <c r="BY45" i="12"/>
  <c r="BZ45" i="12"/>
  <c r="CA45" i="12"/>
  <c r="CB45" i="12"/>
  <c r="CC45" i="12"/>
  <c r="CD45" i="12"/>
  <c r="CE45" i="12"/>
  <c r="CF45" i="12"/>
  <c r="CG45" i="12"/>
  <c r="CH45" i="12"/>
  <c r="CI45" i="12"/>
  <c r="CJ45" i="12"/>
  <c r="CK45" i="12"/>
  <c r="CL45" i="12"/>
  <c r="CM45" i="12"/>
  <c r="CN45" i="12"/>
  <c r="CO45" i="12"/>
  <c r="CP45" i="12"/>
  <c r="CQ45" i="12"/>
  <c r="CR45" i="12"/>
  <c r="CS45" i="12"/>
  <c r="CT45" i="12"/>
  <c r="CU45" i="12"/>
  <c r="CV45" i="12"/>
  <c r="CW45" i="12"/>
  <c r="CX45" i="12"/>
  <c r="CY45" i="12"/>
  <c r="CZ45" i="12"/>
  <c r="DA45" i="12"/>
  <c r="DB45" i="12"/>
  <c r="DC45" i="12"/>
  <c r="DD45" i="12"/>
  <c r="DE45" i="12"/>
  <c r="DF45" i="12"/>
  <c r="DG45" i="12"/>
  <c r="DH45" i="12"/>
  <c r="DI45" i="12"/>
  <c r="DJ45" i="12"/>
  <c r="DK45" i="12"/>
  <c r="DL45" i="12"/>
  <c r="DM45" i="12"/>
  <c r="DN45" i="12"/>
  <c r="DO45" i="12"/>
  <c r="DP45" i="12"/>
  <c r="DQ45" i="12"/>
  <c r="DR45" i="12"/>
  <c r="DS45" i="12"/>
  <c r="DT45" i="12"/>
  <c r="DU45" i="12"/>
  <c r="DV45" i="12"/>
  <c r="DW45" i="12"/>
  <c r="DX45" i="12"/>
  <c r="DY45" i="12"/>
  <c r="DZ45" i="12"/>
  <c r="EA45" i="12"/>
  <c r="EB45" i="12"/>
  <c r="EC45" i="12"/>
  <c r="ED45" i="12"/>
  <c r="EE45" i="12"/>
  <c r="EF45" i="12"/>
  <c r="EG45" i="12"/>
  <c r="EH45" i="12"/>
  <c r="EI45" i="12"/>
  <c r="EJ45" i="12"/>
  <c r="EK45" i="12"/>
  <c r="EL45" i="12"/>
  <c r="EM45" i="12"/>
  <c r="EN45" i="12"/>
  <c r="EO45" i="12"/>
  <c r="EP45" i="12"/>
  <c r="EQ45" i="12"/>
  <c r="ER45" i="12"/>
  <c r="ES45" i="12"/>
  <c r="ET45" i="12"/>
  <c r="EU45" i="12"/>
  <c r="EV45" i="12"/>
  <c r="EW45" i="12"/>
  <c r="EX45" i="12"/>
  <c r="EY45" i="12"/>
  <c r="EZ45" i="12"/>
  <c r="FA45" i="12"/>
  <c r="FB45" i="12"/>
  <c r="FC45" i="12"/>
  <c r="FD45" i="12"/>
  <c r="FE45" i="12"/>
  <c r="FF45" i="12"/>
  <c r="FG45" i="12"/>
  <c r="FH45" i="12"/>
  <c r="FI45" i="12"/>
  <c r="FJ45" i="12"/>
  <c r="FK45" i="12"/>
  <c r="FL45" i="12"/>
  <c r="FM45" i="12"/>
  <c r="FN45" i="12"/>
  <c r="FO45" i="12"/>
  <c r="FP45" i="12"/>
  <c r="FQ45" i="12"/>
  <c r="FR45" i="12"/>
  <c r="FS45" i="12"/>
  <c r="FT45" i="12"/>
  <c r="FU45" i="12"/>
  <c r="FV45" i="12"/>
  <c r="FW45" i="12"/>
  <c r="FX45" i="12"/>
  <c r="FY45" i="12"/>
  <c r="FZ45" i="12"/>
  <c r="GA45" i="12"/>
  <c r="GB45" i="12"/>
  <c r="GC45" i="12"/>
  <c r="GD45" i="12"/>
  <c r="GE45" i="12"/>
  <c r="GF45" i="12"/>
  <c r="GG45" i="12"/>
  <c r="GH45" i="12"/>
  <c r="GI45" i="12"/>
  <c r="GJ45" i="12"/>
  <c r="GK45" i="12"/>
  <c r="GL45" i="12"/>
  <c r="GM45" i="12"/>
  <c r="GN45" i="12"/>
  <c r="GO45" i="12"/>
  <c r="GP45" i="12"/>
  <c r="GQ45" i="12"/>
  <c r="GR45" i="12"/>
  <c r="GS45" i="12"/>
  <c r="GT45" i="12"/>
  <c r="GU45" i="12"/>
  <c r="GV45" i="12"/>
  <c r="GW45" i="12"/>
  <c r="GX45" i="12"/>
  <c r="GY45" i="12"/>
  <c r="GZ45" i="12"/>
  <c r="HA45" i="12"/>
  <c r="HB45" i="12"/>
  <c r="HC45" i="12"/>
  <c r="HD45" i="12"/>
  <c r="HE45" i="12"/>
  <c r="HF45" i="12"/>
  <c r="HG45" i="12"/>
  <c r="HH45" i="12"/>
  <c r="HI45" i="12"/>
  <c r="HJ45" i="12"/>
  <c r="HK45" i="12"/>
  <c r="HL45" i="12"/>
  <c r="HM45" i="12"/>
  <c r="HN45" i="12"/>
  <c r="HO45" i="12"/>
  <c r="HP45" i="12"/>
  <c r="HQ45" i="12"/>
  <c r="HR45" i="12"/>
  <c r="HS45" i="12"/>
  <c r="HT45" i="12"/>
  <c r="HU45" i="12"/>
  <c r="HV45" i="12"/>
  <c r="HW45" i="12"/>
  <c r="HX45" i="12"/>
  <c r="HY45" i="12"/>
  <c r="HZ45" i="12"/>
  <c r="IA45" i="12"/>
  <c r="IB45" i="12"/>
  <c r="IC45" i="12"/>
  <c r="ID45" i="12"/>
  <c r="IE45" i="12"/>
  <c r="IF45" i="12"/>
  <c r="IG45" i="12"/>
  <c r="IH45" i="12"/>
  <c r="II45" i="12"/>
  <c r="IJ45" i="12"/>
  <c r="IK45" i="12"/>
  <c r="IL45" i="12"/>
  <c r="IM45" i="12"/>
  <c r="IN45" i="12"/>
  <c r="IO45" i="12"/>
  <c r="IP45" i="12"/>
  <c r="IQ45" i="12"/>
  <c r="IR45" i="12"/>
  <c r="IS45" i="12"/>
  <c r="IT45" i="12"/>
  <c r="IU45" i="12"/>
  <c r="IV45" i="12"/>
  <c r="F46" i="12"/>
  <c r="G46" i="12"/>
  <c r="H46" i="12"/>
  <c r="I46" i="12"/>
  <c r="J46" i="12"/>
  <c r="K46" i="12"/>
  <c r="L46" i="12"/>
  <c r="M46" i="12"/>
  <c r="N46" i="12"/>
  <c r="O46" i="12"/>
  <c r="P46" i="12"/>
  <c r="Q46" i="12"/>
  <c r="R46" i="12"/>
  <c r="S46" i="12"/>
  <c r="T46" i="12"/>
  <c r="U46" i="12"/>
  <c r="V46" i="12"/>
  <c r="W46" i="12"/>
  <c r="X46" i="12"/>
  <c r="Y46" i="12"/>
  <c r="Z46" i="12"/>
  <c r="AA46" i="12"/>
  <c r="AB46" i="12"/>
  <c r="AC46" i="12"/>
  <c r="AD46" i="12"/>
  <c r="AE46" i="12"/>
  <c r="AF46" i="12"/>
  <c r="AG46" i="12"/>
  <c r="AH46" i="12"/>
  <c r="AI46" i="12"/>
  <c r="AJ46" i="12"/>
  <c r="AK46" i="12"/>
  <c r="AL46" i="12"/>
  <c r="AM46" i="12"/>
  <c r="AN46" i="12"/>
  <c r="AO46" i="12"/>
  <c r="AP46" i="12"/>
  <c r="AQ46" i="12"/>
  <c r="AR46" i="12"/>
  <c r="AS46" i="12"/>
  <c r="AT46" i="12"/>
  <c r="AU46" i="12"/>
  <c r="AV46" i="12"/>
  <c r="AW46" i="12"/>
  <c r="AX46" i="12"/>
  <c r="AY46" i="12"/>
  <c r="AZ46" i="12"/>
  <c r="BA46" i="12"/>
  <c r="BB46" i="12"/>
  <c r="BC46" i="12"/>
  <c r="BD46" i="12"/>
  <c r="BE46" i="12"/>
  <c r="BF46" i="12"/>
  <c r="BG46" i="12"/>
  <c r="BH46" i="12"/>
  <c r="BI46" i="12"/>
  <c r="BJ46" i="12"/>
  <c r="BK46" i="12"/>
  <c r="BL46" i="12"/>
  <c r="BM46" i="12"/>
  <c r="BN46" i="12"/>
  <c r="BO46" i="12"/>
  <c r="BP46" i="12"/>
  <c r="BQ46" i="12"/>
  <c r="BR46" i="12"/>
  <c r="BS46" i="12"/>
  <c r="BT46" i="12"/>
  <c r="BU46" i="12"/>
  <c r="BV46" i="12"/>
  <c r="BW46" i="12"/>
  <c r="BX46" i="12"/>
  <c r="BY46" i="12"/>
  <c r="BZ46" i="12"/>
  <c r="CA46" i="12"/>
  <c r="CB46" i="12"/>
  <c r="CC46" i="12"/>
  <c r="CD46" i="12"/>
  <c r="CE46" i="12"/>
  <c r="CF46" i="12"/>
  <c r="CG46" i="12"/>
  <c r="CH46" i="12"/>
  <c r="CI46" i="12"/>
  <c r="CJ46" i="12"/>
  <c r="CK46" i="12"/>
  <c r="CL46" i="12"/>
  <c r="CM46" i="12"/>
  <c r="CN46" i="12"/>
  <c r="CO46" i="12"/>
  <c r="CP46" i="12"/>
  <c r="CQ46" i="12"/>
  <c r="CR46" i="12"/>
  <c r="CS46" i="12"/>
  <c r="CT46" i="12"/>
  <c r="CU46" i="12"/>
  <c r="CV46" i="12"/>
  <c r="CW46" i="12"/>
  <c r="CX46" i="12"/>
  <c r="CY46" i="12"/>
  <c r="CZ46" i="12"/>
  <c r="DA46" i="12"/>
  <c r="DB46" i="12"/>
  <c r="DC46" i="12"/>
  <c r="DD46" i="12"/>
  <c r="DE46" i="12"/>
  <c r="DF46" i="12"/>
  <c r="DG46" i="12"/>
  <c r="DH46" i="12"/>
  <c r="DI46" i="12"/>
  <c r="DJ46" i="12"/>
  <c r="DK46" i="12"/>
  <c r="DL46" i="12"/>
  <c r="DM46" i="12"/>
  <c r="DN46" i="12"/>
  <c r="DO46" i="12"/>
  <c r="DP46" i="12"/>
  <c r="DQ46" i="12"/>
  <c r="DR46" i="12"/>
  <c r="DS46" i="12"/>
  <c r="DT46" i="12"/>
  <c r="DU46" i="12"/>
  <c r="DV46" i="12"/>
  <c r="DW46" i="12"/>
  <c r="DX46" i="12"/>
  <c r="DY46" i="12"/>
  <c r="DZ46" i="12"/>
  <c r="EA46" i="12"/>
  <c r="EB46" i="12"/>
  <c r="EC46" i="12"/>
  <c r="ED46" i="12"/>
  <c r="EE46" i="12"/>
  <c r="EF46" i="12"/>
  <c r="EG46" i="12"/>
  <c r="EH46" i="12"/>
  <c r="EI46" i="12"/>
  <c r="EJ46" i="12"/>
  <c r="EK46" i="12"/>
  <c r="EL46" i="12"/>
  <c r="EM46" i="12"/>
  <c r="EN46" i="12"/>
  <c r="EO46" i="12"/>
  <c r="EP46" i="12"/>
  <c r="EQ46" i="12"/>
  <c r="ER46" i="12"/>
  <c r="ES46" i="12"/>
  <c r="ET46" i="12"/>
  <c r="EU46" i="12"/>
  <c r="EV46" i="12"/>
  <c r="EW46" i="12"/>
  <c r="EX46" i="12"/>
  <c r="EY46" i="12"/>
  <c r="EZ46" i="12"/>
  <c r="FA46" i="12"/>
  <c r="FB46" i="12"/>
  <c r="FC46" i="12"/>
  <c r="FD46" i="12"/>
  <c r="FE46" i="12"/>
  <c r="FF46" i="12"/>
  <c r="FG46" i="12"/>
  <c r="FH46" i="12"/>
  <c r="FI46" i="12"/>
  <c r="FJ46" i="12"/>
  <c r="FK46" i="12"/>
  <c r="FL46" i="12"/>
  <c r="FM46" i="12"/>
  <c r="FN46" i="12"/>
  <c r="FO46" i="12"/>
  <c r="FP46" i="12"/>
  <c r="FQ46" i="12"/>
  <c r="FR46" i="12"/>
  <c r="FS46" i="12"/>
  <c r="FT46" i="12"/>
  <c r="FU46" i="12"/>
  <c r="FV46" i="12"/>
  <c r="FW46" i="12"/>
  <c r="FX46" i="12"/>
  <c r="FY46" i="12"/>
  <c r="FZ46" i="12"/>
  <c r="GA46" i="12"/>
  <c r="GB46" i="12"/>
  <c r="GC46" i="12"/>
  <c r="GD46" i="12"/>
  <c r="GE46" i="12"/>
  <c r="GF46" i="12"/>
  <c r="GG46" i="12"/>
  <c r="GH46" i="12"/>
  <c r="GI46" i="12"/>
  <c r="GJ46" i="12"/>
  <c r="GK46" i="12"/>
  <c r="GL46" i="12"/>
  <c r="GM46" i="12"/>
  <c r="GN46" i="12"/>
  <c r="GO46" i="12"/>
  <c r="GP46" i="12"/>
  <c r="GQ46" i="12"/>
  <c r="GR46" i="12"/>
  <c r="GS46" i="12"/>
  <c r="GT46" i="12"/>
  <c r="GU46" i="12"/>
  <c r="GV46" i="12"/>
  <c r="GW46" i="12"/>
  <c r="GX46" i="12"/>
  <c r="GY46" i="12"/>
  <c r="GZ46" i="12"/>
  <c r="HA46" i="12"/>
  <c r="HB46" i="12"/>
  <c r="HC46" i="12"/>
  <c r="HD46" i="12"/>
  <c r="HE46" i="12"/>
  <c r="HF46" i="12"/>
  <c r="HG46" i="12"/>
  <c r="HH46" i="12"/>
  <c r="HI46" i="12"/>
  <c r="HJ46" i="12"/>
  <c r="HK46" i="12"/>
  <c r="HL46" i="12"/>
  <c r="HM46" i="12"/>
  <c r="HN46" i="12"/>
  <c r="HO46" i="12"/>
  <c r="HP46" i="12"/>
  <c r="HQ46" i="12"/>
  <c r="HR46" i="12"/>
  <c r="HS46" i="12"/>
  <c r="HT46" i="12"/>
  <c r="HU46" i="12"/>
  <c r="HV46" i="12"/>
  <c r="HW46" i="12"/>
  <c r="HX46" i="12"/>
  <c r="HY46" i="12"/>
  <c r="HZ46" i="12"/>
  <c r="IA46" i="12"/>
  <c r="IB46" i="12"/>
  <c r="IC46" i="12"/>
  <c r="ID46" i="12"/>
  <c r="IE46" i="12"/>
  <c r="IF46" i="12"/>
  <c r="IG46" i="12"/>
  <c r="IH46" i="12"/>
  <c r="II46" i="12"/>
  <c r="IJ46" i="12"/>
  <c r="IK46" i="12"/>
  <c r="IL46" i="12"/>
  <c r="IM46" i="12"/>
  <c r="IN46" i="12"/>
  <c r="IO46" i="12"/>
  <c r="IP46" i="12"/>
  <c r="IQ46" i="12"/>
  <c r="IR46" i="12"/>
  <c r="IS46" i="12"/>
  <c r="IT46" i="12"/>
  <c r="IU46" i="12"/>
  <c r="IV46" i="12"/>
  <c r="F47" i="12"/>
  <c r="G47" i="12"/>
  <c r="H47" i="12"/>
  <c r="I47" i="12"/>
  <c r="J47" i="12"/>
  <c r="K47" i="12"/>
  <c r="L47" i="12"/>
  <c r="M47" i="12"/>
  <c r="N47" i="12"/>
  <c r="O47" i="12"/>
  <c r="P47" i="12"/>
  <c r="Q47" i="12"/>
  <c r="R47" i="12"/>
  <c r="S47" i="12"/>
  <c r="T47" i="12"/>
  <c r="U47" i="12"/>
  <c r="V47" i="12"/>
  <c r="W47" i="12"/>
  <c r="X47" i="12"/>
  <c r="Y47" i="12"/>
  <c r="Z47" i="12"/>
  <c r="AA47" i="12"/>
  <c r="AB47" i="12"/>
  <c r="AC47" i="12"/>
  <c r="AD47" i="12"/>
  <c r="AE47" i="12"/>
  <c r="AF47" i="12"/>
  <c r="AG47" i="12"/>
  <c r="AH47" i="12"/>
  <c r="AI47" i="12"/>
  <c r="AJ47" i="12"/>
  <c r="AK47" i="12"/>
  <c r="AL47" i="12"/>
  <c r="AM47" i="12"/>
  <c r="AN47" i="12"/>
  <c r="AO47" i="12"/>
  <c r="AP47" i="12"/>
  <c r="AQ47" i="12"/>
  <c r="AR47" i="12"/>
  <c r="AS47" i="12"/>
  <c r="AT47" i="12"/>
  <c r="AU47" i="12"/>
  <c r="AV47" i="12"/>
  <c r="AW47" i="12"/>
  <c r="AX47" i="12"/>
  <c r="AY47" i="12"/>
  <c r="AZ47" i="12"/>
  <c r="BA47" i="12"/>
  <c r="BB47" i="12"/>
  <c r="BC47" i="12"/>
  <c r="BD47" i="12"/>
  <c r="BE47" i="12"/>
  <c r="BF47" i="12"/>
  <c r="BG47" i="12"/>
  <c r="BH47" i="12"/>
  <c r="BI47" i="12"/>
  <c r="BJ47" i="12"/>
  <c r="BK47" i="12"/>
  <c r="BL47" i="12"/>
  <c r="BM47" i="12"/>
  <c r="BN47" i="12"/>
  <c r="BO47" i="12"/>
  <c r="BP47" i="12"/>
  <c r="BQ47" i="12"/>
  <c r="BR47" i="12"/>
  <c r="BS47" i="12"/>
  <c r="BT47" i="12"/>
  <c r="BU47" i="12"/>
  <c r="BV47" i="12"/>
  <c r="BW47" i="12"/>
  <c r="BX47" i="12"/>
  <c r="BY47" i="12"/>
  <c r="BZ47" i="12"/>
  <c r="CA47" i="12"/>
  <c r="CB47" i="12"/>
  <c r="CC47" i="12"/>
  <c r="CD47" i="12"/>
  <c r="CE47" i="12"/>
  <c r="CF47" i="12"/>
  <c r="CG47" i="12"/>
  <c r="CH47" i="12"/>
  <c r="CI47" i="12"/>
  <c r="CJ47" i="12"/>
  <c r="CK47" i="12"/>
  <c r="CL47" i="12"/>
  <c r="CM47" i="12"/>
  <c r="CN47" i="12"/>
  <c r="CO47" i="12"/>
  <c r="CP47" i="12"/>
  <c r="CQ47" i="12"/>
  <c r="CR47" i="12"/>
  <c r="CS47" i="12"/>
  <c r="CT47" i="12"/>
  <c r="CU47" i="12"/>
  <c r="CV47" i="12"/>
  <c r="CW47" i="12"/>
  <c r="CX47" i="12"/>
  <c r="CY47" i="12"/>
  <c r="CZ47" i="12"/>
  <c r="DA47" i="12"/>
  <c r="DB47" i="12"/>
  <c r="DC47" i="12"/>
  <c r="DD47" i="12"/>
  <c r="DE47" i="12"/>
  <c r="DF47" i="12"/>
  <c r="DG47" i="12"/>
  <c r="DH47" i="12"/>
  <c r="DI47" i="12"/>
  <c r="DJ47" i="12"/>
  <c r="DK47" i="12"/>
  <c r="DL47" i="12"/>
  <c r="DM47" i="12"/>
  <c r="DN47" i="12"/>
  <c r="DO47" i="12"/>
  <c r="DP47" i="12"/>
  <c r="DQ47" i="12"/>
  <c r="DR47" i="12"/>
  <c r="DS47" i="12"/>
  <c r="DT47" i="12"/>
  <c r="DU47" i="12"/>
  <c r="DV47" i="12"/>
  <c r="DW47" i="12"/>
  <c r="DX47" i="12"/>
  <c r="DY47" i="12"/>
  <c r="DZ47" i="12"/>
  <c r="EA47" i="12"/>
  <c r="EB47" i="12"/>
  <c r="EC47" i="12"/>
  <c r="ED47" i="12"/>
  <c r="EE47" i="12"/>
  <c r="EF47" i="12"/>
  <c r="EG47" i="12"/>
  <c r="EH47" i="12"/>
  <c r="EI47" i="12"/>
  <c r="EJ47" i="12"/>
  <c r="EK47" i="12"/>
  <c r="EL47" i="12"/>
  <c r="EM47" i="12"/>
  <c r="EN47" i="12"/>
  <c r="EO47" i="12"/>
  <c r="EP47" i="12"/>
  <c r="EQ47" i="12"/>
  <c r="ER47" i="12"/>
  <c r="ES47" i="12"/>
  <c r="ET47" i="12"/>
  <c r="EU47" i="12"/>
  <c r="EV47" i="12"/>
  <c r="EW47" i="12"/>
  <c r="EX47" i="12"/>
  <c r="EY47" i="12"/>
  <c r="EZ47" i="12"/>
  <c r="FA47" i="12"/>
  <c r="FB47" i="12"/>
  <c r="FC47" i="12"/>
  <c r="FD47" i="12"/>
  <c r="FE47" i="12"/>
  <c r="FF47" i="12"/>
  <c r="FG47" i="12"/>
  <c r="FH47" i="12"/>
  <c r="FI47" i="12"/>
  <c r="FJ47" i="12"/>
  <c r="FK47" i="12"/>
  <c r="FL47" i="12"/>
  <c r="FM47" i="12"/>
  <c r="FN47" i="12"/>
  <c r="FO47" i="12"/>
  <c r="FP47" i="12"/>
  <c r="FQ47" i="12"/>
  <c r="FR47" i="12"/>
  <c r="FS47" i="12"/>
  <c r="FT47" i="12"/>
  <c r="FU47" i="12"/>
  <c r="FV47" i="12"/>
  <c r="FW47" i="12"/>
  <c r="FX47" i="12"/>
  <c r="FY47" i="12"/>
  <c r="FZ47" i="12"/>
  <c r="GA47" i="12"/>
  <c r="GB47" i="12"/>
  <c r="GC47" i="12"/>
  <c r="GD47" i="12"/>
  <c r="GE47" i="12"/>
  <c r="GF47" i="12"/>
  <c r="GG47" i="12"/>
  <c r="GH47" i="12"/>
  <c r="GI47" i="12"/>
  <c r="GJ47" i="12"/>
  <c r="GK47" i="12"/>
  <c r="GL47" i="12"/>
  <c r="GM47" i="12"/>
  <c r="GN47" i="12"/>
  <c r="GO47" i="12"/>
  <c r="GP47" i="12"/>
  <c r="GQ47" i="12"/>
  <c r="GR47" i="12"/>
  <c r="GS47" i="12"/>
  <c r="GT47" i="12"/>
  <c r="GU47" i="12"/>
  <c r="GV47" i="12"/>
  <c r="GW47" i="12"/>
  <c r="GX47" i="12"/>
  <c r="GY47" i="12"/>
  <c r="GZ47" i="12"/>
  <c r="HA47" i="12"/>
  <c r="HB47" i="12"/>
  <c r="HC47" i="12"/>
  <c r="HD47" i="12"/>
  <c r="HE47" i="12"/>
  <c r="HF47" i="12"/>
  <c r="HG47" i="12"/>
  <c r="HH47" i="12"/>
  <c r="HI47" i="12"/>
  <c r="HJ47" i="12"/>
  <c r="HK47" i="12"/>
  <c r="HL47" i="12"/>
  <c r="HM47" i="12"/>
  <c r="HN47" i="12"/>
  <c r="HO47" i="12"/>
  <c r="HP47" i="12"/>
  <c r="HQ47" i="12"/>
  <c r="HR47" i="12"/>
  <c r="HS47" i="12"/>
  <c r="HT47" i="12"/>
  <c r="HU47" i="12"/>
  <c r="HV47" i="12"/>
  <c r="HW47" i="12"/>
  <c r="HX47" i="12"/>
  <c r="HY47" i="12"/>
  <c r="HZ47" i="12"/>
  <c r="IA47" i="12"/>
  <c r="IB47" i="12"/>
  <c r="IC47" i="12"/>
  <c r="ID47" i="12"/>
  <c r="IE47" i="12"/>
  <c r="IF47" i="12"/>
  <c r="IG47" i="12"/>
  <c r="IH47" i="12"/>
  <c r="II47" i="12"/>
  <c r="IJ47" i="12"/>
  <c r="IK47" i="12"/>
  <c r="IL47" i="12"/>
  <c r="IM47" i="12"/>
  <c r="IN47" i="12"/>
  <c r="IO47" i="12"/>
  <c r="IP47" i="12"/>
  <c r="IQ47" i="12"/>
  <c r="IR47" i="12"/>
  <c r="IS47" i="12"/>
  <c r="IT47" i="12"/>
  <c r="IU47" i="12"/>
  <c r="IV47" i="12"/>
  <c r="F48" i="12"/>
  <c r="G48" i="12"/>
  <c r="H48" i="12"/>
  <c r="I48" i="12"/>
  <c r="J48" i="12"/>
  <c r="K48" i="12"/>
  <c r="L48" i="12"/>
  <c r="M48" i="12"/>
  <c r="N48" i="12"/>
  <c r="O48" i="12"/>
  <c r="P48" i="12"/>
  <c r="Q48" i="12"/>
  <c r="R48" i="12"/>
  <c r="S48" i="12"/>
  <c r="T48" i="12"/>
  <c r="U48" i="12"/>
  <c r="V48" i="12"/>
  <c r="W48" i="12"/>
  <c r="X48" i="12"/>
  <c r="Y48" i="12"/>
  <c r="Z48" i="12"/>
  <c r="AA48" i="12"/>
  <c r="AB48" i="12"/>
  <c r="AC48" i="12"/>
  <c r="AD48" i="12"/>
  <c r="AE48" i="12"/>
  <c r="AF48" i="12"/>
  <c r="AG48" i="12"/>
  <c r="AH48" i="12"/>
  <c r="AI48" i="12"/>
  <c r="AJ48" i="12"/>
  <c r="AK48" i="12"/>
  <c r="AL48" i="12"/>
  <c r="AM48" i="12"/>
  <c r="AN48" i="12"/>
  <c r="AO48" i="12"/>
  <c r="AP48" i="12"/>
  <c r="AQ48" i="12"/>
  <c r="AR48" i="12"/>
  <c r="AS48" i="12"/>
  <c r="AT48" i="12"/>
  <c r="AU48" i="12"/>
  <c r="AV48" i="12"/>
  <c r="AW48" i="12"/>
  <c r="AX48" i="12"/>
  <c r="AY48" i="12"/>
  <c r="AZ48" i="12"/>
  <c r="BA48" i="12"/>
  <c r="BB48" i="12"/>
  <c r="BC48" i="12"/>
  <c r="BD48" i="12"/>
  <c r="BE48" i="12"/>
  <c r="BF48" i="12"/>
  <c r="BG48" i="12"/>
  <c r="BH48" i="12"/>
  <c r="BI48" i="12"/>
  <c r="BJ48" i="12"/>
  <c r="BK48" i="12"/>
  <c r="BL48" i="12"/>
  <c r="BM48" i="12"/>
  <c r="BN48" i="12"/>
  <c r="BO48" i="12"/>
  <c r="BP48" i="12"/>
  <c r="BQ48" i="12"/>
  <c r="BR48" i="12"/>
  <c r="BS48" i="12"/>
  <c r="BT48" i="12"/>
  <c r="BU48" i="12"/>
  <c r="BV48" i="12"/>
  <c r="BW48" i="12"/>
  <c r="BX48" i="12"/>
  <c r="BY48" i="12"/>
  <c r="BZ48" i="12"/>
  <c r="CA48" i="12"/>
  <c r="CB48" i="12"/>
  <c r="CC48" i="12"/>
  <c r="CD48" i="12"/>
  <c r="CE48" i="12"/>
  <c r="CF48" i="12"/>
  <c r="CG48" i="12"/>
  <c r="CH48" i="12"/>
  <c r="CI48" i="12"/>
  <c r="CJ48" i="12"/>
  <c r="CK48" i="12"/>
  <c r="CL48" i="12"/>
  <c r="CM48" i="12"/>
  <c r="CN48" i="12"/>
  <c r="CO48" i="12"/>
  <c r="CP48" i="12"/>
  <c r="CQ48" i="12"/>
  <c r="CR48" i="12"/>
  <c r="CS48" i="12"/>
  <c r="CT48" i="12"/>
  <c r="CU48" i="12"/>
  <c r="CV48" i="12"/>
  <c r="CW48" i="12"/>
  <c r="CX48" i="12"/>
  <c r="CY48" i="12"/>
  <c r="CZ48" i="12"/>
  <c r="DA48" i="12"/>
  <c r="DB48" i="12"/>
  <c r="DC48" i="12"/>
  <c r="DD48" i="12"/>
  <c r="DE48" i="12"/>
  <c r="DF48" i="12"/>
  <c r="DG48" i="12"/>
  <c r="DH48" i="12"/>
  <c r="DI48" i="12"/>
  <c r="DJ48" i="12"/>
  <c r="DK48" i="12"/>
  <c r="DL48" i="12"/>
  <c r="DM48" i="12"/>
  <c r="DN48" i="12"/>
  <c r="DO48" i="12"/>
  <c r="DP48" i="12"/>
  <c r="DQ48" i="12"/>
  <c r="DR48" i="12"/>
  <c r="DS48" i="12"/>
  <c r="DT48" i="12"/>
  <c r="DU48" i="12"/>
  <c r="DV48" i="12"/>
  <c r="DW48" i="12"/>
  <c r="DX48" i="12"/>
  <c r="DY48" i="12"/>
  <c r="DZ48" i="12"/>
  <c r="EA48" i="12"/>
  <c r="EB48" i="12"/>
  <c r="EC48" i="12"/>
  <c r="ED48" i="12"/>
  <c r="EE48" i="12"/>
  <c r="EF48" i="12"/>
  <c r="EG48" i="12"/>
  <c r="EH48" i="12"/>
  <c r="EI48" i="12"/>
  <c r="EJ48" i="12"/>
  <c r="EK48" i="12"/>
  <c r="EL48" i="12"/>
  <c r="EM48" i="12"/>
  <c r="EN48" i="12"/>
  <c r="EO48" i="12"/>
  <c r="EP48" i="12"/>
  <c r="EQ48" i="12"/>
  <c r="ER48" i="12"/>
  <c r="ES48" i="12"/>
  <c r="ET48" i="12"/>
  <c r="EU48" i="12"/>
  <c r="EV48" i="12"/>
  <c r="EW48" i="12"/>
  <c r="EX48" i="12"/>
  <c r="EY48" i="12"/>
  <c r="EZ48" i="12"/>
  <c r="FA48" i="12"/>
  <c r="FB48" i="12"/>
  <c r="FC48" i="12"/>
  <c r="FD48" i="12"/>
  <c r="FE48" i="12"/>
  <c r="FF48" i="12"/>
  <c r="FG48" i="12"/>
  <c r="FH48" i="12"/>
  <c r="FI48" i="12"/>
  <c r="FJ48" i="12"/>
  <c r="FK48" i="12"/>
  <c r="FL48" i="12"/>
  <c r="FM48" i="12"/>
  <c r="FN48" i="12"/>
  <c r="FO48" i="12"/>
  <c r="FP48" i="12"/>
  <c r="FQ48" i="12"/>
  <c r="FR48" i="12"/>
  <c r="FS48" i="12"/>
  <c r="FT48" i="12"/>
  <c r="FU48" i="12"/>
  <c r="FV48" i="12"/>
  <c r="FW48" i="12"/>
  <c r="FX48" i="12"/>
  <c r="FY48" i="12"/>
  <c r="FZ48" i="12"/>
  <c r="GA48" i="12"/>
  <c r="GB48" i="12"/>
  <c r="GC48" i="12"/>
  <c r="GD48" i="12"/>
  <c r="GE48" i="12"/>
  <c r="GF48" i="12"/>
  <c r="GG48" i="12"/>
  <c r="GH48" i="12"/>
  <c r="GI48" i="12"/>
  <c r="GJ48" i="12"/>
  <c r="GK48" i="12"/>
  <c r="GL48" i="12"/>
  <c r="GM48" i="12"/>
  <c r="GN48" i="12"/>
  <c r="GO48" i="12"/>
  <c r="GP48" i="12"/>
  <c r="GQ48" i="12"/>
  <c r="GR48" i="12"/>
  <c r="GS48" i="12"/>
  <c r="GT48" i="12"/>
  <c r="GU48" i="12"/>
  <c r="GV48" i="12"/>
  <c r="GW48" i="12"/>
  <c r="GX48" i="12"/>
  <c r="GY48" i="12"/>
  <c r="GZ48" i="12"/>
  <c r="HA48" i="12"/>
  <c r="HB48" i="12"/>
  <c r="HC48" i="12"/>
  <c r="HD48" i="12"/>
  <c r="HE48" i="12"/>
  <c r="HF48" i="12"/>
  <c r="HG48" i="12"/>
  <c r="HH48" i="12"/>
  <c r="HI48" i="12"/>
  <c r="HJ48" i="12"/>
  <c r="HK48" i="12"/>
  <c r="HL48" i="12"/>
  <c r="HM48" i="12"/>
  <c r="HN48" i="12"/>
  <c r="HO48" i="12"/>
  <c r="HP48" i="12"/>
  <c r="HQ48" i="12"/>
  <c r="HR48" i="12"/>
  <c r="HS48" i="12"/>
  <c r="HT48" i="12"/>
  <c r="HU48" i="12"/>
  <c r="HV48" i="12"/>
  <c r="HW48" i="12"/>
  <c r="HX48" i="12"/>
  <c r="HY48" i="12"/>
  <c r="HZ48" i="12"/>
  <c r="IA48" i="12"/>
  <c r="IB48" i="12"/>
  <c r="IC48" i="12"/>
  <c r="ID48" i="12"/>
  <c r="IE48" i="12"/>
  <c r="IF48" i="12"/>
  <c r="IG48" i="12"/>
  <c r="IH48" i="12"/>
  <c r="II48" i="12"/>
  <c r="IJ48" i="12"/>
  <c r="IK48" i="12"/>
  <c r="IL48" i="12"/>
  <c r="IM48" i="12"/>
  <c r="IN48" i="12"/>
  <c r="IO48" i="12"/>
  <c r="IP48" i="12"/>
  <c r="IQ48" i="12"/>
  <c r="IR48" i="12"/>
  <c r="IS48" i="12"/>
  <c r="IT48" i="12"/>
  <c r="IU48" i="12"/>
  <c r="IV48" i="12"/>
  <c r="F49" i="12"/>
  <c r="G49" i="12"/>
  <c r="H49" i="12"/>
  <c r="I49" i="12"/>
  <c r="J49" i="12"/>
  <c r="K49" i="12"/>
  <c r="L49" i="12"/>
  <c r="M49" i="12"/>
  <c r="N49" i="12"/>
  <c r="O49" i="12"/>
  <c r="P49" i="12"/>
  <c r="Q49" i="12"/>
  <c r="R49" i="12"/>
  <c r="S49" i="12"/>
  <c r="T49" i="12"/>
  <c r="U49" i="12"/>
  <c r="V49" i="12"/>
  <c r="W49" i="12"/>
  <c r="X49" i="12"/>
  <c r="Y49" i="12"/>
  <c r="Z49" i="12"/>
  <c r="AA49" i="12"/>
  <c r="AB49" i="12"/>
  <c r="AC49" i="12"/>
  <c r="AD49" i="12"/>
  <c r="AE49" i="12"/>
  <c r="AF49" i="12"/>
  <c r="AG49" i="12"/>
  <c r="AH49" i="12"/>
  <c r="AI49" i="12"/>
  <c r="AJ49" i="12"/>
  <c r="AK49" i="12"/>
  <c r="AL49" i="12"/>
  <c r="AM49" i="12"/>
  <c r="AN49" i="12"/>
  <c r="AO49" i="12"/>
  <c r="AP49" i="12"/>
  <c r="AQ49" i="12"/>
  <c r="AR49" i="12"/>
  <c r="AS49" i="12"/>
  <c r="AT49" i="12"/>
  <c r="AU49" i="12"/>
  <c r="AV49" i="12"/>
  <c r="AW49" i="12"/>
  <c r="AX49" i="12"/>
  <c r="AY49" i="12"/>
  <c r="AZ49" i="12"/>
  <c r="BA49" i="12"/>
  <c r="BB49" i="12"/>
  <c r="BC49" i="12"/>
  <c r="BD49" i="12"/>
  <c r="BE49" i="12"/>
  <c r="BF49" i="12"/>
  <c r="BG49" i="12"/>
  <c r="BH49" i="12"/>
  <c r="BI49" i="12"/>
  <c r="BJ49" i="12"/>
  <c r="BK49" i="12"/>
  <c r="BL49" i="12"/>
  <c r="BM49" i="12"/>
  <c r="BN49" i="12"/>
  <c r="BO49" i="12"/>
  <c r="BP49" i="12"/>
  <c r="BQ49" i="12"/>
  <c r="BR49" i="12"/>
  <c r="BS49" i="12"/>
  <c r="BT49" i="12"/>
  <c r="BU49" i="12"/>
  <c r="BV49" i="12"/>
  <c r="BW49" i="12"/>
  <c r="BX49" i="12"/>
  <c r="BY49" i="12"/>
  <c r="BZ49" i="12"/>
  <c r="CA49" i="12"/>
  <c r="CB49" i="12"/>
  <c r="CC49" i="12"/>
  <c r="CD49" i="12"/>
  <c r="CE49" i="12"/>
  <c r="CF49" i="12"/>
  <c r="CG49" i="12"/>
  <c r="CH49" i="12"/>
  <c r="CI49" i="12"/>
  <c r="CJ49" i="12"/>
  <c r="CK49" i="12"/>
  <c r="CL49" i="12"/>
  <c r="CM49" i="12"/>
  <c r="CN49" i="12"/>
  <c r="CO49" i="12"/>
  <c r="CP49" i="12"/>
  <c r="CQ49" i="12"/>
  <c r="CR49" i="12"/>
  <c r="CS49" i="12"/>
  <c r="CT49" i="12"/>
  <c r="CU49" i="12"/>
  <c r="CV49" i="12"/>
  <c r="CW49" i="12"/>
  <c r="CX49" i="12"/>
  <c r="CY49" i="12"/>
  <c r="CZ49" i="12"/>
  <c r="DA49" i="12"/>
  <c r="DB49" i="12"/>
  <c r="DC49" i="12"/>
  <c r="DD49" i="12"/>
  <c r="DE49" i="12"/>
  <c r="DF49" i="12"/>
  <c r="DG49" i="12"/>
  <c r="DH49" i="12"/>
  <c r="DI49" i="12"/>
  <c r="DJ49" i="12"/>
  <c r="DK49" i="12"/>
  <c r="DL49" i="12"/>
  <c r="DM49" i="12"/>
  <c r="DN49" i="12"/>
  <c r="DO49" i="12"/>
  <c r="DP49" i="12"/>
  <c r="DQ49" i="12"/>
  <c r="DR49" i="12"/>
  <c r="DS49" i="12"/>
  <c r="DT49" i="12"/>
  <c r="DU49" i="12"/>
  <c r="DV49" i="12"/>
  <c r="DW49" i="12"/>
  <c r="DX49" i="12"/>
  <c r="DY49" i="12"/>
  <c r="DZ49" i="12"/>
  <c r="EA49" i="12"/>
  <c r="EB49" i="12"/>
  <c r="EC49" i="12"/>
  <c r="ED49" i="12"/>
  <c r="EE49" i="12"/>
  <c r="EF49" i="12"/>
  <c r="EG49" i="12"/>
  <c r="EH49" i="12"/>
  <c r="EI49" i="12"/>
  <c r="EJ49" i="12"/>
  <c r="EK49" i="12"/>
  <c r="EL49" i="12"/>
  <c r="EM49" i="12"/>
  <c r="EN49" i="12"/>
  <c r="EO49" i="12"/>
  <c r="EP49" i="12"/>
  <c r="EQ49" i="12"/>
  <c r="ER49" i="12"/>
  <c r="ES49" i="12"/>
  <c r="ET49" i="12"/>
  <c r="EU49" i="12"/>
  <c r="EV49" i="12"/>
  <c r="EW49" i="12"/>
  <c r="EX49" i="12"/>
  <c r="EY49" i="12"/>
  <c r="EZ49" i="12"/>
  <c r="FA49" i="12"/>
  <c r="FB49" i="12"/>
  <c r="FC49" i="12"/>
  <c r="FD49" i="12"/>
  <c r="FE49" i="12"/>
  <c r="FF49" i="12"/>
  <c r="FG49" i="12"/>
  <c r="FH49" i="12"/>
  <c r="FI49" i="12"/>
  <c r="FJ49" i="12"/>
  <c r="FK49" i="12"/>
  <c r="FL49" i="12"/>
  <c r="FM49" i="12"/>
  <c r="FN49" i="12"/>
  <c r="FO49" i="12"/>
  <c r="FP49" i="12"/>
  <c r="FQ49" i="12"/>
  <c r="FR49" i="12"/>
  <c r="FS49" i="12"/>
  <c r="FT49" i="12"/>
  <c r="FU49" i="12"/>
  <c r="FV49" i="12"/>
  <c r="FW49" i="12"/>
  <c r="FX49" i="12"/>
  <c r="FY49" i="12"/>
  <c r="FZ49" i="12"/>
  <c r="GA49" i="12"/>
  <c r="GB49" i="12"/>
  <c r="GC49" i="12"/>
  <c r="GD49" i="12"/>
  <c r="GE49" i="12"/>
  <c r="GF49" i="12"/>
  <c r="GG49" i="12"/>
  <c r="GH49" i="12"/>
  <c r="GI49" i="12"/>
  <c r="GJ49" i="12"/>
  <c r="GK49" i="12"/>
  <c r="GL49" i="12"/>
  <c r="GM49" i="12"/>
  <c r="GN49" i="12"/>
  <c r="GO49" i="12"/>
  <c r="GP49" i="12"/>
  <c r="GQ49" i="12"/>
  <c r="GR49" i="12"/>
  <c r="GS49" i="12"/>
  <c r="GT49" i="12"/>
  <c r="GU49" i="12"/>
  <c r="GV49" i="12"/>
  <c r="GW49" i="12"/>
  <c r="GX49" i="12"/>
  <c r="GY49" i="12"/>
  <c r="GZ49" i="12"/>
  <c r="HA49" i="12"/>
  <c r="HB49" i="12"/>
  <c r="HC49" i="12"/>
  <c r="HD49" i="12"/>
  <c r="HE49" i="12"/>
  <c r="HF49" i="12"/>
  <c r="HG49" i="12"/>
  <c r="HH49" i="12"/>
  <c r="HI49" i="12"/>
  <c r="HJ49" i="12"/>
  <c r="HK49" i="12"/>
  <c r="HL49" i="12"/>
  <c r="HM49" i="12"/>
  <c r="HN49" i="12"/>
  <c r="HO49" i="12"/>
  <c r="HP49" i="12"/>
  <c r="HQ49" i="12"/>
  <c r="HR49" i="12"/>
  <c r="HS49" i="12"/>
  <c r="HT49" i="12"/>
  <c r="HU49" i="12"/>
  <c r="HV49" i="12"/>
  <c r="HW49" i="12"/>
  <c r="HX49" i="12"/>
  <c r="HY49" i="12"/>
  <c r="HZ49" i="12"/>
  <c r="IA49" i="12"/>
  <c r="IB49" i="12"/>
  <c r="IC49" i="12"/>
  <c r="ID49" i="12"/>
  <c r="IE49" i="12"/>
  <c r="IF49" i="12"/>
  <c r="IG49" i="12"/>
  <c r="IH49" i="12"/>
  <c r="II49" i="12"/>
  <c r="IJ49" i="12"/>
  <c r="IK49" i="12"/>
  <c r="IL49" i="12"/>
  <c r="IM49" i="12"/>
  <c r="IN49" i="12"/>
  <c r="IO49" i="12"/>
  <c r="IP49" i="12"/>
  <c r="IQ49" i="12"/>
  <c r="IR49" i="12"/>
  <c r="IS49" i="12"/>
  <c r="IT49" i="12"/>
  <c r="IU49" i="12"/>
  <c r="IV49" i="12"/>
  <c r="F50" i="12"/>
  <c r="G50" i="12"/>
  <c r="H50" i="12"/>
  <c r="I50" i="12"/>
  <c r="J50" i="12"/>
  <c r="K50" i="12"/>
  <c r="L50" i="12"/>
  <c r="M50" i="12"/>
  <c r="N50" i="12"/>
  <c r="O50" i="12"/>
  <c r="P50" i="12"/>
  <c r="Q50" i="12"/>
  <c r="R50" i="12"/>
  <c r="S50" i="12"/>
  <c r="T50" i="12"/>
  <c r="U50" i="12"/>
  <c r="V50" i="12"/>
  <c r="W50" i="12"/>
  <c r="X50" i="12"/>
  <c r="Y50" i="12"/>
  <c r="Z50" i="12"/>
  <c r="AA50" i="12"/>
  <c r="AB50" i="12"/>
  <c r="AC50" i="12"/>
  <c r="AD50" i="12"/>
  <c r="AE50" i="12"/>
  <c r="AF50" i="12"/>
  <c r="AG50" i="12"/>
  <c r="AH50" i="12"/>
  <c r="AI50" i="12"/>
  <c r="AJ50" i="12"/>
  <c r="AK50" i="12"/>
  <c r="AL50" i="12"/>
  <c r="AM50" i="12"/>
  <c r="AN50" i="12"/>
  <c r="AO50" i="12"/>
  <c r="AP50" i="12"/>
  <c r="AQ50" i="12"/>
  <c r="AR50" i="12"/>
  <c r="AS50" i="12"/>
  <c r="AT50" i="12"/>
  <c r="AU50" i="12"/>
  <c r="AV50" i="12"/>
  <c r="AW50" i="12"/>
  <c r="AX50" i="12"/>
  <c r="AY50" i="12"/>
  <c r="AZ50" i="12"/>
  <c r="BA50" i="12"/>
  <c r="BB50" i="12"/>
  <c r="BC50" i="12"/>
  <c r="BD50" i="12"/>
  <c r="BE50" i="12"/>
  <c r="BF50" i="12"/>
  <c r="BG50" i="12"/>
  <c r="BH50" i="12"/>
  <c r="BI50" i="12"/>
  <c r="BJ50" i="12"/>
  <c r="BK50" i="12"/>
  <c r="BL50" i="12"/>
  <c r="BM50" i="12"/>
  <c r="BN50" i="12"/>
  <c r="BO50" i="12"/>
  <c r="BP50" i="12"/>
  <c r="BQ50" i="12"/>
  <c r="BR50" i="12"/>
  <c r="BS50" i="12"/>
  <c r="BT50" i="12"/>
  <c r="BU50" i="12"/>
  <c r="BV50" i="12"/>
  <c r="BW50" i="12"/>
  <c r="BX50" i="12"/>
  <c r="BY50" i="12"/>
  <c r="BZ50" i="12"/>
  <c r="CA50" i="12"/>
  <c r="CB50" i="12"/>
  <c r="CC50" i="12"/>
  <c r="CD50" i="12"/>
  <c r="CE50" i="12"/>
  <c r="CF50" i="12"/>
  <c r="CG50" i="12"/>
  <c r="CH50" i="12"/>
  <c r="CI50" i="12"/>
  <c r="CJ50" i="12"/>
  <c r="CK50" i="12"/>
  <c r="CL50" i="12"/>
  <c r="CM50" i="12"/>
  <c r="CN50" i="12"/>
  <c r="CO50" i="12"/>
  <c r="CP50" i="12"/>
  <c r="CQ50" i="12"/>
  <c r="CR50" i="12"/>
  <c r="CS50" i="12"/>
  <c r="CT50" i="12"/>
  <c r="CU50" i="12"/>
  <c r="CV50" i="12"/>
  <c r="CW50" i="12"/>
  <c r="CX50" i="12"/>
  <c r="CY50" i="12"/>
  <c r="CZ50" i="12"/>
  <c r="DA50" i="12"/>
  <c r="DB50" i="12"/>
  <c r="DC50" i="12"/>
  <c r="DD50" i="12"/>
  <c r="DE50" i="12"/>
  <c r="DF50" i="12"/>
  <c r="DG50" i="12"/>
  <c r="DH50" i="12"/>
  <c r="DI50" i="12"/>
  <c r="DJ50" i="12"/>
  <c r="DK50" i="12"/>
  <c r="DL50" i="12"/>
  <c r="DM50" i="12"/>
  <c r="DN50" i="12"/>
  <c r="DO50" i="12"/>
  <c r="DP50" i="12"/>
  <c r="DQ50" i="12"/>
  <c r="DR50" i="12"/>
  <c r="DS50" i="12"/>
  <c r="DT50" i="12"/>
  <c r="DU50" i="12"/>
  <c r="DV50" i="12"/>
  <c r="DW50" i="12"/>
  <c r="DX50" i="12"/>
  <c r="DY50" i="12"/>
  <c r="DZ50" i="12"/>
  <c r="EA50" i="12"/>
  <c r="EB50" i="12"/>
  <c r="EC50" i="12"/>
  <c r="ED50" i="12"/>
  <c r="EE50" i="12"/>
  <c r="EF50" i="12"/>
  <c r="EG50" i="12"/>
  <c r="EH50" i="12"/>
  <c r="EI50" i="12"/>
  <c r="EJ50" i="12"/>
  <c r="EK50" i="12"/>
  <c r="EL50" i="12"/>
  <c r="EM50" i="12"/>
  <c r="EN50" i="12"/>
  <c r="EO50" i="12"/>
  <c r="EP50" i="12"/>
  <c r="EQ50" i="12"/>
  <c r="ER50" i="12"/>
  <c r="ES50" i="12"/>
  <c r="ET50" i="12"/>
  <c r="EU50" i="12"/>
  <c r="EV50" i="12"/>
  <c r="EW50" i="12"/>
  <c r="EX50" i="12"/>
  <c r="EY50" i="12"/>
  <c r="EZ50" i="12"/>
  <c r="FA50" i="12"/>
  <c r="FB50" i="12"/>
  <c r="FC50" i="12"/>
  <c r="FD50" i="12"/>
  <c r="FE50" i="12"/>
  <c r="FF50" i="12"/>
  <c r="FG50" i="12"/>
  <c r="FH50" i="12"/>
  <c r="FI50" i="12"/>
  <c r="FJ50" i="12"/>
  <c r="FK50" i="12"/>
  <c r="FL50" i="12"/>
  <c r="FM50" i="12"/>
  <c r="FN50" i="12"/>
  <c r="FO50" i="12"/>
  <c r="FP50" i="12"/>
  <c r="FQ50" i="12"/>
  <c r="FR50" i="12"/>
  <c r="FS50" i="12"/>
  <c r="FT50" i="12"/>
  <c r="FU50" i="12"/>
  <c r="FV50" i="12"/>
  <c r="FW50" i="12"/>
  <c r="FX50" i="12"/>
  <c r="FY50" i="12"/>
  <c r="FZ50" i="12"/>
  <c r="GA50" i="12"/>
  <c r="GB50" i="12"/>
  <c r="GC50" i="12"/>
  <c r="GD50" i="12"/>
  <c r="GE50" i="12"/>
  <c r="GF50" i="12"/>
  <c r="GG50" i="12"/>
  <c r="GH50" i="12"/>
  <c r="GI50" i="12"/>
  <c r="GJ50" i="12"/>
  <c r="GK50" i="12"/>
  <c r="GL50" i="12"/>
  <c r="GM50" i="12"/>
  <c r="GN50" i="12"/>
  <c r="GO50" i="12"/>
  <c r="GP50" i="12"/>
  <c r="GQ50" i="12"/>
  <c r="GR50" i="12"/>
  <c r="GS50" i="12"/>
  <c r="GT50" i="12"/>
  <c r="GU50" i="12"/>
  <c r="GV50" i="12"/>
  <c r="GW50" i="12"/>
  <c r="GX50" i="12"/>
  <c r="GY50" i="12"/>
  <c r="GZ50" i="12"/>
  <c r="HA50" i="12"/>
  <c r="HB50" i="12"/>
  <c r="HC50" i="12"/>
  <c r="HD50" i="12"/>
  <c r="HE50" i="12"/>
  <c r="HF50" i="12"/>
  <c r="HG50" i="12"/>
  <c r="HH50" i="12"/>
  <c r="HI50" i="12"/>
  <c r="HJ50" i="12"/>
  <c r="HK50" i="12"/>
  <c r="HL50" i="12"/>
  <c r="HM50" i="12"/>
  <c r="HN50" i="12"/>
  <c r="HO50" i="12"/>
  <c r="HP50" i="12"/>
  <c r="HQ50" i="12"/>
  <c r="HR50" i="12"/>
  <c r="HS50" i="12"/>
  <c r="HT50" i="12"/>
  <c r="HU50" i="12"/>
  <c r="HV50" i="12"/>
  <c r="HW50" i="12"/>
  <c r="HX50" i="12"/>
  <c r="HY50" i="12"/>
  <c r="HZ50" i="12"/>
  <c r="IA50" i="12"/>
  <c r="IB50" i="12"/>
  <c r="IC50" i="12"/>
  <c r="ID50" i="12"/>
  <c r="IE50" i="12"/>
  <c r="IF50" i="12"/>
  <c r="IG50" i="12"/>
  <c r="IH50" i="12"/>
  <c r="II50" i="12"/>
  <c r="IJ50" i="12"/>
  <c r="IK50" i="12"/>
  <c r="IL50" i="12"/>
  <c r="IM50" i="12"/>
  <c r="IN50" i="12"/>
  <c r="IO50" i="12"/>
  <c r="IP50" i="12"/>
  <c r="IQ50" i="12"/>
  <c r="IR50" i="12"/>
  <c r="IS50" i="12"/>
  <c r="IT50" i="12"/>
  <c r="IU50" i="12"/>
  <c r="IV50" i="12"/>
  <c r="F51" i="12"/>
  <c r="G51" i="12"/>
  <c r="H51" i="12"/>
  <c r="I51" i="12"/>
  <c r="J51" i="12"/>
  <c r="K51" i="12"/>
  <c r="L51" i="12"/>
  <c r="M51" i="12"/>
  <c r="N51" i="12"/>
  <c r="O51" i="12"/>
  <c r="P51" i="12"/>
  <c r="Q51" i="12"/>
  <c r="R51" i="12"/>
  <c r="S51" i="12"/>
  <c r="T51" i="12"/>
  <c r="U51" i="12"/>
  <c r="V51" i="12"/>
  <c r="W51" i="12"/>
  <c r="X51" i="12"/>
  <c r="Y51" i="12"/>
  <c r="Z51" i="12"/>
  <c r="AA51" i="12"/>
  <c r="AB51" i="12"/>
  <c r="AC51" i="12"/>
  <c r="AD51" i="12"/>
  <c r="AE51" i="12"/>
  <c r="AF51" i="12"/>
  <c r="AG51" i="12"/>
  <c r="AH51" i="12"/>
  <c r="AI51" i="12"/>
  <c r="AJ51" i="12"/>
  <c r="AK51" i="12"/>
  <c r="AL51" i="12"/>
  <c r="AM51" i="12"/>
  <c r="AN51" i="12"/>
  <c r="AO51" i="12"/>
  <c r="AP51" i="12"/>
  <c r="AQ51" i="12"/>
  <c r="AR51" i="12"/>
  <c r="AS51" i="12"/>
  <c r="AT51" i="12"/>
  <c r="AU51" i="12"/>
  <c r="AV51" i="12"/>
  <c r="AW51" i="12"/>
  <c r="AX51" i="12"/>
  <c r="AY51" i="12"/>
  <c r="AZ51" i="12"/>
  <c r="BA51" i="12"/>
  <c r="BB51" i="12"/>
  <c r="BC51" i="12"/>
  <c r="BD51" i="12"/>
  <c r="BE51" i="12"/>
  <c r="BF51" i="12"/>
  <c r="BG51" i="12"/>
  <c r="BH51" i="12"/>
  <c r="BI51" i="12"/>
  <c r="BJ51" i="12"/>
  <c r="BK51" i="12"/>
  <c r="BL51" i="12"/>
  <c r="BM51" i="12"/>
  <c r="BN51" i="12"/>
  <c r="BO51" i="12"/>
  <c r="BP51" i="12"/>
  <c r="BQ51" i="12"/>
  <c r="BR51" i="12"/>
  <c r="BS51" i="12"/>
  <c r="BT51" i="12"/>
  <c r="BU51" i="12"/>
  <c r="BV51" i="12"/>
  <c r="BW51" i="12"/>
  <c r="BX51" i="12"/>
  <c r="BY51" i="12"/>
  <c r="BZ51" i="12"/>
  <c r="CA51" i="12"/>
  <c r="CB51" i="12"/>
  <c r="CC51" i="12"/>
  <c r="CD51" i="12"/>
  <c r="CE51" i="12"/>
  <c r="CF51" i="12"/>
  <c r="CG51" i="12"/>
  <c r="CH51" i="12"/>
  <c r="CI51" i="12"/>
  <c r="CJ51" i="12"/>
  <c r="CK51" i="12"/>
  <c r="CL51" i="12"/>
  <c r="CM51" i="12"/>
  <c r="CN51" i="12"/>
  <c r="CO51" i="12"/>
  <c r="CP51" i="12"/>
  <c r="CQ51" i="12"/>
  <c r="CR51" i="12"/>
  <c r="CS51" i="12"/>
  <c r="CT51" i="12"/>
  <c r="CU51" i="12"/>
  <c r="CV51" i="12"/>
  <c r="CW51" i="12"/>
  <c r="CX51" i="12"/>
  <c r="CY51" i="12"/>
  <c r="CZ51" i="12"/>
  <c r="DA51" i="12"/>
  <c r="DB51" i="12"/>
  <c r="DC51" i="12"/>
  <c r="DD51" i="12"/>
  <c r="DE51" i="12"/>
  <c r="DF51" i="12"/>
  <c r="DG51" i="12"/>
  <c r="DH51" i="12"/>
  <c r="DI51" i="12"/>
  <c r="DJ51" i="12"/>
  <c r="DK51" i="12"/>
  <c r="DL51" i="12"/>
  <c r="DM51" i="12"/>
  <c r="DN51" i="12"/>
  <c r="DO51" i="12"/>
  <c r="DP51" i="12"/>
  <c r="DQ51" i="12"/>
  <c r="DR51" i="12"/>
  <c r="DS51" i="12"/>
  <c r="DT51" i="12"/>
  <c r="DU51" i="12"/>
  <c r="DV51" i="12"/>
  <c r="DW51" i="12"/>
  <c r="DX51" i="12"/>
  <c r="DY51" i="12"/>
  <c r="DZ51" i="12"/>
  <c r="EA51" i="12"/>
  <c r="EB51" i="12"/>
  <c r="EC51" i="12"/>
  <c r="ED51" i="12"/>
  <c r="EE51" i="12"/>
  <c r="EF51" i="12"/>
  <c r="EG51" i="12"/>
  <c r="EH51" i="12"/>
  <c r="EI51" i="12"/>
  <c r="EJ51" i="12"/>
  <c r="EK51" i="12"/>
  <c r="EL51" i="12"/>
  <c r="EM51" i="12"/>
  <c r="EN51" i="12"/>
  <c r="EO51" i="12"/>
  <c r="EP51" i="12"/>
  <c r="EQ51" i="12"/>
  <c r="ER51" i="12"/>
  <c r="ES51" i="12"/>
  <c r="ET51" i="12"/>
  <c r="EU51" i="12"/>
  <c r="EV51" i="12"/>
  <c r="EW51" i="12"/>
  <c r="EX51" i="12"/>
  <c r="EY51" i="12"/>
  <c r="EZ51" i="12"/>
  <c r="FA51" i="12"/>
  <c r="FB51" i="12"/>
  <c r="FC51" i="12"/>
  <c r="FD51" i="12"/>
  <c r="FE51" i="12"/>
  <c r="FF51" i="12"/>
  <c r="FG51" i="12"/>
  <c r="FH51" i="12"/>
  <c r="FI51" i="12"/>
  <c r="FJ51" i="12"/>
  <c r="FK51" i="12"/>
  <c r="FL51" i="12"/>
  <c r="FM51" i="12"/>
  <c r="FN51" i="12"/>
  <c r="FO51" i="12"/>
  <c r="FP51" i="12"/>
  <c r="FQ51" i="12"/>
  <c r="FR51" i="12"/>
  <c r="FS51" i="12"/>
  <c r="FT51" i="12"/>
  <c r="FU51" i="12"/>
  <c r="FV51" i="12"/>
  <c r="FW51" i="12"/>
  <c r="FX51" i="12"/>
  <c r="FY51" i="12"/>
  <c r="FZ51" i="12"/>
  <c r="GA51" i="12"/>
  <c r="GB51" i="12"/>
  <c r="GC51" i="12"/>
  <c r="GD51" i="12"/>
  <c r="GE51" i="12"/>
  <c r="GF51" i="12"/>
  <c r="GG51" i="12"/>
  <c r="GH51" i="12"/>
  <c r="GI51" i="12"/>
  <c r="GJ51" i="12"/>
  <c r="GK51" i="12"/>
  <c r="GL51" i="12"/>
  <c r="GM51" i="12"/>
  <c r="GN51" i="12"/>
  <c r="GO51" i="12"/>
  <c r="GP51" i="12"/>
  <c r="GQ51" i="12"/>
  <c r="GR51" i="12"/>
  <c r="GS51" i="12"/>
  <c r="GT51" i="12"/>
  <c r="GU51" i="12"/>
  <c r="GV51" i="12"/>
  <c r="GW51" i="12"/>
  <c r="GX51" i="12"/>
  <c r="GY51" i="12"/>
  <c r="GZ51" i="12"/>
  <c r="HA51" i="12"/>
  <c r="HB51" i="12"/>
  <c r="HC51" i="12"/>
  <c r="HD51" i="12"/>
  <c r="HE51" i="12"/>
  <c r="HF51" i="12"/>
  <c r="HG51" i="12"/>
  <c r="HH51" i="12"/>
  <c r="HI51" i="12"/>
  <c r="HJ51" i="12"/>
  <c r="HK51" i="12"/>
  <c r="HL51" i="12"/>
  <c r="HM51" i="12"/>
  <c r="HN51" i="12"/>
  <c r="HO51" i="12"/>
  <c r="HP51" i="12"/>
  <c r="HQ51" i="12"/>
  <c r="HR51" i="12"/>
  <c r="HS51" i="12"/>
  <c r="HT51" i="12"/>
  <c r="HU51" i="12"/>
  <c r="HV51" i="12"/>
  <c r="HW51" i="12"/>
  <c r="HX51" i="12"/>
  <c r="HY51" i="12"/>
  <c r="HZ51" i="12"/>
  <c r="IA51" i="12"/>
  <c r="IB51" i="12"/>
  <c r="IC51" i="12"/>
  <c r="ID51" i="12"/>
  <c r="IE51" i="12"/>
  <c r="IF51" i="12"/>
  <c r="IG51" i="12"/>
  <c r="IH51" i="12"/>
  <c r="II51" i="12"/>
  <c r="IJ51" i="12"/>
  <c r="IK51" i="12"/>
  <c r="IL51" i="12"/>
  <c r="IM51" i="12"/>
  <c r="IN51" i="12"/>
  <c r="IO51" i="12"/>
  <c r="IP51" i="12"/>
  <c r="IQ51" i="12"/>
  <c r="IR51" i="12"/>
  <c r="IS51" i="12"/>
  <c r="IT51" i="12"/>
  <c r="IU51" i="12"/>
  <c r="IV51" i="12"/>
  <c r="F52" i="12"/>
  <c r="G52" i="12"/>
  <c r="H52" i="12"/>
  <c r="I52" i="12"/>
  <c r="J52" i="12"/>
  <c r="K52" i="12"/>
  <c r="L52" i="12"/>
  <c r="M52" i="12"/>
  <c r="N52" i="12"/>
  <c r="O52" i="12"/>
  <c r="P52" i="12"/>
  <c r="Q52" i="12"/>
  <c r="R52" i="12"/>
  <c r="S52" i="12"/>
  <c r="T52" i="12"/>
  <c r="U52" i="12"/>
  <c r="V52" i="12"/>
  <c r="W52" i="12"/>
  <c r="X52" i="12"/>
  <c r="Y52" i="12"/>
  <c r="Z52" i="12"/>
  <c r="AA52" i="12"/>
  <c r="AB52" i="12"/>
  <c r="AC52" i="12"/>
  <c r="AD52" i="12"/>
  <c r="AE52" i="12"/>
  <c r="AF52" i="12"/>
  <c r="AG52" i="12"/>
  <c r="AH52" i="12"/>
  <c r="AI52" i="12"/>
  <c r="AJ52" i="12"/>
  <c r="AK52" i="12"/>
  <c r="AL52" i="12"/>
  <c r="AM52" i="12"/>
  <c r="AN52" i="12"/>
  <c r="AO52" i="12"/>
  <c r="AP52" i="12"/>
  <c r="AQ52" i="12"/>
  <c r="AR52" i="12"/>
  <c r="AS52" i="12"/>
  <c r="AT52" i="12"/>
  <c r="AU52" i="12"/>
  <c r="AV52" i="12"/>
  <c r="AW52" i="12"/>
  <c r="AX52" i="12"/>
  <c r="AY52" i="12"/>
  <c r="AZ52" i="12"/>
  <c r="BA52" i="12"/>
  <c r="BB52" i="12"/>
  <c r="BC52" i="12"/>
  <c r="BD52" i="12"/>
  <c r="BE52" i="12"/>
  <c r="BF52" i="12"/>
  <c r="BG52" i="12"/>
  <c r="BH52" i="12"/>
  <c r="BI52" i="12"/>
  <c r="BJ52" i="12"/>
  <c r="BK52" i="12"/>
  <c r="BL52" i="12"/>
  <c r="BM52" i="12"/>
  <c r="BN52" i="12"/>
  <c r="BO52" i="12"/>
  <c r="BP52" i="12"/>
  <c r="BQ52" i="12"/>
  <c r="BR52" i="12"/>
  <c r="BS52" i="12"/>
  <c r="BT52" i="12"/>
  <c r="BU52" i="12"/>
  <c r="BV52" i="12"/>
  <c r="BW52" i="12"/>
  <c r="BX52" i="12"/>
  <c r="BY52" i="12"/>
  <c r="BZ52" i="12"/>
  <c r="CA52" i="12"/>
  <c r="CB52" i="12"/>
  <c r="CC52" i="12"/>
  <c r="CD52" i="12"/>
  <c r="CE52" i="12"/>
  <c r="CF52" i="12"/>
  <c r="CG52" i="12"/>
  <c r="CH52" i="12"/>
  <c r="CI52" i="12"/>
  <c r="CJ52" i="12"/>
  <c r="CK52" i="12"/>
  <c r="CL52" i="12"/>
  <c r="CM52" i="12"/>
  <c r="CN52" i="12"/>
  <c r="CO52" i="12"/>
  <c r="CP52" i="12"/>
  <c r="CQ52" i="12"/>
  <c r="CR52" i="12"/>
  <c r="CS52" i="12"/>
  <c r="CT52" i="12"/>
  <c r="CU52" i="12"/>
  <c r="CV52" i="12"/>
  <c r="CW52" i="12"/>
  <c r="CX52" i="12"/>
  <c r="CY52" i="12"/>
  <c r="CZ52" i="12"/>
  <c r="DA52" i="12"/>
  <c r="DB52" i="12"/>
  <c r="DC52" i="12"/>
  <c r="DD52" i="12"/>
  <c r="DE52" i="12"/>
  <c r="DF52" i="12"/>
  <c r="DG52" i="12"/>
  <c r="DH52" i="12"/>
  <c r="DI52" i="12"/>
  <c r="DJ52" i="12"/>
  <c r="DK52" i="12"/>
  <c r="DL52" i="12"/>
  <c r="DM52" i="12"/>
  <c r="DN52" i="12"/>
  <c r="DO52" i="12"/>
  <c r="DP52" i="12"/>
  <c r="DQ52" i="12"/>
  <c r="DR52" i="12"/>
  <c r="DS52" i="12"/>
  <c r="DT52" i="12"/>
  <c r="DU52" i="12"/>
  <c r="DV52" i="12"/>
  <c r="DW52" i="12"/>
  <c r="DX52" i="12"/>
  <c r="DY52" i="12"/>
  <c r="DZ52" i="12"/>
  <c r="EA52" i="12"/>
  <c r="EB52" i="12"/>
  <c r="EC52" i="12"/>
  <c r="ED52" i="12"/>
  <c r="EE52" i="12"/>
  <c r="EF52" i="12"/>
  <c r="EG52" i="12"/>
  <c r="EH52" i="12"/>
  <c r="EI52" i="12"/>
  <c r="EJ52" i="12"/>
  <c r="EK52" i="12"/>
  <c r="EL52" i="12"/>
  <c r="EM52" i="12"/>
  <c r="EN52" i="12"/>
  <c r="EO52" i="12"/>
  <c r="EP52" i="12"/>
  <c r="EQ52" i="12"/>
  <c r="ER52" i="12"/>
  <c r="ES52" i="12"/>
  <c r="ET52" i="12"/>
  <c r="EU52" i="12"/>
  <c r="EV52" i="12"/>
  <c r="EW52" i="12"/>
  <c r="EX52" i="12"/>
  <c r="EY52" i="12"/>
  <c r="EZ52" i="12"/>
  <c r="FA52" i="12"/>
  <c r="FB52" i="12"/>
  <c r="FC52" i="12"/>
  <c r="FD52" i="12"/>
  <c r="FE52" i="12"/>
  <c r="FF52" i="12"/>
  <c r="FG52" i="12"/>
  <c r="FH52" i="12"/>
  <c r="FI52" i="12"/>
  <c r="FJ52" i="12"/>
  <c r="FK52" i="12"/>
  <c r="FL52" i="12"/>
  <c r="FM52" i="12"/>
  <c r="FN52" i="12"/>
  <c r="FO52" i="12"/>
  <c r="FP52" i="12"/>
  <c r="FQ52" i="12"/>
  <c r="FR52" i="12"/>
  <c r="FS52" i="12"/>
  <c r="FT52" i="12"/>
  <c r="FU52" i="12"/>
  <c r="FV52" i="12"/>
  <c r="FW52" i="12"/>
  <c r="FX52" i="12"/>
  <c r="FY52" i="12"/>
  <c r="FZ52" i="12"/>
  <c r="GA52" i="12"/>
  <c r="GB52" i="12"/>
  <c r="GC52" i="12"/>
  <c r="GD52" i="12"/>
  <c r="GE52" i="12"/>
  <c r="GF52" i="12"/>
  <c r="GG52" i="12"/>
  <c r="GH52" i="12"/>
  <c r="GI52" i="12"/>
  <c r="GJ52" i="12"/>
  <c r="GK52" i="12"/>
  <c r="GL52" i="12"/>
  <c r="GM52" i="12"/>
  <c r="GN52" i="12"/>
  <c r="GO52" i="12"/>
  <c r="GP52" i="12"/>
  <c r="GQ52" i="12"/>
  <c r="GR52" i="12"/>
  <c r="GS52" i="12"/>
  <c r="GT52" i="12"/>
  <c r="GU52" i="12"/>
  <c r="GV52" i="12"/>
  <c r="GW52" i="12"/>
  <c r="GX52" i="12"/>
  <c r="GY52" i="12"/>
  <c r="GZ52" i="12"/>
  <c r="HA52" i="12"/>
  <c r="HB52" i="12"/>
  <c r="HC52" i="12"/>
  <c r="HD52" i="12"/>
  <c r="HE52" i="12"/>
  <c r="HF52" i="12"/>
  <c r="HG52" i="12"/>
  <c r="HH52" i="12"/>
  <c r="HI52" i="12"/>
  <c r="HJ52" i="12"/>
  <c r="HK52" i="12"/>
  <c r="HL52" i="12"/>
  <c r="HM52" i="12"/>
  <c r="HN52" i="12"/>
  <c r="HO52" i="12"/>
  <c r="HP52" i="12"/>
  <c r="HQ52" i="12"/>
  <c r="HR52" i="12"/>
  <c r="HS52" i="12"/>
  <c r="HT52" i="12"/>
  <c r="HU52" i="12"/>
  <c r="HV52" i="12"/>
  <c r="HW52" i="12"/>
  <c r="HX52" i="12"/>
  <c r="HY52" i="12"/>
  <c r="HZ52" i="12"/>
  <c r="IA52" i="12"/>
  <c r="IB52" i="12"/>
  <c r="IC52" i="12"/>
  <c r="ID52" i="12"/>
  <c r="IE52" i="12"/>
  <c r="IF52" i="12"/>
  <c r="IG52" i="12"/>
  <c r="IH52" i="12"/>
  <c r="II52" i="12"/>
  <c r="IJ52" i="12"/>
  <c r="IK52" i="12"/>
  <c r="IL52" i="12"/>
  <c r="IM52" i="12"/>
  <c r="IN52" i="12"/>
  <c r="IO52" i="12"/>
  <c r="IP52" i="12"/>
  <c r="IQ52" i="12"/>
  <c r="IR52" i="12"/>
  <c r="IS52" i="12"/>
  <c r="IT52" i="12"/>
  <c r="IU52" i="12"/>
  <c r="IV52" i="12"/>
  <c r="F53" i="12"/>
  <c r="G53" i="12"/>
  <c r="H53" i="12"/>
  <c r="I53" i="12"/>
  <c r="J53" i="12"/>
  <c r="K53" i="12"/>
  <c r="L53" i="12"/>
  <c r="M53" i="12"/>
  <c r="N53" i="12"/>
  <c r="O53" i="12"/>
  <c r="P53" i="12"/>
  <c r="Q53" i="12"/>
  <c r="R53" i="12"/>
  <c r="S53" i="12"/>
  <c r="T53" i="12"/>
  <c r="U53" i="12"/>
  <c r="V53" i="12"/>
  <c r="W53" i="12"/>
  <c r="X53" i="12"/>
  <c r="Y53" i="12"/>
  <c r="Z53" i="12"/>
  <c r="AA53" i="12"/>
  <c r="AB53" i="12"/>
  <c r="AC53" i="12"/>
  <c r="AD53" i="12"/>
  <c r="AE53" i="12"/>
  <c r="AF53" i="12"/>
  <c r="AG53" i="12"/>
  <c r="AH53" i="12"/>
  <c r="AI53" i="12"/>
  <c r="AJ53" i="12"/>
  <c r="AK53" i="12"/>
  <c r="AL53" i="12"/>
  <c r="AM53" i="12"/>
  <c r="AN53" i="12"/>
  <c r="AO53" i="12"/>
  <c r="AP53" i="12"/>
  <c r="AQ53" i="12"/>
  <c r="AR53" i="12"/>
  <c r="AS53" i="12"/>
  <c r="AT53" i="12"/>
  <c r="AU53" i="12"/>
  <c r="AV53" i="12"/>
  <c r="AW53" i="12"/>
  <c r="AX53" i="12"/>
  <c r="AY53" i="12"/>
  <c r="AZ53" i="12"/>
  <c r="BA53" i="12"/>
  <c r="BB53" i="12"/>
  <c r="BC53" i="12"/>
  <c r="BD53" i="12"/>
  <c r="BE53" i="12"/>
  <c r="BF53" i="12"/>
  <c r="BG53" i="12"/>
  <c r="BH53" i="12"/>
  <c r="BI53" i="12"/>
  <c r="BJ53" i="12"/>
  <c r="BK53" i="12"/>
  <c r="BL53" i="12"/>
  <c r="BM53" i="12"/>
  <c r="BN53" i="12"/>
  <c r="BO53" i="12"/>
  <c r="BP53" i="12"/>
  <c r="BQ53" i="12"/>
  <c r="BR53" i="12"/>
  <c r="BS53" i="12"/>
  <c r="BT53" i="12"/>
  <c r="BU53" i="12"/>
  <c r="BV53" i="12"/>
  <c r="BW53" i="12"/>
  <c r="BX53" i="12"/>
  <c r="BY53" i="12"/>
  <c r="BZ53" i="12"/>
  <c r="CA53" i="12"/>
  <c r="CB53" i="12"/>
  <c r="CC53" i="12"/>
  <c r="CD53" i="12"/>
  <c r="CE53" i="12"/>
  <c r="CF53" i="12"/>
  <c r="CG53" i="12"/>
  <c r="CH53" i="12"/>
  <c r="CI53" i="12"/>
  <c r="CJ53" i="12"/>
  <c r="CK53" i="12"/>
  <c r="CL53" i="12"/>
  <c r="CM53" i="12"/>
  <c r="CN53" i="12"/>
  <c r="CO53" i="12"/>
  <c r="CP53" i="12"/>
  <c r="CQ53" i="12"/>
  <c r="CR53" i="12"/>
  <c r="CS53" i="12"/>
  <c r="CT53" i="12"/>
  <c r="CU53" i="12"/>
  <c r="CV53" i="12"/>
  <c r="CW53" i="12"/>
  <c r="CX53" i="12"/>
  <c r="CY53" i="12"/>
  <c r="CZ53" i="12"/>
  <c r="DA53" i="12"/>
  <c r="DB53" i="12"/>
  <c r="DC53" i="12"/>
  <c r="DD53" i="12"/>
  <c r="DE53" i="12"/>
  <c r="DF53" i="12"/>
  <c r="DG53" i="12"/>
  <c r="DH53" i="12"/>
  <c r="DI53" i="12"/>
  <c r="DJ53" i="12"/>
  <c r="DK53" i="12"/>
  <c r="DL53" i="12"/>
  <c r="DM53" i="12"/>
  <c r="DN53" i="12"/>
  <c r="DO53" i="12"/>
  <c r="DP53" i="12"/>
  <c r="DQ53" i="12"/>
  <c r="DR53" i="12"/>
  <c r="DS53" i="12"/>
  <c r="DT53" i="12"/>
  <c r="DU53" i="12"/>
  <c r="DV53" i="12"/>
  <c r="DW53" i="12"/>
  <c r="DX53" i="12"/>
  <c r="DY53" i="12"/>
  <c r="DZ53" i="12"/>
  <c r="EA53" i="12"/>
  <c r="EB53" i="12"/>
  <c r="EC53" i="12"/>
  <c r="ED53" i="12"/>
  <c r="EE53" i="12"/>
  <c r="EF53" i="12"/>
  <c r="EG53" i="12"/>
  <c r="EH53" i="12"/>
  <c r="EI53" i="12"/>
  <c r="EJ53" i="12"/>
  <c r="EK53" i="12"/>
  <c r="EL53" i="12"/>
  <c r="EM53" i="12"/>
  <c r="EN53" i="12"/>
  <c r="EO53" i="12"/>
  <c r="EP53" i="12"/>
  <c r="EQ53" i="12"/>
  <c r="ER53" i="12"/>
  <c r="ES53" i="12"/>
  <c r="ET53" i="12"/>
  <c r="EU53" i="12"/>
  <c r="EV53" i="12"/>
  <c r="EW53" i="12"/>
  <c r="EX53" i="12"/>
  <c r="EY53" i="12"/>
  <c r="EZ53" i="12"/>
  <c r="FA53" i="12"/>
  <c r="FB53" i="12"/>
  <c r="FC53" i="12"/>
  <c r="FD53" i="12"/>
  <c r="FE53" i="12"/>
  <c r="FF53" i="12"/>
  <c r="FG53" i="12"/>
  <c r="FH53" i="12"/>
  <c r="FI53" i="12"/>
  <c r="FJ53" i="12"/>
  <c r="FK53" i="12"/>
  <c r="FL53" i="12"/>
  <c r="FM53" i="12"/>
  <c r="FN53" i="12"/>
  <c r="FO53" i="12"/>
  <c r="FP53" i="12"/>
  <c r="FQ53" i="12"/>
  <c r="FR53" i="12"/>
  <c r="FS53" i="12"/>
  <c r="FT53" i="12"/>
  <c r="FU53" i="12"/>
  <c r="FV53" i="12"/>
  <c r="FW53" i="12"/>
  <c r="FX53" i="12"/>
  <c r="FY53" i="12"/>
  <c r="FZ53" i="12"/>
  <c r="GA53" i="12"/>
  <c r="GB53" i="12"/>
  <c r="GC53" i="12"/>
  <c r="GD53" i="12"/>
  <c r="GE53" i="12"/>
  <c r="GF53" i="12"/>
  <c r="GG53" i="12"/>
  <c r="GH53" i="12"/>
  <c r="GI53" i="12"/>
  <c r="GJ53" i="12"/>
  <c r="GK53" i="12"/>
  <c r="GL53" i="12"/>
  <c r="GM53" i="12"/>
  <c r="GN53" i="12"/>
  <c r="GO53" i="12"/>
  <c r="GP53" i="12"/>
  <c r="GQ53" i="12"/>
  <c r="GR53" i="12"/>
  <c r="GS53" i="12"/>
  <c r="GT53" i="12"/>
  <c r="GU53" i="12"/>
  <c r="GV53" i="12"/>
  <c r="GW53" i="12"/>
  <c r="GX53" i="12"/>
  <c r="GY53" i="12"/>
  <c r="GZ53" i="12"/>
  <c r="HA53" i="12"/>
  <c r="HB53" i="12"/>
  <c r="HC53" i="12"/>
  <c r="HD53" i="12"/>
  <c r="HE53" i="12"/>
  <c r="HF53" i="12"/>
  <c r="HG53" i="12"/>
  <c r="HH53" i="12"/>
  <c r="HI53" i="12"/>
  <c r="HJ53" i="12"/>
  <c r="HK53" i="12"/>
  <c r="HL53" i="12"/>
  <c r="HM53" i="12"/>
  <c r="HN53" i="12"/>
  <c r="HO53" i="12"/>
  <c r="HP53" i="12"/>
  <c r="HQ53" i="12"/>
  <c r="HR53" i="12"/>
  <c r="HS53" i="12"/>
  <c r="HT53" i="12"/>
  <c r="HU53" i="12"/>
  <c r="HV53" i="12"/>
  <c r="HW53" i="12"/>
  <c r="HX53" i="12"/>
  <c r="HY53" i="12"/>
  <c r="HZ53" i="12"/>
  <c r="IA53" i="12"/>
  <c r="IB53" i="12"/>
  <c r="IC53" i="12"/>
  <c r="ID53" i="12"/>
  <c r="IE53" i="12"/>
  <c r="IF53" i="12"/>
  <c r="IG53" i="12"/>
  <c r="IH53" i="12"/>
  <c r="II53" i="12"/>
  <c r="IJ53" i="12"/>
  <c r="IK53" i="12"/>
  <c r="IL53" i="12"/>
  <c r="IM53" i="12"/>
  <c r="IN53" i="12"/>
  <c r="IO53" i="12"/>
  <c r="IP53" i="12"/>
  <c r="IQ53" i="12"/>
  <c r="IR53" i="12"/>
  <c r="IS53" i="12"/>
  <c r="IT53" i="12"/>
  <c r="IU53" i="12"/>
  <c r="IV53" i="12"/>
  <c r="F54" i="12"/>
  <c r="G54" i="12"/>
  <c r="H54" i="12"/>
  <c r="I54" i="12"/>
  <c r="J54" i="12"/>
  <c r="K54" i="12"/>
  <c r="L54" i="12"/>
  <c r="M54" i="12"/>
  <c r="N54" i="12"/>
  <c r="O54" i="12"/>
  <c r="P54" i="12"/>
  <c r="Q54" i="12"/>
  <c r="R54" i="12"/>
  <c r="S54" i="12"/>
  <c r="T54" i="12"/>
  <c r="U54" i="12"/>
  <c r="V54" i="12"/>
  <c r="W54" i="12"/>
  <c r="X54" i="12"/>
  <c r="Y54" i="12"/>
  <c r="Z54" i="12"/>
  <c r="AA54" i="12"/>
  <c r="AB54" i="12"/>
  <c r="AC54" i="12"/>
  <c r="AD54" i="12"/>
  <c r="AE54" i="12"/>
  <c r="AF54" i="12"/>
  <c r="AG54" i="12"/>
  <c r="AH54" i="12"/>
  <c r="AI54" i="12"/>
  <c r="AJ54" i="12"/>
  <c r="AK54" i="12"/>
  <c r="AL54" i="12"/>
  <c r="AM54" i="12"/>
  <c r="AN54" i="12"/>
  <c r="AO54" i="12"/>
  <c r="AP54" i="12"/>
  <c r="AQ54" i="12"/>
  <c r="AR54" i="12"/>
  <c r="AS54" i="12"/>
  <c r="AT54" i="12"/>
  <c r="AU54" i="12"/>
  <c r="AV54" i="12"/>
  <c r="AW54" i="12"/>
  <c r="AX54" i="12"/>
  <c r="AY54" i="12"/>
  <c r="AZ54" i="12"/>
  <c r="BA54" i="12"/>
  <c r="BB54" i="12"/>
  <c r="BC54" i="12"/>
  <c r="BD54" i="12"/>
  <c r="BE54" i="12"/>
  <c r="BF54" i="12"/>
  <c r="BG54" i="12"/>
  <c r="BH54" i="12"/>
  <c r="BI54" i="12"/>
  <c r="BJ54" i="12"/>
  <c r="BK54" i="12"/>
  <c r="BL54" i="12"/>
  <c r="BM54" i="12"/>
  <c r="BN54" i="12"/>
  <c r="BO54" i="12"/>
  <c r="BP54" i="12"/>
  <c r="BQ54" i="12"/>
  <c r="BR54" i="12"/>
  <c r="BS54" i="12"/>
  <c r="BT54" i="12"/>
  <c r="BU54" i="12"/>
  <c r="BV54" i="12"/>
  <c r="BW54" i="12"/>
  <c r="BX54" i="12"/>
  <c r="BY54" i="12"/>
  <c r="BZ54" i="12"/>
  <c r="CA54" i="12"/>
  <c r="CB54" i="12"/>
  <c r="CC54" i="12"/>
  <c r="CD54" i="12"/>
  <c r="CE54" i="12"/>
  <c r="CF54" i="12"/>
  <c r="CG54" i="12"/>
  <c r="CH54" i="12"/>
  <c r="CI54" i="12"/>
  <c r="CJ54" i="12"/>
  <c r="CK54" i="12"/>
  <c r="CL54" i="12"/>
  <c r="CM54" i="12"/>
  <c r="CN54" i="12"/>
  <c r="CO54" i="12"/>
  <c r="CP54" i="12"/>
  <c r="CQ54" i="12"/>
  <c r="CR54" i="12"/>
  <c r="CS54" i="12"/>
  <c r="CT54" i="12"/>
  <c r="CU54" i="12"/>
  <c r="CV54" i="12"/>
  <c r="CW54" i="12"/>
  <c r="CX54" i="12"/>
  <c r="CY54" i="12"/>
  <c r="CZ54" i="12"/>
  <c r="DA54" i="12"/>
  <c r="DB54" i="12"/>
  <c r="DC54" i="12"/>
  <c r="DD54" i="12"/>
  <c r="DE54" i="12"/>
  <c r="DF54" i="12"/>
  <c r="DG54" i="12"/>
  <c r="DH54" i="12"/>
  <c r="DI54" i="12"/>
  <c r="DJ54" i="12"/>
  <c r="DK54" i="12"/>
  <c r="DL54" i="12"/>
  <c r="DM54" i="12"/>
  <c r="DN54" i="12"/>
  <c r="DO54" i="12"/>
  <c r="DP54" i="12"/>
  <c r="DQ54" i="12"/>
  <c r="DR54" i="12"/>
  <c r="DS54" i="12"/>
  <c r="DT54" i="12"/>
  <c r="DU54" i="12"/>
  <c r="DV54" i="12"/>
  <c r="DW54" i="12"/>
  <c r="DX54" i="12"/>
  <c r="DY54" i="12"/>
  <c r="DZ54" i="12"/>
  <c r="EA54" i="12"/>
  <c r="EB54" i="12"/>
  <c r="EC54" i="12"/>
  <c r="ED54" i="12"/>
  <c r="EE54" i="12"/>
  <c r="EF54" i="12"/>
  <c r="EG54" i="12"/>
  <c r="EH54" i="12"/>
  <c r="EI54" i="12"/>
  <c r="EJ54" i="12"/>
  <c r="EK54" i="12"/>
  <c r="EL54" i="12"/>
  <c r="EM54" i="12"/>
  <c r="EN54" i="12"/>
  <c r="EO54" i="12"/>
  <c r="EP54" i="12"/>
  <c r="EQ54" i="12"/>
  <c r="ER54" i="12"/>
  <c r="ES54" i="12"/>
  <c r="ET54" i="12"/>
  <c r="EU54" i="12"/>
  <c r="EV54" i="12"/>
  <c r="EW54" i="12"/>
  <c r="EX54" i="12"/>
  <c r="EY54" i="12"/>
  <c r="EZ54" i="12"/>
  <c r="FA54" i="12"/>
  <c r="FB54" i="12"/>
  <c r="FC54" i="12"/>
  <c r="FD54" i="12"/>
  <c r="FE54" i="12"/>
  <c r="FF54" i="12"/>
  <c r="FG54" i="12"/>
  <c r="FH54" i="12"/>
  <c r="FI54" i="12"/>
  <c r="FJ54" i="12"/>
  <c r="FK54" i="12"/>
  <c r="FL54" i="12"/>
  <c r="FM54" i="12"/>
  <c r="FN54" i="12"/>
  <c r="FO54" i="12"/>
  <c r="FP54" i="12"/>
  <c r="FQ54" i="12"/>
  <c r="FR54" i="12"/>
  <c r="FS54" i="12"/>
  <c r="FT54" i="12"/>
  <c r="FU54" i="12"/>
  <c r="FV54" i="12"/>
  <c r="FW54" i="12"/>
  <c r="FX54" i="12"/>
  <c r="FY54" i="12"/>
  <c r="FZ54" i="12"/>
  <c r="GA54" i="12"/>
  <c r="GB54" i="12"/>
  <c r="GC54" i="12"/>
  <c r="GD54" i="12"/>
  <c r="GE54" i="12"/>
  <c r="GF54" i="12"/>
  <c r="GG54" i="12"/>
  <c r="GH54" i="12"/>
  <c r="GI54" i="12"/>
  <c r="GJ54" i="12"/>
  <c r="GK54" i="12"/>
  <c r="GL54" i="12"/>
  <c r="GM54" i="12"/>
  <c r="GN54" i="12"/>
  <c r="GO54" i="12"/>
  <c r="GP54" i="12"/>
  <c r="GQ54" i="12"/>
  <c r="GR54" i="12"/>
  <c r="GS54" i="12"/>
  <c r="GT54" i="12"/>
  <c r="GU54" i="12"/>
  <c r="GV54" i="12"/>
  <c r="GW54" i="12"/>
  <c r="GX54" i="12"/>
  <c r="GY54" i="12"/>
  <c r="GZ54" i="12"/>
  <c r="HA54" i="12"/>
  <c r="HB54" i="12"/>
  <c r="HC54" i="12"/>
  <c r="HD54" i="12"/>
  <c r="HE54" i="12"/>
  <c r="HF54" i="12"/>
  <c r="HG54" i="12"/>
  <c r="HH54" i="12"/>
  <c r="HI54" i="12"/>
  <c r="HJ54" i="12"/>
  <c r="HK54" i="12"/>
  <c r="HL54" i="12"/>
  <c r="HM54" i="12"/>
  <c r="HN54" i="12"/>
  <c r="HO54" i="12"/>
  <c r="HP54" i="12"/>
  <c r="HQ54" i="12"/>
  <c r="HR54" i="12"/>
  <c r="HS54" i="12"/>
  <c r="HT54" i="12"/>
  <c r="HU54" i="12"/>
  <c r="HV54" i="12"/>
  <c r="HW54" i="12"/>
  <c r="HX54" i="12"/>
  <c r="HY54" i="12"/>
  <c r="HZ54" i="12"/>
  <c r="IA54" i="12"/>
  <c r="IB54" i="12"/>
  <c r="IC54" i="12"/>
  <c r="ID54" i="12"/>
  <c r="IE54" i="12"/>
  <c r="IF54" i="12"/>
  <c r="IG54" i="12"/>
  <c r="IH54" i="12"/>
  <c r="II54" i="12"/>
  <c r="IJ54" i="12"/>
  <c r="IK54" i="12"/>
  <c r="IL54" i="12"/>
  <c r="IM54" i="12"/>
  <c r="IN54" i="12"/>
  <c r="IO54" i="12"/>
  <c r="IP54" i="12"/>
  <c r="IQ54" i="12"/>
  <c r="IR54" i="12"/>
  <c r="IS54" i="12"/>
  <c r="IT54" i="12"/>
  <c r="IU54" i="12"/>
  <c r="IV54" i="12"/>
  <c r="F55" i="12"/>
  <c r="G55" i="12"/>
  <c r="H55" i="12"/>
  <c r="I55" i="12"/>
  <c r="J55" i="12"/>
  <c r="K55" i="12"/>
  <c r="L55" i="12"/>
  <c r="M55" i="12"/>
  <c r="N55" i="12"/>
  <c r="O55" i="12"/>
  <c r="P55" i="12"/>
  <c r="Q55" i="12"/>
  <c r="R55" i="12"/>
  <c r="S55" i="12"/>
  <c r="T55" i="12"/>
  <c r="U55" i="12"/>
  <c r="V55" i="12"/>
  <c r="W55" i="12"/>
  <c r="X55" i="12"/>
  <c r="Y55" i="12"/>
  <c r="Z55" i="12"/>
  <c r="AA55" i="12"/>
  <c r="AB55" i="12"/>
  <c r="AC55" i="12"/>
  <c r="AD55" i="12"/>
  <c r="AE55" i="12"/>
  <c r="AF55" i="12"/>
  <c r="AG55" i="12"/>
  <c r="AH55" i="12"/>
  <c r="AI55" i="12"/>
  <c r="AJ55" i="12"/>
  <c r="AK55" i="12"/>
  <c r="AL55" i="12"/>
  <c r="AM55" i="12"/>
  <c r="AN55" i="12"/>
  <c r="AO55" i="12"/>
  <c r="AP55" i="12"/>
  <c r="AQ55" i="12"/>
  <c r="AR55" i="12"/>
  <c r="AS55" i="12"/>
  <c r="AT55" i="12"/>
  <c r="AU55" i="12"/>
  <c r="AV55" i="12"/>
  <c r="AW55" i="12"/>
  <c r="AX55" i="12"/>
  <c r="AY55" i="12"/>
  <c r="AZ55" i="12"/>
  <c r="BA55" i="12"/>
  <c r="BB55" i="12"/>
  <c r="BC55" i="12"/>
  <c r="BD55" i="12"/>
  <c r="BE55" i="12"/>
  <c r="BF55" i="12"/>
  <c r="BG55" i="12"/>
  <c r="BH55" i="12"/>
  <c r="BI55" i="12"/>
  <c r="BJ55" i="12"/>
  <c r="BK55" i="12"/>
  <c r="BL55" i="12"/>
  <c r="BM55" i="12"/>
  <c r="BN55" i="12"/>
  <c r="BO55" i="12"/>
  <c r="BP55" i="12"/>
  <c r="BQ55" i="12"/>
  <c r="BR55" i="12"/>
  <c r="BS55" i="12"/>
  <c r="BT55" i="12"/>
  <c r="BU55" i="12"/>
  <c r="BV55" i="12"/>
  <c r="BW55" i="12"/>
  <c r="BX55" i="12"/>
  <c r="BY55" i="12"/>
  <c r="BZ55" i="12"/>
  <c r="CA55" i="12"/>
  <c r="CB55" i="12"/>
  <c r="CC55" i="12"/>
  <c r="CD55" i="12"/>
  <c r="CE55" i="12"/>
  <c r="CF55" i="12"/>
  <c r="CG55" i="12"/>
  <c r="CH55" i="12"/>
  <c r="CI55" i="12"/>
  <c r="CJ55" i="12"/>
  <c r="CK55" i="12"/>
  <c r="CL55" i="12"/>
  <c r="CM55" i="12"/>
  <c r="CN55" i="12"/>
  <c r="CO55" i="12"/>
  <c r="CP55" i="12"/>
  <c r="CQ55" i="12"/>
  <c r="CR55" i="12"/>
  <c r="CS55" i="12"/>
  <c r="CT55" i="12"/>
  <c r="CU55" i="12"/>
  <c r="CV55" i="12"/>
  <c r="CW55" i="12"/>
  <c r="CX55" i="12"/>
  <c r="CY55" i="12"/>
  <c r="CZ55" i="12"/>
  <c r="DA55" i="12"/>
  <c r="DB55" i="12"/>
  <c r="DC55" i="12"/>
  <c r="DD55" i="12"/>
  <c r="DE55" i="12"/>
  <c r="DF55" i="12"/>
  <c r="DG55" i="12"/>
  <c r="DH55" i="12"/>
  <c r="DI55" i="12"/>
  <c r="DJ55" i="12"/>
  <c r="DK55" i="12"/>
  <c r="DL55" i="12"/>
  <c r="DM55" i="12"/>
  <c r="DN55" i="12"/>
  <c r="DO55" i="12"/>
  <c r="DP55" i="12"/>
  <c r="DQ55" i="12"/>
  <c r="DR55" i="12"/>
  <c r="DS55" i="12"/>
  <c r="DT55" i="12"/>
  <c r="DU55" i="12"/>
  <c r="DV55" i="12"/>
  <c r="DW55" i="12"/>
  <c r="DX55" i="12"/>
  <c r="DY55" i="12"/>
  <c r="DZ55" i="12"/>
  <c r="EA55" i="12"/>
  <c r="EB55" i="12"/>
  <c r="EC55" i="12"/>
  <c r="ED55" i="12"/>
  <c r="EE55" i="12"/>
  <c r="EF55" i="12"/>
  <c r="EG55" i="12"/>
  <c r="EH55" i="12"/>
  <c r="EI55" i="12"/>
  <c r="EJ55" i="12"/>
  <c r="EK55" i="12"/>
  <c r="EL55" i="12"/>
  <c r="EM55" i="12"/>
  <c r="EN55" i="12"/>
  <c r="EO55" i="12"/>
  <c r="EP55" i="12"/>
  <c r="EQ55" i="12"/>
  <c r="ER55" i="12"/>
  <c r="ES55" i="12"/>
  <c r="ET55" i="12"/>
  <c r="EU55" i="12"/>
  <c r="EV55" i="12"/>
  <c r="EW55" i="12"/>
  <c r="EX55" i="12"/>
  <c r="EY55" i="12"/>
  <c r="EZ55" i="12"/>
  <c r="FA55" i="12"/>
  <c r="FB55" i="12"/>
  <c r="FC55" i="12"/>
  <c r="FD55" i="12"/>
  <c r="FE55" i="12"/>
  <c r="FF55" i="12"/>
  <c r="FG55" i="12"/>
  <c r="FH55" i="12"/>
  <c r="FI55" i="12"/>
  <c r="FJ55" i="12"/>
  <c r="FK55" i="12"/>
  <c r="FL55" i="12"/>
  <c r="FM55" i="12"/>
  <c r="FN55" i="12"/>
  <c r="FO55" i="12"/>
  <c r="FP55" i="12"/>
  <c r="FQ55" i="12"/>
  <c r="FR55" i="12"/>
  <c r="FS55" i="12"/>
  <c r="FT55" i="12"/>
  <c r="FU55" i="12"/>
  <c r="FV55" i="12"/>
  <c r="FW55" i="12"/>
  <c r="FX55" i="12"/>
  <c r="FY55" i="12"/>
  <c r="FZ55" i="12"/>
  <c r="GA55" i="12"/>
  <c r="GB55" i="12"/>
  <c r="GC55" i="12"/>
  <c r="GD55" i="12"/>
  <c r="GE55" i="12"/>
  <c r="GF55" i="12"/>
  <c r="GG55" i="12"/>
  <c r="GH55" i="12"/>
  <c r="GI55" i="12"/>
  <c r="GJ55" i="12"/>
  <c r="GK55" i="12"/>
  <c r="GL55" i="12"/>
  <c r="GM55" i="12"/>
  <c r="GN55" i="12"/>
  <c r="GO55" i="12"/>
  <c r="GP55" i="12"/>
  <c r="GQ55" i="12"/>
  <c r="GR55" i="12"/>
  <c r="GS55" i="12"/>
  <c r="GT55" i="12"/>
  <c r="GU55" i="12"/>
  <c r="GV55" i="12"/>
  <c r="GW55" i="12"/>
  <c r="GX55" i="12"/>
  <c r="GY55" i="12"/>
  <c r="GZ55" i="12"/>
  <c r="HA55" i="12"/>
  <c r="HB55" i="12"/>
  <c r="HC55" i="12"/>
  <c r="HD55" i="12"/>
  <c r="HE55" i="12"/>
  <c r="HF55" i="12"/>
  <c r="HG55" i="12"/>
  <c r="HH55" i="12"/>
  <c r="HI55" i="12"/>
  <c r="HJ55" i="12"/>
  <c r="HK55" i="12"/>
  <c r="HL55" i="12"/>
  <c r="HM55" i="12"/>
  <c r="HN55" i="12"/>
  <c r="HO55" i="12"/>
  <c r="HP55" i="12"/>
  <c r="HQ55" i="12"/>
  <c r="HR55" i="12"/>
  <c r="HS55" i="12"/>
  <c r="HT55" i="12"/>
  <c r="HU55" i="12"/>
  <c r="HV55" i="12"/>
  <c r="HW55" i="12"/>
  <c r="HX55" i="12"/>
  <c r="HY55" i="12"/>
  <c r="HZ55" i="12"/>
  <c r="IA55" i="12"/>
  <c r="IB55" i="12"/>
  <c r="IC55" i="12"/>
  <c r="ID55" i="12"/>
  <c r="IE55" i="12"/>
  <c r="IF55" i="12"/>
  <c r="IG55" i="12"/>
  <c r="IH55" i="12"/>
  <c r="II55" i="12"/>
  <c r="IJ55" i="12"/>
  <c r="IK55" i="12"/>
  <c r="IL55" i="12"/>
  <c r="IM55" i="12"/>
  <c r="IN55" i="12"/>
  <c r="IO55" i="12"/>
  <c r="IP55" i="12"/>
  <c r="IQ55" i="12"/>
  <c r="IR55" i="12"/>
  <c r="IS55" i="12"/>
  <c r="IT55" i="12"/>
  <c r="IU55" i="12"/>
  <c r="IV55" i="12"/>
  <c r="F56" i="12"/>
  <c r="G56" i="12"/>
  <c r="H56" i="12"/>
  <c r="I56" i="12"/>
  <c r="J56" i="12"/>
  <c r="K56" i="12"/>
  <c r="L56" i="12"/>
  <c r="M56" i="12"/>
  <c r="N56" i="12"/>
  <c r="O56" i="12"/>
  <c r="P56" i="12"/>
  <c r="Q56" i="12"/>
  <c r="R56" i="12"/>
  <c r="S56" i="12"/>
  <c r="T56" i="12"/>
  <c r="U56" i="12"/>
  <c r="V56" i="12"/>
  <c r="W56" i="12"/>
  <c r="X56" i="12"/>
  <c r="Y56" i="12"/>
  <c r="Z56" i="12"/>
  <c r="AA56" i="12"/>
  <c r="AB56" i="12"/>
  <c r="AC56" i="12"/>
  <c r="AD56" i="12"/>
  <c r="AE56" i="12"/>
  <c r="AF56" i="12"/>
  <c r="AG56" i="12"/>
  <c r="AH56" i="12"/>
  <c r="AI56" i="12"/>
  <c r="AJ56" i="12"/>
  <c r="AK56" i="12"/>
  <c r="AL56" i="12"/>
  <c r="AM56" i="12"/>
  <c r="AN56" i="12"/>
  <c r="AO56" i="12"/>
  <c r="AP56" i="12"/>
  <c r="AQ56" i="12"/>
  <c r="AR56" i="12"/>
  <c r="AS56" i="12"/>
  <c r="AT56" i="12"/>
  <c r="AU56" i="12"/>
  <c r="AV56" i="12"/>
  <c r="AW56" i="12"/>
  <c r="AX56" i="12"/>
  <c r="AY56" i="12"/>
  <c r="AZ56" i="12"/>
  <c r="BA56" i="12"/>
  <c r="BB56" i="12"/>
  <c r="BC56" i="12"/>
  <c r="BD56" i="12"/>
  <c r="BE56" i="12"/>
  <c r="BF56" i="12"/>
  <c r="BG56" i="12"/>
  <c r="BH56" i="12"/>
  <c r="BI56" i="12"/>
  <c r="BJ56" i="12"/>
  <c r="BK56" i="12"/>
  <c r="BL56" i="12"/>
  <c r="BM56" i="12"/>
  <c r="BN56" i="12"/>
  <c r="BO56" i="12"/>
  <c r="BP56" i="12"/>
  <c r="BQ56" i="12"/>
  <c r="BR56" i="12"/>
  <c r="BS56" i="12"/>
  <c r="BT56" i="12"/>
  <c r="BU56" i="12"/>
  <c r="BV56" i="12"/>
  <c r="BW56" i="12"/>
  <c r="BX56" i="12"/>
  <c r="BY56" i="12"/>
  <c r="BZ56" i="12"/>
  <c r="CA56" i="12"/>
  <c r="CB56" i="12"/>
  <c r="CC56" i="12"/>
  <c r="CD56" i="12"/>
  <c r="CE56" i="12"/>
  <c r="CF56" i="12"/>
  <c r="CG56" i="12"/>
  <c r="CH56" i="12"/>
  <c r="CI56" i="12"/>
  <c r="CJ56" i="12"/>
  <c r="CK56" i="12"/>
  <c r="CL56" i="12"/>
  <c r="CM56" i="12"/>
  <c r="CN56" i="12"/>
  <c r="CO56" i="12"/>
  <c r="CP56" i="12"/>
  <c r="CQ56" i="12"/>
  <c r="CR56" i="12"/>
  <c r="CS56" i="12"/>
  <c r="CT56" i="12"/>
  <c r="CU56" i="12"/>
  <c r="CV56" i="12"/>
  <c r="CW56" i="12"/>
  <c r="CX56" i="12"/>
  <c r="CY56" i="12"/>
  <c r="CZ56" i="12"/>
  <c r="DA56" i="12"/>
  <c r="DB56" i="12"/>
  <c r="DC56" i="12"/>
  <c r="DD56" i="12"/>
  <c r="DE56" i="12"/>
  <c r="DF56" i="12"/>
  <c r="DG56" i="12"/>
  <c r="DH56" i="12"/>
  <c r="DI56" i="12"/>
  <c r="DJ56" i="12"/>
  <c r="DK56" i="12"/>
  <c r="DL56" i="12"/>
  <c r="DM56" i="12"/>
  <c r="DN56" i="12"/>
  <c r="DO56" i="12"/>
  <c r="DP56" i="12"/>
  <c r="DQ56" i="12"/>
  <c r="DR56" i="12"/>
  <c r="DS56" i="12"/>
  <c r="DT56" i="12"/>
  <c r="DU56" i="12"/>
  <c r="DV56" i="12"/>
  <c r="DW56" i="12"/>
  <c r="DX56" i="12"/>
  <c r="DY56" i="12"/>
  <c r="DZ56" i="12"/>
  <c r="EA56" i="12"/>
  <c r="EB56" i="12"/>
  <c r="EC56" i="12"/>
  <c r="ED56" i="12"/>
  <c r="EE56" i="12"/>
  <c r="EF56" i="12"/>
  <c r="EG56" i="12"/>
  <c r="EH56" i="12"/>
  <c r="EI56" i="12"/>
  <c r="EJ56" i="12"/>
  <c r="EK56" i="12"/>
  <c r="EL56" i="12"/>
  <c r="EM56" i="12"/>
  <c r="EN56" i="12"/>
  <c r="EO56" i="12"/>
  <c r="EP56" i="12"/>
  <c r="EQ56" i="12"/>
  <c r="ER56" i="12"/>
  <c r="ES56" i="12"/>
  <c r="ET56" i="12"/>
  <c r="EU56" i="12"/>
  <c r="EV56" i="12"/>
  <c r="EW56" i="12"/>
  <c r="EX56" i="12"/>
  <c r="EY56" i="12"/>
  <c r="EZ56" i="12"/>
  <c r="FA56" i="12"/>
  <c r="FB56" i="12"/>
  <c r="FC56" i="12"/>
  <c r="FD56" i="12"/>
  <c r="FE56" i="12"/>
  <c r="FF56" i="12"/>
  <c r="FG56" i="12"/>
  <c r="FH56" i="12"/>
  <c r="FI56" i="12"/>
  <c r="FJ56" i="12"/>
  <c r="FK56" i="12"/>
  <c r="FL56" i="12"/>
  <c r="FM56" i="12"/>
  <c r="FN56" i="12"/>
  <c r="FO56" i="12"/>
  <c r="FP56" i="12"/>
  <c r="FQ56" i="12"/>
  <c r="FR56" i="12"/>
  <c r="FS56" i="12"/>
  <c r="FT56" i="12"/>
  <c r="FU56" i="12"/>
  <c r="FV56" i="12"/>
  <c r="FW56" i="12"/>
  <c r="FX56" i="12"/>
  <c r="FY56" i="12"/>
  <c r="FZ56" i="12"/>
  <c r="GA56" i="12"/>
  <c r="GB56" i="12"/>
  <c r="GC56" i="12"/>
  <c r="GD56" i="12"/>
  <c r="GE56" i="12"/>
  <c r="GF56" i="12"/>
  <c r="GG56" i="12"/>
  <c r="GH56" i="12"/>
  <c r="GI56" i="12"/>
  <c r="GJ56" i="12"/>
  <c r="GK56" i="12"/>
  <c r="GL56" i="12"/>
  <c r="GM56" i="12"/>
  <c r="GN56" i="12"/>
  <c r="GO56" i="12"/>
  <c r="GP56" i="12"/>
  <c r="GQ56" i="12"/>
  <c r="GR56" i="12"/>
  <c r="GS56" i="12"/>
  <c r="GT56" i="12"/>
  <c r="GU56" i="12"/>
  <c r="GV56" i="12"/>
  <c r="GW56" i="12"/>
  <c r="GX56" i="12"/>
  <c r="GY56" i="12"/>
  <c r="GZ56" i="12"/>
  <c r="HA56" i="12"/>
  <c r="HB56" i="12"/>
  <c r="HC56" i="12"/>
  <c r="HD56" i="12"/>
  <c r="HE56" i="12"/>
  <c r="HF56" i="12"/>
  <c r="HG56" i="12"/>
  <c r="HH56" i="12"/>
  <c r="HI56" i="12"/>
  <c r="HJ56" i="12"/>
  <c r="HK56" i="12"/>
  <c r="HL56" i="12"/>
  <c r="HM56" i="12"/>
  <c r="HN56" i="12"/>
  <c r="HO56" i="12"/>
  <c r="HP56" i="12"/>
  <c r="HQ56" i="12"/>
  <c r="HR56" i="12"/>
  <c r="HS56" i="12"/>
  <c r="HT56" i="12"/>
  <c r="HU56" i="12"/>
  <c r="HV56" i="12"/>
  <c r="HW56" i="12"/>
  <c r="HX56" i="12"/>
  <c r="HY56" i="12"/>
  <c r="HZ56" i="12"/>
  <c r="IA56" i="12"/>
  <c r="IB56" i="12"/>
  <c r="IC56" i="12"/>
  <c r="ID56" i="12"/>
  <c r="IE56" i="12"/>
  <c r="IF56" i="12"/>
  <c r="IG56" i="12"/>
  <c r="IH56" i="12"/>
  <c r="II56" i="12"/>
  <c r="IJ56" i="12"/>
  <c r="IK56" i="12"/>
  <c r="IL56" i="12"/>
  <c r="IM56" i="12"/>
  <c r="IN56" i="12"/>
  <c r="IO56" i="12"/>
  <c r="IP56" i="12"/>
  <c r="IQ56" i="12"/>
  <c r="IR56" i="12"/>
  <c r="IS56" i="12"/>
  <c r="IT56" i="12"/>
  <c r="IU56" i="12"/>
  <c r="IV56" i="12"/>
  <c r="F57" i="12"/>
  <c r="G57" i="12"/>
  <c r="H57" i="12"/>
  <c r="I57" i="12"/>
  <c r="J57" i="12"/>
  <c r="K57" i="12"/>
  <c r="L57" i="12"/>
  <c r="M57" i="12"/>
  <c r="N57" i="12"/>
  <c r="O57" i="12"/>
  <c r="P57" i="12"/>
  <c r="Q57" i="12"/>
  <c r="R57" i="12"/>
  <c r="S57" i="12"/>
  <c r="T57" i="12"/>
  <c r="U57" i="12"/>
  <c r="V57" i="12"/>
  <c r="W57" i="12"/>
  <c r="X57" i="12"/>
  <c r="Y57" i="12"/>
  <c r="Z57" i="12"/>
  <c r="AA57" i="12"/>
  <c r="AB57" i="12"/>
  <c r="AC57" i="12"/>
  <c r="AD57" i="12"/>
  <c r="AE57" i="12"/>
  <c r="AF57" i="12"/>
  <c r="AG57" i="12"/>
  <c r="AH57" i="12"/>
  <c r="AI57" i="12"/>
  <c r="AJ57" i="12"/>
  <c r="AK57" i="12"/>
  <c r="AL57" i="12"/>
  <c r="AM57" i="12"/>
  <c r="AN57" i="12"/>
  <c r="AO57" i="12"/>
  <c r="AP57" i="12"/>
  <c r="AQ57" i="12"/>
  <c r="AR57" i="12"/>
  <c r="AS57" i="12"/>
  <c r="AT57" i="12"/>
  <c r="AU57" i="12"/>
  <c r="AV57" i="12"/>
  <c r="AW57" i="12"/>
  <c r="AX57" i="12"/>
  <c r="AY57" i="12"/>
  <c r="AZ57" i="12"/>
  <c r="BA57" i="12"/>
  <c r="BB57" i="12"/>
  <c r="BC57" i="12"/>
  <c r="BD57" i="12"/>
  <c r="BE57" i="12"/>
  <c r="BF57" i="12"/>
  <c r="BG57" i="12"/>
  <c r="BH57" i="12"/>
  <c r="BI57" i="12"/>
  <c r="BJ57" i="12"/>
  <c r="BK57" i="12"/>
  <c r="BL57" i="12"/>
  <c r="BM57" i="12"/>
  <c r="BN57" i="12"/>
  <c r="BO57" i="12"/>
  <c r="BP57" i="12"/>
  <c r="BQ57" i="12"/>
  <c r="BR57" i="12"/>
  <c r="BS57" i="12"/>
  <c r="BT57" i="12"/>
  <c r="BU57" i="12"/>
  <c r="BV57" i="12"/>
  <c r="BW57" i="12"/>
  <c r="BX57" i="12"/>
  <c r="BY57" i="12"/>
  <c r="BZ57" i="12"/>
  <c r="CA57" i="12"/>
  <c r="CB57" i="12"/>
  <c r="CC57" i="12"/>
  <c r="CD57" i="12"/>
  <c r="CE57" i="12"/>
  <c r="CF57" i="12"/>
  <c r="CG57" i="12"/>
  <c r="CH57" i="12"/>
  <c r="CI57" i="12"/>
  <c r="CJ57" i="12"/>
  <c r="CK57" i="12"/>
  <c r="CL57" i="12"/>
  <c r="CM57" i="12"/>
  <c r="CN57" i="12"/>
  <c r="CO57" i="12"/>
  <c r="CP57" i="12"/>
  <c r="CQ57" i="12"/>
  <c r="CR57" i="12"/>
  <c r="CS57" i="12"/>
  <c r="CT57" i="12"/>
  <c r="CU57" i="12"/>
  <c r="CV57" i="12"/>
  <c r="CW57" i="12"/>
  <c r="CX57" i="12"/>
  <c r="CY57" i="12"/>
  <c r="CZ57" i="12"/>
  <c r="DA57" i="12"/>
  <c r="DB57" i="12"/>
  <c r="DC57" i="12"/>
  <c r="DD57" i="12"/>
  <c r="DE57" i="12"/>
  <c r="DF57" i="12"/>
  <c r="DG57" i="12"/>
  <c r="DH57" i="12"/>
  <c r="DI57" i="12"/>
  <c r="DJ57" i="12"/>
  <c r="DK57" i="12"/>
  <c r="DL57" i="12"/>
  <c r="DM57" i="12"/>
  <c r="DN57" i="12"/>
  <c r="DO57" i="12"/>
  <c r="DP57" i="12"/>
  <c r="DQ57" i="12"/>
  <c r="DR57" i="12"/>
  <c r="DS57" i="12"/>
  <c r="DT57" i="12"/>
  <c r="DU57" i="12"/>
  <c r="DV57" i="12"/>
  <c r="DW57" i="12"/>
  <c r="DX57" i="12"/>
  <c r="DY57" i="12"/>
  <c r="DZ57" i="12"/>
  <c r="EA57" i="12"/>
  <c r="EB57" i="12"/>
  <c r="EC57" i="12"/>
  <c r="ED57" i="12"/>
  <c r="EE57" i="12"/>
  <c r="EF57" i="12"/>
  <c r="EG57" i="12"/>
  <c r="EH57" i="12"/>
  <c r="EI57" i="12"/>
  <c r="EJ57" i="12"/>
  <c r="EK57" i="12"/>
  <c r="EL57" i="12"/>
  <c r="EM57" i="12"/>
  <c r="EN57" i="12"/>
  <c r="EO57" i="12"/>
  <c r="EP57" i="12"/>
  <c r="EQ57" i="12"/>
  <c r="ER57" i="12"/>
  <c r="ES57" i="12"/>
  <c r="ET57" i="12"/>
  <c r="EU57" i="12"/>
  <c r="EV57" i="12"/>
  <c r="EW57" i="12"/>
  <c r="EX57" i="12"/>
  <c r="EY57" i="12"/>
  <c r="EZ57" i="12"/>
  <c r="FA57" i="12"/>
  <c r="FB57" i="12"/>
  <c r="FC57" i="12"/>
  <c r="FD57" i="12"/>
  <c r="FE57" i="12"/>
  <c r="FF57" i="12"/>
  <c r="FG57" i="12"/>
  <c r="FH57" i="12"/>
  <c r="FI57" i="12"/>
  <c r="FJ57" i="12"/>
  <c r="FK57" i="12"/>
  <c r="FL57" i="12"/>
  <c r="FM57" i="12"/>
  <c r="FN57" i="12"/>
  <c r="FO57" i="12"/>
  <c r="FP57" i="12"/>
  <c r="FQ57" i="12"/>
  <c r="FR57" i="12"/>
  <c r="FS57" i="12"/>
  <c r="FT57" i="12"/>
  <c r="FU57" i="12"/>
  <c r="FV57" i="12"/>
  <c r="FW57" i="12"/>
  <c r="FX57" i="12"/>
  <c r="FY57" i="12"/>
  <c r="FZ57" i="12"/>
  <c r="GA57" i="12"/>
  <c r="GB57" i="12"/>
  <c r="GC57" i="12"/>
  <c r="GD57" i="12"/>
  <c r="GE57" i="12"/>
  <c r="GF57" i="12"/>
  <c r="GG57" i="12"/>
  <c r="GH57" i="12"/>
  <c r="GI57" i="12"/>
  <c r="GJ57" i="12"/>
  <c r="GK57" i="12"/>
  <c r="GL57" i="12"/>
  <c r="GM57" i="12"/>
  <c r="GN57" i="12"/>
  <c r="GO57" i="12"/>
  <c r="GP57" i="12"/>
  <c r="GQ57" i="12"/>
  <c r="GR57" i="12"/>
  <c r="GS57" i="12"/>
  <c r="GT57" i="12"/>
  <c r="GU57" i="12"/>
  <c r="GV57" i="12"/>
  <c r="GW57" i="12"/>
  <c r="GX57" i="12"/>
  <c r="GY57" i="12"/>
  <c r="GZ57" i="12"/>
  <c r="HA57" i="12"/>
  <c r="HB57" i="12"/>
  <c r="HC57" i="12"/>
  <c r="HD57" i="12"/>
  <c r="HE57" i="12"/>
  <c r="HF57" i="12"/>
  <c r="HG57" i="12"/>
  <c r="HH57" i="12"/>
  <c r="HI57" i="12"/>
  <c r="HJ57" i="12"/>
  <c r="HK57" i="12"/>
  <c r="HL57" i="12"/>
  <c r="HM57" i="12"/>
  <c r="HN57" i="12"/>
  <c r="HO57" i="12"/>
  <c r="HP57" i="12"/>
  <c r="HQ57" i="12"/>
  <c r="HR57" i="12"/>
  <c r="HS57" i="12"/>
  <c r="HT57" i="12"/>
  <c r="HU57" i="12"/>
  <c r="HV57" i="12"/>
  <c r="HW57" i="12"/>
  <c r="HX57" i="12"/>
  <c r="HY57" i="12"/>
  <c r="HZ57" i="12"/>
  <c r="IA57" i="12"/>
  <c r="IB57" i="12"/>
  <c r="IC57" i="12"/>
  <c r="ID57" i="12"/>
  <c r="IE57" i="12"/>
  <c r="IF57" i="12"/>
  <c r="IG57" i="12"/>
  <c r="IH57" i="12"/>
  <c r="II57" i="12"/>
  <c r="IJ57" i="12"/>
  <c r="IK57" i="12"/>
  <c r="IL57" i="12"/>
  <c r="IM57" i="12"/>
  <c r="IN57" i="12"/>
  <c r="IO57" i="12"/>
  <c r="IP57" i="12"/>
  <c r="IQ57" i="12"/>
  <c r="IR57" i="12"/>
  <c r="IS57" i="12"/>
  <c r="IT57" i="12"/>
  <c r="IU57" i="12"/>
  <c r="IV57" i="12"/>
  <c r="F58" i="12"/>
  <c r="G58" i="12"/>
  <c r="H58" i="12"/>
  <c r="I58" i="12"/>
  <c r="J58" i="12"/>
  <c r="K58" i="12"/>
  <c r="L58" i="12"/>
  <c r="M58" i="12"/>
  <c r="N58" i="12"/>
  <c r="O58" i="12"/>
  <c r="P58" i="12"/>
  <c r="Q58" i="12"/>
  <c r="R58" i="12"/>
  <c r="S58" i="12"/>
  <c r="T58" i="12"/>
  <c r="U58" i="12"/>
  <c r="V58" i="12"/>
  <c r="W58" i="12"/>
  <c r="X58" i="12"/>
  <c r="Y58" i="12"/>
  <c r="Z58" i="12"/>
  <c r="AA58" i="12"/>
  <c r="AB58" i="12"/>
  <c r="AC58" i="12"/>
  <c r="AD58" i="12"/>
  <c r="AE58" i="12"/>
  <c r="AF58" i="12"/>
  <c r="AG58" i="12"/>
  <c r="AH58" i="12"/>
  <c r="AI58" i="12"/>
  <c r="AJ58" i="12"/>
  <c r="AK58" i="12"/>
  <c r="AL58" i="12"/>
  <c r="AM58" i="12"/>
  <c r="AN58" i="12"/>
  <c r="AO58" i="12"/>
  <c r="AP58" i="12"/>
  <c r="AQ58" i="12"/>
  <c r="AR58" i="12"/>
  <c r="AS58" i="12"/>
  <c r="AT58" i="12"/>
  <c r="AU58" i="12"/>
  <c r="AV58" i="12"/>
  <c r="AW58" i="12"/>
  <c r="AX58" i="12"/>
  <c r="AY58" i="12"/>
  <c r="AZ58" i="12"/>
  <c r="BA58" i="12"/>
  <c r="BB58" i="12"/>
  <c r="BC58" i="12"/>
  <c r="BD58" i="12"/>
  <c r="BE58" i="12"/>
  <c r="BF58" i="12"/>
  <c r="BG58" i="12"/>
  <c r="BH58" i="12"/>
  <c r="BI58" i="12"/>
  <c r="BJ58" i="12"/>
  <c r="BK58" i="12"/>
  <c r="BL58" i="12"/>
  <c r="BM58" i="12"/>
  <c r="BN58" i="12"/>
  <c r="BO58" i="12"/>
  <c r="BP58" i="12"/>
  <c r="BQ58" i="12"/>
  <c r="BR58" i="12"/>
  <c r="BS58" i="12"/>
  <c r="BT58" i="12"/>
  <c r="BU58" i="12"/>
  <c r="BV58" i="12"/>
  <c r="BW58" i="12"/>
  <c r="BX58" i="12"/>
  <c r="BY58" i="12"/>
  <c r="BZ58" i="12"/>
  <c r="CA58" i="12"/>
  <c r="CB58" i="12"/>
  <c r="CC58" i="12"/>
  <c r="CD58" i="12"/>
  <c r="CE58" i="12"/>
  <c r="CF58" i="12"/>
  <c r="CG58" i="12"/>
  <c r="CH58" i="12"/>
  <c r="CI58" i="12"/>
  <c r="CJ58" i="12"/>
  <c r="CK58" i="12"/>
  <c r="CL58" i="12"/>
  <c r="CM58" i="12"/>
  <c r="CN58" i="12"/>
  <c r="CO58" i="12"/>
  <c r="CP58" i="12"/>
  <c r="CQ58" i="12"/>
  <c r="CR58" i="12"/>
  <c r="CS58" i="12"/>
  <c r="CT58" i="12"/>
  <c r="CU58" i="12"/>
  <c r="CV58" i="12"/>
  <c r="CW58" i="12"/>
  <c r="CX58" i="12"/>
  <c r="CY58" i="12"/>
  <c r="CZ58" i="12"/>
  <c r="DA58" i="12"/>
  <c r="DB58" i="12"/>
  <c r="DC58" i="12"/>
  <c r="DD58" i="12"/>
  <c r="DE58" i="12"/>
  <c r="DF58" i="12"/>
  <c r="DG58" i="12"/>
  <c r="DH58" i="12"/>
  <c r="DI58" i="12"/>
  <c r="DJ58" i="12"/>
  <c r="DK58" i="12"/>
  <c r="DL58" i="12"/>
  <c r="DM58" i="12"/>
  <c r="DN58" i="12"/>
  <c r="DO58" i="12"/>
  <c r="DP58" i="12"/>
  <c r="DQ58" i="12"/>
  <c r="DR58" i="12"/>
  <c r="DS58" i="12"/>
  <c r="DT58" i="12"/>
  <c r="DU58" i="12"/>
  <c r="DV58" i="12"/>
  <c r="DW58" i="12"/>
  <c r="DX58" i="12"/>
  <c r="DY58" i="12"/>
  <c r="DZ58" i="12"/>
  <c r="EA58" i="12"/>
  <c r="EB58" i="12"/>
  <c r="EC58" i="12"/>
  <c r="ED58" i="12"/>
  <c r="EE58" i="12"/>
  <c r="EF58" i="12"/>
  <c r="EG58" i="12"/>
  <c r="EH58" i="12"/>
  <c r="EI58" i="12"/>
  <c r="EJ58" i="12"/>
  <c r="EK58" i="12"/>
  <c r="EL58" i="12"/>
  <c r="EM58" i="12"/>
  <c r="EN58" i="12"/>
  <c r="EO58" i="12"/>
  <c r="EP58" i="12"/>
  <c r="EQ58" i="12"/>
  <c r="ER58" i="12"/>
  <c r="ES58" i="12"/>
  <c r="ET58" i="12"/>
  <c r="EU58" i="12"/>
  <c r="EV58" i="12"/>
  <c r="EW58" i="12"/>
  <c r="EX58" i="12"/>
  <c r="EY58" i="12"/>
  <c r="EZ58" i="12"/>
  <c r="FA58" i="12"/>
  <c r="FB58" i="12"/>
  <c r="FC58" i="12"/>
  <c r="FD58" i="12"/>
  <c r="FE58" i="12"/>
  <c r="FF58" i="12"/>
  <c r="FG58" i="12"/>
  <c r="FH58" i="12"/>
  <c r="FI58" i="12"/>
  <c r="FJ58" i="12"/>
  <c r="FK58" i="12"/>
  <c r="FL58" i="12"/>
  <c r="FM58" i="12"/>
  <c r="FN58" i="12"/>
  <c r="FO58" i="12"/>
  <c r="FP58" i="12"/>
  <c r="FQ58" i="12"/>
  <c r="FR58" i="12"/>
  <c r="FS58" i="12"/>
  <c r="FT58" i="12"/>
  <c r="FU58" i="12"/>
  <c r="FV58" i="12"/>
  <c r="FW58" i="12"/>
  <c r="FX58" i="12"/>
  <c r="FY58" i="12"/>
  <c r="FZ58" i="12"/>
  <c r="GA58" i="12"/>
  <c r="GB58" i="12"/>
  <c r="GC58" i="12"/>
  <c r="GD58" i="12"/>
  <c r="GE58" i="12"/>
  <c r="GF58" i="12"/>
  <c r="GG58" i="12"/>
  <c r="GH58" i="12"/>
  <c r="GI58" i="12"/>
  <c r="GJ58" i="12"/>
  <c r="GK58" i="12"/>
  <c r="GL58" i="12"/>
  <c r="GM58" i="12"/>
  <c r="GN58" i="12"/>
  <c r="GO58" i="12"/>
  <c r="GP58" i="12"/>
  <c r="GQ58" i="12"/>
  <c r="GR58" i="12"/>
  <c r="GS58" i="12"/>
  <c r="GT58" i="12"/>
  <c r="GU58" i="12"/>
  <c r="GV58" i="12"/>
  <c r="GW58" i="12"/>
  <c r="GX58" i="12"/>
  <c r="GY58" i="12"/>
  <c r="GZ58" i="12"/>
  <c r="HA58" i="12"/>
  <c r="HB58" i="12"/>
  <c r="HC58" i="12"/>
  <c r="HD58" i="12"/>
  <c r="HE58" i="12"/>
  <c r="HF58" i="12"/>
  <c r="HG58" i="12"/>
  <c r="HH58" i="12"/>
  <c r="HI58" i="12"/>
  <c r="HJ58" i="12"/>
  <c r="HK58" i="12"/>
  <c r="HL58" i="12"/>
  <c r="HM58" i="12"/>
  <c r="HN58" i="12"/>
  <c r="HO58" i="12"/>
  <c r="HP58" i="12"/>
  <c r="HQ58" i="12"/>
  <c r="HR58" i="12"/>
  <c r="HS58" i="12"/>
  <c r="HT58" i="12"/>
  <c r="HU58" i="12"/>
  <c r="HV58" i="12"/>
  <c r="HW58" i="12"/>
  <c r="HX58" i="12"/>
  <c r="HY58" i="12"/>
  <c r="HZ58" i="12"/>
  <c r="IA58" i="12"/>
  <c r="IB58" i="12"/>
  <c r="IC58" i="12"/>
  <c r="ID58" i="12"/>
  <c r="IE58" i="12"/>
  <c r="IF58" i="12"/>
  <c r="IG58" i="12"/>
  <c r="IH58" i="12"/>
  <c r="II58" i="12"/>
  <c r="IJ58" i="12"/>
  <c r="IK58" i="12"/>
  <c r="IL58" i="12"/>
  <c r="IM58" i="12"/>
  <c r="IN58" i="12"/>
  <c r="IO58" i="12"/>
  <c r="IP58" i="12"/>
  <c r="IQ58" i="12"/>
  <c r="IR58" i="12"/>
  <c r="IS58" i="12"/>
  <c r="IT58" i="12"/>
  <c r="IU58" i="12"/>
  <c r="IV58" i="12"/>
  <c r="F59" i="12"/>
  <c r="G59" i="12"/>
  <c r="H59" i="12"/>
  <c r="I59" i="12"/>
  <c r="J59" i="12"/>
  <c r="K59" i="12"/>
  <c r="L59" i="12"/>
  <c r="M59" i="12"/>
  <c r="N59" i="12"/>
  <c r="O59" i="12"/>
  <c r="P59" i="12"/>
  <c r="Q59" i="12"/>
  <c r="R59" i="12"/>
  <c r="S59" i="12"/>
  <c r="T59" i="12"/>
  <c r="U59" i="12"/>
  <c r="V59" i="12"/>
  <c r="W59" i="12"/>
  <c r="X59" i="12"/>
  <c r="Y59" i="12"/>
  <c r="Z59" i="12"/>
  <c r="AA59" i="12"/>
  <c r="AB59" i="12"/>
  <c r="AC59" i="12"/>
  <c r="AD59" i="12"/>
  <c r="AE59" i="12"/>
  <c r="AF59" i="12"/>
  <c r="AG59" i="12"/>
  <c r="AH59" i="12"/>
  <c r="AI59" i="12"/>
  <c r="AJ59" i="12"/>
  <c r="AK59" i="12"/>
  <c r="AL59" i="12"/>
  <c r="AM59" i="12"/>
  <c r="AN59" i="12"/>
  <c r="AO59" i="12"/>
  <c r="AP59" i="12"/>
  <c r="AQ59" i="12"/>
  <c r="AR59" i="12"/>
  <c r="AS59" i="12"/>
  <c r="AT59" i="12"/>
  <c r="AU59" i="12"/>
  <c r="AV59" i="12"/>
  <c r="AW59" i="12"/>
  <c r="AX59" i="12"/>
  <c r="AY59" i="12"/>
  <c r="AZ59" i="12"/>
  <c r="BA59" i="12"/>
  <c r="BB59" i="12"/>
  <c r="BC59" i="12"/>
  <c r="BD59" i="12"/>
  <c r="BE59" i="12"/>
  <c r="BF59" i="12"/>
  <c r="BG59" i="12"/>
  <c r="BH59" i="12"/>
  <c r="BI59" i="12"/>
  <c r="BJ59" i="12"/>
  <c r="BK59" i="12"/>
  <c r="BL59" i="12"/>
  <c r="BM59" i="12"/>
  <c r="BN59" i="12"/>
  <c r="BO59" i="12"/>
  <c r="BP59" i="12"/>
  <c r="BQ59" i="12"/>
  <c r="BR59" i="12"/>
  <c r="BS59" i="12"/>
  <c r="BT59" i="12"/>
  <c r="BU59" i="12"/>
  <c r="BV59" i="12"/>
  <c r="BW59" i="12"/>
  <c r="BX59" i="12"/>
  <c r="BY59" i="12"/>
  <c r="BZ59" i="12"/>
  <c r="CA59" i="12"/>
  <c r="CB59" i="12"/>
  <c r="CC59" i="12"/>
  <c r="CD59" i="12"/>
  <c r="CE59" i="12"/>
  <c r="CF59" i="12"/>
  <c r="CG59" i="12"/>
  <c r="CH59" i="12"/>
  <c r="CI59" i="12"/>
  <c r="CJ59" i="12"/>
  <c r="CK59" i="12"/>
  <c r="CL59" i="12"/>
  <c r="CM59" i="12"/>
  <c r="CN59" i="12"/>
  <c r="CO59" i="12"/>
  <c r="CP59" i="12"/>
  <c r="CQ59" i="12"/>
  <c r="CR59" i="12"/>
  <c r="CS59" i="12"/>
  <c r="CT59" i="12"/>
  <c r="CU59" i="12"/>
  <c r="CV59" i="12"/>
  <c r="CW59" i="12"/>
  <c r="CX59" i="12"/>
  <c r="CY59" i="12"/>
  <c r="CZ59" i="12"/>
  <c r="DA59" i="12"/>
  <c r="DB59" i="12"/>
  <c r="DC59" i="12"/>
  <c r="DD59" i="12"/>
  <c r="DE59" i="12"/>
  <c r="DF59" i="12"/>
  <c r="DG59" i="12"/>
  <c r="DH59" i="12"/>
  <c r="DI59" i="12"/>
  <c r="DJ59" i="12"/>
  <c r="DK59" i="12"/>
  <c r="DL59" i="12"/>
  <c r="DM59" i="12"/>
  <c r="DN59" i="12"/>
  <c r="DO59" i="12"/>
  <c r="DP59" i="12"/>
  <c r="DQ59" i="12"/>
  <c r="DR59" i="12"/>
  <c r="DS59" i="12"/>
  <c r="DT59" i="12"/>
  <c r="DU59" i="12"/>
  <c r="DV59" i="12"/>
  <c r="DW59" i="12"/>
  <c r="DX59" i="12"/>
  <c r="DY59" i="12"/>
  <c r="DZ59" i="12"/>
  <c r="EA59" i="12"/>
  <c r="EB59" i="12"/>
  <c r="EC59" i="12"/>
  <c r="ED59" i="12"/>
  <c r="EE59" i="12"/>
  <c r="EF59" i="12"/>
  <c r="EG59" i="12"/>
  <c r="EH59" i="12"/>
  <c r="EI59" i="12"/>
  <c r="EJ59" i="12"/>
  <c r="EK59" i="12"/>
  <c r="EL59" i="12"/>
  <c r="EM59" i="12"/>
  <c r="EN59" i="12"/>
  <c r="EO59" i="12"/>
  <c r="EP59" i="12"/>
  <c r="EQ59" i="12"/>
  <c r="ER59" i="12"/>
  <c r="ES59" i="12"/>
  <c r="ET59" i="12"/>
  <c r="EU59" i="12"/>
  <c r="EV59" i="12"/>
  <c r="EW59" i="12"/>
  <c r="EX59" i="12"/>
  <c r="EY59" i="12"/>
  <c r="EZ59" i="12"/>
  <c r="FA59" i="12"/>
  <c r="FB59" i="12"/>
  <c r="FC59" i="12"/>
  <c r="FD59" i="12"/>
  <c r="FE59" i="12"/>
  <c r="FF59" i="12"/>
  <c r="FG59" i="12"/>
  <c r="FH59" i="12"/>
  <c r="FI59" i="12"/>
  <c r="FJ59" i="12"/>
  <c r="FK59" i="12"/>
  <c r="FL59" i="12"/>
  <c r="FM59" i="12"/>
  <c r="FN59" i="12"/>
  <c r="FO59" i="12"/>
  <c r="FP59" i="12"/>
  <c r="FQ59" i="12"/>
  <c r="FR59" i="12"/>
  <c r="FS59" i="12"/>
  <c r="FT59" i="12"/>
  <c r="FU59" i="12"/>
  <c r="FV59" i="12"/>
  <c r="FW59" i="12"/>
  <c r="FX59" i="12"/>
  <c r="FY59" i="12"/>
  <c r="FZ59" i="12"/>
  <c r="GA59" i="12"/>
  <c r="GB59" i="12"/>
  <c r="GC59" i="12"/>
  <c r="GD59" i="12"/>
  <c r="GE59" i="12"/>
  <c r="GF59" i="12"/>
  <c r="GG59" i="12"/>
  <c r="GH59" i="12"/>
  <c r="GI59" i="12"/>
  <c r="GJ59" i="12"/>
  <c r="GK59" i="12"/>
  <c r="GL59" i="12"/>
  <c r="GM59" i="12"/>
  <c r="GN59" i="12"/>
  <c r="GO59" i="12"/>
  <c r="GP59" i="12"/>
  <c r="GQ59" i="12"/>
  <c r="GR59" i="12"/>
  <c r="GS59" i="12"/>
  <c r="GT59" i="12"/>
  <c r="GU59" i="12"/>
  <c r="GV59" i="12"/>
  <c r="GW59" i="12"/>
  <c r="GX59" i="12"/>
  <c r="GY59" i="12"/>
  <c r="GZ59" i="12"/>
  <c r="HA59" i="12"/>
  <c r="HB59" i="12"/>
  <c r="HC59" i="12"/>
  <c r="HD59" i="12"/>
  <c r="HE59" i="12"/>
  <c r="HF59" i="12"/>
  <c r="HG59" i="12"/>
  <c r="HH59" i="12"/>
  <c r="HI59" i="12"/>
  <c r="HJ59" i="12"/>
  <c r="HK59" i="12"/>
  <c r="HL59" i="12"/>
  <c r="HM59" i="12"/>
  <c r="HN59" i="12"/>
  <c r="HO59" i="12"/>
  <c r="HP59" i="12"/>
  <c r="HQ59" i="12"/>
  <c r="HR59" i="12"/>
  <c r="HS59" i="12"/>
  <c r="HT59" i="12"/>
  <c r="HU59" i="12"/>
  <c r="HV59" i="12"/>
  <c r="HW59" i="12"/>
  <c r="HX59" i="12"/>
  <c r="HY59" i="12"/>
  <c r="HZ59" i="12"/>
  <c r="IA59" i="12"/>
  <c r="IB59" i="12"/>
  <c r="IC59" i="12"/>
  <c r="ID59" i="12"/>
  <c r="IE59" i="12"/>
  <c r="IF59" i="12"/>
  <c r="IG59" i="12"/>
  <c r="IH59" i="12"/>
  <c r="II59" i="12"/>
  <c r="IJ59" i="12"/>
  <c r="IK59" i="12"/>
  <c r="IL59" i="12"/>
  <c r="IM59" i="12"/>
  <c r="IN59" i="12"/>
  <c r="IO59" i="12"/>
  <c r="IP59" i="12"/>
  <c r="IQ59" i="12"/>
  <c r="IR59" i="12"/>
  <c r="IS59" i="12"/>
  <c r="IT59" i="12"/>
  <c r="IU59" i="12"/>
  <c r="IV59" i="12"/>
  <c r="F60" i="12"/>
  <c r="G60" i="12"/>
  <c r="H60" i="12"/>
  <c r="I60" i="12"/>
  <c r="J60" i="12"/>
  <c r="K60" i="12"/>
  <c r="L60" i="12"/>
  <c r="M60" i="12"/>
  <c r="N60" i="12"/>
  <c r="O60" i="12"/>
  <c r="P60" i="12"/>
  <c r="Q60" i="12"/>
  <c r="R60" i="12"/>
  <c r="S60" i="12"/>
  <c r="T60" i="12"/>
  <c r="U60" i="12"/>
  <c r="V60" i="12"/>
  <c r="W60" i="12"/>
  <c r="X60" i="12"/>
  <c r="Y60" i="12"/>
  <c r="Z60" i="12"/>
  <c r="AA60" i="12"/>
  <c r="AB60" i="12"/>
  <c r="AC60" i="12"/>
  <c r="AD60" i="12"/>
  <c r="AE60" i="12"/>
  <c r="AF60" i="12"/>
  <c r="AG60" i="12"/>
  <c r="AH60" i="12"/>
  <c r="AI60" i="12"/>
  <c r="AJ60" i="12"/>
  <c r="AK60" i="12"/>
  <c r="AL60" i="12"/>
  <c r="AM60" i="12"/>
  <c r="AN60" i="12"/>
  <c r="AO60" i="12"/>
  <c r="AP60" i="12"/>
  <c r="AQ60" i="12"/>
  <c r="AR60" i="12"/>
  <c r="AS60" i="12"/>
  <c r="AT60" i="12"/>
  <c r="AU60" i="12"/>
  <c r="AV60" i="12"/>
  <c r="AW60" i="12"/>
  <c r="AX60" i="12"/>
  <c r="AY60" i="12"/>
  <c r="AZ60" i="12"/>
  <c r="BA60" i="12"/>
  <c r="BB60" i="12"/>
  <c r="BC60" i="12"/>
  <c r="BD60" i="12"/>
  <c r="BE60" i="12"/>
  <c r="BF60" i="12"/>
  <c r="BG60" i="12"/>
  <c r="BH60" i="12"/>
  <c r="BI60" i="12"/>
  <c r="BJ60" i="12"/>
  <c r="BK60" i="12"/>
  <c r="BL60" i="12"/>
  <c r="BM60" i="12"/>
  <c r="BN60" i="12"/>
  <c r="BO60" i="12"/>
  <c r="BP60" i="12"/>
  <c r="BQ60" i="12"/>
  <c r="BR60" i="12"/>
  <c r="BS60" i="12"/>
  <c r="BT60" i="12"/>
  <c r="BU60" i="12"/>
  <c r="BV60" i="12"/>
  <c r="BW60" i="12"/>
  <c r="BX60" i="12"/>
  <c r="BY60" i="12"/>
  <c r="BZ60" i="12"/>
  <c r="CA60" i="12"/>
  <c r="CB60" i="12"/>
  <c r="CC60" i="12"/>
  <c r="CD60" i="12"/>
  <c r="CE60" i="12"/>
  <c r="CF60" i="12"/>
  <c r="CG60" i="12"/>
  <c r="CH60" i="12"/>
  <c r="CI60" i="12"/>
  <c r="CJ60" i="12"/>
  <c r="CK60" i="12"/>
  <c r="CL60" i="12"/>
  <c r="CM60" i="12"/>
  <c r="CN60" i="12"/>
  <c r="CO60" i="12"/>
  <c r="CP60" i="12"/>
  <c r="CQ60" i="12"/>
  <c r="CR60" i="12"/>
  <c r="CS60" i="12"/>
  <c r="CT60" i="12"/>
  <c r="CU60" i="12"/>
  <c r="CV60" i="12"/>
  <c r="CW60" i="12"/>
  <c r="CX60" i="12"/>
  <c r="CY60" i="12"/>
  <c r="CZ60" i="12"/>
  <c r="DA60" i="12"/>
  <c r="DB60" i="12"/>
  <c r="DC60" i="12"/>
  <c r="DD60" i="12"/>
  <c r="DE60" i="12"/>
  <c r="DF60" i="12"/>
  <c r="DG60" i="12"/>
  <c r="DH60" i="12"/>
  <c r="DI60" i="12"/>
  <c r="DJ60" i="12"/>
  <c r="DK60" i="12"/>
  <c r="DL60" i="12"/>
  <c r="DM60" i="12"/>
  <c r="DN60" i="12"/>
  <c r="DO60" i="12"/>
  <c r="DP60" i="12"/>
  <c r="DQ60" i="12"/>
  <c r="DR60" i="12"/>
  <c r="DS60" i="12"/>
  <c r="DT60" i="12"/>
  <c r="DU60" i="12"/>
  <c r="DV60" i="12"/>
  <c r="DW60" i="12"/>
  <c r="DX60" i="12"/>
  <c r="DY60" i="12"/>
  <c r="DZ60" i="12"/>
  <c r="EA60" i="12"/>
  <c r="EB60" i="12"/>
  <c r="EC60" i="12"/>
  <c r="ED60" i="12"/>
  <c r="EE60" i="12"/>
  <c r="EF60" i="12"/>
  <c r="EG60" i="12"/>
  <c r="EH60" i="12"/>
  <c r="EI60" i="12"/>
  <c r="EJ60" i="12"/>
  <c r="EK60" i="12"/>
  <c r="EL60" i="12"/>
  <c r="EM60" i="12"/>
  <c r="EN60" i="12"/>
  <c r="EO60" i="12"/>
  <c r="EP60" i="12"/>
  <c r="EQ60" i="12"/>
  <c r="ER60" i="12"/>
  <c r="ES60" i="12"/>
  <c r="ET60" i="12"/>
  <c r="EU60" i="12"/>
  <c r="EV60" i="12"/>
  <c r="EW60" i="12"/>
  <c r="EX60" i="12"/>
  <c r="EY60" i="12"/>
  <c r="EZ60" i="12"/>
  <c r="FA60" i="12"/>
  <c r="FB60" i="12"/>
  <c r="FC60" i="12"/>
  <c r="FD60" i="12"/>
  <c r="FE60" i="12"/>
  <c r="FF60" i="12"/>
  <c r="FG60" i="12"/>
  <c r="FH60" i="12"/>
  <c r="FI60" i="12"/>
  <c r="FJ60" i="12"/>
  <c r="FK60" i="12"/>
  <c r="FL60" i="12"/>
  <c r="FM60" i="12"/>
  <c r="FN60" i="12"/>
  <c r="FO60" i="12"/>
  <c r="FP60" i="12"/>
  <c r="FQ60" i="12"/>
  <c r="FR60" i="12"/>
  <c r="FS60" i="12"/>
  <c r="FT60" i="12"/>
  <c r="FU60" i="12"/>
  <c r="FV60" i="12"/>
  <c r="FW60" i="12"/>
  <c r="FX60" i="12"/>
  <c r="FY60" i="12"/>
  <c r="FZ60" i="12"/>
  <c r="GA60" i="12"/>
  <c r="GB60" i="12"/>
  <c r="GC60" i="12"/>
  <c r="GD60" i="12"/>
  <c r="GE60" i="12"/>
  <c r="GF60" i="12"/>
  <c r="GG60" i="12"/>
  <c r="GH60" i="12"/>
  <c r="GI60" i="12"/>
  <c r="GJ60" i="12"/>
  <c r="GK60" i="12"/>
  <c r="GL60" i="12"/>
  <c r="GM60" i="12"/>
  <c r="GN60" i="12"/>
  <c r="GO60" i="12"/>
  <c r="GP60" i="12"/>
  <c r="GQ60" i="12"/>
  <c r="GR60" i="12"/>
  <c r="GS60" i="12"/>
  <c r="GT60" i="12"/>
  <c r="GU60" i="12"/>
  <c r="GV60" i="12"/>
  <c r="GW60" i="12"/>
  <c r="GX60" i="12"/>
  <c r="GY60" i="12"/>
  <c r="GZ60" i="12"/>
  <c r="HA60" i="12"/>
  <c r="HB60" i="12"/>
  <c r="HC60" i="12"/>
  <c r="HD60" i="12"/>
  <c r="HE60" i="12"/>
  <c r="HF60" i="12"/>
  <c r="HG60" i="12"/>
  <c r="HH60" i="12"/>
  <c r="HI60" i="12"/>
  <c r="HJ60" i="12"/>
  <c r="HK60" i="12"/>
  <c r="HL60" i="12"/>
  <c r="HM60" i="12"/>
  <c r="HN60" i="12"/>
  <c r="HO60" i="12"/>
  <c r="HP60" i="12"/>
  <c r="HQ60" i="12"/>
  <c r="HR60" i="12"/>
  <c r="HS60" i="12"/>
  <c r="HT60" i="12"/>
  <c r="HU60" i="12"/>
  <c r="HV60" i="12"/>
  <c r="HW60" i="12"/>
  <c r="HX60" i="12"/>
  <c r="HY60" i="12"/>
  <c r="HZ60" i="12"/>
  <c r="IA60" i="12"/>
  <c r="IB60" i="12"/>
  <c r="IC60" i="12"/>
  <c r="ID60" i="12"/>
  <c r="IE60" i="12"/>
  <c r="IF60" i="12"/>
  <c r="IG60" i="12"/>
  <c r="IH60" i="12"/>
  <c r="II60" i="12"/>
  <c r="IJ60" i="12"/>
  <c r="IK60" i="12"/>
  <c r="IL60" i="12"/>
  <c r="IM60" i="12"/>
  <c r="IN60" i="12"/>
  <c r="IO60" i="12"/>
  <c r="IP60" i="12"/>
  <c r="IQ60" i="12"/>
  <c r="IR60" i="12"/>
  <c r="IS60" i="12"/>
  <c r="IT60" i="12"/>
  <c r="IU60" i="12"/>
  <c r="IV60" i="12"/>
  <c r="F61" i="12"/>
  <c r="G61" i="12"/>
  <c r="H61" i="12"/>
  <c r="I61" i="12"/>
  <c r="J61" i="12"/>
  <c r="K61" i="12"/>
  <c r="L61" i="12"/>
  <c r="M61" i="12"/>
  <c r="N61" i="12"/>
  <c r="O61" i="12"/>
  <c r="P61" i="12"/>
  <c r="Q61" i="12"/>
  <c r="R61" i="12"/>
  <c r="S61" i="12"/>
  <c r="T61" i="12"/>
  <c r="U61" i="12"/>
  <c r="V61" i="12"/>
  <c r="W61" i="12"/>
  <c r="X61" i="12"/>
  <c r="Y61" i="12"/>
  <c r="Z61" i="12"/>
  <c r="AA61" i="12"/>
  <c r="AB61" i="12"/>
  <c r="AC61" i="12"/>
  <c r="AD61" i="12"/>
  <c r="AE61" i="12"/>
  <c r="AF61" i="12"/>
  <c r="AG61" i="12"/>
  <c r="AH61" i="12"/>
  <c r="AI61" i="12"/>
  <c r="AJ61" i="12"/>
  <c r="AK61" i="12"/>
  <c r="AL61" i="12"/>
  <c r="AM61" i="12"/>
  <c r="AN61" i="12"/>
  <c r="AO61" i="12"/>
  <c r="AP61" i="12"/>
  <c r="AQ61" i="12"/>
  <c r="AR61" i="12"/>
  <c r="AS61" i="12"/>
  <c r="AT61" i="12"/>
  <c r="AU61" i="12"/>
  <c r="AV61" i="12"/>
  <c r="AW61" i="12"/>
  <c r="AX61" i="12"/>
  <c r="AY61" i="12"/>
  <c r="AZ61" i="12"/>
  <c r="BA61" i="12"/>
  <c r="BB61" i="12"/>
  <c r="BC61" i="12"/>
  <c r="BD61" i="12"/>
  <c r="BE61" i="12"/>
  <c r="BF61" i="12"/>
  <c r="BG61" i="12"/>
  <c r="BH61" i="12"/>
  <c r="BI61" i="12"/>
  <c r="BJ61" i="12"/>
  <c r="BK61" i="12"/>
  <c r="BL61" i="12"/>
  <c r="BM61" i="12"/>
  <c r="BN61" i="12"/>
  <c r="BO61" i="12"/>
  <c r="BP61" i="12"/>
  <c r="BQ61" i="12"/>
  <c r="BR61" i="12"/>
  <c r="BS61" i="12"/>
  <c r="BT61" i="12"/>
  <c r="BU61" i="12"/>
  <c r="BV61" i="12"/>
  <c r="BW61" i="12"/>
  <c r="BX61" i="12"/>
  <c r="BY61" i="12"/>
  <c r="BZ61" i="12"/>
  <c r="CA61" i="12"/>
  <c r="CB61" i="12"/>
  <c r="CC61" i="12"/>
  <c r="CD61" i="12"/>
  <c r="CE61" i="12"/>
  <c r="CF61" i="12"/>
  <c r="CG61" i="12"/>
  <c r="CH61" i="12"/>
  <c r="CI61" i="12"/>
  <c r="CJ61" i="12"/>
  <c r="CK61" i="12"/>
  <c r="CL61" i="12"/>
  <c r="CM61" i="12"/>
  <c r="CN61" i="12"/>
  <c r="CO61" i="12"/>
  <c r="CP61" i="12"/>
  <c r="CQ61" i="12"/>
  <c r="CR61" i="12"/>
  <c r="CS61" i="12"/>
  <c r="CT61" i="12"/>
  <c r="CU61" i="12"/>
  <c r="CV61" i="12"/>
  <c r="CW61" i="12"/>
  <c r="CX61" i="12"/>
  <c r="CY61" i="12"/>
  <c r="CZ61" i="12"/>
  <c r="DA61" i="12"/>
  <c r="DB61" i="12"/>
  <c r="DC61" i="12"/>
  <c r="DD61" i="12"/>
  <c r="DE61" i="12"/>
  <c r="DF61" i="12"/>
  <c r="DG61" i="12"/>
  <c r="DH61" i="12"/>
  <c r="DI61" i="12"/>
  <c r="DJ61" i="12"/>
  <c r="DK61" i="12"/>
  <c r="DL61" i="12"/>
  <c r="DM61" i="12"/>
  <c r="DN61" i="12"/>
  <c r="DO61" i="12"/>
  <c r="DP61" i="12"/>
  <c r="DQ61" i="12"/>
  <c r="DR61" i="12"/>
  <c r="DS61" i="12"/>
  <c r="DT61" i="12"/>
  <c r="DU61" i="12"/>
  <c r="DV61" i="12"/>
  <c r="DW61" i="12"/>
  <c r="DX61" i="12"/>
  <c r="DY61" i="12"/>
  <c r="DZ61" i="12"/>
  <c r="EA61" i="12"/>
  <c r="EB61" i="12"/>
  <c r="EC61" i="12"/>
  <c r="ED61" i="12"/>
  <c r="EE61" i="12"/>
  <c r="EF61" i="12"/>
  <c r="EG61" i="12"/>
  <c r="EH61" i="12"/>
  <c r="EI61" i="12"/>
  <c r="EJ61" i="12"/>
  <c r="EK61" i="12"/>
  <c r="EL61" i="12"/>
  <c r="EM61" i="12"/>
  <c r="EN61" i="12"/>
  <c r="EO61" i="12"/>
  <c r="EP61" i="12"/>
  <c r="EQ61" i="12"/>
  <c r="ER61" i="12"/>
  <c r="ES61" i="12"/>
  <c r="ET61" i="12"/>
  <c r="EU61" i="12"/>
  <c r="EV61" i="12"/>
  <c r="EW61" i="12"/>
  <c r="EX61" i="12"/>
  <c r="EY61" i="12"/>
  <c r="EZ61" i="12"/>
  <c r="FA61" i="12"/>
  <c r="FB61" i="12"/>
  <c r="FC61" i="12"/>
  <c r="FD61" i="12"/>
  <c r="FE61" i="12"/>
  <c r="FF61" i="12"/>
  <c r="FG61" i="12"/>
  <c r="FH61" i="12"/>
  <c r="FI61" i="12"/>
  <c r="FJ61" i="12"/>
  <c r="FK61" i="12"/>
  <c r="FL61" i="12"/>
  <c r="FM61" i="12"/>
  <c r="FN61" i="12"/>
  <c r="FO61" i="12"/>
  <c r="FP61" i="12"/>
  <c r="FQ61" i="12"/>
  <c r="FR61" i="12"/>
  <c r="FS61" i="12"/>
  <c r="FT61" i="12"/>
  <c r="FU61" i="12"/>
  <c r="FV61" i="12"/>
  <c r="FW61" i="12"/>
  <c r="FX61" i="12"/>
  <c r="FY61" i="12"/>
  <c r="FZ61" i="12"/>
  <c r="GA61" i="12"/>
  <c r="GB61" i="12"/>
  <c r="GC61" i="12"/>
  <c r="GD61" i="12"/>
  <c r="GE61" i="12"/>
  <c r="GF61" i="12"/>
  <c r="GG61" i="12"/>
  <c r="GH61" i="12"/>
  <c r="GI61" i="12"/>
  <c r="GJ61" i="12"/>
  <c r="GK61" i="12"/>
  <c r="GL61" i="12"/>
  <c r="GM61" i="12"/>
  <c r="GN61" i="12"/>
  <c r="GO61" i="12"/>
  <c r="GP61" i="12"/>
  <c r="GQ61" i="12"/>
  <c r="GR61" i="12"/>
  <c r="GS61" i="12"/>
  <c r="GT61" i="12"/>
  <c r="GU61" i="12"/>
  <c r="GV61" i="12"/>
  <c r="GW61" i="12"/>
  <c r="GX61" i="12"/>
  <c r="GY61" i="12"/>
  <c r="GZ61" i="12"/>
  <c r="HA61" i="12"/>
  <c r="HB61" i="12"/>
  <c r="HC61" i="12"/>
  <c r="HD61" i="12"/>
  <c r="HE61" i="12"/>
  <c r="HF61" i="12"/>
  <c r="HG61" i="12"/>
  <c r="HH61" i="12"/>
  <c r="HI61" i="12"/>
  <c r="HJ61" i="12"/>
  <c r="HK61" i="12"/>
  <c r="HL61" i="12"/>
  <c r="HM61" i="12"/>
  <c r="HN61" i="12"/>
  <c r="HO61" i="12"/>
  <c r="HP61" i="12"/>
  <c r="HQ61" i="12"/>
  <c r="HR61" i="12"/>
  <c r="HS61" i="12"/>
  <c r="HT61" i="12"/>
  <c r="HU61" i="12"/>
  <c r="HV61" i="12"/>
  <c r="HW61" i="12"/>
  <c r="HX61" i="12"/>
  <c r="HY61" i="12"/>
  <c r="HZ61" i="12"/>
  <c r="IA61" i="12"/>
  <c r="IB61" i="12"/>
  <c r="IC61" i="12"/>
  <c r="ID61" i="12"/>
  <c r="IE61" i="12"/>
  <c r="IF61" i="12"/>
  <c r="IG61" i="12"/>
  <c r="IH61" i="12"/>
  <c r="II61" i="12"/>
  <c r="IJ61" i="12"/>
  <c r="IK61" i="12"/>
  <c r="IL61" i="12"/>
  <c r="IM61" i="12"/>
  <c r="IN61" i="12"/>
  <c r="IO61" i="12"/>
  <c r="IP61" i="12"/>
  <c r="IQ61" i="12"/>
  <c r="IR61" i="12"/>
  <c r="IS61" i="12"/>
  <c r="IT61" i="12"/>
  <c r="IU61" i="12"/>
  <c r="IV61" i="12"/>
  <c r="F62" i="12"/>
  <c r="G62" i="12"/>
  <c r="H62" i="12"/>
  <c r="I62" i="12"/>
  <c r="J62" i="12"/>
  <c r="K62" i="12"/>
  <c r="L62" i="12"/>
  <c r="M62" i="12"/>
  <c r="N62" i="12"/>
  <c r="O62" i="12"/>
  <c r="P62" i="12"/>
  <c r="Q62" i="12"/>
  <c r="R62" i="12"/>
  <c r="S62" i="12"/>
  <c r="T62" i="12"/>
  <c r="U62" i="12"/>
  <c r="V62" i="12"/>
  <c r="W62" i="12"/>
  <c r="X62" i="12"/>
  <c r="Y62" i="12"/>
  <c r="Z62" i="12"/>
  <c r="AA62" i="12"/>
  <c r="AB62" i="12"/>
  <c r="AC62" i="12"/>
  <c r="AD62" i="12"/>
  <c r="AE62" i="12"/>
  <c r="AF62" i="12"/>
  <c r="AG62" i="12"/>
  <c r="AH62" i="12"/>
  <c r="AI62" i="12"/>
  <c r="AJ62" i="12"/>
  <c r="AK62" i="12"/>
  <c r="AL62" i="12"/>
  <c r="AM62" i="12"/>
  <c r="AN62" i="12"/>
  <c r="AO62" i="12"/>
  <c r="AP62" i="12"/>
  <c r="AQ62" i="12"/>
  <c r="AR62" i="12"/>
  <c r="AS62" i="12"/>
  <c r="AT62" i="12"/>
  <c r="AU62" i="12"/>
  <c r="AV62" i="12"/>
  <c r="AW62" i="12"/>
  <c r="AX62" i="12"/>
  <c r="AY62" i="12"/>
  <c r="AZ62" i="12"/>
  <c r="BA62" i="12"/>
  <c r="BB62" i="12"/>
  <c r="BC62" i="12"/>
  <c r="BD62" i="12"/>
  <c r="BE62" i="12"/>
  <c r="BF62" i="12"/>
  <c r="BG62" i="12"/>
  <c r="BH62" i="12"/>
  <c r="BI62" i="12"/>
  <c r="BJ62" i="12"/>
  <c r="BK62" i="12"/>
  <c r="BL62" i="12"/>
  <c r="BM62" i="12"/>
  <c r="BN62" i="12"/>
  <c r="BO62" i="12"/>
  <c r="BP62" i="12"/>
  <c r="BQ62" i="12"/>
  <c r="BR62" i="12"/>
  <c r="BS62" i="12"/>
  <c r="BT62" i="12"/>
  <c r="BU62" i="12"/>
  <c r="BV62" i="12"/>
  <c r="BW62" i="12"/>
  <c r="BX62" i="12"/>
  <c r="BY62" i="12"/>
  <c r="BZ62" i="12"/>
  <c r="CA62" i="12"/>
  <c r="CB62" i="12"/>
  <c r="CC62" i="12"/>
  <c r="CD62" i="12"/>
  <c r="CE62" i="12"/>
  <c r="CF62" i="12"/>
  <c r="CG62" i="12"/>
  <c r="CH62" i="12"/>
  <c r="CI62" i="12"/>
  <c r="CJ62" i="12"/>
  <c r="CK62" i="12"/>
  <c r="CL62" i="12"/>
  <c r="CM62" i="12"/>
  <c r="CN62" i="12"/>
  <c r="CO62" i="12"/>
  <c r="CP62" i="12"/>
  <c r="CQ62" i="12"/>
  <c r="CR62" i="12"/>
  <c r="CS62" i="12"/>
  <c r="CT62" i="12"/>
  <c r="CU62" i="12"/>
  <c r="CV62" i="12"/>
  <c r="CW62" i="12"/>
  <c r="CX62" i="12"/>
  <c r="CY62" i="12"/>
  <c r="CZ62" i="12"/>
  <c r="DA62" i="12"/>
  <c r="DB62" i="12"/>
  <c r="DC62" i="12"/>
  <c r="DD62" i="12"/>
  <c r="DE62" i="12"/>
  <c r="DF62" i="12"/>
  <c r="DG62" i="12"/>
  <c r="DH62" i="12"/>
  <c r="DI62" i="12"/>
  <c r="DJ62" i="12"/>
  <c r="DK62" i="12"/>
  <c r="DL62" i="12"/>
  <c r="DM62" i="12"/>
  <c r="DN62" i="12"/>
  <c r="DO62" i="12"/>
  <c r="DP62" i="12"/>
  <c r="DQ62" i="12"/>
  <c r="DR62" i="12"/>
  <c r="DS62" i="12"/>
  <c r="DT62" i="12"/>
  <c r="DU62" i="12"/>
  <c r="DV62" i="12"/>
  <c r="DW62" i="12"/>
  <c r="DX62" i="12"/>
  <c r="DY62" i="12"/>
  <c r="DZ62" i="12"/>
  <c r="EA62" i="12"/>
  <c r="EB62" i="12"/>
  <c r="EC62" i="12"/>
  <c r="ED62" i="12"/>
  <c r="EE62" i="12"/>
  <c r="EF62" i="12"/>
  <c r="EG62" i="12"/>
  <c r="EH62" i="12"/>
  <c r="EI62" i="12"/>
  <c r="EJ62" i="12"/>
  <c r="EK62" i="12"/>
  <c r="EL62" i="12"/>
  <c r="EM62" i="12"/>
  <c r="EN62" i="12"/>
  <c r="EO62" i="12"/>
  <c r="EP62" i="12"/>
  <c r="EQ62" i="12"/>
  <c r="ER62" i="12"/>
  <c r="ES62" i="12"/>
  <c r="ET62" i="12"/>
  <c r="EU62" i="12"/>
  <c r="EV62" i="12"/>
  <c r="EW62" i="12"/>
  <c r="EX62" i="12"/>
  <c r="EY62" i="12"/>
  <c r="EZ62" i="12"/>
  <c r="FA62" i="12"/>
  <c r="FB62" i="12"/>
  <c r="FC62" i="12"/>
  <c r="FD62" i="12"/>
  <c r="FE62" i="12"/>
  <c r="FF62" i="12"/>
  <c r="FG62" i="12"/>
  <c r="FH62" i="12"/>
  <c r="FI62" i="12"/>
  <c r="FJ62" i="12"/>
  <c r="FK62" i="12"/>
  <c r="FL62" i="12"/>
  <c r="FM62" i="12"/>
  <c r="FN62" i="12"/>
  <c r="FO62" i="12"/>
  <c r="FP62" i="12"/>
  <c r="FQ62" i="12"/>
  <c r="FR62" i="12"/>
  <c r="FS62" i="12"/>
  <c r="FT62" i="12"/>
  <c r="FU62" i="12"/>
  <c r="FV62" i="12"/>
  <c r="FW62" i="12"/>
  <c r="FX62" i="12"/>
  <c r="FY62" i="12"/>
  <c r="FZ62" i="12"/>
  <c r="GA62" i="12"/>
  <c r="GB62" i="12"/>
  <c r="GC62" i="12"/>
  <c r="GD62" i="12"/>
  <c r="GE62" i="12"/>
  <c r="GF62" i="12"/>
  <c r="GG62" i="12"/>
  <c r="GH62" i="12"/>
  <c r="GI62" i="12"/>
  <c r="GJ62" i="12"/>
  <c r="GK62" i="12"/>
  <c r="GL62" i="12"/>
  <c r="GM62" i="12"/>
  <c r="GN62" i="12"/>
  <c r="GO62" i="12"/>
  <c r="GP62" i="12"/>
  <c r="GQ62" i="12"/>
  <c r="GR62" i="12"/>
  <c r="GS62" i="12"/>
  <c r="GT62" i="12"/>
  <c r="GU62" i="12"/>
  <c r="GV62" i="12"/>
  <c r="GW62" i="12"/>
  <c r="GX62" i="12"/>
  <c r="GY62" i="12"/>
  <c r="GZ62" i="12"/>
  <c r="HA62" i="12"/>
  <c r="HB62" i="12"/>
  <c r="HC62" i="12"/>
  <c r="HD62" i="12"/>
  <c r="HE62" i="12"/>
  <c r="HF62" i="12"/>
  <c r="HG62" i="12"/>
  <c r="HH62" i="12"/>
  <c r="HI62" i="12"/>
  <c r="HJ62" i="12"/>
  <c r="HK62" i="12"/>
  <c r="HL62" i="12"/>
  <c r="HM62" i="12"/>
  <c r="HN62" i="12"/>
  <c r="HO62" i="12"/>
  <c r="HP62" i="12"/>
  <c r="HQ62" i="12"/>
  <c r="HR62" i="12"/>
  <c r="HS62" i="12"/>
  <c r="HT62" i="12"/>
  <c r="HU62" i="12"/>
  <c r="HV62" i="12"/>
  <c r="HW62" i="12"/>
  <c r="HX62" i="12"/>
  <c r="HY62" i="12"/>
  <c r="HZ62" i="12"/>
  <c r="IA62" i="12"/>
  <c r="IB62" i="12"/>
  <c r="IC62" i="12"/>
  <c r="ID62" i="12"/>
  <c r="IE62" i="12"/>
  <c r="IF62" i="12"/>
  <c r="IG62" i="12"/>
  <c r="IH62" i="12"/>
  <c r="II62" i="12"/>
  <c r="IJ62" i="12"/>
  <c r="IK62" i="12"/>
  <c r="IL62" i="12"/>
  <c r="IM62" i="12"/>
  <c r="IN62" i="12"/>
  <c r="IO62" i="12"/>
  <c r="IP62" i="12"/>
  <c r="IQ62" i="12"/>
  <c r="IR62" i="12"/>
  <c r="IS62" i="12"/>
  <c r="IT62" i="12"/>
  <c r="IU62" i="12"/>
  <c r="IV62" i="12"/>
  <c r="F63" i="12"/>
  <c r="G63" i="12"/>
  <c r="H63" i="12"/>
  <c r="I63" i="12"/>
  <c r="J63" i="12"/>
  <c r="K63" i="12"/>
  <c r="L63" i="12"/>
  <c r="M63" i="12"/>
  <c r="N63" i="12"/>
  <c r="O63" i="12"/>
  <c r="P63" i="12"/>
  <c r="Q63" i="12"/>
  <c r="R63" i="12"/>
  <c r="S63" i="12"/>
  <c r="T63" i="12"/>
  <c r="U63" i="12"/>
  <c r="V63" i="12"/>
  <c r="W63" i="12"/>
  <c r="X63" i="12"/>
  <c r="Y63" i="12"/>
  <c r="Z63" i="12"/>
  <c r="AA63" i="12"/>
  <c r="AB63" i="12"/>
  <c r="AC63" i="12"/>
  <c r="AD63" i="12"/>
  <c r="AE63" i="12"/>
  <c r="AF63" i="12"/>
  <c r="AG63" i="12"/>
  <c r="AH63" i="12"/>
  <c r="AI63" i="12"/>
  <c r="AJ63" i="12"/>
  <c r="AK63" i="12"/>
  <c r="AL63" i="12"/>
  <c r="AM63" i="12"/>
  <c r="AN63" i="12"/>
  <c r="AO63" i="12"/>
  <c r="AP63" i="12"/>
  <c r="AQ63" i="12"/>
  <c r="AR63" i="12"/>
  <c r="AS63" i="12"/>
  <c r="AT63" i="12"/>
  <c r="AU63" i="12"/>
  <c r="AV63" i="12"/>
  <c r="AW63" i="12"/>
  <c r="AX63" i="12"/>
  <c r="AY63" i="12"/>
  <c r="AZ63" i="12"/>
  <c r="BA63" i="12"/>
  <c r="BB63" i="12"/>
  <c r="BC63" i="12"/>
  <c r="BD63" i="12"/>
  <c r="BE63" i="12"/>
  <c r="BF63" i="12"/>
  <c r="BG63" i="12"/>
  <c r="BH63" i="12"/>
  <c r="BI63" i="12"/>
  <c r="BJ63" i="12"/>
  <c r="BK63" i="12"/>
  <c r="BL63" i="12"/>
  <c r="BM63" i="12"/>
  <c r="BN63" i="12"/>
  <c r="BO63" i="12"/>
  <c r="BP63" i="12"/>
  <c r="BQ63" i="12"/>
  <c r="BR63" i="12"/>
  <c r="BS63" i="12"/>
  <c r="BT63" i="12"/>
  <c r="BU63" i="12"/>
  <c r="BV63" i="12"/>
  <c r="BW63" i="12"/>
  <c r="BX63" i="12"/>
  <c r="BY63" i="12"/>
  <c r="BZ63" i="12"/>
  <c r="CA63" i="12"/>
  <c r="CB63" i="12"/>
  <c r="CC63" i="12"/>
  <c r="CD63" i="12"/>
  <c r="CE63" i="12"/>
  <c r="CF63" i="12"/>
  <c r="CG63" i="12"/>
  <c r="CH63" i="12"/>
  <c r="CI63" i="12"/>
  <c r="CJ63" i="12"/>
  <c r="CK63" i="12"/>
  <c r="CL63" i="12"/>
  <c r="CM63" i="12"/>
  <c r="CN63" i="12"/>
  <c r="CO63" i="12"/>
  <c r="CP63" i="12"/>
  <c r="CQ63" i="12"/>
  <c r="CR63" i="12"/>
  <c r="CS63" i="12"/>
  <c r="CT63" i="12"/>
  <c r="CU63" i="12"/>
  <c r="CV63" i="12"/>
  <c r="CW63" i="12"/>
  <c r="CX63" i="12"/>
  <c r="CY63" i="12"/>
  <c r="CZ63" i="12"/>
  <c r="DA63" i="12"/>
  <c r="DB63" i="12"/>
  <c r="DC63" i="12"/>
  <c r="DD63" i="12"/>
  <c r="DE63" i="12"/>
  <c r="DF63" i="12"/>
  <c r="DG63" i="12"/>
  <c r="DH63" i="12"/>
  <c r="DI63" i="12"/>
  <c r="DJ63" i="12"/>
  <c r="DK63" i="12"/>
  <c r="DL63" i="12"/>
  <c r="DM63" i="12"/>
  <c r="DN63" i="12"/>
  <c r="DO63" i="12"/>
  <c r="DP63" i="12"/>
  <c r="DQ63" i="12"/>
  <c r="DR63" i="12"/>
  <c r="DS63" i="12"/>
  <c r="DT63" i="12"/>
  <c r="DU63" i="12"/>
  <c r="DV63" i="12"/>
  <c r="DW63" i="12"/>
  <c r="DX63" i="12"/>
  <c r="DY63" i="12"/>
  <c r="DZ63" i="12"/>
  <c r="EA63" i="12"/>
  <c r="EB63" i="12"/>
  <c r="EC63" i="12"/>
  <c r="ED63" i="12"/>
  <c r="EE63" i="12"/>
  <c r="EF63" i="12"/>
  <c r="EG63" i="12"/>
  <c r="EH63" i="12"/>
  <c r="EI63" i="12"/>
  <c r="EJ63" i="12"/>
  <c r="EK63" i="12"/>
  <c r="EL63" i="12"/>
  <c r="EM63" i="12"/>
  <c r="EN63" i="12"/>
  <c r="EO63" i="12"/>
  <c r="EP63" i="12"/>
  <c r="EQ63" i="12"/>
  <c r="ER63" i="12"/>
  <c r="ES63" i="12"/>
  <c r="ET63" i="12"/>
  <c r="EU63" i="12"/>
  <c r="EV63" i="12"/>
  <c r="EW63" i="12"/>
  <c r="EX63" i="12"/>
  <c r="EY63" i="12"/>
  <c r="EZ63" i="12"/>
  <c r="FA63" i="12"/>
  <c r="FB63" i="12"/>
  <c r="FC63" i="12"/>
  <c r="FD63" i="12"/>
  <c r="FE63" i="12"/>
  <c r="FF63" i="12"/>
  <c r="FG63" i="12"/>
  <c r="FH63" i="12"/>
  <c r="FI63" i="12"/>
  <c r="FJ63" i="12"/>
  <c r="FK63" i="12"/>
  <c r="FL63" i="12"/>
  <c r="FM63" i="12"/>
  <c r="FN63" i="12"/>
  <c r="FO63" i="12"/>
  <c r="FP63" i="12"/>
  <c r="FQ63" i="12"/>
  <c r="FR63" i="12"/>
  <c r="FS63" i="12"/>
  <c r="FT63" i="12"/>
  <c r="FU63" i="12"/>
  <c r="FV63" i="12"/>
  <c r="FW63" i="12"/>
  <c r="FX63" i="12"/>
  <c r="FY63" i="12"/>
  <c r="FZ63" i="12"/>
  <c r="GA63" i="12"/>
  <c r="GB63" i="12"/>
  <c r="GC63" i="12"/>
  <c r="GD63" i="12"/>
  <c r="GE63" i="12"/>
  <c r="GF63" i="12"/>
  <c r="GG63" i="12"/>
  <c r="GH63" i="12"/>
  <c r="GI63" i="12"/>
  <c r="GJ63" i="12"/>
  <c r="GK63" i="12"/>
  <c r="GL63" i="12"/>
  <c r="GM63" i="12"/>
  <c r="GN63" i="12"/>
  <c r="GO63" i="12"/>
  <c r="GP63" i="12"/>
  <c r="GQ63" i="12"/>
  <c r="GR63" i="12"/>
  <c r="GS63" i="12"/>
  <c r="GT63" i="12"/>
  <c r="GU63" i="12"/>
  <c r="GV63" i="12"/>
  <c r="GW63" i="12"/>
  <c r="GX63" i="12"/>
  <c r="GY63" i="12"/>
  <c r="GZ63" i="12"/>
  <c r="HA63" i="12"/>
  <c r="HB63" i="12"/>
  <c r="HC63" i="12"/>
  <c r="HD63" i="12"/>
  <c r="HE63" i="12"/>
  <c r="HF63" i="12"/>
  <c r="HG63" i="12"/>
  <c r="HH63" i="12"/>
  <c r="HI63" i="12"/>
  <c r="HJ63" i="12"/>
  <c r="HK63" i="12"/>
  <c r="HL63" i="12"/>
  <c r="HM63" i="12"/>
  <c r="HN63" i="12"/>
  <c r="HO63" i="12"/>
  <c r="HP63" i="12"/>
  <c r="HQ63" i="12"/>
  <c r="HR63" i="12"/>
  <c r="HS63" i="12"/>
  <c r="HT63" i="12"/>
  <c r="HU63" i="12"/>
  <c r="HV63" i="12"/>
  <c r="HW63" i="12"/>
  <c r="HX63" i="12"/>
  <c r="HY63" i="12"/>
  <c r="HZ63" i="12"/>
  <c r="IA63" i="12"/>
  <c r="IB63" i="12"/>
  <c r="IC63" i="12"/>
  <c r="ID63" i="12"/>
  <c r="IE63" i="12"/>
  <c r="IF63" i="12"/>
  <c r="IG63" i="12"/>
  <c r="IH63" i="12"/>
  <c r="II63" i="12"/>
  <c r="IJ63" i="12"/>
  <c r="IK63" i="12"/>
  <c r="IL63" i="12"/>
  <c r="IM63" i="12"/>
  <c r="IN63" i="12"/>
  <c r="IO63" i="12"/>
  <c r="IP63" i="12"/>
  <c r="IQ63" i="12"/>
  <c r="IR63" i="12"/>
  <c r="IS63" i="12"/>
  <c r="IT63" i="12"/>
  <c r="IU63" i="12"/>
  <c r="IV63" i="12"/>
  <c r="F64" i="12"/>
  <c r="G64" i="12"/>
  <c r="H64" i="12"/>
  <c r="I64" i="12"/>
  <c r="J64" i="12"/>
  <c r="K64" i="12"/>
  <c r="L64" i="12"/>
  <c r="M64" i="12"/>
  <c r="N64" i="12"/>
  <c r="O64" i="12"/>
  <c r="P64" i="12"/>
  <c r="Q64" i="12"/>
  <c r="R64" i="12"/>
  <c r="S64" i="12"/>
  <c r="T64" i="12"/>
  <c r="U64" i="12"/>
  <c r="V64" i="12"/>
  <c r="W64" i="12"/>
  <c r="X64" i="12"/>
  <c r="Y64" i="12"/>
  <c r="Z64" i="12"/>
  <c r="AA64" i="12"/>
  <c r="AB64" i="12"/>
  <c r="AC64" i="12"/>
  <c r="AD64" i="12"/>
  <c r="AE64" i="12"/>
  <c r="AF64" i="12"/>
  <c r="AG64" i="12"/>
  <c r="AH64" i="12"/>
  <c r="AI64" i="12"/>
  <c r="AJ64" i="12"/>
  <c r="AK64" i="12"/>
  <c r="AL64" i="12"/>
  <c r="AM64" i="12"/>
  <c r="AN64" i="12"/>
  <c r="AO64" i="12"/>
  <c r="AP64" i="12"/>
  <c r="AQ64" i="12"/>
  <c r="AR64" i="12"/>
  <c r="AS64" i="12"/>
  <c r="AT64" i="12"/>
  <c r="AU64" i="12"/>
  <c r="AV64" i="12"/>
  <c r="AW64" i="12"/>
  <c r="AX64" i="12"/>
  <c r="AY64" i="12"/>
  <c r="AZ64" i="12"/>
  <c r="BA64" i="12"/>
  <c r="BB64" i="12"/>
  <c r="BC64" i="12"/>
  <c r="BD64" i="12"/>
  <c r="BE64" i="12"/>
  <c r="BF64" i="12"/>
  <c r="BG64" i="12"/>
  <c r="BH64" i="12"/>
  <c r="BI64" i="12"/>
  <c r="BJ64" i="12"/>
  <c r="BK64" i="12"/>
  <c r="BL64" i="12"/>
  <c r="BM64" i="12"/>
  <c r="BN64" i="12"/>
  <c r="BO64" i="12"/>
  <c r="BP64" i="12"/>
  <c r="BQ64" i="12"/>
  <c r="BR64" i="12"/>
  <c r="BS64" i="12"/>
  <c r="BT64" i="12"/>
  <c r="BU64" i="12"/>
  <c r="BV64" i="12"/>
  <c r="BW64" i="12"/>
  <c r="BX64" i="12"/>
  <c r="BY64" i="12"/>
  <c r="BZ64" i="12"/>
  <c r="CA64" i="12"/>
  <c r="CB64" i="12"/>
  <c r="CC64" i="12"/>
  <c r="CD64" i="12"/>
  <c r="CE64" i="12"/>
  <c r="CF64" i="12"/>
  <c r="CG64" i="12"/>
  <c r="CH64" i="12"/>
  <c r="CI64" i="12"/>
  <c r="CJ64" i="12"/>
  <c r="CK64" i="12"/>
  <c r="CL64" i="12"/>
  <c r="CM64" i="12"/>
  <c r="CN64" i="12"/>
  <c r="CO64" i="12"/>
  <c r="CP64" i="12"/>
  <c r="CQ64" i="12"/>
  <c r="CR64" i="12"/>
  <c r="CS64" i="12"/>
  <c r="CT64" i="12"/>
  <c r="CU64" i="12"/>
  <c r="CV64" i="12"/>
  <c r="CW64" i="12"/>
  <c r="CX64" i="12"/>
  <c r="CY64" i="12"/>
  <c r="CZ64" i="12"/>
  <c r="DA64" i="12"/>
  <c r="DB64" i="12"/>
  <c r="DC64" i="12"/>
  <c r="DD64" i="12"/>
  <c r="DE64" i="12"/>
  <c r="DF64" i="12"/>
  <c r="DG64" i="12"/>
  <c r="DH64" i="12"/>
  <c r="DI64" i="12"/>
  <c r="DJ64" i="12"/>
  <c r="DK64" i="12"/>
  <c r="DL64" i="12"/>
  <c r="DM64" i="12"/>
  <c r="DN64" i="12"/>
  <c r="DO64" i="12"/>
  <c r="DP64" i="12"/>
  <c r="DQ64" i="12"/>
  <c r="DR64" i="12"/>
  <c r="DS64" i="12"/>
  <c r="DT64" i="12"/>
  <c r="DU64" i="12"/>
  <c r="DV64" i="12"/>
  <c r="DW64" i="12"/>
  <c r="DX64" i="12"/>
  <c r="DY64" i="12"/>
  <c r="DZ64" i="12"/>
  <c r="EA64" i="12"/>
  <c r="EB64" i="12"/>
  <c r="EC64" i="12"/>
  <c r="ED64" i="12"/>
  <c r="EE64" i="12"/>
  <c r="EF64" i="12"/>
  <c r="EG64" i="12"/>
  <c r="EH64" i="12"/>
  <c r="EI64" i="12"/>
  <c r="EJ64" i="12"/>
  <c r="EK64" i="12"/>
  <c r="EL64" i="12"/>
  <c r="EM64" i="12"/>
  <c r="EN64" i="12"/>
  <c r="EO64" i="12"/>
  <c r="EP64" i="12"/>
  <c r="EQ64" i="12"/>
  <c r="ER64" i="12"/>
  <c r="ES64" i="12"/>
  <c r="ET64" i="12"/>
  <c r="EU64" i="12"/>
  <c r="EV64" i="12"/>
  <c r="EW64" i="12"/>
  <c r="EX64" i="12"/>
  <c r="EY64" i="12"/>
  <c r="EZ64" i="12"/>
  <c r="FA64" i="12"/>
  <c r="FB64" i="12"/>
  <c r="FC64" i="12"/>
  <c r="FD64" i="12"/>
  <c r="FE64" i="12"/>
  <c r="FF64" i="12"/>
  <c r="FG64" i="12"/>
  <c r="FH64" i="12"/>
  <c r="FI64" i="12"/>
  <c r="FJ64" i="12"/>
  <c r="FK64" i="12"/>
  <c r="FL64" i="12"/>
  <c r="FM64" i="12"/>
  <c r="FN64" i="12"/>
  <c r="FO64" i="12"/>
  <c r="FP64" i="12"/>
  <c r="FQ64" i="12"/>
  <c r="FR64" i="12"/>
  <c r="FS64" i="12"/>
  <c r="FT64" i="12"/>
  <c r="FU64" i="12"/>
  <c r="FV64" i="12"/>
  <c r="FW64" i="12"/>
  <c r="FX64" i="12"/>
  <c r="FY64" i="12"/>
  <c r="FZ64" i="12"/>
  <c r="GA64" i="12"/>
  <c r="GB64" i="12"/>
  <c r="GC64" i="12"/>
  <c r="GD64" i="12"/>
  <c r="GE64" i="12"/>
  <c r="GF64" i="12"/>
  <c r="GG64" i="12"/>
  <c r="GH64" i="12"/>
  <c r="GI64" i="12"/>
  <c r="GJ64" i="12"/>
  <c r="GK64" i="12"/>
  <c r="GL64" i="12"/>
  <c r="GM64" i="12"/>
  <c r="GN64" i="12"/>
  <c r="GO64" i="12"/>
  <c r="GP64" i="12"/>
  <c r="GQ64" i="12"/>
  <c r="GR64" i="12"/>
  <c r="GS64" i="12"/>
  <c r="GT64" i="12"/>
  <c r="GU64" i="12"/>
  <c r="GV64" i="12"/>
  <c r="GW64" i="12"/>
  <c r="GX64" i="12"/>
  <c r="GY64" i="12"/>
  <c r="GZ64" i="12"/>
  <c r="HA64" i="12"/>
  <c r="HB64" i="12"/>
  <c r="HC64" i="12"/>
  <c r="HD64" i="12"/>
  <c r="HE64" i="12"/>
  <c r="HF64" i="12"/>
  <c r="HG64" i="12"/>
  <c r="HH64" i="12"/>
  <c r="HI64" i="12"/>
  <c r="HJ64" i="12"/>
  <c r="HK64" i="12"/>
  <c r="HL64" i="12"/>
  <c r="HM64" i="12"/>
  <c r="HN64" i="12"/>
  <c r="HO64" i="12"/>
  <c r="HP64" i="12"/>
  <c r="HQ64" i="12"/>
  <c r="HR64" i="12"/>
  <c r="HS64" i="12"/>
  <c r="HT64" i="12"/>
  <c r="HU64" i="12"/>
  <c r="HV64" i="12"/>
  <c r="HW64" i="12"/>
  <c r="HX64" i="12"/>
  <c r="HY64" i="12"/>
  <c r="HZ64" i="12"/>
  <c r="IA64" i="12"/>
  <c r="IB64" i="12"/>
  <c r="IC64" i="12"/>
  <c r="ID64" i="12"/>
  <c r="IE64" i="12"/>
  <c r="IF64" i="12"/>
  <c r="IG64" i="12"/>
  <c r="IH64" i="12"/>
  <c r="II64" i="12"/>
  <c r="IJ64" i="12"/>
  <c r="IK64" i="12"/>
  <c r="IL64" i="12"/>
  <c r="IM64" i="12"/>
  <c r="IN64" i="12"/>
  <c r="IO64" i="12"/>
  <c r="IP64" i="12"/>
  <c r="IQ64" i="12"/>
  <c r="IR64" i="12"/>
  <c r="IS64" i="12"/>
  <c r="IT64" i="12"/>
  <c r="IU64" i="12"/>
  <c r="IV64" i="12"/>
  <c r="F65" i="12"/>
  <c r="G65" i="12"/>
  <c r="H65" i="12"/>
  <c r="I65" i="12"/>
  <c r="J65" i="12"/>
  <c r="K65" i="12"/>
  <c r="L65" i="12"/>
  <c r="M65" i="12"/>
  <c r="N65" i="12"/>
  <c r="O65" i="12"/>
  <c r="P65" i="12"/>
  <c r="Q65" i="12"/>
  <c r="R65" i="12"/>
  <c r="S65" i="12"/>
  <c r="T65" i="12"/>
  <c r="U65" i="12"/>
  <c r="V65" i="12"/>
  <c r="W65" i="12"/>
  <c r="X65" i="12"/>
  <c r="Y65" i="12"/>
  <c r="Z65" i="12"/>
  <c r="AA65" i="12"/>
  <c r="AB65" i="12"/>
  <c r="AC65" i="12"/>
  <c r="AD65" i="12"/>
  <c r="AE65" i="12"/>
  <c r="AF65" i="12"/>
  <c r="AG65" i="12"/>
  <c r="AH65" i="12"/>
  <c r="AI65" i="12"/>
  <c r="AJ65" i="12"/>
  <c r="AK65" i="12"/>
  <c r="AL65" i="12"/>
  <c r="AM65" i="12"/>
  <c r="AN65" i="12"/>
  <c r="AO65" i="12"/>
  <c r="AP65" i="12"/>
  <c r="AQ65" i="12"/>
  <c r="AR65" i="12"/>
  <c r="AS65" i="12"/>
  <c r="AT65" i="12"/>
  <c r="AU65" i="12"/>
  <c r="AV65" i="12"/>
  <c r="AW65" i="12"/>
  <c r="AX65" i="12"/>
  <c r="AY65" i="12"/>
  <c r="AZ65" i="12"/>
  <c r="BA65" i="12"/>
  <c r="BB65" i="12"/>
  <c r="BC65" i="12"/>
  <c r="BD65" i="12"/>
  <c r="BE65" i="12"/>
  <c r="BF65" i="12"/>
  <c r="BG65" i="12"/>
  <c r="BH65" i="12"/>
  <c r="BI65" i="12"/>
  <c r="BJ65" i="12"/>
  <c r="BK65" i="12"/>
  <c r="BL65" i="12"/>
  <c r="BM65" i="12"/>
  <c r="BN65" i="12"/>
  <c r="BO65" i="12"/>
  <c r="BP65" i="12"/>
  <c r="BQ65" i="12"/>
  <c r="BR65" i="12"/>
  <c r="BS65" i="12"/>
  <c r="BT65" i="12"/>
  <c r="BU65" i="12"/>
  <c r="BV65" i="12"/>
  <c r="BW65" i="12"/>
  <c r="BX65" i="12"/>
  <c r="BY65" i="12"/>
  <c r="BZ65" i="12"/>
  <c r="CA65" i="12"/>
  <c r="CB65" i="12"/>
  <c r="CC65" i="12"/>
  <c r="CD65" i="12"/>
  <c r="CE65" i="12"/>
  <c r="CF65" i="12"/>
  <c r="CG65" i="12"/>
  <c r="CH65" i="12"/>
  <c r="CI65" i="12"/>
  <c r="CJ65" i="12"/>
  <c r="CK65" i="12"/>
  <c r="CL65" i="12"/>
  <c r="CM65" i="12"/>
  <c r="CN65" i="12"/>
  <c r="CO65" i="12"/>
  <c r="CP65" i="12"/>
  <c r="CQ65" i="12"/>
  <c r="CR65" i="12"/>
  <c r="CS65" i="12"/>
  <c r="CT65" i="12"/>
  <c r="CU65" i="12"/>
  <c r="CV65" i="12"/>
  <c r="CW65" i="12"/>
  <c r="CX65" i="12"/>
  <c r="CY65" i="12"/>
  <c r="CZ65" i="12"/>
  <c r="DA65" i="12"/>
  <c r="DB65" i="12"/>
  <c r="DC65" i="12"/>
  <c r="DD65" i="12"/>
  <c r="DE65" i="12"/>
  <c r="DF65" i="12"/>
  <c r="DG65" i="12"/>
  <c r="DH65" i="12"/>
  <c r="DI65" i="12"/>
  <c r="DJ65" i="12"/>
  <c r="DK65" i="12"/>
  <c r="DL65" i="12"/>
  <c r="DM65" i="12"/>
  <c r="DN65" i="12"/>
  <c r="DO65" i="12"/>
  <c r="DP65" i="12"/>
  <c r="DQ65" i="12"/>
  <c r="DR65" i="12"/>
  <c r="DS65" i="12"/>
  <c r="DT65" i="12"/>
  <c r="DU65" i="12"/>
  <c r="DV65" i="12"/>
  <c r="DW65" i="12"/>
  <c r="DX65" i="12"/>
  <c r="DY65" i="12"/>
  <c r="DZ65" i="12"/>
  <c r="EA65" i="12"/>
  <c r="EB65" i="12"/>
  <c r="EC65" i="12"/>
  <c r="ED65" i="12"/>
  <c r="EE65" i="12"/>
  <c r="EF65" i="12"/>
  <c r="EG65" i="12"/>
  <c r="EH65" i="12"/>
  <c r="EI65" i="12"/>
  <c r="EJ65" i="12"/>
  <c r="EK65" i="12"/>
  <c r="EL65" i="12"/>
  <c r="EM65" i="12"/>
  <c r="EN65" i="12"/>
  <c r="EO65" i="12"/>
  <c r="EP65" i="12"/>
  <c r="EQ65" i="12"/>
  <c r="ER65" i="12"/>
  <c r="ES65" i="12"/>
  <c r="ET65" i="12"/>
  <c r="EU65" i="12"/>
  <c r="EV65" i="12"/>
  <c r="EW65" i="12"/>
  <c r="EX65" i="12"/>
  <c r="EY65" i="12"/>
  <c r="EZ65" i="12"/>
  <c r="FA65" i="12"/>
  <c r="FB65" i="12"/>
  <c r="FC65" i="12"/>
  <c r="FD65" i="12"/>
  <c r="FE65" i="12"/>
  <c r="FF65" i="12"/>
  <c r="FG65" i="12"/>
  <c r="FH65" i="12"/>
  <c r="FI65" i="12"/>
  <c r="FJ65" i="12"/>
  <c r="FK65" i="12"/>
  <c r="FL65" i="12"/>
  <c r="FM65" i="12"/>
  <c r="FN65" i="12"/>
  <c r="FO65" i="12"/>
  <c r="FP65" i="12"/>
  <c r="FQ65" i="12"/>
  <c r="FR65" i="12"/>
  <c r="FS65" i="12"/>
  <c r="FT65" i="12"/>
  <c r="FU65" i="12"/>
  <c r="FV65" i="12"/>
  <c r="FW65" i="12"/>
  <c r="FX65" i="12"/>
  <c r="FY65" i="12"/>
  <c r="FZ65" i="12"/>
  <c r="GA65" i="12"/>
  <c r="GB65" i="12"/>
  <c r="GC65" i="12"/>
  <c r="GD65" i="12"/>
  <c r="GE65" i="12"/>
  <c r="GF65" i="12"/>
  <c r="GG65" i="12"/>
  <c r="GH65" i="12"/>
  <c r="GI65" i="12"/>
  <c r="GJ65" i="12"/>
  <c r="GK65" i="12"/>
  <c r="GL65" i="12"/>
  <c r="GM65" i="12"/>
  <c r="GN65" i="12"/>
  <c r="GO65" i="12"/>
  <c r="GP65" i="12"/>
  <c r="GQ65" i="12"/>
  <c r="GR65" i="12"/>
  <c r="GS65" i="12"/>
  <c r="GT65" i="12"/>
  <c r="GU65" i="12"/>
  <c r="GV65" i="12"/>
  <c r="GW65" i="12"/>
  <c r="GX65" i="12"/>
  <c r="GY65" i="12"/>
  <c r="GZ65" i="12"/>
  <c r="HA65" i="12"/>
  <c r="HB65" i="12"/>
  <c r="HC65" i="12"/>
  <c r="HD65" i="12"/>
  <c r="HE65" i="12"/>
  <c r="HF65" i="12"/>
  <c r="HG65" i="12"/>
  <c r="HH65" i="12"/>
  <c r="HI65" i="12"/>
  <c r="HJ65" i="12"/>
  <c r="HK65" i="12"/>
  <c r="HL65" i="12"/>
  <c r="HM65" i="12"/>
  <c r="HN65" i="12"/>
  <c r="HO65" i="12"/>
  <c r="HP65" i="12"/>
  <c r="HQ65" i="12"/>
  <c r="HR65" i="12"/>
  <c r="HS65" i="12"/>
  <c r="HT65" i="12"/>
  <c r="HU65" i="12"/>
  <c r="HV65" i="12"/>
  <c r="HW65" i="12"/>
  <c r="HX65" i="12"/>
  <c r="HY65" i="12"/>
  <c r="HZ65" i="12"/>
  <c r="IA65" i="12"/>
  <c r="IB65" i="12"/>
  <c r="IC65" i="12"/>
  <c r="ID65" i="12"/>
  <c r="IE65" i="12"/>
  <c r="IF65" i="12"/>
  <c r="IG65" i="12"/>
  <c r="IH65" i="12"/>
  <c r="II65" i="12"/>
  <c r="IJ65" i="12"/>
  <c r="IK65" i="12"/>
  <c r="IL65" i="12"/>
  <c r="IM65" i="12"/>
  <c r="IN65" i="12"/>
  <c r="IO65" i="12"/>
  <c r="IP65" i="12"/>
  <c r="IQ65" i="12"/>
  <c r="IR65" i="12"/>
  <c r="IS65" i="12"/>
  <c r="IT65" i="12"/>
  <c r="IU65" i="12"/>
  <c r="IV65" i="12"/>
  <c r="F66" i="12"/>
  <c r="G66" i="12"/>
  <c r="H66" i="12"/>
  <c r="I66" i="12"/>
  <c r="J66" i="12"/>
  <c r="K66" i="12"/>
  <c r="L66" i="12"/>
  <c r="M66" i="12"/>
  <c r="N66" i="12"/>
  <c r="O66" i="12"/>
  <c r="P66" i="12"/>
  <c r="Q66" i="12"/>
  <c r="R66" i="12"/>
  <c r="S66" i="12"/>
  <c r="T66" i="12"/>
  <c r="U66" i="12"/>
  <c r="V66" i="12"/>
  <c r="W66" i="12"/>
  <c r="X66" i="12"/>
  <c r="Y66" i="12"/>
  <c r="Z66" i="12"/>
  <c r="AA66" i="12"/>
  <c r="AB66" i="12"/>
  <c r="AC66" i="12"/>
  <c r="AD66" i="12"/>
  <c r="AE66" i="12"/>
  <c r="AF66" i="12"/>
  <c r="AG66" i="12"/>
  <c r="AH66" i="12"/>
  <c r="AI66" i="12"/>
  <c r="AJ66" i="12"/>
  <c r="AK66" i="12"/>
  <c r="AL66" i="12"/>
  <c r="AM66" i="12"/>
  <c r="AN66" i="12"/>
  <c r="AO66" i="12"/>
  <c r="AP66" i="12"/>
  <c r="AQ66" i="12"/>
  <c r="AR66" i="12"/>
  <c r="AS66" i="12"/>
  <c r="AT66" i="12"/>
  <c r="AU66" i="12"/>
  <c r="AV66" i="12"/>
  <c r="AW66" i="12"/>
  <c r="AX66" i="12"/>
  <c r="AY66" i="12"/>
  <c r="AZ66" i="12"/>
  <c r="BA66" i="12"/>
  <c r="BB66" i="12"/>
  <c r="BC66" i="12"/>
  <c r="BD66" i="12"/>
  <c r="BE66" i="12"/>
  <c r="BF66" i="12"/>
  <c r="BG66" i="12"/>
  <c r="BH66" i="12"/>
  <c r="BI66" i="12"/>
  <c r="BJ66" i="12"/>
  <c r="BK66" i="12"/>
  <c r="BL66" i="12"/>
  <c r="BM66" i="12"/>
  <c r="BN66" i="12"/>
  <c r="BO66" i="12"/>
  <c r="BP66" i="12"/>
  <c r="BQ66" i="12"/>
  <c r="BR66" i="12"/>
  <c r="BS66" i="12"/>
  <c r="BT66" i="12"/>
  <c r="BU66" i="12"/>
  <c r="BV66" i="12"/>
  <c r="BW66" i="12"/>
  <c r="BX66" i="12"/>
  <c r="BY66" i="12"/>
  <c r="BZ66" i="12"/>
  <c r="CA66" i="12"/>
  <c r="CB66" i="12"/>
  <c r="CC66" i="12"/>
  <c r="CD66" i="12"/>
  <c r="CE66" i="12"/>
  <c r="CF66" i="12"/>
  <c r="CG66" i="12"/>
  <c r="CH66" i="12"/>
  <c r="CI66" i="12"/>
  <c r="CJ66" i="12"/>
  <c r="CK66" i="12"/>
  <c r="CL66" i="12"/>
  <c r="CM66" i="12"/>
  <c r="CN66" i="12"/>
  <c r="CO66" i="12"/>
  <c r="CP66" i="12"/>
  <c r="CQ66" i="12"/>
  <c r="CR66" i="12"/>
  <c r="CS66" i="12"/>
  <c r="CT66" i="12"/>
  <c r="CU66" i="12"/>
  <c r="CV66" i="12"/>
  <c r="CW66" i="12"/>
  <c r="CX66" i="12"/>
  <c r="CY66" i="12"/>
  <c r="CZ66" i="12"/>
  <c r="DA66" i="12"/>
  <c r="DB66" i="12"/>
  <c r="DC66" i="12"/>
  <c r="DD66" i="12"/>
  <c r="DE66" i="12"/>
  <c r="DF66" i="12"/>
  <c r="DG66" i="12"/>
  <c r="DH66" i="12"/>
  <c r="DI66" i="12"/>
  <c r="DJ66" i="12"/>
  <c r="DK66" i="12"/>
  <c r="DL66" i="12"/>
  <c r="DM66" i="12"/>
  <c r="DN66" i="12"/>
  <c r="DO66" i="12"/>
  <c r="DP66" i="12"/>
  <c r="DQ66" i="12"/>
  <c r="DR66" i="12"/>
  <c r="DS66" i="12"/>
  <c r="DT66" i="12"/>
  <c r="DU66" i="12"/>
  <c r="DV66" i="12"/>
  <c r="DW66" i="12"/>
  <c r="DX66" i="12"/>
  <c r="DY66" i="12"/>
  <c r="DZ66" i="12"/>
  <c r="EA66" i="12"/>
  <c r="EB66" i="12"/>
  <c r="EC66" i="12"/>
  <c r="ED66" i="12"/>
  <c r="EE66" i="12"/>
  <c r="EF66" i="12"/>
  <c r="EG66" i="12"/>
  <c r="EH66" i="12"/>
  <c r="EI66" i="12"/>
  <c r="EJ66" i="12"/>
  <c r="EK66" i="12"/>
  <c r="EL66" i="12"/>
  <c r="EM66" i="12"/>
  <c r="EN66" i="12"/>
  <c r="EO66" i="12"/>
  <c r="EP66" i="12"/>
  <c r="EQ66" i="12"/>
  <c r="ER66" i="12"/>
  <c r="ES66" i="12"/>
  <c r="ET66" i="12"/>
  <c r="EU66" i="12"/>
  <c r="EV66" i="12"/>
  <c r="EW66" i="12"/>
  <c r="EX66" i="12"/>
  <c r="EY66" i="12"/>
  <c r="EZ66" i="12"/>
  <c r="FA66" i="12"/>
  <c r="FB66" i="12"/>
  <c r="FC66" i="12"/>
  <c r="FD66" i="12"/>
  <c r="FE66" i="12"/>
  <c r="FF66" i="12"/>
  <c r="FG66" i="12"/>
  <c r="FH66" i="12"/>
  <c r="FI66" i="12"/>
  <c r="FJ66" i="12"/>
  <c r="FK66" i="12"/>
  <c r="FL66" i="12"/>
  <c r="FM66" i="12"/>
  <c r="FN66" i="12"/>
  <c r="FO66" i="12"/>
  <c r="FP66" i="12"/>
  <c r="FQ66" i="12"/>
  <c r="FR66" i="12"/>
  <c r="FS66" i="12"/>
  <c r="FT66" i="12"/>
  <c r="FU66" i="12"/>
  <c r="FV66" i="12"/>
  <c r="FW66" i="12"/>
  <c r="FX66" i="12"/>
  <c r="FY66" i="12"/>
  <c r="FZ66" i="12"/>
  <c r="GA66" i="12"/>
  <c r="GB66" i="12"/>
  <c r="GC66" i="12"/>
  <c r="GD66" i="12"/>
  <c r="GE66" i="12"/>
  <c r="GF66" i="12"/>
  <c r="GG66" i="12"/>
  <c r="GH66" i="12"/>
  <c r="GI66" i="12"/>
  <c r="GJ66" i="12"/>
  <c r="GK66" i="12"/>
  <c r="GL66" i="12"/>
  <c r="GM66" i="12"/>
  <c r="GN66" i="12"/>
  <c r="GO66" i="12"/>
  <c r="GP66" i="12"/>
  <c r="GQ66" i="12"/>
  <c r="GR66" i="12"/>
  <c r="GS66" i="12"/>
  <c r="GT66" i="12"/>
  <c r="GU66" i="12"/>
  <c r="GV66" i="12"/>
  <c r="GW66" i="12"/>
  <c r="GX66" i="12"/>
  <c r="GY66" i="12"/>
  <c r="GZ66" i="12"/>
  <c r="HA66" i="12"/>
  <c r="HB66" i="12"/>
  <c r="HC66" i="12"/>
  <c r="HD66" i="12"/>
  <c r="HE66" i="12"/>
  <c r="HF66" i="12"/>
  <c r="HG66" i="12"/>
  <c r="HH66" i="12"/>
  <c r="HI66" i="12"/>
  <c r="HJ66" i="12"/>
  <c r="HK66" i="12"/>
  <c r="HL66" i="12"/>
  <c r="HM66" i="12"/>
  <c r="HN66" i="12"/>
  <c r="HO66" i="12"/>
  <c r="HP66" i="12"/>
  <c r="HQ66" i="12"/>
  <c r="HR66" i="12"/>
  <c r="HS66" i="12"/>
  <c r="HT66" i="12"/>
  <c r="HU66" i="12"/>
  <c r="HV66" i="12"/>
  <c r="HW66" i="12"/>
  <c r="HX66" i="12"/>
  <c r="HY66" i="12"/>
  <c r="HZ66" i="12"/>
  <c r="IA66" i="12"/>
  <c r="IB66" i="12"/>
  <c r="IC66" i="12"/>
  <c r="ID66" i="12"/>
  <c r="IE66" i="12"/>
  <c r="IF66" i="12"/>
  <c r="IG66" i="12"/>
  <c r="IH66" i="12"/>
  <c r="II66" i="12"/>
  <c r="IJ66" i="12"/>
  <c r="IK66" i="12"/>
  <c r="IL66" i="12"/>
  <c r="IM66" i="12"/>
  <c r="IN66" i="12"/>
  <c r="IO66" i="12"/>
  <c r="IP66" i="12"/>
  <c r="IQ66" i="12"/>
  <c r="IR66" i="12"/>
  <c r="IS66" i="12"/>
  <c r="IT66" i="12"/>
  <c r="IU66" i="12"/>
  <c r="IV66" i="12"/>
  <c r="F67" i="12"/>
  <c r="G67" i="12"/>
  <c r="H67" i="12"/>
  <c r="I67" i="12"/>
  <c r="J67" i="12"/>
  <c r="K67" i="12"/>
  <c r="L67" i="12"/>
  <c r="M67" i="12"/>
  <c r="N67" i="12"/>
  <c r="O67" i="12"/>
  <c r="P67" i="12"/>
  <c r="Q67" i="12"/>
  <c r="R67" i="12"/>
  <c r="S67" i="12"/>
  <c r="T67" i="12"/>
  <c r="U67" i="12"/>
  <c r="V67" i="12"/>
  <c r="W67" i="12"/>
  <c r="X67" i="12"/>
  <c r="Y67" i="12"/>
  <c r="Z67" i="12"/>
  <c r="AA67" i="12"/>
  <c r="AB67" i="12"/>
  <c r="AC67" i="12"/>
  <c r="AD67" i="12"/>
  <c r="AE67" i="12"/>
  <c r="AF67" i="12"/>
  <c r="AG67" i="12"/>
  <c r="AH67" i="12"/>
  <c r="AI67" i="12"/>
  <c r="AJ67" i="12"/>
  <c r="AK67" i="12"/>
  <c r="AL67" i="12"/>
  <c r="AM67" i="12"/>
  <c r="AN67" i="12"/>
  <c r="AO67" i="12"/>
  <c r="AP67" i="12"/>
  <c r="AQ67" i="12"/>
  <c r="AR67" i="12"/>
  <c r="AS67" i="12"/>
  <c r="AT67" i="12"/>
  <c r="AU67" i="12"/>
  <c r="AV67" i="12"/>
  <c r="AW67" i="12"/>
  <c r="AX67" i="12"/>
  <c r="AY67" i="12"/>
  <c r="AZ67" i="12"/>
  <c r="BA67" i="12"/>
  <c r="BB67" i="12"/>
  <c r="BC67" i="12"/>
  <c r="BD67" i="12"/>
  <c r="BE67" i="12"/>
  <c r="BF67" i="12"/>
  <c r="BG67" i="12"/>
  <c r="BH67" i="12"/>
  <c r="BI67" i="12"/>
  <c r="BJ67" i="12"/>
  <c r="BK67" i="12"/>
  <c r="BL67" i="12"/>
  <c r="BM67" i="12"/>
  <c r="BN67" i="12"/>
  <c r="BO67" i="12"/>
  <c r="BP67" i="12"/>
  <c r="BQ67" i="12"/>
  <c r="BR67" i="12"/>
  <c r="BS67" i="12"/>
  <c r="BT67" i="12"/>
  <c r="BU67" i="12"/>
  <c r="BV67" i="12"/>
  <c r="BW67" i="12"/>
  <c r="BX67" i="12"/>
  <c r="BY67" i="12"/>
  <c r="BZ67" i="12"/>
  <c r="CA67" i="12"/>
  <c r="CB67" i="12"/>
  <c r="CC67" i="12"/>
  <c r="CD67" i="12"/>
  <c r="CE67" i="12"/>
  <c r="CF67" i="12"/>
  <c r="CG67" i="12"/>
  <c r="CH67" i="12"/>
  <c r="CI67" i="12"/>
  <c r="CJ67" i="12"/>
  <c r="CK67" i="12"/>
  <c r="CL67" i="12"/>
  <c r="CM67" i="12"/>
  <c r="CN67" i="12"/>
  <c r="CO67" i="12"/>
  <c r="CP67" i="12"/>
  <c r="CQ67" i="12"/>
  <c r="CR67" i="12"/>
  <c r="CS67" i="12"/>
  <c r="CT67" i="12"/>
  <c r="CU67" i="12"/>
  <c r="CV67" i="12"/>
  <c r="CW67" i="12"/>
  <c r="CX67" i="12"/>
  <c r="CY67" i="12"/>
  <c r="CZ67" i="12"/>
  <c r="DA67" i="12"/>
  <c r="DB67" i="12"/>
  <c r="DC67" i="12"/>
  <c r="DD67" i="12"/>
  <c r="DE67" i="12"/>
  <c r="DF67" i="12"/>
  <c r="DG67" i="12"/>
  <c r="DH67" i="12"/>
  <c r="DI67" i="12"/>
  <c r="DJ67" i="12"/>
  <c r="DK67" i="12"/>
  <c r="DL67" i="12"/>
  <c r="DM67" i="12"/>
  <c r="DN67" i="12"/>
  <c r="DO67" i="12"/>
  <c r="DP67" i="12"/>
  <c r="DQ67" i="12"/>
  <c r="DR67" i="12"/>
  <c r="DS67" i="12"/>
  <c r="DT67" i="12"/>
  <c r="DU67" i="12"/>
  <c r="DV67" i="12"/>
  <c r="DW67" i="12"/>
  <c r="DX67" i="12"/>
  <c r="DY67" i="12"/>
  <c r="DZ67" i="12"/>
  <c r="EA67" i="12"/>
  <c r="EB67" i="12"/>
  <c r="EC67" i="12"/>
  <c r="ED67" i="12"/>
  <c r="EE67" i="12"/>
  <c r="EF67" i="12"/>
  <c r="EG67" i="12"/>
  <c r="EH67" i="12"/>
  <c r="EI67" i="12"/>
  <c r="EJ67" i="12"/>
  <c r="EK67" i="12"/>
  <c r="EL67" i="12"/>
  <c r="EM67" i="12"/>
  <c r="EN67" i="12"/>
  <c r="EO67" i="12"/>
  <c r="EP67" i="12"/>
  <c r="EQ67" i="12"/>
  <c r="ER67" i="12"/>
  <c r="ES67" i="12"/>
  <c r="ET67" i="12"/>
  <c r="EU67" i="12"/>
  <c r="EV67" i="12"/>
  <c r="EW67" i="12"/>
  <c r="EX67" i="12"/>
  <c r="EY67" i="12"/>
  <c r="EZ67" i="12"/>
  <c r="FA67" i="12"/>
  <c r="FB67" i="12"/>
  <c r="FC67" i="12"/>
  <c r="FD67" i="12"/>
  <c r="FE67" i="12"/>
  <c r="FF67" i="12"/>
  <c r="FG67" i="12"/>
  <c r="FH67" i="12"/>
  <c r="FI67" i="12"/>
  <c r="FJ67" i="12"/>
  <c r="FK67" i="12"/>
  <c r="FL67" i="12"/>
  <c r="FM67" i="12"/>
  <c r="FN67" i="12"/>
  <c r="FO67" i="12"/>
  <c r="FP67" i="12"/>
  <c r="FQ67" i="12"/>
  <c r="FR67" i="12"/>
  <c r="FS67" i="12"/>
  <c r="FT67" i="12"/>
  <c r="FU67" i="12"/>
  <c r="FV67" i="12"/>
  <c r="FW67" i="12"/>
  <c r="FX67" i="12"/>
  <c r="FY67" i="12"/>
  <c r="FZ67" i="12"/>
  <c r="GA67" i="12"/>
  <c r="GB67" i="12"/>
  <c r="GC67" i="12"/>
  <c r="GD67" i="12"/>
  <c r="GE67" i="12"/>
  <c r="GF67" i="12"/>
  <c r="GG67" i="12"/>
  <c r="GH67" i="12"/>
  <c r="GI67" i="12"/>
  <c r="GJ67" i="12"/>
  <c r="GK67" i="12"/>
  <c r="GL67" i="12"/>
  <c r="GM67" i="12"/>
  <c r="GN67" i="12"/>
  <c r="GO67" i="12"/>
  <c r="GP67" i="12"/>
  <c r="GQ67" i="12"/>
  <c r="GR67" i="12"/>
  <c r="GS67" i="12"/>
  <c r="GT67" i="12"/>
  <c r="GU67" i="12"/>
  <c r="GV67" i="12"/>
  <c r="GW67" i="12"/>
  <c r="GX67" i="12"/>
  <c r="GY67" i="12"/>
  <c r="GZ67" i="12"/>
  <c r="HA67" i="12"/>
  <c r="HB67" i="12"/>
  <c r="HC67" i="12"/>
  <c r="HD67" i="12"/>
  <c r="HE67" i="12"/>
  <c r="HF67" i="12"/>
  <c r="HG67" i="12"/>
  <c r="HH67" i="12"/>
  <c r="HI67" i="12"/>
  <c r="HJ67" i="12"/>
  <c r="HK67" i="12"/>
  <c r="HL67" i="12"/>
  <c r="HM67" i="12"/>
  <c r="HN67" i="12"/>
  <c r="HO67" i="12"/>
  <c r="HP67" i="12"/>
  <c r="HQ67" i="12"/>
  <c r="HR67" i="12"/>
  <c r="HS67" i="12"/>
  <c r="HT67" i="12"/>
  <c r="HU67" i="12"/>
  <c r="HV67" i="12"/>
  <c r="HW67" i="12"/>
  <c r="HX67" i="12"/>
  <c r="HY67" i="12"/>
  <c r="HZ67" i="12"/>
  <c r="IA67" i="12"/>
  <c r="IB67" i="12"/>
  <c r="IC67" i="12"/>
  <c r="ID67" i="12"/>
  <c r="IE67" i="12"/>
  <c r="IF67" i="12"/>
  <c r="IG67" i="12"/>
  <c r="IH67" i="12"/>
  <c r="II67" i="12"/>
  <c r="IJ67" i="12"/>
  <c r="IK67" i="12"/>
  <c r="IL67" i="12"/>
  <c r="IM67" i="12"/>
  <c r="IN67" i="12"/>
  <c r="IO67" i="12"/>
  <c r="IP67" i="12"/>
  <c r="IQ67" i="12"/>
  <c r="IR67" i="12"/>
  <c r="IS67" i="12"/>
  <c r="IT67" i="12"/>
  <c r="IU67" i="12"/>
  <c r="IV67" i="12"/>
  <c r="F68" i="12"/>
  <c r="G68" i="12"/>
  <c r="H68" i="12"/>
  <c r="I68" i="12"/>
  <c r="J68" i="12"/>
  <c r="K68" i="12"/>
  <c r="L68" i="12"/>
  <c r="M68" i="12"/>
  <c r="N68" i="12"/>
  <c r="O68" i="12"/>
  <c r="P68" i="12"/>
  <c r="Q68" i="12"/>
  <c r="R68" i="12"/>
  <c r="S68" i="12"/>
  <c r="T68" i="12"/>
  <c r="U68" i="12"/>
  <c r="V68" i="12"/>
  <c r="W68" i="12"/>
  <c r="X68" i="12"/>
  <c r="Y68" i="12"/>
  <c r="Z68" i="12"/>
  <c r="AA68" i="12"/>
  <c r="AB68" i="12"/>
  <c r="AC68" i="12"/>
  <c r="AD68" i="12"/>
  <c r="AE68" i="12"/>
  <c r="AF68" i="12"/>
  <c r="AG68" i="12"/>
  <c r="AH68" i="12"/>
  <c r="AI68" i="12"/>
  <c r="AJ68" i="12"/>
  <c r="AK68" i="12"/>
  <c r="AL68" i="12"/>
  <c r="AM68" i="12"/>
  <c r="AN68" i="12"/>
  <c r="AO68" i="12"/>
  <c r="AP68" i="12"/>
  <c r="AQ68" i="12"/>
  <c r="AR68" i="12"/>
  <c r="AS68" i="12"/>
  <c r="AT68" i="12"/>
  <c r="AU68" i="12"/>
  <c r="AV68" i="12"/>
  <c r="AW68" i="12"/>
  <c r="AX68" i="12"/>
  <c r="AY68" i="12"/>
  <c r="AZ68" i="12"/>
  <c r="BA68" i="12"/>
  <c r="BB68" i="12"/>
  <c r="BC68" i="12"/>
  <c r="BD68" i="12"/>
  <c r="BE68" i="12"/>
  <c r="BF68" i="12"/>
  <c r="BG68" i="12"/>
  <c r="BH68" i="12"/>
  <c r="BI68" i="12"/>
  <c r="BJ68" i="12"/>
  <c r="BK68" i="12"/>
  <c r="BL68" i="12"/>
  <c r="BM68" i="12"/>
  <c r="BN68" i="12"/>
  <c r="BO68" i="12"/>
  <c r="BP68" i="12"/>
  <c r="BQ68" i="12"/>
  <c r="BR68" i="12"/>
  <c r="BS68" i="12"/>
  <c r="BT68" i="12"/>
  <c r="BU68" i="12"/>
  <c r="BV68" i="12"/>
  <c r="BW68" i="12"/>
  <c r="BX68" i="12"/>
  <c r="BY68" i="12"/>
  <c r="BZ68" i="12"/>
  <c r="CA68" i="12"/>
  <c r="CB68" i="12"/>
  <c r="CC68" i="12"/>
  <c r="CD68" i="12"/>
  <c r="CE68" i="12"/>
  <c r="CF68" i="12"/>
  <c r="CG68" i="12"/>
  <c r="CH68" i="12"/>
  <c r="CI68" i="12"/>
  <c r="CJ68" i="12"/>
  <c r="CK68" i="12"/>
  <c r="CL68" i="12"/>
  <c r="CM68" i="12"/>
  <c r="CN68" i="12"/>
  <c r="CO68" i="12"/>
  <c r="CP68" i="12"/>
  <c r="CQ68" i="12"/>
  <c r="CR68" i="12"/>
  <c r="CS68" i="12"/>
  <c r="CT68" i="12"/>
  <c r="CU68" i="12"/>
  <c r="CV68" i="12"/>
  <c r="CW68" i="12"/>
  <c r="CX68" i="12"/>
  <c r="CY68" i="12"/>
  <c r="CZ68" i="12"/>
  <c r="DA68" i="12"/>
  <c r="DB68" i="12"/>
  <c r="DC68" i="12"/>
  <c r="DD68" i="12"/>
  <c r="DE68" i="12"/>
  <c r="DF68" i="12"/>
  <c r="DG68" i="12"/>
  <c r="DH68" i="12"/>
  <c r="DI68" i="12"/>
  <c r="DJ68" i="12"/>
  <c r="DK68" i="12"/>
  <c r="DL68" i="12"/>
  <c r="DM68" i="12"/>
  <c r="DN68" i="12"/>
  <c r="DO68" i="12"/>
  <c r="DP68" i="12"/>
  <c r="DQ68" i="12"/>
  <c r="DR68" i="12"/>
  <c r="DS68" i="12"/>
  <c r="DT68" i="12"/>
  <c r="DU68" i="12"/>
  <c r="DV68" i="12"/>
  <c r="DW68" i="12"/>
  <c r="DX68" i="12"/>
  <c r="DY68" i="12"/>
  <c r="DZ68" i="12"/>
  <c r="EA68" i="12"/>
  <c r="EB68" i="12"/>
  <c r="EC68" i="12"/>
  <c r="ED68" i="12"/>
  <c r="EE68" i="12"/>
  <c r="EF68" i="12"/>
  <c r="EG68" i="12"/>
  <c r="EH68" i="12"/>
  <c r="EI68" i="12"/>
  <c r="EJ68" i="12"/>
  <c r="EK68" i="12"/>
  <c r="EL68" i="12"/>
  <c r="EM68" i="12"/>
  <c r="EN68" i="12"/>
  <c r="EO68" i="12"/>
  <c r="EP68" i="12"/>
  <c r="EQ68" i="12"/>
  <c r="ER68" i="12"/>
  <c r="ES68" i="12"/>
  <c r="ET68" i="12"/>
  <c r="EU68" i="12"/>
  <c r="EV68" i="12"/>
  <c r="EW68" i="12"/>
  <c r="EX68" i="12"/>
  <c r="EY68" i="12"/>
  <c r="EZ68" i="12"/>
  <c r="FA68" i="12"/>
  <c r="FB68" i="12"/>
  <c r="FC68" i="12"/>
  <c r="FD68" i="12"/>
  <c r="FE68" i="12"/>
  <c r="FF68" i="12"/>
  <c r="FG68" i="12"/>
  <c r="FH68" i="12"/>
  <c r="FI68" i="12"/>
  <c r="FJ68" i="12"/>
  <c r="FK68" i="12"/>
  <c r="FL68" i="12"/>
  <c r="FM68" i="12"/>
  <c r="FN68" i="12"/>
  <c r="FO68" i="12"/>
  <c r="FP68" i="12"/>
  <c r="FQ68" i="12"/>
  <c r="FR68" i="12"/>
  <c r="FS68" i="12"/>
  <c r="FT68" i="12"/>
  <c r="FU68" i="12"/>
  <c r="FV68" i="12"/>
  <c r="FW68" i="12"/>
  <c r="FX68" i="12"/>
  <c r="FY68" i="12"/>
  <c r="FZ68" i="12"/>
  <c r="GA68" i="12"/>
  <c r="GB68" i="12"/>
  <c r="GC68" i="12"/>
  <c r="GD68" i="12"/>
  <c r="GE68" i="12"/>
  <c r="GF68" i="12"/>
  <c r="GG68" i="12"/>
  <c r="GH68" i="12"/>
  <c r="GI68" i="12"/>
  <c r="GJ68" i="12"/>
  <c r="GK68" i="12"/>
  <c r="GL68" i="12"/>
  <c r="GM68" i="12"/>
  <c r="GN68" i="12"/>
  <c r="GO68" i="12"/>
  <c r="GP68" i="12"/>
  <c r="GQ68" i="12"/>
  <c r="GR68" i="12"/>
  <c r="GS68" i="12"/>
  <c r="GT68" i="12"/>
  <c r="GU68" i="12"/>
  <c r="GV68" i="12"/>
  <c r="GW68" i="12"/>
  <c r="GX68" i="12"/>
  <c r="GY68" i="12"/>
  <c r="GZ68" i="12"/>
  <c r="HA68" i="12"/>
  <c r="HB68" i="12"/>
  <c r="HC68" i="12"/>
  <c r="HD68" i="12"/>
  <c r="HE68" i="12"/>
  <c r="HF68" i="12"/>
  <c r="HG68" i="12"/>
  <c r="HH68" i="12"/>
  <c r="HI68" i="12"/>
  <c r="HJ68" i="12"/>
  <c r="HK68" i="12"/>
  <c r="HL68" i="12"/>
  <c r="HM68" i="12"/>
  <c r="HN68" i="12"/>
  <c r="HO68" i="12"/>
  <c r="HP68" i="12"/>
  <c r="HQ68" i="12"/>
  <c r="HR68" i="12"/>
  <c r="HS68" i="12"/>
  <c r="HT68" i="12"/>
  <c r="HU68" i="12"/>
  <c r="HV68" i="12"/>
  <c r="HW68" i="12"/>
  <c r="HX68" i="12"/>
  <c r="HY68" i="12"/>
  <c r="HZ68" i="12"/>
  <c r="IA68" i="12"/>
  <c r="IB68" i="12"/>
  <c r="IC68" i="12"/>
  <c r="ID68" i="12"/>
  <c r="IE68" i="12"/>
  <c r="IF68" i="12"/>
  <c r="IG68" i="12"/>
  <c r="IH68" i="12"/>
  <c r="II68" i="12"/>
  <c r="IJ68" i="12"/>
  <c r="IK68" i="12"/>
  <c r="IL68" i="12"/>
  <c r="IM68" i="12"/>
  <c r="IN68" i="12"/>
  <c r="IO68" i="12"/>
  <c r="IP68" i="12"/>
  <c r="IQ68" i="12"/>
  <c r="IR68" i="12"/>
  <c r="IS68" i="12"/>
  <c r="IT68" i="12"/>
  <c r="IU68" i="12"/>
  <c r="IV68" i="12"/>
  <c r="F69" i="12"/>
  <c r="G69" i="12"/>
  <c r="H69" i="12"/>
  <c r="I69" i="12"/>
  <c r="J69" i="12"/>
  <c r="K69" i="12"/>
  <c r="L69" i="12"/>
  <c r="M69" i="12"/>
  <c r="N69" i="12"/>
  <c r="O69" i="12"/>
  <c r="P69" i="12"/>
  <c r="Q69" i="12"/>
  <c r="R69" i="12"/>
  <c r="S69" i="12"/>
  <c r="T69" i="12"/>
  <c r="U69" i="12"/>
  <c r="V69" i="12"/>
  <c r="W69" i="12"/>
  <c r="X69" i="12"/>
  <c r="Y69" i="12"/>
  <c r="Z69" i="12"/>
  <c r="AA69" i="12"/>
  <c r="AB69" i="12"/>
  <c r="AC69" i="12"/>
  <c r="AD69" i="12"/>
  <c r="AE69" i="12"/>
  <c r="AF69" i="12"/>
  <c r="AG69" i="12"/>
  <c r="AH69" i="12"/>
  <c r="AI69" i="12"/>
  <c r="AJ69" i="12"/>
  <c r="AK69" i="12"/>
  <c r="AL69" i="12"/>
  <c r="AM69" i="12"/>
  <c r="AN69" i="12"/>
  <c r="AO69" i="12"/>
  <c r="AP69" i="12"/>
  <c r="AQ69" i="12"/>
  <c r="AR69" i="12"/>
  <c r="AS69" i="12"/>
  <c r="AT69" i="12"/>
  <c r="AU69" i="12"/>
  <c r="AV69" i="12"/>
  <c r="AW69" i="12"/>
  <c r="AX69" i="12"/>
  <c r="AY69" i="12"/>
  <c r="AZ69" i="12"/>
  <c r="BA69" i="12"/>
  <c r="BB69" i="12"/>
  <c r="BC69" i="12"/>
  <c r="BD69" i="12"/>
  <c r="BE69" i="12"/>
  <c r="BF69" i="12"/>
  <c r="BG69" i="12"/>
  <c r="BH69" i="12"/>
  <c r="BI69" i="12"/>
  <c r="BJ69" i="12"/>
  <c r="BK69" i="12"/>
  <c r="BL69" i="12"/>
  <c r="BM69" i="12"/>
  <c r="BN69" i="12"/>
  <c r="BO69" i="12"/>
  <c r="BP69" i="12"/>
  <c r="BQ69" i="12"/>
  <c r="BR69" i="12"/>
  <c r="BS69" i="12"/>
  <c r="BT69" i="12"/>
  <c r="BU69" i="12"/>
  <c r="BV69" i="12"/>
  <c r="BW69" i="12"/>
  <c r="BX69" i="12"/>
  <c r="BY69" i="12"/>
  <c r="BZ69" i="12"/>
  <c r="CA69" i="12"/>
  <c r="CB69" i="12"/>
  <c r="CC69" i="12"/>
  <c r="CD69" i="12"/>
  <c r="CE69" i="12"/>
  <c r="CF69" i="12"/>
  <c r="CG69" i="12"/>
  <c r="CH69" i="12"/>
  <c r="CI69" i="12"/>
  <c r="CJ69" i="12"/>
  <c r="CK69" i="12"/>
  <c r="CL69" i="12"/>
  <c r="CM69" i="12"/>
  <c r="CN69" i="12"/>
  <c r="CO69" i="12"/>
  <c r="CP69" i="12"/>
  <c r="CQ69" i="12"/>
  <c r="CR69" i="12"/>
  <c r="CS69" i="12"/>
  <c r="CT69" i="12"/>
  <c r="CU69" i="12"/>
  <c r="CV69" i="12"/>
  <c r="CW69" i="12"/>
  <c r="CX69" i="12"/>
  <c r="CY69" i="12"/>
  <c r="CZ69" i="12"/>
  <c r="DA69" i="12"/>
  <c r="DB69" i="12"/>
  <c r="DC69" i="12"/>
  <c r="DD69" i="12"/>
  <c r="DE69" i="12"/>
  <c r="DF69" i="12"/>
  <c r="DG69" i="12"/>
  <c r="DH69" i="12"/>
  <c r="DI69" i="12"/>
  <c r="DJ69" i="12"/>
  <c r="DK69" i="12"/>
  <c r="DL69" i="12"/>
  <c r="DM69" i="12"/>
  <c r="DN69" i="12"/>
  <c r="DO69" i="12"/>
  <c r="DP69" i="12"/>
  <c r="DQ69" i="12"/>
  <c r="DR69" i="12"/>
  <c r="DS69" i="12"/>
  <c r="DT69" i="12"/>
  <c r="DU69" i="12"/>
  <c r="DV69" i="12"/>
  <c r="DW69" i="12"/>
  <c r="DX69" i="12"/>
  <c r="DY69" i="12"/>
  <c r="DZ69" i="12"/>
  <c r="EA69" i="12"/>
  <c r="EB69" i="12"/>
  <c r="EC69" i="12"/>
  <c r="ED69" i="12"/>
  <c r="EE69" i="12"/>
  <c r="EF69" i="12"/>
  <c r="EG69" i="12"/>
  <c r="EH69" i="12"/>
  <c r="EI69" i="12"/>
  <c r="EJ69" i="12"/>
  <c r="EK69" i="12"/>
  <c r="EL69" i="12"/>
  <c r="EM69" i="12"/>
  <c r="EN69" i="12"/>
  <c r="EO69" i="12"/>
  <c r="EP69" i="12"/>
  <c r="EQ69" i="12"/>
  <c r="ER69" i="12"/>
  <c r="ES69" i="12"/>
  <c r="ET69" i="12"/>
  <c r="EU69" i="12"/>
  <c r="EV69" i="12"/>
  <c r="EW69" i="12"/>
  <c r="EX69" i="12"/>
  <c r="EY69" i="12"/>
  <c r="EZ69" i="12"/>
  <c r="FA69" i="12"/>
  <c r="FB69" i="12"/>
  <c r="FC69" i="12"/>
  <c r="FD69" i="12"/>
  <c r="FE69" i="12"/>
  <c r="FF69" i="12"/>
  <c r="FG69" i="12"/>
  <c r="FH69" i="12"/>
  <c r="FI69" i="12"/>
  <c r="FJ69" i="12"/>
  <c r="FK69" i="12"/>
  <c r="FL69" i="12"/>
  <c r="FM69" i="12"/>
  <c r="FN69" i="12"/>
  <c r="FO69" i="12"/>
  <c r="FP69" i="12"/>
  <c r="FQ69" i="12"/>
  <c r="FR69" i="12"/>
  <c r="FS69" i="12"/>
  <c r="FT69" i="12"/>
  <c r="FU69" i="12"/>
  <c r="FV69" i="12"/>
  <c r="FW69" i="12"/>
  <c r="FX69" i="12"/>
  <c r="FY69" i="12"/>
  <c r="FZ69" i="12"/>
  <c r="GA69" i="12"/>
  <c r="GB69" i="12"/>
  <c r="GC69" i="12"/>
  <c r="GD69" i="12"/>
  <c r="GE69" i="12"/>
  <c r="GF69" i="12"/>
  <c r="GG69" i="12"/>
  <c r="GH69" i="12"/>
  <c r="GI69" i="12"/>
  <c r="GJ69" i="12"/>
  <c r="GK69" i="12"/>
  <c r="GL69" i="12"/>
  <c r="GM69" i="12"/>
  <c r="GN69" i="12"/>
  <c r="GO69" i="12"/>
  <c r="GP69" i="12"/>
  <c r="GQ69" i="12"/>
  <c r="GR69" i="12"/>
  <c r="GS69" i="12"/>
  <c r="GT69" i="12"/>
  <c r="GU69" i="12"/>
  <c r="GV69" i="12"/>
  <c r="GW69" i="12"/>
  <c r="GX69" i="12"/>
  <c r="GY69" i="12"/>
  <c r="GZ69" i="12"/>
  <c r="HA69" i="12"/>
  <c r="HB69" i="12"/>
  <c r="HC69" i="12"/>
  <c r="HD69" i="12"/>
  <c r="HE69" i="12"/>
  <c r="HF69" i="12"/>
  <c r="HG69" i="12"/>
  <c r="HH69" i="12"/>
  <c r="HI69" i="12"/>
  <c r="HJ69" i="12"/>
  <c r="HK69" i="12"/>
  <c r="HL69" i="12"/>
  <c r="HM69" i="12"/>
  <c r="HN69" i="12"/>
  <c r="HO69" i="12"/>
  <c r="HP69" i="12"/>
  <c r="HQ69" i="12"/>
  <c r="HR69" i="12"/>
  <c r="HS69" i="12"/>
  <c r="HT69" i="12"/>
  <c r="HU69" i="12"/>
  <c r="HV69" i="12"/>
  <c r="HW69" i="12"/>
  <c r="HX69" i="12"/>
  <c r="HY69" i="12"/>
  <c r="HZ69" i="12"/>
  <c r="IA69" i="12"/>
  <c r="IB69" i="12"/>
  <c r="IC69" i="12"/>
  <c r="ID69" i="12"/>
  <c r="IE69" i="12"/>
  <c r="IF69" i="12"/>
  <c r="IG69" i="12"/>
  <c r="IH69" i="12"/>
  <c r="II69" i="12"/>
  <c r="IJ69" i="12"/>
  <c r="IK69" i="12"/>
  <c r="IL69" i="12"/>
  <c r="IM69" i="12"/>
  <c r="IN69" i="12"/>
  <c r="IO69" i="12"/>
  <c r="IP69" i="12"/>
  <c r="IQ69" i="12"/>
  <c r="IR69" i="12"/>
  <c r="IS69" i="12"/>
  <c r="IT69" i="12"/>
  <c r="IU69" i="12"/>
  <c r="IV69" i="12"/>
  <c r="F70" i="12"/>
  <c r="G70" i="12"/>
  <c r="H70" i="12"/>
  <c r="I70" i="12"/>
  <c r="J70" i="12"/>
  <c r="K70" i="12"/>
  <c r="L70" i="12"/>
  <c r="M70" i="12"/>
  <c r="N70" i="12"/>
  <c r="O70" i="12"/>
  <c r="P70" i="12"/>
  <c r="Q70" i="12"/>
  <c r="R70" i="12"/>
  <c r="S70" i="12"/>
  <c r="T70" i="12"/>
  <c r="U70" i="12"/>
  <c r="V70" i="12"/>
  <c r="W70" i="12"/>
  <c r="X70" i="12"/>
  <c r="Y70" i="12"/>
  <c r="Z70" i="12"/>
  <c r="AA70" i="12"/>
  <c r="AB70" i="12"/>
  <c r="AC70" i="12"/>
  <c r="AD70" i="12"/>
  <c r="AE70" i="12"/>
  <c r="AF70" i="12"/>
  <c r="AG70" i="12"/>
  <c r="AH70" i="12"/>
  <c r="AI70" i="12"/>
  <c r="AJ70" i="12"/>
  <c r="AK70" i="12"/>
  <c r="AL70" i="12"/>
  <c r="AM70" i="12"/>
  <c r="AN70" i="12"/>
  <c r="AO70" i="12"/>
  <c r="AP70" i="12"/>
  <c r="AQ70" i="12"/>
  <c r="AR70" i="12"/>
  <c r="AS70" i="12"/>
  <c r="AT70" i="12"/>
  <c r="AU70" i="12"/>
  <c r="AV70" i="12"/>
  <c r="AW70" i="12"/>
  <c r="AX70" i="12"/>
  <c r="AY70" i="12"/>
  <c r="AZ70" i="12"/>
  <c r="BA70" i="12"/>
  <c r="BB70" i="12"/>
  <c r="BC70" i="12"/>
  <c r="BD70" i="12"/>
  <c r="BE70" i="12"/>
  <c r="BF70" i="12"/>
  <c r="BG70" i="12"/>
  <c r="BH70" i="12"/>
  <c r="BI70" i="12"/>
  <c r="BJ70" i="12"/>
  <c r="BK70" i="12"/>
  <c r="BL70" i="12"/>
  <c r="BM70" i="12"/>
  <c r="BN70" i="12"/>
  <c r="BO70" i="12"/>
  <c r="BP70" i="12"/>
  <c r="BQ70" i="12"/>
  <c r="BR70" i="12"/>
  <c r="BS70" i="12"/>
  <c r="BT70" i="12"/>
  <c r="BU70" i="12"/>
  <c r="BV70" i="12"/>
  <c r="BW70" i="12"/>
  <c r="BX70" i="12"/>
  <c r="BY70" i="12"/>
  <c r="BZ70" i="12"/>
  <c r="CA70" i="12"/>
  <c r="CB70" i="12"/>
  <c r="CC70" i="12"/>
  <c r="CD70" i="12"/>
  <c r="CE70" i="12"/>
  <c r="CF70" i="12"/>
  <c r="CG70" i="12"/>
  <c r="CH70" i="12"/>
  <c r="CI70" i="12"/>
  <c r="CJ70" i="12"/>
  <c r="CK70" i="12"/>
  <c r="CL70" i="12"/>
  <c r="CM70" i="12"/>
  <c r="CN70" i="12"/>
  <c r="CO70" i="12"/>
  <c r="CP70" i="12"/>
  <c r="CQ70" i="12"/>
  <c r="CR70" i="12"/>
  <c r="CS70" i="12"/>
  <c r="CT70" i="12"/>
  <c r="CU70" i="12"/>
  <c r="CV70" i="12"/>
  <c r="CW70" i="12"/>
  <c r="CX70" i="12"/>
  <c r="CY70" i="12"/>
  <c r="CZ70" i="12"/>
  <c r="DA70" i="12"/>
  <c r="DB70" i="12"/>
  <c r="DC70" i="12"/>
  <c r="DD70" i="12"/>
  <c r="DE70" i="12"/>
  <c r="DF70" i="12"/>
  <c r="DG70" i="12"/>
  <c r="DH70" i="12"/>
  <c r="DI70" i="12"/>
  <c r="DJ70" i="12"/>
  <c r="DK70" i="12"/>
  <c r="DL70" i="12"/>
  <c r="DM70" i="12"/>
  <c r="DN70" i="12"/>
  <c r="DO70" i="12"/>
  <c r="DP70" i="12"/>
  <c r="DQ70" i="12"/>
  <c r="DR70" i="12"/>
  <c r="DS70" i="12"/>
  <c r="DT70" i="12"/>
  <c r="DU70" i="12"/>
  <c r="DV70" i="12"/>
  <c r="DW70" i="12"/>
  <c r="DX70" i="12"/>
  <c r="DY70" i="12"/>
  <c r="DZ70" i="12"/>
  <c r="EA70" i="12"/>
  <c r="EB70" i="12"/>
  <c r="EC70" i="12"/>
  <c r="ED70" i="12"/>
  <c r="EE70" i="12"/>
  <c r="EF70" i="12"/>
  <c r="EG70" i="12"/>
  <c r="EH70" i="12"/>
  <c r="EI70" i="12"/>
  <c r="EJ70" i="12"/>
  <c r="EK70" i="12"/>
  <c r="EL70" i="12"/>
  <c r="EM70" i="12"/>
  <c r="EN70" i="12"/>
  <c r="EO70" i="12"/>
  <c r="EP70" i="12"/>
  <c r="EQ70" i="12"/>
  <c r="ER70" i="12"/>
  <c r="ES70" i="12"/>
  <c r="ET70" i="12"/>
  <c r="EU70" i="12"/>
  <c r="EV70" i="12"/>
  <c r="EW70" i="12"/>
  <c r="EX70" i="12"/>
  <c r="EY70" i="12"/>
  <c r="EZ70" i="12"/>
  <c r="FA70" i="12"/>
  <c r="FB70" i="12"/>
  <c r="FC70" i="12"/>
  <c r="FD70" i="12"/>
  <c r="FE70" i="12"/>
  <c r="FF70" i="12"/>
  <c r="FG70" i="12"/>
  <c r="FH70" i="12"/>
  <c r="FI70" i="12"/>
  <c r="FJ70" i="12"/>
  <c r="FK70" i="12"/>
  <c r="FL70" i="12"/>
  <c r="FM70" i="12"/>
  <c r="FN70" i="12"/>
  <c r="FO70" i="12"/>
  <c r="FP70" i="12"/>
  <c r="FQ70" i="12"/>
  <c r="FR70" i="12"/>
  <c r="FS70" i="12"/>
  <c r="FT70" i="12"/>
  <c r="FU70" i="12"/>
  <c r="FV70" i="12"/>
  <c r="FW70" i="12"/>
  <c r="FX70" i="12"/>
  <c r="FY70" i="12"/>
  <c r="FZ70" i="12"/>
  <c r="GA70" i="12"/>
  <c r="GB70" i="12"/>
  <c r="GC70" i="12"/>
  <c r="GD70" i="12"/>
  <c r="GE70" i="12"/>
  <c r="GF70" i="12"/>
  <c r="GG70" i="12"/>
  <c r="GH70" i="12"/>
  <c r="GI70" i="12"/>
  <c r="GJ70" i="12"/>
  <c r="GK70" i="12"/>
  <c r="GL70" i="12"/>
  <c r="GM70" i="12"/>
  <c r="GN70" i="12"/>
  <c r="GO70" i="12"/>
  <c r="GP70" i="12"/>
  <c r="GQ70" i="12"/>
  <c r="GR70" i="12"/>
  <c r="GS70" i="12"/>
  <c r="GT70" i="12"/>
  <c r="GU70" i="12"/>
  <c r="GV70" i="12"/>
  <c r="GW70" i="12"/>
  <c r="GX70" i="12"/>
  <c r="GY70" i="12"/>
  <c r="GZ70" i="12"/>
  <c r="HA70" i="12"/>
  <c r="HB70" i="12"/>
  <c r="HC70" i="12"/>
  <c r="HD70" i="12"/>
  <c r="HE70" i="12"/>
  <c r="HF70" i="12"/>
  <c r="HG70" i="12"/>
  <c r="HH70" i="12"/>
  <c r="HI70" i="12"/>
  <c r="HJ70" i="12"/>
  <c r="HK70" i="12"/>
  <c r="HL70" i="12"/>
  <c r="HM70" i="12"/>
  <c r="HN70" i="12"/>
  <c r="HO70" i="12"/>
  <c r="HP70" i="12"/>
  <c r="HQ70" i="12"/>
  <c r="HR70" i="12"/>
  <c r="HS70" i="12"/>
  <c r="HT70" i="12"/>
  <c r="HU70" i="12"/>
  <c r="HV70" i="12"/>
  <c r="HW70" i="12"/>
  <c r="HX70" i="12"/>
  <c r="HY70" i="12"/>
  <c r="HZ70" i="12"/>
  <c r="IA70" i="12"/>
  <c r="IB70" i="12"/>
  <c r="IC70" i="12"/>
  <c r="ID70" i="12"/>
  <c r="IE70" i="12"/>
  <c r="IF70" i="12"/>
  <c r="IG70" i="12"/>
  <c r="IH70" i="12"/>
  <c r="II70" i="12"/>
  <c r="IJ70" i="12"/>
  <c r="IK70" i="12"/>
  <c r="IL70" i="12"/>
  <c r="IM70" i="12"/>
  <c r="IN70" i="12"/>
  <c r="IO70" i="12"/>
  <c r="IP70" i="12"/>
  <c r="IQ70" i="12"/>
  <c r="IR70" i="12"/>
  <c r="IS70" i="12"/>
  <c r="IT70" i="12"/>
  <c r="IU70" i="12"/>
  <c r="IV70" i="12"/>
  <c r="F71" i="12"/>
  <c r="G71" i="12"/>
  <c r="H71" i="12"/>
  <c r="I71" i="12"/>
  <c r="J71" i="12"/>
  <c r="K71" i="12"/>
  <c r="L71" i="12"/>
  <c r="M71" i="12"/>
  <c r="N71" i="12"/>
  <c r="O71" i="12"/>
  <c r="P71" i="12"/>
  <c r="Q71" i="12"/>
  <c r="R71" i="12"/>
  <c r="S71" i="12"/>
  <c r="T71" i="12"/>
  <c r="U71" i="12"/>
  <c r="V71" i="12"/>
  <c r="W71" i="12"/>
  <c r="X71" i="12"/>
  <c r="Y71" i="12"/>
  <c r="Z71" i="12"/>
  <c r="AA71" i="12"/>
  <c r="AB71" i="12"/>
  <c r="AC71" i="12"/>
  <c r="AD71" i="12"/>
  <c r="AE71" i="12"/>
  <c r="AF71" i="12"/>
  <c r="AG71" i="12"/>
  <c r="AH71" i="12"/>
  <c r="AI71" i="12"/>
  <c r="AJ71" i="12"/>
  <c r="AK71" i="12"/>
  <c r="AL71" i="12"/>
  <c r="AM71" i="12"/>
  <c r="AN71" i="12"/>
  <c r="AO71" i="12"/>
  <c r="AP71" i="12"/>
  <c r="AQ71" i="12"/>
  <c r="AR71" i="12"/>
  <c r="AS71" i="12"/>
  <c r="AT71" i="12"/>
  <c r="AU71" i="12"/>
  <c r="AV71" i="12"/>
  <c r="AW71" i="12"/>
  <c r="AX71" i="12"/>
  <c r="AY71" i="12"/>
  <c r="AZ71" i="12"/>
  <c r="BA71" i="12"/>
  <c r="BB71" i="12"/>
  <c r="BC71" i="12"/>
  <c r="BD71" i="12"/>
  <c r="BE71" i="12"/>
  <c r="BF71" i="12"/>
  <c r="BG71" i="12"/>
  <c r="BH71" i="12"/>
  <c r="BI71" i="12"/>
  <c r="BJ71" i="12"/>
  <c r="BK71" i="12"/>
  <c r="BL71" i="12"/>
  <c r="BM71" i="12"/>
  <c r="BN71" i="12"/>
  <c r="BO71" i="12"/>
  <c r="BP71" i="12"/>
  <c r="BQ71" i="12"/>
  <c r="BR71" i="12"/>
  <c r="BS71" i="12"/>
  <c r="BT71" i="12"/>
  <c r="BU71" i="12"/>
  <c r="BV71" i="12"/>
  <c r="BW71" i="12"/>
  <c r="BX71" i="12"/>
  <c r="BY71" i="12"/>
  <c r="BZ71" i="12"/>
  <c r="CA71" i="12"/>
  <c r="CB71" i="12"/>
  <c r="CC71" i="12"/>
  <c r="CD71" i="12"/>
  <c r="CE71" i="12"/>
  <c r="CF71" i="12"/>
  <c r="CG71" i="12"/>
  <c r="CH71" i="12"/>
  <c r="CI71" i="12"/>
  <c r="CJ71" i="12"/>
  <c r="CK71" i="12"/>
  <c r="CL71" i="12"/>
  <c r="CM71" i="12"/>
  <c r="CN71" i="12"/>
  <c r="CO71" i="12"/>
  <c r="CP71" i="12"/>
  <c r="CQ71" i="12"/>
  <c r="CR71" i="12"/>
  <c r="CS71" i="12"/>
  <c r="CT71" i="12"/>
  <c r="CU71" i="12"/>
  <c r="CV71" i="12"/>
  <c r="CW71" i="12"/>
  <c r="CX71" i="12"/>
  <c r="CY71" i="12"/>
  <c r="CZ71" i="12"/>
  <c r="DA71" i="12"/>
  <c r="DB71" i="12"/>
  <c r="DC71" i="12"/>
  <c r="DD71" i="12"/>
  <c r="DE71" i="12"/>
  <c r="DF71" i="12"/>
  <c r="DG71" i="12"/>
  <c r="DH71" i="12"/>
  <c r="DI71" i="12"/>
  <c r="DJ71" i="12"/>
  <c r="DK71" i="12"/>
  <c r="DL71" i="12"/>
  <c r="DM71" i="12"/>
  <c r="DN71" i="12"/>
  <c r="DO71" i="12"/>
  <c r="DP71" i="12"/>
  <c r="DQ71" i="12"/>
  <c r="DR71" i="12"/>
  <c r="DS71" i="12"/>
  <c r="DT71" i="12"/>
  <c r="DU71" i="12"/>
  <c r="DV71" i="12"/>
  <c r="DW71" i="12"/>
  <c r="DX71" i="12"/>
  <c r="DY71" i="12"/>
  <c r="DZ71" i="12"/>
  <c r="EA71" i="12"/>
  <c r="EB71" i="12"/>
  <c r="EC71" i="12"/>
  <c r="ED71" i="12"/>
  <c r="EE71" i="12"/>
  <c r="EF71" i="12"/>
  <c r="EG71" i="12"/>
  <c r="EH71" i="12"/>
  <c r="EI71" i="12"/>
  <c r="EJ71" i="12"/>
  <c r="EK71" i="12"/>
  <c r="EL71" i="12"/>
  <c r="EM71" i="12"/>
  <c r="EN71" i="12"/>
  <c r="EO71" i="12"/>
  <c r="EP71" i="12"/>
  <c r="EQ71" i="12"/>
  <c r="ER71" i="12"/>
  <c r="ES71" i="12"/>
  <c r="ET71" i="12"/>
  <c r="EU71" i="12"/>
  <c r="EV71" i="12"/>
  <c r="EW71" i="12"/>
  <c r="EX71" i="12"/>
  <c r="EY71" i="12"/>
  <c r="EZ71" i="12"/>
  <c r="FA71" i="12"/>
  <c r="FB71" i="12"/>
  <c r="FC71" i="12"/>
  <c r="FD71" i="12"/>
  <c r="FE71" i="12"/>
  <c r="FF71" i="12"/>
  <c r="FG71" i="12"/>
  <c r="FH71" i="12"/>
  <c r="FI71" i="12"/>
  <c r="FJ71" i="12"/>
  <c r="FK71" i="12"/>
  <c r="FL71" i="12"/>
  <c r="FM71" i="12"/>
  <c r="FN71" i="12"/>
  <c r="FO71" i="12"/>
  <c r="FP71" i="12"/>
  <c r="FQ71" i="12"/>
  <c r="FR71" i="12"/>
  <c r="FS71" i="12"/>
  <c r="FT71" i="12"/>
  <c r="FU71" i="12"/>
  <c r="FV71" i="12"/>
  <c r="FW71" i="12"/>
  <c r="FX71" i="12"/>
  <c r="FY71" i="12"/>
  <c r="FZ71" i="12"/>
  <c r="GA71" i="12"/>
  <c r="GB71" i="12"/>
  <c r="GC71" i="12"/>
  <c r="GD71" i="12"/>
  <c r="GE71" i="12"/>
  <c r="GF71" i="12"/>
  <c r="GG71" i="12"/>
  <c r="GH71" i="12"/>
  <c r="GI71" i="12"/>
  <c r="GJ71" i="12"/>
  <c r="GK71" i="12"/>
  <c r="GL71" i="12"/>
  <c r="GM71" i="12"/>
  <c r="GN71" i="12"/>
  <c r="GO71" i="12"/>
  <c r="GP71" i="12"/>
  <c r="GQ71" i="12"/>
  <c r="GR71" i="12"/>
  <c r="GS71" i="12"/>
  <c r="GT71" i="12"/>
  <c r="GU71" i="12"/>
  <c r="GV71" i="12"/>
  <c r="GW71" i="12"/>
  <c r="GX71" i="12"/>
  <c r="GY71" i="12"/>
  <c r="GZ71" i="12"/>
  <c r="HA71" i="12"/>
  <c r="HB71" i="12"/>
  <c r="HC71" i="12"/>
  <c r="HD71" i="12"/>
  <c r="HE71" i="12"/>
  <c r="HF71" i="12"/>
  <c r="HG71" i="12"/>
  <c r="HH71" i="12"/>
  <c r="HI71" i="12"/>
  <c r="HJ71" i="12"/>
  <c r="HK71" i="12"/>
  <c r="HL71" i="12"/>
  <c r="HM71" i="12"/>
  <c r="HN71" i="12"/>
  <c r="HO71" i="12"/>
  <c r="HP71" i="12"/>
  <c r="HQ71" i="12"/>
  <c r="HR71" i="12"/>
  <c r="HS71" i="12"/>
  <c r="HT71" i="12"/>
  <c r="HU71" i="12"/>
  <c r="HV71" i="12"/>
  <c r="HW71" i="12"/>
  <c r="HX71" i="12"/>
  <c r="HY71" i="12"/>
  <c r="HZ71" i="12"/>
  <c r="IA71" i="12"/>
  <c r="IB71" i="12"/>
  <c r="IC71" i="12"/>
  <c r="ID71" i="12"/>
  <c r="IE71" i="12"/>
  <c r="IF71" i="12"/>
  <c r="IG71" i="12"/>
  <c r="IH71" i="12"/>
  <c r="II71" i="12"/>
  <c r="IJ71" i="12"/>
  <c r="IK71" i="12"/>
  <c r="IL71" i="12"/>
  <c r="IM71" i="12"/>
  <c r="IN71" i="12"/>
  <c r="IO71" i="12"/>
  <c r="IP71" i="12"/>
  <c r="IQ71" i="12"/>
  <c r="IR71" i="12"/>
  <c r="IS71" i="12"/>
  <c r="IT71" i="12"/>
  <c r="IU71" i="12"/>
  <c r="IV71" i="12"/>
  <c r="F72" i="12"/>
  <c r="G72" i="12"/>
  <c r="H72" i="12"/>
  <c r="I72" i="12"/>
  <c r="J72" i="12"/>
  <c r="K72" i="12"/>
  <c r="L72" i="12"/>
  <c r="M72" i="12"/>
  <c r="N72" i="12"/>
  <c r="O72" i="12"/>
  <c r="P72" i="12"/>
  <c r="Q72" i="12"/>
  <c r="R72" i="12"/>
  <c r="S72" i="12"/>
  <c r="T72" i="12"/>
  <c r="U72" i="12"/>
  <c r="V72" i="12"/>
  <c r="W72" i="12"/>
  <c r="X72" i="12"/>
  <c r="Y72" i="12"/>
  <c r="Z72" i="12"/>
  <c r="AA72" i="12"/>
  <c r="AB72" i="12"/>
  <c r="AC72" i="12"/>
  <c r="AD72" i="12"/>
  <c r="AE72" i="12"/>
  <c r="AF72" i="12"/>
  <c r="AG72" i="12"/>
  <c r="AH72" i="12"/>
  <c r="AI72" i="12"/>
  <c r="AJ72" i="12"/>
  <c r="AK72" i="12"/>
  <c r="AL72" i="12"/>
  <c r="AM72" i="12"/>
  <c r="AN72" i="12"/>
  <c r="AO72" i="12"/>
  <c r="AP72" i="12"/>
  <c r="AQ72" i="12"/>
  <c r="AR72" i="12"/>
  <c r="AS72" i="12"/>
  <c r="AT72" i="12"/>
  <c r="AU72" i="12"/>
  <c r="AV72" i="12"/>
  <c r="AW72" i="12"/>
  <c r="AX72" i="12"/>
  <c r="AY72" i="12"/>
  <c r="AZ72" i="12"/>
  <c r="BA72" i="12"/>
  <c r="BB72" i="12"/>
  <c r="BC72" i="12"/>
  <c r="BD72" i="12"/>
  <c r="BE72" i="12"/>
  <c r="BF72" i="12"/>
  <c r="BG72" i="12"/>
  <c r="BH72" i="12"/>
  <c r="BI72" i="12"/>
  <c r="BJ72" i="12"/>
  <c r="BK72" i="12"/>
  <c r="BL72" i="12"/>
  <c r="BM72" i="12"/>
  <c r="BN72" i="12"/>
  <c r="BO72" i="12"/>
  <c r="BP72" i="12"/>
  <c r="BQ72" i="12"/>
  <c r="BR72" i="12"/>
  <c r="BS72" i="12"/>
  <c r="BT72" i="12"/>
  <c r="BU72" i="12"/>
  <c r="BV72" i="12"/>
  <c r="BW72" i="12"/>
  <c r="BX72" i="12"/>
  <c r="BY72" i="12"/>
  <c r="BZ72" i="12"/>
  <c r="CA72" i="12"/>
  <c r="CB72" i="12"/>
  <c r="CC72" i="12"/>
  <c r="CD72" i="12"/>
  <c r="CE72" i="12"/>
  <c r="CF72" i="12"/>
  <c r="CG72" i="12"/>
  <c r="CH72" i="12"/>
  <c r="CI72" i="12"/>
  <c r="CJ72" i="12"/>
  <c r="CK72" i="12"/>
  <c r="CL72" i="12"/>
  <c r="CM72" i="12"/>
  <c r="CN72" i="12"/>
  <c r="CO72" i="12"/>
  <c r="CP72" i="12"/>
  <c r="CQ72" i="12"/>
  <c r="CR72" i="12"/>
  <c r="CS72" i="12"/>
  <c r="CT72" i="12"/>
  <c r="CU72" i="12"/>
  <c r="CV72" i="12"/>
  <c r="CW72" i="12"/>
  <c r="CX72" i="12"/>
  <c r="CY72" i="12"/>
  <c r="CZ72" i="12"/>
  <c r="DA72" i="12"/>
  <c r="DB72" i="12"/>
  <c r="DC72" i="12"/>
  <c r="DD72" i="12"/>
  <c r="DE72" i="12"/>
  <c r="DF72" i="12"/>
  <c r="DG72" i="12"/>
  <c r="DH72" i="12"/>
  <c r="DI72" i="12"/>
  <c r="DJ72" i="12"/>
  <c r="DK72" i="12"/>
  <c r="DL72" i="12"/>
  <c r="DM72" i="12"/>
  <c r="DN72" i="12"/>
  <c r="DO72" i="12"/>
  <c r="DP72" i="12"/>
  <c r="DQ72" i="12"/>
  <c r="DR72" i="12"/>
  <c r="DS72" i="12"/>
  <c r="DT72" i="12"/>
  <c r="DU72" i="12"/>
  <c r="DV72" i="12"/>
  <c r="DW72" i="12"/>
  <c r="DX72" i="12"/>
  <c r="DY72" i="12"/>
  <c r="DZ72" i="12"/>
  <c r="EA72" i="12"/>
  <c r="EB72" i="12"/>
  <c r="EC72" i="12"/>
  <c r="ED72" i="12"/>
  <c r="EE72" i="12"/>
  <c r="EF72" i="12"/>
  <c r="EG72" i="12"/>
  <c r="EH72" i="12"/>
  <c r="EI72" i="12"/>
  <c r="EJ72" i="12"/>
  <c r="EK72" i="12"/>
  <c r="EL72" i="12"/>
  <c r="EM72" i="12"/>
  <c r="EN72" i="12"/>
  <c r="EO72" i="12"/>
  <c r="EP72" i="12"/>
  <c r="EQ72" i="12"/>
  <c r="ER72" i="12"/>
  <c r="ES72" i="12"/>
  <c r="ET72" i="12"/>
  <c r="EU72" i="12"/>
  <c r="EV72" i="12"/>
  <c r="EW72" i="12"/>
  <c r="EX72" i="12"/>
  <c r="EY72" i="12"/>
  <c r="EZ72" i="12"/>
  <c r="FA72" i="12"/>
  <c r="FB72" i="12"/>
  <c r="FC72" i="12"/>
  <c r="FD72" i="12"/>
  <c r="FE72" i="12"/>
  <c r="FF72" i="12"/>
  <c r="FG72" i="12"/>
  <c r="FH72" i="12"/>
  <c r="FI72" i="12"/>
  <c r="FJ72" i="12"/>
  <c r="FK72" i="12"/>
  <c r="FL72" i="12"/>
  <c r="FM72" i="12"/>
  <c r="FN72" i="12"/>
  <c r="FO72" i="12"/>
  <c r="FP72" i="12"/>
  <c r="FQ72" i="12"/>
  <c r="FR72" i="12"/>
  <c r="FS72" i="12"/>
  <c r="FT72" i="12"/>
  <c r="FU72" i="12"/>
  <c r="FV72" i="12"/>
  <c r="FW72" i="12"/>
  <c r="FX72" i="12"/>
  <c r="FY72" i="12"/>
  <c r="FZ72" i="12"/>
  <c r="GA72" i="12"/>
  <c r="GB72" i="12"/>
  <c r="GC72" i="12"/>
  <c r="GD72" i="12"/>
  <c r="GE72" i="12"/>
  <c r="GF72" i="12"/>
  <c r="GG72" i="12"/>
  <c r="GH72" i="12"/>
  <c r="GI72" i="12"/>
  <c r="GJ72" i="12"/>
  <c r="GK72" i="12"/>
  <c r="GL72" i="12"/>
  <c r="GM72" i="12"/>
  <c r="GN72" i="12"/>
  <c r="GO72" i="12"/>
  <c r="GP72" i="12"/>
  <c r="GQ72" i="12"/>
  <c r="GR72" i="12"/>
  <c r="GS72" i="12"/>
  <c r="GT72" i="12"/>
  <c r="GU72" i="12"/>
  <c r="GV72" i="12"/>
  <c r="GW72" i="12"/>
  <c r="GX72" i="12"/>
  <c r="GY72" i="12"/>
  <c r="GZ72" i="12"/>
  <c r="HA72" i="12"/>
  <c r="HB72" i="12"/>
  <c r="HC72" i="12"/>
  <c r="HD72" i="12"/>
  <c r="HE72" i="12"/>
  <c r="HF72" i="12"/>
  <c r="HG72" i="12"/>
  <c r="HH72" i="12"/>
  <c r="HI72" i="12"/>
  <c r="HJ72" i="12"/>
  <c r="HK72" i="12"/>
  <c r="HL72" i="12"/>
  <c r="HM72" i="12"/>
  <c r="HN72" i="12"/>
  <c r="HO72" i="12"/>
  <c r="HP72" i="12"/>
  <c r="HQ72" i="12"/>
  <c r="HR72" i="12"/>
  <c r="HS72" i="12"/>
  <c r="HT72" i="12"/>
  <c r="HU72" i="12"/>
  <c r="HV72" i="12"/>
  <c r="HW72" i="12"/>
  <c r="HX72" i="12"/>
  <c r="HY72" i="12"/>
  <c r="HZ72" i="12"/>
  <c r="IA72" i="12"/>
  <c r="IB72" i="12"/>
  <c r="IC72" i="12"/>
  <c r="ID72" i="12"/>
  <c r="IE72" i="12"/>
  <c r="IF72" i="12"/>
  <c r="IG72" i="12"/>
  <c r="IH72" i="12"/>
  <c r="II72" i="12"/>
  <c r="IJ72" i="12"/>
  <c r="IK72" i="12"/>
  <c r="IL72" i="12"/>
  <c r="IM72" i="12"/>
  <c r="IN72" i="12"/>
  <c r="IO72" i="12"/>
  <c r="IP72" i="12"/>
  <c r="IQ72" i="12"/>
  <c r="IR72" i="12"/>
  <c r="IS72" i="12"/>
  <c r="IT72" i="12"/>
  <c r="IU72" i="12"/>
  <c r="IV72" i="12"/>
  <c r="F73" i="12"/>
  <c r="G73" i="12"/>
  <c r="H73" i="12"/>
  <c r="I73" i="12"/>
  <c r="J73" i="12"/>
  <c r="K73" i="12"/>
  <c r="L73" i="12"/>
  <c r="M73" i="12"/>
  <c r="N73" i="12"/>
  <c r="O73" i="12"/>
  <c r="P73" i="12"/>
  <c r="Q73" i="12"/>
  <c r="R73" i="12"/>
  <c r="S73" i="12"/>
  <c r="T73" i="12"/>
  <c r="U73" i="12"/>
  <c r="V73" i="12"/>
  <c r="W73" i="12"/>
  <c r="X73" i="12"/>
  <c r="Y73" i="12"/>
  <c r="Z73" i="12"/>
  <c r="AA73" i="12"/>
  <c r="AB73" i="12"/>
  <c r="AC73" i="12"/>
  <c r="AD73" i="12"/>
  <c r="AE73" i="12"/>
  <c r="AF73" i="12"/>
  <c r="AG73" i="12"/>
  <c r="AH73" i="12"/>
  <c r="AI73" i="12"/>
  <c r="AJ73" i="12"/>
  <c r="AK73" i="12"/>
  <c r="AL73" i="12"/>
  <c r="AM73" i="12"/>
  <c r="AN73" i="12"/>
  <c r="AO73" i="12"/>
  <c r="AP73" i="12"/>
  <c r="AQ73" i="12"/>
  <c r="AR73" i="12"/>
  <c r="AS73" i="12"/>
  <c r="AT73" i="12"/>
  <c r="AU73" i="12"/>
  <c r="AV73" i="12"/>
  <c r="AW73" i="12"/>
  <c r="AX73" i="12"/>
  <c r="AY73" i="12"/>
  <c r="AZ73" i="12"/>
  <c r="BA73" i="12"/>
  <c r="BB73" i="12"/>
  <c r="BC73" i="12"/>
  <c r="BD73" i="12"/>
  <c r="BE73" i="12"/>
  <c r="BF73" i="12"/>
  <c r="BG73" i="12"/>
  <c r="BH73" i="12"/>
  <c r="BI73" i="12"/>
  <c r="BJ73" i="12"/>
  <c r="BK73" i="12"/>
  <c r="BL73" i="12"/>
  <c r="BM73" i="12"/>
  <c r="BN73" i="12"/>
  <c r="BO73" i="12"/>
  <c r="BP73" i="12"/>
  <c r="BQ73" i="12"/>
  <c r="BR73" i="12"/>
  <c r="BS73" i="12"/>
  <c r="BT73" i="12"/>
  <c r="BU73" i="12"/>
  <c r="BV73" i="12"/>
  <c r="BW73" i="12"/>
  <c r="BX73" i="12"/>
  <c r="BY73" i="12"/>
  <c r="BZ73" i="12"/>
  <c r="CA73" i="12"/>
  <c r="CB73" i="12"/>
  <c r="CC73" i="12"/>
  <c r="CD73" i="12"/>
  <c r="CE73" i="12"/>
  <c r="CF73" i="12"/>
  <c r="CG73" i="12"/>
  <c r="CH73" i="12"/>
  <c r="CI73" i="12"/>
  <c r="CJ73" i="12"/>
  <c r="CK73" i="12"/>
  <c r="CL73" i="12"/>
  <c r="CM73" i="12"/>
  <c r="CN73" i="12"/>
  <c r="CO73" i="12"/>
  <c r="CP73" i="12"/>
  <c r="CQ73" i="12"/>
  <c r="CR73" i="12"/>
  <c r="CS73" i="12"/>
  <c r="CT73" i="12"/>
  <c r="CU73" i="12"/>
  <c r="CV73" i="12"/>
  <c r="CW73" i="12"/>
  <c r="CX73" i="12"/>
  <c r="CY73" i="12"/>
  <c r="CZ73" i="12"/>
  <c r="DA73" i="12"/>
  <c r="DB73" i="12"/>
  <c r="DC73" i="12"/>
  <c r="DD73" i="12"/>
  <c r="DE73" i="12"/>
  <c r="DF73" i="12"/>
  <c r="DG73" i="12"/>
  <c r="DH73" i="12"/>
  <c r="DI73" i="12"/>
  <c r="DJ73" i="12"/>
  <c r="DK73" i="12"/>
  <c r="DL73" i="12"/>
  <c r="DM73" i="12"/>
  <c r="DN73" i="12"/>
  <c r="DO73" i="12"/>
  <c r="DP73" i="12"/>
  <c r="DQ73" i="12"/>
  <c r="DR73" i="12"/>
  <c r="DS73" i="12"/>
  <c r="DT73" i="12"/>
  <c r="DU73" i="12"/>
  <c r="DV73" i="12"/>
  <c r="DW73" i="12"/>
  <c r="DX73" i="12"/>
  <c r="DY73" i="12"/>
  <c r="DZ73" i="12"/>
  <c r="EA73" i="12"/>
  <c r="EB73" i="12"/>
  <c r="EC73" i="12"/>
  <c r="ED73" i="12"/>
  <c r="EE73" i="12"/>
  <c r="EF73" i="12"/>
  <c r="EG73" i="12"/>
  <c r="EH73" i="12"/>
  <c r="EI73" i="12"/>
  <c r="EJ73" i="12"/>
  <c r="EK73" i="12"/>
  <c r="EL73" i="12"/>
  <c r="EM73" i="12"/>
  <c r="EN73" i="12"/>
  <c r="EO73" i="12"/>
  <c r="EP73" i="12"/>
  <c r="EQ73" i="12"/>
  <c r="ER73" i="12"/>
  <c r="ES73" i="12"/>
  <c r="ET73" i="12"/>
  <c r="EU73" i="12"/>
  <c r="EV73" i="12"/>
  <c r="EW73" i="12"/>
  <c r="EX73" i="12"/>
  <c r="EY73" i="12"/>
  <c r="EZ73" i="12"/>
  <c r="FA73" i="12"/>
  <c r="FB73" i="12"/>
  <c r="FC73" i="12"/>
  <c r="FD73" i="12"/>
  <c r="FE73" i="12"/>
  <c r="FF73" i="12"/>
  <c r="FG73" i="12"/>
  <c r="FH73" i="12"/>
  <c r="FI73" i="12"/>
  <c r="FJ73" i="12"/>
  <c r="FK73" i="12"/>
  <c r="FL73" i="12"/>
  <c r="FM73" i="12"/>
  <c r="FN73" i="12"/>
  <c r="FO73" i="12"/>
  <c r="FP73" i="12"/>
  <c r="FQ73" i="12"/>
  <c r="FR73" i="12"/>
  <c r="FS73" i="12"/>
  <c r="FT73" i="12"/>
  <c r="FU73" i="12"/>
  <c r="FV73" i="12"/>
  <c r="FW73" i="12"/>
  <c r="FX73" i="12"/>
  <c r="FY73" i="12"/>
  <c r="FZ73" i="12"/>
  <c r="GA73" i="12"/>
  <c r="GB73" i="12"/>
  <c r="GC73" i="12"/>
  <c r="GD73" i="12"/>
  <c r="GE73" i="12"/>
  <c r="GF73" i="12"/>
  <c r="GG73" i="12"/>
  <c r="GH73" i="12"/>
  <c r="GI73" i="12"/>
  <c r="GJ73" i="12"/>
  <c r="GK73" i="12"/>
  <c r="GL73" i="12"/>
  <c r="GM73" i="12"/>
  <c r="GN73" i="12"/>
  <c r="GO73" i="12"/>
  <c r="GP73" i="12"/>
  <c r="GQ73" i="12"/>
  <c r="GR73" i="12"/>
  <c r="GS73" i="12"/>
  <c r="GT73" i="12"/>
  <c r="GU73" i="12"/>
  <c r="GV73" i="12"/>
  <c r="GW73" i="12"/>
  <c r="GX73" i="12"/>
  <c r="GY73" i="12"/>
  <c r="GZ73" i="12"/>
  <c r="HA73" i="12"/>
  <c r="HB73" i="12"/>
  <c r="HC73" i="12"/>
  <c r="HD73" i="12"/>
  <c r="HE73" i="12"/>
  <c r="HF73" i="12"/>
  <c r="HG73" i="12"/>
  <c r="HH73" i="12"/>
  <c r="HI73" i="12"/>
  <c r="HJ73" i="12"/>
  <c r="HK73" i="12"/>
  <c r="HL73" i="12"/>
  <c r="HM73" i="12"/>
  <c r="HN73" i="12"/>
  <c r="HO73" i="12"/>
  <c r="HP73" i="12"/>
  <c r="HQ73" i="12"/>
  <c r="HR73" i="12"/>
  <c r="HS73" i="12"/>
  <c r="HT73" i="12"/>
  <c r="HU73" i="12"/>
  <c r="HV73" i="12"/>
  <c r="HW73" i="12"/>
  <c r="HX73" i="12"/>
  <c r="HY73" i="12"/>
  <c r="HZ73" i="12"/>
  <c r="IA73" i="12"/>
  <c r="IB73" i="12"/>
  <c r="IC73" i="12"/>
  <c r="ID73" i="12"/>
  <c r="IE73" i="12"/>
  <c r="IF73" i="12"/>
  <c r="IG73" i="12"/>
  <c r="IH73" i="12"/>
  <c r="II73" i="12"/>
  <c r="IJ73" i="12"/>
  <c r="IK73" i="12"/>
  <c r="IL73" i="12"/>
  <c r="IM73" i="12"/>
  <c r="IN73" i="12"/>
  <c r="IO73" i="12"/>
  <c r="IP73" i="12"/>
  <c r="IQ73" i="12"/>
  <c r="IR73" i="12"/>
  <c r="IS73" i="12"/>
  <c r="IT73" i="12"/>
  <c r="IU73" i="12"/>
  <c r="IV73" i="12"/>
  <c r="F74" i="12"/>
  <c r="G74" i="12"/>
  <c r="H74" i="12"/>
  <c r="I74" i="12"/>
  <c r="J74" i="12"/>
  <c r="K74" i="12"/>
  <c r="L74" i="12"/>
  <c r="M74" i="12"/>
  <c r="N74" i="12"/>
  <c r="O74" i="12"/>
  <c r="P74" i="12"/>
  <c r="Q74" i="12"/>
  <c r="R74" i="12"/>
  <c r="S74" i="12"/>
  <c r="T74" i="12"/>
  <c r="U74" i="12"/>
  <c r="V74" i="12"/>
  <c r="W74" i="12"/>
  <c r="X74" i="12"/>
  <c r="Y74" i="12"/>
  <c r="Z74" i="12"/>
  <c r="AA74" i="12"/>
  <c r="AB74" i="12"/>
  <c r="AC74" i="12"/>
  <c r="AD74" i="12"/>
  <c r="AE74" i="12"/>
  <c r="AF74" i="12"/>
  <c r="AG74" i="12"/>
  <c r="AH74" i="12"/>
  <c r="AI74" i="12"/>
  <c r="AJ74" i="12"/>
  <c r="AK74" i="12"/>
  <c r="AL74" i="12"/>
  <c r="AM74" i="12"/>
  <c r="AN74" i="12"/>
  <c r="AO74" i="12"/>
  <c r="AP74" i="12"/>
  <c r="AQ74" i="12"/>
  <c r="AR74" i="12"/>
  <c r="AS74" i="12"/>
  <c r="AT74" i="12"/>
  <c r="AU74" i="12"/>
  <c r="AV74" i="12"/>
  <c r="AW74" i="12"/>
  <c r="AX74" i="12"/>
  <c r="AY74" i="12"/>
  <c r="AZ74" i="12"/>
  <c r="BA74" i="12"/>
  <c r="BB74" i="12"/>
  <c r="BC74" i="12"/>
  <c r="BD74" i="12"/>
  <c r="BE74" i="12"/>
  <c r="BF74" i="12"/>
  <c r="BG74" i="12"/>
  <c r="BH74" i="12"/>
  <c r="BI74" i="12"/>
  <c r="BJ74" i="12"/>
  <c r="BK74" i="12"/>
  <c r="BL74" i="12"/>
  <c r="BM74" i="12"/>
  <c r="BN74" i="12"/>
  <c r="BO74" i="12"/>
  <c r="BP74" i="12"/>
  <c r="BQ74" i="12"/>
  <c r="BR74" i="12"/>
  <c r="BS74" i="12"/>
  <c r="BT74" i="12"/>
  <c r="BU74" i="12"/>
  <c r="BV74" i="12"/>
  <c r="BW74" i="12"/>
  <c r="BX74" i="12"/>
  <c r="BY74" i="12"/>
  <c r="BZ74" i="12"/>
  <c r="CA74" i="12"/>
  <c r="CB74" i="12"/>
  <c r="CC74" i="12"/>
  <c r="CD74" i="12"/>
  <c r="CE74" i="12"/>
  <c r="CF74" i="12"/>
  <c r="CG74" i="12"/>
  <c r="CH74" i="12"/>
  <c r="CI74" i="12"/>
  <c r="CJ74" i="12"/>
  <c r="CK74" i="12"/>
  <c r="CL74" i="12"/>
  <c r="CM74" i="12"/>
  <c r="CN74" i="12"/>
  <c r="CO74" i="12"/>
  <c r="CP74" i="12"/>
  <c r="CQ74" i="12"/>
  <c r="CR74" i="12"/>
  <c r="CS74" i="12"/>
  <c r="CT74" i="12"/>
  <c r="CU74" i="12"/>
  <c r="CV74" i="12"/>
  <c r="CW74" i="12"/>
  <c r="CX74" i="12"/>
  <c r="CY74" i="12"/>
  <c r="CZ74" i="12"/>
  <c r="DA74" i="12"/>
  <c r="DB74" i="12"/>
  <c r="DC74" i="12"/>
  <c r="DD74" i="12"/>
  <c r="DE74" i="12"/>
  <c r="DF74" i="12"/>
  <c r="DG74" i="12"/>
  <c r="DH74" i="12"/>
  <c r="DI74" i="12"/>
  <c r="DJ74" i="12"/>
  <c r="DK74" i="12"/>
  <c r="DL74" i="12"/>
  <c r="DM74" i="12"/>
  <c r="DN74" i="12"/>
  <c r="DO74" i="12"/>
  <c r="DP74" i="12"/>
  <c r="DQ74" i="12"/>
  <c r="DR74" i="12"/>
  <c r="DS74" i="12"/>
  <c r="DT74" i="12"/>
  <c r="DU74" i="12"/>
  <c r="DV74" i="12"/>
  <c r="DW74" i="12"/>
  <c r="DX74" i="12"/>
  <c r="DY74" i="12"/>
  <c r="DZ74" i="12"/>
  <c r="EA74" i="12"/>
  <c r="EB74" i="12"/>
  <c r="EC74" i="12"/>
  <c r="ED74" i="12"/>
  <c r="EE74" i="12"/>
  <c r="EF74" i="12"/>
  <c r="EG74" i="12"/>
  <c r="EH74" i="12"/>
  <c r="EI74" i="12"/>
  <c r="EJ74" i="12"/>
  <c r="EK74" i="12"/>
  <c r="EL74" i="12"/>
  <c r="EM74" i="12"/>
  <c r="EN74" i="12"/>
  <c r="EO74" i="12"/>
  <c r="EP74" i="12"/>
  <c r="EQ74" i="12"/>
  <c r="ER74" i="12"/>
  <c r="ES74" i="12"/>
  <c r="ET74" i="12"/>
  <c r="EU74" i="12"/>
  <c r="EV74" i="12"/>
  <c r="EW74" i="12"/>
  <c r="EX74" i="12"/>
  <c r="EY74" i="12"/>
  <c r="EZ74" i="12"/>
  <c r="FA74" i="12"/>
  <c r="FB74" i="12"/>
  <c r="FC74" i="12"/>
  <c r="FD74" i="12"/>
  <c r="FE74" i="12"/>
  <c r="FF74" i="12"/>
  <c r="FG74" i="12"/>
  <c r="FH74" i="12"/>
  <c r="FI74" i="12"/>
  <c r="FJ74" i="12"/>
  <c r="FK74" i="12"/>
  <c r="FL74" i="12"/>
  <c r="FM74" i="12"/>
  <c r="FN74" i="12"/>
  <c r="FO74" i="12"/>
  <c r="FP74" i="12"/>
  <c r="FQ74" i="12"/>
  <c r="FR74" i="12"/>
  <c r="FS74" i="12"/>
  <c r="FT74" i="12"/>
  <c r="FU74" i="12"/>
  <c r="FV74" i="12"/>
  <c r="FW74" i="12"/>
  <c r="FX74" i="12"/>
  <c r="FY74" i="12"/>
  <c r="FZ74" i="12"/>
  <c r="GA74" i="12"/>
  <c r="GB74" i="12"/>
  <c r="GC74" i="12"/>
  <c r="GD74" i="12"/>
  <c r="GE74" i="12"/>
  <c r="GF74" i="12"/>
  <c r="GG74" i="12"/>
  <c r="GH74" i="12"/>
  <c r="GI74" i="12"/>
  <c r="GJ74" i="12"/>
  <c r="GK74" i="12"/>
  <c r="GL74" i="12"/>
  <c r="GM74" i="12"/>
  <c r="GN74" i="12"/>
  <c r="GO74" i="12"/>
  <c r="GP74" i="12"/>
  <c r="GQ74" i="12"/>
  <c r="GR74" i="12"/>
  <c r="GS74" i="12"/>
  <c r="GT74" i="12"/>
  <c r="GU74" i="12"/>
  <c r="GV74" i="12"/>
  <c r="GW74" i="12"/>
  <c r="GX74" i="12"/>
  <c r="GY74" i="12"/>
  <c r="GZ74" i="12"/>
  <c r="HA74" i="12"/>
  <c r="HB74" i="12"/>
  <c r="HC74" i="12"/>
  <c r="HD74" i="12"/>
  <c r="HE74" i="12"/>
  <c r="HF74" i="12"/>
  <c r="HG74" i="12"/>
  <c r="HH74" i="12"/>
  <c r="HI74" i="12"/>
  <c r="HJ74" i="12"/>
  <c r="HK74" i="12"/>
  <c r="HL74" i="12"/>
  <c r="HM74" i="12"/>
  <c r="HN74" i="12"/>
  <c r="HO74" i="12"/>
  <c r="HP74" i="12"/>
  <c r="HQ74" i="12"/>
  <c r="HR74" i="12"/>
  <c r="HS74" i="12"/>
  <c r="HT74" i="12"/>
  <c r="HU74" i="12"/>
  <c r="HV74" i="12"/>
  <c r="HW74" i="12"/>
  <c r="HX74" i="12"/>
  <c r="HY74" i="12"/>
  <c r="HZ74" i="12"/>
  <c r="IA74" i="12"/>
  <c r="IB74" i="12"/>
  <c r="IC74" i="12"/>
  <c r="ID74" i="12"/>
  <c r="IE74" i="12"/>
  <c r="IF74" i="12"/>
  <c r="IG74" i="12"/>
  <c r="IH74" i="12"/>
  <c r="II74" i="12"/>
  <c r="IJ74" i="12"/>
  <c r="IK74" i="12"/>
  <c r="IL74" i="12"/>
  <c r="IM74" i="12"/>
  <c r="IN74" i="12"/>
  <c r="IO74" i="12"/>
  <c r="IP74" i="12"/>
  <c r="IQ74" i="12"/>
  <c r="IR74" i="12"/>
  <c r="IS74" i="12"/>
  <c r="IT74" i="12"/>
  <c r="IU74" i="12"/>
  <c r="IV74" i="12"/>
  <c r="F75" i="12"/>
  <c r="G75" i="12"/>
  <c r="H75" i="12"/>
  <c r="I75" i="12"/>
  <c r="J75" i="12"/>
  <c r="K75" i="12"/>
  <c r="L75" i="12"/>
  <c r="M75" i="12"/>
  <c r="N75" i="12"/>
  <c r="O75" i="12"/>
  <c r="P75" i="12"/>
  <c r="Q75" i="12"/>
  <c r="R75" i="12"/>
  <c r="S75" i="12"/>
  <c r="T75" i="12"/>
  <c r="U75" i="12"/>
  <c r="V75" i="12"/>
  <c r="W75" i="12"/>
  <c r="X75" i="12"/>
  <c r="Y75" i="12"/>
  <c r="Z75" i="12"/>
  <c r="AA75" i="12"/>
  <c r="AB75" i="12"/>
  <c r="AC75" i="12"/>
  <c r="AD75" i="12"/>
  <c r="AE75" i="12"/>
  <c r="AF75" i="12"/>
  <c r="AG75" i="12"/>
  <c r="AH75" i="12"/>
  <c r="AI75" i="12"/>
  <c r="AJ75" i="12"/>
  <c r="AK75" i="12"/>
  <c r="AL75" i="12"/>
  <c r="AM75" i="12"/>
  <c r="AN75" i="12"/>
  <c r="AO75" i="12"/>
  <c r="AP75" i="12"/>
  <c r="AQ75" i="12"/>
  <c r="AR75" i="12"/>
  <c r="AS75" i="12"/>
  <c r="AT75" i="12"/>
  <c r="AU75" i="12"/>
  <c r="AV75" i="12"/>
  <c r="AW75" i="12"/>
  <c r="AX75" i="12"/>
  <c r="AY75" i="12"/>
  <c r="AZ75" i="12"/>
  <c r="BA75" i="12"/>
  <c r="BB75" i="12"/>
  <c r="BC75" i="12"/>
  <c r="BD75" i="12"/>
  <c r="BE75" i="12"/>
  <c r="BF75" i="12"/>
  <c r="BG75" i="12"/>
  <c r="BH75" i="12"/>
  <c r="BI75" i="12"/>
  <c r="BJ75" i="12"/>
  <c r="BK75" i="12"/>
  <c r="BL75" i="12"/>
  <c r="BM75" i="12"/>
  <c r="BN75" i="12"/>
  <c r="BO75" i="12"/>
  <c r="BP75" i="12"/>
  <c r="BQ75" i="12"/>
  <c r="BR75" i="12"/>
  <c r="BS75" i="12"/>
  <c r="BT75" i="12"/>
  <c r="BU75" i="12"/>
  <c r="BV75" i="12"/>
  <c r="BW75" i="12"/>
  <c r="BX75" i="12"/>
  <c r="BY75" i="12"/>
  <c r="BZ75" i="12"/>
  <c r="CA75" i="12"/>
  <c r="CB75" i="12"/>
  <c r="CC75" i="12"/>
  <c r="CD75" i="12"/>
  <c r="CE75" i="12"/>
  <c r="CF75" i="12"/>
  <c r="CG75" i="12"/>
  <c r="CH75" i="12"/>
  <c r="CI75" i="12"/>
  <c r="CJ75" i="12"/>
  <c r="CK75" i="12"/>
  <c r="CL75" i="12"/>
  <c r="CM75" i="12"/>
  <c r="CN75" i="12"/>
  <c r="CO75" i="12"/>
  <c r="CP75" i="12"/>
  <c r="CQ75" i="12"/>
  <c r="CR75" i="12"/>
  <c r="CS75" i="12"/>
  <c r="CT75" i="12"/>
  <c r="CU75" i="12"/>
  <c r="CV75" i="12"/>
  <c r="CW75" i="12"/>
  <c r="CX75" i="12"/>
  <c r="CY75" i="12"/>
  <c r="CZ75" i="12"/>
  <c r="DA75" i="12"/>
  <c r="DB75" i="12"/>
  <c r="DC75" i="12"/>
  <c r="DD75" i="12"/>
  <c r="DE75" i="12"/>
  <c r="DF75" i="12"/>
  <c r="DG75" i="12"/>
  <c r="DH75" i="12"/>
  <c r="DI75" i="12"/>
  <c r="DJ75" i="12"/>
  <c r="DK75" i="12"/>
  <c r="DL75" i="12"/>
  <c r="DM75" i="12"/>
  <c r="DN75" i="12"/>
  <c r="DO75" i="12"/>
  <c r="DP75" i="12"/>
  <c r="DQ75" i="12"/>
  <c r="DR75" i="12"/>
  <c r="DS75" i="12"/>
  <c r="DT75" i="12"/>
  <c r="DU75" i="12"/>
  <c r="DV75" i="12"/>
  <c r="DW75" i="12"/>
  <c r="DX75" i="12"/>
  <c r="DY75" i="12"/>
  <c r="DZ75" i="12"/>
  <c r="EA75" i="12"/>
  <c r="EB75" i="12"/>
  <c r="EC75" i="12"/>
  <c r="ED75" i="12"/>
  <c r="EE75" i="12"/>
  <c r="EF75" i="12"/>
  <c r="EG75" i="12"/>
  <c r="EH75" i="12"/>
  <c r="EI75" i="12"/>
  <c r="EJ75" i="12"/>
  <c r="EK75" i="12"/>
  <c r="EL75" i="12"/>
  <c r="EM75" i="12"/>
  <c r="EN75" i="12"/>
  <c r="EO75" i="12"/>
  <c r="EP75" i="12"/>
  <c r="EQ75" i="12"/>
  <c r="ER75" i="12"/>
  <c r="ES75" i="12"/>
  <c r="ET75" i="12"/>
  <c r="EU75" i="12"/>
  <c r="EV75" i="12"/>
  <c r="EW75" i="12"/>
  <c r="EX75" i="12"/>
  <c r="EY75" i="12"/>
  <c r="EZ75" i="12"/>
  <c r="FA75" i="12"/>
  <c r="FB75" i="12"/>
  <c r="FC75" i="12"/>
  <c r="FD75" i="12"/>
  <c r="FE75" i="12"/>
  <c r="FF75" i="12"/>
  <c r="FG75" i="12"/>
  <c r="FH75" i="12"/>
  <c r="FI75" i="12"/>
  <c r="FJ75" i="12"/>
  <c r="FK75" i="12"/>
  <c r="FL75" i="12"/>
  <c r="FM75" i="12"/>
  <c r="FN75" i="12"/>
  <c r="FO75" i="12"/>
  <c r="FP75" i="12"/>
  <c r="FQ75" i="12"/>
  <c r="FR75" i="12"/>
  <c r="FS75" i="12"/>
  <c r="FT75" i="12"/>
  <c r="FU75" i="12"/>
  <c r="FV75" i="12"/>
  <c r="FW75" i="12"/>
  <c r="FX75" i="12"/>
  <c r="FY75" i="12"/>
  <c r="FZ75" i="12"/>
  <c r="GA75" i="12"/>
  <c r="GB75" i="12"/>
  <c r="GC75" i="12"/>
  <c r="GD75" i="12"/>
  <c r="GE75" i="12"/>
  <c r="GF75" i="12"/>
  <c r="GG75" i="12"/>
  <c r="GH75" i="12"/>
  <c r="GI75" i="12"/>
  <c r="GJ75" i="12"/>
  <c r="GK75" i="12"/>
  <c r="GL75" i="12"/>
  <c r="GM75" i="12"/>
  <c r="GN75" i="12"/>
  <c r="GO75" i="12"/>
  <c r="GP75" i="12"/>
  <c r="GQ75" i="12"/>
  <c r="GR75" i="12"/>
  <c r="GS75" i="12"/>
  <c r="GT75" i="12"/>
  <c r="GU75" i="12"/>
  <c r="GV75" i="12"/>
  <c r="GW75" i="12"/>
  <c r="GX75" i="12"/>
  <c r="GY75" i="12"/>
  <c r="GZ75" i="12"/>
  <c r="HA75" i="12"/>
  <c r="HB75" i="12"/>
  <c r="HC75" i="12"/>
  <c r="HD75" i="12"/>
  <c r="HE75" i="12"/>
  <c r="HF75" i="12"/>
  <c r="HG75" i="12"/>
  <c r="HH75" i="12"/>
  <c r="HI75" i="12"/>
  <c r="HJ75" i="12"/>
  <c r="HK75" i="12"/>
  <c r="HL75" i="12"/>
  <c r="HM75" i="12"/>
  <c r="HN75" i="12"/>
  <c r="HO75" i="12"/>
  <c r="HP75" i="12"/>
  <c r="HQ75" i="12"/>
  <c r="HR75" i="12"/>
  <c r="HS75" i="12"/>
  <c r="HT75" i="12"/>
  <c r="HU75" i="12"/>
  <c r="HV75" i="12"/>
  <c r="HW75" i="12"/>
  <c r="HX75" i="12"/>
  <c r="HY75" i="12"/>
  <c r="HZ75" i="12"/>
  <c r="IA75" i="12"/>
  <c r="IB75" i="12"/>
  <c r="IC75" i="12"/>
  <c r="ID75" i="12"/>
  <c r="IE75" i="12"/>
  <c r="IF75" i="12"/>
  <c r="IG75" i="12"/>
  <c r="IH75" i="12"/>
  <c r="II75" i="12"/>
  <c r="IJ75" i="12"/>
  <c r="IK75" i="12"/>
  <c r="IL75" i="12"/>
  <c r="IM75" i="12"/>
  <c r="IN75" i="12"/>
  <c r="IO75" i="12"/>
  <c r="IP75" i="12"/>
  <c r="IQ75" i="12"/>
  <c r="IR75" i="12"/>
  <c r="IS75" i="12"/>
  <c r="IT75" i="12"/>
  <c r="IU75" i="12"/>
  <c r="IV75" i="12"/>
  <c r="F76" i="12"/>
  <c r="G76" i="12"/>
  <c r="H76" i="12"/>
  <c r="I76" i="12"/>
  <c r="J76" i="12"/>
  <c r="K76" i="12"/>
  <c r="L76" i="12"/>
  <c r="M76" i="12"/>
  <c r="N76" i="12"/>
  <c r="O76" i="12"/>
  <c r="P76" i="12"/>
  <c r="Q76" i="12"/>
  <c r="R76" i="12"/>
  <c r="S76" i="12"/>
  <c r="T76" i="12"/>
  <c r="U76" i="12"/>
  <c r="V76" i="12"/>
  <c r="W76" i="12"/>
  <c r="X76" i="12"/>
  <c r="Y76" i="12"/>
  <c r="Z76" i="12"/>
  <c r="AA76" i="12"/>
  <c r="AB76" i="12"/>
  <c r="AC76" i="12"/>
  <c r="AD76" i="12"/>
  <c r="AE76" i="12"/>
  <c r="AF76" i="12"/>
  <c r="AG76" i="12"/>
  <c r="AH76" i="12"/>
  <c r="AI76" i="12"/>
  <c r="AJ76" i="12"/>
  <c r="AK76" i="12"/>
  <c r="AL76" i="12"/>
  <c r="AM76" i="12"/>
  <c r="AN76" i="12"/>
  <c r="AO76" i="12"/>
  <c r="AP76" i="12"/>
  <c r="AQ76" i="12"/>
  <c r="AR76" i="12"/>
  <c r="AS76" i="12"/>
  <c r="AT76" i="12"/>
  <c r="AU76" i="12"/>
  <c r="AV76" i="12"/>
  <c r="AW76" i="12"/>
  <c r="AX76" i="12"/>
  <c r="AY76" i="12"/>
  <c r="AZ76" i="12"/>
  <c r="BA76" i="12"/>
  <c r="BB76" i="12"/>
  <c r="BC76" i="12"/>
  <c r="BD76" i="12"/>
  <c r="BE76" i="12"/>
  <c r="BF76" i="12"/>
  <c r="BG76" i="12"/>
  <c r="BH76" i="12"/>
  <c r="BI76" i="12"/>
  <c r="BJ76" i="12"/>
  <c r="BK76" i="12"/>
  <c r="BL76" i="12"/>
  <c r="BM76" i="12"/>
  <c r="BN76" i="12"/>
  <c r="BO76" i="12"/>
  <c r="BP76" i="12"/>
  <c r="BQ76" i="12"/>
  <c r="BR76" i="12"/>
  <c r="BS76" i="12"/>
  <c r="BT76" i="12"/>
  <c r="BU76" i="12"/>
  <c r="BV76" i="12"/>
  <c r="BW76" i="12"/>
  <c r="BX76" i="12"/>
  <c r="BY76" i="12"/>
  <c r="BZ76" i="12"/>
  <c r="CA76" i="12"/>
  <c r="CB76" i="12"/>
  <c r="CC76" i="12"/>
  <c r="CD76" i="12"/>
  <c r="CE76" i="12"/>
  <c r="CF76" i="12"/>
  <c r="CG76" i="12"/>
  <c r="CH76" i="12"/>
  <c r="CI76" i="12"/>
  <c r="CJ76" i="12"/>
  <c r="CK76" i="12"/>
  <c r="CL76" i="12"/>
  <c r="CM76" i="12"/>
  <c r="CN76" i="12"/>
  <c r="CO76" i="12"/>
  <c r="CP76" i="12"/>
  <c r="CQ76" i="12"/>
  <c r="CR76" i="12"/>
  <c r="CS76" i="12"/>
  <c r="CT76" i="12"/>
  <c r="CU76" i="12"/>
  <c r="CV76" i="12"/>
  <c r="CW76" i="12"/>
  <c r="CX76" i="12"/>
  <c r="CY76" i="12"/>
  <c r="CZ76" i="12"/>
  <c r="DA76" i="12"/>
  <c r="DB76" i="12"/>
  <c r="DC76" i="12"/>
  <c r="DD76" i="12"/>
  <c r="DE76" i="12"/>
  <c r="DF76" i="12"/>
  <c r="DG76" i="12"/>
  <c r="DH76" i="12"/>
  <c r="DI76" i="12"/>
  <c r="DJ76" i="12"/>
  <c r="DK76" i="12"/>
  <c r="DL76" i="12"/>
  <c r="DM76" i="12"/>
  <c r="DN76" i="12"/>
  <c r="DO76" i="12"/>
  <c r="DP76" i="12"/>
  <c r="DQ76" i="12"/>
  <c r="DR76" i="12"/>
  <c r="DS76" i="12"/>
  <c r="DT76" i="12"/>
  <c r="DU76" i="12"/>
  <c r="DV76" i="12"/>
  <c r="DW76" i="12"/>
  <c r="DX76" i="12"/>
  <c r="DY76" i="12"/>
  <c r="DZ76" i="12"/>
  <c r="EA76" i="12"/>
  <c r="EB76" i="12"/>
  <c r="EC76" i="12"/>
  <c r="ED76" i="12"/>
  <c r="EE76" i="12"/>
  <c r="EF76" i="12"/>
  <c r="EG76" i="12"/>
  <c r="EH76" i="12"/>
  <c r="EI76" i="12"/>
  <c r="EJ76" i="12"/>
  <c r="EK76" i="12"/>
  <c r="EL76" i="12"/>
  <c r="EM76" i="12"/>
  <c r="EN76" i="12"/>
  <c r="EO76" i="12"/>
  <c r="EP76" i="12"/>
  <c r="EQ76" i="12"/>
  <c r="ER76" i="12"/>
  <c r="ES76" i="12"/>
  <c r="ET76" i="12"/>
  <c r="EU76" i="12"/>
  <c r="EV76" i="12"/>
  <c r="EW76" i="12"/>
  <c r="EX76" i="12"/>
  <c r="EY76" i="12"/>
  <c r="EZ76" i="12"/>
  <c r="FA76" i="12"/>
  <c r="FB76" i="12"/>
  <c r="FC76" i="12"/>
  <c r="FD76" i="12"/>
  <c r="FE76" i="12"/>
  <c r="FF76" i="12"/>
  <c r="FG76" i="12"/>
  <c r="FH76" i="12"/>
  <c r="FI76" i="12"/>
  <c r="FJ76" i="12"/>
  <c r="FK76" i="12"/>
  <c r="FL76" i="12"/>
  <c r="FM76" i="12"/>
  <c r="FN76" i="12"/>
  <c r="FO76" i="12"/>
  <c r="FP76" i="12"/>
  <c r="FQ76" i="12"/>
  <c r="FR76" i="12"/>
  <c r="FS76" i="12"/>
  <c r="FT76" i="12"/>
  <c r="FU76" i="12"/>
  <c r="FV76" i="12"/>
  <c r="FW76" i="12"/>
  <c r="FX76" i="12"/>
  <c r="FY76" i="12"/>
  <c r="FZ76" i="12"/>
  <c r="GA76" i="12"/>
  <c r="GB76" i="12"/>
  <c r="GC76" i="12"/>
  <c r="GD76" i="12"/>
  <c r="GE76" i="12"/>
  <c r="GF76" i="12"/>
  <c r="GG76" i="12"/>
  <c r="GH76" i="12"/>
  <c r="GI76" i="12"/>
  <c r="GJ76" i="12"/>
  <c r="GK76" i="12"/>
  <c r="GL76" i="12"/>
  <c r="GM76" i="12"/>
  <c r="GN76" i="12"/>
  <c r="GO76" i="12"/>
  <c r="GP76" i="12"/>
  <c r="GQ76" i="12"/>
  <c r="GR76" i="12"/>
  <c r="GS76" i="12"/>
  <c r="GT76" i="12"/>
  <c r="GU76" i="12"/>
  <c r="GV76" i="12"/>
  <c r="GW76" i="12"/>
  <c r="GX76" i="12"/>
  <c r="GY76" i="12"/>
  <c r="GZ76" i="12"/>
  <c r="HA76" i="12"/>
  <c r="HB76" i="12"/>
  <c r="HC76" i="12"/>
  <c r="HD76" i="12"/>
  <c r="HE76" i="12"/>
  <c r="HF76" i="12"/>
  <c r="HG76" i="12"/>
  <c r="HH76" i="12"/>
  <c r="HI76" i="12"/>
  <c r="HJ76" i="12"/>
  <c r="HK76" i="12"/>
  <c r="HL76" i="12"/>
  <c r="HM76" i="12"/>
  <c r="HN76" i="12"/>
  <c r="HO76" i="12"/>
  <c r="HP76" i="12"/>
  <c r="HQ76" i="12"/>
  <c r="HR76" i="12"/>
  <c r="HS76" i="12"/>
  <c r="HT76" i="12"/>
  <c r="HU76" i="12"/>
  <c r="HV76" i="12"/>
  <c r="HW76" i="12"/>
  <c r="HX76" i="12"/>
  <c r="HY76" i="12"/>
  <c r="HZ76" i="12"/>
  <c r="IA76" i="12"/>
  <c r="IB76" i="12"/>
  <c r="IC76" i="12"/>
  <c r="ID76" i="12"/>
  <c r="IE76" i="12"/>
  <c r="IF76" i="12"/>
  <c r="IG76" i="12"/>
  <c r="IH76" i="12"/>
  <c r="II76" i="12"/>
  <c r="IJ76" i="12"/>
  <c r="IK76" i="12"/>
  <c r="IL76" i="12"/>
  <c r="IM76" i="12"/>
  <c r="IN76" i="12"/>
  <c r="IO76" i="12"/>
  <c r="IP76" i="12"/>
  <c r="IQ76" i="12"/>
  <c r="IR76" i="12"/>
  <c r="IS76" i="12"/>
  <c r="IT76" i="12"/>
  <c r="IU76" i="12"/>
  <c r="IV76" i="12"/>
  <c r="F77" i="12"/>
  <c r="G77" i="12"/>
  <c r="H77" i="12"/>
  <c r="I77" i="12"/>
  <c r="J77" i="12"/>
  <c r="K77" i="12"/>
  <c r="L77" i="12"/>
  <c r="M77" i="12"/>
  <c r="N77" i="12"/>
  <c r="O77" i="12"/>
  <c r="P77" i="12"/>
  <c r="Q77" i="12"/>
  <c r="R77" i="12"/>
  <c r="S77" i="12"/>
  <c r="T77" i="12"/>
  <c r="U77" i="12"/>
  <c r="V77" i="12"/>
  <c r="W77" i="12"/>
  <c r="X77" i="12"/>
  <c r="Y77" i="12"/>
  <c r="Z77" i="12"/>
  <c r="AA77" i="12"/>
  <c r="AB77" i="12"/>
  <c r="AC77" i="12"/>
  <c r="AD77" i="12"/>
  <c r="AE77" i="12"/>
  <c r="AF77" i="12"/>
  <c r="AG77" i="12"/>
  <c r="AH77" i="12"/>
  <c r="AI77" i="12"/>
  <c r="AJ77" i="12"/>
  <c r="AK77" i="12"/>
  <c r="AL77" i="12"/>
  <c r="AM77" i="12"/>
  <c r="AN77" i="12"/>
  <c r="AO77" i="12"/>
  <c r="AP77" i="12"/>
  <c r="AQ77" i="12"/>
  <c r="AR77" i="12"/>
  <c r="AS77" i="12"/>
  <c r="AT77" i="12"/>
  <c r="AU77" i="12"/>
  <c r="AV77" i="12"/>
  <c r="AW77" i="12"/>
  <c r="AX77" i="12"/>
  <c r="AY77" i="12"/>
  <c r="AZ77" i="12"/>
  <c r="BA77" i="12"/>
  <c r="BB77" i="12"/>
  <c r="BC77" i="12"/>
  <c r="BD77" i="12"/>
  <c r="BE77" i="12"/>
  <c r="BF77" i="12"/>
  <c r="BG77" i="12"/>
  <c r="BH77" i="12"/>
  <c r="BI77" i="12"/>
  <c r="BJ77" i="12"/>
  <c r="BK77" i="12"/>
  <c r="BL77" i="12"/>
  <c r="BM77" i="12"/>
  <c r="BN77" i="12"/>
  <c r="BO77" i="12"/>
  <c r="BP77" i="12"/>
  <c r="BQ77" i="12"/>
  <c r="BR77" i="12"/>
  <c r="BS77" i="12"/>
  <c r="BT77" i="12"/>
  <c r="BU77" i="12"/>
  <c r="BV77" i="12"/>
  <c r="BW77" i="12"/>
  <c r="BX77" i="12"/>
  <c r="BY77" i="12"/>
  <c r="BZ77" i="12"/>
  <c r="CA77" i="12"/>
  <c r="CB77" i="12"/>
  <c r="CC77" i="12"/>
  <c r="CD77" i="12"/>
  <c r="CE77" i="12"/>
  <c r="CF77" i="12"/>
  <c r="CG77" i="12"/>
  <c r="CH77" i="12"/>
  <c r="CI77" i="12"/>
  <c r="CJ77" i="12"/>
  <c r="CK77" i="12"/>
  <c r="CL77" i="12"/>
  <c r="CM77" i="12"/>
  <c r="CN77" i="12"/>
  <c r="CO77" i="12"/>
  <c r="CP77" i="12"/>
  <c r="CQ77" i="12"/>
  <c r="CR77" i="12"/>
  <c r="CS77" i="12"/>
  <c r="CT77" i="12"/>
  <c r="CU77" i="12"/>
  <c r="CV77" i="12"/>
  <c r="CW77" i="12"/>
  <c r="CX77" i="12"/>
  <c r="CY77" i="12"/>
  <c r="CZ77" i="12"/>
  <c r="DA77" i="12"/>
  <c r="DB77" i="12"/>
  <c r="DC77" i="12"/>
  <c r="DD77" i="12"/>
  <c r="DE77" i="12"/>
  <c r="DF77" i="12"/>
  <c r="DG77" i="12"/>
  <c r="DH77" i="12"/>
  <c r="DI77" i="12"/>
  <c r="DJ77" i="12"/>
  <c r="DK77" i="12"/>
  <c r="DL77" i="12"/>
  <c r="DM77" i="12"/>
  <c r="DN77" i="12"/>
  <c r="DO77" i="12"/>
  <c r="DP77" i="12"/>
  <c r="DQ77" i="12"/>
  <c r="DR77" i="12"/>
  <c r="DS77" i="12"/>
  <c r="DT77" i="12"/>
  <c r="DU77" i="12"/>
  <c r="DV77" i="12"/>
  <c r="DW77" i="12"/>
  <c r="DX77" i="12"/>
  <c r="DY77" i="12"/>
  <c r="DZ77" i="12"/>
  <c r="EA77" i="12"/>
  <c r="EB77" i="12"/>
  <c r="EC77" i="12"/>
  <c r="ED77" i="12"/>
  <c r="EE77" i="12"/>
  <c r="EF77" i="12"/>
  <c r="EG77" i="12"/>
  <c r="EH77" i="12"/>
  <c r="EI77" i="12"/>
  <c r="EJ77" i="12"/>
  <c r="EK77" i="12"/>
  <c r="EL77" i="12"/>
  <c r="EM77" i="12"/>
  <c r="EN77" i="12"/>
  <c r="EO77" i="12"/>
  <c r="EP77" i="12"/>
  <c r="EQ77" i="12"/>
  <c r="ER77" i="12"/>
  <c r="ES77" i="12"/>
  <c r="ET77" i="12"/>
  <c r="EU77" i="12"/>
  <c r="EV77" i="12"/>
  <c r="EW77" i="12"/>
  <c r="EX77" i="12"/>
  <c r="EY77" i="12"/>
  <c r="EZ77" i="12"/>
  <c r="FA77" i="12"/>
  <c r="FB77" i="12"/>
  <c r="FC77" i="12"/>
  <c r="FD77" i="12"/>
  <c r="FE77" i="12"/>
  <c r="FF77" i="12"/>
  <c r="FG77" i="12"/>
  <c r="FH77" i="12"/>
  <c r="FI77" i="12"/>
  <c r="FJ77" i="12"/>
  <c r="FK77" i="12"/>
  <c r="FL77" i="12"/>
  <c r="FM77" i="12"/>
  <c r="FN77" i="12"/>
  <c r="FO77" i="12"/>
  <c r="FP77" i="12"/>
  <c r="FQ77" i="12"/>
  <c r="FR77" i="12"/>
  <c r="FS77" i="12"/>
  <c r="FT77" i="12"/>
  <c r="FU77" i="12"/>
  <c r="FV77" i="12"/>
  <c r="FW77" i="12"/>
  <c r="FX77" i="12"/>
  <c r="FY77" i="12"/>
  <c r="FZ77" i="12"/>
  <c r="GA77" i="12"/>
  <c r="GB77" i="12"/>
  <c r="GC77" i="12"/>
  <c r="GD77" i="12"/>
  <c r="GE77" i="12"/>
  <c r="GF77" i="12"/>
  <c r="GG77" i="12"/>
  <c r="GH77" i="12"/>
  <c r="GI77" i="12"/>
  <c r="GJ77" i="12"/>
  <c r="GK77" i="12"/>
  <c r="GL77" i="12"/>
  <c r="GM77" i="12"/>
  <c r="GN77" i="12"/>
  <c r="GO77" i="12"/>
  <c r="GP77" i="12"/>
  <c r="GQ77" i="12"/>
  <c r="GR77" i="12"/>
  <c r="GS77" i="12"/>
  <c r="GT77" i="12"/>
  <c r="GU77" i="12"/>
  <c r="GV77" i="12"/>
  <c r="GW77" i="12"/>
  <c r="GX77" i="12"/>
  <c r="GY77" i="12"/>
  <c r="GZ77" i="12"/>
  <c r="HA77" i="12"/>
  <c r="HB77" i="12"/>
  <c r="HC77" i="12"/>
  <c r="HD77" i="12"/>
  <c r="HE77" i="12"/>
  <c r="HF77" i="12"/>
  <c r="HG77" i="12"/>
  <c r="HH77" i="12"/>
  <c r="HI77" i="12"/>
  <c r="HJ77" i="12"/>
  <c r="HK77" i="12"/>
  <c r="HL77" i="12"/>
  <c r="HM77" i="12"/>
  <c r="HN77" i="12"/>
  <c r="HO77" i="12"/>
  <c r="HP77" i="12"/>
  <c r="HQ77" i="12"/>
  <c r="HR77" i="12"/>
  <c r="HS77" i="12"/>
  <c r="HT77" i="12"/>
  <c r="HU77" i="12"/>
  <c r="HV77" i="12"/>
  <c r="HW77" i="12"/>
  <c r="HX77" i="12"/>
  <c r="HY77" i="12"/>
  <c r="HZ77" i="12"/>
  <c r="IA77" i="12"/>
  <c r="IB77" i="12"/>
  <c r="IC77" i="12"/>
  <c r="ID77" i="12"/>
  <c r="IE77" i="12"/>
  <c r="IF77" i="12"/>
  <c r="IG77" i="12"/>
  <c r="IH77" i="12"/>
  <c r="II77" i="12"/>
  <c r="IJ77" i="12"/>
  <c r="IK77" i="12"/>
  <c r="IL77" i="12"/>
  <c r="IM77" i="12"/>
  <c r="IN77" i="12"/>
  <c r="IO77" i="12"/>
  <c r="IP77" i="12"/>
  <c r="IQ77" i="12"/>
  <c r="IR77" i="12"/>
  <c r="IS77" i="12"/>
  <c r="IT77" i="12"/>
  <c r="IU77" i="12"/>
  <c r="IV77" i="12"/>
  <c r="F78" i="12"/>
  <c r="G78" i="12"/>
  <c r="H78" i="12"/>
  <c r="I78" i="12"/>
  <c r="J78" i="12"/>
  <c r="K78" i="12"/>
  <c r="L78" i="12"/>
  <c r="M78" i="12"/>
  <c r="N78" i="12"/>
  <c r="O78" i="12"/>
  <c r="P78" i="12"/>
  <c r="Q78" i="12"/>
  <c r="R78" i="12"/>
  <c r="S78" i="12"/>
  <c r="T78" i="12"/>
  <c r="U78" i="12"/>
  <c r="V78" i="12"/>
  <c r="W78" i="12"/>
  <c r="X78" i="12"/>
  <c r="Y78" i="12"/>
  <c r="Z78" i="12"/>
  <c r="AA78" i="12"/>
  <c r="AB78" i="12"/>
  <c r="AC78" i="12"/>
  <c r="AD78" i="12"/>
  <c r="AE78" i="12"/>
  <c r="AF78" i="12"/>
  <c r="AG78" i="12"/>
  <c r="AH78" i="12"/>
  <c r="AI78" i="12"/>
  <c r="AJ78" i="12"/>
  <c r="AK78" i="12"/>
  <c r="AL78" i="12"/>
  <c r="AM78" i="12"/>
  <c r="AN78" i="12"/>
  <c r="AO78" i="12"/>
  <c r="AP78" i="12"/>
  <c r="AQ78" i="12"/>
  <c r="AR78" i="12"/>
  <c r="AS78" i="12"/>
  <c r="AT78" i="12"/>
  <c r="AU78" i="12"/>
  <c r="AV78" i="12"/>
  <c r="AW78" i="12"/>
  <c r="AX78" i="12"/>
  <c r="AY78" i="12"/>
  <c r="AZ78" i="12"/>
  <c r="BA78" i="12"/>
  <c r="BB78" i="12"/>
  <c r="BC78" i="12"/>
  <c r="BD78" i="12"/>
  <c r="BE78" i="12"/>
  <c r="BF78" i="12"/>
  <c r="BG78" i="12"/>
  <c r="BH78" i="12"/>
  <c r="BI78" i="12"/>
  <c r="BJ78" i="12"/>
  <c r="BK78" i="12"/>
  <c r="BL78" i="12"/>
  <c r="BM78" i="12"/>
  <c r="BN78" i="12"/>
  <c r="BO78" i="12"/>
  <c r="BP78" i="12"/>
  <c r="BQ78" i="12"/>
  <c r="BR78" i="12"/>
  <c r="BS78" i="12"/>
  <c r="BT78" i="12"/>
  <c r="BU78" i="12"/>
  <c r="BV78" i="12"/>
  <c r="BW78" i="12"/>
  <c r="BX78" i="12"/>
  <c r="BY78" i="12"/>
  <c r="BZ78" i="12"/>
  <c r="CA78" i="12"/>
  <c r="CB78" i="12"/>
  <c r="CC78" i="12"/>
  <c r="CD78" i="12"/>
  <c r="CE78" i="12"/>
  <c r="CF78" i="12"/>
  <c r="CG78" i="12"/>
  <c r="CH78" i="12"/>
  <c r="CI78" i="12"/>
  <c r="CJ78" i="12"/>
  <c r="CK78" i="12"/>
  <c r="CL78" i="12"/>
  <c r="CM78" i="12"/>
  <c r="CN78" i="12"/>
  <c r="CO78" i="12"/>
  <c r="CP78" i="12"/>
  <c r="CQ78" i="12"/>
  <c r="CR78" i="12"/>
  <c r="CS78" i="12"/>
  <c r="CT78" i="12"/>
  <c r="CU78" i="12"/>
  <c r="CV78" i="12"/>
  <c r="CW78" i="12"/>
  <c r="CX78" i="12"/>
  <c r="CY78" i="12"/>
  <c r="CZ78" i="12"/>
  <c r="DA78" i="12"/>
  <c r="DB78" i="12"/>
  <c r="DC78" i="12"/>
  <c r="DD78" i="12"/>
  <c r="DE78" i="12"/>
  <c r="DF78" i="12"/>
  <c r="DG78" i="12"/>
  <c r="DH78" i="12"/>
  <c r="DI78" i="12"/>
  <c r="DJ78" i="12"/>
  <c r="DK78" i="12"/>
  <c r="DL78" i="12"/>
  <c r="DM78" i="12"/>
  <c r="DN78" i="12"/>
  <c r="DO78" i="12"/>
  <c r="DP78" i="12"/>
  <c r="DQ78" i="12"/>
  <c r="DR78" i="12"/>
  <c r="DS78" i="12"/>
  <c r="DT78" i="12"/>
  <c r="DU78" i="12"/>
  <c r="DV78" i="12"/>
  <c r="DW78" i="12"/>
  <c r="DX78" i="12"/>
  <c r="DY78" i="12"/>
  <c r="DZ78" i="12"/>
  <c r="EA78" i="12"/>
  <c r="EB78" i="12"/>
  <c r="EC78" i="12"/>
  <c r="ED78" i="12"/>
  <c r="EE78" i="12"/>
  <c r="EF78" i="12"/>
  <c r="EG78" i="12"/>
  <c r="EH78" i="12"/>
  <c r="EI78" i="12"/>
  <c r="EJ78" i="12"/>
  <c r="EK78" i="12"/>
  <c r="EL78" i="12"/>
  <c r="EM78" i="12"/>
  <c r="EN78" i="12"/>
  <c r="EO78" i="12"/>
  <c r="EP78" i="12"/>
  <c r="EQ78" i="12"/>
  <c r="ER78" i="12"/>
  <c r="ES78" i="12"/>
  <c r="ET78" i="12"/>
  <c r="EU78" i="12"/>
  <c r="EV78" i="12"/>
  <c r="EW78" i="12"/>
  <c r="EX78" i="12"/>
  <c r="EY78" i="12"/>
  <c r="EZ78" i="12"/>
  <c r="FA78" i="12"/>
  <c r="FB78" i="12"/>
  <c r="FC78" i="12"/>
  <c r="FD78" i="12"/>
  <c r="FE78" i="12"/>
  <c r="FF78" i="12"/>
  <c r="FG78" i="12"/>
  <c r="FH78" i="12"/>
  <c r="FI78" i="12"/>
  <c r="FJ78" i="12"/>
  <c r="FK78" i="12"/>
  <c r="FL78" i="12"/>
  <c r="FM78" i="12"/>
  <c r="FN78" i="12"/>
  <c r="FO78" i="12"/>
  <c r="FP78" i="12"/>
  <c r="FQ78" i="12"/>
  <c r="FR78" i="12"/>
  <c r="FS78" i="12"/>
  <c r="FT78" i="12"/>
  <c r="FU78" i="12"/>
  <c r="FV78" i="12"/>
  <c r="FW78" i="12"/>
  <c r="FX78" i="12"/>
  <c r="FY78" i="12"/>
  <c r="FZ78" i="12"/>
  <c r="GA78" i="12"/>
  <c r="GB78" i="12"/>
  <c r="GC78" i="12"/>
  <c r="GD78" i="12"/>
  <c r="GE78" i="12"/>
  <c r="GF78" i="12"/>
  <c r="GG78" i="12"/>
  <c r="GH78" i="12"/>
  <c r="GI78" i="12"/>
  <c r="GJ78" i="12"/>
  <c r="GK78" i="12"/>
  <c r="GL78" i="12"/>
  <c r="GM78" i="12"/>
  <c r="GN78" i="12"/>
  <c r="GO78" i="12"/>
  <c r="GP78" i="12"/>
  <c r="GQ78" i="12"/>
  <c r="GR78" i="12"/>
  <c r="GS78" i="12"/>
  <c r="GT78" i="12"/>
  <c r="GU78" i="12"/>
  <c r="GV78" i="12"/>
  <c r="GW78" i="12"/>
  <c r="GX78" i="12"/>
  <c r="GY78" i="12"/>
  <c r="GZ78" i="12"/>
  <c r="HA78" i="12"/>
  <c r="HB78" i="12"/>
  <c r="HC78" i="12"/>
  <c r="HD78" i="12"/>
  <c r="HE78" i="12"/>
  <c r="HF78" i="12"/>
  <c r="HG78" i="12"/>
  <c r="HH78" i="12"/>
  <c r="HI78" i="12"/>
  <c r="HJ78" i="12"/>
  <c r="HK78" i="12"/>
  <c r="HL78" i="12"/>
  <c r="HM78" i="12"/>
  <c r="HN78" i="12"/>
  <c r="HO78" i="12"/>
  <c r="HP78" i="12"/>
  <c r="HQ78" i="12"/>
  <c r="HR78" i="12"/>
  <c r="HS78" i="12"/>
  <c r="HT78" i="12"/>
  <c r="HU78" i="12"/>
  <c r="HV78" i="12"/>
  <c r="HW78" i="12"/>
  <c r="HX78" i="12"/>
  <c r="HY78" i="12"/>
  <c r="HZ78" i="12"/>
  <c r="IA78" i="12"/>
  <c r="IB78" i="12"/>
  <c r="IC78" i="12"/>
  <c r="ID78" i="12"/>
  <c r="IE78" i="12"/>
  <c r="IF78" i="12"/>
  <c r="IG78" i="12"/>
  <c r="IH78" i="12"/>
  <c r="II78" i="12"/>
  <c r="IJ78" i="12"/>
  <c r="IK78" i="12"/>
  <c r="IL78" i="12"/>
  <c r="IM78" i="12"/>
  <c r="IN78" i="12"/>
  <c r="IO78" i="12"/>
  <c r="IP78" i="12"/>
  <c r="IQ78" i="12"/>
  <c r="IR78" i="12"/>
  <c r="IS78" i="12"/>
  <c r="IT78" i="12"/>
  <c r="IU78" i="12"/>
  <c r="IV78" i="12"/>
  <c r="F79" i="12"/>
  <c r="G79" i="12"/>
  <c r="H79" i="12"/>
  <c r="I79" i="12"/>
  <c r="J79" i="12"/>
  <c r="K79" i="12"/>
  <c r="L79" i="12"/>
  <c r="M79" i="12"/>
  <c r="N79" i="12"/>
  <c r="O79" i="12"/>
  <c r="P79" i="12"/>
  <c r="Q79" i="12"/>
  <c r="R79" i="12"/>
  <c r="S79" i="12"/>
  <c r="T79" i="12"/>
  <c r="U79" i="12"/>
  <c r="V79" i="12"/>
  <c r="W79" i="12"/>
  <c r="X79" i="12"/>
  <c r="Y79" i="12"/>
  <c r="Z79" i="12"/>
  <c r="AA79" i="12"/>
  <c r="AB79" i="12"/>
  <c r="AC79" i="12"/>
  <c r="AD79" i="12"/>
  <c r="AE79" i="12"/>
  <c r="AF79" i="12"/>
  <c r="AG79" i="12"/>
  <c r="AH79" i="12"/>
  <c r="AI79" i="12"/>
  <c r="AJ79" i="12"/>
  <c r="AK79" i="12"/>
  <c r="AL79" i="12"/>
  <c r="AM79" i="12"/>
  <c r="AN79" i="12"/>
  <c r="AO79" i="12"/>
  <c r="AP79" i="12"/>
  <c r="AQ79" i="12"/>
  <c r="AR79" i="12"/>
  <c r="AS79" i="12"/>
  <c r="AT79" i="12"/>
  <c r="AU79" i="12"/>
  <c r="AV79" i="12"/>
  <c r="AW79" i="12"/>
  <c r="AX79" i="12"/>
  <c r="AY79" i="12"/>
  <c r="AZ79" i="12"/>
  <c r="BA79" i="12"/>
  <c r="BB79" i="12"/>
  <c r="BC79" i="12"/>
  <c r="BD79" i="12"/>
  <c r="BE79" i="12"/>
  <c r="BF79" i="12"/>
  <c r="BG79" i="12"/>
  <c r="BH79" i="12"/>
  <c r="BI79" i="12"/>
  <c r="BJ79" i="12"/>
  <c r="BK79" i="12"/>
  <c r="BL79" i="12"/>
  <c r="BM79" i="12"/>
  <c r="BN79" i="12"/>
  <c r="BO79" i="12"/>
  <c r="BP79" i="12"/>
  <c r="BQ79" i="12"/>
  <c r="BR79" i="12"/>
  <c r="BS79" i="12"/>
  <c r="BT79" i="12"/>
  <c r="BU79" i="12"/>
  <c r="BV79" i="12"/>
  <c r="BW79" i="12"/>
  <c r="BX79" i="12"/>
  <c r="BY79" i="12"/>
  <c r="BZ79" i="12"/>
  <c r="CA79" i="12"/>
  <c r="CB79" i="12"/>
  <c r="CC79" i="12"/>
  <c r="CD79" i="12"/>
  <c r="CE79" i="12"/>
  <c r="CF79" i="12"/>
  <c r="CG79" i="12"/>
  <c r="CH79" i="12"/>
  <c r="CI79" i="12"/>
  <c r="CJ79" i="12"/>
  <c r="CK79" i="12"/>
  <c r="CL79" i="12"/>
  <c r="CM79" i="12"/>
  <c r="CN79" i="12"/>
  <c r="CO79" i="12"/>
  <c r="CP79" i="12"/>
  <c r="CQ79" i="12"/>
  <c r="CR79" i="12"/>
  <c r="CS79" i="12"/>
  <c r="CT79" i="12"/>
  <c r="CU79" i="12"/>
  <c r="CV79" i="12"/>
  <c r="CW79" i="12"/>
  <c r="CX79" i="12"/>
  <c r="CY79" i="12"/>
  <c r="CZ79" i="12"/>
  <c r="DA79" i="12"/>
  <c r="DB79" i="12"/>
  <c r="DC79" i="12"/>
  <c r="DD79" i="12"/>
  <c r="DE79" i="12"/>
  <c r="DF79" i="12"/>
  <c r="DG79" i="12"/>
  <c r="DH79" i="12"/>
  <c r="DI79" i="12"/>
  <c r="DJ79" i="12"/>
  <c r="DK79" i="12"/>
  <c r="DL79" i="12"/>
  <c r="DM79" i="12"/>
  <c r="DN79" i="12"/>
  <c r="DO79" i="12"/>
  <c r="DP79" i="12"/>
  <c r="DQ79" i="12"/>
  <c r="DR79" i="12"/>
  <c r="DS79" i="12"/>
  <c r="DT79" i="12"/>
  <c r="DU79" i="12"/>
  <c r="DV79" i="12"/>
  <c r="DW79" i="12"/>
  <c r="DX79" i="12"/>
  <c r="DY79" i="12"/>
  <c r="DZ79" i="12"/>
  <c r="EA79" i="12"/>
  <c r="EB79" i="12"/>
  <c r="EC79" i="12"/>
  <c r="ED79" i="12"/>
  <c r="EE79" i="12"/>
  <c r="EF79" i="12"/>
  <c r="EG79" i="12"/>
  <c r="EH79" i="12"/>
  <c r="EI79" i="12"/>
  <c r="EJ79" i="12"/>
  <c r="EK79" i="12"/>
  <c r="EL79" i="12"/>
  <c r="EM79" i="12"/>
  <c r="EN79" i="12"/>
  <c r="EO79" i="12"/>
  <c r="EP79" i="12"/>
  <c r="EQ79" i="12"/>
  <c r="ER79" i="12"/>
  <c r="ES79" i="12"/>
  <c r="ET79" i="12"/>
  <c r="EU79" i="12"/>
  <c r="EV79" i="12"/>
  <c r="EW79" i="12"/>
  <c r="EX79" i="12"/>
  <c r="EY79" i="12"/>
  <c r="EZ79" i="12"/>
  <c r="FA79" i="12"/>
  <c r="FB79" i="12"/>
  <c r="FC79" i="12"/>
  <c r="FD79" i="12"/>
  <c r="FE79" i="12"/>
  <c r="FF79" i="12"/>
  <c r="FG79" i="12"/>
  <c r="FH79" i="12"/>
  <c r="FI79" i="12"/>
  <c r="FJ79" i="12"/>
  <c r="FK79" i="12"/>
  <c r="FL79" i="12"/>
  <c r="FM79" i="12"/>
  <c r="FN79" i="12"/>
  <c r="FO79" i="12"/>
  <c r="FP79" i="12"/>
  <c r="FQ79" i="12"/>
  <c r="FR79" i="12"/>
  <c r="FS79" i="12"/>
  <c r="FT79" i="12"/>
  <c r="FU79" i="12"/>
  <c r="FV79" i="12"/>
  <c r="FW79" i="12"/>
  <c r="FX79" i="12"/>
  <c r="FY79" i="12"/>
  <c r="FZ79" i="12"/>
  <c r="GA79" i="12"/>
  <c r="GB79" i="12"/>
  <c r="GC79" i="12"/>
  <c r="GD79" i="12"/>
  <c r="GE79" i="12"/>
  <c r="GF79" i="12"/>
  <c r="GG79" i="12"/>
  <c r="GH79" i="12"/>
  <c r="GI79" i="12"/>
  <c r="GJ79" i="12"/>
  <c r="GK79" i="12"/>
  <c r="GL79" i="12"/>
  <c r="GM79" i="12"/>
  <c r="GN79" i="12"/>
  <c r="GO79" i="12"/>
  <c r="GP79" i="12"/>
  <c r="GQ79" i="12"/>
  <c r="GR79" i="12"/>
  <c r="GS79" i="12"/>
  <c r="GT79" i="12"/>
  <c r="GU79" i="12"/>
  <c r="GV79" i="12"/>
  <c r="GW79" i="12"/>
  <c r="GX79" i="12"/>
  <c r="GY79" i="12"/>
  <c r="GZ79" i="12"/>
  <c r="HA79" i="12"/>
  <c r="HB79" i="12"/>
  <c r="HC79" i="12"/>
  <c r="HD79" i="12"/>
  <c r="HE79" i="12"/>
  <c r="HF79" i="12"/>
  <c r="HG79" i="12"/>
  <c r="HH79" i="12"/>
  <c r="HI79" i="12"/>
  <c r="HJ79" i="12"/>
  <c r="HK79" i="12"/>
  <c r="HL79" i="12"/>
  <c r="HM79" i="12"/>
  <c r="HN79" i="12"/>
  <c r="HO79" i="12"/>
  <c r="HP79" i="12"/>
  <c r="HQ79" i="12"/>
  <c r="HR79" i="12"/>
  <c r="HS79" i="12"/>
  <c r="HT79" i="12"/>
  <c r="HU79" i="12"/>
  <c r="HV79" i="12"/>
  <c r="HW79" i="12"/>
  <c r="HX79" i="12"/>
  <c r="HY79" i="12"/>
  <c r="HZ79" i="12"/>
  <c r="IA79" i="12"/>
  <c r="IB79" i="12"/>
  <c r="IC79" i="12"/>
  <c r="ID79" i="12"/>
  <c r="IE79" i="12"/>
  <c r="IF79" i="12"/>
  <c r="IG79" i="12"/>
  <c r="IH79" i="12"/>
  <c r="II79" i="12"/>
  <c r="IJ79" i="12"/>
  <c r="IK79" i="12"/>
  <c r="IL79" i="12"/>
  <c r="IM79" i="12"/>
  <c r="IN79" i="12"/>
  <c r="IO79" i="12"/>
  <c r="IP79" i="12"/>
  <c r="IQ79" i="12"/>
  <c r="IR79" i="12"/>
  <c r="IS79" i="12"/>
  <c r="IT79" i="12"/>
  <c r="IU79" i="12"/>
  <c r="IV79" i="12"/>
  <c r="F80" i="12"/>
  <c r="G80" i="12"/>
  <c r="H80" i="12"/>
  <c r="I80" i="12"/>
  <c r="J80" i="12"/>
  <c r="K80" i="12"/>
  <c r="L80" i="12"/>
  <c r="M80" i="12"/>
  <c r="N80" i="12"/>
  <c r="O80" i="12"/>
  <c r="P80" i="12"/>
  <c r="Q80" i="12"/>
  <c r="R80" i="12"/>
  <c r="S80" i="12"/>
  <c r="T80" i="12"/>
  <c r="U80" i="12"/>
  <c r="V80" i="12"/>
  <c r="W80" i="12"/>
  <c r="X80" i="12"/>
  <c r="Y80" i="12"/>
  <c r="Z80" i="12"/>
  <c r="AA80" i="12"/>
  <c r="AB80" i="12"/>
  <c r="AC80" i="12"/>
  <c r="AD80" i="12"/>
  <c r="AE80" i="12"/>
  <c r="AF80" i="12"/>
  <c r="AG80" i="12"/>
  <c r="AH80" i="12"/>
  <c r="AI80" i="12"/>
  <c r="AJ80" i="12"/>
  <c r="AK80" i="12"/>
  <c r="AL80" i="12"/>
  <c r="AM80" i="12"/>
  <c r="AN80" i="12"/>
  <c r="AO80" i="12"/>
  <c r="AP80" i="12"/>
  <c r="AQ80" i="12"/>
  <c r="AR80" i="12"/>
  <c r="AS80" i="12"/>
  <c r="AT80" i="12"/>
  <c r="AU80" i="12"/>
  <c r="AV80" i="12"/>
  <c r="AW80" i="12"/>
  <c r="AX80" i="12"/>
  <c r="AY80" i="12"/>
  <c r="AZ80" i="12"/>
  <c r="BA80" i="12"/>
  <c r="BB80" i="12"/>
  <c r="BC80" i="12"/>
  <c r="BD80" i="12"/>
  <c r="BE80" i="12"/>
  <c r="BF80" i="12"/>
  <c r="BG80" i="12"/>
  <c r="BH80" i="12"/>
  <c r="BI80" i="12"/>
  <c r="BJ80" i="12"/>
  <c r="BK80" i="12"/>
  <c r="BL80" i="12"/>
  <c r="BM80" i="12"/>
  <c r="BN80" i="12"/>
  <c r="BO80" i="12"/>
  <c r="BP80" i="12"/>
  <c r="BQ80" i="12"/>
  <c r="BR80" i="12"/>
  <c r="BS80" i="12"/>
  <c r="BT80" i="12"/>
  <c r="BU80" i="12"/>
  <c r="BV80" i="12"/>
  <c r="BW80" i="12"/>
  <c r="BX80" i="12"/>
  <c r="BY80" i="12"/>
  <c r="BZ80" i="12"/>
  <c r="CA80" i="12"/>
  <c r="CB80" i="12"/>
  <c r="CC80" i="12"/>
  <c r="CD80" i="12"/>
  <c r="CE80" i="12"/>
  <c r="CF80" i="12"/>
  <c r="CG80" i="12"/>
  <c r="CH80" i="12"/>
  <c r="CI80" i="12"/>
  <c r="CJ80" i="12"/>
  <c r="CK80" i="12"/>
  <c r="CL80" i="12"/>
  <c r="CM80" i="12"/>
  <c r="CN80" i="12"/>
  <c r="CO80" i="12"/>
  <c r="CP80" i="12"/>
  <c r="CQ80" i="12"/>
  <c r="CR80" i="12"/>
  <c r="CS80" i="12"/>
  <c r="CT80" i="12"/>
  <c r="CU80" i="12"/>
  <c r="CV80" i="12"/>
  <c r="CW80" i="12"/>
  <c r="CX80" i="12"/>
  <c r="CY80" i="12"/>
  <c r="CZ80" i="12"/>
  <c r="DA80" i="12"/>
  <c r="DB80" i="12"/>
  <c r="DC80" i="12"/>
  <c r="DD80" i="12"/>
  <c r="DE80" i="12"/>
  <c r="DF80" i="12"/>
  <c r="DG80" i="12"/>
  <c r="DH80" i="12"/>
  <c r="DI80" i="12"/>
  <c r="DJ80" i="12"/>
  <c r="DK80" i="12"/>
  <c r="DL80" i="12"/>
  <c r="DM80" i="12"/>
  <c r="DN80" i="12"/>
  <c r="DO80" i="12"/>
  <c r="DP80" i="12"/>
  <c r="DQ80" i="12"/>
  <c r="DR80" i="12"/>
  <c r="DS80" i="12"/>
  <c r="DT80" i="12"/>
  <c r="DU80" i="12"/>
  <c r="DV80" i="12"/>
  <c r="DW80" i="12"/>
  <c r="DX80" i="12"/>
  <c r="DY80" i="12"/>
  <c r="DZ80" i="12"/>
  <c r="EA80" i="12"/>
  <c r="EB80" i="12"/>
  <c r="EC80" i="12"/>
  <c r="ED80" i="12"/>
  <c r="EE80" i="12"/>
  <c r="EF80" i="12"/>
  <c r="EG80" i="12"/>
  <c r="EH80" i="12"/>
  <c r="EI80" i="12"/>
  <c r="EJ80" i="12"/>
  <c r="EK80" i="12"/>
  <c r="EL80" i="12"/>
  <c r="EM80" i="12"/>
  <c r="EN80" i="12"/>
  <c r="EO80" i="12"/>
  <c r="EP80" i="12"/>
  <c r="EQ80" i="12"/>
  <c r="ER80" i="12"/>
  <c r="ES80" i="12"/>
  <c r="ET80" i="12"/>
  <c r="EU80" i="12"/>
  <c r="EV80" i="12"/>
  <c r="EW80" i="12"/>
  <c r="EX80" i="12"/>
  <c r="EY80" i="12"/>
  <c r="EZ80" i="12"/>
  <c r="FA80" i="12"/>
  <c r="FB80" i="12"/>
  <c r="FC80" i="12"/>
  <c r="FD80" i="12"/>
  <c r="FE80" i="12"/>
  <c r="FF80" i="12"/>
  <c r="FG80" i="12"/>
  <c r="FH80" i="12"/>
  <c r="FI80" i="12"/>
  <c r="FJ80" i="12"/>
  <c r="FK80" i="12"/>
  <c r="FL80" i="12"/>
  <c r="FM80" i="12"/>
  <c r="FN80" i="12"/>
  <c r="FO80" i="12"/>
  <c r="FP80" i="12"/>
  <c r="FQ80" i="12"/>
  <c r="FR80" i="12"/>
  <c r="FS80" i="12"/>
  <c r="FT80" i="12"/>
  <c r="FU80" i="12"/>
  <c r="FV80" i="12"/>
  <c r="FW80" i="12"/>
  <c r="FX80" i="12"/>
  <c r="FY80" i="12"/>
  <c r="FZ80" i="12"/>
  <c r="GA80" i="12"/>
  <c r="GB80" i="12"/>
  <c r="GC80" i="12"/>
  <c r="GD80" i="12"/>
  <c r="GE80" i="12"/>
  <c r="GF80" i="12"/>
  <c r="GG80" i="12"/>
  <c r="GH80" i="12"/>
  <c r="GI80" i="12"/>
  <c r="GJ80" i="12"/>
  <c r="GK80" i="12"/>
  <c r="GL80" i="12"/>
  <c r="GM80" i="12"/>
  <c r="GN80" i="12"/>
  <c r="GO80" i="12"/>
  <c r="GP80" i="12"/>
  <c r="GQ80" i="12"/>
  <c r="GR80" i="12"/>
  <c r="GS80" i="12"/>
  <c r="GT80" i="12"/>
  <c r="GU80" i="12"/>
  <c r="GV80" i="12"/>
  <c r="GW80" i="12"/>
  <c r="GX80" i="12"/>
  <c r="GY80" i="12"/>
  <c r="GZ80" i="12"/>
  <c r="HA80" i="12"/>
  <c r="HB80" i="12"/>
  <c r="HC80" i="12"/>
  <c r="HD80" i="12"/>
  <c r="HE80" i="12"/>
  <c r="HF80" i="12"/>
  <c r="HG80" i="12"/>
  <c r="HH80" i="12"/>
  <c r="HI80" i="12"/>
  <c r="HJ80" i="12"/>
  <c r="HK80" i="12"/>
  <c r="HL80" i="12"/>
  <c r="HM80" i="12"/>
  <c r="HN80" i="12"/>
  <c r="HO80" i="12"/>
  <c r="HP80" i="12"/>
  <c r="HQ80" i="12"/>
  <c r="HR80" i="12"/>
  <c r="HS80" i="12"/>
  <c r="HT80" i="12"/>
  <c r="HU80" i="12"/>
  <c r="HV80" i="12"/>
  <c r="HW80" i="12"/>
  <c r="HX80" i="12"/>
  <c r="HY80" i="12"/>
  <c r="HZ80" i="12"/>
  <c r="IA80" i="12"/>
  <c r="IB80" i="12"/>
  <c r="IC80" i="12"/>
  <c r="ID80" i="12"/>
  <c r="IE80" i="12"/>
  <c r="IF80" i="12"/>
  <c r="IG80" i="12"/>
  <c r="IH80" i="12"/>
  <c r="II80" i="12"/>
  <c r="IJ80" i="12"/>
  <c r="IK80" i="12"/>
  <c r="IL80" i="12"/>
  <c r="IM80" i="12"/>
  <c r="IN80" i="12"/>
  <c r="IO80" i="12"/>
  <c r="IP80" i="12"/>
  <c r="IQ80" i="12"/>
  <c r="IR80" i="12"/>
  <c r="IS80" i="12"/>
  <c r="IT80" i="12"/>
  <c r="IU80" i="12"/>
  <c r="IV80" i="12"/>
  <c r="F81" i="12"/>
  <c r="G81" i="12"/>
  <c r="H81" i="12"/>
  <c r="I81" i="12"/>
  <c r="J81" i="12"/>
  <c r="K81" i="12"/>
  <c r="L81" i="12"/>
  <c r="M81" i="12"/>
  <c r="N81" i="12"/>
  <c r="O81" i="12"/>
  <c r="P81" i="12"/>
  <c r="Q81" i="12"/>
  <c r="R81" i="12"/>
  <c r="S81" i="12"/>
  <c r="T81" i="12"/>
  <c r="U81" i="12"/>
  <c r="V81" i="12"/>
  <c r="W81" i="12"/>
  <c r="X81" i="12"/>
  <c r="Y81" i="12"/>
  <c r="Z81" i="12"/>
  <c r="AA81" i="12"/>
  <c r="AB81" i="12"/>
  <c r="AC81" i="12"/>
  <c r="AD81" i="12"/>
  <c r="AE81" i="12"/>
  <c r="AF81" i="12"/>
  <c r="AG81" i="12"/>
  <c r="AH81" i="12"/>
  <c r="AI81" i="12"/>
  <c r="AJ81" i="12"/>
  <c r="AK81" i="12"/>
  <c r="AL81" i="12"/>
  <c r="AM81" i="12"/>
  <c r="AN81" i="12"/>
  <c r="AO81" i="12"/>
  <c r="AP81" i="12"/>
  <c r="AQ81" i="12"/>
  <c r="AR81" i="12"/>
  <c r="AS81" i="12"/>
  <c r="AT81" i="12"/>
  <c r="AU81" i="12"/>
  <c r="AV81" i="12"/>
  <c r="AW81" i="12"/>
  <c r="AX81" i="12"/>
  <c r="AY81" i="12"/>
  <c r="AZ81" i="12"/>
  <c r="BA81" i="12"/>
  <c r="BB81" i="12"/>
  <c r="BC81" i="12"/>
  <c r="BD81" i="12"/>
  <c r="BE81" i="12"/>
  <c r="BF81" i="12"/>
  <c r="BG81" i="12"/>
  <c r="BH81" i="12"/>
  <c r="BI81" i="12"/>
  <c r="BJ81" i="12"/>
  <c r="BK81" i="12"/>
  <c r="BL81" i="12"/>
  <c r="BM81" i="12"/>
  <c r="BN81" i="12"/>
  <c r="BO81" i="12"/>
  <c r="BP81" i="12"/>
  <c r="BQ81" i="12"/>
  <c r="BR81" i="12"/>
  <c r="BS81" i="12"/>
  <c r="BT81" i="12"/>
  <c r="BU81" i="12"/>
  <c r="BV81" i="12"/>
  <c r="BW81" i="12"/>
  <c r="BX81" i="12"/>
  <c r="BY81" i="12"/>
  <c r="BZ81" i="12"/>
  <c r="CA81" i="12"/>
  <c r="CB81" i="12"/>
  <c r="CC81" i="12"/>
  <c r="CD81" i="12"/>
  <c r="CE81" i="12"/>
  <c r="CF81" i="12"/>
  <c r="CG81" i="12"/>
  <c r="CH81" i="12"/>
  <c r="CI81" i="12"/>
  <c r="CJ81" i="12"/>
  <c r="CK81" i="12"/>
  <c r="CL81" i="12"/>
  <c r="CM81" i="12"/>
  <c r="CN81" i="12"/>
  <c r="CO81" i="12"/>
  <c r="CP81" i="12"/>
  <c r="CQ81" i="12"/>
  <c r="CR81" i="12"/>
  <c r="CS81" i="12"/>
  <c r="CT81" i="12"/>
  <c r="CU81" i="12"/>
  <c r="CV81" i="12"/>
  <c r="CW81" i="12"/>
  <c r="CX81" i="12"/>
  <c r="CY81" i="12"/>
  <c r="CZ81" i="12"/>
  <c r="DA81" i="12"/>
  <c r="DB81" i="12"/>
  <c r="DC81" i="12"/>
  <c r="DD81" i="12"/>
  <c r="DE81" i="12"/>
  <c r="DF81" i="12"/>
  <c r="DG81" i="12"/>
  <c r="DH81" i="12"/>
  <c r="DI81" i="12"/>
  <c r="DJ81" i="12"/>
  <c r="DK81" i="12"/>
  <c r="DL81" i="12"/>
  <c r="DM81" i="12"/>
  <c r="DN81" i="12"/>
  <c r="DO81" i="12"/>
  <c r="DP81" i="12"/>
  <c r="DQ81" i="12"/>
  <c r="DR81" i="12"/>
  <c r="DS81" i="12"/>
  <c r="DT81" i="12"/>
  <c r="DU81" i="12"/>
  <c r="DV81" i="12"/>
  <c r="DW81" i="12"/>
  <c r="DX81" i="12"/>
  <c r="DY81" i="12"/>
  <c r="DZ81" i="12"/>
  <c r="EA81" i="12"/>
  <c r="EB81" i="12"/>
  <c r="EC81" i="12"/>
  <c r="ED81" i="12"/>
  <c r="EE81" i="12"/>
  <c r="EF81" i="12"/>
  <c r="EG81" i="12"/>
  <c r="EH81" i="12"/>
  <c r="EI81" i="12"/>
  <c r="EJ81" i="12"/>
  <c r="EK81" i="12"/>
  <c r="EL81" i="12"/>
  <c r="EM81" i="12"/>
  <c r="EN81" i="12"/>
  <c r="EO81" i="12"/>
  <c r="EP81" i="12"/>
  <c r="EQ81" i="12"/>
  <c r="ER81" i="12"/>
  <c r="ES81" i="12"/>
  <c r="ET81" i="12"/>
  <c r="EU81" i="12"/>
  <c r="EV81" i="12"/>
  <c r="EW81" i="12"/>
  <c r="EX81" i="12"/>
  <c r="EY81" i="12"/>
  <c r="EZ81" i="12"/>
  <c r="FA81" i="12"/>
  <c r="FB81" i="12"/>
  <c r="FC81" i="12"/>
  <c r="FD81" i="12"/>
  <c r="FE81" i="12"/>
  <c r="FF81" i="12"/>
  <c r="FG81" i="12"/>
  <c r="FH81" i="12"/>
  <c r="FI81" i="12"/>
  <c r="FJ81" i="12"/>
  <c r="FK81" i="12"/>
  <c r="FL81" i="12"/>
  <c r="FM81" i="12"/>
  <c r="FN81" i="12"/>
  <c r="FO81" i="12"/>
  <c r="FP81" i="12"/>
  <c r="FQ81" i="12"/>
  <c r="FR81" i="12"/>
  <c r="FS81" i="12"/>
  <c r="FT81" i="12"/>
  <c r="FU81" i="12"/>
  <c r="FV81" i="12"/>
  <c r="FW81" i="12"/>
  <c r="FX81" i="12"/>
  <c r="FY81" i="12"/>
  <c r="FZ81" i="12"/>
  <c r="GA81" i="12"/>
  <c r="GB81" i="12"/>
  <c r="GC81" i="12"/>
  <c r="GD81" i="12"/>
  <c r="GE81" i="12"/>
  <c r="GF81" i="12"/>
  <c r="GG81" i="12"/>
  <c r="GH81" i="12"/>
  <c r="GI81" i="12"/>
  <c r="GJ81" i="12"/>
  <c r="GK81" i="12"/>
  <c r="GL81" i="12"/>
  <c r="GM81" i="12"/>
  <c r="GN81" i="12"/>
  <c r="GO81" i="12"/>
  <c r="GP81" i="12"/>
  <c r="GQ81" i="12"/>
  <c r="GR81" i="12"/>
  <c r="GS81" i="12"/>
  <c r="GT81" i="12"/>
  <c r="GU81" i="12"/>
  <c r="GV81" i="12"/>
  <c r="GW81" i="12"/>
  <c r="GX81" i="12"/>
  <c r="GY81" i="12"/>
  <c r="GZ81" i="12"/>
  <c r="HA81" i="12"/>
  <c r="HB81" i="12"/>
  <c r="HC81" i="12"/>
  <c r="HD81" i="12"/>
  <c r="HE81" i="12"/>
  <c r="HF81" i="12"/>
  <c r="HG81" i="12"/>
  <c r="HH81" i="12"/>
  <c r="HI81" i="12"/>
  <c r="HJ81" i="12"/>
  <c r="HK81" i="12"/>
  <c r="HL81" i="12"/>
  <c r="HM81" i="12"/>
  <c r="HN81" i="12"/>
  <c r="HO81" i="12"/>
  <c r="HP81" i="12"/>
  <c r="HQ81" i="12"/>
  <c r="HR81" i="12"/>
  <c r="HS81" i="12"/>
  <c r="HT81" i="12"/>
  <c r="HU81" i="12"/>
  <c r="HV81" i="12"/>
  <c r="HW81" i="12"/>
  <c r="HX81" i="12"/>
  <c r="HY81" i="12"/>
  <c r="HZ81" i="12"/>
  <c r="IA81" i="12"/>
  <c r="IB81" i="12"/>
  <c r="IC81" i="12"/>
  <c r="ID81" i="12"/>
  <c r="IE81" i="12"/>
  <c r="IF81" i="12"/>
  <c r="IG81" i="12"/>
  <c r="IH81" i="12"/>
  <c r="II81" i="12"/>
  <c r="IJ81" i="12"/>
  <c r="IK81" i="12"/>
  <c r="IL81" i="12"/>
  <c r="IM81" i="12"/>
  <c r="IN81" i="12"/>
  <c r="IO81" i="12"/>
  <c r="IP81" i="12"/>
  <c r="IQ81" i="12"/>
  <c r="IR81" i="12"/>
  <c r="IS81" i="12"/>
  <c r="IT81" i="12"/>
  <c r="IU81" i="12"/>
  <c r="IV81" i="12"/>
  <c r="F82" i="12"/>
  <c r="G82" i="12"/>
  <c r="H82" i="12"/>
  <c r="I82" i="12"/>
  <c r="J82" i="12"/>
  <c r="K82" i="12"/>
  <c r="L82" i="12"/>
  <c r="M82" i="12"/>
  <c r="N82" i="12"/>
  <c r="O82" i="12"/>
  <c r="P82" i="12"/>
  <c r="Q82" i="12"/>
  <c r="R82" i="12"/>
  <c r="S82" i="12"/>
  <c r="T82" i="12"/>
  <c r="U82" i="12"/>
  <c r="V82" i="12"/>
  <c r="W82" i="12"/>
  <c r="X82" i="12"/>
  <c r="Y82" i="12"/>
  <c r="Z82" i="12"/>
  <c r="AA82" i="12"/>
  <c r="AB82" i="12"/>
  <c r="AC82" i="12"/>
  <c r="AD82" i="12"/>
  <c r="AE82" i="12"/>
  <c r="AF82" i="12"/>
  <c r="AG82" i="12"/>
  <c r="AH82" i="12"/>
  <c r="AI82" i="12"/>
  <c r="AJ82" i="12"/>
  <c r="AK82" i="12"/>
  <c r="AL82" i="12"/>
  <c r="AM82" i="12"/>
  <c r="AN82" i="12"/>
  <c r="AO82" i="12"/>
  <c r="AP82" i="12"/>
  <c r="AQ82" i="12"/>
  <c r="AR82" i="12"/>
  <c r="AS82" i="12"/>
  <c r="AT82" i="12"/>
  <c r="AU82" i="12"/>
  <c r="AV82" i="12"/>
  <c r="AW82" i="12"/>
  <c r="AX82" i="12"/>
  <c r="AY82" i="12"/>
  <c r="AZ82" i="12"/>
  <c r="BA82" i="12"/>
  <c r="BB82" i="12"/>
  <c r="BC82" i="12"/>
  <c r="BD82" i="12"/>
  <c r="BE82" i="12"/>
  <c r="BF82" i="12"/>
  <c r="BG82" i="12"/>
  <c r="BH82" i="12"/>
  <c r="BI82" i="12"/>
  <c r="BJ82" i="12"/>
  <c r="BK82" i="12"/>
  <c r="BL82" i="12"/>
  <c r="BM82" i="12"/>
  <c r="BN82" i="12"/>
  <c r="BO82" i="12"/>
  <c r="BP82" i="12"/>
  <c r="BQ82" i="12"/>
  <c r="BR82" i="12"/>
  <c r="BS82" i="12"/>
  <c r="BT82" i="12"/>
  <c r="BU82" i="12"/>
  <c r="BV82" i="12"/>
  <c r="BW82" i="12"/>
  <c r="BX82" i="12"/>
  <c r="BY82" i="12"/>
  <c r="BZ82" i="12"/>
  <c r="CA82" i="12"/>
  <c r="CB82" i="12"/>
  <c r="CC82" i="12"/>
  <c r="CD82" i="12"/>
  <c r="CE82" i="12"/>
  <c r="CF82" i="12"/>
  <c r="CG82" i="12"/>
  <c r="CH82" i="12"/>
  <c r="CI82" i="12"/>
  <c r="CJ82" i="12"/>
  <c r="CK82" i="12"/>
  <c r="CL82" i="12"/>
  <c r="CM82" i="12"/>
  <c r="CN82" i="12"/>
  <c r="CO82" i="12"/>
  <c r="CP82" i="12"/>
  <c r="CQ82" i="12"/>
  <c r="CR82" i="12"/>
  <c r="CS82" i="12"/>
  <c r="CT82" i="12"/>
  <c r="CU82" i="12"/>
  <c r="CV82" i="12"/>
  <c r="CW82" i="12"/>
  <c r="CX82" i="12"/>
  <c r="CY82" i="12"/>
  <c r="CZ82" i="12"/>
  <c r="DA82" i="12"/>
  <c r="DB82" i="12"/>
  <c r="DC82" i="12"/>
  <c r="DD82" i="12"/>
  <c r="DE82" i="12"/>
  <c r="DF82" i="12"/>
  <c r="DG82" i="12"/>
  <c r="DH82" i="12"/>
  <c r="DI82" i="12"/>
  <c r="DJ82" i="12"/>
  <c r="DK82" i="12"/>
  <c r="DL82" i="12"/>
  <c r="DM82" i="12"/>
  <c r="DN82" i="12"/>
  <c r="DO82" i="12"/>
  <c r="DP82" i="12"/>
  <c r="DQ82" i="12"/>
  <c r="DR82" i="12"/>
  <c r="DS82" i="12"/>
  <c r="DT82" i="12"/>
  <c r="DU82" i="12"/>
  <c r="DV82" i="12"/>
  <c r="DW82" i="12"/>
  <c r="DX82" i="12"/>
  <c r="DY82" i="12"/>
  <c r="DZ82" i="12"/>
  <c r="EA82" i="12"/>
  <c r="EB82" i="12"/>
  <c r="EC82" i="12"/>
  <c r="ED82" i="12"/>
  <c r="EE82" i="12"/>
  <c r="EF82" i="12"/>
  <c r="EG82" i="12"/>
  <c r="EH82" i="12"/>
  <c r="EI82" i="12"/>
  <c r="EJ82" i="12"/>
  <c r="EK82" i="12"/>
  <c r="EL82" i="12"/>
  <c r="EM82" i="12"/>
  <c r="EN82" i="12"/>
  <c r="EO82" i="12"/>
  <c r="EP82" i="12"/>
  <c r="EQ82" i="12"/>
  <c r="ER82" i="12"/>
  <c r="ES82" i="12"/>
  <c r="ET82" i="12"/>
  <c r="EU82" i="12"/>
  <c r="EV82" i="12"/>
  <c r="EW82" i="12"/>
  <c r="EX82" i="12"/>
  <c r="EY82" i="12"/>
  <c r="EZ82" i="12"/>
  <c r="FA82" i="12"/>
  <c r="FB82" i="12"/>
  <c r="FC82" i="12"/>
  <c r="FD82" i="12"/>
  <c r="FE82" i="12"/>
  <c r="FF82" i="12"/>
  <c r="FG82" i="12"/>
  <c r="FH82" i="12"/>
  <c r="FI82" i="12"/>
  <c r="FJ82" i="12"/>
  <c r="FK82" i="12"/>
  <c r="FL82" i="12"/>
  <c r="FM82" i="12"/>
  <c r="FN82" i="12"/>
  <c r="FO82" i="12"/>
  <c r="FP82" i="12"/>
  <c r="FQ82" i="12"/>
  <c r="FR82" i="12"/>
  <c r="FS82" i="12"/>
  <c r="FT82" i="12"/>
  <c r="FU82" i="12"/>
  <c r="FV82" i="12"/>
  <c r="FW82" i="12"/>
  <c r="FX82" i="12"/>
  <c r="FY82" i="12"/>
  <c r="FZ82" i="12"/>
  <c r="GA82" i="12"/>
  <c r="GB82" i="12"/>
  <c r="GC82" i="12"/>
  <c r="GD82" i="12"/>
  <c r="GE82" i="12"/>
  <c r="GF82" i="12"/>
  <c r="GG82" i="12"/>
  <c r="GH82" i="12"/>
  <c r="GI82" i="12"/>
  <c r="GJ82" i="12"/>
  <c r="GK82" i="12"/>
  <c r="GL82" i="12"/>
  <c r="GM82" i="12"/>
  <c r="GN82" i="12"/>
  <c r="GO82" i="12"/>
  <c r="GP82" i="12"/>
  <c r="GQ82" i="12"/>
  <c r="GR82" i="12"/>
  <c r="GS82" i="12"/>
  <c r="GT82" i="12"/>
  <c r="GU82" i="12"/>
  <c r="GV82" i="12"/>
  <c r="GW82" i="12"/>
  <c r="GX82" i="12"/>
  <c r="GY82" i="12"/>
  <c r="GZ82" i="12"/>
  <c r="HA82" i="12"/>
  <c r="HB82" i="12"/>
  <c r="HC82" i="12"/>
  <c r="HD82" i="12"/>
  <c r="HE82" i="12"/>
  <c r="HF82" i="12"/>
  <c r="HG82" i="12"/>
  <c r="HH82" i="12"/>
  <c r="HI82" i="12"/>
  <c r="HJ82" i="12"/>
  <c r="HK82" i="12"/>
  <c r="HL82" i="12"/>
  <c r="HM82" i="12"/>
  <c r="HN82" i="12"/>
  <c r="HO82" i="12"/>
  <c r="HP82" i="12"/>
  <c r="HQ82" i="12"/>
  <c r="HR82" i="12"/>
  <c r="HS82" i="12"/>
  <c r="HT82" i="12"/>
  <c r="HU82" i="12"/>
  <c r="HV82" i="12"/>
  <c r="HW82" i="12"/>
  <c r="HX82" i="12"/>
  <c r="HY82" i="12"/>
  <c r="HZ82" i="12"/>
  <c r="IA82" i="12"/>
  <c r="IB82" i="12"/>
  <c r="IC82" i="12"/>
  <c r="ID82" i="12"/>
  <c r="IE82" i="12"/>
  <c r="IF82" i="12"/>
  <c r="IG82" i="12"/>
  <c r="IH82" i="12"/>
  <c r="II82" i="12"/>
  <c r="IJ82" i="12"/>
  <c r="IK82" i="12"/>
  <c r="IL82" i="12"/>
  <c r="IM82" i="12"/>
  <c r="IN82" i="12"/>
  <c r="IO82" i="12"/>
  <c r="IP82" i="12"/>
  <c r="IQ82" i="12"/>
  <c r="IR82" i="12"/>
  <c r="IS82" i="12"/>
  <c r="IT82" i="12"/>
  <c r="IU82" i="12"/>
  <c r="IV82" i="12"/>
  <c r="F83" i="12"/>
  <c r="G83" i="12"/>
  <c r="H83" i="12"/>
  <c r="I83" i="12"/>
  <c r="J83" i="12"/>
  <c r="K83" i="12"/>
  <c r="L83" i="12"/>
  <c r="M83" i="12"/>
  <c r="N83" i="12"/>
  <c r="O83" i="12"/>
  <c r="P83" i="12"/>
  <c r="Q83" i="12"/>
  <c r="R83" i="12"/>
  <c r="S83" i="12"/>
  <c r="T83" i="12"/>
  <c r="U83" i="12"/>
  <c r="V83" i="12"/>
  <c r="W83" i="12"/>
  <c r="X83" i="12"/>
  <c r="Y83" i="12"/>
  <c r="Z83" i="12"/>
  <c r="AA83" i="12"/>
  <c r="AB83" i="12"/>
  <c r="AC83" i="12"/>
  <c r="AD83" i="12"/>
  <c r="AE83" i="12"/>
  <c r="AF83" i="12"/>
  <c r="AG83" i="12"/>
  <c r="AH83" i="12"/>
  <c r="AI83" i="12"/>
  <c r="AJ83" i="12"/>
  <c r="AK83" i="12"/>
  <c r="AL83" i="12"/>
  <c r="AM83" i="12"/>
  <c r="AN83" i="12"/>
  <c r="AO83" i="12"/>
  <c r="AP83" i="12"/>
  <c r="AQ83" i="12"/>
  <c r="AR83" i="12"/>
  <c r="AS83" i="12"/>
  <c r="AT83" i="12"/>
  <c r="AU83" i="12"/>
  <c r="AV83" i="12"/>
  <c r="AW83" i="12"/>
  <c r="AX83" i="12"/>
  <c r="AY83" i="12"/>
  <c r="AZ83" i="12"/>
  <c r="BA83" i="12"/>
  <c r="BB83" i="12"/>
  <c r="BC83" i="12"/>
  <c r="BD83" i="12"/>
  <c r="BE83" i="12"/>
  <c r="BF83" i="12"/>
  <c r="BG83" i="12"/>
  <c r="BH83" i="12"/>
  <c r="BI83" i="12"/>
  <c r="BJ83" i="12"/>
  <c r="BK83" i="12"/>
  <c r="BL83" i="12"/>
  <c r="BM83" i="12"/>
  <c r="BN83" i="12"/>
  <c r="BO83" i="12"/>
  <c r="BP83" i="12"/>
  <c r="BQ83" i="12"/>
  <c r="BR83" i="12"/>
  <c r="BS83" i="12"/>
  <c r="BT83" i="12"/>
  <c r="BU83" i="12"/>
  <c r="BV83" i="12"/>
  <c r="BW83" i="12"/>
  <c r="BX83" i="12"/>
  <c r="BY83" i="12"/>
  <c r="BZ83" i="12"/>
  <c r="CA83" i="12"/>
  <c r="CB83" i="12"/>
  <c r="CC83" i="12"/>
  <c r="CD83" i="12"/>
  <c r="CE83" i="12"/>
  <c r="CF83" i="12"/>
  <c r="CG83" i="12"/>
  <c r="CH83" i="12"/>
  <c r="CI83" i="12"/>
  <c r="CJ83" i="12"/>
  <c r="CK83" i="12"/>
  <c r="CL83" i="12"/>
  <c r="CM83" i="12"/>
  <c r="CN83" i="12"/>
  <c r="CO83" i="12"/>
  <c r="CP83" i="12"/>
  <c r="CQ83" i="12"/>
  <c r="CR83" i="12"/>
  <c r="CS83" i="12"/>
  <c r="CT83" i="12"/>
  <c r="CU83" i="12"/>
  <c r="CV83" i="12"/>
  <c r="CW83" i="12"/>
  <c r="CX83" i="12"/>
  <c r="CY83" i="12"/>
  <c r="CZ83" i="12"/>
  <c r="DA83" i="12"/>
  <c r="DB83" i="12"/>
  <c r="DC83" i="12"/>
  <c r="DD83" i="12"/>
  <c r="DE83" i="12"/>
  <c r="DF83" i="12"/>
  <c r="DG83" i="12"/>
  <c r="DH83" i="12"/>
  <c r="DI83" i="12"/>
  <c r="DJ83" i="12"/>
  <c r="DK83" i="12"/>
  <c r="DL83" i="12"/>
  <c r="DM83" i="12"/>
  <c r="DN83" i="12"/>
  <c r="DO83" i="12"/>
  <c r="DP83" i="12"/>
  <c r="DQ83" i="12"/>
  <c r="DR83" i="12"/>
  <c r="DS83" i="12"/>
  <c r="DT83" i="12"/>
  <c r="DU83" i="12"/>
  <c r="DV83" i="12"/>
  <c r="DW83" i="12"/>
  <c r="DX83" i="12"/>
  <c r="DY83" i="12"/>
  <c r="DZ83" i="12"/>
  <c r="EA83" i="12"/>
  <c r="EB83" i="12"/>
  <c r="EC83" i="12"/>
  <c r="ED83" i="12"/>
  <c r="EE83" i="12"/>
  <c r="EF83" i="12"/>
  <c r="EG83" i="12"/>
  <c r="EH83" i="12"/>
  <c r="EI83" i="12"/>
  <c r="EJ83" i="12"/>
  <c r="EK83" i="12"/>
  <c r="EL83" i="12"/>
  <c r="EM83" i="12"/>
  <c r="EN83" i="12"/>
  <c r="EO83" i="12"/>
  <c r="EP83" i="12"/>
  <c r="EQ83" i="12"/>
  <c r="ER83" i="12"/>
  <c r="ES83" i="12"/>
  <c r="ET83" i="12"/>
  <c r="EU83" i="12"/>
  <c r="EV83" i="12"/>
  <c r="EW83" i="12"/>
  <c r="EX83" i="12"/>
  <c r="EY83" i="12"/>
  <c r="EZ83" i="12"/>
  <c r="FA83" i="12"/>
  <c r="FB83" i="12"/>
  <c r="FC83" i="12"/>
  <c r="FD83" i="12"/>
  <c r="FE83" i="12"/>
  <c r="FF83" i="12"/>
  <c r="FG83" i="12"/>
  <c r="FH83" i="12"/>
  <c r="FI83" i="12"/>
  <c r="FJ83" i="12"/>
  <c r="FK83" i="12"/>
  <c r="FL83" i="12"/>
  <c r="FM83" i="12"/>
  <c r="FN83" i="12"/>
  <c r="FO83" i="12"/>
  <c r="FP83" i="12"/>
  <c r="FQ83" i="12"/>
  <c r="FR83" i="12"/>
  <c r="FS83" i="12"/>
  <c r="FT83" i="12"/>
  <c r="FU83" i="12"/>
  <c r="FV83" i="12"/>
  <c r="FW83" i="12"/>
  <c r="FX83" i="12"/>
  <c r="FY83" i="12"/>
  <c r="FZ83" i="12"/>
  <c r="GA83" i="12"/>
  <c r="GB83" i="12"/>
  <c r="GC83" i="12"/>
  <c r="GD83" i="12"/>
  <c r="GE83" i="12"/>
  <c r="GF83" i="12"/>
  <c r="GG83" i="12"/>
  <c r="GH83" i="12"/>
  <c r="GI83" i="12"/>
  <c r="GJ83" i="12"/>
  <c r="GK83" i="12"/>
  <c r="GL83" i="12"/>
  <c r="GM83" i="12"/>
  <c r="GN83" i="12"/>
  <c r="GO83" i="12"/>
  <c r="GP83" i="12"/>
  <c r="GQ83" i="12"/>
  <c r="GR83" i="12"/>
  <c r="GS83" i="12"/>
  <c r="GT83" i="12"/>
  <c r="GU83" i="12"/>
  <c r="GV83" i="12"/>
  <c r="GW83" i="12"/>
  <c r="GX83" i="12"/>
  <c r="GY83" i="12"/>
  <c r="GZ83" i="12"/>
  <c r="HA83" i="12"/>
  <c r="HB83" i="12"/>
  <c r="HC83" i="12"/>
  <c r="HD83" i="12"/>
  <c r="HE83" i="12"/>
  <c r="HF83" i="12"/>
  <c r="HG83" i="12"/>
  <c r="HH83" i="12"/>
  <c r="HI83" i="12"/>
  <c r="HJ83" i="12"/>
  <c r="HK83" i="12"/>
  <c r="HL83" i="12"/>
  <c r="HM83" i="12"/>
  <c r="HN83" i="12"/>
  <c r="HO83" i="12"/>
  <c r="HP83" i="12"/>
  <c r="HQ83" i="12"/>
  <c r="HR83" i="12"/>
  <c r="HS83" i="12"/>
  <c r="HT83" i="12"/>
  <c r="HU83" i="12"/>
  <c r="HV83" i="12"/>
  <c r="HW83" i="12"/>
  <c r="HX83" i="12"/>
  <c r="HY83" i="12"/>
  <c r="HZ83" i="12"/>
  <c r="IA83" i="12"/>
  <c r="IB83" i="12"/>
  <c r="IC83" i="12"/>
  <c r="ID83" i="12"/>
  <c r="IE83" i="12"/>
  <c r="IF83" i="12"/>
  <c r="IG83" i="12"/>
  <c r="IH83" i="12"/>
  <c r="II83" i="12"/>
  <c r="IJ83" i="12"/>
  <c r="IK83" i="12"/>
  <c r="IL83" i="12"/>
  <c r="IM83" i="12"/>
  <c r="IN83" i="12"/>
  <c r="IO83" i="12"/>
  <c r="IP83" i="12"/>
  <c r="IQ83" i="12"/>
  <c r="IR83" i="12"/>
  <c r="IS83" i="12"/>
  <c r="IT83" i="12"/>
  <c r="IU83" i="12"/>
  <c r="IV83" i="12"/>
  <c r="F84" i="12"/>
  <c r="G84" i="12"/>
  <c r="H84" i="12"/>
  <c r="I84" i="12"/>
  <c r="J84" i="12"/>
  <c r="K84" i="12"/>
  <c r="L84" i="12"/>
  <c r="M84" i="12"/>
  <c r="N84" i="12"/>
  <c r="O84" i="12"/>
  <c r="P84" i="12"/>
  <c r="Q84" i="12"/>
  <c r="R84" i="12"/>
  <c r="S84" i="12"/>
  <c r="T84" i="12"/>
  <c r="U84" i="12"/>
  <c r="V84" i="12"/>
  <c r="W84" i="12"/>
  <c r="X84" i="12"/>
  <c r="Y84" i="12"/>
  <c r="Z84" i="12"/>
  <c r="AA84" i="12"/>
  <c r="AB84" i="12"/>
  <c r="AC84" i="12"/>
  <c r="AD84" i="12"/>
  <c r="AE84" i="12"/>
  <c r="AF84" i="12"/>
  <c r="AG84" i="12"/>
  <c r="AH84" i="12"/>
  <c r="AI84" i="12"/>
  <c r="AJ84" i="12"/>
  <c r="AK84" i="12"/>
  <c r="AL84" i="12"/>
  <c r="AM84" i="12"/>
  <c r="AN84" i="12"/>
  <c r="AO84" i="12"/>
  <c r="AP84" i="12"/>
  <c r="AQ84" i="12"/>
  <c r="AR84" i="12"/>
  <c r="AS84" i="12"/>
  <c r="AT84" i="12"/>
  <c r="AU84" i="12"/>
  <c r="AV84" i="12"/>
  <c r="AW84" i="12"/>
  <c r="AX84" i="12"/>
  <c r="AY84" i="12"/>
  <c r="AZ84" i="12"/>
  <c r="BA84" i="12"/>
  <c r="BB84" i="12"/>
  <c r="BC84" i="12"/>
  <c r="BD84" i="12"/>
  <c r="BE84" i="12"/>
  <c r="BF84" i="12"/>
  <c r="BG84" i="12"/>
  <c r="BH84" i="12"/>
  <c r="BI84" i="12"/>
  <c r="BJ84" i="12"/>
  <c r="BK84" i="12"/>
  <c r="BL84" i="12"/>
  <c r="BM84" i="12"/>
  <c r="BN84" i="12"/>
  <c r="BO84" i="12"/>
  <c r="BP84" i="12"/>
  <c r="BQ84" i="12"/>
  <c r="BR84" i="12"/>
  <c r="BS84" i="12"/>
  <c r="BT84" i="12"/>
  <c r="BU84" i="12"/>
  <c r="BV84" i="12"/>
  <c r="BW84" i="12"/>
  <c r="BX84" i="12"/>
  <c r="BY84" i="12"/>
  <c r="BZ84" i="12"/>
  <c r="CA84" i="12"/>
  <c r="CB84" i="12"/>
  <c r="CC84" i="12"/>
  <c r="CD84" i="12"/>
  <c r="CE84" i="12"/>
  <c r="CF84" i="12"/>
  <c r="CG84" i="12"/>
  <c r="CH84" i="12"/>
  <c r="CI84" i="12"/>
  <c r="CJ84" i="12"/>
  <c r="CK84" i="12"/>
  <c r="CL84" i="12"/>
  <c r="CM84" i="12"/>
  <c r="CN84" i="12"/>
  <c r="CO84" i="12"/>
  <c r="CP84" i="12"/>
  <c r="CQ84" i="12"/>
  <c r="CR84" i="12"/>
  <c r="CS84" i="12"/>
  <c r="CT84" i="12"/>
  <c r="CU84" i="12"/>
  <c r="CV84" i="12"/>
  <c r="CW84" i="12"/>
  <c r="CX84" i="12"/>
  <c r="CY84" i="12"/>
  <c r="CZ84" i="12"/>
  <c r="DA84" i="12"/>
  <c r="DB84" i="12"/>
  <c r="DC84" i="12"/>
  <c r="DD84" i="12"/>
  <c r="DE84" i="12"/>
  <c r="DF84" i="12"/>
  <c r="DG84" i="12"/>
  <c r="DH84" i="12"/>
  <c r="DI84" i="12"/>
  <c r="DJ84" i="12"/>
  <c r="DK84" i="12"/>
  <c r="DL84" i="12"/>
  <c r="DM84" i="12"/>
  <c r="DN84" i="12"/>
  <c r="DO84" i="12"/>
  <c r="DP84" i="12"/>
  <c r="DQ84" i="12"/>
  <c r="DR84" i="12"/>
  <c r="DS84" i="12"/>
  <c r="DT84" i="12"/>
  <c r="DU84" i="12"/>
  <c r="DV84" i="12"/>
  <c r="DW84" i="12"/>
  <c r="DX84" i="12"/>
  <c r="DY84" i="12"/>
  <c r="DZ84" i="12"/>
  <c r="EA84" i="12"/>
  <c r="EB84" i="12"/>
  <c r="EC84" i="12"/>
  <c r="ED84" i="12"/>
  <c r="EE84" i="12"/>
  <c r="EF84" i="12"/>
  <c r="EG84" i="12"/>
  <c r="EH84" i="12"/>
  <c r="EI84" i="12"/>
  <c r="EJ84" i="12"/>
  <c r="EK84" i="12"/>
  <c r="EL84" i="12"/>
  <c r="EM84" i="12"/>
  <c r="EN84" i="12"/>
  <c r="EO84" i="12"/>
  <c r="EP84" i="12"/>
  <c r="EQ84" i="12"/>
  <c r="ER84" i="12"/>
  <c r="ES84" i="12"/>
  <c r="ET84" i="12"/>
  <c r="EU84" i="12"/>
  <c r="EV84" i="12"/>
  <c r="EW84" i="12"/>
  <c r="EX84" i="12"/>
  <c r="EY84" i="12"/>
  <c r="EZ84" i="12"/>
  <c r="FA84" i="12"/>
  <c r="FB84" i="12"/>
  <c r="FC84" i="12"/>
  <c r="FD84" i="12"/>
  <c r="FE84" i="12"/>
  <c r="FF84" i="12"/>
  <c r="FG84" i="12"/>
  <c r="FH84" i="12"/>
  <c r="FI84" i="12"/>
  <c r="FJ84" i="12"/>
  <c r="FK84" i="12"/>
  <c r="FL84" i="12"/>
  <c r="FM84" i="12"/>
  <c r="FN84" i="12"/>
  <c r="FO84" i="12"/>
  <c r="FP84" i="12"/>
  <c r="FQ84" i="12"/>
  <c r="FR84" i="12"/>
  <c r="FS84" i="12"/>
  <c r="FT84" i="12"/>
  <c r="FU84" i="12"/>
  <c r="FV84" i="12"/>
  <c r="FW84" i="12"/>
  <c r="FX84" i="12"/>
  <c r="FY84" i="12"/>
  <c r="FZ84" i="12"/>
  <c r="GA84" i="12"/>
  <c r="GB84" i="12"/>
  <c r="GC84" i="12"/>
  <c r="GD84" i="12"/>
  <c r="GE84" i="12"/>
  <c r="GF84" i="12"/>
  <c r="GG84" i="12"/>
  <c r="GH84" i="12"/>
  <c r="GI84" i="12"/>
  <c r="GJ84" i="12"/>
  <c r="GK84" i="12"/>
  <c r="GL84" i="12"/>
  <c r="GM84" i="12"/>
  <c r="GN84" i="12"/>
  <c r="GO84" i="12"/>
  <c r="GP84" i="12"/>
  <c r="GQ84" i="12"/>
  <c r="GR84" i="12"/>
  <c r="GS84" i="12"/>
  <c r="GT84" i="12"/>
  <c r="GU84" i="12"/>
  <c r="GV84" i="12"/>
  <c r="GW84" i="12"/>
  <c r="GX84" i="12"/>
  <c r="GY84" i="12"/>
  <c r="GZ84" i="12"/>
  <c r="HA84" i="12"/>
  <c r="HB84" i="12"/>
  <c r="HC84" i="12"/>
  <c r="HD84" i="12"/>
  <c r="HE84" i="12"/>
  <c r="HF84" i="12"/>
  <c r="HG84" i="12"/>
  <c r="HH84" i="12"/>
  <c r="HI84" i="12"/>
  <c r="HJ84" i="12"/>
  <c r="HK84" i="12"/>
  <c r="HL84" i="12"/>
  <c r="HM84" i="12"/>
  <c r="HN84" i="12"/>
  <c r="HO84" i="12"/>
  <c r="HP84" i="12"/>
  <c r="HQ84" i="12"/>
  <c r="HR84" i="12"/>
  <c r="HS84" i="12"/>
  <c r="HT84" i="12"/>
  <c r="HU84" i="12"/>
  <c r="HV84" i="12"/>
  <c r="HW84" i="12"/>
  <c r="HX84" i="12"/>
  <c r="HY84" i="12"/>
  <c r="HZ84" i="12"/>
  <c r="IA84" i="12"/>
  <c r="IB84" i="12"/>
  <c r="IC84" i="12"/>
  <c r="ID84" i="12"/>
  <c r="IE84" i="12"/>
  <c r="IF84" i="12"/>
  <c r="IG84" i="12"/>
  <c r="IH84" i="12"/>
  <c r="II84" i="12"/>
  <c r="IJ84" i="12"/>
  <c r="IK84" i="12"/>
  <c r="IL84" i="12"/>
  <c r="IM84" i="12"/>
  <c r="IN84" i="12"/>
  <c r="IO84" i="12"/>
  <c r="IP84" i="12"/>
  <c r="IQ84" i="12"/>
  <c r="IR84" i="12"/>
  <c r="IS84" i="12"/>
  <c r="IT84" i="12"/>
  <c r="IU84" i="12"/>
  <c r="IV84" i="12"/>
  <c r="F85" i="12"/>
  <c r="G85" i="12"/>
  <c r="H85" i="12"/>
  <c r="I85" i="12"/>
  <c r="J85" i="12"/>
  <c r="K85" i="12"/>
  <c r="L85" i="12"/>
  <c r="M85" i="12"/>
  <c r="N85" i="12"/>
  <c r="O85" i="12"/>
  <c r="P85" i="12"/>
  <c r="Q85" i="12"/>
  <c r="R85" i="12"/>
  <c r="S85" i="12"/>
  <c r="T85" i="12"/>
  <c r="U85" i="12"/>
  <c r="V85" i="12"/>
  <c r="W85" i="12"/>
  <c r="X85" i="12"/>
  <c r="Y85" i="12"/>
  <c r="Z85" i="12"/>
  <c r="AA85" i="12"/>
  <c r="AB85" i="12"/>
  <c r="AC85" i="12"/>
  <c r="AD85" i="12"/>
  <c r="AE85" i="12"/>
  <c r="AF85" i="12"/>
  <c r="AG85" i="12"/>
  <c r="AH85" i="12"/>
  <c r="AI85" i="12"/>
  <c r="AJ85" i="12"/>
  <c r="AK85" i="12"/>
  <c r="AL85" i="12"/>
  <c r="AM85" i="12"/>
  <c r="AN85" i="12"/>
  <c r="AO85" i="12"/>
  <c r="AP85" i="12"/>
  <c r="AQ85" i="12"/>
  <c r="AR85" i="12"/>
  <c r="AS85" i="12"/>
  <c r="AT85" i="12"/>
  <c r="AU85" i="12"/>
  <c r="AV85" i="12"/>
  <c r="AW85" i="12"/>
  <c r="AX85" i="12"/>
  <c r="AY85" i="12"/>
  <c r="AZ85" i="12"/>
  <c r="BA85" i="12"/>
  <c r="BB85" i="12"/>
  <c r="BC85" i="12"/>
  <c r="BD85" i="12"/>
  <c r="BE85" i="12"/>
  <c r="BF85" i="12"/>
  <c r="BG85" i="12"/>
  <c r="BH85" i="12"/>
  <c r="BI85" i="12"/>
  <c r="BJ85" i="12"/>
  <c r="BK85" i="12"/>
  <c r="BL85" i="12"/>
  <c r="BM85" i="12"/>
  <c r="BN85" i="12"/>
  <c r="BO85" i="12"/>
  <c r="BP85" i="12"/>
  <c r="BQ85" i="12"/>
  <c r="BR85" i="12"/>
  <c r="BS85" i="12"/>
  <c r="BT85" i="12"/>
  <c r="BU85" i="12"/>
  <c r="BV85" i="12"/>
  <c r="BW85" i="12"/>
  <c r="BX85" i="12"/>
  <c r="BY85" i="12"/>
  <c r="BZ85" i="12"/>
  <c r="CA85" i="12"/>
  <c r="CB85" i="12"/>
  <c r="CC85" i="12"/>
  <c r="CD85" i="12"/>
  <c r="CE85" i="12"/>
  <c r="CF85" i="12"/>
  <c r="CG85" i="12"/>
  <c r="CH85" i="12"/>
  <c r="CI85" i="12"/>
  <c r="CJ85" i="12"/>
  <c r="CK85" i="12"/>
  <c r="CL85" i="12"/>
  <c r="CM85" i="12"/>
  <c r="CN85" i="12"/>
  <c r="CO85" i="12"/>
  <c r="CP85" i="12"/>
  <c r="CQ85" i="12"/>
  <c r="CR85" i="12"/>
  <c r="CS85" i="12"/>
  <c r="CT85" i="12"/>
  <c r="CU85" i="12"/>
  <c r="CV85" i="12"/>
  <c r="CW85" i="12"/>
  <c r="CX85" i="12"/>
  <c r="CY85" i="12"/>
  <c r="CZ85" i="12"/>
  <c r="DA85" i="12"/>
  <c r="DB85" i="12"/>
  <c r="DC85" i="12"/>
  <c r="DD85" i="12"/>
  <c r="DE85" i="12"/>
  <c r="DF85" i="12"/>
  <c r="DG85" i="12"/>
  <c r="DH85" i="12"/>
  <c r="DI85" i="12"/>
  <c r="DJ85" i="12"/>
  <c r="DK85" i="12"/>
  <c r="DL85" i="12"/>
  <c r="DM85" i="12"/>
  <c r="DN85" i="12"/>
  <c r="DO85" i="12"/>
  <c r="DP85" i="12"/>
  <c r="DQ85" i="12"/>
  <c r="DR85" i="12"/>
  <c r="DS85" i="12"/>
  <c r="DT85" i="12"/>
  <c r="DU85" i="12"/>
  <c r="DV85" i="12"/>
  <c r="DW85" i="12"/>
  <c r="DX85" i="12"/>
  <c r="DY85" i="12"/>
  <c r="DZ85" i="12"/>
  <c r="EA85" i="12"/>
  <c r="EB85" i="12"/>
  <c r="EC85" i="12"/>
  <c r="ED85" i="12"/>
  <c r="EE85" i="12"/>
  <c r="EF85" i="12"/>
  <c r="EG85" i="12"/>
  <c r="EH85" i="12"/>
  <c r="EI85" i="12"/>
  <c r="EJ85" i="12"/>
  <c r="EK85" i="12"/>
  <c r="EL85" i="12"/>
  <c r="EM85" i="12"/>
  <c r="EN85" i="12"/>
  <c r="EO85" i="12"/>
  <c r="EP85" i="12"/>
  <c r="EQ85" i="12"/>
  <c r="ER85" i="12"/>
  <c r="ES85" i="12"/>
  <c r="ET85" i="12"/>
  <c r="EU85" i="12"/>
  <c r="EV85" i="12"/>
  <c r="EW85" i="12"/>
  <c r="EX85" i="12"/>
  <c r="EY85" i="12"/>
  <c r="EZ85" i="12"/>
  <c r="FA85" i="12"/>
  <c r="FB85" i="12"/>
  <c r="FC85" i="12"/>
  <c r="FD85" i="12"/>
  <c r="FE85" i="12"/>
  <c r="FF85" i="12"/>
  <c r="FG85" i="12"/>
  <c r="FH85" i="12"/>
  <c r="FI85" i="12"/>
  <c r="FJ85" i="12"/>
  <c r="FK85" i="12"/>
  <c r="FL85" i="12"/>
  <c r="FM85" i="12"/>
  <c r="FN85" i="12"/>
  <c r="FO85" i="12"/>
  <c r="FP85" i="12"/>
  <c r="FQ85" i="12"/>
  <c r="FR85" i="12"/>
  <c r="FS85" i="12"/>
  <c r="FT85" i="12"/>
  <c r="FU85" i="12"/>
  <c r="FV85" i="12"/>
  <c r="FW85" i="12"/>
  <c r="FX85" i="12"/>
  <c r="FY85" i="12"/>
  <c r="FZ85" i="12"/>
  <c r="GA85" i="12"/>
  <c r="GB85" i="12"/>
  <c r="GC85" i="12"/>
  <c r="GD85" i="12"/>
  <c r="GE85" i="12"/>
  <c r="GF85" i="12"/>
  <c r="GG85" i="12"/>
  <c r="GH85" i="12"/>
  <c r="GI85" i="12"/>
  <c r="GJ85" i="12"/>
  <c r="GK85" i="12"/>
  <c r="GL85" i="12"/>
  <c r="GM85" i="12"/>
  <c r="GN85" i="12"/>
  <c r="GO85" i="12"/>
  <c r="GP85" i="12"/>
  <c r="GQ85" i="12"/>
  <c r="GR85" i="12"/>
  <c r="GS85" i="12"/>
  <c r="GT85" i="12"/>
  <c r="GU85" i="12"/>
  <c r="GV85" i="12"/>
  <c r="GW85" i="12"/>
  <c r="GX85" i="12"/>
  <c r="GY85" i="12"/>
  <c r="GZ85" i="12"/>
  <c r="HA85" i="12"/>
  <c r="HB85" i="12"/>
  <c r="HC85" i="12"/>
  <c r="HD85" i="12"/>
  <c r="HE85" i="12"/>
  <c r="HF85" i="12"/>
  <c r="HG85" i="12"/>
  <c r="HH85" i="12"/>
  <c r="HI85" i="12"/>
  <c r="HJ85" i="12"/>
  <c r="HK85" i="12"/>
  <c r="HL85" i="12"/>
  <c r="HM85" i="12"/>
  <c r="HN85" i="12"/>
  <c r="HO85" i="12"/>
  <c r="HP85" i="12"/>
  <c r="HQ85" i="12"/>
  <c r="HR85" i="12"/>
  <c r="HS85" i="12"/>
  <c r="HT85" i="12"/>
  <c r="HU85" i="12"/>
  <c r="HV85" i="12"/>
  <c r="HW85" i="12"/>
  <c r="HX85" i="12"/>
  <c r="HY85" i="12"/>
  <c r="HZ85" i="12"/>
  <c r="IA85" i="12"/>
  <c r="IB85" i="12"/>
  <c r="IC85" i="12"/>
  <c r="ID85" i="12"/>
  <c r="IE85" i="12"/>
  <c r="IF85" i="12"/>
  <c r="IG85" i="12"/>
  <c r="IH85" i="12"/>
  <c r="II85" i="12"/>
  <c r="IJ85" i="12"/>
  <c r="IK85" i="12"/>
  <c r="IL85" i="12"/>
  <c r="IM85" i="12"/>
  <c r="IN85" i="12"/>
  <c r="IO85" i="12"/>
  <c r="IP85" i="12"/>
  <c r="IQ85" i="12"/>
  <c r="IR85" i="12"/>
  <c r="IS85" i="12"/>
  <c r="IT85" i="12"/>
  <c r="IU85" i="12"/>
  <c r="IV85" i="12"/>
  <c r="F86" i="12"/>
  <c r="G86" i="12"/>
  <c r="H86" i="12"/>
  <c r="I86" i="12"/>
  <c r="J86" i="12"/>
  <c r="K86" i="12"/>
  <c r="L86" i="12"/>
  <c r="M86" i="12"/>
  <c r="N86" i="12"/>
  <c r="O86" i="12"/>
  <c r="P86" i="12"/>
  <c r="Q86" i="12"/>
  <c r="R86" i="12"/>
  <c r="S86" i="12"/>
  <c r="T86" i="12"/>
  <c r="U86" i="12"/>
  <c r="V86" i="12"/>
  <c r="W86" i="12"/>
  <c r="X86" i="12"/>
  <c r="Y86" i="12"/>
  <c r="Z86" i="12"/>
  <c r="AA86" i="12"/>
  <c r="AB86" i="12"/>
  <c r="AC86" i="12"/>
  <c r="AD86" i="12"/>
  <c r="AE86" i="12"/>
  <c r="AF86" i="12"/>
  <c r="AG86" i="12"/>
  <c r="AH86" i="12"/>
  <c r="AI86" i="12"/>
  <c r="AJ86" i="12"/>
  <c r="AK86" i="12"/>
  <c r="AL86" i="12"/>
  <c r="AM86" i="12"/>
  <c r="AN86" i="12"/>
  <c r="AO86" i="12"/>
  <c r="AP86" i="12"/>
  <c r="AQ86" i="12"/>
  <c r="AR86" i="12"/>
  <c r="AS86" i="12"/>
  <c r="AT86" i="12"/>
  <c r="AU86" i="12"/>
  <c r="AV86" i="12"/>
  <c r="AW86" i="12"/>
  <c r="AX86" i="12"/>
  <c r="AY86" i="12"/>
  <c r="AZ86" i="12"/>
  <c r="BA86" i="12"/>
  <c r="BB86" i="12"/>
  <c r="BC86" i="12"/>
  <c r="BD86" i="12"/>
  <c r="BE86" i="12"/>
  <c r="BF86" i="12"/>
  <c r="BG86" i="12"/>
  <c r="BH86" i="12"/>
  <c r="BI86" i="12"/>
  <c r="BJ86" i="12"/>
  <c r="BK86" i="12"/>
  <c r="BL86" i="12"/>
  <c r="BM86" i="12"/>
  <c r="BN86" i="12"/>
  <c r="BO86" i="12"/>
  <c r="BP86" i="12"/>
  <c r="BQ86" i="12"/>
  <c r="BR86" i="12"/>
  <c r="BS86" i="12"/>
  <c r="BT86" i="12"/>
  <c r="BU86" i="12"/>
  <c r="BV86" i="12"/>
  <c r="BW86" i="12"/>
  <c r="BX86" i="12"/>
  <c r="BY86" i="12"/>
  <c r="BZ86" i="12"/>
  <c r="CA86" i="12"/>
  <c r="CB86" i="12"/>
  <c r="CC86" i="12"/>
  <c r="CD86" i="12"/>
  <c r="CE86" i="12"/>
  <c r="CF86" i="12"/>
  <c r="CG86" i="12"/>
  <c r="CH86" i="12"/>
  <c r="CI86" i="12"/>
  <c r="CJ86" i="12"/>
  <c r="CK86" i="12"/>
  <c r="CL86" i="12"/>
  <c r="CM86" i="12"/>
  <c r="CN86" i="12"/>
  <c r="CO86" i="12"/>
  <c r="CP86" i="12"/>
  <c r="CQ86" i="12"/>
  <c r="CR86" i="12"/>
  <c r="CS86" i="12"/>
  <c r="CT86" i="12"/>
  <c r="CU86" i="12"/>
  <c r="CV86" i="12"/>
  <c r="CW86" i="12"/>
  <c r="CX86" i="12"/>
  <c r="CY86" i="12"/>
  <c r="CZ86" i="12"/>
  <c r="DA86" i="12"/>
  <c r="DB86" i="12"/>
  <c r="DC86" i="12"/>
  <c r="DD86" i="12"/>
  <c r="DE86" i="12"/>
  <c r="DF86" i="12"/>
  <c r="DG86" i="12"/>
  <c r="DH86" i="12"/>
  <c r="DI86" i="12"/>
  <c r="DJ86" i="12"/>
  <c r="DK86" i="12"/>
  <c r="DL86" i="12"/>
  <c r="DM86" i="12"/>
  <c r="DN86" i="12"/>
  <c r="DO86" i="12"/>
  <c r="DP86" i="12"/>
  <c r="DQ86" i="12"/>
  <c r="DR86" i="12"/>
  <c r="DS86" i="12"/>
  <c r="DT86" i="12"/>
  <c r="DU86" i="12"/>
  <c r="DV86" i="12"/>
  <c r="DW86" i="12"/>
  <c r="DX86" i="12"/>
  <c r="DY86" i="12"/>
  <c r="DZ86" i="12"/>
  <c r="EA86" i="12"/>
  <c r="EB86" i="12"/>
  <c r="EC86" i="12"/>
  <c r="ED86" i="12"/>
  <c r="EE86" i="12"/>
  <c r="EF86" i="12"/>
  <c r="EG86" i="12"/>
  <c r="EH86" i="12"/>
  <c r="EI86" i="12"/>
  <c r="EJ86" i="12"/>
  <c r="EK86" i="12"/>
  <c r="EL86" i="12"/>
  <c r="EM86" i="12"/>
  <c r="EN86" i="12"/>
  <c r="EO86" i="12"/>
  <c r="EP86" i="12"/>
  <c r="EQ86" i="12"/>
  <c r="ER86" i="12"/>
  <c r="ES86" i="12"/>
  <c r="ET86" i="12"/>
  <c r="EU86" i="12"/>
  <c r="EV86" i="12"/>
  <c r="EW86" i="12"/>
  <c r="EX86" i="12"/>
  <c r="EY86" i="12"/>
  <c r="EZ86" i="12"/>
  <c r="FA86" i="12"/>
  <c r="FB86" i="12"/>
  <c r="FC86" i="12"/>
  <c r="FD86" i="12"/>
  <c r="FE86" i="12"/>
  <c r="FF86" i="12"/>
  <c r="FG86" i="12"/>
  <c r="FH86" i="12"/>
  <c r="FI86" i="12"/>
  <c r="FJ86" i="12"/>
  <c r="FK86" i="12"/>
  <c r="FL86" i="12"/>
  <c r="FM86" i="12"/>
  <c r="FN86" i="12"/>
  <c r="FO86" i="12"/>
  <c r="FP86" i="12"/>
  <c r="FQ86" i="12"/>
  <c r="FR86" i="12"/>
  <c r="FS86" i="12"/>
  <c r="FT86" i="12"/>
  <c r="FU86" i="12"/>
  <c r="FV86" i="12"/>
  <c r="FW86" i="12"/>
  <c r="FX86" i="12"/>
  <c r="FY86" i="12"/>
  <c r="FZ86" i="12"/>
  <c r="GA86" i="12"/>
  <c r="GB86" i="12"/>
  <c r="GC86" i="12"/>
  <c r="GD86" i="12"/>
  <c r="GE86" i="12"/>
  <c r="GF86" i="12"/>
  <c r="GG86" i="12"/>
  <c r="GH86" i="12"/>
  <c r="GI86" i="12"/>
  <c r="GJ86" i="12"/>
  <c r="GK86" i="12"/>
  <c r="GL86" i="12"/>
  <c r="GM86" i="12"/>
  <c r="GN86" i="12"/>
  <c r="GO86" i="12"/>
  <c r="GP86" i="12"/>
  <c r="GQ86" i="12"/>
  <c r="GR86" i="12"/>
  <c r="GS86" i="12"/>
  <c r="GT86" i="12"/>
  <c r="GU86" i="12"/>
  <c r="GV86" i="12"/>
  <c r="GW86" i="12"/>
  <c r="GX86" i="12"/>
  <c r="GY86" i="12"/>
  <c r="GZ86" i="12"/>
  <c r="HA86" i="12"/>
  <c r="HB86" i="12"/>
  <c r="HC86" i="12"/>
  <c r="HD86" i="12"/>
  <c r="HE86" i="12"/>
  <c r="HF86" i="12"/>
  <c r="HG86" i="12"/>
  <c r="HH86" i="12"/>
  <c r="HI86" i="12"/>
  <c r="HJ86" i="12"/>
  <c r="HK86" i="12"/>
  <c r="HL86" i="12"/>
  <c r="HM86" i="12"/>
  <c r="HN86" i="12"/>
  <c r="HO86" i="12"/>
  <c r="HP86" i="12"/>
  <c r="HQ86" i="12"/>
  <c r="HR86" i="12"/>
  <c r="HS86" i="12"/>
  <c r="HT86" i="12"/>
  <c r="HU86" i="12"/>
  <c r="HV86" i="12"/>
  <c r="HW86" i="12"/>
  <c r="HX86" i="12"/>
  <c r="HY86" i="12"/>
  <c r="HZ86" i="12"/>
  <c r="IA86" i="12"/>
  <c r="IB86" i="12"/>
  <c r="IC86" i="12"/>
  <c r="ID86" i="12"/>
  <c r="IE86" i="12"/>
  <c r="IF86" i="12"/>
  <c r="IG86" i="12"/>
  <c r="IH86" i="12"/>
  <c r="II86" i="12"/>
  <c r="IJ86" i="12"/>
  <c r="IK86" i="12"/>
  <c r="IL86" i="12"/>
  <c r="IM86" i="12"/>
  <c r="IN86" i="12"/>
  <c r="IO86" i="12"/>
  <c r="IP86" i="12"/>
  <c r="IQ86" i="12"/>
  <c r="IR86" i="12"/>
  <c r="IS86" i="12"/>
  <c r="IT86" i="12"/>
  <c r="IU86" i="12"/>
  <c r="IV86" i="12"/>
  <c r="F87" i="12"/>
  <c r="G87" i="12"/>
  <c r="H87" i="12"/>
  <c r="I87" i="12"/>
  <c r="J87" i="12"/>
  <c r="K87" i="12"/>
  <c r="L87" i="12"/>
  <c r="M87" i="12"/>
  <c r="N87" i="12"/>
  <c r="O87" i="12"/>
  <c r="P87" i="12"/>
  <c r="Q87" i="12"/>
  <c r="R87" i="12"/>
  <c r="S87" i="12"/>
  <c r="T87" i="12"/>
  <c r="U87" i="12"/>
  <c r="V87" i="12"/>
  <c r="W87" i="12"/>
  <c r="X87" i="12"/>
  <c r="Y87" i="12"/>
  <c r="Z87" i="12"/>
  <c r="AA87" i="12"/>
  <c r="AB87" i="12"/>
  <c r="AC87" i="12"/>
  <c r="AD87" i="12"/>
  <c r="AE87" i="12"/>
  <c r="AF87" i="12"/>
  <c r="AG87" i="12"/>
  <c r="AH87" i="12"/>
  <c r="AI87" i="12"/>
  <c r="AJ87" i="12"/>
  <c r="AK87" i="12"/>
  <c r="AL87" i="12"/>
  <c r="AM87" i="12"/>
  <c r="AN87" i="12"/>
  <c r="AO87" i="12"/>
  <c r="AP87" i="12"/>
  <c r="AQ87" i="12"/>
  <c r="AR87" i="12"/>
  <c r="AS87" i="12"/>
  <c r="AT87" i="12"/>
  <c r="AU87" i="12"/>
  <c r="AV87" i="12"/>
  <c r="AW87" i="12"/>
  <c r="AX87" i="12"/>
  <c r="AY87" i="12"/>
  <c r="AZ87" i="12"/>
  <c r="BA87" i="12"/>
  <c r="BB87" i="12"/>
  <c r="BC87" i="12"/>
  <c r="BD87" i="12"/>
  <c r="BE87" i="12"/>
  <c r="BF87" i="12"/>
  <c r="BG87" i="12"/>
  <c r="BH87" i="12"/>
  <c r="BI87" i="12"/>
  <c r="BJ87" i="12"/>
  <c r="BK87" i="12"/>
  <c r="BL87" i="12"/>
  <c r="BM87" i="12"/>
  <c r="BN87" i="12"/>
  <c r="BO87" i="12"/>
  <c r="BP87" i="12"/>
  <c r="BQ87" i="12"/>
  <c r="BR87" i="12"/>
  <c r="BS87" i="12"/>
  <c r="BT87" i="12"/>
  <c r="BU87" i="12"/>
  <c r="BV87" i="12"/>
  <c r="BW87" i="12"/>
  <c r="BX87" i="12"/>
  <c r="BY87" i="12"/>
  <c r="BZ87" i="12"/>
  <c r="CA87" i="12"/>
  <c r="CB87" i="12"/>
  <c r="CC87" i="12"/>
  <c r="CD87" i="12"/>
  <c r="CE87" i="12"/>
  <c r="CF87" i="12"/>
  <c r="CG87" i="12"/>
  <c r="CH87" i="12"/>
  <c r="CI87" i="12"/>
  <c r="CJ87" i="12"/>
  <c r="CK87" i="12"/>
  <c r="CL87" i="12"/>
  <c r="CM87" i="12"/>
  <c r="CN87" i="12"/>
  <c r="CO87" i="12"/>
  <c r="CP87" i="12"/>
  <c r="CQ87" i="12"/>
  <c r="CR87" i="12"/>
  <c r="CS87" i="12"/>
  <c r="CT87" i="12"/>
  <c r="CU87" i="12"/>
  <c r="CV87" i="12"/>
  <c r="CW87" i="12"/>
  <c r="CX87" i="12"/>
  <c r="CY87" i="12"/>
  <c r="CZ87" i="12"/>
  <c r="DA87" i="12"/>
  <c r="DB87" i="12"/>
  <c r="DC87" i="12"/>
  <c r="DD87" i="12"/>
  <c r="DE87" i="12"/>
  <c r="DF87" i="12"/>
  <c r="DG87" i="12"/>
  <c r="DH87" i="12"/>
  <c r="DI87" i="12"/>
  <c r="DJ87" i="12"/>
  <c r="DK87" i="12"/>
  <c r="DL87" i="12"/>
  <c r="DM87" i="12"/>
  <c r="DN87" i="12"/>
  <c r="DO87" i="12"/>
  <c r="DP87" i="12"/>
  <c r="DQ87" i="12"/>
  <c r="DR87" i="12"/>
  <c r="DS87" i="12"/>
  <c r="DT87" i="12"/>
  <c r="DU87" i="12"/>
  <c r="DV87" i="12"/>
  <c r="DW87" i="12"/>
  <c r="DX87" i="12"/>
  <c r="DY87" i="12"/>
  <c r="DZ87" i="12"/>
  <c r="EA87" i="12"/>
  <c r="EB87" i="12"/>
  <c r="EC87" i="12"/>
  <c r="ED87" i="12"/>
  <c r="EE87" i="12"/>
  <c r="EF87" i="12"/>
  <c r="EG87" i="12"/>
  <c r="EH87" i="12"/>
  <c r="EI87" i="12"/>
  <c r="EJ87" i="12"/>
  <c r="EK87" i="12"/>
  <c r="EL87" i="12"/>
  <c r="EM87" i="12"/>
  <c r="EN87" i="12"/>
  <c r="EO87" i="12"/>
  <c r="EP87" i="12"/>
  <c r="EQ87" i="12"/>
  <c r="ER87" i="12"/>
  <c r="ES87" i="12"/>
  <c r="ET87" i="12"/>
  <c r="EU87" i="12"/>
  <c r="EV87" i="12"/>
  <c r="EW87" i="12"/>
  <c r="EX87" i="12"/>
  <c r="EY87" i="12"/>
  <c r="EZ87" i="12"/>
  <c r="FA87" i="12"/>
  <c r="FB87" i="12"/>
  <c r="FC87" i="12"/>
  <c r="FD87" i="12"/>
  <c r="FE87" i="12"/>
  <c r="FF87" i="12"/>
  <c r="FG87" i="12"/>
  <c r="FH87" i="12"/>
  <c r="FI87" i="12"/>
  <c r="FJ87" i="12"/>
  <c r="FK87" i="12"/>
  <c r="FL87" i="12"/>
  <c r="FM87" i="12"/>
  <c r="FN87" i="12"/>
  <c r="FO87" i="12"/>
  <c r="FP87" i="12"/>
  <c r="FQ87" i="12"/>
  <c r="FR87" i="12"/>
  <c r="FS87" i="12"/>
  <c r="FT87" i="12"/>
  <c r="FU87" i="12"/>
  <c r="FV87" i="12"/>
  <c r="FW87" i="12"/>
  <c r="FX87" i="12"/>
  <c r="FY87" i="12"/>
  <c r="FZ87" i="12"/>
  <c r="GA87" i="12"/>
  <c r="GB87" i="12"/>
  <c r="GC87" i="12"/>
  <c r="GD87" i="12"/>
  <c r="GE87" i="12"/>
  <c r="GF87" i="12"/>
  <c r="GG87" i="12"/>
  <c r="GH87" i="12"/>
  <c r="GI87" i="12"/>
  <c r="GJ87" i="12"/>
  <c r="GK87" i="12"/>
  <c r="GL87" i="12"/>
  <c r="GM87" i="12"/>
  <c r="GN87" i="12"/>
  <c r="GO87" i="12"/>
  <c r="GP87" i="12"/>
  <c r="GQ87" i="12"/>
  <c r="GR87" i="12"/>
  <c r="GS87" i="12"/>
  <c r="GT87" i="12"/>
  <c r="GU87" i="12"/>
  <c r="GV87" i="12"/>
  <c r="GW87" i="12"/>
  <c r="GX87" i="12"/>
  <c r="GY87" i="12"/>
  <c r="GZ87" i="12"/>
  <c r="HA87" i="12"/>
  <c r="HB87" i="12"/>
  <c r="HC87" i="12"/>
  <c r="HD87" i="12"/>
  <c r="HE87" i="12"/>
  <c r="HF87" i="12"/>
  <c r="HG87" i="12"/>
  <c r="HH87" i="12"/>
  <c r="HI87" i="12"/>
  <c r="HJ87" i="12"/>
  <c r="HK87" i="12"/>
  <c r="HL87" i="12"/>
  <c r="HM87" i="12"/>
  <c r="HN87" i="12"/>
  <c r="HO87" i="12"/>
  <c r="HP87" i="12"/>
  <c r="HQ87" i="12"/>
  <c r="HR87" i="12"/>
  <c r="HS87" i="12"/>
  <c r="HT87" i="12"/>
  <c r="HU87" i="12"/>
  <c r="HV87" i="12"/>
  <c r="HW87" i="12"/>
  <c r="HX87" i="12"/>
  <c r="HY87" i="12"/>
  <c r="HZ87" i="12"/>
  <c r="IA87" i="12"/>
  <c r="IB87" i="12"/>
  <c r="IC87" i="12"/>
  <c r="ID87" i="12"/>
  <c r="IE87" i="12"/>
  <c r="IF87" i="12"/>
  <c r="IG87" i="12"/>
  <c r="IH87" i="12"/>
  <c r="II87" i="12"/>
  <c r="IJ87" i="12"/>
  <c r="IK87" i="12"/>
  <c r="IL87" i="12"/>
  <c r="IM87" i="12"/>
  <c r="IN87" i="12"/>
  <c r="IO87" i="12"/>
  <c r="IP87" i="12"/>
  <c r="IQ87" i="12"/>
  <c r="IR87" i="12"/>
  <c r="IS87" i="12"/>
  <c r="IT87" i="12"/>
  <c r="IU87" i="12"/>
  <c r="IV87" i="12"/>
  <c r="F88" i="12"/>
  <c r="G88" i="12"/>
  <c r="H88" i="12"/>
  <c r="I88" i="12"/>
  <c r="J88" i="12"/>
  <c r="K88" i="12"/>
  <c r="L88" i="12"/>
  <c r="M88" i="12"/>
  <c r="N88" i="12"/>
  <c r="O88" i="12"/>
  <c r="P88" i="12"/>
  <c r="Q88" i="12"/>
  <c r="R88" i="12"/>
  <c r="S88" i="12"/>
  <c r="T88" i="12"/>
  <c r="U88" i="12"/>
  <c r="V88" i="12"/>
  <c r="W88" i="12"/>
  <c r="X88" i="12"/>
  <c r="Y88" i="12"/>
  <c r="Z88" i="12"/>
  <c r="AA88" i="12"/>
  <c r="AB88" i="12"/>
  <c r="AC88" i="12"/>
  <c r="AD88" i="12"/>
  <c r="AE88" i="12"/>
  <c r="AF88" i="12"/>
  <c r="AG88" i="12"/>
  <c r="AH88" i="12"/>
  <c r="AI88" i="12"/>
  <c r="AJ88" i="12"/>
  <c r="AK88" i="12"/>
  <c r="AL88" i="12"/>
  <c r="AM88" i="12"/>
  <c r="AN88" i="12"/>
  <c r="AO88" i="12"/>
  <c r="AP88" i="12"/>
  <c r="AQ88" i="12"/>
  <c r="AR88" i="12"/>
  <c r="AS88" i="12"/>
  <c r="AT88" i="12"/>
  <c r="AU88" i="12"/>
  <c r="AV88" i="12"/>
  <c r="AW88" i="12"/>
  <c r="AX88" i="12"/>
  <c r="AY88" i="12"/>
  <c r="AZ88" i="12"/>
  <c r="BA88" i="12"/>
  <c r="BB88" i="12"/>
  <c r="BC88" i="12"/>
  <c r="BD88" i="12"/>
  <c r="BE88" i="12"/>
  <c r="BF88" i="12"/>
  <c r="BG88" i="12"/>
  <c r="BH88" i="12"/>
  <c r="BI88" i="12"/>
  <c r="BJ88" i="12"/>
  <c r="BK88" i="12"/>
  <c r="BL88" i="12"/>
  <c r="BM88" i="12"/>
  <c r="BN88" i="12"/>
  <c r="BO88" i="12"/>
  <c r="BP88" i="12"/>
  <c r="BQ88" i="12"/>
  <c r="BR88" i="12"/>
  <c r="BS88" i="12"/>
  <c r="BT88" i="12"/>
  <c r="BU88" i="12"/>
  <c r="BV88" i="12"/>
  <c r="BW88" i="12"/>
  <c r="BX88" i="12"/>
  <c r="BY88" i="12"/>
  <c r="BZ88" i="12"/>
  <c r="CA88" i="12"/>
  <c r="CB88" i="12"/>
  <c r="CC88" i="12"/>
  <c r="CD88" i="12"/>
  <c r="CE88" i="12"/>
  <c r="CF88" i="12"/>
  <c r="CG88" i="12"/>
  <c r="CH88" i="12"/>
  <c r="CI88" i="12"/>
  <c r="CJ88" i="12"/>
  <c r="CK88" i="12"/>
  <c r="CL88" i="12"/>
  <c r="CM88" i="12"/>
  <c r="CN88" i="12"/>
  <c r="CO88" i="12"/>
  <c r="CP88" i="12"/>
  <c r="CQ88" i="12"/>
  <c r="CR88" i="12"/>
  <c r="CS88" i="12"/>
  <c r="CT88" i="12"/>
  <c r="CU88" i="12"/>
  <c r="CV88" i="12"/>
  <c r="CW88" i="12"/>
  <c r="CX88" i="12"/>
  <c r="CY88" i="12"/>
  <c r="CZ88" i="12"/>
  <c r="DA88" i="12"/>
  <c r="DB88" i="12"/>
  <c r="DC88" i="12"/>
  <c r="DD88" i="12"/>
  <c r="DE88" i="12"/>
  <c r="DF88" i="12"/>
  <c r="DG88" i="12"/>
  <c r="DH88" i="12"/>
  <c r="DI88" i="12"/>
  <c r="DJ88" i="12"/>
  <c r="DK88" i="12"/>
  <c r="DL88" i="12"/>
  <c r="DM88" i="12"/>
  <c r="DN88" i="12"/>
  <c r="DO88" i="12"/>
  <c r="DP88" i="12"/>
  <c r="DQ88" i="12"/>
  <c r="DR88" i="12"/>
  <c r="DS88" i="12"/>
  <c r="DT88" i="12"/>
  <c r="DU88" i="12"/>
  <c r="DV88" i="12"/>
  <c r="DW88" i="12"/>
  <c r="DX88" i="12"/>
  <c r="DY88" i="12"/>
  <c r="DZ88" i="12"/>
  <c r="EA88" i="12"/>
  <c r="EB88" i="12"/>
  <c r="EC88" i="12"/>
  <c r="ED88" i="12"/>
  <c r="EE88" i="12"/>
  <c r="EF88" i="12"/>
  <c r="EG88" i="12"/>
  <c r="EH88" i="12"/>
  <c r="EI88" i="12"/>
  <c r="EJ88" i="12"/>
  <c r="EK88" i="12"/>
  <c r="EL88" i="12"/>
  <c r="EM88" i="12"/>
  <c r="EN88" i="12"/>
  <c r="EO88" i="12"/>
  <c r="EP88" i="12"/>
  <c r="EQ88" i="12"/>
  <c r="ER88" i="12"/>
  <c r="ES88" i="12"/>
  <c r="ET88" i="12"/>
  <c r="EU88" i="12"/>
  <c r="EV88" i="12"/>
  <c r="EW88" i="12"/>
  <c r="EX88" i="12"/>
  <c r="EY88" i="12"/>
  <c r="EZ88" i="12"/>
  <c r="FA88" i="12"/>
  <c r="FB88" i="12"/>
  <c r="FC88" i="12"/>
  <c r="FD88" i="12"/>
  <c r="FE88" i="12"/>
  <c r="FF88" i="12"/>
  <c r="FG88" i="12"/>
  <c r="FH88" i="12"/>
  <c r="FI88" i="12"/>
  <c r="FJ88" i="12"/>
  <c r="FK88" i="12"/>
  <c r="FL88" i="12"/>
  <c r="FM88" i="12"/>
  <c r="FN88" i="12"/>
  <c r="FO88" i="12"/>
  <c r="FP88" i="12"/>
  <c r="FQ88" i="12"/>
  <c r="FR88" i="12"/>
  <c r="FS88" i="12"/>
  <c r="FT88" i="12"/>
  <c r="FU88" i="12"/>
  <c r="FV88" i="12"/>
  <c r="FW88" i="12"/>
  <c r="FX88" i="12"/>
  <c r="FY88" i="12"/>
  <c r="FZ88" i="12"/>
  <c r="GA88" i="12"/>
  <c r="GB88" i="12"/>
  <c r="GC88" i="12"/>
  <c r="GD88" i="12"/>
  <c r="GE88" i="12"/>
  <c r="GF88" i="12"/>
  <c r="GG88" i="12"/>
  <c r="GH88" i="12"/>
  <c r="GI88" i="12"/>
  <c r="GJ88" i="12"/>
  <c r="GK88" i="12"/>
  <c r="GL88" i="12"/>
  <c r="GM88" i="12"/>
  <c r="GN88" i="12"/>
  <c r="GO88" i="12"/>
  <c r="GP88" i="12"/>
  <c r="GQ88" i="12"/>
  <c r="GR88" i="12"/>
  <c r="GS88" i="12"/>
  <c r="GT88" i="12"/>
  <c r="GU88" i="12"/>
  <c r="GV88" i="12"/>
  <c r="GW88" i="12"/>
  <c r="GX88" i="12"/>
  <c r="GY88" i="12"/>
  <c r="GZ88" i="12"/>
  <c r="HA88" i="12"/>
  <c r="HB88" i="12"/>
  <c r="HC88" i="12"/>
  <c r="HD88" i="12"/>
  <c r="HE88" i="12"/>
  <c r="HF88" i="12"/>
  <c r="HG88" i="12"/>
  <c r="HH88" i="12"/>
  <c r="HI88" i="12"/>
  <c r="HJ88" i="12"/>
  <c r="HK88" i="12"/>
  <c r="HL88" i="12"/>
  <c r="HM88" i="12"/>
  <c r="HN88" i="12"/>
  <c r="HO88" i="12"/>
  <c r="HP88" i="12"/>
  <c r="HQ88" i="12"/>
  <c r="HR88" i="12"/>
  <c r="HS88" i="12"/>
  <c r="HT88" i="12"/>
  <c r="HU88" i="12"/>
  <c r="HV88" i="12"/>
  <c r="HW88" i="12"/>
  <c r="HX88" i="12"/>
  <c r="HY88" i="12"/>
  <c r="HZ88" i="12"/>
  <c r="IA88" i="12"/>
  <c r="IB88" i="12"/>
  <c r="IC88" i="12"/>
  <c r="ID88" i="12"/>
  <c r="IE88" i="12"/>
  <c r="IF88" i="12"/>
  <c r="IG88" i="12"/>
  <c r="IH88" i="12"/>
  <c r="II88" i="12"/>
  <c r="IJ88" i="12"/>
  <c r="IK88" i="12"/>
  <c r="IL88" i="12"/>
  <c r="IM88" i="12"/>
  <c r="IN88" i="12"/>
  <c r="IO88" i="12"/>
  <c r="IP88" i="12"/>
  <c r="IQ88" i="12"/>
  <c r="IR88" i="12"/>
  <c r="IS88" i="12"/>
  <c r="IT88" i="12"/>
  <c r="IU88" i="12"/>
  <c r="IV88" i="12"/>
  <c r="F89" i="12"/>
  <c r="G89" i="12"/>
  <c r="H89" i="12"/>
  <c r="I89" i="12"/>
  <c r="J89" i="12"/>
  <c r="K89" i="12"/>
  <c r="L89" i="12"/>
  <c r="M89" i="12"/>
  <c r="N89" i="12"/>
  <c r="O89" i="12"/>
  <c r="P89" i="12"/>
  <c r="Q89" i="12"/>
  <c r="R89" i="12"/>
  <c r="S89" i="12"/>
  <c r="T89" i="12"/>
  <c r="U89" i="12"/>
  <c r="V89" i="12"/>
  <c r="W89" i="12"/>
  <c r="X89" i="12"/>
  <c r="Y89" i="12"/>
  <c r="Z89" i="12"/>
  <c r="AA89" i="12"/>
  <c r="AB89" i="12"/>
  <c r="AC89" i="12"/>
  <c r="AD89" i="12"/>
  <c r="AE89" i="12"/>
  <c r="AF89" i="12"/>
  <c r="AG89" i="12"/>
  <c r="AH89" i="12"/>
  <c r="AI89" i="12"/>
  <c r="AJ89" i="12"/>
  <c r="AK89" i="12"/>
  <c r="AL89" i="12"/>
  <c r="AM89" i="12"/>
  <c r="AN89" i="12"/>
  <c r="AO89" i="12"/>
  <c r="AP89" i="12"/>
  <c r="AQ89" i="12"/>
  <c r="AR89" i="12"/>
  <c r="AS89" i="12"/>
  <c r="AT89" i="12"/>
  <c r="AU89" i="12"/>
  <c r="AV89" i="12"/>
  <c r="AW89" i="12"/>
  <c r="AX89" i="12"/>
  <c r="AY89" i="12"/>
  <c r="AZ89" i="12"/>
  <c r="BA89" i="12"/>
  <c r="BB89" i="12"/>
  <c r="BC89" i="12"/>
  <c r="BD89" i="12"/>
  <c r="BE89" i="12"/>
  <c r="BF89" i="12"/>
  <c r="BG89" i="12"/>
  <c r="BH89" i="12"/>
  <c r="BI89" i="12"/>
  <c r="BJ89" i="12"/>
  <c r="BK89" i="12"/>
  <c r="BL89" i="12"/>
  <c r="BM89" i="12"/>
  <c r="BN89" i="12"/>
  <c r="BO89" i="12"/>
  <c r="BP89" i="12"/>
  <c r="BQ89" i="12"/>
  <c r="BR89" i="12"/>
  <c r="BS89" i="12"/>
  <c r="BT89" i="12"/>
  <c r="BU89" i="12"/>
  <c r="BV89" i="12"/>
  <c r="BW89" i="12"/>
  <c r="BX89" i="12"/>
  <c r="BY89" i="12"/>
  <c r="BZ89" i="12"/>
  <c r="CA89" i="12"/>
  <c r="CB89" i="12"/>
  <c r="CC89" i="12"/>
  <c r="CD89" i="12"/>
  <c r="CE89" i="12"/>
  <c r="CF89" i="12"/>
  <c r="CG89" i="12"/>
  <c r="CH89" i="12"/>
  <c r="CI89" i="12"/>
  <c r="CJ89" i="12"/>
  <c r="CK89" i="12"/>
  <c r="CL89" i="12"/>
  <c r="CM89" i="12"/>
  <c r="CN89" i="12"/>
  <c r="CO89" i="12"/>
  <c r="CP89" i="12"/>
  <c r="CQ89" i="12"/>
  <c r="CR89" i="12"/>
  <c r="CS89" i="12"/>
  <c r="CT89" i="12"/>
  <c r="CU89" i="12"/>
  <c r="CV89" i="12"/>
  <c r="CW89" i="12"/>
  <c r="CX89" i="12"/>
  <c r="CY89" i="12"/>
  <c r="CZ89" i="12"/>
  <c r="DA89" i="12"/>
  <c r="DB89" i="12"/>
  <c r="DC89" i="12"/>
  <c r="DD89" i="12"/>
  <c r="DE89" i="12"/>
  <c r="DF89" i="12"/>
  <c r="DG89" i="12"/>
  <c r="DH89" i="12"/>
  <c r="DI89" i="12"/>
  <c r="DJ89" i="12"/>
  <c r="DK89" i="12"/>
  <c r="DL89" i="12"/>
  <c r="DM89" i="12"/>
  <c r="DN89" i="12"/>
  <c r="DO89" i="12"/>
  <c r="DP89" i="12"/>
  <c r="DQ89" i="12"/>
  <c r="DR89" i="12"/>
  <c r="DS89" i="12"/>
  <c r="DT89" i="12"/>
  <c r="DU89" i="12"/>
  <c r="DV89" i="12"/>
  <c r="DW89" i="12"/>
  <c r="DX89" i="12"/>
  <c r="DY89" i="12"/>
  <c r="DZ89" i="12"/>
  <c r="EA89" i="12"/>
  <c r="EB89" i="12"/>
  <c r="EC89" i="12"/>
  <c r="ED89" i="12"/>
  <c r="EE89" i="12"/>
  <c r="EF89" i="12"/>
  <c r="EG89" i="12"/>
  <c r="EH89" i="12"/>
  <c r="EI89" i="12"/>
  <c r="EJ89" i="12"/>
  <c r="EK89" i="12"/>
  <c r="EL89" i="12"/>
  <c r="EM89" i="12"/>
  <c r="EN89" i="12"/>
  <c r="EO89" i="12"/>
  <c r="EP89" i="12"/>
  <c r="EQ89" i="12"/>
  <c r="ER89" i="12"/>
  <c r="ES89" i="12"/>
  <c r="ET89" i="12"/>
  <c r="EU89" i="12"/>
  <c r="EV89" i="12"/>
  <c r="EW89" i="12"/>
  <c r="EX89" i="12"/>
  <c r="EY89" i="12"/>
  <c r="EZ89" i="12"/>
  <c r="FA89" i="12"/>
  <c r="FB89" i="12"/>
  <c r="FC89" i="12"/>
  <c r="FD89" i="12"/>
  <c r="FE89" i="12"/>
  <c r="FF89" i="12"/>
  <c r="FG89" i="12"/>
  <c r="FH89" i="12"/>
  <c r="FI89" i="12"/>
  <c r="FJ89" i="12"/>
  <c r="FK89" i="12"/>
  <c r="FL89" i="12"/>
  <c r="FM89" i="12"/>
  <c r="FN89" i="12"/>
  <c r="FO89" i="12"/>
  <c r="FP89" i="12"/>
  <c r="FQ89" i="12"/>
  <c r="FR89" i="12"/>
  <c r="FS89" i="12"/>
  <c r="FT89" i="12"/>
  <c r="FU89" i="12"/>
  <c r="FV89" i="12"/>
  <c r="FW89" i="12"/>
  <c r="FX89" i="12"/>
  <c r="FY89" i="12"/>
  <c r="FZ89" i="12"/>
  <c r="GA89" i="12"/>
  <c r="GB89" i="12"/>
  <c r="GC89" i="12"/>
  <c r="GD89" i="12"/>
  <c r="GE89" i="12"/>
  <c r="GF89" i="12"/>
  <c r="GG89" i="12"/>
  <c r="GH89" i="12"/>
  <c r="GI89" i="12"/>
  <c r="GJ89" i="12"/>
  <c r="GK89" i="12"/>
  <c r="GL89" i="12"/>
  <c r="GM89" i="12"/>
  <c r="GN89" i="12"/>
  <c r="GO89" i="12"/>
  <c r="GP89" i="12"/>
  <c r="GQ89" i="12"/>
  <c r="GR89" i="12"/>
  <c r="GS89" i="12"/>
  <c r="GT89" i="12"/>
  <c r="GU89" i="12"/>
  <c r="GV89" i="12"/>
  <c r="GW89" i="12"/>
  <c r="GX89" i="12"/>
  <c r="GY89" i="12"/>
  <c r="GZ89" i="12"/>
  <c r="HA89" i="12"/>
  <c r="HB89" i="12"/>
  <c r="HC89" i="12"/>
  <c r="HD89" i="12"/>
  <c r="HE89" i="12"/>
  <c r="HF89" i="12"/>
  <c r="HG89" i="12"/>
  <c r="HH89" i="12"/>
  <c r="HI89" i="12"/>
  <c r="HJ89" i="12"/>
  <c r="HK89" i="12"/>
  <c r="HL89" i="12"/>
  <c r="HM89" i="12"/>
  <c r="HN89" i="12"/>
  <c r="HO89" i="12"/>
  <c r="HP89" i="12"/>
  <c r="HQ89" i="12"/>
  <c r="HR89" i="12"/>
  <c r="HS89" i="12"/>
  <c r="HT89" i="12"/>
  <c r="HU89" i="12"/>
  <c r="HV89" i="12"/>
  <c r="HW89" i="12"/>
  <c r="HX89" i="12"/>
  <c r="HY89" i="12"/>
  <c r="HZ89" i="12"/>
  <c r="IA89" i="12"/>
  <c r="IB89" i="12"/>
  <c r="IC89" i="12"/>
  <c r="ID89" i="12"/>
  <c r="IE89" i="12"/>
  <c r="IF89" i="12"/>
  <c r="IG89" i="12"/>
  <c r="IH89" i="12"/>
  <c r="II89" i="12"/>
  <c r="IJ89" i="12"/>
  <c r="IK89" i="12"/>
  <c r="IL89" i="12"/>
  <c r="IM89" i="12"/>
  <c r="IN89" i="12"/>
  <c r="IO89" i="12"/>
  <c r="IP89" i="12"/>
  <c r="IQ89" i="12"/>
  <c r="IR89" i="12"/>
  <c r="IS89" i="12"/>
  <c r="IT89" i="12"/>
  <c r="IU89" i="12"/>
  <c r="IV89" i="12"/>
  <c r="F90" i="12"/>
  <c r="G90" i="12"/>
  <c r="H90" i="12"/>
  <c r="I90" i="12"/>
  <c r="J90" i="12"/>
  <c r="K90" i="12"/>
  <c r="L90" i="12"/>
  <c r="M90" i="12"/>
  <c r="N90" i="12"/>
  <c r="O90" i="12"/>
  <c r="P90" i="12"/>
  <c r="Q90" i="12"/>
  <c r="R90" i="12"/>
  <c r="S90" i="12"/>
  <c r="T90" i="12"/>
  <c r="U90" i="12"/>
  <c r="V90" i="12"/>
  <c r="W90" i="12"/>
  <c r="X90" i="12"/>
  <c r="Y90" i="12"/>
  <c r="Z90" i="12"/>
  <c r="AA90" i="12"/>
  <c r="AB90" i="12"/>
  <c r="AC90" i="12"/>
  <c r="AD90" i="12"/>
  <c r="AE90" i="12"/>
  <c r="AF90" i="12"/>
  <c r="AG90" i="12"/>
  <c r="AH90" i="12"/>
  <c r="AI90" i="12"/>
  <c r="AJ90" i="12"/>
  <c r="AK90" i="12"/>
  <c r="AL90" i="12"/>
  <c r="AM90" i="12"/>
  <c r="AN90" i="12"/>
  <c r="AO90" i="12"/>
  <c r="AP90" i="12"/>
  <c r="AQ90" i="12"/>
  <c r="AR90" i="12"/>
  <c r="AS90" i="12"/>
  <c r="AT90" i="12"/>
  <c r="AU90" i="12"/>
  <c r="AV90" i="12"/>
  <c r="AW90" i="12"/>
  <c r="AX90" i="12"/>
  <c r="AY90" i="12"/>
  <c r="AZ90" i="12"/>
  <c r="BA90" i="12"/>
  <c r="BB90" i="12"/>
  <c r="BC90" i="12"/>
  <c r="BD90" i="12"/>
  <c r="BE90" i="12"/>
  <c r="BF90" i="12"/>
  <c r="BG90" i="12"/>
  <c r="BH90" i="12"/>
  <c r="BI90" i="12"/>
  <c r="BJ90" i="12"/>
  <c r="BK90" i="12"/>
  <c r="BL90" i="12"/>
  <c r="BM90" i="12"/>
  <c r="BN90" i="12"/>
  <c r="BO90" i="12"/>
  <c r="BP90" i="12"/>
  <c r="BQ90" i="12"/>
  <c r="BR90" i="12"/>
  <c r="BS90" i="12"/>
  <c r="BT90" i="12"/>
  <c r="BU90" i="12"/>
  <c r="BV90" i="12"/>
  <c r="BW90" i="12"/>
  <c r="BX90" i="12"/>
  <c r="BY90" i="12"/>
  <c r="BZ90" i="12"/>
  <c r="CA90" i="12"/>
  <c r="CB90" i="12"/>
  <c r="CC90" i="12"/>
  <c r="CD90" i="12"/>
  <c r="CE90" i="12"/>
  <c r="CF90" i="12"/>
  <c r="CG90" i="12"/>
  <c r="CH90" i="12"/>
  <c r="CI90" i="12"/>
  <c r="CJ90" i="12"/>
  <c r="CK90" i="12"/>
  <c r="CL90" i="12"/>
  <c r="CM90" i="12"/>
  <c r="CN90" i="12"/>
  <c r="CO90" i="12"/>
  <c r="CP90" i="12"/>
  <c r="CQ90" i="12"/>
  <c r="CR90" i="12"/>
  <c r="CS90" i="12"/>
  <c r="CT90" i="12"/>
  <c r="CU90" i="12"/>
  <c r="CV90" i="12"/>
  <c r="CW90" i="12"/>
  <c r="CX90" i="12"/>
  <c r="CY90" i="12"/>
  <c r="CZ90" i="12"/>
  <c r="DA90" i="12"/>
  <c r="DB90" i="12"/>
  <c r="DC90" i="12"/>
  <c r="DD90" i="12"/>
  <c r="DE90" i="12"/>
  <c r="DF90" i="12"/>
  <c r="DG90" i="12"/>
  <c r="DH90" i="12"/>
  <c r="DI90" i="12"/>
  <c r="DJ90" i="12"/>
  <c r="DK90" i="12"/>
  <c r="DL90" i="12"/>
  <c r="DM90" i="12"/>
  <c r="DN90" i="12"/>
  <c r="DO90" i="12"/>
  <c r="DP90" i="12"/>
  <c r="DQ90" i="12"/>
  <c r="DR90" i="12"/>
  <c r="DS90" i="12"/>
  <c r="DT90" i="12"/>
  <c r="DU90" i="12"/>
  <c r="DV90" i="12"/>
  <c r="DW90" i="12"/>
  <c r="DX90" i="12"/>
  <c r="DY90" i="12"/>
  <c r="DZ90" i="12"/>
  <c r="EA90" i="12"/>
  <c r="EB90" i="12"/>
  <c r="EC90" i="12"/>
  <c r="ED90" i="12"/>
  <c r="EE90" i="12"/>
  <c r="EF90" i="12"/>
  <c r="EG90" i="12"/>
  <c r="EH90" i="12"/>
  <c r="EI90" i="12"/>
  <c r="EJ90" i="12"/>
  <c r="EK90" i="12"/>
  <c r="EL90" i="12"/>
  <c r="EM90" i="12"/>
  <c r="EN90" i="12"/>
  <c r="EO90" i="12"/>
  <c r="EP90" i="12"/>
  <c r="EQ90" i="12"/>
  <c r="ER90" i="12"/>
  <c r="ES90" i="12"/>
  <c r="ET90" i="12"/>
  <c r="EU90" i="12"/>
  <c r="EV90" i="12"/>
  <c r="EW90" i="12"/>
  <c r="EX90" i="12"/>
  <c r="EY90" i="12"/>
  <c r="EZ90" i="12"/>
  <c r="FA90" i="12"/>
  <c r="FB90" i="12"/>
  <c r="FC90" i="12"/>
  <c r="FD90" i="12"/>
  <c r="FE90" i="12"/>
  <c r="FF90" i="12"/>
  <c r="FG90" i="12"/>
  <c r="FH90" i="12"/>
  <c r="FI90" i="12"/>
  <c r="FJ90" i="12"/>
  <c r="FK90" i="12"/>
  <c r="FL90" i="12"/>
  <c r="FM90" i="12"/>
  <c r="FN90" i="12"/>
  <c r="FO90" i="12"/>
  <c r="FP90" i="12"/>
  <c r="FQ90" i="12"/>
  <c r="FR90" i="12"/>
  <c r="FS90" i="12"/>
  <c r="FT90" i="12"/>
  <c r="FU90" i="12"/>
  <c r="FV90" i="12"/>
  <c r="FW90" i="12"/>
  <c r="FX90" i="12"/>
  <c r="FY90" i="12"/>
  <c r="FZ90" i="12"/>
  <c r="GA90" i="12"/>
  <c r="GB90" i="12"/>
  <c r="GC90" i="12"/>
  <c r="GD90" i="12"/>
  <c r="GE90" i="12"/>
  <c r="GF90" i="12"/>
  <c r="GG90" i="12"/>
  <c r="GH90" i="12"/>
  <c r="GI90" i="12"/>
  <c r="GJ90" i="12"/>
  <c r="GK90" i="12"/>
  <c r="GL90" i="12"/>
  <c r="GM90" i="12"/>
  <c r="GN90" i="12"/>
  <c r="GO90" i="12"/>
  <c r="GP90" i="12"/>
  <c r="GQ90" i="12"/>
  <c r="GR90" i="12"/>
  <c r="GS90" i="12"/>
  <c r="GT90" i="12"/>
  <c r="GU90" i="12"/>
  <c r="GV90" i="12"/>
  <c r="GW90" i="12"/>
  <c r="GX90" i="12"/>
  <c r="GY90" i="12"/>
  <c r="GZ90" i="12"/>
  <c r="HA90" i="12"/>
  <c r="HB90" i="12"/>
  <c r="HC90" i="12"/>
  <c r="HD90" i="12"/>
  <c r="HE90" i="12"/>
  <c r="HF90" i="12"/>
  <c r="HG90" i="12"/>
  <c r="HH90" i="12"/>
  <c r="HI90" i="12"/>
  <c r="HJ90" i="12"/>
  <c r="HK90" i="12"/>
  <c r="HL90" i="12"/>
  <c r="HM90" i="12"/>
  <c r="HN90" i="12"/>
  <c r="HO90" i="12"/>
  <c r="HP90" i="12"/>
  <c r="HQ90" i="12"/>
  <c r="HR90" i="12"/>
  <c r="HS90" i="12"/>
  <c r="HT90" i="12"/>
  <c r="HU90" i="12"/>
  <c r="HV90" i="12"/>
  <c r="HW90" i="12"/>
  <c r="HX90" i="12"/>
  <c r="HY90" i="12"/>
  <c r="HZ90" i="12"/>
  <c r="IA90" i="12"/>
  <c r="IB90" i="12"/>
  <c r="IC90" i="12"/>
  <c r="ID90" i="12"/>
  <c r="IE90" i="12"/>
  <c r="IF90" i="12"/>
  <c r="IG90" i="12"/>
  <c r="IH90" i="12"/>
  <c r="II90" i="12"/>
  <c r="IJ90" i="12"/>
  <c r="IK90" i="12"/>
  <c r="IL90" i="12"/>
  <c r="IM90" i="12"/>
  <c r="IN90" i="12"/>
  <c r="IO90" i="12"/>
  <c r="IP90" i="12"/>
  <c r="IQ90" i="12"/>
  <c r="IR90" i="12"/>
  <c r="IS90" i="12"/>
  <c r="IT90" i="12"/>
  <c r="IU90" i="12"/>
  <c r="IV90" i="12"/>
  <c r="F91" i="12"/>
  <c r="G91" i="12"/>
  <c r="H91" i="12"/>
  <c r="I91" i="12"/>
  <c r="J91" i="12"/>
  <c r="K91" i="12"/>
  <c r="L91" i="12"/>
  <c r="M91" i="12"/>
  <c r="N91" i="12"/>
  <c r="O91" i="12"/>
  <c r="P91" i="12"/>
  <c r="Q91" i="12"/>
  <c r="R91" i="12"/>
  <c r="S91" i="12"/>
  <c r="T91" i="12"/>
  <c r="U91" i="12"/>
  <c r="V91" i="12"/>
  <c r="W91" i="12"/>
  <c r="X91" i="12"/>
  <c r="Y91" i="12"/>
  <c r="Z91" i="12"/>
  <c r="AA91" i="12"/>
  <c r="AB91" i="12"/>
  <c r="AC91" i="12"/>
  <c r="AD91" i="12"/>
  <c r="AE91" i="12"/>
  <c r="AF91" i="12"/>
  <c r="AG91" i="12"/>
  <c r="AH91" i="12"/>
  <c r="AI91" i="12"/>
  <c r="AJ91" i="12"/>
  <c r="AK91" i="12"/>
  <c r="AL91" i="12"/>
  <c r="AM91" i="12"/>
  <c r="AN91" i="12"/>
  <c r="AO91" i="12"/>
  <c r="AP91" i="12"/>
  <c r="AQ91" i="12"/>
  <c r="AR91" i="12"/>
  <c r="AS91" i="12"/>
  <c r="AT91" i="12"/>
  <c r="AU91" i="12"/>
  <c r="AV91" i="12"/>
  <c r="AW91" i="12"/>
  <c r="AX91" i="12"/>
  <c r="AY91" i="12"/>
  <c r="AZ91" i="12"/>
  <c r="BA91" i="12"/>
  <c r="BB91" i="12"/>
  <c r="BC91" i="12"/>
  <c r="BD91" i="12"/>
  <c r="BE91" i="12"/>
  <c r="BF91" i="12"/>
  <c r="BG91" i="12"/>
  <c r="BH91" i="12"/>
  <c r="BI91" i="12"/>
  <c r="BJ91" i="12"/>
  <c r="BK91" i="12"/>
  <c r="BL91" i="12"/>
  <c r="BM91" i="12"/>
  <c r="BN91" i="12"/>
  <c r="BO91" i="12"/>
  <c r="BP91" i="12"/>
  <c r="BQ91" i="12"/>
  <c r="BR91" i="12"/>
  <c r="BS91" i="12"/>
  <c r="BT91" i="12"/>
  <c r="BU91" i="12"/>
  <c r="BV91" i="12"/>
  <c r="BW91" i="12"/>
  <c r="BX91" i="12"/>
  <c r="BY91" i="12"/>
  <c r="BZ91" i="12"/>
  <c r="CA91" i="12"/>
  <c r="CB91" i="12"/>
  <c r="CC91" i="12"/>
  <c r="CD91" i="12"/>
  <c r="CE91" i="12"/>
  <c r="CF91" i="12"/>
  <c r="CG91" i="12"/>
  <c r="CH91" i="12"/>
  <c r="CI91" i="12"/>
  <c r="CJ91" i="12"/>
  <c r="CK91" i="12"/>
  <c r="CL91" i="12"/>
  <c r="CM91" i="12"/>
  <c r="CN91" i="12"/>
  <c r="CO91" i="12"/>
  <c r="CP91" i="12"/>
  <c r="CQ91" i="12"/>
  <c r="CR91" i="12"/>
  <c r="CS91" i="12"/>
  <c r="CT91" i="12"/>
  <c r="CU91" i="12"/>
  <c r="CV91" i="12"/>
  <c r="CW91" i="12"/>
  <c r="CX91" i="12"/>
  <c r="CY91" i="12"/>
  <c r="CZ91" i="12"/>
  <c r="DA91" i="12"/>
  <c r="DB91" i="12"/>
  <c r="DC91" i="12"/>
  <c r="DD91" i="12"/>
  <c r="DE91" i="12"/>
  <c r="DF91" i="12"/>
  <c r="DG91" i="12"/>
  <c r="DH91" i="12"/>
  <c r="DI91" i="12"/>
  <c r="DJ91" i="12"/>
  <c r="DK91" i="12"/>
  <c r="DL91" i="12"/>
  <c r="DM91" i="12"/>
  <c r="DN91" i="12"/>
  <c r="DO91" i="12"/>
  <c r="DP91" i="12"/>
  <c r="DQ91" i="12"/>
  <c r="DR91" i="12"/>
  <c r="DS91" i="12"/>
  <c r="DT91" i="12"/>
  <c r="DU91" i="12"/>
  <c r="DV91" i="12"/>
  <c r="DW91" i="12"/>
  <c r="DX91" i="12"/>
  <c r="DY91" i="12"/>
  <c r="DZ91" i="12"/>
  <c r="EA91" i="12"/>
  <c r="EB91" i="12"/>
  <c r="EC91" i="12"/>
  <c r="ED91" i="12"/>
  <c r="EE91" i="12"/>
  <c r="EF91" i="12"/>
  <c r="EG91" i="12"/>
  <c r="EH91" i="12"/>
  <c r="EI91" i="12"/>
  <c r="EJ91" i="12"/>
  <c r="EK91" i="12"/>
  <c r="EL91" i="12"/>
  <c r="EM91" i="12"/>
  <c r="EN91" i="12"/>
  <c r="EO91" i="12"/>
  <c r="EP91" i="12"/>
  <c r="EQ91" i="12"/>
  <c r="ER91" i="12"/>
  <c r="ES91" i="12"/>
  <c r="ET91" i="12"/>
  <c r="EU91" i="12"/>
  <c r="EV91" i="12"/>
  <c r="EW91" i="12"/>
  <c r="EX91" i="12"/>
  <c r="EY91" i="12"/>
  <c r="EZ91" i="12"/>
  <c r="FA91" i="12"/>
  <c r="FB91" i="12"/>
  <c r="FC91" i="12"/>
  <c r="FD91" i="12"/>
  <c r="FE91" i="12"/>
  <c r="FF91" i="12"/>
  <c r="FG91" i="12"/>
  <c r="FH91" i="12"/>
  <c r="FI91" i="12"/>
  <c r="FJ91" i="12"/>
  <c r="FK91" i="12"/>
  <c r="FL91" i="12"/>
  <c r="FM91" i="12"/>
  <c r="FN91" i="12"/>
  <c r="FO91" i="12"/>
  <c r="FP91" i="12"/>
  <c r="FQ91" i="12"/>
  <c r="FR91" i="12"/>
  <c r="FS91" i="12"/>
  <c r="FT91" i="12"/>
  <c r="FU91" i="12"/>
  <c r="FV91" i="12"/>
  <c r="FW91" i="12"/>
  <c r="FX91" i="12"/>
  <c r="FY91" i="12"/>
  <c r="FZ91" i="12"/>
  <c r="GA91" i="12"/>
  <c r="GB91" i="12"/>
  <c r="GC91" i="12"/>
  <c r="GD91" i="12"/>
  <c r="GE91" i="12"/>
  <c r="GF91" i="12"/>
  <c r="GG91" i="12"/>
  <c r="GH91" i="12"/>
  <c r="GI91" i="12"/>
  <c r="GJ91" i="12"/>
  <c r="GK91" i="12"/>
  <c r="GL91" i="12"/>
  <c r="GM91" i="12"/>
  <c r="GN91" i="12"/>
  <c r="GO91" i="12"/>
  <c r="GP91" i="12"/>
  <c r="GQ91" i="12"/>
  <c r="GR91" i="12"/>
  <c r="GS91" i="12"/>
  <c r="GT91" i="12"/>
  <c r="GU91" i="12"/>
  <c r="GV91" i="12"/>
  <c r="GW91" i="12"/>
  <c r="GX91" i="12"/>
  <c r="GY91" i="12"/>
  <c r="GZ91" i="12"/>
  <c r="HA91" i="12"/>
  <c r="HB91" i="12"/>
  <c r="HC91" i="12"/>
  <c r="HD91" i="12"/>
  <c r="HE91" i="12"/>
  <c r="HF91" i="12"/>
  <c r="HG91" i="12"/>
  <c r="HH91" i="12"/>
  <c r="HI91" i="12"/>
  <c r="HJ91" i="12"/>
  <c r="HK91" i="12"/>
  <c r="HL91" i="12"/>
  <c r="HM91" i="12"/>
  <c r="HN91" i="12"/>
  <c r="HO91" i="12"/>
  <c r="HP91" i="12"/>
  <c r="HQ91" i="12"/>
  <c r="HR91" i="12"/>
  <c r="HS91" i="12"/>
  <c r="HT91" i="12"/>
  <c r="HU91" i="12"/>
  <c r="HV91" i="12"/>
  <c r="HW91" i="12"/>
  <c r="HX91" i="12"/>
  <c r="HY91" i="12"/>
  <c r="HZ91" i="12"/>
  <c r="IA91" i="12"/>
  <c r="IB91" i="12"/>
  <c r="IC91" i="12"/>
  <c r="ID91" i="12"/>
  <c r="IE91" i="12"/>
  <c r="IF91" i="12"/>
  <c r="IG91" i="12"/>
  <c r="IH91" i="12"/>
  <c r="II91" i="12"/>
  <c r="IJ91" i="12"/>
  <c r="IK91" i="12"/>
  <c r="IL91" i="12"/>
  <c r="IM91" i="12"/>
  <c r="IN91" i="12"/>
  <c r="IO91" i="12"/>
  <c r="IP91" i="12"/>
  <c r="IQ91" i="12"/>
  <c r="IR91" i="12"/>
  <c r="IS91" i="12"/>
  <c r="IT91" i="12"/>
  <c r="IU91" i="12"/>
  <c r="IV91" i="12"/>
  <c r="F92" i="12"/>
  <c r="G92" i="12"/>
  <c r="H92" i="12"/>
  <c r="I92" i="12"/>
  <c r="J92" i="12"/>
  <c r="K92" i="12"/>
  <c r="L92" i="12"/>
  <c r="M92" i="12"/>
  <c r="N92" i="12"/>
  <c r="O92" i="12"/>
  <c r="P92" i="12"/>
  <c r="Q92" i="12"/>
  <c r="R92" i="12"/>
  <c r="S92" i="12"/>
  <c r="T92" i="12"/>
  <c r="U92" i="12"/>
  <c r="V92" i="12"/>
  <c r="W92" i="12"/>
  <c r="X92" i="12"/>
  <c r="Y92" i="12"/>
  <c r="Z92" i="12"/>
  <c r="AA92" i="12"/>
  <c r="AB92" i="12"/>
  <c r="AC92" i="12"/>
  <c r="AD92" i="12"/>
  <c r="AE92" i="12"/>
  <c r="AF92" i="12"/>
  <c r="AG92" i="12"/>
  <c r="AH92" i="12"/>
  <c r="AI92" i="12"/>
  <c r="AJ92" i="12"/>
  <c r="AK92" i="12"/>
  <c r="AL92" i="12"/>
  <c r="AM92" i="12"/>
  <c r="AN92" i="12"/>
  <c r="AO92" i="12"/>
  <c r="AP92" i="12"/>
  <c r="AQ92" i="12"/>
  <c r="AR92" i="12"/>
  <c r="AS92" i="12"/>
  <c r="AT92" i="12"/>
  <c r="AU92" i="12"/>
  <c r="AV92" i="12"/>
  <c r="AW92" i="12"/>
  <c r="AX92" i="12"/>
  <c r="AY92" i="12"/>
  <c r="AZ92" i="12"/>
  <c r="BA92" i="12"/>
  <c r="BB92" i="12"/>
  <c r="BC92" i="12"/>
  <c r="BD92" i="12"/>
  <c r="BE92" i="12"/>
  <c r="BF92" i="12"/>
  <c r="BG92" i="12"/>
  <c r="BH92" i="12"/>
  <c r="BI92" i="12"/>
  <c r="BJ92" i="12"/>
  <c r="BK92" i="12"/>
  <c r="BL92" i="12"/>
  <c r="BM92" i="12"/>
  <c r="BN92" i="12"/>
  <c r="BO92" i="12"/>
  <c r="BP92" i="12"/>
  <c r="BQ92" i="12"/>
  <c r="BR92" i="12"/>
  <c r="BS92" i="12"/>
  <c r="BT92" i="12"/>
  <c r="BU92" i="12"/>
  <c r="BV92" i="12"/>
  <c r="BW92" i="12"/>
  <c r="BX92" i="12"/>
  <c r="BY92" i="12"/>
  <c r="BZ92" i="12"/>
  <c r="CA92" i="12"/>
  <c r="CB92" i="12"/>
  <c r="CC92" i="12"/>
  <c r="CD92" i="12"/>
  <c r="CE92" i="12"/>
  <c r="CF92" i="12"/>
  <c r="CG92" i="12"/>
  <c r="CH92" i="12"/>
  <c r="CI92" i="12"/>
  <c r="CJ92" i="12"/>
  <c r="CK92" i="12"/>
  <c r="CL92" i="12"/>
  <c r="CM92" i="12"/>
  <c r="CN92" i="12"/>
  <c r="CO92" i="12"/>
  <c r="CP92" i="12"/>
  <c r="CQ92" i="12"/>
  <c r="CR92" i="12"/>
  <c r="CS92" i="12"/>
  <c r="CT92" i="12"/>
  <c r="CU92" i="12"/>
  <c r="CV92" i="12"/>
  <c r="CW92" i="12"/>
  <c r="CX92" i="12"/>
  <c r="CY92" i="12"/>
  <c r="CZ92" i="12"/>
  <c r="DA92" i="12"/>
  <c r="DB92" i="12"/>
  <c r="DC92" i="12"/>
  <c r="DD92" i="12"/>
  <c r="DE92" i="12"/>
  <c r="DF92" i="12"/>
  <c r="DG92" i="12"/>
  <c r="DH92" i="12"/>
  <c r="DI92" i="12"/>
  <c r="DJ92" i="12"/>
  <c r="DK92" i="12"/>
  <c r="DL92" i="12"/>
  <c r="DM92" i="12"/>
  <c r="DN92" i="12"/>
  <c r="DO92" i="12"/>
  <c r="DP92" i="12"/>
  <c r="DQ92" i="12"/>
  <c r="DR92" i="12"/>
  <c r="DS92" i="12"/>
  <c r="DT92" i="12"/>
  <c r="DU92" i="12"/>
  <c r="DV92" i="12"/>
  <c r="DW92" i="12"/>
  <c r="DX92" i="12"/>
  <c r="DY92" i="12"/>
  <c r="DZ92" i="12"/>
  <c r="EA92" i="12"/>
  <c r="EB92" i="12"/>
  <c r="EC92" i="12"/>
  <c r="ED92" i="12"/>
  <c r="EE92" i="12"/>
  <c r="EF92" i="12"/>
  <c r="EG92" i="12"/>
  <c r="EH92" i="12"/>
  <c r="EI92" i="12"/>
  <c r="EJ92" i="12"/>
  <c r="EK92" i="12"/>
  <c r="EL92" i="12"/>
  <c r="EM92" i="12"/>
  <c r="EN92" i="12"/>
  <c r="EO92" i="12"/>
  <c r="EP92" i="12"/>
  <c r="EQ92" i="12"/>
  <c r="ER92" i="12"/>
  <c r="ES92" i="12"/>
  <c r="ET92" i="12"/>
  <c r="EU92" i="12"/>
  <c r="EV92" i="12"/>
  <c r="EW92" i="12"/>
  <c r="EX92" i="12"/>
  <c r="EY92" i="12"/>
  <c r="EZ92" i="12"/>
  <c r="FA92" i="12"/>
  <c r="FB92" i="12"/>
  <c r="FC92" i="12"/>
  <c r="FD92" i="12"/>
  <c r="FE92" i="12"/>
  <c r="FF92" i="12"/>
  <c r="FG92" i="12"/>
  <c r="FH92" i="12"/>
  <c r="FI92" i="12"/>
  <c r="FJ92" i="12"/>
  <c r="FK92" i="12"/>
  <c r="FL92" i="12"/>
  <c r="FM92" i="12"/>
  <c r="FN92" i="12"/>
  <c r="FO92" i="12"/>
  <c r="FP92" i="12"/>
  <c r="FQ92" i="12"/>
  <c r="FR92" i="12"/>
  <c r="FS92" i="12"/>
  <c r="FT92" i="12"/>
  <c r="FU92" i="12"/>
  <c r="FV92" i="12"/>
  <c r="FW92" i="12"/>
  <c r="FX92" i="12"/>
  <c r="FY92" i="12"/>
  <c r="FZ92" i="12"/>
  <c r="GA92" i="12"/>
  <c r="GB92" i="12"/>
  <c r="GC92" i="12"/>
  <c r="GD92" i="12"/>
  <c r="GE92" i="12"/>
  <c r="GF92" i="12"/>
  <c r="GG92" i="12"/>
  <c r="GH92" i="12"/>
  <c r="GI92" i="12"/>
  <c r="GJ92" i="12"/>
  <c r="GK92" i="12"/>
  <c r="GL92" i="12"/>
  <c r="GM92" i="12"/>
  <c r="GN92" i="12"/>
  <c r="GO92" i="12"/>
  <c r="GP92" i="12"/>
  <c r="GQ92" i="12"/>
  <c r="GR92" i="12"/>
  <c r="GS92" i="12"/>
  <c r="GT92" i="12"/>
  <c r="GU92" i="12"/>
  <c r="GV92" i="12"/>
  <c r="GW92" i="12"/>
  <c r="GX92" i="12"/>
  <c r="GY92" i="12"/>
  <c r="GZ92" i="12"/>
  <c r="HA92" i="12"/>
  <c r="HB92" i="12"/>
  <c r="HC92" i="12"/>
  <c r="HD92" i="12"/>
  <c r="HE92" i="12"/>
  <c r="HF92" i="12"/>
  <c r="HG92" i="12"/>
  <c r="HH92" i="12"/>
  <c r="HI92" i="12"/>
  <c r="HJ92" i="12"/>
  <c r="HK92" i="12"/>
  <c r="HL92" i="12"/>
  <c r="HM92" i="12"/>
  <c r="HN92" i="12"/>
  <c r="HO92" i="12"/>
  <c r="HP92" i="12"/>
  <c r="HQ92" i="12"/>
  <c r="HR92" i="12"/>
  <c r="HS92" i="12"/>
  <c r="HT92" i="12"/>
  <c r="HU92" i="12"/>
  <c r="HV92" i="12"/>
  <c r="HW92" i="12"/>
  <c r="HX92" i="12"/>
  <c r="HY92" i="12"/>
  <c r="HZ92" i="12"/>
  <c r="IA92" i="12"/>
  <c r="IB92" i="12"/>
  <c r="IC92" i="12"/>
  <c r="ID92" i="12"/>
  <c r="IE92" i="12"/>
  <c r="IF92" i="12"/>
  <c r="IG92" i="12"/>
  <c r="IH92" i="12"/>
  <c r="II92" i="12"/>
  <c r="IJ92" i="12"/>
  <c r="IK92" i="12"/>
  <c r="IL92" i="12"/>
  <c r="IM92" i="12"/>
  <c r="IN92" i="12"/>
  <c r="IO92" i="12"/>
  <c r="IP92" i="12"/>
  <c r="IQ92" i="12"/>
  <c r="IR92" i="12"/>
  <c r="IS92" i="12"/>
  <c r="IT92" i="12"/>
  <c r="IU92" i="12"/>
  <c r="IV92" i="12"/>
  <c r="F93" i="12"/>
  <c r="G93" i="12"/>
  <c r="H93" i="12"/>
  <c r="I93" i="12"/>
  <c r="J93" i="12"/>
  <c r="K93" i="12"/>
  <c r="L93" i="12"/>
  <c r="M93" i="12"/>
  <c r="N93" i="12"/>
  <c r="O93" i="12"/>
  <c r="P93" i="12"/>
  <c r="Q93" i="12"/>
  <c r="R93" i="12"/>
  <c r="S93" i="12"/>
  <c r="T93" i="12"/>
  <c r="U93" i="12"/>
  <c r="V93" i="12"/>
  <c r="W93" i="12"/>
  <c r="X93" i="12"/>
  <c r="Y93" i="12"/>
  <c r="Z93" i="12"/>
  <c r="AA93" i="12"/>
  <c r="AB93" i="12"/>
  <c r="AC93" i="12"/>
  <c r="AD93" i="12"/>
  <c r="AE93" i="12"/>
  <c r="AF93" i="12"/>
  <c r="AG93" i="12"/>
  <c r="AH93" i="12"/>
  <c r="AI93" i="12"/>
  <c r="AJ93" i="12"/>
  <c r="AK93" i="12"/>
  <c r="AL93" i="12"/>
  <c r="AM93" i="12"/>
  <c r="AN93" i="12"/>
  <c r="AO93" i="12"/>
  <c r="AP93" i="12"/>
  <c r="AQ93" i="12"/>
  <c r="AR93" i="12"/>
  <c r="AS93" i="12"/>
  <c r="AT93" i="12"/>
  <c r="AU93" i="12"/>
  <c r="AV93" i="12"/>
  <c r="AW93" i="12"/>
  <c r="AX93" i="12"/>
  <c r="AY93" i="12"/>
  <c r="AZ93" i="12"/>
  <c r="BA93" i="12"/>
  <c r="BB93" i="12"/>
  <c r="BC93" i="12"/>
  <c r="BD93" i="12"/>
  <c r="BE93" i="12"/>
  <c r="BF93" i="12"/>
  <c r="BG93" i="12"/>
  <c r="BH93" i="12"/>
  <c r="BI93" i="12"/>
  <c r="BJ93" i="12"/>
  <c r="BK93" i="12"/>
  <c r="BL93" i="12"/>
  <c r="BM93" i="12"/>
  <c r="BN93" i="12"/>
  <c r="BO93" i="12"/>
  <c r="BP93" i="12"/>
  <c r="BQ93" i="12"/>
  <c r="BR93" i="12"/>
  <c r="BS93" i="12"/>
  <c r="BT93" i="12"/>
  <c r="BU93" i="12"/>
  <c r="BV93" i="12"/>
  <c r="BW93" i="12"/>
  <c r="BX93" i="12"/>
  <c r="BY93" i="12"/>
  <c r="BZ93" i="12"/>
  <c r="CA93" i="12"/>
  <c r="CB93" i="12"/>
  <c r="CC93" i="12"/>
  <c r="CD93" i="12"/>
  <c r="CE93" i="12"/>
  <c r="CF93" i="12"/>
  <c r="CG93" i="12"/>
  <c r="CH93" i="12"/>
  <c r="CI93" i="12"/>
  <c r="CJ93" i="12"/>
  <c r="CK93" i="12"/>
  <c r="CL93" i="12"/>
  <c r="CM93" i="12"/>
  <c r="CN93" i="12"/>
  <c r="CO93" i="12"/>
  <c r="CP93" i="12"/>
  <c r="CQ93" i="12"/>
  <c r="CR93" i="12"/>
  <c r="CS93" i="12"/>
  <c r="CT93" i="12"/>
  <c r="CU93" i="12"/>
  <c r="CV93" i="12"/>
  <c r="CW93" i="12"/>
  <c r="CX93" i="12"/>
  <c r="CY93" i="12"/>
  <c r="CZ93" i="12"/>
  <c r="DA93" i="12"/>
  <c r="DB93" i="12"/>
  <c r="DC93" i="12"/>
  <c r="DD93" i="12"/>
  <c r="DE93" i="12"/>
  <c r="DF93" i="12"/>
  <c r="DG93" i="12"/>
  <c r="DH93" i="12"/>
  <c r="DI93" i="12"/>
  <c r="DJ93" i="12"/>
  <c r="DK93" i="12"/>
  <c r="DL93" i="12"/>
  <c r="DM93" i="12"/>
  <c r="DN93" i="12"/>
  <c r="DO93" i="12"/>
  <c r="DP93" i="12"/>
  <c r="DQ93" i="12"/>
  <c r="DR93" i="12"/>
  <c r="DS93" i="12"/>
  <c r="DT93" i="12"/>
  <c r="DU93" i="12"/>
  <c r="DV93" i="12"/>
  <c r="DW93" i="12"/>
  <c r="DX93" i="12"/>
  <c r="DY93" i="12"/>
  <c r="DZ93" i="12"/>
  <c r="EA93" i="12"/>
  <c r="EB93" i="12"/>
  <c r="EC93" i="12"/>
  <c r="ED93" i="12"/>
  <c r="EE93" i="12"/>
  <c r="EF93" i="12"/>
  <c r="EG93" i="12"/>
  <c r="EH93" i="12"/>
  <c r="EI93" i="12"/>
  <c r="EJ93" i="12"/>
  <c r="EK93" i="12"/>
  <c r="EL93" i="12"/>
  <c r="EM93" i="12"/>
  <c r="EN93" i="12"/>
  <c r="EO93" i="12"/>
  <c r="EP93" i="12"/>
  <c r="EQ93" i="12"/>
  <c r="ER93" i="12"/>
  <c r="ES93" i="12"/>
  <c r="ET93" i="12"/>
  <c r="EU93" i="12"/>
  <c r="EV93" i="12"/>
  <c r="EW93" i="12"/>
  <c r="EX93" i="12"/>
  <c r="EY93" i="12"/>
  <c r="EZ93" i="12"/>
  <c r="FA93" i="12"/>
  <c r="FB93" i="12"/>
  <c r="FC93" i="12"/>
  <c r="FD93" i="12"/>
  <c r="FE93" i="12"/>
  <c r="FF93" i="12"/>
  <c r="FG93" i="12"/>
  <c r="FH93" i="12"/>
  <c r="FI93" i="12"/>
  <c r="FJ93" i="12"/>
  <c r="FK93" i="12"/>
  <c r="FL93" i="12"/>
  <c r="FM93" i="12"/>
  <c r="FN93" i="12"/>
  <c r="FO93" i="12"/>
  <c r="FP93" i="12"/>
  <c r="FQ93" i="12"/>
  <c r="FR93" i="12"/>
  <c r="FS93" i="12"/>
  <c r="FT93" i="12"/>
  <c r="FU93" i="12"/>
  <c r="FV93" i="12"/>
  <c r="FW93" i="12"/>
  <c r="FX93" i="12"/>
  <c r="FY93" i="12"/>
  <c r="FZ93" i="12"/>
  <c r="GA93" i="12"/>
  <c r="GB93" i="12"/>
  <c r="GC93" i="12"/>
  <c r="GD93" i="12"/>
  <c r="GE93" i="12"/>
  <c r="GF93" i="12"/>
  <c r="GG93" i="12"/>
  <c r="GH93" i="12"/>
  <c r="GI93" i="12"/>
  <c r="GJ93" i="12"/>
  <c r="GK93" i="12"/>
  <c r="GL93" i="12"/>
  <c r="GM93" i="12"/>
  <c r="GN93" i="12"/>
  <c r="GO93" i="12"/>
  <c r="GP93" i="12"/>
  <c r="GQ93" i="12"/>
  <c r="GR93" i="12"/>
  <c r="GS93" i="12"/>
  <c r="GT93" i="12"/>
  <c r="GU93" i="12"/>
  <c r="GV93" i="12"/>
  <c r="GW93" i="12"/>
  <c r="GX93" i="12"/>
  <c r="GY93" i="12"/>
  <c r="GZ93" i="12"/>
  <c r="HA93" i="12"/>
  <c r="HB93" i="12"/>
  <c r="HC93" i="12"/>
  <c r="HD93" i="12"/>
  <c r="HE93" i="12"/>
  <c r="HF93" i="12"/>
  <c r="HG93" i="12"/>
  <c r="HH93" i="12"/>
  <c r="HI93" i="12"/>
  <c r="HJ93" i="12"/>
  <c r="HK93" i="12"/>
  <c r="HL93" i="12"/>
  <c r="HM93" i="12"/>
  <c r="HN93" i="12"/>
  <c r="HO93" i="12"/>
  <c r="HP93" i="12"/>
  <c r="HQ93" i="12"/>
  <c r="HR93" i="12"/>
  <c r="HS93" i="12"/>
  <c r="HT93" i="12"/>
  <c r="HU93" i="12"/>
  <c r="HV93" i="12"/>
  <c r="HW93" i="12"/>
  <c r="HX93" i="12"/>
  <c r="HY93" i="12"/>
  <c r="HZ93" i="12"/>
  <c r="IA93" i="12"/>
  <c r="IB93" i="12"/>
  <c r="IC93" i="12"/>
  <c r="ID93" i="12"/>
  <c r="IE93" i="12"/>
  <c r="IF93" i="12"/>
  <c r="IG93" i="12"/>
  <c r="IH93" i="12"/>
  <c r="II93" i="12"/>
  <c r="IJ93" i="12"/>
  <c r="IK93" i="12"/>
  <c r="IL93" i="12"/>
  <c r="IM93" i="12"/>
  <c r="IN93" i="12"/>
  <c r="IO93" i="12"/>
  <c r="IP93" i="12"/>
  <c r="IQ93" i="12"/>
  <c r="IR93" i="12"/>
  <c r="IS93" i="12"/>
  <c r="IT93" i="12"/>
  <c r="IU93" i="12"/>
  <c r="IV93" i="12"/>
  <c r="F94" i="12"/>
  <c r="G94" i="12"/>
  <c r="H94" i="12"/>
  <c r="I94" i="12"/>
  <c r="J94" i="12"/>
  <c r="K94" i="12"/>
  <c r="L94" i="12"/>
  <c r="M94" i="12"/>
  <c r="N94" i="12"/>
  <c r="O94" i="12"/>
  <c r="P94" i="12"/>
  <c r="Q94" i="12"/>
  <c r="R94" i="12"/>
  <c r="S94" i="12"/>
  <c r="T94" i="12"/>
  <c r="U94" i="12"/>
  <c r="V94" i="12"/>
  <c r="W94" i="12"/>
  <c r="X94" i="12"/>
  <c r="Y94" i="12"/>
  <c r="Z94" i="12"/>
  <c r="AA94" i="12"/>
  <c r="AB94" i="12"/>
  <c r="AC94" i="12"/>
  <c r="AD94" i="12"/>
  <c r="AE94" i="12"/>
  <c r="AF94" i="12"/>
  <c r="AG94" i="12"/>
  <c r="AH94" i="12"/>
  <c r="AI94" i="12"/>
  <c r="AJ94" i="12"/>
  <c r="AK94" i="12"/>
  <c r="AL94" i="12"/>
  <c r="AM94" i="12"/>
  <c r="AN94" i="12"/>
  <c r="AO94" i="12"/>
  <c r="AP94" i="12"/>
  <c r="AQ94" i="12"/>
  <c r="AR94" i="12"/>
  <c r="AS94" i="12"/>
  <c r="AT94" i="12"/>
  <c r="AU94" i="12"/>
  <c r="AV94" i="12"/>
  <c r="AW94" i="12"/>
  <c r="AX94" i="12"/>
  <c r="AY94" i="12"/>
  <c r="AZ94" i="12"/>
  <c r="BA94" i="12"/>
  <c r="BB94" i="12"/>
  <c r="BC94" i="12"/>
  <c r="BD94" i="12"/>
  <c r="BE94" i="12"/>
  <c r="BF94" i="12"/>
  <c r="BG94" i="12"/>
  <c r="BH94" i="12"/>
  <c r="BI94" i="12"/>
  <c r="BJ94" i="12"/>
  <c r="BK94" i="12"/>
  <c r="BL94" i="12"/>
  <c r="BM94" i="12"/>
  <c r="BN94" i="12"/>
  <c r="BO94" i="12"/>
  <c r="BP94" i="12"/>
  <c r="BQ94" i="12"/>
  <c r="BR94" i="12"/>
  <c r="BS94" i="12"/>
  <c r="BT94" i="12"/>
  <c r="BU94" i="12"/>
  <c r="BV94" i="12"/>
  <c r="BW94" i="12"/>
  <c r="BX94" i="12"/>
  <c r="BY94" i="12"/>
  <c r="BZ94" i="12"/>
  <c r="CA94" i="12"/>
  <c r="CB94" i="12"/>
  <c r="CC94" i="12"/>
  <c r="CD94" i="12"/>
  <c r="CE94" i="12"/>
  <c r="CF94" i="12"/>
  <c r="CG94" i="12"/>
  <c r="CH94" i="12"/>
  <c r="CI94" i="12"/>
  <c r="CJ94" i="12"/>
  <c r="CK94" i="12"/>
  <c r="CL94" i="12"/>
  <c r="CM94" i="12"/>
  <c r="CN94" i="12"/>
  <c r="CO94" i="12"/>
  <c r="CP94" i="12"/>
  <c r="CQ94" i="12"/>
  <c r="CR94" i="12"/>
  <c r="CS94" i="12"/>
  <c r="CT94" i="12"/>
  <c r="CU94" i="12"/>
  <c r="CV94" i="12"/>
  <c r="CW94" i="12"/>
  <c r="CX94" i="12"/>
  <c r="CY94" i="12"/>
  <c r="CZ94" i="12"/>
  <c r="DA94" i="12"/>
  <c r="DB94" i="12"/>
  <c r="DC94" i="12"/>
  <c r="DD94" i="12"/>
  <c r="DE94" i="12"/>
  <c r="DF94" i="12"/>
  <c r="DG94" i="12"/>
  <c r="DH94" i="12"/>
  <c r="DI94" i="12"/>
  <c r="DJ94" i="12"/>
  <c r="DK94" i="12"/>
  <c r="DL94" i="12"/>
  <c r="DM94" i="12"/>
  <c r="DN94" i="12"/>
  <c r="DO94" i="12"/>
  <c r="DP94" i="12"/>
  <c r="DQ94" i="12"/>
  <c r="DR94" i="12"/>
  <c r="DS94" i="12"/>
  <c r="DT94" i="12"/>
  <c r="DU94" i="12"/>
  <c r="DV94" i="12"/>
  <c r="DW94" i="12"/>
  <c r="DX94" i="12"/>
  <c r="DY94" i="12"/>
  <c r="DZ94" i="12"/>
  <c r="EA94" i="12"/>
  <c r="EB94" i="12"/>
  <c r="EC94" i="12"/>
  <c r="ED94" i="12"/>
  <c r="EE94" i="12"/>
  <c r="EF94" i="12"/>
  <c r="EG94" i="12"/>
  <c r="EH94" i="12"/>
  <c r="EI94" i="12"/>
  <c r="EJ94" i="12"/>
  <c r="EK94" i="12"/>
  <c r="EL94" i="12"/>
  <c r="EM94" i="12"/>
  <c r="EN94" i="12"/>
  <c r="EO94" i="12"/>
  <c r="EP94" i="12"/>
  <c r="EQ94" i="12"/>
  <c r="ER94" i="12"/>
  <c r="ES94" i="12"/>
  <c r="ET94" i="12"/>
  <c r="EU94" i="12"/>
  <c r="EV94" i="12"/>
  <c r="EW94" i="12"/>
  <c r="EX94" i="12"/>
  <c r="EY94" i="12"/>
  <c r="EZ94" i="12"/>
  <c r="FA94" i="12"/>
  <c r="FB94" i="12"/>
  <c r="FC94" i="12"/>
  <c r="FD94" i="12"/>
  <c r="FE94" i="12"/>
  <c r="FF94" i="12"/>
  <c r="FG94" i="12"/>
  <c r="FH94" i="12"/>
  <c r="FI94" i="12"/>
  <c r="FJ94" i="12"/>
  <c r="FK94" i="12"/>
  <c r="FL94" i="12"/>
  <c r="FM94" i="12"/>
  <c r="FN94" i="12"/>
  <c r="FO94" i="12"/>
  <c r="FP94" i="12"/>
  <c r="FQ94" i="12"/>
  <c r="FR94" i="12"/>
  <c r="FS94" i="12"/>
  <c r="FT94" i="12"/>
  <c r="FU94" i="12"/>
  <c r="FV94" i="12"/>
  <c r="FW94" i="12"/>
  <c r="FX94" i="12"/>
  <c r="FY94" i="12"/>
  <c r="FZ94" i="12"/>
  <c r="GA94" i="12"/>
  <c r="GB94" i="12"/>
  <c r="GC94" i="12"/>
  <c r="GD94" i="12"/>
  <c r="GE94" i="12"/>
  <c r="GF94" i="12"/>
  <c r="GG94" i="12"/>
  <c r="GH94" i="12"/>
  <c r="GI94" i="12"/>
  <c r="GJ94" i="12"/>
  <c r="GK94" i="12"/>
  <c r="GL94" i="12"/>
  <c r="GM94" i="12"/>
  <c r="GN94" i="12"/>
  <c r="GO94" i="12"/>
  <c r="GP94" i="12"/>
  <c r="GQ94" i="12"/>
  <c r="GR94" i="12"/>
  <c r="GS94" i="12"/>
  <c r="GT94" i="12"/>
  <c r="GU94" i="12"/>
  <c r="GV94" i="12"/>
  <c r="GW94" i="12"/>
  <c r="GX94" i="12"/>
  <c r="GY94" i="12"/>
  <c r="GZ94" i="12"/>
  <c r="HA94" i="12"/>
  <c r="HB94" i="12"/>
  <c r="HC94" i="12"/>
  <c r="HD94" i="12"/>
  <c r="HE94" i="12"/>
  <c r="HF94" i="12"/>
  <c r="HG94" i="12"/>
  <c r="HH94" i="12"/>
  <c r="HI94" i="12"/>
  <c r="HJ94" i="12"/>
  <c r="HK94" i="12"/>
  <c r="HL94" i="12"/>
  <c r="HM94" i="12"/>
  <c r="HN94" i="12"/>
  <c r="HO94" i="12"/>
  <c r="HP94" i="12"/>
  <c r="HQ94" i="12"/>
  <c r="HR94" i="12"/>
  <c r="HS94" i="12"/>
  <c r="HT94" i="12"/>
  <c r="HU94" i="12"/>
  <c r="HV94" i="12"/>
  <c r="HW94" i="12"/>
  <c r="HX94" i="12"/>
  <c r="HY94" i="12"/>
  <c r="HZ94" i="12"/>
  <c r="IA94" i="12"/>
  <c r="IB94" i="12"/>
  <c r="IC94" i="12"/>
  <c r="ID94" i="12"/>
  <c r="IE94" i="12"/>
  <c r="IF94" i="12"/>
  <c r="IG94" i="12"/>
  <c r="IH94" i="12"/>
  <c r="II94" i="12"/>
  <c r="IJ94" i="12"/>
  <c r="IK94" i="12"/>
  <c r="IL94" i="12"/>
  <c r="IM94" i="12"/>
  <c r="IN94" i="12"/>
  <c r="IO94" i="12"/>
  <c r="IP94" i="12"/>
  <c r="IQ94" i="12"/>
  <c r="IR94" i="12"/>
  <c r="IS94" i="12"/>
  <c r="IT94" i="12"/>
  <c r="IU94" i="12"/>
  <c r="IV94" i="12"/>
  <c r="F95" i="12"/>
  <c r="G95" i="12"/>
  <c r="H95" i="12"/>
  <c r="I95" i="12"/>
  <c r="J95" i="12"/>
  <c r="K95" i="12"/>
  <c r="L95" i="12"/>
  <c r="M95" i="12"/>
  <c r="N95" i="12"/>
  <c r="O95" i="12"/>
  <c r="P95" i="12"/>
  <c r="Q95" i="12"/>
  <c r="R95" i="12"/>
  <c r="S95" i="12"/>
  <c r="T95" i="12"/>
  <c r="U95" i="12"/>
  <c r="V95" i="12"/>
  <c r="W95" i="12"/>
  <c r="X95" i="12"/>
  <c r="Y95" i="12"/>
  <c r="Z95" i="12"/>
  <c r="AA95" i="12"/>
  <c r="AB95" i="12"/>
  <c r="AC95" i="12"/>
  <c r="AD95" i="12"/>
  <c r="AE95" i="12"/>
  <c r="AF95" i="12"/>
  <c r="AG95" i="12"/>
  <c r="AH95" i="12"/>
  <c r="AI95" i="12"/>
  <c r="AJ95" i="12"/>
  <c r="AK95" i="12"/>
  <c r="AL95" i="12"/>
  <c r="AM95" i="12"/>
  <c r="AN95" i="12"/>
  <c r="AO95" i="12"/>
  <c r="AP95" i="12"/>
  <c r="AQ95" i="12"/>
  <c r="AR95" i="12"/>
  <c r="AS95" i="12"/>
  <c r="AT95" i="12"/>
  <c r="AU95" i="12"/>
  <c r="AV95" i="12"/>
  <c r="AW95" i="12"/>
  <c r="AX95" i="12"/>
  <c r="AY95" i="12"/>
  <c r="AZ95" i="12"/>
  <c r="BA95" i="12"/>
  <c r="BB95" i="12"/>
  <c r="BC95" i="12"/>
  <c r="BD95" i="12"/>
  <c r="BE95" i="12"/>
  <c r="BF95" i="12"/>
  <c r="BG95" i="12"/>
  <c r="BH95" i="12"/>
  <c r="BI95" i="12"/>
  <c r="BJ95" i="12"/>
  <c r="BK95" i="12"/>
  <c r="BL95" i="12"/>
  <c r="BM95" i="12"/>
  <c r="BN95" i="12"/>
  <c r="BO95" i="12"/>
  <c r="BP95" i="12"/>
  <c r="BQ95" i="12"/>
  <c r="BR95" i="12"/>
  <c r="BS95" i="12"/>
  <c r="BT95" i="12"/>
  <c r="BU95" i="12"/>
  <c r="BV95" i="12"/>
  <c r="BW95" i="12"/>
  <c r="BX95" i="12"/>
  <c r="BY95" i="12"/>
  <c r="BZ95" i="12"/>
  <c r="CA95" i="12"/>
  <c r="CB95" i="12"/>
  <c r="CC95" i="12"/>
  <c r="CD95" i="12"/>
  <c r="CE95" i="12"/>
  <c r="CF95" i="12"/>
  <c r="CG95" i="12"/>
  <c r="CH95" i="12"/>
  <c r="CI95" i="12"/>
  <c r="CJ95" i="12"/>
  <c r="CK95" i="12"/>
  <c r="CL95" i="12"/>
  <c r="CM95" i="12"/>
  <c r="CN95" i="12"/>
  <c r="CO95" i="12"/>
  <c r="CP95" i="12"/>
  <c r="CQ95" i="12"/>
  <c r="CR95" i="12"/>
  <c r="CS95" i="12"/>
  <c r="CT95" i="12"/>
  <c r="CU95" i="12"/>
  <c r="CV95" i="12"/>
  <c r="CW95" i="12"/>
  <c r="CX95" i="12"/>
  <c r="CY95" i="12"/>
  <c r="CZ95" i="12"/>
  <c r="DA95" i="12"/>
  <c r="DB95" i="12"/>
  <c r="DC95" i="12"/>
  <c r="DD95" i="12"/>
  <c r="DE95" i="12"/>
  <c r="DF95" i="12"/>
  <c r="DG95" i="12"/>
  <c r="DH95" i="12"/>
  <c r="DI95" i="12"/>
  <c r="DJ95" i="12"/>
  <c r="DK95" i="12"/>
  <c r="DL95" i="12"/>
  <c r="DM95" i="12"/>
  <c r="DN95" i="12"/>
  <c r="DO95" i="12"/>
  <c r="DP95" i="12"/>
  <c r="DQ95" i="12"/>
  <c r="DR95" i="12"/>
  <c r="DS95" i="12"/>
  <c r="DT95" i="12"/>
  <c r="DU95" i="12"/>
  <c r="DV95" i="12"/>
  <c r="DW95" i="12"/>
  <c r="DX95" i="12"/>
  <c r="DY95" i="12"/>
  <c r="DZ95" i="12"/>
  <c r="EA95" i="12"/>
  <c r="EB95" i="12"/>
  <c r="EC95" i="12"/>
  <c r="ED95" i="12"/>
  <c r="EE95" i="12"/>
  <c r="EF95" i="12"/>
  <c r="EG95" i="12"/>
  <c r="EH95" i="12"/>
  <c r="EI95" i="12"/>
  <c r="EJ95" i="12"/>
  <c r="EK95" i="12"/>
  <c r="EL95" i="12"/>
  <c r="EM95" i="12"/>
  <c r="EN95" i="12"/>
  <c r="EO95" i="12"/>
  <c r="EP95" i="12"/>
  <c r="EQ95" i="12"/>
  <c r="ER95" i="12"/>
  <c r="ES95" i="12"/>
  <c r="ET95" i="12"/>
  <c r="EU95" i="12"/>
  <c r="EV95" i="12"/>
  <c r="EW95" i="12"/>
  <c r="EX95" i="12"/>
  <c r="EY95" i="12"/>
  <c r="EZ95" i="12"/>
  <c r="FA95" i="12"/>
  <c r="FB95" i="12"/>
  <c r="FC95" i="12"/>
  <c r="FD95" i="12"/>
  <c r="FE95" i="12"/>
  <c r="FF95" i="12"/>
  <c r="FG95" i="12"/>
  <c r="FH95" i="12"/>
  <c r="FI95" i="12"/>
  <c r="FJ95" i="12"/>
  <c r="FK95" i="12"/>
  <c r="FL95" i="12"/>
  <c r="FM95" i="12"/>
  <c r="FN95" i="12"/>
  <c r="FO95" i="12"/>
  <c r="FP95" i="12"/>
  <c r="FQ95" i="12"/>
  <c r="FR95" i="12"/>
  <c r="FS95" i="12"/>
  <c r="FT95" i="12"/>
  <c r="FU95" i="12"/>
  <c r="FV95" i="12"/>
  <c r="FW95" i="12"/>
  <c r="FX95" i="12"/>
  <c r="FY95" i="12"/>
  <c r="FZ95" i="12"/>
  <c r="GA95" i="12"/>
  <c r="GB95" i="12"/>
  <c r="GC95" i="12"/>
  <c r="GD95" i="12"/>
  <c r="GE95" i="12"/>
  <c r="GF95" i="12"/>
  <c r="GG95" i="12"/>
  <c r="GH95" i="12"/>
  <c r="GI95" i="12"/>
  <c r="GJ95" i="12"/>
  <c r="GK95" i="12"/>
  <c r="GL95" i="12"/>
  <c r="GM95" i="12"/>
  <c r="GN95" i="12"/>
  <c r="GO95" i="12"/>
  <c r="GP95" i="12"/>
  <c r="GQ95" i="12"/>
  <c r="GR95" i="12"/>
  <c r="GS95" i="12"/>
  <c r="GT95" i="12"/>
  <c r="GU95" i="12"/>
  <c r="GV95" i="12"/>
  <c r="GW95" i="12"/>
  <c r="GX95" i="12"/>
  <c r="GY95" i="12"/>
  <c r="GZ95" i="12"/>
  <c r="HA95" i="12"/>
  <c r="HB95" i="12"/>
  <c r="HC95" i="12"/>
  <c r="HD95" i="12"/>
  <c r="HE95" i="12"/>
  <c r="HF95" i="12"/>
  <c r="HG95" i="12"/>
  <c r="HH95" i="12"/>
  <c r="HI95" i="12"/>
  <c r="HJ95" i="12"/>
  <c r="HK95" i="12"/>
  <c r="HL95" i="12"/>
  <c r="HM95" i="12"/>
  <c r="HN95" i="12"/>
  <c r="HO95" i="12"/>
  <c r="HP95" i="12"/>
  <c r="HQ95" i="12"/>
  <c r="HR95" i="12"/>
  <c r="HS95" i="12"/>
  <c r="HT95" i="12"/>
  <c r="HU95" i="12"/>
  <c r="HV95" i="12"/>
  <c r="HW95" i="12"/>
  <c r="HX95" i="12"/>
  <c r="HY95" i="12"/>
  <c r="HZ95" i="12"/>
  <c r="IA95" i="12"/>
  <c r="IB95" i="12"/>
  <c r="IC95" i="12"/>
  <c r="ID95" i="12"/>
  <c r="IE95" i="12"/>
  <c r="IF95" i="12"/>
  <c r="IG95" i="12"/>
  <c r="IH95" i="12"/>
  <c r="II95" i="12"/>
  <c r="IJ95" i="12"/>
  <c r="IK95" i="12"/>
  <c r="IL95" i="12"/>
  <c r="IM95" i="12"/>
  <c r="IN95" i="12"/>
  <c r="IO95" i="12"/>
  <c r="IP95" i="12"/>
  <c r="IQ95" i="12"/>
  <c r="IR95" i="12"/>
  <c r="IS95" i="12"/>
  <c r="IT95" i="12"/>
  <c r="IU95" i="12"/>
  <c r="IV95" i="12"/>
  <c r="F96" i="12"/>
  <c r="G96" i="12"/>
  <c r="H96" i="12"/>
  <c r="I96" i="12"/>
  <c r="J96" i="12"/>
  <c r="K96" i="12"/>
  <c r="L96" i="12"/>
  <c r="M96" i="12"/>
  <c r="N96" i="12"/>
  <c r="O96" i="12"/>
  <c r="P96" i="12"/>
  <c r="Q96" i="12"/>
  <c r="R96" i="12"/>
  <c r="S96" i="12"/>
  <c r="T96" i="12"/>
  <c r="U96" i="12"/>
  <c r="V96" i="12"/>
  <c r="W96" i="12"/>
  <c r="X96" i="12"/>
  <c r="Y96" i="12"/>
  <c r="Z96" i="12"/>
  <c r="AA96" i="12"/>
  <c r="AB96" i="12"/>
  <c r="AC96" i="12"/>
  <c r="AD96" i="12"/>
  <c r="AE96" i="12"/>
  <c r="AF96" i="12"/>
  <c r="AG96" i="12"/>
  <c r="AH96" i="12"/>
  <c r="AI96" i="12"/>
  <c r="AJ96" i="12"/>
  <c r="AK96" i="12"/>
  <c r="AL96" i="12"/>
  <c r="AM96" i="12"/>
  <c r="AN96" i="12"/>
  <c r="AO96" i="12"/>
  <c r="AP96" i="12"/>
  <c r="AQ96" i="12"/>
  <c r="AR96" i="12"/>
  <c r="AS96" i="12"/>
  <c r="AT96" i="12"/>
  <c r="AU96" i="12"/>
  <c r="AV96" i="12"/>
  <c r="AW96" i="12"/>
  <c r="AX96" i="12"/>
  <c r="AY96" i="12"/>
  <c r="AZ96" i="12"/>
  <c r="BA96" i="12"/>
  <c r="BB96" i="12"/>
  <c r="BC96" i="12"/>
  <c r="BD96" i="12"/>
  <c r="BE96" i="12"/>
  <c r="BF96" i="12"/>
  <c r="BG96" i="12"/>
  <c r="BH96" i="12"/>
  <c r="BI96" i="12"/>
  <c r="BJ96" i="12"/>
  <c r="BK96" i="12"/>
  <c r="BL96" i="12"/>
  <c r="BM96" i="12"/>
  <c r="BN96" i="12"/>
  <c r="BO96" i="12"/>
  <c r="BP96" i="12"/>
  <c r="BQ96" i="12"/>
  <c r="BR96" i="12"/>
  <c r="BS96" i="12"/>
  <c r="BT96" i="12"/>
  <c r="BU96" i="12"/>
  <c r="BV96" i="12"/>
  <c r="BW96" i="12"/>
  <c r="BX96" i="12"/>
  <c r="BY96" i="12"/>
  <c r="BZ96" i="12"/>
  <c r="CA96" i="12"/>
  <c r="CB96" i="12"/>
  <c r="CC96" i="12"/>
  <c r="CD96" i="12"/>
  <c r="CE96" i="12"/>
  <c r="CF96" i="12"/>
  <c r="CG96" i="12"/>
  <c r="CH96" i="12"/>
  <c r="CI96" i="12"/>
  <c r="CJ96" i="12"/>
  <c r="CK96" i="12"/>
  <c r="CL96" i="12"/>
  <c r="CM96" i="12"/>
  <c r="CN96" i="12"/>
  <c r="CO96" i="12"/>
  <c r="CP96" i="12"/>
  <c r="CQ96" i="12"/>
  <c r="CR96" i="12"/>
  <c r="CS96" i="12"/>
  <c r="CT96" i="12"/>
  <c r="CU96" i="12"/>
  <c r="CV96" i="12"/>
  <c r="CW96" i="12"/>
  <c r="CX96" i="12"/>
  <c r="CY96" i="12"/>
  <c r="CZ96" i="12"/>
  <c r="DA96" i="12"/>
  <c r="DB96" i="12"/>
  <c r="DC96" i="12"/>
  <c r="DD96" i="12"/>
  <c r="DE96" i="12"/>
  <c r="DF96" i="12"/>
  <c r="DG96" i="12"/>
  <c r="DH96" i="12"/>
  <c r="DI96" i="12"/>
  <c r="DJ96" i="12"/>
  <c r="DK96" i="12"/>
  <c r="DL96" i="12"/>
  <c r="DM96" i="12"/>
  <c r="DN96" i="12"/>
  <c r="DO96" i="12"/>
  <c r="DP96" i="12"/>
  <c r="DQ96" i="12"/>
  <c r="DR96" i="12"/>
  <c r="DS96" i="12"/>
  <c r="DT96" i="12"/>
  <c r="DU96" i="12"/>
  <c r="DV96" i="12"/>
  <c r="DW96" i="12"/>
  <c r="DX96" i="12"/>
  <c r="DY96" i="12"/>
  <c r="DZ96" i="12"/>
  <c r="EA96" i="12"/>
  <c r="EB96" i="12"/>
  <c r="EC96" i="12"/>
  <c r="ED96" i="12"/>
  <c r="EE96" i="12"/>
  <c r="EF96" i="12"/>
  <c r="EG96" i="12"/>
  <c r="EH96" i="12"/>
  <c r="EI96" i="12"/>
  <c r="EJ96" i="12"/>
  <c r="EK96" i="12"/>
  <c r="EL96" i="12"/>
  <c r="EM96" i="12"/>
  <c r="EN96" i="12"/>
  <c r="EO96" i="12"/>
  <c r="EP96" i="12"/>
  <c r="EQ96" i="12"/>
  <c r="ER96" i="12"/>
  <c r="ES96" i="12"/>
  <c r="ET96" i="12"/>
  <c r="EU96" i="12"/>
  <c r="EV96" i="12"/>
  <c r="EW96" i="12"/>
  <c r="EX96" i="12"/>
  <c r="EY96" i="12"/>
  <c r="EZ96" i="12"/>
  <c r="FA96" i="12"/>
  <c r="FB96" i="12"/>
  <c r="FC96" i="12"/>
  <c r="FD96" i="12"/>
  <c r="FE96" i="12"/>
  <c r="FF96" i="12"/>
  <c r="FG96" i="12"/>
  <c r="FH96" i="12"/>
  <c r="FI96" i="12"/>
  <c r="FJ96" i="12"/>
  <c r="FK96" i="12"/>
  <c r="FL96" i="12"/>
  <c r="FM96" i="12"/>
  <c r="FN96" i="12"/>
  <c r="FO96" i="12"/>
  <c r="FP96" i="12"/>
  <c r="FQ96" i="12"/>
  <c r="FR96" i="12"/>
  <c r="FS96" i="12"/>
  <c r="FT96" i="12"/>
  <c r="FU96" i="12"/>
  <c r="FV96" i="12"/>
  <c r="FW96" i="12"/>
  <c r="FX96" i="12"/>
  <c r="FY96" i="12"/>
  <c r="FZ96" i="12"/>
  <c r="GA96" i="12"/>
  <c r="GB96" i="12"/>
  <c r="GC96" i="12"/>
  <c r="GD96" i="12"/>
  <c r="GE96" i="12"/>
  <c r="GF96" i="12"/>
  <c r="GG96" i="12"/>
  <c r="GH96" i="12"/>
  <c r="GI96" i="12"/>
  <c r="GJ96" i="12"/>
  <c r="GK96" i="12"/>
  <c r="GL96" i="12"/>
  <c r="GM96" i="12"/>
  <c r="GN96" i="12"/>
  <c r="GO96" i="12"/>
  <c r="GP96" i="12"/>
  <c r="GQ96" i="12"/>
  <c r="GR96" i="12"/>
  <c r="GS96" i="12"/>
  <c r="GT96" i="12"/>
  <c r="GU96" i="12"/>
  <c r="GV96" i="12"/>
  <c r="GW96" i="12"/>
  <c r="GX96" i="12"/>
  <c r="GY96" i="12"/>
  <c r="GZ96" i="12"/>
  <c r="HA96" i="12"/>
  <c r="HB96" i="12"/>
  <c r="HC96" i="12"/>
  <c r="HD96" i="12"/>
  <c r="HE96" i="12"/>
  <c r="HF96" i="12"/>
  <c r="HG96" i="12"/>
  <c r="HH96" i="12"/>
  <c r="HI96" i="12"/>
  <c r="HJ96" i="12"/>
  <c r="HK96" i="12"/>
  <c r="HL96" i="12"/>
  <c r="HM96" i="12"/>
  <c r="HN96" i="12"/>
  <c r="HO96" i="12"/>
  <c r="HP96" i="12"/>
  <c r="HQ96" i="12"/>
  <c r="HR96" i="12"/>
  <c r="HS96" i="12"/>
  <c r="HT96" i="12"/>
  <c r="HU96" i="12"/>
  <c r="HV96" i="12"/>
  <c r="HW96" i="12"/>
  <c r="HX96" i="12"/>
  <c r="HY96" i="12"/>
  <c r="HZ96" i="12"/>
  <c r="IA96" i="12"/>
  <c r="IB96" i="12"/>
  <c r="IC96" i="12"/>
  <c r="ID96" i="12"/>
  <c r="IE96" i="12"/>
  <c r="IF96" i="12"/>
  <c r="IG96" i="12"/>
  <c r="IH96" i="12"/>
  <c r="II96" i="12"/>
  <c r="IJ96" i="12"/>
  <c r="IK96" i="12"/>
  <c r="IL96" i="12"/>
  <c r="IM96" i="12"/>
  <c r="IN96" i="12"/>
  <c r="IO96" i="12"/>
  <c r="IP96" i="12"/>
  <c r="IQ96" i="12"/>
  <c r="IR96" i="12"/>
  <c r="IS96" i="12"/>
  <c r="IT96" i="12"/>
  <c r="IU96" i="12"/>
  <c r="IV96" i="12"/>
  <c r="F97" i="12"/>
  <c r="G97" i="12"/>
  <c r="H97" i="12"/>
  <c r="I97" i="12"/>
  <c r="J97" i="12"/>
  <c r="K97" i="12"/>
  <c r="L97" i="12"/>
  <c r="M97" i="12"/>
  <c r="N97" i="12"/>
  <c r="O97" i="12"/>
  <c r="P97" i="12"/>
  <c r="Q97" i="12"/>
  <c r="R97" i="12"/>
  <c r="S97" i="12"/>
  <c r="T97" i="12"/>
  <c r="U97" i="12"/>
  <c r="V97" i="12"/>
  <c r="W97" i="12"/>
  <c r="X97" i="12"/>
  <c r="Y97" i="12"/>
  <c r="Z97" i="12"/>
  <c r="AA97" i="12"/>
  <c r="AB97" i="12"/>
  <c r="AC97" i="12"/>
  <c r="AD97" i="12"/>
  <c r="AE97" i="12"/>
  <c r="AF97" i="12"/>
  <c r="AG97" i="12"/>
  <c r="AH97" i="12"/>
  <c r="AI97" i="12"/>
  <c r="AJ97" i="12"/>
  <c r="AK97" i="12"/>
  <c r="AL97" i="12"/>
  <c r="AM97" i="12"/>
  <c r="AN97" i="12"/>
  <c r="AO97" i="12"/>
  <c r="AP97" i="12"/>
  <c r="AQ97" i="12"/>
  <c r="AR97" i="12"/>
  <c r="AS97" i="12"/>
  <c r="AT97" i="12"/>
  <c r="AU97" i="12"/>
  <c r="AV97" i="12"/>
  <c r="AW97" i="12"/>
  <c r="AX97" i="12"/>
  <c r="AY97" i="12"/>
  <c r="AZ97" i="12"/>
  <c r="BA97" i="12"/>
  <c r="BB97" i="12"/>
  <c r="BC97" i="12"/>
  <c r="BD97" i="12"/>
  <c r="BE97" i="12"/>
  <c r="BF97" i="12"/>
  <c r="BG97" i="12"/>
  <c r="BH97" i="12"/>
  <c r="BI97" i="12"/>
  <c r="BJ97" i="12"/>
  <c r="BK97" i="12"/>
  <c r="BL97" i="12"/>
  <c r="BM97" i="12"/>
  <c r="BN97" i="12"/>
  <c r="BO97" i="12"/>
  <c r="BP97" i="12"/>
  <c r="BQ97" i="12"/>
  <c r="BR97" i="12"/>
  <c r="BS97" i="12"/>
  <c r="BT97" i="12"/>
  <c r="BU97" i="12"/>
  <c r="BV97" i="12"/>
  <c r="BW97" i="12"/>
  <c r="BX97" i="12"/>
  <c r="BY97" i="12"/>
  <c r="BZ97" i="12"/>
  <c r="CA97" i="12"/>
  <c r="CB97" i="12"/>
  <c r="CC97" i="12"/>
  <c r="CD97" i="12"/>
  <c r="CE97" i="12"/>
  <c r="CF97" i="12"/>
  <c r="CG97" i="12"/>
  <c r="CH97" i="12"/>
  <c r="CI97" i="12"/>
  <c r="CJ97" i="12"/>
  <c r="CK97" i="12"/>
  <c r="CL97" i="12"/>
  <c r="CM97" i="12"/>
  <c r="CN97" i="12"/>
  <c r="CO97" i="12"/>
  <c r="CP97" i="12"/>
  <c r="CQ97" i="12"/>
  <c r="CR97" i="12"/>
  <c r="CS97" i="12"/>
  <c r="CT97" i="12"/>
  <c r="CU97" i="12"/>
  <c r="CV97" i="12"/>
  <c r="CW97" i="12"/>
  <c r="CX97" i="12"/>
  <c r="CY97" i="12"/>
  <c r="CZ97" i="12"/>
  <c r="DA97" i="12"/>
  <c r="DB97" i="12"/>
  <c r="DC97" i="12"/>
  <c r="DD97" i="12"/>
  <c r="DE97" i="12"/>
  <c r="DF97" i="12"/>
  <c r="DG97" i="12"/>
  <c r="DH97" i="12"/>
  <c r="DI97" i="12"/>
  <c r="DJ97" i="12"/>
  <c r="DK97" i="12"/>
  <c r="DL97" i="12"/>
  <c r="DM97" i="12"/>
  <c r="DN97" i="12"/>
  <c r="DO97" i="12"/>
  <c r="DP97" i="12"/>
  <c r="DQ97" i="12"/>
  <c r="DR97" i="12"/>
  <c r="DS97" i="12"/>
  <c r="DT97" i="12"/>
  <c r="DU97" i="12"/>
  <c r="DV97" i="12"/>
  <c r="DW97" i="12"/>
  <c r="DX97" i="12"/>
  <c r="DY97" i="12"/>
  <c r="DZ97" i="12"/>
  <c r="EA97" i="12"/>
  <c r="EB97" i="12"/>
  <c r="EC97" i="12"/>
  <c r="ED97" i="12"/>
  <c r="EE97" i="12"/>
  <c r="EF97" i="12"/>
  <c r="EG97" i="12"/>
  <c r="EH97" i="12"/>
  <c r="EI97" i="12"/>
  <c r="EJ97" i="12"/>
  <c r="EK97" i="12"/>
  <c r="EL97" i="12"/>
  <c r="EM97" i="12"/>
  <c r="EN97" i="12"/>
  <c r="EO97" i="12"/>
  <c r="EP97" i="12"/>
  <c r="EQ97" i="12"/>
  <c r="ER97" i="12"/>
  <c r="ES97" i="12"/>
  <c r="ET97" i="12"/>
  <c r="EU97" i="12"/>
  <c r="EV97" i="12"/>
  <c r="EW97" i="12"/>
  <c r="EX97" i="12"/>
  <c r="EY97" i="12"/>
  <c r="EZ97" i="12"/>
  <c r="FA97" i="12"/>
  <c r="FB97" i="12"/>
  <c r="FC97" i="12"/>
  <c r="FD97" i="12"/>
  <c r="FE97" i="12"/>
  <c r="FF97" i="12"/>
  <c r="FG97" i="12"/>
  <c r="FH97" i="12"/>
  <c r="FI97" i="12"/>
  <c r="FJ97" i="12"/>
  <c r="FK97" i="12"/>
  <c r="FL97" i="12"/>
  <c r="FM97" i="12"/>
  <c r="FN97" i="12"/>
  <c r="FO97" i="12"/>
  <c r="FP97" i="12"/>
  <c r="FQ97" i="12"/>
  <c r="FR97" i="12"/>
  <c r="FS97" i="12"/>
  <c r="FT97" i="12"/>
  <c r="FU97" i="12"/>
  <c r="FV97" i="12"/>
  <c r="FW97" i="12"/>
  <c r="FX97" i="12"/>
  <c r="FY97" i="12"/>
  <c r="FZ97" i="12"/>
  <c r="GA97" i="12"/>
  <c r="GB97" i="12"/>
  <c r="GC97" i="12"/>
  <c r="GD97" i="12"/>
  <c r="GE97" i="12"/>
  <c r="GF97" i="12"/>
  <c r="GG97" i="12"/>
  <c r="GH97" i="12"/>
  <c r="GI97" i="12"/>
  <c r="GJ97" i="12"/>
  <c r="GK97" i="12"/>
  <c r="GL97" i="12"/>
  <c r="GM97" i="12"/>
  <c r="GN97" i="12"/>
  <c r="GO97" i="12"/>
  <c r="GP97" i="12"/>
  <c r="GQ97" i="12"/>
  <c r="GR97" i="12"/>
  <c r="GS97" i="12"/>
  <c r="GT97" i="12"/>
  <c r="GU97" i="12"/>
  <c r="GV97" i="12"/>
  <c r="GW97" i="12"/>
  <c r="GX97" i="12"/>
  <c r="GY97" i="12"/>
  <c r="GZ97" i="12"/>
  <c r="HA97" i="12"/>
  <c r="HB97" i="12"/>
  <c r="HC97" i="12"/>
  <c r="HD97" i="12"/>
  <c r="HE97" i="12"/>
  <c r="HF97" i="12"/>
  <c r="HG97" i="12"/>
  <c r="HH97" i="12"/>
  <c r="HI97" i="12"/>
  <c r="HJ97" i="12"/>
  <c r="HK97" i="12"/>
  <c r="HL97" i="12"/>
  <c r="HM97" i="12"/>
  <c r="HN97" i="12"/>
  <c r="HO97" i="12"/>
  <c r="HP97" i="12"/>
  <c r="HQ97" i="12"/>
  <c r="HR97" i="12"/>
  <c r="HS97" i="12"/>
  <c r="HT97" i="12"/>
  <c r="HU97" i="12"/>
  <c r="HV97" i="12"/>
  <c r="HW97" i="12"/>
  <c r="HX97" i="12"/>
  <c r="HY97" i="12"/>
  <c r="HZ97" i="12"/>
  <c r="IA97" i="12"/>
  <c r="IB97" i="12"/>
  <c r="IC97" i="12"/>
  <c r="ID97" i="12"/>
  <c r="IE97" i="12"/>
  <c r="IF97" i="12"/>
  <c r="IG97" i="12"/>
  <c r="IH97" i="12"/>
  <c r="II97" i="12"/>
  <c r="IJ97" i="12"/>
  <c r="IK97" i="12"/>
  <c r="IL97" i="12"/>
  <c r="IM97" i="12"/>
  <c r="IN97" i="12"/>
  <c r="IO97" i="12"/>
  <c r="IP97" i="12"/>
  <c r="IQ97" i="12"/>
  <c r="IR97" i="12"/>
  <c r="IS97" i="12"/>
  <c r="IT97" i="12"/>
  <c r="IU97" i="12"/>
  <c r="IV97" i="12"/>
  <c r="F98" i="12"/>
  <c r="G98" i="12"/>
  <c r="H98" i="12"/>
  <c r="I98" i="12"/>
  <c r="J98" i="12"/>
  <c r="K98" i="12"/>
  <c r="L98" i="12"/>
  <c r="M98" i="12"/>
  <c r="N98" i="12"/>
  <c r="O98" i="12"/>
  <c r="P98" i="12"/>
  <c r="Q98" i="12"/>
  <c r="R98" i="12"/>
  <c r="S98" i="12"/>
  <c r="T98" i="12"/>
  <c r="U98" i="12"/>
  <c r="V98" i="12"/>
  <c r="W98" i="12"/>
  <c r="X98" i="12"/>
  <c r="Y98" i="12"/>
  <c r="Z98" i="12"/>
  <c r="AA98" i="12"/>
  <c r="AB98" i="12"/>
  <c r="AC98" i="12"/>
  <c r="AD98" i="12"/>
  <c r="AE98" i="12"/>
  <c r="AF98" i="12"/>
  <c r="AG98" i="12"/>
  <c r="AH98" i="12"/>
  <c r="AI98" i="12"/>
  <c r="AJ98" i="12"/>
  <c r="AK98" i="12"/>
  <c r="AL98" i="12"/>
  <c r="AM98" i="12"/>
  <c r="AN98" i="12"/>
  <c r="AO98" i="12"/>
  <c r="AP98" i="12"/>
  <c r="AQ98" i="12"/>
  <c r="AR98" i="12"/>
  <c r="AS98" i="12"/>
  <c r="AT98" i="12"/>
  <c r="AU98" i="12"/>
  <c r="AV98" i="12"/>
  <c r="AW98" i="12"/>
  <c r="AX98" i="12"/>
  <c r="AY98" i="12"/>
  <c r="AZ98" i="12"/>
  <c r="BA98" i="12"/>
  <c r="BB98" i="12"/>
  <c r="BC98" i="12"/>
  <c r="BD98" i="12"/>
  <c r="BE98" i="12"/>
  <c r="BF98" i="12"/>
  <c r="BG98" i="12"/>
  <c r="BH98" i="12"/>
  <c r="BI98" i="12"/>
  <c r="BJ98" i="12"/>
  <c r="BK98" i="12"/>
  <c r="BL98" i="12"/>
  <c r="BM98" i="12"/>
  <c r="BN98" i="12"/>
  <c r="BO98" i="12"/>
  <c r="BP98" i="12"/>
  <c r="BQ98" i="12"/>
  <c r="BR98" i="12"/>
  <c r="BS98" i="12"/>
  <c r="BT98" i="12"/>
  <c r="BU98" i="12"/>
  <c r="BV98" i="12"/>
  <c r="BW98" i="12"/>
  <c r="BX98" i="12"/>
  <c r="BY98" i="12"/>
  <c r="BZ98" i="12"/>
  <c r="CA98" i="12"/>
  <c r="CB98" i="12"/>
  <c r="CC98" i="12"/>
  <c r="CD98" i="12"/>
  <c r="CE98" i="12"/>
  <c r="CF98" i="12"/>
  <c r="CG98" i="12"/>
  <c r="CH98" i="12"/>
  <c r="CI98" i="12"/>
  <c r="CJ98" i="12"/>
  <c r="CK98" i="12"/>
  <c r="CL98" i="12"/>
  <c r="CM98" i="12"/>
  <c r="CN98" i="12"/>
  <c r="CO98" i="12"/>
  <c r="CP98" i="12"/>
  <c r="CQ98" i="12"/>
  <c r="CR98" i="12"/>
  <c r="CS98" i="12"/>
  <c r="CT98" i="12"/>
  <c r="CU98" i="12"/>
  <c r="CV98" i="12"/>
  <c r="CW98" i="12"/>
  <c r="CX98" i="12"/>
  <c r="CY98" i="12"/>
  <c r="CZ98" i="12"/>
  <c r="DA98" i="12"/>
  <c r="DB98" i="12"/>
  <c r="DC98" i="12"/>
  <c r="DD98" i="12"/>
  <c r="DE98" i="12"/>
  <c r="DF98" i="12"/>
  <c r="DG98" i="12"/>
  <c r="DH98" i="12"/>
  <c r="DI98" i="12"/>
  <c r="DJ98" i="12"/>
  <c r="DK98" i="12"/>
  <c r="DL98" i="12"/>
  <c r="DM98" i="12"/>
  <c r="DN98" i="12"/>
  <c r="DO98" i="12"/>
  <c r="DP98" i="12"/>
  <c r="DQ98" i="12"/>
  <c r="DR98" i="12"/>
  <c r="DS98" i="12"/>
  <c r="DT98" i="12"/>
  <c r="DU98" i="12"/>
  <c r="DV98" i="12"/>
  <c r="DW98" i="12"/>
  <c r="DX98" i="12"/>
  <c r="DY98" i="12"/>
  <c r="DZ98" i="12"/>
  <c r="EA98" i="12"/>
  <c r="EB98" i="12"/>
  <c r="EC98" i="12"/>
  <c r="ED98" i="12"/>
  <c r="EE98" i="12"/>
  <c r="EF98" i="12"/>
  <c r="EG98" i="12"/>
  <c r="EH98" i="12"/>
  <c r="EI98" i="12"/>
  <c r="EJ98" i="12"/>
  <c r="EK98" i="12"/>
  <c r="EL98" i="12"/>
  <c r="EM98" i="12"/>
  <c r="EN98" i="12"/>
  <c r="EO98" i="12"/>
  <c r="EP98" i="12"/>
  <c r="EQ98" i="12"/>
  <c r="ER98" i="12"/>
  <c r="ES98" i="12"/>
  <c r="ET98" i="12"/>
  <c r="EU98" i="12"/>
  <c r="EV98" i="12"/>
  <c r="EW98" i="12"/>
  <c r="EX98" i="12"/>
  <c r="EY98" i="12"/>
  <c r="EZ98" i="12"/>
  <c r="FA98" i="12"/>
  <c r="FB98" i="12"/>
  <c r="FC98" i="12"/>
  <c r="FD98" i="12"/>
  <c r="FE98" i="12"/>
  <c r="FF98" i="12"/>
  <c r="FG98" i="12"/>
  <c r="FH98" i="12"/>
  <c r="FI98" i="12"/>
  <c r="FJ98" i="12"/>
  <c r="FK98" i="12"/>
  <c r="FL98" i="12"/>
  <c r="FM98" i="12"/>
  <c r="FN98" i="12"/>
  <c r="FO98" i="12"/>
  <c r="FP98" i="12"/>
  <c r="FQ98" i="12"/>
  <c r="FR98" i="12"/>
  <c r="FS98" i="12"/>
  <c r="FT98" i="12"/>
  <c r="FU98" i="12"/>
  <c r="FV98" i="12"/>
  <c r="FW98" i="12"/>
  <c r="FX98" i="12"/>
  <c r="FY98" i="12"/>
  <c r="FZ98" i="12"/>
  <c r="GA98" i="12"/>
  <c r="GB98" i="12"/>
  <c r="GC98" i="12"/>
  <c r="GD98" i="12"/>
  <c r="GE98" i="12"/>
  <c r="GF98" i="12"/>
  <c r="GG98" i="12"/>
  <c r="GH98" i="12"/>
  <c r="GI98" i="12"/>
  <c r="GJ98" i="12"/>
  <c r="GK98" i="12"/>
  <c r="GL98" i="12"/>
  <c r="GM98" i="12"/>
  <c r="GN98" i="12"/>
  <c r="GO98" i="12"/>
  <c r="GP98" i="12"/>
  <c r="GQ98" i="12"/>
  <c r="GR98" i="12"/>
  <c r="GS98" i="12"/>
  <c r="GT98" i="12"/>
  <c r="GU98" i="12"/>
  <c r="GV98" i="12"/>
  <c r="GW98" i="12"/>
  <c r="GX98" i="12"/>
  <c r="GY98" i="12"/>
  <c r="GZ98" i="12"/>
  <c r="HA98" i="12"/>
  <c r="HB98" i="12"/>
  <c r="HC98" i="12"/>
  <c r="HD98" i="12"/>
  <c r="HE98" i="12"/>
  <c r="HF98" i="12"/>
  <c r="HG98" i="12"/>
  <c r="HH98" i="12"/>
  <c r="HI98" i="12"/>
  <c r="HJ98" i="12"/>
  <c r="HK98" i="12"/>
  <c r="HL98" i="12"/>
  <c r="HM98" i="12"/>
  <c r="HN98" i="12"/>
  <c r="HO98" i="12"/>
  <c r="HP98" i="12"/>
  <c r="HQ98" i="12"/>
  <c r="HR98" i="12"/>
  <c r="HS98" i="12"/>
  <c r="HT98" i="12"/>
  <c r="HU98" i="12"/>
  <c r="HV98" i="12"/>
  <c r="HW98" i="12"/>
  <c r="HX98" i="12"/>
  <c r="HY98" i="12"/>
  <c r="HZ98" i="12"/>
  <c r="IA98" i="12"/>
  <c r="IB98" i="12"/>
  <c r="IC98" i="12"/>
  <c r="ID98" i="12"/>
  <c r="IE98" i="12"/>
  <c r="IF98" i="12"/>
  <c r="IG98" i="12"/>
  <c r="IH98" i="12"/>
  <c r="II98" i="12"/>
  <c r="IJ98" i="12"/>
  <c r="IK98" i="12"/>
  <c r="IL98" i="12"/>
  <c r="IM98" i="12"/>
  <c r="IN98" i="12"/>
  <c r="IO98" i="12"/>
  <c r="IP98" i="12"/>
  <c r="IQ98" i="12"/>
  <c r="IR98" i="12"/>
  <c r="IS98" i="12"/>
  <c r="IT98" i="12"/>
  <c r="IU98" i="12"/>
  <c r="IV98" i="12"/>
  <c r="F99" i="12"/>
  <c r="G99" i="12"/>
  <c r="H99" i="12"/>
  <c r="I99" i="12"/>
  <c r="J99" i="12"/>
  <c r="K99" i="12"/>
  <c r="L99" i="12"/>
  <c r="M99" i="12"/>
  <c r="N99" i="12"/>
  <c r="O99" i="12"/>
  <c r="P99" i="12"/>
  <c r="Q99" i="12"/>
  <c r="R99" i="12"/>
  <c r="S99" i="12"/>
  <c r="T99" i="12"/>
  <c r="U99" i="12"/>
  <c r="V99" i="12"/>
  <c r="W99" i="12"/>
  <c r="X99" i="12"/>
  <c r="Y99" i="12"/>
  <c r="Z99" i="12"/>
  <c r="AA99" i="12"/>
  <c r="AB99" i="12"/>
  <c r="AC99" i="12"/>
  <c r="AD99" i="12"/>
  <c r="AE99" i="12"/>
  <c r="AF99" i="12"/>
  <c r="AG99" i="12"/>
  <c r="AH99" i="12"/>
  <c r="AI99" i="12"/>
  <c r="AJ99" i="12"/>
  <c r="AK99" i="12"/>
  <c r="AL99" i="12"/>
  <c r="AM99" i="12"/>
  <c r="AN99" i="12"/>
  <c r="AO99" i="12"/>
  <c r="AP99" i="12"/>
  <c r="AQ99" i="12"/>
  <c r="AR99" i="12"/>
  <c r="AS99" i="12"/>
  <c r="AT99" i="12"/>
  <c r="AU99" i="12"/>
  <c r="AV99" i="12"/>
  <c r="AW99" i="12"/>
  <c r="AX99" i="12"/>
  <c r="AY99" i="12"/>
  <c r="AZ99" i="12"/>
  <c r="BA99" i="12"/>
  <c r="BB99" i="12"/>
  <c r="BC99" i="12"/>
  <c r="BD99" i="12"/>
  <c r="BE99" i="12"/>
  <c r="BF99" i="12"/>
  <c r="BG99" i="12"/>
  <c r="BH99" i="12"/>
  <c r="BI99" i="12"/>
  <c r="BJ99" i="12"/>
  <c r="BK99" i="12"/>
  <c r="BL99" i="12"/>
  <c r="BM99" i="12"/>
  <c r="BN99" i="12"/>
  <c r="BO99" i="12"/>
  <c r="BP99" i="12"/>
  <c r="BQ99" i="12"/>
  <c r="BR99" i="12"/>
  <c r="BS99" i="12"/>
  <c r="BT99" i="12"/>
  <c r="BU99" i="12"/>
  <c r="BV99" i="12"/>
  <c r="BW99" i="12"/>
  <c r="BX99" i="12"/>
  <c r="BY99" i="12"/>
  <c r="BZ99" i="12"/>
  <c r="CA99" i="12"/>
  <c r="CB99" i="12"/>
  <c r="CC99" i="12"/>
  <c r="CD99" i="12"/>
  <c r="CE99" i="12"/>
  <c r="CF99" i="12"/>
  <c r="CG99" i="12"/>
  <c r="CH99" i="12"/>
  <c r="CI99" i="12"/>
  <c r="CJ99" i="12"/>
  <c r="CK99" i="12"/>
  <c r="CL99" i="12"/>
  <c r="CM99" i="12"/>
  <c r="CN99" i="12"/>
  <c r="CO99" i="12"/>
  <c r="CP99" i="12"/>
  <c r="CQ99" i="12"/>
  <c r="CR99" i="12"/>
  <c r="CS99" i="12"/>
  <c r="CT99" i="12"/>
  <c r="CU99" i="12"/>
  <c r="CV99" i="12"/>
  <c r="CW99" i="12"/>
  <c r="CX99" i="12"/>
  <c r="CY99" i="12"/>
  <c r="CZ99" i="12"/>
  <c r="DA99" i="12"/>
  <c r="DB99" i="12"/>
  <c r="DC99" i="12"/>
  <c r="DD99" i="12"/>
  <c r="DE99" i="12"/>
  <c r="DF99" i="12"/>
  <c r="DG99" i="12"/>
  <c r="DH99" i="12"/>
  <c r="DI99" i="12"/>
  <c r="DJ99" i="12"/>
  <c r="DK99" i="12"/>
  <c r="DL99" i="12"/>
  <c r="DM99" i="12"/>
  <c r="DN99" i="12"/>
  <c r="DO99" i="12"/>
  <c r="DP99" i="12"/>
  <c r="DQ99" i="12"/>
  <c r="DR99" i="12"/>
  <c r="DS99" i="12"/>
  <c r="DT99" i="12"/>
  <c r="DU99" i="12"/>
  <c r="DV99" i="12"/>
  <c r="DW99" i="12"/>
  <c r="DX99" i="12"/>
  <c r="DY99" i="12"/>
  <c r="DZ99" i="12"/>
  <c r="EA99" i="12"/>
  <c r="EB99" i="12"/>
  <c r="EC99" i="12"/>
  <c r="ED99" i="12"/>
  <c r="EE99" i="12"/>
  <c r="EF99" i="12"/>
  <c r="EG99" i="12"/>
  <c r="EH99" i="12"/>
  <c r="EI99" i="12"/>
  <c r="EJ99" i="12"/>
  <c r="EK99" i="12"/>
  <c r="EL99" i="12"/>
  <c r="EM99" i="12"/>
  <c r="EN99" i="12"/>
  <c r="EO99" i="12"/>
  <c r="EP99" i="12"/>
  <c r="EQ99" i="12"/>
  <c r="ER99" i="12"/>
  <c r="ES99" i="12"/>
  <c r="ET99" i="12"/>
  <c r="EU99" i="12"/>
  <c r="EV99" i="12"/>
  <c r="EW99" i="12"/>
  <c r="EX99" i="12"/>
  <c r="EY99" i="12"/>
  <c r="EZ99" i="12"/>
  <c r="FA99" i="12"/>
  <c r="FB99" i="12"/>
  <c r="FC99" i="12"/>
  <c r="FD99" i="12"/>
  <c r="FE99" i="12"/>
  <c r="FF99" i="12"/>
  <c r="FG99" i="12"/>
  <c r="FH99" i="12"/>
  <c r="FI99" i="12"/>
  <c r="FJ99" i="12"/>
  <c r="FK99" i="12"/>
  <c r="FL99" i="12"/>
  <c r="FM99" i="12"/>
  <c r="FN99" i="12"/>
  <c r="FO99" i="12"/>
  <c r="FP99" i="12"/>
  <c r="FQ99" i="12"/>
  <c r="FR99" i="12"/>
  <c r="FS99" i="12"/>
  <c r="FT99" i="12"/>
  <c r="FU99" i="12"/>
  <c r="FV99" i="12"/>
  <c r="FW99" i="12"/>
  <c r="FX99" i="12"/>
  <c r="FY99" i="12"/>
  <c r="FZ99" i="12"/>
  <c r="GA99" i="12"/>
  <c r="GB99" i="12"/>
  <c r="GC99" i="12"/>
  <c r="GD99" i="12"/>
  <c r="GE99" i="12"/>
  <c r="GF99" i="12"/>
  <c r="GG99" i="12"/>
  <c r="GH99" i="12"/>
  <c r="GI99" i="12"/>
  <c r="GJ99" i="12"/>
  <c r="GK99" i="12"/>
  <c r="GL99" i="12"/>
  <c r="GM99" i="12"/>
  <c r="GN99" i="12"/>
  <c r="GO99" i="12"/>
  <c r="GP99" i="12"/>
  <c r="GQ99" i="12"/>
  <c r="GR99" i="12"/>
  <c r="GS99" i="12"/>
  <c r="GT99" i="12"/>
  <c r="GU99" i="12"/>
  <c r="GV99" i="12"/>
  <c r="GW99" i="12"/>
  <c r="GX99" i="12"/>
  <c r="GY99" i="12"/>
  <c r="GZ99" i="12"/>
  <c r="HA99" i="12"/>
  <c r="HB99" i="12"/>
  <c r="HC99" i="12"/>
  <c r="HD99" i="12"/>
  <c r="HE99" i="12"/>
  <c r="HF99" i="12"/>
  <c r="HG99" i="12"/>
  <c r="HH99" i="12"/>
  <c r="HI99" i="12"/>
  <c r="HJ99" i="12"/>
  <c r="HK99" i="12"/>
  <c r="HL99" i="12"/>
  <c r="HM99" i="12"/>
  <c r="HN99" i="12"/>
  <c r="HO99" i="12"/>
  <c r="HP99" i="12"/>
  <c r="HQ99" i="12"/>
  <c r="HR99" i="12"/>
  <c r="HS99" i="12"/>
  <c r="HT99" i="12"/>
  <c r="HU99" i="12"/>
  <c r="HV99" i="12"/>
  <c r="HW99" i="12"/>
  <c r="HX99" i="12"/>
  <c r="HY99" i="12"/>
  <c r="HZ99" i="12"/>
  <c r="IA99" i="12"/>
  <c r="IB99" i="12"/>
  <c r="IC99" i="12"/>
  <c r="ID99" i="12"/>
  <c r="IE99" i="12"/>
  <c r="IF99" i="12"/>
  <c r="IG99" i="12"/>
  <c r="IH99" i="12"/>
  <c r="II99" i="12"/>
  <c r="IJ99" i="12"/>
  <c r="IK99" i="12"/>
  <c r="IL99" i="12"/>
  <c r="IM99" i="12"/>
  <c r="IN99" i="12"/>
  <c r="IO99" i="12"/>
  <c r="IP99" i="12"/>
  <c r="IQ99" i="12"/>
  <c r="IR99" i="12"/>
  <c r="IS99" i="12"/>
  <c r="IT99" i="12"/>
  <c r="IU99" i="12"/>
  <c r="IV99" i="12"/>
  <c r="F100" i="12"/>
  <c r="G100" i="12"/>
  <c r="H100" i="12"/>
  <c r="I100" i="12"/>
  <c r="J100" i="12"/>
  <c r="K100" i="12"/>
  <c r="L100" i="12"/>
  <c r="M100" i="12"/>
  <c r="N100" i="12"/>
  <c r="O100" i="12"/>
  <c r="P100" i="12"/>
  <c r="Q100" i="12"/>
  <c r="R100" i="12"/>
  <c r="S100" i="12"/>
  <c r="T100" i="12"/>
  <c r="U100" i="12"/>
  <c r="V100" i="12"/>
  <c r="W100" i="12"/>
  <c r="X100" i="12"/>
  <c r="Y100" i="12"/>
  <c r="Z100" i="12"/>
  <c r="AA100" i="12"/>
  <c r="AB100" i="12"/>
  <c r="AC100" i="12"/>
  <c r="AD100" i="12"/>
  <c r="AE100" i="12"/>
  <c r="AF100" i="12"/>
  <c r="AG100" i="12"/>
  <c r="AH100" i="12"/>
  <c r="AI100" i="12"/>
  <c r="AJ100" i="12"/>
  <c r="AK100" i="12"/>
  <c r="AL100" i="12"/>
  <c r="AM100" i="12"/>
  <c r="AN100" i="12"/>
  <c r="AO100" i="12"/>
  <c r="AP100" i="12"/>
  <c r="AQ100" i="12"/>
  <c r="AR100" i="12"/>
  <c r="AS100" i="12"/>
  <c r="AT100" i="12"/>
  <c r="AU100" i="12"/>
  <c r="AV100" i="12"/>
  <c r="AW100" i="12"/>
  <c r="AX100" i="12"/>
  <c r="AY100" i="12"/>
  <c r="AZ100" i="12"/>
  <c r="BA100" i="12"/>
  <c r="BB100" i="12"/>
  <c r="BC100" i="12"/>
  <c r="BD100" i="12"/>
  <c r="BE100" i="12"/>
  <c r="BF100" i="12"/>
  <c r="BG100" i="12"/>
  <c r="BH100" i="12"/>
  <c r="BI100" i="12"/>
  <c r="BJ100" i="12"/>
  <c r="BK100" i="12"/>
  <c r="BL100" i="12"/>
  <c r="BM100" i="12"/>
  <c r="BN100" i="12"/>
  <c r="BO100" i="12"/>
  <c r="BP100" i="12"/>
  <c r="BQ100" i="12"/>
  <c r="BR100" i="12"/>
  <c r="BS100" i="12"/>
  <c r="BT100" i="12"/>
  <c r="BU100" i="12"/>
  <c r="BV100" i="12"/>
  <c r="BW100" i="12"/>
  <c r="BX100" i="12"/>
  <c r="BY100" i="12"/>
  <c r="BZ100" i="12"/>
  <c r="CA100" i="12"/>
  <c r="CB100" i="12"/>
  <c r="CC100" i="12"/>
  <c r="CD100" i="12"/>
  <c r="CE100" i="12"/>
  <c r="CF100" i="12"/>
  <c r="CG100" i="12"/>
  <c r="CH100" i="12"/>
  <c r="CI100" i="12"/>
  <c r="CJ100" i="12"/>
  <c r="CK100" i="12"/>
  <c r="CL100" i="12"/>
  <c r="CM100" i="12"/>
  <c r="CN100" i="12"/>
  <c r="CO100" i="12"/>
  <c r="CP100" i="12"/>
  <c r="CQ100" i="12"/>
  <c r="CR100" i="12"/>
  <c r="CS100" i="12"/>
  <c r="CT100" i="12"/>
  <c r="CU100" i="12"/>
  <c r="CV100" i="12"/>
  <c r="CW100" i="12"/>
  <c r="CX100" i="12"/>
  <c r="CY100" i="12"/>
  <c r="CZ100" i="12"/>
  <c r="DA100" i="12"/>
  <c r="DB100" i="12"/>
  <c r="DC100" i="12"/>
  <c r="DD100" i="12"/>
  <c r="DE100" i="12"/>
  <c r="DF100" i="12"/>
  <c r="DG100" i="12"/>
  <c r="DH100" i="12"/>
  <c r="DI100" i="12"/>
  <c r="DJ100" i="12"/>
  <c r="DK100" i="12"/>
  <c r="DL100" i="12"/>
  <c r="DM100" i="12"/>
  <c r="DN100" i="12"/>
  <c r="DO100" i="12"/>
  <c r="DP100" i="12"/>
  <c r="DQ100" i="12"/>
  <c r="DR100" i="12"/>
  <c r="DS100" i="12"/>
  <c r="DT100" i="12"/>
  <c r="DU100" i="12"/>
  <c r="DV100" i="12"/>
  <c r="DW100" i="12"/>
  <c r="DX100" i="12"/>
  <c r="DY100" i="12"/>
  <c r="DZ100" i="12"/>
  <c r="EA100" i="12"/>
  <c r="EB100" i="12"/>
  <c r="EC100" i="12"/>
  <c r="ED100" i="12"/>
  <c r="EE100" i="12"/>
  <c r="EF100" i="12"/>
  <c r="EG100" i="12"/>
  <c r="EH100" i="12"/>
  <c r="EI100" i="12"/>
  <c r="EJ100" i="12"/>
  <c r="EK100" i="12"/>
  <c r="EL100" i="12"/>
  <c r="EM100" i="12"/>
  <c r="EN100" i="12"/>
  <c r="EO100" i="12"/>
  <c r="EP100" i="12"/>
  <c r="EQ100" i="12"/>
  <c r="ER100" i="12"/>
  <c r="ES100" i="12"/>
  <c r="ET100" i="12"/>
  <c r="EU100" i="12"/>
  <c r="EV100" i="12"/>
  <c r="EW100" i="12"/>
  <c r="EX100" i="12"/>
  <c r="EY100" i="12"/>
  <c r="EZ100" i="12"/>
  <c r="FA100" i="12"/>
  <c r="FB100" i="12"/>
  <c r="FC100" i="12"/>
  <c r="FD100" i="12"/>
  <c r="FE100" i="12"/>
  <c r="FF100" i="12"/>
  <c r="FG100" i="12"/>
  <c r="FH100" i="12"/>
  <c r="FI100" i="12"/>
  <c r="FJ100" i="12"/>
  <c r="FK100" i="12"/>
  <c r="FL100" i="12"/>
  <c r="FM100" i="12"/>
  <c r="FN100" i="12"/>
  <c r="FO100" i="12"/>
  <c r="FP100" i="12"/>
  <c r="FQ100" i="12"/>
  <c r="FR100" i="12"/>
  <c r="FS100" i="12"/>
  <c r="FT100" i="12"/>
  <c r="FU100" i="12"/>
  <c r="FV100" i="12"/>
  <c r="FW100" i="12"/>
  <c r="FX100" i="12"/>
  <c r="FY100" i="12"/>
  <c r="FZ100" i="12"/>
  <c r="GA100" i="12"/>
  <c r="GB100" i="12"/>
  <c r="GC100" i="12"/>
  <c r="GD100" i="12"/>
  <c r="GE100" i="12"/>
  <c r="GF100" i="12"/>
  <c r="GG100" i="12"/>
  <c r="GH100" i="12"/>
  <c r="GI100" i="12"/>
  <c r="GJ100" i="12"/>
  <c r="GK100" i="12"/>
  <c r="GL100" i="12"/>
  <c r="GM100" i="12"/>
  <c r="GN100" i="12"/>
  <c r="GO100" i="12"/>
  <c r="GP100" i="12"/>
  <c r="GQ100" i="12"/>
  <c r="GR100" i="12"/>
  <c r="GS100" i="12"/>
  <c r="GT100" i="12"/>
  <c r="GU100" i="12"/>
  <c r="GV100" i="12"/>
  <c r="GW100" i="12"/>
  <c r="GX100" i="12"/>
  <c r="GY100" i="12"/>
  <c r="GZ100" i="12"/>
  <c r="HA100" i="12"/>
  <c r="HB100" i="12"/>
  <c r="HC100" i="12"/>
  <c r="HD100" i="12"/>
  <c r="HE100" i="12"/>
  <c r="HF100" i="12"/>
  <c r="HG100" i="12"/>
  <c r="HH100" i="12"/>
  <c r="HI100" i="12"/>
  <c r="HJ100" i="12"/>
  <c r="HK100" i="12"/>
  <c r="HL100" i="12"/>
  <c r="HM100" i="12"/>
  <c r="HN100" i="12"/>
  <c r="HO100" i="12"/>
  <c r="HP100" i="12"/>
  <c r="HQ100" i="12"/>
  <c r="HR100" i="12"/>
  <c r="HS100" i="12"/>
  <c r="HT100" i="12"/>
  <c r="HU100" i="12"/>
  <c r="HV100" i="12"/>
  <c r="HW100" i="12"/>
  <c r="HX100" i="12"/>
  <c r="HY100" i="12"/>
  <c r="HZ100" i="12"/>
  <c r="IA100" i="12"/>
  <c r="IB100" i="12"/>
  <c r="IC100" i="12"/>
  <c r="ID100" i="12"/>
  <c r="IE100" i="12"/>
  <c r="IF100" i="12"/>
  <c r="IG100" i="12"/>
  <c r="IH100" i="12"/>
  <c r="II100" i="12"/>
  <c r="IJ100" i="12"/>
  <c r="IK100" i="12"/>
  <c r="IL100" i="12"/>
  <c r="IM100" i="12"/>
  <c r="IN100" i="12"/>
  <c r="IO100" i="12"/>
  <c r="IP100" i="12"/>
  <c r="IQ100" i="12"/>
  <c r="IR100" i="12"/>
  <c r="IS100" i="12"/>
  <c r="IT100" i="12"/>
  <c r="IU100" i="12"/>
  <c r="IV100" i="12"/>
  <c r="F101" i="12"/>
  <c r="G101" i="12"/>
  <c r="H101" i="12"/>
  <c r="I101" i="12"/>
  <c r="J101" i="12"/>
  <c r="K101" i="12"/>
  <c r="L101" i="12"/>
  <c r="M101" i="12"/>
  <c r="N101" i="12"/>
  <c r="O101" i="12"/>
  <c r="P101" i="12"/>
  <c r="Q101" i="12"/>
  <c r="R101" i="12"/>
  <c r="S101" i="12"/>
  <c r="T101" i="12"/>
  <c r="U101" i="12"/>
  <c r="V101" i="12"/>
  <c r="W101" i="12"/>
  <c r="X101" i="12"/>
  <c r="Y101" i="12"/>
  <c r="Z101" i="12"/>
  <c r="AA101" i="12"/>
  <c r="AB101" i="12"/>
  <c r="AC101" i="12"/>
  <c r="AD101" i="12"/>
  <c r="AE101" i="12"/>
  <c r="AF101" i="12"/>
  <c r="AG101" i="12"/>
  <c r="AH101" i="12"/>
  <c r="AI101" i="12"/>
  <c r="AJ101" i="12"/>
  <c r="AK101" i="12"/>
  <c r="AL101" i="12"/>
  <c r="AM101" i="12"/>
  <c r="AN101" i="12"/>
  <c r="AO101" i="12"/>
  <c r="AP101" i="12"/>
  <c r="AQ101" i="12"/>
  <c r="AR101" i="12"/>
  <c r="AS101" i="12"/>
  <c r="AT101" i="12"/>
  <c r="AU101" i="12"/>
  <c r="AV101" i="12"/>
  <c r="AW101" i="12"/>
  <c r="AX101" i="12"/>
  <c r="AY101" i="12"/>
  <c r="AZ101" i="12"/>
  <c r="BA101" i="12"/>
  <c r="BB101" i="12"/>
  <c r="BC101" i="12"/>
  <c r="BD101" i="12"/>
  <c r="BE101" i="12"/>
  <c r="BF101" i="12"/>
  <c r="BG101" i="12"/>
  <c r="BH101" i="12"/>
  <c r="BI101" i="12"/>
  <c r="BJ101" i="12"/>
  <c r="BK101" i="12"/>
  <c r="BL101" i="12"/>
  <c r="BM101" i="12"/>
  <c r="BN101" i="12"/>
  <c r="BO101" i="12"/>
  <c r="BP101" i="12"/>
  <c r="BQ101" i="12"/>
  <c r="BR101" i="12"/>
  <c r="BS101" i="12"/>
  <c r="BT101" i="12"/>
  <c r="BU101" i="12"/>
  <c r="BV101" i="12"/>
  <c r="BW101" i="12"/>
  <c r="BX101" i="12"/>
  <c r="BY101" i="12"/>
  <c r="BZ101" i="12"/>
  <c r="CA101" i="12"/>
  <c r="CB101" i="12"/>
  <c r="CC101" i="12"/>
  <c r="CD101" i="12"/>
  <c r="CE101" i="12"/>
  <c r="CF101" i="12"/>
  <c r="CG101" i="12"/>
  <c r="CH101" i="12"/>
  <c r="CI101" i="12"/>
  <c r="CJ101" i="12"/>
  <c r="CK101" i="12"/>
  <c r="CL101" i="12"/>
  <c r="CM101" i="12"/>
  <c r="CN101" i="12"/>
  <c r="CO101" i="12"/>
  <c r="CP101" i="12"/>
  <c r="CQ101" i="12"/>
  <c r="CR101" i="12"/>
  <c r="CS101" i="12"/>
  <c r="CT101" i="12"/>
  <c r="CU101" i="12"/>
  <c r="CV101" i="12"/>
  <c r="CW101" i="12"/>
  <c r="CX101" i="12"/>
  <c r="CY101" i="12"/>
  <c r="CZ101" i="12"/>
  <c r="DA101" i="12"/>
  <c r="DB101" i="12"/>
  <c r="DC101" i="12"/>
  <c r="DD101" i="12"/>
  <c r="DE101" i="12"/>
  <c r="DF101" i="12"/>
  <c r="DG101" i="12"/>
  <c r="DH101" i="12"/>
  <c r="DI101" i="12"/>
  <c r="DJ101" i="12"/>
  <c r="DK101" i="12"/>
  <c r="DL101" i="12"/>
  <c r="DM101" i="12"/>
  <c r="DN101" i="12"/>
  <c r="DO101" i="12"/>
  <c r="DP101" i="12"/>
  <c r="DQ101" i="12"/>
  <c r="DR101" i="12"/>
  <c r="DS101" i="12"/>
  <c r="DT101" i="12"/>
  <c r="DU101" i="12"/>
  <c r="DV101" i="12"/>
  <c r="DW101" i="12"/>
  <c r="DX101" i="12"/>
  <c r="DY101" i="12"/>
  <c r="DZ101" i="12"/>
  <c r="EA101" i="12"/>
  <c r="EB101" i="12"/>
  <c r="EC101" i="12"/>
  <c r="ED101" i="12"/>
  <c r="EE101" i="12"/>
  <c r="EF101" i="12"/>
  <c r="EG101" i="12"/>
  <c r="EH101" i="12"/>
  <c r="EI101" i="12"/>
  <c r="EJ101" i="12"/>
  <c r="EK101" i="12"/>
  <c r="EL101" i="12"/>
  <c r="EM101" i="12"/>
  <c r="EN101" i="12"/>
  <c r="EO101" i="12"/>
  <c r="EP101" i="12"/>
  <c r="EQ101" i="12"/>
  <c r="ER101" i="12"/>
  <c r="ES101" i="12"/>
  <c r="ET101" i="12"/>
  <c r="EU101" i="12"/>
  <c r="EV101" i="12"/>
  <c r="EW101" i="12"/>
  <c r="EX101" i="12"/>
  <c r="EY101" i="12"/>
  <c r="EZ101" i="12"/>
  <c r="FA101" i="12"/>
  <c r="FB101" i="12"/>
  <c r="FC101" i="12"/>
  <c r="FD101" i="12"/>
  <c r="FE101" i="12"/>
  <c r="FF101" i="12"/>
  <c r="FG101" i="12"/>
  <c r="FH101" i="12"/>
  <c r="FI101" i="12"/>
  <c r="FJ101" i="12"/>
  <c r="FK101" i="12"/>
  <c r="FL101" i="12"/>
  <c r="FM101" i="12"/>
  <c r="FN101" i="12"/>
  <c r="FO101" i="12"/>
  <c r="FP101" i="12"/>
  <c r="FQ101" i="12"/>
  <c r="FR101" i="12"/>
  <c r="FS101" i="12"/>
  <c r="FT101" i="12"/>
  <c r="FU101" i="12"/>
  <c r="FV101" i="12"/>
  <c r="FW101" i="12"/>
  <c r="FX101" i="12"/>
  <c r="FY101" i="12"/>
  <c r="FZ101" i="12"/>
  <c r="GA101" i="12"/>
  <c r="GB101" i="12"/>
  <c r="GC101" i="12"/>
  <c r="GD101" i="12"/>
  <c r="GE101" i="12"/>
  <c r="GF101" i="12"/>
  <c r="GG101" i="12"/>
  <c r="GH101" i="12"/>
  <c r="GI101" i="12"/>
  <c r="GJ101" i="12"/>
  <c r="GK101" i="12"/>
  <c r="GL101" i="12"/>
  <c r="GM101" i="12"/>
  <c r="GN101" i="12"/>
  <c r="GO101" i="12"/>
  <c r="GP101" i="12"/>
  <c r="GQ101" i="12"/>
  <c r="GR101" i="12"/>
  <c r="GS101" i="12"/>
  <c r="GT101" i="12"/>
  <c r="GU101" i="12"/>
  <c r="GV101" i="12"/>
  <c r="GW101" i="12"/>
  <c r="GX101" i="12"/>
  <c r="GY101" i="12"/>
  <c r="GZ101" i="12"/>
  <c r="HA101" i="12"/>
  <c r="HB101" i="12"/>
  <c r="HC101" i="12"/>
  <c r="HD101" i="12"/>
  <c r="HE101" i="12"/>
  <c r="HF101" i="12"/>
  <c r="HG101" i="12"/>
  <c r="HH101" i="12"/>
  <c r="HI101" i="12"/>
  <c r="HJ101" i="12"/>
  <c r="HK101" i="12"/>
  <c r="HL101" i="12"/>
  <c r="HM101" i="12"/>
  <c r="HN101" i="12"/>
  <c r="HO101" i="12"/>
  <c r="HP101" i="12"/>
  <c r="HQ101" i="12"/>
  <c r="HR101" i="12"/>
  <c r="HS101" i="12"/>
  <c r="HT101" i="12"/>
  <c r="HU101" i="12"/>
  <c r="HV101" i="12"/>
  <c r="HW101" i="12"/>
  <c r="HX101" i="12"/>
  <c r="HY101" i="12"/>
  <c r="HZ101" i="12"/>
  <c r="IA101" i="12"/>
  <c r="IB101" i="12"/>
  <c r="IC101" i="12"/>
  <c r="ID101" i="12"/>
  <c r="IE101" i="12"/>
  <c r="IF101" i="12"/>
  <c r="IG101" i="12"/>
  <c r="IH101" i="12"/>
  <c r="II101" i="12"/>
  <c r="IJ101" i="12"/>
  <c r="IK101" i="12"/>
  <c r="IL101" i="12"/>
  <c r="IM101" i="12"/>
  <c r="IN101" i="12"/>
  <c r="IO101" i="12"/>
  <c r="IP101" i="12"/>
  <c r="IQ101" i="12"/>
  <c r="IR101" i="12"/>
  <c r="IS101" i="12"/>
  <c r="IT101" i="12"/>
  <c r="IU101" i="12"/>
  <c r="IV101" i="12"/>
  <c r="F102" i="12"/>
  <c r="G102" i="12"/>
  <c r="H102" i="12"/>
  <c r="I102" i="12"/>
  <c r="J102" i="12"/>
  <c r="K102" i="12"/>
  <c r="L102" i="12"/>
  <c r="M102" i="12"/>
  <c r="N102" i="12"/>
  <c r="O102" i="12"/>
  <c r="P102" i="12"/>
  <c r="Q102" i="12"/>
  <c r="R102" i="12"/>
  <c r="S102" i="12"/>
  <c r="T102" i="12"/>
  <c r="U102" i="12"/>
  <c r="V102" i="12"/>
  <c r="W102" i="12"/>
  <c r="X102" i="12"/>
  <c r="Y102" i="12"/>
  <c r="Z102" i="12"/>
  <c r="AA102" i="12"/>
  <c r="AB102" i="12"/>
  <c r="AC102" i="12"/>
  <c r="AD102" i="12"/>
  <c r="AE102" i="12"/>
  <c r="AF102" i="12"/>
  <c r="AG102" i="12"/>
  <c r="AH102" i="12"/>
  <c r="AI102" i="12"/>
  <c r="AJ102" i="12"/>
  <c r="AK102" i="12"/>
  <c r="AL102" i="12"/>
  <c r="AM102" i="12"/>
  <c r="AN102" i="12"/>
  <c r="AO102" i="12"/>
  <c r="AP102" i="12"/>
  <c r="AQ102" i="12"/>
  <c r="AR102" i="12"/>
  <c r="AS102" i="12"/>
  <c r="AT102" i="12"/>
  <c r="AU102" i="12"/>
  <c r="AV102" i="12"/>
  <c r="AW102" i="12"/>
  <c r="AX102" i="12"/>
  <c r="AY102" i="12"/>
  <c r="AZ102" i="12"/>
  <c r="BA102" i="12"/>
  <c r="BB102" i="12"/>
  <c r="BC102" i="12"/>
  <c r="BD102" i="12"/>
  <c r="BE102" i="12"/>
  <c r="BF102" i="12"/>
  <c r="BG102" i="12"/>
  <c r="BH102" i="12"/>
  <c r="BI102" i="12"/>
  <c r="BJ102" i="12"/>
  <c r="BK102" i="12"/>
  <c r="BL102" i="12"/>
  <c r="BM102" i="12"/>
  <c r="BN102" i="12"/>
  <c r="BO102" i="12"/>
  <c r="BP102" i="12"/>
  <c r="BQ102" i="12"/>
  <c r="BR102" i="12"/>
  <c r="BS102" i="12"/>
  <c r="BT102" i="12"/>
  <c r="BU102" i="12"/>
  <c r="BV102" i="12"/>
  <c r="BW102" i="12"/>
  <c r="BX102" i="12"/>
  <c r="BY102" i="12"/>
  <c r="BZ102" i="12"/>
  <c r="CA102" i="12"/>
  <c r="CB102" i="12"/>
  <c r="CC102" i="12"/>
  <c r="CD102" i="12"/>
  <c r="CE102" i="12"/>
  <c r="CF102" i="12"/>
  <c r="CG102" i="12"/>
  <c r="CH102" i="12"/>
  <c r="CI102" i="12"/>
  <c r="CJ102" i="12"/>
  <c r="CK102" i="12"/>
  <c r="CL102" i="12"/>
  <c r="CM102" i="12"/>
  <c r="CN102" i="12"/>
  <c r="CO102" i="12"/>
  <c r="CP102" i="12"/>
  <c r="CQ102" i="12"/>
  <c r="CR102" i="12"/>
  <c r="CS102" i="12"/>
  <c r="CT102" i="12"/>
  <c r="CU102" i="12"/>
  <c r="CV102" i="12"/>
  <c r="CW102" i="12"/>
  <c r="CX102" i="12"/>
  <c r="CY102" i="12"/>
  <c r="CZ102" i="12"/>
  <c r="DA102" i="12"/>
  <c r="DB102" i="12"/>
  <c r="DC102" i="12"/>
  <c r="DD102" i="12"/>
  <c r="DE102" i="12"/>
  <c r="DF102" i="12"/>
  <c r="DG102" i="12"/>
  <c r="DH102" i="12"/>
  <c r="DI102" i="12"/>
  <c r="DJ102" i="12"/>
  <c r="DK102" i="12"/>
  <c r="DL102" i="12"/>
  <c r="DM102" i="12"/>
  <c r="DN102" i="12"/>
  <c r="DO102" i="12"/>
  <c r="DP102" i="12"/>
  <c r="DQ102" i="12"/>
  <c r="DR102" i="12"/>
  <c r="DS102" i="12"/>
  <c r="DT102" i="12"/>
  <c r="DU102" i="12"/>
  <c r="DV102" i="12"/>
  <c r="DW102" i="12"/>
  <c r="DX102" i="12"/>
  <c r="DY102" i="12"/>
  <c r="DZ102" i="12"/>
  <c r="EA102" i="12"/>
  <c r="EB102" i="12"/>
  <c r="EC102" i="12"/>
  <c r="ED102" i="12"/>
  <c r="EE102" i="12"/>
  <c r="EF102" i="12"/>
  <c r="EG102" i="12"/>
  <c r="EH102" i="12"/>
  <c r="EI102" i="12"/>
  <c r="EJ102" i="12"/>
  <c r="EK102" i="12"/>
  <c r="EL102" i="12"/>
  <c r="EM102" i="12"/>
  <c r="EN102" i="12"/>
  <c r="EO102" i="12"/>
  <c r="EP102" i="12"/>
  <c r="EQ102" i="12"/>
  <c r="ER102" i="12"/>
  <c r="ES102" i="12"/>
  <c r="ET102" i="12"/>
  <c r="EU102" i="12"/>
  <c r="EV102" i="12"/>
  <c r="EW102" i="12"/>
  <c r="EX102" i="12"/>
  <c r="EY102" i="12"/>
  <c r="EZ102" i="12"/>
  <c r="FA102" i="12"/>
  <c r="FB102" i="12"/>
  <c r="FC102" i="12"/>
  <c r="FD102" i="12"/>
  <c r="FE102" i="12"/>
  <c r="FF102" i="12"/>
  <c r="FG102" i="12"/>
  <c r="FH102" i="12"/>
  <c r="FI102" i="12"/>
  <c r="FJ102" i="12"/>
  <c r="FK102" i="12"/>
  <c r="FL102" i="12"/>
  <c r="FM102" i="12"/>
  <c r="FN102" i="12"/>
  <c r="FO102" i="12"/>
  <c r="FP102" i="12"/>
  <c r="FQ102" i="12"/>
  <c r="FR102" i="12"/>
  <c r="FS102" i="12"/>
  <c r="FT102" i="12"/>
  <c r="FU102" i="12"/>
  <c r="FV102" i="12"/>
  <c r="FW102" i="12"/>
  <c r="FX102" i="12"/>
  <c r="FY102" i="12"/>
  <c r="FZ102" i="12"/>
  <c r="GA102" i="12"/>
  <c r="GB102" i="12"/>
  <c r="GC102" i="12"/>
  <c r="GD102" i="12"/>
  <c r="GE102" i="12"/>
  <c r="GF102" i="12"/>
  <c r="GG102" i="12"/>
  <c r="GH102" i="12"/>
  <c r="GI102" i="12"/>
  <c r="GJ102" i="12"/>
  <c r="GK102" i="12"/>
  <c r="GL102" i="12"/>
  <c r="GM102" i="12"/>
  <c r="GN102" i="12"/>
  <c r="GO102" i="12"/>
  <c r="GP102" i="12"/>
  <c r="GQ102" i="12"/>
  <c r="GR102" i="12"/>
  <c r="GS102" i="12"/>
  <c r="GT102" i="12"/>
  <c r="GU102" i="12"/>
  <c r="GV102" i="12"/>
  <c r="GW102" i="12"/>
  <c r="GX102" i="12"/>
  <c r="GY102" i="12"/>
  <c r="GZ102" i="12"/>
  <c r="HA102" i="12"/>
  <c r="HB102" i="12"/>
  <c r="HC102" i="12"/>
  <c r="HD102" i="12"/>
  <c r="HE102" i="12"/>
  <c r="HF102" i="12"/>
  <c r="HG102" i="12"/>
  <c r="HH102" i="12"/>
  <c r="HI102" i="12"/>
  <c r="HJ102" i="12"/>
  <c r="HK102" i="12"/>
  <c r="HL102" i="12"/>
  <c r="HM102" i="12"/>
  <c r="HN102" i="12"/>
  <c r="HO102" i="12"/>
  <c r="HP102" i="12"/>
  <c r="HQ102" i="12"/>
  <c r="HR102" i="12"/>
  <c r="HS102" i="12"/>
  <c r="HT102" i="12"/>
  <c r="HU102" i="12"/>
  <c r="HV102" i="12"/>
  <c r="HW102" i="12"/>
  <c r="HX102" i="12"/>
  <c r="HY102" i="12"/>
  <c r="HZ102" i="12"/>
  <c r="IA102" i="12"/>
  <c r="IB102" i="12"/>
  <c r="IC102" i="12"/>
  <c r="ID102" i="12"/>
  <c r="IE102" i="12"/>
  <c r="IF102" i="12"/>
  <c r="IG102" i="12"/>
  <c r="IH102" i="12"/>
  <c r="II102" i="12"/>
  <c r="IJ102" i="12"/>
  <c r="IK102" i="12"/>
  <c r="IL102" i="12"/>
  <c r="IM102" i="12"/>
  <c r="IN102" i="12"/>
  <c r="IO102" i="12"/>
  <c r="IP102" i="12"/>
  <c r="IQ102" i="12"/>
  <c r="IR102" i="12"/>
  <c r="IS102" i="12"/>
  <c r="IT102" i="12"/>
  <c r="IU102" i="12"/>
  <c r="IV102" i="12"/>
  <c r="F103" i="12"/>
  <c r="G103" i="12"/>
  <c r="H103" i="12"/>
  <c r="I103" i="12"/>
  <c r="J103" i="12"/>
  <c r="K103" i="12"/>
  <c r="L103" i="12"/>
  <c r="M103" i="12"/>
  <c r="N103" i="12"/>
  <c r="O103" i="12"/>
  <c r="P103" i="12"/>
  <c r="Q103" i="12"/>
  <c r="R103" i="12"/>
  <c r="S103" i="12"/>
  <c r="T103" i="12"/>
  <c r="U103" i="12"/>
  <c r="V103" i="12"/>
  <c r="W103" i="12"/>
  <c r="X103" i="12"/>
  <c r="Y103" i="12"/>
  <c r="Z103" i="12"/>
  <c r="AA103" i="12"/>
  <c r="AB103" i="12"/>
  <c r="AC103" i="12"/>
  <c r="AD103" i="12"/>
  <c r="AE103" i="12"/>
  <c r="AF103" i="12"/>
  <c r="AG103" i="12"/>
  <c r="AH103" i="12"/>
  <c r="AI103" i="12"/>
  <c r="AJ103" i="12"/>
  <c r="AK103" i="12"/>
  <c r="AL103" i="12"/>
  <c r="AM103" i="12"/>
  <c r="AN103" i="12"/>
  <c r="AO103" i="12"/>
  <c r="AP103" i="12"/>
  <c r="AQ103" i="12"/>
  <c r="AR103" i="12"/>
  <c r="AS103" i="12"/>
  <c r="AT103" i="12"/>
  <c r="AU103" i="12"/>
  <c r="AV103" i="12"/>
  <c r="AW103" i="12"/>
  <c r="AX103" i="12"/>
  <c r="AY103" i="12"/>
  <c r="AZ103" i="12"/>
  <c r="BA103" i="12"/>
  <c r="BB103" i="12"/>
  <c r="BC103" i="12"/>
  <c r="BD103" i="12"/>
  <c r="BE103" i="12"/>
  <c r="BF103" i="12"/>
  <c r="BG103" i="12"/>
  <c r="BH103" i="12"/>
  <c r="BI103" i="12"/>
  <c r="BJ103" i="12"/>
  <c r="BK103" i="12"/>
  <c r="BL103" i="12"/>
  <c r="BM103" i="12"/>
  <c r="BN103" i="12"/>
  <c r="BO103" i="12"/>
  <c r="BP103" i="12"/>
  <c r="BQ103" i="12"/>
  <c r="BR103" i="12"/>
  <c r="BS103" i="12"/>
  <c r="BT103" i="12"/>
  <c r="BU103" i="12"/>
  <c r="BV103" i="12"/>
  <c r="BW103" i="12"/>
  <c r="BX103" i="12"/>
  <c r="BY103" i="12"/>
  <c r="BZ103" i="12"/>
  <c r="CA103" i="12"/>
  <c r="CB103" i="12"/>
  <c r="CC103" i="12"/>
  <c r="CD103" i="12"/>
  <c r="CE103" i="12"/>
  <c r="CF103" i="12"/>
  <c r="CG103" i="12"/>
  <c r="CH103" i="12"/>
  <c r="CI103" i="12"/>
  <c r="CJ103" i="12"/>
  <c r="CK103" i="12"/>
  <c r="CL103" i="12"/>
  <c r="CM103" i="12"/>
  <c r="CN103" i="12"/>
  <c r="CO103" i="12"/>
  <c r="CP103" i="12"/>
  <c r="CQ103" i="12"/>
  <c r="CR103" i="12"/>
  <c r="CS103" i="12"/>
  <c r="CT103" i="12"/>
  <c r="CU103" i="12"/>
  <c r="CV103" i="12"/>
  <c r="CW103" i="12"/>
  <c r="CX103" i="12"/>
  <c r="CY103" i="12"/>
  <c r="CZ103" i="12"/>
  <c r="DA103" i="12"/>
  <c r="DB103" i="12"/>
  <c r="DC103" i="12"/>
  <c r="DD103" i="12"/>
  <c r="DE103" i="12"/>
  <c r="DF103" i="12"/>
  <c r="DG103" i="12"/>
  <c r="DH103" i="12"/>
  <c r="DI103" i="12"/>
  <c r="DJ103" i="12"/>
  <c r="DK103" i="12"/>
  <c r="DL103" i="12"/>
  <c r="DM103" i="12"/>
  <c r="DN103" i="12"/>
  <c r="DO103" i="12"/>
  <c r="DP103" i="12"/>
  <c r="DQ103" i="12"/>
  <c r="DR103" i="12"/>
  <c r="DS103" i="12"/>
  <c r="DT103" i="12"/>
  <c r="DU103" i="12"/>
  <c r="DV103" i="12"/>
  <c r="DW103" i="12"/>
  <c r="DX103" i="12"/>
  <c r="DY103" i="12"/>
  <c r="DZ103" i="12"/>
  <c r="EA103" i="12"/>
  <c r="EB103" i="12"/>
  <c r="EC103" i="12"/>
  <c r="ED103" i="12"/>
  <c r="EE103" i="12"/>
  <c r="EF103" i="12"/>
  <c r="EG103" i="12"/>
  <c r="EH103" i="12"/>
  <c r="EI103" i="12"/>
  <c r="EJ103" i="12"/>
  <c r="EK103" i="12"/>
  <c r="EL103" i="12"/>
  <c r="EM103" i="12"/>
  <c r="EN103" i="12"/>
  <c r="EO103" i="12"/>
  <c r="EP103" i="12"/>
  <c r="EQ103" i="12"/>
  <c r="ER103" i="12"/>
  <c r="ES103" i="12"/>
  <c r="ET103" i="12"/>
  <c r="EU103" i="12"/>
  <c r="EV103" i="12"/>
  <c r="EW103" i="12"/>
  <c r="EX103" i="12"/>
  <c r="EY103" i="12"/>
  <c r="EZ103" i="12"/>
  <c r="FA103" i="12"/>
  <c r="FB103" i="12"/>
  <c r="FC103" i="12"/>
  <c r="FD103" i="12"/>
  <c r="FE103" i="12"/>
  <c r="FF103" i="12"/>
  <c r="FG103" i="12"/>
  <c r="FH103" i="12"/>
  <c r="FI103" i="12"/>
  <c r="FJ103" i="12"/>
  <c r="FK103" i="12"/>
  <c r="FL103" i="12"/>
  <c r="FM103" i="12"/>
  <c r="FN103" i="12"/>
  <c r="FO103" i="12"/>
  <c r="FP103" i="12"/>
  <c r="FQ103" i="12"/>
  <c r="FR103" i="12"/>
  <c r="FS103" i="12"/>
  <c r="FT103" i="12"/>
  <c r="FU103" i="12"/>
  <c r="FV103" i="12"/>
  <c r="FW103" i="12"/>
  <c r="FX103" i="12"/>
  <c r="FY103" i="12"/>
  <c r="FZ103" i="12"/>
  <c r="GA103" i="12"/>
  <c r="GB103" i="12"/>
  <c r="GC103" i="12"/>
  <c r="GD103" i="12"/>
  <c r="GE103" i="12"/>
  <c r="GF103" i="12"/>
  <c r="GG103" i="12"/>
  <c r="GH103" i="12"/>
  <c r="GI103" i="12"/>
  <c r="GJ103" i="12"/>
  <c r="GK103" i="12"/>
  <c r="GL103" i="12"/>
  <c r="GM103" i="12"/>
  <c r="GN103" i="12"/>
  <c r="GO103" i="12"/>
  <c r="GP103" i="12"/>
  <c r="GQ103" i="12"/>
  <c r="GR103" i="12"/>
  <c r="GS103" i="12"/>
  <c r="GT103" i="12"/>
  <c r="GU103" i="12"/>
  <c r="GV103" i="12"/>
  <c r="GW103" i="12"/>
  <c r="GX103" i="12"/>
  <c r="GY103" i="12"/>
  <c r="GZ103" i="12"/>
  <c r="HA103" i="12"/>
  <c r="HB103" i="12"/>
  <c r="HC103" i="12"/>
  <c r="HD103" i="12"/>
  <c r="HE103" i="12"/>
  <c r="HF103" i="12"/>
  <c r="HG103" i="12"/>
  <c r="HH103" i="12"/>
  <c r="HI103" i="12"/>
  <c r="HJ103" i="12"/>
  <c r="HK103" i="12"/>
  <c r="HL103" i="12"/>
  <c r="HM103" i="12"/>
  <c r="HN103" i="12"/>
  <c r="HO103" i="12"/>
  <c r="HP103" i="12"/>
  <c r="HQ103" i="12"/>
  <c r="HR103" i="12"/>
  <c r="HS103" i="12"/>
  <c r="HT103" i="12"/>
  <c r="HU103" i="12"/>
  <c r="HV103" i="12"/>
  <c r="HW103" i="12"/>
  <c r="HX103" i="12"/>
  <c r="HY103" i="12"/>
  <c r="HZ103" i="12"/>
  <c r="IA103" i="12"/>
  <c r="IB103" i="12"/>
  <c r="IC103" i="12"/>
  <c r="ID103" i="12"/>
  <c r="IE103" i="12"/>
  <c r="IF103" i="12"/>
  <c r="IG103" i="12"/>
  <c r="IH103" i="12"/>
  <c r="II103" i="12"/>
  <c r="IJ103" i="12"/>
  <c r="IK103" i="12"/>
  <c r="IL103" i="12"/>
  <c r="IM103" i="12"/>
  <c r="IN103" i="12"/>
  <c r="IO103" i="12"/>
  <c r="IP103" i="12"/>
  <c r="IQ103" i="12"/>
  <c r="IR103" i="12"/>
  <c r="IS103" i="12"/>
  <c r="IT103" i="12"/>
  <c r="IU103" i="12"/>
  <c r="IV103" i="12"/>
  <c r="F104" i="12"/>
  <c r="G104" i="12"/>
  <c r="H104" i="12"/>
  <c r="I104" i="12"/>
  <c r="J104" i="12"/>
  <c r="K104" i="12"/>
  <c r="L104" i="12"/>
  <c r="M104" i="12"/>
  <c r="N104" i="12"/>
  <c r="O104" i="12"/>
  <c r="P104" i="12"/>
  <c r="Q104" i="12"/>
  <c r="R104" i="12"/>
  <c r="S104" i="12"/>
  <c r="T104" i="12"/>
  <c r="U104" i="12"/>
  <c r="V104" i="12"/>
  <c r="W104" i="12"/>
  <c r="X104" i="12"/>
  <c r="Y104" i="12"/>
  <c r="Z104" i="12"/>
  <c r="AA104" i="12"/>
  <c r="AB104" i="12"/>
  <c r="AC104" i="12"/>
  <c r="AD104" i="12"/>
  <c r="AE104" i="12"/>
  <c r="AF104" i="12"/>
  <c r="AG104" i="12"/>
  <c r="AH104" i="12"/>
  <c r="AI104" i="12"/>
  <c r="AJ104" i="12"/>
  <c r="AK104" i="12"/>
  <c r="AL104" i="12"/>
  <c r="AM104" i="12"/>
  <c r="AN104" i="12"/>
  <c r="AO104" i="12"/>
  <c r="AP104" i="12"/>
  <c r="AQ104" i="12"/>
  <c r="AR104" i="12"/>
  <c r="AS104" i="12"/>
  <c r="AT104" i="12"/>
  <c r="AU104" i="12"/>
  <c r="AV104" i="12"/>
  <c r="AW104" i="12"/>
  <c r="AX104" i="12"/>
  <c r="AY104" i="12"/>
  <c r="AZ104" i="12"/>
  <c r="BA104" i="12"/>
  <c r="BB104" i="12"/>
  <c r="BC104" i="12"/>
  <c r="BD104" i="12"/>
  <c r="BE104" i="12"/>
  <c r="BF104" i="12"/>
  <c r="BG104" i="12"/>
  <c r="BH104" i="12"/>
  <c r="BI104" i="12"/>
  <c r="BJ104" i="12"/>
  <c r="BK104" i="12"/>
  <c r="BL104" i="12"/>
  <c r="BM104" i="12"/>
  <c r="BN104" i="12"/>
  <c r="BO104" i="12"/>
  <c r="BP104" i="12"/>
  <c r="BQ104" i="12"/>
  <c r="BR104" i="12"/>
  <c r="BS104" i="12"/>
  <c r="BT104" i="12"/>
  <c r="BU104" i="12"/>
  <c r="BV104" i="12"/>
  <c r="BW104" i="12"/>
  <c r="BX104" i="12"/>
  <c r="BY104" i="12"/>
  <c r="BZ104" i="12"/>
  <c r="CA104" i="12"/>
  <c r="CB104" i="12"/>
  <c r="CC104" i="12"/>
  <c r="CD104" i="12"/>
  <c r="CE104" i="12"/>
  <c r="CF104" i="12"/>
  <c r="CG104" i="12"/>
  <c r="CH104" i="12"/>
  <c r="CI104" i="12"/>
  <c r="CJ104" i="12"/>
  <c r="CK104" i="12"/>
  <c r="CL104" i="12"/>
  <c r="CM104" i="12"/>
  <c r="CN104" i="12"/>
  <c r="CO104" i="12"/>
  <c r="CP104" i="12"/>
  <c r="CQ104" i="12"/>
  <c r="CR104" i="12"/>
  <c r="CS104" i="12"/>
  <c r="CT104" i="12"/>
  <c r="CU104" i="12"/>
  <c r="CV104" i="12"/>
  <c r="CW104" i="12"/>
  <c r="CX104" i="12"/>
  <c r="CY104" i="12"/>
  <c r="CZ104" i="12"/>
  <c r="DA104" i="12"/>
  <c r="DB104" i="12"/>
  <c r="DC104" i="12"/>
  <c r="DD104" i="12"/>
  <c r="DE104" i="12"/>
  <c r="DF104" i="12"/>
  <c r="DG104" i="12"/>
  <c r="DH104" i="12"/>
  <c r="DI104" i="12"/>
  <c r="DJ104" i="12"/>
  <c r="DK104" i="12"/>
  <c r="DL104" i="12"/>
  <c r="DM104" i="12"/>
  <c r="DN104" i="12"/>
  <c r="DO104" i="12"/>
  <c r="DP104" i="12"/>
  <c r="DQ104" i="12"/>
  <c r="DR104" i="12"/>
  <c r="DS104" i="12"/>
  <c r="DT104" i="12"/>
  <c r="DU104" i="12"/>
  <c r="DV104" i="12"/>
  <c r="DW104" i="12"/>
  <c r="DX104" i="12"/>
  <c r="DY104" i="12"/>
  <c r="DZ104" i="12"/>
  <c r="EA104" i="12"/>
  <c r="EB104" i="12"/>
  <c r="EC104" i="12"/>
  <c r="ED104" i="12"/>
  <c r="EE104" i="12"/>
  <c r="EF104" i="12"/>
  <c r="EG104" i="12"/>
  <c r="EH104" i="12"/>
  <c r="EI104" i="12"/>
  <c r="EJ104" i="12"/>
  <c r="EK104" i="12"/>
  <c r="EL104" i="12"/>
  <c r="EM104" i="12"/>
  <c r="EN104" i="12"/>
  <c r="EO104" i="12"/>
  <c r="EP104" i="12"/>
  <c r="EQ104" i="12"/>
  <c r="ER104" i="12"/>
  <c r="ES104" i="12"/>
  <c r="ET104" i="12"/>
  <c r="EU104" i="12"/>
  <c r="EV104" i="12"/>
  <c r="EW104" i="12"/>
  <c r="EX104" i="12"/>
  <c r="EY104" i="12"/>
  <c r="EZ104" i="12"/>
  <c r="FA104" i="12"/>
  <c r="FB104" i="12"/>
  <c r="FC104" i="12"/>
  <c r="FD104" i="12"/>
  <c r="FE104" i="12"/>
  <c r="FF104" i="12"/>
  <c r="FG104" i="12"/>
  <c r="FH104" i="12"/>
  <c r="FI104" i="12"/>
  <c r="FJ104" i="12"/>
  <c r="FK104" i="12"/>
  <c r="FL104" i="12"/>
  <c r="FM104" i="12"/>
  <c r="FN104" i="12"/>
  <c r="FO104" i="12"/>
  <c r="FP104" i="12"/>
  <c r="FQ104" i="12"/>
  <c r="FR104" i="12"/>
  <c r="FS104" i="12"/>
  <c r="FT104" i="12"/>
  <c r="FU104" i="12"/>
  <c r="FV104" i="12"/>
  <c r="FW104" i="12"/>
  <c r="FX104" i="12"/>
  <c r="FY104" i="12"/>
  <c r="FZ104" i="12"/>
  <c r="GA104" i="12"/>
  <c r="GB104" i="12"/>
  <c r="GC104" i="12"/>
  <c r="GD104" i="12"/>
  <c r="GE104" i="12"/>
  <c r="GF104" i="12"/>
  <c r="GG104" i="12"/>
  <c r="GH104" i="12"/>
  <c r="GI104" i="12"/>
  <c r="GJ104" i="12"/>
  <c r="GK104" i="12"/>
  <c r="GL104" i="12"/>
  <c r="GM104" i="12"/>
  <c r="GN104" i="12"/>
  <c r="GO104" i="12"/>
  <c r="GP104" i="12"/>
  <c r="GQ104" i="12"/>
  <c r="GR104" i="12"/>
  <c r="GS104" i="12"/>
  <c r="GT104" i="12"/>
  <c r="GU104" i="12"/>
  <c r="GV104" i="12"/>
  <c r="GW104" i="12"/>
  <c r="GX104" i="12"/>
  <c r="GY104" i="12"/>
  <c r="GZ104" i="12"/>
  <c r="HA104" i="12"/>
  <c r="HB104" i="12"/>
  <c r="HC104" i="12"/>
  <c r="HD104" i="12"/>
  <c r="HE104" i="12"/>
  <c r="HF104" i="12"/>
  <c r="HG104" i="12"/>
  <c r="HH104" i="12"/>
  <c r="HI104" i="12"/>
  <c r="HJ104" i="12"/>
  <c r="HK104" i="12"/>
  <c r="HL104" i="12"/>
  <c r="HM104" i="12"/>
  <c r="HN104" i="12"/>
  <c r="HO104" i="12"/>
  <c r="HP104" i="12"/>
  <c r="HQ104" i="12"/>
  <c r="HR104" i="12"/>
  <c r="HS104" i="12"/>
  <c r="HT104" i="12"/>
  <c r="HU104" i="12"/>
  <c r="HV104" i="12"/>
  <c r="HW104" i="12"/>
  <c r="HX104" i="12"/>
  <c r="HY104" i="12"/>
  <c r="HZ104" i="12"/>
  <c r="IA104" i="12"/>
  <c r="IB104" i="12"/>
  <c r="IC104" i="12"/>
  <c r="ID104" i="12"/>
  <c r="IE104" i="12"/>
  <c r="IF104" i="12"/>
  <c r="IG104" i="12"/>
  <c r="IH104" i="12"/>
  <c r="II104" i="12"/>
  <c r="IJ104" i="12"/>
  <c r="IK104" i="12"/>
  <c r="IL104" i="12"/>
  <c r="IM104" i="12"/>
  <c r="IN104" i="12"/>
  <c r="IO104" i="12"/>
  <c r="IP104" i="12"/>
  <c r="IQ104" i="12"/>
  <c r="IR104" i="12"/>
  <c r="IS104" i="12"/>
  <c r="IT104" i="12"/>
  <c r="IU104" i="12"/>
  <c r="IV104" i="12"/>
  <c r="F105" i="12"/>
  <c r="G105" i="12"/>
  <c r="H105" i="12"/>
  <c r="I105" i="12"/>
  <c r="J105" i="12"/>
  <c r="K105" i="12"/>
  <c r="L105" i="12"/>
  <c r="M105" i="12"/>
  <c r="N105" i="12"/>
  <c r="O105" i="12"/>
  <c r="P105" i="12"/>
  <c r="Q105" i="12"/>
  <c r="R105" i="12"/>
  <c r="S105" i="12"/>
  <c r="T105" i="12"/>
  <c r="U105" i="12"/>
  <c r="V105" i="12"/>
  <c r="W105" i="12"/>
  <c r="X105" i="12"/>
  <c r="Y105" i="12"/>
  <c r="Z105" i="12"/>
  <c r="AA105" i="12"/>
  <c r="AB105" i="12"/>
  <c r="AC105" i="12"/>
  <c r="AD105" i="12"/>
  <c r="AE105" i="12"/>
  <c r="AF105" i="12"/>
  <c r="AG105" i="12"/>
  <c r="AH105" i="12"/>
  <c r="AI105" i="12"/>
  <c r="AJ105" i="12"/>
  <c r="AK105" i="12"/>
  <c r="AL105" i="12"/>
  <c r="AM105" i="12"/>
  <c r="AN105" i="12"/>
  <c r="AO105" i="12"/>
  <c r="AP105" i="12"/>
  <c r="AQ105" i="12"/>
  <c r="AR105" i="12"/>
  <c r="AS105" i="12"/>
  <c r="AT105" i="12"/>
  <c r="AU105" i="12"/>
  <c r="AV105" i="12"/>
  <c r="AW105" i="12"/>
  <c r="AX105" i="12"/>
  <c r="AY105" i="12"/>
  <c r="AZ105" i="12"/>
  <c r="BA105" i="12"/>
  <c r="BB105" i="12"/>
  <c r="BC105" i="12"/>
  <c r="BD105" i="12"/>
  <c r="BE105" i="12"/>
  <c r="BF105" i="12"/>
  <c r="BG105" i="12"/>
  <c r="BH105" i="12"/>
  <c r="BI105" i="12"/>
  <c r="BJ105" i="12"/>
  <c r="BK105" i="12"/>
  <c r="BL105" i="12"/>
  <c r="BM105" i="12"/>
  <c r="BN105" i="12"/>
  <c r="BO105" i="12"/>
  <c r="BP105" i="12"/>
  <c r="BQ105" i="12"/>
  <c r="BR105" i="12"/>
  <c r="BS105" i="12"/>
  <c r="BT105" i="12"/>
  <c r="BU105" i="12"/>
  <c r="BV105" i="12"/>
  <c r="BW105" i="12"/>
  <c r="BX105" i="12"/>
  <c r="BY105" i="12"/>
  <c r="BZ105" i="12"/>
  <c r="CA105" i="12"/>
  <c r="CB105" i="12"/>
  <c r="CC105" i="12"/>
  <c r="CD105" i="12"/>
  <c r="CE105" i="12"/>
  <c r="CF105" i="12"/>
  <c r="CG105" i="12"/>
  <c r="CH105" i="12"/>
  <c r="CI105" i="12"/>
  <c r="CJ105" i="12"/>
  <c r="CK105" i="12"/>
  <c r="CL105" i="12"/>
  <c r="CM105" i="12"/>
  <c r="CN105" i="12"/>
  <c r="CO105" i="12"/>
  <c r="CP105" i="12"/>
  <c r="CQ105" i="12"/>
  <c r="CR105" i="12"/>
  <c r="CS105" i="12"/>
  <c r="CT105" i="12"/>
  <c r="CU105" i="12"/>
  <c r="CV105" i="12"/>
  <c r="CW105" i="12"/>
  <c r="CX105" i="12"/>
  <c r="CY105" i="12"/>
  <c r="CZ105" i="12"/>
  <c r="DA105" i="12"/>
  <c r="DB105" i="12"/>
  <c r="DC105" i="12"/>
  <c r="DD105" i="12"/>
  <c r="DE105" i="12"/>
  <c r="DF105" i="12"/>
  <c r="DG105" i="12"/>
  <c r="DH105" i="12"/>
  <c r="DI105" i="12"/>
  <c r="DJ105" i="12"/>
  <c r="DK105" i="12"/>
  <c r="DL105" i="12"/>
  <c r="DM105" i="12"/>
  <c r="DN105" i="12"/>
  <c r="DO105" i="12"/>
  <c r="DP105" i="12"/>
  <c r="DQ105" i="12"/>
  <c r="DR105" i="12"/>
  <c r="DS105" i="12"/>
  <c r="DT105" i="12"/>
  <c r="DU105" i="12"/>
  <c r="DV105" i="12"/>
  <c r="DW105" i="12"/>
  <c r="DX105" i="12"/>
  <c r="DY105" i="12"/>
  <c r="DZ105" i="12"/>
  <c r="EA105" i="12"/>
  <c r="EB105" i="12"/>
  <c r="EC105" i="12"/>
  <c r="ED105" i="12"/>
  <c r="EE105" i="12"/>
  <c r="EF105" i="12"/>
  <c r="EG105" i="12"/>
  <c r="EH105" i="12"/>
  <c r="EI105" i="12"/>
  <c r="EJ105" i="12"/>
  <c r="EK105" i="12"/>
  <c r="EL105" i="12"/>
  <c r="EM105" i="12"/>
  <c r="EN105" i="12"/>
  <c r="EO105" i="12"/>
  <c r="EP105" i="12"/>
  <c r="EQ105" i="12"/>
  <c r="ER105" i="12"/>
  <c r="ES105" i="12"/>
  <c r="ET105" i="12"/>
  <c r="EU105" i="12"/>
  <c r="EV105" i="12"/>
  <c r="EW105" i="12"/>
  <c r="EX105" i="12"/>
  <c r="EY105" i="12"/>
  <c r="EZ105" i="12"/>
  <c r="FA105" i="12"/>
  <c r="FB105" i="12"/>
  <c r="FC105" i="12"/>
  <c r="FD105" i="12"/>
  <c r="FE105" i="12"/>
  <c r="FF105" i="12"/>
  <c r="FG105" i="12"/>
  <c r="FH105" i="12"/>
  <c r="FI105" i="12"/>
  <c r="FJ105" i="12"/>
  <c r="FK105" i="12"/>
  <c r="FL105" i="12"/>
  <c r="FM105" i="12"/>
  <c r="FN105" i="12"/>
  <c r="FO105" i="12"/>
  <c r="FP105" i="12"/>
  <c r="FQ105" i="12"/>
  <c r="FR105" i="12"/>
  <c r="FS105" i="12"/>
  <c r="FT105" i="12"/>
  <c r="FU105" i="12"/>
  <c r="FV105" i="12"/>
  <c r="FW105" i="12"/>
  <c r="FX105" i="12"/>
  <c r="FY105" i="12"/>
  <c r="FZ105" i="12"/>
  <c r="GA105" i="12"/>
  <c r="GB105" i="12"/>
  <c r="GC105" i="12"/>
  <c r="GD105" i="12"/>
  <c r="GE105" i="12"/>
  <c r="GF105" i="12"/>
  <c r="GG105" i="12"/>
  <c r="GH105" i="12"/>
  <c r="GI105" i="12"/>
  <c r="GJ105" i="12"/>
  <c r="GK105" i="12"/>
  <c r="GL105" i="12"/>
  <c r="GM105" i="12"/>
  <c r="GN105" i="12"/>
  <c r="GO105" i="12"/>
  <c r="GP105" i="12"/>
  <c r="GQ105" i="12"/>
  <c r="GR105" i="12"/>
  <c r="GS105" i="12"/>
  <c r="GT105" i="12"/>
  <c r="GU105" i="12"/>
  <c r="GV105" i="12"/>
  <c r="GW105" i="12"/>
  <c r="GX105" i="12"/>
  <c r="GY105" i="12"/>
  <c r="GZ105" i="12"/>
  <c r="HA105" i="12"/>
  <c r="HB105" i="12"/>
  <c r="HC105" i="12"/>
  <c r="HD105" i="12"/>
  <c r="HE105" i="12"/>
  <c r="HF105" i="12"/>
  <c r="HG105" i="12"/>
  <c r="HH105" i="12"/>
  <c r="HI105" i="12"/>
  <c r="HJ105" i="12"/>
  <c r="HK105" i="12"/>
  <c r="HL105" i="12"/>
  <c r="HM105" i="12"/>
  <c r="HN105" i="12"/>
  <c r="HO105" i="12"/>
  <c r="HP105" i="12"/>
  <c r="HQ105" i="12"/>
  <c r="HR105" i="12"/>
  <c r="HS105" i="12"/>
  <c r="HT105" i="12"/>
  <c r="HU105" i="12"/>
  <c r="HV105" i="12"/>
  <c r="HW105" i="12"/>
  <c r="HX105" i="12"/>
  <c r="HY105" i="12"/>
  <c r="HZ105" i="12"/>
  <c r="IA105" i="12"/>
  <c r="IB105" i="12"/>
  <c r="IC105" i="12"/>
  <c r="ID105" i="12"/>
  <c r="IE105" i="12"/>
  <c r="IF105" i="12"/>
  <c r="IG105" i="12"/>
  <c r="IH105" i="12"/>
  <c r="II105" i="12"/>
  <c r="IJ105" i="12"/>
  <c r="IK105" i="12"/>
  <c r="IL105" i="12"/>
  <c r="IM105" i="12"/>
  <c r="IN105" i="12"/>
  <c r="IO105" i="12"/>
  <c r="IP105" i="12"/>
  <c r="IQ105" i="12"/>
  <c r="IR105" i="12"/>
  <c r="IS105" i="12"/>
  <c r="IT105" i="12"/>
  <c r="IU105" i="12"/>
  <c r="IV105" i="12"/>
  <c r="F106" i="12"/>
  <c r="G106" i="12"/>
  <c r="H106" i="12"/>
  <c r="I106" i="12"/>
  <c r="J106" i="12"/>
  <c r="K106" i="12"/>
  <c r="L106" i="12"/>
  <c r="M106" i="12"/>
  <c r="N106" i="12"/>
  <c r="O106" i="12"/>
  <c r="P106" i="12"/>
  <c r="Q106" i="12"/>
  <c r="R106" i="12"/>
  <c r="S106" i="12"/>
  <c r="T106" i="12"/>
  <c r="U106" i="12"/>
  <c r="V106" i="12"/>
  <c r="W106" i="12"/>
  <c r="X106" i="12"/>
  <c r="Y106" i="12"/>
  <c r="Z106" i="12"/>
  <c r="AA106" i="12"/>
  <c r="AB106" i="12"/>
  <c r="AC106" i="12"/>
  <c r="AD106" i="12"/>
  <c r="AE106" i="12"/>
  <c r="AF106" i="12"/>
  <c r="AG106" i="12"/>
  <c r="AH106" i="12"/>
  <c r="AI106" i="12"/>
  <c r="AJ106" i="12"/>
  <c r="AK106" i="12"/>
  <c r="AL106" i="12"/>
  <c r="AM106" i="12"/>
  <c r="AN106" i="12"/>
  <c r="AO106" i="12"/>
  <c r="AP106" i="12"/>
  <c r="AQ106" i="12"/>
  <c r="AR106" i="12"/>
  <c r="AS106" i="12"/>
  <c r="AT106" i="12"/>
  <c r="AU106" i="12"/>
  <c r="AV106" i="12"/>
  <c r="AW106" i="12"/>
  <c r="AX106" i="12"/>
  <c r="AY106" i="12"/>
  <c r="AZ106" i="12"/>
  <c r="BA106" i="12"/>
  <c r="BB106" i="12"/>
  <c r="BC106" i="12"/>
  <c r="BD106" i="12"/>
  <c r="BE106" i="12"/>
  <c r="BF106" i="12"/>
  <c r="BG106" i="12"/>
  <c r="BH106" i="12"/>
  <c r="BI106" i="12"/>
  <c r="BJ106" i="12"/>
  <c r="BK106" i="12"/>
  <c r="BL106" i="12"/>
  <c r="BM106" i="12"/>
  <c r="BN106" i="12"/>
  <c r="BO106" i="12"/>
  <c r="BP106" i="12"/>
  <c r="BQ106" i="12"/>
  <c r="BR106" i="12"/>
  <c r="BS106" i="12"/>
  <c r="BT106" i="12"/>
  <c r="BU106" i="12"/>
  <c r="BV106" i="12"/>
  <c r="BW106" i="12"/>
  <c r="BX106" i="12"/>
  <c r="BY106" i="12"/>
  <c r="BZ106" i="12"/>
  <c r="CA106" i="12"/>
  <c r="CB106" i="12"/>
  <c r="CC106" i="12"/>
  <c r="CD106" i="12"/>
  <c r="CE106" i="12"/>
  <c r="CF106" i="12"/>
  <c r="CG106" i="12"/>
  <c r="CH106" i="12"/>
  <c r="CI106" i="12"/>
  <c r="CJ106" i="12"/>
  <c r="CK106" i="12"/>
  <c r="CL106" i="12"/>
  <c r="CM106" i="12"/>
  <c r="CN106" i="12"/>
  <c r="CO106" i="12"/>
  <c r="CP106" i="12"/>
  <c r="CQ106" i="12"/>
  <c r="CR106" i="12"/>
  <c r="CS106" i="12"/>
  <c r="CT106" i="12"/>
  <c r="CU106" i="12"/>
  <c r="CV106" i="12"/>
  <c r="CW106" i="12"/>
  <c r="CX106" i="12"/>
  <c r="CY106" i="12"/>
  <c r="CZ106" i="12"/>
  <c r="DA106" i="12"/>
  <c r="DB106" i="12"/>
  <c r="DC106" i="12"/>
  <c r="DD106" i="12"/>
  <c r="DE106" i="12"/>
  <c r="DF106" i="12"/>
  <c r="DG106" i="12"/>
  <c r="DH106" i="12"/>
  <c r="DI106" i="12"/>
  <c r="DJ106" i="12"/>
  <c r="DK106" i="12"/>
  <c r="DL106" i="12"/>
  <c r="DM106" i="12"/>
  <c r="DN106" i="12"/>
  <c r="DO106" i="12"/>
  <c r="DP106" i="12"/>
  <c r="DQ106" i="12"/>
  <c r="DR106" i="12"/>
  <c r="DS106" i="12"/>
  <c r="DT106" i="12"/>
  <c r="DU106" i="12"/>
  <c r="DV106" i="12"/>
  <c r="DW106" i="12"/>
  <c r="DX106" i="12"/>
  <c r="DY106" i="12"/>
  <c r="DZ106" i="12"/>
  <c r="EA106" i="12"/>
  <c r="EB106" i="12"/>
  <c r="EC106" i="12"/>
  <c r="ED106" i="12"/>
  <c r="EE106" i="12"/>
  <c r="EF106" i="12"/>
  <c r="EG106" i="12"/>
  <c r="EH106" i="12"/>
  <c r="EI106" i="12"/>
  <c r="EJ106" i="12"/>
  <c r="EK106" i="12"/>
  <c r="EL106" i="12"/>
  <c r="EM106" i="12"/>
  <c r="EN106" i="12"/>
  <c r="EO106" i="12"/>
  <c r="EP106" i="12"/>
  <c r="EQ106" i="12"/>
  <c r="ER106" i="12"/>
  <c r="ES106" i="12"/>
  <c r="ET106" i="12"/>
  <c r="EU106" i="12"/>
  <c r="EV106" i="12"/>
  <c r="EW106" i="12"/>
  <c r="EX106" i="12"/>
  <c r="EY106" i="12"/>
  <c r="EZ106" i="12"/>
  <c r="FA106" i="12"/>
  <c r="FB106" i="12"/>
  <c r="FC106" i="12"/>
  <c r="FD106" i="12"/>
  <c r="FE106" i="12"/>
  <c r="FF106" i="12"/>
  <c r="FG106" i="12"/>
  <c r="FH106" i="12"/>
  <c r="FI106" i="12"/>
  <c r="FJ106" i="12"/>
  <c r="FK106" i="12"/>
  <c r="FL106" i="12"/>
  <c r="FM106" i="12"/>
  <c r="FN106" i="12"/>
  <c r="FO106" i="12"/>
  <c r="FP106" i="12"/>
  <c r="FQ106" i="12"/>
  <c r="FR106" i="12"/>
  <c r="FS106" i="12"/>
  <c r="FT106" i="12"/>
  <c r="FU106" i="12"/>
  <c r="FV106" i="12"/>
  <c r="FW106" i="12"/>
  <c r="FX106" i="12"/>
  <c r="FY106" i="12"/>
  <c r="FZ106" i="12"/>
  <c r="GA106" i="12"/>
  <c r="GB106" i="12"/>
  <c r="GC106" i="12"/>
  <c r="GD106" i="12"/>
  <c r="GE106" i="12"/>
  <c r="GF106" i="12"/>
  <c r="GG106" i="12"/>
  <c r="GH106" i="12"/>
  <c r="GI106" i="12"/>
  <c r="GJ106" i="12"/>
  <c r="GK106" i="12"/>
  <c r="GL106" i="12"/>
  <c r="GM106" i="12"/>
  <c r="GN106" i="12"/>
  <c r="GO106" i="12"/>
  <c r="GP106" i="12"/>
  <c r="GQ106" i="12"/>
  <c r="GR106" i="12"/>
  <c r="GS106" i="12"/>
  <c r="GT106" i="12"/>
  <c r="GU106" i="12"/>
  <c r="GV106" i="12"/>
  <c r="GW106" i="12"/>
  <c r="GX106" i="12"/>
  <c r="GY106" i="12"/>
  <c r="GZ106" i="12"/>
  <c r="HA106" i="12"/>
  <c r="HB106" i="12"/>
  <c r="HC106" i="12"/>
  <c r="HD106" i="12"/>
  <c r="HE106" i="12"/>
  <c r="HF106" i="12"/>
  <c r="HG106" i="12"/>
  <c r="HH106" i="12"/>
  <c r="HI106" i="12"/>
  <c r="HJ106" i="12"/>
  <c r="HK106" i="12"/>
  <c r="HL106" i="12"/>
  <c r="HM106" i="12"/>
  <c r="HN106" i="12"/>
  <c r="HO106" i="12"/>
  <c r="HP106" i="12"/>
  <c r="HQ106" i="12"/>
  <c r="HR106" i="12"/>
  <c r="HS106" i="12"/>
  <c r="HT106" i="12"/>
  <c r="HU106" i="12"/>
  <c r="HV106" i="12"/>
  <c r="HW106" i="12"/>
  <c r="HX106" i="12"/>
  <c r="HY106" i="12"/>
  <c r="HZ106" i="12"/>
  <c r="IA106" i="12"/>
  <c r="IB106" i="12"/>
  <c r="IC106" i="12"/>
  <c r="ID106" i="12"/>
  <c r="IE106" i="12"/>
  <c r="IF106" i="12"/>
  <c r="IG106" i="12"/>
  <c r="IH106" i="12"/>
  <c r="II106" i="12"/>
  <c r="IJ106" i="12"/>
  <c r="IK106" i="12"/>
  <c r="IL106" i="12"/>
  <c r="IM106" i="12"/>
  <c r="IN106" i="12"/>
  <c r="IO106" i="12"/>
  <c r="IP106" i="12"/>
  <c r="IQ106" i="12"/>
  <c r="IR106" i="12"/>
  <c r="IS106" i="12"/>
  <c r="IT106" i="12"/>
  <c r="IU106" i="12"/>
  <c r="IV106" i="12"/>
  <c r="F107" i="12"/>
  <c r="G107" i="12"/>
  <c r="H107" i="12"/>
  <c r="I107" i="12"/>
  <c r="J107" i="12"/>
  <c r="K107" i="12"/>
  <c r="L107" i="12"/>
  <c r="M107" i="12"/>
  <c r="N107" i="12"/>
  <c r="O107" i="12"/>
  <c r="P107" i="12"/>
  <c r="Q107" i="12"/>
  <c r="R107" i="12"/>
  <c r="S107" i="12"/>
  <c r="T107" i="12"/>
  <c r="U107" i="12"/>
  <c r="V107" i="12"/>
  <c r="W107" i="12"/>
  <c r="X107" i="12"/>
  <c r="Y107" i="12"/>
  <c r="Z107" i="12"/>
  <c r="AA107" i="12"/>
  <c r="AB107" i="12"/>
  <c r="AC107" i="12"/>
  <c r="AD107" i="12"/>
  <c r="AE107" i="12"/>
  <c r="AF107" i="12"/>
  <c r="AG107" i="12"/>
  <c r="AH107" i="12"/>
  <c r="AI107" i="12"/>
  <c r="AJ107" i="12"/>
  <c r="AK107" i="12"/>
  <c r="AL107" i="12"/>
  <c r="AM107" i="12"/>
  <c r="AN107" i="12"/>
  <c r="AO107" i="12"/>
  <c r="AP107" i="12"/>
  <c r="AQ107" i="12"/>
  <c r="AR107" i="12"/>
  <c r="AS107" i="12"/>
  <c r="AT107" i="12"/>
  <c r="AU107" i="12"/>
  <c r="AV107" i="12"/>
  <c r="AW107" i="12"/>
  <c r="AX107" i="12"/>
  <c r="AY107" i="12"/>
  <c r="AZ107" i="12"/>
  <c r="BA107" i="12"/>
  <c r="BB107" i="12"/>
  <c r="BC107" i="12"/>
  <c r="BD107" i="12"/>
  <c r="BE107" i="12"/>
  <c r="BF107" i="12"/>
  <c r="BG107" i="12"/>
  <c r="BH107" i="12"/>
  <c r="BI107" i="12"/>
  <c r="BJ107" i="12"/>
  <c r="BK107" i="12"/>
  <c r="BL107" i="12"/>
  <c r="BM107" i="12"/>
  <c r="BN107" i="12"/>
  <c r="BO107" i="12"/>
  <c r="BP107" i="12"/>
  <c r="BQ107" i="12"/>
  <c r="BR107" i="12"/>
  <c r="BS107" i="12"/>
  <c r="BT107" i="12"/>
  <c r="BU107" i="12"/>
  <c r="BV107" i="12"/>
  <c r="BW107" i="12"/>
  <c r="BX107" i="12"/>
  <c r="BY107" i="12"/>
  <c r="BZ107" i="12"/>
  <c r="CA107" i="12"/>
  <c r="CB107" i="12"/>
  <c r="CC107" i="12"/>
  <c r="CD107" i="12"/>
  <c r="CE107" i="12"/>
  <c r="CF107" i="12"/>
  <c r="CG107" i="12"/>
  <c r="CH107" i="12"/>
  <c r="CI107" i="12"/>
  <c r="CJ107" i="12"/>
  <c r="CK107" i="12"/>
  <c r="CL107" i="12"/>
  <c r="CM107" i="12"/>
  <c r="CN107" i="12"/>
  <c r="CO107" i="12"/>
  <c r="CP107" i="12"/>
  <c r="CQ107" i="12"/>
  <c r="CR107" i="12"/>
  <c r="CS107" i="12"/>
  <c r="CT107" i="12"/>
  <c r="CU107" i="12"/>
  <c r="CV107" i="12"/>
  <c r="CW107" i="12"/>
  <c r="CX107" i="12"/>
  <c r="CY107" i="12"/>
  <c r="CZ107" i="12"/>
  <c r="DA107" i="12"/>
  <c r="DB107" i="12"/>
  <c r="DC107" i="12"/>
  <c r="DD107" i="12"/>
  <c r="DE107" i="12"/>
  <c r="DF107" i="12"/>
  <c r="DG107" i="12"/>
  <c r="DH107" i="12"/>
  <c r="DI107" i="12"/>
  <c r="DJ107" i="12"/>
  <c r="DK107" i="12"/>
  <c r="DL107" i="12"/>
  <c r="DM107" i="12"/>
  <c r="DN107" i="12"/>
  <c r="DO107" i="12"/>
  <c r="DP107" i="12"/>
  <c r="DQ107" i="12"/>
  <c r="DR107" i="12"/>
  <c r="DS107" i="12"/>
  <c r="DT107" i="12"/>
  <c r="DU107" i="12"/>
  <c r="DV107" i="12"/>
  <c r="DW107" i="12"/>
  <c r="DX107" i="12"/>
  <c r="DY107" i="12"/>
  <c r="DZ107" i="12"/>
  <c r="EA107" i="12"/>
  <c r="EB107" i="12"/>
  <c r="EC107" i="12"/>
  <c r="ED107" i="12"/>
  <c r="EE107" i="12"/>
  <c r="EF107" i="12"/>
  <c r="EG107" i="12"/>
  <c r="EH107" i="12"/>
  <c r="EI107" i="12"/>
  <c r="EJ107" i="12"/>
  <c r="EK107" i="12"/>
  <c r="EL107" i="12"/>
  <c r="EM107" i="12"/>
  <c r="EN107" i="12"/>
  <c r="EO107" i="12"/>
  <c r="EP107" i="12"/>
  <c r="EQ107" i="12"/>
  <c r="ER107" i="12"/>
  <c r="ES107" i="12"/>
  <c r="ET107" i="12"/>
  <c r="EU107" i="12"/>
  <c r="EV107" i="12"/>
  <c r="EW107" i="12"/>
  <c r="EX107" i="12"/>
  <c r="EY107" i="12"/>
  <c r="EZ107" i="12"/>
  <c r="FA107" i="12"/>
  <c r="FB107" i="12"/>
  <c r="FC107" i="12"/>
  <c r="FD107" i="12"/>
  <c r="FE107" i="12"/>
  <c r="FF107" i="12"/>
  <c r="FG107" i="12"/>
  <c r="FH107" i="12"/>
  <c r="FI107" i="12"/>
  <c r="FJ107" i="12"/>
  <c r="FK107" i="12"/>
  <c r="FL107" i="12"/>
  <c r="FM107" i="12"/>
  <c r="FN107" i="12"/>
  <c r="FO107" i="12"/>
  <c r="FP107" i="12"/>
  <c r="FQ107" i="12"/>
  <c r="FR107" i="12"/>
  <c r="FS107" i="12"/>
  <c r="FT107" i="12"/>
  <c r="FU107" i="12"/>
  <c r="FV107" i="12"/>
  <c r="FW107" i="12"/>
  <c r="FX107" i="12"/>
  <c r="FY107" i="12"/>
  <c r="FZ107" i="12"/>
  <c r="GA107" i="12"/>
  <c r="GB107" i="12"/>
  <c r="GC107" i="12"/>
  <c r="GD107" i="12"/>
  <c r="GE107" i="12"/>
  <c r="GF107" i="12"/>
  <c r="GG107" i="12"/>
  <c r="GH107" i="12"/>
  <c r="GI107" i="12"/>
  <c r="GJ107" i="12"/>
  <c r="GK107" i="12"/>
  <c r="GL107" i="12"/>
  <c r="GM107" i="12"/>
  <c r="GN107" i="12"/>
  <c r="GO107" i="12"/>
  <c r="GP107" i="12"/>
  <c r="GQ107" i="12"/>
  <c r="GR107" i="12"/>
  <c r="GS107" i="12"/>
  <c r="GT107" i="12"/>
  <c r="GU107" i="12"/>
  <c r="GV107" i="12"/>
  <c r="GW107" i="12"/>
  <c r="GX107" i="12"/>
  <c r="GY107" i="12"/>
  <c r="GZ107" i="12"/>
  <c r="HA107" i="12"/>
  <c r="HB107" i="12"/>
  <c r="HC107" i="12"/>
  <c r="HD107" i="12"/>
  <c r="HE107" i="12"/>
  <c r="HF107" i="12"/>
  <c r="HG107" i="12"/>
  <c r="HH107" i="12"/>
  <c r="HI107" i="12"/>
  <c r="HJ107" i="12"/>
  <c r="HK107" i="12"/>
  <c r="HL107" i="12"/>
  <c r="HM107" i="12"/>
  <c r="HN107" i="12"/>
  <c r="HO107" i="12"/>
  <c r="HP107" i="12"/>
  <c r="HQ107" i="12"/>
  <c r="HR107" i="12"/>
  <c r="HS107" i="12"/>
  <c r="HT107" i="12"/>
  <c r="HU107" i="12"/>
  <c r="HV107" i="12"/>
  <c r="HW107" i="12"/>
  <c r="HX107" i="12"/>
  <c r="HY107" i="12"/>
  <c r="HZ107" i="12"/>
  <c r="IA107" i="12"/>
  <c r="IB107" i="12"/>
  <c r="IC107" i="12"/>
  <c r="ID107" i="12"/>
  <c r="IE107" i="12"/>
  <c r="IF107" i="12"/>
  <c r="IG107" i="12"/>
  <c r="IH107" i="12"/>
  <c r="II107" i="12"/>
  <c r="IJ107" i="12"/>
  <c r="IK107" i="12"/>
  <c r="IL107" i="12"/>
  <c r="IM107" i="12"/>
  <c r="IN107" i="12"/>
  <c r="IO107" i="12"/>
  <c r="IP107" i="12"/>
  <c r="IQ107" i="12"/>
  <c r="IR107" i="12"/>
  <c r="IS107" i="12"/>
  <c r="IT107" i="12"/>
  <c r="IU107" i="12"/>
  <c r="IV107" i="12"/>
  <c r="F108" i="12"/>
  <c r="G108" i="12"/>
  <c r="H108" i="12"/>
  <c r="I108" i="12"/>
  <c r="J108" i="12"/>
  <c r="K108" i="12"/>
  <c r="L108" i="12"/>
  <c r="M108" i="12"/>
  <c r="N108" i="12"/>
  <c r="O108" i="12"/>
  <c r="P108" i="12"/>
  <c r="Q108" i="12"/>
  <c r="R108" i="12"/>
  <c r="S108" i="12"/>
  <c r="T108" i="12"/>
  <c r="U108" i="12"/>
  <c r="V108" i="12"/>
  <c r="W108" i="12"/>
  <c r="X108" i="12"/>
  <c r="Y108" i="12"/>
  <c r="Z108" i="12"/>
  <c r="AA108" i="12"/>
  <c r="AB108" i="12"/>
  <c r="AC108" i="12"/>
  <c r="AD108" i="12"/>
  <c r="AE108" i="12"/>
  <c r="AF108" i="12"/>
  <c r="AG108" i="12"/>
  <c r="AH108" i="12"/>
  <c r="AI108" i="12"/>
  <c r="AJ108" i="12"/>
  <c r="AK108" i="12"/>
  <c r="AL108" i="12"/>
  <c r="AM108" i="12"/>
  <c r="AN108" i="12"/>
  <c r="AO108" i="12"/>
  <c r="AP108" i="12"/>
  <c r="AQ108" i="12"/>
  <c r="AR108" i="12"/>
  <c r="AS108" i="12"/>
  <c r="AT108" i="12"/>
  <c r="AU108" i="12"/>
  <c r="AV108" i="12"/>
  <c r="AW108" i="12"/>
  <c r="AX108" i="12"/>
  <c r="AY108" i="12"/>
  <c r="AZ108" i="12"/>
  <c r="BA108" i="12"/>
  <c r="BB108" i="12"/>
  <c r="BC108" i="12"/>
  <c r="BD108" i="12"/>
  <c r="BE108" i="12"/>
  <c r="BF108" i="12"/>
  <c r="BG108" i="12"/>
  <c r="BH108" i="12"/>
  <c r="BI108" i="12"/>
  <c r="BJ108" i="12"/>
  <c r="BK108" i="12"/>
  <c r="BL108" i="12"/>
  <c r="BM108" i="12"/>
  <c r="BN108" i="12"/>
  <c r="BO108" i="12"/>
  <c r="BP108" i="12"/>
  <c r="BQ108" i="12"/>
  <c r="BR108" i="12"/>
  <c r="BS108" i="12"/>
  <c r="BT108" i="12"/>
  <c r="BU108" i="12"/>
  <c r="BV108" i="12"/>
  <c r="BW108" i="12"/>
  <c r="BX108" i="12"/>
  <c r="BY108" i="12"/>
  <c r="BZ108" i="12"/>
  <c r="CA108" i="12"/>
  <c r="CB108" i="12"/>
  <c r="CC108" i="12"/>
  <c r="CD108" i="12"/>
  <c r="CE108" i="12"/>
  <c r="CF108" i="12"/>
  <c r="CG108" i="12"/>
  <c r="CH108" i="12"/>
  <c r="CI108" i="12"/>
  <c r="CJ108" i="12"/>
  <c r="CK108" i="12"/>
  <c r="CL108" i="12"/>
  <c r="CM108" i="12"/>
  <c r="CN108" i="12"/>
  <c r="CO108" i="12"/>
  <c r="CP108" i="12"/>
  <c r="CQ108" i="12"/>
  <c r="CR108" i="12"/>
  <c r="CS108" i="12"/>
  <c r="CT108" i="12"/>
  <c r="CU108" i="12"/>
  <c r="CV108" i="12"/>
  <c r="CW108" i="12"/>
  <c r="CX108" i="12"/>
  <c r="CY108" i="12"/>
  <c r="CZ108" i="12"/>
  <c r="DA108" i="12"/>
  <c r="DB108" i="12"/>
  <c r="DC108" i="12"/>
  <c r="DD108" i="12"/>
  <c r="DE108" i="12"/>
  <c r="DF108" i="12"/>
  <c r="DG108" i="12"/>
  <c r="DH108" i="12"/>
  <c r="DI108" i="12"/>
  <c r="DJ108" i="12"/>
  <c r="DK108" i="12"/>
  <c r="DL108" i="12"/>
  <c r="DM108" i="12"/>
  <c r="DN108" i="12"/>
  <c r="DO108" i="12"/>
  <c r="DP108" i="12"/>
  <c r="DQ108" i="12"/>
  <c r="DR108" i="12"/>
  <c r="DS108" i="12"/>
  <c r="DT108" i="12"/>
  <c r="DU108" i="12"/>
  <c r="DV108" i="12"/>
  <c r="DW108" i="12"/>
  <c r="DX108" i="12"/>
  <c r="DY108" i="12"/>
  <c r="DZ108" i="12"/>
  <c r="EA108" i="12"/>
  <c r="EB108" i="12"/>
  <c r="EC108" i="12"/>
  <c r="ED108" i="12"/>
  <c r="EE108" i="12"/>
  <c r="EF108" i="12"/>
  <c r="EG108" i="12"/>
  <c r="EH108" i="12"/>
  <c r="EI108" i="12"/>
  <c r="EJ108" i="12"/>
  <c r="EK108" i="12"/>
  <c r="EL108" i="12"/>
  <c r="EM108" i="12"/>
  <c r="EN108" i="12"/>
  <c r="EO108" i="12"/>
  <c r="EP108" i="12"/>
  <c r="EQ108" i="12"/>
  <c r="ER108" i="12"/>
  <c r="ES108" i="12"/>
  <c r="ET108" i="12"/>
  <c r="EU108" i="12"/>
  <c r="EV108" i="12"/>
  <c r="EW108" i="12"/>
  <c r="EX108" i="12"/>
  <c r="EY108" i="12"/>
  <c r="EZ108" i="12"/>
  <c r="FA108" i="12"/>
  <c r="FB108" i="12"/>
  <c r="FC108" i="12"/>
  <c r="FD108" i="12"/>
  <c r="FE108" i="12"/>
  <c r="FF108" i="12"/>
  <c r="FG108" i="12"/>
  <c r="FH108" i="12"/>
  <c r="FI108" i="12"/>
  <c r="FJ108" i="12"/>
  <c r="FK108" i="12"/>
  <c r="FL108" i="12"/>
  <c r="FM108" i="12"/>
  <c r="FN108" i="12"/>
  <c r="FO108" i="12"/>
  <c r="FP108" i="12"/>
  <c r="FQ108" i="12"/>
  <c r="FR108" i="12"/>
  <c r="FS108" i="12"/>
  <c r="FT108" i="12"/>
  <c r="FU108" i="12"/>
  <c r="FV108" i="12"/>
  <c r="FW108" i="12"/>
  <c r="FX108" i="12"/>
  <c r="FY108" i="12"/>
  <c r="FZ108" i="12"/>
  <c r="GA108" i="12"/>
  <c r="GB108" i="12"/>
  <c r="GC108" i="12"/>
  <c r="GD108" i="12"/>
  <c r="GE108" i="12"/>
  <c r="GF108" i="12"/>
  <c r="GG108" i="12"/>
  <c r="GH108" i="12"/>
  <c r="GI108" i="12"/>
  <c r="GJ108" i="12"/>
  <c r="GK108" i="12"/>
  <c r="GL108" i="12"/>
  <c r="GM108" i="12"/>
  <c r="GN108" i="12"/>
  <c r="GO108" i="12"/>
  <c r="GP108" i="12"/>
  <c r="GQ108" i="12"/>
  <c r="GR108" i="12"/>
  <c r="GS108" i="12"/>
  <c r="GT108" i="12"/>
  <c r="GU108" i="12"/>
  <c r="GV108" i="12"/>
  <c r="GW108" i="12"/>
  <c r="GX108" i="12"/>
  <c r="GY108" i="12"/>
  <c r="GZ108" i="12"/>
  <c r="HA108" i="12"/>
  <c r="HB108" i="12"/>
  <c r="HC108" i="12"/>
  <c r="HD108" i="12"/>
  <c r="HE108" i="12"/>
  <c r="HF108" i="12"/>
  <c r="HG108" i="12"/>
  <c r="HH108" i="12"/>
  <c r="HI108" i="12"/>
  <c r="HJ108" i="12"/>
  <c r="HK108" i="12"/>
  <c r="HL108" i="12"/>
  <c r="HM108" i="12"/>
  <c r="HN108" i="12"/>
  <c r="HO108" i="12"/>
  <c r="HP108" i="12"/>
  <c r="HQ108" i="12"/>
  <c r="HR108" i="12"/>
  <c r="HS108" i="12"/>
  <c r="HT108" i="12"/>
  <c r="HU108" i="12"/>
  <c r="HV108" i="12"/>
  <c r="HW108" i="12"/>
  <c r="HX108" i="12"/>
  <c r="HY108" i="12"/>
  <c r="HZ108" i="12"/>
  <c r="IA108" i="12"/>
  <c r="IB108" i="12"/>
  <c r="IC108" i="12"/>
  <c r="ID108" i="12"/>
  <c r="IE108" i="12"/>
  <c r="IF108" i="12"/>
  <c r="IG108" i="12"/>
  <c r="IH108" i="12"/>
  <c r="II108" i="12"/>
  <c r="IJ108" i="12"/>
  <c r="IK108" i="12"/>
  <c r="IL108" i="12"/>
  <c r="IM108" i="12"/>
  <c r="IN108" i="12"/>
  <c r="IO108" i="12"/>
  <c r="IP108" i="12"/>
  <c r="IQ108" i="12"/>
  <c r="IR108" i="12"/>
  <c r="IS108" i="12"/>
  <c r="IT108" i="12"/>
  <c r="IU108" i="12"/>
  <c r="IV108" i="12"/>
  <c r="F109" i="12"/>
  <c r="G109" i="12"/>
  <c r="H109" i="12"/>
  <c r="I109" i="12"/>
  <c r="J109" i="12"/>
  <c r="K109" i="12"/>
  <c r="L109" i="12"/>
  <c r="M109" i="12"/>
  <c r="N109" i="12"/>
  <c r="O109" i="12"/>
  <c r="P109" i="12"/>
  <c r="Q109" i="12"/>
  <c r="R109" i="12"/>
  <c r="S109" i="12"/>
  <c r="T109" i="12"/>
  <c r="U109" i="12"/>
  <c r="V109" i="12"/>
  <c r="W109" i="12"/>
  <c r="X109" i="12"/>
  <c r="Y109" i="12"/>
  <c r="Z109" i="12"/>
  <c r="AA109" i="12"/>
  <c r="AB109" i="12"/>
  <c r="AC109" i="12"/>
  <c r="AD109" i="12"/>
  <c r="AE109" i="12"/>
  <c r="AF109" i="12"/>
  <c r="AG109" i="12"/>
  <c r="AH109" i="12"/>
  <c r="AI109" i="12"/>
  <c r="AJ109" i="12"/>
  <c r="AK109" i="12"/>
  <c r="AL109" i="12"/>
  <c r="AM109" i="12"/>
  <c r="AN109" i="12"/>
  <c r="AO109" i="12"/>
  <c r="AP109" i="12"/>
  <c r="AQ109" i="12"/>
  <c r="AR109" i="12"/>
  <c r="AS109" i="12"/>
  <c r="AT109" i="12"/>
  <c r="AU109" i="12"/>
  <c r="AV109" i="12"/>
  <c r="AW109" i="12"/>
  <c r="AX109" i="12"/>
  <c r="AY109" i="12"/>
  <c r="AZ109" i="12"/>
  <c r="BA109" i="12"/>
  <c r="BB109" i="12"/>
  <c r="BC109" i="12"/>
  <c r="BD109" i="12"/>
  <c r="BE109" i="12"/>
  <c r="BF109" i="12"/>
  <c r="BG109" i="12"/>
  <c r="BH109" i="12"/>
  <c r="BI109" i="12"/>
  <c r="BJ109" i="12"/>
  <c r="BK109" i="12"/>
  <c r="BL109" i="12"/>
  <c r="BM109" i="12"/>
  <c r="BN109" i="12"/>
  <c r="BO109" i="12"/>
  <c r="BP109" i="12"/>
  <c r="BQ109" i="12"/>
  <c r="BR109" i="12"/>
  <c r="BS109" i="12"/>
  <c r="BT109" i="12"/>
  <c r="BU109" i="12"/>
  <c r="BV109" i="12"/>
  <c r="BW109" i="12"/>
  <c r="BX109" i="12"/>
  <c r="BY109" i="12"/>
  <c r="BZ109" i="12"/>
  <c r="CA109" i="12"/>
  <c r="CB109" i="12"/>
  <c r="CC109" i="12"/>
  <c r="CD109" i="12"/>
  <c r="CE109" i="12"/>
  <c r="CF109" i="12"/>
  <c r="CG109" i="12"/>
  <c r="CH109" i="12"/>
  <c r="CI109" i="12"/>
  <c r="CJ109" i="12"/>
  <c r="CK109" i="12"/>
  <c r="CL109" i="12"/>
  <c r="CM109" i="12"/>
  <c r="CN109" i="12"/>
  <c r="CO109" i="12"/>
  <c r="CP109" i="12"/>
  <c r="CQ109" i="12"/>
  <c r="CR109" i="12"/>
  <c r="CS109" i="12"/>
  <c r="CT109" i="12"/>
  <c r="CU109" i="12"/>
  <c r="CV109" i="12"/>
  <c r="CW109" i="12"/>
  <c r="CX109" i="12"/>
  <c r="CY109" i="12"/>
  <c r="CZ109" i="12"/>
  <c r="DA109" i="12"/>
  <c r="DB109" i="12"/>
  <c r="DC109" i="12"/>
  <c r="DD109" i="12"/>
  <c r="DE109" i="12"/>
  <c r="DF109" i="12"/>
  <c r="DG109" i="12"/>
  <c r="DH109" i="12"/>
  <c r="DI109" i="12"/>
  <c r="DJ109" i="12"/>
  <c r="DK109" i="12"/>
  <c r="DL109" i="12"/>
  <c r="DM109" i="12"/>
  <c r="DN109" i="12"/>
  <c r="DO109" i="12"/>
  <c r="DP109" i="12"/>
  <c r="DQ109" i="12"/>
  <c r="DR109" i="12"/>
  <c r="DS109" i="12"/>
  <c r="DT109" i="12"/>
  <c r="DU109" i="12"/>
  <c r="DV109" i="12"/>
  <c r="DW109" i="12"/>
  <c r="DX109" i="12"/>
  <c r="DY109" i="12"/>
  <c r="DZ109" i="12"/>
  <c r="EA109" i="12"/>
  <c r="EB109" i="12"/>
  <c r="EC109" i="12"/>
  <c r="ED109" i="12"/>
  <c r="EE109" i="12"/>
  <c r="EF109" i="12"/>
  <c r="EG109" i="12"/>
  <c r="EH109" i="12"/>
  <c r="EI109" i="12"/>
  <c r="EJ109" i="12"/>
  <c r="EK109" i="12"/>
  <c r="EL109" i="12"/>
  <c r="EM109" i="12"/>
  <c r="EN109" i="12"/>
  <c r="EO109" i="12"/>
  <c r="EP109" i="12"/>
  <c r="EQ109" i="12"/>
  <c r="ER109" i="12"/>
  <c r="ES109" i="12"/>
  <c r="ET109" i="12"/>
  <c r="EU109" i="12"/>
  <c r="EV109" i="12"/>
  <c r="EW109" i="12"/>
  <c r="EX109" i="12"/>
  <c r="EY109" i="12"/>
  <c r="EZ109" i="12"/>
  <c r="FA109" i="12"/>
  <c r="FB109" i="12"/>
  <c r="FC109" i="12"/>
  <c r="FD109" i="12"/>
  <c r="FE109" i="12"/>
  <c r="FF109" i="12"/>
  <c r="FG109" i="12"/>
  <c r="FH109" i="12"/>
  <c r="FI109" i="12"/>
  <c r="FJ109" i="12"/>
  <c r="FK109" i="12"/>
  <c r="FL109" i="12"/>
  <c r="FM109" i="12"/>
  <c r="FN109" i="12"/>
  <c r="FO109" i="12"/>
  <c r="FP109" i="12"/>
  <c r="FQ109" i="12"/>
  <c r="FR109" i="12"/>
  <c r="FS109" i="12"/>
  <c r="FT109" i="12"/>
  <c r="FU109" i="12"/>
  <c r="FV109" i="12"/>
  <c r="FW109" i="12"/>
  <c r="FX109" i="12"/>
  <c r="FY109" i="12"/>
  <c r="FZ109" i="12"/>
  <c r="GA109" i="12"/>
  <c r="GB109" i="12"/>
  <c r="GC109" i="12"/>
  <c r="GD109" i="12"/>
  <c r="GE109" i="12"/>
  <c r="GF109" i="12"/>
  <c r="GG109" i="12"/>
  <c r="GH109" i="12"/>
  <c r="GI109" i="12"/>
  <c r="GJ109" i="12"/>
  <c r="GK109" i="12"/>
  <c r="GL109" i="12"/>
  <c r="GM109" i="12"/>
  <c r="GN109" i="12"/>
  <c r="GO109" i="12"/>
  <c r="GP109" i="12"/>
  <c r="GQ109" i="12"/>
  <c r="GR109" i="12"/>
  <c r="GS109" i="12"/>
  <c r="GT109" i="12"/>
  <c r="GU109" i="12"/>
  <c r="GV109" i="12"/>
  <c r="GW109" i="12"/>
  <c r="GX109" i="12"/>
  <c r="GY109" i="12"/>
  <c r="GZ109" i="12"/>
  <c r="HA109" i="12"/>
  <c r="HB109" i="12"/>
  <c r="HC109" i="12"/>
  <c r="HD109" i="12"/>
  <c r="HE109" i="12"/>
  <c r="HF109" i="12"/>
  <c r="HG109" i="12"/>
  <c r="HH109" i="12"/>
  <c r="HI109" i="12"/>
  <c r="HJ109" i="12"/>
  <c r="HK109" i="12"/>
  <c r="HL109" i="12"/>
  <c r="HM109" i="12"/>
  <c r="HN109" i="12"/>
  <c r="HO109" i="12"/>
  <c r="HP109" i="12"/>
  <c r="HQ109" i="12"/>
  <c r="HR109" i="12"/>
  <c r="HS109" i="12"/>
  <c r="HT109" i="12"/>
  <c r="HU109" i="12"/>
  <c r="HV109" i="12"/>
  <c r="HW109" i="12"/>
  <c r="HX109" i="12"/>
  <c r="HY109" i="12"/>
  <c r="HZ109" i="12"/>
  <c r="IA109" i="12"/>
  <c r="IB109" i="12"/>
  <c r="IC109" i="12"/>
  <c r="ID109" i="12"/>
  <c r="IE109" i="12"/>
  <c r="IF109" i="12"/>
  <c r="IG109" i="12"/>
  <c r="IH109" i="12"/>
  <c r="II109" i="12"/>
  <c r="IJ109" i="12"/>
  <c r="IK109" i="12"/>
  <c r="IL109" i="12"/>
  <c r="IM109" i="12"/>
  <c r="IN109" i="12"/>
  <c r="IO109" i="12"/>
  <c r="IP109" i="12"/>
  <c r="IQ109" i="12"/>
  <c r="IR109" i="12"/>
  <c r="IS109" i="12"/>
  <c r="IT109" i="12"/>
  <c r="IU109" i="12"/>
  <c r="IV109" i="12"/>
  <c r="F110" i="12"/>
  <c r="G110" i="12"/>
  <c r="H110" i="12"/>
  <c r="I110" i="12"/>
  <c r="J110" i="12"/>
  <c r="K110" i="12"/>
  <c r="L110" i="12"/>
  <c r="M110" i="12"/>
  <c r="N110" i="12"/>
  <c r="O110" i="12"/>
  <c r="P110" i="12"/>
  <c r="Q110" i="12"/>
  <c r="R110" i="12"/>
  <c r="S110" i="12"/>
  <c r="T110" i="12"/>
  <c r="U110" i="12"/>
  <c r="V110" i="12"/>
  <c r="W110" i="12"/>
  <c r="X110" i="12"/>
  <c r="Y110" i="12"/>
  <c r="Z110" i="12"/>
  <c r="AA110" i="12"/>
  <c r="AB110" i="12"/>
  <c r="AC110" i="12"/>
  <c r="AD110" i="12"/>
  <c r="AE110" i="12"/>
  <c r="AF110" i="12"/>
  <c r="AG110" i="12"/>
  <c r="AH110" i="12"/>
  <c r="AI110" i="12"/>
  <c r="AJ110" i="12"/>
  <c r="AK110" i="12"/>
  <c r="AL110" i="12"/>
  <c r="AM110" i="12"/>
  <c r="AN110" i="12"/>
  <c r="AO110" i="12"/>
  <c r="AP110" i="12"/>
  <c r="AQ110" i="12"/>
  <c r="AR110" i="12"/>
  <c r="AS110" i="12"/>
  <c r="AT110" i="12"/>
  <c r="AU110" i="12"/>
  <c r="AV110" i="12"/>
  <c r="AW110" i="12"/>
  <c r="AX110" i="12"/>
  <c r="AY110" i="12"/>
  <c r="AZ110" i="12"/>
  <c r="BA110" i="12"/>
  <c r="BB110" i="12"/>
  <c r="BC110" i="12"/>
  <c r="BD110" i="12"/>
  <c r="BE110" i="12"/>
  <c r="BF110" i="12"/>
  <c r="BG110" i="12"/>
  <c r="BH110" i="12"/>
  <c r="BI110" i="12"/>
  <c r="BJ110" i="12"/>
  <c r="BK110" i="12"/>
  <c r="BL110" i="12"/>
  <c r="BM110" i="12"/>
  <c r="BN110" i="12"/>
  <c r="BO110" i="12"/>
  <c r="BP110" i="12"/>
  <c r="BQ110" i="12"/>
  <c r="BR110" i="12"/>
  <c r="BS110" i="12"/>
  <c r="BT110" i="12"/>
  <c r="BU110" i="12"/>
  <c r="BV110" i="12"/>
  <c r="BW110" i="12"/>
  <c r="BX110" i="12"/>
  <c r="BY110" i="12"/>
  <c r="BZ110" i="12"/>
  <c r="CA110" i="12"/>
  <c r="CB110" i="12"/>
  <c r="CC110" i="12"/>
  <c r="CD110" i="12"/>
  <c r="CE110" i="12"/>
  <c r="CF110" i="12"/>
  <c r="CG110" i="12"/>
  <c r="CH110" i="12"/>
  <c r="CI110" i="12"/>
  <c r="CJ110" i="12"/>
  <c r="CK110" i="12"/>
  <c r="CL110" i="12"/>
  <c r="CM110" i="12"/>
  <c r="CN110" i="12"/>
  <c r="CO110" i="12"/>
  <c r="CP110" i="12"/>
  <c r="CQ110" i="12"/>
  <c r="CR110" i="12"/>
  <c r="CS110" i="12"/>
  <c r="CT110" i="12"/>
  <c r="CU110" i="12"/>
  <c r="CV110" i="12"/>
  <c r="CW110" i="12"/>
  <c r="CX110" i="12"/>
  <c r="CY110" i="12"/>
  <c r="CZ110" i="12"/>
  <c r="DA110" i="12"/>
  <c r="DB110" i="12"/>
  <c r="DC110" i="12"/>
  <c r="DD110" i="12"/>
  <c r="DE110" i="12"/>
  <c r="DF110" i="12"/>
  <c r="DG110" i="12"/>
  <c r="DH110" i="12"/>
  <c r="DI110" i="12"/>
  <c r="DJ110" i="12"/>
  <c r="DK110" i="12"/>
  <c r="DL110" i="12"/>
  <c r="DM110" i="12"/>
  <c r="DN110" i="12"/>
  <c r="DO110" i="12"/>
  <c r="DP110" i="12"/>
  <c r="DQ110" i="12"/>
  <c r="DR110" i="12"/>
  <c r="DS110" i="12"/>
  <c r="DT110" i="12"/>
  <c r="DU110" i="12"/>
  <c r="DV110" i="12"/>
  <c r="DW110" i="12"/>
  <c r="DX110" i="12"/>
  <c r="DY110" i="12"/>
  <c r="DZ110" i="12"/>
  <c r="EA110" i="12"/>
  <c r="EB110" i="12"/>
  <c r="EC110" i="12"/>
  <c r="ED110" i="12"/>
  <c r="EE110" i="12"/>
  <c r="EF110" i="12"/>
  <c r="EG110" i="12"/>
  <c r="EH110" i="12"/>
  <c r="EI110" i="12"/>
  <c r="EJ110" i="12"/>
  <c r="EK110" i="12"/>
  <c r="EL110" i="12"/>
  <c r="EM110" i="12"/>
  <c r="EN110" i="12"/>
  <c r="EO110" i="12"/>
  <c r="EP110" i="12"/>
  <c r="EQ110" i="12"/>
  <c r="ER110" i="12"/>
  <c r="ES110" i="12"/>
  <c r="ET110" i="12"/>
  <c r="EU110" i="12"/>
  <c r="EV110" i="12"/>
  <c r="EW110" i="12"/>
  <c r="EX110" i="12"/>
  <c r="EY110" i="12"/>
  <c r="EZ110" i="12"/>
  <c r="FA110" i="12"/>
  <c r="FB110" i="12"/>
  <c r="FC110" i="12"/>
  <c r="FD110" i="12"/>
  <c r="FE110" i="12"/>
  <c r="FF110" i="12"/>
  <c r="FG110" i="12"/>
  <c r="FH110" i="12"/>
  <c r="FI110" i="12"/>
  <c r="FJ110" i="12"/>
  <c r="FK110" i="12"/>
  <c r="FL110" i="12"/>
  <c r="FM110" i="12"/>
  <c r="FN110" i="12"/>
  <c r="FO110" i="12"/>
  <c r="FP110" i="12"/>
  <c r="FQ110" i="12"/>
  <c r="FR110" i="12"/>
  <c r="FS110" i="12"/>
  <c r="FT110" i="12"/>
  <c r="FU110" i="12"/>
  <c r="FV110" i="12"/>
  <c r="FW110" i="12"/>
  <c r="FX110" i="12"/>
  <c r="FY110" i="12"/>
  <c r="FZ110" i="12"/>
  <c r="GA110" i="12"/>
  <c r="GB110" i="12"/>
  <c r="GC110" i="12"/>
  <c r="GD110" i="12"/>
  <c r="GE110" i="12"/>
  <c r="GF110" i="12"/>
  <c r="GG110" i="12"/>
  <c r="GH110" i="12"/>
  <c r="GI110" i="12"/>
  <c r="GJ110" i="12"/>
  <c r="GK110" i="12"/>
  <c r="GL110" i="12"/>
  <c r="GM110" i="12"/>
  <c r="GN110" i="12"/>
  <c r="GO110" i="12"/>
  <c r="GP110" i="12"/>
  <c r="GQ110" i="12"/>
  <c r="GR110" i="12"/>
  <c r="GS110" i="12"/>
  <c r="GT110" i="12"/>
  <c r="GU110" i="12"/>
  <c r="GV110" i="12"/>
  <c r="GW110" i="12"/>
  <c r="GX110" i="12"/>
  <c r="GY110" i="12"/>
  <c r="GZ110" i="12"/>
  <c r="HA110" i="12"/>
  <c r="HB110" i="12"/>
  <c r="HC110" i="12"/>
  <c r="HD110" i="12"/>
  <c r="HE110" i="12"/>
  <c r="HF110" i="12"/>
  <c r="HG110" i="12"/>
  <c r="HH110" i="12"/>
  <c r="HI110" i="12"/>
  <c r="HJ110" i="12"/>
  <c r="HK110" i="12"/>
  <c r="HL110" i="12"/>
  <c r="HM110" i="12"/>
  <c r="HN110" i="12"/>
  <c r="HO110" i="12"/>
  <c r="HP110" i="12"/>
  <c r="HQ110" i="12"/>
  <c r="HR110" i="12"/>
  <c r="HS110" i="12"/>
  <c r="HT110" i="12"/>
  <c r="HU110" i="12"/>
  <c r="HV110" i="12"/>
  <c r="HW110" i="12"/>
  <c r="HX110" i="12"/>
  <c r="HY110" i="12"/>
  <c r="HZ110" i="12"/>
  <c r="IA110" i="12"/>
  <c r="IB110" i="12"/>
  <c r="IC110" i="12"/>
  <c r="ID110" i="12"/>
  <c r="IE110" i="12"/>
  <c r="IF110" i="12"/>
  <c r="IG110" i="12"/>
  <c r="IH110" i="12"/>
  <c r="II110" i="12"/>
  <c r="IJ110" i="12"/>
  <c r="IK110" i="12"/>
  <c r="IL110" i="12"/>
  <c r="IM110" i="12"/>
  <c r="IN110" i="12"/>
  <c r="IO110" i="12"/>
  <c r="IP110" i="12"/>
  <c r="IQ110" i="12"/>
  <c r="IR110" i="12"/>
  <c r="IS110" i="12"/>
  <c r="IT110" i="12"/>
  <c r="IU110" i="12"/>
  <c r="IV110" i="12"/>
  <c r="F111" i="12"/>
  <c r="G111" i="12"/>
  <c r="H111" i="12"/>
  <c r="I111" i="12"/>
  <c r="J111" i="12"/>
  <c r="K111" i="12"/>
  <c r="L111" i="12"/>
  <c r="M111" i="12"/>
  <c r="N111" i="12"/>
  <c r="O111" i="12"/>
  <c r="P111" i="12"/>
  <c r="Q111" i="12"/>
  <c r="R111" i="12"/>
  <c r="S111" i="12"/>
  <c r="T111" i="12"/>
  <c r="U111" i="12"/>
  <c r="V111" i="12"/>
  <c r="W111" i="12"/>
  <c r="X111" i="12"/>
  <c r="Y111" i="12"/>
  <c r="Z111" i="12"/>
  <c r="AA111" i="12"/>
  <c r="AB111" i="12"/>
  <c r="AC111" i="12"/>
  <c r="AD111" i="12"/>
  <c r="AE111" i="12"/>
  <c r="AF111" i="12"/>
  <c r="AG111" i="12"/>
  <c r="AH111" i="12"/>
  <c r="AI111" i="12"/>
  <c r="AJ111" i="12"/>
  <c r="AK111" i="12"/>
  <c r="AL111" i="12"/>
  <c r="AM111" i="12"/>
  <c r="AN111" i="12"/>
  <c r="AO111" i="12"/>
  <c r="AP111" i="12"/>
  <c r="AQ111" i="12"/>
  <c r="AR111" i="12"/>
  <c r="AS111" i="12"/>
  <c r="AT111" i="12"/>
  <c r="AU111" i="12"/>
  <c r="AV111" i="12"/>
  <c r="AW111" i="12"/>
  <c r="AX111" i="12"/>
  <c r="AY111" i="12"/>
  <c r="AZ111" i="12"/>
  <c r="BA111" i="12"/>
  <c r="BB111" i="12"/>
  <c r="BC111" i="12"/>
  <c r="BD111" i="12"/>
  <c r="BE111" i="12"/>
  <c r="BF111" i="12"/>
  <c r="BG111" i="12"/>
  <c r="BH111" i="12"/>
  <c r="BI111" i="12"/>
  <c r="BJ111" i="12"/>
  <c r="BK111" i="12"/>
  <c r="BL111" i="12"/>
  <c r="BM111" i="12"/>
  <c r="BN111" i="12"/>
  <c r="BO111" i="12"/>
  <c r="BP111" i="12"/>
  <c r="BQ111" i="12"/>
  <c r="BR111" i="12"/>
  <c r="BS111" i="12"/>
  <c r="BT111" i="12"/>
  <c r="BU111" i="12"/>
  <c r="BV111" i="12"/>
  <c r="BW111" i="12"/>
  <c r="BX111" i="12"/>
  <c r="BY111" i="12"/>
  <c r="BZ111" i="12"/>
  <c r="CA111" i="12"/>
  <c r="CB111" i="12"/>
  <c r="CC111" i="12"/>
  <c r="CD111" i="12"/>
  <c r="CE111" i="12"/>
  <c r="CF111" i="12"/>
  <c r="CG111" i="12"/>
  <c r="CH111" i="12"/>
  <c r="CI111" i="12"/>
  <c r="CJ111" i="12"/>
  <c r="CK111" i="12"/>
  <c r="CL111" i="12"/>
  <c r="CM111" i="12"/>
  <c r="CN111" i="12"/>
  <c r="CO111" i="12"/>
  <c r="CP111" i="12"/>
  <c r="CQ111" i="12"/>
  <c r="CR111" i="12"/>
  <c r="CS111" i="12"/>
  <c r="CT111" i="12"/>
  <c r="CU111" i="12"/>
  <c r="CV111" i="12"/>
  <c r="CW111" i="12"/>
  <c r="CX111" i="12"/>
  <c r="CY111" i="12"/>
  <c r="CZ111" i="12"/>
  <c r="DA111" i="12"/>
  <c r="DB111" i="12"/>
  <c r="DC111" i="12"/>
  <c r="DD111" i="12"/>
  <c r="DE111" i="12"/>
  <c r="DF111" i="12"/>
  <c r="DG111" i="12"/>
  <c r="DH111" i="12"/>
  <c r="DI111" i="12"/>
  <c r="DJ111" i="12"/>
  <c r="DK111" i="12"/>
  <c r="DL111" i="12"/>
  <c r="DM111" i="12"/>
  <c r="DN111" i="12"/>
  <c r="DO111" i="12"/>
  <c r="DP111" i="12"/>
  <c r="DQ111" i="12"/>
  <c r="DR111" i="12"/>
  <c r="DS111" i="12"/>
  <c r="DT111" i="12"/>
  <c r="DU111" i="12"/>
  <c r="DV111" i="12"/>
  <c r="DW111" i="12"/>
  <c r="DX111" i="12"/>
  <c r="DY111" i="12"/>
  <c r="DZ111" i="12"/>
  <c r="EA111" i="12"/>
  <c r="EB111" i="12"/>
  <c r="EC111" i="12"/>
  <c r="ED111" i="12"/>
  <c r="EE111" i="12"/>
  <c r="EF111" i="12"/>
  <c r="EG111" i="12"/>
  <c r="EH111" i="12"/>
  <c r="EI111" i="12"/>
  <c r="EJ111" i="12"/>
  <c r="EK111" i="12"/>
  <c r="EL111" i="12"/>
  <c r="EM111" i="12"/>
  <c r="EN111" i="12"/>
  <c r="EO111" i="12"/>
  <c r="EP111" i="12"/>
  <c r="EQ111" i="12"/>
  <c r="ER111" i="12"/>
  <c r="ES111" i="12"/>
  <c r="ET111" i="12"/>
  <c r="EU111" i="12"/>
  <c r="EV111" i="12"/>
  <c r="EW111" i="12"/>
  <c r="EX111" i="12"/>
  <c r="EY111" i="12"/>
  <c r="EZ111" i="12"/>
  <c r="FA111" i="12"/>
  <c r="FB111" i="12"/>
  <c r="FC111" i="12"/>
  <c r="FD111" i="12"/>
  <c r="FE111" i="12"/>
  <c r="FF111" i="12"/>
  <c r="FG111" i="12"/>
  <c r="FH111" i="12"/>
  <c r="FI111" i="12"/>
  <c r="FJ111" i="12"/>
  <c r="FK111" i="12"/>
  <c r="FL111" i="12"/>
  <c r="FM111" i="12"/>
  <c r="FN111" i="12"/>
  <c r="FO111" i="12"/>
  <c r="FP111" i="12"/>
  <c r="FQ111" i="12"/>
  <c r="FR111" i="12"/>
  <c r="FS111" i="12"/>
  <c r="FT111" i="12"/>
  <c r="FU111" i="12"/>
  <c r="FV111" i="12"/>
  <c r="FW111" i="12"/>
  <c r="FX111" i="12"/>
  <c r="FY111" i="12"/>
  <c r="FZ111" i="12"/>
  <c r="GA111" i="12"/>
  <c r="GB111" i="12"/>
  <c r="GC111" i="12"/>
  <c r="GD111" i="12"/>
  <c r="GE111" i="12"/>
  <c r="GF111" i="12"/>
  <c r="GG111" i="12"/>
  <c r="GH111" i="12"/>
  <c r="GI111" i="12"/>
  <c r="GJ111" i="12"/>
  <c r="GK111" i="12"/>
  <c r="GL111" i="12"/>
  <c r="GM111" i="12"/>
  <c r="GN111" i="12"/>
  <c r="GO111" i="12"/>
  <c r="GP111" i="12"/>
  <c r="GQ111" i="12"/>
  <c r="GR111" i="12"/>
  <c r="GS111" i="12"/>
  <c r="GT111" i="12"/>
  <c r="GU111" i="12"/>
  <c r="GV111" i="12"/>
  <c r="GW111" i="12"/>
  <c r="GX111" i="12"/>
  <c r="GY111" i="12"/>
  <c r="GZ111" i="12"/>
  <c r="HA111" i="12"/>
  <c r="HB111" i="12"/>
  <c r="HC111" i="12"/>
  <c r="HD111" i="12"/>
  <c r="HE111" i="12"/>
  <c r="HF111" i="12"/>
  <c r="HG111" i="12"/>
  <c r="HH111" i="12"/>
  <c r="HI111" i="12"/>
  <c r="HJ111" i="12"/>
  <c r="HK111" i="12"/>
  <c r="HL111" i="12"/>
  <c r="HM111" i="12"/>
  <c r="HN111" i="12"/>
  <c r="HO111" i="12"/>
  <c r="HP111" i="12"/>
  <c r="HQ111" i="12"/>
  <c r="HR111" i="12"/>
  <c r="HS111" i="12"/>
  <c r="HT111" i="12"/>
  <c r="HU111" i="12"/>
  <c r="HV111" i="12"/>
  <c r="HW111" i="12"/>
  <c r="HX111" i="12"/>
  <c r="HY111" i="12"/>
  <c r="HZ111" i="12"/>
  <c r="IA111" i="12"/>
  <c r="IB111" i="12"/>
  <c r="IC111" i="12"/>
  <c r="ID111" i="12"/>
  <c r="IE111" i="12"/>
  <c r="IF111" i="12"/>
  <c r="IG111" i="12"/>
  <c r="IH111" i="12"/>
  <c r="II111" i="12"/>
  <c r="IJ111" i="12"/>
  <c r="IK111" i="12"/>
  <c r="IL111" i="12"/>
  <c r="IM111" i="12"/>
  <c r="IN111" i="12"/>
  <c r="IO111" i="12"/>
  <c r="IP111" i="12"/>
  <c r="IQ111" i="12"/>
  <c r="IR111" i="12"/>
  <c r="IS111" i="12"/>
  <c r="IT111" i="12"/>
  <c r="IU111" i="12"/>
  <c r="IV111" i="12"/>
  <c r="F112" i="12"/>
  <c r="G112" i="12"/>
  <c r="H112" i="12"/>
  <c r="I112" i="12"/>
  <c r="J112" i="12"/>
  <c r="K112" i="12"/>
  <c r="L112" i="12"/>
  <c r="M112" i="12"/>
  <c r="N112" i="12"/>
  <c r="O112" i="12"/>
  <c r="P112" i="12"/>
  <c r="Q112" i="12"/>
  <c r="R112" i="12"/>
  <c r="S112" i="12"/>
  <c r="T112" i="12"/>
  <c r="U112" i="12"/>
  <c r="V112" i="12"/>
  <c r="W112" i="12"/>
  <c r="X112" i="12"/>
  <c r="Y112" i="12"/>
  <c r="Z112" i="12"/>
  <c r="AA112" i="12"/>
  <c r="AB112" i="12"/>
  <c r="AC112" i="12"/>
  <c r="AD112" i="12"/>
  <c r="AE112" i="12"/>
  <c r="AF112" i="12"/>
  <c r="AG112" i="12"/>
  <c r="AH112" i="12"/>
  <c r="AI112" i="12"/>
  <c r="AJ112" i="12"/>
  <c r="AK112" i="12"/>
  <c r="AL112" i="12"/>
  <c r="AM112" i="12"/>
  <c r="AN112" i="12"/>
  <c r="AO112" i="12"/>
  <c r="AP112" i="12"/>
  <c r="AQ112" i="12"/>
  <c r="AR112" i="12"/>
  <c r="AS112" i="12"/>
  <c r="AT112" i="12"/>
  <c r="AU112" i="12"/>
  <c r="AV112" i="12"/>
  <c r="AW112" i="12"/>
  <c r="AX112" i="12"/>
  <c r="AY112" i="12"/>
  <c r="AZ112" i="12"/>
  <c r="BA112" i="12"/>
  <c r="BB112" i="12"/>
  <c r="BC112" i="12"/>
  <c r="BD112" i="12"/>
  <c r="BE112" i="12"/>
  <c r="BF112" i="12"/>
  <c r="BG112" i="12"/>
  <c r="BH112" i="12"/>
  <c r="BI112" i="12"/>
  <c r="BJ112" i="12"/>
  <c r="BK112" i="12"/>
  <c r="BL112" i="12"/>
  <c r="BM112" i="12"/>
  <c r="BN112" i="12"/>
  <c r="BO112" i="12"/>
  <c r="BP112" i="12"/>
  <c r="BQ112" i="12"/>
  <c r="BR112" i="12"/>
  <c r="BS112" i="12"/>
  <c r="BT112" i="12"/>
  <c r="BU112" i="12"/>
  <c r="BV112" i="12"/>
  <c r="BW112" i="12"/>
  <c r="BX112" i="12"/>
  <c r="BY112" i="12"/>
  <c r="BZ112" i="12"/>
  <c r="CA112" i="12"/>
  <c r="CB112" i="12"/>
  <c r="CC112" i="12"/>
  <c r="CD112" i="12"/>
  <c r="CE112" i="12"/>
  <c r="CF112" i="12"/>
  <c r="CG112" i="12"/>
  <c r="CH112" i="12"/>
  <c r="CI112" i="12"/>
  <c r="CJ112" i="12"/>
  <c r="CK112" i="12"/>
  <c r="CL112" i="12"/>
  <c r="CM112" i="12"/>
  <c r="CN112" i="12"/>
  <c r="CO112" i="12"/>
  <c r="CP112" i="12"/>
  <c r="CQ112" i="12"/>
  <c r="CR112" i="12"/>
  <c r="CS112" i="12"/>
  <c r="CT112" i="12"/>
  <c r="CU112" i="12"/>
  <c r="CV112" i="12"/>
  <c r="CW112" i="12"/>
  <c r="CX112" i="12"/>
  <c r="CY112" i="12"/>
  <c r="CZ112" i="12"/>
  <c r="DA112" i="12"/>
  <c r="DB112" i="12"/>
  <c r="DC112" i="12"/>
  <c r="DD112" i="12"/>
  <c r="DE112" i="12"/>
  <c r="DF112" i="12"/>
  <c r="DG112" i="12"/>
  <c r="DH112" i="12"/>
  <c r="DI112" i="12"/>
  <c r="DJ112" i="12"/>
  <c r="DK112" i="12"/>
  <c r="DL112" i="12"/>
  <c r="DM112" i="12"/>
  <c r="DN112" i="12"/>
  <c r="DO112" i="12"/>
  <c r="DP112" i="12"/>
  <c r="DQ112" i="12"/>
  <c r="DR112" i="12"/>
  <c r="DS112" i="12"/>
  <c r="DT112" i="12"/>
  <c r="DU112" i="12"/>
  <c r="DV112" i="12"/>
  <c r="DW112" i="12"/>
  <c r="DX112" i="12"/>
  <c r="DY112" i="12"/>
  <c r="DZ112" i="12"/>
  <c r="EA112" i="12"/>
  <c r="EB112" i="12"/>
  <c r="EC112" i="12"/>
  <c r="ED112" i="12"/>
  <c r="EE112" i="12"/>
  <c r="EF112" i="12"/>
  <c r="EG112" i="12"/>
  <c r="EH112" i="12"/>
  <c r="EI112" i="12"/>
  <c r="EJ112" i="12"/>
  <c r="EK112" i="12"/>
  <c r="EL112" i="12"/>
  <c r="EM112" i="12"/>
  <c r="EN112" i="12"/>
  <c r="EO112" i="12"/>
  <c r="EP112" i="12"/>
  <c r="EQ112" i="12"/>
  <c r="ER112" i="12"/>
  <c r="ES112" i="12"/>
  <c r="ET112" i="12"/>
  <c r="EU112" i="12"/>
  <c r="EV112" i="12"/>
  <c r="EW112" i="12"/>
  <c r="EX112" i="12"/>
  <c r="EY112" i="12"/>
  <c r="EZ112" i="12"/>
  <c r="FA112" i="12"/>
  <c r="FB112" i="12"/>
  <c r="FC112" i="12"/>
  <c r="FD112" i="12"/>
  <c r="FE112" i="12"/>
  <c r="FF112" i="12"/>
  <c r="FG112" i="12"/>
  <c r="FH112" i="12"/>
  <c r="FI112" i="12"/>
  <c r="FJ112" i="12"/>
  <c r="FK112" i="12"/>
  <c r="FL112" i="12"/>
  <c r="FM112" i="12"/>
  <c r="FN112" i="12"/>
  <c r="FO112" i="12"/>
  <c r="FP112" i="12"/>
  <c r="FQ112" i="12"/>
  <c r="FR112" i="12"/>
  <c r="FS112" i="12"/>
  <c r="FT112" i="12"/>
  <c r="FU112" i="12"/>
  <c r="FV112" i="12"/>
  <c r="FW112" i="12"/>
  <c r="FX112" i="12"/>
  <c r="FY112" i="12"/>
  <c r="FZ112" i="12"/>
  <c r="GA112" i="12"/>
  <c r="GB112" i="12"/>
  <c r="GC112" i="12"/>
  <c r="GD112" i="12"/>
  <c r="GE112" i="12"/>
  <c r="GF112" i="12"/>
  <c r="GG112" i="12"/>
  <c r="GH112" i="12"/>
  <c r="GI112" i="12"/>
  <c r="GJ112" i="12"/>
  <c r="GK112" i="12"/>
  <c r="GL112" i="12"/>
  <c r="GM112" i="12"/>
  <c r="GN112" i="12"/>
  <c r="GO112" i="12"/>
  <c r="GP112" i="12"/>
  <c r="GQ112" i="12"/>
  <c r="GR112" i="12"/>
  <c r="GS112" i="12"/>
  <c r="GT112" i="12"/>
  <c r="GU112" i="12"/>
  <c r="GV112" i="12"/>
  <c r="GW112" i="12"/>
  <c r="GX112" i="12"/>
  <c r="GY112" i="12"/>
  <c r="GZ112" i="12"/>
  <c r="HA112" i="12"/>
  <c r="HB112" i="12"/>
  <c r="HC112" i="12"/>
  <c r="HD112" i="12"/>
  <c r="HE112" i="12"/>
  <c r="HF112" i="12"/>
  <c r="HG112" i="12"/>
  <c r="HH112" i="12"/>
  <c r="HI112" i="12"/>
  <c r="HJ112" i="12"/>
  <c r="HK112" i="12"/>
  <c r="HL112" i="12"/>
  <c r="HM112" i="12"/>
  <c r="HN112" i="12"/>
  <c r="HO112" i="12"/>
  <c r="HP112" i="12"/>
  <c r="HQ112" i="12"/>
  <c r="HR112" i="12"/>
  <c r="HS112" i="12"/>
  <c r="HT112" i="12"/>
  <c r="HU112" i="12"/>
  <c r="HV112" i="12"/>
  <c r="HW112" i="12"/>
  <c r="HX112" i="12"/>
  <c r="HY112" i="12"/>
  <c r="HZ112" i="12"/>
  <c r="IA112" i="12"/>
  <c r="IB112" i="12"/>
  <c r="IC112" i="12"/>
  <c r="ID112" i="12"/>
  <c r="IE112" i="12"/>
  <c r="IF112" i="12"/>
  <c r="IG112" i="12"/>
  <c r="IH112" i="12"/>
  <c r="II112" i="12"/>
  <c r="IJ112" i="12"/>
  <c r="IK112" i="12"/>
  <c r="IL112" i="12"/>
  <c r="IM112" i="12"/>
  <c r="IN112" i="12"/>
  <c r="IO112" i="12"/>
  <c r="IP112" i="12"/>
  <c r="IQ112" i="12"/>
  <c r="IR112" i="12"/>
  <c r="IS112" i="12"/>
  <c r="IT112" i="12"/>
  <c r="IU112" i="12"/>
  <c r="IV112" i="12"/>
  <c r="F113" i="12"/>
  <c r="G113" i="12"/>
  <c r="H113" i="12"/>
  <c r="I113" i="12"/>
  <c r="J113" i="12"/>
  <c r="K113" i="12"/>
  <c r="L113" i="12"/>
  <c r="M113" i="12"/>
  <c r="N113" i="12"/>
  <c r="O113" i="12"/>
  <c r="P113" i="12"/>
  <c r="Q113" i="12"/>
  <c r="R113" i="12"/>
  <c r="S113" i="12"/>
  <c r="T113" i="12"/>
  <c r="U113" i="12"/>
  <c r="V113" i="12"/>
  <c r="W113" i="12"/>
  <c r="X113" i="12"/>
  <c r="Y113" i="12"/>
  <c r="Z113" i="12"/>
  <c r="AA113" i="12"/>
  <c r="AB113" i="12"/>
  <c r="AC113" i="12"/>
  <c r="AD113" i="12"/>
  <c r="AE113" i="12"/>
  <c r="AF113" i="12"/>
  <c r="AG113" i="12"/>
  <c r="AH113" i="12"/>
  <c r="AI113" i="12"/>
  <c r="AJ113" i="12"/>
  <c r="AK113" i="12"/>
  <c r="AL113" i="12"/>
  <c r="AM113" i="12"/>
  <c r="AN113" i="12"/>
  <c r="AO113" i="12"/>
  <c r="AP113" i="12"/>
  <c r="AQ113" i="12"/>
  <c r="AR113" i="12"/>
  <c r="AS113" i="12"/>
  <c r="AT113" i="12"/>
  <c r="AU113" i="12"/>
  <c r="AV113" i="12"/>
  <c r="AW113" i="12"/>
  <c r="AX113" i="12"/>
  <c r="AY113" i="12"/>
  <c r="AZ113" i="12"/>
  <c r="BA113" i="12"/>
  <c r="BB113" i="12"/>
  <c r="BC113" i="12"/>
  <c r="BD113" i="12"/>
  <c r="BE113" i="12"/>
  <c r="BF113" i="12"/>
  <c r="BG113" i="12"/>
  <c r="BH113" i="12"/>
  <c r="BI113" i="12"/>
  <c r="BJ113" i="12"/>
  <c r="BK113" i="12"/>
  <c r="BL113" i="12"/>
  <c r="BM113" i="12"/>
  <c r="BN113" i="12"/>
  <c r="BO113" i="12"/>
  <c r="BP113" i="12"/>
  <c r="BQ113" i="12"/>
  <c r="BR113" i="12"/>
  <c r="BS113" i="12"/>
  <c r="BT113" i="12"/>
  <c r="BU113" i="12"/>
  <c r="BV113" i="12"/>
  <c r="BW113" i="12"/>
  <c r="BX113" i="12"/>
  <c r="BY113" i="12"/>
  <c r="BZ113" i="12"/>
  <c r="CA113" i="12"/>
  <c r="CB113" i="12"/>
  <c r="CC113" i="12"/>
  <c r="CD113" i="12"/>
  <c r="CE113" i="12"/>
  <c r="CF113" i="12"/>
  <c r="CG113" i="12"/>
  <c r="CH113" i="12"/>
  <c r="CI113" i="12"/>
  <c r="CJ113" i="12"/>
  <c r="CK113" i="12"/>
  <c r="CL113" i="12"/>
  <c r="CM113" i="12"/>
  <c r="CN113" i="12"/>
  <c r="CO113" i="12"/>
  <c r="CP113" i="12"/>
  <c r="CQ113" i="12"/>
  <c r="CR113" i="12"/>
  <c r="CS113" i="12"/>
  <c r="CT113" i="12"/>
  <c r="CU113" i="12"/>
  <c r="CV113" i="12"/>
  <c r="CW113" i="12"/>
  <c r="CX113" i="12"/>
  <c r="CY113" i="12"/>
  <c r="CZ113" i="12"/>
  <c r="DA113" i="12"/>
  <c r="DB113" i="12"/>
  <c r="DC113" i="12"/>
  <c r="DD113" i="12"/>
  <c r="DE113" i="12"/>
  <c r="DF113" i="12"/>
  <c r="DG113" i="12"/>
  <c r="DH113" i="12"/>
  <c r="DI113" i="12"/>
  <c r="DJ113" i="12"/>
  <c r="DK113" i="12"/>
  <c r="DL113" i="12"/>
  <c r="DM113" i="12"/>
  <c r="DN113" i="12"/>
  <c r="DO113" i="12"/>
  <c r="DP113" i="12"/>
  <c r="DQ113" i="12"/>
  <c r="DR113" i="12"/>
  <c r="DS113" i="12"/>
  <c r="DT113" i="12"/>
  <c r="DU113" i="12"/>
  <c r="DV113" i="12"/>
  <c r="DW113" i="12"/>
  <c r="DX113" i="12"/>
  <c r="DY113" i="12"/>
  <c r="DZ113" i="12"/>
  <c r="EA113" i="12"/>
  <c r="EB113" i="12"/>
  <c r="EC113" i="12"/>
  <c r="ED113" i="12"/>
  <c r="EE113" i="12"/>
  <c r="EF113" i="12"/>
  <c r="EG113" i="12"/>
  <c r="EH113" i="12"/>
  <c r="EI113" i="12"/>
  <c r="EJ113" i="12"/>
  <c r="EK113" i="12"/>
  <c r="EL113" i="12"/>
  <c r="EM113" i="12"/>
  <c r="EN113" i="12"/>
  <c r="EO113" i="12"/>
  <c r="EP113" i="12"/>
  <c r="EQ113" i="12"/>
  <c r="ER113" i="12"/>
  <c r="ES113" i="12"/>
  <c r="ET113" i="12"/>
  <c r="EU113" i="12"/>
  <c r="EV113" i="12"/>
  <c r="EW113" i="12"/>
  <c r="EX113" i="12"/>
  <c r="EY113" i="12"/>
  <c r="EZ113" i="12"/>
  <c r="FA113" i="12"/>
  <c r="FB113" i="12"/>
  <c r="FC113" i="12"/>
  <c r="FD113" i="12"/>
  <c r="FE113" i="12"/>
  <c r="FF113" i="12"/>
  <c r="FG113" i="12"/>
  <c r="FH113" i="12"/>
  <c r="FI113" i="12"/>
  <c r="FJ113" i="12"/>
  <c r="FK113" i="12"/>
  <c r="FL113" i="12"/>
  <c r="FM113" i="12"/>
  <c r="FN113" i="12"/>
  <c r="FO113" i="12"/>
  <c r="FP113" i="12"/>
  <c r="FQ113" i="12"/>
  <c r="FR113" i="12"/>
  <c r="FS113" i="12"/>
  <c r="FT113" i="12"/>
  <c r="FU113" i="12"/>
  <c r="FV113" i="12"/>
  <c r="FW113" i="12"/>
  <c r="FX113" i="12"/>
  <c r="FY113" i="12"/>
  <c r="FZ113" i="12"/>
  <c r="GA113" i="12"/>
  <c r="GB113" i="12"/>
  <c r="GC113" i="12"/>
  <c r="GD113" i="12"/>
  <c r="GE113" i="12"/>
  <c r="GF113" i="12"/>
  <c r="GG113" i="12"/>
  <c r="GH113" i="12"/>
  <c r="GI113" i="12"/>
  <c r="GJ113" i="12"/>
  <c r="GK113" i="12"/>
  <c r="GL113" i="12"/>
  <c r="GM113" i="12"/>
  <c r="GN113" i="12"/>
  <c r="GO113" i="12"/>
  <c r="GP113" i="12"/>
  <c r="GQ113" i="12"/>
  <c r="GR113" i="12"/>
  <c r="GS113" i="12"/>
  <c r="GT113" i="12"/>
  <c r="GU113" i="12"/>
  <c r="GV113" i="12"/>
  <c r="GW113" i="12"/>
  <c r="GX113" i="12"/>
  <c r="GY113" i="12"/>
  <c r="GZ113" i="12"/>
  <c r="HA113" i="12"/>
  <c r="HB113" i="12"/>
  <c r="HC113" i="12"/>
  <c r="HD113" i="12"/>
  <c r="HE113" i="12"/>
  <c r="HF113" i="12"/>
  <c r="HG113" i="12"/>
  <c r="HH113" i="12"/>
  <c r="HI113" i="12"/>
  <c r="HJ113" i="12"/>
  <c r="HK113" i="12"/>
  <c r="HL113" i="12"/>
  <c r="HM113" i="12"/>
  <c r="HN113" i="12"/>
  <c r="HO113" i="12"/>
  <c r="HP113" i="12"/>
  <c r="HQ113" i="12"/>
  <c r="HR113" i="12"/>
  <c r="HS113" i="12"/>
  <c r="HT113" i="12"/>
  <c r="HU113" i="12"/>
  <c r="HV113" i="12"/>
  <c r="HW113" i="12"/>
  <c r="HX113" i="12"/>
  <c r="HY113" i="12"/>
  <c r="HZ113" i="12"/>
  <c r="IA113" i="12"/>
  <c r="IB113" i="12"/>
  <c r="IC113" i="12"/>
  <c r="ID113" i="12"/>
  <c r="IE113" i="12"/>
  <c r="IF113" i="12"/>
  <c r="IG113" i="12"/>
  <c r="IH113" i="12"/>
  <c r="II113" i="12"/>
  <c r="IJ113" i="12"/>
  <c r="IK113" i="12"/>
  <c r="IL113" i="12"/>
  <c r="IM113" i="12"/>
  <c r="IN113" i="12"/>
  <c r="IO113" i="12"/>
  <c r="IP113" i="12"/>
  <c r="IQ113" i="12"/>
  <c r="IR113" i="12"/>
  <c r="IS113" i="12"/>
  <c r="IT113" i="12"/>
  <c r="IU113" i="12"/>
  <c r="IV113" i="12"/>
  <c r="F114" i="12"/>
  <c r="G114" i="12"/>
  <c r="H114" i="12"/>
  <c r="I114" i="12"/>
  <c r="J114" i="12"/>
  <c r="K114" i="12"/>
  <c r="L114" i="12"/>
  <c r="M114" i="12"/>
  <c r="N114" i="12"/>
  <c r="O114" i="12"/>
  <c r="P114" i="12"/>
  <c r="Q114" i="12"/>
  <c r="R114" i="12"/>
  <c r="S114" i="12"/>
  <c r="T114" i="12"/>
  <c r="U114" i="12"/>
  <c r="V114" i="12"/>
  <c r="W114" i="12"/>
  <c r="X114" i="12"/>
  <c r="Y114" i="12"/>
  <c r="Z114" i="12"/>
  <c r="AA114" i="12"/>
  <c r="AB114" i="12"/>
  <c r="AC114" i="12"/>
  <c r="AD114" i="12"/>
  <c r="AE114" i="12"/>
  <c r="AF114" i="12"/>
  <c r="AG114" i="12"/>
  <c r="AH114" i="12"/>
  <c r="AI114" i="12"/>
  <c r="AJ114" i="12"/>
  <c r="AK114" i="12"/>
  <c r="AL114" i="12"/>
  <c r="AM114" i="12"/>
  <c r="AN114" i="12"/>
  <c r="AO114" i="12"/>
  <c r="AP114" i="12"/>
  <c r="AQ114" i="12"/>
  <c r="AR114" i="12"/>
  <c r="AS114" i="12"/>
  <c r="AT114" i="12"/>
  <c r="AU114" i="12"/>
  <c r="AV114" i="12"/>
  <c r="AW114" i="12"/>
  <c r="AX114" i="12"/>
  <c r="AY114" i="12"/>
  <c r="AZ114" i="12"/>
  <c r="BA114" i="12"/>
  <c r="BB114" i="12"/>
  <c r="BC114" i="12"/>
  <c r="BD114" i="12"/>
  <c r="BE114" i="12"/>
  <c r="BF114" i="12"/>
  <c r="BG114" i="12"/>
  <c r="BH114" i="12"/>
  <c r="BI114" i="12"/>
  <c r="BJ114" i="12"/>
  <c r="BK114" i="12"/>
  <c r="BL114" i="12"/>
  <c r="BM114" i="12"/>
  <c r="BN114" i="12"/>
  <c r="BO114" i="12"/>
  <c r="BP114" i="12"/>
  <c r="BQ114" i="12"/>
  <c r="BR114" i="12"/>
  <c r="BS114" i="12"/>
  <c r="BT114" i="12"/>
  <c r="BU114" i="12"/>
  <c r="BV114" i="12"/>
  <c r="BW114" i="12"/>
  <c r="BX114" i="12"/>
  <c r="BY114" i="12"/>
  <c r="BZ114" i="12"/>
  <c r="CA114" i="12"/>
  <c r="CB114" i="12"/>
  <c r="CC114" i="12"/>
  <c r="CD114" i="12"/>
  <c r="CE114" i="12"/>
  <c r="CF114" i="12"/>
  <c r="CG114" i="12"/>
  <c r="CH114" i="12"/>
  <c r="CI114" i="12"/>
  <c r="CJ114" i="12"/>
  <c r="CK114" i="12"/>
  <c r="CL114" i="12"/>
  <c r="CM114" i="12"/>
  <c r="CN114" i="12"/>
  <c r="CO114" i="12"/>
  <c r="CP114" i="12"/>
  <c r="CQ114" i="12"/>
  <c r="CR114" i="12"/>
  <c r="CS114" i="12"/>
  <c r="CT114" i="12"/>
  <c r="CU114" i="12"/>
  <c r="CV114" i="12"/>
  <c r="CW114" i="12"/>
  <c r="CX114" i="12"/>
  <c r="CY114" i="12"/>
  <c r="CZ114" i="12"/>
  <c r="DA114" i="12"/>
  <c r="DB114" i="12"/>
  <c r="DC114" i="12"/>
  <c r="DD114" i="12"/>
  <c r="DE114" i="12"/>
  <c r="DF114" i="12"/>
  <c r="DG114" i="12"/>
  <c r="DH114" i="12"/>
  <c r="DI114" i="12"/>
  <c r="DJ114" i="12"/>
  <c r="DK114" i="12"/>
  <c r="DL114" i="12"/>
  <c r="DM114" i="12"/>
  <c r="DN114" i="12"/>
  <c r="DO114" i="12"/>
  <c r="DP114" i="12"/>
  <c r="DQ114" i="12"/>
  <c r="DR114" i="12"/>
  <c r="DS114" i="12"/>
  <c r="DT114" i="12"/>
  <c r="DU114" i="12"/>
  <c r="DV114" i="12"/>
  <c r="DW114" i="12"/>
  <c r="DX114" i="12"/>
  <c r="DY114" i="12"/>
  <c r="DZ114" i="12"/>
  <c r="EA114" i="12"/>
  <c r="EB114" i="12"/>
  <c r="EC114" i="12"/>
  <c r="ED114" i="12"/>
  <c r="EE114" i="12"/>
  <c r="EF114" i="12"/>
  <c r="EG114" i="12"/>
  <c r="EH114" i="12"/>
  <c r="EI114" i="12"/>
  <c r="EJ114" i="12"/>
  <c r="EK114" i="12"/>
  <c r="EL114" i="12"/>
  <c r="EM114" i="12"/>
  <c r="EN114" i="12"/>
  <c r="EO114" i="12"/>
  <c r="EP114" i="12"/>
  <c r="EQ114" i="12"/>
  <c r="ER114" i="12"/>
  <c r="ES114" i="12"/>
  <c r="ET114" i="12"/>
  <c r="EU114" i="12"/>
  <c r="EV114" i="12"/>
  <c r="EW114" i="12"/>
  <c r="EX114" i="12"/>
  <c r="EY114" i="12"/>
  <c r="EZ114" i="12"/>
  <c r="FA114" i="12"/>
  <c r="FB114" i="12"/>
  <c r="FC114" i="12"/>
  <c r="FD114" i="12"/>
  <c r="FE114" i="12"/>
  <c r="FF114" i="12"/>
  <c r="FG114" i="12"/>
  <c r="FH114" i="12"/>
  <c r="FI114" i="12"/>
  <c r="FJ114" i="12"/>
  <c r="FK114" i="12"/>
  <c r="FL114" i="12"/>
  <c r="FM114" i="12"/>
  <c r="FN114" i="12"/>
  <c r="FO114" i="12"/>
  <c r="FP114" i="12"/>
  <c r="FQ114" i="12"/>
  <c r="FR114" i="12"/>
  <c r="FS114" i="12"/>
  <c r="FT114" i="12"/>
  <c r="FU114" i="12"/>
  <c r="FV114" i="12"/>
  <c r="FW114" i="12"/>
  <c r="FX114" i="12"/>
  <c r="FY114" i="12"/>
  <c r="FZ114" i="12"/>
  <c r="GA114" i="12"/>
  <c r="GB114" i="12"/>
  <c r="GC114" i="12"/>
  <c r="GD114" i="12"/>
  <c r="GE114" i="12"/>
  <c r="GF114" i="12"/>
  <c r="GG114" i="12"/>
  <c r="GH114" i="12"/>
  <c r="GI114" i="12"/>
  <c r="GJ114" i="12"/>
  <c r="GK114" i="12"/>
  <c r="GL114" i="12"/>
  <c r="GM114" i="12"/>
  <c r="GN114" i="12"/>
  <c r="GO114" i="12"/>
  <c r="GP114" i="12"/>
  <c r="GQ114" i="12"/>
  <c r="GR114" i="12"/>
  <c r="GS114" i="12"/>
  <c r="GT114" i="12"/>
  <c r="GU114" i="12"/>
  <c r="GV114" i="12"/>
  <c r="GW114" i="12"/>
  <c r="GX114" i="12"/>
  <c r="GY114" i="12"/>
  <c r="GZ114" i="12"/>
  <c r="HA114" i="12"/>
  <c r="HB114" i="12"/>
  <c r="HC114" i="12"/>
  <c r="HD114" i="12"/>
  <c r="HE114" i="12"/>
  <c r="HF114" i="12"/>
  <c r="HG114" i="12"/>
  <c r="HH114" i="12"/>
  <c r="HI114" i="12"/>
  <c r="HJ114" i="12"/>
  <c r="HK114" i="12"/>
  <c r="HL114" i="12"/>
  <c r="HM114" i="12"/>
  <c r="HN114" i="12"/>
  <c r="HO114" i="12"/>
  <c r="HP114" i="12"/>
  <c r="HQ114" i="12"/>
  <c r="HR114" i="12"/>
  <c r="HS114" i="12"/>
  <c r="HT114" i="12"/>
  <c r="HU114" i="12"/>
  <c r="HV114" i="12"/>
  <c r="HW114" i="12"/>
  <c r="HX114" i="12"/>
  <c r="HY114" i="12"/>
  <c r="HZ114" i="12"/>
  <c r="IA114" i="12"/>
  <c r="IB114" i="12"/>
  <c r="IC114" i="12"/>
  <c r="ID114" i="12"/>
  <c r="IE114" i="12"/>
  <c r="IF114" i="12"/>
  <c r="IG114" i="12"/>
  <c r="IH114" i="12"/>
  <c r="II114" i="12"/>
  <c r="IJ114" i="12"/>
  <c r="IK114" i="12"/>
  <c r="IL114" i="12"/>
  <c r="IM114" i="12"/>
  <c r="IN114" i="12"/>
  <c r="IO114" i="12"/>
  <c r="IP114" i="12"/>
  <c r="IQ114" i="12"/>
  <c r="IR114" i="12"/>
  <c r="IS114" i="12"/>
  <c r="IT114" i="12"/>
  <c r="IU114" i="12"/>
  <c r="IV114" i="12"/>
  <c r="F115" i="12"/>
  <c r="G115" i="12"/>
  <c r="H115" i="12"/>
  <c r="I115" i="12"/>
  <c r="J115" i="12"/>
  <c r="K115" i="12"/>
  <c r="L115" i="12"/>
  <c r="M115" i="12"/>
  <c r="N115" i="12"/>
  <c r="O115" i="12"/>
  <c r="P115" i="12"/>
  <c r="Q115" i="12"/>
  <c r="R115" i="12"/>
  <c r="S115" i="12"/>
  <c r="T115" i="12"/>
  <c r="U115" i="12"/>
  <c r="V115" i="12"/>
  <c r="W115" i="12"/>
  <c r="X115" i="12"/>
  <c r="Y115" i="12"/>
  <c r="Z115" i="12"/>
  <c r="AA115" i="12"/>
  <c r="AB115" i="12"/>
  <c r="AC115" i="12"/>
  <c r="AD115" i="12"/>
  <c r="AE115" i="12"/>
  <c r="AF115" i="12"/>
  <c r="AG115" i="12"/>
  <c r="AH115" i="12"/>
  <c r="AI115" i="12"/>
  <c r="AJ115" i="12"/>
  <c r="AK115" i="12"/>
  <c r="AL115" i="12"/>
  <c r="AM115" i="12"/>
  <c r="AN115" i="12"/>
  <c r="AO115" i="12"/>
  <c r="AP115" i="12"/>
  <c r="AQ115" i="12"/>
  <c r="AR115" i="12"/>
  <c r="AS115" i="12"/>
  <c r="AT115" i="12"/>
  <c r="AU115" i="12"/>
  <c r="AV115" i="12"/>
  <c r="AW115" i="12"/>
  <c r="AX115" i="12"/>
  <c r="AY115" i="12"/>
  <c r="AZ115" i="12"/>
  <c r="BA115" i="12"/>
  <c r="BB115" i="12"/>
  <c r="BC115" i="12"/>
  <c r="BD115" i="12"/>
  <c r="BE115" i="12"/>
  <c r="BF115" i="12"/>
  <c r="BG115" i="12"/>
  <c r="BH115" i="12"/>
  <c r="BI115" i="12"/>
  <c r="BJ115" i="12"/>
  <c r="BK115" i="12"/>
  <c r="BL115" i="12"/>
  <c r="BM115" i="12"/>
  <c r="BN115" i="12"/>
  <c r="BO115" i="12"/>
  <c r="BP115" i="12"/>
  <c r="BQ115" i="12"/>
  <c r="BR115" i="12"/>
  <c r="BS115" i="12"/>
  <c r="BT115" i="12"/>
  <c r="BU115" i="12"/>
  <c r="BV115" i="12"/>
  <c r="BW115" i="12"/>
  <c r="BX115" i="12"/>
  <c r="BY115" i="12"/>
  <c r="BZ115" i="12"/>
  <c r="CA115" i="12"/>
  <c r="CB115" i="12"/>
  <c r="CC115" i="12"/>
  <c r="CD115" i="12"/>
  <c r="CE115" i="12"/>
  <c r="CF115" i="12"/>
  <c r="CG115" i="12"/>
  <c r="CH115" i="12"/>
  <c r="CI115" i="12"/>
  <c r="CJ115" i="12"/>
  <c r="CK115" i="12"/>
  <c r="CL115" i="12"/>
  <c r="CM115" i="12"/>
  <c r="CN115" i="12"/>
  <c r="CO115" i="12"/>
  <c r="CP115" i="12"/>
  <c r="CQ115" i="12"/>
  <c r="CR115" i="12"/>
  <c r="CS115" i="12"/>
  <c r="CT115" i="12"/>
  <c r="CU115" i="12"/>
  <c r="CV115" i="12"/>
  <c r="CW115" i="12"/>
  <c r="CX115" i="12"/>
  <c r="CY115" i="12"/>
  <c r="CZ115" i="12"/>
  <c r="DA115" i="12"/>
  <c r="DB115" i="12"/>
  <c r="DC115" i="12"/>
  <c r="DD115" i="12"/>
  <c r="DE115" i="12"/>
  <c r="DF115" i="12"/>
  <c r="DG115" i="12"/>
  <c r="DH115" i="12"/>
  <c r="DI115" i="12"/>
  <c r="DJ115" i="12"/>
  <c r="DK115" i="12"/>
  <c r="DL115" i="12"/>
  <c r="DM115" i="12"/>
  <c r="DN115" i="12"/>
  <c r="DO115" i="12"/>
  <c r="DP115" i="12"/>
  <c r="DQ115" i="12"/>
  <c r="DR115" i="12"/>
  <c r="DS115" i="12"/>
  <c r="DT115" i="12"/>
  <c r="DU115" i="12"/>
  <c r="DV115" i="12"/>
  <c r="DW115" i="12"/>
  <c r="DX115" i="12"/>
  <c r="DY115" i="12"/>
  <c r="DZ115" i="12"/>
  <c r="EA115" i="12"/>
  <c r="EB115" i="12"/>
  <c r="EC115" i="12"/>
  <c r="ED115" i="12"/>
  <c r="EE115" i="12"/>
  <c r="EF115" i="12"/>
  <c r="EG115" i="12"/>
  <c r="EH115" i="12"/>
  <c r="EI115" i="12"/>
  <c r="EJ115" i="12"/>
  <c r="EK115" i="12"/>
  <c r="EL115" i="12"/>
  <c r="EM115" i="12"/>
  <c r="EN115" i="12"/>
  <c r="EO115" i="12"/>
  <c r="EP115" i="12"/>
  <c r="EQ115" i="12"/>
  <c r="ER115" i="12"/>
  <c r="ES115" i="12"/>
  <c r="ET115" i="12"/>
  <c r="EU115" i="12"/>
  <c r="EV115" i="12"/>
  <c r="EW115" i="12"/>
  <c r="EX115" i="12"/>
  <c r="EY115" i="12"/>
  <c r="EZ115" i="12"/>
  <c r="FA115" i="12"/>
  <c r="FB115" i="12"/>
  <c r="FC115" i="12"/>
  <c r="FD115" i="12"/>
  <c r="FE115" i="12"/>
  <c r="FF115" i="12"/>
  <c r="FG115" i="12"/>
  <c r="FH115" i="12"/>
  <c r="FI115" i="12"/>
  <c r="FJ115" i="12"/>
  <c r="FK115" i="12"/>
  <c r="FL115" i="12"/>
  <c r="FM115" i="12"/>
  <c r="FN115" i="12"/>
  <c r="FO115" i="12"/>
  <c r="FP115" i="12"/>
  <c r="FQ115" i="12"/>
  <c r="FR115" i="12"/>
  <c r="FS115" i="12"/>
  <c r="FT115" i="12"/>
  <c r="FU115" i="12"/>
  <c r="FV115" i="12"/>
  <c r="FW115" i="12"/>
  <c r="FX115" i="12"/>
  <c r="FY115" i="12"/>
  <c r="FZ115" i="12"/>
  <c r="GA115" i="12"/>
  <c r="GB115" i="12"/>
  <c r="GC115" i="12"/>
  <c r="GD115" i="12"/>
  <c r="GE115" i="12"/>
  <c r="GF115" i="12"/>
  <c r="GG115" i="12"/>
  <c r="GH115" i="12"/>
  <c r="GI115" i="12"/>
  <c r="GJ115" i="12"/>
  <c r="GK115" i="12"/>
  <c r="GL115" i="12"/>
  <c r="GM115" i="12"/>
  <c r="GN115" i="12"/>
  <c r="GO115" i="12"/>
  <c r="GP115" i="12"/>
  <c r="GQ115" i="12"/>
  <c r="GR115" i="12"/>
  <c r="GS115" i="12"/>
  <c r="GT115" i="12"/>
  <c r="GU115" i="12"/>
  <c r="GV115" i="12"/>
  <c r="GW115" i="12"/>
  <c r="GX115" i="12"/>
  <c r="GY115" i="12"/>
  <c r="GZ115" i="12"/>
  <c r="HA115" i="12"/>
  <c r="HB115" i="12"/>
  <c r="HC115" i="12"/>
  <c r="HD115" i="12"/>
  <c r="HE115" i="12"/>
  <c r="HF115" i="12"/>
  <c r="HG115" i="12"/>
  <c r="HH115" i="12"/>
  <c r="HI115" i="12"/>
  <c r="HJ115" i="12"/>
  <c r="HK115" i="12"/>
  <c r="HL115" i="12"/>
  <c r="HM115" i="12"/>
  <c r="HN115" i="12"/>
  <c r="HO115" i="12"/>
  <c r="HP115" i="12"/>
  <c r="HQ115" i="12"/>
  <c r="HR115" i="12"/>
  <c r="HS115" i="12"/>
  <c r="HT115" i="12"/>
  <c r="HU115" i="12"/>
  <c r="HV115" i="12"/>
  <c r="HW115" i="12"/>
  <c r="HX115" i="12"/>
  <c r="HY115" i="12"/>
  <c r="HZ115" i="12"/>
  <c r="IA115" i="12"/>
  <c r="IB115" i="12"/>
  <c r="IC115" i="12"/>
  <c r="ID115" i="12"/>
  <c r="IE115" i="12"/>
  <c r="IF115" i="12"/>
  <c r="IG115" i="12"/>
  <c r="IH115" i="12"/>
  <c r="II115" i="12"/>
  <c r="IJ115" i="12"/>
  <c r="IK115" i="12"/>
  <c r="IL115" i="12"/>
  <c r="IM115" i="12"/>
  <c r="IN115" i="12"/>
  <c r="IO115" i="12"/>
  <c r="IP115" i="12"/>
  <c r="IQ115" i="12"/>
  <c r="IR115" i="12"/>
  <c r="IS115" i="12"/>
  <c r="IT115" i="12"/>
  <c r="IU115" i="12"/>
  <c r="IV115" i="12"/>
  <c r="F116" i="12"/>
  <c r="G116" i="12"/>
  <c r="H116" i="12"/>
  <c r="I116" i="12"/>
  <c r="J116" i="12"/>
  <c r="K116" i="12"/>
  <c r="L116" i="12"/>
  <c r="M116" i="12"/>
  <c r="N116" i="12"/>
  <c r="O116" i="12"/>
  <c r="P116" i="12"/>
  <c r="Q116" i="12"/>
  <c r="R116" i="12"/>
  <c r="S116" i="12"/>
  <c r="T116" i="12"/>
  <c r="U116" i="12"/>
  <c r="V116" i="12"/>
  <c r="W116" i="12"/>
  <c r="X116" i="12"/>
  <c r="Y116" i="12"/>
  <c r="Z116" i="12"/>
  <c r="AA116" i="12"/>
  <c r="AB116" i="12"/>
  <c r="AC116" i="12"/>
  <c r="AD116" i="12"/>
  <c r="AE116" i="12"/>
  <c r="AF116" i="12"/>
  <c r="AG116" i="12"/>
  <c r="AH116" i="12"/>
  <c r="AI116" i="12"/>
  <c r="AJ116" i="12"/>
  <c r="AK116" i="12"/>
  <c r="AL116" i="12"/>
  <c r="AM116" i="12"/>
  <c r="AN116" i="12"/>
  <c r="AO116" i="12"/>
  <c r="AP116" i="12"/>
  <c r="AQ116" i="12"/>
  <c r="AR116" i="12"/>
  <c r="AS116" i="12"/>
  <c r="AT116" i="12"/>
  <c r="AU116" i="12"/>
  <c r="AV116" i="12"/>
  <c r="AW116" i="12"/>
  <c r="AX116" i="12"/>
  <c r="AY116" i="12"/>
  <c r="AZ116" i="12"/>
  <c r="BA116" i="12"/>
  <c r="BB116" i="12"/>
  <c r="BC116" i="12"/>
  <c r="BD116" i="12"/>
  <c r="BE116" i="12"/>
  <c r="BF116" i="12"/>
  <c r="BG116" i="12"/>
  <c r="BH116" i="12"/>
  <c r="BI116" i="12"/>
  <c r="BJ116" i="12"/>
  <c r="BK116" i="12"/>
  <c r="BL116" i="12"/>
  <c r="BM116" i="12"/>
  <c r="BN116" i="12"/>
  <c r="BO116" i="12"/>
  <c r="BP116" i="12"/>
  <c r="BQ116" i="12"/>
  <c r="BR116" i="12"/>
  <c r="BS116" i="12"/>
  <c r="BT116" i="12"/>
  <c r="BU116" i="12"/>
  <c r="BV116" i="12"/>
  <c r="BW116" i="12"/>
  <c r="BX116" i="12"/>
  <c r="BY116" i="12"/>
  <c r="BZ116" i="12"/>
  <c r="CA116" i="12"/>
  <c r="CB116" i="12"/>
  <c r="CC116" i="12"/>
  <c r="CD116" i="12"/>
  <c r="CE116" i="12"/>
  <c r="CF116" i="12"/>
  <c r="CG116" i="12"/>
  <c r="CH116" i="12"/>
  <c r="CI116" i="12"/>
  <c r="CJ116" i="12"/>
  <c r="CK116" i="12"/>
  <c r="CL116" i="12"/>
  <c r="CM116" i="12"/>
  <c r="CN116" i="12"/>
  <c r="CO116" i="12"/>
  <c r="CP116" i="12"/>
  <c r="CQ116" i="12"/>
  <c r="CR116" i="12"/>
  <c r="CS116" i="12"/>
  <c r="CT116" i="12"/>
  <c r="CU116" i="12"/>
  <c r="CV116" i="12"/>
  <c r="CW116" i="12"/>
  <c r="CX116" i="12"/>
  <c r="CY116" i="12"/>
  <c r="CZ116" i="12"/>
  <c r="DA116" i="12"/>
  <c r="DB116" i="12"/>
  <c r="DC116" i="12"/>
  <c r="DD116" i="12"/>
  <c r="DE116" i="12"/>
  <c r="DF116" i="12"/>
  <c r="DG116" i="12"/>
  <c r="DH116" i="12"/>
  <c r="DI116" i="12"/>
  <c r="DJ116" i="12"/>
  <c r="DK116" i="12"/>
  <c r="DL116" i="12"/>
  <c r="DM116" i="12"/>
  <c r="DN116" i="12"/>
  <c r="DO116" i="12"/>
  <c r="DP116" i="12"/>
  <c r="DQ116" i="12"/>
  <c r="DR116" i="12"/>
  <c r="DS116" i="12"/>
  <c r="DT116" i="12"/>
  <c r="DU116" i="12"/>
  <c r="DV116" i="12"/>
  <c r="DW116" i="12"/>
  <c r="DX116" i="12"/>
  <c r="DY116" i="12"/>
  <c r="DZ116" i="12"/>
  <c r="EA116" i="12"/>
  <c r="EB116" i="12"/>
  <c r="EC116" i="12"/>
  <c r="ED116" i="12"/>
  <c r="EE116" i="12"/>
  <c r="EF116" i="12"/>
  <c r="EG116" i="12"/>
  <c r="EH116" i="12"/>
  <c r="EI116" i="12"/>
  <c r="EJ116" i="12"/>
  <c r="EK116" i="12"/>
  <c r="EL116" i="12"/>
  <c r="EM116" i="12"/>
  <c r="EN116" i="12"/>
  <c r="EO116" i="12"/>
  <c r="EP116" i="12"/>
  <c r="EQ116" i="12"/>
  <c r="ER116" i="12"/>
  <c r="ES116" i="12"/>
  <c r="ET116" i="12"/>
  <c r="EU116" i="12"/>
  <c r="EV116" i="12"/>
  <c r="EW116" i="12"/>
  <c r="EX116" i="12"/>
  <c r="EY116" i="12"/>
  <c r="EZ116" i="12"/>
  <c r="FA116" i="12"/>
  <c r="FB116" i="12"/>
  <c r="FC116" i="12"/>
  <c r="FD116" i="12"/>
  <c r="FE116" i="12"/>
  <c r="FF116" i="12"/>
  <c r="FG116" i="12"/>
  <c r="FH116" i="12"/>
  <c r="FI116" i="12"/>
  <c r="FJ116" i="12"/>
  <c r="FK116" i="12"/>
  <c r="FL116" i="12"/>
  <c r="FM116" i="12"/>
  <c r="FN116" i="12"/>
  <c r="FO116" i="12"/>
  <c r="FP116" i="12"/>
  <c r="FQ116" i="12"/>
  <c r="FR116" i="12"/>
  <c r="FS116" i="12"/>
  <c r="FT116" i="12"/>
  <c r="FU116" i="12"/>
  <c r="FV116" i="12"/>
  <c r="FW116" i="12"/>
  <c r="FX116" i="12"/>
  <c r="FY116" i="12"/>
  <c r="FZ116" i="12"/>
  <c r="GA116" i="12"/>
  <c r="GB116" i="12"/>
  <c r="GC116" i="12"/>
  <c r="GD116" i="12"/>
  <c r="GE116" i="12"/>
  <c r="GF116" i="12"/>
  <c r="GG116" i="12"/>
  <c r="GH116" i="12"/>
  <c r="GI116" i="12"/>
  <c r="GJ116" i="12"/>
  <c r="GK116" i="12"/>
  <c r="GL116" i="12"/>
  <c r="GM116" i="12"/>
  <c r="GN116" i="12"/>
  <c r="GO116" i="12"/>
  <c r="GP116" i="12"/>
  <c r="GQ116" i="12"/>
  <c r="GR116" i="12"/>
  <c r="GS116" i="12"/>
  <c r="GT116" i="12"/>
  <c r="GU116" i="12"/>
  <c r="GV116" i="12"/>
  <c r="GW116" i="12"/>
  <c r="GX116" i="12"/>
  <c r="GY116" i="12"/>
  <c r="GZ116" i="12"/>
  <c r="HA116" i="12"/>
  <c r="HB116" i="12"/>
  <c r="HC116" i="12"/>
  <c r="HD116" i="12"/>
  <c r="HE116" i="12"/>
  <c r="HF116" i="12"/>
  <c r="HG116" i="12"/>
  <c r="HH116" i="12"/>
  <c r="HI116" i="12"/>
  <c r="HJ116" i="12"/>
  <c r="HK116" i="12"/>
  <c r="HL116" i="12"/>
  <c r="HM116" i="12"/>
  <c r="HN116" i="12"/>
  <c r="HO116" i="12"/>
  <c r="HP116" i="12"/>
  <c r="HQ116" i="12"/>
  <c r="HR116" i="12"/>
  <c r="HS116" i="12"/>
  <c r="HT116" i="12"/>
  <c r="HU116" i="12"/>
  <c r="HV116" i="12"/>
  <c r="HW116" i="12"/>
  <c r="HX116" i="12"/>
  <c r="HY116" i="12"/>
  <c r="HZ116" i="12"/>
  <c r="IA116" i="12"/>
  <c r="IB116" i="12"/>
  <c r="IC116" i="12"/>
  <c r="ID116" i="12"/>
  <c r="IE116" i="12"/>
  <c r="IF116" i="12"/>
  <c r="IG116" i="12"/>
  <c r="IH116" i="12"/>
  <c r="II116" i="12"/>
  <c r="IJ116" i="12"/>
  <c r="IK116" i="12"/>
  <c r="IL116" i="12"/>
  <c r="IM116" i="12"/>
  <c r="IN116" i="12"/>
  <c r="IO116" i="12"/>
  <c r="IP116" i="12"/>
  <c r="IQ116" i="12"/>
  <c r="IR116" i="12"/>
  <c r="IS116" i="12"/>
  <c r="IT116" i="12"/>
  <c r="IU116" i="12"/>
  <c r="IV116" i="12"/>
  <c r="F117" i="12"/>
  <c r="G117" i="12"/>
  <c r="H117" i="12"/>
  <c r="I117" i="12"/>
  <c r="J117" i="12"/>
  <c r="K117" i="12"/>
  <c r="L117" i="12"/>
  <c r="M117" i="12"/>
  <c r="N117" i="12"/>
  <c r="O117" i="12"/>
  <c r="P117" i="12"/>
  <c r="Q117" i="12"/>
  <c r="R117" i="12"/>
  <c r="S117" i="12"/>
  <c r="T117" i="12"/>
  <c r="U117" i="12"/>
  <c r="V117" i="12"/>
  <c r="W117" i="12"/>
  <c r="X117" i="12"/>
  <c r="Y117" i="12"/>
  <c r="Z117" i="12"/>
  <c r="AA117" i="12"/>
  <c r="AB117" i="12"/>
  <c r="AC117" i="12"/>
  <c r="AD117" i="12"/>
  <c r="AE117" i="12"/>
  <c r="AF117" i="12"/>
  <c r="AG117" i="12"/>
  <c r="AH117" i="12"/>
  <c r="AI117" i="12"/>
  <c r="AJ117" i="12"/>
  <c r="AK117" i="12"/>
  <c r="AL117" i="12"/>
  <c r="AM117" i="12"/>
  <c r="AN117" i="12"/>
  <c r="AO117" i="12"/>
  <c r="AP117" i="12"/>
  <c r="AQ117" i="12"/>
  <c r="AR117" i="12"/>
  <c r="AS117" i="12"/>
  <c r="AT117" i="12"/>
  <c r="AU117" i="12"/>
  <c r="AV117" i="12"/>
  <c r="AW117" i="12"/>
  <c r="AX117" i="12"/>
  <c r="AY117" i="12"/>
  <c r="AZ117" i="12"/>
  <c r="BA117" i="12"/>
  <c r="BB117" i="12"/>
  <c r="BC117" i="12"/>
  <c r="BD117" i="12"/>
  <c r="BE117" i="12"/>
  <c r="BF117" i="12"/>
  <c r="BG117" i="12"/>
  <c r="BH117" i="12"/>
  <c r="BI117" i="12"/>
  <c r="BJ117" i="12"/>
  <c r="BK117" i="12"/>
  <c r="BL117" i="12"/>
  <c r="BM117" i="12"/>
  <c r="BN117" i="12"/>
  <c r="BO117" i="12"/>
  <c r="BP117" i="12"/>
  <c r="BQ117" i="12"/>
  <c r="BR117" i="12"/>
  <c r="BS117" i="12"/>
  <c r="BT117" i="12"/>
  <c r="BU117" i="12"/>
  <c r="BV117" i="12"/>
  <c r="BW117" i="12"/>
  <c r="BX117" i="12"/>
  <c r="BY117" i="12"/>
  <c r="BZ117" i="12"/>
  <c r="CA117" i="12"/>
  <c r="CB117" i="12"/>
  <c r="CC117" i="12"/>
  <c r="CD117" i="12"/>
  <c r="CE117" i="12"/>
  <c r="CF117" i="12"/>
  <c r="CG117" i="12"/>
  <c r="CH117" i="12"/>
  <c r="CI117" i="12"/>
  <c r="CJ117" i="12"/>
  <c r="CK117" i="12"/>
  <c r="CL117" i="12"/>
  <c r="CM117" i="12"/>
  <c r="CN117" i="12"/>
  <c r="CO117" i="12"/>
  <c r="CP117" i="12"/>
  <c r="CQ117" i="12"/>
  <c r="CR117" i="12"/>
  <c r="CS117" i="12"/>
  <c r="CT117" i="12"/>
  <c r="CU117" i="12"/>
  <c r="CV117" i="12"/>
  <c r="CW117" i="12"/>
  <c r="CX117" i="12"/>
  <c r="CY117" i="12"/>
  <c r="CZ117" i="12"/>
  <c r="DA117" i="12"/>
  <c r="DB117" i="12"/>
  <c r="DC117" i="12"/>
  <c r="DD117" i="12"/>
  <c r="DE117" i="12"/>
  <c r="DF117" i="12"/>
  <c r="DG117" i="12"/>
  <c r="DH117" i="12"/>
  <c r="DI117" i="12"/>
  <c r="DJ117" i="12"/>
  <c r="DK117" i="12"/>
  <c r="DL117" i="12"/>
  <c r="DM117" i="12"/>
  <c r="DN117" i="12"/>
  <c r="DO117" i="12"/>
  <c r="DP117" i="12"/>
  <c r="DQ117" i="12"/>
  <c r="DR117" i="12"/>
  <c r="DS117" i="12"/>
  <c r="DT117" i="12"/>
  <c r="DU117" i="12"/>
  <c r="DV117" i="12"/>
  <c r="DW117" i="12"/>
  <c r="DX117" i="12"/>
  <c r="DY117" i="12"/>
  <c r="DZ117" i="12"/>
  <c r="EA117" i="12"/>
  <c r="EB117" i="12"/>
  <c r="EC117" i="12"/>
  <c r="ED117" i="12"/>
  <c r="EE117" i="12"/>
  <c r="EF117" i="12"/>
  <c r="EG117" i="12"/>
  <c r="EH117" i="12"/>
  <c r="EI117" i="12"/>
  <c r="EJ117" i="12"/>
  <c r="EK117" i="12"/>
  <c r="EL117" i="12"/>
  <c r="EM117" i="12"/>
  <c r="EN117" i="12"/>
  <c r="EO117" i="12"/>
  <c r="EP117" i="12"/>
  <c r="EQ117" i="12"/>
  <c r="ER117" i="12"/>
  <c r="ES117" i="12"/>
  <c r="ET117" i="12"/>
  <c r="EU117" i="12"/>
  <c r="EV117" i="12"/>
  <c r="EW117" i="12"/>
  <c r="EX117" i="12"/>
  <c r="EY117" i="12"/>
  <c r="EZ117" i="12"/>
  <c r="FA117" i="12"/>
  <c r="FB117" i="12"/>
  <c r="FC117" i="12"/>
  <c r="FD117" i="12"/>
  <c r="FE117" i="12"/>
  <c r="FF117" i="12"/>
  <c r="FG117" i="12"/>
  <c r="FH117" i="12"/>
  <c r="FI117" i="12"/>
  <c r="FJ117" i="12"/>
  <c r="FK117" i="12"/>
  <c r="FL117" i="12"/>
  <c r="FM117" i="12"/>
  <c r="FN117" i="12"/>
  <c r="FO117" i="12"/>
  <c r="FP117" i="12"/>
  <c r="FQ117" i="12"/>
  <c r="FR117" i="12"/>
  <c r="FS117" i="12"/>
  <c r="FT117" i="12"/>
  <c r="FU117" i="12"/>
  <c r="FV117" i="12"/>
  <c r="FW117" i="12"/>
  <c r="FX117" i="12"/>
  <c r="FY117" i="12"/>
  <c r="FZ117" i="12"/>
  <c r="GA117" i="12"/>
  <c r="GB117" i="12"/>
  <c r="GC117" i="12"/>
  <c r="GD117" i="12"/>
  <c r="GE117" i="12"/>
  <c r="GF117" i="12"/>
  <c r="GG117" i="12"/>
  <c r="GH117" i="12"/>
  <c r="GI117" i="12"/>
  <c r="GJ117" i="12"/>
  <c r="GK117" i="12"/>
  <c r="GL117" i="12"/>
  <c r="GM117" i="12"/>
  <c r="GN117" i="12"/>
  <c r="GO117" i="12"/>
  <c r="GP117" i="12"/>
  <c r="GQ117" i="12"/>
  <c r="GR117" i="12"/>
  <c r="GS117" i="12"/>
  <c r="GT117" i="12"/>
  <c r="GU117" i="12"/>
  <c r="GV117" i="12"/>
  <c r="GW117" i="12"/>
  <c r="GX117" i="12"/>
  <c r="GY117" i="12"/>
  <c r="GZ117" i="12"/>
  <c r="HA117" i="12"/>
  <c r="HB117" i="12"/>
  <c r="HC117" i="12"/>
  <c r="HD117" i="12"/>
  <c r="HE117" i="12"/>
  <c r="HF117" i="12"/>
  <c r="HG117" i="12"/>
  <c r="HH117" i="12"/>
  <c r="HI117" i="12"/>
  <c r="HJ117" i="12"/>
  <c r="HK117" i="12"/>
  <c r="HL117" i="12"/>
  <c r="HM117" i="12"/>
  <c r="HN117" i="12"/>
  <c r="HO117" i="12"/>
  <c r="HP117" i="12"/>
  <c r="HQ117" i="12"/>
  <c r="HR117" i="12"/>
  <c r="HS117" i="12"/>
  <c r="HT117" i="12"/>
  <c r="HU117" i="12"/>
  <c r="HV117" i="12"/>
  <c r="HW117" i="12"/>
  <c r="HX117" i="12"/>
  <c r="HY117" i="12"/>
  <c r="HZ117" i="12"/>
  <c r="IA117" i="12"/>
  <c r="IB117" i="12"/>
  <c r="IC117" i="12"/>
  <c r="ID117" i="12"/>
  <c r="IE117" i="12"/>
  <c r="IF117" i="12"/>
  <c r="IG117" i="12"/>
  <c r="IH117" i="12"/>
  <c r="II117" i="12"/>
  <c r="IJ117" i="12"/>
  <c r="IK117" i="12"/>
  <c r="IL117" i="12"/>
  <c r="IM117" i="12"/>
  <c r="IN117" i="12"/>
  <c r="IO117" i="12"/>
  <c r="IP117" i="12"/>
  <c r="IQ117" i="12"/>
  <c r="IR117" i="12"/>
  <c r="IS117" i="12"/>
  <c r="IT117" i="12"/>
  <c r="IU117" i="12"/>
  <c r="IV117" i="12"/>
  <c r="F118" i="12"/>
  <c r="G118" i="12"/>
  <c r="H118" i="12"/>
  <c r="I118" i="12"/>
  <c r="J118" i="12"/>
  <c r="K118" i="12"/>
  <c r="L118" i="12"/>
  <c r="M118" i="12"/>
  <c r="N118" i="12"/>
  <c r="O118" i="12"/>
  <c r="P118" i="12"/>
  <c r="Q118" i="12"/>
  <c r="R118" i="12"/>
  <c r="S118" i="12"/>
  <c r="T118" i="12"/>
  <c r="U118" i="12"/>
  <c r="V118" i="12"/>
  <c r="W118" i="12"/>
  <c r="X118" i="12"/>
  <c r="Y118" i="12"/>
  <c r="Z118" i="12"/>
  <c r="AA118" i="12"/>
  <c r="AB118" i="12"/>
  <c r="AC118" i="12"/>
  <c r="AD118" i="12"/>
  <c r="AE118" i="12"/>
  <c r="AF118" i="12"/>
  <c r="AG118" i="12"/>
  <c r="AH118" i="12"/>
  <c r="AI118" i="12"/>
  <c r="AJ118" i="12"/>
  <c r="AK118" i="12"/>
  <c r="AL118" i="12"/>
  <c r="AM118" i="12"/>
  <c r="AN118" i="12"/>
  <c r="AO118" i="12"/>
  <c r="AP118" i="12"/>
  <c r="AQ118" i="12"/>
  <c r="AR118" i="12"/>
  <c r="AS118" i="12"/>
  <c r="AT118" i="12"/>
  <c r="AU118" i="12"/>
  <c r="AV118" i="12"/>
  <c r="AW118" i="12"/>
  <c r="AX118" i="12"/>
  <c r="AY118" i="12"/>
  <c r="AZ118" i="12"/>
  <c r="BA118" i="12"/>
  <c r="BB118" i="12"/>
  <c r="BC118" i="12"/>
  <c r="BD118" i="12"/>
  <c r="BE118" i="12"/>
  <c r="BF118" i="12"/>
  <c r="BG118" i="12"/>
  <c r="BH118" i="12"/>
  <c r="BI118" i="12"/>
  <c r="BJ118" i="12"/>
  <c r="BK118" i="12"/>
  <c r="BL118" i="12"/>
  <c r="BM118" i="12"/>
  <c r="BN118" i="12"/>
  <c r="BO118" i="12"/>
  <c r="BP118" i="12"/>
  <c r="BQ118" i="12"/>
  <c r="BR118" i="12"/>
  <c r="BS118" i="12"/>
  <c r="BT118" i="12"/>
  <c r="BU118" i="12"/>
  <c r="BV118" i="12"/>
  <c r="BW118" i="12"/>
  <c r="BX118" i="12"/>
  <c r="BY118" i="12"/>
  <c r="BZ118" i="12"/>
  <c r="CA118" i="12"/>
  <c r="CB118" i="12"/>
  <c r="CC118" i="12"/>
  <c r="CD118" i="12"/>
  <c r="CE118" i="12"/>
  <c r="CF118" i="12"/>
  <c r="CG118" i="12"/>
  <c r="CH118" i="12"/>
  <c r="CI118" i="12"/>
  <c r="CJ118" i="12"/>
  <c r="CK118" i="12"/>
  <c r="CL118" i="12"/>
  <c r="CM118" i="12"/>
  <c r="CN118" i="12"/>
  <c r="CO118" i="12"/>
  <c r="CP118" i="12"/>
  <c r="CQ118" i="12"/>
  <c r="CR118" i="12"/>
  <c r="CS118" i="12"/>
  <c r="CT118" i="12"/>
  <c r="CU118" i="12"/>
  <c r="CV118" i="12"/>
  <c r="CW118" i="12"/>
  <c r="CX118" i="12"/>
  <c r="CY118" i="12"/>
  <c r="CZ118" i="12"/>
  <c r="DA118" i="12"/>
  <c r="DB118" i="12"/>
  <c r="DC118" i="12"/>
  <c r="DD118" i="12"/>
  <c r="DE118" i="12"/>
  <c r="DF118" i="12"/>
  <c r="DG118" i="12"/>
  <c r="DH118" i="12"/>
  <c r="DI118" i="12"/>
  <c r="DJ118" i="12"/>
  <c r="DK118" i="12"/>
  <c r="DL118" i="12"/>
  <c r="DM118" i="12"/>
  <c r="DN118" i="12"/>
  <c r="DO118" i="12"/>
  <c r="DP118" i="12"/>
  <c r="DQ118" i="12"/>
  <c r="DR118" i="12"/>
  <c r="DS118" i="12"/>
  <c r="DT118" i="12"/>
  <c r="DU118" i="12"/>
  <c r="DV118" i="12"/>
  <c r="DW118" i="12"/>
  <c r="DX118" i="12"/>
  <c r="DY118" i="12"/>
  <c r="DZ118" i="12"/>
  <c r="EA118" i="12"/>
  <c r="EB118" i="12"/>
  <c r="EC118" i="12"/>
  <c r="ED118" i="12"/>
  <c r="EE118" i="12"/>
  <c r="EF118" i="12"/>
  <c r="EG118" i="12"/>
  <c r="EH118" i="12"/>
  <c r="EI118" i="12"/>
  <c r="EJ118" i="12"/>
  <c r="EK118" i="12"/>
  <c r="EL118" i="12"/>
  <c r="EM118" i="12"/>
  <c r="EN118" i="12"/>
  <c r="EO118" i="12"/>
  <c r="EP118" i="12"/>
  <c r="EQ118" i="12"/>
  <c r="ER118" i="12"/>
  <c r="ES118" i="12"/>
  <c r="ET118" i="12"/>
  <c r="EU118" i="12"/>
  <c r="EV118" i="12"/>
  <c r="EW118" i="12"/>
  <c r="EX118" i="12"/>
  <c r="EY118" i="12"/>
  <c r="EZ118" i="12"/>
  <c r="FA118" i="12"/>
  <c r="FB118" i="12"/>
  <c r="FC118" i="12"/>
  <c r="FD118" i="12"/>
  <c r="FE118" i="12"/>
  <c r="FF118" i="12"/>
  <c r="FG118" i="12"/>
  <c r="FH118" i="12"/>
  <c r="FI118" i="12"/>
  <c r="FJ118" i="12"/>
  <c r="FK118" i="12"/>
  <c r="FL118" i="12"/>
  <c r="FM118" i="12"/>
  <c r="FN118" i="12"/>
  <c r="FO118" i="12"/>
  <c r="FP118" i="12"/>
  <c r="FQ118" i="12"/>
  <c r="FR118" i="12"/>
  <c r="FS118" i="12"/>
  <c r="FT118" i="12"/>
  <c r="FU118" i="12"/>
  <c r="FV118" i="12"/>
  <c r="FW118" i="12"/>
  <c r="FX118" i="12"/>
  <c r="FY118" i="12"/>
  <c r="FZ118" i="12"/>
  <c r="GA118" i="12"/>
  <c r="GB118" i="12"/>
  <c r="GC118" i="12"/>
  <c r="GD118" i="12"/>
  <c r="GE118" i="12"/>
  <c r="GF118" i="12"/>
  <c r="GG118" i="12"/>
  <c r="GH118" i="12"/>
  <c r="GI118" i="12"/>
  <c r="GJ118" i="12"/>
  <c r="GK118" i="12"/>
  <c r="GL118" i="12"/>
  <c r="GM118" i="12"/>
  <c r="GN118" i="12"/>
  <c r="GO118" i="12"/>
  <c r="GP118" i="12"/>
  <c r="GQ118" i="12"/>
  <c r="GR118" i="12"/>
  <c r="GS118" i="12"/>
  <c r="GT118" i="12"/>
  <c r="GU118" i="12"/>
  <c r="GV118" i="12"/>
  <c r="GW118" i="12"/>
  <c r="GX118" i="12"/>
  <c r="GY118" i="12"/>
  <c r="GZ118" i="12"/>
  <c r="HA118" i="12"/>
  <c r="HB118" i="12"/>
  <c r="HC118" i="12"/>
  <c r="HD118" i="12"/>
  <c r="HE118" i="12"/>
  <c r="HF118" i="12"/>
  <c r="HG118" i="12"/>
  <c r="HH118" i="12"/>
  <c r="HI118" i="12"/>
  <c r="HJ118" i="12"/>
  <c r="HK118" i="12"/>
  <c r="HL118" i="12"/>
  <c r="HM118" i="12"/>
  <c r="HN118" i="12"/>
  <c r="HO118" i="12"/>
  <c r="HP118" i="12"/>
  <c r="HQ118" i="12"/>
  <c r="HR118" i="12"/>
  <c r="HS118" i="12"/>
  <c r="HT118" i="12"/>
  <c r="HU118" i="12"/>
  <c r="HV118" i="12"/>
  <c r="HW118" i="12"/>
  <c r="HX118" i="12"/>
  <c r="HY118" i="12"/>
  <c r="HZ118" i="12"/>
  <c r="IA118" i="12"/>
  <c r="IB118" i="12"/>
  <c r="IC118" i="12"/>
  <c r="ID118" i="12"/>
  <c r="IE118" i="12"/>
  <c r="IF118" i="12"/>
  <c r="IG118" i="12"/>
  <c r="IH118" i="12"/>
  <c r="II118" i="12"/>
  <c r="IJ118" i="12"/>
  <c r="IK118" i="12"/>
  <c r="IL118" i="12"/>
  <c r="IM118" i="12"/>
  <c r="IN118" i="12"/>
  <c r="IO118" i="12"/>
  <c r="IP118" i="12"/>
  <c r="IQ118" i="12"/>
  <c r="IR118" i="12"/>
  <c r="IS118" i="12"/>
  <c r="IT118" i="12"/>
  <c r="IU118" i="12"/>
  <c r="IV118" i="12"/>
  <c r="F119" i="12"/>
  <c r="G119" i="12"/>
  <c r="H119" i="12"/>
  <c r="I119" i="12"/>
  <c r="J119" i="12"/>
  <c r="K119" i="12"/>
  <c r="L119" i="12"/>
  <c r="M119" i="12"/>
  <c r="N119" i="12"/>
  <c r="O119" i="12"/>
  <c r="P119" i="12"/>
  <c r="Q119" i="12"/>
  <c r="R119" i="12"/>
  <c r="S119" i="12"/>
  <c r="T119" i="12"/>
  <c r="U119" i="12"/>
  <c r="V119" i="12"/>
  <c r="W119" i="12"/>
  <c r="X119" i="12"/>
  <c r="Y119" i="12"/>
  <c r="Z119" i="12"/>
  <c r="AA119" i="12"/>
  <c r="AB119" i="12"/>
  <c r="AC119" i="12"/>
  <c r="AD119" i="12"/>
  <c r="AE119" i="12"/>
  <c r="AF119" i="12"/>
  <c r="AG119" i="12"/>
  <c r="AH119" i="12"/>
  <c r="AI119" i="12"/>
  <c r="AJ119" i="12"/>
  <c r="AK119" i="12"/>
  <c r="AL119" i="12"/>
  <c r="AM119" i="12"/>
  <c r="AN119" i="12"/>
  <c r="AO119" i="12"/>
  <c r="AP119" i="12"/>
  <c r="AQ119" i="12"/>
  <c r="AR119" i="12"/>
  <c r="AS119" i="12"/>
  <c r="AT119" i="12"/>
  <c r="AU119" i="12"/>
  <c r="AV119" i="12"/>
  <c r="AW119" i="12"/>
  <c r="AX119" i="12"/>
  <c r="AY119" i="12"/>
  <c r="AZ119" i="12"/>
  <c r="BA119" i="12"/>
  <c r="BB119" i="12"/>
  <c r="BC119" i="12"/>
  <c r="BD119" i="12"/>
  <c r="BE119" i="12"/>
  <c r="BF119" i="12"/>
  <c r="BG119" i="12"/>
  <c r="BH119" i="12"/>
  <c r="BI119" i="12"/>
  <c r="BJ119" i="12"/>
  <c r="BK119" i="12"/>
  <c r="BL119" i="12"/>
  <c r="BM119" i="12"/>
  <c r="BN119" i="12"/>
  <c r="BO119" i="12"/>
  <c r="BP119" i="12"/>
  <c r="BQ119" i="12"/>
  <c r="BR119" i="12"/>
  <c r="BS119" i="12"/>
  <c r="BT119" i="12"/>
  <c r="BU119" i="12"/>
  <c r="BV119" i="12"/>
  <c r="BW119" i="12"/>
  <c r="BX119" i="12"/>
  <c r="BY119" i="12"/>
  <c r="BZ119" i="12"/>
  <c r="CA119" i="12"/>
  <c r="CB119" i="12"/>
  <c r="CC119" i="12"/>
  <c r="CD119" i="12"/>
  <c r="CE119" i="12"/>
  <c r="CF119" i="12"/>
  <c r="CG119" i="12"/>
  <c r="CH119" i="12"/>
  <c r="CI119" i="12"/>
  <c r="CJ119" i="12"/>
  <c r="CK119" i="12"/>
  <c r="CL119" i="12"/>
  <c r="CM119" i="12"/>
  <c r="CN119" i="12"/>
  <c r="CO119" i="12"/>
  <c r="CP119" i="12"/>
  <c r="CQ119" i="12"/>
  <c r="CR119" i="12"/>
  <c r="CS119" i="12"/>
  <c r="CT119" i="12"/>
  <c r="CU119" i="12"/>
  <c r="CV119" i="12"/>
  <c r="CW119" i="12"/>
  <c r="CX119" i="12"/>
  <c r="CY119" i="12"/>
  <c r="CZ119" i="12"/>
  <c r="DA119" i="12"/>
  <c r="DB119" i="12"/>
  <c r="DC119" i="12"/>
  <c r="DD119" i="12"/>
  <c r="DE119" i="12"/>
  <c r="DF119" i="12"/>
  <c r="DG119" i="12"/>
  <c r="DH119" i="12"/>
  <c r="DI119" i="12"/>
  <c r="DJ119" i="12"/>
  <c r="DK119" i="12"/>
  <c r="DL119" i="12"/>
  <c r="DM119" i="12"/>
  <c r="DN119" i="12"/>
  <c r="DO119" i="12"/>
  <c r="DP119" i="12"/>
  <c r="DQ119" i="12"/>
  <c r="DR119" i="12"/>
  <c r="DS119" i="12"/>
  <c r="DT119" i="12"/>
  <c r="DU119" i="12"/>
  <c r="DV119" i="12"/>
  <c r="DW119" i="12"/>
  <c r="DX119" i="12"/>
  <c r="DY119" i="12"/>
  <c r="DZ119" i="12"/>
  <c r="EA119" i="12"/>
  <c r="EB119" i="12"/>
  <c r="EC119" i="12"/>
  <c r="ED119" i="12"/>
  <c r="EE119" i="12"/>
  <c r="EF119" i="12"/>
  <c r="EG119" i="12"/>
  <c r="EH119" i="12"/>
  <c r="EI119" i="12"/>
  <c r="EJ119" i="12"/>
  <c r="EK119" i="12"/>
  <c r="EL119" i="12"/>
  <c r="EM119" i="12"/>
  <c r="EN119" i="12"/>
  <c r="EO119" i="12"/>
  <c r="EP119" i="12"/>
  <c r="EQ119" i="12"/>
  <c r="ER119" i="12"/>
  <c r="ES119" i="12"/>
  <c r="ET119" i="12"/>
  <c r="EU119" i="12"/>
  <c r="EV119" i="12"/>
  <c r="EW119" i="12"/>
  <c r="EX119" i="12"/>
  <c r="EY119" i="12"/>
  <c r="EZ119" i="12"/>
  <c r="FA119" i="12"/>
  <c r="FB119" i="12"/>
  <c r="FC119" i="12"/>
  <c r="FD119" i="12"/>
  <c r="FE119" i="12"/>
  <c r="FF119" i="12"/>
  <c r="FG119" i="12"/>
  <c r="FH119" i="12"/>
  <c r="FI119" i="12"/>
  <c r="FJ119" i="12"/>
  <c r="FK119" i="12"/>
  <c r="FL119" i="12"/>
  <c r="FM119" i="12"/>
  <c r="FN119" i="12"/>
  <c r="FO119" i="12"/>
  <c r="FP119" i="12"/>
  <c r="FQ119" i="12"/>
  <c r="FR119" i="12"/>
  <c r="FS119" i="12"/>
  <c r="FT119" i="12"/>
  <c r="FU119" i="12"/>
  <c r="FV119" i="12"/>
  <c r="FW119" i="12"/>
  <c r="FX119" i="12"/>
  <c r="FY119" i="12"/>
  <c r="FZ119" i="12"/>
  <c r="GA119" i="12"/>
  <c r="GB119" i="12"/>
  <c r="GC119" i="12"/>
  <c r="GD119" i="12"/>
  <c r="GE119" i="12"/>
  <c r="GF119" i="12"/>
  <c r="GG119" i="12"/>
  <c r="GH119" i="12"/>
  <c r="GI119" i="12"/>
  <c r="GJ119" i="12"/>
  <c r="GK119" i="12"/>
  <c r="GL119" i="12"/>
  <c r="GM119" i="12"/>
  <c r="GN119" i="12"/>
  <c r="GO119" i="12"/>
  <c r="GP119" i="12"/>
  <c r="GQ119" i="12"/>
  <c r="GR119" i="12"/>
  <c r="GS119" i="12"/>
  <c r="GT119" i="12"/>
  <c r="GU119" i="12"/>
  <c r="GV119" i="12"/>
  <c r="GW119" i="12"/>
  <c r="GX119" i="12"/>
  <c r="GY119" i="12"/>
  <c r="GZ119" i="12"/>
  <c r="HA119" i="12"/>
  <c r="HB119" i="12"/>
  <c r="HC119" i="12"/>
  <c r="HD119" i="12"/>
  <c r="HE119" i="12"/>
  <c r="HF119" i="12"/>
  <c r="HG119" i="12"/>
  <c r="HH119" i="12"/>
  <c r="HI119" i="12"/>
  <c r="HJ119" i="12"/>
  <c r="HK119" i="12"/>
  <c r="HL119" i="12"/>
  <c r="HM119" i="12"/>
  <c r="HN119" i="12"/>
  <c r="HO119" i="12"/>
  <c r="HP119" i="12"/>
  <c r="HQ119" i="12"/>
  <c r="HR119" i="12"/>
  <c r="HS119" i="12"/>
  <c r="HT119" i="12"/>
  <c r="HU119" i="12"/>
  <c r="HV119" i="12"/>
  <c r="HW119" i="12"/>
  <c r="HX119" i="12"/>
  <c r="HY119" i="12"/>
  <c r="HZ119" i="12"/>
  <c r="IA119" i="12"/>
  <c r="IB119" i="12"/>
  <c r="IC119" i="12"/>
  <c r="ID119" i="12"/>
  <c r="IE119" i="12"/>
  <c r="IF119" i="12"/>
  <c r="IG119" i="12"/>
  <c r="IH119" i="12"/>
  <c r="II119" i="12"/>
  <c r="IJ119" i="12"/>
  <c r="IK119" i="12"/>
  <c r="IL119" i="12"/>
  <c r="IM119" i="12"/>
  <c r="IN119" i="12"/>
  <c r="IO119" i="12"/>
  <c r="IP119" i="12"/>
  <c r="IQ119" i="12"/>
  <c r="IR119" i="12"/>
  <c r="IS119" i="12"/>
  <c r="IT119" i="12"/>
  <c r="IU119" i="12"/>
  <c r="IV119" i="12"/>
  <c r="F120" i="12"/>
  <c r="G120" i="12"/>
  <c r="H120" i="12"/>
  <c r="I120" i="12"/>
  <c r="J120" i="12"/>
  <c r="K120" i="12"/>
  <c r="L120" i="12"/>
  <c r="M120" i="12"/>
  <c r="N120" i="12"/>
  <c r="O120" i="12"/>
  <c r="P120" i="12"/>
  <c r="Q120" i="12"/>
  <c r="R120" i="12"/>
  <c r="S120" i="12"/>
  <c r="T120" i="12"/>
  <c r="U120" i="12"/>
  <c r="V120" i="12"/>
  <c r="W120" i="12"/>
  <c r="X120" i="12"/>
  <c r="Y120" i="12"/>
  <c r="Z120" i="12"/>
  <c r="AA120" i="12"/>
  <c r="AB120" i="12"/>
  <c r="AC120" i="12"/>
  <c r="AD120" i="12"/>
  <c r="AE120" i="12"/>
  <c r="AF120" i="12"/>
  <c r="AG120" i="12"/>
  <c r="AH120" i="12"/>
  <c r="AI120" i="12"/>
  <c r="AJ120" i="12"/>
  <c r="AK120" i="12"/>
  <c r="AL120" i="12"/>
  <c r="AM120" i="12"/>
  <c r="AN120" i="12"/>
  <c r="AO120" i="12"/>
  <c r="AP120" i="12"/>
  <c r="AQ120" i="12"/>
  <c r="AR120" i="12"/>
  <c r="AS120" i="12"/>
  <c r="AT120" i="12"/>
  <c r="AU120" i="12"/>
  <c r="AV120" i="12"/>
  <c r="AW120" i="12"/>
  <c r="AX120" i="12"/>
  <c r="AY120" i="12"/>
  <c r="AZ120" i="12"/>
  <c r="BA120" i="12"/>
  <c r="BB120" i="12"/>
  <c r="BC120" i="12"/>
  <c r="BD120" i="12"/>
  <c r="BE120" i="12"/>
  <c r="BF120" i="12"/>
  <c r="BG120" i="12"/>
  <c r="BH120" i="12"/>
  <c r="BI120" i="12"/>
  <c r="BJ120" i="12"/>
  <c r="BK120" i="12"/>
  <c r="BL120" i="12"/>
  <c r="BM120" i="12"/>
  <c r="BN120" i="12"/>
  <c r="BO120" i="12"/>
  <c r="BP120" i="12"/>
  <c r="BQ120" i="12"/>
  <c r="BR120" i="12"/>
  <c r="BS120" i="12"/>
  <c r="BT120" i="12"/>
  <c r="BU120" i="12"/>
  <c r="BV120" i="12"/>
  <c r="BW120" i="12"/>
  <c r="BX120" i="12"/>
  <c r="BY120" i="12"/>
  <c r="BZ120" i="12"/>
  <c r="CA120" i="12"/>
  <c r="CB120" i="12"/>
  <c r="CC120" i="12"/>
  <c r="CD120" i="12"/>
  <c r="CE120" i="12"/>
  <c r="CF120" i="12"/>
  <c r="CG120" i="12"/>
  <c r="CH120" i="12"/>
  <c r="CI120" i="12"/>
  <c r="CJ120" i="12"/>
  <c r="CK120" i="12"/>
  <c r="CL120" i="12"/>
  <c r="CM120" i="12"/>
  <c r="CN120" i="12"/>
  <c r="CO120" i="12"/>
  <c r="CP120" i="12"/>
  <c r="CQ120" i="12"/>
  <c r="CR120" i="12"/>
  <c r="CS120" i="12"/>
  <c r="CT120" i="12"/>
  <c r="CU120" i="12"/>
  <c r="CV120" i="12"/>
  <c r="CW120" i="12"/>
  <c r="CX120" i="12"/>
  <c r="CY120" i="12"/>
  <c r="CZ120" i="12"/>
  <c r="DA120" i="12"/>
  <c r="DB120" i="12"/>
  <c r="DC120" i="12"/>
  <c r="DD120" i="12"/>
  <c r="DE120" i="12"/>
  <c r="DF120" i="12"/>
  <c r="DG120" i="12"/>
  <c r="DH120" i="12"/>
  <c r="DI120" i="12"/>
  <c r="DJ120" i="12"/>
  <c r="DK120" i="12"/>
  <c r="DL120" i="12"/>
  <c r="DM120" i="12"/>
  <c r="DN120" i="12"/>
  <c r="DO120" i="12"/>
  <c r="DP120" i="12"/>
  <c r="DQ120" i="12"/>
  <c r="DR120" i="12"/>
  <c r="DS120" i="12"/>
  <c r="DT120" i="12"/>
  <c r="DU120" i="12"/>
  <c r="DV120" i="12"/>
  <c r="DW120" i="12"/>
  <c r="DX120" i="12"/>
  <c r="DY120" i="12"/>
  <c r="DZ120" i="12"/>
  <c r="EA120" i="12"/>
  <c r="EB120" i="12"/>
  <c r="EC120" i="12"/>
  <c r="ED120" i="12"/>
  <c r="EE120" i="12"/>
  <c r="EF120" i="12"/>
  <c r="EG120" i="12"/>
  <c r="EH120" i="12"/>
  <c r="EI120" i="12"/>
  <c r="EJ120" i="12"/>
  <c r="EK120" i="12"/>
  <c r="EL120" i="12"/>
  <c r="EM120" i="12"/>
  <c r="EN120" i="12"/>
  <c r="EO120" i="12"/>
  <c r="EP120" i="12"/>
  <c r="EQ120" i="12"/>
  <c r="ER120" i="12"/>
  <c r="ES120" i="12"/>
  <c r="ET120" i="12"/>
  <c r="EU120" i="12"/>
  <c r="EV120" i="12"/>
  <c r="EW120" i="12"/>
  <c r="EX120" i="12"/>
  <c r="EY120" i="12"/>
  <c r="EZ120" i="12"/>
  <c r="FA120" i="12"/>
  <c r="FB120" i="12"/>
  <c r="FC120" i="12"/>
  <c r="FD120" i="12"/>
  <c r="FE120" i="12"/>
  <c r="FF120" i="12"/>
  <c r="FG120" i="12"/>
  <c r="FH120" i="12"/>
  <c r="FI120" i="12"/>
  <c r="FJ120" i="12"/>
  <c r="FK120" i="12"/>
  <c r="FL120" i="12"/>
  <c r="FM120" i="12"/>
  <c r="FN120" i="12"/>
  <c r="FO120" i="12"/>
  <c r="FP120" i="12"/>
  <c r="FQ120" i="12"/>
  <c r="FR120" i="12"/>
  <c r="FS120" i="12"/>
  <c r="FT120" i="12"/>
  <c r="FU120" i="12"/>
  <c r="FV120" i="12"/>
  <c r="FW120" i="12"/>
  <c r="FX120" i="12"/>
  <c r="FY120" i="12"/>
  <c r="FZ120" i="12"/>
  <c r="GA120" i="12"/>
  <c r="GB120" i="12"/>
  <c r="GC120" i="12"/>
  <c r="GD120" i="12"/>
  <c r="GE120" i="12"/>
  <c r="GF120" i="12"/>
  <c r="GG120" i="12"/>
  <c r="GH120" i="12"/>
  <c r="GI120" i="12"/>
  <c r="GJ120" i="12"/>
  <c r="GK120" i="12"/>
  <c r="GL120" i="12"/>
  <c r="GM120" i="12"/>
  <c r="GN120" i="12"/>
  <c r="GO120" i="12"/>
  <c r="GP120" i="12"/>
  <c r="GQ120" i="12"/>
  <c r="GR120" i="12"/>
  <c r="GS120" i="12"/>
  <c r="GT120" i="12"/>
  <c r="GU120" i="12"/>
  <c r="GV120" i="12"/>
  <c r="GW120" i="12"/>
  <c r="GX120" i="12"/>
  <c r="GY120" i="12"/>
  <c r="GZ120" i="12"/>
  <c r="HA120" i="12"/>
  <c r="HB120" i="12"/>
  <c r="HC120" i="12"/>
  <c r="HD120" i="12"/>
  <c r="HE120" i="12"/>
  <c r="HF120" i="12"/>
  <c r="HG120" i="12"/>
  <c r="HH120" i="12"/>
  <c r="HI120" i="12"/>
  <c r="HJ120" i="12"/>
  <c r="HK120" i="12"/>
  <c r="HL120" i="12"/>
  <c r="HM120" i="12"/>
  <c r="HN120" i="12"/>
  <c r="HO120" i="12"/>
  <c r="HP120" i="12"/>
  <c r="HQ120" i="12"/>
  <c r="HR120" i="12"/>
  <c r="HS120" i="12"/>
  <c r="HT120" i="12"/>
  <c r="HU120" i="12"/>
  <c r="HV120" i="12"/>
  <c r="HW120" i="12"/>
  <c r="HX120" i="12"/>
  <c r="HY120" i="12"/>
  <c r="HZ120" i="12"/>
  <c r="IA120" i="12"/>
  <c r="IB120" i="12"/>
  <c r="IC120" i="12"/>
  <c r="ID120" i="12"/>
  <c r="IE120" i="12"/>
  <c r="IF120" i="12"/>
  <c r="IG120" i="12"/>
  <c r="IH120" i="12"/>
  <c r="II120" i="12"/>
  <c r="IJ120" i="12"/>
  <c r="IK120" i="12"/>
  <c r="IL120" i="12"/>
  <c r="IM120" i="12"/>
  <c r="IN120" i="12"/>
  <c r="IO120" i="12"/>
  <c r="IP120" i="12"/>
  <c r="IQ120" i="12"/>
  <c r="IR120" i="12"/>
  <c r="IS120" i="12"/>
  <c r="IT120" i="12"/>
  <c r="IU120" i="12"/>
  <c r="IV120" i="12"/>
  <c r="F121" i="12"/>
  <c r="G121" i="12"/>
  <c r="H121" i="12"/>
  <c r="I121" i="12"/>
  <c r="J121" i="12"/>
  <c r="K121" i="12"/>
  <c r="L121" i="12"/>
  <c r="M121" i="12"/>
  <c r="N121" i="12"/>
  <c r="O121" i="12"/>
  <c r="P121" i="12"/>
  <c r="Q121" i="12"/>
  <c r="R121" i="12"/>
  <c r="S121" i="12"/>
  <c r="T121" i="12"/>
  <c r="U121" i="12"/>
  <c r="V121" i="12"/>
  <c r="W121" i="12"/>
  <c r="X121" i="12"/>
  <c r="Y121" i="12"/>
  <c r="Z121" i="12"/>
  <c r="AA121" i="12"/>
  <c r="AB121" i="12"/>
  <c r="AC121" i="12"/>
  <c r="AD121" i="12"/>
  <c r="AE121" i="12"/>
  <c r="AF121" i="12"/>
  <c r="AG121" i="12"/>
  <c r="AH121" i="12"/>
  <c r="AI121" i="12"/>
  <c r="AJ121" i="12"/>
  <c r="AK121" i="12"/>
  <c r="AL121" i="12"/>
  <c r="AM121" i="12"/>
  <c r="AN121" i="12"/>
  <c r="AO121" i="12"/>
  <c r="AP121" i="12"/>
  <c r="AQ121" i="12"/>
  <c r="AR121" i="12"/>
  <c r="AS121" i="12"/>
  <c r="AT121" i="12"/>
  <c r="AU121" i="12"/>
  <c r="AV121" i="12"/>
  <c r="AW121" i="12"/>
  <c r="AX121" i="12"/>
  <c r="AY121" i="12"/>
  <c r="AZ121" i="12"/>
  <c r="BA121" i="12"/>
  <c r="BB121" i="12"/>
  <c r="BC121" i="12"/>
  <c r="BD121" i="12"/>
  <c r="BE121" i="12"/>
  <c r="BF121" i="12"/>
  <c r="BG121" i="12"/>
  <c r="BH121" i="12"/>
  <c r="BI121" i="12"/>
  <c r="BJ121" i="12"/>
  <c r="BK121" i="12"/>
  <c r="BL121" i="12"/>
  <c r="BM121" i="12"/>
  <c r="BN121" i="12"/>
  <c r="BO121" i="12"/>
  <c r="BP121" i="12"/>
  <c r="BQ121" i="12"/>
  <c r="BR121" i="12"/>
  <c r="BS121" i="12"/>
  <c r="BT121" i="12"/>
  <c r="BU121" i="12"/>
  <c r="BV121" i="12"/>
  <c r="BW121" i="12"/>
  <c r="BX121" i="12"/>
  <c r="BY121" i="12"/>
  <c r="BZ121" i="12"/>
  <c r="CA121" i="12"/>
  <c r="CB121" i="12"/>
  <c r="CC121" i="12"/>
  <c r="CD121" i="12"/>
  <c r="CE121" i="12"/>
  <c r="CF121" i="12"/>
  <c r="CG121" i="12"/>
  <c r="CH121" i="12"/>
  <c r="CI121" i="12"/>
  <c r="CJ121" i="12"/>
  <c r="CK121" i="12"/>
  <c r="CL121" i="12"/>
  <c r="CM121" i="12"/>
  <c r="CN121" i="12"/>
  <c r="CO121" i="12"/>
  <c r="CP121" i="12"/>
  <c r="CQ121" i="12"/>
  <c r="CR121" i="12"/>
  <c r="CS121" i="12"/>
  <c r="CT121" i="12"/>
  <c r="CU121" i="12"/>
  <c r="CV121" i="12"/>
  <c r="CW121" i="12"/>
  <c r="CX121" i="12"/>
  <c r="CY121" i="12"/>
  <c r="CZ121" i="12"/>
  <c r="DA121" i="12"/>
  <c r="DB121" i="12"/>
  <c r="DC121" i="12"/>
  <c r="DD121" i="12"/>
  <c r="DE121" i="12"/>
  <c r="DF121" i="12"/>
  <c r="DG121" i="12"/>
  <c r="DH121" i="12"/>
  <c r="DI121" i="12"/>
  <c r="DJ121" i="12"/>
  <c r="DK121" i="12"/>
  <c r="DL121" i="12"/>
  <c r="DM121" i="12"/>
  <c r="DN121" i="12"/>
  <c r="DO121" i="12"/>
  <c r="DP121" i="12"/>
  <c r="DQ121" i="12"/>
  <c r="DR121" i="12"/>
  <c r="DS121" i="12"/>
  <c r="DT121" i="12"/>
  <c r="DU121" i="12"/>
  <c r="DV121" i="12"/>
  <c r="DW121" i="12"/>
  <c r="DX121" i="12"/>
  <c r="DY121" i="12"/>
  <c r="DZ121" i="12"/>
  <c r="EA121" i="12"/>
  <c r="EB121" i="12"/>
  <c r="EC121" i="12"/>
  <c r="ED121" i="12"/>
  <c r="EE121" i="12"/>
  <c r="EF121" i="12"/>
  <c r="EG121" i="12"/>
  <c r="EH121" i="12"/>
  <c r="EI121" i="12"/>
  <c r="EJ121" i="12"/>
  <c r="EK121" i="12"/>
  <c r="EL121" i="12"/>
  <c r="EM121" i="12"/>
  <c r="EN121" i="12"/>
  <c r="EO121" i="12"/>
  <c r="EP121" i="12"/>
  <c r="EQ121" i="12"/>
  <c r="ER121" i="12"/>
  <c r="ES121" i="12"/>
  <c r="ET121" i="12"/>
  <c r="EU121" i="12"/>
  <c r="EV121" i="12"/>
  <c r="EW121" i="12"/>
  <c r="EX121" i="12"/>
  <c r="EY121" i="12"/>
  <c r="EZ121" i="12"/>
  <c r="FA121" i="12"/>
  <c r="FB121" i="12"/>
  <c r="FC121" i="12"/>
  <c r="FD121" i="12"/>
  <c r="FE121" i="12"/>
  <c r="FF121" i="12"/>
  <c r="FG121" i="12"/>
  <c r="FH121" i="12"/>
  <c r="FI121" i="12"/>
  <c r="FJ121" i="12"/>
  <c r="FK121" i="12"/>
  <c r="FL121" i="12"/>
  <c r="FM121" i="12"/>
  <c r="FN121" i="12"/>
  <c r="FO121" i="12"/>
  <c r="FP121" i="12"/>
  <c r="FQ121" i="12"/>
  <c r="FR121" i="12"/>
  <c r="FS121" i="12"/>
  <c r="FT121" i="12"/>
  <c r="FU121" i="12"/>
  <c r="FV121" i="12"/>
  <c r="FW121" i="12"/>
  <c r="FX121" i="12"/>
  <c r="FY121" i="12"/>
  <c r="FZ121" i="12"/>
  <c r="GA121" i="12"/>
  <c r="GB121" i="12"/>
  <c r="GC121" i="12"/>
  <c r="GD121" i="12"/>
  <c r="GE121" i="12"/>
  <c r="GF121" i="12"/>
  <c r="GG121" i="12"/>
  <c r="GH121" i="12"/>
  <c r="GI121" i="12"/>
  <c r="GJ121" i="12"/>
  <c r="GK121" i="12"/>
  <c r="GL121" i="12"/>
  <c r="GM121" i="12"/>
  <c r="GN121" i="12"/>
  <c r="GO121" i="12"/>
  <c r="GP121" i="12"/>
  <c r="GQ121" i="12"/>
  <c r="GR121" i="12"/>
  <c r="GS121" i="12"/>
  <c r="GT121" i="12"/>
  <c r="GU121" i="12"/>
  <c r="GV121" i="12"/>
  <c r="GW121" i="12"/>
  <c r="GX121" i="12"/>
  <c r="GY121" i="12"/>
  <c r="GZ121" i="12"/>
  <c r="HA121" i="12"/>
  <c r="HB121" i="12"/>
  <c r="HC121" i="12"/>
  <c r="HD121" i="12"/>
  <c r="HE121" i="12"/>
  <c r="HF121" i="12"/>
  <c r="HG121" i="12"/>
  <c r="HH121" i="12"/>
  <c r="HI121" i="12"/>
  <c r="HJ121" i="12"/>
  <c r="HK121" i="12"/>
  <c r="HL121" i="12"/>
  <c r="HM121" i="12"/>
  <c r="HN121" i="12"/>
  <c r="HO121" i="12"/>
  <c r="HP121" i="12"/>
  <c r="HQ121" i="12"/>
  <c r="HR121" i="12"/>
  <c r="HS121" i="12"/>
  <c r="HT121" i="12"/>
  <c r="HU121" i="12"/>
  <c r="HV121" i="12"/>
  <c r="HW121" i="12"/>
  <c r="HX121" i="12"/>
  <c r="HY121" i="12"/>
  <c r="HZ121" i="12"/>
  <c r="IA121" i="12"/>
  <c r="IB121" i="12"/>
  <c r="IC121" i="12"/>
  <c r="ID121" i="12"/>
  <c r="IE121" i="12"/>
  <c r="IF121" i="12"/>
  <c r="IG121" i="12"/>
  <c r="IH121" i="12"/>
  <c r="II121" i="12"/>
  <c r="IJ121" i="12"/>
  <c r="IK121" i="12"/>
  <c r="IL121" i="12"/>
  <c r="IM121" i="12"/>
  <c r="IN121" i="12"/>
  <c r="IO121" i="12"/>
  <c r="IP121" i="12"/>
  <c r="IQ121" i="12"/>
  <c r="IR121" i="12"/>
  <c r="IS121" i="12"/>
  <c r="IT121" i="12"/>
  <c r="IU121" i="12"/>
  <c r="IV121" i="12"/>
  <c r="F122" i="12"/>
  <c r="G122" i="12"/>
  <c r="H122" i="12"/>
  <c r="I122" i="12"/>
  <c r="J122" i="12"/>
  <c r="K122" i="12"/>
  <c r="L122" i="12"/>
  <c r="M122" i="12"/>
  <c r="N122" i="12"/>
  <c r="O122" i="12"/>
  <c r="P122" i="12"/>
  <c r="Q122" i="12"/>
  <c r="R122" i="12"/>
  <c r="S122" i="12"/>
  <c r="T122" i="12"/>
  <c r="U122" i="12"/>
  <c r="V122" i="12"/>
  <c r="W122" i="12"/>
  <c r="X122" i="12"/>
  <c r="Y122" i="12"/>
  <c r="Z122" i="12"/>
  <c r="AA122" i="12"/>
  <c r="AB122" i="12"/>
  <c r="AC122" i="12"/>
  <c r="AD122" i="12"/>
  <c r="AE122" i="12"/>
  <c r="AF122" i="12"/>
  <c r="AG122" i="12"/>
  <c r="AH122" i="12"/>
  <c r="AI122" i="12"/>
  <c r="AJ122" i="12"/>
  <c r="AK122" i="12"/>
  <c r="AL122" i="12"/>
  <c r="AM122" i="12"/>
  <c r="AN122" i="12"/>
  <c r="AO122" i="12"/>
  <c r="AP122" i="12"/>
  <c r="AQ122" i="12"/>
  <c r="AR122" i="12"/>
  <c r="AS122" i="12"/>
  <c r="AT122" i="12"/>
  <c r="AU122" i="12"/>
  <c r="AV122" i="12"/>
  <c r="AW122" i="12"/>
  <c r="AX122" i="12"/>
  <c r="AY122" i="12"/>
  <c r="AZ122" i="12"/>
  <c r="BA122" i="12"/>
  <c r="BB122" i="12"/>
  <c r="BC122" i="12"/>
  <c r="BD122" i="12"/>
  <c r="BE122" i="12"/>
  <c r="BF122" i="12"/>
  <c r="BG122" i="12"/>
  <c r="BH122" i="12"/>
  <c r="BI122" i="12"/>
  <c r="BJ122" i="12"/>
  <c r="BK122" i="12"/>
  <c r="BL122" i="12"/>
  <c r="BM122" i="12"/>
  <c r="BN122" i="12"/>
  <c r="BO122" i="12"/>
  <c r="BP122" i="12"/>
  <c r="BQ122" i="12"/>
  <c r="BR122" i="12"/>
  <c r="BS122" i="12"/>
  <c r="BT122" i="12"/>
  <c r="BU122" i="12"/>
  <c r="BV122" i="12"/>
  <c r="BW122" i="12"/>
  <c r="BX122" i="12"/>
  <c r="BY122" i="12"/>
  <c r="BZ122" i="12"/>
  <c r="CA122" i="12"/>
  <c r="CB122" i="12"/>
  <c r="CC122" i="12"/>
  <c r="CD122" i="12"/>
  <c r="CE122" i="12"/>
  <c r="CF122" i="12"/>
  <c r="CG122" i="12"/>
  <c r="CH122" i="12"/>
  <c r="CI122" i="12"/>
  <c r="CJ122" i="12"/>
  <c r="CK122" i="12"/>
  <c r="CL122" i="12"/>
  <c r="CM122" i="12"/>
  <c r="CN122" i="12"/>
  <c r="CO122" i="12"/>
  <c r="CP122" i="12"/>
  <c r="CQ122" i="12"/>
  <c r="CR122" i="12"/>
  <c r="CS122" i="12"/>
  <c r="CT122" i="12"/>
  <c r="CU122" i="12"/>
  <c r="CV122" i="12"/>
  <c r="CW122" i="12"/>
  <c r="CX122" i="12"/>
  <c r="CY122" i="12"/>
  <c r="CZ122" i="12"/>
  <c r="DA122" i="12"/>
  <c r="DB122" i="12"/>
  <c r="DC122" i="12"/>
  <c r="DD122" i="12"/>
  <c r="DE122" i="12"/>
  <c r="DF122" i="12"/>
  <c r="DG122" i="12"/>
  <c r="DH122" i="12"/>
  <c r="DI122" i="12"/>
  <c r="DJ122" i="12"/>
  <c r="DK122" i="12"/>
  <c r="DL122" i="12"/>
  <c r="DM122" i="12"/>
  <c r="DN122" i="12"/>
  <c r="DO122" i="12"/>
  <c r="DP122" i="12"/>
  <c r="DQ122" i="12"/>
  <c r="DR122" i="12"/>
  <c r="DS122" i="12"/>
  <c r="DT122" i="12"/>
  <c r="DU122" i="12"/>
  <c r="DV122" i="12"/>
  <c r="DW122" i="12"/>
  <c r="DX122" i="12"/>
  <c r="DY122" i="12"/>
  <c r="DZ122" i="12"/>
  <c r="EA122" i="12"/>
  <c r="EB122" i="12"/>
  <c r="EC122" i="12"/>
  <c r="ED122" i="12"/>
  <c r="EE122" i="12"/>
  <c r="EF122" i="12"/>
  <c r="EG122" i="12"/>
  <c r="EH122" i="12"/>
  <c r="EI122" i="12"/>
  <c r="EJ122" i="12"/>
  <c r="EK122" i="12"/>
  <c r="EL122" i="12"/>
  <c r="EM122" i="12"/>
  <c r="EN122" i="12"/>
  <c r="EO122" i="12"/>
  <c r="EP122" i="12"/>
  <c r="EQ122" i="12"/>
  <c r="ER122" i="12"/>
  <c r="ES122" i="12"/>
  <c r="ET122" i="12"/>
  <c r="EU122" i="12"/>
  <c r="EV122" i="12"/>
  <c r="EW122" i="12"/>
  <c r="EX122" i="12"/>
  <c r="EY122" i="12"/>
  <c r="EZ122" i="12"/>
  <c r="FA122" i="12"/>
  <c r="FB122" i="12"/>
  <c r="FC122" i="12"/>
  <c r="FD122" i="12"/>
  <c r="FE122" i="12"/>
  <c r="FF122" i="12"/>
  <c r="FG122" i="12"/>
  <c r="FH122" i="12"/>
  <c r="FI122" i="12"/>
  <c r="FJ122" i="12"/>
  <c r="FK122" i="12"/>
  <c r="FL122" i="12"/>
  <c r="FM122" i="12"/>
  <c r="FN122" i="12"/>
  <c r="FO122" i="12"/>
  <c r="FP122" i="12"/>
  <c r="FQ122" i="12"/>
  <c r="FR122" i="12"/>
  <c r="FS122" i="12"/>
  <c r="FT122" i="12"/>
  <c r="FU122" i="12"/>
  <c r="FV122" i="12"/>
  <c r="FW122" i="12"/>
  <c r="FX122" i="12"/>
  <c r="FY122" i="12"/>
  <c r="FZ122" i="12"/>
  <c r="GA122" i="12"/>
  <c r="GB122" i="12"/>
  <c r="GC122" i="12"/>
  <c r="GD122" i="12"/>
  <c r="GE122" i="12"/>
  <c r="GF122" i="12"/>
  <c r="GG122" i="12"/>
  <c r="GH122" i="12"/>
  <c r="GI122" i="12"/>
  <c r="GJ122" i="12"/>
  <c r="GK122" i="12"/>
  <c r="GL122" i="12"/>
  <c r="GM122" i="12"/>
  <c r="GN122" i="12"/>
  <c r="GO122" i="12"/>
  <c r="GP122" i="12"/>
  <c r="GQ122" i="12"/>
  <c r="GR122" i="12"/>
  <c r="GS122" i="12"/>
  <c r="GT122" i="12"/>
  <c r="GU122" i="12"/>
  <c r="GV122" i="12"/>
  <c r="GW122" i="12"/>
  <c r="GX122" i="12"/>
  <c r="GY122" i="12"/>
  <c r="GZ122" i="12"/>
  <c r="HA122" i="12"/>
  <c r="HB122" i="12"/>
  <c r="HC122" i="12"/>
  <c r="HD122" i="12"/>
  <c r="HE122" i="12"/>
  <c r="HF122" i="12"/>
  <c r="HG122" i="12"/>
  <c r="HH122" i="12"/>
  <c r="HI122" i="12"/>
  <c r="HJ122" i="12"/>
  <c r="HK122" i="12"/>
  <c r="HL122" i="12"/>
  <c r="HM122" i="12"/>
  <c r="HN122" i="12"/>
  <c r="HO122" i="12"/>
  <c r="HP122" i="12"/>
  <c r="HQ122" i="12"/>
  <c r="HR122" i="12"/>
  <c r="HS122" i="12"/>
  <c r="HT122" i="12"/>
  <c r="HU122" i="12"/>
  <c r="HV122" i="12"/>
  <c r="HW122" i="12"/>
  <c r="HX122" i="12"/>
  <c r="HY122" i="12"/>
  <c r="HZ122" i="12"/>
  <c r="IA122" i="12"/>
  <c r="IB122" i="12"/>
  <c r="IC122" i="12"/>
  <c r="ID122" i="12"/>
  <c r="IE122" i="12"/>
  <c r="IF122" i="12"/>
  <c r="IG122" i="12"/>
  <c r="IH122" i="12"/>
  <c r="II122" i="12"/>
  <c r="IJ122" i="12"/>
  <c r="IK122" i="12"/>
  <c r="IL122" i="12"/>
  <c r="IM122" i="12"/>
  <c r="IN122" i="12"/>
  <c r="IO122" i="12"/>
  <c r="IP122" i="12"/>
  <c r="IQ122" i="12"/>
  <c r="IR122" i="12"/>
  <c r="IS122" i="12"/>
  <c r="IT122" i="12"/>
  <c r="IU122" i="12"/>
  <c r="IV122" i="12"/>
  <c r="F123" i="12"/>
  <c r="G123" i="12"/>
  <c r="H123" i="12"/>
  <c r="I123" i="12"/>
  <c r="J123" i="12"/>
  <c r="K123" i="12"/>
  <c r="L123" i="12"/>
  <c r="M123" i="12"/>
  <c r="N123" i="12"/>
  <c r="O123" i="12"/>
  <c r="P123" i="12"/>
  <c r="Q123" i="12"/>
  <c r="R123" i="12"/>
  <c r="S123" i="12"/>
  <c r="T123" i="12"/>
  <c r="U123" i="12"/>
  <c r="V123" i="12"/>
  <c r="W123" i="12"/>
  <c r="X123" i="12"/>
  <c r="Y123" i="12"/>
  <c r="Z123" i="12"/>
  <c r="AA123" i="12"/>
  <c r="AB123" i="12"/>
  <c r="AC123" i="12"/>
  <c r="AD123" i="12"/>
  <c r="AE123" i="12"/>
  <c r="AF123" i="12"/>
  <c r="AG123" i="12"/>
  <c r="AH123" i="12"/>
  <c r="AI123" i="12"/>
  <c r="AJ123" i="12"/>
  <c r="AK123" i="12"/>
  <c r="AL123" i="12"/>
  <c r="AM123" i="12"/>
  <c r="AN123" i="12"/>
  <c r="AO123" i="12"/>
  <c r="AP123" i="12"/>
  <c r="AQ123" i="12"/>
  <c r="AR123" i="12"/>
  <c r="AS123" i="12"/>
  <c r="AT123" i="12"/>
  <c r="AU123" i="12"/>
  <c r="AV123" i="12"/>
  <c r="AW123" i="12"/>
  <c r="AX123" i="12"/>
  <c r="AY123" i="12"/>
  <c r="AZ123" i="12"/>
  <c r="BA123" i="12"/>
  <c r="BB123" i="12"/>
  <c r="BC123" i="12"/>
  <c r="BD123" i="12"/>
  <c r="BE123" i="12"/>
  <c r="BF123" i="12"/>
  <c r="BG123" i="12"/>
  <c r="BH123" i="12"/>
  <c r="BI123" i="12"/>
  <c r="BJ123" i="12"/>
  <c r="BK123" i="12"/>
  <c r="BL123" i="12"/>
  <c r="BM123" i="12"/>
  <c r="BN123" i="12"/>
  <c r="BO123" i="12"/>
  <c r="BP123" i="12"/>
  <c r="BQ123" i="12"/>
  <c r="BR123" i="12"/>
  <c r="BS123" i="12"/>
  <c r="BT123" i="12"/>
  <c r="BU123" i="12"/>
  <c r="BV123" i="12"/>
  <c r="BW123" i="12"/>
  <c r="BX123" i="12"/>
  <c r="BY123" i="12"/>
  <c r="BZ123" i="12"/>
  <c r="CA123" i="12"/>
  <c r="CB123" i="12"/>
  <c r="CC123" i="12"/>
  <c r="CD123" i="12"/>
  <c r="CE123" i="12"/>
  <c r="CF123" i="12"/>
  <c r="CG123" i="12"/>
  <c r="CH123" i="12"/>
  <c r="CI123" i="12"/>
  <c r="CJ123" i="12"/>
  <c r="CK123" i="12"/>
  <c r="CL123" i="12"/>
  <c r="CM123" i="12"/>
  <c r="CN123" i="12"/>
  <c r="CO123" i="12"/>
  <c r="CP123" i="12"/>
  <c r="CQ123" i="12"/>
  <c r="CR123" i="12"/>
  <c r="CS123" i="12"/>
  <c r="CT123" i="12"/>
  <c r="CU123" i="12"/>
  <c r="CV123" i="12"/>
  <c r="CW123" i="12"/>
  <c r="CX123" i="12"/>
  <c r="CY123" i="12"/>
  <c r="CZ123" i="12"/>
  <c r="DA123" i="12"/>
  <c r="DB123" i="12"/>
  <c r="DC123" i="12"/>
  <c r="DD123" i="12"/>
  <c r="DE123" i="12"/>
  <c r="DF123" i="12"/>
  <c r="DG123" i="12"/>
  <c r="DH123" i="12"/>
  <c r="DI123" i="12"/>
  <c r="DJ123" i="12"/>
  <c r="DK123" i="12"/>
  <c r="DL123" i="12"/>
  <c r="DM123" i="12"/>
  <c r="DN123" i="12"/>
  <c r="DO123" i="12"/>
  <c r="DP123" i="12"/>
  <c r="DQ123" i="12"/>
  <c r="DR123" i="12"/>
  <c r="DS123" i="12"/>
  <c r="DT123" i="12"/>
  <c r="DU123" i="12"/>
  <c r="DV123" i="12"/>
  <c r="DW123" i="12"/>
  <c r="DX123" i="12"/>
  <c r="DY123" i="12"/>
  <c r="DZ123" i="12"/>
  <c r="EA123" i="12"/>
  <c r="EB123" i="12"/>
  <c r="EC123" i="12"/>
  <c r="ED123" i="12"/>
  <c r="EE123" i="12"/>
  <c r="EF123" i="12"/>
  <c r="EG123" i="12"/>
  <c r="EH123" i="12"/>
  <c r="EI123" i="12"/>
  <c r="EJ123" i="12"/>
  <c r="EK123" i="12"/>
  <c r="EL123" i="12"/>
  <c r="EM123" i="12"/>
  <c r="EN123" i="12"/>
  <c r="EO123" i="12"/>
  <c r="EP123" i="12"/>
  <c r="EQ123" i="12"/>
  <c r="ER123" i="12"/>
  <c r="ES123" i="12"/>
  <c r="ET123" i="12"/>
  <c r="EU123" i="12"/>
  <c r="EV123" i="12"/>
  <c r="EW123" i="12"/>
  <c r="EX123" i="12"/>
  <c r="EY123" i="12"/>
  <c r="EZ123" i="12"/>
  <c r="FA123" i="12"/>
  <c r="FB123" i="12"/>
  <c r="FC123" i="12"/>
  <c r="FD123" i="12"/>
  <c r="FE123" i="12"/>
  <c r="FF123" i="12"/>
  <c r="FG123" i="12"/>
  <c r="FH123" i="12"/>
  <c r="FI123" i="12"/>
  <c r="FJ123" i="12"/>
  <c r="FK123" i="12"/>
  <c r="FL123" i="12"/>
  <c r="FM123" i="12"/>
  <c r="FN123" i="12"/>
  <c r="FO123" i="12"/>
  <c r="FP123" i="12"/>
  <c r="FQ123" i="12"/>
  <c r="FR123" i="12"/>
  <c r="FS123" i="12"/>
  <c r="FT123" i="12"/>
  <c r="FU123" i="12"/>
  <c r="FV123" i="12"/>
  <c r="FW123" i="12"/>
  <c r="FX123" i="12"/>
  <c r="FY123" i="12"/>
  <c r="FZ123" i="12"/>
  <c r="GA123" i="12"/>
  <c r="GB123" i="12"/>
  <c r="GC123" i="12"/>
  <c r="GD123" i="12"/>
  <c r="GE123" i="12"/>
  <c r="GF123" i="12"/>
  <c r="GG123" i="12"/>
  <c r="GH123" i="12"/>
  <c r="GI123" i="12"/>
  <c r="GJ123" i="12"/>
  <c r="GK123" i="12"/>
  <c r="GL123" i="12"/>
  <c r="GM123" i="12"/>
  <c r="GN123" i="12"/>
  <c r="GO123" i="12"/>
  <c r="GP123" i="12"/>
  <c r="GQ123" i="12"/>
  <c r="GR123" i="12"/>
  <c r="GS123" i="12"/>
  <c r="GT123" i="12"/>
  <c r="GU123" i="12"/>
  <c r="GV123" i="12"/>
  <c r="GW123" i="12"/>
  <c r="GX123" i="12"/>
  <c r="GY123" i="12"/>
  <c r="GZ123" i="12"/>
  <c r="HA123" i="12"/>
  <c r="HB123" i="12"/>
  <c r="HC123" i="12"/>
  <c r="HD123" i="12"/>
  <c r="HE123" i="12"/>
  <c r="HF123" i="12"/>
  <c r="HG123" i="12"/>
  <c r="HH123" i="12"/>
  <c r="HI123" i="12"/>
  <c r="HJ123" i="12"/>
  <c r="HK123" i="12"/>
  <c r="HL123" i="12"/>
  <c r="HM123" i="12"/>
  <c r="HN123" i="12"/>
  <c r="HO123" i="12"/>
  <c r="HP123" i="12"/>
  <c r="HQ123" i="12"/>
  <c r="HR123" i="12"/>
  <c r="HS123" i="12"/>
  <c r="HT123" i="12"/>
  <c r="HU123" i="12"/>
  <c r="HV123" i="12"/>
  <c r="HW123" i="12"/>
  <c r="HX123" i="12"/>
  <c r="HY123" i="12"/>
  <c r="HZ123" i="12"/>
  <c r="IA123" i="12"/>
  <c r="IB123" i="12"/>
  <c r="IC123" i="12"/>
  <c r="ID123" i="12"/>
  <c r="IE123" i="12"/>
  <c r="IF123" i="12"/>
  <c r="IG123" i="12"/>
  <c r="IH123" i="12"/>
  <c r="II123" i="12"/>
  <c r="IJ123" i="12"/>
  <c r="IK123" i="12"/>
  <c r="IL123" i="12"/>
  <c r="IM123" i="12"/>
  <c r="IN123" i="12"/>
  <c r="IO123" i="12"/>
  <c r="IP123" i="12"/>
  <c r="IQ123" i="12"/>
  <c r="IR123" i="12"/>
  <c r="IS123" i="12"/>
  <c r="IT123" i="12"/>
  <c r="IU123" i="12"/>
  <c r="IV123" i="12"/>
  <c r="F124" i="12"/>
  <c r="G124" i="12"/>
  <c r="H124" i="12"/>
  <c r="I124" i="12"/>
  <c r="J124" i="12"/>
  <c r="K124" i="12"/>
  <c r="L124" i="12"/>
  <c r="M124" i="12"/>
  <c r="N124" i="12"/>
  <c r="O124" i="12"/>
  <c r="P124" i="12"/>
  <c r="Q124" i="12"/>
  <c r="R124" i="12"/>
  <c r="S124" i="12"/>
  <c r="T124" i="12"/>
  <c r="U124" i="12"/>
  <c r="V124" i="12"/>
  <c r="W124" i="12"/>
  <c r="X124" i="12"/>
  <c r="Y124" i="12"/>
  <c r="Z124" i="12"/>
  <c r="AA124" i="12"/>
  <c r="AB124" i="12"/>
  <c r="AC124" i="12"/>
  <c r="AD124" i="12"/>
  <c r="AE124" i="12"/>
  <c r="AF124" i="12"/>
  <c r="AG124" i="12"/>
  <c r="AH124" i="12"/>
  <c r="AI124" i="12"/>
  <c r="AJ124" i="12"/>
  <c r="AK124" i="12"/>
  <c r="AL124" i="12"/>
  <c r="AM124" i="12"/>
  <c r="AN124" i="12"/>
  <c r="AO124" i="12"/>
  <c r="AP124" i="12"/>
  <c r="AQ124" i="12"/>
  <c r="AR124" i="12"/>
  <c r="AS124" i="12"/>
  <c r="AT124" i="12"/>
  <c r="AU124" i="12"/>
  <c r="AV124" i="12"/>
  <c r="AW124" i="12"/>
  <c r="AX124" i="12"/>
  <c r="AY124" i="12"/>
  <c r="AZ124" i="12"/>
  <c r="BA124" i="12"/>
  <c r="BB124" i="12"/>
  <c r="BC124" i="12"/>
  <c r="BD124" i="12"/>
  <c r="BE124" i="12"/>
  <c r="BF124" i="12"/>
  <c r="BG124" i="12"/>
  <c r="BH124" i="12"/>
  <c r="BI124" i="12"/>
  <c r="BJ124" i="12"/>
  <c r="BK124" i="12"/>
  <c r="BL124" i="12"/>
  <c r="BM124" i="12"/>
  <c r="BN124" i="12"/>
  <c r="BO124" i="12"/>
  <c r="BP124" i="12"/>
  <c r="BQ124" i="12"/>
  <c r="BR124" i="12"/>
  <c r="BS124" i="12"/>
  <c r="BT124" i="12"/>
  <c r="BU124" i="12"/>
  <c r="BV124" i="12"/>
  <c r="BW124" i="12"/>
  <c r="BX124" i="12"/>
  <c r="BY124" i="12"/>
  <c r="BZ124" i="12"/>
  <c r="CA124" i="12"/>
  <c r="CB124" i="12"/>
  <c r="CC124" i="12"/>
  <c r="CD124" i="12"/>
  <c r="CE124" i="12"/>
  <c r="CF124" i="12"/>
  <c r="CG124" i="12"/>
  <c r="CH124" i="12"/>
  <c r="CI124" i="12"/>
  <c r="CJ124" i="12"/>
  <c r="CK124" i="12"/>
  <c r="CL124" i="12"/>
  <c r="CM124" i="12"/>
  <c r="CN124" i="12"/>
  <c r="CO124" i="12"/>
  <c r="CP124" i="12"/>
  <c r="CQ124" i="12"/>
  <c r="CR124" i="12"/>
  <c r="CS124" i="12"/>
  <c r="CT124" i="12"/>
  <c r="CU124" i="12"/>
  <c r="CV124" i="12"/>
  <c r="CW124" i="12"/>
  <c r="CX124" i="12"/>
  <c r="CY124" i="12"/>
  <c r="CZ124" i="12"/>
  <c r="DA124" i="12"/>
  <c r="DB124" i="12"/>
  <c r="DC124" i="12"/>
  <c r="DD124" i="12"/>
  <c r="DE124" i="12"/>
  <c r="DF124" i="12"/>
  <c r="DG124" i="12"/>
  <c r="DH124" i="12"/>
  <c r="DI124" i="12"/>
  <c r="DJ124" i="12"/>
  <c r="DK124" i="12"/>
  <c r="DL124" i="12"/>
  <c r="DM124" i="12"/>
  <c r="DN124" i="12"/>
  <c r="DO124" i="12"/>
  <c r="DP124" i="12"/>
  <c r="DQ124" i="12"/>
  <c r="DR124" i="12"/>
  <c r="DS124" i="12"/>
  <c r="DT124" i="12"/>
  <c r="DU124" i="12"/>
  <c r="DV124" i="12"/>
  <c r="DW124" i="12"/>
  <c r="DX124" i="12"/>
  <c r="DY124" i="12"/>
  <c r="DZ124" i="12"/>
  <c r="EA124" i="12"/>
  <c r="EB124" i="12"/>
  <c r="EC124" i="12"/>
  <c r="ED124" i="12"/>
  <c r="EE124" i="12"/>
  <c r="EF124" i="12"/>
  <c r="EG124" i="12"/>
  <c r="EH124" i="12"/>
  <c r="EI124" i="12"/>
  <c r="EJ124" i="12"/>
  <c r="EK124" i="12"/>
  <c r="EL124" i="12"/>
  <c r="EM124" i="12"/>
  <c r="EN124" i="12"/>
  <c r="EO124" i="12"/>
  <c r="EP124" i="12"/>
  <c r="EQ124" i="12"/>
  <c r="ER124" i="12"/>
  <c r="ES124" i="12"/>
  <c r="ET124" i="12"/>
  <c r="EU124" i="12"/>
  <c r="EV124" i="12"/>
  <c r="EW124" i="12"/>
  <c r="EX124" i="12"/>
  <c r="EY124" i="12"/>
  <c r="EZ124" i="12"/>
  <c r="FA124" i="12"/>
  <c r="FB124" i="12"/>
  <c r="FC124" i="12"/>
  <c r="FD124" i="12"/>
  <c r="FE124" i="12"/>
  <c r="FF124" i="12"/>
  <c r="FG124" i="12"/>
  <c r="FH124" i="12"/>
  <c r="FI124" i="12"/>
  <c r="FJ124" i="12"/>
  <c r="FK124" i="12"/>
  <c r="FL124" i="12"/>
  <c r="FM124" i="12"/>
  <c r="FN124" i="12"/>
  <c r="FO124" i="12"/>
  <c r="FP124" i="12"/>
  <c r="FQ124" i="12"/>
  <c r="FR124" i="12"/>
  <c r="FS124" i="12"/>
  <c r="FT124" i="12"/>
  <c r="FU124" i="12"/>
  <c r="FV124" i="12"/>
  <c r="FW124" i="12"/>
  <c r="FX124" i="12"/>
  <c r="FY124" i="12"/>
  <c r="FZ124" i="12"/>
  <c r="GA124" i="12"/>
  <c r="GB124" i="12"/>
  <c r="GC124" i="12"/>
  <c r="GD124" i="12"/>
  <c r="GE124" i="12"/>
  <c r="GF124" i="12"/>
  <c r="GG124" i="12"/>
  <c r="GH124" i="12"/>
  <c r="GI124" i="12"/>
  <c r="GJ124" i="12"/>
  <c r="GK124" i="12"/>
  <c r="GL124" i="12"/>
  <c r="GM124" i="12"/>
  <c r="GN124" i="12"/>
  <c r="GO124" i="12"/>
  <c r="GP124" i="12"/>
  <c r="GQ124" i="12"/>
  <c r="GR124" i="12"/>
  <c r="GS124" i="12"/>
  <c r="GT124" i="12"/>
  <c r="GU124" i="12"/>
  <c r="GV124" i="12"/>
  <c r="GW124" i="12"/>
  <c r="GX124" i="12"/>
  <c r="GY124" i="12"/>
  <c r="GZ124" i="12"/>
  <c r="HA124" i="12"/>
  <c r="HB124" i="12"/>
  <c r="HC124" i="12"/>
  <c r="HD124" i="12"/>
  <c r="HE124" i="12"/>
  <c r="HF124" i="12"/>
  <c r="HG124" i="12"/>
  <c r="HH124" i="12"/>
  <c r="HI124" i="12"/>
  <c r="HJ124" i="12"/>
  <c r="HK124" i="12"/>
  <c r="HL124" i="12"/>
  <c r="HM124" i="12"/>
  <c r="HN124" i="12"/>
  <c r="HO124" i="12"/>
  <c r="HP124" i="12"/>
  <c r="HQ124" i="12"/>
  <c r="HR124" i="12"/>
  <c r="HS124" i="12"/>
  <c r="HT124" i="12"/>
  <c r="HU124" i="12"/>
  <c r="HV124" i="12"/>
  <c r="HW124" i="12"/>
  <c r="HX124" i="12"/>
  <c r="HY124" i="12"/>
  <c r="HZ124" i="12"/>
  <c r="IA124" i="12"/>
  <c r="IB124" i="12"/>
  <c r="IC124" i="12"/>
  <c r="ID124" i="12"/>
  <c r="IE124" i="12"/>
  <c r="IF124" i="12"/>
  <c r="IG124" i="12"/>
  <c r="IH124" i="12"/>
  <c r="II124" i="12"/>
  <c r="IJ124" i="12"/>
  <c r="IK124" i="12"/>
  <c r="IL124" i="12"/>
  <c r="IM124" i="12"/>
  <c r="IN124" i="12"/>
  <c r="IO124" i="12"/>
  <c r="IP124" i="12"/>
  <c r="IQ124" i="12"/>
  <c r="IR124" i="12"/>
  <c r="IS124" i="12"/>
  <c r="IT124" i="12"/>
  <c r="IU124" i="12"/>
  <c r="IV124" i="12"/>
  <c r="F125" i="12"/>
  <c r="G125" i="12"/>
  <c r="H125" i="12"/>
  <c r="I125" i="12"/>
  <c r="J125" i="12"/>
  <c r="K125" i="12"/>
  <c r="L125" i="12"/>
  <c r="M125" i="12"/>
  <c r="N125" i="12"/>
  <c r="O125" i="12"/>
  <c r="P125" i="12"/>
  <c r="Q125" i="12"/>
  <c r="R125" i="12"/>
  <c r="S125" i="12"/>
  <c r="T125" i="12"/>
  <c r="U125" i="12"/>
  <c r="V125" i="12"/>
  <c r="W125" i="12"/>
  <c r="X125" i="12"/>
  <c r="Y125" i="12"/>
  <c r="Z125" i="12"/>
  <c r="AA125" i="12"/>
  <c r="AB125" i="12"/>
  <c r="AC125" i="12"/>
  <c r="AD125" i="12"/>
  <c r="AE125" i="12"/>
  <c r="AF125" i="12"/>
  <c r="AG125" i="12"/>
  <c r="AH125" i="12"/>
  <c r="AI125" i="12"/>
  <c r="AJ125" i="12"/>
  <c r="AK125" i="12"/>
  <c r="AL125" i="12"/>
  <c r="AM125" i="12"/>
  <c r="AN125" i="12"/>
  <c r="AO125" i="12"/>
  <c r="AP125" i="12"/>
  <c r="AQ125" i="12"/>
  <c r="AR125" i="12"/>
  <c r="AS125" i="12"/>
  <c r="AT125" i="12"/>
  <c r="AU125" i="12"/>
  <c r="AV125" i="12"/>
  <c r="AW125" i="12"/>
  <c r="AX125" i="12"/>
  <c r="AY125" i="12"/>
  <c r="AZ125" i="12"/>
  <c r="BA125" i="12"/>
  <c r="BB125" i="12"/>
  <c r="BC125" i="12"/>
  <c r="BD125" i="12"/>
  <c r="BE125" i="12"/>
  <c r="BF125" i="12"/>
  <c r="BG125" i="12"/>
  <c r="BH125" i="12"/>
  <c r="BI125" i="12"/>
  <c r="BJ125" i="12"/>
  <c r="BK125" i="12"/>
  <c r="BL125" i="12"/>
  <c r="BM125" i="12"/>
  <c r="BN125" i="12"/>
  <c r="BO125" i="12"/>
  <c r="BP125" i="12"/>
  <c r="BQ125" i="12"/>
  <c r="BR125" i="12"/>
  <c r="BS125" i="12"/>
  <c r="BT125" i="12"/>
  <c r="BU125" i="12"/>
  <c r="BV125" i="12"/>
  <c r="BW125" i="12"/>
  <c r="BX125" i="12"/>
  <c r="BY125" i="12"/>
  <c r="BZ125" i="12"/>
  <c r="CA125" i="12"/>
  <c r="CB125" i="12"/>
  <c r="CC125" i="12"/>
  <c r="CD125" i="12"/>
  <c r="CE125" i="12"/>
  <c r="CF125" i="12"/>
  <c r="CG125" i="12"/>
  <c r="CH125" i="12"/>
  <c r="CI125" i="12"/>
  <c r="CJ125" i="12"/>
  <c r="CK125" i="12"/>
  <c r="CL125" i="12"/>
  <c r="CM125" i="12"/>
  <c r="CN125" i="12"/>
  <c r="CO125" i="12"/>
  <c r="CP125" i="12"/>
  <c r="CQ125" i="12"/>
  <c r="CR125" i="12"/>
  <c r="CS125" i="12"/>
  <c r="CT125" i="12"/>
  <c r="CU125" i="12"/>
  <c r="CV125" i="12"/>
  <c r="CW125" i="12"/>
  <c r="CX125" i="12"/>
  <c r="CY125" i="12"/>
  <c r="CZ125" i="12"/>
  <c r="DA125" i="12"/>
  <c r="DB125" i="12"/>
  <c r="DC125" i="12"/>
  <c r="DD125" i="12"/>
  <c r="DE125" i="12"/>
  <c r="DF125" i="12"/>
  <c r="DG125" i="12"/>
  <c r="DH125" i="12"/>
  <c r="DI125" i="12"/>
  <c r="DJ125" i="12"/>
  <c r="DK125" i="12"/>
  <c r="DL125" i="12"/>
  <c r="DM125" i="12"/>
  <c r="DN125" i="12"/>
  <c r="DO125" i="12"/>
  <c r="DP125" i="12"/>
  <c r="DQ125" i="12"/>
  <c r="DR125" i="12"/>
  <c r="DS125" i="12"/>
  <c r="DT125" i="12"/>
  <c r="DU125" i="12"/>
  <c r="DV125" i="12"/>
  <c r="DW125" i="12"/>
  <c r="DX125" i="12"/>
  <c r="DY125" i="12"/>
  <c r="DZ125" i="12"/>
  <c r="EA125" i="12"/>
  <c r="EB125" i="12"/>
  <c r="EC125" i="12"/>
  <c r="ED125" i="12"/>
  <c r="EE125" i="12"/>
  <c r="EF125" i="12"/>
  <c r="EG125" i="12"/>
  <c r="EH125" i="12"/>
  <c r="EI125" i="12"/>
  <c r="EJ125" i="12"/>
  <c r="EK125" i="12"/>
  <c r="EL125" i="12"/>
  <c r="EM125" i="12"/>
  <c r="EN125" i="12"/>
  <c r="EO125" i="12"/>
  <c r="EP125" i="12"/>
  <c r="EQ125" i="12"/>
  <c r="ER125" i="12"/>
  <c r="ES125" i="12"/>
  <c r="ET125" i="12"/>
  <c r="EU125" i="12"/>
  <c r="EV125" i="12"/>
  <c r="EW125" i="12"/>
  <c r="EX125" i="12"/>
  <c r="EY125" i="12"/>
  <c r="EZ125" i="12"/>
  <c r="FA125" i="12"/>
  <c r="FB125" i="12"/>
  <c r="FC125" i="12"/>
  <c r="FD125" i="12"/>
  <c r="FE125" i="12"/>
  <c r="FF125" i="12"/>
  <c r="FG125" i="12"/>
  <c r="FH125" i="12"/>
  <c r="FI125" i="12"/>
  <c r="FJ125" i="12"/>
  <c r="FK125" i="12"/>
  <c r="FL125" i="12"/>
  <c r="FM125" i="12"/>
  <c r="FN125" i="12"/>
  <c r="FO125" i="12"/>
  <c r="FP125" i="12"/>
  <c r="FQ125" i="12"/>
  <c r="FR125" i="12"/>
  <c r="FS125" i="12"/>
  <c r="FT125" i="12"/>
  <c r="FU125" i="12"/>
  <c r="FV125" i="12"/>
  <c r="FW125" i="12"/>
  <c r="FX125" i="12"/>
  <c r="FY125" i="12"/>
  <c r="FZ125" i="12"/>
  <c r="GA125" i="12"/>
  <c r="GB125" i="12"/>
  <c r="GC125" i="12"/>
  <c r="GD125" i="12"/>
  <c r="GE125" i="12"/>
  <c r="GF125" i="12"/>
  <c r="GG125" i="12"/>
  <c r="GH125" i="12"/>
  <c r="GI125" i="12"/>
  <c r="GJ125" i="12"/>
  <c r="GK125" i="12"/>
  <c r="GL125" i="12"/>
  <c r="GM125" i="12"/>
  <c r="GN125" i="12"/>
  <c r="GO125" i="12"/>
  <c r="GP125" i="12"/>
  <c r="GQ125" i="12"/>
  <c r="GR125" i="12"/>
  <c r="GS125" i="12"/>
  <c r="GT125" i="12"/>
  <c r="GU125" i="12"/>
  <c r="GV125" i="12"/>
  <c r="GW125" i="12"/>
  <c r="GX125" i="12"/>
  <c r="GY125" i="12"/>
  <c r="GZ125" i="12"/>
  <c r="HA125" i="12"/>
  <c r="HB125" i="12"/>
  <c r="HC125" i="12"/>
  <c r="HD125" i="12"/>
  <c r="HE125" i="12"/>
  <c r="HF125" i="12"/>
  <c r="HG125" i="12"/>
  <c r="HH125" i="12"/>
  <c r="HI125" i="12"/>
  <c r="HJ125" i="12"/>
  <c r="HK125" i="12"/>
  <c r="HL125" i="12"/>
  <c r="HM125" i="12"/>
  <c r="HN125" i="12"/>
  <c r="HO125" i="12"/>
  <c r="HP125" i="12"/>
  <c r="HQ125" i="12"/>
  <c r="HR125" i="12"/>
  <c r="HS125" i="12"/>
  <c r="HT125" i="12"/>
  <c r="HU125" i="12"/>
  <c r="HV125" i="12"/>
  <c r="HW125" i="12"/>
  <c r="HX125" i="12"/>
  <c r="HY125" i="12"/>
  <c r="HZ125" i="12"/>
  <c r="IA125" i="12"/>
  <c r="IB125" i="12"/>
  <c r="IC125" i="12"/>
  <c r="ID125" i="12"/>
  <c r="IE125" i="12"/>
  <c r="IF125" i="12"/>
  <c r="IG125" i="12"/>
  <c r="IH125" i="12"/>
  <c r="II125" i="12"/>
  <c r="IJ125" i="12"/>
  <c r="IK125" i="12"/>
  <c r="IL125" i="12"/>
  <c r="IM125" i="12"/>
  <c r="IN125" i="12"/>
  <c r="IO125" i="12"/>
  <c r="IP125" i="12"/>
  <c r="IQ125" i="12"/>
  <c r="IR125" i="12"/>
  <c r="IS125" i="12"/>
  <c r="IT125" i="12"/>
  <c r="IU125" i="12"/>
  <c r="IV125" i="12"/>
  <c r="F126" i="12"/>
  <c r="G126" i="12"/>
  <c r="H126" i="12"/>
  <c r="I126" i="12"/>
  <c r="J126" i="12"/>
  <c r="K126" i="12"/>
  <c r="L126" i="12"/>
  <c r="M126" i="12"/>
  <c r="N126" i="12"/>
  <c r="O126" i="12"/>
  <c r="P126" i="12"/>
  <c r="Q126" i="12"/>
  <c r="R126" i="12"/>
  <c r="S126" i="12"/>
  <c r="T126" i="12"/>
  <c r="U126" i="12"/>
  <c r="V126" i="12"/>
  <c r="W126" i="12"/>
  <c r="X126" i="12"/>
  <c r="Y126" i="12"/>
  <c r="Z126" i="12"/>
  <c r="AA126" i="12"/>
  <c r="AB126" i="12"/>
  <c r="AC126" i="12"/>
  <c r="AD126" i="12"/>
  <c r="AE126" i="12"/>
  <c r="AF126" i="12"/>
  <c r="AG126" i="12"/>
  <c r="AH126" i="12"/>
  <c r="AI126" i="12"/>
  <c r="AJ126" i="12"/>
  <c r="AK126" i="12"/>
  <c r="AL126" i="12"/>
  <c r="AM126" i="12"/>
  <c r="AN126" i="12"/>
  <c r="AO126" i="12"/>
  <c r="AP126" i="12"/>
  <c r="AQ126" i="12"/>
  <c r="AR126" i="12"/>
  <c r="AS126" i="12"/>
  <c r="AT126" i="12"/>
  <c r="AU126" i="12"/>
  <c r="AV126" i="12"/>
  <c r="AW126" i="12"/>
  <c r="AX126" i="12"/>
  <c r="AY126" i="12"/>
  <c r="AZ126" i="12"/>
  <c r="BA126" i="12"/>
  <c r="BB126" i="12"/>
  <c r="BC126" i="12"/>
  <c r="BD126" i="12"/>
  <c r="BE126" i="12"/>
  <c r="BF126" i="12"/>
  <c r="BG126" i="12"/>
  <c r="BH126" i="12"/>
  <c r="BI126" i="12"/>
  <c r="BJ126" i="12"/>
  <c r="BK126" i="12"/>
  <c r="BL126" i="12"/>
  <c r="BM126" i="12"/>
  <c r="BN126" i="12"/>
  <c r="BO126" i="12"/>
  <c r="BP126" i="12"/>
  <c r="BQ126" i="12"/>
  <c r="BR126" i="12"/>
  <c r="BS126" i="12"/>
  <c r="BT126" i="12"/>
  <c r="BU126" i="12"/>
  <c r="BV126" i="12"/>
  <c r="BW126" i="12"/>
  <c r="BX126" i="12"/>
  <c r="BY126" i="12"/>
  <c r="BZ126" i="12"/>
  <c r="CA126" i="12"/>
  <c r="CB126" i="12"/>
  <c r="CC126" i="12"/>
  <c r="CD126" i="12"/>
  <c r="CE126" i="12"/>
  <c r="CF126" i="12"/>
  <c r="CG126" i="12"/>
  <c r="CH126" i="12"/>
  <c r="CI126" i="12"/>
  <c r="CJ126" i="12"/>
  <c r="CK126" i="12"/>
  <c r="CL126" i="12"/>
  <c r="CM126" i="12"/>
  <c r="CN126" i="12"/>
  <c r="CO126" i="12"/>
  <c r="CP126" i="12"/>
  <c r="CQ126" i="12"/>
  <c r="CR126" i="12"/>
  <c r="CS126" i="12"/>
  <c r="CT126" i="12"/>
  <c r="CU126" i="12"/>
  <c r="CV126" i="12"/>
  <c r="CW126" i="12"/>
  <c r="CX126" i="12"/>
  <c r="CY126" i="12"/>
  <c r="CZ126" i="12"/>
  <c r="DA126" i="12"/>
  <c r="DB126" i="12"/>
  <c r="DC126" i="12"/>
  <c r="DD126" i="12"/>
  <c r="DE126" i="12"/>
  <c r="DF126" i="12"/>
  <c r="DG126" i="12"/>
  <c r="DH126" i="12"/>
  <c r="DI126" i="12"/>
  <c r="DJ126" i="12"/>
  <c r="DK126" i="12"/>
  <c r="DL126" i="12"/>
  <c r="DM126" i="12"/>
  <c r="DN126" i="12"/>
  <c r="DO126" i="12"/>
  <c r="DP126" i="12"/>
  <c r="DQ126" i="12"/>
  <c r="DR126" i="12"/>
  <c r="DS126" i="12"/>
  <c r="DT126" i="12"/>
  <c r="DU126" i="12"/>
  <c r="DV126" i="12"/>
  <c r="DW126" i="12"/>
  <c r="DX126" i="12"/>
  <c r="DY126" i="12"/>
  <c r="DZ126" i="12"/>
  <c r="EA126" i="12"/>
  <c r="EB126" i="12"/>
  <c r="EC126" i="12"/>
  <c r="ED126" i="12"/>
  <c r="EE126" i="12"/>
  <c r="EF126" i="12"/>
  <c r="EG126" i="12"/>
  <c r="EH126" i="12"/>
  <c r="EI126" i="12"/>
  <c r="EJ126" i="12"/>
  <c r="EK126" i="12"/>
  <c r="EL126" i="12"/>
  <c r="EM126" i="12"/>
  <c r="EN126" i="12"/>
  <c r="EO126" i="12"/>
  <c r="EP126" i="12"/>
  <c r="EQ126" i="12"/>
  <c r="ER126" i="12"/>
  <c r="ES126" i="12"/>
  <c r="ET126" i="12"/>
  <c r="EU126" i="12"/>
  <c r="EV126" i="12"/>
  <c r="EW126" i="12"/>
  <c r="EX126" i="12"/>
  <c r="EY126" i="12"/>
  <c r="EZ126" i="12"/>
  <c r="FA126" i="12"/>
  <c r="FB126" i="12"/>
  <c r="FC126" i="12"/>
  <c r="FD126" i="12"/>
  <c r="FE126" i="12"/>
  <c r="FF126" i="12"/>
  <c r="FG126" i="12"/>
  <c r="FH126" i="12"/>
  <c r="FI126" i="12"/>
  <c r="FJ126" i="12"/>
  <c r="FK126" i="12"/>
  <c r="FL126" i="12"/>
  <c r="FM126" i="12"/>
  <c r="FN126" i="12"/>
  <c r="FO126" i="12"/>
  <c r="FP126" i="12"/>
  <c r="FQ126" i="12"/>
  <c r="FR126" i="12"/>
  <c r="FS126" i="12"/>
  <c r="FT126" i="12"/>
  <c r="FU126" i="12"/>
  <c r="FV126" i="12"/>
  <c r="FW126" i="12"/>
  <c r="FX126" i="12"/>
  <c r="FY126" i="12"/>
  <c r="FZ126" i="12"/>
  <c r="GA126" i="12"/>
  <c r="GB126" i="12"/>
  <c r="GC126" i="12"/>
  <c r="GD126" i="12"/>
  <c r="GE126" i="12"/>
  <c r="GF126" i="12"/>
  <c r="GG126" i="12"/>
  <c r="GH126" i="12"/>
  <c r="GI126" i="12"/>
  <c r="GJ126" i="12"/>
  <c r="GK126" i="12"/>
  <c r="GL126" i="12"/>
  <c r="GM126" i="12"/>
  <c r="GN126" i="12"/>
  <c r="GO126" i="12"/>
  <c r="GP126" i="12"/>
  <c r="GQ126" i="12"/>
  <c r="GR126" i="12"/>
  <c r="GS126" i="12"/>
  <c r="GT126" i="12"/>
  <c r="GU126" i="12"/>
  <c r="GV126" i="12"/>
  <c r="GW126" i="12"/>
  <c r="GX126" i="12"/>
  <c r="GY126" i="12"/>
  <c r="GZ126" i="12"/>
  <c r="HA126" i="12"/>
  <c r="HB126" i="12"/>
  <c r="HC126" i="12"/>
  <c r="HD126" i="12"/>
  <c r="HE126" i="12"/>
  <c r="HF126" i="12"/>
  <c r="HG126" i="12"/>
  <c r="HH126" i="12"/>
  <c r="HI126" i="12"/>
  <c r="HJ126" i="12"/>
  <c r="HK126" i="12"/>
  <c r="HL126" i="12"/>
  <c r="HM126" i="12"/>
  <c r="HN126" i="12"/>
  <c r="HO126" i="12"/>
  <c r="HP126" i="12"/>
  <c r="HQ126" i="12"/>
  <c r="HR126" i="12"/>
  <c r="HS126" i="12"/>
  <c r="HT126" i="12"/>
  <c r="HU126" i="12"/>
  <c r="HV126" i="12"/>
  <c r="HW126" i="12"/>
  <c r="HX126" i="12"/>
  <c r="HY126" i="12"/>
  <c r="HZ126" i="12"/>
  <c r="IA126" i="12"/>
  <c r="IB126" i="12"/>
  <c r="IC126" i="12"/>
  <c r="ID126" i="12"/>
  <c r="IE126" i="12"/>
  <c r="IF126" i="12"/>
  <c r="IG126" i="12"/>
  <c r="IH126" i="12"/>
  <c r="II126" i="12"/>
  <c r="IJ126" i="12"/>
  <c r="IK126" i="12"/>
  <c r="IL126" i="12"/>
  <c r="IM126" i="12"/>
  <c r="IN126" i="12"/>
  <c r="IO126" i="12"/>
  <c r="IP126" i="12"/>
  <c r="IQ126" i="12"/>
  <c r="IR126" i="12"/>
  <c r="IS126" i="12"/>
  <c r="IT126" i="12"/>
  <c r="IU126" i="12"/>
  <c r="IV126" i="12"/>
  <c r="F127" i="12"/>
  <c r="G127" i="12"/>
  <c r="H127" i="12"/>
  <c r="I127" i="12"/>
  <c r="J127" i="12"/>
  <c r="K127" i="12"/>
  <c r="L127" i="12"/>
  <c r="M127" i="12"/>
  <c r="N127" i="12"/>
  <c r="O127" i="12"/>
  <c r="P127" i="12"/>
  <c r="Q127" i="12"/>
  <c r="R127" i="12"/>
  <c r="S127" i="12"/>
  <c r="T127" i="12"/>
  <c r="U127" i="12"/>
  <c r="V127" i="12"/>
  <c r="W127" i="12"/>
  <c r="X127" i="12"/>
  <c r="Y127" i="12"/>
  <c r="Z127" i="12"/>
  <c r="AA127" i="12"/>
  <c r="AB127" i="12"/>
  <c r="AC127" i="12"/>
  <c r="AD127" i="12"/>
  <c r="AE127" i="12"/>
  <c r="AF127" i="12"/>
  <c r="AG127" i="12"/>
  <c r="AH127" i="12"/>
  <c r="AI127" i="12"/>
  <c r="AJ127" i="12"/>
  <c r="AK127" i="12"/>
  <c r="AL127" i="12"/>
  <c r="AM127" i="12"/>
  <c r="AN127" i="12"/>
  <c r="AO127" i="12"/>
  <c r="AP127" i="12"/>
  <c r="AQ127" i="12"/>
  <c r="AR127" i="12"/>
  <c r="AS127" i="12"/>
  <c r="AT127" i="12"/>
  <c r="AU127" i="12"/>
  <c r="AV127" i="12"/>
  <c r="AW127" i="12"/>
  <c r="AX127" i="12"/>
  <c r="AY127" i="12"/>
  <c r="AZ127" i="12"/>
  <c r="BA127" i="12"/>
  <c r="BB127" i="12"/>
  <c r="BC127" i="12"/>
  <c r="BD127" i="12"/>
  <c r="BE127" i="12"/>
  <c r="BF127" i="12"/>
  <c r="BG127" i="12"/>
  <c r="BH127" i="12"/>
  <c r="BI127" i="12"/>
  <c r="BJ127" i="12"/>
  <c r="BK127" i="12"/>
  <c r="BL127" i="12"/>
  <c r="BM127" i="12"/>
  <c r="BN127" i="12"/>
  <c r="BO127" i="12"/>
  <c r="BP127" i="12"/>
  <c r="BQ127" i="12"/>
  <c r="BR127" i="12"/>
  <c r="BS127" i="12"/>
  <c r="BT127" i="12"/>
  <c r="BU127" i="12"/>
  <c r="BV127" i="12"/>
  <c r="BW127" i="12"/>
  <c r="BX127" i="12"/>
  <c r="BY127" i="12"/>
  <c r="BZ127" i="12"/>
  <c r="CA127" i="12"/>
  <c r="CB127" i="12"/>
  <c r="CC127" i="12"/>
  <c r="CD127" i="12"/>
  <c r="CE127" i="12"/>
  <c r="CF127" i="12"/>
  <c r="CG127" i="12"/>
  <c r="CH127" i="12"/>
  <c r="CI127" i="12"/>
  <c r="CJ127" i="12"/>
  <c r="CK127" i="12"/>
  <c r="CL127" i="12"/>
  <c r="CM127" i="12"/>
  <c r="CN127" i="12"/>
  <c r="CO127" i="12"/>
  <c r="CP127" i="12"/>
  <c r="CQ127" i="12"/>
  <c r="CR127" i="12"/>
  <c r="CS127" i="12"/>
  <c r="CT127" i="12"/>
  <c r="CU127" i="12"/>
  <c r="CV127" i="12"/>
  <c r="CW127" i="12"/>
  <c r="CX127" i="12"/>
  <c r="CY127" i="12"/>
  <c r="CZ127" i="12"/>
  <c r="DA127" i="12"/>
  <c r="DB127" i="12"/>
  <c r="DC127" i="12"/>
  <c r="DD127" i="12"/>
  <c r="DE127" i="12"/>
  <c r="DF127" i="12"/>
  <c r="DG127" i="12"/>
  <c r="DH127" i="12"/>
  <c r="DI127" i="12"/>
  <c r="DJ127" i="12"/>
  <c r="DK127" i="12"/>
  <c r="DL127" i="12"/>
  <c r="DM127" i="12"/>
  <c r="DN127" i="12"/>
  <c r="DO127" i="12"/>
  <c r="DP127" i="12"/>
  <c r="DQ127" i="12"/>
  <c r="DR127" i="12"/>
  <c r="DS127" i="12"/>
  <c r="DT127" i="12"/>
  <c r="DU127" i="12"/>
  <c r="DV127" i="12"/>
  <c r="DW127" i="12"/>
  <c r="DX127" i="12"/>
  <c r="DY127" i="12"/>
  <c r="DZ127" i="12"/>
  <c r="EA127" i="12"/>
  <c r="EB127" i="12"/>
  <c r="EC127" i="12"/>
  <c r="ED127" i="12"/>
  <c r="EE127" i="12"/>
  <c r="EF127" i="12"/>
  <c r="EG127" i="12"/>
  <c r="EH127" i="12"/>
  <c r="EI127" i="12"/>
  <c r="EJ127" i="12"/>
  <c r="EK127" i="12"/>
  <c r="EL127" i="12"/>
  <c r="EM127" i="12"/>
  <c r="EN127" i="12"/>
  <c r="EO127" i="12"/>
  <c r="EP127" i="12"/>
  <c r="EQ127" i="12"/>
  <c r="ER127" i="12"/>
  <c r="ES127" i="12"/>
  <c r="ET127" i="12"/>
  <c r="EU127" i="12"/>
  <c r="EV127" i="12"/>
  <c r="EW127" i="12"/>
  <c r="EX127" i="12"/>
  <c r="EY127" i="12"/>
  <c r="EZ127" i="12"/>
  <c r="FA127" i="12"/>
  <c r="FB127" i="12"/>
  <c r="FC127" i="12"/>
  <c r="FD127" i="12"/>
  <c r="FE127" i="12"/>
  <c r="FF127" i="12"/>
  <c r="FG127" i="12"/>
  <c r="FH127" i="12"/>
  <c r="FI127" i="12"/>
  <c r="FJ127" i="12"/>
  <c r="FK127" i="12"/>
  <c r="FL127" i="12"/>
  <c r="FM127" i="12"/>
  <c r="FN127" i="12"/>
  <c r="FO127" i="12"/>
  <c r="FP127" i="12"/>
  <c r="FQ127" i="12"/>
  <c r="FR127" i="12"/>
  <c r="FS127" i="12"/>
  <c r="FT127" i="12"/>
  <c r="FU127" i="12"/>
  <c r="FV127" i="12"/>
  <c r="FW127" i="12"/>
  <c r="FX127" i="12"/>
  <c r="FY127" i="12"/>
  <c r="FZ127" i="12"/>
  <c r="GA127" i="12"/>
  <c r="GB127" i="12"/>
  <c r="GC127" i="12"/>
  <c r="GD127" i="12"/>
  <c r="GE127" i="12"/>
  <c r="GF127" i="12"/>
  <c r="GG127" i="12"/>
  <c r="GH127" i="12"/>
  <c r="GI127" i="12"/>
  <c r="GJ127" i="12"/>
  <c r="GK127" i="12"/>
  <c r="GL127" i="12"/>
  <c r="GM127" i="12"/>
  <c r="GN127" i="12"/>
  <c r="GO127" i="12"/>
  <c r="GP127" i="12"/>
  <c r="GQ127" i="12"/>
  <c r="GR127" i="12"/>
  <c r="GS127" i="12"/>
  <c r="GT127" i="12"/>
  <c r="GU127" i="12"/>
  <c r="GV127" i="12"/>
  <c r="GW127" i="12"/>
  <c r="GX127" i="12"/>
  <c r="GY127" i="12"/>
  <c r="GZ127" i="12"/>
  <c r="HA127" i="12"/>
  <c r="HB127" i="12"/>
  <c r="HC127" i="12"/>
  <c r="HD127" i="12"/>
  <c r="HE127" i="12"/>
  <c r="HF127" i="12"/>
  <c r="HG127" i="12"/>
  <c r="HH127" i="12"/>
  <c r="HI127" i="12"/>
  <c r="HJ127" i="12"/>
  <c r="HK127" i="12"/>
  <c r="HL127" i="12"/>
  <c r="HM127" i="12"/>
  <c r="HN127" i="12"/>
  <c r="HO127" i="12"/>
  <c r="HP127" i="12"/>
  <c r="HQ127" i="12"/>
  <c r="HR127" i="12"/>
  <c r="HS127" i="12"/>
  <c r="HT127" i="12"/>
  <c r="HU127" i="12"/>
  <c r="HV127" i="12"/>
  <c r="HW127" i="12"/>
  <c r="HX127" i="12"/>
  <c r="HY127" i="12"/>
  <c r="HZ127" i="12"/>
  <c r="IA127" i="12"/>
  <c r="IB127" i="12"/>
  <c r="IC127" i="12"/>
  <c r="ID127" i="12"/>
  <c r="IE127" i="12"/>
  <c r="IF127" i="12"/>
  <c r="IG127" i="12"/>
  <c r="IH127" i="12"/>
  <c r="II127" i="12"/>
  <c r="IJ127" i="12"/>
  <c r="IK127" i="12"/>
  <c r="IL127" i="12"/>
  <c r="IM127" i="12"/>
  <c r="IN127" i="12"/>
  <c r="IO127" i="12"/>
  <c r="IP127" i="12"/>
  <c r="IQ127" i="12"/>
  <c r="IR127" i="12"/>
  <c r="IS127" i="12"/>
  <c r="IT127" i="12"/>
  <c r="IU127" i="12"/>
  <c r="IV127" i="12"/>
  <c r="F128" i="12"/>
  <c r="G128" i="12"/>
  <c r="H128" i="12"/>
  <c r="I128" i="12"/>
  <c r="J128" i="12"/>
  <c r="K128" i="12"/>
  <c r="L128" i="12"/>
  <c r="M128" i="12"/>
  <c r="N128" i="12"/>
  <c r="O128" i="12"/>
  <c r="P128" i="12"/>
  <c r="Q128" i="12"/>
  <c r="R128" i="12"/>
  <c r="S128" i="12"/>
  <c r="T128" i="12"/>
  <c r="U128" i="12"/>
  <c r="V128" i="12"/>
  <c r="W128" i="12"/>
  <c r="X128" i="12"/>
  <c r="Y128" i="12"/>
  <c r="Z128" i="12"/>
  <c r="AA128" i="12"/>
  <c r="AB128" i="12"/>
  <c r="AC128" i="12"/>
  <c r="AD128" i="12"/>
  <c r="AE128" i="12"/>
  <c r="AF128" i="12"/>
  <c r="AG128" i="12"/>
  <c r="AH128" i="12"/>
  <c r="AI128" i="12"/>
  <c r="AJ128" i="12"/>
  <c r="AK128" i="12"/>
  <c r="AL128" i="12"/>
  <c r="AM128" i="12"/>
  <c r="AN128" i="12"/>
  <c r="AO128" i="12"/>
  <c r="AP128" i="12"/>
  <c r="AQ128" i="12"/>
  <c r="AR128" i="12"/>
  <c r="AS128" i="12"/>
  <c r="AT128" i="12"/>
  <c r="AU128" i="12"/>
  <c r="AV128" i="12"/>
  <c r="AW128" i="12"/>
  <c r="AX128" i="12"/>
  <c r="AY128" i="12"/>
  <c r="AZ128" i="12"/>
  <c r="BA128" i="12"/>
  <c r="BB128" i="12"/>
  <c r="BC128" i="12"/>
  <c r="BD128" i="12"/>
  <c r="BE128" i="12"/>
  <c r="BF128" i="12"/>
  <c r="BG128" i="12"/>
  <c r="BH128" i="12"/>
  <c r="BI128" i="12"/>
  <c r="BJ128" i="12"/>
  <c r="BK128" i="12"/>
  <c r="BL128" i="12"/>
  <c r="BM128" i="12"/>
  <c r="BN128" i="12"/>
  <c r="BO128" i="12"/>
  <c r="BP128" i="12"/>
  <c r="BQ128" i="12"/>
  <c r="BR128" i="12"/>
  <c r="BS128" i="12"/>
  <c r="BT128" i="12"/>
  <c r="BU128" i="12"/>
  <c r="BV128" i="12"/>
  <c r="BW128" i="12"/>
  <c r="BX128" i="12"/>
  <c r="BY128" i="12"/>
  <c r="BZ128" i="12"/>
  <c r="CA128" i="12"/>
  <c r="CB128" i="12"/>
  <c r="CC128" i="12"/>
  <c r="CD128" i="12"/>
  <c r="CE128" i="12"/>
  <c r="CF128" i="12"/>
  <c r="CG128" i="12"/>
  <c r="CH128" i="12"/>
  <c r="CI128" i="12"/>
  <c r="CJ128" i="12"/>
  <c r="CK128" i="12"/>
  <c r="CL128" i="12"/>
  <c r="CM128" i="12"/>
  <c r="CN128" i="12"/>
  <c r="CO128" i="12"/>
  <c r="CP128" i="12"/>
  <c r="CQ128" i="12"/>
  <c r="CR128" i="12"/>
  <c r="CS128" i="12"/>
  <c r="CT128" i="12"/>
  <c r="CU128" i="12"/>
  <c r="CV128" i="12"/>
  <c r="CW128" i="12"/>
  <c r="CX128" i="12"/>
  <c r="CY128" i="12"/>
  <c r="CZ128" i="12"/>
  <c r="DA128" i="12"/>
  <c r="DB128" i="12"/>
  <c r="DC128" i="12"/>
  <c r="DD128" i="12"/>
  <c r="DE128" i="12"/>
  <c r="DF128" i="12"/>
  <c r="DG128" i="12"/>
  <c r="DH128" i="12"/>
  <c r="DI128" i="12"/>
  <c r="DJ128" i="12"/>
  <c r="DK128" i="12"/>
  <c r="DL128" i="12"/>
  <c r="DM128" i="12"/>
  <c r="DN128" i="12"/>
  <c r="DO128" i="12"/>
  <c r="DP128" i="12"/>
  <c r="DQ128" i="12"/>
  <c r="DR128" i="12"/>
  <c r="DS128" i="12"/>
  <c r="DT128" i="12"/>
  <c r="DU128" i="12"/>
  <c r="DV128" i="12"/>
  <c r="DW128" i="12"/>
  <c r="DX128" i="12"/>
  <c r="DY128" i="12"/>
  <c r="DZ128" i="12"/>
  <c r="EA128" i="12"/>
  <c r="EB128" i="12"/>
  <c r="EC128" i="12"/>
  <c r="ED128" i="12"/>
  <c r="EE128" i="12"/>
  <c r="EF128" i="12"/>
  <c r="EG128" i="12"/>
  <c r="EH128" i="12"/>
  <c r="EI128" i="12"/>
  <c r="EJ128" i="12"/>
  <c r="EK128" i="12"/>
  <c r="EL128" i="12"/>
  <c r="EM128" i="12"/>
  <c r="EN128" i="12"/>
  <c r="EO128" i="12"/>
  <c r="EP128" i="12"/>
  <c r="EQ128" i="12"/>
  <c r="ER128" i="12"/>
  <c r="ES128" i="12"/>
  <c r="ET128" i="12"/>
  <c r="EU128" i="12"/>
  <c r="EV128" i="12"/>
  <c r="EW128" i="12"/>
  <c r="EX128" i="12"/>
  <c r="EY128" i="12"/>
  <c r="EZ128" i="12"/>
  <c r="FA128" i="12"/>
  <c r="FB128" i="12"/>
  <c r="FC128" i="12"/>
  <c r="FD128" i="12"/>
  <c r="FE128" i="12"/>
  <c r="FF128" i="12"/>
  <c r="FG128" i="12"/>
  <c r="FH128" i="12"/>
  <c r="FI128" i="12"/>
  <c r="FJ128" i="12"/>
  <c r="FK128" i="12"/>
  <c r="FL128" i="12"/>
  <c r="FM128" i="12"/>
  <c r="FN128" i="12"/>
  <c r="FO128" i="12"/>
  <c r="FP128" i="12"/>
  <c r="FQ128" i="12"/>
  <c r="FR128" i="12"/>
  <c r="FS128" i="12"/>
  <c r="FT128" i="12"/>
  <c r="FU128" i="12"/>
  <c r="FV128" i="12"/>
  <c r="FW128" i="12"/>
  <c r="FX128" i="12"/>
  <c r="FY128" i="12"/>
  <c r="FZ128" i="12"/>
  <c r="GA128" i="12"/>
  <c r="GB128" i="12"/>
  <c r="GC128" i="12"/>
  <c r="GD128" i="12"/>
  <c r="GE128" i="12"/>
  <c r="GF128" i="12"/>
  <c r="GG128" i="12"/>
  <c r="GH128" i="12"/>
  <c r="GI128" i="12"/>
  <c r="GJ128" i="12"/>
  <c r="GK128" i="12"/>
  <c r="GL128" i="12"/>
  <c r="GM128" i="12"/>
  <c r="GN128" i="12"/>
  <c r="GO128" i="12"/>
  <c r="GP128" i="12"/>
  <c r="GQ128" i="12"/>
  <c r="GR128" i="12"/>
  <c r="GS128" i="12"/>
  <c r="GT128" i="12"/>
  <c r="GU128" i="12"/>
  <c r="GV128" i="12"/>
  <c r="GW128" i="12"/>
  <c r="GX128" i="12"/>
  <c r="GY128" i="12"/>
  <c r="GZ128" i="12"/>
  <c r="HA128" i="12"/>
  <c r="HB128" i="12"/>
  <c r="HC128" i="12"/>
  <c r="HD128" i="12"/>
  <c r="HE128" i="12"/>
  <c r="HF128" i="12"/>
  <c r="HG128" i="12"/>
  <c r="HH128" i="12"/>
  <c r="HI128" i="12"/>
  <c r="HJ128" i="12"/>
  <c r="HK128" i="12"/>
  <c r="HL128" i="12"/>
  <c r="HM128" i="12"/>
  <c r="HN128" i="12"/>
  <c r="HO128" i="12"/>
  <c r="HP128" i="12"/>
  <c r="HQ128" i="12"/>
  <c r="HR128" i="12"/>
  <c r="HS128" i="12"/>
  <c r="HT128" i="12"/>
  <c r="HU128" i="12"/>
  <c r="HV128" i="12"/>
  <c r="HW128" i="12"/>
  <c r="HX128" i="12"/>
  <c r="HY128" i="12"/>
  <c r="HZ128" i="12"/>
  <c r="IA128" i="12"/>
  <c r="IB128" i="12"/>
  <c r="IC128" i="12"/>
  <c r="ID128" i="12"/>
  <c r="IE128" i="12"/>
  <c r="IF128" i="12"/>
  <c r="IG128" i="12"/>
  <c r="IH128" i="12"/>
  <c r="II128" i="12"/>
  <c r="IJ128" i="12"/>
  <c r="IK128" i="12"/>
  <c r="IL128" i="12"/>
  <c r="IM128" i="12"/>
  <c r="IN128" i="12"/>
  <c r="IO128" i="12"/>
  <c r="IP128" i="12"/>
  <c r="IQ128" i="12"/>
  <c r="IR128" i="12"/>
  <c r="IS128" i="12"/>
  <c r="IT128" i="12"/>
  <c r="IU128" i="12"/>
  <c r="IV128" i="12"/>
  <c r="F129" i="12"/>
  <c r="G129" i="12"/>
  <c r="H129" i="12"/>
  <c r="I129" i="12"/>
  <c r="J129" i="12"/>
  <c r="K129" i="12"/>
  <c r="L129" i="12"/>
  <c r="M129" i="12"/>
  <c r="N129" i="12"/>
  <c r="O129" i="12"/>
  <c r="P129" i="12"/>
  <c r="Q129" i="12"/>
  <c r="R129" i="12"/>
  <c r="S129" i="12"/>
  <c r="T129" i="12"/>
  <c r="U129" i="12"/>
  <c r="V129" i="12"/>
  <c r="W129" i="12"/>
  <c r="X129" i="12"/>
  <c r="Y129" i="12"/>
  <c r="Z129" i="12"/>
  <c r="AA129" i="12"/>
  <c r="AB129" i="12"/>
  <c r="AC129" i="12"/>
  <c r="AD129" i="12"/>
  <c r="AE129" i="12"/>
  <c r="AF129" i="12"/>
  <c r="AG129" i="12"/>
  <c r="AH129" i="12"/>
  <c r="AI129" i="12"/>
  <c r="AJ129" i="12"/>
  <c r="AK129" i="12"/>
  <c r="AL129" i="12"/>
  <c r="AM129" i="12"/>
  <c r="AN129" i="12"/>
  <c r="AO129" i="12"/>
  <c r="AP129" i="12"/>
  <c r="AQ129" i="12"/>
  <c r="AR129" i="12"/>
  <c r="AS129" i="12"/>
  <c r="AT129" i="12"/>
  <c r="AU129" i="12"/>
  <c r="AV129" i="12"/>
  <c r="AW129" i="12"/>
  <c r="AX129" i="12"/>
  <c r="AY129" i="12"/>
  <c r="AZ129" i="12"/>
  <c r="BA129" i="12"/>
  <c r="BB129" i="12"/>
  <c r="BC129" i="12"/>
  <c r="BD129" i="12"/>
  <c r="BE129" i="12"/>
  <c r="BF129" i="12"/>
  <c r="BG129" i="12"/>
  <c r="BH129" i="12"/>
  <c r="BI129" i="12"/>
  <c r="BJ129" i="12"/>
  <c r="BK129" i="12"/>
  <c r="BL129" i="12"/>
  <c r="BM129" i="12"/>
  <c r="BN129" i="12"/>
  <c r="BO129" i="12"/>
  <c r="BP129" i="12"/>
  <c r="BQ129" i="12"/>
  <c r="BR129" i="12"/>
  <c r="BS129" i="12"/>
  <c r="BT129" i="12"/>
  <c r="BU129" i="12"/>
  <c r="BV129" i="12"/>
  <c r="BW129" i="12"/>
  <c r="BX129" i="12"/>
  <c r="BY129" i="12"/>
  <c r="BZ129" i="12"/>
  <c r="CA129" i="12"/>
  <c r="CB129" i="12"/>
  <c r="CC129" i="12"/>
  <c r="CD129" i="12"/>
  <c r="CE129" i="12"/>
  <c r="CF129" i="12"/>
  <c r="CG129" i="12"/>
  <c r="CH129" i="12"/>
  <c r="CI129" i="12"/>
  <c r="CJ129" i="12"/>
  <c r="CK129" i="12"/>
  <c r="CL129" i="12"/>
  <c r="CM129" i="12"/>
  <c r="CN129" i="12"/>
  <c r="CO129" i="12"/>
  <c r="CP129" i="12"/>
  <c r="CQ129" i="12"/>
  <c r="CR129" i="12"/>
  <c r="CS129" i="12"/>
  <c r="CT129" i="12"/>
  <c r="CU129" i="12"/>
  <c r="CV129" i="12"/>
  <c r="CW129" i="12"/>
  <c r="CX129" i="12"/>
  <c r="CY129" i="12"/>
  <c r="CZ129" i="12"/>
  <c r="DA129" i="12"/>
  <c r="DB129" i="12"/>
  <c r="DC129" i="12"/>
  <c r="DD129" i="12"/>
  <c r="DE129" i="12"/>
  <c r="DF129" i="12"/>
  <c r="DG129" i="12"/>
  <c r="DH129" i="12"/>
  <c r="DI129" i="12"/>
  <c r="DJ129" i="12"/>
  <c r="DK129" i="12"/>
  <c r="DL129" i="12"/>
  <c r="DM129" i="12"/>
  <c r="DN129" i="12"/>
  <c r="DO129" i="12"/>
  <c r="DP129" i="12"/>
  <c r="DQ129" i="12"/>
  <c r="DR129" i="12"/>
  <c r="DS129" i="12"/>
  <c r="DT129" i="12"/>
  <c r="DU129" i="12"/>
  <c r="DV129" i="12"/>
  <c r="DW129" i="12"/>
  <c r="DX129" i="12"/>
  <c r="DY129" i="12"/>
  <c r="DZ129" i="12"/>
  <c r="EA129" i="12"/>
  <c r="EB129" i="12"/>
  <c r="EC129" i="12"/>
  <c r="ED129" i="12"/>
  <c r="EE129" i="12"/>
  <c r="EF129" i="12"/>
  <c r="EG129" i="12"/>
  <c r="EH129" i="12"/>
  <c r="EI129" i="12"/>
  <c r="EJ129" i="12"/>
  <c r="EK129" i="12"/>
  <c r="EL129" i="12"/>
  <c r="EM129" i="12"/>
  <c r="EN129" i="12"/>
  <c r="EO129" i="12"/>
  <c r="EP129" i="12"/>
  <c r="EQ129" i="12"/>
  <c r="ER129" i="12"/>
  <c r="ES129" i="12"/>
  <c r="ET129" i="12"/>
  <c r="EU129" i="12"/>
  <c r="EV129" i="12"/>
  <c r="EW129" i="12"/>
  <c r="EX129" i="12"/>
  <c r="EY129" i="12"/>
  <c r="EZ129" i="12"/>
  <c r="FA129" i="12"/>
  <c r="FB129" i="12"/>
  <c r="FC129" i="12"/>
  <c r="FD129" i="12"/>
  <c r="FE129" i="12"/>
  <c r="FF129" i="12"/>
  <c r="FG129" i="12"/>
  <c r="FH129" i="12"/>
  <c r="FI129" i="12"/>
  <c r="FJ129" i="12"/>
  <c r="FK129" i="12"/>
  <c r="FL129" i="12"/>
  <c r="FM129" i="12"/>
  <c r="FN129" i="12"/>
  <c r="FO129" i="12"/>
  <c r="FP129" i="12"/>
  <c r="FQ129" i="12"/>
  <c r="FR129" i="12"/>
  <c r="FS129" i="12"/>
  <c r="FT129" i="12"/>
  <c r="FU129" i="12"/>
  <c r="FV129" i="12"/>
  <c r="FW129" i="12"/>
  <c r="FX129" i="12"/>
  <c r="FY129" i="12"/>
  <c r="FZ129" i="12"/>
  <c r="GA129" i="12"/>
  <c r="GB129" i="12"/>
  <c r="GC129" i="12"/>
  <c r="GD129" i="12"/>
  <c r="GE129" i="12"/>
  <c r="GF129" i="12"/>
  <c r="GG129" i="12"/>
  <c r="GH129" i="12"/>
  <c r="GI129" i="12"/>
  <c r="GJ129" i="12"/>
  <c r="GK129" i="12"/>
  <c r="GL129" i="12"/>
  <c r="GM129" i="12"/>
  <c r="GN129" i="12"/>
  <c r="GO129" i="12"/>
  <c r="GP129" i="12"/>
  <c r="GQ129" i="12"/>
  <c r="GR129" i="12"/>
  <c r="GS129" i="12"/>
  <c r="GT129" i="12"/>
  <c r="GU129" i="12"/>
  <c r="GV129" i="12"/>
  <c r="GW129" i="12"/>
  <c r="GX129" i="12"/>
  <c r="GY129" i="12"/>
  <c r="GZ129" i="12"/>
  <c r="HA129" i="12"/>
  <c r="HB129" i="12"/>
  <c r="HC129" i="12"/>
  <c r="HD129" i="12"/>
  <c r="HE129" i="12"/>
  <c r="HF129" i="12"/>
  <c r="HG129" i="12"/>
  <c r="HH129" i="12"/>
  <c r="HI129" i="12"/>
  <c r="HJ129" i="12"/>
  <c r="HK129" i="12"/>
  <c r="HL129" i="12"/>
  <c r="HM129" i="12"/>
  <c r="HN129" i="12"/>
  <c r="HO129" i="12"/>
  <c r="HP129" i="12"/>
  <c r="HQ129" i="12"/>
  <c r="HR129" i="12"/>
  <c r="HS129" i="12"/>
  <c r="HT129" i="12"/>
  <c r="HU129" i="12"/>
  <c r="HV129" i="12"/>
  <c r="HW129" i="12"/>
  <c r="HX129" i="12"/>
  <c r="HY129" i="12"/>
  <c r="HZ129" i="12"/>
  <c r="IA129" i="12"/>
  <c r="IB129" i="12"/>
  <c r="IC129" i="12"/>
  <c r="ID129" i="12"/>
  <c r="IE129" i="12"/>
  <c r="IF129" i="12"/>
  <c r="IG129" i="12"/>
  <c r="IH129" i="12"/>
  <c r="II129" i="12"/>
  <c r="IJ129" i="12"/>
  <c r="IK129" i="12"/>
  <c r="IL129" i="12"/>
  <c r="IM129" i="12"/>
  <c r="IN129" i="12"/>
  <c r="IO129" i="12"/>
  <c r="IP129" i="12"/>
  <c r="IQ129" i="12"/>
  <c r="IR129" i="12"/>
  <c r="IS129" i="12"/>
  <c r="IT129" i="12"/>
  <c r="IU129" i="12"/>
  <c r="IV129" i="12"/>
  <c r="F130" i="12"/>
  <c r="G130" i="12"/>
  <c r="H130" i="12"/>
  <c r="I130" i="12"/>
  <c r="J130" i="12"/>
  <c r="K130" i="12"/>
  <c r="L130" i="12"/>
  <c r="M130" i="12"/>
  <c r="N130" i="12"/>
  <c r="O130" i="12"/>
  <c r="P130" i="12"/>
  <c r="Q130" i="12"/>
  <c r="R130" i="12"/>
  <c r="S130" i="12"/>
  <c r="T130" i="12"/>
  <c r="U130" i="12"/>
  <c r="V130" i="12"/>
  <c r="W130" i="12"/>
  <c r="X130" i="12"/>
  <c r="Y130" i="12"/>
  <c r="Z130" i="12"/>
  <c r="AA130" i="12"/>
  <c r="AB130" i="12"/>
  <c r="AC130" i="12"/>
  <c r="AD130" i="12"/>
  <c r="AE130" i="12"/>
  <c r="AF130" i="12"/>
  <c r="AG130" i="12"/>
  <c r="AH130" i="12"/>
  <c r="AI130" i="12"/>
  <c r="AJ130" i="12"/>
  <c r="AK130" i="12"/>
  <c r="AL130" i="12"/>
  <c r="AM130" i="12"/>
  <c r="AN130" i="12"/>
  <c r="AO130" i="12"/>
  <c r="AP130" i="12"/>
  <c r="AQ130" i="12"/>
  <c r="AR130" i="12"/>
  <c r="AS130" i="12"/>
  <c r="AT130" i="12"/>
  <c r="AU130" i="12"/>
  <c r="AV130" i="12"/>
  <c r="AW130" i="12"/>
  <c r="AX130" i="12"/>
  <c r="AY130" i="12"/>
  <c r="AZ130" i="12"/>
  <c r="BA130" i="12"/>
  <c r="BB130" i="12"/>
  <c r="BC130" i="12"/>
  <c r="BD130" i="12"/>
  <c r="BE130" i="12"/>
  <c r="BF130" i="12"/>
  <c r="BG130" i="12"/>
  <c r="BH130" i="12"/>
  <c r="BI130" i="12"/>
  <c r="BJ130" i="12"/>
  <c r="BK130" i="12"/>
  <c r="BL130" i="12"/>
  <c r="BM130" i="12"/>
  <c r="BN130" i="12"/>
  <c r="BO130" i="12"/>
  <c r="BP130" i="12"/>
  <c r="BQ130" i="12"/>
  <c r="BR130" i="12"/>
  <c r="BS130" i="12"/>
  <c r="BT130" i="12"/>
  <c r="BU130" i="12"/>
  <c r="BV130" i="12"/>
  <c r="BW130" i="12"/>
  <c r="BX130" i="12"/>
  <c r="BY130" i="12"/>
  <c r="BZ130" i="12"/>
  <c r="CA130" i="12"/>
  <c r="CB130" i="12"/>
  <c r="CC130" i="12"/>
  <c r="CD130" i="12"/>
  <c r="CE130" i="12"/>
  <c r="CF130" i="12"/>
  <c r="CG130" i="12"/>
  <c r="CH130" i="12"/>
  <c r="CI130" i="12"/>
  <c r="CJ130" i="12"/>
  <c r="CK130" i="12"/>
  <c r="CL130" i="12"/>
  <c r="CM130" i="12"/>
  <c r="CN130" i="12"/>
  <c r="CO130" i="12"/>
  <c r="CP130" i="12"/>
  <c r="CQ130" i="12"/>
  <c r="CR130" i="12"/>
  <c r="CS130" i="12"/>
  <c r="CT130" i="12"/>
  <c r="CU130" i="12"/>
  <c r="CV130" i="12"/>
  <c r="CW130" i="12"/>
  <c r="CX130" i="12"/>
  <c r="CY130" i="12"/>
  <c r="CZ130" i="12"/>
  <c r="DA130" i="12"/>
  <c r="DB130" i="12"/>
  <c r="DC130" i="12"/>
  <c r="DD130" i="12"/>
  <c r="DE130" i="12"/>
  <c r="DF130" i="12"/>
  <c r="DG130" i="12"/>
  <c r="DH130" i="12"/>
  <c r="DI130" i="12"/>
  <c r="DJ130" i="12"/>
  <c r="DK130" i="12"/>
  <c r="DL130" i="12"/>
  <c r="DM130" i="12"/>
  <c r="DN130" i="12"/>
  <c r="DO130" i="12"/>
  <c r="DP130" i="12"/>
  <c r="DQ130" i="12"/>
  <c r="DR130" i="12"/>
  <c r="DS130" i="12"/>
  <c r="DT130" i="12"/>
  <c r="DU130" i="12"/>
  <c r="DV130" i="12"/>
  <c r="DW130" i="12"/>
  <c r="DX130" i="12"/>
  <c r="DY130" i="12"/>
  <c r="DZ130" i="12"/>
  <c r="EA130" i="12"/>
  <c r="EB130" i="12"/>
  <c r="EC130" i="12"/>
  <c r="ED130" i="12"/>
  <c r="EE130" i="12"/>
  <c r="EF130" i="12"/>
  <c r="EG130" i="12"/>
  <c r="EH130" i="12"/>
  <c r="EI130" i="12"/>
  <c r="EJ130" i="12"/>
  <c r="EK130" i="12"/>
  <c r="EL130" i="12"/>
  <c r="EM130" i="12"/>
  <c r="EN130" i="12"/>
  <c r="EO130" i="12"/>
  <c r="EP130" i="12"/>
  <c r="EQ130" i="12"/>
  <c r="ER130" i="12"/>
  <c r="ES130" i="12"/>
  <c r="ET130" i="12"/>
  <c r="EU130" i="12"/>
  <c r="EV130" i="12"/>
  <c r="EW130" i="12"/>
  <c r="EX130" i="12"/>
  <c r="EY130" i="12"/>
  <c r="EZ130" i="12"/>
  <c r="FA130" i="12"/>
  <c r="FB130" i="12"/>
  <c r="FC130" i="12"/>
  <c r="FD130" i="12"/>
  <c r="FE130" i="12"/>
  <c r="FF130" i="12"/>
  <c r="FG130" i="12"/>
  <c r="FH130" i="12"/>
  <c r="FI130" i="12"/>
  <c r="FJ130" i="12"/>
  <c r="FK130" i="12"/>
  <c r="FL130" i="12"/>
  <c r="FM130" i="12"/>
  <c r="FN130" i="12"/>
  <c r="FO130" i="12"/>
  <c r="FP130" i="12"/>
  <c r="FQ130" i="12"/>
  <c r="FR130" i="12"/>
  <c r="FS130" i="12"/>
  <c r="FT130" i="12"/>
  <c r="FU130" i="12"/>
  <c r="FV130" i="12"/>
  <c r="FW130" i="12"/>
  <c r="FX130" i="12"/>
  <c r="FY130" i="12"/>
  <c r="FZ130" i="12"/>
  <c r="GA130" i="12"/>
  <c r="GB130" i="12"/>
  <c r="GC130" i="12"/>
  <c r="GD130" i="12"/>
  <c r="GE130" i="12"/>
  <c r="GF130" i="12"/>
  <c r="GG130" i="12"/>
  <c r="GH130" i="12"/>
  <c r="GI130" i="12"/>
  <c r="GJ130" i="12"/>
  <c r="GK130" i="12"/>
  <c r="GL130" i="12"/>
  <c r="GM130" i="12"/>
  <c r="GN130" i="12"/>
  <c r="GO130" i="12"/>
  <c r="GP130" i="12"/>
  <c r="GQ130" i="12"/>
  <c r="GR130" i="12"/>
  <c r="GS130" i="12"/>
  <c r="GT130" i="12"/>
  <c r="GU130" i="12"/>
  <c r="GV130" i="12"/>
  <c r="GW130" i="12"/>
  <c r="GX130" i="12"/>
  <c r="GY130" i="12"/>
  <c r="GZ130" i="12"/>
  <c r="HA130" i="12"/>
  <c r="HB130" i="12"/>
  <c r="HC130" i="12"/>
  <c r="HD130" i="12"/>
  <c r="HE130" i="12"/>
  <c r="HF130" i="12"/>
  <c r="HG130" i="12"/>
  <c r="HH130" i="12"/>
  <c r="HI130" i="12"/>
  <c r="HJ130" i="12"/>
  <c r="HK130" i="12"/>
  <c r="HL130" i="12"/>
  <c r="HM130" i="12"/>
  <c r="HN130" i="12"/>
  <c r="HO130" i="12"/>
  <c r="HP130" i="12"/>
  <c r="HQ130" i="12"/>
  <c r="HR130" i="12"/>
  <c r="HS130" i="12"/>
  <c r="HT130" i="12"/>
  <c r="HU130" i="12"/>
  <c r="HV130" i="12"/>
  <c r="HW130" i="12"/>
  <c r="HX130" i="12"/>
  <c r="HY130" i="12"/>
  <c r="HZ130" i="12"/>
  <c r="IA130" i="12"/>
  <c r="IB130" i="12"/>
  <c r="IC130" i="12"/>
  <c r="ID130" i="12"/>
  <c r="IE130" i="12"/>
  <c r="IF130" i="12"/>
  <c r="IG130" i="12"/>
  <c r="IH130" i="12"/>
  <c r="II130" i="12"/>
  <c r="IJ130" i="12"/>
  <c r="IK130" i="12"/>
  <c r="IL130" i="12"/>
  <c r="IM130" i="12"/>
  <c r="IN130" i="12"/>
  <c r="IO130" i="12"/>
  <c r="IP130" i="12"/>
  <c r="IQ130" i="12"/>
  <c r="IR130" i="12"/>
  <c r="IS130" i="12"/>
  <c r="IT130" i="12"/>
  <c r="IU130" i="12"/>
  <c r="IV130" i="12"/>
  <c r="F131" i="12"/>
  <c r="G131" i="12"/>
  <c r="H131" i="12"/>
  <c r="I131" i="12"/>
  <c r="J131" i="12"/>
  <c r="K131" i="12"/>
  <c r="L131" i="12"/>
  <c r="M131" i="12"/>
  <c r="N131" i="12"/>
  <c r="O131" i="12"/>
  <c r="P131" i="12"/>
  <c r="Q131" i="12"/>
  <c r="R131" i="12"/>
  <c r="S131" i="12"/>
  <c r="T131" i="12"/>
  <c r="U131" i="12"/>
  <c r="V131" i="12"/>
  <c r="W131" i="12"/>
  <c r="X131" i="12"/>
  <c r="Y131" i="12"/>
  <c r="Z131" i="12"/>
  <c r="AA131" i="12"/>
  <c r="AB131" i="12"/>
  <c r="AC131" i="12"/>
  <c r="AD131" i="12"/>
  <c r="AE131" i="12"/>
  <c r="AF131" i="12"/>
  <c r="AG131" i="12"/>
  <c r="AH131" i="12"/>
  <c r="AI131" i="12"/>
  <c r="AJ131" i="12"/>
  <c r="AK131" i="12"/>
  <c r="AL131" i="12"/>
  <c r="AM131" i="12"/>
  <c r="AN131" i="12"/>
  <c r="AO131" i="12"/>
  <c r="AP131" i="12"/>
  <c r="AQ131" i="12"/>
  <c r="AR131" i="12"/>
  <c r="AS131" i="12"/>
  <c r="AT131" i="12"/>
  <c r="AU131" i="12"/>
  <c r="AV131" i="12"/>
  <c r="AW131" i="12"/>
  <c r="AX131" i="12"/>
  <c r="AY131" i="12"/>
  <c r="AZ131" i="12"/>
  <c r="BA131" i="12"/>
  <c r="BB131" i="12"/>
  <c r="BC131" i="12"/>
  <c r="BD131" i="12"/>
  <c r="BE131" i="12"/>
  <c r="BF131" i="12"/>
  <c r="BG131" i="12"/>
  <c r="BH131" i="12"/>
  <c r="BI131" i="12"/>
  <c r="BJ131" i="12"/>
  <c r="BK131" i="12"/>
  <c r="BL131" i="12"/>
  <c r="BM131" i="12"/>
  <c r="BN131" i="12"/>
  <c r="BO131" i="12"/>
  <c r="BP131" i="12"/>
  <c r="BQ131" i="12"/>
  <c r="BR131" i="12"/>
  <c r="BS131" i="12"/>
  <c r="BT131" i="12"/>
  <c r="BU131" i="12"/>
  <c r="BV131" i="12"/>
  <c r="BW131" i="12"/>
  <c r="BX131" i="12"/>
  <c r="BY131" i="12"/>
  <c r="BZ131" i="12"/>
  <c r="CA131" i="12"/>
  <c r="CB131" i="12"/>
  <c r="CC131" i="12"/>
  <c r="CD131" i="12"/>
  <c r="CE131" i="12"/>
  <c r="CF131" i="12"/>
  <c r="CG131" i="12"/>
  <c r="CH131" i="12"/>
  <c r="CI131" i="12"/>
  <c r="CJ131" i="12"/>
  <c r="CK131" i="12"/>
  <c r="CL131" i="12"/>
  <c r="CM131" i="12"/>
  <c r="CN131" i="12"/>
  <c r="CO131" i="12"/>
  <c r="CP131" i="12"/>
  <c r="CQ131" i="12"/>
  <c r="CR131" i="12"/>
  <c r="CS131" i="12"/>
  <c r="CT131" i="12"/>
  <c r="CU131" i="12"/>
  <c r="CV131" i="12"/>
  <c r="CW131" i="12"/>
  <c r="CX131" i="12"/>
  <c r="CY131" i="12"/>
  <c r="CZ131" i="12"/>
  <c r="DA131" i="12"/>
  <c r="DB131" i="12"/>
  <c r="DC131" i="12"/>
  <c r="DD131" i="12"/>
  <c r="DE131" i="12"/>
  <c r="DF131" i="12"/>
  <c r="DG131" i="12"/>
  <c r="DH131" i="12"/>
  <c r="DI131" i="12"/>
  <c r="DJ131" i="12"/>
  <c r="DK131" i="12"/>
  <c r="DL131" i="12"/>
  <c r="DM131" i="12"/>
  <c r="DN131" i="12"/>
  <c r="DO131" i="12"/>
  <c r="DP131" i="12"/>
  <c r="DQ131" i="12"/>
  <c r="DR131" i="12"/>
  <c r="DS131" i="12"/>
  <c r="DT131" i="12"/>
  <c r="DU131" i="12"/>
  <c r="DV131" i="12"/>
  <c r="DW131" i="12"/>
  <c r="DX131" i="12"/>
  <c r="DY131" i="12"/>
  <c r="DZ131" i="12"/>
  <c r="EA131" i="12"/>
  <c r="EB131" i="12"/>
  <c r="EC131" i="12"/>
  <c r="ED131" i="12"/>
  <c r="EE131" i="12"/>
  <c r="EF131" i="12"/>
  <c r="EG131" i="12"/>
  <c r="EH131" i="12"/>
  <c r="EI131" i="12"/>
  <c r="EJ131" i="12"/>
  <c r="EK131" i="12"/>
  <c r="EL131" i="12"/>
  <c r="EM131" i="12"/>
  <c r="EN131" i="12"/>
  <c r="EO131" i="12"/>
  <c r="EP131" i="12"/>
  <c r="EQ131" i="12"/>
  <c r="ER131" i="12"/>
  <c r="ES131" i="12"/>
  <c r="ET131" i="12"/>
  <c r="EU131" i="12"/>
  <c r="EV131" i="12"/>
  <c r="EW131" i="12"/>
  <c r="EX131" i="12"/>
  <c r="EY131" i="12"/>
  <c r="EZ131" i="12"/>
  <c r="FA131" i="12"/>
  <c r="FB131" i="12"/>
  <c r="FC131" i="12"/>
  <c r="FD131" i="12"/>
  <c r="FE131" i="12"/>
  <c r="FF131" i="12"/>
  <c r="FG131" i="12"/>
  <c r="FH131" i="12"/>
  <c r="FI131" i="12"/>
  <c r="FJ131" i="12"/>
  <c r="FK131" i="12"/>
  <c r="FL131" i="12"/>
  <c r="FM131" i="12"/>
  <c r="FN131" i="12"/>
  <c r="FO131" i="12"/>
  <c r="FP131" i="12"/>
  <c r="FQ131" i="12"/>
  <c r="FR131" i="12"/>
  <c r="FS131" i="12"/>
  <c r="FT131" i="12"/>
  <c r="FU131" i="12"/>
  <c r="FV131" i="12"/>
  <c r="FW131" i="12"/>
  <c r="FX131" i="12"/>
  <c r="FY131" i="12"/>
  <c r="FZ131" i="12"/>
  <c r="GA131" i="12"/>
  <c r="GB131" i="12"/>
  <c r="GC131" i="12"/>
  <c r="GD131" i="12"/>
  <c r="GE131" i="12"/>
  <c r="GF131" i="12"/>
  <c r="GG131" i="12"/>
  <c r="GH131" i="12"/>
  <c r="GI131" i="12"/>
  <c r="GJ131" i="12"/>
  <c r="GK131" i="12"/>
  <c r="GL131" i="12"/>
  <c r="GM131" i="12"/>
  <c r="GN131" i="12"/>
  <c r="GO131" i="12"/>
  <c r="GP131" i="12"/>
  <c r="GQ131" i="12"/>
  <c r="GR131" i="12"/>
  <c r="GS131" i="12"/>
  <c r="GT131" i="12"/>
  <c r="GU131" i="12"/>
  <c r="GV131" i="12"/>
  <c r="GW131" i="12"/>
  <c r="GX131" i="12"/>
  <c r="GY131" i="12"/>
  <c r="GZ131" i="12"/>
  <c r="HA131" i="12"/>
  <c r="HB131" i="12"/>
  <c r="HC131" i="12"/>
  <c r="HD131" i="12"/>
  <c r="HE131" i="12"/>
  <c r="HF131" i="12"/>
  <c r="HG131" i="12"/>
  <c r="HH131" i="12"/>
  <c r="HI131" i="12"/>
  <c r="HJ131" i="12"/>
  <c r="HK131" i="12"/>
  <c r="HL131" i="12"/>
  <c r="HM131" i="12"/>
  <c r="HN131" i="12"/>
  <c r="HO131" i="12"/>
  <c r="HP131" i="12"/>
  <c r="HQ131" i="12"/>
  <c r="HR131" i="12"/>
  <c r="HS131" i="12"/>
  <c r="HT131" i="12"/>
  <c r="HU131" i="12"/>
  <c r="HV131" i="12"/>
  <c r="HW131" i="12"/>
  <c r="HX131" i="12"/>
  <c r="HY131" i="12"/>
  <c r="HZ131" i="12"/>
  <c r="IA131" i="12"/>
  <c r="IB131" i="12"/>
  <c r="IC131" i="12"/>
  <c r="ID131" i="12"/>
  <c r="IE131" i="12"/>
  <c r="IF131" i="12"/>
  <c r="IG131" i="12"/>
  <c r="IH131" i="12"/>
  <c r="II131" i="12"/>
  <c r="IJ131" i="12"/>
  <c r="IK131" i="12"/>
  <c r="IL131" i="12"/>
  <c r="IM131" i="12"/>
  <c r="IN131" i="12"/>
  <c r="IO131" i="12"/>
  <c r="IP131" i="12"/>
  <c r="IQ131" i="12"/>
  <c r="IR131" i="12"/>
  <c r="IS131" i="12"/>
  <c r="IT131" i="12"/>
  <c r="IU131" i="12"/>
  <c r="IV131" i="12"/>
  <c r="F132" i="12"/>
  <c r="G132" i="12"/>
  <c r="H132" i="12"/>
  <c r="I132" i="12"/>
  <c r="J132" i="12"/>
  <c r="K132" i="12"/>
  <c r="L132" i="12"/>
  <c r="M132" i="12"/>
  <c r="N132" i="12"/>
  <c r="O132" i="12"/>
  <c r="P132" i="12"/>
  <c r="Q132" i="12"/>
  <c r="R132" i="12"/>
  <c r="S132" i="12"/>
  <c r="T132" i="12"/>
  <c r="U132" i="12"/>
  <c r="V132" i="12"/>
  <c r="W132" i="12"/>
  <c r="X132" i="12"/>
  <c r="Y132" i="12"/>
  <c r="Z132" i="12"/>
  <c r="AA132" i="12"/>
  <c r="AB132" i="12"/>
  <c r="AC132" i="12"/>
  <c r="AD132" i="12"/>
  <c r="AE132" i="12"/>
  <c r="AF132" i="12"/>
  <c r="AG132" i="12"/>
  <c r="AH132" i="12"/>
  <c r="AI132" i="12"/>
  <c r="AJ132" i="12"/>
  <c r="AK132" i="12"/>
  <c r="AL132" i="12"/>
  <c r="AM132" i="12"/>
  <c r="AN132" i="12"/>
  <c r="AO132" i="12"/>
  <c r="AP132" i="12"/>
  <c r="AQ132" i="12"/>
  <c r="AR132" i="12"/>
  <c r="AS132" i="12"/>
  <c r="AT132" i="12"/>
  <c r="AU132" i="12"/>
  <c r="AV132" i="12"/>
  <c r="AW132" i="12"/>
  <c r="AX132" i="12"/>
  <c r="AY132" i="12"/>
  <c r="AZ132" i="12"/>
  <c r="BA132" i="12"/>
  <c r="BB132" i="12"/>
  <c r="BC132" i="12"/>
  <c r="BD132" i="12"/>
  <c r="BE132" i="12"/>
  <c r="BF132" i="12"/>
  <c r="BG132" i="12"/>
  <c r="BH132" i="12"/>
  <c r="BI132" i="12"/>
  <c r="BJ132" i="12"/>
  <c r="BK132" i="12"/>
  <c r="BL132" i="12"/>
  <c r="BM132" i="12"/>
  <c r="BN132" i="12"/>
  <c r="BO132" i="12"/>
  <c r="BP132" i="12"/>
  <c r="BQ132" i="12"/>
  <c r="BR132" i="12"/>
  <c r="BS132" i="12"/>
  <c r="BT132" i="12"/>
  <c r="BU132" i="12"/>
  <c r="BV132" i="12"/>
  <c r="BW132" i="12"/>
  <c r="BX132" i="12"/>
  <c r="BY132" i="12"/>
  <c r="BZ132" i="12"/>
  <c r="CA132" i="12"/>
  <c r="CB132" i="12"/>
  <c r="CC132" i="12"/>
  <c r="CD132" i="12"/>
  <c r="CE132" i="12"/>
  <c r="CF132" i="12"/>
  <c r="CG132" i="12"/>
  <c r="CH132" i="12"/>
  <c r="CI132" i="12"/>
  <c r="CJ132" i="12"/>
  <c r="CK132" i="12"/>
  <c r="CL132" i="12"/>
  <c r="CM132" i="12"/>
  <c r="CN132" i="12"/>
  <c r="CO132" i="12"/>
  <c r="CP132" i="12"/>
  <c r="CQ132" i="12"/>
  <c r="CR132" i="12"/>
  <c r="CS132" i="12"/>
  <c r="CT132" i="12"/>
  <c r="CU132" i="12"/>
  <c r="CV132" i="12"/>
  <c r="CW132" i="12"/>
  <c r="CX132" i="12"/>
  <c r="CY132" i="12"/>
  <c r="CZ132" i="12"/>
  <c r="DA132" i="12"/>
  <c r="DB132" i="12"/>
  <c r="DC132" i="12"/>
  <c r="DD132" i="12"/>
  <c r="DE132" i="12"/>
  <c r="DF132" i="12"/>
  <c r="DG132" i="12"/>
  <c r="DH132" i="12"/>
  <c r="DI132" i="12"/>
  <c r="DJ132" i="12"/>
  <c r="DK132" i="12"/>
  <c r="DL132" i="12"/>
  <c r="DM132" i="12"/>
  <c r="DN132" i="12"/>
  <c r="DO132" i="12"/>
  <c r="DP132" i="12"/>
  <c r="DQ132" i="12"/>
  <c r="DR132" i="12"/>
  <c r="DS132" i="12"/>
  <c r="DT132" i="12"/>
  <c r="DU132" i="12"/>
  <c r="DV132" i="12"/>
  <c r="DW132" i="12"/>
  <c r="DX132" i="12"/>
  <c r="DY132" i="12"/>
  <c r="DZ132" i="12"/>
  <c r="EA132" i="12"/>
  <c r="EB132" i="12"/>
  <c r="EC132" i="12"/>
  <c r="ED132" i="12"/>
  <c r="EE132" i="12"/>
  <c r="EF132" i="12"/>
  <c r="EG132" i="12"/>
  <c r="EH132" i="12"/>
  <c r="EI132" i="12"/>
  <c r="EJ132" i="12"/>
  <c r="EK132" i="12"/>
  <c r="EL132" i="12"/>
  <c r="EM132" i="12"/>
  <c r="EN132" i="12"/>
  <c r="EO132" i="12"/>
  <c r="EP132" i="12"/>
  <c r="EQ132" i="12"/>
  <c r="ER132" i="12"/>
  <c r="ES132" i="12"/>
  <c r="ET132" i="12"/>
  <c r="EU132" i="12"/>
  <c r="EV132" i="12"/>
  <c r="EW132" i="12"/>
  <c r="EX132" i="12"/>
  <c r="EY132" i="12"/>
  <c r="EZ132" i="12"/>
  <c r="FA132" i="12"/>
  <c r="FB132" i="12"/>
  <c r="FC132" i="12"/>
  <c r="FD132" i="12"/>
  <c r="FE132" i="12"/>
  <c r="FF132" i="12"/>
  <c r="FG132" i="12"/>
  <c r="FH132" i="12"/>
  <c r="FI132" i="12"/>
  <c r="FJ132" i="12"/>
  <c r="FK132" i="12"/>
  <c r="FL132" i="12"/>
  <c r="FM132" i="12"/>
  <c r="FN132" i="12"/>
  <c r="FO132" i="12"/>
  <c r="FP132" i="12"/>
  <c r="FQ132" i="12"/>
  <c r="FR132" i="12"/>
  <c r="FS132" i="12"/>
  <c r="FT132" i="12"/>
  <c r="FU132" i="12"/>
  <c r="FV132" i="12"/>
  <c r="FW132" i="12"/>
  <c r="FX132" i="12"/>
  <c r="FY132" i="12"/>
  <c r="FZ132" i="12"/>
  <c r="GA132" i="12"/>
  <c r="GB132" i="12"/>
  <c r="GC132" i="12"/>
  <c r="GD132" i="12"/>
  <c r="GE132" i="12"/>
  <c r="GF132" i="12"/>
  <c r="GG132" i="12"/>
  <c r="GH132" i="12"/>
  <c r="GI132" i="12"/>
  <c r="GJ132" i="12"/>
  <c r="GK132" i="12"/>
  <c r="GL132" i="12"/>
  <c r="GM132" i="12"/>
  <c r="GN132" i="12"/>
  <c r="GO132" i="12"/>
  <c r="GP132" i="12"/>
  <c r="GQ132" i="12"/>
  <c r="GR132" i="12"/>
  <c r="GS132" i="12"/>
  <c r="GT132" i="12"/>
  <c r="GU132" i="12"/>
  <c r="GV132" i="12"/>
  <c r="GW132" i="12"/>
  <c r="GX132" i="12"/>
  <c r="GY132" i="12"/>
  <c r="GZ132" i="12"/>
  <c r="HA132" i="12"/>
  <c r="HB132" i="12"/>
  <c r="HC132" i="12"/>
  <c r="HD132" i="12"/>
  <c r="HE132" i="12"/>
  <c r="HF132" i="12"/>
  <c r="HG132" i="12"/>
  <c r="HH132" i="12"/>
  <c r="HI132" i="12"/>
  <c r="HJ132" i="12"/>
  <c r="HK132" i="12"/>
  <c r="HL132" i="12"/>
  <c r="HM132" i="12"/>
  <c r="HN132" i="12"/>
  <c r="HO132" i="12"/>
  <c r="HP132" i="12"/>
  <c r="HQ132" i="12"/>
  <c r="HR132" i="12"/>
  <c r="HS132" i="12"/>
  <c r="HT132" i="12"/>
  <c r="HU132" i="12"/>
  <c r="HV132" i="12"/>
  <c r="HW132" i="12"/>
  <c r="HX132" i="12"/>
  <c r="HY132" i="12"/>
  <c r="HZ132" i="12"/>
  <c r="IA132" i="12"/>
  <c r="IB132" i="12"/>
  <c r="IC132" i="12"/>
  <c r="ID132" i="12"/>
  <c r="IE132" i="12"/>
  <c r="IF132" i="12"/>
  <c r="IG132" i="12"/>
  <c r="IH132" i="12"/>
  <c r="II132" i="12"/>
  <c r="IJ132" i="12"/>
  <c r="IK132" i="12"/>
  <c r="IL132" i="12"/>
  <c r="IM132" i="12"/>
  <c r="IN132" i="12"/>
  <c r="IO132" i="12"/>
  <c r="IP132" i="12"/>
  <c r="IQ132" i="12"/>
  <c r="IR132" i="12"/>
  <c r="IS132" i="12"/>
  <c r="IT132" i="12"/>
  <c r="IU132" i="12"/>
  <c r="IV132" i="12"/>
  <c r="F133" i="12"/>
  <c r="G133" i="12"/>
  <c r="H133" i="12"/>
  <c r="I133" i="12"/>
  <c r="J133" i="12"/>
  <c r="K133" i="12"/>
  <c r="L133" i="12"/>
  <c r="M133" i="12"/>
  <c r="N133" i="12"/>
  <c r="O133" i="12"/>
  <c r="P133" i="12"/>
  <c r="Q133" i="12"/>
  <c r="R133" i="12"/>
  <c r="S133" i="12"/>
  <c r="T133" i="12"/>
  <c r="U133" i="12"/>
  <c r="V133" i="12"/>
  <c r="W133" i="12"/>
  <c r="X133" i="12"/>
  <c r="Y133" i="12"/>
  <c r="Z133" i="12"/>
  <c r="AA133" i="12"/>
  <c r="AB133" i="12"/>
  <c r="AC133" i="12"/>
  <c r="AD133" i="12"/>
  <c r="AE133" i="12"/>
  <c r="AF133" i="12"/>
  <c r="AG133" i="12"/>
  <c r="AH133" i="12"/>
  <c r="AI133" i="12"/>
  <c r="AJ133" i="12"/>
  <c r="AK133" i="12"/>
  <c r="AL133" i="12"/>
  <c r="AM133" i="12"/>
  <c r="AN133" i="12"/>
  <c r="AO133" i="12"/>
  <c r="AP133" i="12"/>
  <c r="AQ133" i="12"/>
  <c r="AR133" i="12"/>
  <c r="AS133" i="12"/>
  <c r="AT133" i="12"/>
  <c r="AU133" i="12"/>
  <c r="AV133" i="12"/>
  <c r="AW133" i="12"/>
  <c r="AX133" i="12"/>
  <c r="AY133" i="12"/>
  <c r="AZ133" i="12"/>
  <c r="BA133" i="12"/>
  <c r="BB133" i="12"/>
  <c r="BC133" i="12"/>
  <c r="BD133" i="12"/>
  <c r="BE133" i="12"/>
  <c r="BF133" i="12"/>
  <c r="BG133" i="12"/>
  <c r="BH133" i="12"/>
  <c r="BI133" i="12"/>
  <c r="BJ133" i="12"/>
  <c r="BK133" i="12"/>
  <c r="BL133" i="12"/>
  <c r="BM133" i="12"/>
  <c r="BN133" i="12"/>
  <c r="BO133" i="12"/>
  <c r="BP133" i="12"/>
  <c r="BQ133" i="12"/>
  <c r="BR133" i="12"/>
  <c r="BS133" i="12"/>
  <c r="BT133" i="12"/>
  <c r="BU133" i="12"/>
  <c r="BV133" i="12"/>
  <c r="BW133" i="12"/>
  <c r="BX133" i="12"/>
  <c r="BY133" i="12"/>
  <c r="BZ133" i="12"/>
  <c r="CA133" i="12"/>
  <c r="CB133" i="12"/>
  <c r="CC133" i="12"/>
  <c r="CD133" i="12"/>
  <c r="CE133" i="12"/>
  <c r="CF133" i="12"/>
  <c r="CG133" i="12"/>
  <c r="CH133" i="12"/>
  <c r="CI133" i="12"/>
  <c r="CJ133" i="12"/>
  <c r="CK133" i="12"/>
  <c r="CL133" i="12"/>
  <c r="CM133" i="12"/>
  <c r="CN133" i="12"/>
  <c r="CO133" i="12"/>
  <c r="CP133" i="12"/>
  <c r="CQ133" i="12"/>
  <c r="CR133" i="12"/>
  <c r="CS133" i="12"/>
  <c r="CT133" i="12"/>
  <c r="CU133" i="12"/>
  <c r="CV133" i="12"/>
  <c r="CW133" i="12"/>
  <c r="CX133" i="12"/>
  <c r="CY133" i="12"/>
  <c r="CZ133" i="12"/>
  <c r="DA133" i="12"/>
  <c r="DB133" i="12"/>
  <c r="DC133" i="12"/>
  <c r="DD133" i="12"/>
  <c r="DE133" i="12"/>
  <c r="DF133" i="12"/>
  <c r="DG133" i="12"/>
  <c r="DH133" i="12"/>
  <c r="DI133" i="12"/>
  <c r="DJ133" i="12"/>
  <c r="DK133" i="12"/>
  <c r="DL133" i="12"/>
  <c r="DM133" i="12"/>
  <c r="DN133" i="12"/>
  <c r="DO133" i="12"/>
  <c r="DP133" i="12"/>
  <c r="DQ133" i="12"/>
  <c r="DR133" i="12"/>
  <c r="DS133" i="12"/>
  <c r="DT133" i="12"/>
  <c r="DU133" i="12"/>
  <c r="DV133" i="12"/>
  <c r="DW133" i="12"/>
  <c r="DX133" i="12"/>
  <c r="DY133" i="12"/>
  <c r="DZ133" i="12"/>
  <c r="EA133" i="12"/>
  <c r="EB133" i="12"/>
  <c r="EC133" i="12"/>
  <c r="ED133" i="12"/>
  <c r="EE133" i="12"/>
  <c r="EF133" i="12"/>
  <c r="EG133" i="12"/>
  <c r="EH133" i="12"/>
  <c r="EI133" i="12"/>
  <c r="EJ133" i="12"/>
  <c r="EK133" i="12"/>
  <c r="EL133" i="12"/>
  <c r="EM133" i="12"/>
  <c r="EN133" i="12"/>
  <c r="EO133" i="12"/>
  <c r="EP133" i="12"/>
  <c r="EQ133" i="12"/>
  <c r="ER133" i="12"/>
  <c r="ES133" i="12"/>
  <c r="ET133" i="12"/>
  <c r="EU133" i="12"/>
  <c r="EV133" i="12"/>
  <c r="EW133" i="12"/>
  <c r="EX133" i="12"/>
  <c r="EY133" i="12"/>
  <c r="EZ133" i="12"/>
  <c r="FA133" i="12"/>
  <c r="FB133" i="12"/>
  <c r="FC133" i="12"/>
  <c r="FD133" i="12"/>
  <c r="FE133" i="12"/>
  <c r="FF133" i="12"/>
  <c r="FG133" i="12"/>
  <c r="FH133" i="12"/>
  <c r="FI133" i="12"/>
  <c r="FJ133" i="12"/>
  <c r="FK133" i="12"/>
  <c r="FL133" i="12"/>
  <c r="FM133" i="12"/>
  <c r="FN133" i="12"/>
  <c r="FO133" i="12"/>
  <c r="FP133" i="12"/>
  <c r="FQ133" i="12"/>
  <c r="FR133" i="12"/>
  <c r="FS133" i="12"/>
  <c r="FT133" i="12"/>
  <c r="FU133" i="12"/>
  <c r="FV133" i="12"/>
  <c r="FW133" i="12"/>
  <c r="FX133" i="12"/>
  <c r="FY133" i="12"/>
  <c r="FZ133" i="12"/>
  <c r="GA133" i="12"/>
  <c r="GB133" i="12"/>
  <c r="GC133" i="12"/>
  <c r="GD133" i="12"/>
  <c r="GE133" i="12"/>
  <c r="GF133" i="12"/>
  <c r="GG133" i="12"/>
  <c r="GH133" i="12"/>
  <c r="GI133" i="12"/>
  <c r="GJ133" i="12"/>
  <c r="GK133" i="12"/>
  <c r="GL133" i="12"/>
  <c r="GM133" i="12"/>
  <c r="GN133" i="12"/>
  <c r="GO133" i="12"/>
  <c r="GP133" i="12"/>
  <c r="GQ133" i="12"/>
  <c r="GR133" i="12"/>
  <c r="GS133" i="12"/>
  <c r="GT133" i="12"/>
  <c r="GU133" i="12"/>
  <c r="GV133" i="12"/>
  <c r="GW133" i="12"/>
  <c r="GX133" i="12"/>
  <c r="GY133" i="12"/>
  <c r="GZ133" i="12"/>
  <c r="HA133" i="12"/>
  <c r="HB133" i="12"/>
  <c r="HC133" i="12"/>
  <c r="HD133" i="12"/>
  <c r="HE133" i="12"/>
  <c r="HF133" i="12"/>
  <c r="HG133" i="12"/>
  <c r="HH133" i="12"/>
  <c r="HI133" i="12"/>
  <c r="HJ133" i="12"/>
  <c r="HK133" i="12"/>
  <c r="HL133" i="12"/>
  <c r="HM133" i="12"/>
  <c r="HN133" i="12"/>
  <c r="HO133" i="12"/>
  <c r="HP133" i="12"/>
  <c r="HQ133" i="12"/>
  <c r="HR133" i="12"/>
  <c r="HS133" i="12"/>
  <c r="HT133" i="12"/>
  <c r="HU133" i="12"/>
  <c r="HV133" i="12"/>
  <c r="HW133" i="12"/>
  <c r="HX133" i="12"/>
  <c r="HY133" i="12"/>
  <c r="HZ133" i="12"/>
  <c r="IA133" i="12"/>
  <c r="IB133" i="12"/>
  <c r="IC133" i="12"/>
  <c r="ID133" i="12"/>
  <c r="IE133" i="12"/>
  <c r="IF133" i="12"/>
  <c r="IG133" i="12"/>
  <c r="IH133" i="12"/>
  <c r="II133" i="12"/>
  <c r="IJ133" i="12"/>
  <c r="IK133" i="12"/>
  <c r="IL133" i="12"/>
  <c r="IM133" i="12"/>
  <c r="IN133" i="12"/>
  <c r="IO133" i="12"/>
  <c r="IP133" i="12"/>
  <c r="IQ133" i="12"/>
  <c r="IR133" i="12"/>
  <c r="IS133" i="12"/>
  <c r="IT133" i="12"/>
  <c r="IU133" i="12"/>
  <c r="IV133" i="12"/>
  <c r="F134" i="12"/>
  <c r="G134" i="12"/>
  <c r="H134" i="12"/>
  <c r="I134" i="12"/>
  <c r="J134" i="12"/>
  <c r="K134" i="12"/>
  <c r="L134" i="12"/>
  <c r="M134" i="12"/>
  <c r="N134" i="12"/>
  <c r="O134" i="12"/>
  <c r="P134" i="12"/>
  <c r="Q134" i="12"/>
  <c r="R134" i="12"/>
  <c r="S134" i="12"/>
  <c r="T134" i="12"/>
  <c r="U134" i="12"/>
  <c r="V134" i="12"/>
  <c r="W134" i="12"/>
  <c r="X134" i="12"/>
  <c r="Y134" i="12"/>
  <c r="Z134" i="12"/>
  <c r="AA134" i="12"/>
  <c r="AB134" i="12"/>
  <c r="AC134" i="12"/>
  <c r="AD134" i="12"/>
  <c r="AE134" i="12"/>
  <c r="AF134" i="12"/>
  <c r="AG134" i="12"/>
  <c r="AH134" i="12"/>
  <c r="AI134" i="12"/>
  <c r="AJ134" i="12"/>
  <c r="AK134" i="12"/>
  <c r="AL134" i="12"/>
  <c r="AM134" i="12"/>
  <c r="AN134" i="12"/>
  <c r="AO134" i="12"/>
  <c r="AP134" i="12"/>
  <c r="AQ134" i="12"/>
  <c r="AR134" i="12"/>
  <c r="AS134" i="12"/>
  <c r="AT134" i="12"/>
  <c r="AU134" i="12"/>
  <c r="AV134" i="12"/>
  <c r="AW134" i="12"/>
  <c r="AX134" i="12"/>
  <c r="AY134" i="12"/>
  <c r="AZ134" i="12"/>
  <c r="BA134" i="12"/>
  <c r="BB134" i="12"/>
  <c r="BC134" i="12"/>
  <c r="BD134" i="12"/>
  <c r="BE134" i="12"/>
  <c r="BF134" i="12"/>
  <c r="BG134" i="12"/>
  <c r="BH134" i="12"/>
  <c r="BI134" i="12"/>
  <c r="BJ134" i="12"/>
  <c r="BK134" i="12"/>
  <c r="BL134" i="12"/>
  <c r="BM134" i="12"/>
  <c r="BN134" i="12"/>
  <c r="BO134" i="12"/>
  <c r="BP134" i="12"/>
  <c r="BQ134" i="12"/>
  <c r="BR134" i="12"/>
  <c r="BS134" i="12"/>
  <c r="BT134" i="12"/>
  <c r="BU134" i="12"/>
  <c r="BV134" i="12"/>
  <c r="BW134" i="12"/>
  <c r="BX134" i="12"/>
  <c r="BY134" i="12"/>
  <c r="BZ134" i="12"/>
  <c r="CA134" i="12"/>
  <c r="CB134" i="12"/>
  <c r="CC134" i="12"/>
  <c r="CD134" i="12"/>
  <c r="CE134" i="12"/>
  <c r="CF134" i="12"/>
  <c r="CG134" i="12"/>
  <c r="CH134" i="12"/>
  <c r="CI134" i="12"/>
  <c r="CJ134" i="12"/>
  <c r="CK134" i="12"/>
  <c r="CL134" i="12"/>
  <c r="CM134" i="12"/>
  <c r="CN134" i="12"/>
  <c r="CO134" i="12"/>
  <c r="CP134" i="12"/>
  <c r="CQ134" i="12"/>
  <c r="CR134" i="12"/>
  <c r="CS134" i="12"/>
  <c r="CT134" i="12"/>
  <c r="CU134" i="12"/>
  <c r="CV134" i="12"/>
  <c r="CW134" i="12"/>
  <c r="CX134" i="12"/>
  <c r="CY134" i="12"/>
  <c r="CZ134" i="12"/>
  <c r="DA134" i="12"/>
  <c r="DB134" i="12"/>
  <c r="DC134" i="12"/>
  <c r="DD134" i="12"/>
  <c r="DE134" i="12"/>
  <c r="DF134" i="12"/>
  <c r="DG134" i="12"/>
  <c r="DH134" i="12"/>
  <c r="DI134" i="12"/>
  <c r="DJ134" i="12"/>
  <c r="DK134" i="12"/>
  <c r="DL134" i="12"/>
  <c r="DM134" i="12"/>
  <c r="DN134" i="12"/>
  <c r="DO134" i="12"/>
  <c r="DP134" i="12"/>
  <c r="DQ134" i="12"/>
  <c r="DR134" i="12"/>
  <c r="DS134" i="12"/>
  <c r="DT134" i="12"/>
  <c r="DU134" i="12"/>
  <c r="DV134" i="12"/>
  <c r="DW134" i="12"/>
  <c r="DX134" i="12"/>
  <c r="DY134" i="12"/>
  <c r="DZ134" i="12"/>
  <c r="EA134" i="12"/>
  <c r="EB134" i="12"/>
  <c r="EC134" i="12"/>
  <c r="ED134" i="12"/>
  <c r="EE134" i="12"/>
  <c r="EF134" i="12"/>
  <c r="EG134" i="12"/>
  <c r="EH134" i="12"/>
  <c r="EI134" i="12"/>
  <c r="EJ134" i="12"/>
  <c r="EK134" i="12"/>
  <c r="EL134" i="12"/>
  <c r="EM134" i="12"/>
  <c r="EN134" i="12"/>
  <c r="EO134" i="12"/>
  <c r="EP134" i="12"/>
  <c r="EQ134" i="12"/>
  <c r="ER134" i="12"/>
  <c r="ES134" i="12"/>
  <c r="ET134" i="12"/>
  <c r="EU134" i="12"/>
  <c r="EV134" i="12"/>
  <c r="EW134" i="12"/>
  <c r="EX134" i="12"/>
  <c r="EY134" i="12"/>
  <c r="EZ134" i="12"/>
  <c r="FA134" i="12"/>
  <c r="FB134" i="12"/>
  <c r="FC134" i="12"/>
  <c r="FD134" i="12"/>
  <c r="FE134" i="12"/>
  <c r="FF134" i="12"/>
  <c r="FG134" i="12"/>
  <c r="FH134" i="12"/>
  <c r="FI134" i="12"/>
  <c r="FJ134" i="12"/>
  <c r="FK134" i="12"/>
  <c r="FL134" i="12"/>
  <c r="FM134" i="12"/>
  <c r="FN134" i="12"/>
  <c r="FO134" i="12"/>
  <c r="FP134" i="12"/>
  <c r="FQ134" i="12"/>
  <c r="FR134" i="12"/>
  <c r="FS134" i="12"/>
  <c r="FT134" i="12"/>
  <c r="FU134" i="12"/>
  <c r="FV134" i="12"/>
  <c r="FW134" i="12"/>
  <c r="FX134" i="12"/>
  <c r="FY134" i="12"/>
  <c r="FZ134" i="12"/>
  <c r="GA134" i="12"/>
  <c r="GB134" i="12"/>
  <c r="GC134" i="12"/>
  <c r="GD134" i="12"/>
  <c r="GE134" i="12"/>
  <c r="GF134" i="12"/>
  <c r="GG134" i="12"/>
  <c r="GH134" i="12"/>
  <c r="GI134" i="12"/>
  <c r="GJ134" i="12"/>
  <c r="GK134" i="12"/>
  <c r="GL134" i="12"/>
  <c r="GM134" i="12"/>
  <c r="GN134" i="12"/>
  <c r="GO134" i="12"/>
  <c r="GP134" i="12"/>
  <c r="GQ134" i="12"/>
  <c r="GR134" i="12"/>
  <c r="GS134" i="12"/>
  <c r="GT134" i="12"/>
  <c r="GU134" i="12"/>
  <c r="GV134" i="12"/>
  <c r="GW134" i="12"/>
  <c r="GX134" i="12"/>
  <c r="GY134" i="12"/>
  <c r="GZ134" i="12"/>
  <c r="HA134" i="12"/>
  <c r="HB134" i="12"/>
  <c r="HC134" i="12"/>
  <c r="HD134" i="12"/>
  <c r="HE134" i="12"/>
  <c r="HF134" i="12"/>
  <c r="HG134" i="12"/>
  <c r="HH134" i="12"/>
  <c r="HI134" i="12"/>
  <c r="HJ134" i="12"/>
  <c r="HK134" i="12"/>
  <c r="HL134" i="12"/>
  <c r="HM134" i="12"/>
  <c r="HN134" i="12"/>
  <c r="HO134" i="12"/>
  <c r="HP134" i="12"/>
  <c r="HQ134" i="12"/>
  <c r="HR134" i="12"/>
  <c r="HS134" i="12"/>
  <c r="HT134" i="12"/>
  <c r="HU134" i="12"/>
  <c r="HV134" i="12"/>
  <c r="HW134" i="12"/>
  <c r="HX134" i="12"/>
  <c r="HY134" i="12"/>
  <c r="HZ134" i="12"/>
  <c r="IA134" i="12"/>
  <c r="IB134" i="12"/>
  <c r="IC134" i="12"/>
  <c r="ID134" i="12"/>
  <c r="IE134" i="12"/>
  <c r="IF134" i="12"/>
  <c r="IG134" i="12"/>
  <c r="IH134" i="12"/>
  <c r="II134" i="12"/>
  <c r="IJ134" i="12"/>
  <c r="IK134" i="12"/>
  <c r="IL134" i="12"/>
  <c r="IM134" i="12"/>
  <c r="IN134" i="12"/>
  <c r="IO134" i="12"/>
  <c r="IP134" i="12"/>
  <c r="IQ134" i="12"/>
  <c r="IR134" i="12"/>
  <c r="IS134" i="12"/>
  <c r="IT134" i="12"/>
  <c r="IU134" i="12"/>
  <c r="IV134" i="12"/>
  <c r="F135" i="12"/>
  <c r="G135" i="12"/>
  <c r="H135" i="12"/>
  <c r="I135" i="12"/>
  <c r="J135" i="12"/>
  <c r="K135" i="12"/>
  <c r="L135" i="12"/>
  <c r="M135" i="12"/>
  <c r="N135" i="12"/>
  <c r="O135" i="12"/>
  <c r="P135" i="12"/>
  <c r="Q135" i="12"/>
  <c r="R135" i="12"/>
  <c r="S135" i="12"/>
  <c r="T135" i="12"/>
  <c r="U135" i="12"/>
  <c r="V135" i="12"/>
  <c r="W135" i="12"/>
  <c r="X135" i="12"/>
  <c r="Y135" i="12"/>
  <c r="Z135" i="12"/>
  <c r="AA135" i="12"/>
  <c r="AB135" i="12"/>
  <c r="AC135" i="12"/>
  <c r="AD135" i="12"/>
  <c r="AE135" i="12"/>
  <c r="AF135" i="12"/>
  <c r="AG135" i="12"/>
  <c r="AH135" i="12"/>
  <c r="AI135" i="12"/>
  <c r="AJ135" i="12"/>
  <c r="AK135" i="12"/>
  <c r="AL135" i="12"/>
  <c r="AM135" i="12"/>
  <c r="AN135" i="12"/>
  <c r="AO135" i="12"/>
  <c r="AP135" i="12"/>
  <c r="AQ135" i="12"/>
  <c r="AR135" i="12"/>
  <c r="AS135" i="12"/>
  <c r="AT135" i="12"/>
  <c r="AU135" i="12"/>
  <c r="AV135" i="12"/>
  <c r="AW135" i="12"/>
  <c r="AX135" i="12"/>
  <c r="AY135" i="12"/>
  <c r="AZ135" i="12"/>
  <c r="BA135" i="12"/>
  <c r="BB135" i="12"/>
  <c r="BC135" i="12"/>
  <c r="BD135" i="12"/>
  <c r="BE135" i="12"/>
  <c r="BF135" i="12"/>
  <c r="BG135" i="12"/>
  <c r="BH135" i="12"/>
  <c r="BI135" i="12"/>
  <c r="BJ135" i="12"/>
  <c r="BK135" i="12"/>
  <c r="BL135" i="12"/>
  <c r="BM135" i="12"/>
  <c r="BN135" i="12"/>
  <c r="BO135" i="12"/>
  <c r="BP135" i="12"/>
  <c r="BQ135" i="12"/>
  <c r="BR135" i="12"/>
  <c r="BS135" i="12"/>
  <c r="BT135" i="12"/>
  <c r="BU135" i="12"/>
  <c r="BV135" i="12"/>
  <c r="BW135" i="12"/>
  <c r="BX135" i="12"/>
  <c r="BY135" i="12"/>
  <c r="BZ135" i="12"/>
  <c r="CA135" i="12"/>
  <c r="CB135" i="12"/>
  <c r="CC135" i="12"/>
  <c r="CD135" i="12"/>
  <c r="CE135" i="12"/>
  <c r="CF135" i="12"/>
  <c r="CG135" i="12"/>
  <c r="CH135" i="12"/>
  <c r="CI135" i="12"/>
  <c r="CJ135" i="12"/>
  <c r="CK135" i="12"/>
  <c r="CL135" i="12"/>
  <c r="CM135" i="12"/>
  <c r="CN135" i="12"/>
  <c r="CO135" i="12"/>
  <c r="CP135" i="12"/>
  <c r="CQ135" i="12"/>
  <c r="CR135" i="12"/>
  <c r="CS135" i="12"/>
  <c r="CT135" i="12"/>
  <c r="CU135" i="12"/>
  <c r="CV135" i="12"/>
  <c r="CW135" i="12"/>
  <c r="CX135" i="12"/>
  <c r="CY135" i="12"/>
  <c r="CZ135" i="12"/>
  <c r="DA135" i="12"/>
  <c r="DB135" i="12"/>
  <c r="DC135" i="12"/>
  <c r="DD135" i="12"/>
  <c r="DE135" i="12"/>
  <c r="DF135" i="12"/>
  <c r="DG135" i="12"/>
  <c r="DH135" i="12"/>
  <c r="DI135" i="12"/>
  <c r="DJ135" i="12"/>
  <c r="DK135" i="12"/>
  <c r="DL135" i="12"/>
  <c r="DM135" i="12"/>
  <c r="DN135" i="12"/>
  <c r="DO135" i="12"/>
  <c r="DP135" i="12"/>
  <c r="DQ135" i="12"/>
  <c r="DR135" i="12"/>
  <c r="DS135" i="12"/>
  <c r="DT135" i="12"/>
  <c r="DU135" i="12"/>
  <c r="DV135" i="12"/>
  <c r="DW135" i="12"/>
  <c r="DX135" i="12"/>
  <c r="DY135" i="12"/>
  <c r="DZ135" i="12"/>
  <c r="EA135" i="12"/>
  <c r="EB135" i="12"/>
  <c r="EC135" i="12"/>
  <c r="ED135" i="12"/>
  <c r="EE135" i="12"/>
  <c r="EF135" i="12"/>
  <c r="EG135" i="12"/>
  <c r="EH135" i="12"/>
  <c r="EI135" i="12"/>
  <c r="EJ135" i="12"/>
  <c r="EK135" i="12"/>
  <c r="EL135" i="12"/>
  <c r="EM135" i="12"/>
  <c r="EN135" i="12"/>
  <c r="EO135" i="12"/>
  <c r="EP135" i="12"/>
  <c r="EQ135" i="12"/>
  <c r="ER135" i="12"/>
  <c r="ES135" i="12"/>
  <c r="ET135" i="12"/>
  <c r="EU135" i="12"/>
  <c r="EV135" i="12"/>
  <c r="EW135" i="12"/>
  <c r="EX135" i="12"/>
  <c r="EY135" i="12"/>
  <c r="EZ135" i="12"/>
  <c r="FA135" i="12"/>
  <c r="FB135" i="12"/>
  <c r="FC135" i="12"/>
  <c r="FD135" i="12"/>
  <c r="FE135" i="12"/>
  <c r="FF135" i="12"/>
  <c r="FG135" i="12"/>
  <c r="FH135" i="12"/>
  <c r="FI135" i="12"/>
  <c r="FJ135" i="12"/>
  <c r="FK135" i="12"/>
  <c r="FL135" i="12"/>
  <c r="FM135" i="12"/>
  <c r="FN135" i="12"/>
  <c r="FO135" i="12"/>
  <c r="FP135" i="12"/>
  <c r="FQ135" i="12"/>
  <c r="FR135" i="12"/>
  <c r="FS135" i="12"/>
  <c r="FT135" i="12"/>
  <c r="FU135" i="12"/>
  <c r="FV135" i="12"/>
  <c r="FW135" i="12"/>
  <c r="FX135" i="12"/>
  <c r="FY135" i="12"/>
  <c r="FZ135" i="12"/>
  <c r="GA135" i="12"/>
  <c r="GB135" i="12"/>
  <c r="GC135" i="12"/>
  <c r="GD135" i="12"/>
  <c r="GE135" i="12"/>
  <c r="GF135" i="12"/>
  <c r="GG135" i="12"/>
  <c r="GH135" i="12"/>
  <c r="GI135" i="12"/>
  <c r="GJ135" i="12"/>
  <c r="GK135" i="12"/>
  <c r="GL135" i="12"/>
  <c r="GM135" i="12"/>
  <c r="GN135" i="12"/>
  <c r="GO135" i="12"/>
  <c r="GP135" i="12"/>
  <c r="GQ135" i="12"/>
  <c r="GR135" i="12"/>
  <c r="GS135" i="12"/>
  <c r="GT135" i="12"/>
  <c r="GU135" i="12"/>
  <c r="GV135" i="12"/>
  <c r="GW135" i="12"/>
  <c r="GX135" i="12"/>
  <c r="GY135" i="12"/>
  <c r="GZ135" i="12"/>
  <c r="HA135" i="12"/>
  <c r="HB135" i="12"/>
  <c r="HC135" i="12"/>
  <c r="HD135" i="12"/>
  <c r="HE135" i="12"/>
  <c r="HF135" i="12"/>
  <c r="HG135" i="12"/>
  <c r="HH135" i="12"/>
  <c r="HI135" i="12"/>
  <c r="HJ135" i="12"/>
  <c r="HK135" i="12"/>
  <c r="HL135" i="12"/>
  <c r="HM135" i="12"/>
  <c r="HN135" i="12"/>
  <c r="HO135" i="12"/>
  <c r="HP135" i="12"/>
  <c r="HQ135" i="12"/>
  <c r="HR135" i="12"/>
  <c r="HS135" i="12"/>
  <c r="HT135" i="12"/>
  <c r="HU135" i="12"/>
  <c r="HV135" i="12"/>
  <c r="HW135" i="12"/>
  <c r="HX135" i="12"/>
  <c r="HY135" i="12"/>
  <c r="HZ135" i="12"/>
  <c r="IA135" i="12"/>
  <c r="IB135" i="12"/>
  <c r="IC135" i="12"/>
  <c r="ID135" i="12"/>
  <c r="IE135" i="12"/>
  <c r="IF135" i="12"/>
  <c r="IG135" i="12"/>
  <c r="IH135" i="12"/>
  <c r="II135" i="12"/>
  <c r="IJ135" i="12"/>
  <c r="IK135" i="12"/>
  <c r="IL135" i="12"/>
  <c r="IM135" i="12"/>
  <c r="IN135" i="12"/>
  <c r="IO135" i="12"/>
  <c r="IP135" i="12"/>
  <c r="IQ135" i="12"/>
  <c r="IR135" i="12"/>
  <c r="IS135" i="12"/>
  <c r="IT135" i="12"/>
  <c r="IU135" i="12"/>
  <c r="IV135" i="12"/>
  <c r="F136" i="12"/>
  <c r="G136" i="12"/>
  <c r="H136" i="12"/>
  <c r="I136" i="12"/>
  <c r="J136" i="12"/>
  <c r="K136" i="12"/>
  <c r="L136" i="12"/>
  <c r="M136" i="12"/>
  <c r="N136" i="12"/>
  <c r="O136" i="12"/>
  <c r="P136" i="12"/>
  <c r="Q136" i="12"/>
  <c r="R136" i="12"/>
  <c r="S136" i="12"/>
  <c r="T136" i="12"/>
  <c r="U136" i="12"/>
  <c r="V136" i="12"/>
  <c r="W136" i="12"/>
  <c r="X136" i="12"/>
  <c r="Y136" i="12"/>
  <c r="Z136" i="12"/>
  <c r="AA136" i="12"/>
  <c r="AB136" i="12"/>
  <c r="AC136" i="12"/>
  <c r="AD136" i="12"/>
  <c r="AE136" i="12"/>
  <c r="AF136" i="12"/>
  <c r="AG136" i="12"/>
  <c r="AH136" i="12"/>
  <c r="AI136" i="12"/>
  <c r="AJ136" i="12"/>
  <c r="AK136" i="12"/>
  <c r="AL136" i="12"/>
  <c r="AM136" i="12"/>
  <c r="AN136" i="12"/>
  <c r="AO136" i="12"/>
  <c r="AP136" i="12"/>
  <c r="AQ136" i="12"/>
  <c r="AR136" i="12"/>
  <c r="AS136" i="12"/>
  <c r="AT136" i="12"/>
  <c r="AU136" i="12"/>
  <c r="AV136" i="12"/>
  <c r="AW136" i="12"/>
  <c r="AX136" i="12"/>
  <c r="AY136" i="12"/>
  <c r="AZ136" i="12"/>
  <c r="BA136" i="12"/>
  <c r="BB136" i="12"/>
  <c r="BC136" i="12"/>
  <c r="BD136" i="12"/>
  <c r="BE136" i="12"/>
  <c r="BF136" i="12"/>
  <c r="BG136" i="12"/>
  <c r="BH136" i="12"/>
  <c r="BI136" i="12"/>
  <c r="BJ136" i="12"/>
  <c r="BK136" i="12"/>
  <c r="BL136" i="12"/>
  <c r="BM136" i="12"/>
  <c r="BN136" i="12"/>
  <c r="BO136" i="12"/>
  <c r="BP136" i="12"/>
  <c r="BQ136" i="12"/>
  <c r="BR136" i="12"/>
  <c r="BS136" i="12"/>
  <c r="BT136" i="12"/>
  <c r="BU136" i="12"/>
  <c r="BV136" i="12"/>
  <c r="BW136" i="12"/>
  <c r="BX136" i="12"/>
  <c r="BY136" i="12"/>
  <c r="BZ136" i="12"/>
  <c r="CA136" i="12"/>
  <c r="CB136" i="12"/>
  <c r="CC136" i="12"/>
  <c r="CD136" i="12"/>
  <c r="CE136" i="12"/>
  <c r="CF136" i="12"/>
  <c r="CG136" i="12"/>
  <c r="CH136" i="12"/>
  <c r="CI136" i="12"/>
  <c r="CJ136" i="12"/>
  <c r="CK136" i="12"/>
  <c r="CL136" i="12"/>
  <c r="CM136" i="12"/>
  <c r="CN136" i="12"/>
  <c r="CO136" i="12"/>
  <c r="CP136" i="12"/>
  <c r="CQ136" i="12"/>
  <c r="CR136" i="12"/>
  <c r="CS136" i="12"/>
  <c r="CT136" i="12"/>
  <c r="CU136" i="12"/>
  <c r="CV136" i="12"/>
  <c r="CW136" i="12"/>
  <c r="CX136" i="12"/>
  <c r="CY136" i="12"/>
  <c r="CZ136" i="12"/>
  <c r="DA136" i="12"/>
  <c r="DB136" i="12"/>
  <c r="DC136" i="12"/>
  <c r="DD136" i="12"/>
  <c r="DE136" i="12"/>
  <c r="DF136" i="12"/>
  <c r="DG136" i="12"/>
  <c r="DH136" i="12"/>
  <c r="DI136" i="12"/>
  <c r="DJ136" i="12"/>
  <c r="DK136" i="12"/>
  <c r="DL136" i="12"/>
  <c r="DM136" i="12"/>
  <c r="DN136" i="12"/>
  <c r="DO136" i="12"/>
  <c r="DP136" i="12"/>
  <c r="DQ136" i="12"/>
  <c r="DR136" i="12"/>
  <c r="DS136" i="12"/>
  <c r="DT136" i="12"/>
  <c r="DU136" i="12"/>
  <c r="DV136" i="12"/>
  <c r="DW136" i="12"/>
  <c r="DX136" i="12"/>
  <c r="DY136" i="12"/>
  <c r="DZ136" i="12"/>
  <c r="EA136" i="12"/>
  <c r="EB136" i="12"/>
  <c r="EC136" i="12"/>
  <c r="ED136" i="12"/>
  <c r="EE136" i="12"/>
  <c r="EF136" i="12"/>
  <c r="EG136" i="12"/>
  <c r="EH136" i="12"/>
  <c r="EI136" i="12"/>
  <c r="EJ136" i="12"/>
  <c r="EK136" i="12"/>
  <c r="EL136" i="12"/>
  <c r="EM136" i="12"/>
  <c r="EN136" i="12"/>
  <c r="EO136" i="12"/>
  <c r="EP136" i="12"/>
  <c r="EQ136" i="12"/>
  <c r="ER136" i="12"/>
  <c r="ES136" i="12"/>
  <c r="ET136" i="12"/>
  <c r="EU136" i="12"/>
  <c r="EV136" i="12"/>
  <c r="EW136" i="12"/>
  <c r="EX136" i="12"/>
  <c r="EY136" i="12"/>
  <c r="EZ136" i="12"/>
  <c r="FA136" i="12"/>
  <c r="FB136" i="12"/>
  <c r="FC136" i="12"/>
  <c r="FD136" i="12"/>
  <c r="FE136" i="12"/>
  <c r="FF136" i="12"/>
  <c r="FG136" i="12"/>
  <c r="FH136" i="12"/>
  <c r="FI136" i="12"/>
  <c r="FJ136" i="12"/>
  <c r="FK136" i="12"/>
  <c r="FL136" i="12"/>
  <c r="FM136" i="12"/>
  <c r="FN136" i="12"/>
  <c r="FO136" i="12"/>
  <c r="FP136" i="12"/>
  <c r="FQ136" i="12"/>
  <c r="FR136" i="12"/>
  <c r="FS136" i="12"/>
  <c r="FT136" i="12"/>
  <c r="FU136" i="12"/>
  <c r="FV136" i="12"/>
  <c r="FW136" i="12"/>
  <c r="FX136" i="12"/>
  <c r="FY136" i="12"/>
  <c r="FZ136" i="12"/>
  <c r="GA136" i="12"/>
  <c r="GB136" i="12"/>
  <c r="GC136" i="12"/>
  <c r="GD136" i="12"/>
  <c r="GE136" i="12"/>
  <c r="GF136" i="12"/>
  <c r="GG136" i="12"/>
  <c r="GH136" i="12"/>
  <c r="GI136" i="12"/>
  <c r="GJ136" i="12"/>
  <c r="GK136" i="12"/>
  <c r="GL136" i="12"/>
  <c r="GM136" i="12"/>
  <c r="GN136" i="12"/>
  <c r="GO136" i="12"/>
  <c r="GP136" i="12"/>
  <c r="GQ136" i="12"/>
  <c r="GR136" i="12"/>
  <c r="GS136" i="12"/>
  <c r="GT136" i="12"/>
  <c r="GU136" i="12"/>
  <c r="GV136" i="12"/>
  <c r="GW136" i="12"/>
  <c r="GX136" i="12"/>
  <c r="GY136" i="12"/>
  <c r="GZ136" i="12"/>
  <c r="HA136" i="12"/>
  <c r="HB136" i="12"/>
  <c r="HC136" i="12"/>
  <c r="HD136" i="12"/>
  <c r="HE136" i="12"/>
  <c r="HF136" i="12"/>
  <c r="HG136" i="12"/>
  <c r="HH136" i="12"/>
  <c r="HI136" i="12"/>
  <c r="HJ136" i="12"/>
  <c r="HK136" i="12"/>
  <c r="HL136" i="12"/>
  <c r="HM136" i="12"/>
  <c r="HN136" i="12"/>
  <c r="HO136" i="12"/>
  <c r="HP136" i="12"/>
  <c r="HQ136" i="12"/>
  <c r="HR136" i="12"/>
  <c r="HS136" i="12"/>
  <c r="HT136" i="12"/>
  <c r="HU136" i="12"/>
  <c r="HV136" i="12"/>
  <c r="HW136" i="12"/>
  <c r="HX136" i="12"/>
  <c r="HY136" i="12"/>
  <c r="HZ136" i="12"/>
  <c r="IA136" i="12"/>
  <c r="IB136" i="12"/>
  <c r="IC136" i="12"/>
  <c r="ID136" i="12"/>
  <c r="IE136" i="12"/>
  <c r="IF136" i="12"/>
  <c r="IG136" i="12"/>
  <c r="IH136" i="12"/>
  <c r="II136" i="12"/>
  <c r="IJ136" i="12"/>
  <c r="IK136" i="12"/>
  <c r="IL136" i="12"/>
  <c r="IM136" i="12"/>
  <c r="IN136" i="12"/>
  <c r="IO136" i="12"/>
  <c r="IP136" i="12"/>
  <c r="IQ136" i="12"/>
  <c r="IR136" i="12"/>
  <c r="IS136" i="12"/>
  <c r="IT136" i="12"/>
  <c r="IU136" i="12"/>
  <c r="IV136" i="12"/>
  <c r="F137" i="12"/>
  <c r="G137" i="12"/>
  <c r="H137" i="12"/>
  <c r="I137" i="12"/>
  <c r="J137" i="12"/>
  <c r="K137" i="12"/>
  <c r="L137" i="12"/>
  <c r="M137" i="12"/>
  <c r="N137" i="12"/>
  <c r="O137" i="12"/>
  <c r="P137" i="12"/>
  <c r="Q137" i="12"/>
  <c r="R137" i="12"/>
  <c r="S137" i="12"/>
  <c r="T137" i="12"/>
  <c r="U137" i="12"/>
  <c r="V137" i="12"/>
  <c r="W137" i="12"/>
  <c r="X137" i="12"/>
  <c r="Y137" i="12"/>
  <c r="Z137" i="12"/>
  <c r="AA137" i="12"/>
  <c r="AB137" i="12"/>
  <c r="AC137" i="12"/>
  <c r="AD137" i="12"/>
  <c r="AE137" i="12"/>
  <c r="AF137" i="12"/>
  <c r="AG137" i="12"/>
  <c r="AH137" i="12"/>
  <c r="AI137" i="12"/>
  <c r="AJ137" i="12"/>
  <c r="AK137" i="12"/>
  <c r="AL137" i="12"/>
  <c r="AM137" i="12"/>
  <c r="AN137" i="12"/>
  <c r="AO137" i="12"/>
  <c r="AP137" i="12"/>
  <c r="AQ137" i="12"/>
  <c r="AR137" i="12"/>
  <c r="AS137" i="12"/>
  <c r="AT137" i="12"/>
  <c r="AU137" i="12"/>
  <c r="AV137" i="12"/>
  <c r="AW137" i="12"/>
  <c r="AX137" i="12"/>
  <c r="AY137" i="12"/>
  <c r="AZ137" i="12"/>
  <c r="BA137" i="12"/>
  <c r="BB137" i="12"/>
  <c r="BC137" i="12"/>
  <c r="BD137" i="12"/>
  <c r="BE137" i="12"/>
  <c r="BF137" i="12"/>
  <c r="BG137" i="12"/>
  <c r="BH137" i="12"/>
  <c r="BI137" i="12"/>
  <c r="BJ137" i="12"/>
  <c r="BK137" i="12"/>
  <c r="BL137" i="12"/>
  <c r="BM137" i="12"/>
  <c r="BN137" i="12"/>
  <c r="BO137" i="12"/>
  <c r="BP137" i="12"/>
  <c r="BQ137" i="12"/>
  <c r="BR137" i="12"/>
  <c r="BS137" i="12"/>
  <c r="BT137" i="12"/>
  <c r="BU137" i="12"/>
  <c r="BV137" i="12"/>
  <c r="BW137" i="12"/>
  <c r="BX137" i="12"/>
  <c r="BY137" i="12"/>
  <c r="BZ137" i="12"/>
  <c r="CA137" i="12"/>
  <c r="CB137" i="12"/>
  <c r="CC137" i="12"/>
  <c r="CD137" i="12"/>
  <c r="CE137" i="12"/>
  <c r="CF137" i="12"/>
  <c r="CG137" i="12"/>
  <c r="CH137" i="12"/>
  <c r="CI137" i="12"/>
  <c r="CJ137" i="12"/>
  <c r="CK137" i="12"/>
  <c r="CL137" i="12"/>
  <c r="CM137" i="12"/>
  <c r="CN137" i="12"/>
  <c r="CO137" i="12"/>
  <c r="CP137" i="12"/>
  <c r="CQ137" i="12"/>
  <c r="CR137" i="12"/>
  <c r="CS137" i="12"/>
  <c r="CT137" i="12"/>
  <c r="CU137" i="12"/>
  <c r="CV137" i="12"/>
  <c r="CW137" i="12"/>
  <c r="CX137" i="12"/>
  <c r="CY137" i="12"/>
  <c r="CZ137" i="12"/>
  <c r="DA137" i="12"/>
  <c r="DB137" i="12"/>
  <c r="DC137" i="12"/>
  <c r="DD137" i="12"/>
  <c r="DE137" i="12"/>
  <c r="DF137" i="12"/>
  <c r="DG137" i="12"/>
  <c r="DH137" i="12"/>
  <c r="DI137" i="12"/>
  <c r="DJ137" i="12"/>
  <c r="DK137" i="12"/>
  <c r="DL137" i="12"/>
  <c r="DM137" i="12"/>
  <c r="DN137" i="12"/>
  <c r="DO137" i="12"/>
  <c r="DP137" i="12"/>
  <c r="DQ137" i="12"/>
  <c r="DR137" i="12"/>
  <c r="DS137" i="12"/>
  <c r="DT137" i="12"/>
  <c r="DU137" i="12"/>
  <c r="DV137" i="12"/>
  <c r="DW137" i="12"/>
  <c r="DX137" i="12"/>
  <c r="DY137" i="12"/>
  <c r="DZ137" i="12"/>
  <c r="EA137" i="12"/>
  <c r="EB137" i="12"/>
  <c r="EC137" i="12"/>
  <c r="ED137" i="12"/>
  <c r="EE137" i="12"/>
  <c r="EF137" i="12"/>
  <c r="EG137" i="12"/>
  <c r="EH137" i="12"/>
  <c r="EI137" i="12"/>
  <c r="EJ137" i="12"/>
  <c r="EK137" i="12"/>
  <c r="EL137" i="12"/>
  <c r="EM137" i="12"/>
  <c r="EN137" i="12"/>
  <c r="EO137" i="12"/>
  <c r="EP137" i="12"/>
  <c r="EQ137" i="12"/>
  <c r="ER137" i="12"/>
  <c r="ES137" i="12"/>
  <c r="ET137" i="12"/>
  <c r="EU137" i="12"/>
  <c r="EV137" i="12"/>
  <c r="EW137" i="12"/>
  <c r="EX137" i="12"/>
  <c r="EY137" i="12"/>
  <c r="EZ137" i="12"/>
  <c r="FA137" i="12"/>
  <c r="FB137" i="12"/>
  <c r="FC137" i="12"/>
  <c r="FD137" i="12"/>
  <c r="FE137" i="12"/>
  <c r="FF137" i="12"/>
  <c r="FG137" i="12"/>
  <c r="FH137" i="12"/>
  <c r="FI137" i="12"/>
  <c r="FJ137" i="12"/>
  <c r="FK137" i="12"/>
  <c r="FL137" i="12"/>
  <c r="FM137" i="12"/>
  <c r="FN137" i="12"/>
  <c r="FO137" i="12"/>
  <c r="FP137" i="12"/>
  <c r="FQ137" i="12"/>
  <c r="FR137" i="12"/>
  <c r="FS137" i="12"/>
  <c r="FT137" i="12"/>
  <c r="FU137" i="12"/>
  <c r="FV137" i="12"/>
  <c r="FW137" i="12"/>
  <c r="FX137" i="12"/>
  <c r="FY137" i="12"/>
  <c r="FZ137" i="12"/>
  <c r="GA137" i="12"/>
  <c r="GB137" i="12"/>
  <c r="GC137" i="12"/>
  <c r="GD137" i="12"/>
  <c r="GE137" i="12"/>
  <c r="GF137" i="12"/>
  <c r="GG137" i="12"/>
  <c r="GH137" i="12"/>
  <c r="GI137" i="12"/>
  <c r="GJ137" i="12"/>
  <c r="GK137" i="12"/>
  <c r="GL137" i="12"/>
  <c r="GM137" i="12"/>
  <c r="GN137" i="12"/>
  <c r="GO137" i="12"/>
  <c r="GP137" i="12"/>
  <c r="GQ137" i="12"/>
  <c r="GR137" i="12"/>
  <c r="GS137" i="12"/>
  <c r="GT137" i="12"/>
  <c r="GU137" i="12"/>
  <c r="GV137" i="12"/>
  <c r="GW137" i="12"/>
  <c r="GX137" i="12"/>
  <c r="GY137" i="12"/>
  <c r="GZ137" i="12"/>
  <c r="HA137" i="12"/>
  <c r="HB137" i="12"/>
  <c r="HC137" i="12"/>
  <c r="HD137" i="12"/>
  <c r="HE137" i="12"/>
  <c r="HF137" i="12"/>
  <c r="HG137" i="12"/>
  <c r="HH137" i="12"/>
  <c r="HI137" i="12"/>
  <c r="HJ137" i="12"/>
  <c r="HK137" i="12"/>
  <c r="HL137" i="12"/>
  <c r="HM137" i="12"/>
  <c r="HN137" i="12"/>
  <c r="HO137" i="12"/>
  <c r="HP137" i="12"/>
  <c r="HQ137" i="12"/>
  <c r="HR137" i="12"/>
  <c r="HS137" i="12"/>
  <c r="HT137" i="12"/>
  <c r="HU137" i="12"/>
  <c r="HV137" i="12"/>
  <c r="HW137" i="12"/>
  <c r="HX137" i="12"/>
  <c r="HY137" i="12"/>
  <c r="HZ137" i="12"/>
  <c r="IA137" i="12"/>
  <c r="IB137" i="12"/>
  <c r="IC137" i="12"/>
  <c r="ID137" i="12"/>
  <c r="IE137" i="12"/>
  <c r="IF137" i="12"/>
  <c r="IG137" i="12"/>
  <c r="IH137" i="12"/>
  <c r="II137" i="12"/>
  <c r="IJ137" i="12"/>
  <c r="IK137" i="12"/>
  <c r="IL137" i="12"/>
  <c r="IM137" i="12"/>
  <c r="IN137" i="12"/>
  <c r="IO137" i="12"/>
  <c r="IP137" i="12"/>
  <c r="IQ137" i="12"/>
  <c r="IR137" i="12"/>
  <c r="IS137" i="12"/>
  <c r="IT137" i="12"/>
  <c r="IU137" i="12"/>
  <c r="IV137" i="12"/>
  <c r="F138" i="12"/>
  <c r="G138" i="12"/>
  <c r="H138" i="12"/>
  <c r="I138" i="12"/>
  <c r="J138" i="12"/>
  <c r="K138" i="12"/>
  <c r="L138" i="12"/>
  <c r="M138" i="12"/>
  <c r="N138" i="12"/>
  <c r="O138" i="12"/>
  <c r="P138" i="12"/>
  <c r="Q138" i="12"/>
  <c r="R138" i="12"/>
  <c r="S138" i="12"/>
  <c r="T138" i="12"/>
  <c r="U138" i="12"/>
  <c r="V138" i="12"/>
  <c r="W138" i="12"/>
  <c r="X138" i="12"/>
  <c r="Y138" i="12"/>
  <c r="Z138" i="12"/>
  <c r="AA138" i="12"/>
  <c r="AB138" i="12"/>
  <c r="AC138" i="12"/>
  <c r="AD138" i="12"/>
  <c r="AE138" i="12"/>
  <c r="AF138" i="12"/>
  <c r="AG138" i="12"/>
  <c r="AH138" i="12"/>
  <c r="AI138" i="12"/>
  <c r="AJ138" i="12"/>
  <c r="AK138" i="12"/>
  <c r="AL138" i="12"/>
  <c r="AM138" i="12"/>
  <c r="AN138" i="12"/>
  <c r="AO138" i="12"/>
  <c r="AP138" i="12"/>
  <c r="AQ138" i="12"/>
  <c r="AR138" i="12"/>
  <c r="AS138" i="12"/>
  <c r="AT138" i="12"/>
  <c r="AU138" i="12"/>
  <c r="AV138" i="12"/>
  <c r="AW138" i="12"/>
  <c r="AX138" i="12"/>
  <c r="AY138" i="12"/>
  <c r="AZ138" i="12"/>
  <c r="BA138" i="12"/>
  <c r="BB138" i="12"/>
  <c r="BC138" i="12"/>
  <c r="BD138" i="12"/>
  <c r="BE138" i="12"/>
  <c r="BF138" i="12"/>
  <c r="BG138" i="12"/>
  <c r="BH138" i="12"/>
  <c r="BI138" i="12"/>
  <c r="BJ138" i="12"/>
  <c r="BK138" i="12"/>
  <c r="BL138" i="12"/>
  <c r="BM138" i="12"/>
  <c r="BN138" i="12"/>
  <c r="BO138" i="12"/>
  <c r="BP138" i="12"/>
  <c r="BQ138" i="12"/>
  <c r="BR138" i="12"/>
  <c r="BS138" i="12"/>
  <c r="BT138" i="12"/>
  <c r="BU138" i="12"/>
  <c r="BV138" i="12"/>
  <c r="BW138" i="12"/>
  <c r="BX138" i="12"/>
  <c r="BY138" i="12"/>
  <c r="BZ138" i="12"/>
  <c r="CA138" i="12"/>
  <c r="CB138" i="12"/>
  <c r="CC138" i="12"/>
  <c r="CD138" i="12"/>
  <c r="CE138" i="12"/>
  <c r="CF138" i="12"/>
  <c r="CG138" i="12"/>
  <c r="CH138" i="12"/>
  <c r="CI138" i="12"/>
  <c r="CJ138" i="12"/>
  <c r="CK138" i="12"/>
  <c r="CL138" i="12"/>
  <c r="CM138" i="12"/>
  <c r="CN138" i="12"/>
  <c r="CO138" i="12"/>
  <c r="CP138" i="12"/>
  <c r="CQ138" i="12"/>
  <c r="CR138" i="12"/>
  <c r="CS138" i="12"/>
  <c r="CT138" i="12"/>
  <c r="CU138" i="12"/>
  <c r="CV138" i="12"/>
  <c r="CW138" i="12"/>
  <c r="CX138" i="12"/>
  <c r="CY138" i="12"/>
  <c r="CZ138" i="12"/>
  <c r="DA138" i="12"/>
  <c r="DB138" i="12"/>
  <c r="DC138" i="12"/>
  <c r="DD138" i="12"/>
  <c r="DE138" i="12"/>
  <c r="DF138" i="12"/>
  <c r="DG138" i="12"/>
  <c r="DH138" i="12"/>
  <c r="DI138" i="12"/>
  <c r="DJ138" i="12"/>
  <c r="DK138" i="12"/>
  <c r="DL138" i="12"/>
  <c r="DM138" i="12"/>
  <c r="DN138" i="12"/>
  <c r="DO138" i="12"/>
  <c r="DP138" i="12"/>
  <c r="DQ138" i="12"/>
  <c r="DR138" i="12"/>
  <c r="DS138" i="12"/>
  <c r="DT138" i="12"/>
  <c r="DU138" i="12"/>
  <c r="DV138" i="12"/>
  <c r="DW138" i="12"/>
  <c r="DX138" i="12"/>
  <c r="DY138" i="12"/>
  <c r="DZ138" i="12"/>
  <c r="EA138" i="12"/>
  <c r="EB138" i="12"/>
  <c r="EC138" i="12"/>
  <c r="ED138" i="12"/>
  <c r="EE138" i="12"/>
  <c r="EF138" i="12"/>
  <c r="EG138" i="12"/>
  <c r="EH138" i="12"/>
  <c r="EI138" i="12"/>
  <c r="EJ138" i="12"/>
  <c r="EK138" i="12"/>
  <c r="EL138" i="12"/>
  <c r="EM138" i="12"/>
  <c r="EN138" i="12"/>
  <c r="EO138" i="12"/>
  <c r="EP138" i="12"/>
  <c r="EQ138" i="12"/>
  <c r="ER138" i="12"/>
  <c r="ES138" i="12"/>
  <c r="ET138" i="12"/>
  <c r="EU138" i="12"/>
  <c r="EV138" i="12"/>
  <c r="EW138" i="12"/>
  <c r="EX138" i="12"/>
  <c r="EY138" i="12"/>
  <c r="EZ138" i="12"/>
  <c r="FA138" i="12"/>
  <c r="FB138" i="12"/>
  <c r="FC138" i="12"/>
  <c r="FD138" i="12"/>
  <c r="FE138" i="12"/>
  <c r="FF138" i="12"/>
  <c r="FG138" i="12"/>
  <c r="FH138" i="12"/>
  <c r="FI138" i="12"/>
  <c r="FJ138" i="12"/>
  <c r="FK138" i="12"/>
  <c r="FL138" i="12"/>
  <c r="FM138" i="12"/>
  <c r="FN138" i="12"/>
  <c r="FO138" i="12"/>
  <c r="FP138" i="12"/>
  <c r="FQ138" i="12"/>
  <c r="FR138" i="12"/>
  <c r="FS138" i="12"/>
  <c r="FT138" i="12"/>
  <c r="FU138" i="12"/>
  <c r="FV138" i="12"/>
  <c r="FW138" i="12"/>
  <c r="FX138" i="12"/>
  <c r="FY138" i="12"/>
  <c r="FZ138" i="12"/>
  <c r="GA138" i="12"/>
  <c r="GB138" i="12"/>
  <c r="GC138" i="12"/>
  <c r="GD138" i="12"/>
  <c r="GE138" i="12"/>
  <c r="GF138" i="12"/>
  <c r="GG138" i="12"/>
  <c r="GH138" i="12"/>
  <c r="GI138" i="12"/>
  <c r="GJ138" i="12"/>
  <c r="GK138" i="12"/>
  <c r="GL138" i="12"/>
  <c r="GM138" i="12"/>
  <c r="GN138" i="12"/>
  <c r="GO138" i="12"/>
  <c r="GP138" i="12"/>
  <c r="GQ138" i="12"/>
  <c r="GR138" i="12"/>
  <c r="GS138" i="12"/>
  <c r="GT138" i="12"/>
  <c r="GU138" i="12"/>
  <c r="GV138" i="12"/>
  <c r="GW138" i="12"/>
  <c r="GX138" i="12"/>
  <c r="GY138" i="12"/>
  <c r="GZ138" i="12"/>
  <c r="HA138" i="12"/>
  <c r="HB138" i="12"/>
  <c r="HC138" i="12"/>
  <c r="HD138" i="12"/>
  <c r="HE138" i="12"/>
  <c r="HF138" i="12"/>
  <c r="HG138" i="12"/>
  <c r="HH138" i="12"/>
  <c r="HI138" i="12"/>
  <c r="HJ138" i="12"/>
  <c r="HK138" i="12"/>
  <c r="HL138" i="12"/>
  <c r="HM138" i="12"/>
  <c r="HN138" i="12"/>
  <c r="HO138" i="12"/>
  <c r="HP138" i="12"/>
  <c r="HQ138" i="12"/>
  <c r="HR138" i="12"/>
  <c r="HS138" i="12"/>
  <c r="HT138" i="12"/>
  <c r="HU138" i="12"/>
  <c r="HV138" i="12"/>
  <c r="HW138" i="12"/>
  <c r="HX138" i="12"/>
  <c r="HY138" i="12"/>
  <c r="HZ138" i="12"/>
  <c r="IA138" i="12"/>
  <c r="IB138" i="12"/>
  <c r="IC138" i="12"/>
  <c r="ID138" i="12"/>
  <c r="IE138" i="12"/>
  <c r="IF138" i="12"/>
  <c r="IG138" i="12"/>
  <c r="IH138" i="12"/>
  <c r="II138" i="12"/>
  <c r="IJ138" i="12"/>
  <c r="IK138" i="12"/>
  <c r="IL138" i="12"/>
  <c r="IM138" i="12"/>
  <c r="IN138" i="12"/>
  <c r="IO138" i="12"/>
  <c r="IP138" i="12"/>
  <c r="IQ138" i="12"/>
  <c r="IR138" i="12"/>
  <c r="IS138" i="12"/>
  <c r="IT138" i="12"/>
  <c r="IU138" i="12"/>
  <c r="IV138" i="12"/>
  <c r="F139" i="12"/>
  <c r="G139" i="12"/>
  <c r="H139" i="12"/>
  <c r="I139" i="12"/>
  <c r="J139" i="12"/>
  <c r="K139" i="12"/>
  <c r="L139" i="12"/>
  <c r="M139" i="12"/>
  <c r="N139" i="12"/>
  <c r="O139" i="12"/>
  <c r="P139" i="12"/>
  <c r="Q139" i="12"/>
  <c r="R139" i="12"/>
  <c r="S139" i="12"/>
  <c r="T139" i="12"/>
  <c r="U139" i="12"/>
  <c r="V139" i="12"/>
  <c r="W139" i="12"/>
  <c r="X139" i="12"/>
  <c r="Y139" i="12"/>
  <c r="Z139" i="12"/>
  <c r="AA139" i="12"/>
  <c r="AB139" i="12"/>
  <c r="AC139" i="12"/>
  <c r="AD139" i="12"/>
  <c r="AE139" i="12"/>
  <c r="AF139" i="12"/>
  <c r="AG139" i="12"/>
  <c r="AH139" i="12"/>
  <c r="AI139" i="12"/>
  <c r="AJ139" i="12"/>
  <c r="AK139" i="12"/>
  <c r="AL139" i="12"/>
  <c r="AM139" i="12"/>
  <c r="AN139" i="12"/>
  <c r="AO139" i="12"/>
  <c r="AP139" i="12"/>
  <c r="AQ139" i="12"/>
  <c r="AR139" i="12"/>
  <c r="AS139" i="12"/>
  <c r="AT139" i="12"/>
  <c r="AU139" i="12"/>
  <c r="AV139" i="12"/>
  <c r="AW139" i="12"/>
  <c r="AX139" i="12"/>
  <c r="AY139" i="12"/>
  <c r="AZ139" i="12"/>
  <c r="BA139" i="12"/>
  <c r="BB139" i="12"/>
  <c r="BC139" i="12"/>
  <c r="BD139" i="12"/>
  <c r="BE139" i="12"/>
  <c r="BF139" i="12"/>
  <c r="BG139" i="12"/>
  <c r="BH139" i="12"/>
  <c r="BI139" i="12"/>
  <c r="BJ139" i="12"/>
  <c r="BK139" i="12"/>
  <c r="BL139" i="12"/>
  <c r="BM139" i="12"/>
  <c r="BN139" i="12"/>
  <c r="BO139" i="12"/>
  <c r="BP139" i="12"/>
  <c r="BQ139" i="12"/>
  <c r="BR139" i="12"/>
  <c r="BS139" i="12"/>
  <c r="BT139" i="12"/>
  <c r="BU139" i="12"/>
  <c r="BV139" i="12"/>
  <c r="BW139" i="12"/>
  <c r="BX139" i="12"/>
  <c r="BY139" i="12"/>
  <c r="BZ139" i="12"/>
  <c r="CA139" i="12"/>
  <c r="CB139" i="12"/>
  <c r="CC139" i="12"/>
  <c r="CD139" i="12"/>
  <c r="CE139" i="12"/>
  <c r="CF139" i="12"/>
  <c r="CG139" i="12"/>
  <c r="CH139" i="12"/>
  <c r="CI139" i="12"/>
  <c r="CJ139" i="12"/>
  <c r="CK139" i="12"/>
  <c r="CL139" i="12"/>
  <c r="CM139" i="12"/>
  <c r="CN139" i="12"/>
  <c r="CO139" i="12"/>
  <c r="CP139" i="12"/>
  <c r="CQ139" i="12"/>
  <c r="CR139" i="12"/>
  <c r="CS139" i="12"/>
  <c r="CT139" i="12"/>
  <c r="CU139" i="12"/>
  <c r="CV139" i="12"/>
  <c r="CW139" i="12"/>
  <c r="CX139" i="12"/>
  <c r="CY139" i="12"/>
  <c r="CZ139" i="12"/>
  <c r="DA139" i="12"/>
  <c r="DB139" i="12"/>
  <c r="DC139" i="12"/>
  <c r="DD139" i="12"/>
  <c r="DE139" i="12"/>
  <c r="DF139" i="12"/>
  <c r="DG139" i="12"/>
  <c r="DH139" i="12"/>
  <c r="DI139" i="12"/>
  <c r="DJ139" i="12"/>
  <c r="DK139" i="12"/>
  <c r="DL139" i="12"/>
  <c r="DM139" i="12"/>
  <c r="DN139" i="12"/>
  <c r="DO139" i="12"/>
  <c r="DP139" i="12"/>
  <c r="DQ139" i="12"/>
  <c r="DR139" i="12"/>
  <c r="DS139" i="12"/>
  <c r="DT139" i="12"/>
  <c r="DU139" i="12"/>
  <c r="DV139" i="12"/>
  <c r="DW139" i="12"/>
  <c r="DX139" i="12"/>
  <c r="DY139" i="12"/>
  <c r="DZ139" i="12"/>
  <c r="EA139" i="12"/>
  <c r="EB139" i="12"/>
  <c r="EC139" i="12"/>
  <c r="ED139" i="12"/>
  <c r="EE139" i="12"/>
  <c r="EF139" i="12"/>
  <c r="EG139" i="12"/>
  <c r="EH139" i="12"/>
  <c r="EI139" i="12"/>
  <c r="EJ139" i="12"/>
  <c r="EK139" i="12"/>
  <c r="EL139" i="12"/>
  <c r="EM139" i="12"/>
  <c r="EN139" i="12"/>
  <c r="EO139" i="12"/>
  <c r="EP139" i="12"/>
  <c r="EQ139" i="12"/>
  <c r="ER139" i="12"/>
  <c r="ES139" i="12"/>
  <c r="ET139" i="12"/>
  <c r="EU139" i="12"/>
  <c r="EV139" i="12"/>
  <c r="EW139" i="12"/>
  <c r="EX139" i="12"/>
  <c r="EY139" i="12"/>
  <c r="EZ139" i="12"/>
  <c r="FA139" i="12"/>
  <c r="FB139" i="12"/>
  <c r="FC139" i="12"/>
  <c r="FD139" i="12"/>
  <c r="FE139" i="12"/>
  <c r="FF139" i="12"/>
  <c r="FG139" i="12"/>
  <c r="FH139" i="12"/>
  <c r="FI139" i="12"/>
  <c r="FJ139" i="12"/>
  <c r="FK139" i="12"/>
  <c r="FL139" i="12"/>
  <c r="FM139" i="12"/>
  <c r="FN139" i="12"/>
  <c r="FO139" i="12"/>
  <c r="FP139" i="12"/>
  <c r="FQ139" i="12"/>
  <c r="FR139" i="12"/>
  <c r="FS139" i="12"/>
  <c r="FT139" i="12"/>
  <c r="FU139" i="12"/>
  <c r="FV139" i="12"/>
  <c r="FW139" i="12"/>
  <c r="FX139" i="12"/>
  <c r="FY139" i="12"/>
  <c r="FZ139" i="12"/>
  <c r="GA139" i="12"/>
  <c r="GB139" i="12"/>
  <c r="GC139" i="12"/>
  <c r="GD139" i="12"/>
  <c r="GE139" i="12"/>
  <c r="GF139" i="12"/>
  <c r="GG139" i="12"/>
  <c r="GH139" i="12"/>
  <c r="GI139" i="12"/>
  <c r="GJ139" i="12"/>
  <c r="GK139" i="12"/>
  <c r="GL139" i="12"/>
  <c r="GM139" i="12"/>
  <c r="GN139" i="12"/>
  <c r="GO139" i="12"/>
  <c r="GP139" i="12"/>
  <c r="GQ139" i="12"/>
  <c r="GR139" i="12"/>
  <c r="GS139" i="12"/>
  <c r="GT139" i="12"/>
  <c r="GU139" i="12"/>
  <c r="GV139" i="12"/>
  <c r="GW139" i="12"/>
  <c r="GX139" i="12"/>
  <c r="GY139" i="12"/>
  <c r="GZ139" i="12"/>
  <c r="HA139" i="12"/>
  <c r="HB139" i="12"/>
  <c r="HC139" i="12"/>
  <c r="HD139" i="12"/>
  <c r="HE139" i="12"/>
  <c r="HF139" i="12"/>
  <c r="HG139" i="12"/>
  <c r="HH139" i="12"/>
  <c r="HI139" i="12"/>
  <c r="HJ139" i="12"/>
  <c r="HK139" i="12"/>
  <c r="HL139" i="12"/>
  <c r="HM139" i="12"/>
  <c r="HN139" i="12"/>
  <c r="HO139" i="12"/>
  <c r="HP139" i="12"/>
  <c r="HQ139" i="12"/>
  <c r="HR139" i="12"/>
  <c r="HS139" i="12"/>
  <c r="HT139" i="12"/>
  <c r="HU139" i="12"/>
  <c r="HV139" i="12"/>
  <c r="HW139" i="12"/>
  <c r="HX139" i="12"/>
  <c r="HY139" i="12"/>
  <c r="HZ139" i="12"/>
  <c r="IA139" i="12"/>
  <c r="IB139" i="12"/>
  <c r="IC139" i="12"/>
  <c r="ID139" i="12"/>
  <c r="IE139" i="12"/>
  <c r="IF139" i="12"/>
  <c r="IG139" i="12"/>
  <c r="IH139" i="12"/>
  <c r="II139" i="12"/>
  <c r="IJ139" i="12"/>
  <c r="IK139" i="12"/>
  <c r="IL139" i="12"/>
  <c r="IM139" i="12"/>
  <c r="IN139" i="12"/>
  <c r="IO139" i="12"/>
  <c r="IP139" i="12"/>
  <c r="IQ139" i="12"/>
  <c r="IR139" i="12"/>
  <c r="IS139" i="12"/>
  <c r="IT139" i="12"/>
  <c r="IU139" i="12"/>
  <c r="IV139" i="12"/>
  <c r="F140" i="12"/>
  <c r="G140" i="12"/>
  <c r="H140" i="12"/>
  <c r="I140" i="12"/>
  <c r="J140" i="12"/>
  <c r="K140" i="12"/>
  <c r="L140" i="12"/>
  <c r="M140" i="12"/>
  <c r="N140" i="12"/>
  <c r="O140" i="12"/>
  <c r="P140" i="12"/>
  <c r="Q140" i="12"/>
  <c r="R140" i="12"/>
  <c r="S140" i="12"/>
  <c r="T140" i="12"/>
  <c r="U140" i="12"/>
  <c r="V140" i="12"/>
  <c r="W140" i="12"/>
  <c r="X140" i="12"/>
  <c r="Y140" i="12"/>
  <c r="Z140" i="12"/>
  <c r="AA140" i="12"/>
  <c r="AB140" i="12"/>
  <c r="AC140" i="12"/>
  <c r="AD140" i="12"/>
  <c r="AE140" i="12"/>
  <c r="AF140" i="12"/>
  <c r="AG140" i="12"/>
  <c r="AH140" i="12"/>
  <c r="AI140" i="12"/>
  <c r="AJ140" i="12"/>
  <c r="AK140" i="12"/>
  <c r="AL140" i="12"/>
  <c r="AM140" i="12"/>
  <c r="AN140" i="12"/>
  <c r="AO140" i="12"/>
  <c r="AP140" i="12"/>
  <c r="AQ140" i="12"/>
  <c r="AR140" i="12"/>
  <c r="AS140" i="12"/>
  <c r="AT140" i="12"/>
  <c r="AU140" i="12"/>
  <c r="AV140" i="12"/>
  <c r="AW140" i="12"/>
  <c r="AX140" i="12"/>
  <c r="AY140" i="12"/>
  <c r="AZ140" i="12"/>
  <c r="BA140" i="12"/>
  <c r="BB140" i="12"/>
  <c r="BC140" i="12"/>
  <c r="BD140" i="12"/>
  <c r="BE140" i="12"/>
  <c r="BF140" i="12"/>
  <c r="BG140" i="12"/>
  <c r="BH140" i="12"/>
  <c r="BI140" i="12"/>
  <c r="BJ140" i="12"/>
  <c r="BK140" i="12"/>
  <c r="BL140" i="12"/>
  <c r="BM140" i="12"/>
  <c r="BN140" i="12"/>
  <c r="BO140" i="12"/>
  <c r="BP140" i="12"/>
  <c r="BQ140" i="12"/>
  <c r="BR140" i="12"/>
  <c r="BS140" i="12"/>
  <c r="BT140" i="12"/>
  <c r="BU140" i="12"/>
  <c r="BV140" i="12"/>
  <c r="BW140" i="12"/>
  <c r="BX140" i="12"/>
  <c r="BY140" i="12"/>
  <c r="BZ140" i="12"/>
  <c r="CA140" i="12"/>
  <c r="CB140" i="12"/>
  <c r="CC140" i="12"/>
  <c r="CD140" i="12"/>
  <c r="CE140" i="12"/>
  <c r="CF140" i="12"/>
  <c r="CG140" i="12"/>
  <c r="CH140" i="12"/>
  <c r="CI140" i="12"/>
  <c r="CJ140" i="12"/>
  <c r="CK140" i="12"/>
  <c r="CL140" i="12"/>
  <c r="CM140" i="12"/>
  <c r="CN140" i="12"/>
  <c r="CO140" i="12"/>
  <c r="CP140" i="12"/>
  <c r="CQ140" i="12"/>
  <c r="CR140" i="12"/>
  <c r="CS140" i="12"/>
  <c r="CT140" i="12"/>
  <c r="CU140" i="12"/>
  <c r="CV140" i="12"/>
  <c r="CW140" i="12"/>
  <c r="CX140" i="12"/>
  <c r="CY140" i="12"/>
  <c r="CZ140" i="12"/>
  <c r="DA140" i="12"/>
  <c r="DB140" i="12"/>
  <c r="DC140" i="12"/>
  <c r="DD140" i="12"/>
  <c r="DE140" i="12"/>
  <c r="DF140" i="12"/>
  <c r="DG140" i="12"/>
  <c r="DH140" i="12"/>
  <c r="DI140" i="12"/>
  <c r="DJ140" i="12"/>
  <c r="DK140" i="12"/>
  <c r="DL140" i="12"/>
  <c r="DM140" i="12"/>
  <c r="DN140" i="12"/>
  <c r="DO140" i="12"/>
  <c r="DP140" i="12"/>
  <c r="DQ140" i="12"/>
  <c r="DR140" i="12"/>
  <c r="DS140" i="12"/>
  <c r="DT140" i="12"/>
  <c r="DU140" i="12"/>
  <c r="DV140" i="12"/>
  <c r="DW140" i="12"/>
  <c r="DX140" i="12"/>
  <c r="DY140" i="12"/>
  <c r="DZ140" i="12"/>
  <c r="EA140" i="12"/>
  <c r="EB140" i="12"/>
  <c r="EC140" i="12"/>
  <c r="ED140" i="12"/>
  <c r="EE140" i="12"/>
  <c r="EF140" i="12"/>
  <c r="EG140" i="12"/>
  <c r="EH140" i="12"/>
  <c r="EI140" i="12"/>
  <c r="EJ140" i="12"/>
  <c r="EK140" i="12"/>
  <c r="EL140" i="12"/>
  <c r="EM140" i="12"/>
  <c r="EN140" i="12"/>
  <c r="EO140" i="12"/>
  <c r="EP140" i="12"/>
  <c r="EQ140" i="12"/>
  <c r="ER140" i="12"/>
  <c r="ES140" i="12"/>
  <c r="ET140" i="12"/>
  <c r="EU140" i="12"/>
  <c r="EV140" i="12"/>
  <c r="EW140" i="12"/>
  <c r="EX140" i="12"/>
  <c r="EY140" i="12"/>
  <c r="EZ140" i="12"/>
  <c r="FA140" i="12"/>
  <c r="FB140" i="12"/>
  <c r="FC140" i="12"/>
  <c r="FD140" i="12"/>
  <c r="FE140" i="12"/>
  <c r="FF140" i="12"/>
  <c r="FG140" i="12"/>
  <c r="FH140" i="12"/>
  <c r="FI140" i="12"/>
  <c r="FJ140" i="12"/>
  <c r="FK140" i="12"/>
  <c r="FL140" i="12"/>
  <c r="FM140" i="12"/>
  <c r="FN140" i="12"/>
  <c r="FO140" i="12"/>
  <c r="FP140" i="12"/>
  <c r="FQ140" i="12"/>
  <c r="FR140" i="12"/>
  <c r="FS140" i="12"/>
  <c r="FT140" i="12"/>
  <c r="FU140" i="12"/>
  <c r="FV140" i="12"/>
  <c r="FW140" i="12"/>
  <c r="FX140" i="12"/>
  <c r="FY140" i="12"/>
  <c r="FZ140" i="12"/>
  <c r="GA140" i="12"/>
  <c r="GB140" i="12"/>
  <c r="GC140" i="12"/>
  <c r="GD140" i="12"/>
  <c r="GE140" i="12"/>
  <c r="GF140" i="12"/>
  <c r="GG140" i="12"/>
  <c r="GH140" i="12"/>
  <c r="GI140" i="12"/>
  <c r="GJ140" i="12"/>
  <c r="GK140" i="12"/>
  <c r="GL140" i="12"/>
  <c r="GM140" i="12"/>
  <c r="GN140" i="12"/>
  <c r="GO140" i="12"/>
  <c r="GP140" i="12"/>
  <c r="GQ140" i="12"/>
  <c r="GR140" i="12"/>
  <c r="GS140" i="12"/>
  <c r="GT140" i="12"/>
  <c r="GU140" i="12"/>
  <c r="GV140" i="12"/>
  <c r="GW140" i="12"/>
  <c r="GX140" i="12"/>
  <c r="GY140" i="12"/>
  <c r="GZ140" i="12"/>
  <c r="HA140" i="12"/>
  <c r="HB140" i="12"/>
  <c r="HC140" i="12"/>
  <c r="HD140" i="12"/>
  <c r="HE140" i="12"/>
  <c r="HF140" i="12"/>
  <c r="HG140" i="12"/>
  <c r="HH140" i="12"/>
  <c r="HI140" i="12"/>
  <c r="HJ140" i="12"/>
  <c r="HK140" i="12"/>
  <c r="HL140" i="12"/>
  <c r="HM140" i="12"/>
  <c r="HN140" i="12"/>
  <c r="HO140" i="12"/>
  <c r="HP140" i="12"/>
  <c r="HQ140" i="12"/>
  <c r="HR140" i="12"/>
  <c r="HS140" i="12"/>
  <c r="HT140" i="12"/>
  <c r="HU140" i="12"/>
  <c r="HV140" i="12"/>
  <c r="HW140" i="12"/>
  <c r="HX140" i="12"/>
  <c r="HY140" i="12"/>
  <c r="HZ140" i="12"/>
  <c r="IA140" i="12"/>
  <c r="IB140" i="12"/>
  <c r="IC140" i="12"/>
  <c r="ID140" i="12"/>
  <c r="IE140" i="12"/>
  <c r="IF140" i="12"/>
  <c r="IG140" i="12"/>
  <c r="IH140" i="12"/>
  <c r="II140" i="12"/>
  <c r="IJ140" i="12"/>
  <c r="IK140" i="12"/>
  <c r="IL140" i="12"/>
  <c r="IM140" i="12"/>
  <c r="IN140" i="12"/>
  <c r="IO140" i="12"/>
  <c r="IP140" i="12"/>
  <c r="IQ140" i="12"/>
  <c r="IR140" i="12"/>
  <c r="IS140" i="12"/>
  <c r="IT140" i="12"/>
  <c r="IU140" i="12"/>
  <c r="IV140" i="12"/>
  <c r="F141" i="12"/>
  <c r="G141" i="12"/>
  <c r="H141" i="12"/>
  <c r="I141" i="12"/>
  <c r="J141" i="12"/>
  <c r="K141" i="12"/>
  <c r="L141" i="12"/>
  <c r="M141" i="12"/>
  <c r="N141" i="12"/>
  <c r="O141" i="12"/>
  <c r="P141" i="12"/>
  <c r="Q141" i="12"/>
  <c r="R141" i="12"/>
  <c r="S141" i="12"/>
  <c r="T141" i="12"/>
  <c r="U141" i="12"/>
  <c r="V141" i="12"/>
  <c r="W141" i="12"/>
  <c r="X141" i="12"/>
  <c r="Y141" i="12"/>
  <c r="Z141" i="12"/>
  <c r="AA141" i="12"/>
  <c r="AB141" i="12"/>
  <c r="AC141" i="12"/>
  <c r="AD141" i="12"/>
  <c r="AE141" i="12"/>
  <c r="AF141" i="12"/>
  <c r="AG141" i="12"/>
  <c r="AH141" i="12"/>
  <c r="AI141" i="12"/>
  <c r="AJ141" i="12"/>
  <c r="AK141" i="12"/>
  <c r="AL141" i="12"/>
  <c r="AM141" i="12"/>
  <c r="AN141" i="12"/>
  <c r="AO141" i="12"/>
  <c r="AP141" i="12"/>
  <c r="AQ141" i="12"/>
  <c r="AR141" i="12"/>
  <c r="AS141" i="12"/>
  <c r="AT141" i="12"/>
  <c r="AU141" i="12"/>
  <c r="AV141" i="12"/>
  <c r="AW141" i="12"/>
  <c r="AX141" i="12"/>
  <c r="AY141" i="12"/>
  <c r="AZ141" i="12"/>
  <c r="BA141" i="12"/>
  <c r="BB141" i="12"/>
  <c r="BC141" i="12"/>
  <c r="BD141" i="12"/>
  <c r="BE141" i="12"/>
  <c r="BF141" i="12"/>
  <c r="BG141" i="12"/>
  <c r="BH141" i="12"/>
  <c r="BI141" i="12"/>
  <c r="BJ141" i="12"/>
  <c r="BK141" i="12"/>
  <c r="BL141" i="12"/>
  <c r="BM141" i="12"/>
  <c r="BN141" i="12"/>
  <c r="BO141" i="12"/>
  <c r="BP141" i="12"/>
  <c r="BQ141" i="12"/>
  <c r="BR141" i="12"/>
  <c r="BS141" i="12"/>
  <c r="BT141" i="12"/>
  <c r="BU141" i="12"/>
  <c r="BV141" i="12"/>
  <c r="BW141" i="12"/>
  <c r="BX141" i="12"/>
  <c r="BY141" i="12"/>
  <c r="BZ141" i="12"/>
  <c r="CA141" i="12"/>
  <c r="CB141" i="12"/>
  <c r="CC141" i="12"/>
  <c r="CD141" i="12"/>
  <c r="CE141" i="12"/>
  <c r="CF141" i="12"/>
  <c r="CG141" i="12"/>
  <c r="CH141" i="12"/>
  <c r="CI141" i="12"/>
  <c r="CJ141" i="12"/>
  <c r="CK141" i="12"/>
  <c r="CL141" i="12"/>
  <c r="CM141" i="12"/>
  <c r="CN141" i="12"/>
  <c r="CO141" i="12"/>
  <c r="CP141" i="12"/>
  <c r="CQ141" i="12"/>
  <c r="CR141" i="12"/>
  <c r="CS141" i="12"/>
  <c r="CT141" i="12"/>
  <c r="CU141" i="12"/>
  <c r="CV141" i="12"/>
  <c r="CW141" i="12"/>
  <c r="CX141" i="12"/>
  <c r="CY141" i="12"/>
  <c r="CZ141" i="12"/>
  <c r="DA141" i="12"/>
  <c r="DB141" i="12"/>
  <c r="DC141" i="12"/>
  <c r="DD141" i="12"/>
  <c r="DE141" i="12"/>
  <c r="DF141" i="12"/>
  <c r="DG141" i="12"/>
  <c r="DH141" i="12"/>
  <c r="DI141" i="12"/>
  <c r="DJ141" i="12"/>
  <c r="DK141" i="12"/>
  <c r="DL141" i="12"/>
  <c r="DM141" i="12"/>
  <c r="DN141" i="12"/>
  <c r="DO141" i="12"/>
  <c r="DP141" i="12"/>
  <c r="DQ141" i="12"/>
  <c r="DR141" i="12"/>
  <c r="DS141" i="12"/>
  <c r="DT141" i="12"/>
  <c r="DU141" i="12"/>
  <c r="DV141" i="12"/>
  <c r="DW141" i="12"/>
  <c r="DX141" i="12"/>
  <c r="DY141" i="12"/>
  <c r="DZ141" i="12"/>
  <c r="EA141" i="12"/>
  <c r="EB141" i="12"/>
  <c r="EC141" i="12"/>
  <c r="ED141" i="12"/>
  <c r="EE141" i="12"/>
  <c r="EF141" i="12"/>
  <c r="EG141" i="12"/>
  <c r="EH141" i="12"/>
  <c r="EI141" i="12"/>
  <c r="EJ141" i="12"/>
  <c r="EK141" i="12"/>
  <c r="EL141" i="12"/>
  <c r="EM141" i="12"/>
  <c r="EN141" i="12"/>
  <c r="EO141" i="12"/>
  <c r="EP141" i="12"/>
  <c r="EQ141" i="12"/>
  <c r="ER141" i="12"/>
  <c r="ES141" i="12"/>
  <c r="ET141" i="12"/>
  <c r="EU141" i="12"/>
  <c r="EV141" i="12"/>
  <c r="EW141" i="12"/>
  <c r="EX141" i="12"/>
  <c r="EY141" i="12"/>
  <c r="EZ141" i="12"/>
  <c r="FA141" i="12"/>
  <c r="FB141" i="12"/>
  <c r="FC141" i="12"/>
  <c r="FD141" i="12"/>
  <c r="FE141" i="12"/>
  <c r="FF141" i="12"/>
  <c r="FG141" i="12"/>
  <c r="FH141" i="12"/>
  <c r="FI141" i="12"/>
  <c r="FJ141" i="12"/>
  <c r="FK141" i="12"/>
  <c r="FL141" i="12"/>
  <c r="FM141" i="12"/>
  <c r="FN141" i="12"/>
  <c r="FO141" i="12"/>
  <c r="FP141" i="12"/>
  <c r="FQ141" i="12"/>
  <c r="FR141" i="12"/>
  <c r="FS141" i="12"/>
  <c r="FT141" i="12"/>
  <c r="FU141" i="12"/>
  <c r="FV141" i="12"/>
  <c r="FW141" i="12"/>
  <c r="FX141" i="12"/>
  <c r="FY141" i="12"/>
  <c r="FZ141" i="12"/>
  <c r="GA141" i="12"/>
  <c r="GB141" i="12"/>
  <c r="GC141" i="12"/>
  <c r="GD141" i="12"/>
  <c r="GE141" i="12"/>
  <c r="GF141" i="12"/>
  <c r="GG141" i="12"/>
  <c r="GH141" i="12"/>
  <c r="GI141" i="12"/>
  <c r="GJ141" i="12"/>
  <c r="GK141" i="12"/>
  <c r="GL141" i="12"/>
  <c r="GM141" i="12"/>
  <c r="GN141" i="12"/>
  <c r="GO141" i="12"/>
  <c r="GP141" i="12"/>
  <c r="GQ141" i="12"/>
  <c r="GR141" i="12"/>
  <c r="GS141" i="12"/>
  <c r="GT141" i="12"/>
  <c r="GU141" i="12"/>
  <c r="GV141" i="12"/>
  <c r="GW141" i="12"/>
  <c r="GX141" i="12"/>
  <c r="GY141" i="12"/>
  <c r="GZ141" i="12"/>
  <c r="HA141" i="12"/>
  <c r="HB141" i="12"/>
  <c r="HC141" i="12"/>
  <c r="HD141" i="12"/>
  <c r="HE141" i="12"/>
  <c r="HF141" i="12"/>
  <c r="HG141" i="12"/>
  <c r="HH141" i="12"/>
  <c r="HI141" i="12"/>
  <c r="HJ141" i="12"/>
  <c r="HK141" i="12"/>
  <c r="HL141" i="12"/>
  <c r="HM141" i="12"/>
  <c r="HN141" i="12"/>
  <c r="HO141" i="12"/>
  <c r="HP141" i="12"/>
  <c r="HQ141" i="12"/>
  <c r="HR141" i="12"/>
  <c r="HS141" i="12"/>
  <c r="HT141" i="12"/>
  <c r="HU141" i="12"/>
  <c r="HV141" i="12"/>
  <c r="HW141" i="12"/>
  <c r="HX141" i="12"/>
  <c r="HY141" i="12"/>
  <c r="HZ141" i="12"/>
  <c r="IA141" i="12"/>
  <c r="IB141" i="12"/>
  <c r="IC141" i="12"/>
  <c r="ID141" i="12"/>
  <c r="IE141" i="12"/>
  <c r="IF141" i="12"/>
  <c r="IG141" i="12"/>
  <c r="IH141" i="12"/>
  <c r="II141" i="12"/>
  <c r="IJ141" i="12"/>
  <c r="IK141" i="12"/>
  <c r="IL141" i="12"/>
  <c r="IM141" i="12"/>
  <c r="IN141" i="12"/>
  <c r="IO141" i="12"/>
  <c r="IP141" i="12"/>
  <c r="IQ141" i="12"/>
  <c r="IR141" i="12"/>
  <c r="IS141" i="12"/>
  <c r="IT141" i="12"/>
  <c r="IU141" i="12"/>
  <c r="IV141" i="12"/>
  <c r="F142" i="12"/>
  <c r="G142" i="12"/>
  <c r="H142" i="12"/>
  <c r="I142" i="12"/>
  <c r="J142" i="12"/>
  <c r="K142" i="12"/>
  <c r="L142" i="12"/>
  <c r="M142" i="12"/>
  <c r="N142" i="12"/>
  <c r="O142" i="12"/>
  <c r="P142" i="12"/>
  <c r="Q142" i="12"/>
  <c r="R142" i="12"/>
  <c r="S142" i="12"/>
  <c r="T142" i="12"/>
  <c r="U142" i="12"/>
  <c r="V142" i="12"/>
  <c r="W142" i="12"/>
  <c r="X142" i="12"/>
  <c r="Y142" i="12"/>
  <c r="Z142" i="12"/>
  <c r="AA142" i="12"/>
  <c r="AB142" i="12"/>
  <c r="AC142" i="12"/>
  <c r="AD142" i="12"/>
  <c r="AE142" i="12"/>
  <c r="AF142" i="12"/>
  <c r="AG142" i="12"/>
  <c r="AH142" i="12"/>
  <c r="AI142" i="12"/>
  <c r="AJ142" i="12"/>
  <c r="AK142" i="12"/>
  <c r="AL142" i="12"/>
  <c r="AM142" i="12"/>
  <c r="AN142" i="12"/>
  <c r="AO142" i="12"/>
  <c r="AP142" i="12"/>
  <c r="AQ142" i="12"/>
  <c r="AR142" i="12"/>
  <c r="AS142" i="12"/>
  <c r="AT142" i="12"/>
  <c r="AU142" i="12"/>
  <c r="AV142" i="12"/>
  <c r="AW142" i="12"/>
  <c r="AX142" i="12"/>
  <c r="AY142" i="12"/>
  <c r="AZ142" i="12"/>
  <c r="BA142" i="12"/>
  <c r="BB142" i="12"/>
  <c r="BC142" i="12"/>
  <c r="BD142" i="12"/>
  <c r="BE142" i="12"/>
  <c r="BF142" i="12"/>
  <c r="BG142" i="12"/>
  <c r="BH142" i="12"/>
  <c r="BI142" i="12"/>
  <c r="BJ142" i="12"/>
  <c r="BK142" i="12"/>
  <c r="BL142" i="12"/>
  <c r="BM142" i="12"/>
  <c r="BN142" i="12"/>
  <c r="BO142" i="12"/>
  <c r="BP142" i="12"/>
  <c r="BQ142" i="12"/>
  <c r="BR142" i="12"/>
  <c r="BS142" i="12"/>
  <c r="BT142" i="12"/>
  <c r="BU142" i="12"/>
  <c r="BV142" i="12"/>
  <c r="BW142" i="12"/>
  <c r="BX142" i="12"/>
  <c r="BY142" i="12"/>
  <c r="BZ142" i="12"/>
  <c r="CA142" i="12"/>
  <c r="CB142" i="12"/>
  <c r="CC142" i="12"/>
  <c r="CD142" i="12"/>
  <c r="CE142" i="12"/>
  <c r="CF142" i="12"/>
  <c r="CG142" i="12"/>
  <c r="CH142" i="12"/>
  <c r="CI142" i="12"/>
  <c r="CJ142" i="12"/>
  <c r="CK142" i="12"/>
  <c r="CL142" i="12"/>
  <c r="CM142" i="12"/>
  <c r="CN142" i="12"/>
  <c r="CO142" i="12"/>
  <c r="CP142" i="12"/>
  <c r="CQ142" i="12"/>
  <c r="CR142" i="12"/>
  <c r="CS142" i="12"/>
  <c r="CT142" i="12"/>
  <c r="CU142" i="12"/>
  <c r="CV142" i="12"/>
  <c r="CW142" i="12"/>
  <c r="CX142" i="12"/>
  <c r="CY142" i="12"/>
  <c r="CZ142" i="12"/>
  <c r="DA142" i="12"/>
  <c r="DB142" i="12"/>
  <c r="DC142" i="12"/>
  <c r="DD142" i="12"/>
  <c r="DE142" i="12"/>
  <c r="DF142" i="12"/>
  <c r="DG142" i="12"/>
  <c r="DH142" i="12"/>
  <c r="DI142" i="12"/>
  <c r="DJ142" i="12"/>
  <c r="DK142" i="12"/>
  <c r="DL142" i="12"/>
  <c r="DM142" i="12"/>
  <c r="DN142" i="12"/>
  <c r="DO142" i="12"/>
  <c r="DP142" i="12"/>
  <c r="DQ142" i="12"/>
  <c r="DR142" i="12"/>
  <c r="DS142" i="12"/>
  <c r="DT142" i="12"/>
  <c r="DU142" i="12"/>
  <c r="DV142" i="12"/>
  <c r="DW142" i="12"/>
  <c r="DX142" i="12"/>
  <c r="DY142" i="12"/>
  <c r="DZ142" i="12"/>
  <c r="EA142" i="12"/>
  <c r="EB142" i="12"/>
  <c r="EC142" i="12"/>
  <c r="ED142" i="12"/>
  <c r="EE142" i="12"/>
  <c r="EF142" i="12"/>
  <c r="EG142" i="12"/>
  <c r="EH142" i="12"/>
  <c r="EI142" i="12"/>
  <c r="EJ142" i="12"/>
  <c r="EK142" i="12"/>
  <c r="EL142" i="12"/>
  <c r="EM142" i="12"/>
  <c r="EN142" i="12"/>
  <c r="EO142" i="12"/>
  <c r="EP142" i="12"/>
  <c r="EQ142" i="12"/>
  <c r="ER142" i="12"/>
  <c r="ES142" i="12"/>
  <c r="ET142" i="12"/>
  <c r="EU142" i="12"/>
  <c r="EV142" i="12"/>
  <c r="EW142" i="12"/>
  <c r="EX142" i="12"/>
  <c r="EY142" i="12"/>
  <c r="EZ142" i="12"/>
  <c r="FA142" i="12"/>
  <c r="FB142" i="12"/>
  <c r="FC142" i="12"/>
  <c r="FD142" i="12"/>
  <c r="FE142" i="12"/>
  <c r="FF142" i="12"/>
  <c r="FG142" i="12"/>
  <c r="FH142" i="12"/>
  <c r="FI142" i="12"/>
  <c r="FJ142" i="12"/>
  <c r="FK142" i="12"/>
  <c r="FL142" i="12"/>
  <c r="FM142" i="12"/>
  <c r="FN142" i="12"/>
  <c r="FO142" i="12"/>
  <c r="FP142" i="12"/>
  <c r="FQ142" i="12"/>
  <c r="FR142" i="12"/>
  <c r="FS142" i="12"/>
  <c r="FT142" i="12"/>
  <c r="FU142" i="12"/>
  <c r="FV142" i="12"/>
  <c r="FW142" i="12"/>
  <c r="FX142" i="12"/>
  <c r="FY142" i="12"/>
  <c r="FZ142" i="12"/>
  <c r="GA142" i="12"/>
  <c r="GB142" i="12"/>
  <c r="GC142" i="12"/>
  <c r="GD142" i="12"/>
  <c r="GE142" i="12"/>
  <c r="GF142" i="12"/>
  <c r="GG142" i="12"/>
  <c r="GH142" i="12"/>
  <c r="GI142" i="12"/>
  <c r="GJ142" i="12"/>
  <c r="GK142" i="12"/>
  <c r="GL142" i="12"/>
  <c r="GM142" i="12"/>
  <c r="GN142" i="12"/>
  <c r="GO142" i="12"/>
  <c r="GP142" i="12"/>
  <c r="GQ142" i="12"/>
  <c r="GR142" i="12"/>
  <c r="GS142" i="12"/>
  <c r="GT142" i="12"/>
  <c r="GU142" i="12"/>
  <c r="GV142" i="12"/>
  <c r="GW142" i="12"/>
  <c r="GX142" i="12"/>
  <c r="GY142" i="12"/>
  <c r="GZ142" i="12"/>
  <c r="HA142" i="12"/>
  <c r="HB142" i="12"/>
  <c r="HC142" i="12"/>
  <c r="HD142" i="12"/>
  <c r="HE142" i="12"/>
  <c r="HF142" i="12"/>
  <c r="HG142" i="12"/>
  <c r="HH142" i="12"/>
  <c r="HI142" i="12"/>
  <c r="HJ142" i="12"/>
  <c r="HK142" i="12"/>
  <c r="HL142" i="12"/>
  <c r="HM142" i="12"/>
  <c r="HN142" i="12"/>
  <c r="HO142" i="12"/>
  <c r="HP142" i="12"/>
  <c r="HQ142" i="12"/>
  <c r="HR142" i="12"/>
  <c r="HS142" i="12"/>
  <c r="HT142" i="12"/>
  <c r="HU142" i="12"/>
  <c r="HV142" i="12"/>
  <c r="HW142" i="12"/>
  <c r="HX142" i="12"/>
  <c r="HY142" i="12"/>
  <c r="HZ142" i="12"/>
  <c r="IA142" i="12"/>
  <c r="IB142" i="12"/>
  <c r="IC142" i="12"/>
  <c r="ID142" i="12"/>
  <c r="IE142" i="12"/>
  <c r="IF142" i="12"/>
  <c r="IG142" i="12"/>
  <c r="IH142" i="12"/>
  <c r="II142" i="12"/>
  <c r="IJ142" i="12"/>
  <c r="IK142" i="12"/>
  <c r="IL142" i="12"/>
  <c r="IM142" i="12"/>
  <c r="IN142" i="12"/>
  <c r="IO142" i="12"/>
  <c r="IP142" i="12"/>
  <c r="IQ142" i="12"/>
  <c r="IR142" i="12"/>
  <c r="IS142" i="12"/>
  <c r="IT142" i="12"/>
  <c r="IU142" i="12"/>
  <c r="IV142" i="12"/>
  <c r="F143" i="12"/>
  <c r="G143" i="12"/>
  <c r="H143" i="12"/>
  <c r="I143" i="12"/>
  <c r="J143" i="12"/>
  <c r="K143" i="12"/>
  <c r="L143" i="12"/>
  <c r="M143" i="12"/>
  <c r="N143" i="12"/>
  <c r="O143" i="12"/>
  <c r="P143" i="12"/>
  <c r="Q143" i="12"/>
  <c r="R143" i="12"/>
  <c r="S143" i="12"/>
  <c r="T143" i="12"/>
  <c r="U143" i="12"/>
  <c r="V143" i="12"/>
  <c r="W143" i="12"/>
  <c r="X143" i="12"/>
  <c r="Y143" i="12"/>
  <c r="Z143" i="12"/>
  <c r="AA143" i="12"/>
  <c r="AB143" i="12"/>
  <c r="AC143" i="12"/>
  <c r="AD143" i="12"/>
  <c r="AE143" i="12"/>
  <c r="AF143" i="12"/>
  <c r="AG143" i="12"/>
  <c r="AH143" i="12"/>
  <c r="AI143" i="12"/>
  <c r="AJ143" i="12"/>
  <c r="AK143" i="12"/>
  <c r="AL143" i="12"/>
  <c r="AM143" i="12"/>
  <c r="AN143" i="12"/>
  <c r="AO143" i="12"/>
  <c r="AP143" i="12"/>
  <c r="AQ143" i="12"/>
  <c r="AR143" i="12"/>
  <c r="AS143" i="12"/>
  <c r="AT143" i="12"/>
  <c r="AU143" i="12"/>
  <c r="AV143" i="12"/>
  <c r="AW143" i="12"/>
  <c r="AX143" i="12"/>
  <c r="AY143" i="12"/>
  <c r="AZ143" i="12"/>
  <c r="BA143" i="12"/>
  <c r="BB143" i="12"/>
  <c r="BC143" i="12"/>
  <c r="BD143" i="12"/>
  <c r="BE143" i="12"/>
  <c r="BF143" i="12"/>
  <c r="BG143" i="12"/>
  <c r="BH143" i="12"/>
  <c r="BI143" i="12"/>
  <c r="BJ143" i="12"/>
  <c r="BK143" i="12"/>
  <c r="BL143" i="12"/>
  <c r="BM143" i="12"/>
  <c r="BN143" i="12"/>
  <c r="BO143" i="12"/>
  <c r="BP143" i="12"/>
  <c r="BQ143" i="12"/>
  <c r="BR143" i="12"/>
  <c r="BS143" i="12"/>
  <c r="BT143" i="12"/>
  <c r="BU143" i="12"/>
  <c r="BV143" i="12"/>
  <c r="BW143" i="12"/>
  <c r="BX143" i="12"/>
  <c r="BY143" i="12"/>
  <c r="BZ143" i="12"/>
  <c r="CA143" i="12"/>
  <c r="CB143" i="12"/>
  <c r="CC143" i="12"/>
  <c r="CD143" i="12"/>
  <c r="CE143" i="12"/>
  <c r="CF143" i="12"/>
  <c r="CG143" i="12"/>
  <c r="CH143" i="12"/>
  <c r="CI143" i="12"/>
  <c r="CJ143" i="12"/>
  <c r="CK143" i="12"/>
  <c r="CL143" i="12"/>
  <c r="CM143" i="12"/>
  <c r="CN143" i="12"/>
  <c r="CO143" i="12"/>
  <c r="CP143" i="12"/>
  <c r="CQ143" i="12"/>
  <c r="CR143" i="12"/>
  <c r="CS143" i="12"/>
  <c r="CT143" i="12"/>
  <c r="CU143" i="12"/>
  <c r="CV143" i="12"/>
  <c r="CW143" i="12"/>
  <c r="CX143" i="12"/>
  <c r="CY143" i="12"/>
  <c r="CZ143" i="12"/>
  <c r="DA143" i="12"/>
  <c r="DB143" i="12"/>
  <c r="DC143" i="12"/>
  <c r="DD143" i="12"/>
  <c r="DE143" i="12"/>
  <c r="DF143" i="12"/>
  <c r="DG143" i="12"/>
  <c r="DH143" i="12"/>
  <c r="DI143" i="12"/>
  <c r="DJ143" i="12"/>
  <c r="DK143" i="12"/>
  <c r="DL143" i="12"/>
  <c r="DM143" i="12"/>
  <c r="DN143" i="12"/>
  <c r="DO143" i="12"/>
  <c r="DP143" i="12"/>
  <c r="DQ143" i="12"/>
  <c r="DR143" i="12"/>
  <c r="DS143" i="12"/>
  <c r="DT143" i="12"/>
  <c r="DU143" i="12"/>
  <c r="DV143" i="12"/>
  <c r="DW143" i="12"/>
  <c r="DX143" i="12"/>
  <c r="DY143" i="12"/>
  <c r="DZ143" i="12"/>
  <c r="EA143" i="12"/>
  <c r="EB143" i="12"/>
  <c r="EC143" i="12"/>
  <c r="ED143" i="12"/>
  <c r="EE143" i="12"/>
  <c r="EF143" i="12"/>
  <c r="EG143" i="12"/>
  <c r="EH143" i="12"/>
  <c r="EI143" i="12"/>
  <c r="EJ143" i="12"/>
  <c r="EK143" i="12"/>
  <c r="EL143" i="12"/>
  <c r="EM143" i="12"/>
  <c r="EN143" i="12"/>
  <c r="EO143" i="12"/>
  <c r="EP143" i="12"/>
  <c r="EQ143" i="12"/>
  <c r="ER143" i="12"/>
  <c r="ES143" i="12"/>
  <c r="ET143" i="12"/>
  <c r="EU143" i="12"/>
  <c r="EV143" i="12"/>
  <c r="EW143" i="12"/>
  <c r="EX143" i="12"/>
  <c r="EY143" i="12"/>
  <c r="EZ143" i="12"/>
  <c r="FA143" i="12"/>
  <c r="FB143" i="12"/>
  <c r="FC143" i="12"/>
  <c r="FD143" i="12"/>
  <c r="FE143" i="12"/>
  <c r="FF143" i="12"/>
  <c r="FG143" i="12"/>
  <c r="FH143" i="12"/>
  <c r="FI143" i="12"/>
  <c r="FJ143" i="12"/>
  <c r="FK143" i="12"/>
  <c r="FL143" i="12"/>
  <c r="FM143" i="12"/>
  <c r="FN143" i="12"/>
  <c r="FO143" i="12"/>
  <c r="FP143" i="12"/>
  <c r="FQ143" i="12"/>
  <c r="FR143" i="12"/>
  <c r="FS143" i="12"/>
  <c r="FT143" i="12"/>
  <c r="FU143" i="12"/>
  <c r="FV143" i="12"/>
  <c r="FW143" i="12"/>
  <c r="FX143" i="12"/>
  <c r="FY143" i="12"/>
  <c r="FZ143" i="12"/>
  <c r="GA143" i="12"/>
  <c r="GB143" i="12"/>
  <c r="GC143" i="12"/>
  <c r="GD143" i="12"/>
  <c r="GE143" i="12"/>
  <c r="GF143" i="12"/>
  <c r="GG143" i="12"/>
  <c r="GH143" i="12"/>
  <c r="GI143" i="12"/>
  <c r="GJ143" i="12"/>
  <c r="GK143" i="12"/>
  <c r="GL143" i="12"/>
  <c r="GM143" i="12"/>
  <c r="GN143" i="12"/>
  <c r="GO143" i="12"/>
  <c r="GP143" i="12"/>
  <c r="GQ143" i="12"/>
  <c r="GR143" i="12"/>
  <c r="GS143" i="12"/>
  <c r="GT143" i="12"/>
  <c r="GU143" i="12"/>
  <c r="GV143" i="12"/>
  <c r="GW143" i="12"/>
  <c r="GX143" i="12"/>
  <c r="GY143" i="12"/>
  <c r="GZ143" i="12"/>
  <c r="HA143" i="12"/>
  <c r="HB143" i="12"/>
  <c r="HC143" i="12"/>
  <c r="HD143" i="12"/>
  <c r="HE143" i="12"/>
  <c r="HF143" i="12"/>
  <c r="HG143" i="12"/>
  <c r="HH143" i="12"/>
  <c r="HI143" i="12"/>
  <c r="HJ143" i="12"/>
  <c r="HK143" i="12"/>
  <c r="HL143" i="12"/>
  <c r="HM143" i="12"/>
  <c r="HN143" i="12"/>
  <c r="HO143" i="12"/>
  <c r="HP143" i="12"/>
  <c r="HQ143" i="12"/>
  <c r="HR143" i="12"/>
  <c r="HS143" i="12"/>
  <c r="HT143" i="12"/>
  <c r="HU143" i="12"/>
  <c r="HV143" i="12"/>
  <c r="HW143" i="12"/>
  <c r="HX143" i="12"/>
  <c r="HY143" i="12"/>
  <c r="HZ143" i="12"/>
  <c r="IA143" i="12"/>
  <c r="IB143" i="12"/>
  <c r="IC143" i="12"/>
  <c r="ID143" i="12"/>
  <c r="IE143" i="12"/>
  <c r="IF143" i="12"/>
  <c r="IG143" i="12"/>
  <c r="IH143" i="12"/>
  <c r="II143" i="12"/>
  <c r="IJ143" i="12"/>
  <c r="IK143" i="12"/>
  <c r="IL143" i="12"/>
  <c r="IM143" i="12"/>
  <c r="IN143" i="12"/>
  <c r="IO143" i="12"/>
  <c r="IP143" i="12"/>
  <c r="IQ143" i="12"/>
  <c r="IR143" i="12"/>
  <c r="IS143" i="12"/>
  <c r="IT143" i="12"/>
  <c r="IU143" i="12"/>
  <c r="IV143" i="12"/>
  <c r="F144" i="12"/>
  <c r="G144" i="12"/>
  <c r="H144" i="12"/>
  <c r="I144" i="12"/>
  <c r="J144" i="12"/>
  <c r="K144" i="12"/>
  <c r="L144" i="12"/>
  <c r="M144" i="12"/>
  <c r="N144" i="12"/>
  <c r="O144" i="12"/>
  <c r="P144" i="12"/>
  <c r="Q144" i="12"/>
  <c r="R144" i="12"/>
  <c r="S144" i="12"/>
  <c r="T144" i="12"/>
  <c r="U144" i="12"/>
  <c r="V144" i="12"/>
  <c r="W144" i="12"/>
  <c r="X144" i="12"/>
  <c r="Y144" i="12"/>
  <c r="Z144" i="12"/>
  <c r="AA144" i="12"/>
  <c r="AB144" i="12"/>
  <c r="AC144" i="12"/>
  <c r="AD144" i="12"/>
  <c r="AE144" i="12"/>
  <c r="AF144" i="12"/>
  <c r="AG144" i="12"/>
  <c r="AH144" i="12"/>
  <c r="AI144" i="12"/>
  <c r="AJ144" i="12"/>
  <c r="AK144" i="12"/>
  <c r="AL144" i="12"/>
  <c r="AM144" i="12"/>
  <c r="AN144" i="12"/>
  <c r="AO144" i="12"/>
  <c r="AP144" i="12"/>
  <c r="AQ144" i="12"/>
  <c r="AR144" i="12"/>
  <c r="AS144" i="12"/>
  <c r="AT144" i="12"/>
  <c r="AU144" i="12"/>
  <c r="AV144" i="12"/>
  <c r="AW144" i="12"/>
  <c r="AX144" i="12"/>
  <c r="AY144" i="12"/>
  <c r="AZ144" i="12"/>
  <c r="BA144" i="12"/>
  <c r="BB144" i="12"/>
  <c r="BC144" i="12"/>
  <c r="BD144" i="12"/>
  <c r="BE144" i="12"/>
  <c r="BF144" i="12"/>
  <c r="BG144" i="12"/>
  <c r="BH144" i="12"/>
  <c r="BI144" i="12"/>
  <c r="BJ144" i="12"/>
  <c r="BK144" i="12"/>
  <c r="BL144" i="12"/>
  <c r="BM144" i="12"/>
  <c r="BN144" i="12"/>
  <c r="BO144" i="12"/>
  <c r="BP144" i="12"/>
  <c r="BQ144" i="12"/>
  <c r="BR144" i="12"/>
  <c r="BS144" i="12"/>
  <c r="BT144" i="12"/>
  <c r="BU144" i="12"/>
  <c r="BV144" i="12"/>
  <c r="BW144" i="12"/>
  <c r="BX144" i="12"/>
  <c r="BY144" i="12"/>
  <c r="BZ144" i="12"/>
  <c r="CA144" i="12"/>
  <c r="CB144" i="12"/>
  <c r="CC144" i="12"/>
  <c r="CD144" i="12"/>
  <c r="CE144" i="12"/>
  <c r="CF144" i="12"/>
  <c r="CG144" i="12"/>
  <c r="CH144" i="12"/>
  <c r="CI144" i="12"/>
  <c r="CJ144" i="12"/>
  <c r="CK144" i="12"/>
  <c r="CL144" i="12"/>
  <c r="CM144" i="12"/>
  <c r="CN144" i="12"/>
  <c r="CO144" i="12"/>
  <c r="CP144" i="12"/>
  <c r="CQ144" i="12"/>
  <c r="CR144" i="12"/>
  <c r="CS144" i="12"/>
  <c r="CT144" i="12"/>
  <c r="CU144" i="12"/>
  <c r="CV144" i="12"/>
  <c r="CW144" i="12"/>
  <c r="CX144" i="12"/>
  <c r="CY144" i="12"/>
  <c r="CZ144" i="12"/>
  <c r="DA144" i="12"/>
  <c r="DB144" i="12"/>
  <c r="DC144" i="12"/>
  <c r="DD144" i="12"/>
  <c r="DE144" i="12"/>
  <c r="DF144" i="12"/>
  <c r="DG144" i="12"/>
  <c r="DH144" i="12"/>
  <c r="DI144" i="12"/>
  <c r="DJ144" i="12"/>
  <c r="DK144" i="12"/>
  <c r="DL144" i="12"/>
  <c r="DM144" i="12"/>
  <c r="DN144" i="12"/>
  <c r="DO144" i="12"/>
  <c r="DP144" i="12"/>
  <c r="DQ144" i="12"/>
  <c r="DR144" i="12"/>
  <c r="DS144" i="12"/>
  <c r="DT144" i="12"/>
  <c r="DU144" i="12"/>
  <c r="DV144" i="12"/>
  <c r="DW144" i="12"/>
  <c r="DX144" i="12"/>
  <c r="DY144" i="12"/>
  <c r="DZ144" i="12"/>
  <c r="EA144" i="12"/>
  <c r="EB144" i="12"/>
  <c r="EC144" i="12"/>
  <c r="ED144" i="12"/>
  <c r="EE144" i="12"/>
  <c r="EF144" i="12"/>
  <c r="EG144" i="12"/>
  <c r="EH144" i="12"/>
  <c r="EI144" i="12"/>
  <c r="EJ144" i="12"/>
  <c r="EK144" i="12"/>
  <c r="EL144" i="12"/>
  <c r="EM144" i="12"/>
  <c r="EN144" i="12"/>
  <c r="EO144" i="12"/>
  <c r="EP144" i="12"/>
  <c r="EQ144" i="12"/>
  <c r="ER144" i="12"/>
  <c r="ES144" i="12"/>
  <c r="ET144" i="12"/>
  <c r="EU144" i="12"/>
  <c r="EV144" i="12"/>
  <c r="EW144" i="12"/>
  <c r="EX144" i="12"/>
  <c r="EY144" i="12"/>
  <c r="EZ144" i="12"/>
  <c r="FA144" i="12"/>
  <c r="FB144" i="12"/>
  <c r="FC144" i="12"/>
  <c r="FD144" i="12"/>
  <c r="FE144" i="12"/>
  <c r="FF144" i="12"/>
  <c r="FG144" i="12"/>
  <c r="FH144" i="12"/>
  <c r="FI144" i="12"/>
  <c r="FJ144" i="12"/>
  <c r="FK144" i="12"/>
  <c r="FL144" i="12"/>
  <c r="FM144" i="12"/>
  <c r="FN144" i="12"/>
  <c r="FO144" i="12"/>
  <c r="FP144" i="12"/>
  <c r="FQ144" i="12"/>
  <c r="FR144" i="12"/>
  <c r="FS144" i="12"/>
  <c r="FT144" i="12"/>
  <c r="FU144" i="12"/>
  <c r="FV144" i="12"/>
  <c r="FW144" i="12"/>
  <c r="FX144" i="12"/>
  <c r="FY144" i="12"/>
  <c r="FZ144" i="12"/>
  <c r="GA144" i="12"/>
  <c r="GB144" i="12"/>
  <c r="GC144" i="12"/>
  <c r="GD144" i="12"/>
  <c r="GE144" i="12"/>
  <c r="GF144" i="12"/>
  <c r="GG144" i="12"/>
  <c r="GH144" i="12"/>
  <c r="GI144" i="12"/>
  <c r="GJ144" i="12"/>
  <c r="GK144" i="12"/>
  <c r="GL144" i="12"/>
  <c r="GM144" i="12"/>
  <c r="GN144" i="12"/>
  <c r="GO144" i="12"/>
  <c r="GP144" i="12"/>
  <c r="GQ144" i="12"/>
  <c r="GR144" i="12"/>
  <c r="GS144" i="12"/>
  <c r="GT144" i="12"/>
  <c r="GU144" i="12"/>
  <c r="GV144" i="12"/>
  <c r="GW144" i="12"/>
  <c r="GX144" i="12"/>
  <c r="GY144" i="12"/>
  <c r="GZ144" i="12"/>
  <c r="HA144" i="12"/>
  <c r="HB144" i="12"/>
  <c r="HC144" i="12"/>
  <c r="HD144" i="12"/>
  <c r="HE144" i="12"/>
  <c r="HF144" i="12"/>
  <c r="HG144" i="12"/>
  <c r="HH144" i="12"/>
  <c r="HI144" i="12"/>
  <c r="HJ144" i="12"/>
  <c r="HK144" i="12"/>
  <c r="HL144" i="12"/>
  <c r="HM144" i="12"/>
  <c r="HN144" i="12"/>
  <c r="HO144" i="12"/>
  <c r="HP144" i="12"/>
  <c r="HQ144" i="12"/>
  <c r="HR144" i="12"/>
  <c r="HS144" i="12"/>
  <c r="HT144" i="12"/>
  <c r="HU144" i="12"/>
  <c r="HV144" i="12"/>
  <c r="HW144" i="12"/>
  <c r="HX144" i="12"/>
  <c r="HY144" i="12"/>
  <c r="HZ144" i="12"/>
  <c r="IA144" i="12"/>
  <c r="IB144" i="12"/>
  <c r="IC144" i="12"/>
  <c r="ID144" i="12"/>
  <c r="IE144" i="12"/>
  <c r="IF144" i="12"/>
  <c r="IG144" i="12"/>
  <c r="IH144" i="12"/>
  <c r="II144" i="12"/>
  <c r="IJ144" i="12"/>
  <c r="IK144" i="12"/>
  <c r="IL144" i="12"/>
  <c r="IM144" i="12"/>
  <c r="IN144" i="12"/>
  <c r="IO144" i="12"/>
  <c r="IP144" i="12"/>
  <c r="IQ144" i="12"/>
  <c r="IR144" i="12"/>
  <c r="IS144" i="12"/>
  <c r="IT144" i="12"/>
  <c r="IU144" i="12"/>
  <c r="IV144" i="12"/>
  <c r="F145" i="12"/>
  <c r="G145" i="12"/>
  <c r="H145" i="12"/>
  <c r="I145" i="12"/>
  <c r="J145" i="12"/>
  <c r="K145" i="12"/>
  <c r="L145" i="12"/>
  <c r="M145" i="12"/>
  <c r="N145" i="12"/>
  <c r="O145" i="12"/>
  <c r="P145" i="12"/>
  <c r="Q145" i="12"/>
  <c r="R145" i="12"/>
  <c r="S145" i="12"/>
  <c r="T145" i="12"/>
  <c r="U145" i="12"/>
  <c r="V145" i="12"/>
  <c r="W145" i="12"/>
  <c r="X145" i="12"/>
  <c r="Y145" i="12"/>
  <c r="Z145" i="12"/>
  <c r="AA145" i="12"/>
  <c r="AB145" i="12"/>
  <c r="AC145" i="12"/>
  <c r="AD145" i="12"/>
  <c r="AE145" i="12"/>
  <c r="AF145" i="12"/>
  <c r="AG145" i="12"/>
  <c r="AH145" i="12"/>
  <c r="AI145" i="12"/>
  <c r="AJ145" i="12"/>
  <c r="AK145" i="12"/>
  <c r="AL145" i="12"/>
  <c r="AM145" i="12"/>
  <c r="AN145" i="12"/>
  <c r="AO145" i="12"/>
  <c r="AP145" i="12"/>
  <c r="AQ145" i="12"/>
  <c r="AR145" i="12"/>
  <c r="AS145" i="12"/>
  <c r="AT145" i="12"/>
  <c r="AU145" i="12"/>
  <c r="AV145" i="12"/>
  <c r="AW145" i="12"/>
  <c r="AX145" i="12"/>
  <c r="AY145" i="12"/>
  <c r="AZ145" i="12"/>
  <c r="BA145" i="12"/>
  <c r="BB145" i="12"/>
  <c r="BC145" i="12"/>
  <c r="BD145" i="12"/>
  <c r="BE145" i="12"/>
  <c r="BF145" i="12"/>
  <c r="BG145" i="12"/>
  <c r="BH145" i="12"/>
  <c r="BI145" i="12"/>
  <c r="BJ145" i="12"/>
  <c r="BK145" i="12"/>
  <c r="BL145" i="12"/>
  <c r="BM145" i="12"/>
  <c r="BN145" i="12"/>
  <c r="BO145" i="12"/>
  <c r="BP145" i="12"/>
  <c r="BQ145" i="12"/>
  <c r="BR145" i="12"/>
  <c r="BS145" i="12"/>
  <c r="BT145" i="12"/>
  <c r="BU145" i="12"/>
  <c r="BV145" i="12"/>
  <c r="BW145" i="12"/>
  <c r="BX145" i="12"/>
  <c r="BY145" i="12"/>
  <c r="BZ145" i="12"/>
  <c r="CA145" i="12"/>
  <c r="CB145" i="12"/>
  <c r="CC145" i="12"/>
  <c r="CD145" i="12"/>
  <c r="CE145" i="12"/>
  <c r="CF145" i="12"/>
  <c r="CG145" i="12"/>
  <c r="CH145" i="12"/>
  <c r="CI145" i="12"/>
  <c r="CJ145" i="12"/>
  <c r="CK145" i="12"/>
  <c r="CL145" i="12"/>
  <c r="CM145" i="12"/>
  <c r="CN145" i="12"/>
  <c r="CO145" i="12"/>
  <c r="CP145" i="12"/>
  <c r="CQ145" i="12"/>
  <c r="CR145" i="12"/>
  <c r="CS145" i="12"/>
  <c r="CT145" i="12"/>
  <c r="CU145" i="12"/>
  <c r="CV145" i="12"/>
  <c r="CW145" i="12"/>
  <c r="CX145" i="12"/>
  <c r="CY145" i="12"/>
  <c r="CZ145" i="12"/>
  <c r="DA145" i="12"/>
  <c r="DB145" i="12"/>
  <c r="DC145" i="12"/>
  <c r="DD145" i="12"/>
  <c r="DE145" i="12"/>
  <c r="DF145" i="12"/>
  <c r="DG145" i="12"/>
  <c r="DH145" i="12"/>
  <c r="DI145" i="12"/>
  <c r="DJ145" i="12"/>
  <c r="DK145" i="12"/>
  <c r="DL145" i="12"/>
  <c r="DM145" i="12"/>
  <c r="DN145" i="12"/>
  <c r="DO145" i="12"/>
  <c r="DP145" i="12"/>
  <c r="DQ145" i="12"/>
  <c r="DR145" i="12"/>
  <c r="DS145" i="12"/>
  <c r="DT145" i="12"/>
  <c r="DU145" i="12"/>
  <c r="DV145" i="12"/>
  <c r="DW145" i="12"/>
  <c r="DX145" i="12"/>
  <c r="DY145" i="12"/>
  <c r="DZ145" i="12"/>
  <c r="EA145" i="12"/>
  <c r="EB145" i="12"/>
  <c r="EC145" i="12"/>
  <c r="ED145" i="12"/>
  <c r="EE145" i="12"/>
  <c r="EF145" i="12"/>
  <c r="EG145" i="12"/>
  <c r="EH145" i="12"/>
  <c r="EI145" i="12"/>
  <c r="EJ145" i="12"/>
  <c r="EK145" i="12"/>
  <c r="EL145" i="12"/>
  <c r="EM145" i="12"/>
  <c r="EN145" i="12"/>
  <c r="EO145" i="12"/>
  <c r="EP145" i="12"/>
  <c r="EQ145" i="12"/>
  <c r="ER145" i="12"/>
  <c r="ES145" i="12"/>
  <c r="ET145" i="12"/>
  <c r="EU145" i="12"/>
  <c r="EV145" i="12"/>
  <c r="EW145" i="12"/>
  <c r="EX145" i="12"/>
  <c r="EY145" i="12"/>
  <c r="EZ145" i="12"/>
  <c r="FA145" i="12"/>
  <c r="FB145" i="12"/>
  <c r="FC145" i="12"/>
  <c r="FD145" i="12"/>
  <c r="FE145" i="12"/>
  <c r="FF145" i="12"/>
  <c r="FG145" i="12"/>
  <c r="FH145" i="12"/>
  <c r="FI145" i="12"/>
  <c r="FJ145" i="12"/>
  <c r="FK145" i="12"/>
  <c r="FL145" i="12"/>
  <c r="FM145" i="12"/>
  <c r="FN145" i="12"/>
  <c r="FO145" i="12"/>
  <c r="FP145" i="12"/>
  <c r="FQ145" i="12"/>
  <c r="FR145" i="12"/>
  <c r="FS145" i="12"/>
  <c r="FT145" i="12"/>
  <c r="FU145" i="12"/>
  <c r="FV145" i="12"/>
  <c r="FW145" i="12"/>
  <c r="FX145" i="12"/>
  <c r="FY145" i="12"/>
  <c r="FZ145" i="12"/>
  <c r="GA145" i="12"/>
  <c r="GB145" i="12"/>
  <c r="GC145" i="12"/>
  <c r="GD145" i="12"/>
  <c r="GE145" i="12"/>
  <c r="GF145" i="12"/>
  <c r="GG145" i="12"/>
  <c r="GH145" i="12"/>
  <c r="GI145" i="12"/>
  <c r="GJ145" i="12"/>
  <c r="GK145" i="12"/>
  <c r="GL145" i="12"/>
  <c r="GM145" i="12"/>
  <c r="GN145" i="12"/>
  <c r="GO145" i="12"/>
  <c r="GP145" i="12"/>
  <c r="GQ145" i="12"/>
  <c r="GR145" i="12"/>
  <c r="GS145" i="12"/>
  <c r="GT145" i="12"/>
  <c r="GU145" i="12"/>
  <c r="GV145" i="12"/>
  <c r="GW145" i="12"/>
  <c r="GX145" i="12"/>
  <c r="GY145" i="12"/>
  <c r="GZ145" i="12"/>
  <c r="HA145" i="12"/>
  <c r="HB145" i="12"/>
  <c r="HC145" i="12"/>
  <c r="HD145" i="12"/>
  <c r="HE145" i="12"/>
  <c r="HF145" i="12"/>
  <c r="HG145" i="12"/>
  <c r="HH145" i="12"/>
  <c r="HI145" i="12"/>
  <c r="HJ145" i="12"/>
  <c r="HK145" i="12"/>
  <c r="HL145" i="12"/>
  <c r="HM145" i="12"/>
  <c r="HN145" i="12"/>
  <c r="HO145" i="12"/>
  <c r="HP145" i="12"/>
  <c r="HQ145" i="12"/>
  <c r="HR145" i="12"/>
  <c r="HS145" i="12"/>
  <c r="HT145" i="12"/>
  <c r="HU145" i="12"/>
  <c r="HV145" i="12"/>
  <c r="HW145" i="12"/>
  <c r="HX145" i="12"/>
  <c r="HY145" i="12"/>
  <c r="HZ145" i="12"/>
  <c r="IA145" i="12"/>
  <c r="IB145" i="12"/>
  <c r="IC145" i="12"/>
  <c r="ID145" i="12"/>
  <c r="IE145" i="12"/>
  <c r="IF145" i="12"/>
  <c r="IG145" i="12"/>
  <c r="IH145" i="12"/>
  <c r="II145" i="12"/>
  <c r="IJ145" i="12"/>
  <c r="IK145" i="12"/>
  <c r="IL145" i="12"/>
  <c r="IM145" i="12"/>
  <c r="IN145" i="12"/>
  <c r="IO145" i="12"/>
  <c r="IP145" i="12"/>
  <c r="IQ145" i="12"/>
  <c r="IR145" i="12"/>
  <c r="IS145" i="12"/>
  <c r="IT145" i="12"/>
  <c r="IU145" i="12"/>
  <c r="IV145" i="12"/>
  <c r="F146" i="12"/>
  <c r="G146" i="12"/>
  <c r="H146" i="12"/>
  <c r="I146" i="12"/>
  <c r="J146" i="12"/>
  <c r="K146" i="12"/>
  <c r="L146" i="12"/>
  <c r="M146" i="12"/>
  <c r="N146" i="12"/>
  <c r="O146" i="12"/>
  <c r="P146" i="12"/>
  <c r="Q146" i="12"/>
  <c r="R146" i="12"/>
  <c r="S146" i="12"/>
  <c r="T146" i="12"/>
  <c r="U146" i="12"/>
  <c r="V146" i="12"/>
  <c r="W146" i="12"/>
  <c r="X146" i="12"/>
  <c r="Y146" i="12"/>
  <c r="Z146" i="12"/>
  <c r="AA146" i="12"/>
  <c r="AB146" i="12"/>
  <c r="AC146" i="12"/>
  <c r="AD146" i="12"/>
  <c r="AE146" i="12"/>
  <c r="AF146" i="12"/>
  <c r="AG146" i="12"/>
  <c r="AH146" i="12"/>
  <c r="AI146" i="12"/>
  <c r="AJ146" i="12"/>
  <c r="AK146" i="12"/>
  <c r="AL146" i="12"/>
  <c r="AM146" i="12"/>
  <c r="AN146" i="12"/>
  <c r="AO146" i="12"/>
  <c r="AP146" i="12"/>
  <c r="AQ146" i="12"/>
  <c r="AR146" i="12"/>
  <c r="AS146" i="12"/>
  <c r="AT146" i="12"/>
  <c r="AU146" i="12"/>
  <c r="AV146" i="12"/>
  <c r="AW146" i="12"/>
  <c r="AX146" i="12"/>
  <c r="AY146" i="12"/>
  <c r="AZ146" i="12"/>
  <c r="BA146" i="12"/>
  <c r="BB146" i="12"/>
  <c r="BC146" i="12"/>
  <c r="BD146" i="12"/>
  <c r="BE146" i="12"/>
  <c r="BF146" i="12"/>
  <c r="BG146" i="12"/>
  <c r="BH146" i="12"/>
  <c r="BI146" i="12"/>
  <c r="BJ146" i="12"/>
  <c r="BK146" i="12"/>
  <c r="BL146" i="12"/>
  <c r="BM146" i="12"/>
  <c r="BN146" i="12"/>
  <c r="BO146" i="12"/>
  <c r="BP146" i="12"/>
  <c r="BQ146" i="12"/>
  <c r="BR146" i="12"/>
  <c r="BS146" i="12"/>
  <c r="BT146" i="12"/>
  <c r="BU146" i="12"/>
  <c r="BV146" i="12"/>
  <c r="BW146" i="12"/>
  <c r="BX146" i="12"/>
  <c r="BY146" i="12"/>
  <c r="BZ146" i="12"/>
  <c r="CA146" i="12"/>
  <c r="CB146" i="12"/>
  <c r="CC146" i="12"/>
  <c r="CD146" i="12"/>
  <c r="CE146" i="12"/>
  <c r="CF146" i="12"/>
  <c r="CG146" i="12"/>
  <c r="CH146" i="12"/>
  <c r="CI146" i="12"/>
  <c r="CJ146" i="12"/>
  <c r="CK146" i="12"/>
  <c r="CL146" i="12"/>
  <c r="CM146" i="12"/>
  <c r="CN146" i="12"/>
  <c r="CO146" i="12"/>
  <c r="CP146" i="12"/>
  <c r="CQ146" i="12"/>
  <c r="CR146" i="12"/>
  <c r="CS146" i="12"/>
  <c r="CT146" i="12"/>
  <c r="CU146" i="12"/>
  <c r="CV146" i="12"/>
  <c r="CW146" i="12"/>
  <c r="CX146" i="12"/>
  <c r="CY146" i="12"/>
  <c r="CZ146" i="12"/>
  <c r="DA146" i="12"/>
  <c r="DB146" i="12"/>
  <c r="DC146" i="12"/>
  <c r="DD146" i="12"/>
  <c r="DE146" i="12"/>
  <c r="DF146" i="12"/>
  <c r="DG146" i="12"/>
  <c r="DH146" i="12"/>
  <c r="DI146" i="12"/>
  <c r="DJ146" i="12"/>
  <c r="DK146" i="12"/>
  <c r="DL146" i="12"/>
  <c r="DM146" i="12"/>
  <c r="DN146" i="12"/>
  <c r="DO146" i="12"/>
  <c r="DP146" i="12"/>
  <c r="DQ146" i="12"/>
  <c r="DR146" i="12"/>
  <c r="DS146" i="12"/>
  <c r="DT146" i="12"/>
  <c r="DU146" i="12"/>
  <c r="DV146" i="12"/>
  <c r="DW146" i="12"/>
  <c r="DX146" i="12"/>
  <c r="DY146" i="12"/>
  <c r="DZ146" i="12"/>
  <c r="EA146" i="12"/>
  <c r="EB146" i="12"/>
  <c r="EC146" i="12"/>
  <c r="ED146" i="12"/>
  <c r="EE146" i="12"/>
  <c r="EF146" i="12"/>
  <c r="EG146" i="12"/>
  <c r="EH146" i="12"/>
  <c r="EI146" i="12"/>
  <c r="EJ146" i="12"/>
  <c r="EK146" i="12"/>
  <c r="EL146" i="12"/>
  <c r="EM146" i="12"/>
  <c r="EN146" i="12"/>
  <c r="EO146" i="12"/>
  <c r="EP146" i="12"/>
  <c r="EQ146" i="12"/>
  <c r="ER146" i="12"/>
  <c r="ES146" i="12"/>
  <c r="ET146" i="12"/>
  <c r="EU146" i="12"/>
  <c r="EV146" i="12"/>
  <c r="EW146" i="12"/>
  <c r="EX146" i="12"/>
  <c r="EY146" i="12"/>
  <c r="EZ146" i="12"/>
  <c r="FA146" i="12"/>
  <c r="FB146" i="12"/>
  <c r="FC146" i="12"/>
  <c r="FD146" i="12"/>
  <c r="FE146" i="12"/>
  <c r="FF146" i="12"/>
  <c r="FG146" i="12"/>
  <c r="FH146" i="12"/>
  <c r="FI146" i="12"/>
  <c r="FJ146" i="12"/>
  <c r="FK146" i="12"/>
  <c r="FL146" i="12"/>
  <c r="FM146" i="12"/>
  <c r="FN146" i="12"/>
  <c r="FO146" i="12"/>
  <c r="FP146" i="12"/>
  <c r="FQ146" i="12"/>
  <c r="FR146" i="12"/>
  <c r="FS146" i="12"/>
  <c r="FT146" i="12"/>
  <c r="FU146" i="12"/>
  <c r="FV146" i="12"/>
  <c r="FW146" i="12"/>
  <c r="FX146" i="12"/>
  <c r="FY146" i="12"/>
  <c r="FZ146" i="12"/>
  <c r="GA146" i="12"/>
  <c r="GB146" i="12"/>
  <c r="GC146" i="12"/>
  <c r="GD146" i="12"/>
  <c r="GE146" i="12"/>
  <c r="GF146" i="12"/>
  <c r="GG146" i="12"/>
  <c r="GH146" i="12"/>
  <c r="GI146" i="12"/>
  <c r="GJ146" i="12"/>
  <c r="GK146" i="12"/>
  <c r="GL146" i="12"/>
  <c r="GM146" i="12"/>
  <c r="GN146" i="12"/>
  <c r="GO146" i="12"/>
  <c r="GP146" i="12"/>
  <c r="GQ146" i="12"/>
  <c r="GR146" i="12"/>
  <c r="GS146" i="12"/>
  <c r="GT146" i="12"/>
  <c r="GU146" i="12"/>
  <c r="GV146" i="12"/>
  <c r="GW146" i="12"/>
  <c r="GX146" i="12"/>
  <c r="GY146" i="12"/>
  <c r="GZ146" i="12"/>
  <c r="HA146" i="12"/>
  <c r="HB146" i="12"/>
  <c r="HC146" i="12"/>
  <c r="HD146" i="12"/>
  <c r="HE146" i="12"/>
  <c r="HF146" i="12"/>
  <c r="HG146" i="12"/>
  <c r="HH146" i="12"/>
  <c r="HI146" i="12"/>
  <c r="HJ146" i="12"/>
  <c r="HK146" i="12"/>
  <c r="HL146" i="12"/>
  <c r="HM146" i="12"/>
  <c r="HN146" i="12"/>
  <c r="HO146" i="12"/>
  <c r="HP146" i="12"/>
  <c r="HQ146" i="12"/>
  <c r="HR146" i="12"/>
  <c r="HS146" i="12"/>
  <c r="HT146" i="12"/>
  <c r="HU146" i="12"/>
  <c r="HV146" i="12"/>
  <c r="HW146" i="12"/>
  <c r="HX146" i="12"/>
  <c r="HY146" i="12"/>
  <c r="HZ146" i="12"/>
  <c r="IA146" i="12"/>
  <c r="IB146" i="12"/>
  <c r="IC146" i="12"/>
  <c r="ID146" i="12"/>
  <c r="IE146" i="12"/>
  <c r="IF146" i="12"/>
  <c r="IG146" i="12"/>
  <c r="IH146" i="12"/>
  <c r="II146" i="12"/>
  <c r="IJ146" i="12"/>
  <c r="IK146" i="12"/>
  <c r="IL146" i="12"/>
  <c r="IM146" i="12"/>
  <c r="IN146" i="12"/>
  <c r="IO146" i="12"/>
  <c r="IP146" i="12"/>
  <c r="IQ146" i="12"/>
  <c r="IR146" i="12"/>
  <c r="IS146" i="12"/>
  <c r="IT146" i="12"/>
  <c r="IU146" i="12"/>
  <c r="IV146" i="12"/>
  <c r="F147" i="12"/>
  <c r="G147" i="12"/>
  <c r="H147" i="12"/>
  <c r="I147" i="12"/>
  <c r="J147" i="12"/>
  <c r="K147" i="12"/>
  <c r="L147" i="12"/>
  <c r="M147" i="12"/>
  <c r="N147" i="12"/>
  <c r="O147" i="12"/>
  <c r="P147" i="12"/>
  <c r="Q147" i="12"/>
  <c r="R147" i="12"/>
  <c r="S147" i="12"/>
  <c r="T147" i="12"/>
  <c r="U147" i="12"/>
  <c r="V147" i="12"/>
  <c r="W147" i="12"/>
  <c r="X147" i="12"/>
  <c r="Y147" i="12"/>
  <c r="Z147" i="12"/>
  <c r="AA147" i="12"/>
  <c r="AB147" i="12"/>
  <c r="AC147" i="12"/>
  <c r="AD147" i="12"/>
  <c r="AE147" i="12"/>
  <c r="AF147" i="12"/>
  <c r="AG147" i="12"/>
  <c r="AH147" i="12"/>
  <c r="AI147" i="12"/>
  <c r="AJ147" i="12"/>
  <c r="AK147" i="12"/>
  <c r="AL147" i="12"/>
  <c r="AM147" i="12"/>
  <c r="AN147" i="12"/>
  <c r="AO147" i="12"/>
  <c r="AP147" i="12"/>
  <c r="AQ147" i="12"/>
  <c r="AR147" i="12"/>
  <c r="AS147" i="12"/>
  <c r="AT147" i="12"/>
  <c r="AU147" i="12"/>
  <c r="AV147" i="12"/>
  <c r="AW147" i="12"/>
  <c r="AX147" i="12"/>
  <c r="AY147" i="12"/>
  <c r="AZ147" i="12"/>
  <c r="BA147" i="12"/>
  <c r="BB147" i="12"/>
  <c r="BC147" i="12"/>
  <c r="BD147" i="12"/>
  <c r="BE147" i="12"/>
  <c r="BF147" i="12"/>
  <c r="BG147" i="12"/>
  <c r="BH147" i="12"/>
  <c r="BI147" i="12"/>
  <c r="BJ147" i="12"/>
  <c r="BK147" i="12"/>
  <c r="BL147" i="12"/>
  <c r="BM147" i="12"/>
  <c r="BN147" i="12"/>
  <c r="BO147" i="12"/>
  <c r="BP147" i="12"/>
  <c r="BQ147" i="12"/>
  <c r="BR147" i="12"/>
  <c r="BS147" i="12"/>
  <c r="BT147" i="12"/>
  <c r="BU147" i="12"/>
  <c r="BV147" i="12"/>
  <c r="BW147" i="12"/>
  <c r="BX147" i="12"/>
  <c r="BY147" i="12"/>
  <c r="BZ147" i="12"/>
  <c r="CA147" i="12"/>
  <c r="CB147" i="12"/>
  <c r="CC147" i="12"/>
  <c r="CD147" i="12"/>
  <c r="CE147" i="12"/>
  <c r="CF147" i="12"/>
  <c r="CG147" i="12"/>
  <c r="CH147" i="12"/>
  <c r="CI147" i="12"/>
  <c r="CJ147" i="12"/>
  <c r="CK147" i="12"/>
  <c r="CL147" i="12"/>
  <c r="CM147" i="12"/>
  <c r="CN147" i="12"/>
  <c r="CO147" i="12"/>
  <c r="CP147" i="12"/>
  <c r="CQ147" i="12"/>
  <c r="CR147" i="12"/>
  <c r="CS147" i="12"/>
  <c r="CT147" i="12"/>
  <c r="CU147" i="12"/>
  <c r="CV147" i="12"/>
  <c r="CW147" i="12"/>
  <c r="CX147" i="12"/>
  <c r="CY147" i="12"/>
  <c r="CZ147" i="12"/>
  <c r="DA147" i="12"/>
  <c r="DB147" i="12"/>
  <c r="DC147" i="12"/>
  <c r="DD147" i="12"/>
  <c r="DE147" i="12"/>
  <c r="DF147" i="12"/>
  <c r="DG147" i="12"/>
  <c r="DH147" i="12"/>
  <c r="DI147" i="12"/>
  <c r="DJ147" i="12"/>
  <c r="DK147" i="12"/>
  <c r="DL147" i="12"/>
  <c r="DM147" i="12"/>
  <c r="DN147" i="12"/>
  <c r="DO147" i="12"/>
  <c r="DP147" i="12"/>
  <c r="DQ147" i="12"/>
  <c r="DR147" i="12"/>
  <c r="DS147" i="12"/>
  <c r="DT147" i="12"/>
  <c r="DU147" i="12"/>
  <c r="DV147" i="12"/>
  <c r="DW147" i="12"/>
  <c r="DX147" i="12"/>
  <c r="DY147" i="12"/>
  <c r="DZ147" i="12"/>
  <c r="EA147" i="12"/>
  <c r="EB147" i="12"/>
  <c r="EC147" i="12"/>
  <c r="ED147" i="12"/>
  <c r="EE147" i="12"/>
  <c r="EF147" i="12"/>
  <c r="EG147" i="12"/>
  <c r="EH147" i="12"/>
  <c r="EI147" i="12"/>
  <c r="EJ147" i="12"/>
  <c r="EK147" i="12"/>
  <c r="EL147" i="12"/>
  <c r="EM147" i="12"/>
  <c r="EN147" i="12"/>
  <c r="EO147" i="12"/>
  <c r="EP147" i="12"/>
  <c r="EQ147" i="12"/>
  <c r="ER147" i="12"/>
  <c r="ES147" i="12"/>
  <c r="ET147" i="12"/>
  <c r="EU147" i="12"/>
  <c r="EV147" i="12"/>
  <c r="EW147" i="12"/>
  <c r="EX147" i="12"/>
  <c r="EY147" i="12"/>
  <c r="EZ147" i="12"/>
  <c r="FA147" i="12"/>
  <c r="FB147" i="12"/>
  <c r="FC147" i="12"/>
  <c r="FD147" i="12"/>
  <c r="FE147" i="12"/>
  <c r="FF147" i="12"/>
  <c r="FG147" i="12"/>
  <c r="FH147" i="12"/>
  <c r="FI147" i="12"/>
  <c r="FJ147" i="12"/>
  <c r="FK147" i="12"/>
  <c r="FL147" i="12"/>
  <c r="FM147" i="12"/>
  <c r="FN147" i="12"/>
  <c r="FO147" i="12"/>
  <c r="FP147" i="12"/>
  <c r="FQ147" i="12"/>
  <c r="FR147" i="12"/>
  <c r="FS147" i="12"/>
  <c r="FT147" i="12"/>
  <c r="FU147" i="12"/>
  <c r="FV147" i="12"/>
  <c r="FW147" i="12"/>
  <c r="FX147" i="12"/>
  <c r="FY147" i="12"/>
  <c r="FZ147" i="12"/>
  <c r="GA147" i="12"/>
  <c r="GB147" i="12"/>
  <c r="GC147" i="12"/>
  <c r="GD147" i="12"/>
  <c r="GE147" i="12"/>
  <c r="GF147" i="12"/>
  <c r="GG147" i="12"/>
  <c r="GH147" i="12"/>
  <c r="GI147" i="12"/>
  <c r="GJ147" i="12"/>
  <c r="GK147" i="12"/>
  <c r="GL147" i="12"/>
  <c r="GM147" i="12"/>
  <c r="GN147" i="12"/>
  <c r="GO147" i="12"/>
  <c r="GP147" i="12"/>
  <c r="GQ147" i="12"/>
  <c r="GR147" i="12"/>
  <c r="GS147" i="12"/>
  <c r="GT147" i="12"/>
  <c r="GU147" i="12"/>
  <c r="GV147" i="12"/>
  <c r="GW147" i="12"/>
  <c r="GX147" i="12"/>
  <c r="GY147" i="12"/>
  <c r="GZ147" i="12"/>
  <c r="HA147" i="12"/>
  <c r="HB147" i="12"/>
  <c r="HC147" i="12"/>
  <c r="HD147" i="12"/>
  <c r="HE147" i="12"/>
  <c r="HF147" i="12"/>
  <c r="HG147" i="12"/>
  <c r="HH147" i="12"/>
  <c r="HI147" i="12"/>
  <c r="HJ147" i="12"/>
  <c r="HK147" i="12"/>
  <c r="HL147" i="12"/>
  <c r="HM147" i="12"/>
  <c r="HN147" i="12"/>
  <c r="HO147" i="12"/>
  <c r="HP147" i="12"/>
  <c r="HQ147" i="12"/>
  <c r="HR147" i="12"/>
  <c r="HS147" i="12"/>
  <c r="HT147" i="12"/>
  <c r="HU147" i="12"/>
  <c r="HV147" i="12"/>
  <c r="HW147" i="12"/>
  <c r="HX147" i="12"/>
  <c r="HY147" i="12"/>
  <c r="HZ147" i="12"/>
  <c r="IA147" i="12"/>
  <c r="IB147" i="12"/>
  <c r="IC147" i="12"/>
  <c r="ID147" i="12"/>
  <c r="IE147" i="12"/>
  <c r="IF147" i="12"/>
  <c r="IG147" i="12"/>
  <c r="IH147" i="12"/>
  <c r="II147" i="12"/>
  <c r="IJ147" i="12"/>
  <c r="IK147" i="12"/>
  <c r="IL147" i="12"/>
  <c r="IM147" i="12"/>
  <c r="IN147" i="12"/>
  <c r="IO147" i="12"/>
  <c r="IP147" i="12"/>
  <c r="IQ147" i="12"/>
  <c r="IR147" i="12"/>
  <c r="IS147" i="12"/>
  <c r="IT147" i="12"/>
  <c r="IU147" i="12"/>
  <c r="IV147" i="12"/>
  <c r="F148" i="12"/>
  <c r="G148" i="12"/>
  <c r="H148" i="12"/>
  <c r="I148" i="12"/>
  <c r="J148" i="12"/>
  <c r="K148" i="12"/>
  <c r="L148" i="12"/>
  <c r="M148" i="12"/>
  <c r="N148" i="12"/>
  <c r="O148" i="12"/>
  <c r="P148" i="12"/>
  <c r="Q148" i="12"/>
  <c r="R148" i="12"/>
  <c r="S148" i="12"/>
  <c r="T148" i="12"/>
  <c r="U148" i="12"/>
  <c r="V148" i="12"/>
  <c r="W148" i="12"/>
  <c r="X148" i="12"/>
  <c r="Y148" i="12"/>
  <c r="Z148" i="12"/>
  <c r="AA148" i="12"/>
  <c r="AB148" i="12"/>
  <c r="AC148" i="12"/>
  <c r="AD148" i="12"/>
  <c r="AE148" i="12"/>
  <c r="AF148" i="12"/>
  <c r="AG148" i="12"/>
  <c r="AH148" i="12"/>
  <c r="AI148" i="12"/>
  <c r="AJ148" i="12"/>
  <c r="AK148" i="12"/>
  <c r="AL148" i="12"/>
  <c r="AM148" i="12"/>
  <c r="AN148" i="12"/>
  <c r="AO148" i="12"/>
  <c r="AP148" i="12"/>
  <c r="AQ148" i="12"/>
  <c r="AR148" i="12"/>
  <c r="AS148" i="12"/>
  <c r="AT148" i="12"/>
  <c r="AU148" i="12"/>
  <c r="AV148" i="12"/>
  <c r="AW148" i="12"/>
  <c r="AX148" i="12"/>
  <c r="AY148" i="12"/>
  <c r="AZ148" i="12"/>
  <c r="BA148" i="12"/>
  <c r="BB148" i="12"/>
  <c r="BC148" i="12"/>
  <c r="BD148" i="12"/>
  <c r="BE148" i="12"/>
  <c r="BF148" i="12"/>
  <c r="BG148" i="12"/>
  <c r="BH148" i="12"/>
  <c r="BI148" i="12"/>
  <c r="BJ148" i="12"/>
  <c r="BK148" i="12"/>
  <c r="BL148" i="12"/>
  <c r="BM148" i="12"/>
  <c r="BN148" i="12"/>
  <c r="BO148" i="12"/>
  <c r="BP148" i="12"/>
  <c r="BQ148" i="12"/>
  <c r="BR148" i="12"/>
  <c r="BS148" i="12"/>
  <c r="BT148" i="12"/>
  <c r="BU148" i="12"/>
  <c r="BV148" i="12"/>
  <c r="BW148" i="12"/>
  <c r="BX148" i="12"/>
  <c r="BY148" i="12"/>
  <c r="BZ148" i="12"/>
  <c r="CA148" i="12"/>
  <c r="CB148" i="12"/>
  <c r="CC148" i="12"/>
  <c r="CD148" i="12"/>
  <c r="CE148" i="12"/>
  <c r="CF148" i="12"/>
  <c r="CG148" i="12"/>
  <c r="CH148" i="12"/>
  <c r="CI148" i="12"/>
  <c r="CJ148" i="12"/>
  <c r="CK148" i="12"/>
  <c r="CL148" i="12"/>
  <c r="CM148" i="12"/>
  <c r="CN148" i="12"/>
  <c r="CO148" i="12"/>
  <c r="CP148" i="12"/>
  <c r="CQ148" i="12"/>
  <c r="CR148" i="12"/>
  <c r="CS148" i="12"/>
  <c r="CT148" i="12"/>
  <c r="CU148" i="12"/>
  <c r="CV148" i="12"/>
  <c r="CW148" i="12"/>
  <c r="CX148" i="12"/>
  <c r="CY148" i="12"/>
  <c r="CZ148" i="12"/>
  <c r="DA148" i="12"/>
  <c r="DB148" i="12"/>
  <c r="DC148" i="12"/>
  <c r="DD148" i="12"/>
  <c r="DE148" i="12"/>
  <c r="DF148" i="12"/>
  <c r="DG148" i="12"/>
  <c r="DH148" i="12"/>
  <c r="DI148" i="12"/>
  <c r="DJ148" i="12"/>
  <c r="DK148" i="12"/>
  <c r="DL148" i="12"/>
  <c r="DM148" i="12"/>
  <c r="DN148" i="12"/>
  <c r="DO148" i="12"/>
  <c r="DP148" i="12"/>
  <c r="DQ148" i="12"/>
  <c r="DR148" i="12"/>
  <c r="DS148" i="12"/>
  <c r="DT148" i="12"/>
  <c r="DU148" i="12"/>
  <c r="DV148" i="12"/>
  <c r="DW148" i="12"/>
  <c r="DX148" i="12"/>
  <c r="DY148" i="12"/>
  <c r="DZ148" i="12"/>
  <c r="EA148" i="12"/>
  <c r="EB148" i="12"/>
  <c r="EC148" i="12"/>
  <c r="ED148" i="12"/>
  <c r="EE148" i="12"/>
  <c r="EF148" i="12"/>
  <c r="EG148" i="12"/>
  <c r="EH148" i="12"/>
  <c r="EI148" i="12"/>
  <c r="EJ148" i="12"/>
  <c r="EK148" i="12"/>
  <c r="EL148" i="12"/>
  <c r="EM148" i="12"/>
  <c r="EN148" i="12"/>
  <c r="EO148" i="12"/>
  <c r="EP148" i="12"/>
  <c r="EQ148" i="12"/>
  <c r="ER148" i="12"/>
  <c r="ES148" i="12"/>
  <c r="ET148" i="12"/>
  <c r="EU148" i="12"/>
  <c r="EV148" i="12"/>
  <c r="EW148" i="12"/>
  <c r="EX148" i="12"/>
  <c r="EY148" i="12"/>
  <c r="EZ148" i="12"/>
  <c r="FA148" i="12"/>
  <c r="FB148" i="12"/>
  <c r="FC148" i="12"/>
  <c r="FD148" i="12"/>
  <c r="FE148" i="12"/>
  <c r="FF148" i="12"/>
  <c r="FG148" i="12"/>
  <c r="FH148" i="12"/>
  <c r="FI148" i="12"/>
  <c r="FJ148" i="12"/>
  <c r="FK148" i="12"/>
  <c r="FL148" i="12"/>
  <c r="FM148" i="12"/>
  <c r="FN148" i="12"/>
  <c r="FO148" i="12"/>
  <c r="FP148" i="12"/>
  <c r="FQ148" i="12"/>
  <c r="FR148" i="12"/>
  <c r="FS148" i="12"/>
  <c r="FT148" i="12"/>
  <c r="FU148" i="12"/>
  <c r="FV148" i="12"/>
  <c r="FW148" i="12"/>
  <c r="FX148" i="12"/>
  <c r="FY148" i="12"/>
  <c r="FZ148" i="12"/>
  <c r="GA148" i="12"/>
  <c r="GB148" i="12"/>
  <c r="GC148" i="12"/>
  <c r="GD148" i="12"/>
  <c r="GE148" i="12"/>
  <c r="GF148" i="12"/>
  <c r="GG148" i="12"/>
  <c r="GH148" i="12"/>
  <c r="GI148" i="12"/>
  <c r="GJ148" i="12"/>
  <c r="GK148" i="12"/>
  <c r="GL148" i="12"/>
  <c r="GM148" i="12"/>
  <c r="GN148" i="12"/>
  <c r="GO148" i="12"/>
  <c r="GP148" i="12"/>
  <c r="GQ148" i="12"/>
  <c r="GR148" i="12"/>
  <c r="GS148" i="12"/>
  <c r="GT148" i="12"/>
  <c r="GU148" i="12"/>
  <c r="GV148" i="12"/>
  <c r="GW148" i="12"/>
  <c r="GX148" i="12"/>
  <c r="GY148" i="12"/>
  <c r="GZ148" i="12"/>
  <c r="HA148" i="12"/>
  <c r="HB148" i="12"/>
  <c r="HC148" i="12"/>
  <c r="HD148" i="12"/>
  <c r="HE148" i="12"/>
  <c r="HF148" i="12"/>
  <c r="HG148" i="12"/>
  <c r="HH148" i="12"/>
  <c r="HI148" i="12"/>
  <c r="HJ148" i="12"/>
  <c r="HK148" i="12"/>
  <c r="HL148" i="12"/>
  <c r="HM148" i="12"/>
  <c r="HN148" i="12"/>
  <c r="HO148" i="12"/>
  <c r="HP148" i="12"/>
  <c r="HQ148" i="12"/>
  <c r="HR148" i="12"/>
  <c r="HS148" i="12"/>
  <c r="HT148" i="12"/>
  <c r="HU148" i="12"/>
  <c r="HV148" i="12"/>
  <c r="HW148" i="12"/>
  <c r="HX148" i="12"/>
  <c r="HY148" i="12"/>
  <c r="HZ148" i="12"/>
  <c r="IA148" i="12"/>
  <c r="IB148" i="12"/>
  <c r="IC148" i="12"/>
  <c r="ID148" i="12"/>
  <c r="IE148" i="12"/>
  <c r="IF148" i="12"/>
  <c r="IG148" i="12"/>
  <c r="IH148" i="12"/>
  <c r="II148" i="12"/>
  <c r="IJ148" i="12"/>
  <c r="IK148" i="12"/>
  <c r="IL148" i="12"/>
  <c r="IM148" i="12"/>
  <c r="IN148" i="12"/>
  <c r="IO148" i="12"/>
  <c r="IP148" i="12"/>
  <c r="IQ148" i="12"/>
  <c r="IR148" i="12"/>
  <c r="IS148" i="12"/>
  <c r="IT148" i="12"/>
  <c r="IU148" i="12"/>
  <c r="IV148" i="12"/>
  <c r="F149" i="12"/>
  <c r="G149" i="12"/>
  <c r="H149" i="12"/>
  <c r="I149" i="12"/>
  <c r="J149" i="12"/>
  <c r="K149" i="12"/>
  <c r="L149" i="12"/>
  <c r="M149" i="12"/>
  <c r="N149" i="12"/>
  <c r="O149" i="12"/>
  <c r="P149" i="12"/>
  <c r="Q149" i="12"/>
  <c r="R149" i="12"/>
  <c r="S149" i="12"/>
  <c r="T149" i="12"/>
  <c r="U149" i="12"/>
  <c r="V149" i="12"/>
  <c r="W149" i="12"/>
  <c r="X149" i="12"/>
  <c r="Y149" i="12"/>
  <c r="Z149" i="12"/>
  <c r="AA149" i="12"/>
  <c r="AB149" i="12"/>
  <c r="AC149" i="12"/>
  <c r="AD149" i="12"/>
  <c r="AE149" i="12"/>
  <c r="AF149" i="12"/>
  <c r="AG149" i="12"/>
  <c r="AH149" i="12"/>
  <c r="AI149" i="12"/>
  <c r="AJ149" i="12"/>
  <c r="AK149" i="12"/>
  <c r="AL149" i="12"/>
  <c r="AM149" i="12"/>
  <c r="AN149" i="12"/>
  <c r="AO149" i="12"/>
  <c r="AP149" i="12"/>
  <c r="AQ149" i="12"/>
  <c r="AR149" i="12"/>
  <c r="AS149" i="12"/>
  <c r="AT149" i="12"/>
  <c r="AU149" i="12"/>
  <c r="AV149" i="12"/>
  <c r="AW149" i="12"/>
  <c r="AX149" i="12"/>
  <c r="AY149" i="12"/>
  <c r="AZ149" i="12"/>
  <c r="BA149" i="12"/>
  <c r="BB149" i="12"/>
  <c r="BC149" i="12"/>
  <c r="BD149" i="12"/>
  <c r="BE149" i="12"/>
  <c r="BF149" i="12"/>
  <c r="BG149" i="12"/>
  <c r="BH149" i="12"/>
  <c r="BI149" i="12"/>
  <c r="BJ149" i="12"/>
  <c r="BK149" i="12"/>
  <c r="BL149" i="12"/>
  <c r="BM149" i="12"/>
  <c r="BN149" i="12"/>
  <c r="BO149" i="12"/>
  <c r="BP149" i="12"/>
  <c r="BQ149" i="12"/>
  <c r="BR149" i="12"/>
  <c r="BS149" i="12"/>
  <c r="BT149" i="12"/>
  <c r="BU149" i="12"/>
  <c r="BV149" i="12"/>
  <c r="BW149" i="12"/>
  <c r="BX149" i="12"/>
  <c r="BY149" i="12"/>
  <c r="BZ149" i="12"/>
  <c r="CA149" i="12"/>
  <c r="CB149" i="12"/>
  <c r="CC149" i="12"/>
  <c r="CD149" i="12"/>
  <c r="CE149" i="12"/>
  <c r="CF149" i="12"/>
  <c r="CG149" i="12"/>
  <c r="CH149" i="12"/>
  <c r="CI149" i="12"/>
  <c r="CJ149" i="12"/>
  <c r="CK149" i="12"/>
  <c r="CL149" i="12"/>
  <c r="CM149" i="12"/>
  <c r="CN149" i="12"/>
  <c r="CO149" i="12"/>
  <c r="CP149" i="12"/>
  <c r="CQ149" i="12"/>
  <c r="CR149" i="12"/>
  <c r="CS149" i="12"/>
  <c r="CT149" i="12"/>
  <c r="CU149" i="12"/>
  <c r="CV149" i="12"/>
  <c r="CW149" i="12"/>
  <c r="CX149" i="12"/>
  <c r="CY149" i="12"/>
  <c r="CZ149" i="12"/>
  <c r="DA149" i="12"/>
  <c r="DB149" i="12"/>
  <c r="DC149" i="12"/>
  <c r="DD149" i="12"/>
  <c r="DE149" i="12"/>
  <c r="DF149" i="12"/>
  <c r="DG149" i="12"/>
  <c r="DH149" i="12"/>
  <c r="DI149" i="12"/>
  <c r="DJ149" i="12"/>
  <c r="DK149" i="12"/>
  <c r="DL149" i="12"/>
  <c r="DM149" i="12"/>
  <c r="DN149" i="12"/>
  <c r="DO149" i="12"/>
  <c r="DP149" i="12"/>
  <c r="DQ149" i="12"/>
  <c r="DR149" i="12"/>
  <c r="DS149" i="12"/>
  <c r="DT149" i="12"/>
  <c r="DU149" i="12"/>
  <c r="DV149" i="12"/>
  <c r="DW149" i="12"/>
  <c r="DX149" i="12"/>
  <c r="DY149" i="12"/>
  <c r="DZ149" i="12"/>
  <c r="EA149" i="12"/>
  <c r="EB149" i="12"/>
  <c r="EC149" i="12"/>
  <c r="ED149" i="12"/>
  <c r="EE149" i="12"/>
  <c r="EF149" i="12"/>
  <c r="EG149" i="12"/>
  <c r="EH149" i="12"/>
  <c r="EI149" i="12"/>
  <c r="EJ149" i="12"/>
  <c r="EK149" i="12"/>
  <c r="EL149" i="12"/>
  <c r="EM149" i="12"/>
  <c r="EN149" i="12"/>
  <c r="EO149" i="12"/>
  <c r="EP149" i="12"/>
  <c r="EQ149" i="12"/>
  <c r="ER149" i="12"/>
  <c r="ES149" i="12"/>
  <c r="ET149" i="12"/>
  <c r="EU149" i="12"/>
  <c r="EV149" i="12"/>
  <c r="EW149" i="12"/>
  <c r="EX149" i="12"/>
  <c r="EY149" i="12"/>
  <c r="EZ149" i="12"/>
  <c r="FA149" i="12"/>
  <c r="FB149" i="12"/>
  <c r="FC149" i="12"/>
  <c r="FD149" i="12"/>
  <c r="FE149" i="12"/>
  <c r="FF149" i="12"/>
  <c r="FG149" i="12"/>
  <c r="FH149" i="12"/>
  <c r="FI149" i="12"/>
  <c r="FJ149" i="12"/>
  <c r="FK149" i="12"/>
  <c r="FL149" i="12"/>
  <c r="FM149" i="12"/>
  <c r="FN149" i="12"/>
  <c r="FO149" i="12"/>
  <c r="FP149" i="12"/>
  <c r="FQ149" i="12"/>
  <c r="FR149" i="12"/>
  <c r="FS149" i="12"/>
  <c r="FT149" i="12"/>
  <c r="FU149" i="12"/>
  <c r="FV149" i="12"/>
  <c r="FW149" i="12"/>
  <c r="FX149" i="12"/>
  <c r="FY149" i="12"/>
  <c r="FZ149" i="12"/>
  <c r="GA149" i="12"/>
  <c r="GB149" i="12"/>
  <c r="GC149" i="12"/>
  <c r="GD149" i="12"/>
  <c r="GE149" i="12"/>
  <c r="GF149" i="12"/>
  <c r="GG149" i="12"/>
  <c r="GH149" i="12"/>
  <c r="GI149" i="12"/>
  <c r="GJ149" i="12"/>
  <c r="GK149" i="12"/>
  <c r="GL149" i="12"/>
  <c r="GM149" i="12"/>
  <c r="GN149" i="12"/>
  <c r="GO149" i="12"/>
  <c r="GP149" i="12"/>
  <c r="GQ149" i="12"/>
  <c r="GR149" i="12"/>
  <c r="GS149" i="12"/>
  <c r="GT149" i="12"/>
  <c r="GU149" i="12"/>
  <c r="GV149" i="12"/>
  <c r="GW149" i="12"/>
  <c r="GX149" i="12"/>
  <c r="GY149" i="12"/>
  <c r="GZ149" i="12"/>
  <c r="HA149" i="12"/>
  <c r="HB149" i="12"/>
  <c r="HC149" i="12"/>
  <c r="HD149" i="12"/>
  <c r="HE149" i="12"/>
  <c r="HF149" i="12"/>
  <c r="HG149" i="12"/>
  <c r="HH149" i="12"/>
  <c r="HI149" i="12"/>
  <c r="HJ149" i="12"/>
  <c r="HK149" i="12"/>
  <c r="HL149" i="12"/>
  <c r="HM149" i="12"/>
  <c r="HN149" i="12"/>
  <c r="HO149" i="12"/>
  <c r="HP149" i="12"/>
  <c r="HQ149" i="12"/>
  <c r="HR149" i="12"/>
  <c r="HS149" i="12"/>
  <c r="HT149" i="12"/>
  <c r="HU149" i="12"/>
  <c r="HV149" i="12"/>
  <c r="HW149" i="12"/>
  <c r="HX149" i="12"/>
  <c r="HY149" i="12"/>
  <c r="HZ149" i="12"/>
  <c r="IA149" i="12"/>
  <c r="IB149" i="12"/>
  <c r="IC149" i="12"/>
  <c r="ID149" i="12"/>
  <c r="IE149" i="12"/>
  <c r="IF149" i="12"/>
  <c r="IG149" i="12"/>
  <c r="IH149" i="12"/>
  <c r="II149" i="12"/>
  <c r="IJ149" i="12"/>
  <c r="IK149" i="12"/>
  <c r="IL149" i="12"/>
  <c r="IM149" i="12"/>
  <c r="IN149" i="12"/>
  <c r="IO149" i="12"/>
  <c r="IP149" i="12"/>
  <c r="IQ149" i="12"/>
  <c r="IR149" i="12"/>
  <c r="IS149" i="12"/>
  <c r="IT149" i="12"/>
  <c r="IU149" i="12"/>
  <c r="IV149" i="12"/>
  <c r="F150" i="12"/>
  <c r="G150" i="12"/>
  <c r="H150" i="12"/>
  <c r="I150" i="12"/>
  <c r="J150" i="12"/>
  <c r="K150" i="12"/>
  <c r="L150" i="12"/>
  <c r="M150" i="12"/>
  <c r="N150" i="12"/>
  <c r="O150" i="12"/>
  <c r="P150" i="12"/>
  <c r="Q150" i="12"/>
  <c r="R150" i="12"/>
  <c r="S150" i="12"/>
  <c r="T150" i="12"/>
  <c r="U150" i="12"/>
  <c r="V150" i="12"/>
  <c r="W150" i="12"/>
  <c r="X150" i="12"/>
  <c r="Y150" i="12"/>
  <c r="Z150" i="12"/>
  <c r="AA150" i="12"/>
  <c r="AB150" i="12"/>
  <c r="AC150" i="12"/>
  <c r="AD150" i="12"/>
  <c r="AE150" i="12"/>
  <c r="AF150" i="12"/>
  <c r="AG150" i="12"/>
  <c r="AH150" i="12"/>
  <c r="AI150" i="12"/>
  <c r="AJ150" i="12"/>
  <c r="AK150" i="12"/>
  <c r="AL150" i="12"/>
  <c r="AM150" i="12"/>
  <c r="AN150" i="12"/>
  <c r="AO150" i="12"/>
  <c r="AP150" i="12"/>
  <c r="AQ150" i="12"/>
  <c r="AR150" i="12"/>
  <c r="AS150" i="12"/>
  <c r="AT150" i="12"/>
  <c r="AU150" i="12"/>
  <c r="AV150" i="12"/>
  <c r="AW150" i="12"/>
  <c r="AX150" i="12"/>
  <c r="AY150" i="12"/>
  <c r="AZ150" i="12"/>
  <c r="BA150" i="12"/>
  <c r="BB150" i="12"/>
  <c r="BC150" i="12"/>
  <c r="BD150" i="12"/>
  <c r="BE150" i="12"/>
  <c r="BF150" i="12"/>
  <c r="BG150" i="12"/>
  <c r="BH150" i="12"/>
  <c r="BI150" i="12"/>
  <c r="BJ150" i="12"/>
  <c r="BK150" i="12"/>
  <c r="BL150" i="12"/>
  <c r="BM150" i="12"/>
  <c r="BN150" i="12"/>
  <c r="BO150" i="12"/>
  <c r="BP150" i="12"/>
  <c r="BQ150" i="12"/>
  <c r="BR150" i="12"/>
  <c r="BS150" i="12"/>
  <c r="BT150" i="12"/>
  <c r="BU150" i="12"/>
  <c r="BV150" i="12"/>
  <c r="BW150" i="12"/>
  <c r="BX150" i="12"/>
  <c r="BY150" i="12"/>
  <c r="BZ150" i="12"/>
  <c r="CA150" i="12"/>
  <c r="CB150" i="12"/>
  <c r="CC150" i="12"/>
  <c r="CD150" i="12"/>
  <c r="CE150" i="12"/>
  <c r="CF150" i="12"/>
  <c r="CG150" i="12"/>
  <c r="CH150" i="12"/>
  <c r="CI150" i="12"/>
  <c r="CJ150" i="12"/>
  <c r="CK150" i="12"/>
  <c r="CL150" i="12"/>
  <c r="CM150" i="12"/>
  <c r="CN150" i="12"/>
  <c r="CO150" i="12"/>
  <c r="CP150" i="12"/>
  <c r="CQ150" i="12"/>
  <c r="CR150" i="12"/>
  <c r="CS150" i="12"/>
  <c r="CT150" i="12"/>
  <c r="CU150" i="12"/>
  <c r="CV150" i="12"/>
  <c r="CW150" i="12"/>
  <c r="CX150" i="12"/>
  <c r="CY150" i="12"/>
  <c r="CZ150" i="12"/>
  <c r="DA150" i="12"/>
  <c r="DB150" i="12"/>
  <c r="DC150" i="12"/>
  <c r="DD150" i="12"/>
  <c r="DE150" i="12"/>
  <c r="DF150" i="12"/>
  <c r="DG150" i="12"/>
  <c r="DH150" i="12"/>
  <c r="DI150" i="12"/>
  <c r="DJ150" i="12"/>
  <c r="DK150" i="12"/>
  <c r="DL150" i="12"/>
  <c r="DM150" i="12"/>
  <c r="DN150" i="12"/>
  <c r="DO150" i="12"/>
  <c r="DP150" i="12"/>
  <c r="DQ150" i="12"/>
  <c r="DR150" i="12"/>
  <c r="DS150" i="12"/>
  <c r="DT150" i="12"/>
  <c r="DU150" i="12"/>
  <c r="DV150" i="12"/>
  <c r="DW150" i="12"/>
  <c r="DX150" i="12"/>
  <c r="DY150" i="12"/>
  <c r="DZ150" i="12"/>
  <c r="EA150" i="12"/>
  <c r="EB150" i="12"/>
  <c r="EC150" i="12"/>
  <c r="ED150" i="12"/>
  <c r="EE150" i="12"/>
  <c r="EF150" i="12"/>
  <c r="EG150" i="12"/>
  <c r="EH150" i="12"/>
  <c r="EI150" i="12"/>
  <c r="EJ150" i="12"/>
  <c r="EK150" i="12"/>
  <c r="EL150" i="12"/>
  <c r="EM150" i="12"/>
  <c r="EN150" i="12"/>
  <c r="EO150" i="12"/>
  <c r="EP150" i="12"/>
  <c r="EQ150" i="12"/>
  <c r="ER150" i="12"/>
  <c r="ES150" i="12"/>
  <c r="ET150" i="12"/>
  <c r="EU150" i="12"/>
  <c r="EV150" i="12"/>
  <c r="EW150" i="12"/>
  <c r="EX150" i="12"/>
  <c r="EY150" i="12"/>
  <c r="EZ150" i="12"/>
  <c r="FA150" i="12"/>
  <c r="FB150" i="12"/>
  <c r="FC150" i="12"/>
  <c r="FD150" i="12"/>
  <c r="FE150" i="12"/>
  <c r="FF150" i="12"/>
  <c r="FG150" i="12"/>
  <c r="FH150" i="12"/>
  <c r="FI150" i="12"/>
  <c r="FJ150" i="12"/>
  <c r="FK150" i="12"/>
  <c r="FL150" i="12"/>
  <c r="FM150" i="12"/>
  <c r="FN150" i="12"/>
  <c r="FO150" i="12"/>
  <c r="FP150" i="12"/>
  <c r="FQ150" i="12"/>
  <c r="FR150" i="12"/>
  <c r="FS150" i="12"/>
  <c r="FT150" i="12"/>
  <c r="FU150" i="12"/>
  <c r="FV150" i="12"/>
  <c r="FW150" i="12"/>
  <c r="FX150" i="12"/>
  <c r="FY150" i="12"/>
  <c r="FZ150" i="12"/>
  <c r="GA150" i="12"/>
  <c r="GB150" i="12"/>
  <c r="GC150" i="12"/>
  <c r="GD150" i="12"/>
  <c r="GE150" i="12"/>
  <c r="GF150" i="12"/>
  <c r="GG150" i="12"/>
  <c r="GH150" i="12"/>
  <c r="GI150" i="12"/>
  <c r="GJ150" i="12"/>
  <c r="GK150" i="12"/>
  <c r="GL150" i="12"/>
  <c r="GM150" i="12"/>
  <c r="GN150" i="12"/>
  <c r="GO150" i="12"/>
  <c r="GP150" i="12"/>
  <c r="GQ150" i="12"/>
  <c r="GR150" i="12"/>
  <c r="GS150" i="12"/>
  <c r="GT150" i="12"/>
  <c r="GU150" i="12"/>
  <c r="GV150" i="12"/>
  <c r="GW150" i="12"/>
  <c r="GX150" i="12"/>
  <c r="GY150" i="12"/>
  <c r="GZ150" i="12"/>
  <c r="HA150" i="12"/>
  <c r="HB150" i="12"/>
  <c r="HC150" i="12"/>
  <c r="HD150" i="12"/>
  <c r="HE150" i="12"/>
  <c r="HF150" i="12"/>
  <c r="HG150" i="12"/>
  <c r="HH150" i="12"/>
  <c r="HI150" i="12"/>
  <c r="HJ150" i="12"/>
  <c r="HK150" i="12"/>
  <c r="HL150" i="12"/>
  <c r="HM150" i="12"/>
  <c r="HN150" i="12"/>
  <c r="HO150" i="12"/>
  <c r="HP150" i="12"/>
  <c r="HQ150" i="12"/>
  <c r="HR150" i="12"/>
  <c r="HS150" i="12"/>
  <c r="HT150" i="12"/>
  <c r="HU150" i="12"/>
  <c r="HV150" i="12"/>
  <c r="HW150" i="12"/>
  <c r="HX150" i="12"/>
  <c r="HY150" i="12"/>
  <c r="HZ150" i="12"/>
  <c r="IA150" i="12"/>
  <c r="IB150" i="12"/>
  <c r="IC150" i="12"/>
  <c r="ID150" i="12"/>
  <c r="IE150" i="12"/>
  <c r="IF150" i="12"/>
  <c r="IG150" i="12"/>
  <c r="IH150" i="12"/>
  <c r="II150" i="12"/>
  <c r="IJ150" i="12"/>
  <c r="IK150" i="12"/>
  <c r="IL150" i="12"/>
  <c r="IM150" i="12"/>
  <c r="IN150" i="12"/>
  <c r="IO150" i="12"/>
  <c r="IP150" i="12"/>
  <c r="IQ150" i="12"/>
  <c r="IR150" i="12"/>
  <c r="IS150" i="12"/>
  <c r="IT150" i="12"/>
  <c r="IU150" i="12"/>
  <c r="IV150" i="12"/>
  <c r="F151" i="12"/>
  <c r="G151" i="12"/>
  <c r="H151" i="12"/>
  <c r="I151" i="12"/>
  <c r="J151" i="12"/>
  <c r="K151" i="12"/>
  <c r="L151" i="12"/>
  <c r="M151" i="12"/>
  <c r="N151" i="12"/>
  <c r="O151" i="12"/>
  <c r="P151" i="12"/>
  <c r="Q151" i="12"/>
  <c r="R151" i="12"/>
  <c r="S151" i="12"/>
  <c r="T151" i="12"/>
  <c r="U151" i="12"/>
  <c r="V151" i="12"/>
  <c r="W151" i="12"/>
  <c r="X151" i="12"/>
  <c r="Y151" i="12"/>
  <c r="Z151" i="12"/>
  <c r="AA151" i="12"/>
  <c r="AB151" i="12"/>
  <c r="AC151" i="12"/>
  <c r="AD151" i="12"/>
  <c r="AE151" i="12"/>
  <c r="AF151" i="12"/>
  <c r="AG151" i="12"/>
  <c r="AH151" i="12"/>
  <c r="AI151" i="12"/>
  <c r="AJ151" i="12"/>
  <c r="AK151" i="12"/>
  <c r="AL151" i="12"/>
  <c r="AM151" i="12"/>
  <c r="AN151" i="12"/>
  <c r="AO151" i="12"/>
  <c r="AP151" i="12"/>
  <c r="AQ151" i="12"/>
  <c r="AR151" i="12"/>
  <c r="AS151" i="12"/>
  <c r="AT151" i="12"/>
  <c r="AU151" i="12"/>
  <c r="AV151" i="12"/>
  <c r="AW151" i="12"/>
  <c r="AX151" i="12"/>
  <c r="AY151" i="12"/>
  <c r="AZ151" i="12"/>
  <c r="BA151" i="12"/>
  <c r="BB151" i="12"/>
  <c r="BC151" i="12"/>
  <c r="BD151" i="12"/>
  <c r="BE151" i="12"/>
  <c r="BF151" i="12"/>
  <c r="BG151" i="12"/>
  <c r="BH151" i="12"/>
  <c r="BI151" i="12"/>
  <c r="BJ151" i="12"/>
  <c r="BK151" i="12"/>
  <c r="BL151" i="12"/>
  <c r="BM151" i="12"/>
  <c r="BN151" i="12"/>
  <c r="BO151" i="12"/>
  <c r="BP151" i="12"/>
  <c r="BQ151" i="12"/>
  <c r="BR151" i="12"/>
  <c r="BS151" i="12"/>
  <c r="BT151" i="12"/>
  <c r="BU151" i="12"/>
  <c r="BV151" i="12"/>
  <c r="BW151" i="12"/>
  <c r="BX151" i="12"/>
  <c r="BY151" i="12"/>
  <c r="BZ151" i="12"/>
  <c r="CA151" i="12"/>
  <c r="CB151" i="12"/>
  <c r="CC151" i="12"/>
  <c r="CD151" i="12"/>
  <c r="CE151" i="12"/>
  <c r="CF151" i="12"/>
  <c r="CG151" i="12"/>
  <c r="CH151" i="12"/>
  <c r="CI151" i="12"/>
  <c r="CJ151" i="12"/>
  <c r="CK151" i="12"/>
  <c r="CL151" i="12"/>
  <c r="CM151" i="12"/>
  <c r="CN151" i="12"/>
  <c r="CO151" i="12"/>
  <c r="CP151" i="12"/>
  <c r="CQ151" i="12"/>
  <c r="CR151" i="12"/>
  <c r="CS151" i="12"/>
  <c r="CT151" i="12"/>
  <c r="CU151" i="12"/>
  <c r="CV151" i="12"/>
  <c r="CW151" i="12"/>
  <c r="CX151" i="12"/>
  <c r="CY151" i="12"/>
  <c r="CZ151" i="12"/>
  <c r="DA151" i="12"/>
  <c r="DB151" i="12"/>
  <c r="DC151" i="12"/>
  <c r="DD151" i="12"/>
  <c r="DE151" i="12"/>
  <c r="DF151" i="12"/>
  <c r="DG151" i="12"/>
  <c r="DH151" i="12"/>
  <c r="DI151" i="12"/>
  <c r="DJ151" i="12"/>
  <c r="DK151" i="12"/>
  <c r="DL151" i="12"/>
  <c r="DM151" i="12"/>
  <c r="DN151" i="12"/>
  <c r="DO151" i="12"/>
  <c r="DP151" i="12"/>
  <c r="DQ151" i="12"/>
  <c r="DR151" i="12"/>
  <c r="DS151" i="12"/>
  <c r="DT151" i="12"/>
  <c r="DU151" i="12"/>
  <c r="DV151" i="12"/>
  <c r="DW151" i="12"/>
  <c r="DX151" i="12"/>
  <c r="DY151" i="12"/>
  <c r="DZ151" i="12"/>
  <c r="EA151" i="12"/>
  <c r="EB151" i="12"/>
  <c r="EC151" i="12"/>
  <c r="ED151" i="12"/>
  <c r="EE151" i="12"/>
  <c r="EF151" i="12"/>
  <c r="EG151" i="12"/>
  <c r="EH151" i="12"/>
  <c r="EI151" i="12"/>
  <c r="EJ151" i="12"/>
  <c r="EK151" i="12"/>
  <c r="EL151" i="12"/>
  <c r="EM151" i="12"/>
  <c r="EN151" i="12"/>
  <c r="EO151" i="12"/>
  <c r="EP151" i="12"/>
  <c r="EQ151" i="12"/>
  <c r="ER151" i="12"/>
  <c r="ES151" i="12"/>
  <c r="ET151" i="12"/>
  <c r="EU151" i="12"/>
  <c r="EV151" i="12"/>
  <c r="EW151" i="12"/>
  <c r="EX151" i="12"/>
  <c r="EY151" i="12"/>
  <c r="EZ151" i="12"/>
  <c r="FA151" i="12"/>
  <c r="FB151" i="12"/>
  <c r="FC151" i="12"/>
  <c r="FD151" i="12"/>
  <c r="FE151" i="12"/>
  <c r="FF151" i="12"/>
  <c r="FG151" i="12"/>
  <c r="FH151" i="12"/>
  <c r="FI151" i="12"/>
  <c r="FJ151" i="12"/>
  <c r="FK151" i="12"/>
  <c r="FL151" i="12"/>
  <c r="FM151" i="12"/>
  <c r="FN151" i="12"/>
  <c r="FO151" i="12"/>
  <c r="FP151" i="12"/>
  <c r="FQ151" i="12"/>
  <c r="FR151" i="12"/>
  <c r="FS151" i="12"/>
  <c r="FT151" i="12"/>
  <c r="FU151" i="12"/>
  <c r="FV151" i="12"/>
  <c r="FW151" i="12"/>
  <c r="FX151" i="12"/>
  <c r="FY151" i="12"/>
  <c r="FZ151" i="12"/>
  <c r="GA151" i="12"/>
  <c r="GB151" i="12"/>
  <c r="GC151" i="12"/>
  <c r="GD151" i="12"/>
  <c r="GE151" i="12"/>
  <c r="GF151" i="12"/>
  <c r="GG151" i="12"/>
  <c r="GH151" i="12"/>
  <c r="GI151" i="12"/>
  <c r="GJ151" i="12"/>
  <c r="GK151" i="12"/>
  <c r="GL151" i="12"/>
  <c r="GM151" i="12"/>
  <c r="GN151" i="12"/>
  <c r="GO151" i="12"/>
  <c r="GP151" i="12"/>
  <c r="GQ151" i="12"/>
  <c r="GR151" i="12"/>
  <c r="GS151" i="12"/>
  <c r="GT151" i="12"/>
  <c r="GU151" i="12"/>
  <c r="GV151" i="12"/>
  <c r="GW151" i="12"/>
  <c r="GX151" i="12"/>
  <c r="GY151" i="12"/>
  <c r="GZ151" i="12"/>
  <c r="HA151" i="12"/>
  <c r="HB151" i="12"/>
  <c r="HC151" i="12"/>
  <c r="HD151" i="12"/>
  <c r="HE151" i="12"/>
  <c r="HF151" i="12"/>
  <c r="HG151" i="12"/>
  <c r="HH151" i="12"/>
  <c r="HI151" i="12"/>
  <c r="HJ151" i="12"/>
  <c r="HK151" i="12"/>
  <c r="HL151" i="12"/>
  <c r="HM151" i="12"/>
  <c r="HN151" i="12"/>
  <c r="HO151" i="12"/>
  <c r="HP151" i="12"/>
  <c r="HQ151" i="12"/>
  <c r="HR151" i="12"/>
  <c r="HS151" i="12"/>
  <c r="HT151" i="12"/>
  <c r="HU151" i="12"/>
  <c r="HV151" i="12"/>
  <c r="HW151" i="12"/>
  <c r="HX151" i="12"/>
  <c r="HY151" i="12"/>
  <c r="HZ151" i="12"/>
  <c r="IA151" i="12"/>
  <c r="IB151" i="12"/>
  <c r="IC151" i="12"/>
  <c r="ID151" i="12"/>
  <c r="IE151" i="12"/>
  <c r="IF151" i="12"/>
  <c r="IG151" i="12"/>
  <c r="IH151" i="12"/>
  <c r="II151" i="12"/>
  <c r="IJ151" i="12"/>
  <c r="IK151" i="12"/>
  <c r="IL151" i="12"/>
  <c r="IM151" i="12"/>
  <c r="IN151" i="12"/>
  <c r="IO151" i="12"/>
  <c r="IP151" i="12"/>
  <c r="IQ151" i="12"/>
  <c r="IR151" i="12"/>
  <c r="IS151" i="12"/>
  <c r="IT151" i="12"/>
  <c r="IU151" i="12"/>
  <c r="IV151" i="12"/>
  <c r="F152" i="12"/>
  <c r="G152" i="12"/>
  <c r="H152" i="12"/>
  <c r="I152" i="12"/>
  <c r="J152" i="12"/>
  <c r="K152" i="12"/>
  <c r="L152" i="12"/>
  <c r="M152" i="12"/>
  <c r="N152" i="12"/>
  <c r="O152" i="12"/>
  <c r="P152" i="12"/>
  <c r="Q152" i="12"/>
  <c r="R152" i="12"/>
  <c r="S152" i="12"/>
  <c r="T152" i="12"/>
  <c r="U152" i="12"/>
  <c r="V152" i="12"/>
  <c r="W152" i="12"/>
  <c r="X152" i="12"/>
  <c r="Y152" i="12"/>
  <c r="Z152" i="12"/>
  <c r="AA152" i="12"/>
  <c r="AB152" i="12"/>
  <c r="AC152" i="12"/>
  <c r="AD152" i="12"/>
  <c r="AE152" i="12"/>
  <c r="AF152" i="12"/>
  <c r="AG152" i="12"/>
  <c r="AH152" i="12"/>
  <c r="AI152" i="12"/>
  <c r="AJ152" i="12"/>
  <c r="AK152" i="12"/>
  <c r="AL152" i="12"/>
  <c r="AM152" i="12"/>
  <c r="AN152" i="12"/>
  <c r="AO152" i="12"/>
  <c r="AP152" i="12"/>
  <c r="AQ152" i="12"/>
  <c r="AR152" i="12"/>
  <c r="AS152" i="12"/>
  <c r="AT152" i="12"/>
  <c r="AU152" i="12"/>
  <c r="AV152" i="12"/>
  <c r="AW152" i="12"/>
  <c r="AX152" i="12"/>
  <c r="AY152" i="12"/>
  <c r="AZ152" i="12"/>
  <c r="BA152" i="12"/>
  <c r="BB152" i="12"/>
  <c r="BC152" i="12"/>
  <c r="BD152" i="12"/>
  <c r="BE152" i="12"/>
  <c r="BF152" i="12"/>
  <c r="BG152" i="12"/>
  <c r="BH152" i="12"/>
  <c r="BI152" i="12"/>
  <c r="BJ152" i="12"/>
  <c r="BK152" i="12"/>
  <c r="BL152" i="12"/>
  <c r="BM152" i="12"/>
  <c r="BN152" i="12"/>
  <c r="BO152" i="12"/>
  <c r="BP152" i="12"/>
  <c r="BQ152" i="12"/>
  <c r="BR152" i="12"/>
  <c r="BS152" i="12"/>
  <c r="BT152" i="12"/>
  <c r="BU152" i="12"/>
  <c r="BV152" i="12"/>
  <c r="BW152" i="12"/>
  <c r="BX152" i="12"/>
  <c r="BY152" i="12"/>
  <c r="BZ152" i="12"/>
  <c r="CA152" i="12"/>
  <c r="CB152" i="12"/>
  <c r="CC152" i="12"/>
  <c r="CD152" i="12"/>
  <c r="CE152" i="12"/>
  <c r="CF152" i="12"/>
  <c r="CG152" i="12"/>
  <c r="CH152" i="12"/>
  <c r="CI152" i="12"/>
  <c r="CJ152" i="12"/>
  <c r="CK152" i="12"/>
  <c r="CL152" i="12"/>
  <c r="CM152" i="12"/>
  <c r="CN152" i="12"/>
  <c r="CO152" i="12"/>
  <c r="CP152" i="12"/>
  <c r="CQ152" i="12"/>
  <c r="CR152" i="12"/>
  <c r="CS152" i="12"/>
  <c r="CT152" i="12"/>
  <c r="CU152" i="12"/>
  <c r="CV152" i="12"/>
  <c r="CW152" i="12"/>
  <c r="CX152" i="12"/>
  <c r="CY152" i="12"/>
  <c r="CZ152" i="12"/>
  <c r="DA152" i="12"/>
  <c r="DB152" i="12"/>
  <c r="DC152" i="12"/>
  <c r="DD152" i="12"/>
  <c r="DE152" i="12"/>
  <c r="DF152" i="12"/>
  <c r="DG152" i="12"/>
  <c r="DH152" i="12"/>
  <c r="DI152" i="12"/>
  <c r="DJ152" i="12"/>
  <c r="DK152" i="12"/>
  <c r="DL152" i="12"/>
  <c r="DM152" i="12"/>
  <c r="DN152" i="12"/>
  <c r="DO152" i="12"/>
  <c r="DP152" i="12"/>
  <c r="DQ152" i="12"/>
  <c r="DR152" i="12"/>
  <c r="DS152" i="12"/>
  <c r="DT152" i="12"/>
  <c r="DU152" i="12"/>
  <c r="DV152" i="12"/>
  <c r="DW152" i="12"/>
  <c r="DX152" i="12"/>
  <c r="DY152" i="12"/>
  <c r="DZ152" i="12"/>
  <c r="EA152" i="12"/>
  <c r="EB152" i="12"/>
  <c r="EC152" i="12"/>
  <c r="ED152" i="12"/>
  <c r="EE152" i="12"/>
  <c r="EF152" i="12"/>
  <c r="EG152" i="12"/>
  <c r="EH152" i="12"/>
  <c r="EI152" i="12"/>
  <c r="EJ152" i="12"/>
  <c r="EK152" i="12"/>
  <c r="EL152" i="12"/>
  <c r="EM152" i="12"/>
  <c r="EN152" i="12"/>
  <c r="EO152" i="12"/>
  <c r="EP152" i="12"/>
  <c r="EQ152" i="12"/>
  <c r="ER152" i="12"/>
  <c r="ES152" i="12"/>
  <c r="ET152" i="12"/>
  <c r="EU152" i="12"/>
  <c r="EV152" i="12"/>
  <c r="EW152" i="12"/>
  <c r="EX152" i="12"/>
  <c r="EY152" i="12"/>
  <c r="EZ152" i="12"/>
  <c r="FA152" i="12"/>
  <c r="FB152" i="12"/>
  <c r="FC152" i="12"/>
  <c r="FD152" i="12"/>
  <c r="FE152" i="12"/>
  <c r="FF152" i="12"/>
  <c r="FG152" i="12"/>
  <c r="FH152" i="12"/>
  <c r="FI152" i="12"/>
  <c r="FJ152" i="12"/>
  <c r="FK152" i="12"/>
  <c r="FL152" i="12"/>
  <c r="FM152" i="12"/>
  <c r="FN152" i="12"/>
  <c r="FO152" i="12"/>
  <c r="FP152" i="12"/>
  <c r="FQ152" i="12"/>
  <c r="FR152" i="12"/>
  <c r="FS152" i="12"/>
  <c r="FT152" i="12"/>
  <c r="FU152" i="12"/>
  <c r="FV152" i="12"/>
  <c r="FW152" i="12"/>
  <c r="FX152" i="12"/>
  <c r="FY152" i="12"/>
  <c r="FZ152" i="12"/>
  <c r="GA152" i="12"/>
  <c r="GB152" i="12"/>
  <c r="GC152" i="12"/>
  <c r="GD152" i="12"/>
  <c r="GE152" i="12"/>
  <c r="GF152" i="12"/>
  <c r="GG152" i="12"/>
  <c r="GH152" i="12"/>
  <c r="GI152" i="12"/>
  <c r="GJ152" i="12"/>
  <c r="GK152" i="12"/>
  <c r="GL152" i="12"/>
  <c r="GM152" i="12"/>
  <c r="GN152" i="12"/>
  <c r="GO152" i="12"/>
  <c r="GP152" i="12"/>
  <c r="GQ152" i="12"/>
  <c r="GR152" i="12"/>
  <c r="GS152" i="12"/>
  <c r="GT152" i="12"/>
  <c r="GU152" i="12"/>
  <c r="GV152" i="12"/>
  <c r="GW152" i="12"/>
  <c r="GX152" i="12"/>
  <c r="GY152" i="12"/>
  <c r="GZ152" i="12"/>
  <c r="HA152" i="12"/>
  <c r="HB152" i="12"/>
  <c r="HC152" i="12"/>
  <c r="HD152" i="12"/>
  <c r="HE152" i="12"/>
  <c r="HF152" i="12"/>
  <c r="HG152" i="12"/>
  <c r="HH152" i="12"/>
  <c r="HI152" i="12"/>
  <c r="HJ152" i="12"/>
  <c r="HK152" i="12"/>
  <c r="HL152" i="12"/>
  <c r="HM152" i="12"/>
  <c r="HN152" i="12"/>
  <c r="HO152" i="12"/>
  <c r="HP152" i="12"/>
  <c r="HQ152" i="12"/>
  <c r="HR152" i="12"/>
  <c r="HS152" i="12"/>
  <c r="HT152" i="12"/>
  <c r="HU152" i="12"/>
  <c r="HV152" i="12"/>
  <c r="HW152" i="12"/>
  <c r="HX152" i="12"/>
  <c r="HY152" i="12"/>
  <c r="HZ152" i="12"/>
  <c r="IA152" i="12"/>
  <c r="IB152" i="12"/>
  <c r="IC152" i="12"/>
  <c r="ID152" i="12"/>
  <c r="IE152" i="12"/>
  <c r="IF152" i="12"/>
  <c r="IG152" i="12"/>
  <c r="IH152" i="12"/>
  <c r="II152" i="12"/>
  <c r="IJ152" i="12"/>
  <c r="IK152" i="12"/>
  <c r="IL152" i="12"/>
  <c r="IM152" i="12"/>
  <c r="IN152" i="12"/>
  <c r="IO152" i="12"/>
  <c r="IP152" i="12"/>
  <c r="IQ152" i="12"/>
  <c r="IR152" i="12"/>
  <c r="IS152" i="12"/>
  <c r="IT152" i="12"/>
  <c r="IU152" i="12"/>
  <c r="IV152" i="12"/>
  <c r="F153" i="12"/>
  <c r="G153" i="12"/>
  <c r="H153" i="12"/>
  <c r="I153" i="12"/>
  <c r="J153" i="12"/>
  <c r="K153" i="12"/>
  <c r="L153" i="12"/>
  <c r="M153" i="12"/>
  <c r="N153" i="12"/>
  <c r="O153" i="12"/>
  <c r="P153" i="12"/>
  <c r="Q153" i="12"/>
  <c r="R153" i="12"/>
  <c r="S153" i="12"/>
  <c r="T153" i="12"/>
  <c r="U153" i="12"/>
  <c r="V153" i="12"/>
  <c r="W153" i="12"/>
  <c r="X153" i="12"/>
  <c r="Y153" i="12"/>
  <c r="Z153" i="12"/>
  <c r="AA153" i="12"/>
  <c r="AB153" i="12"/>
  <c r="AC153" i="12"/>
  <c r="AD153" i="12"/>
  <c r="AE153" i="12"/>
  <c r="AF153" i="12"/>
  <c r="AG153" i="12"/>
  <c r="AH153" i="12"/>
  <c r="AI153" i="12"/>
  <c r="AJ153" i="12"/>
  <c r="AK153" i="12"/>
  <c r="AL153" i="12"/>
  <c r="AM153" i="12"/>
  <c r="AN153" i="12"/>
  <c r="AO153" i="12"/>
  <c r="AP153" i="12"/>
  <c r="AQ153" i="12"/>
  <c r="AR153" i="12"/>
  <c r="AS153" i="12"/>
  <c r="AT153" i="12"/>
  <c r="AU153" i="12"/>
  <c r="AV153" i="12"/>
  <c r="AW153" i="12"/>
  <c r="AX153" i="12"/>
  <c r="AY153" i="12"/>
  <c r="AZ153" i="12"/>
  <c r="BA153" i="12"/>
  <c r="BB153" i="12"/>
  <c r="BC153" i="12"/>
  <c r="BD153" i="12"/>
  <c r="BE153" i="12"/>
  <c r="BF153" i="12"/>
  <c r="BG153" i="12"/>
  <c r="BH153" i="12"/>
  <c r="BI153" i="12"/>
  <c r="BJ153" i="12"/>
  <c r="BK153" i="12"/>
  <c r="BL153" i="12"/>
  <c r="BM153" i="12"/>
  <c r="BN153" i="12"/>
  <c r="BO153" i="12"/>
  <c r="BP153" i="12"/>
  <c r="BQ153" i="12"/>
  <c r="BR153" i="12"/>
  <c r="BS153" i="12"/>
  <c r="BT153" i="12"/>
  <c r="BU153" i="12"/>
  <c r="BV153" i="12"/>
  <c r="BW153" i="12"/>
  <c r="BX153" i="12"/>
  <c r="BY153" i="12"/>
  <c r="BZ153" i="12"/>
  <c r="CA153" i="12"/>
  <c r="CB153" i="12"/>
  <c r="CC153" i="12"/>
  <c r="CD153" i="12"/>
  <c r="CE153" i="12"/>
  <c r="CF153" i="12"/>
  <c r="CG153" i="12"/>
  <c r="CH153" i="12"/>
  <c r="CI153" i="12"/>
  <c r="CJ153" i="12"/>
  <c r="CK153" i="12"/>
  <c r="CL153" i="12"/>
  <c r="CM153" i="12"/>
  <c r="CN153" i="12"/>
  <c r="CO153" i="12"/>
  <c r="CP153" i="12"/>
  <c r="CQ153" i="12"/>
  <c r="CR153" i="12"/>
  <c r="CS153" i="12"/>
  <c r="CT153" i="12"/>
  <c r="CU153" i="12"/>
  <c r="CV153" i="12"/>
  <c r="CW153" i="12"/>
  <c r="CX153" i="12"/>
  <c r="CY153" i="12"/>
  <c r="CZ153" i="12"/>
  <c r="DA153" i="12"/>
  <c r="DB153" i="12"/>
  <c r="DC153" i="12"/>
  <c r="DD153" i="12"/>
  <c r="DE153" i="12"/>
  <c r="DF153" i="12"/>
  <c r="DG153" i="12"/>
  <c r="DH153" i="12"/>
  <c r="DI153" i="12"/>
  <c r="DJ153" i="12"/>
  <c r="DK153" i="12"/>
  <c r="DL153" i="12"/>
  <c r="DM153" i="12"/>
  <c r="DN153" i="12"/>
  <c r="DO153" i="12"/>
  <c r="DP153" i="12"/>
  <c r="DQ153" i="12"/>
  <c r="DR153" i="12"/>
  <c r="DS153" i="12"/>
  <c r="DT153" i="12"/>
  <c r="DU153" i="12"/>
  <c r="DV153" i="12"/>
  <c r="DW153" i="12"/>
  <c r="DX153" i="12"/>
  <c r="DY153" i="12"/>
  <c r="DZ153" i="12"/>
  <c r="EA153" i="12"/>
  <c r="EB153" i="12"/>
  <c r="EC153" i="12"/>
  <c r="ED153" i="12"/>
  <c r="EE153" i="12"/>
  <c r="EF153" i="12"/>
  <c r="EG153" i="12"/>
  <c r="EH153" i="12"/>
  <c r="EI153" i="12"/>
  <c r="EJ153" i="12"/>
  <c r="EK153" i="12"/>
  <c r="EL153" i="12"/>
  <c r="EM153" i="12"/>
  <c r="EN153" i="12"/>
  <c r="EO153" i="12"/>
  <c r="EP153" i="12"/>
  <c r="EQ153" i="12"/>
  <c r="ER153" i="12"/>
  <c r="ES153" i="12"/>
  <c r="ET153" i="12"/>
  <c r="EU153" i="12"/>
  <c r="EV153" i="12"/>
  <c r="EW153" i="12"/>
  <c r="EX153" i="12"/>
  <c r="EY153" i="12"/>
  <c r="EZ153" i="12"/>
  <c r="FA153" i="12"/>
  <c r="FB153" i="12"/>
  <c r="FC153" i="12"/>
  <c r="FD153" i="12"/>
  <c r="FE153" i="12"/>
  <c r="FF153" i="12"/>
  <c r="FG153" i="12"/>
  <c r="FH153" i="12"/>
  <c r="FI153" i="12"/>
  <c r="FJ153" i="12"/>
  <c r="FK153" i="12"/>
  <c r="FL153" i="12"/>
  <c r="FM153" i="12"/>
  <c r="FN153" i="12"/>
  <c r="FO153" i="12"/>
  <c r="FP153" i="12"/>
  <c r="FQ153" i="12"/>
  <c r="FR153" i="12"/>
  <c r="FS153" i="12"/>
  <c r="FT153" i="12"/>
  <c r="FU153" i="12"/>
  <c r="FV153" i="12"/>
  <c r="FW153" i="12"/>
  <c r="FX153" i="12"/>
  <c r="FY153" i="12"/>
  <c r="FZ153" i="12"/>
  <c r="GA153" i="12"/>
  <c r="GB153" i="12"/>
  <c r="GC153" i="12"/>
  <c r="GD153" i="12"/>
  <c r="GE153" i="12"/>
  <c r="GF153" i="12"/>
  <c r="GG153" i="12"/>
  <c r="GH153" i="12"/>
  <c r="GI153" i="12"/>
  <c r="GJ153" i="12"/>
  <c r="GK153" i="12"/>
  <c r="GL153" i="12"/>
  <c r="GM153" i="12"/>
  <c r="GN153" i="12"/>
  <c r="GO153" i="12"/>
  <c r="GP153" i="12"/>
  <c r="GQ153" i="12"/>
  <c r="GR153" i="12"/>
  <c r="GS153" i="12"/>
  <c r="GT153" i="12"/>
  <c r="GU153" i="12"/>
  <c r="GV153" i="12"/>
  <c r="GW153" i="12"/>
  <c r="GX153" i="12"/>
  <c r="GY153" i="12"/>
  <c r="GZ153" i="12"/>
  <c r="HA153" i="12"/>
  <c r="HB153" i="12"/>
  <c r="HC153" i="12"/>
  <c r="HD153" i="12"/>
  <c r="HE153" i="12"/>
  <c r="HF153" i="12"/>
  <c r="HG153" i="12"/>
  <c r="HH153" i="12"/>
  <c r="HI153" i="12"/>
  <c r="HJ153" i="12"/>
  <c r="HK153" i="12"/>
  <c r="HL153" i="12"/>
  <c r="HM153" i="12"/>
  <c r="HN153" i="12"/>
  <c r="HO153" i="12"/>
  <c r="HP153" i="12"/>
  <c r="HQ153" i="12"/>
  <c r="HR153" i="12"/>
  <c r="HS153" i="12"/>
  <c r="HT153" i="12"/>
  <c r="HU153" i="12"/>
  <c r="HV153" i="12"/>
  <c r="HW153" i="12"/>
  <c r="HX153" i="12"/>
  <c r="HY153" i="12"/>
  <c r="HZ153" i="12"/>
  <c r="IA153" i="12"/>
  <c r="IB153" i="12"/>
  <c r="IC153" i="12"/>
  <c r="ID153" i="12"/>
  <c r="IE153" i="12"/>
  <c r="IF153" i="12"/>
  <c r="IG153" i="12"/>
  <c r="IH153" i="12"/>
  <c r="II153" i="12"/>
  <c r="IJ153" i="12"/>
  <c r="IK153" i="12"/>
  <c r="IL153" i="12"/>
  <c r="IM153" i="12"/>
  <c r="IN153" i="12"/>
  <c r="IO153" i="12"/>
  <c r="IP153" i="12"/>
  <c r="IQ153" i="12"/>
  <c r="IR153" i="12"/>
  <c r="IS153" i="12"/>
  <c r="IT153" i="12"/>
  <c r="IU153" i="12"/>
  <c r="IV153" i="12"/>
  <c r="F154" i="12"/>
  <c r="G154" i="12"/>
  <c r="H154" i="12"/>
  <c r="I154" i="12"/>
  <c r="J154" i="12"/>
  <c r="K154" i="12"/>
  <c r="L154" i="12"/>
  <c r="M154" i="12"/>
  <c r="N154" i="12"/>
  <c r="O154" i="12"/>
  <c r="P154" i="12"/>
  <c r="Q154" i="12"/>
  <c r="R154" i="12"/>
  <c r="S154" i="12"/>
  <c r="T154" i="12"/>
  <c r="U154" i="12"/>
  <c r="V154" i="12"/>
  <c r="W154" i="12"/>
  <c r="X154" i="12"/>
  <c r="Y154" i="12"/>
  <c r="Z154" i="12"/>
  <c r="AA154" i="12"/>
  <c r="AB154" i="12"/>
  <c r="AC154" i="12"/>
  <c r="AD154" i="12"/>
  <c r="AE154" i="12"/>
  <c r="AF154" i="12"/>
  <c r="AG154" i="12"/>
  <c r="AH154" i="12"/>
  <c r="AI154" i="12"/>
  <c r="AJ154" i="12"/>
  <c r="AK154" i="12"/>
  <c r="AL154" i="12"/>
  <c r="AM154" i="12"/>
  <c r="AN154" i="12"/>
  <c r="AO154" i="12"/>
  <c r="AP154" i="12"/>
  <c r="AQ154" i="12"/>
  <c r="AR154" i="12"/>
  <c r="AS154" i="12"/>
  <c r="AT154" i="12"/>
  <c r="AU154" i="12"/>
  <c r="AV154" i="12"/>
  <c r="AW154" i="12"/>
  <c r="AX154" i="12"/>
  <c r="AY154" i="12"/>
  <c r="AZ154" i="12"/>
  <c r="BA154" i="12"/>
  <c r="BB154" i="12"/>
  <c r="BC154" i="12"/>
  <c r="BD154" i="12"/>
  <c r="BE154" i="12"/>
  <c r="BF154" i="12"/>
  <c r="BG154" i="12"/>
  <c r="BH154" i="12"/>
  <c r="BI154" i="12"/>
  <c r="BJ154" i="12"/>
  <c r="BK154" i="12"/>
  <c r="BL154" i="12"/>
  <c r="BM154" i="12"/>
  <c r="BN154" i="12"/>
  <c r="BO154" i="12"/>
  <c r="BP154" i="12"/>
  <c r="BQ154" i="12"/>
  <c r="BR154" i="12"/>
  <c r="BS154" i="12"/>
  <c r="BT154" i="12"/>
  <c r="BU154" i="12"/>
  <c r="BV154" i="12"/>
  <c r="BW154" i="12"/>
  <c r="BX154" i="12"/>
  <c r="BY154" i="12"/>
  <c r="BZ154" i="12"/>
  <c r="CA154" i="12"/>
  <c r="CB154" i="12"/>
  <c r="CC154" i="12"/>
  <c r="CD154" i="12"/>
  <c r="CE154" i="12"/>
  <c r="CF154" i="12"/>
  <c r="CG154" i="12"/>
  <c r="CH154" i="12"/>
  <c r="CI154" i="12"/>
  <c r="CJ154" i="12"/>
  <c r="CK154" i="12"/>
  <c r="CL154" i="12"/>
  <c r="CM154" i="12"/>
  <c r="CN154" i="12"/>
  <c r="CO154" i="12"/>
  <c r="CP154" i="12"/>
  <c r="CQ154" i="12"/>
  <c r="CR154" i="12"/>
  <c r="CS154" i="12"/>
  <c r="CT154" i="12"/>
  <c r="CU154" i="12"/>
  <c r="CV154" i="12"/>
  <c r="CW154" i="12"/>
  <c r="CX154" i="12"/>
  <c r="CY154" i="12"/>
  <c r="CZ154" i="12"/>
  <c r="DA154" i="12"/>
  <c r="DB154" i="12"/>
  <c r="DC154" i="12"/>
  <c r="DD154" i="12"/>
  <c r="DE154" i="12"/>
  <c r="DF154" i="12"/>
  <c r="DG154" i="12"/>
  <c r="DH154" i="12"/>
  <c r="DI154" i="12"/>
  <c r="DJ154" i="12"/>
  <c r="DK154" i="12"/>
  <c r="DL154" i="12"/>
  <c r="DM154" i="12"/>
  <c r="DN154" i="12"/>
  <c r="DO154" i="12"/>
  <c r="DP154" i="12"/>
  <c r="DQ154" i="12"/>
  <c r="DR154" i="12"/>
  <c r="DS154" i="12"/>
  <c r="DT154" i="12"/>
  <c r="DU154" i="12"/>
  <c r="DV154" i="12"/>
  <c r="DW154" i="12"/>
  <c r="DX154" i="12"/>
  <c r="DY154" i="12"/>
  <c r="DZ154" i="12"/>
  <c r="EA154" i="12"/>
  <c r="EB154" i="12"/>
  <c r="EC154" i="12"/>
  <c r="ED154" i="12"/>
  <c r="EE154" i="12"/>
  <c r="EF154" i="12"/>
  <c r="EG154" i="12"/>
  <c r="EH154" i="12"/>
  <c r="EI154" i="12"/>
  <c r="EJ154" i="12"/>
  <c r="EK154" i="12"/>
  <c r="EL154" i="12"/>
  <c r="EM154" i="12"/>
  <c r="EN154" i="12"/>
  <c r="EO154" i="12"/>
  <c r="EP154" i="12"/>
  <c r="EQ154" i="12"/>
  <c r="ER154" i="12"/>
  <c r="ES154" i="12"/>
  <c r="ET154" i="12"/>
  <c r="EU154" i="12"/>
  <c r="EV154" i="12"/>
  <c r="EW154" i="12"/>
  <c r="EX154" i="12"/>
  <c r="EY154" i="12"/>
  <c r="EZ154" i="12"/>
  <c r="FA154" i="12"/>
  <c r="FB154" i="12"/>
  <c r="FC154" i="12"/>
  <c r="FD154" i="12"/>
  <c r="FE154" i="12"/>
  <c r="FF154" i="12"/>
  <c r="FG154" i="12"/>
  <c r="FH154" i="12"/>
  <c r="FI154" i="12"/>
  <c r="FJ154" i="12"/>
  <c r="FK154" i="12"/>
  <c r="FL154" i="12"/>
  <c r="FM154" i="12"/>
  <c r="FN154" i="12"/>
  <c r="FO154" i="12"/>
  <c r="FP154" i="12"/>
  <c r="FQ154" i="12"/>
  <c r="FR154" i="12"/>
  <c r="FS154" i="12"/>
  <c r="FT154" i="12"/>
  <c r="FU154" i="12"/>
  <c r="FV154" i="12"/>
  <c r="FW154" i="12"/>
  <c r="FX154" i="12"/>
  <c r="FY154" i="12"/>
  <c r="FZ154" i="12"/>
  <c r="GA154" i="12"/>
  <c r="GB154" i="12"/>
  <c r="GC154" i="12"/>
  <c r="GD154" i="12"/>
  <c r="GE154" i="12"/>
  <c r="GF154" i="12"/>
  <c r="GG154" i="12"/>
  <c r="GH154" i="12"/>
  <c r="GI154" i="12"/>
  <c r="GJ154" i="12"/>
  <c r="GK154" i="12"/>
  <c r="GL154" i="12"/>
  <c r="GM154" i="12"/>
  <c r="GN154" i="12"/>
  <c r="GO154" i="12"/>
  <c r="GP154" i="12"/>
  <c r="GQ154" i="12"/>
  <c r="GR154" i="12"/>
  <c r="GS154" i="12"/>
  <c r="GT154" i="12"/>
  <c r="GU154" i="12"/>
  <c r="GV154" i="12"/>
  <c r="GW154" i="12"/>
  <c r="GX154" i="12"/>
  <c r="GY154" i="12"/>
  <c r="GZ154" i="12"/>
  <c r="HA154" i="12"/>
  <c r="HB154" i="12"/>
  <c r="HC154" i="12"/>
  <c r="HD154" i="12"/>
  <c r="HE154" i="12"/>
  <c r="HF154" i="12"/>
  <c r="HG154" i="12"/>
  <c r="HH154" i="12"/>
  <c r="HI154" i="12"/>
  <c r="HJ154" i="12"/>
  <c r="HK154" i="12"/>
  <c r="HL154" i="12"/>
  <c r="HM154" i="12"/>
  <c r="HN154" i="12"/>
  <c r="HO154" i="12"/>
  <c r="HP154" i="12"/>
  <c r="HQ154" i="12"/>
  <c r="HR154" i="12"/>
  <c r="HS154" i="12"/>
  <c r="HT154" i="12"/>
  <c r="HU154" i="12"/>
  <c r="HV154" i="12"/>
  <c r="HW154" i="12"/>
  <c r="HX154" i="12"/>
  <c r="HY154" i="12"/>
  <c r="HZ154" i="12"/>
  <c r="IA154" i="12"/>
  <c r="IB154" i="12"/>
  <c r="IC154" i="12"/>
  <c r="ID154" i="12"/>
  <c r="IE154" i="12"/>
  <c r="IF154" i="12"/>
  <c r="IG154" i="12"/>
  <c r="IH154" i="12"/>
  <c r="II154" i="12"/>
  <c r="IJ154" i="12"/>
  <c r="IK154" i="12"/>
  <c r="IL154" i="12"/>
  <c r="IM154" i="12"/>
  <c r="IN154" i="12"/>
  <c r="IO154" i="12"/>
  <c r="IP154" i="12"/>
  <c r="IQ154" i="12"/>
  <c r="IR154" i="12"/>
  <c r="IS154" i="12"/>
  <c r="IT154" i="12"/>
  <c r="IU154" i="12"/>
  <c r="IV154" i="12"/>
  <c r="F155" i="12"/>
  <c r="G155" i="12"/>
  <c r="H155" i="12"/>
  <c r="I155" i="12"/>
  <c r="J155" i="12"/>
  <c r="K155" i="12"/>
  <c r="L155" i="12"/>
  <c r="M155" i="12"/>
  <c r="N155" i="12"/>
  <c r="O155" i="12"/>
  <c r="P155" i="12"/>
  <c r="Q155" i="12"/>
  <c r="R155" i="12"/>
  <c r="S155" i="12"/>
  <c r="T155" i="12"/>
  <c r="U155" i="12"/>
  <c r="V155" i="12"/>
  <c r="W155" i="12"/>
  <c r="X155" i="12"/>
  <c r="Y155" i="12"/>
  <c r="Z155" i="12"/>
  <c r="AA155" i="12"/>
  <c r="AB155" i="12"/>
  <c r="AC155" i="12"/>
  <c r="AD155" i="12"/>
  <c r="AE155" i="12"/>
  <c r="AF155" i="12"/>
  <c r="AG155" i="12"/>
  <c r="AH155" i="12"/>
  <c r="AI155" i="12"/>
  <c r="AJ155" i="12"/>
  <c r="AK155" i="12"/>
  <c r="AL155" i="12"/>
  <c r="AM155" i="12"/>
  <c r="AN155" i="12"/>
  <c r="AO155" i="12"/>
  <c r="AP155" i="12"/>
  <c r="AQ155" i="12"/>
  <c r="AR155" i="12"/>
  <c r="AS155" i="12"/>
  <c r="AT155" i="12"/>
  <c r="AU155" i="12"/>
  <c r="AV155" i="12"/>
  <c r="AW155" i="12"/>
  <c r="AX155" i="12"/>
  <c r="AY155" i="12"/>
  <c r="AZ155" i="12"/>
  <c r="BA155" i="12"/>
  <c r="BB155" i="12"/>
  <c r="BC155" i="12"/>
  <c r="BD155" i="12"/>
  <c r="BE155" i="12"/>
  <c r="BF155" i="12"/>
  <c r="BG155" i="12"/>
  <c r="BH155" i="12"/>
  <c r="BI155" i="12"/>
  <c r="BJ155" i="12"/>
  <c r="BK155" i="12"/>
  <c r="BL155" i="12"/>
  <c r="BM155" i="12"/>
  <c r="BN155" i="12"/>
  <c r="BO155" i="12"/>
  <c r="BP155" i="12"/>
  <c r="BQ155" i="12"/>
  <c r="BR155" i="12"/>
  <c r="BS155" i="12"/>
  <c r="BT155" i="12"/>
  <c r="BU155" i="12"/>
  <c r="BV155" i="12"/>
  <c r="BW155" i="12"/>
  <c r="BX155" i="12"/>
  <c r="BY155" i="12"/>
  <c r="BZ155" i="12"/>
  <c r="CA155" i="12"/>
  <c r="CB155" i="12"/>
  <c r="CC155" i="12"/>
  <c r="CD155" i="12"/>
  <c r="CE155" i="12"/>
  <c r="CF155" i="12"/>
  <c r="CG155" i="12"/>
  <c r="CH155" i="12"/>
  <c r="CI155" i="12"/>
  <c r="CJ155" i="12"/>
  <c r="CK155" i="12"/>
  <c r="CL155" i="12"/>
  <c r="CM155" i="12"/>
  <c r="CN155" i="12"/>
  <c r="CO155" i="12"/>
  <c r="CP155" i="12"/>
  <c r="CQ155" i="12"/>
  <c r="CR155" i="12"/>
  <c r="CS155" i="12"/>
  <c r="CT155" i="12"/>
  <c r="CU155" i="12"/>
  <c r="CV155" i="12"/>
  <c r="CW155" i="12"/>
  <c r="CX155" i="12"/>
  <c r="CY155" i="12"/>
  <c r="CZ155" i="12"/>
  <c r="DA155" i="12"/>
  <c r="DB155" i="12"/>
  <c r="DC155" i="12"/>
  <c r="DD155" i="12"/>
  <c r="DE155" i="12"/>
  <c r="DF155" i="12"/>
  <c r="DG155" i="12"/>
  <c r="DH155" i="12"/>
  <c r="DI155" i="12"/>
  <c r="DJ155" i="12"/>
  <c r="DK155" i="12"/>
  <c r="DL155" i="12"/>
  <c r="DM155" i="12"/>
  <c r="DN155" i="12"/>
  <c r="DO155" i="12"/>
  <c r="DP155" i="12"/>
  <c r="DQ155" i="12"/>
  <c r="DR155" i="12"/>
  <c r="DS155" i="12"/>
  <c r="DT155" i="12"/>
  <c r="DU155" i="12"/>
  <c r="DV155" i="12"/>
  <c r="DW155" i="12"/>
  <c r="DX155" i="12"/>
  <c r="DY155" i="12"/>
  <c r="DZ155" i="12"/>
  <c r="EA155" i="12"/>
  <c r="EB155" i="12"/>
  <c r="EC155" i="12"/>
  <c r="ED155" i="12"/>
  <c r="EE155" i="12"/>
  <c r="EF155" i="12"/>
  <c r="EG155" i="12"/>
  <c r="EH155" i="12"/>
  <c r="EI155" i="12"/>
  <c r="EJ155" i="12"/>
  <c r="EK155" i="12"/>
  <c r="EL155" i="12"/>
  <c r="EM155" i="12"/>
  <c r="EN155" i="12"/>
  <c r="EO155" i="12"/>
  <c r="EP155" i="12"/>
  <c r="EQ155" i="12"/>
  <c r="ER155" i="12"/>
  <c r="ES155" i="12"/>
  <c r="ET155" i="12"/>
  <c r="EU155" i="12"/>
  <c r="EV155" i="12"/>
  <c r="EW155" i="12"/>
  <c r="EX155" i="12"/>
  <c r="EY155" i="12"/>
  <c r="EZ155" i="12"/>
  <c r="FA155" i="12"/>
  <c r="FB155" i="12"/>
  <c r="FC155" i="12"/>
  <c r="FD155" i="12"/>
  <c r="FE155" i="12"/>
  <c r="FF155" i="12"/>
  <c r="FG155" i="12"/>
  <c r="FH155" i="12"/>
  <c r="FI155" i="12"/>
  <c r="FJ155" i="12"/>
  <c r="FK155" i="12"/>
  <c r="FL155" i="12"/>
  <c r="FM155" i="12"/>
  <c r="FN155" i="12"/>
  <c r="FO155" i="12"/>
  <c r="FP155" i="12"/>
  <c r="FQ155" i="12"/>
  <c r="FR155" i="12"/>
  <c r="FS155" i="12"/>
  <c r="FT155" i="12"/>
  <c r="FU155" i="12"/>
  <c r="FV155" i="12"/>
  <c r="FW155" i="12"/>
  <c r="FX155" i="12"/>
  <c r="FY155" i="12"/>
  <c r="FZ155" i="12"/>
  <c r="GA155" i="12"/>
  <c r="GB155" i="12"/>
  <c r="GC155" i="12"/>
  <c r="GD155" i="12"/>
  <c r="GE155" i="12"/>
  <c r="GF155" i="12"/>
  <c r="GG155" i="12"/>
  <c r="GH155" i="12"/>
  <c r="GI155" i="12"/>
  <c r="GJ155" i="12"/>
  <c r="GK155" i="12"/>
  <c r="GL155" i="12"/>
  <c r="GM155" i="12"/>
  <c r="GN155" i="12"/>
  <c r="GO155" i="12"/>
  <c r="GP155" i="12"/>
  <c r="GQ155" i="12"/>
  <c r="GR155" i="12"/>
  <c r="GS155" i="12"/>
  <c r="GT155" i="12"/>
  <c r="GU155" i="12"/>
  <c r="GV155" i="12"/>
  <c r="GW155" i="12"/>
  <c r="GX155" i="12"/>
  <c r="GY155" i="12"/>
  <c r="GZ155" i="12"/>
  <c r="HA155" i="12"/>
  <c r="HB155" i="12"/>
  <c r="HC155" i="12"/>
  <c r="HD155" i="12"/>
  <c r="HE155" i="12"/>
  <c r="HF155" i="12"/>
  <c r="HG155" i="12"/>
  <c r="HH155" i="12"/>
  <c r="HI155" i="12"/>
  <c r="HJ155" i="12"/>
  <c r="HK155" i="12"/>
  <c r="HL155" i="12"/>
  <c r="HM155" i="12"/>
  <c r="HN155" i="12"/>
  <c r="HO155" i="12"/>
  <c r="HP155" i="12"/>
  <c r="HQ155" i="12"/>
  <c r="HR155" i="12"/>
  <c r="HS155" i="12"/>
  <c r="HT155" i="12"/>
  <c r="HU155" i="12"/>
  <c r="HV155" i="12"/>
  <c r="HW155" i="12"/>
  <c r="HX155" i="12"/>
  <c r="HY155" i="12"/>
  <c r="HZ155" i="12"/>
  <c r="IA155" i="12"/>
  <c r="IB155" i="12"/>
  <c r="IC155" i="12"/>
  <c r="ID155" i="12"/>
  <c r="IE155" i="12"/>
  <c r="IF155" i="12"/>
  <c r="IG155" i="12"/>
  <c r="IH155" i="12"/>
  <c r="II155" i="12"/>
  <c r="IJ155" i="12"/>
  <c r="IK155" i="12"/>
  <c r="IL155" i="12"/>
  <c r="IM155" i="12"/>
  <c r="IN155" i="12"/>
  <c r="IO155" i="12"/>
  <c r="IP155" i="12"/>
  <c r="IQ155" i="12"/>
  <c r="IR155" i="12"/>
  <c r="IS155" i="12"/>
  <c r="IT155" i="12"/>
  <c r="IU155" i="12"/>
  <c r="IV155" i="12"/>
  <c r="F156" i="12"/>
  <c r="G156" i="12"/>
  <c r="H156" i="12"/>
  <c r="I156" i="12"/>
  <c r="J156" i="12"/>
  <c r="K156" i="12"/>
  <c r="L156" i="12"/>
  <c r="M156" i="12"/>
  <c r="N156" i="12"/>
  <c r="O156" i="12"/>
  <c r="P156" i="12"/>
  <c r="Q156" i="12"/>
  <c r="R156" i="12"/>
  <c r="S156" i="12"/>
  <c r="T156" i="12"/>
  <c r="U156" i="12"/>
  <c r="V156" i="12"/>
  <c r="W156" i="12"/>
  <c r="X156" i="12"/>
  <c r="Y156" i="12"/>
  <c r="Z156" i="12"/>
  <c r="AA156" i="12"/>
  <c r="AB156" i="12"/>
  <c r="AC156" i="12"/>
  <c r="AD156" i="12"/>
  <c r="AE156" i="12"/>
  <c r="AF156" i="12"/>
  <c r="AG156" i="12"/>
  <c r="AH156" i="12"/>
  <c r="AI156" i="12"/>
  <c r="AJ156" i="12"/>
  <c r="AK156" i="12"/>
  <c r="AL156" i="12"/>
  <c r="AM156" i="12"/>
  <c r="AN156" i="12"/>
  <c r="AO156" i="12"/>
  <c r="AP156" i="12"/>
  <c r="AQ156" i="12"/>
  <c r="AR156" i="12"/>
  <c r="AS156" i="12"/>
  <c r="AT156" i="12"/>
  <c r="AU156" i="12"/>
  <c r="AV156" i="12"/>
  <c r="AW156" i="12"/>
  <c r="AX156" i="12"/>
  <c r="AY156" i="12"/>
  <c r="AZ156" i="12"/>
  <c r="BA156" i="12"/>
  <c r="BB156" i="12"/>
  <c r="BC156" i="12"/>
  <c r="BD156" i="12"/>
  <c r="BE156" i="12"/>
  <c r="BF156" i="12"/>
  <c r="BG156" i="12"/>
  <c r="BH156" i="12"/>
  <c r="BI156" i="12"/>
  <c r="BJ156" i="12"/>
  <c r="BK156" i="12"/>
  <c r="BL156" i="12"/>
  <c r="BM156" i="12"/>
  <c r="BN156" i="12"/>
  <c r="BO156" i="12"/>
  <c r="BP156" i="12"/>
  <c r="BQ156" i="12"/>
  <c r="BR156" i="12"/>
  <c r="BS156" i="12"/>
  <c r="BT156" i="12"/>
  <c r="BU156" i="12"/>
  <c r="BV156" i="12"/>
  <c r="BW156" i="12"/>
  <c r="BX156" i="12"/>
  <c r="BY156" i="12"/>
  <c r="BZ156" i="12"/>
  <c r="CA156" i="12"/>
  <c r="CB156" i="12"/>
  <c r="CC156" i="12"/>
  <c r="CD156" i="12"/>
  <c r="CE156" i="12"/>
  <c r="CF156" i="12"/>
  <c r="CG156" i="12"/>
  <c r="CH156" i="12"/>
  <c r="CI156" i="12"/>
  <c r="CJ156" i="12"/>
  <c r="CK156" i="12"/>
  <c r="CL156" i="12"/>
  <c r="CM156" i="12"/>
  <c r="CN156" i="12"/>
  <c r="CO156" i="12"/>
  <c r="CP156" i="12"/>
  <c r="CQ156" i="12"/>
  <c r="CR156" i="12"/>
  <c r="CS156" i="12"/>
  <c r="CT156" i="12"/>
  <c r="CU156" i="12"/>
  <c r="CV156" i="12"/>
  <c r="CW156" i="12"/>
  <c r="CX156" i="12"/>
  <c r="CY156" i="12"/>
  <c r="CZ156" i="12"/>
  <c r="DA156" i="12"/>
  <c r="DB156" i="12"/>
  <c r="DC156" i="12"/>
  <c r="DD156" i="12"/>
  <c r="DE156" i="12"/>
  <c r="DF156" i="12"/>
  <c r="DG156" i="12"/>
  <c r="DH156" i="12"/>
  <c r="DI156" i="12"/>
  <c r="DJ156" i="12"/>
  <c r="DK156" i="12"/>
  <c r="DL156" i="12"/>
  <c r="DM156" i="12"/>
  <c r="DN156" i="12"/>
  <c r="DO156" i="12"/>
  <c r="DP156" i="12"/>
  <c r="DQ156" i="12"/>
  <c r="DR156" i="12"/>
  <c r="DS156" i="12"/>
  <c r="DT156" i="12"/>
  <c r="DU156" i="12"/>
  <c r="DV156" i="12"/>
  <c r="DW156" i="12"/>
  <c r="DX156" i="12"/>
  <c r="DY156" i="12"/>
  <c r="DZ156" i="12"/>
  <c r="EA156" i="12"/>
  <c r="EB156" i="12"/>
  <c r="EC156" i="12"/>
  <c r="ED156" i="12"/>
  <c r="EE156" i="12"/>
  <c r="EF156" i="12"/>
  <c r="EG156" i="12"/>
  <c r="EH156" i="12"/>
  <c r="EI156" i="12"/>
  <c r="EJ156" i="12"/>
  <c r="EK156" i="12"/>
  <c r="EL156" i="12"/>
  <c r="EM156" i="12"/>
  <c r="EN156" i="12"/>
  <c r="EO156" i="12"/>
  <c r="EP156" i="12"/>
  <c r="EQ156" i="12"/>
  <c r="ER156" i="12"/>
  <c r="ES156" i="12"/>
  <c r="ET156" i="12"/>
  <c r="EU156" i="12"/>
  <c r="EV156" i="12"/>
  <c r="EW156" i="12"/>
  <c r="EX156" i="12"/>
  <c r="EY156" i="12"/>
  <c r="EZ156" i="12"/>
  <c r="FA156" i="12"/>
  <c r="FB156" i="12"/>
  <c r="FC156" i="12"/>
  <c r="FD156" i="12"/>
  <c r="FE156" i="12"/>
  <c r="FF156" i="12"/>
  <c r="FG156" i="12"/>
  <c r="FH156" i="12"/>
  <c r="FI156" i="12"/>
  <c r="FJ156" i="12"/>
  <c r="FK156" i="12"/>
  <c r="FL156" i="12"/>
  <c r="FM156" i="12"/>
  <c r="FN156" i="12"/>
  <c r="FO156" i="12"/>
  <c r="FP156" i="12"/>
  <c r="FQ156" i="12"/>
  <c r="FR156" i="12"/>
  <c r="FS156" i="12"/>
  <c r="FT156" i="12"/>
  <c r="FU156" i="12"/>
  <c r="FV156" i="12"/>
  <c r="FW156" i="12"/>
  <c r="FX156" i="12"/>
  <c r="FY156" i="12"/>
  <c r="FZ156" i="12"/>
  <c r="GA156" i="12"/>
  <c r="GB156" i="12"/>
  <c r="GC156" i="12"/>
  <c r="GD156" i="12"/>
  <c r="GE156" i="12"/>
  <c r="GF156" i="12"/>
  <c r="GG156" i="12"/>
  <c r="GH156" i="12"/>
  <c r="GI156" i="12"/>
  <c r="GJ156" i="12"/>
  <c r="GK156" i="12"/>
  <c r="GL156" i="12"/>
  <c r="GM156" i="12"/>
  <c r="GN156" i="12"/>
  <c r="GO156" i="12"/>
  <c r="GP156" i="12"/>
  <c r="GQ156" i="12"/>
  <c r="GR156" i="12"/>
  <c r="GS156" i="12"/>
  <c r="GT156" i="12"/>
  <c r="GU156" i="12"/>
  <c r="GV156" i="12"/>
  <c r="GW156" i="12"/>
  <c r="GX156" i="12"/>
  <c r="GY156" i="12"/>
  <c r="GZ156" i="12"/>
  <c r="HA156" i="12"/>
  <c r="HB156" i="12"/>
  <c r="HC156" i="12"/>
  <c r="HD156" i="12"/>
  <c r="HE156" i="12"/>
  <c r="HF156" i="12"/>
  <c r="HG156" i="12"/>
  <c r="HH156" i="12"/>
  <c r="HI156" i="12"/>
  <c r="HJ156" i="12"/>
  <c r="HK156" i="12"/>
  <c r="HL156" i="12"/>
  <c r="HM156" i="12"/>
  <c r="HN156" i="12"/>
  <c r="HO156" i="12"/>
  <c r="HP156" i="12"/>
  <c r="HQ156" i="12"/>
  <c r="HR156" i="12"/>
  <c r="HS156" i="12"/>
  <c r="HT156" i="12"/>
  <c r="HU156" i="12"/>
  <c r="HV156" i="12"/>
  <c r="HW156" i="12"/>
  <c r="HX156" i="12"/>
  <c r="HY156" i="12"/>
  <c r="HZ156" i="12"/>
  <c r="IA156" i="12"/>
  <c r="IB156" i="12"/>
  <c r="IC156" i="12"/>
  <c r="ID156" i="12"/>
  <c r="IE156" i="12"/>
  <c r="IF156" i="12"/>
  <c r="IG156" i="12"/>
  <c r="IH156" i="12"/>
  <c r="II156" i="12"/>
  <c r="IJ156" i="12"/>
  <c r="IK156" i="12"/>
  <c r="IL156" i="12"/>
  <c r="IM156" i="12"/>
  <c r="IN156" i="12"/>
  <c r="IO156" i="12"/>
  <c r="IP156" i="12"/>
  <c r="IQ156" i="12"/>
  <c r="IR156" i="12"/>
  <c r="IS156" i="12"/>
  <c r="IT156" i="12"/>
  <c r="IU156" i="12"/>
  <c r="IV156" i="12"/>
  <c r="F157" i="12"/>
  <c r="G157" i="12"/>
  <c r="H157" i="12"/>
  <c r="I157" i="12"/>
  <c r="J157" i="12"/>
  <c r="K157" i="12"/>
  <c r="L157" i="12"/>
  <c r="M157" i="12"/>
  <c r="N157" i="12"/>
  <c r="O157" i="12"/>
  <c r="P157" i="12"/>
  <c r="Q157" i="12"/>
  <c r="R157" i="12"/>
  <c r="S157" i="12"/>
  <c r="T157" i="12"/>
  <c r="U157" i="12"/>
  <c r="V157" i="12"/>
  <c r="W157" i="12"/>
  <c r="X157" i="12"/>
  <c r="Y157" i="12"/>
  <c r="Z157" i="12"/>
  <c r="AA157" i="12"/>
  <c r="AB157" i="12"/>
  <c r="AC157" i="12"/>
  <c r="AD157" i="12"/>
  <c r="AE157" i="12"/>
  <c r="AF157" i="12"/>
  <c r="AG157" i="12"/>
  <c r="AH157" i="12"/>
  <c r="AI157" i="12"/>
  <c r="AJ157" i="12"/>
  <c r="AK157" i="12"/>
  <c r="AL157" i="12"/>
  <c r="AM157" i="12"/>
  <c r="AN157" i="12"/>
  <c r="AO157" i="12"/>
  <c r="AP157" i="12"/>
  <c r="AQ157" i="12"/>
  <c r="AR157" i="12"/>
  <c r="AS157" i="12"/>
  <c r="AT157" i="12"/>
  <c r="AU157" i="12"/>
  <c r="AV157" i="12"/>
  <c r="AW157" i="12"/>
  <c r="AX157" i="12"/>
  <c r="AY157" i="12"/>
  <c r="AZ157" i="12"/>
  <c r="BA157" i="12"/>
  <c r="BB157" i="12"/>
  <c r="BC157" i="12"/>
  <c r="BD157" i="12"/>
  <c r="BE157" i="12"/>
  <c r="BF157" i="12"/>
  <c r="BG157" i="12"/>
  <c r="BH157" i="12"/>
  <c r="BI157" i="12"/>
  <c r="BJ157" i="12"/>
  <c r="BK157" i="12"/>
  <c r="BL157" i="12"/>
  <c r="BM157" i="12"/>
  <c r="BN157" i="12"/>
  <c r="BO157" i="12"/>
  <c r="BP157" i="12"/>
  <c r="BQ157" i="12"/>
  <c r="BR157" i="12"/>
  <c r="BS157" i="12"/>
  <c r="BT157" i="12"/>
  <c r="BU157" i="12"/>
  <c r="BV157" i="12"/>
  <c r="BW157" i="12"/>
  <c r="BX157" i="12"/>
  <c r="BY157" i="12"/>
  <c r="BZ157" i="12"/>
  <c r="CA157" i="12"/>
  <c r="CB157" i="12"/>
  <c r="CC157" i="12"/>
  <c r="CD157" i="12"/>
  <c r="CE157" i="12"/>
  <c r="CF157" i="12"/>
  <c r="CG157" i="12"/>
  <c r="CH157" i="12"/>
  <c r="CI157" i="12"/>
  <c r="CJ157" i="12"/>
  <c r="CK157" i="12"/>
  <c r="CL157" i="12"/>
  <c r="CM157" i="12"/>
  <c r="CN157" i="12"/>
  <c r="CO157" i="12"/>
  <c r="CP157" i="12"/>
  <c r="CQ157" i="12"/>
  <c r="CR157" i="12"/>
  <c r="CS157" i="12"/>
  <c r="CT157" i="12"/>
  <c r="CU157" i="12"/>
  <c r="CV157" i="12"/>
  <c r="CW157" i="12"/>
  <c r="CX157" i="12"/>
  <c r="CY157" i="12"/>
  <c r="CZ157" i="12"/>
  <c r="DA157" i="12"/>
  <c r="DB157" i="12"/>
  <c r="DC157" i="12"/>
  <c r="DD157" i="12"/>
  <c r="DE157" i="12"/>
  <c r="DF157" i="12"/>
  <c r="DG157" i="12"/>
  <c r="DH157" i="12"/>
  <c r="DI157" i="12"/>
  <c r="DJ157" i="12"/>
  <c r="DK157" i="12"/>
  <c r="DL157" i="12"/>
  <c r="DM157" i="12"/>
  <c r="DN157" i="12"/>
  <c r="DO157" i="12"/>
  <c r="DP157" i="12"/>
  <c r="DQ157" i="12"/>
  <c r="DR157" i="12"/>
  <c r="DS157" i="12"/>
  <c r="DT157" i="12"/>
  <c r="DU157" i="12"/>
  <c r="DV157" i="12"/>
  <c r="DW157" i="12"/>
  <c r="DX157" i="12"/>
  <c r="DY157" i="12"/>
  <c r="DZ157" i="12"/>
  <c r="EA157" i="12"/>
  <c r="EB157" i="12"/>
  <c r="EC157" i="12"/>
  <c r="ED157" i="12"/>
  <c r="EE157" i="12"/>
  <c r="EF157" i="12"/>
  <c r="EG157" i="12"/>
  <c r="EH157" i="12"/>
  <c r="EI157" i="12"/>
  <c r="EJ157" i="12"/>
  <c r="EK157" i="12"/>
  <c r="EL157" i="12"/>
  <c r="EM157" i="12"/>
  <c r="EN157" i="12"/>
  <c r="EO157" i="12"/>
  <c r="EP157" i="12"/>
  <c r="EQ157" i="12"/>
  <c r="ER157" i="12"/>
  <c r="ES157" i="12"/>
  <c r="ET157" i="12"/>
  <c r="EU157" i="12"/>
  <c r="EV157" i="12"/>
  <c r="EW157" i="12"/>
  <c r="EX157" i="12"/>
  <c r="EY157" i="12"/>
  <c r="EZ157" i="12"/>
  <c r="FA157" i="12"/>
  <c r="FB157" i="12"/>
  <c r="FC157" i="12"/>
  <c r="FD157" i="12"/>
  <c r="FE157" i="12"/>
  <c r="FF157" i="12"/>
  <c r="FG157" i="12"/>
  <c r="FH157" i="12"/>
  <c r="FI157" i="12"/>
  <c r="FJ157" i="12"/>
  <c r="FK157" i="12"/>
  <c r="FL157" i="12"/>
  <c r="FM157" i="12"/>
  <c r="FN157" i="12"/>
  <c r="FO157" i="12"/>
  <c r="FP157" i="12"/>
  <c r="FQ157" i="12"/>
  <c r="FR157" i="12"/>
  <c r="FS157" i="12"/>
  <c r="FT157" i="12"/>
  <c r="FU157" i="12"/>
  <c r="FV157" i="12"/>
  <c r="FW157" i="12"/>
  <c r="FX157" i="12"/>
  <c r="FY157" i="12"/>
  <c r="FZ157" i="12"/>
  <c r="GA157" i="12"/>
  <c r="GB157" i="12"/>
  <c r="GC157" i="12"/>
  <c r="GD157" i="12"/>
  <c r="GE157" i="12"/>
  <c r="GF157" i="12"/>
  <c r="GG157" i="12"/>
  <c r="GH157" i="12"/>
  <c r="GI157" i="12"/>
  <c r="GJ157" i="12"/>
  <c r="GK157" i="12"/>
  <c r="GL157" i="12"/>
  <c r="GM157" i="12"/>
  <c r="GN157" i="12"/>
  <c r="GO157" i="12"/>
  <c r="GP157" i="12"/>
  <c r="GQ157" i="12"/>
  <c r="GR157" i="12"/>
  <c r="GS157" i="12"/>
  <c r="GT157" i="12"/>
  <c r="GU157" i="12"/>
  <c r="GV157" i="12"/>
  <c r="GW157" i="12"/>
  <c r="GX157" i="12"/>
  <c r="GY157" i="12"/>
  <c r="GZ157" i="12"/>
  <c r="HA157" i="12"/>
  <c r="HB157" i="12"/>
  <c r="HC157" i="12"/>
  <c r="HD157" i="12"/>
  <c r="HE157" i="12"/>
  <c r="HF157" i="12"/>
  <c r="HG157" i="12"/>
  <c r="HH157" i="12"/>
  <c r="HI157" i="12"/>
  <c r="HJ157" i="12"/>
  <c r="HK157" i="12"/>
  <c r="HL157" i="12"/>
  <c r="HM157" i="12"/>
  <c r="HN157" i="12"/>
  <c r="HO157" i="12"/>
  <c r="HP157" i="12"/>
  <c r="HQ157" i="12"/>
  <c r="HR157" i="12"/>
  <c r="HS157" i="12"/>
  <c r="HT157" i="12"/>
  <c r="HU157" i="12"/>
  <c r="HV157" i="12"/>
  <c r="HW157" i="12"/>
  <c r="HX157" i="12"/>
  <c r="HY157" i="12"/>
  <c r="HZ157" i="12"/>
  <c r="IA157" i="12"/>
  <c r="IB157" i="12"/>
  <c r="IC157" i="12"/>
  <c r="ID157" i="12"/>
  <c r="IE157" i="12"/>
  <c r="IF157" i="12"/>
  <c r="IG157" i="12"/>
  <c r="IH157" i="12"/>
  <c r="II157" i="12"/>
  <c r="IJ157" i="12"/>
  <c r="IK157" i="12"/>
  <c r="IL157" i="12"/>
  <c r="IM157" i="12"/>
  <c r="IN157" i="12"/>
  <c r="IO157" i="12"/>
  <c r="IP157" i="12"/>
  <c r="IQ157" i="12"/>
  <c r="IR157" i="12"/>
  <c r="IS157" i="12"/>
  <c r="IT157" i="12"/>
  <c r="IU157" i="12"/>
  <c r="IV157" i="12"/>
  <c r="F158" i="12"/>
  <c r="G158" i="12"/>
  <c r="H158" i="12"/>
  <c r="I158" i="12"/>
  <c r="J158" i="12"/>
  <c r="K158" i="12"/>
  <c r="L158" i="12"/>
  <c r="M158" i="12"/>
  <c r="N158" i="12"/>
  <c r="O158" i="12"/>
  <c r="P158" i="12"/>
  <c r="Q158" i="12"/>
  <c r="R158" i="12"/>
  <c r="S158" i="12"/>
  <c r="T158" i="12"/>
  <c r="U158" i="12"/>
  <c r="V158" i="12"/>
  <c r="W158" i="12"/>
  <c r="X158" i="12"/>
  <c r="Y158" i="12"/>
  <c r="Z158" i="12"/>
  <c r="AA158" i="12"/>
  <c r="AB158" i="12"/>
  <c r="AC158" i="12"/>
  <c r="AD158" i="12"/>
  <c r="AE158" i="12"/>
  <c r="AF158" i="12"/>
  <c r="AG158" i="12"/>
  <c r="AH158" i="12"/>
  <c r="AI158" i="12"/>
  <c r="AJ158" i="12"/>
  <c r="AK158" i="12"/>
  <c r="AL158" i="12"/>
  <c r="AM158" i="12"/>
  <c r="AN158" i="12"/>
  <c r="AO158" i="12"/>
  <c r="AP158" i="12"/>
  <c r="AQ158" i="12"/>
  <c r="AR158" i="12"/>
  <c r="AS158" i="12"/>
  <c r="AT158" i="12"/>
  <c r="AU158" i="12"/>
  <c r="AV158" i="12"/>
  <c r="AW158" i="12"/>
  <c r="AX158" i="12"/>
  <c r="AY158" i="12"/>
  <c r="AZ158" i="12"/>
  <c r="BA158" i="12"/>
  <c r="BB158" i="12"/>
  <c r="BC158" i="12"/>
  <c r="BD158" i="12"/>
  <c r="BE158" i="12"/>
  <c r="BF158" i="12"/>
  <c r="BG158" i="12"/>
  <c r="BH158" i="12"/>
  <c r="BI158" i="12"/>
  <c r="BJ158" i="12"/>
  <c r="BK158" i="12"/>
  <c r="BL158" i="12"/>
  <c r="BM158" i="12"/>
  <c r="BN158" i="12"/>
  <c r="BO158" i="12"/>
  <c r="BP158" i="12"/>
  <c r="BQ158" i="12"/>
  <c r="BR158" i="12"/>
  <c r="BS158" i="12"/>
  <c r="BT158" i="12"/>
  <c r="BU158" i="12"/>
  <c r="BV158" i="12"/>
  <c r="BW158" i="12"/>
  <c r="BX158" i="12"/>
  <c r="BY158" i="12"/>
  <c r="BZ158" i="12"/>
  <c r="CA158" i="12"/>
  <c r="CB158" i="12"/>
  <c r="CC158" i="12"/>
  <c r="CD158" i="12"/>
  <c r="CE158" i="12"/>
  <c r="CF158" i="12"/>
  <c r="CG158" i="12"/>
  <c r="CH158" i="12"/>
  <c r="CI158" i="12"/>
  <c r="CJ158" i="12"/>
  <c r="CK158" i="12"/>
  <c r="CL158" i="12"/>
  <c r="CM158" i="12"/>
  <c r="CN158" i="12"/>
  <c r="CO158" i="12"/>
  <c r="CP158" i="12"/>
  <c r="CQ158" i="12"/>
  <c r="CR158" i="12"/>
  <c r="CS158" i="12"/>
  <c r="CT158" i="12"/>
  <c r="CU158" i="12"/>
  <c r="CV158" i="12"/>
  <c r="CW158" i="12"/>
  <c r="CX158" i="12"/>
  <c r="CY158" i="12"/>
  <c r="CZ158" i="12"/>
  <c r="DA158" i="12"/>
  <c r="DB158" i="12"/>
  <c r="DC158" i="12"/>
  <c r="DD158" i="12"/>
  <c r="DE158" i="12"/>
  <c r="DF158" i="12"/>
  <c r="DG158" i="12"/>
  <c r="DH158" i="12"/>
  <c r="DI158" i="12"/>
  <c r="DJ158" i="12"/>
  <c r="DK158" i="12"/>
  <c r="DL158" i="12"/>
  <c r="DM158" i="12"/>
  <c r="DN158" i="12"/>
  <c r="DO158" i="12"/>
  <c r="DP158" i="12"/>
  <c r="DQ158" i="12"/>
  <c r="DR158" i="12"/>
  <c r="DS158" i="12"/>
  <c r="DT158" i="12"/>
  <c r="DU158" i="12"/>
  <c r="DV158" i="12"/>
  <c r="DW158" i="12"/>
  <c r="DX158" i="12"/>
  <c r="DY158" i="12"/>
  <c r="DZ158" i="12"/>
  <c r="EA158" i="12"/>
  <c r="EB158" i="12"/>
  <c r="EC158" i="12"/>
  <c r="ED158" i="12"/>
  <c r="EE158" i="12"/>
  <c r="EF158" i="12"/>
  <c r="EG158" i="12"/>
  <c r="EH158" i="12"/>
  <c r="EI158" i="12"/>
  <c r="EJ158" i="12"/>
  <c r="EK158" i="12"/>
  <c r="EL158" i="12"/>
  <c r="EM158" i="12"/>
  <c r="EN158" i="12"/>
  <c r="EO158" i="12"/>
  <c r="EP158" i="12"/>
  <c r="EQ158" i="12"/>
  <c r="ER158" i="12"/>
  <c r="ES158" i="12"/>
  <c r="ET158" i="12"/>
  <c r="EU158" i="12"/>
  <c r="EV158" i="12"/>
  <c r="EW158" i="12"/>
  <c r="EX158" i="12"/>
  <c r="EY158" i="12"/>
  <c r="EZ158" i="12"/>
  <c r="FA158" i="12"/>
  <c r="FB158" i="12"/>
  <c r="FC158" i="12"/>
  <c r="FD158" i="12"/>
  <c r="FE158" i="12"/>
  <c r="FF158" i="12"/>
  <c r="FG158" i="12"/>
  <c r="FH158" i="12"/>
  <c r="FI158" i="12"/>
  <c r="FJ158" i="12"/>
  <c r="FK158" i="12"/>
  <c r="FL158" i="12"/>
  <c r="FM158" i="12"/>
  <c r="FN158" i="12"/>
  <c r="FO158" i="12"/>
  <c r="FP158" i="12"/>
  <c r="FQ158" i="12"/>
  <c r="FR158" i="12"/>
  <c r="FS158" i="12"/>
  <c r="FT158" i="12"/>
  <c r="FU158" i="12"/>
  <c r="FV158" i="12"/>
  <c r="FW158" i="12"/>
  <c r="FX158" i="12"/>
  <c r="FY158" i="12"/>
  <c r="FZ158" i="12"/>
  <c r="GA158" i="12"/>
  <c r="GB158" i="12"/>
  <c r="GC158" i="12"/>
  <c r="GD158" i="12"/>
  <c r="GE158" i="12"/>
  <c r="GF158" i="12"/>
  <c r="GG158" i="12"/>
  <c r="GH158" i="12"/>
  <c r="GI158" i="12"/>
  <c r="GJ158" i="12"/>
  <c r="GK158" i="12"/>
  <c r="GL158" i="12"/>
  <c r="GM158" i="12"/>
  <c r="GN158" i="12"/>
  <c r="GO158" i="12"/>
  <c r="GP158" i="12"/>
  <c r="GQ158" i="12"/>
  <c r="GR158" i="12"/>
  <c r="GS158" i="12"/>
  <c r="GT158" i="12"/>
  <c r="GU158" i="12"/>
  <c r="GV158" i="12"/>
  <c r="GW158" i="12"/>
  <c r="GX158" i="12"/>
  <c r="GY158" i="12"/>
  <c r="GZ158" i="12"/>
  <c r="HA158" i="12"/>
  <c r="HB158" i="12"/>
  <c r="HC158" i="12"/>
  <c r="HD158" i="12"/>
  <c r="HE158" i="12"/>
  <c r="HF158" i="12"/>
  <c r="HG158" i="12"/>
  <c r="HH158" i="12"/>
  <c r="HI158" i="12"/>
  <c r="HJ158" i="12"/>
  <c r="HK158" i="12"/>
  <c r="HL158" i="12"/>
  <c r="HM158" i="12"/>
  <c r="HN158" i="12"/>
  <c r="HO158" i="12"/>
  <c r="HP158" i="12"/>
  <c r="HQ158" i="12"/>
  <c r="HR158" i="12"/>
  <c r="HS158" i="12"/>
  <c r="HT158" i="12"/>
  <c r="HU158" i="12"/>
  <c r="HV158" i="12"/>
  <c r="HW158" i="12"/>
  <c r="HX158" i="12"/>
  <c r="HY158" i="12"/>
  <c r="HZ158" i="12"/>
  <c r="IA158" i="12"/>
  <c r="IB158" i="12"/>
  <c r="IC158" i="12"/>
  <c r="ID158" i="12"/>
  <c r="IE158" i="12"/>
  <c r="IF158" i="12"/>
  <c r="IG158" i="12"/>
  <c r="IH158" i="12"/>
  <c r="II158" i="12"/>
  <c r="IJ158" i="12"/>
  <c r="IK158" i="12"/>
  <c r="IL158" i="12"/>
  <c r="IM158" i="12"/>
  <c r="IN158" i="12"/>
  <c r="IO158" i="12"/>
  <c r="IP158" i="12"/>
  <c r="IQ158" i="12"/>
  <c r="IR158" i="12"/>
  <c r="IS158" i="12"/>
  <c r="IT158" i="12"/>
  <c r="IU158" i="12"/>
  <c r="IV158" i="12"/>
  <c r="F159" i="12"/>
  <c r="G159" i="12"/>
  <c r="H159" i="12"/>
  <c r="I159" i="12"/>
  <c r="J159" i="12"/>
  <c r="K159" i="12"/>
  <c r="L159" i="12"/>
  <c r="M159" i="12"/>
  <c r="N159" i="12"/>
  <c r="O159" i="12"/>
  <c r="P159" i="12"/>
  <c r="Q159" i="12"/>
  <c r="R159" i="12"/>
  <c r="S159" i="12"/>
  <c r="T159" i="12"/>
  <c r="U159" i="12"/>
  <c r="V159" i="12"/>
  <c r="W159" i="12"/>
  <c r="X159" i="12"/>
  <c r="Y159" i="12"/>
  <c r="Z159" i="12"/>
  <c r="AA159" i="12"/>
  <c r="AB159" i="12"/>
  <c r="AC159" i="12"/>
  <c r="AD159" i="12"/>
  <c r="AE159" i="12"/>
  <c r="AF159" i="12"/>
  <c r="AG159" i="12"/>
  <c r="AH159" i="12"/>
  <c r="AI159" i="12"/>
  <c r="AJ159" i="12"/>
  <c r="AK159" i="12"/>
  <c r="AL159" i="12"/>
  <c r="AM159" i="12"/>
  <c r="AN159" i="12"/>
  <c r="AO159" i="12"/>
  <c r="AP159" i="12"/>
  <c r="AQ159" i="12"/>
  <c r="AR159" i="12"/>
  <c r="AS159" i="12"/>
  <c r="AT159" i="12"/>
  <c r="AU159" i="12"/>
  <c r="AV159" i="12"/>
  <c r="AW159" i="12"/>
  <c r="AX159" i="12"/>
  <c r="AY159" i="12"/>
  <c r="AZ159" i="12"/>
  <c r="BA159" i="12"/>
  <c r="BB159" i="12"/>
  <c r="BC159" i="12"/>
  <c r="BD159" i="12"/>
  <c r="BE159" i="12"/>
  <c r="BF159" i="12"/>
  <c r="BG159" i="12"/>
  <c r="BH159" i="12"/>
  <c r="BI159" i="12"/>
  <c r="BJ159" i="12"/>
  <c r="BK159" i="12"/>
  <c r="BL159" i="12"/>
  <c r="BM159" i="12"/>
  <c r="BN159" i="12"/>
  <c r="BO159" i="12"/>
  <c r="BP159" i="12"/>
  <c r="BQ159" i="12"/>
  <c r="BR159" i="12"/>
  <c r="BS159" i="12"/>
  <c r="BT159" i="12"/>
  <c r="BU159" i="12"/>
  <c r="BV159" i="12"/>
  <c r="BW159" i="12"/>
  <c r="BX159" i="12"/>
  <c r="BY159" i="12"/>
  <c r="BZ159" i="12"/>
  <c r="CA159" i="12"/>
  <c r="CB159" i="12"/>
  <c r="CC159" i="12"/>
  <c r="CD159" i="12"/>
  <c r="CE159" i="12"/>
  <c r="CF159" i="12"/>
  <c r="CG159" i="12"/>
  <c r="CH159" i="12"/>
  <c r="CI159" i="12"/>
  <c r="CJ159" i="12"/>
  <c r="CK159" i="12"/>
  <c r="CL159" i="12"/>
  <c r="CM159" i="12"/>
  <c r="CN159" i="12"/>
  <c r="CO159" i="12"/>
  <c r="CP159" i="12"/>
  <c r="CQ159" i="12"/>
  <c r="CR159" i="12"/>
  <c r="CS159" i="12"/>
  <c r="CT159" i="12"/>
  <c r="CU159" i="12"/>
  <c r="CV159" i="12"/>
  <c r="CW159" i="12"/>
  <c r="CX159" i="12"/>
  <c r="CY159" i="12"/>
  <c r="CZ159" i="12"/>
  <c r="DA159" i="12"/>
  <c r="DB159" i="12"/>
  <c r="DC159" i="12"/>
  <c r="DD159" i="12"/>
  <c r="DE159" i="12"/>
  <c r="DF159" i="12"/>
  <c r="DG159" i="12"/>
  <c r="DH159" i="12"/>
  <c r="DI159" i="12"/>
  <c r="DJ159" i="12"/>
  <c r="DK159" i="12"/>
  <c r="DL159" i="12"/>
  <c r="DM159" i="12"/>
  <c r="DN159" i="12"/>
  <c r="DO159" i="12"/>
  <c r="DP159" i="12"/>
  <c r="DQ159" i="12"/>
  <c r="DR159" i="12"/>
  <c r="DS159" i="12"/>
  <c r="DT159" i="12"/>
  <c r="DU159" i="12"/>
  <c r="DV159" i="12"/>
  <c r="DW159" i="12"/>
  <c r="DX159" i="12"/>
  <c r="DY159" i="12"/>
  <c r="DZ159" i="12"/>
  <c r="EA159" i="12"/>
  <c r="EB159" i="12"/>
  <c r="EC159" i="12"/>
  <c r="ED159" i="12"/>
  <c r="EE159" i="12"/>
  <c r="EF159" i="12"/>
  <c r="EG159" i="12"/>
  <c r="EH159" i="12"/>
  <c r="EI159" i="12"/>
  <c r="EJ159" i="12"/>
  <c r="EK159" i="12"/>
  <c r="EL159" i="12"/>
  <c r="EM159" i="12"/>
  <c r="EN159" i="12"/>
  <c r="EO159" i="12"/>
  <c r="EP159" i="12"/>
  <c r="EQ159" i="12"/>
  <c r="ER159" i="12"/>
  <c r="ES159" i="12"/>
  <c r="ET159" i="12"/>
  <c r="EU159" i="12"/>
  <c r="EV159" i="12"/>
  <c r="EW159" i="12"/>
  <c r="EX159" i="12"/>
  <c r="EY159" i="12"/>
  <c r="EZ159" i="12"/>
  <c r="FA159" i="12"/>
  <c r="FB159" i="12"/>
  <c r="FC159" i="12"/>
  <c r="FD159" i="12"/>
  <c r="FE159" i="12"/>
  <c r="FF159" i="12"/>
  <c r="FG159" i="12"/>
  <c r="FH159" i="12"/>
  <c r="FI159" i="12"/>
  <c r="FJ159" i="12"/>
  <c r="FK159" i="12"/>
  <c r="FL159" i="12"/>
  <c r="FM159" i="12"/>
  <c r="FN159" i="12"/>
  <c r="FO159" i="12"/>
  <c r="FP159" i="12"/>
  <c r="FQ159" i="12"/>
  <c r="FR159" i="12"/>
  <c r="FS159" i="12"/>
  <c r="FT159" i="12"/>
  <c r="FU159" i="12"/>
  <c r="FV159" i="12"/>
  <c r="FW159" i="12"/>
  <c r="FX159" i="12"/>
  <c r="FY159" i="12"/>
  <c r="FZ159" i="12"/>
  <c r="GA159" i="12"/>
  <c r="GB159" i="12"/>
  <c r="GC159" i="12"/>
  <c r="GD159" i="12"/>
  <c r="GE159" i="12"/>
  <c r="GF159" i="12"/>
  <c r="GG159" i="12"/>
  <c r="GH159" i="12"/>
  <c r="GI159" i="12"/>
  <c r="GJ159" i="12"/>
  <c r="GK159" i="12"/>
  <c r="GL159" i="12"/>
  <c r="GM159" i="12"/>
  <c r="GN159" i="12"/>
  <c r="GO159" i="12"/>
  <c r="GP159" i="12"/>
  <c r="GQ159" i="12"/>
  <c r="GR159" i="12"/>
  <c r="GS159" i="12"/>
  <c r="GT159" i="12"/>
  <c r="GU159" i="12"/>
  <c r="GV159" i="12"/>
  <c r="GW159" i="12"/>
  <c r="GX159" i="12"/>
  <c r="GY159" i="12"/>
  <c r="GZ159" i="12"/>
  <c r="HA159" i="12"/>
  <c r="HB159" i="12"/>
  <c r="HC159" i="12"/>
  <c r="HD159" i="12"/>
  <c r="HE159" i="12"/>
  <c r="HF159" i="12"/>
  <c r="HG159" i="12"/>
  <c r="HH159" i="12"/>
  <c r="HI159" i="12"/>
  <c r="HJ159" i="12"/>
  <c r="HK159" i="12"/>
  <c r="HL159" i="12"/>
  <c r="HM159" i="12"/>
  <c r="HN159" i="12"/>
  <c r="HO159" i="12"/>
  <c r="HP159" i="12"/>
  <c r="HQ159" i="12"/>
  <c r="HR159" i="12"/>
  <c r="HS159" i="12"/>
  <c r="HT159" i="12"/>
  <c r="HU159" i="12"/>
  <c r="HV159" i="12"/>
  <c r="HW159" i="12"/>
  <c r="HX159" i="12"/>
  <c r="HY159" i="12"/>
  <c r="HZ159" i="12"/>
  <c r="IA159" i="12"/>
  <c r="IB159" i="12"/>
  <c r="IC159" i="12"/>
  <c r="ID159" i="12"/>
  <c r="IE159" i="12"/>
  <c r="IF159" i="12"/>
  <c r="IG159" i="12"/>
  <c r="IH159" i="12"/>
  <c r="II159" i="12"/>
  <c r="IJ159" i="12"/>
  <c r="IK159" i="12"/>
  <c r="IL159" i="12"/>
  <c r="IM159" i="12"/>
  <c r="IN159" i="12"/>
  <c r="IO159" i="12"/>
  <c r="IP159" i="12"/>
  <c r="IQ159" i="12"/>
  <c r="IR159" i="12"/>
  <c r="IS159" i="12"/>
  <c r="IT159" i="12"/>
  <c r="IU159" i="12"/>
  <c r="IV159" i="12"/>
  <c r="F160" i="12"/>
  <c r="G160" i="12"/>
  <c r="H160" i="12"/>
  <c r="I160" i="12"/>
  <c r="J160" i="12"/>
  <c r="K160" i="12"/>
  <c r="L160" i="12"/>
  <c r="M160" i="12"/>
  <c r="N160" i="12"/>
  <c r="O160" i="12"/>
  <c r="P160" i="12"/>
  <c r="Q160" i="12"/>
  <c r="R160" i="12"/>
  <c r="S160" i="12"/>
  <c r="T160" i="12"/>
  <c r="U160" i="12"/>
  <c r="V160" i="12"/>
  <c r="W160" i="12"/>
  <c r="X160" i="12"/>
  <c r="Y160" i="12"/>
  <c r="Z160" i="12"/>
  <c r="AA160" i="12"/>
  <c r="AB160" i="12"/>
  <c r="AC160" i="12"/>
  <c r="AD160" i="12"/>
  <c r="AE160" i="12"/>
  <c r="AF160" i="12"/>
  <c r="AG160" i="12"/>
  <c r="AH160" i="12"/>
  <c r="AI160" i="12"/>
  <c r="AJ160" i="12"/>
  <c r="AK160" i="12"/>
  <c r="AL160" i="12"/>
  <c r="AM160" i="12"/>
  <c r="AN160" i="12"/>
  <c r="AO160" i="12"/>
  <c r="AP160" i="12"/>
  <c r="AQ160" i="12"/>
  <c r="AR160" i="12"/>
  <c r="AS160" i="12"/>
  <c r="AT160" i="12"/>
  <c r="AU160" i="12"/>
  <c r="AV160" i="12"/>
  <c r="AW160" i="12"/>
  <c r="AX160" i="12"/>
  <c r="AY160" i="12"/>
  <c r="AZ160" i="12"/>
  <c r="BA160" i="12"/>
  <c r="BB160" i="12"/>
  <c r="BC160" i="12"/>
  <c r="BD160" i="12"/>
  <c r="BE160" i="12"/>
  <c r="BF160" i="12"/>
  <c r="BG160" i="12"/>
  <c r="BH160" i="12"/>
  <c r="BI160" i="12"/>
  <c r="BJ160" i="12"/>
  <c r="BK160" i="12"/>
  <c r="BL160" i="12"/>
  <c r="BM160" i="12"/>
  <c r="BN160" i="12"/>
  <c r="BO160" i="12"/>
  <c r="BP160" i="12"/>
  <c r="BQ160" i="12"/>
  <c r="BR160" i="12"/>
  <c r="BS160" i="12"/>
  <c r="BT160" i="12"/>
  <c r="BU160" i="12"/>
  <c r="BV160" i="12"/>
  <c r="BW160" i="12"/>
  <c r="BX160" i="12"/>
  <c r="BY160" i="12"/>
  <c r="BZ160" i="12"/>
  <c r="CA160" i="12"/>
  <c r="CB160" i="12"/>
  <c r="CC160" i="12"/>
  <c r="CD160" i="12"/>
  <c r="CE160" i="12"/>
  <c r="CF160" i="12"/>
  <c r="CG160" i="12"/>
  <c r="CH160" i="12"/>
  <c r="CI160" i="12"/>
  <c r="CJ160" i="12"/>
  <c r="CK160" i="12"/>
  <c r="CL160" i="12"/>
  <c r="CM160" i="12"/>
  <c r="CN160" i="12"/>
  <c r="CO160" i="12"/>
  <c r="CP160" i="12"/>
  <c r="CQ160" i="12"/>
  <c r="CR160" i="12"/>
  <c r="CS160" i="12"/>
  <c r="CT160" i="12"/>
  <c r="CU160" i="12"/>
  <c r="CV160" i="12"/>
  <c r="CW160" i="12"/>
  <c r="CX160" i="12"/>
  <c r="CY160" i="12"/>
  <c r="CZ160" i="12"/>
  <c r="DA160" i="12"/>
  <c r="DB160" i="12"/>
  <c r="DC160" i="12"/>
  <c r="DD160" i="12"/>
  <c r="DE160" i="12"/>
  <c r="DF160" i="12"/>
  <c r="DG160" i="12"/>
  <c r="DH160" i="12"/>
  <c r="DI160" i="12"/>
  <c r="DJ160" i="12"/>
  <c r="DK160" i="12"/>
  <c r="DL160" i="12"/>
  <c r="DM160" i="12"/>
  <c r="DN160" i="12"/>
  <c r="DO160" i="12"/>
  <c r="DP160" i="12"/>
  <c r="DQ160" i="12"/>
  <c r="DR160" i="12"/>
  <c r="DS160" i="12"/>
  <c r="DT160" i="12"/>
  <c r="DU160" i="12"/>
  <c r="DV160" i="12"/>
  <c r="DW160" i="12"/>
  <c r="DX160" i="12"/>
  <c r="DY160" i="12"/>
  <c r="DZ160" i="12"/>
  <c r="EA160" i="12"/>
  <c r="EB160" i="12"/>
  <c r="EC160" i="12"/>
  <c r="ED160" i="12"/>
  <c r="EE160" i="12"/>
  <c r="EF160" i="12"/>
  <c r="EG160" i="12"/>
  <c r="EH160" i="12"/>
  <c r="EI160" i="12"/>
  <c r="EJ160" i="12"/>
  <c r="EK160" i="12"/>
  <c r="EL160" i="12"/>
  <c r="EM160" i="12"/>
  <c r="EN160" i="12"/>
  <c r="EO160" i="12"/>
  <c r="EP160" i="12"/>
  <c r="EQ160" i="12"/>
  <c r="ER160" i="12"/>
  <c r="ES160" i="12"/>
  <c r="ET160" i="12"/>
  <c r="EU160" i="12"/>
  <c r="EV160" i="12"/>
  <c r="EW160" i="12"/>
  <c r="EX160" i="12"/>
  <c r="EY160" i="12"/>
  <c r="EZ160" i="12"/>
  <c r="FA160" i="12"/>
  <c r="FB160" i="12"/>
  <c r="FC160" i="12"/>
  <c r="FD160" i="12"/>
  <c r="FE160" i="12"/>
  <c r="FF160" i="12"/>
  <c r="FG160" i="12"/>
  <c r="FH160" i="12"/>
  <c r="FI160" i="12"/>
  <c r="FJ160" i="12"/>
  <c r="FK160" i="12"/>
  <c r="FL160" i="12"/>
  <c r="FM160" i="12"/>
  <c r="FN160" i="12"/>
  <c r="FO160" i="12"/>
  <c r="FP160" i="12"/>
  <c r="FQ160" i="12"/>
  <c r="FR160" i="12"/>
  <c r="FS160" i="12"/>
  <c r="FT160" i="12"/>
  <c r="FU160" i="12"/>
  <c r="FV160" i="12"/>
  <c r="FW160" i="12"/>
  <c r="FX160" i="12"/>
  <c r="FY160" i="12"/>
  <c r="FZ160" i="12"/>
  <c r="GA160" i="12"/>
  <c r="GB160" i="12"/>
  <c r="GC160" i="12"/>
  <c r="GD160" i="12"/>
  <c r="GE160" i="12"/>
  <c r="GF160" i="12"/>
  <c r="GG160" i="12"/>
  <c r="GH160" i="12"/>
  <c r="GI160" i="12"/>
  <c r="GJ160" i="12"/>
  <c r="GK160" i="12"/>
  <c r="GL160" i="12"/>
  <c r="GM160" i="12"/>
  <c r="GN160" i="12"/>
  <c r="GO160" i="12"/>
  <c r="GP160" i="12"/>
  <c r="GQ160" i="12"/>
  <c r="GR160" i="12"/>
  <c r="GS160" i="12"/>
  <c r="GT160" i="12"/>
  <c r="GU160" i="12"/>
  <c r="GV160" i="12"/>
  <c r="GW160" i="12"/>
  <c r="GX160" i="12"/>
  <c r="GY160" i="12"/>
  <c r="GZ160" i="12"/>
  <c r="HA160" i="12"/>
  <c r="HB160" i="12"/>
  <c r="HC160" i="12"/>
  <c r="HD160" i="12"/>
  <c r="HE160" i="12"/>
  <c r="HF160" i="12"/>
  <c r="HG160" i="12"/>
  <c r="HH160" i="12"/>
  <c r="HI160" i="12"/>
  <c r="HJ160" i="12"/>
  <c r="HK160" i="12"/>
  <c r="HL160" i="12"/>
  <c r="HM160" i="12"/>
  <c r="HN160" i="12"/>
  <c r="HO160" i="12"/>
  <c r="HP160" i="12"/>
  <c r="HQ160" i="12"/>
  <c r="HR160" i="12"/>
  <c r="HS160" i="12"/>
  <c r="HT160" i="12"/>
  <c r="HU160" i="12"/>
  <c r="HV160" i="12"/>
  <c r="HW160" i="12"/>
  <c r="HX160" i="12"/>
  <c r="HY160" i="12"/>
  <c r="HZ160" i="12"/>
  <c r="IA160" i="12"/>
  <c r="IB160" i="12"/>
  <c r="IC160" i="12"/>
  <c r="ID160" i="12"/>
  <c r="IE160" i="12"/>
  <c r="IF160" i="12"/>
  <c r="IG160" i="12"/>
  <c r="IH160" i="12"/>
  <c r="II160" i="12"/>
  <c r="IJ160" i="12"/>
  <c r="IK160" i="12"/>
  <c r="IL160" i="12"/>
  <c r="IM160" i="12"/>
  <c r="IN160" i="12"/>
  <c r="IO160" i="12"/>
  <c r="IP160" i="12"/>
  <c r="IQ160" i="12"/>
  <c r="IR160" i="12"/>
  <c r="IS160" i="12"/>
  <c r="IT160" i="12"/>
  <c r="IU160" i="12"/>
  <c r="IV160" i="12"/>
  <c r="F161" i="12"/>
  <c r="G161" i="12"/>
  <c r="H161" i="12"/>
  <c r="I161" i="12"/>
  <c r="J161" i="12"/>
  <c r="K161" i="12"/>
  <c r="L161" i="12"/>
  <c r="M161" i="12"/>
  <c r="N161" i="12"/>
  <c r="O161" i="12"/>
  <c r="P161" i="12"/>
  <c r="Q161" i="12"/>
  <c r="R161" i="12"/>
  <c r="S161" i="12"/>
  <c r="T161" i="12"/>
  <c r="U161" i="12"/>
  <c r="V161" i="12"/>
  <c r="W161" i="12"/>
  <c r="X161" i="12"/>
  <c r="Y161" i="12"/>
  <c r="Z161" i="12"/>
  <c r="AA161" i="12"/>
  <c r="AB161" i="12"/>
  <c r="AC161" i="12"/>
  <c r="AD161" i="12"/>
  <c r="AE161" i="12"/>
  <c r="AF161" i="12"/>
  <c r="AG161" i="12"/>
  <c r="AH161" i="12"/>
  <c r="AI161" i="12"/>
  <c r="AJ161" i="12"/>
  <c r="AK161" i="12"/>
  <c r="AL161" i="12"/>
  <c r="AM161" i="12"/>
  <c r="AN161" i="12"/>
  <c r="AO161" i="12"/>
  <c r="AP161" i="12"/>
  <c r="AQ161" i="12"/>
  <c r="AR161" i="12"/>
  <c r="AS161" i="12"/>
  <c r="AT161" i="12"/>
  <c r="AU161" i="12"/>
  <c r="AV161" i="12"/>
  <c r="AW161" i="12"/>
  <c r="AX161" i="12"/>
  <c r="AY161" i="12"/>
  <c r="AZ161" i="12"/>
  <c r="BA161" i="12"/>
  <c r="BB161" i="12"/>
  <c r="BC161" i="12"/>
  <c r="BD161" i="12"/>
  <c r="BE161" i="12"/>
  <c r="BF161" i="12"/>
  <c r="BG161" i="12"/>
  <c r="BH161" i="12"/>
  <c r="BI161" i="12"/>
  <c r="BJ161" i="12"/>
  <c r="BK161" i="12"/>
  <c r="BL161" i="12"/>
  <c r="BM161" i="12"/>
  <c r="BN161" i="12"/>
  <c r="BO161" i="12"/>
  <c r="BP161" i="12"/>
  <c r="BQ161" i="12"/>
  <c r="BR161" i="12"/>
  <c r="BS161" i="12"/>
  <c r="BT161" i="12"/>
  <c r="BU161" i="12"/>
  <c r="BV161" i="12"/>
  <c r="BW161" i="12"/>
  <c r="BX161" i="12"/>
  <c r="BY161" i="12"/>
  <c r="BZ161" i="12"/>
  <c r="CA161" i="12"/>
  <c r="CB161" i="12"/>
  <c r="CC161" i="12"/>
  <c r="CD161" i="12"/>
  <c r="CE161" i="12"/>
  <c r="CF161" i="12"/>
  <c r="CG161" i="12"/>
  <c r="CH161" i="12"/>
  <c r="CI161" i="12"/>
  <c r="CJ161" i="12"/>
  <c r="CK161" i="12"/>
  <c r="CL161" i="12"/>
  <c r="CM161" i="12"/>
  <c r="CN161" i="12"/>
  <c r="CO161" i="12"/>
  <c r="CP161" i="12"/>
  <c r="CQ161" i="12"/>
  <c r="CR161" i="12"/>
  <c r="CS161" i="12"/>
  <c r="CT161" i="12"/>
  <c r="CU161" i="12"/>
  <c r="CV161" i="12"/>
  <c r="CW161" i="12"/>
  <c r="CX161" i="12"/>
  <c r="CY161" i="12"/>
  <c r="CZ161" i="12"/>
  <c r="DA161" i="12"/>
  <c r="DB161" i="12"/>
  <c r="DC161" i="12"/>
  <c r="DD161" i="12"/>
  <c r="DE161" i="12"/>
  <c r="DF161" i="12"/>
  <c r="DG161" i="12"/>
  <c r="DH161" i="12"/>
  <c r="DI161" i="12"/>
  <c r="DJ161" i="12"/>
  <c r="DK161" i="12"/>
  <c r="DL161" i="12"/>
  <c r="DM161" i="12"/>
  <c r="DN161" i="12"/>
  <c r="DO161" i="12"/>
  <c r="DP161" i="12"/>
  <c r="DQ161" i="12"/>
  <c r="DR161" i="12"/>
  <c r="DS161" i="12"/>
  <c r="DT161" i="12"/>
  <c r="DU161" i="12"/>
  <c r="DV161" i="12"/>
  <c r="DW161" i="12"/>
  <c r="DX161" i="12"/>
  <c r="DY161" i="12"/>
  <c r="DZ161" i="12"/>
  <c r="EA161" i="12"/>
  <c r="EB161" i="12"/>
  <c r="EC161" i="12"/>
  <c r="ED161" i="12"/>
  <c r="EE161" i="12"/>
  <c r="EF161" i="12"/>
  <c r="EG161" i="12"/>
  <c r="EH161" i="12"/>
  <c r="EI161" i="12"/>
  <c r="EJ161" i="12"/>
  <c r="EK161" i="12"/>
  <c r="EL161" i="12"/>
  <c r="EM161" i="12"/>
  <c r="EN161" i="12"/>
  <c r="EO161" i="12"/>
  <c r="EP161" i="12"/>
  <c r="EQ161" i="12"/>
  <c r="ER161" i="12"/>
  <c r="ES161" i="12"/>
  <c r="ET161" i="12"/>
  <c r="EU161" i="12"/>
  <c r="EV161" i="12"/>
  <c r="EW161" i="12"/>
  <c r="EX161" i="12"/>
  <c r="EY161" i="12"/>
  <c r="EZ161" i="12"/>
  <c r="FA161" i="12"/>
  <c r="FB161" i="12"/>
  <c r="FC161" i="12"/>
  <c r="FD161" i="12"/>
  <c r="FE161" i="12"/>
  <c r="FF161" i="12"/>
  <c r="FG161" i="12"/>
  <c r="FH161" i="12"/>
  <c r="FI161" i="12"/>
  <c r="FJ161" i="12"/>
  <c r="FK161" i="12"/>
  <c r="FL161" i="12"/>
  <c r="FM161" i="12"/>
  <c r="FN161" i="12"/>
  <c r="FO161" i="12"/>
  <c r="FP161" i="12"/>
  <c r="FQ161" i="12"/>
  <c r="FR161" i="12"/>
  <c r="FS161" i="12"/>
  <c r="FT161" i="12"/>
  <c r="FU161" i="12"/>
  <c r="FV161" i="12"/>
  <c r="FW161" i="12"/>
  <c r="FX161" i="12"/>
  <c r="FY161" i="12"/>
  <c r="FZ161" i="12"/>
  <c r="GA161" i="12"/>
  <c r="GB161" i="12"/>
  <c r="GC161" i="12"/>
  <c r="GD161" i="12"/>
  <c r="GE161" i="12"/>
  <c r="GF161" i="12"/>
  <c r="GG161" i="12"/>
  <c r="GH161" i="12"/>
  <c r="GI161" i="12"/>
  <c r="GJ161" i="12"/>
  <c r="GK161" i="12"/>
  <c r="GL161" i="12"/>
  <c r="GM161" i="12"/>
  <c r="GN161" i="12"/>
  <c r="GO161" i="12"/>
  <c r="GP161" i="12"/>
  <c r="GQ161" i="12"/>
  <c r="GR161" i="12"/>
  <c r="GS161" i="12"/>
  <c r="GT161" i="12"/>
  <c r="GU161" i="12"/>
  <c r="GV161" i="12"/>
  <c r="GW161" i="12"/>
  <c r="GX161" i="12"/>
  <c r="GY161" i="12"/>
  <c r="GZ161" i="12"/>
  <c r="HA161" i="12"/>
  <c r="HB161" i="12"/>
  <c r="HC161" i="12"/>
  <c r="HD161" i="12"/>
  <c r="HE161" i="12"/>
  <c r="HF161" i="12"/>
  <c r="HG161" i="12"/>
  <c r="HH161" i="12"/>
  <c r="HI161" i="12"/>
  <c r="HJ161" i="12"/>
  <c r="HK161" i="12"/>
  <c r="HL161" i="12"/>
  <c r="HM161" i="12"/>
  <c r="HN161" i="12"/>
  <c r="HO161" i="12"/>
  <c r="HP161" i="12"/>
  <c r="HQ161" i="12"/>
  <c r="HR161" i="12"/>
  <c r="HS161" i="12"/>
  <c r="HT161" i="12"/>
  <c r="HU161" i="12"/>
  <c r="HV161" i="12"/>
  <c r="HW161" i="12"/>
  <c r="HX161" i="12"/>
  <c r="HY161" i="12"/>
  <c r="HZ161" i="12"/>
  <c r="IA161" i="12"/>
  <c r="IB161" i="12"/>
  <c r="IC161" i="12"/>
  <c r="ID161" i="12"/>
  <c r="IE161" i="12"/>
  <c r="IF161" i="12"/>
  <c r="IG161" i="12"/>
  <c r="IH161" i="12"/>
  <c r="II161" i="12"/>
  <c r="IJ161" i="12"/>
  <c r="IK161" i="12"/>
  <c r="IL161" i="12"/>
  <c r="IM161" i="12"/>
  <c r="IN161" i="12"/>
  <c r="IO161" i="12"/>
  <c r="IP161" i="12"/>
  <c r="IQ161" i="12"/>
  <c r="IR161" i="12"/>
  <c r="IS161" i="12"/>
  <c r="IT161" i="12"/>
  <c r="IU161" i="12"/>
  <c r="IV161" i="12"/>
  <c r="F162" i="12"/>
  <c r="G162" i="12"/>
  <c r="H162" i="12"/>
  <c r="I162" i="12"/>
  <c r="J162" i="12"/>
  <c r="K162" i="12"/>
  <c r="L162" i="12"/>
  <c r="M162" i="12"/>
  <c r="N162" i="12"/>
  <c r="O162" i="12"/>
  <c r="P162" i="12"/>
  <c r="Q162" i="12"/>
  <c r="R162" i="12"/>
  <c r="S162" i="12"/>
  <c r="T162" i="12"/>
  <c r="U162" i="12"/>
  <c r="V162" i="12"/>
  <c r="W162" i="12"/>
  <c r="X162" i="12"/>
  <c r="Y162" i="12"/>
  <c r="Z162" i="12"/>
  <c r="AA162" i="12"/>
  <c r="AB162" i="12"/>
  <c r="AC162" i="12"/>
  <c r="AD162" i="12"/>
  <c r="AE162" i="12"/>
  <c r="AF162" i="12"/>
  <c r="AG162" i="12"/>
  <c r="AH162" i="12"/>
  <c r="AI162" i="12"/>
  <c r="AJ162" i="12"/>
  <c r="AK162" i="12"/>
  <c r="AL162" i="12"/>
  <c r="AM162" i="12"/>
  <c r="AN162" i="12"/>
  <c r="AO162" i="12"/>
  <c r="AP162" i="12"/>
  <c r="AQ162" i="12"/>
  <c r="AR162" i="12"/>
  <c r="AS162" i="12"/>
  <c r="AT162" i="12"/>
  <c r="AU162" i="12"/>
  <c r="AV162" i="12"/>
  <c r="AW162" i="12"/>
  <c r="AX162" i="12"/>
  <c r="AY162" i="12"/>
  <c r="AZ162" i="12"/>
  <c r="BA162" i="12"/>
  <c r="BB162" i="12"/>
  <c r="BC162" i="12"/>
  <c r="BD162" i="12"/>
  <c r="BE162" i="12"/>
  <c r="BF162" i="12"/>
  <c r="BG162" i="12"/>
  <c r="BH162" i="12"/>
  <c r="BI162" i="12"/>
  <c r="BJ162" i="12"/>
  <c r="BK162" i="12"/>
  <c r="BL162" i="12"/>
  <c r="BM162" i="12"/>
  <c r="BN162" i="12"/>
  <c r="BO162" i="12"/>
  <c r="BP162" i="12"/>
  <c r="BQ162" i="12"/>
  <c r="BR162" i="12"/>
  <c r="BS162" i="12"/>
  <c r="BT162" i="12"/>
  <c r="BU162" i="12"/>
  <c r="BV162" i="12"/>
  <c r="BW162" i="12"/>
  <c r="BX162" i="12"/>
  <c r="BY162" i="12"/>
  <c r="BZ162" i="12"/>
  <c r="CA162" i="12"/>
  <c r="CB162" i="12"/>
  <c r="CC162" i="12"/>
  <c r="CD162" i="12"/>
  <c r="CE162" i="12"/>
  <c r="CF162" i="12"/>
  <c r="CG162" i="12"/>
  <c r="CH162" i="12"/>
  <c r="CI162" i="12"/>
  <c r="CJ162" i="12"/>
  <c r="CK162" i="12"/>
  <c r="CL162" i="12"/>
  <c r="CM162" i="12"/>
  <c r="CN162" i="12"/>
  <c r="CO162" i="12"/>
  <c r="CP162" i="12"/>
  <c r="CQ162" i="12"/>
  <c r="CR162" i="12"/>
  <c r="CS162" i="12"/>
  <c r="CT162" i="12"/>
  <c r="CU162" i="12"/>
  <c r="CV162" i="12"/>
  <c r="CW162" i="12"/>
  <c r="CX162" i="12"/>
  <c r="CY162" i="12"/>
  <c r="CZ162" i="12"/>
  <c r="DA162" i="12"/>
  <c r="DB162" i="12"/>
  <c r="DC162" i="12"/>
  <c r="DD162" i="12"/>
  <c r="DE162" i="12"/>
  <c r="DF162" i="12"/>
  <c r="DG162" i="12"/>
  <c r="DH162" i="12"/>
  <c r="DI162" i="12"/>
  <c r="DJ162" i="12"/>
  <c r="DK162" i="12"/>
  <c r="DL162" i="12"/>
  <c r="DM162" i="12"/>
  <c r="DN162" i="12"/>
  <c r="DO162" i="12"/>
  <c r="DP162" i="12"/>
  <c r="DQ162" i="12"/>
  <c r="DR162" i="12"/>
  <c r="DS162" i="12"/>
  <c r="DT162" i="12"/>
  <c r="DU162" i="12"/>
  <c r="DV162" i="12"/>
  <c r="DW162" i="12"/>
  <c r="DX162" i="12"/>
  <c r="DY162" i="12"/>
  <c r="DZ162" i="12"/>
  <c r="EA162" i="12"/>
  <c r="EB162" i="12"/>
  <c r="EC162" i="12"/>
  <c r="ED162" i="12"/>
  <c r="EE162" i="12"/>
  <c r="EF162" i="12"/>
  <c r="EG162" i="12"/>
  <c r="EH162" i="12"/>
  <c r="EI162" i="12"/>
  <c r="EJ162" i="12"/>
  <c r="EK162" i="12"/>
  <c r="EL162" i="12"/>
  <c r="EM162" i="12"/>
  <c r="EN162" i="12"/>
  <c r="EO162" i="12"/>
  <c r="EP162" i="12"/>
  <c r="EQ162" i="12"/>
  <c r="ER162" i="12"/>
  <c r="ES162" i="12"/>
  <c r="ET162" i="12"/>
  <c r="EU162" i="12"/>
  <c r="EV162" i="12"/>
  <c r="EW162" i="12"/>
  <c r="EX162" i="12"/>
  <c r="EY162" i="12"/>
  <c r="EZ162" i="12"/>
  <c r="FA162" i="12"/>
  <c r="FB162" i="12"/>
  <c r="FC162" i="12"/>
  <c r="FD162" i="12"/>
  <c r="FE162" i="12"/>
  <c r="FF162" i="12"/>
  <c r="FG162" i="12"/>
  <c r="FH162" i="12"/>
  <c r="FI162" i="12"/>
  <c r="FJ162" i="12"/>
  <c r="FK162" i="12"/>
  <c r="FL162" i="12"/>
  <c r="FM162" i="12"/>
  <c r="FN162" i="12"/>
  <c r="FO162" i="12"/>
  <c r="FP162" i="12"/>
  <c r="FQ162" i="12"/>
  <c r="FR162" i="12"/>
  <c r="FS162" i="12"/>
  <c r="FT162" i="12"/>
  <c r="FU162" i="12"/>
  <c r="FV162" i="12"/>
  <c r="FW162" i="12"/>
  <c r="FX162" i="12"/>
  <c r="FY162" i="12"/>
  <c r="FZ162" i="12"/>
  <c r="GA162" i="12"/>
  <c r="GB162" i="12"/>
  <c r="GC162" i="12"/>
  <c r="GD162" i="12"/>
  <c r="GE162" i="12"/>
  <c r="GF162" i="12"/>
  <c r="GG162" i="12"/>
  <c r="GH162" i="12"/>
  <c r="GI162" i="12"/>
  <c r="GJ162" i="12"/>
  <c r="GK162" i="12"/>
  <c r="GL162" i="12"/>
  <c r="GM162" i="12"/>
  <c r="GN162" i="12"/>
  <c r="GO162" i="12"/>
  <c r="GP162" i="12"/>
  <c r="GQ162" i="12"/>
  <c r="GR162" i="12"/>
  <c r="GS162" i="12"/>
  <c r="GT162" i="12"/>
  <c r="GU162" i="12"/>
  <c r="GV162" i="12"/>
  <c r="GW162" i="12"/>
  <c r="GX162" i="12"/>
  <c r="GY162" i="12"/>
  <c r="GZ162" i="12"/>
  <c r="HA162" i="12"/>
  <c r="HB162" i="12"/>
  <c r="HC162" i="12"/>
  <c r="HD162" i="12"/>
  <c r="HE162" i="12"/>
  <c r="HF162" i="12"/>
  <c r="HG162" i="12"/>
  <c r="HH162" i="12"/>
  <c r="HI162" i="12"/>
  <c r="HJ162" i="12"/>
  <c r="HK162" i="12"/>
  <c r="HL162" i="12"/>
  <c r="HM162" i="12"/>
  <c r="HN162" i="12"/>
  <c r="HO162" i="12"/>
  <c r="HP162" i="12"/>
  <c r="HQ162" i="12"/>
  <c r="HR162" i="12"/>
  <c r="HS162" i="12"/>
  <c r="HT162" i="12"/>
  <c r="HU162" i="12"/>
  <c r="HV162" i="12"/>
  <c r="HW162" i="12"/>
  <c r="HX162" i="12"/>
  <c r="HY162" i="12"/>
  <c r="HZ162" i="12"/>
  <c r="IA162" i="12"/>
  <c r="IB162" i="12"/>
  <c r="IC162" i="12"/>
  <c r="ID162" i="12"/>
  <c r="IE162" i="12"/>
  <c r="IF162" i="12"/>
  <c r="IG162" i="12"/>
  <c r="IH162" i="12"/>
  <c r="II162" i="12"/>
  <c r="IJ162" i="12"/>
  <c r="IK162" i="12"/>
  <c r="IL162" i="12"/>
  <c r="IM162" i="12"/>
  <c r="IN162" i="12"/>
  <c r="IO162" i="12"/>
  <c r="IP162" i="12"/>
  <c r="IQ162" i="12"/>
  <c r="IR162" i="12"/>
  <c r="IS162" i="12"/>
  <c r="IT162" i="12"/>
  <c r="IU162" i="12"/>
  <c r="IV162" i="12"/>
  <c r="F163" i="12"/>
  <c r="G163" i="12"/>
  <c r="H163" i="12"/>
  <c r="I163" i="12"/>
  <c r="J163" i="12"/>
  <c r="K163" i="12"/>
  <c r="L163" i="12"/>
  <c r="M163" i="12"/>
  <c r="N163" i="12"/>
  <c r="O163" i="12"/>
  <c r="P163" i="12"/>
  <c r="Q163" i="12"/>
  <c r="R163" i="12"/>
  <c r="S163" i="12"/>
  <c r="T163" i="12"/>
  <c r="U163" i="12"/>
  <c r="V163" i="12"/>
  <c r="W163" i="12"/>
  <c r="X163" i="12"/>
  <c r="Y163" i="12"/>
  <c r="Z163" i="12"/>
  <c r="AA163" i="12"/>
  <c r="AB163" i="12"/>
  <c r="AC163" i="12"/>
  <c r="AD163" i="12"/>
  <c r="AE163" i="12"/>
  <c r="AF163" i="12"/>
  <c r="AG163" i="12"/>
  <c r="AH163" i="12"/>
  <c r="AI163" i="12"/>
  <c r="AJ163" i="12"/>
  <c r="AK163" i="12"/>
  <c r="AL163" i="12"/>
  <c r="AM163" i="12"/>
  <c r="AN163" i="12"/>
  <c r="AO163" i="12"/>
  <c r="AP163" i="12"/>
  <c r="AQ163" i="12"/>
  <c r="AR163" i="12"/>
  <c r="AS163" i="12"/>
  <c r="AT163" i="12"/>
  <c r="AU163" i="12"/>
  <c r="AV163" i="12"/>
  <c r="AW163" i="12"/>
  <c r="AX163" i="12"/>
  <c r="AY163" i="12"/>
  <c r="AZ163" i="12"/>
  <c r="BA163" i="12"/>
  <c r="BB163" i="12"/>
  <c r="BC163" i="12"/>
  <c r="BD163" i="12"/>
  <c r="BE163" i="12"/>
  <c r="BF163" i="12"/>
  <c r="BG163" i="12"/>
  <c r="BH163" i="12"/>
  <c r="BI163" i="12"/>
  <c r="BJ163" i="12"/>
  <c r="BK163" i="12"/>
  <c r="BL163" i="12"/>
  <c r="BM163" i="12"/>
  <c r="BN163" i="12"/>
  <c r="BO163" i="12"/>
  <c r="BP163" i="12"/>
  <c r="BQ163" i="12"/>
  <c r="BR163" i="12"/>
  <c r="BS163" i="12"/>
  <c r="BT163" i="12"/>
  <c r="BU163" i="12"/>
  <c r="BV163" i="12"/>
  <c r="BW163" i="12"/>
  <c r="BX163" i="12"/>
  <c r="BY163" i="12"/>
  <c r="BZ163" i="12"/>
  <c r="CA163" i="12"/>
  <c r="CB163" i="12"/>
  <c r="CC163" i="12"/>
  <c r="CD163" i="12"/>
  <c r="CE163" i="12"/>
  <c r="CF163" i="12"/>
  <c r="CG163" i="12"/>
  <c r="CH163" i="12"/>
  <c r="CI163" i="12"/>
  <c r="CJ163" i="12"/>
  <c r="CK163" i="12"/>
  <c r="CL163" i="12"/>
  <c r="CM163" i="12"/>
  <c r="CN163" i="12"/>
  <c r="CO163" i="12"/>
  <c r="CP163" i="12"/>
  <c r="CQ163" i="12"/>
  <c r="CR163" i="12"/>
  <c r="CS163" i="12"/>
  <c r="CT163" i="12"/>
  <c r="CU163" i="12"/>
  <c r="CV163" i="12"/>
  <c r="CW163" i="12"/>
  <c r="CX163" i="12"/>
  <c r="CY163" i="12"/>
  <c r="CZ163" i="12"/>
  <c r="DA163" i="12"/>
  <c r="DB163" i="12"/>
  <c r="DC163" i="12"/>
  <c r="DD163" i="12"/>
  <c r="DE163" i="12"/>
  <c r="DF163" i="12"/>
  <c r="DG163" i="12"/>
  <c r="DH163" i="12"/>
  <c r="DI163" i="12"/>
  <c r="DJ163" i="12"/>
  <c r="DK163" i="12"/>
  <c r="DL163" i="12"/>
  <c r="DM163" i="12"/>
  <c r="DN163" i="12"/>
  <c r="DO163" i="12"/>
  <c r="DP163" i="12"/>
  <c r="DQ163" i="12"/>
  <c r="DR163" i="12"/>
  <c r="DS163" i="12"/>
  <c r="DT163" i="12"/>
  <c r="DU163" i="12"/>
  <c r="DV163" i="12"/>
  <c r="DW163" i="12"/>
  <c r="DX163" i="12"/>
  <c r="DY163" i="12"/>
  <c r="DZ163" i="12"/>
  <c r="EA163" i="12"/>
  <c r="EB163" i="12"/>
  <c r="EC163" i="12"/>
  <c r="ED163" i="12"/>
  <c r="EE163" i="12"/>
  <c r="EF163" i="12"/>
  <c r="EG163" i="12"/>
  <c r="EH163" i="12"/>
  <c r="EI163" i="12"/>
  <c r="EJ163" i="12"/>
  <c r="EK163" i="12"/>
  <c r="EL163" i="12"/>
  <c r="EM163" i="12"/>
  <c r="EN163" i="12"/>
  <c r="EO163" i="12"/>
  <c r="EP163" i="12"/>
  <c r="EQ163" i="12"/>
  <c r="ER163" i="12"/>
  <c r="ES163" i="12"/>
  <c r="ET163" i="12"/>
  <c r="EU163" i="12"/>
  <c r="EV163" i="12"/>
  <c r="EW163" i="12"/>
  <c r="EX163" i="12"/>
  <c r="EY163" i="12"/>
  <c r="EZ163" i="12"/>
  <c r="FA163" i="12"/>
  <c r="FB163" i="12"/>
  <c r="FC163" i="12"/>
  <c r="FD163" i="12"/>
  <c r="FE163" i="12"/>
  <c r="FF163" i="12"/>
  <c r="FG163" i="12"/>
  <c r="FH163" i="12"/>
  <c r="FI163" i="12"/>
  <c r="FJ163" i="12"/>
  <c r="FK163" i="12"/>
  <c r="FL163" i="12"/>
  <c r="FM163" i="12"/>
  <c r="FN163" i="12"/>
  <c r="FO163" i="12"/>
  <c r="FP163" i="12"/>
  <c r="FQ163" i="12"/>
  <c r="FR163" i="12"/>
  <c r="FS163" i="12"/>
  <c r="FT163" i="12"/>
  <c r="FU163" i="12"/>
  <c r="FV163" i="12"/>
  <c r="FW163" i="12"/>
  <c r="FX163" i="12"/>
  <c r="FY163" i="12"/>
  <c r="FZ163" i="12"/>
  <c r="GA163" i="12"/>
  <c r="GB163" i="12"/>
  <c r="GC163" i="12"/>
  <c r="GD163" i="12"/>
  <c r="GE163" i="12"/>
  <c r="GF163" i="12"/>
  <c r="GG163" i="12"/>
  <c r="GH163" i="12"/>
  <c r="GI163" i="12"/>
  <c r="GJ163" i="12"/>
  <c r="GK163" i="12"/>
  <c r="GL163" i="12"/>
  <c r="GM163" i="12"/>
  <c r="GN163" i="12"/>
  <c r="GO163" i="12"/>
  <c r="GP163" i="12"/>
  <c r="GQ163" i="12"/>
  <c r="GR163" i="12"/>
  <c r="GS163" i="12"/>
  <c r="GT163" i="12"/>
  <c r="GU163" i="12"/>
  <c r="GV163" i="12"/>
  <c r="GW163" i="12"/>
  <c r="GX163" i="12"/>
  <c r="GY163" i="12"/>
  <c r="GZ163" i="12"/>
  <c r="HA163" i="12"/>
  <c r="HB163" i="12"/>
  <c r="HC163" i="12"/>
  <c r="HD163" i="12"/>
  <c r="HE163" i="12"/>
  <c r="HF163" i="12"/>
  <c r="HG163" i="12"/>
  <c r="HH163" i="12"/>
  <c r="HI163" i="12"/>
  <c r="HJ163" i="12"/>
  <c r="HK163" i="12"/>
  <c r="HL163" i="12"/>
  <c r="HM163" i="12"/>
  <c r="HN163" i="12"/>
  <c r="HO163" i="12"/>
  <c r="HP163" i="12"/>
  <c r="HQ163" i="12"/>
  <c r="HR163" i="12"/>
  <c r="HS163" i="12"/>
  <c r="HT163" i="12"/>
  <c r="HU163" i="12"/>
  <c r="HV163" i="12"/>
  <c r="HW163" i="12"/>
  <c r="HX163" i="12"/>
  <c r="HY163" i="12"/>
  <c r="HZ163" i="12"/>
  <c r="IA163" i="12"/>
  <c r="IB163" i="12"/>
  <c r="IC163" i="12"/>
  <c r="ID163" i="12"/>
  <c r="IE163" i="12"/>
  <c r="IF163" i="12"/>
  <c r="IG163" i="12"/>
  <c r="IH163" i="12"/>
  <c r="II163" i="12"/>
  <c r="IJ163" i="12"/>
  <c r="IK163" i="12"/>
  <c r="IL163" i="12"/>
  <c r="IM163" i="12"/>
  <c r="IN163" i="12"/>
  <c r="IO163" i="12"/>
  <c r="IP163" i="12"/>
  <c r="IQ163" i="12"/>
  <c r="IR163" i="12"/>
  <c r="IS163" i="12"/>
  <c r="IT163" i="12"/>
  <c r="IU163" i="12"/>
  <c r="IV163" i="12"/>
  <c r="F164" i="12"/>
  <c r="G164" i="12"/>
  <c r="H164" i="12"/>
  <c r="I164" i="12"/>
  <c r="J164" i="12"/>
  <c r="K164" i="12"/>
  <c r="L164" i="12"/>
  <c r="M164" i="12"/>
  <c r="N164" i="12"/>
  <c r="O164" i="12"/>
  <c r="P164" i="12"/>
  <c r="Q164" i="12"/>
  <c r="R164" i="12"/>
  <c r="S164" i="12"/>
  <c r="T164" i="12"/>
  <c r="U164" i="12"/>
  <c r="V164" i="12"/>
  <c r="W164" i="12"/>
  <c r="X164" i="12"/>
  <c r="Y164" i="12"/>
  <c r="Z164" i="12"/>
  <c r="AA164" i="12"/>
  <c r="AB164" i="12"/>
  <c r="AC164" i="12"/>
  <c r="AD164" i="12"/>
  <c r="AE164" i="12"/>
  <c r="AF164" i="12"/>
  <c r="AG164" i="12"/>
  <c r="AH164" i="12"/>
  <c r="AI164" i="12"/>
  <c r="AJ164" i="12"/>
  <c r="AK164" i="12"/>
  <c r="AL164" i="12"/>
  <c r="AM164" i="12"/>
  <c r="AN164" i="12"/>
  <c r="AO164" i="12"/>
  <c r="AP164" i="12"/>
  <c r="AQ164" i="12"/>
  <c r="AR164" i="12"/>
  <c r="AS164" i="12"/>
  <c r="AT164" i="12"/>
  <c r="AU164" i="12"/>
  <c r="AV164" i="12"/>
  <c r="AW164" i="12"/>
  <c r="AX164" i="12"/>
  <c r="AY164" i="12"/>
  <c r="AZ164" i="12"/>
  <c r="BA164" i="12"/>
  <c r="BB164" i="12"/>
  <c r="BC164" i="12"/>
  <c r="BD164" i="12"/>
  <c r="BE164" i="12"/>
  <c r="BF164" i="12"/>
  <c r="BG164" i="12"/>
  <c r="BH164" i="12"/>
  <c r="BI164" i="12"/>
  <c r="BJ164" i="12"/>
  <c r="BK164" i="12"/>
  <c r="BL164" i="12"/>
  <c r="BM164" i="12"/>
  <c r="BN164" i="12"/>
  <c r="BO164" i="12"/>
  <c r="BP164" i="12"/>
  <c r="BQ164" i="12"/>
  <c r="BR164" i="12"/>
  <c r="BS164" i="12"/>
  <c r="BT164" i="12"/>
  <c r="BU164" i="12"/>
  <c r="BV164" i="12"/>
  <c r="BW164" i="12"/>
  <c r="BX164" i="12"/>
  <c r="BY164" i="12"/>
  <c r="BZ164" i="12"/>
  <c r="CA164" i="12"/>
  <c r="CB164" i="12"/>
  <c r="CC164" i="12"/>
  <c r="CD164" i="12"/>
  <c r="CE164" i="12"/>
  <c r="CF164" i="12"/>
  <c r="CG164" i="12"/>
  <c r="CH164" i="12"/>
  <c r="CI164" i="12"/>
  <c r="CJ164" i="12"/>
  <c r="CK164" i="12"/>
  <c r="CL164" i="12"/>
  <c r="CM164" i="12"/>
  <c r="CN164" i="12"/>
  <c r="CO164" i="12"/>
  <c r="CP164" i="12"/>
  <c r="CQ164" i="12"/>
  <c r="CR164" i="12"/>
  <c r="CS164" i="12"/>
  <c r="CT164" i="12"/>
  <c r="CU164" i="12"/>
  <c r="CV164" i="12"/>
  <c r="CW164" i="12"/>
  <c r="CX164" i="12"/>
  <c r="CY164" i="12"/>
  <c r="CZ164" i="12"/>
  <c r="DA164" i="12"/>
  <c r="DB164" i="12"/>
  <c r="DC164" i="12"/>
  <c r="DD164" i="12"/>
  <c r="DE164" i="12"/>
  <c r="DF164" i="12"/>
  <c r="DG164" i="12"/>
  <c r="DH164" i="12"/>
  <c r="DI164" i="12"/>
  <c r="DJ164" i="12"/>
  <c r="DK164" i="12"/>
  <c r="DL164" i="12"/>
  <c r="DM164" i="12"/>
  <c r="DN164" i="12"/>
  <c r="DO164" i="12"/>
  <c r="DP164" i="12"/>
  <c r="DQ164" i="12"/>
  <c r="DR164" i="12"/>
  <c r="DS164" i="12"/>
  <c r="DT164" i="12"/>
  <c r="DU164" i="12"/>
  <c r="DV164" i="12"/>
  <c r="DW164" i="12"/>
  <c r="DX164" i="12"/>
  <c r="DY164" i="12"/>
  <c r="DZ164" i="12"/>
  <c r="EA164" i="12"/>
  <c r="EB164" i="12"/>
  <c r="EC164" i="12"/>
  <c r="ED164" i="12"/>
  <c r="EE164" i="12"/>
  <c r="EF164" i="12"/>
  <c r="EG164" i="12"/>
  <c r="EH164" i="12"/>
  <c r="EI164" i="12"/>
  <c r="EJ164" i="12"/>
  <c r="EK164" i="12"/>
  <c r="EL164" i="12"/>
  <c r="EM164" i="12"/>
  <c r="EN164" i="12"/>
  <c r="EO164" i="12"/>
  <c r="EP164" i="12"/>
  <c r="EQ164" i="12"/>
  <c r="ER164" i="12"/>
  <c r="ES164" i="12"/>
  <c r="ET164" i="12"/>
  <c r="EU164" i="12"/>
  <c r="EV164" i="12"/>
  <c r="EW164" i="12"/>
  <c r="EX164" i="12"/>
  <c r="EY164" i="12"/>
  <c r="EZ164" i="12"/>
  <c r="FA164" i="12"/>
  <c r="FB164" i="12"/>
  <c r="FC164" i="12"/>
  <c r="FD164" i="12"/>
  <c r="FE164" i="12"/>
  <c r="FF164" i="12"/>
  <c r="FG164" i="12"/>
  <c r="FH164" i="12"/>
  <c r="FI164" i="12"/>
  <c r="FJ164" i="12"/>
  <c r="FK164" i="12"/>
  <c r="FL164" i="12"/>
  <c r="FM164" i="12"/>
  <c r="FN164" i="12"/>
  <c r="FO164" i="12"/>
  <c r="FP164" i="12"/>
  <c r="FQ164" i="12"/>
  <c r="FR164" i="12"/>
  <c r="FS164" i="12"/>
  <c r="FT164" i="12"/>
  <c r="FU164" i="12"/>
  <c r="FV164" i="12"/>
  <c r="FW164" i="12"/>
  <c r="FX164" i="12"/>
  <c r="FY164" i="12"/>
  <c r="FZ164" i="12"/>
  <c r="GA164" i="12"/>
  <c r="GB164" i="12"/>
  <c r="GC164" i="12"/>
  <c r="GD164" i="12"/>
  <c r="GE164" i="12"/>
  <c r="GF164" i="12"/>
  <c r="GG164" i="12"/>
  <c r="GH164" i="12"/>
  <c r="GI164" i="12"/>
  <c r="GJ164" i="12"/>
  <c r="GK164" i="12"/>
  <c r="GL164" i="12"/>
  <c r="GM164" i="12"/>
  <c r="GN164" i="12"/>
  <c r="GO164" i="12"/>
  <c r="GP164" i="12"/>
  <c r="GQ164" i="12"/>
  <c r="GR164" i="12"/>
  <c r="GS164" i="12"/>
  <c r="GT164" i="12"/>
  <c r="GU164" i="12"/>
  <c r="GV164" i="12"/>
  <c r="GW164" i="12"/>
  <c r="GX164" i="12"/>
  <c r="GY164" i="12"/>
  <c r="GZ164" i="12"/>
  <c r="HA164" i="12"/>
  <c r="HB164" i="12"/>
  <c r="HC164" i="12"/>
  <c r="HD164" i="12"/>
  <c r="HE164" i="12"/>
  <c r="HF164" i="12"/>
  <c r="HG164" i="12"/>
  <c r="HH164" i="12"/>
  <c r="HI164" i="12"/>
  <c r="HJ164" i="12"/>
  <c r="HK164" i="12"/>
  <c r="HL164" i="12"/>
  <c r="HM164" i="12"/>
  <c r="HN164" i="12"/>
  <c r="HO164" i="12"/>
  <c r="HP164" i="12"/>
  <c r="HQ164" i="12"/>
  <c r="HR164" i="12"/>
  <c r="HS164" i="12"/>
  <c r="HT164" i="12"/>
  <c r="HU164" i="12"/>
  <c r="HV164" i="12"/>
  <c r="HW164" i="12"/>
  <c r="HX164" i="12"/>
  <c r="HY164" i="12"/>
  <c r="HZ164" i="12"/>
  <c r="IA164" i="12"/>
  <c r="IB164" i="12"/>
  <c r="IC164" i="12"/>
  <c r="ID164" i="12"/>
  <c r="IE164" i="12"/>
  <c r="IF164" i="12"/>
  <c r="IG164" i="12"/>
  <c r="IH164" i="12"/>
  <c r="II164" i="12"/>
  <c r="IJ164" i="12"/>
  <c r="IK164" i="12"/>
  <c r="IL164" i="12"/>
  <c r="IM164" i="12"/>
  <c r="IN164" i="12"/>
  <c r="IO164" i="12"/>
  <c r="IP164" i="12"/>
  <c r="IQ164" i="12"/>
  <c r="IR164" i="12"/>
  <c r="IS164" i="12"/>
  <c r="IT164" i="12"/>
  <c r="IU164" i="12"/>
  <c r="IV164" i="12"/>
  <c r="F165" i="12"/>
  <c r="G165" i="12"/>
  <c r="H165" i="12"/>
  <c r="I165" i="12"/>
  <c r="J165" i="12"/>
  <c r="K165" i="12"/>
  <c r="L165" i="12"/>
  <c r="M165" i="12"/>
  <c r="N165" i="12"/>
  <c r="O165" i="12"/>
  <c r="P165" i="12"/>
  <c r="Q165" i="12"/>
  <c r="R165" i="12"/>
  <c r="S165" i="12"/>
  <c r="T165" i="12"/>
  <c r="U165" i="12"/>
  <c r="V165" i="12"/>
  <c r="W165" i="12"/>
  <c r="X165" i="12"/>
  <c r="Y165" i="12"/>
  <c r="Z165" i="12"/>
  <c r="AA165" i="12"/>
  <c r="AB165" i="12"/>
  <c r="AC165" i="12"/>
  <c r="AD165" i="12"/>
  <c r="AE165" i="12"/>
  <c r="AF165" i="12"/>
  <c r="AG165" i="12"/>
  <c r="AH165" i="12"/>
  <c r="AI165" i="12"/>
  <c r="AJ165" i="12"/>
  <c r="AK165" i="12"/>
  <c r="AL165" i="12"/>
  <c r="AM165" i="12"/>
  <c r="AN165" i="12"/>
  <c r="AO165" i="12"/>
  <c r="AP165" i="12"/>
  <c r="AQ165" i="12"/>
  <c r="AR165" i="12"/>
  <c r="AS165" i="12"/>
  <c r="AT165" i="12"/>
  <c r="AU165" i="12"/>
  <c r="AV165" i="12"/>
  <c r="AW165" i="12"/>
  <c r="AX165" i="12"/>
  <c r="AY165" i="12"/>
  <c r="AZ165" i="12"/>
  <c r="BA165" i="12"/>
  <c r="BB165" i="12"/>
  <c r="BC165" i="12"/>
  <c r="BD165" i="12"/>
  <c r="BE165" i="12"/>
  <c r="BF165" i="12"/>
  <c r="BG165" i="12"/>
  <c r="BH165" i="12"/>
  <c r="BI165" i="12"/>
  <c r="BJ165" i="12"/>
  <c r="BK165" i="12"/>
  <c r="BL165" i="12"/>
  <c r="BM165" i="12"/>
  <c r="BN165" i="12"/>
  <c r="BO165" i="12"/>
  <c r="BP165" i="12"/>
  <c r="BQ165" i="12"/>
  <c r="BR165" i="12"/>
  <c r="BS165" i="12"/>
  <c r="BT165" i="12"/>
  <c r="BU165" i="12"/>
  <c r="BV165" i="12"/>
  <c r="BW165" i="12"/>
  <c r="BX165" i="12"/>
  <c r="BY165" i="12"/>
  <c r="BZ165" i="12"/>
  <c r="CA165" i="12"/>
  <c r="CB165" i="12"/>
  <c r="CC165" i="12"/>
  <c r="CD165" i="12"/>
  <c r="CE165" i="12"/>
  <c r="CF165" i="12"/>
  <c r="CG165" i="12"/>
  <c r="CH165" i="12"/>
  <c r="CI165" i="12"/>
  <c r="CJ165" i="12"/>
  <c r="CK165" i="12"/>
  <c r="CL165" i="12"/>
  <c r="CM165" i="12"/>
  <c r="CN165" i="12"/>
  <c r="CO165" i="12"/>
  <c r="CP165" i="12"/>
  <c r="CQ165" i="12"/>
  <c r="CR165" i="12"/>
  <c r="CS165" i="12"/>
  <c r="CT165" i="12"/>
  <c r="CU165" i="12"/>
  <c r="CV165" i="12"/>
  <c r="CW165" i="12"/>
  <c r="CX165" i="12"/>
  <c r="CY165" i="12"/>
  <c r="CZ165" i="12"/>
  <c r="DA165" i="12"/>
  <c r="DB165" i="12"/>
  <c r="DC165" i="12"/>
  <c r="DD165" i="12"/>
  <c r="DE165" i="12"/>
  <c r="DF165" i="12"/>
  <c r="DG165" i="12"/>
  <c r="DH165" i="12"/>
  <c r="DI165" i="12"/>
  <c r="DJ165" i="12"/>
  <c r="DK165" i="12"/>
  <c r="DL165" i="12"/>
  <c r="DM165" i="12"/>
  <c r="DN165" i="12"/>
  <c r="DO165" i="12"/>
  <c r="DP165" i="12"/>
  <c r="DQ165" i="12"/>
  <c r="DR165" i="12"/>
  <c r="DS165" i="12"/>
  <c r="DT165" i="12"/>
  <c r="DU165" i="12"/>
  <c r="DV165" i="12"/>
  <c r="DW165" i="12"/>
  <c r="DX165" i="12"/>
  <c r="DY165" i="12"/>
  <c r="DZ165" i="12"/>
  <c r="EA165" i="12"/>
  <c r="EB165" i="12"/>
  <c r="EC165" i="12"/>
  <c r="ED165" i="12"/>
  <c r="EE165" i="12"/>
  <c r="EF165" i="12"/>
  <c r="EG165" i="12"/>
  <c r="EH165" i="12"/>
  <c r="EI165" i="12"/>
  <c r="EJ165" i="12"/>
  <c r="EK165" i="12"/>
  <c r="EL165" i="12"/>
  <c r="EM165" i="12"/>
  <c r="EN165" i="12"/>
  <c r="EO165" i="12"/>
  <c r="EP165" i="12"/>
  <c r="EQ165" i="12"/>
  <c r="ER165" i="12"/>
  <c r="ES165" i="12"/>
  <c r="ET165" i="12"/>
  <c r="EU165" i="12"/>
  <c r="EV165" i="12"/>
  <c r="EW165" i="12"/>
  <c r="EX165" i="12"/>
  <c r="EY165" i="12"/>
  <c r="EZ165" i="12"/>
  <c r="FA165" i="12"/>
  <c r="FB165" i="12"/>
  <c r="FC165" i="12"/>
  <c r="FD165" i="12"/>
  <c r="FE165" i="12"/>
  <c r="FF165" i="12"/>
  <c r="FG165" i="12"/>
  <c r="FH165" i="12"/>
  <c r="FI165" i="12"/>
  <c r="FJ165" i="12"/>
  <c r="FK165" i="12"/>
  <c r="FL165" i="12"/>
  <c r="FM165" i="12"/>
  <c r="FN165" i="12"/>
  <c r="FO165" i="12"/>
  <c r="FP165" i="12"/>
  <c r="FQ165" i="12"/>
  <c r="FR165" i="12"/>
  <c r="FS165" i="12"/>
  <c r="FT165" i="12"/>
  <c r="FU165" i="12"/>
  <c r="FV165" i="12"/>
  <c r="FW165" i="12"/>
  <c r="FX165" i="12"/>
  <c r="FY165" i="12"/>
  <c r="FZ165" i="12"/>
  <c r="GA165" i="12"/>
  <c r="GB165" i="12"/>
  <c r="GC165" i="12"/>
  <c r="GD165" i="12"/>
  <c r="GE165" i="12"/>
  <c r="GF165" i="12"/>
  <c r="GG165" i="12"/>
  <c r="GH165" i="12"/>
  <c r="GI165" i="12"/>
  <c r="GJ165" i="12"/>
  <c r="GK165" i="12"/>
  <c r="GL165" i="12"/>
  <c r="GM165" i="12"/>
  <c r="GN165" i="12"/>
  <c r="GO165" i="12"/>
  <c r="GP165" i="12"/>
  <c r="GQ165" i="12"/>
  <c r="GR165" i="12"/>
  <c r="GS165" i="12"/>
  <c r="GT165" i="12"/>
  <c r="GU165" i="12"/>
  <c r="GV165" i="12"/>
  <c r="GW165" i="12"/>
  <c r="GX165" i="12"/>
  <c r="GY165" i="12"/>
  <c r="GZ165" i="12"/>
  <c r="HA165" i="12"/>
  <c r="HB165" i="12"/>
  <c r="HC165" i="12"/>
  <c r="HD165" i="12"/>
  <c r="HE165" i="12"/>
  <c r="HF165" i="12"/>
  <c r="HG165" i="12"/>
  <c r="HH165" i="12"/>
  <c r="HI165" i="12"/>
  <c r="HJ165" i="12"/>
  <c r="HK165" i="12"/>
  <c r="HL165" i="12"/>
  <c r="HM165" i="12"/>
  <c r="HN165" i="12"/>
  <c r="HO165" i="12"/>
  <c r="HP165" i="12"/>
  <c r="HQ165" i="12"/>
  <c r="HR165" i="12"/>
  <c r="HS165" i="12"/>
  <c r="HT165" i="12"/>
  <c r="HU165" i="12"/>
  <c r="HV165" i="12"/>
  <c r="HW165" i="12"/>
  <c r="HX165" i="12"/>
  <c r="HY165" i="12"/>
  <c r="HZ165" i="12"/>
  <c r="IA165" i="12"/>
  <c r="IB165" i="12"/>
  <c r="IC165" i="12"/>
  <c r="ID165" i="12"/>
  <c r="IE165" i="12"/>
  <c r="IF165" i="12"/>
  <c r="IG165" i="12"/>
  <c r="IH165" i="12"/>
  <c r="II165" i="12"/>
  <c r="IJ165" i="12"/>
  <c r="IK165" i="12"/>
  <c r="IL165" i="12"/>
  <c r="IM165" i="12"/>
  <c r="IN165" i="12"/>
  <c r="IO165" i="12"/>
  <c r="IP165" i="12"/>
  <c r="IQ165" i="12"/>
  <c r="IR165" i="12"/>
  <c r="IS165" i="12"/>
  <c r="IT165" i="12"/>
  <c r="IU165" i="12"/>
  <c r="IV165" i="12"/>
  <c r="F166" i="12"/>
  <c r="G166" i="12"/>
  <c r="H166" i="12"/>
  <c r="I166" i="12"/>
  <c r="J166" i="12"/>
  <c r="K166" i="12"/>
  <c r="L166" i="12"/>
  <c r="M166" i="12"/>
  <c r="N166" i="12"/>
  <c r="O166" i="12"/>
  <c r="P166" i="12"/>
  <c r="Q166" i="12"/>
  <c r="R166" i="12"/>
  <c r="S166" i="12"/>
  <c r="T166" i="12"/>
  <c r="U166" i="12"/>
  <c r="V166" i="12"/>
  <c r="W166" i="12"/>
  <c r="X166" i="12"/>
  <c r="Y166" i="12"/>
  <c r="Z166" i="12"/>
  <c r="AA166" i="12"/>
  <c r="AB166" i="12"/>
  <c r="AC166" i="12"/>
  <c r="AD166" i="12"/>
  <c r="AE166" i="12"/>
  <c r="AF166" i="12"/>
  <c r="AG166" i="12"/>
  <c r="AH166" i="12"/>
  <c r="AI166" i="12"/>
  <c r="AJ166" i="12"/>
  <c r="AK166" i="12"/>
  <c r="AL166" i="12"/>
  <c r="AM166" i="12"/>
  <c r="AN166" i="12"/>
  <c r="AO166" i="12"/>
  <c r="AP166" i="12"/>
  <c r="AQ166" i="12"/>
  <c r="AR166" i="12"/>
  <c r="AS166" i="12"/>
  <c r="AT166" i="12"/>
  <c r="AU166" i="12"/>
  <c r="AV166" i="12"/>
  <c r="AW166" i="12"/>
  <c r="AX166" i="12"/>
  <c r="AY166" i="12"/>
  <c r="AZ166" i="12"/>
  <c r="BA166" i="12"/>
  <c r="BB166" i="12"/>
  <c r="BC166" i="12"/>
  <c r="BD166" i="12"/>
  <c r="BE166" i="12"/>
  <c r="BF166" i="12"/>
  <c r="BG166" i="12"/>
  <c r="BH166" i="12"/>
  <c r="BI166" i="12"/>
  <c r="BJ166" i="12"/>
  <c r="BK166" i="12"/>
  <c r="BL166" i="12"/>
  <c r="BM166" i="12"/>
  <c r="BN166" i="12"/>
  <c r="BO166" i="12"/>
  <c r="BP166" i="12"/>
  <c r="BQ166" i="12"/>
  <c r="BR166" i="12"/>
  <c r="BS166" i="12"/>
  <c r="BT166" i="12"/>
  <c r="BU166" i="12"/>
  <c r="BV166" i="12"/>
  <c r="BW166" i="12"/>
  <c r="BX166" i="12"/>
  <c r="BY166" i="12"/>
  <c r="BZ166" i="12"/>
  <c r="CA166" i="12"/>
  <c r="CB166" i="12"/>
  <c r="CC166" i="12"/>
  <c r="CD166" i="12"/>
  <c r="CE166" i="12"/>
  <c r="CF166" i="12"/>
  <c r="CG166" i="12"/>
  <c r="CH166" i="12"/>
  <c r="CI166" i="12"/>
  <c r="CJ166" i="12"/>
  <c r="CK166" i="12"/>
  <c r="CL166" i="12"/>
  <c r="CM166" i="12"/>
  <c r="CN166" i="12"/>
  <c r="CO166" i="12"/>
  <c r="CP166" i="12"/>
  <c r="CQ166" i="12"/>
  <c r="CR166" i="12"/>
  <c r="CS166" i="12"/>
  <c r="CT166" i="12"/>
  <c r="CU166" i="12"/>
  <c r="CV166" i="12"/>
  <c r="CW166" i="12"/>
  <c r="CX166" i="12"/>
  <c r="CY166" i="12"/>
  <c r="CZ166" i="12"/>
  <c r="DA166" i="12"/>
  <c r="DB166" i="12"/>
  <c r="DC166" i="12"/>
  <c r="DD166" i="12"/>
  <c r="DE166" i="12"/>
  <c r="DF166" i="12"/>
  <c r="DG166" i="12"/>
  <c r="DH166" i="12"/>
  <c r="DI166" i="12"/>
  <c r="DJ166" i="12"/>
  <c r="DK166" i="12"/>
  <c r="DL166" i="12"/>
  <c r="DM166" i="12"/>
  <c r="DN166" i="12"/>
  <c r="DO166" i="12"/>
  <c r="DP166" i="12"/>
  <c r="DQ166" i="12"/>
  <c r="DR166" i="12"/>
  <c r="DS166" i="12"/>
  <c r="DT166" i="12"/>
  <c r="DU166" i="12"/>
  <c r="DV166" i="12"/>
  <c r="DW166" i="12"/>
  <c r="DX166" i="12"/>
  <c r="DY166" i="12"/>
  <c r="DZ166" i="12"/>
  <c r="EA166" i="12"/>
  <c r="EB166" i="12"/>
  <c r="EC166" i="12"/>
  <c r="ED166" i="12"/>
  <c r="EE166" i="12"/>
  <c r="EF166" i="12"/>
  <c r="EG166" i="12"/>
  <c r="EH166" i="12"/>
  <c r="EI166" i="12"/>
  <c r="EJ166" i="12"/>
  <c r="EK166" i="12"/>
  <c r="EL166" i="12"/>
  <c r="EM166" i="12"/>
  <c r="EN166" i="12"/>
  <c r="EO166" i="12"/>
  <c r="EP166" i="12"/>
  <c r="EQ166" i="12"/>
  <c r="ER166" i="12"/>
  <c r="ES166" i="12"/>
  <c r="ET166" i="12"/>
  <c r="EU166" i="12"/>
  <c r="EV166" i="12"/>
  <c r="EW166" i="12"/>
  <c r="EX166" i="12"/>
  <c r="EY166" i="12"/>
  <c r="EZ166" i="12"/>
  <c r="FA166" i="12"/>
  <c r="FB166" i="12"/>
  <c r="FC166" i="12"/>
  <c r="FD166" i="12"/>
  <c r="FE166" i="12"/>
  <c r="FF166" i="12"/>
  <c r="FG166" i="12"/>
  <c r="FH166" i="12"/>
  <c r="FI166" i="12"/>
  <c r="FJ166" i="12"/>
  <c r="FK166" i="12"/>
  <c r="FL166" i="12"/>
  <c r="FM166" i="12"/>
  <c r="FN166" i="12"/>
  <c r="FO166" i="12"/>
  <c r="FP166" i="12"/>
  <c r="FQ166" i="12"/>
  <c r="FR166" i="12"/>
  <c r="FS166" i="12"/>
  <c r="FT166" i="12"/>
  <c r="FU166" i="12"/>
  <c r="FV166" i="12"/>
  <c r="FW166" i="12"/>
  <c r="FX166" i="12"/>
  <c r="FY166" i="12"/>
  <c r="FZ166" i="12"/>
  <c r="GA166" i="12"/>
  <c r="GB166" i="12"/>
  <c r="GC166" i="12"/>
  <c r="GD166" i="12"/>
  <c r="GE166" i="12"/>
  <c r="GF166" i="12"/>
  <c r="GG166" i="12"/>
  <c r="GH166" i="12"/>
  <c r="GI166" i="12"/>
  <c r="GJ166" i="12"/>
  <c r="GK166" i="12"/>
  <c r="GL166" i="12"/>
  <c r="GM166" i="12"/>
  <c r="GN166" i="12"/>
  <c r="GO166" i="12"/>
  <c r="GP166" i="12"/>
  <c r="GQ166" i="12"/>
  <c r="GR166" i="12"/>
  <c r="GS166" i="12"/>
  <c r="GT166" i="12"/>
  <c r="GU166" i="12"/>
  <c r="GV166" i="12"/>
  <c r="GW166" i="12"/>
  <c r="GX166" i="12"/>
  <c r="GY166" i="12"/>
  <c r="GZ166" i="12"/>
  <c r="HA166" i="12"/>
  <c r="HB166" i="12"/>
  <c r="HC166" i="12"/>
  <c r="HD166" i="12"/>
  <c r="HE166" i="12"/>
  <c r="HF166" i="12"/>
  <c r="HG166" i="12"/>
  <c r="HH166" i="12"/>
  <c r="HI166" i="12"/>
  <c r="HJ166" i="12"/>
  <c r="HK166" i="12"/>
  <c r="HL166" i="12"/>
  <c r="HM166" i="12"/>
  <c r="HN166" i="12"/>
  <c r="HO166" i="12"/>
  <c r="HP166" i="12"/>
  <c r="HQ166" i="12"/>
  <c r="HR166" i="12"/>
  <c r="HS166" i="12"/>
  <c r="HT166" i="12"/>
  <c r="HU166" i="12"/>
  <c r="HV166" i="12"/>
  <c r="HW166" i="12"/>
  <c r="HX166" i="12"/>
  <c r="HY166" i="12"/>
  <c r="HZ166" i="12"/>
  <c r="IA166" i="12"/>
  <c r="IB166" i="12"/>
  <c r="IC166" i="12"/>
  <c r="ID166" i="12"/>
  <c r="IE166" i="12"/>
  <c r="IF166" i="12"/>
  <c r="IG166" i="12"/>
  <c r="IH166" i="12"/>
  <c r="II166" i="12"/>
  <c r="IJ166" i="12"/>
  <c r="IK166" i="12"/>
  <c r="IL166" i="12"/>
  <c r="IM166" i="12"/>
  <c r="IN166" i="12"/>
  <c r="IO166" i="12"/>
  <c r="IP166" i="12"/>
  <c r="IQ166" i="12"/>
  <c r="IR166" i="12"/>
  <c r="IS166" i="12"/>
  <c r="IT166" i="12"/>
  <c r="IU166" i="12"/>
  <c r="IV166" i="12"/>
  <c r="F167" i="12"/>
  <c r="G167" i="12"/>
  <c r="H167" i="12"/>
  <c r="I167" i="12"/>
  <c r="J167" i="12"/>
  <c r="K167" i="12"/>
  <c r="L167" i="12"/>
  <c r="M167" i="12"/>
  <c r="N167" i="12"/>
  <c r="O167" i="12"/>
  <c r="P167" i="12"/>
  <c r="Q167" i="12"/>
  <c r="R167" i="12"/>
  <c r="S167" i="12"/>
  <c r="T167" i="12"/>
  <c r="U167" i="12"/>
  <c r="V167" i="12"/>
  <c r="W167" i="12"/>
  <c r="X167" i="12"/>
  <c r="Y167" i="12"/>
  <c r="Z167" i="12"/>
  <c r="AA167" i="12"/>
  <c r="AB167" i="12"/>
  <c r="AC167" i="12"/>
  <c r="AD167" i="12"/>
  <c r="AE167" i="12"/>
  <c r="AF167" i="12"/>
  <c r="AG167" i="12"/>
  <c r="AH167" i="12"/>
  <c r="AI167" i="12"/>
  <c r="AJ167" i="12"/>
  <c r="AK167" i="12"/>
  <c r="AL167" i="12"/>
  <c r="AM167" i="12"/>
  <c r="AN167" i="12"/>
  <c r="AO167" i="12"/>
  <c r="AP167" i="12"/>
  <c r="AQ167" i="12"/>
  <c r="AR167" i="12"/>
  <c r="AS167" i="12"/>
  <c r="AT167" i="12"/>
  <c r="AU167" i="12"/>
  <c r="AV167" i="12"/>
  <c r="AW167" i="12"/>
  <c r="AX167" i="12"/>
  <c r="AY167" i="12"/>
  <c r="AZ167" i="12"/>
  <c r="BA167" i="12"/>
  <c r="BB167" i="12"/>
  <c r="BC167" i="12"/>
  <c r="BD167" i="12"/>
  <c r="BE167" i="12"/>
  <c r="BF167" i="12"/>
  <c r="BG167" i="12"/>
  <c r="BH167" i="12"/>
  <c r="BI167" i="12"/>
  <c r="BJ167" i="12"/>
  <c r="BK167" i="12"/>
  <c r="BL167" i="12"/>
  <c r="BM167" i="12"/>
  <c r="BN167" i="12"/>
  <c r="BO167" i="12"/>
  <c r="BP167" i="12"/>
  <c r="BQ167" i="12"/>
  <c r="BR167" i="12"/>
  <c r="BS167" i="12"/>
  <c r="BT167" i="12"/>
  <c r="BU167" i="12"/>
  <c r="BV167" i="12"/>
  <c r="BW167" i="12"/>
  <c r="BX167" i="12"/>
  <c r="BY167" i="12"/>
  <c r="BZ167" i="12"/>
  <c r="CA167" i="12"/>
  <c r="CB167" i="12"/>
  <c r="CC167" i="12"/>
  <c r="CD167" i="12"/>
  <c r="CE167" i="12"/>
  <c r="CF167" i="12"/>
  <c r="CG167" i="12"/>
  <c r="CH167" i="12"/>
  <c r="CI167" i="12"/>
  <c r="CJ167" i="12"/>
  <c r="CK167" i="12"/>
  <c r="CL167" i="12"/>
  <c r="CM167" i="12"/>
  <c r="CN167" i="12"/>
  <c r="CO167" i="12"/>
  <c r="CP167" i="12"/>
  <c r="CQ167" i="12"/>
  <c r="CR167" i="12"/>
  <c r="CS167" i="12"/>
  <c r="CT167" i="12"/>
  <c r="CU167" i="12"/>
  <c r="CV167" i="12"/>
  <c r="CW167" i="12"/>
  <c r="CX167" i="12"/>
  <c r="CY167" i="12"/>
  <c r="CZ167" i="12"/>
  <c r="DA167" i="12"/>
  <c r="DB167" i="12"/>
  <c r="DC167" i="12"/>
  <c r="DD167" i="12"/>
  <c r="DE167" i="12"/>
  <c r="DF167" i="12"/>
  <c r="DG167" i="12"/>
  <c r="DH167" i="12"/>
  <c r="DI167" i="12"/>
  <c r="DJ167" i="12"/>
  <c r="DK167" i="12"/>
  <c r="DL167" i="12"/>
  <c r="DM167" i="12"/>
  <c r="DN167" i="12"/>
  <c r="DO167" i="12"/>
  <c r="DP167" i="12"/>
  <c r="DQ167" i="12"/>
  <c r="DR167" i="12"/>
  <c r="DS167" i="12"/>
  <c r="DT167" i="12"/>
  <c r="DU167" i="12"/>
  <c r="DV167" i="12"/>
  <c r="DW167" i="12"/>
  <c r="DX167" i="12"/>
  <c r="DY167" i="12"/>
  <c r="DZ167" i="12"/>
  <c r="EA167" i="12"/>
  <c r="EB167" i="12"/>
  <c r="EC167" i="12"/>
  <c r="ED167" i="12"/>
  <c r="EE167" i="12"/>
  <c r="EF167" i="12"/>
  <c r="EG167" i="12"/>
  <c r="EH167" i="12"/>
  <c r="EI167" i="12"/>
  <c r="EJ167" i="12"/>
  <c r="EK167" i="12"/>
  <c r="EL167" i="12"/>
  <c r="EM167" i="12"/>
  <c r="EN167" i="12"/>
  <c r="EO167" i="12"/>
  <c r="EP167" i="12"/>
  <c r="EQ167" i="12"/>
  <c r="ER167" i="12"/>
  <c r="ES167" i="12"/>
  <c r="ET167" i="12"/>
  <c r="EU167" i="12"/>
  <c r="EV167" i="12"/>
  <c r="EW167" i="12"/>
  <c r="EX167" i="12"/>
  <c r="EY167" i="12"/>
  <c r="EZ167" i="12"/>
  <c r="FA167" i="12"/>
  <c r="FB167" i="12"/>
  <c r="FC167" i="12"/>
  <c r="FD167" i="12"/>
  <c r="FE167" i="12"/>
  <c r="FF167" i="12"/>
  <c r="FG167" i="12"/>
  <c r="FH167" i="12"/>
  <c r="FI167" i="12"/>
  <c r="FJ167" i="12"/>
  <c r="FK167" i="12"/>
  <c r="FL167" i="12"/>
  <c r="FM167" i="12"/>
  <c r="FN167" i="12"/>
  <c r="FO167" i="12"/>
  <c r="FP167" i="12"/>
  <c r="FQ167" i="12"/>
  <c r="FR167" i="12"/>
  <c r="FS167" i="12"/>
  <c r="FT167" i="12"/>
  <c r="FU167" i="12"/>
  <c r="FV167" i="12"/>
  <c r="FW167" i="12"/>
  <c r="FX167" i="12"/>
  <c r="FY167" i="12"/>
  <c r="FZ167" i="12"/>
  <c r="GA167" i="12"/>
  <c r="GB167" i="12"/>
  <c r="GC167" i="12"/>
  <c r="GD167" i="12"/>
  <c r="GE167" i="12"/>
  <c r="GF167" i="12"/>
  <c r="GG167" i="12"/>
  <c r="GH167" i="12"/>
  <c r="GI167" i="12"/>
  <c r="GJ167" i="12"/>
  <c r="GK167" i="12"/>
  <c r="GL167" i="12"/>
  <c r="GM167" i="12"/>
  <c r="GN167" i="12"/>
  <c r="GO167" i="12"/>
  <c r="GP167" i="12"/>
  <c r="GQ167" i="12"/>
  <c r="GR167" i="12"/>
  <c r="GS167" i="12"/>
  <c r="GT167" i="12"/>
  <c r="GU167" i="12"/>
  <c r="GV167" i="12"/>
  <c r="GW167" i="12"/>
  <c r="GX167" i="12"/>
  <c r="GY167" i="12"/>
  <c r="GZ167" i="12"/>
  <c r="HA167" i="12"/>
  <c r="HB167" i="12"/>
  <c r="HC167" i="12"/>
  <c r="HD167" i="12"/>
  <c r="HE167" i="12"/>
  <c r="HF167" i="12"/>
  <c r="HG167" i="12"/>
  <c r="HH167" i="12"/>
  <c r="HI167" i="12"/>
  <c r="HJ167" i="12"/>
  <c r="HK167" i="12"/>
  <c r="HL167" i="12"/>
  <c r="HM167" i="12"/>
  <c r="HN167" i="12"/>
  <c r="HO167" i="12"/>
  <c r="HP167" i="12"/>
  <c r="HQ167" i="12"/>
  <c r="HR167" i="12"/>
  <c r="HS167" i="12"/>
  <c r="HT167" i="12"/>
  <c r="HU167" i="12"/>
  <c r="HV167" i="12"/>
  <c r="HW167" i="12"/>
  <c r="HX167" i="12"/>
  <c r="HY167" i="12"/>
  <c r="HZ167" i="12"/>
  <c r="IA167" i="12"/>
  <c r="IB167" i="12"/>
  <c r="IC167" i="12"/>
  <c r="ID167" i="12"/>
  <c r="IE167" i="12"/>
  <c r="IF167" i="12"/>
  <c r="IG167" i="12"/>
  <c r="IH167" i="12"/>
  <c r="II167" i="12"/>
  <c r="IJ167" i="12"/>
  <c r="IK167" i="12"/>
  <c r="IL167" i="12"/>
  <c r="IM167" i="12"/>
  <c r="IN167" i="12"/>
  <c r="IO167" i="12"/>
  <c r="IP167" i="12"/>
  <c r="IQ167" i="12"/>
  <c r="IR167" i="12"/>
  <c r="IS167" i="12"/>
  <c r="IT167" i="12"/>
  <c r="IU167" i="12"/>
  <c r="IV167" i="12"/>
  <c r="F168" i="12"/>
  <c r="G168" i="12"/>
  <c r="H168" i="12"/>
  <c r="I168" i="12"/>
  <c r="J168" i="12"/>
  <c r="K168" i="12"/>
  <c r="L168" i="12"/>
  <c r="M168" i="12"/>
  <c r="N168" i="12"/>
  <c r="O168" i="12"/>
  <c r="P168" i="12"/>
  <c r="Q168" i="12"/>
  <c r="R168" i="12"/>
  <c r="S168" i="12"/>
  <c r="T168" i="12"/>
  <c r="U168" i="12"/>
  <c r="V168" i="12"/>
  <c r="W168" i="12"/>
  <c r="X168" i="12"/>
  <c r="Y168" i="12"/>
  <c r="Z168" i="12"/>
  <c r="AA168" i="12"/>
  <c r="AB168" i="12"/>
  <c r="AC168" i="12"/>
  <c r="AD168" i="12"/>
  <c r="AE168" i="12"/>
  <c r="AF168" i="12"/>
  <c r="AG168" i="12"/>
  <c r="AH168" i="12"/>
  <c r="AI168" i="12"/>
  <c r="AJ168" i="12"/>
  <c r="AK168" i="12"/>
  <c r="AL168" i="12"/>
  <c r="AM168" i="12"/>
  <c r="AN168" i="12"/>
  <c r="AO168" i="12"/>
  <c r="AP168" i="12"/>
  <c r="AQ168" i="12"/>
  <c r="AR168" i="12"/>
  <c r="AS168" i="12"/>
  <c r="AT168" i="12"/>
  <c r="AU168" i="12"/>
  <c r="AV168" i="12"/>
  <c r="AW168" i="12"/>
  <c r="AX168" i="12"/>
  <c r="AY168" i="12"/>
  <c r="AZ168" i="12"/>
  <c r="BA168" i="12"/>
  <c r="BB168" i="12"/>
  <c r="BC168" i="12"/>
  <c r="BD168" i="12"/>
  <c r="BE168" i="12"/>
  <c r="BF168" i="12"/>
  <c r="BG168" i="12"/>
  <c r="BH168" i="12"/>
  <c r="BI168" i="12"/>
  <c r="BJ168" i="12"/>
  <c r="BK168" i="12"/>
  <c r="BL168" i="12"/>
  <c r="BM168" i="12"/>
  <c r="BN168" i="12"/>
  <c r="BO168" i="12"/>
  <c r="BP168" i="12"/>
  <c r="BQ168" i="12"/>
  <c r="BR168" i="12"/>
  <c r="BS168" i="12"/>
  <c r="BT168" i="12"/>
  <c r="BU168" i="12"/>
  <c r="BV168" i="12"/>
  <c r="BW168" i="12"/>
  <c r="BX168" i="12"/>
  <c r="BY168" i="12"/>
  <c r="BZ168" i="12"/>
  <c r="CA168" i="12"/>
  <c r="CB168" i="12"/>
  <c r="CC168" i="12"/>
  <c r="CD168" i="12"/>
  <c r="CE168" i="12"/>
  <c r="CF168" i="12"/>
  <c r="CG168" i="12"/>
  <c r="CH168" i="12"/>
  <c r="CI168" i="12"/>
  <c r="CJ168" i="12"/>
  <c r="CK168" i="12"/>
  <c r="CL168" i="12"/>
  <c r="CM168" i="12"/>
  <c r="CN168" i="12"/>
  <c r="CO168" i="12"/>
  <c r="CP168" i="12"/>
  <c r="CQ168" i="12"/>
  <c r="CR168" i="12"/>
  <c r="CS168" i="12"/>
  <c r="CT168" i="12"/>
  <c r="CU168" i="12"/>
  <c r="CV168" i="12"/>
  <c r="CW168" i="12"/>
  <c r="CX168" i="12"/>
  <c r="CY168" i="12"/>
  <c r="CZ168" i="12"/>
  <c r="DA168" i="12"/>
  <c r="DB168" i="12"/>
  <c r="DC168" i="12"/>
  <c r="DD168" i="12"/>
  <c r="DE168" i="12"/>
  <c r="DF168" i="12"/>
  <c r="DG168" i="12"/>
  <c r="DH168" i="12"/>
  <c r="DI168" i="12"/>
  <c r="DJ168" i="12"/>
  <c r="DK168" i="12"/>
  <c r="DL168" i="12"/>
  <c r="DM168" i="12"/>
  <c r="DN168" i="12"/>
  <c r="DO168" i="12"/>
  <c r="DP168" i="12"/>
  <c r="DQ168" i="12"/>
  <c r="DR168" i="12"/>
  <c r="DS168" i="12"/>
  <c r="DT168" i="12"/>
  <c r="DU168" i="12"/>
  <c r="DV168" i="12"/>
  <c r="DW168" i="12"/>
  <c r="DX168" i="12"/>
  <c r="DY168" i="12"/>
  <c r="DZ168" i="12"/>
  <c r="EA168" i="12"/>
  <c r="EB168" i="12"/>
  <c r="EC168" i="12"/>
  <c r="ED168" i="12"/>
  <c r="EE168" i="12"/>
  <c r="EF168" i="12"/>
  <c r="EG168" i="12"/>
  <c r="EH168" i="12"/>
  <c r="EI168" i="12"/>
  <c r="EJ168" i="12"/>
  <c r="EK168" i="12"/>
  <c r="EL168" i="12"/>
  <c r="EM168" i="12"/>
  <c r="EN168" i="12"/>
  <c r="EO168" i="12"/>
  <c r="EP168" i="12"/>
  <c r="EQ168" i="12"/>
  <c r="ER168" i="12"/>
  <c r="ES168" i="12"/>
  <c r="ET168" i="12"/>
  <c r="EU168" i="12"/>
  <c r="EV168" i="12"/>
  <c r="EW168" i="12"/>
  <c r="EX168" i="12"/>
  <c r="EY168" i="12"/>
  <c r="EZ168" i="12"/>
  <c r="FA168" i="12"/>
  <c r="FB168" i="12"/>
  <c r="FC168" i="12"/>
  <c r="FD168" i="12"/>
  <c r="FE168" i="12"/>
  <c r="FF168" i="12"/>
  <c r="FG168" i="12"/>
  <c r="FH168" i="12"/>
  <c r="FI168" i="12"/>
  <c r="FJ168" i="12"/>
  <c r="FK168" i="12"/>
  <c r="FL168" i="12"/>
  <c r="FM168" i="12"/>
  <c r="FN168" i="12"/>
  <c r="FO168" i="12"/>
  <c r="FP168" i="12"/>
  <c r="FQ168" i="12"/>
  <c r="FR168" i="12"/>
  <c r="FS168" i="12"/>
  <c r="FT168" i="12"/>
  <c r="FU168" i="12"/>
  <c r="FV168" i="12"/>
  <c r="FW168" i="12"/>
  <c r="FX168" i="12"/>
  <c r="FY168" i="12"/>
  <c r="FZ168" i="12"/>
  <c r="GA168" i="12"/>
  <c r="GB168" i="12"/>
  <c r="GC168" i="12"/>
  <c r="GD168" i="12"/>
  <c r="GE168" i="12"/>
  <c r="GF168" i="12"/>
  <c r="GG168" i="12"/>
  <c r="GH168" i="12"/>
  <c r="GI168" i="12"/>
  <c r="GJ168" i="12"/>
  <c r="GK168" i="12"/>
  <c r="GL168" i="12"/>
  <c r="GM168" i="12"/>
  <c r="GN168" i="12"/>
  <c r="GO168" i="12"/>
  <c r="GP168" i="12"/>
  <c r="GQ168" i="12"/>
  <c r="GR168" i="12"/>
  <c r="GS168" i="12"/>
  <c r="GT168" i="12"/>
  <c r="GU168" i="12"/>
  <c r="GV168" i="12"/>
  <c r="GW168" i="12"/>
  <c r="GX168" i="12"/>
  <c r="GY168" i="12"/>
  <c r="GZ168" i="12"/>
  <c r="HA168" i="12"/>
  <c r="HB168" i="12"/>
  <c r="HC168" i="12"/>
  <c r="HD168" i="12"/>
  <c r="HE168" i="12"/>
  <c r="HF168" i="12"/>
  <c r="HG168" i="12"/>
  <c r="HH168" i="12"/>
  <c r="HI168" i="12"/>
  <c r="HJ168" i="12"/>
  <c r="HK168" i="12"/>
  <c r="HL168" i="12"/>
  <c r="HM168" i="12"/>
  <c r="HN168" i="12"/>
  <c r="HO168" i="12"/>
  <c r="HP168" i="12"/>
  <c r="HQ168" i="12"/>
  <c r="HR168" i="12"/>
  <c r="HS168" i="12"/>
  <c r="HT168" i="12"/>
  <c r="HU168" i="12"/>
  <c r="HV168" i="12"/>
  <c r="HW168" i="12"/>
  <c r="HX168" i="12"/>
  <c r="HY168" i="12"/>
  <c r="HZ168" i="12"/>
  <c r="IA168" i="12"/>
  <c r="IB168" i="12"/>
  <c r="IC168" i="12"/>
  <c r="ID168" i="12"/>
  <c r="IE168" i="12"/>
  <c r="IF168" i="12"/>
  <c r="IG168" i="12"/>
  <c r="IH168" i="12"/>
  <c r="II168" i="12"/>
  <c r="IJ168" i="12"/>
  <c r="IK168" i="12"/>
  <c r="IL168" i="12"/>
  <c r="IM168" i="12"/>
  <c r="IN168" i="12"/>
  <c r="IO168" i="12"/>
  <c r="IP168" i="12"/>
  <c r="IQ168" i="12"/>
  <c r="IR168" i="12"/>
  <c r="IS168" i="12"/>
  <c r="IT168" i="12"/>
  <c r="IU168" i="12"/>
  <c r="IV168" i="12"/>
  <c r="F169" i="12"/>
  <c r="G169" i="12"/>
  <c r="H169" i="12"/>
  <c r="I169" i="12"/>
  <c r="J169" i="12"/>
  <c r="K169" i="12"/>
  <c r="L169" i="12"/>
  <c r="M169" i="12"/>
  <c r="N169" i="12"/>
  <c r="O169" i="12"/>
  <c r="P169" i="12"/>
  <c r="Q169" i="12"/>
  <c r="R169" i="12"/>
  <c r="S169" i="12"/>
  <c r="T169" i="12"/>
  <c r="U169" i="12"/>
  <c r="V169" i="12"/>
  <c r="W169" i="12"/>
  <c r="X169" i="12"/>
  <c r="Y169" i="12"/>
  <c r="Z169" i="12"/>
  <c r="AA169" i="12"/>
  <c r="AB169" i="12"/>
  <c r="AC169" i="12"/>
  <c r="AD169" i="12"/>
  <c r="AE169" i="12"/>
  <c r="AF169" i="12"/>
  <c r="AG169" i="12"/>
  <c r="AH169" i="12"/>
  <c r="AI169" i="12"/>
  <c r="AJ169" i="12"/>
  <c r="AK169" i="12"/>
  <c r="AL169" i="12"/>
  <c r="AM169" i="12"/>
  <c r="AN169" i="12"/>
  <c r="AO169" i="12"/>
  <c r="AP169" i="12"/>
  <c r="AQ169" i="12"/>
  <c r="AR169" i="12"/>
  <c r="AS169" i="12"/>
  <c r="AT169" i="12"/>
  <c r="AU169" i="12"/>
  <c r="AV169" i="12"/>
  <c r="AW169" i="12"/>
  <c r="AX169" i="12"/>
  <c r="AY169" i="12"/>
  <c r="AZ169" i="12"/>
  <c r="BA169" i="12"/>
  <c r="BB169" i="12"/>
  <c r="BC169" i="12"/>
  <c r="BD169" i="12"/>
  <c r="BE169" i="12"/>
  <c r="BF169" i="12"/>
  <c r="BG169" i="12"/>
  <c r="BH169" i="12"/>
  <c r="BI169" i="12"/>
  <c r="BJ169" i="12"/>
  <c r="BK169" i="12"/>
  <c r="BL169" i="12"/>
  <c r="BM169" i="12"/>
  <c r="BN169" i="12"/>
  <c r="BO169" i="12"/>
  <c r="BP169" i="12"/>
  <c r="BQ169" i="12"/>
  <c r="BR169" i="12"/>
  <c r="BS169" i="12"/>
  <c r="BT169" i="12"/>
  <c r="BU169" i="12"/>
  <c r="BV169" i="12"/>
  <c r="BW169" i="12"/>
  <c r="BX169" i="12"/>
  <c r="BY169" i="12"/>
  <c r="BZ169" i="12"/>
  <c r="CA169" i="12"/>
  <c r="CB169" i="12"/>
  <c r="CC169" i="12"/>
  <c r="CD169" i="12"/>
  <c r="CE169" i="12"/>
  <c r="CF169" i="12"/>
  <c r="CG169" i="12"/>
  <c r="CH169" i="12"/>
  <c r="CI169" i="12"/>
  <c r="CJ169" i="12"/>
  <c r="CK169" i="12"/>
  <c r="CL169" i="12"/>
  <c r="CM169" i="12"/>
  <c r="CN169" i="12"/>
  <c r="CO169" i="12"/>
  <c r="CP169" i="12"/>
  <c r="CQ169" i="12"/>
  <c r="CR169" i="12"/>
  <c r="CS169" i="12"/>
  <c r="CT169" i="12"/>
  <c r="CU169" i="12"/>
  <c r="CV169" i="12"/>
  <c r="CW169" i="12"/>
  <c r="CX169" i="12"/>
  <c r="CY169" i="12"/>
  <c r="CZ169" i="12"/>
  <c r="DA169" i="12"/>
  <c r="DB169" i="12"/>
  <c r="DC169" i="12"/>
  <c r="DD169" i="12"/>
  <c r="DE169" i="12"/>
  <c r="DF169" i="12"/>
  <c r="DG169" i="12"/>
  <c r="DH169" i="12"/>
  <c r="DI169" i="12"/>
  <c r="DJ169" i="12"/>
  <c r="DK169" i="12"/>
  <c r="DL169" i="12"/>
  <c r="DM169" i="12"/>
  <c r="DN169" i="12"/>
  <c r="DO169" i="12"/>
  <c r="DP169" i="12"/>
  <c r="DQ169" i="12"/>
  <c r="DR169" i="12"/>
  <c r="DS169" i="12"/>
  <c r="DT169" i="12"/>
  <c r="DU169" i="12"/>
  <c r="DV169" i="12"/>
  <c r="DW169" i="12"/>
  <c r="DX169" i="12"/>
  <c r="DY169" i="12"/>
  <c r="DZ169" i="12"/>
  <c r="EA169" i="12"/>
  <c r="EB169" i="12"/>
  <c r="EC169" i="12"/>
  <c r="ED169" i="12"/>
  <c r="EE169" i="12"/>
  <c r="EF169" i="12"/>
  <c r="EG169" i="12"/>
  <c r="EH169" i="12"/>
  <c r="EI169" i="12"/>
  <c r="EJ169" i="12"/>
  <c r="EK169" i="12"/>
  <c r="EL169" i="12"/>
  <c r="EM169" i="12"/>
  <c r="EN169" i="12"/>
  <c r="EO169" i="12"/>
  <c r="EP169" i="12"/>
  <c r="EQ169" i="12"/>
  <c r="ER169" i="12"/>
  <c r="ES169" i="12"/>
  <c r="ET169" i="12"/>
  <c r="EU169" i="12"/>
  <c r="EV169" i="12"/>
  <c r="EW169" i="12"/>
  <c r="EX169" i="12"/>
  <c r="EY169" i="12"/>
  <c r="EZ169" i="12"/>
  <c r="FA169" i="12"/>
  <c r="FB169" i="12"/>
  <c r="FC169" i="12"/>
  <c r="FD169" i="12"/>
  <c r="FE169" i="12"/>
  <c r="FF169" i="12"/>
  <c r="FG169" i="12"/>
  <c r="FH169" i="12"/>
  <c r="FI169" i="12"/>
  <c r="FJ169" i="12"/>
  <c r="FK169" i="12"/>
  <c r="FL169" i="12"/>
  <c r="FM169" i="12"/>
  <c r="FN169" i="12"/>
  <c r="FO169" i="12"/>
  <c r="FP169" i="12"/>
  <c r="FQ169" i="12"/>
  <c r="FR169" i="12"/>
  <c r="FS169" i="12"/>
  <c r="FT169" i="12"/>
  <c r="FU169" i="12"/>
  <c r="FV169" i="12"/>
  <c r="FW169" i="12"/>
  <c r="FX169" i="12"/>
  <c r="FY169" i="12"/>
  <c r="FZ169" i="12"/>
  <c r="GA169" i="12"/>
  <c r="GB169" i="12"/>
  <c r="GC169" i="12"/>
  <c r="GD169" i="12"/>
  <c r="GE169" i="12"/>
  <c r="GF169" i="12"/>
  <c r="GG169" i="12"/>
  <c r="GH169" i="12"/>
  <c r="GI169" i="12"/>
  <c r="GJ169" i="12"/>
  <c r="GK169" i="12"/>
  <c r="GL169" i="12"/>
  <c r="GM169" i="12"/>
  <c r="GN169" i="12"/>
  <c r="GO169" i="12"/>
  <c r="GP169" i="12"/>
  <c r="GQ169" i="12"/>
  <c r="GR169" i="12"/>
  <c r="GS169" i="12"/>
  <c r="GT169" i="12"/>
  <c r="GU169" i="12"/>
  <c r="GV169" i="12"/>
  <c r="GW169" i="12"/>
  <c r="GX169" i="12"/>
  <c r="GY169" i="12"/>
  <c r="GZ169" i="12"/>
  <c r="HA169" i="12"/>
  <c r="HB169" i="12"/>
  <c r="HC169" i="12"/>
  <c r="HD169" i="12"/>
  <c r="HE169" i="12"/>
  <c r="HF169" i="12"/>
  <c r="HG169" i="12"/>
  <c r="HH169" i="12"/>
  <c r="HI169" i="12"/>
  <c r="HJ169" i="12"/>
  <c r="HK169" i="12"/>
  <c r="HL169" i="12"/>
  <c r="HM169" i="12"/>
  <c r="HN169" i="12"/>
  <c r="HO169" i="12"/>
  <c r="HP169" i="12"/>
  <c r="HQ169" i="12"/>
  <c r="HR169" i="12"/>
  <c r="HS169" i="12"/>
  <c r="HT169" i="12"/>
  <c r="HU169" i="12"/>
  <c r="HV169" i="12"/>
  <c r="HW169" i="12"/>
  <c r="HX169" i="12"/>
  <c r="HY169" i="12"/>
  <c r="HZ169" i="12"/>
  <c r="IA169" i="12"/>
  <c r="IB169" i="12"/>
  <c r="IC169" i="12"/>
  <c r="ID169" i="12"/>
  <c r="IE169" i="12"/>
  <c r="IF169" i="12"/>
  <c r="IG169" i="12"/>
  <c r="IH169" i="12"/>
  <c r="II169" i="12"/>
  <c r="IJ169" i="12"/>
  <c r="IK169" i="12"/>
  <c r="IL169" i="12"/>
  <c r="IM169" i="12"/>
  <c r="IN169" i="12"/>
  <c r="IO169" i="12"/>
  <c r="IP169" i="12"/>
  <c r="IQ169" i="12"/>
  <c r="IR169" i="12"/>
  <c r="IS169" i="12"/>
  <c r="IT169" i="12"/>
  <c r="IU169" i="12"/>
  <c r="IV169" i="12"/>
  <c r="F170" i="12"/>
  <c r="G170" i="12"/>
  <c r="H170" i="12"/>
  <c r="I170" i="12"/>
  <c r="J170" i="12"/>
  <c r="K170" i="12"/>
  <c r="L170" i="12"/>
  <c r="M170" i="12"/>
  <c r="N170" i="12"/>
  <c r="O170" i="12"/>
  <c r="P170" i="12"/>
  <c r="Q170" i="12"/>
  <c r="R170" i="12"/>
  <c r="S170" i="12"/>
  <c r="T170" i="12"/>
  <c r="U170" i="12"/>
  <c r="V170" i="12"/>
  <c r="W170" i="12"/>
  <c r="X170" i="12"/>
  <c r="Y170" i="12"/>
  <c r="Z170" i="12"/>
  <c r="AA170" i="12"/>
  <c r="AB170" i="12"/>
  <c r="AC170" i="12"/>
  <c r="AD170" i="12"/>
  <c r="AE170" i="12"/>
  <c r="AF170" i="12"/>
  <c r="AG170" i="12"/>
  <c r="AH170" i="12"/>
  <c r="AI170" i="12"/>
  <c r="AJ170" i="12"/>
  <c r="AK170" i="12"/>
  <c r="AL170" i="12"/>
  <c r="AM170" i="12"/>
  <c r="AN170" i="12"/>
  <c r="AO170" i="12"/>
  <c r="AP170" i="12"/>
  <c r="AQ170" i="12"/>
  <c r="AR170" i="12"/>
  <c r="AS170" i="12"/>
  <c r="AT170" i="12"/>
  <c r="AU170" i="12"/>
  <c r="AV170" i="12"/>
  <c r="AW170" i="12"/>
  <c r="AX170" i="12"/>
  <c r="AY170" i="12"/>
  <c r="AZ170" i="12"/>
  <c r="BA170" i="12"/>
  <c r="BB170" i="12"/>
  <c r="BC170" i="12"/>
  <c r="BD170" i="12"/>
  <c r="BE170" i="12"/>
  <c r="BF170" i="12"/>
  <c r="BG170" i="12"/>
  <c r="BH170" i="12"/>
  <c r="BI170" i="12"/>
  <c r="BJ170" i="12"/>
  <c r="BK170" i="12"/>
  <c r="BL170" i="12"/>
  <c r="BM170" i="12"/>
  <c r="BN170" i="12"/>
  <c r="BO170" i="12"/>
  <c r="BP170" i="12"/>
  <c r="BQ170" i="12"/>
  <c r="BR170" i="12"/>
  <c r="BS170" i="12"/>
  <c r="BT170" i="12"/>
  <c r="BU170" i="12"/>
  <c r="BV170" i="12"/>
  <c r="BW170" i="12"/>
  <c r="BX170" i="12"/>
  <c r="BY170" i="12"/>
  <c r="BZ170" i="12"/>
  <c r="CA170" i="12"/>
  <c r="CB170" i="12"/>
  <c r="CC170" i="12"/>
  <c r="CD170" i="12"/>
  <c r="CE170" i="12"/>
  <c r="CF170" i="12"/>
  <c r="CG170" i="12"/>
  <c r="CH170" i="12"/>
  <c r="CI170" i="12"/>
  <c r="CJ170" i="12"/>
  <c r="CK170" i="12"/>
  <c r="CL170" i="12"/>
  <c r="CM170" i="12"/>
  <c r="CN170" i="12"/>
  <c r="CO170" i="12"/>
  <c r="CP170" i="12"/>
  <c r="CQ170" i="12"/>
  <c r="CR170" i="12"/>
  <c r="CS170" i="12"/>
  <c r="CT170" i="12"/>
  <c r="CU170" i="12"/>
  <c r="CV170" i="12"/>
  <c r="CW170" i="12"/>
  <c r="CX170" i="12"/>
  <c r="CY170" i="12"/>
  <c r="CZ170" i="12"/>
  <c r="DA170" i="12"/>
  <c r="DB170" i="12"/>
  <c r="DC170" i="12"/>
  <c r="DD170" i="12"/>
  <c r="DE170" i="12"/>
  <c r="DF170" i="12"/>
  <c r="DG170" i="12"/>
  <c r="DH170" i="12"/>
  <c r="DI170" i="12"/>
  <c r="DJ170" i="12"/>
  <c r="DK170" i="12"/>
  <c r="DL170" i="12"/>
  <c r="DM170" i="12"/>
  <c r="DN170" i="12"/>
  <c r="DO170" i="12"/>
  <c r="DP170" i="12"/>
  <c r="DQ170" i="12"/>
  <c r="DR170" i="12"/>
  <c r="DS170" i="12"/>
  <c r="DT170" i="12"/>
  <c r="DU170" i="12"/>
  <c r="DV170" i="12"/>
  <c r="DW170" i="12"/>
  <c r="DX170" i="12"/>
  <c r="DY170" i="12"/>
  <c r="DZ170" i="12"/>
  <c r="EA170" i="12"/>
  <c r="EB170" i="12"/>
  <c r="EC170" i="12"/>
  <c r="ED170" i="12"/>
  <c r="EE170" i="12"/>
  <c r="EF170" i="12"/>
  <c r="EG170" i="12"/>
  <c r="EH170" i="12"/>
  <c r="EI170" i="12"/>
  <c r="EJ170" i="12"/>
  <c r="EK170" i="12"/>
  <c r="EL170" i="12"/>
  <c r="EM170" i="12"/>
  <c r="EN170" i="12"/>
  <c r="EO170" i="12"/>
  <c r="EP170" i="12"/>
  <c r="EQ170" i="12"/>
  <c r="ER170" i="12"/>
  <c r="ES170" i="12"/>
  <c r="ET170" i="12"/>
  <c r="EU170" i="12"/>
  <c r="EV170" i="12"/>
  <c r="EW170" i="12"/>
  <c r="EX170" i="12"/>
  <c r="EY170" i="12"/>
  <c r="EZ170" i="12"/>
  <c r="FA170" i="12"/>
  <c r="FB170" i="12"/>
  <c r="FC170" i="12"/>
  <c r="FD170" i="12"/>
  <c r="FE170" i="12"/>
  <c r="FF170" i="12"/>
  <c r="FG170" i="12"/>
  <c r="FH170" i="12"/>
  <c r="FI170" i="12"/>
  <c r="FJ170" i="12"/>
  <c r="FK170" i="12"/>
  <c r="FL170" i="12"/>
  <c r="FM170" i="12"/>
  <c r="FN170" i="12"/>
  <c r="FO170" i="12"/>
  <c r="FP170" i="12"/>
  <c r="FQ170" i="12"/>
  <c r="FR170" i="12"/>
  <c r="FS170" i="12"/>
  <c r="FT170" i="12"/>
  <c r="FU170" i="12"/>
  <c r="FV170" i="12"/>
  <c r="FW170" i="12"/>
  <c r="FX170" i="12"/>
  <c r="FY170" i="12"/>
  <c r="FZ170" i="12"/>
  <c r="GA170" i="12"/>
  <c r="GB170" i="12"/>
  <c r="GC170" i="12"/>
  <c r="GD170" i="12"/>
  <c r="GE170" i="12"/>
  <c r="GF170" i="12"/>
  <c r="GG170" i="12"/>
  <c r="GH170" i="12"/>
  <c r="GI170" i="12"/>
  <c r="GJ170" i="12"/>
  <c r="GK170" i="12"/>
  <c r="GL170" i="12"/>
  <c r="GM170" i="12"/>
  <c r="GN170" i="12"/>
  <c r="GO170" i="12"/>
  <c r="GP170" i="12"/>
  <c r="GQ170" i="12"/>
  <c r="GR170" i="12"/>
  <c r="GS170" i="12"/>
  <c r="GT170" i="12"/>
  <c r="GU170" i="12"/>
  <c r="GV170" i="12"/>
  <c r="GW170" i="12"/>
  <c r="GX170" i="12"/>
  <c r="GY170" i="12"/>
  <c r="GZ170" i="12"/>
  <c r="HA170" i="12"/>
  <c r="HB170" i="12"/>
  <c r="HC170" i="12"/>
  <c r="HD170" i="12"/>
  <c r="HE170" i="12"/>
  <c r="HF170" i="12"/>
  <c r="HG170" i="12"/>
  <c r="HH170" i="12"/>
  <c r="HI170" i="12"/>
  <c r="HJ170" i="12"/>
  <c r="HK170" i="12"/>
  <c r="HL170" i="12"/>
  <c r="HM170" i="12"/>
  <c r="HN170" i="12"/>
  <c r="HO170" i="12"/>
  <c r="HP170" i="12"/>
  <c r="HQ170" i="12"/>
  <c r="HR170" i="12"/>
  <c r="HS170" i="12"/>
  <c r="HT170" i="12"/>
  <c r="HU170" i="12"/>
  <c r="HV170" i="12"/>
  <c r="HW170" i="12"/>
  <c r="HX170" i="12"/>
  <c r="HY170" i="12"/>
  <c r="HZ170" i="12"/>
  <c r="IA170" i="12"/>
  <c r="IB170" i="12"/>
  <c r="IC170" i="12"/>
  <c r="ID170" i="12"/>
  <c r="IE170" i="12"/>
  <c r="IF170" i="12"/>
  <c r="IG170" i="12"/>
  <c r="IH170" i="12"/>
  <c r="II170" i="12"/>
  <c r="IJ170" i="12"/>
  <c r="IK170" i="12"/>
  <c r="IL170" i="12"/>
  <c r="IM170" i="12"/>
  <c r="IN170" i="12"/>
  <c r="IO170" i="12"/>
  <c r="IP170" i="12"/>
  <c r="IQ170" i="12"/>
  <c r="IR170" i="12"/>
  <c r="IS170" i="12"/>
  <c r="IT170" i="12"/>
  <c r="IU170" i="12"/>
  <c r="IV170" i="12"/>
  <c r="F171" i="12"/>
  <c r="G171" i="12"/>
  <c r="H171" i="12"/>
  <c r="I171" i="12"/>
  <c r="J171" i="12"/>
  <c r="K171" i="12"/>
  <c r="L171" i="12"/>
  <c r="M171" i="12"/>
  <c r="N171" i="12"/>
  <c r="O171" i="12"/>
  <c r="P171" i="12"/>
  <c r="Q171" i="12"/>
  <c r="R171" i="12"/>
  <c r="S171" i="12"/>
  <c r="T171" i="12"/>
  <c r="U171" i="12"/>
  <c r="V171" i="12"/>
  <c r="W171" i="12"/>
  <c r="X171" i="12"/>
  <c r="Y171" i="12"/>
  <c r="Z171" i="12"/>
  <c r="AA171" i="12"/>
  <c r="AB171" i="12"/>
  <c r="AC171" i="12"/>
  <c r="AD171" i="12"/>
  <c r="AE171" i="12"/>
  <c r="AF171" i="12"/>
  <c r="AG171" i="12"/>
  <c r="AH171" i="12"/>
  <c r="AI171" i="12"/>
  <c r="AJ171" i="12"/>
  <c r="AK171" i="12"/>
  <c r="AL171" i="12"/>
  <c r="AM171" i="12"/>
  <c r="AN171" i="12"/>
  <c r="AO171" i="12"/>
  <c r="AP171" i="12"/>
  <c r="AQ171" i="12"/>
  <c r="AR171" i="12"/>
  <c r="AS171" i="12"/>
  <c r="AT171" i="12"/>
  <c r="AU171" i="12"/>
  <c r="AV171" i="12"/>
  <c r="AW171" i="12"/>
  <c r="AX171" i="12"/>
  <c r="AY171" i="12"/>
  <c r="AZ171" i="12"/>
  <c r="BA171" i="12"/>
  <c r="BB171" i="12"/>
  <c r="BC171" i="12"/>
  <c r="BD171" i="12"/>
  <c r="BE171" i="12"/>
  <c r="BF171" i="12"/>
  <c r="BG171" i="12"/>
  <c r="BH171" i="12"/>
  <c r="BI171" i="12"/>
  <c r="BJ171" i="12"/>
  <c r="BK171" i="12"/>
  <c r="BL171" i="12"/>
  <c r="BM171" i="12"/>
  <c r="BN171" i="12"/>
  <c r="BO171" i="12"/>
  <c r="BP171" i="12"/>
  <c r="BQ171" i="12"/>
  <c r="BR171" i="12"/>
  <c r="BS171" i="12"/>
  <c r="BT171" i="12"/>
  <c r="BU171" i="12"/>
  <c r="BV171" i="12"/>
  <c r="BW171" i="12"/>
  <c r="BX171" i="12"/>
  <c r="BY171" i="12"/>
  <c r="BZ171" i="12"/>
  <c r="CA171" i="12"/>
  <c r="CB171" i="12"/>
  <c r="CC171" i="12"/>
  <c r="CD171" i="12"/>
  <c r="CE171" i="12"/>
  <c r="CF171" i="12"/>
  <c r="CG171" i="12"/>
  <c r="CH171" i="12"/>
  <c r="CI171" i="12"/>
  <c r="CJ171" i="12"/>
  <c r="CK171" i="12"/>
  <c r="CL171" i="12"/>
  <c r="CM171" i="12"/>
  <c r="CN171" i="12"/>
  <c r="CO171" i="12"/>
  <c r="CP171" i="12"/>
  <c r="CQ171" i="12"/>
  <c r="CR171" i="12"/>
  <c r="CS171" i="12"/>
  <c r="CT171" i="12"/>
  <c r="CU171" i="12"/>
  <c r="CV171" i="12"/>
  <c r="CW171" i="12"/>
  <c r="CX171" i="12"/>
  <c r="CY171" i="12"/>
  <c r="CZ171" i="12"/>
  <c r="DA171" i="12"/>
  <c r="DB171" i="12"/>
  <c r="DC171" i="12"/>
  <c r="DD171" i="12"/>
  <c r="DE171" i="12"/>
  <c r="DF171" i="12"/>
  <c r="DG171" i="12"/>
  <c r="DH171" i="12"/>
  <c r="DI171" i="12"/>
  <c r="DJ171" i="12"/>
  <c r="DK171" i="12"/>
  <c r="DL171" i="12"/>
  <c r="DM171" i="12"/>
  <c r="DN171" i="12"/>
  <c r="DO171" i="12"/>
  <c r="DP171" i="12"/>
  <c r="DQ171" i="12"/>
  <c r="DR171" i="12"/>
  <c r="DS171" i="12"/>
  <c r="DT171" i="12"/>
  <c r="DU171" i="12"/>
  <c r="DV171" i="12"/>
  <c r="DW171" i="12"/>
  <c r="DX171" i="12"/>
  <c r="DY171" i="12"/>
  <c r="DZ171" i="12"/>
  <c r="EA171" i="12"/>
  <c r="EB171" i="12"/>
  <c r="EC171" i="12"/>
  <c r="ED171" i="12"/>
  <c r="EE171" i="12"/>
  <c r="EF171" i="12"/>
  <c r="EG171" i="12"/>
  <c r="EH171" i="12"/>
  <c r="EI171" i="12"/>
  <c r="EJ171" i="12"/>
  <c r="EK171" i="12"/>
  <c r="EL171" i="12"/>
  <c r="EM171" i="12"/>
  <c r="EN171" i="12"/>
  <c r="EO171" i="12"/>
  <c r="EP171" i="12"/>
  <c r="EQ171" i="12"/>
  <c r="ER171" i="12"/>
  <c r="ES171" i="12"/>
  <c r="ET171" i="12"/>
  <c r="EU171" i="12"/>
  <c r="EV171" i="12"/>
  <c r="EW171" i="12"/>
  <c r="EX171" i="12"/>
  <c r="EY171" i="12"/>
  <c r="EZ171" i="12"/>
  <c r="FA171" i="12"/>
  <c r="FB171" i="12"/>
  <c r="FC171" i="12"/>
  <c r="FD171" i="12"/>
  <c r="FE171" i="12"/>
  <c r="FF171" i="12"/>
  <c r="FG171" i="12"/>
  <c r="FH171" i="12"/>
  <c r="FI171" i="12"/>
  <c r="FJ171" i="12"/>
  <c r="FK171" i="12"/>
  <c r="FL171" i="12"/>
  <c r="FM171" i="12"/>
  <c r="FN171" i="12"/>
  <c r="FO171" i="12"/>
  <c r="FP171" i="12"/>
  <c r="FQ171" i="12"/>
  <c r="FR171" i="12"/>
  <c r="FS171" i="12"/>
  <c r="FT171" i="12"/>
  <c r="FU171" i="12"/>
  <c r="FV171" i="12"/>
  <c r="FW171" i="12"/>
  <c r="FX171" i="12"/>
  <c r="FY171" i="12"/>
  <c r="FZ171" i="12"/>
  <c r="GA171" i="12"/>
  <c r="GB171" i="12"/>
  <c r="GC171" i="12"/>
  <c r="GD171" i="12"/>
  <c r="GE171" i="12"/>
  <c r="GF171" i="12"/>
  <c r="GG171" i="12"/>
  <c r="GH171" i="12"/>
  <c r="GI171" i="12"/>
  <c r="GJ171" i="12"/>
  <c r="GK171" i="12"/>
  <c r="GL171" i="12"/>
  <c r="GM171" i="12"/>
  <c r="GN171" i="12"/>
  <c r="GO171" i="12"/>
  <c r="GP171" i="12"/>
  <c r="GQ171" i="12"/>
  <c r="GR171" i="12"/>
  <c r="GS171" i="12"/>
  <c r="GT171" i="12"/>
  <c r="GU171" i="12"/>
  <c r="GV171" i="12"/>
  <c r="GW171" i="12"/>
  <c r="GX171" i="12"/>
  <c r="GY171" i="12"/>
  <c r="GZ171" i="12"/>
  <c r="HA171" i="12"/>
  <c r="HB171" i="12"/>
  <c r="HC171" i="12"/>
  <c r="HD171" i="12"/>
  <c r="HE171" i="12"/>
  <c r="HF171" i="12"/>
  <c r="HG171" i="12"/>
  <c r="HH171" i="12"/>
  <c r="HI171" i="12"/>
  <c r="HJ171" i="12"/>
  <c r="HK171" i="12"/>
  <c r="HL171" i="12"/>
  <c r="HM171" i="12"/>
  <c r="HN171" i="12"/>
  <c r="HO171" i="12"/>
  <c r="HP171" i="12"/>
  <c r="HQ171" i="12"/>
  <c r="HR171" i="12"/>
  <c r="HS171" i="12"/>
  <c r="HT171" i="12"/>
  <c r="HU171" i="12"/>
  <c r="HV171" i="12"/>
  <c r="HW171" i="12"/>
  <c r="HX171" i="12"/>
  <c r="HY171" i="12"/>
  <c r="HZ171" i="12"/>
  <c r="IA171" i="12"/>
  <c r="IB171" i="12"/>
  <c r="IC171" i="12"/>
  <c r="ID171" i="12"/>
  <c r="IE171" i="12"/>
  <c r="IF171" i="12"/>
  <c r="IG171" i="12"/>
  <c r="IH171" i="12"/>
  <c r="II171" i="12"/>
  <c r="IJ171" i="12"/>
  <c r="IK171" i="12"/>
  <c r="IL171" i="12"/>
  <c r="IM171" i="12"/>
  <c r="IN171" i="12"/>
  <c r="IO171" i="12"/>
  <c r="IP171" i="12"/>
  <c r="IQ171" i="12"/>
  <c r="IR171" i="12"/>
  <c r="IS171" i="12"/>
  <c r="IT171" i="12"/>
  <c r="IU171" i="12"/>
  <c r="IV171" i="12"/>
  <c r="F172" i="12"/>
  <c r="G172" i="12"/>
  <c r="H172" i="12"/>
  <c r="I172" i="12"/>
  <c r="J172" i="12"/>
  <c r="K172" i="12"/>
  <c r="L172" i="12"/>
  <c r="M172" i="12"/>
  <c r="N172" i="12"/>
  <c r="O172" i="12"/>
  <c r="P172" i="12"/>
  <c r="Q172" i="12"/>
  <c r="R172" i="12"/>
  <c r="S172" i="12"/>
  <c r="T172" i="12"/>
  <c r="U172" i="12"/>
  <c r="V172" i="12"/>
  <c r="W172" i="12"/>
  <c r="X172" i="12"/>
  <c r="Y172" i="12"/>
  <c r="Z172" i="12"/>
  <c r="AA172" i="12"/>
  <c r="AB172" i="12"/>
  <c r="AC172" i="12"/>
  <c r="AD172" i="12"/>
  <c r="AE172" i="12"/>
  <c r="AF172" i="12"/>
  <c r="AG172" i="12"/>
  <c r="AH172" i="12"/>
  <c r="AI172" i="12"/>
  <c r="AJ172" i="12"/>
  <c r="AK172" i="12"/>
  <c r="AL172" i="12"/>
  <c r="AM172" i="12"/>
  <c r="AN172" i="12"/>
  <c r="AO172" i="12"/>
  <c r="AP172" i="12"/>
  <c r="AQ172" i="12"/>
  <c r="AR172" i="12"/>
  <c r="AS172" i="12"/>
  <c r="AT172" i="12"/>
  <c r="AU172" i="12"/>
  <c r="AV172" i="12"/>
  <c r="AW172" i="12"/>
  <c r="AX172" i="12"/>
  <c r="AY172" i="12"/>
  <c r="AZ172" i="12"/>
  <c r="BA172" i="12"/>
  <c r="BB172" i="12"/>
  <c r="BC172" i="12"/>
  <c r="BD172" i="12"/>
  <c r="BE172" i="12"/>
  <c r="BF172" i="12"/>
  <c r="BG172" i="12"/>
  <c r="BH172" i="12"/>
  <c r="BI172" i="12"/>
  <c r="BJ172" i="12"/>
  <c r="BK172" i="12"/>
  <c r="BL172" i="12"/>
  <c r="BM172" i="12"/>
  <c r="BN172" i="12"/>
  <c r="BO172" i="12"/>
  <c r="BP172" i="12"/>
  <c r="BQ172" i="12"/>
  <c r="BR172" i="12"/>
  <c r="BS172" i="12"/>
  <c r="BT172" i="12"/>
  <c r="BU172" i="12"/>
  <c r="BV172" i="12"/>
  <c r="BW172" i="12"/>
  <c r="BX172" i="12"/>
  <c r="BY172" i="12"/>
  <c r="BZ172" i="12"/>
  <c r="CA172" i="12"/>
  <c r="CB172" i="12"/>
  <c r="CC172" i="12"/>
  <c r="CD172" i="12"/>
  <c r="CE172" i="12"/>
  <c r="CF172" i="12"/>
  <c r="CG172" i="12"/>
  <c r="CH172" i="12"/>
  <c r="CI172" i="12"/>
  <c r="CJ172" i="12"/>
  <c r="CK172" i="12"/>
  <c r="CL172" i="12"/>
  <c r="CM172" i="12"/>
  <c r="CN172" i="12"/>
  <c r="CO172" i="12"/>
  <c r="CP172" i="12"/>
  <c r="CQ172" i="12"/>
  <c r="CR172" i="12"/>
  <c r="CS172" i="12"/>
  <c r="CT172" i="12"/>
  <c r="CU172" i="12"/>
  <c r="CV172" i="12"/>
  <c r="CW172" i="12"/>
  <c r="CX172" i="12"/>
  <c r="CY172" i="12"/>
  <c r="CZ172" i="12"/>
  <c r="DA172" i="12"/>
  <c r="DB172" i="12"/>
  <c r="DC172" i="12"/>
  <c r="DD172" i="12"/>
  <c r="DE172" i="12"/>
  <c r="DF172" i="12"/>
  <c r="DG172" i="12"/>
  <c r="DH172" i="12"/>
  <c r="DI172" i="12"/>
  <c r="DJ172" i="12"/>
  <c r="DK172" i="12"/>
  <c r="DL172" i="12"/>
  <c r="DM172" i="12"/>
  <c r="DN172" i="12"/>
  <c r="DO172" i="12"/>
  <c r="DP172" i="12"/>
  <c r="DQ172" i="12"/>
  <c r="DR172" i="12"/>
  <c r="DS172" i="12"/>
  <c r="DT172" i="12"/>
  <c r="DU172" i="12"/>
  <c r="DV172" i="12"/>
  <c r="DW172" i="12"/>
  <c r="DX172" i="12"/>
  <c r="DY172" i="12"/>
  <c r="DZ172" i="12"/>
  <c r="EA172" i="12"/>
  <c r="EB172" i="12"/>
  <c r="EC172" i="12"/>
  <c r="ED172" i="12"/>
  <c r="EE172" i="12"/>
  <c r="EF172" i="12"/>
  <c r="EG172" i="12"/>
  <c r="EH172" i="12"/>
  <c r="EI172" i="12"/>
  <c r="EJ172" i="12"/>
  <c r="EK172" i="12"/>
  <c r="EL172" i="12"/>
  <c r="EM172" i="12"/>
  <c r="EN172" i="12"/>
  <c r="EO172" i="12"/>
  <c r="EP172" i="12"/>
  <c r="EQ172" i="12"/>
  <c r="ER172" i="12"/>
  <c r="ES172" i="12"/>
  <c r="ET172" i="12"/>
  <c r="EU172" i="12"/>
  <c r="EV172" i="12"/>
  <c r="EW172" i="12"/>
  <c r="EX172" i="12"/>
  <c r="EY172" i="12"/>
  <c r="EZ172" i="12"/>
  <c r="FA172" i="12"/>
  <c r="FB172" i="12"/>
  <c r="FC172" i="12"/>
  <c r="FD172" i="12"/>
  <c r="FE172" i="12"/>
  <c r="FF172" i="12"/>
  <c r="FG172" i="12"/>
  <c r="FH172" i="12"/>
  <c r="FI172" i="12"/>
  <c r="FJ172" i="12"/>
  <c r="FK172" i="12"/>
  <c r="FL172" i="12"/>
  <c r="FM172" i="12"/>
  <c r="FN172" i="12"/>
  <c r="FO172" i="12"/>
  <c r="FP172" i="12"/>
  <c r="FQ172" i="12"/>
  <c r="FR172" i="12"/>
  <c r="FS172" i="12"/>
  <c r="FT172" i="12"/>
  <c r="FU172" i="12"/>
  <c r="FV172" i="12"/>
  <c r="FW172" i="12"/>
  <c r="FX172" i="12"/>
  <c r="FY172" i="12"/>
  <c r="FZ172" i="12"/>
  <c r="GA172" i="12"/>
  <c r="GB172" i="12"/>
  <c r="GC172" i="12"/>
  <c r="GD172" i="12"/>
  <c r="GE172" i="12"/>
  <c r="GF172" i="12"/>
  <c r="GG172" i="12"/>
  <c r="GH172" i="12"/>
  <c r="GI172" i="12"/>
  <c r="GJ172" i="12"/>
  <c r="GK172" i="12"/>
  <c r="GL172" i="12"/>
  <c r="GM172" i="12"/>
  <c r="GN172" i="12"/>
  <c r="GO172" i="12"/>
  <c r="GP172" i="12"/>
  <c r="GQ172" i="12"/>
  <c r="GR172" i="12"/>
  <c r="GS172" i="12"/>
  <c r="GT172" i="12"/>
  <c r="GU172" i="12"/>
  <c r="GV172" i="12"/>
  <c r="GW172" i="12"/>
  <c r="GX172" i="12"/>
  <c r="GY172" i="12"/>
  <c r="GZ172" i="12"/>
  <c r="HA172" i="12"/>
  <c r="HB172" i="12"/>
  <c r="HC172" i="12"/>
  <c r="HD172" i="12"/>
  <c r="HE172" i="12"/>
  <c r="HF172" i="12"/>
  <c r="HG172" i="12"/>
  <c r="HH172" i="12"/>
  <c r="HI172" i="12"/>
  <c r="HJ172" i="12"/>
  <c r="HK172" i="12"/>
  <c r="HL172" i="12"/>
  <c r="HM172" i="12"/>
  <c r="HN172" i="12"/>
  <c r="HO172" i="12"/>
  <c r="HP172" i="12"/>
  <c r="HQ172" i="12"/>
  <c r="HR172" i="12"/>
  <c r="HS172" i="12"/>
  <c r="HT172" i="12"/>
  <c r="HU172" i="12"/>
  <c r="HV172" i="12"/>
  <c r="HW172" i="12"/>
  <c r="HX172" i="12"/>
  <c r="HY172" i="12"/>
  <c r="HZ172" i="12"/>
  <c r="IA172" i="12"/>
  <c r="IB172" i="12"/>
  <c r="IC172" i="12"/>
  <c r="ID172" i="12"/>
  <c r="IE172" i="12"/>
  <c r="IF172" i="12"/>
  <c r="IG172" i="12"/>
  <c r="IH172" i="12"/>
  <c r="II172" i="12"/>
  <c r="IJ172" i="12"/>
  <c r="IK172" i="12"/>
  <c r="IL172" i="12"/>
  <c r="IM172" i="12"/>
  <c r="IN172" i="12"/>
  <c r="IO172" i="12"/>
  <c r="IP172" i="12"/>
  <c r="IQ172" i="12"/>
  <c r="IR172" i="12"/>
  <c r="IS172" i="12"/>
  <c r="IT172" i="12"/>
  <c r="IU172" i="12"/>
  <c r="IV172" i="12"/>
  <c r="F173" i="12"/>
  <c r="G173" i="12"/>
  <c r="H173" i="12"/>
  <c r="I173" i="12"/>
  <c r="J173" i="12"/>
  <c r="K173" i="12"/>
  <c r="L173" i="12"/>
  <c r="M173" i="12"/>
  <c r="N173" i="12"/>
  <c r="O173" i="12"/>
  <c r="P173" i="12"/>
  <c r="Q173" i="12"/>
  <c r="R173" i="12"/>
  <c r="S173" i="12"/>
  <c r="T173" i="12"/>
  <c r="U173" i="12"/>
  <c r="V173" i="12"/>
  <c r="W173" i="12"/>
  <c r="X173" i="12"/>
  <c r="Y173" i="12"/>
  <c r="Z173" i="12"/>
  <c r="AA173" i="12"/>
  <c r="AB173" i="12"/>
  <c r="AC173" i="12"/>
  <c r="AD173" i="12"/>
  <c r="AE173" i="12"/>
  <c r="AF173" i="12"/>
  <c r="AG173" i="12"/>
  <c r="AH173" i="12"/>
  <c r="AI173" i="12"/>
  <c r="AJ173" i="12"/>
  <c r="AK173" i="12"/>
  <c r="AL173" i="12"/>
  <c r="AM173" i="12"/>
  <c r="AN173" i="12"/>
  <c r="AO173" i="12"/>
  <c r="AP173" i="12"/>
  <c r="AQ173" i="12"/>
  <c r="AR173" i="12"/>
  <c r="AS173" i="12"/>
  <c r="AT173" i="12"/>
  <c r="AU173" i="12"/>
  <c r="AV173" i="12"/>
  <c r="AW173" i="12"/>
  <c r="AX173" i="12"/>
  <c r="AY173" i="12"/>
  <c r="AZ173" i="12"/>
  <c r="BA173" i="12"/>
  <c r="BB173" i="12"/>
  <c r="BC173" i="12"/>
  <c r="BD173" i="12"/>
  <c r="BE173" i="12"/>
  <c r="BF173" i="12"/>
  <c r="BG173" i="12"/>
  <c r="BH173" i="12"/>
  <c r="BI173" i="12"/>
  <c r="BJ173" i="12"/>
  <c r="BK173" i="12"/>
  <c r="BL173" i="12"/>
  <c r="BM173" i="12"/>
  <c r="BN173" i="12"/>
  <c r="BO173" i="12"/>
  <c r="BP173" i="12"/>
  <c r="BQ173" i="12"/>
  <c r="BR173" i="12"/>
  <c r="BS173" i="12"/>
  <c r="BT173" i="12"/>
  <c r="BU173" i="12"/>
  <c r="BV173" i="12"/>
  <c r="BW173" i="12"/>
  <c r="BX173" i="12"/>
  <c r="BY173" i="12"/>
  <c r="BZ173" i="12"/>
  <c r="CA173" i="12"/>
  <c r="CB173" i="12"/>
  <c r="CC173" i="12"/>
  <c r="CD173" i="12"/>
  <c r="CE173" i="12"/>
  <c r="CF173" i="12"/>
  <c r="CG173" i="12"/>
  <c r="CH173" i="12"/>
  <c r="CI173" i="12"/>
  <c r="CJ173" i="12"/>
  <c r="CK173" i="12"/>
  <c r="CL173" i="12"/>
  <c r="CM173" i="12"/>
  <c r="CN173" i="12"/>
  <c r="CO173" i="12"/>
  <c r="CP173" i="12"/>
  <c r="CQ173" i="12"/>
  <c r="CR173" i="12"/>
  <c r="CS173" i="12"/>
  <c r="CT173" i="12"/>
  <c r="CU173" i="12"/>
  <c r="CV173" i="12"/>
  <c r="CW173" i="12"/>
  <c r="CX173" i="12"/>
  <c r="CY173" i="12"/>
  <c r="CZ173" i="12"/>
  <c r="DA173" i="12"/>
  <c r="DB173" i="12"/>
  <c r="DC173" i="12"/>
  <c r="DD173" i="12"/>
  <c r="DE173" i="12"/>
  <c r="DF173" i="12"/>
  <c r="DG173" i="12"/>
  <c r="DH173" i="12"/>
  <c r="DI173" i="12"/>
  <c r="DJ173" i="12"/>
  <c r="DK173" i="12"/>
  <c r="DL173" i="12"/>
  <c r="DM173" i="12"/>
  <c r="DN173" i="12"/>
  <c r="DO173" i="12"/>
  <c r="DP173" i="12"/>
  <c r="DQ173" i="12"/>
  <c r="DR173" i="12"/>
  <c r="DS173" i="12"/>
  <c r="DT173" i="12"/>
  <c r="DU173" i="12"/>
  <c r="DV173" i="12"/>
  <c r="DW173" i="12"/>
  <c r="DX173" i="12"/>
  <c r="DY173" i="12"/>
  <c r="DZ173" i="12"/>
  <c r="EA173" i="12"/>
  <c r="EB173" i="12"/>
  <c r="EC173" i="12"/>
  <c r="ED173" i="12"/>
  <c r="EE173" i="12"/>
  <c r="EF173" i="12"/>
  <c r="EG173" i="12"/>
  <c r="EH173" i="12"/>
  <c r="EI173" i="12"/>
  <c r="EJ173" i="12"/>
  <c r="EK173" i="12"/>
  <c r="EL173" i="12"/>
  <c r="EM173" i="12"/>
  <c r="EN173" i="12"/>
  <c r="EO173" i="12"/>
  <c r="EP173" i="12"/>
  <c r="EQ173" i="12"/>
  <c r="ER173" i="12"/>
  <c r="ES173" i="12"/>
  <c r="ET173" i="12"/>
  <c r="EU173" i="12"/>
  <c r="EV173" i="12"/>
  <c r="EW173" i="12"/>
  <c r="EX173" i="12"/>
  <c r="EY173" i="12"/>
  <c r="EZ173" i="12"/>
  <c r="FA173" i="12"/>
  <c r="FB173" i="12"/>
  <c r="FC173" i="12"/>
  <c r="FD173" i="12"/>
  <c r="FE173" i="12"/>
  <c r="FF173" i="12"/>
  <c r="FG173" i="12"/>
  <c r="FH173" i="12"/>
  <c r="FI173" i="12"/>
  <c r="FJ173" i="12"/>
  <c r="FK173" i="12"/>
  <c r="FL173" i="12"/>
  <c r="FM173" i="12"/>
  <c r="FN173" i="12"/>
  <c r="FO173" i="12"/>
  <c r="FP173" i="12"/>
  <c r="FQ173" i="12"/>
  <c r="FR173" i="12"/>
  <c r="FS173" i="12"/>
  <c r="FT173" i="12"/>
  <c r="FU173" i="12"/>
  <c r="FV173" i="12"/>
  <c r="FW173" i="12"/>
  <c r="FX173" i="12"/>
  <c r="FY173" i="12"/>
  <c r="FZ173" i="12"/>
  <c r="GA173" i="12"/>
  <c r="GB173" i="12"/>
  <c r="GC173" i="12"/>
  <c r="GD173" i="12"/>
  <c r="GE173" i="12"/>
  <c r="GF173" i="12"/>
  <c r="GG173" i="12"/>
  <c r="GH173" i="12"/>
  <c r="GI173" i="12"/>
  <c r="GJ173" i="12"/>
  <c r="GK173" i="12"/>
  <c r="GL173" i="12"/>
  <c r="GM173" i="12"/>
  <c r="GN173" i="12"/>
  <c r="GO173" i="12"/>
  <c r="GP173" i="12"/>
  <c r="GQ173" i="12"/>
  <c r="GR173" i="12"/>
  <c r="GS173" i="12"/>
  <c r="GT173" i="12"/>
  <c r="GU173" i="12"/>
  <c r="GV173" i="12"/>
  <c r="GW173" i="12"/>
  <c r="GX173" i="12"/>
  <c r="GY173" i="12"/>
  <c r="GZ173" i="12"/>
  <c r="HA173" i="12"/>
  <c r="HB173" i="12"/>
  <c r="HC173" i="12"/>
  <c r="HD173" i="12"/>
  <c r="HE173" i="12"/>
  <c r="HF173" i="12"/>
  <c r="HG173" i="12"/>
  <c r="HH173" i="12"/>
  <c r="HI173" i="12"/>
  <c r="HJ173" i="12"/>
  <c r="HK173" i="12"/>
  <c r="HL173" i="12"/>
  <c r="HM173" i="12"/>
  <c r="HN173" i="12"/>
  <c r="HO173" i="12"/>
  <c r="HP173" i="12"/>
  <c r="HQ173" i="12"/>
  <c r="HR173" i="12"/>
  <c r="HS173" i="12"/>
  <c r="HT173" i="12"/>
  <c r="HU173" i="12"/>
  <c r="HV173" i="12"/>
  <c r="HW173" i="12"/>
  <c r="HX173" i="12"/>
  <c r="HY173" i="12"/>
  <c r="HZ173" i="12"/>
  <c r="IA173" i="12"/>
  <c r="IB173" i="12"/>
  <c r="IC173" i="12"/>
  <c r="ID173" i="12"/>
  <c r="IE173" i="12"/>
  <c r="IF173" i="12"/>
  <c r="IG173" i="12"/>
  <c r="IH173" i="12"/>
  <c r="II173" i="12"/>
  <c r="IJ173" i="12"/>
  <c r="IK173" i="12"/>
  <c r="IL173" i="12"/>
  <c r="IM173" i="12"/>
  <c r="IN173" i="12"/>
  <c r="IO173" i="12"/>
  <c r="IP173" i="12"/>
  <c r="IQ173" i="12"/>
  <c r="IR173" i="12"/>
  <c r="IS173" i="12"/>
  <c r="IT173" i="12"/>
  <c r="IU173" i="12"/>
  <c r="IV173" i="12"/>
  <c r="F174" i="12"/>
  <c r="G174" i="12"/>
  <c r="H174" i="12"/>
  <c r="I174" i="12"/>
  <c r="J174" i="12"/>
  <c r="K174" i="12"/>
  <c r="L174" i="12"/>
  <c r="M174" i="12"/>
  <c r="N174" i="12"/>
  <c r="O174" i="12"/>
  <c r="P174" i="12"/>
  <c r="Q174" i="12"/>
  <c r="R174" i="12"/>
  <c r="S174" i="12"/>
  <c r="T174" i="12"/>
  <c r="U174" i="12"/>
  <c r="V174" i="12"/>
  <c r="W174" i="12"/>
  <c r="X174" i="12"/>
  <c r="Y174" i="12"/>
  <c r="Z174" i="12"/>
  <c r="AA174" i="12"/>
  <c r="AB174" i="12"/>
  <c r="AC174" i="12"/>
  <c r="AD174" i="12"/>
  <c r="AE174" i="12"/>
  <c r="AF174" i="12"/>
  <c r="AG174" i="12"/>
  <c r="AH174" i="12"/>
  <c r="AI174" i="12"/>
  <c r="AJ174" i="12"/>
  <c r="AK174" i="12"/>
  <c r="AL174" i="12"/>
  <c r="AM174" i="12"/>
  <c r="AN174" i="12"/>
  <c r="AO174" i="12"/>
  <c r="AP174" i="12"/>
  <c r="AQ174" i="12"/>
  <c r="AR174" i="12"/>
  <c r="AS174" i="12"/>
  <c r="AT174" i="12"/>
  <c r="AU174" i="12"/>
  <c r="AV174" i="12"/>
  <c r="AW174" i="12"/>
  <c r="AX174" i="12"/>
  <c r="AY174" i="12"/>
  <c r="AZ174" i="12"/>
  <c r="BA174" i="12"/>
  <c r="BB174" i="12"/>
  <c r="BC174" i="12"/>
  <c r="BD174" i="12"/>
  <c r="BE174" i="12"/>
  <c r="BF174" i="12"/>
  <c r="BG174" i="12"/>
  <c r="BH174" i="12"/>
  <c r="BI174" i="12"/>
  <c r="BJ174" i="12"/>
  <c r="BK174" i="12"/>
  <c r="BL174" i="12"/>
  <c r="BM174" i="12"/>
  <c r="BN174" i="12"/>
  <c r="BO174" i="12"/>
  <c r="BP174" i="12"/>
  <c r="BQ174" i="12"/>
  <c r="BR174" i="12"/>
  <c r="BS174" i="12"/>
  <c r="BT174" i="12"/>
  <c r="BU174" i="12"/>
  <c r="BV174" i="12"/>
  <c r="BW174" i="12"/>
  <c r="BX174" i="12"/>
  <c r="BY174" i="12"/>
  <c r="BZ174" i="12"/>
  <c r="CA174" i="12"/>
  <c r="CB174" i="12"/>
  <c r="CC174" i="12"/>
  <c r="CD174" i="12"/>
  <c r="CE174" i="12"/>
  <c r="CF174" i="12"/>
  <c r="CG174" i="12"/>
  <c r="CH174" i="12"/>
  <c r="CI174" i="12"/>
  <c r="CJ174" i="12"/>
  <c r="CK174" i="12"/>
  <c r="CL174" i="12"/>
  <c r="CM174" i="12"/>
  <c r="CN174" i="12"/>
  <c r="CO174" i="12"/>
  <c r="CP174" i="12"/>
  <c r="CQ174" i="12"/>
  <c r="CR174" i="12"/>
  <c r="CS174" i="12"/>
  <c r="CT174" i="12"/>
  <c r="CU174" i="12"/>
  <c r="CV174" i="12"/>
  <c r="CW174" i="12"/>
  <c r="CX174" i="12"/>
  <c r="CY174" i="12"/>
  <c r="CZ174" i="12"/>
  <c r="DA174" i="12"/>
  <c r="DB174" i="12"/>
  <c r="DC174" i="12"/>
  <c r="DD174" i="12"/>
  <c r="DE174" i="12"/>
  <c r="DF174" i="12"/>
  <c r="DG174" i="12"/>
  <c r="DH174" i="12"/>
  <c r="DI174" i="12"/>
  <c r="DJ174" i="12"/>
  <c r="DK174" i="12"/>
  <c r="DL174" i="12"/>
  <c r="DM174" i="12"/>
  <c r="DN174" i="12"/>
  <c r="DO174" i="12"/>
  <c r="DP174" i="12"/>
  <c r="DQ174" i="12"/>
  <c r="DR174" i="12"/>
  <c r="DS174" i="12"/>
  <c r="DT174" i="12"/>
  <c r="DU174" i="12"/>
  <c r="DV174" i="12"/>
  <c r="DW174" i="12"/>
  <c r="DX174" i="12"/>
  <c r="DY174" i="12"/>
  <c r="DZ174" i="12"/>
  <c r="EA174" i="12"/>
  <c r="EB174" i="12"/>
  <c r="EC174" i="12"/>
  <c r="ED174" i="12"/>
  <c r="EE174" i="12"/>
  <c r="EF174" i="12"/>
  <c r="EG174" i="12"/>
  <c r="EH174" i="12"/>
  <c r="EI174" i="12"/>
  <c r="EJ174" i="12"/>
  <c r="EK174" i="12"/>
  <c r="EL174" i="12"/>
  <c r="EM174" i="12"/>
  <c r="EN174" i="12"/>
  <c r="EO174" i="12"/>
  <c r="EP174" i="12"/>
  <c r="EQ174" i="12"/>
  <c r="ER174" i="12"/>
  <c r="ES174" i="12"/>
  <c r="ET174" i="12"/>
  <c r="EU174" i="12"/>
  <c r="EV174" i="12"/>
  <c r="EW174" i="12"/>
  <c r="EX174" i="12"/>
  <c r="EY174" i="12"/>
  <c r="EZ174" i="12"/>
  <c r="FA174" i="12"/>
  <c r="FB174" i="12"/>
  <c r="FC174" i="12"/>
  <c r="FD174" i="12"/>
  <c r="FE174" i="12"/>
  <c r="FF174" i="12"/>
  <c r="FG174" i="12"/>
  <c r="FH174" i="12"/>
  <c r="FI174" i="12"/>
  <c r="FJ174" i="12"/>
  <c r="FK174" i="12"/>
  <c r="FL174" i="12"/>
  <c r="FM174" i="12"/>
  <c r="FN174" i="12"/>
  <c r="FO174" i="12"/>
  <c r="FP174" i="12"/>
  <c r="FQ174" i="12"/>
  <c r="FR174" i="12"/>
  <c r="FS174" i="12"/>
  <c r="FT174" i="12"/>
  <c r="FU174" i="12"/>
  <c r="FV174" i="12"/>
  <c r="FW174" i="12"/>
  <c r="FX174" i="12"/>
  <c r="FY174" i="12"/>
  <c r="FZ174" i="12"/>
  <c r="GA174" i="12"/>
  <c r="GB174" i="12"/>
  <c r="GC174" i="12"/>
  <c r="GD174" i="12"/>
  <c r="GE174" i="12"/>
  <c r="GF174" i="12"/>
  <c r="GG174" i="12"/>
  <c r="GH174" i="12"/>
  <c r="GI174" i="12"/>
  <c r="GJ174" i="12"/>
  <c r="GK174" i="12"/>
  <c r="GL174" i="12"/>
  <c r="GM174" i="12"/>
  <c r="GN174" i="12"/>
  <c r="GO174" i="12"/>
  <c r="GP174" i="12"/>
  <c r="GQ174" i="12"/>
  <c r="GR174" i="12"/>
  <c r="GS174" i="12"/>
  <c r="GT174" i="12"/>
  <c r="GU174" i="12"/>
  <c r="GV174" i="12"/>
  <c r="GW174" i="12"/>
  <c r="GX174" i="12"/>
  <c r="GY174" i="12"/>
  <c r="GZ174" i="12"/>
  <c r="HA174" i="12"/>
  <c r="HB174" i="12"/>
  <c r="HC174" i="12"/>
  <c r="HD174" i="12"/>
  <c r="HE174" i="12"/>
  <c r="HF174" i="12"/>
  <c r="HG174" i="12"/>
  <c r="HH174" i="12"/>
  <c r="HI174" i="12"/>
  <c r="HJ174" i="12"/>
  <c r="HK174" i="12"/>
  <c r="HL174" i="12"/>
  <c r="HM174" i="12"/>
  <c r="HN174" i="12"/>
  <c r="HO174" i="12"/>
  <c r="HP174" i="12"/>
  <c r="HQ174" i="12"/>
  <c r="HR174" i="12"/>
  <c r="HS174" i="12"/>
  <c r="HT174" i="12"/>
  <c r="HU174" i="12"/>
  <c r="HV174" i="12"/>
  <c r="HW174" i="12"/>
  <c r="HX174" i="12"/>
  <c r="HY174" i="12"/>
  <c r="HZ174" i="12"/>
  <c r="IA174" i="12"/>
  <c r="IB174" i="12"/>
  <c r="IC174" i="12"/>
  <c r="ID174" i="12"/>
  <c r="IE174" i="12"/>
  <c r="IF174" i="12"/>
  <c r="IG174" i="12"/>
  <c r="IH174" i="12"/>
  <c r="II174" i="12"/>
  <c r="IJ174" i="12"/>
  <c r="IK174" i="12"/>
  <c r="IL174" i="12"/>
  <c r="IM174" i="12"/>
  <c r="IN174" i="12"/>
  <c r="IO174" i="12"/>
  <c r="IP174" i="12"/>
  <c r="IQ174" i="12"/>
  <c r="IR174" i="12"/>
  <c r="IS174" i="12"/>
  <c r="IT174" i="12"/>
  <c r="IU174" i="12"/>
  <c r="IV174" i="12"/>
  <c r="F175" i="12"/>
  <c r="G175" i="12"/>
  <c r="H175" i="12"/>
  <c r="I175" i="12"/>
  <c r="J175" i="12"/>
  <c r="K175" i="12"/>
  <c r="L175" i="12"/>
  <c r="M175" i="12"/>
  <c r="N175" i="12"/>
  <c r="O175" i="12"/>
  <c r="P175" i="12"/>
  <c r="Q175" i="12"/>
  <c r="R175" i="12"/>
  <c r="S175" i="12"/>
  <c r="T175" i="12"/>
  <c r="U175" i="12"/>
  <c r="V175" i="12"/>
  <c r="W175" i="12"/>
  <c r="X175" i="12"/>
  <c r="Y175" i="12"/>
  <c r="Z175" i="12"/>
  <c r="AA175" i="12"/>
  <c r="AB175" i="12"/>
  <c r="AC175" i="12"/>
  <c r="AD175" i="12"/>
  <c r="AE175" i="12"/>
  <c r="AF175" i="12"/>
  <c r="AG175" i="12"/>
  <c r="AH175" i="12"/>
  <c r="AI175" i="12"/>
  <c r="AJ175" i="12"/>
  <c r="AK175" i="12"/>
  <c r="AL175" i="12"/>
  <c r="AM175" i="12"/>
  <c r="AN175" i="12"/>
  <c r="AO175" i="12"/>
  <c r="AP175" i="12"/>
  <c r="AQ175" i="12"/>
  <c r="AR175" i="12"/>
  <c r="AS175" i="12"/>
  <c r="AT175" i="12"/>
  <c r="AU175" i="12"/>
  <c r="AV175" i="12"/>
  <c r="AW175" i="12"/>
  <c r="AX175" i="12"/>
  <c r="AY175" i="12"/>
  <c r="AZ175" i="12"/>
  <c r="BA175" i="12"/>
  <c r="BB175" i="12"/>
  <c r="BC175" i="12"/>
  <c r="BD175" i="12"/>
  <c r="BE175" i="12"/>
  <c r="BF175" i="12"/>
  <c r="BG175" i="12"/>
  <c r="BH175" i="12"/>
  <c r="BI175" i="12"/>
  <c r="BJ175" i="12"/>
  <c r="BK175" i="12"/>
  <c r="BL175" i="12"/>
  <c r="BM175" i="12"/>
  <c r="BN175" i="12"/>
  <c r="BO175" i="12"/>
  <c r="BP175" i="12"/>
  <c r="BQ175" i="12"/>
  <c r="BR175" i="12"/>
  <c r="BS175" i="12"/>
  <c r="BT175" i="12"/>
  <c r="BU175" i="12"/>
  <c r="BV175" i="12"/>
  <c r="BW175" i="12"/>
  <c r="BX175" i="12"/>
  <c r="BY175" i="12"/>
  <c r="BZ175" i="12"/>
  <c r="CA175" i="12"/>
  <c r="CB175" i="12"/>
  <c r="CC175" i="12"/>
  <c r="CD175" i="12"/>
  <c r="CE175" i="12"/>
  <c r="CF175" i="12"/>
  <c r="CG175" i="12"/>
  <c r="CH175" i="12"/>
  <c r="CI175" i="12"/>
  <c r="CJ175" i="12"/>
  <c r="CK175" i="12"/>
  <c r="CL175" i="12"/>
  <c r="CM175" i="12"/>
  <c r="CN175" i="12"/>
  <c r="CO175" i="12"/>
  <c r="CP175" i="12"/>
  <c r="CQ175" i="12"/>
  <c r="CR175" i="12"/>
  <c r="CS175" i="12"/>
  <c r="CT175" i="12"/>
  <c r="CU175" i="12"/>
  <c r="CV175" i="12"/>
  <c r="CW175" i="12"/>
  <c r="CX175" i="12"/>
  <c r="CY175" i="12"/>
  <c r="CZ175" i="12"/>
  <c r="DA175" i="12"/>
  <c r="DB175" i="12"/>
  <c r="DC175" i="12"/>
  <c r="DD175" i="12"/>
  <c r="DE175" i="12"/>
  <c r="DF175" i="12"/>
  <c r="DG175" i="12"/>
  <c r="DH175" i="12"/>
  <c r="DI175" i="12"/>
  <c r="DJ175" i="12"/>
  <c r="DK175" i="12"/>
  <c r="DL175" i="12"/>
  <c r="DM175" i="12"/>
  <c r="DN175" i="12"/>
  <c r="DO175" i="12"/>
  <c r="DP175" i="12"/>
  <c r="DQ175" i="12"/>
  <c r="DR175" i="12"/>
  <c r="DS175" i="12"/>
  <c r="DT175" i="12"/>
  <c r="DU175" i="12"/>
  <c r="DV175" i="12"/>
  <c r="DW175" i="12"/>
  <c r="DX175" i="12"/>
  <c r="DY175" i="12"/>
  <c r="DZ175" i="12"/>
  <c r="EA175" i="12"/>
  <c r="EB175" i="12"/>
  <c r="EC175" i="12"/>
  <c r="ED175" i="12"/>
  <c r="EE175" i="12"/>
  <c r="EF175" i="12"/>
  <c r="EG175" i="12"/>
  <c r="EH175" i="12"/>
  <c r="EI175" i="12"/>
  <c r="EJ175" i="12"/>
  <c r="EK175" i="12"/>
  <c r="EL175" i="12"/>
  <c r="EM175" i="12"/>
  <c r="EN175" i="12"/>
  <c r="EO175" i="12"/>
  <c r="EP175" i="12"/>
  <c r="EQ175" i="12"/>
  <c r="ER175" i="12"/>
  <c r="ES175" i="12"/>
  <c r="ET175" i="12"/>
  <c r="EU175" i="12"/>
  <c r="EV175" i="12"/>
  <c r="EW175" i="12"/>
  <c r="EX175" i="12"/>
  <c r="EY175" i="12"/>
  <c r="EZ175" i="12"/>
  <c r="FA175" i="12"/>
  <c r="FB175" i="12"/>
  <c r="FC175" i="12"/>
  <c r="FD175" i="12"/>
  <c r="FE175" i="12"/>
  <c r="FF175" i="12"/>
  <c r="FG175" i="12"/>
  <c r="FH175" i="12"/>
  <c r="FI175" i="12"/>
  <c r="FJ175" i="12"/>
  <c r="FK175" i="12"/>
  <c r="FL175" i="12"/>
  <c r="FM175" i="12"/>
  <c r="FN175" i="12"/>
  <c r="FO175" i="12"/>
  <c r="FP175" i="12"/>
  <c r="FQ175" i="12"/>
  <c r="FR175" i="12"/>
  <c r="FS175" i="12"/>
  <c r="FT175" i="12"/>
  <c r="FU175" i="12"/>
  <c r="FV175" i="12"/>
  <c r="FW175" i="12"/>
  <c r="FX175" i="12"/>
  <c r="FY175" i="12"/>
  <c r="FZ175" i="12"/>
  <c r="GA175" i="12"/>
  <c r="GB175" i="12"/>
  <c r="GC175" i="12"/>
  <c r="GD175" i="12"/>
  <c r="GE175" i="12"/>
  <c r="GF175" i="12"/>
  <c r="GG175" i="12"/>
  <c r="GH175" i="12"/>
  <c r="GI175" i="12"/>
  <c r="GJ175" i="12"/>
  <c r="GK175" i="12"/>
  <c r="GL175" i="12"/>
  <c r="GM175" i="12"/>
  <c r="GN175" i="12"/>
  <c r="GO175" i="12"/>
  <c r="GP175" i="12"/>
  <c r="GQ175" i="12"/>
  <c r="GR175" i="12"/>
  <c r="GS175" i="12"/>
  <c r="GT175" i="12"/>
  <c r="GU175" i="12"/>
  <c r="GV175" i="12"/>
  <c r="GW175" i="12"/>
  <c r="GX175" i="12"/>
  <c r="GY175" i="12"/>
  <c r="GZ175" i="12"/>
  <c r="HA175" i="12"/>
  <c r="HB175" i="12"/>
  <c r="HC175" i="12"/>
  <c r="HD175" i="12"/>
  <c r="HE175" i="12"/>
  <c r="HF175" i="12"/>
  <c r="HG175" i="12"/>
  <c r="HH175" i="12"/>
  <c r="HI175" i="12"/>
  <c r="HJ175" i="12"/>
  <c r="HK175" i="12"/>
  <c r="HL175" i="12"/>
  <c r="HM175" i="12"/>
  <c r="HN175" i="12"/>
  <c r="HO175" i="12"/>
  <c r="HP175" i="12"/>
  <c r="HQ175" i="12"/>
  <c r="HR175" i="12"/>
  <c r="HS175" i="12"/>
  <c r="HT175" i="12"/>
  <c r="HU175" i="12"/>
  <c r="HV175" i="12"/>
  <c r="HW175" i="12"/>
  <c r="HX175" i="12"/>
  <c r="HY175" i="12"/>
  <c r="HZ175" i="12"/>
  <c r="IA175" i="12"/>
  <c r="IB175" i="12"/>
  <c r="IC175" i="12"/>
  <c r="ID175" i="12"/>
  <c r="IE175" i="12"/>
  <c r="IF175" i="12"/>
  <c r="IG175" i="12"/>
  <c r="IH175" i="12"/>
  <c r="II175" i="12"/>
  <c r="IJ175" i="12"/>
  <c r="IK175" i="12"/>
  <c r="IL175" i="12"/>
  <c r="IM175" i="12"/>
  <c r="IN175" i="12"/>
  <c r="IO175" i="12"/>
  <c r="IP175" i="12"/>
  <c r="IQ175" i="12"/>
  <c r="IR175" i="12"/>
  <c r="IS175" i="12"/>
  <c r="IT175" i="12"/>
  <c r="IU175" i="12"/>
  <c r="IV175" i="12"/>
  <c r="F176" i="12"/>
  <c r="G176" i="12"/>
  <c r="H176" i="12"/>
  <c r="I176" i="12"/>
  <c r="J176" i="12"/>
  <c r="K176" i="12"/>
  <c r="L176" i="12"/>
  <c r="M176" i="12"/>
  <c r="N176" i="12"/>
  <c r="O176" i="12"/>
  <c r="P176" i="12"/>
  <c r="Q176" i="12"/>
  <c r="R176" i="12"/>
  <c r="S176" i="12"/>
  <c r="T176" i="12"/>
  <c r="U176" i="12"/>
  <c r="V176" i="12"/>
  <c r="W176" i="12"/>
  <c r="X176" i="12"/>
  <c r="Y176" i="12"/>
  <c r="Z176" i="12"/>
  <c r="AA176" i="12"/>
  <c r="AB176" i="12"/>
  <c r="AC176" i="12"/>
  <c r="AD176" i="12"/>
  <c r="AE176" i="12"/>
  <c r="AF176" i="12"/>
  <c r="AG176" i="12"/>
  <c r="AH176" i="12"/>
  <c r="AI176" i="12"/>
  <c r="AJ176" i="12"/>
  <c r="AK176" i="12"/>
  <c r="AL176" i="12"/>
  <c r="AM176" i="12"/>
  <c r="AN176" i="12"/>
  <c r="AO176" i="12"/>
  <c r="AP176" i="12"/>
  <c r="AQ176" i="12"/>
  <c r="AR176" i="12"/>
  <c r="AS176" i="12"/>
  <c r="AT176" i="12"/>
  <c r="AU176" i="12"/>
  <c r="AV176" i="12"/>
  <c r="AW176" i="12"/>
  <c r="AX176" i="12"/>
  <c r="AY176" i="12"/>
  <c r="AZ176" i="12"/>
  <c r="BA176" i="12"/>
  <c r="BB176" i="12"/>
  <c r="BC176" i="12"/>
  <c r="BD176" i="12"/>
  <c r="BE176" i="12"/>
  <c r="BF176" i="12"/>
  <c r="BG176" i="12"/>
  <c r="BH176" i="12"/>
  <c r="BI176" i="12"/>
  <c r="BJ176" i="12"/>
  <c r="BK176" i="12"/>
  <c r="BL176" i="12"/>
  <c r="BM176" i="12"/>
  <c r="BN176" i="12"/>
  <c r="BO176" i="12"/>
  <c r="BP176" i="12"/>
  <c r="BQ176" i="12"/>
  <c r="BR176" i="12"/>
  <c r="BS176" i="12"/>
  <c r="BT176" i="12"/>
  <c r="BU176" i="12"/>
  <c r="BV176" i="12"/>
  <c r="BW176" i="12"/>
  <c r="BX176" i="12"/>
  <c r="BY176" i="12"/>
  <c r="BZ176" i="12"/>
  <c r="CA176" i="12"/>
  <c r="CB176" i="12"/>
  <c r="CC176" i="12"/>
  <c r="CD176" i="12"/>
  <c r="CE176" i="12"/>
  <c r="CF176" i="12"/>
  <c r="CG176" i="12"/>
  <c r="CH176" i="12"/>
  <c r="CI176" i="12"/>
  <c r="CJ176" i="12"/>
  <c r="CK176" i="12"/>
  <c r="CL176" i="12"/>
  <c r="CM176" i="12"/>
  <c r="CN176" i="12"/>
  <c r="CO176" i="12"/>
  <c r="CP176" i="12"/>
  <c r="CQ176" i="12"/>
  <c r="CR176" i="12"/>
  <c r="CS176" i="12"/>
  <c r="CT176" i="12"/>
  <c r="CU176" i="12"/>
  <c r="CV176" i="12"/>
  <c r="CW176" i="12"/>
  <c r="CX176" i="12"/>
  <c r="CY176" i="12"/>
  <c r="CZ176" i="12"/>
  <c r="DA176" i="12"/>
  <c r="DB176" i="12"/>
  <c r="DC176" i="12"/>
  <c r="DD176" i="12"/>
  <c r="DE176" i="12"/>
  <c r="DF176" i="12"/>
  <c r="DG176" i="12"/>
  <c r="DH176" i="12"/>
  <c r="DI176" i="12"/>
  <c r="DJ176" i="12"/>
  <c r="DK176" i="12"/>
  <c r="DL176" i="12"/>
  <c r="DM176" i="12"/>
  <c r="DN176" i="12"/>
  <c r="DO176" i="12"/>
  <c r="DP176" i="12"/>
  <c r="DQ176" i="12"/>
  <c r="DR176" i="12"/>
  <c r="DS176" i="12"/>
  <c r="DT176" i="12"/>
  <c r="DU176" i="12"/>
  <c r="DV176" i="12"/>
  <c r="DW176" i="12"/>
  <c r="DX176" i="12"/>
  <c r="DY176" i="12"/>
  <c r="DZ176" i="12"/>
  <c r="EA176" i="12"/>
  <c r="EB176" i="12"/>
  <c r="EC176" i="12"/>
  <c r="ED176" i="12"/>
  <c r="EE176" i="12"/>
  <c r="EF176" i="12"/>
  <c r="EG176" i="12"/>
  <c r="EH176" i="12"/>
  <c r="EI176" i="12"/>
  <c r="EJ176" i="12"/>
  <c r="EK176" i="12"/>
  <c r="EL176" i="12"/>
  <c r="EM176" i="12"/>
  <c r="EN176" i="12"/>
  <c r="EO176" i="12"/>
  <c r="EP176" i="12"/>
  <c r="EQ176" i="12"/>
  <c r="ER176" i="12"/>
  <c r="ES176" i="12"/>
  <c r="ET176" i="12"/>
  <c r="EU176" i="12"/>
  <c r="EV176" i="12"/>
  <c r="EW176" i="12"/>
  <c r="EX176" i="12"/>
  <c r="EY176" i="12"/>
  <c r="EZ176" i="12"/>
  <c r="FA176" i="12"/>
  <c r="FB176" i="12"/>
  <c r="FC176" i="12"/>
  <c r="FD176" i="12"/>
  <c r="FE176" i="12"/>
  <c r="FF176" i="12"/>
  <c r="FG176" i="12"/>
  <c r="FH176" i="12"/>
  <c r="FI176" i="12"/>
  <c r="FJ176" i="12"/>
  <c r="FK176" i="12"/>
  <c r="FL176" i="12"/>
  <c r="FM176" i="12"/>
  <c r="FN176" i="12"/>
  <c r="FO176" i="12"/>
  <c r="FP176" i="12"/>
  <c r="FQ176" i="12"/>
  <c r="FR176" i="12"/>
  <c r="FS176" i="12"/>
  <c r="FT176" i="12"/>
  <c r="FU176" i="12"/>
  <c r="FV176" i="12"/>
  <c r="FW176" i="12"/>
  <c r="FX176" i="12"/>
  <c r="FY176" i="12"/>
  <c r="FZ176" i="12"/>
  <c r="GA176" i="12"/>
  <c r="GB176" i="12"/>
  <c r="GC176" i="12"/>
  <c r="GD176" i="12"/>
  <c r="GE176" i="12"/>
  <c r="GF176" i="12"/>
  <c r="GG176" i="12"/>
  <c r="GH176" i="12"/>
  <c r="GI176" i="12"/>
  <c r="GJ176" i="12"/>
  <c r="GK176" i="12"/>
  <c r="GL176" i="12"/>
  <c r="GM176" i="12"/>
  <c r="GN176" i="12"/>
  <c r="GO176" i="12"/>
  <c r="GP176" i="12"/>
  <c r="GQ176" i="12"/>
  <c r="GR176" i="12"/>
  <c r="GS176" i="12"/>
  <c r="GT176" i="12"/>
  <c r="GU176" i="12"/>
  <c r="GV176" i="12"/>
  <c r="GW176" i="12"/>
  <c r="GX176" i="12"/>
  <c r="GY176" i="12"/>
  <c r="GZ176" i="12"/>
  <c r="HA176" i="12"/>
  <c r="HB176" i="12"/>
  <c r="HC176" i="12"/>
  <c r="HD176" i="12"/>
  <c r="HE176" i="12"/>
  <c r="HF176" i="12"/>
  <c r="HG176" i="12"/>
  <c r="HH176" i="12"/>
  <c r="HI176" i="12"/>
  <c r="HJ176" i="12"/>
  <c r="HK176" i="12"/>
  <c r="HL176" i="12"/>
  <c r="HM176" i="12"/>
  <c r="HN176" i="12"/>
  <c r="HO176" i="12"/>
  <c r="HP176" i="12"/>
  <c r="HQ176" i="12"/>
  <c r="HR176" i="12"/>
  <c r="HS176" i="12"/>
  <c r="HT176" i="12"/>
  <c r="HU176" i="12"/>
  <c r="HV176" i="12"/>
  <c r="HW176" i="12"/>
  <c r="HX176" i="12"/>
  <c r="HY176" i="12"/>
  <c r="HZ176" i="12"/>
  <c r="IA176" i="12"/>
  <c r="IB176" i="12"/>
  <c r="IC176" i="12"/>
  <c r="ID176" i="12"/>
  <c r="IE176" i="12"/>
  <c r="IF176" i="12"/>
  <c r="IG176" i="12"/>
  <c r="IH176" i="12"/>
  <c r="II176" i="12"/>
  <c r="IJ176" i="12"/>
  <c r="IK176" i="12"/>
  <c r="IL176" i="12"/>
  <c r="IM176" i="12"/>
  <c r="IN176" i="12"/>
  <c r="IO176" i="12"/>
  <c r="IP176" i="12"/>
  <c r="IQ176" i="12"/>
  <c r="IR176" i="12"/>
  <c r="IS176" i="12"/>
  <c r="IT176" i="12"/>
  <c r="IU176" i="12"/>
  <c r="IV176" i="12"/>
  <c r="F177" i="12"/>
  <c r="G177" i="12"/>
  <c r="H177" i="12"/>
  <c r="I177" i="12"/>
  <c r="J177" i="12"/>
  <c r="K177" i="12"/>
  <c r="L177" i="12"/>
  <c r="M177" i="12"/>
  <c r="N177" i="12"/>
  <c r="O177" i="12"/>
  <c r="P177" i="12"/>
  <c r="Q177" i="12"/>
  <c r="R177" i="12"/>
  <c r="S177" i="12"/>
  <c r="T177" i="12"/>
  <c r="U177" i="12"/>
  <c r="V177" i="12"/>
  <c r="W177" i="12"/>
  <c r="X177" i="12"/>
  <c r="Y177" i="12"/>
  <c r="Z177" i="12"/>
  <c r="AA177" i="12"/>
  <c r="AB177" i="12"/>
  <c r="AC177" i="12"/>
  <c r="AD177" i="12"/>
  <c r="AE177" i="12"/>
  <c r="AF177" i="12"/>
  <c r="AG177" i="12"/>
  <c r="AH177" i="12"/>
  <c r="AI177" i="12"/>
  <c r="AJ177" i="12"/>
  <c r="AK177" i="12"/>
  <c r="AL177" i="12"/>
  <c r="AM177" i="12"/>
  <c r="AN177" i="12"/>
  <c r="AO177" i="12"/>
  <c r="AP177" i="12"/>
  <c r="AQ177" i="12"/>
  <c r="AR177" i="12"/>
  <c r="AS177" i="12"/>
  <c r="AT177" i="12"/>
  <c r="AU177" i="12"/>
  <c r="AV177" i="12"/>
  <c r="AW177" i="12"/>
  <c r="AX177" i="12"/>
  <c r="AY177" i="12"/>
  <c r="AZ177" i="12"/>
  <c r="BA177" i="12"/>
  <c r="BB177" i="12"/>
  <c r="BC177" i="12"/>
  <c r="BD177" i="12"/>
  <c r="BE177" i="12"/>
  <c r="BF177" i="12"/>
  <c r="BG177" i="12"/>
  <c r="BH177" i="12"/>
  <c r="BI177" i="12"/>
  <c r="BJ177" i="12"/>
  <c r="BK177" i="12"/>
  <c r="BL177" i="12"/>
  <c r="BM177" i="12"/>
  <c r="BN177" i="12"/>
  <c r="BO177" i="12"/>
  <c r="BP177" i="12"/>
  <c r="BQ177" i="12"/>
  <c r="BR177" i="12"/>
  <c r="BS177" i="12"/>
  <c r="BT177" i="12"/>
  <c r="BU177" i="12"/>
  <c r="BV177" i="12"/>
  <c r="BW177" i="12"/>
  <c r="BX177" i="12"/>
  <c r="BY177" i="12"/>
  <c r="BZ177" i="12"/>
  <c r="CA177" i="12"/>
  <c r="CB177" i="12"/>
  <c r="CC177" i="12"/>
  <c r="CD177" i="12"/>
  <c r="CE177" i="12"/>
  <c r="CF177" i="12"/>
  <c r="CG177" i="12"/>
  <c r="CH177" i="12"/>
  <c r="CI177" i="12"/>
  <c r="CJ177" i="12"/>
  <c r="CK177" i="12"/>
  <c r="CL177" i="12"/>
  <c r="CM177" i="12"/>
  <c r="CN177" i="12"/>
  <c r="CO177" i="12"/>
  <c r="CP177" i="12"/>
  <c r="CQ177" i="12"/>
  <c r="CR177" i="12"/>
  <c r="CS177" i="12"/>
  <c r="CT177" i="12"/>
  <c r="CU177" i="12"/>
  <c r="CV177" i="12"/>
  <c r="CW177" i="12"/>
  <c r="CX177" i="12"/>
  <c r="CY177" i="12"/>
  <c r="CZ177" i="12"/>
  <c r="DA177" i="12"/>
  <c r="DB177" i="12"/>
  <c r="DC177" i="12"/>
  <c r="DD177" i="12"/>
  <c r="DE177" i="12"/>
  <c r="DF177" i="12"/>
  <c r="DG177" i="12"/>
  <c r="DH177" i="12"/>
  <c r="DI177" i="12"/>
  <c r="DJ177" i="12"/>
  <c r="DK177" i="12"/>
  <c r="DL177" i="12"/>
  <c r="DM177" i="12"/>
  <c r="DN177" i="12"/>
  <c r="DO177" i="12"/>
  <c r="DP177" i="12"/>
  <c r="DQ177" i="12"/>
  <c r="DR177" i="12"/>
  <c r="DS177" i="12"/>
  <c r="DT177" i="12"/>
  <c r="DU177" i="12"/>
  <c r="DV177" i="12"/>
  <c r="DW177" i="12"/>
  <c r="DX177" i="12"/>
  <c r="DY177" i="12"/>
  <c r="DZ177" i="12"/>
  <c r="EA177" i="12"/>
  <c r="EB177" i="12"/>
  <c r="EC177" i="12"/>
  <c r="ED177" i="12"/>
  <c r="EE177" i="12"/>
  <c r="EF177" i="12"/>
  <c r="EG177" i="12"/>
  <c r="EH177" i="12"/>
  <c r="EI177" i="12"/>
  <c r="EJ177" i="12"/>
  <c r="EK177" i="12"/>
  <c r="EL177" i="12"/>
  <c r="EM177" i="12"/>
  <c r="EN177" i="12"/>
  <c r="EO177" i="12"/>
  <c r="EP177" i="12"/>
  <c r="EQ177" i="12"/>
  <c r="ER177" i="12"/>
  <c r="ES177" i="12"/>
  <c r="ET177" i="12"/>
  <c r="EU177" i="12"/>
  <c r="EV177" i="12"/>
  <c r="EW177" i="12"/>
  <c r="EX177" i="12"/>
  <c r="EY177" i="12"/>
  <c r="EZ177" i="12"/>
  <c r="FA177" i="12"/>
  <c r="FB177" i="12"/>
  <c r="FC177" i="12"/>
  <c r="FD177" i="12"/>
  <c r="FE177" i="12"/>
  <c r="FF177" i="12"/>
  <c r="FG177" i="12"/>
  <c r="FH177" i="12"/>
  <c r="FI177" i="12"/>
  <c r="FJ177" i="12"/>
  <c r="FK177" i="12"/>
  <c r="FL177" i="12"/>
  <c r="FM177" i="12"/>
  <c r="FN177" i="12"/>
  <c r="FO177" i="12"/>
  <c r="FP177" i="12"/>
  <c r="FQ177" i="12"/>
  <c r="FR177" i="12"/>
  <c r="FS177" i="12"/>
  <c r="FT177" i="12"/>
  <c r="FU177" i="12"/>
  <c r="FV177" i="12"/>
  <c r="FW177" i="12"/>
  <c r="FX177" i="12"/>
  <c r="FY177" i="12"/>
  <c r="FZ177" i="12"/>
  <c r="GA177" i="12"/>
  <c r="GB177" i="12"/>
  <c r="GC177" i="12"/>
  <c r="GD177" i="12"/>
  <c r="GE177" i="12"/>
  <c r="GF177" i="12"/>
  <c r="GG177" i="12"/>
  <c r="GH177" i="12"/>
  <c r="GI177" i="12"/>
  <c r="GJ177" i="12"/>
  <c r="GK177" i="12"/>
  <c r="GL177" i="12"/>
  <c r="GM177" i="12"/>
  <c r="GN177" i="12"/>
  <c r="GO177" i="12"/>
  <c r="GP177" i="12"/>
  <c r="GQ177" i="12"/>
  <c r="GR177" i="12"/>
  <c r="GS177" i="12"/>
  <c r="GT177" i="12"/>
  <c r="GU177" i="12"/>
  <c r="GV177" i="12"/>
  <c r="GW177" i="12"/>
  <c r="GX177" i="12"/>
  <c r="GY177" i="12"/>
  <c r="GZ177" i="12"/>
  <c r="HA177" i="12"/>
  <c r="HB177" i="12"/>
  <c r="HC177" i="12"/>
  <c r="HD177" i="12"/>
  <c r="HE177" i="12"/>
  <c r="HF177" i="12"/>
  <c r="HG177" i="12"/>
  <c r="HH177" i="12"/>
  <c r="HI177" i="12"/>
  <c r="HJ177" i="12"/>
  <c r="HK177" i="12"/>
  <c r="HL177" i="12"/>
  <c r="HM177" i="12"/>
  <c r="HN177" i="12"/>
  <c r="HO177" i="12"/>
  <c r="HP177" i="12"/>
  <c r="HQ177" i="12"/>
  <c r="HR177" i="12"/>
  <c r="HS177" i="12"/>
  <c r="HT177" i="12"/>
  <c r="HU177" i="12"/>
  <c r="HV177" i="12"/>
  <c r="HW177" i="12"/>
  <c r="HX177" i="12"/>
  <c r="HY177" i="12"/>
  <c r="HZ177" i="12"/>
  <c r="IA177" i="12"/>
  <c r="IB177" i="12"/>
  <c r="IC177" i="12"/>
  <c r="ID177" i="12"/>
  <c r="IE177" i="12"/>
  <c r="IF177" i="12"/>
  <c r="IG177" i="12"/>
  <c r="IH177" i="12"/>
  <c r="II177" i="12"/>
  <c r="IJ177" i="12"/>
  <c r="IK177" i="12"/>
  <c r="IL177" i="12"/>
  <c r="IM177" i="12"/>
  <c r="IN177" i="12"/>
  <c r="IO177" i="12"/>
  <c r="IP177" i="12"/>
  <c r="IQ177" i="12"/>
  <c r="IR177" i="12"/>
  <c r="IS177" i="12"/>
  <c r="IT177" i="12"/>
  <c r="IU177" i="12"/>
  <c r="IV177" i="12"/>
  <c r="F178" i="12"/>
  <c r="G178" i="12"/>
  <c r="H178" i="12"/>
  <c r="I178" i="12"/>
  <c r="J178" i="12"/>
  <c r="K178" i="12"/>
  <c r="L178" i="12"/>
  <c r="M178" i="12"/>
  <c r="N178" i="12"/>
  <c r="O178" i="12"/>
  <c r="P178" i="12"/>
  <c r="Q178" i="12"/>
  <c r="R178" i="12"/>
  <c r="S178" i="12"/>
  <c r="T178" i="12"/>
  <c r="U178" i="12"/>
  <c r="V178" i="12"/>
  <c r="W178" i="12"/>
  <c r="X178" i="12"/>
  <c r="Y178" i="12"/>
  <c r="Z178" i="12"/>
  <c r="AA178" i="12"/>
  <c r="AB178" i="12"/>
  <c r="AC178" i="12"/>
  <c r="AD178" i="12"/>
  <c r="AE178" i="12"/>
  <c r="AF178" i="12"/>
  <c r="AG178" i="12"/>
  <c r="AH178" i="12"/>
  <c r="AI178" i="12"/>
  <c r="AJ178" i="12"/>
  <c r="AK178" i="12"/>
  <c r="AL178" i="12"/>
  <c r="AM178" i="12"/>
  <c r="AN178" i="12"/>
  <c r="AO178" i="12"/>
  <c r="AP178" i="12"/>
  <c r="AQ178" i="12"/>
  <c r="AR178" i="12"/>
  <c r="AS178" i="12"/>
  <c r="AT178" i="12"/>
  <c r="AU178" i="12"/>
  <c r="AV178" i="12"/>
  <c r="AW178" i="12"/>
  <c r="AX178" i="12"/>
  <c r="AY178" i="12"/>
  <c r="AZ178" i="12"/>
  <c r="BA178" i="12"/>
  <c r="BB178" i="12"/>
  <c r="BC178" i="12"/>
  <c r="BD178" i="12"/>
  <c r="BE178" i="12"/>
  <c r="BF178" i="12"/>
  <c r="BG178" i="12"/>
  <c r="BH178" i="12"/>
  <c r="BI178" i="12"/>
  <c r="BJ178" i="12"/>
  <c r="BK178" i="12"/>
  <c r="BL178" i="12"/>
  <c r="BM178" i="12"/>
  <c r="BN178" i="12"/>
  <c r="BO178" i="12"/>
  <c r="BP178" i="12"/>
  <c r="BQ178" i="12"/>
  <c r="BR178" i="12"/>
  <c r="BS178" i="12"/>
  <c r="BT178" i="12"/>
  <c r="BU178" i="12"/>
  <c r="BV178" i="12"/>
  <c r="BW178" i="12"/>
  <c r="BX178" i="12"/>
  <c r="BY178" i="12"/>
  <c r="BZ178" i="12"/>
  <c r="CA178" i="12"/>
  <c r="CB178" i="12"/>
  <c r="CC178" i="12"/>
  <c r="CD178" i="12"/>
  <c r="CE178" i="12"/>
  <c r="CF178" i="12"/>
  <c r="CG178" i="12"/>
  <c r="CH178" i="12"/>
  <c r="CI178" i="12"/>
  <c r="CJ178" i="12"/>
  <c r="CK178" i="12"/>
  <c r="CL178" i="12"/>
  <c r="CM178" i="12"/>
  <c r="CN178" i="12"/>
  <c r="CO178" i="12"/>
  <c r="CP178" i="12"/>
  <c r="CQ178" i="12"/>
  <c r="CR178" i="12"/>
  <c r="CS178" i="12"/>
  <c r="CT178" i="12"/>
  <c r="CU178" i="12"/>
  <c r="CV178" i="12"/>
  <c r="CW178" i="12"/>
  <c r="CX178" i="12"/>
  <c r="CY178" i="12"/>
  <c r="CZ178" i="12"/>
  <c r="DA178" i="12"/>
  <c r="DB178" i="12"/>
  <c r="DC178" i="12"/>
  <c r="DD178" i="12"/>
  <c r="DE178" i="12"/>
  <c r="DF178" i="12"/>
  <c r="DG178" i="12"/>
  <c r="DH178" i="12"/>
  <c r="DI178" i="12"/>
  <c r="DJ178" i="12"/>
  <c r="DK178" i="12"/>
  <c r="DL178" i="12"/>
  <c r="DM178" i="12"/>
  <c r="DN178" i="12"/>
  <c r="DO178" i="12"/>
  <c r="DP178" i="12"/>
  <c r="DQ178" i="12"/>
  <c r="DR178" i="12"/>
  <c r="DS178" i="12"/>
  <c r="DT178" i="12"/>
  <c r="DU178" i="12"/>
  <c r="DV178" i="12"/>
  <c r="DW178" i="12"/>
  <c r="DX178" i="12"/>
  <c r="DY178" i="12"/>
  <c r="DZ178" i="12"/>
  <c r="EA178" i="12"/>
  <c r="EB178" i="12"/>
  <c r="EC178" i="12"/>
  <c r="ED178" i="12"/>
  <c r="EE178" i="12"/>
  <c r="EF178" i="12"/>
  <c r="EG178" i="12"/>
  <c r="EH178" i="12"/>
  <c r="EI178" i="12"/>
  <c r="EJ178" i="12"/>
  <c r="EK178" i="12"/>
  <c r="EL178" i="12"/>
  <c r="EM178" i="12"/>
  <c r="EN178" i="12"/>
  <c r="EO178" i="12"/>
  <c r="EP178" i="12"/>
  <c r="EQ178" i="12"/>
  <c r="ER178" i="12"/>
  <c r="ES178" i="12"/>
  <c r="ET178" i="12"/>
  <c r="EU178" i="12"/>
  <c r="EV178" i="12"/>
  <c r="EW178" i="12"/>
  <c r="EX178" i="12"/>
  <c r="EY178" i="12"/>
  <c r="EZ178" i="12"/>
  <c r="FA178" i="12"/>
  <c r="FB178" i="12"/>
  <c r="FC178" i="12"/>
  <c r="FD178" i="12"/>
  <c r="FE178" i="12"/>
  <c r="FF178" i="12"/>
  <c r="FG178" i="12"/>
  <c r="FH178" i="12"/>
  <c r="FI178" i="12"/>
  <c r="FJ178" i="12"/>
  <c r="FK178" i="12"/>
  <c r="FL178" i="12"/>
  <c r="FM178" i="12"/>
  <c r="FN178" i="12"/>
  <c r="FO178" i="12"/>
  <c r="FP178" i="12"/>
  <c r="FQ178" i="12"/>
  <c r="FR178" i="12"/>
  <c r="FS178" i="12"/>
  <c r="FT178" i="12"/>
  <c r="FU178" i="12"/>
  <c r="FV178" i="12"/>
  <c r="FW178" i="12"/>
  <c r="FX178" i="12"/>
  <c r="FY178" i="12"/>
  <c r="FZ178" i="12"/>
  <c r="GA178" i="12"/>
  <c r="GB178" i="12"/>
  <c r="GC178" i="12"/>
  <c r="GD178" i="12"/>
  <c r="GE178" i="12"/>
  <c r="GF178" i="12"/>
  <c r="GG178" i="12"/>
  <c r="GH178" i="12"/>
  <c r="GI178" i="12"/>
  <c r="GJ178" i="12"/>
  <c r="GK178" i="12"/>
  <c r="GL178" i="12"/>
  <c r="GM178" i="12"/>
  <c r="GN178" i="12"/>
  <c r="GO178" i="12"/>
  <c r="GP178" i="12"/>
  <c r="GQ178" i="12"/>
  <c r="GR178" i="12"/>
  <c r="GS178" i="12"/>
  <c r="GT178" i="12"/>
  <c r="GU178" i="12"/>
  <c r="GV178" i="12"/>
  <c r="GW178" i="12"/>
  <c r="GX178" i="12"/>
  <c r="GY178" i="12"/>
  <c r="GZ178" i="12"/>
  <c r="HA178" i="12"/>
  <c r="HB178" i="12"/>
  <c r="HC178" i="12"/>
  <c r="HD178" i="12"/>
  <c r="HE178" i="12"/>
  <c r="HF178" i="12"/>
  <c r="HG178" i="12"/>
  <c r="HH178" i="12"/>
  <c r="HI178" i="12"/>
  <c r="HJ178" i="12"/>
  <c r="HK178" i="12"/>
  <c r="HL178" i="12"/>
  <c r="HM178" i="12"/>
  <c r="HN178" i="12"/>
  <c r="HO178" i="12"/>
  <c r="HP178" i="12"/>
  <c r="HQ178" i="12"/>
  <c r="HR178" i="12"/>
  <c r="HS178" i="12"/>
  <c r="HT178" i="12"/>
  <c r="HU178" i="12"/>
  <c r="HV178" i="12"/>
  <c r="HW178" i="12"/>
  <c r="HX178" i="12"/>
  <c r="HY178" i="12"/>
  <c r="HZ178" i="12"/>
  <c r="IA178" i="12"/>
  <c r="IB178" i="12"/>
  <c r="IC178" i="12"/>
  <c r="ID178" i="12"/>
  <c r="IE178" i="12"/>
  <c r="IF178" i="12"/>
  <c r="IG178" i="12"/>
  <c r="IH178" i="12"/>
  <c r="II178" i="12"/>
  <c r="IJ178" i="12"/>
  <c r="IK178" i="12"/>
  <c r="IL178" i="12"/>
  <c r="IM178" i="12"/>
  <c r="IN178" i="12"/>
  <c r="IO178" i="12"/>
  <c r="IP178" i="12"/>
  <c r="IQ178" i="12"/>
  <c r="IR178" i="12"/>
  <c r="IS178" i="12"/>
  <c r="IT178" i="12"/>
  <c r="IU178" i="12"/>
  <c r="IV178" i="12"/>
  <c r="F179" i="12"/>
  <c r="G179" i="12"/>
  <c r="H179" i="12"/>
  <c r="I179" i="12"/>
  <c r="J179" i="12"/>
  <c r="K179" i="12"/>
  <c r="L179" i="12"/>
  <c r="M179" i="12"/>
  <c r="N179" i="12"/>
  <c r="O179" i="12"/>
  <c r="P179" i="12"/>
  <c r="Q179" i="12"/>
  <c r="R179" i="12"/>
  <c r="S179" i="12"/>
  <c r="T179" i="12"/>
  <c r="U179" i="12"/>
  <c r="V179" i="12"/>
  <c r="W179" i="12"/>
  <c r="X179" i="12"/>
  <c r="Y179" i="12"/>
  <c r="Z179" i="12"/>
  <c r="AA179" i="12"/>
  <c r="AB179" i="12"/>
  <c r="AC179" i="12"/>
  <c r="AD179" i="12"/>
  <c r="AE179" i="12"/>
  <c r="AF179" i="12"/>
  <c r="AG179" i="12"/>
  <c r="AH179" i="12"/>
  <c r="AI179" i="12"/>
  <c r="AJ179" i="12"/>
  <c r="AK179" i="12"/>
  <c r="AL179" i="12"/>
  <c r="AM179" i="12"/>
  <c r="AN179" i="12"/>
  <c r="AO179" i="12"/>
  <c r="AP179" i="12"/>
  <c r="AQ179" i="12"/>
  <c r="AR179" i="12"/>
  <c r="AS179" i="12"/>
  <c r="AT179" i="12"/>
  <c r="AU179" i="12"/>
  <c r="AV179" i="12"/>
  <c r="AW179" i="12"/>
  <c r="AX179" i="12"/>
  <c r="AY179" i="12"/>
  <c r="AZ179" i="12"/>
  <c r="BA179" i="12"/>
  <c r="BB179" i="12"/>
  <c r="BC179" i="12"/>
  <c r="BD179" i="12"/>
  <c r="BE179" i="12"/>
  <c r="BF179" i="12"/>
  <c r="BG179" i="12"/>
  <c r="BH179" i="12"/>
  <c r="BI179" i="12"/>
  <c r="BJ179" i="12"/>
  <c r="BK179" i="12"/>
  <c r="BL179" i="12"/>
  <c r="BM179" i="12"/>
  <c r="BN179" i="12"/>
  <c r="BO179" i="12"/>
  <c r="BP179" i="12"/>
  <c r="BQ179" i="12"/>
  <c r="BR179" i="12"/>
  <c r="BS179" i="12"/>
  <c r="BT179" i="12"/>
  <c r="BU179" i="12"/>
  <c r="BV179" i="12"/>
  <c r="BW179" i="12"/>
  <c r="BX179" i="12"/>
  <c r="BY179" i="12"/>
  <c r="BZ179" i="12"/>
  <c r="CA179" i="12"/>
  <c r="CB179" i="12"/>
  <c r="CC179" i="12"/>
  <c r="CD179" i="12"/>
  <c r="CE179" i="12"/>
  <c r="CF179" i="12"/>
  <c r="CG179" i="12"/>
  <c r="CH179" i="12"/>
  <c r="CI179" i="12"/>
  <c r="CJ179" i="12"/>
  <c r="CK179" i="12"/>
  <c r="CL179" i="12"/>
  <c r="CM179" i="12"/>
  <c r="CN179" i="12"/>
  <c r="CO179" i="12"/>
  <c r="CP179" i="12"/>
  <c r="CQ179" i="12"/>
  <c r="CR179" i="12"/>
  <c r="CS179" i="12"/>
  <c r="CT179" i="12"/>
  <c r="CU179" i="12"/>
  <c r="CV179" i="12"/>
  <c r="CW179" i="12"/>
  <c r="CX179" i="12"/>
  <c r="CY179" i="12"/>
  <c r="CZ179" i="12"/>
  <c r="DA179" i="12"/>
  <c r="DB179" i="12"/>
  <c r="DC179" i="12"/>
  <c r="DD179" i="12"/>
  <c r="DE179" i="12"/>
  <c r="DF179" i="12"/>
  <c r="DG179" i="12"/>
  <c r="DH179" i="12"/>
  <c r="DI179" i="12"/>
  <c r="DJ179" i="12"/>
  <c r="DK179" i="12"/>
  <c r="DL179" i="12"/>
  <c r="DM179" i="12"/>
  <c r="DN179" i="12"/>
  <c r="DO179" i="12"/>
  <c r="DP179" i="12"/>
  <c r="DQ179" i="12"/>
  <c r="DR179" i="12"/>
  <c r="DS179" i="12"/>
  <c r="DT179" i="12"/>
  <c r="DU179" i="12"/>
  <c r="DV179" i="12"/>
  <c r="DW179" i="12"/>
  <c r="DX179" i="12"/>
  <c r="DY179" i="12"/>
  <c r="DZ179" i="12"/>
  <c r="EA179" i="12"/>
  <c r="EB179" i="12"/>
  <c r="EC179" i="12"/>
  <c r="ED179" i="12"/>
  <c r="EE179" i="12"/>
  <c r="EF179" i="12"/>
  <c r="EG179" i="12"/>
  <c r="EH179" i="12"/>
  <c r="EI179" i="12"/>
  <c r="EJ179" i="12"/>
  <c r="EK179" i="12"/>
  <c r="EL179" i="12"/>
  <c r="EM179" i="12"/>
  <c r="EN179" i="12"/>
  <c r="EO179" i="12"/>
  <c r="EP179" i="12"/>
  <c r="EQ179" i="12"/>
  <c r="ER179" i="12"/>
  <c r="ES179" i="12"/>
  <c r="ET179" i="12"/>
  <c r="EU179" i="12"/>
  <c r="EV179" i="12"/>
  <c r="EW179" i="12"/>
  <c r="EX179" i="12"/>
  <c r="EY179" i="12"/>
  <c r="EZ179" i="12"/>
  <c r="FA179" i="12"/>
  <c r="FB179" i="12"/>
  <c r="FC179" i="12"/>
  <c r="FD179" i="12"/>
  <c r="FE179" i="12"/>
  <c r="FF179" i="12"/>
  <c r="FG179" i="12"/>
  <c r="FH179" i="12"/>
  <c r="FI179" i="12"/>
  <c r="FJ179" i="12"/>
  <c r="FK179" i="12"/>
  <c r="FL179" i="12"/>
  <c r="FM179" i="12"/>
  <c r="FN179" i="12"/>
  <c r="FO179" i="12"/>
  <c r="FP179" i="12"/>
  <c r="FQ179" i="12"/>
  <c r="FR179" i="12"/>
  <c r="FS179" i="12"/>
  <c r="FT179" i="12"/>
  <c r="FU179" i="12"/>
  <c r="FV179" i="12"/>
  <c r="FW179" i="12"/>
  <c r="FX179" i="12"/>
  <c r="FY179" i="12"/>
  <c r="FZ179" i="12"/>
  <c r="GA179" i="12"/>
  <c r="GB179" i="12"/>
  <c r="GC179" i="12"/>
  <c r="GD179" i="12"/>
  <c r="GE179" i="12"/>
  <c r="GF179" i="12"/>
  <c r="GG179" i="12"/>
  <c r="GH179" i="12"/>
  <c r="GI179" i="12"/>
  <c r="GJ179" i="12"/>
  <c r="GK179" i="12"/>
  <c r="GL179" i="12"/>
  <c r="GM179" i="12"/>
  <c r="GN179" i="12"/>
  <c r="GO179" i="12"/>
  <c r="GP179" i="12"/>
  <c r="GQ179" i="12"/>
  <c r="GR179" i="12"/>
  <c r="GS179" i="12"/>
  <c r="GT179" i="12"/>
  <c r="GU179" i="12"/>
  <c r="GV179" i="12"/>
  <c r="GW179" i="12"/>
  <c r="GX179" i="12"/>
  <c r="GY179" i="12"/>
  <c r="GZ179" i="12"/>
  <c r="HA179" i="12"/>
  <c r="HB179" i="12"/>
  <c r="HC179" i="12"/>
  <c r="HD179" i="12"/>
  <c r="HE179" i="12"/>
  <c r="HF179" i="12"/>
  <c r="HG179" i="12"/>
  <c r="HH179" i="12"/>
  <c r="HI179" i="12"/>
  <c r="HJ179" i="12"/>
  <c r="HK179" i="12"/>
  <c r="HL179" i="12"/>
  <c r="HM179" i="12"/>
  <c r="HN179" i="12"/>
  <c r="HO179" i="12"/>
  <c r="HP179" i="12"/>
  <c r="HQ179" i="12"/>
  <c r="HR179" i="12"/>
  <c r="HS179" i="12"/>
  <c r="HT179" i="12"/>
  <c r="HU179" i="12"/>
  <c r="HV179" i="12"/>
  <c r="HW179" i="12"/>
  <c r="HX179" i="12"/>
  <c r="HY179" i="12"/>
  <c r="HZ179" i="12"/>
  <c r="IA179" i="12"/>
  <c r="IB179" i="12"/>
  <c r="IC179" i="12"/>
  <c r="ID179" i="12"/>
  <c r="IE179" i="12"/>
  <c r="IF179" i="12"/>
  <c r="IG179" i="12"/>
  <c r="IH179" i="12"/>
  <c r="II179" i="12"/>
  <c r="IJ179" i="12"/>
  <c r="IK179" i="12"/>
  <c r="IL179" i="12"/>
  <c r="IM179" i="12"/>
  <c r="IN179" i="12"/>
  <c r="IO179" i="12"/>
  <c r="IP179" i="12"/>
  <c r="IQ179" i="12"/>
  <c r="IR179" i="12"/>
  <c r="IS179" i="12"/>
  <c r="IT179" i="12"/>
  <c r="IU179" i="12"/>
  <c r="IV179" i="12"/>
  <c r="F180" i="12"/>
  <c r="G180" i="12"/>
  <c r="H180" i="12"/>
  <c r="I180" i="12"/>
  <c r="J180" i="12"/>
  <c r="K180" i="12"/>
  <c r="L180" i="12"/>
  <c r="M180" i="12"/>
  <c r="N180" i="12"/>
  <c r="O180" i="12"/>
  <c r="P180" i="12"/>
  <c r="Q180" i="12"/>
  <c r="R180" i="12"/>
  <c r="S180" i="12"/>
  <c r="T180" i="12"/>
  <c r="U180" i="12"/>
  <c r="V180" i="12"/>
  <c r="W180" i="12"/>
  <c r="X180" i="12"/>
  <c r="Y180" i="12"/>
  <c r="Z180" i="12"/>
  <c r="AA180" i="12"/>
  <c r="AB180" i="12"/>
  <c r="AC180" i="12"/>
  <c r="AD180" i="12"/>
  <c r="AE180" i="12"/>
  <c r="AF180" i="12"/>
  <c r="AG180" i="12"/>
  <c r="AH180" i="12"/>
  <c r="AI180" i="12"/>
  <c r="AJ180" i="12"/>
  <c r="AK180" i="12"/>
  <c r="AL180" i="12"/>
  <c r="AM180" i="12"/>
  <c r="AN180" i="12"/>
  <c r="AO180" i="12"/>
  <c r="AP180" i="12"/>
  <c r="AQ180" i="12"/>
  <c r="AR180" i="12"/>
  <c r="AS180" i="12"/>
  <c r="AT180" i="12"/>
  <c r="AU180" i="12"/>
  <c r="AV180" i="12"/>
  <c r="AW180" i="12"/>
  <c r="AX180" i="12"/>
  <c r="AY180" i="12"/>
  <c r="AZ180" i="12"/>
  <c r="BA180" i="12"/>
  <c r="BB180" i="12"/>
  <c r="BC180" i="12"/>
  <c r="BD180" i="12"/>
  <c r="BE180" i="12"/>
  <c r="BF180" i="12"/>
  <c r="BG180" i="12"/>
  <c r="BH180" i="12"/>
  <c r="BI180" i="12"/>
  <c r="BJ180" i="12"/>
  <c r="BK180" i="12"/>
  <c r="BL180" i="12"/>
  <c r="BM180" i="12"/>
  <c r="BN180" i="12"/>
  <c r="BO180" i="12"/>
  <c r="BP180" i="12"/>
  <c r="BQ180" i="12"/>
  <c r="BR180" i="12"/>
  <c r="BS180" i="12"/>
  <c r="BT180" i="12"/>
  <c r="BU180" i="12"/>
  <c r="BV180" i="12"/>
  <c r="BW180" i="12"/>
  <c r="BX180" i="12"/>
  <c r="BY180" i="12"/>
  <c r="BZ180" i="12"/>
  <c r="CA180" i="12"/>
  <c r="CB180" i="12"/>
  <c r="CC180" i="12"/>
  <c r="CD180" i="12"/>
  <c r="CE180" i="12"/>
  <c r="CF180" i="12"/>
  <c r="CG180" i="12"/>
  <c r="CH180" i="12"/>
  <c r="CI180" i="12"/>
  <c r="CJ180" i="12"/>
  <c r="CK180" i="12"/>
  <c r="CL180" i="12"/>
  <c r="CM180" i="12"/>
  <c r="CN180" i="12"/>
  <c r="CO180" i="12"/>
  <c r="CP180" i="12"/>
  <c r="CQ180" i="12"/>
  <c r="CR180" i="12"/>
  <c r="CS180" i="12"/>
  <c r="CT180" i="12"/>
  <c r="CU180" i="12"/>
  <c r="CV180" i="12"/>
  <c r="CW180" i="12"/>
  <c r="CX180" i="12"/>
  <c r="CY180" i="12"/>
  <c r="CZ180" i="12"/>
  <c r="DA180" i="12"/>
  <c r="DB180" i="12"/>
  <c r="DC180" i="12"/>
  <c r="DD180" i="12"/>
  <c r="DE180" i="12"/>
  <c r="DF180" i="12"/>
  <c r="DG180" i="12"/>
  <c r="DH180" i="12"/>
  <c r="DI180" i="12"/>
  <c r="DJ180" i="12"/>
  <c r="DK180" i="12"/>
  <c r="DL180" i="12"/>
  <c r="DM180" i="12"/>
  <c r="DN180" i="12"/>
  <c r="DO180" i="12"/>
  <c r="DP180" i="12"/>
  <c r="DQ180" i="12"/>
  <c r="DR180" i="12"/>
  <c r="DS180" i="12"/>
  <c r="DT180" i="12"/>
  <c r="DU180" i="12"/>
  <c r="DV180" i="12"/>
  <c r="DW180" i="12"/>
  <c r="DX180" i="12"/>
  <c r="DY180" i="12"/>
  <c r="DZ180" i="12"/>
  <c r="EA180" i="12"/>
  <c r="EB180" i="12"/>
  <c r="EC180" i="12"/>
  <c r="ED180" i="12"/>
  <c r="EE180" i="12"/>
  <c r="EF180" i="12"/>
  <c r="EG180" i="12"/>
  <c r="EH180" i="12"/>
  <c r="EI180" i="12"/>
  <c r="EJ180" i="12"/>
  <c r="EK180" i="12"/>
  <c r="EL180" i="12"/>
  <c r="EM180" i="12"/>
  <c r="EN180" i="12"/>
  <c r="EO180" i="12"/>
  <c r="EP180" i="12"/>
  <c r="EQ180" i="12"/>
  <c r="ER180" i="12"/>
  <c r="ES180" i="12"/>
  <c r="ET180" i="12"/>
  <c r="EU180" i="12"/>
  <c r="EV180" i="12"/>
  <c r="EW180" i="12"/>
  <c r="EX180" i="12"/>
  <c r="EY180" i="12"/>
  <c r="EZ180" i="12"/>
  <c r="FA180" i="12"/>
  <c r="FB180" i="12"/>
  <c r="FC180" i="12"/>
  <c r="FD180" i="12"/>
  <c r="FE180" i="12"/>
  <c r="FF180" i="12"/>
  <c r="FG180" i="12"/>
  <c r="FH180" i="12"/>
  <c r="FI180" i="12"/>
  <c r="FJ180" i="12"/>
  <c r="FK180" i="12"/>
  <c r="FL180" i="12"/>
  <c r="FM180" i="12"/>
  <c r="FN180" i="12"/>
  <c r="FO180" i="12"/>
  <c r="FP180" i="12"/>
  <c r="FQ180" i="12"/>
  <c r="FR180" i="12"/>
  <c r="FS180" i="12"/>
  <c r="FT180" i="12"/>
  <c r="FU180" i="12"/>
  <c r="FV180" i="12"/>
  <c r="FW180" i="12"/>
  <c r="FX180" i="12"/>
  <c r="FY180" i="12"/>
  <c r="FZ180" i="12"/>
  <c r="GA180" i="12"/>
  <c r="GB180" i="12"/>
  <c r="GC180" i="12"/>
  <c r="GD180" i="12"/>
  <c r="GE180" i="12"/>
  <c r="GF180" i="12"/>
  <c r="GG180" i="12"/>
  <c r="GH180" i="12"/>
  <c r="GI180" i="12"/>
  <c r="GJ180" i="12"/>
  <c r="GK180" i="12"/>
  <c r="GL180" i="12"/>
  <c r="GM180" i="12"/>
  <c r="GN180" i="12"/>
  <c r="GO180" i="12"/>
  <c r="GP180" i="12"/>
  <c r="GQ180" i="12"/>
  <c r="GR180" i="12"/>
  <c r="GS180" i="12"/>
  <c r="GT180" i="12"/>
  <c r="GU180" i="12"/>
  <c r="GV180" i="12"/>
  <c r="GW180" i="12"/>
  <c r="GX180" i="12"/>
  <c r="GY180" i="12"/>
  <c r="GZ180" i="12"/>
  <c r="HA180" i="12"/>
  <c r="HB180" i="12"/>
  <c r="HC180" i="12"/>
  <c r="HD180" i="12"/>
  <c r="HE180" i="12"/>
  <c r="HF180" i="12"/>
  <c r="HG180" i="12"/>
  <c r="HH180" i="12"/>
  <c r="HI180" i="12"/>
  <c r="HJ180" i="12"/>
  <c r="HK180" i="12"/>
  <c r="HL180" i="12"/>
  <c r="HM180" i="12"/>
  <c r="HN180" i="12"/>
  <c r="HO180" i="12"/>
  <c r="HP180" i="12"/>
  <c r="HQ180" i="12"/>
  <c r="HR180" i="12"/>
  <c r="HS180" i="12"/>
  <c r="HT180" i="12"/>
  <c r="HU180" i="12"/>
  <c r="HV180" i="12"/>
  <c r="HW180" i="12"/>
  <c r="HX180" i="12"/>
  <c r="HY180" i="12"/>
  <c r="HZ180" i="12"/>
  <c r="IA180" i="12"/>
  <c r="IB180" i="12"/>
  <c r="IC180" i="12"/>
  <c r="ID180" i="12"/>
  <c r="IE180" i="12"/>
  <c r="IF180" i="12"/>
  <c r="IG180" i="12"/>
  <c r="IH180" i="12"/>
  <c r="II180" i="12"/>
  <c r="IJ180" i="12"/>
  <c r="IK180" i="12"/>
  <c r="IL180" i="12"/>
  <c r="IM180" i="12"/>
  <c r="IN180" i="12"/>
  <c r="IO180" i="12"/>
  <c r="IP180" i="12"/>
  <c r="IQ180" i="12"/>
  <c r="IR180" i="12"/>
  <c r="IS180" i="12"/>
  <c r="IT180" i="12"/>
  <c r="IU180" i="12"/>
  <c r="IV180" i="12"/>
  <c r="F181" i="12"/>
  <c r="G181" i="12"/>
  <c r="H181" i="12"/>
  <c r="I181" i="12"/>
  <c r="J181" i="12"/>
  <c r="K181" i="12"/>
  <c r="L181" i="12"/>
  <c r="M181" i="12"/>
  <c r="N181" i="12"/>
  <c r="O181" i="12"/>
  <c r="P181" i="12"/>
  <c r="Q181" i="12"/>
  <c r="R181" i="12"/>
  <c r="S181" i="12"/>
  <c r="T181" i="12"/>
  <c r="U181" i="12"/>
  <c r="V181" i="12"/>
  <c r="W181" i="12"/>
  <c r="X181" i="12"/>
  <c r="Y181" i="12"/>
  <c r="Z181" i="12"/>
  <c r="AA181" i="12"/>
  <c r="AB181" i="12"/>
  <c r="AC181" i="12"/>
  <c r="AD181" i="12"/>
  <c r="AE181" i="12"/>
  <c r="AF181" i="12"/>
  <c r="AG181" i="12"/>
  <c r="AH181" i="12"/>
  <c r="AI181" i="12"/>
  <c r="AJ181" i="12"/>
  <c r="AK181" i="12"/>
  <c r="AL181" i="12"/>
  <c r="AM181" i="12"/>
  <c r="AN181" i="12"/>
  <c r="AO181" i="12"/>
  <c r="AP181" i="12"/>
  <c r="AQ181" i="12"/>
  <c r="AR181" i="12"/>
  <c r="AS181" i="12"/>
  <c r="AT181" i="12"/>
  <c r="AU181" i="12"/>
  <c r="AV181" i="12"/>
  <c r="AW181" i="12"/>
  <c r="AX181" i="12"/>
  <c r="AY181" i="12"/>
  <c r="AZ181" i="12"/>
  <c r="BA181" i="12"/>
  <c r="BB181" i="12"/>
  <c r="BC181" i="12"/>
  <c r="BD181" i="12"/>
  <c r="BE181" i="12"/>
  <c r="BF181" i="12"/>
  <c r="BG181" i="12"/>
  <c r="BH181" i="12"/>
  <c r="BI181" i="12"/>
  <c r="BJ181" i="12"/>
  <c r="BK181" i="12"/>
  <c r="BL181" i="12"/>
  <c r="BM181" i="12"/>
  <c r="BN181" i="12"/>
  <c r="BO181" i="12"/>
  <c r="BP181" i="12"/>
  <c r="BQ181" i="12"/>
  <c r="BR181" i="12"/>
  <c r="BS181" i="12"/>
  <c r="BT181" i="12"/>
  <c r="BU181" i="12"/>
  <c r="BV181" i="12"/>
  <c r="BW181" i="12"/>
  <c r="BX181" i="12"/>
  <c r="BY181" i="12"/>
  <c r="BZ181" i="12"/>
  <c r="CA181" i="12"/>
  <c r="CB181" i="12"/>
  <c r="CC181" i="12"/>
  <c r="CD181" i="12"/>
  <c r="CE181" i="12"/>
  <c r="CF181" i="12"/>
  <c r="CG181" i="12"/>
  <c r="CH181" i="12"/>
  <c r="CI181" i="12"/>
  <c r="CJ181" i="12"/>
  <c r="CK181" i="12"/>
  <c r="CL181" i="12"/>
  <c r="CM181" i="12"/>
  <c r="CN181" i="12"/>
  <c r="CO181" i="12"/>
  <c r="CP181" i="12"/>
  <c r="CQ181" i="12"/>
  <c r="CR181" i="12"/>
  <c r="CS181" i="12"/>
  <c r="CT181" i="12"/>
  <c r="CU181" i="12"/>
  <c r="CV181" i="12"/>
  <c r="CW181" i="12"/>
  <c r="CX181" i="12"/>
  <c r="CY181" i="12"/>
  <c r="CZ181" i="12"/>
  <c r="DA181" i="12"/>
  <c r="DB181" i="12"/>
  <c r="DC181" i="12"/>
  <c r="DD181" i="12"/>
  <c r="DE181" i="12"/>
  <c r="DF181" i="12"/>
  <c r="DG181" i="12"/>
  <c r="DH181" i="12"/>
  <c r="DI181" i="12"/>
  <c r="DJ181" i="12"/>
  <c r="DK181" i="12"/>
  <c r="DL181" i="12"/>
  <c r="DM181" i="12"/>
  <c r="DN181" i="12"/>
  <c r="DO181" i="12"/>
  <c r="DP181" i="12"/>
  <c r="DQ181" i="12"/>
  <c r="DR181" i="12"/>
  <c r="DS181" i="12"/>
  <c r="DT181" i="12"/>
  <c r="DU181" i="12"/>
  <c r="DV181" i="12"/>
  <c r="DW181" i="12"/>
  <c r="DX181" i="12"/>
  <c r="DY181" i="12"/>
  <c r="DZ181" i="12"/>
  <c r="EA181" i="12"/>
  <c r="EB181" i="12"/>
  <c r="EC181" i="12"/>
  <c r="ED181" i="12"/>
  <c r="EE181" i="12"/>
  <c r="EF181" i="12"/>
  <c r="EG181" i="12"/>
  <c r="EH181" i="12"/>
  <c r="EI181" i="12"/>
  <c r="EJ181" i="12"/>
  <c r="EK181" i="12"/>
  <c r="EL181" i="12"/>
  <c r="EM181" i="12"/>
  <c r="EN181" i="12"/>
  <c r="EO181" i="12"/>
  <c r="EP181" i="12"/>
  <c r="EQ181" i="12"/>
  <c r="ER181" i="12"/>
  <c r="ES181" i="12"/>
  <c r="ET181" i="12"/>
  <c r="EU181" i="12"/>
  <c r="EV181" i="12"/>
  <c r="EW181" i="12"/>
  <c r="EX181" i="12"/>
  <c r="EY181" i="12"/>
  <c r="EZ181" i="12"/>
  <c r="FA181" i="12"/>
  <c r="FB181" i="12"/>
  <c r="FC181" i="12"/>
  <c r="FD181" i="12"/>
  <c r="FE181" i="12"/>
  <c r="FF181" i="12"/>
  <c r="FG181" i="12"/>
  <c r="FH181" i="12"/>
  <c r="FI181" i="12"/>
  <c r="FJ181" i="12"/>
  <c r="FK181" i="12"/>
  <c r="FL181" i="12"/>
  <c r="FM181" i="12"/>
  <c r="FN181" i="12"/>
  <c r="FO181" i="12"/>
  <c r="FP181" i="12"/>
  <c r="FQ181" i="12"/>
  <c r="FR181" i="12"/>
  <c r="FS181" i="12"/>
  <c r="FT181" i="12"/>
  <c r="FU181" i="12"/>
  <c r="FV181" i="12"/>
  <c r="FW181" i="12"/>
  <c r="FX181" i="12"/>
  <c r="FY181" i="12"/>
  <c r="FZ181" i="12"/>
  <c r="GA181" i="12"/>
  <c r="GB181" i="12"/>
  <c r="GC181" i="12"/>
  <c r="GD181" i="12"/>
  <c r="GE181" i="12"/>
  <c r="GF181" i="12"/>
  <c r="GG181" i="12"/>
  <c r="GH181" i="12"/>
  <c r="GI181" i="12"/>
  <c r="GJ181" i="12"/>
  <c r="GK181" i="12"/>
  <c r="GL181" i="12"/>
  <c r="GM181" i="12"/>
  <c r="GN181" i="12"/>
  <c r="GO181" i="12"/>
  <c r="GP181" i="12"/>
  <c r="GQ181" i="12"/>
  <c r="GR181" i="12"/>
  <c r="GS181" i="12"/>
  <c r="GT181" i="12"/>
  <c r="GU181" i="12"/>
  <c r="GV181" i="12"/>
  <c r="GW181" i="12"/>
  <c r="GX181" i="12"/>
  <c r="GY181" i="12"/>
  <c r="GZ181" i="12"/>
  <c r="HA181" i="12"/>
  <c r="HB181" i="12"/>
  <c r="HC181" i="12"/>
  <c r="HD181" i="12"/>
  <c r="HE181" i="12"/>
  <c r="HF181" i="12"/>
  <c r="HG181" i="12"/>
  <c r="HH181" i="12"/>
  <c r="HI181" i="12"/>
  <c r="HJ181" i="12"/>
  <c r="HK181" i="12"/>
  <c r="HL181" i="12"/>
  <c r="HM181" i="12"/>
  <c r="HN181" i="12"/>
  <c r="HO181" i="12"/>
  <c r="HP181" i="12"/>
  <c r="HQ181" i="12"/>
  <c r="HR181" i="12"/>
  <c r="HS181" i="12"/>
  <c r="HT181" i="12"/>
  <c r="HU181" i="12"/>
  <c r="HV181" i="12"/>
  <c r="HW181" i="12"/>
  <c r="HX181" i="12"/>
  <c r="HY181" i="12"/>
  <c r="HZ181" i="12"/>
  <c r="IA181" i="12"/>
  <c r="IB181" i="12"/>
  <c r="IC181" i="12"/>
  <c r="ID181" i="12"/>
  <c r="IE181" i="12"/>
  <c r="IF181" i="12"/>
  <c r="IG181" i="12"/>
  <c r="IH181" i="12"/>
  <c r="II181" i="12"/>
  <c r="IJ181" i="12"/>
  <c r="IK181" i="12"/>
  <c r="IL181" i="12"/>
  <c r="IM181" i="12"/>
  <c r="IN181" i="12"/>
  <c r="IO181" i="12"/>
  <c r="IP181" i="12"/>
  <c r="IQ181" i="12"/>
  <c r="IR181" i="12"/>
  <c r="IS181" i="12"/>
  <c r="IT181" i="12"/>
  <c r="IU181" i="12"/>
  <c r="IV181" i="12"/>
  <c r="F182" i="12"/>
  <c r="G182" i="12"/>
  <c r="H182" i="12"/>
  <c r="I182" i="12"/>
  <c r="J182" i="12"/>
  <c r="K182" i="12"/>
  <c r="L182" i="12"/>
  <c r="M182" i="12"/>
  <c r="N182" i="12"/>
  <c r="O182" i="12"/>
  <c r="P182" i="12"/>
  <c r="Q182" i="12"/>
  <c r="R182" i="12"/>
  <c r="S182" i="12"/>
  <c r="T182" i="12"/>
  <c r="U182" i="12"/>
  <c r="V182" i="12"/>
  <c r="W182" i="12"/>
  <c r="X182" i="12"/>
  <c r="Y182" i="12"/>
  <c r="Z182" i="12"/>
  <c r="AA182" i="12"/>
  <c r="AB182" i="12"/>
  <c r="AC182" i="12"/>
  <c r="AD182" i="12"/>
  <c r="AE182" i="12"/>
  <c r="AF182" i="12"/>
  <c r="AG182" i="12"/>
  <c r="AH182" i="12"/>
  <c r="AI182" i="12"/>
  <c r="AJ182" i="12"/>
  <c r="AK182" i="12"/>
  <c r="AL182" i="12"/>
  <c r="AM182" i="12"/>
  <c r="AN182" i="12"/>
  <c r="AO182" i="12"/>
  <c r="AP182" i="12"/>
  <c r="AQ182" i="12"/>
  <c r="AR182" i="12"/>
  <c r="AS182" i="12"/>
  <c r="AT182" i="12"/>
  <c r="AU182" i="12"/>
  <c r="AV182" i="12"/>
  <c r="AW182" i="12"/>
  <c r="AX182" i="12"/>
  <c r="AY182" i="12"/>
  <c r="AZ182" i="12"/>
  <c r="BA182" i="12"/>
  <c r="BB182" i="12"/>
  <c r="BC182" i="12"/>
  <c r="BD182" i="12"/>
  <c r="BE182" i="12"/>
  <c r="BF182" i="12"/>
  <c r="BG182" i="12"/>
  <c r="BH182" i="12"/>
  <c r="BI182" i="12"/>
  <c r="BJ182" i="12"/>
  <c r="BK182" i="12"/>
  <c r="BL182" i="12"/>
  <c r="BM182" i="12"/>
  <c r="BN182" i="12"/>
  <c r="BO182" i="12"/>
  <c r="BP182" i="12"/>
  <c r="BQ182" i="12"/>
  <c r="BR182" i="12"/>
  <c r="BS182" i="12"/>
  <c r="BT182" i="12"/>
  <c r="BU182" i="12"/>
  <c r="BV182" i="12"/>
  <c r="BW182" i="12"/>
  <c r="BX182" i="12"/>
  <c r="BY182" i="12"/>
  <c r="BZ182" i="12"/>
  <c r="CA182" i="12"/>
  <c r="CB182" i="12"/>
  <c r="CC182" i="12"/>
  <c r="CD182" i="12"/>
  <c r="CE182" i="12"/>
  <c r="CF182" i="12"/>
  <c r="CG182" i="12"/>
  <c r="CH182" i="12"/>
  <c r="CI182" i="12"/>
  <c r="CJ182" i="12"/>
  <c r="CK182" i="12"/>
  <c r="CL182" i="12"/>
  <c r="CM182" i="12"/>
  <c r="CN182" i="12"/>
  <c r="CO182" i="12"/>
  <c r="CP182" i="12"/>
  <c r="CQ182" i="12"/>
  <c r="CR182" i="12"/>
  <c r="CS182" i="12"/>
  <c r="CT182" i="12"/>
  <c r="CU182" i="12"/>
  <c r="CV182" i="12"/>
  <c r="CW182" i="12"/>
  <c r="CX182" i="12"/>
  <c r="CY182" i="12"/>
  <c r="CZ182" i="12"/>
  <c r="DA182" i="12"/>
  <c r="DB182" i="12"/>
  <c r="DC182" i="12"/>
  <c r="DD182" i="12"/>
  <c r="DE182" i="12"/>
  <c r="DF182" i="12"/>
  <c r="DG182" i="12"/>
  <c r="DH182" i="12"/>
  <c r="DI182" i="12"/>
  <c r="DJ182" i="12"/>
  <c r="DK182" i="12"/>
  <c r="DL182" i="12"/>
  <c r="DM182" i="12"/>
  <c r="DN182" i="12"/>
  <c r="DO182" i="12"/>
  <c r="DP182" i="12"/>
  <c r="DQ182" i="12"/>
  <c r="DR182" i="12"/>
  <c r="DS182" i="12"/>
  <c r="DT182" i="12"/>
  <c r="DU182" i="12"/>
  <c r="DV182" i="12"/>
  <c r="DW182" i="12"/>
  <c r="DX182" i="12"/>
  <c r="DY182" i="12"/>
  <c r="DZ182" i="12"/>
  <c r="EA182" i="12"/>
  <c r="EB182" i="12"/>
  <c r="EC182" i="12"/>
  <c r="ED182" i="12"/>
  <c r="EE182" i="12"/>
  <c r="EF182" i="12"/>
  <c r="EG182" i="12"/>
  <c r="EH182" i="12"/>
  <c r="EI182" i="12"/>
  <c r="EJ182" i="12"/>
  <c r="EK182" i="12"/>
  <c r="EL182" i="12"/>
  <c r="EM182" i="12"/>
  <c r="EN182" i="12"/>
  <c r="EO182" i="12"/>
  <c r="EP182" i="12"/>
  <c r="EQ182" i="12"/>
  <c r="ER182" i="12"/>
  <c r="ES182" i="12"/>
  <c r="ET182" i="12"/>
  <c r="EU182" i="12"/>
  <c r="EV182" i="12"/>
  <c r="EW182" i="12"/>
  <c r="EX182" i="12"/>
  <c r="EY182" i="12"/>
  <c r="EZ182" i="12"/>
  <c r="FA182" i="12"/>
  <c r="FB182" i="12"/>
  <c r="FC182" i="12"/>
  <c r="FD182" i="12"/>
  <c r="FE182" i="12"/>
  <c r="FF182" i="12"/>
  <c r="FG182" i="12"/>
  <c r="FH182" i="12"/>
  <c r="FI182" i="12"/>
  <c r="FJ182" i="12"/>
  <c r="FK182" i="12"/>
  <c r="FL182" i="12"/>
  <c r="FM182" i="12"/>
  <c r="FN182" i="12"/>
  <c r="FO182" i="12"/>
  <c r="FP182" i="12"/>
  <c r="FQ182" i="12"/>
  <c r="FR182" i="12"/>
  <c r="FS182" i="12"/>
  <c r="FT182" i="12"/>
  <c r="FU182" i="12"/>
  <c r="FV182" i="12"/>
  <c r="FW182" i="12"/>
  <c r="FX182" i="12"/>
  <c r="FY182" i="12"/>
  <c r="FZ182" i="12"/>
  <c r="GA182" i="12"/>
  <c r="GB182" i="12"/>
  <c r="GC182" i="12"/>
  <c r="GD182" i="12"/>
  <c r="GE182" i="12"/>
  <c r="GF182" i="12"/>
  <c r="GG182" i="12"/>
  <c r="GH182" i="12"/>
  <c r="GI182" i="12"/>
  <c r="GJ182" i="12"/>
  <c r="GK182" i="12"/>
  <c r="GL182" i="12"/>
  <c r="GM182" i="12"/>
  <c r="GN182" i="12"/>
  <c r="GO182" i="12"/>
  <c r="GP182" i="12"/>
  <c r="GQ182" i="12"/>
  <c r="GR182" i="12"/>
  <c r="GS182" i="12"/>
  <c r="GT182" i="12"/>
  <c r="GU182" i="12"/>
  <c r="GV182" i="12"/>
  <c r="GW182" i="12"/>
  <c r="GX182" i="12"/>
  <c r="GY182" i="12"/>
  <c r="GZ182" i="12"/>
  <c r="HA182" i="12"/>
  <c r="HB182" i="12"/>
  <c r="HC182" i="12"/>
  <c r="HD182" i="12"/>
  <c r="HE182" i="12"/>
  <c r="HF182" i="12"/>
  <c r="HG182" i="12"/>
  <c r="HH182" i="12"/>
  <c r="HI182" i="12"/>
  <c r="HJ182" i="12"/>
  <c r="HK182" i="12"/>
  <c r="HL182" i="12"/>
  <c r="HM182" i="12"/>
  <c r="HN182" i="12"/>
  <c r="HO182" i="12"/>
  <c r="HP182" i="12"/>
  <c r="HQ182" i="12"/>
  <c r="HR182" i="12"/>
  <c r="HS182" i="12"/>
  <c r="HT182" i="12"/>
  <c r="HU182" i="12"/>
  <c r="HV182" i="12"/>
  <c r="HW182" i="12"/>
  <c r="HX182" i="12"/>
  <c r="HY182" i="12"/>
  <c r="HZ182" i="12"/>
  <c r="IA182" i="12"/>
  <c r="IB182" i="12"/>
  <c r="IC182" i="12"/>
  <c r="ID182" i="12"/>
  <c r="IE182" i="12"/>
  <c r="IF182" i="12"/>
  <c r="IG182" i="12"/>
  <c r="IH182" i="12"/>
  <c r="II182" i="12"/>
  <c r="IJ182" i="12"/>
  <c r="IK182" i="12"/>
  <c r="IL182" i="12"/>
  <c r="IM182" i="12"/>
  <c r="IN182" i="12"/>
  <c r="IO182" i="12"/>
  <c r="IP182" i="12"/>
  <c r="IQ182" i="12"/>
  <c r="IR182" i="12"/>
  <c r="IS182" i="12"/>
  <c r="IT182" i="12"/>
  <c r="IU182" i="12"/>
  <c r="IV182" i="12"/>
  <c r="F183" i="12"/>
  <c r="G183" i="12"/>
  <c r="H183" i="12"/>
  <c r="I183" i="12"/>
  <c r="J183" i="12"/>
  <c r="K183" i="12"/>
  <c r="L183" i="12"/>
  <c r="M183" i="12"/>
  <c r="N183" i="12"/>
  <c r="O183" i="12"/>
  <c r="P183" i="12"/>
  <c r="Q183" i="12"/>
  <c r="R183" i="12"/>
  <c r="S183" i="12"/>
  <c r="T183" i="12"/>
  <c r="U183" i="12"/>
  <c r="V183" i="12"/>
  <c r="W183" i="12"/>
  <c r="X183" i="12"/>
  <c r="Y183" i="12"/>
  <c r="Z183" i="12"/>
  <c r="AA183" i="12"/>
  <c r="AB183" i="12"/>
  <c r="AC183" i="12"/>
  <c r="AD183" i="12"/>
  <c r="AE183" i="12"/>
  <c r="AF183" i="12"/>
  <c r="AG183" i="12"/>
  <c r="AH183" i="12"/>
  <c r="AI183" i="12"/>
  <c r="AJ183" i="12"/>
  <c r="AK183" i="12"/>
  <c r="AL183" i="12"/>
  <c r="AM183" i="12"/>
  <c r="AN183" i="12"/>
  <c r="AO183" i="12"/>
  <c r="AP183" i="12"/>
  <c r="AQ183" i="12"/>
  <c r="AR183" i="12"/>
  <c r="AS183" i="12"/>
  <c r="AT183" i="12"/>
  <c r="AU183" i="12"/>
  <c r="AV183" i="12"/>
  <c r="AW183" i="12"/>
  <c r="AX183" i="12"/>
  <c r="AY183" i="12"/>
  <c r="AZ183" i="12"/>
  <c r="BA183" i="12"/>
  <c r="BB183" i="12"/>
  <c r="BC183" i="12"/>
  <c r="BD183" i="12"/>
  <c r="BE183" i="12"/>
  <c r="BF183" i="12"/>
  <c r="BG183" i="12"/>
  <c r="BH183" i="12"/>
  <c r="BI183" i="12"/>
  <c r="BJ183" i="12"/>
  <c r="BK183" i="12"/>
  <c r="BL183" i="12"/>
  <c r="BM183" i="12"/>
  <c r="BN183" i="12"/>
  <c r="BO183" i="12"/>
  <c r="BP183" i="12"/>
  <c r="BQ183" i="12"/>
  <c r="BR183" i="12"/>
  <c r="BS183" i="12"/>
  <c r="BT183" i="12"/>
  <c r="BU183" i="12"/>
  <c r="BV183" i="12"/>
  <c r="BW183" i="12"/>
  <c r="BX183" i="12"/>
  <c r="BY183" i="12"/>
  <c r="BZ183" i="12"/>
  <c r="CA183" i="12"/>
  <c r="CB183" i="12"/>
  <c r="CC183" i="12"/>
  <c r="CD183" i="12"/>
  <c r="CE183" i="12"/>
  <c r="CF183" i="12"/>
  <c r="CG183" i="12"/>
  <c r="CH183" i="12"/>
  <c r="CI183" i="12"/>
  <c r="CJ183" i="12"/>
  <c r="CK183" i="12"/>
  <c r="CL183" i="12"/>
  <c r="CM183" i="12"/>
  <c r="CN183" i="12"/>
  <c r="CO183" i="12"/>
  <c r="CP183" i="12"/>
  <c r="CQ183" i="12"/>
  <c r="CR183" i="12"/>
  <c r="CS183" i="12"/>
  <c r="CT183" i="12"/>
  <c r="CU183" i="12"/>
  <c r="CV183" i="12"/>
  <c r="CW183" i="12"/>
  <c r="CX183" i="12"/>
  <c r="CY183" i="12"/>
  <c r="CZ183" i="12"/>
  <c r="DA183" i="12"/>
  <c r="DB183" i="12"/>
  <c r="DC183" i="12"/>
  <c r="DD183" i="12"/>
  <c r="DE183" i="12"/>
  <c r="DF183" i="12"/>
  <c r="DG183" i="12"/>
  <c r="DH183" i="12"/>
  <c r="DI183" i="12"/>
  <c r="DJ183" i="12"/>
  <c r="DK183" i="12"/>
  <c r="DL183" i="12"/>
  <c r="DM183" i="12"/>
  <c r="DN183" i="12"/>
  <c r="DO183" i="12"/>
  <c r="DP183" i="12"/>
  <c r="DQ183" i="12"/>
  <c r="DR183" i="12"/>
  <c r="DS183" i="12"/>
  <c r="DT183" i="12"/>
  <c r="DU183" i="12"/>
  <c r="DV183" i="12"/>
  <c r="DW183" i="12"/>
  <c r="DX183" i="12"/>
  <c r="DY183" i="12"/>
  <c r="DZ183" i="12"/>
  <c r="EA183" i="12"/>
  <c r="EB183" i="12"/>
  <c r="EC183" i="12"/>
  <c r="ED183" i="12"/>
  <c r="EE183" i="12"/>
  <c r="EF183" i="12"/>
  <c r="EG183" i="12"/>
  <c r="EH183" i="12"/>
  <c r="EI183" i="12"/>
  <c r="EJ183" i="12"/>
  <c r="EK183" i="12"/>
  <c r="EL183" i="12"/>
  <c r="EM183" i="12"/>
  <c r="EN183" i="12"/>
  <c r="EO183" i="12"/>
  <c r="EP183" i="12"/>
  <c r="EQ183" i="12"/>
  <c r="ER183" i="12"/>
  <c r="ES183" i="12"/>
  <c r="ET183" i="12"/>
  <c r="EU183" i="12"/>
  <c r="EV183" i="12"/>
  <c r="EW183" i="12"/>
  <c r="EX183" i="12"/>
  <c r="EY183" i="12"/>
  <c r="EZ183" i="12"/>
  <c r="FA183" i="12"/>
  <c r="FB183" i="12"/>
  <c r="FC183" i="12"/>
  <c r="FD183" i="12"/>
  <c r="FE183" i="12"/>
  <c r="FF183" i="12"/>
  <c r="FG183" i="12"/>
  <c r="FH183" i="12"/>
  <c r="FI183" i="12"/>
  <c r="FJ183" i="12"/>
  <c r="FK183" i="12"/>
  <c r="FL183" i="12"/>
  <c r="FM183" i="12"/>
  <c r="FN183" i="12"/>
  <c r="FO183" i="12"/>
  <c r="FP183" i="12"/>
  <c r="FQ183" i="12"/>
  <c r="FR183" i="12"/>
  <c r="FS183" i="12"/>
  <c r="FT183" i="12"/>
  <c r="FU183" i="12"/>
  <c r="FV183" i="12"/>
  <c r="FW183" i="12"/>
  <c r="FX183" i="12"/>
  <c r="FY183" i="12"/>
  <c r="FZ183" i="12"/>
  <c r="GA183" i="12"/>
  <c r="GB183" i="12"/>
  <c r="GC183" i="12"/>
  <c r="GD183" i="12"/>
  <c r="GE183" i="12"/>
  <c r="GF183" i="12"/>
  <c r="GG183" i="12"/>
  <c r="GH183" i="12"/>
  <c r="GI183" i="12"/>
  <c r="GJ183" i="12"/>
  <c r="GK183" i="12"/>
  <c r="GL183" i="12"/>
  <c r="GM183" i="12"/>
  <c r="GN183" i="12"/>
  <c r="GO183" i="12"/>
  <c r="GP183" i="12"/>
  <c r="GQ183" i="12"/>
  <c r="GR183" i="12"/>
  <c r="GS183" i="12"/>
  <c r="GT183" i="12"/>
  <c r="GU183" i="12"/>
  <c r="GV183" i="12"/>
  <c r="GW183" i="12"/>
  <c r="GX183" i="12"/>
  <c r="GY183" i="12"/>
  <c r="GZ183" i="12"/>
  <c r="HA183" i="12"/>
  <c r="HB183" i="12"/>
  <c r="HC183" i="12"/>
  <c r="HD183" i="12"/>
  <c r="HE183" i="12"/>
  <c r="HF183" i="12"/>
  <c r="HG183" i="12"/>
  <c r="HH183" i="12"/>
  <c r="HI183" i="12"/>
  <c r="HJ183" i="12"/>
  <c r="HK183" i="12"/>
  <c r="HL183" i="12"/>
  <c r="HM183" i="12"/>
  <c r="HN183" i="12"/>
  <c r="HO183" i="12"/>
  <c r="HP183" i="12"/>
  <c r="HQ183" i="12"/>
  <c r="HR183" i="12"/>
  <c r="HS183" i="12"/>
  <c r="HT183" i="12"/>
  <c r="HU183" i="12"/>
  <c r="HV183" i="12"/>
  <c r="HW183" i="12"/>
  <c r="HX183" i="12"/>
  <c r="HY183" i="12"/>
  <c r="HZ183" i="12"/>
  <c r="IA183" i="12"/>
  <c r="IB183" i="12"/>
  <c r="IC183" i="12"/>
  <c r="ID183" i="12"/>
  <c r="IE183" i="12"/>
  <c r="IF183" i="12"/>
  <c r="IG183" i="12"/>
  <c r="IH183" i="12"/>
  <c r="II183" i="12"/>
  <c r="IJ183" i="12"/>
  <c r="IK183" i="12"/>
  <c r="IL183" i="12"/>
  <c r="IM183" i="12"/>
  <c r="IN183" i="12"/>
  <c r="IO183" i="12"/>
  <c r="IP183" i="12"/>
  <c r="IQ183" i="12"/>
  <c r="IR183" i="12"/>
  <c r="IS183" i="12"/>
  <c r="IT183" i="12"/>
  <c r="IU183" i="12"/>
  <c r="IV183" i="12"/>
  <c r="F184" i="12"/>
  <c r="G184" i="12"/>
  <c r="H184" i="12"/>
  <c r="I184" i="12"/>
  <c r="J184" i="12"/>
  <c r="K184" i="12"/>
  <c r="L184" i="12"/>
  <c r="M184" i="12"/>
  <c r="N184" i="12"/>
  <c r="O184" i="12"/>
  <c r="P184" i="12"/>
  <c r="Q184" i="12"/>
  <c r="R184" i="12"/>
  <c r="S184" i="12"/>
  <c r="T184" i="12"/>
  <c r="U184" i="12"/>
  <c r="V184" i="12"/>
  <c r="W184" i="12"/>
  <c r="X184" i="12"/>
  <c r="Y184" i="12"/>
  <c r="Z184" i="12"/>
  <c r="AA184" i="12"/>
  <c r="AB184" i="12"/>
  <c r="AC184" i="12"/>
  <c r="AD184" i="12"/>
  <c r="AE184" i="12"/>
  <c r="AF184" i="12"/>
  <c r="AG184" i="12"/>
  <c r="AH184" i="12"/>
  <c r="AI184" i="12"/>
  <c r="AJ184" i="12"/>
  <c r="AK184" i="12"/>
  <c r="AL184" i="12"/>
  <c r="AM184" i="12"/>
  <c r="AN184" i="12"/>
  <c r="AO184" i="12"/>
  <c r="AP184" i="12"/>
  <c r="AQ184" i="12"/>
  <c r="AR184" i="12"/>
  <c r="AS184" i="12"/>
  <c r="AT184" i="12"/>
  <c r="AU184" i="12"/>
  <c r="AV184" i="12"/>
  <c r="AW184" i="12"/>
  <c r="AX184" i="12"/>
  <c r="AY184" i="12"/>
  <c r="AZ184" i="12"/>
  <c r="BA184" i="12"/>
  <c r="BB184" i="12"/>
  <c r="BC184" i="12"/>
  <c r="BD184" i="12"/>
  <c r="BE184" i="12"/>
  <c r="BF184" i="12"/>
  <c r="BG184" i="12"/>
  <c r="BH184" i="12"/>
  <c r="BI184" i="12"/>
  <c r="BJ184" i="12"/>
  <c r="BK184" i="12"/>
  <c r="BL184" i="12"/>
  <c r="BM184" i="12"/>
  <c r="BN184" i="12"/>
  <c r="BO184" i="12"/>
  <c r="BP184" i="12"/>
  <c r="BQ184" i="12"/>
  <c r="BR184" i="12"/>
  <c r="BS184" i="12"/>
  <c r="BT184" i="12"/>
  <c r="BU184" i="12"/>
  <c r="BV184" i="12"/>
  <c r="BW184" i="12"/>
  <c r="BX184" i="12"/>
  <c r="BY184" i="12"/>
  <c r="BZ184" i="12"/>
  <c r="CA184" i="12"/>
  <c r="CB184" i="12"/>
  <c r="CC184" i="12"/>
  <c r="CD184" i="12"/>
  <c r="CE184" i="12"/>
  <c r="CF184" i="12"/>
  <c r="CG184" i="12"/>
  <c r="CH184" i="12"/>
  <c r="CI184" i="12"/>
  <c r="CJ184" i="12"/>
  <c r="CK184" i="12"/>
  <c r="CL184" i="12"/>
  <c r="CM184" i="12"/>
  <c r="CN184" i="12"/>
  <c r="CO184" i="12"/>
  <c r="CP184" i="12"/>
  <c r="CQ184" i="12"/>
  <c r="CR184" i="12"/>
  <c r="CS184" i="12"/>
  <c r="CT184" i="12"/>
  <c r="CU184" i="12"/>
  <c r="CV184" i="12"/>
  <c r="CW184" i="12"/>
  <c r="CX184" i="12"/>
  <c r="CY184" i="12"/>
  <c r="CZ184" i="12"/>
  <c r="DA184" i="12"/>
  <c r="DB184" i="12"/>
  <c r="DC184" i="12"/>
  <c r="DD184" i="12"/>
  <c r="DE184" i="12"/>
  <c r="DF184" i="12"/>
  <c r="DG184" i="12"/>
  <c r="DH184" i="12"/>
  <c r="DI184" i="12"/>
  <c r="DJ184" i="12"/>
  <c r="DK184" i="12"/>
  <c r="DL184" i="12"/>
  <c r="DM184" i="12"/>
  <c r="DN184" i="12"/>
  <c r="DO184" i="12"/>
  <c r="DP184" i="12"/>
  <c r="DQ184" i="12"/>
  <c r="DR184" i="12"/>
  <c r="DS184" i="12"/>
  <c r="DT184" i="12"/>
  <c r="DU184" i="12"/>
  <c r="DV184" i="12"/>
  <c r="DW184" i="12"/>
  <c r="DX184" i="12"/>
  <c r="DY184" i="12"/>
  <c r="DZ184" i="12"/>
  <c r="EA184" i="12"/>
  <c r="EB184" i="12"/>
  <c r="EC184" i="12"/>
  <c r="ED184" i="12"/>
  <c r="EE184" i="12"/>
  <c r="EF184" i="12"/>
  <c r="EG184" i="12"/>
  <c r="EH184" i="12"/>
  <c r="EI184" i="12"/>
  <c r="EJ184" i="12"/>
  <c r="EK184" i="12"/>
  <c r="EL184" i="12"/>
  <c r="EM184" i="12"/>
  <c r="EN184" i="12"/>
  <c r="EO184" i="12"/>
  <c r="EP184" i="12"/>
  <c r="EQ184" i="12"/>
  <c r="ER184" i="12"/>
  <c r="ES184" i="12"/>
  <c r="ET184" i="12"/>
  <c r="EU184" i="12"/>
  <c r="EV184" i="12"/>
  <c r="EW184" i="12"/>
  <c r="EX184" i="12"/>
  <c r="EY184" i="12"/>
  <c r="EZ184" i="12"/>
  <c r="FA184" i="12"/>
  <c r="FB184" i="12"/>
  <c r="FC184" i="12"/>
  <c r="FD184" i="12"/>
  <c r="FE184" i="12"/>
  <c r="FF184" i="12"/>
  <c r="FG184" i="12"/>
  <c r="FH184" i="12"/>
  <c r="FI184" i="12"/>
  <c r="FJ184" i="12"/>
  <c r="FK184" i="12"/>
  <c r="FL184" i="12"/>
  <c r="FM184" i="12"/>
  <c r="FN184" i="12"/>
  <c r="FO184" i="12"/>
  <c r="FP184" i="12"/>
  <c r="FQ184" i="12"/>
  <c r="FR184" i="12"/>
  <c r="FS184" i="12"/>
  <c r="FT184" i="12"/>
  <c r="FU184" i="12"/>
  <c r="FV184" i="12"/>
  <c r="FW184" i="12"/>
  <c r="FX184" i="12"/>
  <c r="FY184" i="12"/>
  <c r="FZ184" i="12"/>
  <c r="GA184" i="12"/>
  <c r="GB184" i="12"/>
  <c r="GC184" i="12"/>
  <c r="GD184" i="12"/>
  <c r="GE184" i="12"/>
  <c r="GF184" i="12"/>
  <c r="GG184" i="12"/>
  <c r="GH184" i="12"/>
  <c r="GI184" i="12"/>
  <c r="GJ184" i="12"/>
  <c r="GK184" i="12"/>
  <c r="GL184" i="12"/>
  <c r="GM184" i="12"/>
  <c r="GN184" i="12"/>
  <c r="GO184" i="12"/>
  <c r="GP184" i="12"/>
  <c r="GQ184" i="12"/>
  <c r="GR184" i="12"/>
  <c r="GS184" i="12"/>
  <c r="GT184" i="12"/>
  <c r="GU184" i="12"/>
  <c r="GV184" i="12"/>
  <c r="GW184" i="12"/>
  <c r="GX184" i="12"/>
  <c r="GY184" i="12"/>
  <c r="GZ184" i="12"/>
  <c r="HA184" i="12"/>
  <c r="HB184" i="12"/>
  <c r="HC184" i="12"/>
  <c r="HD184" i="12"/>
  <c r="HE184" i="12"/>
  <c r="HF184" i="12"/>
  <c r="HG184" i="12"/>
  <c r="HH184" i="12"/>
  <c r="HI184" i="12"/>
  <c r="HJ184" i="12"/>
  <c r="HK184" i="12"/>
  <c r="HL184" i="12"/>
  <c r="HM184" i="12"/>
  <c r="HN184" i="12"/>
  <c r="HO184" i="12"/>
  <c r="HP184" i="12"/>
  <c r="HQ184" i="12"/>
  <c r="HR184" i="12"/>
  <c r="HS184" i="12"/>
  <c r="HT184" i="12"/>
  <c r="HU184" i="12"/>
  <c r="HV184" i="12"/>
  <c r="HW184" i="12"/>
  <c r="HX184" i="12"/>
  <c r="HY184" i="12"/>
  <c r="HZ184" i="12"/>
  <c r="IA184" i="12"/>
  <c r="IB184" i="12"/>
  <c r="IC184" i="12"/>
  <c r="ID184" i="12"/>
  <c r="IE184" i="12"/>
  <c r="IF184" i="12"/>
  <c r="IG184" i="12"/>
  <c r="IH184" i="12"/>
  <c r="II184" i="12"/>
  <c r="IJ184" i="12"/>
  <c r="IK184" i="12"/>
  <c r="IL184" i="12"/>
  <c r="IM184" i="12"/>
  <c r="IN184" i="12"/>
  <c r="IO184" i="12"/>
  <c r="IP184" i="12"/>
  <c r="IQ184" i="12"/>
  <c r="IR184" i="12"/>
  <c r="IS184" i="12"/>
  <c r="IT184" i="12"/>
  <c r="IU184" i="12"/>
  <c r="IV184" i="12"/>
  <c r="F185" i="12"/>
  <c r="G185" i="12"/>
  <c r="H185" i="12"/>
  <c r="I185" i="12"/>
  <c r="J185" i="12"/>
  <c r="K185" i="12"/>
  <c r="L185" i="12"/>
  <c r="M185" i="12"/>
  <c r="N185" i="12"/>
  <c r="O185" i="12"/>
  <c r="P185" i="12"/>
  <c r="Q185" i="12"/>
  <c r="R185" i="12"/>
  <c r="S185" i="12"/>
  <c r="T185" i="12"/>
  <c r="U185" i="12"/>
  <c r="V185" i="12"/>
  <c r="W185" i="12"/>
  <c r="X185" i="12"/>
  <c r="Y185" i="12"/>
  <c r="Z185" i="12"/>
  <c r="AA185" i="12"/>
  <c r="AB185" i="12"/>
  <c r="AC185" i="12"/>
  <c r="AD185" i="12"/>
  <c r="AE185" i="12"/>
  <c r="AF185" i="12"/>
  <c r="AG185" i="12"/>
  <c r="AH185" i="12"/>
  <c r="AI185" i="12"/>
  <c r="AJ185" i="12"/>
  <c r="AK185" i="12"/>
  <c r="AL185" i="12"/>
  <c r="AM185" i="12"/>
  <c r="AN185" i="12"/>
  <c r="AO185" i="12"/>
  <c r="AP185" i="12"/>
  <c r="AQ185" i="12"/>
  <c r="AR185" i="12"/>
  <c r="AS185" i="12"/>
  <c r="AT185" i="12"/>
  <c r="AU185" i="12"/>
  <c r="AV185" i="12"/>
  <c r="AW185" i="12"/>
  <c r="AX185" i="12"/>
  <c r="AY185" i="12"/>
  <c r="AZ185" i="12"/>
  <c r="BA185" i="12"/>
  <c r="BB185" i="12"/>
  <c r="BC185" i="12"/>
  <c r="BD185" i="12"/>
  <c r="BE185" i="12"/>
  <c r="BF185" i="12"/>
  <c r="BG185" i="12"/>
  <c r="BH185" i="12"/>
  <c r="BI185" i="12"/>
  <c r="BJ185" i="12"/>
  <c r="BK185" i="12"/>
  <c r="BL185" i="12"/>
  <c r="BM185" i="12"/>
  <c r="BN185" i="12"/>
  <c r="BO185" i="12"/>
  <c r="BP185" i="12"/>
  <c r="BQ185" i="12"/>
  <c r="BR185" i="12"/>
  <c r="BS185" i="12"/>
  <c r="BT185" i="12"/>
  <c r="BU185" i="12"/>
  <c r="BV185" i="12"/>
  <c r="BW185" i="12"/>
  <c r="BX185" i="12"/>
  <c r="BY185" i="12"/>
  <c r="BZ185" i="12"/>
  <c r="CA185" i="12"/>
  <c r="CB185" i="12"/>
  <c r="CC185" i="12"/>
  <c r="CD185" i="12"/>
  <c r="CE185" i="12"/>
  <c r="CF185" i="12"/>
  <c r="CG185" i="12"/>
  <c r="CH185" i="12"/>
  <c r="CI185" i="12"/>
  <c r="CJ185" i="12"/>
  <c r="CK185" i="12"/>
  <c r="CL185" i="12"/>
  <c r="CM185" i="12"/>
  <c r="CN185" i="12"/>
  <c r="CO185" i="12"/>
  <c r="CP185" i="12"/>
  <c r="CQ185" i="12"/>
  <c r="CR185" i="12"/>
  <c r="CS185" i="12"/>
  <c r="CT185" i="12"/>
  <c r="CU185" i="12"/>
  <c r="CV185" i="12"/>
  <c r="CW185" i="12"/>
  <c r="CX185" i="12"/>
  <c r="CY185" i="12"/>
  <c r="CZ185" i="12"/>
  <c r="DA185" i="12"/>
  <c r="DB185" i="12"/>
  <c r="DC185" i="12"/>
  <c r="DD185" i="12"/>
  <c r="DE185" i="12"/>
  <c r="DF185" i="12"/>
  <c r="DG185" i="12"/>
  <c r="DH185" i="12"/>
  <c r="DI185" i="12"/>
  <c r="DJ185" i="12"/>
  <c r="DK185" i="12"/>
  <c r="DL185" i="12"/>
  <c r="DM185" i="12"/>
  <c r="DN185" i="12"/>
  <c r="DO185" i="12"/>
  <c r="DP185" i="12"/>
  <c r="DQ185" i="12"/>
  <c r="DR185" i="12"/>
  <c r="DS185" i="12"/>
  <c r="DT185" i="12"/>
  <c r="DU185" i="12"/>
  <c r="DV185" i="12"/>
  <c r="DW185" i="12"/>
  <c r="DX185" i="12"/>
  <c r="DY185" i="12"/>
  <c r="DZ185" i="12"/>
  <c r="EA185" i="12"/>
  <c r="EB185" i="12"/>
  <c r="EC185" i="12"/>
  <c r="ED185" i="12"/>
  <c r="EE185" i="12"/>
  <c r="EF185" i="12"/>
  <c r="EG185" i="12"/>
  <c r="EH185" i="12"/>
  <c r="EI185" i="12"/>
  <c r="EJ185" i="12"/>
  <c r="EK185" i="12"/>
  <c r="EL185" i="12"/>
  <c r="EM185" i="12"/>
  <c r="EN185" i="12"/>
  <c r="EO185" i="12"/>
  <c r="EP185" i="12"/>
  <c r="EQ185" i="12"/>
  <c r="ER185" i="12"/>
  <c r="ES185" i="12"/>
  <c r="ET185" i="12"/>
  <c r="EU185" i="12"/>
  <c r="EV185" i="12"/>
  <c r="EW185" i="12"/>
  <c r="EX185" i="12"/>
  <c r="EY185" i="12"/>
  <c r="EZ185" i="12"/>
  <c r="FA185" i="12"/>
  <c r="FB185" i="12"/>
  <c r="FC185" i="12"/>
  <c r="FD185" i="12"/>
  <c r="FE185" i="12"/>
  <c r="FF185" i="12"/>
  <c r="FG185" i="12"/>
  <c r="FH185" i="12"/>
  <c r="FI185" i="12"/>
  <c r="FJ185" i="12"/>
  <c r="FK185" i="12"/>
  <c r="FL185" i="12"/>
  <c r="FM185" i="12"/>
  <c r="FN185" i="12"/>
  <c r="FO185" i="12"/>
  <c r="FP185" i="12"/>
  <c r="FQ185" i="12"/>
  <c r="FR185" i="12"/>
  <c r="FS185" i="12"/>
  <c r="FT185" i="12"/>
  <c r="FU185" i="12"/>
  <c r="FV185" i="12"/>
  <c r="FW185" i="12"/>
  <c r="FX185" i="12"/>
  <c r="FY185" i="12"/>
  <c r="FZ185" i="12"/>
  <c r="GA185" i="12"/>
  <c r="GB185" i="12"/>
  <c r="GC185" i="12"/>
  <c r="GD185" i="12"/>
  <c r="GE185" i="12"/>
  <c r="GF185" i="12"/>
  <c r="GG185" i="12"/>
  <c r="GH185" i="12"/>
  <c r="GI185" i="12"/>
  <c r="GJ185" i="12"/>
  <c r="GK185" i="12"/>
  <c r="GL185" i="12"/>
  <c r="GM185" i="12"/>
  <c r="GN185" i="12"/>
  <c r="GO185" i="12"/>
  <c r="GP185" i="12"/>
  <c r="GQ185" i="12"/>
  <c r="GR185" i="12"/>
  <c r="GS185" i="12"/>
  <c r="GT185" i="12"/>
  <c r="GU185" i="12"/>
  <c r="GV185" i="12"/>
  <c r="GW185" i="12"/>
  <c r="GX185" i="12"/>
  <c r="GY185" i="12"/>
  <c r="GZ185" i="12"/>
  <c r="HA185" i="12"/>
  <c r="HB185" i="12"/>
  <c r="HC185" i="12"/>
  <c r="HD185" i="12"/>
  <c r="HE185" i="12"/>
  <c r="HF185" i="12"/>
  <c r="HG185" i="12"/>
  <c r="HH185" i="12"/>
  <c r="HI185" i="12"/>
  <c r="HJ185" i="12"/>
  <c r="HK185" i="12"/>
  <c r="HL185" i="12"/>
  <c r="HM185" i="12"/>
  <c r="HN185" i="12"/>
  <c r="HO185" i="12"/>
  <c r="HP185" i="12"/>
  <c r="HQ185" i="12"/>
  <c r="HR185" i="12"/>
  <c r="HS185" i="12"/>
  <c r="HT185" i="12"/>
  <c r="HU185" i="12"/>
  <c r="HV185" i="12"/>
  <c r="HW185" i="12"/>
  <c r="HX185" i="12"/>
  <c r="HY185" i="12"/>
  <c r="HZ185" i="12"/>
  <c r="IA185" i="12"/>
  <c r="IB185" i="12"/>
  <c r="IC185" i="12"/>
  <c r="ID185" i="12"/>
  <c r="IE185" i="12"/>
  <c r="IF185" i="12"/>
  <c r="IG185" i="12"/>
  <c r="IH185" i="12"/>
  <c r="II185" i="12"/>
  <c r="IJ185" i="12"/>
  <c r="IK185" i="12"/>
  <c r="IL185" i="12"/>
  <c r="IM185" i="12"/>
  <c r="IN185" i="12"/>
  <c r="IO185" i="12"/>
  <c r="IP185" i="12"/>
  <c r="IQ185" i="12"/>
  <c r="IR185" i="12"/>
  <c r="IS185" i="12"/>
  <c r="IT185" i="12"/>
  <c r="IU185" i="12"/>
  <c r="IV185" i="12"/>
  <c r="F186" i="12"/>
  <c r="G186" i="12"/>
  <c r="H186" i="12"/>
  <c r="I186" i="12"/>
  <c r="J186" i="12"/>
  <c r="K186" i="12"/>
  <c r="L186" i="12"/>
  <c r="M186" i="12"/>
  <c r="N186" i="12"/>
  <c r="O186" i="12"/>
  <c r="P186" i="12"/>
  <c r="Q186" i="12"/>
  <c r="R186" i="12"/>
  <c r="S186" i="12"/>
  <c r="T186" i="12"/>
  <c r="U186" i="12"/>
  <c r="V186" i="12"/>
  <c r="W186" i="12"/>
  <c r="X186" i="12"/>
  <c r="Y186" i="12"/>
  <c r="Z186" i="12"/>
  <c r="AA186" i="12"/>
  <c r="AB186" i="12"/>
  <c r="AC186" i="12"/>
  <c r="AD186" i="12"/>
  <c r="AE186" i="12"/>
  <c r="AF186" i="12"/>
  <c r="AG186" i="12"/>
  <c r="AH186" i="12"/>
  <c r="AI186" i="12"/>
  <c r="AJ186" i="12"/>
  <c r="AK186" i="12"/>
  <c r="AL186" i="12"/>
  <c r="AM186" i="12"/>
  <c r="AN186" i="12"/>
  <c r="AO186" i="12"/>
  <c r="AP186" i="12"/>
  <c r="AQ186" i="12"/>
  <c r="AR186" i="12"/>
  <c r="AS186" i="12"/>
  <c r="AT186" i="12"/>
  <c r="AU186" i="12"/>
  <c r="AV186" i="12"/>
  <c r="AW186" i="12"/>
  <c r="AX186" i="12"/>
  <c r="AY186" i="12"/>
  <c r="AZ186" i="12"/>
  <c r="BA186" i="12"/>
  <c r="BB186" i="12"/>
  <c r="BC186" i="12"/>
  <c r="BD186" i="12"/>
  <c r="BE186" i="12"/>
  <c r="BF186" i="12"/>
  <c r="BG186" i="12"/>
  <c r="BH186" i="12"/>
  <c r="BI186" i="12"/>
  <c r="BJ186" i="12"/>
  <c r="BK186" i="12"/>
  <c r="BL186" i="12"/>
  <c r="BM186" i="12"/>
  <c r="BN186" i="12"/>
  <c r="BO186" i="12"/>
  <c r="BP186" i="12"/>
  <c r="BQ186" i="12"/>
  <c r="BR186" i="12"/>
  <c r="BS186" i="12"/>
  <c r="BT186" i="12"/>
  <c r="BU186" i="12"/>
  <c r="BV186" i="12"/>
  <c r="BW186" i="12"/>
  <c r="BX186" i="12"/>
  <c r="BY186" i="12"/>
  <c r="BZ186" i="12"/>
  <c r="CA186" i="12"/>
  <c r="CB186" i="12"/>
  <c r="CC186" i="12"/>
  <c r="CD186" i="12"/>
  <c r="CE186" i="12"/>
  <c r="CF186" i="12"/>
  <c r="CG186" i="12"/>
  <c r="CH186" i="12"/>
  <c r="CI186" i="12"/>
  <c r="CJ186" i="12"/>
  <c r="CK186" i="12"/>
  <c r="CL186" i="12"/>
  <c r="CM186" i="12"/>
  <c r="CN186" i="12"/>
  <c r="CO186" i="12"/>
  <c r="CP186" i="12"/>
  <c r="CQ186" i="12"/>
  <c r="CR186" i="12"/>
  <c r="CS186" i="12"/>
  <c r="CT186" i="12"/>
  <c r="CU186" i="12"/>
  <c r="CV186" i="12"/>
  <c r="CW186" i="12"/>
  <c r="CX186" i="12"/>
  <c r="CY186" i="12"/>
  <c r="CZ186" i="12"/>
  <c r="DA186" i="12"/>
  <c r="DB186" i="12"/>
  <c r="DC186" i="12"/>
  <c r="DD186" i="12"/>
  <c r="DE186" i="12"/>
  <c r="DF186" i="12"/>
  <c r="DG186" i="12"/>
  <c r="DH186" i="12"/>
  <c r="DI186" i="12"/>
  <c r="DJ186" i="12"/>
  <c r="DK186" i="12"/>
  <c r="DL186" i="12"/>
  <c r="DM186" i="12"/>
  <c r="DN186" i="12"/>
  <c r="DO186" i="12"/>
  <c r="DP186" i="12"/>
  <c r="DQ186" i="12"/>
  <c r="DR186" i="12"/>
  <c r="DS186" i="12"/>
  <c r="DT186" i="12"/>
  <c r="DU186" i="12"/>
  <c r="DV186" i="12"/>
  <c r="DW186" i="12"/>
  <c r="DX186" i="12"/>
  <c r="DY186" i="12"/>
  <c r="DZ186" i="12"/>
  <c r="EA186" i="12"/>
  <c r="EB186" i="12"/>
  <c r="EC186" i="12"/>
  <c r="ED186" i="12"/>
  <c r="EE186" i="12"/>
  <c r="EF186" i="12"/>
  <c r="EG186" i="12"/>
  <c r="EH186" i="12"/>
  <c r="EI186" i="12"/>
  <c r="EJ186" i="12"/>
  <c r="EK186" i="12"/>
  <c r="EL186" i="12"/>
  <c r="EM186" i="12"/>
  <c r="EN186" i="12"/>
  <c r="EO186" i="12"/>
  <c r="EP186" i="12"/>
  <c r="EQ186" i="12"/>
  <c r="ER186" i="12"/>
  <c r="ES186" i="12"/>
  <c r="ET186" i="12"/>
  <c r="EU186" i="12"/>
  <c r="EV186" i="12"/>
  <c r="EW186" i="12"/>
  <c r="EX186" i="12"/>
  <c r="EY186" i="12"/>
  <c r="EZ186" i="12"/>
  <c r="FA186" i="12"/>
  <c r="FB186" i="12"/>
  <c r="FC186" i="12"/>
  <c r="FD186" i="12"/>
  <c r="FE186" i="12"/>
  <c r="FF186" i="12"/>
  <c r="FG186" i="12"/>
  <c r="FH186" i="12"/>
  <c r="FI186" i="12"/>
  <c r="FJ186" i="12"/>
  <c r="FK186" i="12"/>
  <c r="FL186" i="12"/>
  <c r="FM186" i="12"/>
  <c r="FN186" i="12"/>
  <c r="FO186" i="12"/>
  <c r="FP186" i="12"/>
  <c r="FQ186" i="12"/>
  <c r="FR186" i="12"/>
  <c r="FS186" i="12"/>
  <c r="FT186" i="12"/>
  <c r="FU186" i="12"/>
  <c r="FV186" i="12"/>
  <c r="FW186" i="12"/>
  <c r="FX186" i="12"/>
  <c r="FY186" i="12"/>
  <c r="FZ186" i="12"/>
  <c r="GA186" i="12"/>
  <c r="GB186" i="12"/>
  <c r="GC186" i="12"/>
  <c r="GD186" i="12"/>
  <c r="GE186" i="12"/>
  <c r="GF186" i="12"/>
  <c r="GG186" i="12"/>
  <c r="GH186" i="12"/>
  <c r="GI186" i="12"/>
  <c r="GJ186" i="12"/>
  <c r="GK186" i="12"/>
  <c r="GL186" i="12"/>
  <c r="GM186" i="12"/>
  <c r="GN186" i="12"/>
  <c r="GO186" i="12"/>
  <c r="GP186" i="12"/>
  <c r="GQ186" i="12"/>
  <c r="GR186" i="12"/>
  <c r="GS186" i="12"/>
  <c r="GT186" i="12"/>
  <c r="GU186" i="12"/>
  <c r="GV186" i="12"/>
  <c r="GW186" i="12"/>
  <c r="GX186" i="12"/>
  <c r="GY186" i="12"/>
  <c r="GZ186" i="12"/>
  <c r="HA186" i="12"/>
  <c r="HB186" i="12"/>
  <c r="HC186" i="12"/>
  <c r="HD186" i="12"/>
  <c r="HE186" i="12"/>
  <c r="HF186" i="12"/>
  <c r="HG186" i="12"/>
  <c r="HH186" i="12"/>
  <c r="HI186" i="12"/>
  <c r="HJ186" i="12"/>
  <c r="HK186" i="12"/>
  <c r="HL186" i="12"/>
  <c r="HM186" i="12"/>
  <c r="HN186" i="12"/>
  <c r="HO186" i="12"/>
  <c r="HP186" i="12"/>
  <c r="HQ186" i="12"/>
  <c r="HR186" i="12"/>
  <c r="HS186" i="12"/>
  <c r="HT186" i="12"/>
  <c r="HU186" i="12"/>
  <c r="HV186" i="12"/>
  <c r="HW186" i="12"/>
  <c r="HX186" i="12"/>
  <c r="HY186" i="12"/>
  <c r="HZ186" i="12"/>
  <c r="IA186" i="12"/>
  <c r="IB186" i="12"/>
  <c r="IC186" i="12"/>
  <c r="ID186" i="12"/>
  <c r="IE186" i="12"/>
  <c r="IF186" i="12"/>
  <c r="IG186" i="12"/>
  <c r="IH186" i="12"/>
  <c r="II186" i="12"/>
  <c r="IJ186" i="12"/>
  <c r="IK186" i="12"/>
  <c r="IL186" i="12"/>
  <c r="IM186" i="12"/>
  <c r="IN186" i="12"/>
  <c r="IO186" i="12"/>
  <c r="IP186" i="12"/>
  <c r="IQ186" i="12"/>
  <c r="IR186" i="12"/>
  <c r="IS186" i="12"/>
  <c r="IT186" i="12"/>
  <c r="IU186" i="12"/>
  <c r="IV186" i="12"/>
  <c r="F187" i="12"/>
  <c r="G187" i="12"/>
  <c r="H187" i="12"/>
  <c r="I187" i="12"/>
  <c r="J187" i="12"/>
  <c r="K187" i="12"/>
  <c r="L187" i="12"/>
  <c r="M187" i="12"/>
  <c r="N187" i="12"/>
  <c r="O187" i="12"/>
  <c r="P187" i="12"/>
  <c r="Q187" i="12"/>
  <c r="R187" i="12"/>
  <c r="S187" i="12"/>
  <c r="T187" i="12"/>
  <c r="U187" i="12"/>
  <c r="V187" i="12"/>
  <c r="W187" i="12"/>
  <c r="X187" i="12"/>
  <c r="Y187" i="12"/>
  <c r="Z187" i="12"/>
  <c r="AA187" i="12"/>
  <c r="AB187" i="12"/>
  <c r="AC187" i="12"/>
  <c r="AD187" i="12"/>
  <c r="AE187" i="12"/>
  <c r="AF187" i="12"/>
  <c r="AG187" i="12"/>
  <c r="AH187" i="12"/>
  <c r="AI187" i="12"/>
  <c r="AJ187" i="12"/>
  <c r="AK187" i="12"/>
  <c r="AL187" i="12"/>
  <c r="AM187" i="12"/>
  <c r="AN187" i="12"/>
  <c r="AO187" i="12"/>
  <c r="AP187" i="12"/>
  <c r="AQ187" i="12"/>
  <c r="AR187" i="12"/>
  <c r="AS187" i="12"/>
  <c r="AT187" i="12"/>
  <c r="AU187" i="12"/>
  <c r="AV187" i="12"/>
  <c r="AW187" i="12"/>
  <c r="AX187" i="12"/>
  <c r="AY187" i="12"/>
  <c r="AZ187" i="12"/>
  <c r="BA187" i="12"/>
  <c r="BB187" i="12"/>
  <c r="BC187" i="12"/>
  <c r="BD187" i="12"/>
  <c r="BE187" i="12"/>
  <c r="BF187" i="12"/>
  <c r="BG187" i="12"/>
  <c r="BH187" i="12"/>
  <c r="BI187" i="12"/>
  <c r="BJ187" i="12"/>
  <c r="BK187" i="12"/>
  <c r="BL187" i="12"/>
  <c r="BM187" i="12"/>
  <c r="BN187" i="12"/>
  <c r="BO187" i="12"/>
  <c r="BP187" i="12"/>
  <c r="BQ187" i="12"/>
  <c r="BR187" i="12"/>
  <c r="BS187" i="12"/>
  <c r="BT187" i="12"/>
  <c r="BU187" i="12"/>
  <c r="BV187" i="12"/>
  <c r="BW187" i="12"/>
  <c r="BX187" i="12"/>
  <c r="BY187" i="12"/>
  <c r="BZ187" i="12"/>
  <c r="CA187" i="12"/>
  <c r="CB187" i="12"/>
  <c r="CC187" i="12"/>
  <c r="CD187" i="12"/>
  <c r="CE187" i="12"/>
  <c r="CF187" i="12"/>
  <c r="CG187" i="12"/>
  <c r="CH187" i="12"/>
  <c r="CI187" i="12"/>
  <c r="CJ187" i="12"/>
  <c r="CK187" i="12"/>
  <c r="CL187" i="12"/>
  <c r="CM187" i="12"/>
  <c r="CN187" i="12"/>
  <c r="CO187" i="12"/>
  <c r="CP187" i="12"/>
  <c r="CQ187" i="12"/>
  <c r="CR187" i="12"/>
  <c r="CS187" i="12"/>
  <c r="CT187" i="12"/>
  <c r="CU187" i="12"/>
  <c r="CV187" i="12"/>
  <c r="CW187" i="12"/>
  <c r="CX187" i="12"/>
  <c r="CY187" i="12"/>
  <c r="CZ187" i="12"/>
  <c r="DA187" i="12"/>
  <c r="DB187" i="12"/>
  <c r="DC187" i="12"/>
  <c r="DD187" i="12"/>
  <c r="DE187" i="12"/>
  <c r="DF187" i="12"/>
  <c r="DG187" i="12"/>
  <c r="DH187" i="12"/>
  <c r="DI187" i="12"/>
  <c r="DJ187" i="12"/>
  <c r="DK187" i="12"/>
  <c r="DL187" i="12"/>
  <c r="DM187" i="12"/>
  <c r="DN187" i="12"/>
  <c r="DO187" i="12"/>
  <c r="DP187" i="12"/>
  <c r="DQ187" i="12"/>
  <c r="DR187" i="12"/>
  <c r="DS187" i="12"/>
  <c r="DT187" i="12"/>
  <c r="DU187" i="12"/>
  <c r="DV187" i="12"/>
  <c r="DW187" i="12"/>
  <c r="DX187" i="12"/>
  <c r="DY187" i="12"/>
  <c r="DZ187" i="12"/>
  <c r="EA187" i="12"/>
  <c r="EB187" i="12"/>
  <c r="EC187" i="12"/>
  <c r="ED187" i="12"/>
  <c r="EE187" i="12"/>
  <c r="EF187" i="12"/>
  <c r="EG187" i="12"/>
  <c r="EH187" i="12"/>
  <c r="EI187" i="12"/>
  <c r="EJ187" i="12"/>
  <c r="EK187" i="12"/>
  <c r="EL187" i="12"/>
  <c r="EM187" i="12"/>
  <c r="EN187" i="12"/>
  <c r="EO187" i="12"/>
  <c r="EP187" i="12"/>
  <c r="EQ187" i="12"/>
  <c r="ER187" i="12"/>
  <c r="ES187" i="12"/>
  <c r="ET187" i="12"/>
  <c r="EU187" i="12"/>
  <c r="EV187" i="12"/>
  <c r="EW187" i="12"/>
  <c r="EX187" i="12"/>
  <c r="EY187" i="12"/>
  <c r="EZ187" i="12"/>
  <c r="FA187" i="12"/>
  <c r="FB187" i="12"/>
  <c r="FC187" i="12"/>
  <c r="FD187" i="12"/>
  <c r="FE187" i="12"/>
  <c r="FF187" i="12"/>
  <c r="FG187" i="12"/>
  <c r="FH187" i="12"/>
  <c r="FI187" i="12"/>
  <c r="FJ187" i="12"/>
  <c r="FK187" i="12"/>
  <c r="FL187" i="12"/>
  <c r="FM187" i="12"/>
  <c r="FN187" i="12"/>
  <c r="FO187" i="12"/>
  <c r="FP187" i="12"/>
  <c r="FQ187" i="12"/>
  <c r="FR187" i="12"/>
  <c r="FS187" i="12"/>
  <c r="FT187" i="12"/>
  <c r="FU187" i="12"/>
  <c r="FV187" i="12"/>
  <c r="FW187" i="12"/>
  <c r="FX187" i="12"/>
  <c r="FY187" i="12"/>
  <c r="FZ187" i="12"/>
  <c r="GA187" i="12"/>
  <c r="GB187" i="12"/>
  <c r="GC187" i="12"/>
  <c r="GD187" i="12"/>
  <c r="GE187" i="12"/>
  <c r="GF187" i="12"/>
  <c r="GG187" i="12"/>
  <c r="GH187" i="12"/>
  <c r="GI187" i="12"/>
  <c r="GJ187" i="12"/>
  <c r="GK187" i="12"/>
  <c r="GL187" i="12"/>
  <c r="GM187" i="12"/>
  <c r="GN187" i="12"/>
  <c r="GO187" i="12"/>
  <c r="GP187" i="12"/>
  <c r="GQ187" i="12"/>
  <c r="GR187" i="12"/>
  <c r="GS187" i="12"/>
  <c r="GT187" i="12"/>
  <c r="GU187" i="12"/>
  <c r="GV187" i="12"/>
  <c r="GW187" i="12"/>
  <c r="GX187" i="12"/>
  <c r="GY187" i="12"/>
  <c r="GZ187" i="12"/>
  <c r="HA187" i="12"/>
  <c r="HB187" i="12"/>
  <c r="HC187" i="12"/>
  <c r="HD187" i="12"/>
  <c r="HE187" i="12"/>
  <c r="HF187" i="12"/>
  <c r="HG187" i="12"/>
  <c r="HH187" i="12"/>
  <c r="HI187" i="12"/>
  <c r="HJ187" i="12"/>
  <c r="HK187" i="12"/>
  <c r="HL187" i="12"/>
  <c r="HM187" i="12"/>
  <c r="HN187" i="12"/>
  <c r="HO187" i="12"/>
  <c r="HP187" i="12"/>
  <c r="HQ187" i="12"/>
  <c r="HR187" i="12"/>
  <c r="HS187" i="12"/>
  <c r="HT187" i="12"/>
  <c r="HU187" i="12"/>
  <c r="HV187" i="12"/>
  <c r="HW187" i="12"/>
  <c r="HX187" i="12"/>
  <c r="HY187" i="12"/>
  <c r="HZ187" i="12"/>
  <c r="IA187" i="12"/>
  <c r="IB187" i="12"/>
  <c r="IC187" i="12"/>
  <c r="ID187" i="12"/>
  <c r="IE187" i="12"/>
  <c r="IF187" i="12"/>
  <c r="IG187" i="12"/>
  <c r="IH187" i="12"/>
  <c r="II187" i="12"/>
  <c r="IJ187" i="12"/>
  <c r="IK187" i="12"/>
  <c r="IL187" i="12"/>
  <c r="IM187" i="12"/>
  <c r="IN187" i="12"/>
  <c r="IO187" i="12"/>
  <c r="IP187" i="12"/>
  <c r="IQ187" i="12"/>
  <c r="IR187" i="12"/>
  <c r="IS187" i="12"/>
  <c r="IT187" i="12"/>
  <c r="IU187" i="12"/>
  <c r="IV187" i="12"/>
  <c r="F188" i="12"/>
  <c r="G188" i="12"/>
  <c r="H188" i="12"/>
  <c r="I188" i="12"/>
  <c r="J188" i="12"/>
  <c r="K188" i="12"/>
  <c r="L188" i="12"/>
  <c r="M188" i="12"/>
  <c r="N188" i="12"/>
  <c r="O188" i="12"/>
  <c r="P188" i="12"/>
  <c r="Q188" i="12"/>
  <c r="R188" i="12"/>
  <c r="S188" i="12"/>
  <c r="T188" i="12"/>
  <c r="U188" i="12"/>
  <c r="V188" i="12"/>
  <c r="W188" i="12"/>
  <c r="X188" i="12"/>
  <c r="Y188" i="12"/>
  <c r="Z188" i="12"/>
  <c r="AA188" i="12"/>
  <c r="AB188" i="12"/>
  <c r="AC188" i="12"/>
  <c r="AD188" i="12"/>
  <c r="AE188" i="12"/>
  <c r="AF188" i="12"/>
  <c r="AG188" i="12"/>
  <c r="AH188" i="12"/>
  <c r="AI188" i="12"/>
  <c r="AJ188" i="12"/>
  <c r="AK188" i="12"/>
  <c r="AL188" i="12"/>
  <c r="AM188" i="12"/>
  <c r="AN188" i="12"/>
  <c r="AO188" i="12"/>
  <c r="AP188" i="12"/>
  <c r="AQ188" i="12"/>
  <c r="AR188" i="12"/>
  <c r="AS188" i="12"/>
  <c r="AT188" i="12"/>
  <c r="AU188" i="12"/>
  <c r="AV188" i="12"/>
  <c r="AW188" i="12"/>
  <c r="AX188" i="12"/>
  <c r="AY188" i="12"/>
  <c r="AZ188" i="12"/>
  <c r="BA188" i="12"/>
  <c r="BB188" i="12"/>
  <c r="BC188" i="12"/>
  <c r="BD188" i="12"/>
  <c r="BE188" i="12"/>
  <c r="BF188" i="12"/>
  <c r="BG188" i="12"/>
  <c r="BH188" i="12"/>
  <c r="BI188" i="12"/>
  <c r="BJ188" i="12"/>
  <c r="BK188" i="12"/>
  <c r="BL188" i="12"/>
  <c r="BM188" i="12"/>
  <c r="BN188" i="12"/>
  <c r="BO188" i="12"/>
  <c r="BP188" i="12"/>
  <c r="BQ188" i="12"/>
  <c r="BR188" i="12"/>
  <c r="BS188" i="12"/>
  <c r="BT188" i="12"/>
  <c r="BU188" i="12"/>
  <c r="BV188" i="12"/>
  <c r="BW188" i="12"/>
  <c r="BX188" i="12"/>
  <c r="BY188" i="12"/>
  <c r="BZ188" i="12"/>
  <c r="CA188" i="12"/>
  <c r="CB188" i="12"/>
  <c r="CC188" i="12"/>
  <c r="CD188" i="12"/>
  <c r="CE188" i="12"/>
  <c r="CF188" i="12"/>
  <c r="CG188" i="12"/>
  <c r="CH188" i="12"/>
  <c r="CI188" i="12"/>
  <c r="CJ188" i="12"/>
  <c r="CK188" i="12"/>
  <c r="CL188" i="12"/>
  <c r="CM188" i="12"/>
  <c r="CN188" i="12"/>
  <c r="CO188" i="12"/>
  <c r="CP188" i="12"/>
  <c r="CQ188" i="12"/>
  <c r="CR188" i="12"/>
  <c r="CS188" i="12"/>
  <c r="CT188" i="12"/>
  <c r="CU188" i="12"/>
  <c r="CV188" i="12"/>
  <c r="CW188" i="12"/>
  <c r="CX188" i="12"/>
  <c r="CY188" i="12"/>
  <c r="CZ188" i="12"/>
  <c r="DA188" i="12"/>
  <c r="DB188" i="12"/>
  <c r="DC188" i="12"/>
  <c r="DD188" i="12"/>
  <c r="DE188" i="12"/>
  <c r="DF188" i="12"/>
  <c r="DG188" i="12"/>
  <c r="DH188" i="12"/>
  <c r="DI188" i="12"/>
  <c r="DJ188" i="12"/>
  <c r="DK188" i="12"/>
  <c r="DL188" i="12"/>
  <c r="DM188" i="12"/>
  <c r="DN188" i="12"/>
  <c r="DO188" i="12"/>
  <c r="DP188" i="12"/>
  <c r="DQ188" i="12"/>
  <c r="DR188" i="12"/>
  <c r="DS188" i="12"/>
  <c r="DT188" i="12"/>
  <c r="DU188" i="12"/>
  <c r="DV188" i="12"/>
  <c r="DW188" i="12"/>
  <c r="DX188" i="12"/>
  <c r="DY188" i="12"/>
  <c r="DZ188" i="12"/>
  <c r="EA188" i="12"/>
  <c r="EB188" i="12"/>
  <c r="EC188" i="12"/>
  <c r="ED188" i="12"/>
  <c r="EE188" i="12"/>
  <c r="EF188" i="12"/>
  <c r="EG188" i="12"/>
  <c r="EH188" i="12"/>
  <c r="EI188" i="12"/>
  <c r="EJ188" i="12"/>
  <c r="EK188" i="12"/>
  <c r="EL188" i="12"/>
  <c r="EM188" i="12"/>
  <c r="EN188" i="12"/>
  <c r="EO188" i="12"/>
  <c r="EP188" i="12"/>
  <c r="EQ188" i="12"/>
  <c r="ER188" i="12"/>
  <c r="ES188" i="12"/>
  <c r="ET188" i="12"/>
  <c r="EU188" i="12"/>
  <c r="EV188" i="12"/>
  <c r="EW188" i="12"/>
  <c r="EX188" i="12"/>
  <c r="EY188" i="12"/>
  <c r="EZ188" i="12"/>
  <c r="FA188" i="12"/>
  <c r="FB188" i="12"/>
  <c r="FC188" i="12"/>
  <c r="FD188" i="12"/>
  <c r="FE188" i="12"/>
  <c r="FF188" i="12"/>
  <c r="FG188" i="12"/>
  <c r="FH188" i="12"/>
  <c r="FI188" i="12"/>
  <c r="FJ188" i="12"/>
  <c r="FK188" i="12"/>
  <c r="FL188" i="12"/>
  <c r="FM188" i="12"/>
  <c r="FN188" i="12"/>
  <c r="FO188" i="12"/>
  <c r="FP188" i="12"/>
  <c r="FQ188" i="12"/>
  <c r="FR188" i="12"/>
  <c r="FS188" i="12"/>
  <c r="FT188" i="12"/>
  <c r="FU188" i="12"/>
  <c r="FV188" i="12"/>
  <c r="FW188" i="12"/>
  <c r="FX188" i="12"/>
  <c r="FY188" i="12"/>
  <c r="FZ188" i="12"/>
  <c r="GA188" i="12"/>
  <c r="GB188" i="12"/>
  <c r="GC188" i="12"/>
  <c r="GD188" i="12"/>
  <c r="GE188" i="12"/>
  <c r="GF188" i="12"/>
  <c r="GG188" i="12"/>
  <c r="GH188" i="12"/>
  <c r="GI188" i="12"/>
  <c r="GJ188" i="12"/>
  <c r="GK188" i="12"/>
  <c r="GL188" i="12"/>
  <c r="GM188" i="12"/>
  <c r="GN188" i="12"/>
  <c r="GO188" i="12"/>
  <c r="GP188" i="12"/>
  <c r="GQ188" i="12"/>
  <c r="GR188" i="12"/>
  <c r="GS188" i="12"/>
  <c r="GT188" i="12"/>
  <c r="GU188" i="12"/>
  <c r="GV188" i="12"/>
  <c r="GW188" i="12"/>
  <c r="GX188" i="12"/>
  <c r="GY188" i="12"/>
  <c r="GZ188" i="12"/>
  <c r="HA188" i="12"/>
  <c r="HB188" i="12"/>
  <c r="HC188" i="12"/>
  <c r="HD188" i="12"/>
  <c r="HE188" i="12"/>
  <c r="HF188" i="12"/>
  <c r="HG188" i="12"/>
  <c r="HH188" i="12"/>
  <c r="HI188" i="12"/>
  <c r="HJ188" i="12"/>
  <c r="HK188" i="12"/>
  <c r="HL188" i="12"/>
  <c r="HM188" i="12"/>
  <c r="HN188" i="12"/>
  <c r="HO188" i="12"/>
  <c r="HP188" i="12"/>
  <c r="HQ188" i="12"/>
  <c r="HR188" i="12"/>
  <c r="HS188" i="12"/>
  <c r="HT188" i="12"/>
  <c r="HU188" i="12"/>
  <c r="HV188" i="12"/>
  <c r="HW188" i="12"/>
  <c r="HX188" i="12"/>
  <c r="HY188" i="12"/>
  <c r="HZ188" i="12"/>
  <c r="IA188" i="12"/>
  <c r="IB188" i="12"/>
  <c r="IC188" i="12"/>
  <c r="ID188" i="12"/>
  <c r="IE188" i="12"/>
  <c r="IF188" i="12"/>
  <c r="IG188" i="12"/>
  <c r="IH188" i="12"/>
  <c r="II188" i="12"/>
  <c r="IJ188" i="12"/>
  <c r="IK188" i="12"/>
  <c r="IL188" i="12"/>
  <c r="IM188" i="12"/>
  <c r="IN188" i="12"/>
  <c r="IO188" i="12"/>
  <c r="IP188" i="12"/>
  <c r="IQ188" i="12"/>
  <c r="IR188" i="12"/>
  <c r="IS188" i="12"/>
  <c r="IT188" i="12"/>
  <c r="IU188" i="12"/>
  <c r="IV188" i="12"/>
  <c r="F189" i="12"/>
  <c r="G189" i="12"/>
  <c r="H189" i="12"/>
  <c r="I189" i="12"/>
  <c r="J189" i="12"/>
  <c r="K189" i="12"/>
  <c r="L189" i="12"/>
  <c r="M189" i="12"/>
  <c r="N189" i="12"/>
  <c r="O189" i="12"/>
  <c r="P189" i="12"/>
  <c r="Q189" i="12"/>
  <c r="R189" i="12"/>
  <c r="S189" i="12"/>
  <c r="T189" i="12"/>
  <c r="U189" i="12"/>
  <c r="V189" i="12"/>
  <c r="W189" i="12"/>
  <c r="X189" i="12"/>
  <c r="Y189" i="12"/>
  <c r="Z189" i="12"/>
  <c r="AA189" i="12"/>
  <c r="AB189" i="12"/>
  <c r="AC189" i="12"/>
  <c r="AD189" i="12"/>
  <c r="AE189" i="12"/>
  <c r="AF189" i="12"/>
  <c r="AG189" i="12"/>
  <c r="AH189" i="12"/>
  <c r="AI189" i="12"/>
  <c r="AJ189" i="12"/>
  <c r="AK189" i="12"/>
  <c r="AL189" i="12"/>
  <c r="AM189" i="12"/>
  <c r="AN189" i="12"/>
  <c r="AO189" i="12"/>
  <c r="AP189" i="12"/>
  <c r="AQ189" i="12"/>
  <c r="AR189" i="12"/>
  <c r="AS189" i="12"/>
  <c r="AT189" i="12"/>
  <c r="AU189" i="12"/>
  <c r="AV189" i="12"/>
  <c r="AW189" i="12"/>
  <c r="AX189" i="12"/>
  <c r="AY189" i="12"/>
  <c r="AZ189" i="12"/>
  <c r="BA189" i="12"/>
  <c r="BB189" i="12"/>
  <c r="BC189" i="12"/>
  <c r="BD189" i="12"/>
  <c r="BE189" i="12"/>
  <c r="BF189" i="12"/>
  <c r="BG189" i="12"/>
  <c r="BH189" i="12"/>
  <c r="BI189" i="12"/>
  <c r="BJ189" i="12"/>
  <c r="BK189" i="12"/>
  <c r="BL189" i="12"/>
  <c r="BM189" i="12"/>
  <c r="BN189" i="12"/>
  <c r="BO189" i="12"/>
  <c r="BP189" i="12"/>
  <c r="BQ189" i="12"/>
  <c r="BR189" i="12"/>
  <c r="BS189" i="12"/>
  <c r="BT189" i="12"/>
  <c r="BU189" i="12"/>
  <c r="BV189" i="12"/>
  <c r="BW189" i="12"/>
  <c r="BX189" i="12"/>
  <c r="BY189" i="12"/>
  <c r="BZ189" i="12"/>
  <c r="CA189" i="12"/>
  <c r="CB189" i="12"/>
  <c r="CC189" i="12"/>
  <c r="CD189" i="12"/>
  <c r="CE189" i="12"/>
  <c r="CF189" i="12"/>
  <c r="CG189" i="12"/>
  <c r="CH189" i="12"/>
  <c r="CI189" i="12"/>
  <c r="CJ189" i="12"/>
  <c r="CK189" i="12"/>
  <c r="CL189" i="12"/>
  <c r="CM189" i="12"/>
  <c r="CN189" i="12"/>
  <c r="CO189" i="12"/>
  <c r="CP189" i="12"/>
  <c r="CQ189" i="12"/>
  <c r="CR189" i="12"/>
  <c r="CS189" i="12"/>
  <c r="CT189" i="12"/>
  <c r="CU189" i="12"/>
  <c r="CV189" i="12"/>
  <c r="CW189" i="12"/>
  <c r="CX189" i="12"/>
  <c r="CY189" i="12"/>
  <c r="CZ189" i="12"/>
  <c r="DA189" i="12"/>
  <c r="DB189" i="12"/>
  <c r="DC189" i="12"/>
  <c r="DD189" i="12"/>
  <c r="DE189" i="12"/>
  <c r="DF189" i="12"/>
  <c r="DG189" i="12"/>
  <c r="DH189" i="12"/>
  <c r="DI189" i="12"/>
  <c r="DJ189" i="12"/>
  <c r="DK189" i="12"/>
  <c r="DL189" i="12"/>
  <c r="DM189" i="12"/>
  <c r="DN189" i="12"/>
  <c r="DO189" i="12"/>
  <c r="DP189" i="12"/>
  <c r="DQ189" i="12"/>
  <c r="DR189" i="12"/>
  <c r="DS189" i="12"/>
  <c r="DT189" i="12"/>
  <c r="DU189" i="12"/>
  <c r="DV189" i="12"/>
  <c r="DW189" i="12"/>
  <c r="DX189" i="12"/>
  <c r="DY189" i="12"/>
  <c r="DZ189" i="12"/>
  <c r="EA189" i="12"/>
  <c r="EB189" i="12"/>
  <c r="EC189" i="12"/>
  <c r="ED189" i="12"/>
  <c r="EE189" i="12"/>
  <c r="EF189" i="12"/>
  <c r="EG189" i="12"/>
  <c r="EH189" i="12"/>
  <c r="EI189" i="12"/>
  <c r="EJ189" i="12"/>
  <c r="EK189" i="12"/>
  <c r="EL189" i="12"/>
  <c r="EM189" i="12"/>
  <c r="EN189" i="12"/>
  <c r="EO189" i="12"/>
  <c r="EP189" i="12"/>
  <c r="EQ189" i="12"/>
  <c r="ER189" i="12"/>
  <c r="ES189" i="12"/>
  <c r="ET189" i="12"/>
  <c r="EU189" i="12"/>
  <c r="EV189" i="12"/>
  <c r="EW189" i="12"/>
  <c r="EX189" i="12"/>
  <c r="EY189" i="12"/>
  <c r="EZ189" i="12"/>
  <c r="FA189" i="12"/>
  <c r="FB189" i="12"/>
  <c r="FC189" i="12"/>
  <c r="FD189" i="12"/>
  <c r="FE189" i="12"/>
  <c r="FF189" i="12"/>
  <c r="FG189" i="12"/>
  <c r="FH189" i="12"/>
  <c r="FI189" i="12"/>
  <c r="FJ189" i="12"/>
  <c r="FK189" i="12"/>
  <c r="FL189" i="12"/>
  <c r="FM189" i="12"/>
  <c r="FN189" i="12"/>
  <c r="FO189" i="12"/>
  <c r="FP189" i="12"/>
  <c r="FQ189" i="12"/>
  <c r="FR189" i="12"/>
  <c r="FS189" i="12"/>
  <c r="FT189" i="12"/>
  <c r="FU189" i="12"/>
  <c r="FV189" i="12"/>
  <c r="FW189" i="12"/>
  <c r="FX189" i="12"/>
  <c r="FY189" i="12"/>
  <c r="FZ189" i="12"/>
  <c r="GA189" i="12"/>
  <c r="GB189" i="12"/>
  <c r="GC189" i="12"/>
  <c r="GD189" i="12"/>
  <c r="GE189" i="12"/>
  <c r="GF189" i="12"/>
  <c r="GG189" i="12"/>
  <c r="GH189" i="12"/>
  <c r="GI189" i="12"/>
  <c r="GJ189" i="12"/>
  <c r="GK189" i="12"/>
  <c r="GL189" i="12"/>
  <c r="GM189" i="12"/>
  <c r="GN189" i="12"/>
  <c r="GO189" i="12"/>
  <c r="GP189" i="12"/>
  <c r="GQ189" i="12"/>
  <c r="GR189" i="12"/>
  <c r="GS189" i="12"/>
  <c r="GT189" i="12"/>
  <c r="GU189" i="12"/>
  <c r="GV189" i="12"/>
  <c r="GW189" i="12"/>
  <c r="GX189" i="12"/>
  <c r="GY189" i="12"/>
  <c r="GZ189" i="12"/>
  <c r="HA189" i="12"/>
  <c r="HB189" i="12"/>
  <c r="HC189" i="12"/>
  <c r="HD189" i="12"/>
  <c r="HE189" i="12"/>
  <c r="HF189" i="12"/>
  <c r="HG189" i="12"/>
  <c r="HH189" i="12"/>
  <c r="HI189" i="12"/>
  <c r="HJ189" i="12"/>
  <c r="HK189" i="12"/>
  <c r="HL189" i="12"/>
  <c r="HM189" i="12"/>
  <c r="HN189" i="12"/>
  <c r="HO189" i="12"/>
  <c r="HP189" i="12"/>
  <c r="HQ189" i="12"/>
  <c r="HR189" i="12"/>
  <c r="HS189" i="12"/>
  <c r="HT189" i="12"/>
  <c r="HU189" i="12"/>
  <c r="HV189" i="12"/>
  <c r="HW189" i="12"/>
  <c r="HX189" i="12"/>
  <c r="HY189" i="12"/>
  <c r="HZ189" i="12"/>
  <c r="IA189" i="12"/>
  <c r="IB189" i="12"/>
  <c r="IC189" i="12"/>
  <c r="ID189" i="12"/>
  <c r="IE189" i="12"/>
  <c r="IF189" i="12"/>
  <c r="IG189" i="12"/>
  <c r="IH189" i="12"/>
  <c r="II189" i="12"/>
  <c r="IJ189" i="12"/>
  <c r="IK189" i="12"/>
  <c r="IL189" i="12"/>
  <c r="IM189" i="12"/>
  <c r="IN189" i="12"/>
  <c r="IO189" i="12"/>
  <c r="IP189" i="12"/>
  <c r="IQ189" i="12"/>
  <c r="IR189" i="12"/>
  <c r="IS189" i="12"/>
  <c r="IT189" i="12"/>
  <c r="IU189" i="12"/>
  <c r="IV189" i="12"/>
  <c r="F190" i="12"/>
  <c r="G190" i="12"/>
  <c r="H190" i="12"/>
  <c r="I190" i="12"/>
  <c r="J190" i="12"/>
  <c r="K190" i="12"/>
  <c r="L190" i="12"/>
  <c r="M190" i="12"/>
  <c r="N190" i="12"/>
  <c r="O190" i="12"/>
  <c r="P190" i="12"/>
  <c r="Q190" i="12"/>
  <c r="R190" i="12"/>
  <c r="S190" i="12"/>
  <c r="T190" i="12"/>
  <c r="U190" i="12"/>
  <c r="V190" i="12"/>
  <c r="W190" i="12"/>
  <c r="X190" i="12"/>
  <c r="Y190" i="12"/>
  <c r="Z190" i="12"/>
  <c r="AA190" i="12"/>
  <c r="AB190" i="12"/>
  <c r="AC190" i="12"/>
  <c r="AD190" i="12"/>
  <c r="AE190" i="12"/>
  <c r="AF190" i="12"/>
  <c r="AG190" i="12"/>
  <c r="AH190" i="12"/>
  <c r="AI190" i="12"/>
  <c r="AJ190" i="12"/>
  <c r="AK190" i="12"/>
  <c r="AL190" i="12"/>
  <c r="AM190" i="12"/>
  <c r="AN190" i="12"/>
  <c r="AO190" i="12"/>
  <c r="AP190" i="12"/>
  <c r="AQ190" i="12"/>
  <c r="AR190" i="12"/>
  <c r="AS190" i="12"/>
  <c r="AT190" i="12"/>
  <c r="AU190" i="12"/>
  <c r="AV190" i="12"/>
  <c r="AW190" i="12"/>
  <c r="AX190" i="12"/>
  <c r="AY190" i="12"/>
  <c r="AZ190" i="12"/>
  <c r="BA190" i="12"/>
  <c r="BB190" i="12"/>
  <c r="BC190" i="12"/>
  <c r="BD190" i="12"/>
  <c r="BE190" i="12"/>
  <c r="BF190" i="12"/>
  <c r="BG190" i="12"/>
  <c r="BH190" i="12"/>
  <c r="BI190" i="12"/>
  <c r="BJ190" i="12"/>
  <c r="BK190" i="12"/>
  <c r="BL190" i="12"/>
  <c r="BM190" i="12"/>
  <c r="BN190" i="12"/>
  <c r="BO190" i="12"/>
  <c r="BP190" i="12"/>
  <c r="BQ190" i="12"/>
  <c r="BR190" i="12"/>
  <c r="BS190" i="12"/>
  <c r="BT190" i="12"/>
  <c r="BU190" i="12"/>
  <c r="BV190" i="12"/>
  <c r="BW190" i="12"/>
  <c r="BX190" i="12"/>
  <c r="BY190" i="12"/>
  <c r="BZ190" i="12"/>
  <c r="CA190" i="12"/>
  <c r="CB190" i="12"/>
  <c r="CC190" i="12"/>
  <c r="CD190" i="12"/>
  <c r="CE190" i="12"/>
  <c r="CF190" i="12"/>
  <c r="CG190" i="12"/>
  <c r="CH190" i="12"/>
  <c r="CI190" i="12"/>
  <c r="CJ190" i="12"/>
  <c r="CK190" i="12"/>
  <c r="CL190" i="12"/>
  <c r="CM190" i="12"/>
  <c r="CN190" i="12"/>
  <c r="CO190" i="12"/>
  <c r="CP190" i="12"/>
  <c r="CQ190" i="12"/>
  <c r="CR190" i="12"/>
  <c r="CS190" i="12"/>
  <c r="CT190" i="12"/>
  <c r="CU190" i="12"/>
  <c r="CV190" i="12"/>
  <c r="CW190" i="12"/>
  <c r="CX190" i="12"/>
  <c r="CY190" i="12"/>
  <c r="CZ190" i="12"/>
  <c r="DA190" i="12"/>
  <c r="DB190" i="12"/>
  <c r="DC190" i="12"/>
  <c r="DD190" i="12"/>
  <c r="DE190" i="12"/>
  <c r="DF190" i="12"/>
  <c r="DG190" i="12"/>
  <c r="DH190" i="12"/>
  <c r="DI190" i="12"/>
  <c r="DJ190" i="12"/>
  <c r="DK190" i="12"/>
  <c r="DL190" i="12"/>
  <c r="DM190" i="12"/>
  <c r="DN190" i="12"/>
  <c r="DO190" i="12"/>
  <c r="DP190" i="12"/>
  <c r="DQ190" i="12"/>
  <c r="DR190" i="12"/>
  <c r="DS190" i="12"/>
  <c r="DT190" i="12"/>
  <c r="DU190" i="12"/>
  <c r="DV190" i="12"/>
  <c r="DW190" i="12"/>
  <c r="DX190" i="12"/>
  <c r="DY190" i="12"/>
  <c r="DZ190" i="12"/>
  <c r="EA190" i="12"/>
  <c r="EB190" i="12"/>
  <c r="EC190" i="12"/>
  <c r="ED190" i="12"/>
  <c r="EE190" i="12"/>
  <c r="EF190" i="12"/>
  <c r="EG190" i="12"/>
  <c r="EH190" i="12"/>
  <c r="EI190" i="12"/>
  <c r="EJ190" i="12"/>
  <c r="EK190" i="12"/>
  <c r="EL190" i="12"/>
  <c r="EM190" i="12"/>
  <c r="EN190" i="12"/>
  <c r="EO190" i="12"/>
  <c r="EP190" i="12"/>
  <c r="EQ190" i="12"/>
  <c r="ER190" i="12"/>
  <c r="ES190" i="12"/>
  <c r="ET190" i="12"/>
  <c r="EU190" i="12"/>
  <c r="EV190" i="12"/>
  <c r="EW190" i="12"/>
  <c r="EX190" i="12"/>
  <c r="EY190" i="12"/>
  <c r="EZ190" i="12"/>
  <c r="FA190" i="12"/>
  <c r="FB190" i="12"/>
  <c r="FC190" i="12"/>
  <c r="FD190" i="12"/>
  <c r="FE190" i="12"/>
  <c r="FF190" i="12"/>
  <c r="FG190" i="12"/>
  <c r="FH190" i="12"/>
  <c r="FI190" i="12"/>
  <c r="FJ190" i="12"/>
  <c r="FK190" i="12"/>
  <c r="FL190" i="12"/>
  <c r="FM190" i="12"/>
  <c r="FN190" i="12"/>
  <c r="FO190" i="12"/>
  <c r="FP190" i="12"/>
  <c r="FQ190" i="12"/>
  <c r="FR190" i="12"/>
  <c r="FS190" i="12"/>
  <c r="FT190" i="12"/>
  <c r="FU190" i="12"/>
  <c r="FV190" i="12"/>
  <c r="FW190" i="12"/>
  <c r="FX190" i="12"/>
  <c r="FY190" i="12"/>
  <c r="FZ190" i="12"/>
  <c r="GA190" i="12"/>
  <c r="GB190" i="12"/>
  <c r="GC190" i="12"/>
  <c r="GD190" i="12"/>
  <c r="GE190" i="12"/>
  <c r="GF190" i="12"/>
  <c r="GG190" i="12"/>
  <c r="GH190" i="12"/>
  <c r="GI190" i="12"/>
  <c r="GJ190" i="12"/>
  <c r="GK190" i="12"/>
  <c r="GL190" i="12"/>
  <c r="GM190" i="12"/>
  <c r="GN190" i="12"/>
  <c r="GO190" i="12"/>
  <c r="GP190" i="12"/>
  <c r="GQ190" i="12"/>
  <c r="GR190" i="12"/>
  <c r="GS190" i="12"/>
  <c r="GT190" i="12"/>
  <c r="GU190" i="12"/>
  <c r="GV190" i="12"/>
  <c r="GW190" i="12"/>
  <c r="GX190" i="12"/>
  <c r="GY190" i="12"/>
  <c r="GZ190" i="12"/>
  <c r="HA190" i="12"/>
  <c r="HB190" i="12"/>
  <c r="HC190" i="12"/>
  <c r="HD190" i="12"/>
  <c r="HE190" i="12"/>
  <c r="HF190" i="12"/>
  <c r="HG190" i="12"/>
  <c r="HH190" i="12"/>
  <c r="HI190" i="12"/>
  <c r="HJ190" i="12"/>
  <c r="HK190" i="12"/>
  <c r="HL190" i="12"/>
  <c r="HM190" i="12"/>
  <c r="HN190" i="12"/>
  <c r="HO190" i="12"/>
  <c r="HP190" i="12"/>
  <c r="HQ190" i="12"/>
  <c r="HR190" i="12"/>
  <c r="HS190" i="12"/>
  <c r="HT190" i="12"/>
  <c r="HU190" i="12"/>
  <c r="HV190" i="12"/>
  <c r="HW190" i="12"/>
  <c r="HX190" i="12"/>
  <c r="HY190" i="12"/>
  <c r="HZ190" i="12"/>
  <c r="IA190" i="12"/>
  <c r="IB190" i="12"/>
  <c r="IC190" i="12"/>
  <c r="ID190" i="12"/>
  <c r="IE190" i="12"/>
  <c r="IF190" i="12"/>
  <c r="IG190" i="12"/>
  <c r="IH190" i="12"/>
  <c r="II190" i="12"/>
  <c r="IJ190" i="12"/>
  <c r="IK190" i="12"/>
  <c r="IL190" i="12"/>
  <c r="IM190" i="12"/>
  <c r="IN190" i="12"/>
  <c r="IO190" i="12"/>
  <c r="IP190" i="12"/>
  <c r="IQ190" i="12"/>
  <c r="IR190" i="12"/>
  <c r="IS190" i="12"/>
  <c r="IT190" i="12"/>
  <c r="IU190" i="12"/>
  <c r="IV190" i="12"/>
  <c r="F191" i="12"/>
  <c r="G191" i="12"/>
  <c r="H191" i="12"/>
  <c r="I191" i="12"/>
  <c r="J191" i="12"/>
  <c r="K191" i="12"/>
  <c r="L191" i="12"/>
  <c r="M191" i="12"/>
  <c r="N191" i="12"/>
  <c r="O191" i="12"/>
  <c r="P191" i="12"/>
  <c r="Q191" i="12"/>
  <c r="R191" i="12"/>
  <c r="S191" i="12"/>
  <c r="T191" i="12"/>
  <c r="U191" i="12"/>
  <c r="V191" i="12"/>
  <c r="W191" i="12"/>
  <c r="X191" i="12"/>
  <c r="Y191" i="12"/>
  <c r="Z191" i="12"/>
  <c r="AA191" i="12"/>
  <c r="AB191" i="12"/>
  <c r="AC191" i="12"/>
  <c r="AD191" i="12"/>
  <c r="AE191" i="12"/>
  <c r="AF191" i="12"/>
  <c r="AG191" i="12"/>
  <c r="AH191" i="12"/>
  <c r="AI191" i="12"/>
  <c r="AJ191" i="12"/>
  <c r="AK191" i="12"/>
  <c r="AL191" i="12"/>
  <c r="AM191" i="12"/>
  <c r="AN191" i="12"/>
  <c r="AO191" i="12"/>
  <c r="AP191" i="12"/>
  <c r="AQ191" i="12"/>
  <c r="AR191" i="12"/>
  <c r="AS191" i="12"/>
  <c r="AT191" i="12"/>
  <c r="AU191" i="12"/>
  <c r="AV191" i="12"/>
  <c r="AW191" i="12"/>
  <c r="AX191" i="12"/>
  <c r="AY191" i="12"/>
  <c r="AZ191" i="12"/>
  <c r="BA191" i="12"/>
  <c r="BB191" i="12"/>
  <c r="BC191" i="12"/>
  <c r="BD191" i="12"/>
  <c r="BE191" i="12"/>
  <c r="BF191" i="12"/>
  <c r="BG191" i="12"/>
  <c r="BH191" i="12"/>
  <c r="BI191" i="12"/>
  <c r="BJ191" i="12"/>
  <c r="BK191" i="12"/>
  <c r="BL191" i="12"/>
  <c r="BM191" i="12"/>
  <c r="BN191" i="12"/>
  <c r="BO191" i="12"/>
  <c r="BP191" i="12"/>
  <c r="BQ191" i="12"/>
  <c r="BR191" i="12"/>
  <c r="BS191" i="12"/>
  <c r="BT191" i="12"/>
  <c r="BU191" i="12"/>
  <c r="BV191" i="12"/>
  <c r="BW191" i="12"/>
  <c r="BX191" i="12"/>
  <c r="BY191" i="12"/>
  <c r="BZ191" i="12"/>
  <c r="CA191" i="12"/>
  <c r="CB191" i="12"/>
  <c r="CC191" i="12"/>
  <c r="CD191" i="12"/>
  <c r="CE191" i="12"/>
  <c r="CF191" i="12"/>
  <c r="CG191" i="12"/>
  <c r="CH191" i="12"/>
  <c r="CI191" i="12"/>
  <c r="CJ191" i="12"/>
  <c r="CK191" i="12"/>
  <c r="CL191" i="12"/>
  <c r="CM191" i="12"/>
  <c r="CN191" i="12"/>
  <c r="CO191" i="12"/>
  <c r="CP191" i="12"/>
  <c r="CQ191" i="12"/>
  <c r="CR191" i="12"/>
  <c r="CS191" i="12"/>
  <c r="CT191" i="12"/>
  <c r="CU191" i="12"/>
  <c r="CV191" i="12"/>
  <c r="CW191" i="12"/>
  <c r="CX191" i="12"/>
  <c r="CY191" i="12"/>
  <c r="CZ191" i="12"/>
  <c r="DA191" i="12"/>
  <c r="DB191" i="12"/>
  <c r="DC191" i="12"/>
  <c r="DD191" i="12"/>
  <c r="DE191" i="12"/>
  <c r="DF191" i="12"/>
  <c r="DG191" i="12"/>
  <c r="DH191" i="12"/>
  <c r="DI191" i="12"/>
  <c r="DJ191" i="12"/>
  <c r="DK191" i="12"/>
  <c r="DL191" i="12"/>
  <c r="DM191" i="12"/>
  <c r="DN191" i="12"/>
  <c r="DO191" i="12"/>
  <c r="DP191" i="12"/>
  <c r="DQ191" i="12"/>
  <c r="DR191" i="12"/>
  <c r="DS191" i="12"/>
  <c r="DT191" i="12"/>
  <c r="DU191" i="12"/>
  <c r="DV191" i="12"/>
  <c r="DW191" i="12"/>
  <c r="DX191" i="12"/>
  <c r="DY191" i="12"/>
  <c r="DZ191" i="12"/>
  <c r="EA191" i="12"/>
  <c r="EB191" i="12"/>
  <c r="EC191" i="12"/>
  <c r="ED191" i="12"/>
  <c r="EE191" i="12"/>
  <c r="EF191" i="12"/>
  <c r="EG191" i="12"/>
  <c r="EH191" i="12"/>
  <c r="EI191" i="12"/>
  <c r="EJ191" i="12"/>
  <c r="EK191" i="12"/>
  <c r="EL191" i="12"/>
  <c r="EM191" i="12"/>
  <c r="EN191" i="12"/>
  <c r="EO191" i="12"/>
  <c r="EP191" i="12"/>
  <c r="EQ191" i="12"/>
  <c r="ER191" i="12"/>
  <c r="ES191" i="12"/>
  <c r="ET191" i="12"/>
  <c r="EU191" i="12"/>
  <c r="EV191" i="12"/>
  <c r="EW191" i="12"/>
  <c r="EX191" i="12"/>
  <c r="EY191" i="12"/>
  <c r="EZ191" i="12"/>
  <c r="FA191" i="12"/>
  <c r="FB191" i="12"/>
  <c r="FC191" i="12"/>
  <c r="FD191" i="12"/>
  <c r="FE191" i="12"/>
  <c r="FF191" i="12"/>
  <c r="FG191" i="12"/>
  <c r="FH191" i="12"/>
  <c r="FI191" i="12"/>
  <c r="FJ191" i="12"/>
  <c r="FK191" i="12"/>
  <c r="FL191" i="12"/>
  <c r="FM191" i="12"/>
  <c r="FN191" i="12"/>
  <c r="FO191" i="12"/>
  <c r="FP191" i="12"/>
  <c r="FQ191" i="12"/>
  <c r="FR191" i="12"/>
  <c r="FS191" i="12"/>
  <c r="FT191" i="12"/>
  <c r="FU191" i="12"/>
  <c r="FV191" i="12"/>
  <c r="FW191" i="12"/>
  <c r="FX191" i="12"/>
  <c r="FY191" i="12"/>
  <c r="FZ191" i="12"/>
  <c r="GA191" i="12"/>
  <c r="GB191" i="12"/>
  <c r="GC191" i="12"/>
  <c r="GD191" i="12"/>
  <c r="GE191" i="12"/>
  <c r="GF191" i="12"/>
  <c r="GG191" i="12"/>
  <c r="GH191" i="12"/>
  <c r="GI191" i="12"/>
  <c r="GJ191" i="12"/>
  <c r="GK191" i="12"/>
  <c r="GL191" i="12"/>
  <c r="GM191" i="12"/>
  <c r="GN191" i="12"/>
  <c r="GO191" i="12"/>
  <c r="GP191" i="12"/>
  <c r="GQ191" i="12"/>
  <c r="GR191" i="12"/>
  <c r="GS191" i="12"/>
  <c r="GT191" i="12"/>
  <c r="GU191" i="12"/>
  <c r="GV191" i="12"/>
  <c r="GW191" i="12"/>
  <c r="GX191" i="12"/>
  <c r="GY191" i="12"/>
  <c r="GZ191" i="12"/>
  <c r="HA191" i="12"/>
  <c r="HB191" i="12"/>
  <c r="HC191" i="12"/>
  <c r="HD191" i="12"/>
  <c r="HE191" i="12"/>
  <c r="HF191" i="12"/>
  <c r="HG191" i="12"/>
  <c r="HH191" i="12"/>
  <c r="HI191" i="12"/>
  <c r="HJ191" i="12"/>
  <c r="HK191" i="12"/>
  <c r="HL191" i="12"/>
  <c r="HM191" i="12"/>
  <c r="HN191" i="12"/>
  <c r="HO191" i="12"/>
  <c r="HP191" i="12"/>
  <c r="HQ191" i="12"/>
  <c r="HR191" i="12"/>
  <c r="HS191" i="12"/>
  <c r="HT191" i="12"/>
  <c r="HU191" i="12"/>
  <c r="HV191" i="12"/>
  <c r="HW191" i="12"/>
  <c r="HX191" i="12"/>
  <c r="HY191" i="12"/>
  <c r="HZ191" i="12"/>
  <c r="IA191" i="12"/>
  <c r="IB191" i="12"/>
  <c r="IC191" i="12"/>
  <c r="ID191" i="12"/>
  <c r="IE191" i="12"/>
  <c r="IF191" i="12"/>
  <c r="IG191" i="12"/>
  <c r="IH191" i="12"/>
  <c r="II191" i="12"/>
  <c r="IJ191" i="12"/>
  <c r="IK191" i="12"/>
  <c r="IL191" i="12"/>
  <c r="IM191" i="12"/>
  <c r="IN191" i="12"/>
  <c r="IO191" i="12"/>
  <c r="IP191" i="12"/>
  <c r="IQ191" i="12"/>
  <c r="IR191" i="12"/>
  <c r="IS191" i="12"/>
  <c r="IT191" i="12"/>
  <c r="IU191" i="12"/>
  <c r="IV191" i="12"/>
  <c r="F192" i="12"/>
  <c r="G192" i="12"/>
  <c r="H192" i="12"/>
  <c r="I192" i="12"/>
  <c r="J192" i="12"/>
  <c r="K192" i="12"/>
  <c r="L192" i="12"/>
  <c r="M192" i="12"/>
  <c r="N192" i="12"/>
  <c r="O192" i="12"/>
  <c r="P192" i="12"/>
  <c r="Q192" i="12"/>
  <c r="R192" i="12"/>
  <c r="S192" i="12"/>
  <c r="T192" i="12"/>
  <c r="U192" i="12"/>
  <c r="V192" i="12"/>
  <c r="W192" i="12"/>
  <c r="X192" i="12"/>
  <c r="Y192" i="12"/>
  <c r="Z192" i="12"/>
  <c r="AA192" i="12"/>
  <c r="AB192" i="12"/>
  <c r="AC192" i="12"/>
  <c r="AD192" i="12"/>
  <c r="AE192" i="12"/>
  <c r="AF192" i="12"/>
  <c r="AG192" i="12"/>
  <c r="AH192" i="12"/>
  <c r="AI192" i="12"/>
  <c r="AJ192" i="12"/>
  <c r="AK192" i="12"/>
  <c r="AL192" i="12"/>
  <c r="AM192" i="12"/>
  <c r="AN192" i="12"/>
  <c r="AO192" i="12"/>
  <c r="AP192" i="12"/>
  <c r="AQ192" i="12"/>
  <c r="AR192" i="12"/>
  <c r="AS192" i="12"/>
  <c r="AT192" i="12"/>
  <c r="AU192" i="12"/>
  <c r="AV192" i="12"/>
  <c r="AW192" i="12"/>
  <c r="AX192" i="12"/>
  <c r="AY192" i="12"/>
  <c r="AZ192" i="12"/>
  <c r="BA192" i="12"/>
  <c r="BB192" i="12"/>
  <c r="BC192" i="12"/>
  <c r="BD192" i="12"/>
  <c r="BE192" i="12"/>
  <c r="BF192" i="12"/>
  <c r="BG192" i="12"/>
  <c r="BH192" i="12"/>
  <c r="BI192" i="12"/>
  <c r="BJ192" i="12"/>
  <c r="BK192" i="12"/>
  <c r="BL192" i="12"/>
  <c r="BM192" i="12"/>
  <c r="BN192" i="12"/>
  <c r="BO192" i="12"/>
  <c r="BP192" i="12"/>
  <c r="BQ192" i="12"/>
  <c r="BR192" i="12"/>
  <c r="BS192" i="12"/>
  <c r="BT192" i="12"/>
  <c r="BU192" i="12"/>
  <c r="BV192" i="12"/>
  <c r="BW192" i="12"/>
  <c r="BX192" i="12"/>
  <c r="BY192" i="12"/>
  <c r="BZ192" i="12"/>
  <c r="CA192" i="12"/>
  <c r="CB192" i="12"/>
  <c r="CC192" i="12"/>
  <c r="CD192" i="12"/>
  <c r="CE192" i="12"/>
  <c r="CF192" i="12"/>
  <c r="CG192" i="12"/>
  <c r="CH192" i="12"/>
  <c r="CI192" i="12"/>
  <c r="CJ192" i="12"/>
  <c r="CK192" i="12"/>
  <c r="CL192" i="12"/>
  <c r="CM192" i="12"/>
  <c r="CN192" i="12"/>
  <c r="CO192" i="12"/>
  <c r="CP192" i="12"/>
  <c r="CQ192" i="12"/>
  <c r="CR192" i="12"/>
  <c r="CS192" i="12"/>
  <c r="CT192" i="12"/>
  <c r="CU192" i="12"/>
  <c r="CV192" i="12"/>
  <c r="CW192" i="12"/>
  <c r="CX192" i="12"/>
  <c r="CY192" i="12"/>
  <c r="CZ192" i="12"/>
  <c r="DA192" i="12"/>
  <c r="DB192" i="12"/>
  <c r="DC192" i="12"/>
  <c r="DD192" i="12"/>
  <c r="DE192" i="12"/>
  <c r="DF192" i="12"/>
  <c r="DG192" i="12"/>
  <c r="DH192" i="12"/>
  <c r="DI192" i="12"/>
  <c r="DJ192" i="12"/>
  <c r="DK192" i="12"/>
  <c r="DL192" i="12"/>
  <c r="DM192" i="12"/>
  <c r="DN192" i="12"/>
  <c r="DO192" i="12"/>
  <c r="DP192" i="12"/>
  <c r="DQ192" i="12"/>
  <c r="DR192" i="12"/>
  <c r="DS192" i="12"/>
  <c r="DT192" i="12"/>
  <c r="DU192" i="12"/>
  <c r="DV192" i="12"/>
  <c r="DW192" i="12"/>
  <c r="DX192" i="12"/>
  <c r="DY192" i="12"/>
  <c r="DZ192" i="12"/>
  <c r="EA192" i="12"/>
  <c r="EB192" i="12"/>
  <c r="EC192" i="12"/>
  <c r="ED192" i="12"/>
  <c r="EE192" i="12"/>
  <c r="EF192" i="12"/>
  <c r="EG192" i="12"/>
  <c r="EH192" i="12"/>
  <c r="EI192" i="12"/>
  <c r="EJ192" i="12"/>
  <c r="EK192" i="12"/>
  <c r="EL192" i="12"/>
  <c r="EM192" i="12"/>
  <c r="EN192" i="12"/>
  <c r="EO192" i="12"/>
  <c r="EP192" i="12"/>
  <c r="EQ192" i="12"/>
  <c r="ER192" i="12"/>
  <c r="ES192" i="12"/>
  <c r="ET192" i="12"/>
  <c r="EU192" i="12"/>
  <c r="EV192" i="12"/>
  <c r="EW192" i="12"/>
  <c r="EX192" i="12"/>
  <c r="EY192" i="12"/>
  <c r="EZ192" i="12"/>
  <c r="FA192" i="12"/>
  <c r="FB192" i="12"/>
  <c r="FC192" i="12"/>
  <c r="FD192" i="12"/>
  <c r="FE192" i="12"/>
  <c r="FF192" i="12"/>
  <c r="FG192" i="12"/>
  <c r="FH192" i="12"/>
  <c r="FI192" i="12"/>
  <c r="FJ192" i="12"/>
  <c r="FK192" i="12"/>
  <c r="FL192" i="12"/>
  <c r="FM192" i="12"/>
  <c r="FN192" i="12"/>
  <c r="FO192" i="12"/>
  <c r="FP192" i="12"/>
  <c r="FQ192" i="12"/>
  <c r="FR192" i="12"/>
  <c r="FS192" i="12"/>
  <c r="FT192" i="12"/>
  <c r="FU192" i="12"/>
  <c r="FV192" i="12"/>
  <c r="FW192" i="12"/>
  <c r="FX192" i="12"/>
  <c r="FY192" i="12"/>
  <c r="FZ192" i="12"/>
  <c r="GA192" i="12"/>
  <c r="GB192" i="12"/>
  <c r="GC192" i="12"/>
  <c r="GD192" i="12"/>
  <c r="GE192" i="12"/>
  <c r="GF192" i="12"/>
  <c r="GG192" i="12"/>
  <c r="GH192" i="12"/>
  <c r="GI192" i="12"/>
  <c r="GJ192" i="12"/>
  <c r="GK192" i="12"/>
  <c r="GL192" i="12"/>
  <c r="GM192" i="12"/>
  <c r="GN192" i="12"/>
  <c r="GO192" i="12"/>
  <c r="GP192" i="12"/>
  <c r="GQ192" i="12"/>
  <c r="GR192" i="12"/>
  <c r="GS192" i="12"/>
  <c r="GT192" i="12"/>
  <c r="GU192" i="12"/>
  <c r="GV192" i="12"/>
  <c r="GW192" i="12"/>
  <c r="GX192" i="12"/>
  <c r="GY192" i="12"/>
  <c r="GZ192" i="12"/>
  <c r="HA192" i="12"/>
  <c r="HB192" i="12"/>
  <c r="HC192" i="12"/>
  <c r="HD192" i="12"/>
  <c r="HE192" i="12"/>
  <c r="HF192" i="12"/>
  <c r="HG192" i="12"/>
  <c r="HH192" i="12"/>
  <c r="HI192" i="12"/>
  <c r="HJ192" i="12"/>
  <c r="HK192" i="12"/>
  <c r="HL192" i="12"/>
  <c r="HM192" i="12"/>
  <c r="HN192" i="12"/>
  <c r="HO192" i="12"/>
  <c r="HP192" i="12"/>
  <c r="HQ192" i="12"/>
  <c r="HR192" i="12"/>
  <c r="HS192" i="12"/>
  <c r="HT192" i="12"/>
  <c r="HU192" i="12"/>
  <c r="HV192" i="12"/>
  <c r="HW192" i="12"/>
  <c r="HX192" i="12"/>
  <c r="HY192" i="12"/>
  <c r="HZ192" i="12"/>
  <c r="IA192" i="12"/>
  <c r="IB192" i="12"/>
  <c r="IC192" i="12"/>
  <c r="ID192" i="12"/>
  <c r="IE192" i="12"/>
  <c r="IF192" i="12"/>
  <c r="IG192" i="12"/>
  <c r="IH192" i="12"/>
  <c r="II192" i="12"/>
  <c r="IJ192" i="12"/>
  <c r="IK192" i="12"/>
  <c r="IL192" i="12"/>
  <c r="IM192" i="12"/>
  <c r="IN192" i="12"/>
  <c r="IO192" i="12"/>
  <c r="IP192" i="12"/>
  <c r="IQ192" i="12"/>
  <c r="IR192" i="12"/>
  <c r="IS192" i="12"/>
  <c r="IT192" i="12"/>
  <c r="IU192" i="12"/>
  <c r="IV192" i="12"/>
  <c r="F193" i="12"/>
  <c r="G193" i="12"/>
  <c r="H193" i="12"/>
  <c r="I193" i="12"/>
  <c r="J193" i="12"/>
  <c r="K193" i="12"/>
  <c r="L193" i="12"/>
  <c r="M193" i="12"/>
  <c r="N193" i="12"/>
  <c r="O193" i="12"/>
  <c r="P193" i="12"/>
  <c r="Q193" i="12"/>
  <c r="R193" i="12"/>
  <c r="S193" i="12"/>
  <c r="T193" i="12"/>
  <c r="U193" i="12"/>
  <c r="V193" i="12"/>
  <c r="W193" i="12"/>
  <c r="X193" i="12"/>
  <c r="Y193" i="12"/>
  <c r="Z193" i="12"/>
  <c r="AA193" i="12"/>
  <c r="AB193" i="12"/>
  <c r="AC193" i="12"/>
  <c r="AD193" i="12"/>
  <c r="AE193" i="12"/>
  <c r="AF193" i="12"/>
  <c r="AG193" i="12"/>
  <c r="AH193" i="12"/>
  <c r="AI193" i="12"/>
  <c r="AJ193" i="12"/>
  <c r="AK193" i="12"/>
  <c r="AL193" i="12"/>
  <c r="AM193" i="12"/>
  <c r="AN193" i="12"/>
  <c r="AO193" i="12"/>
  <c r="AP193" i="12"/>
  <c r="AQ193" i="12"/>
  <c r="AR193" i="12"/>
  <c r="AS193" i="12"/>
  <c r="AT193" i="12"/>
  <c r="AU193" i="12"/>
  <c r="AV193" i="12"/>
  <c r="AW193" i="12"/>
  <c r="AX193" i="12"/>
  <c r="AY193" i="12"/>
  <c r="AZ193" i="12"/>
  <c r="BA193" i="12"/>
  <c r="BB193" i="12"/>
  <c r="BC193" i="12"/>
  <c r="BD193" i="12"/>
  <c r="BE193" i="12"/>
  <c r="BF193" i="12"/>
  <c r="BG193" i="12"/>
  <c r="BH193" i="12"/>
  <c r="BI193" i="12"/>
  <c r="BJ193" i="12"/>
  <c r="BK193" i="12"/>
  <c r="BL193" i="12"/>
  <c r="BM193" i="12"/>
  <c r="BN193" i="12"/>
  <c r="BO193" i="12"/>
  <c r="BP193" i="12"/>
  <c r="BQ193" i="12"/>
  <c r="BR193" i="12"/>
  <c r="BS193" i="12"/>
  <c r="BT193" i="12"/>
  <c r="BU193" i="12"/>
  <c r="BV193" i="12"/>
  <c r="BW193" i="12"/>
  <c r="BX193" i="12"/>
  <c r="BY193" i="12"/>
  <c r="BZ193" i="12"/>
  <c r="CA193" i="12"/>
  <c r="CB193" i="12"/>
  <c r="CC193" i="12"/>
  <c r="CD193" i="12"/>
  <c r="CE193" i="12"/>
  <c r="CF193" i="12"/>
  <c r="CG193" i="12"/>
  <c r="CH193" i="12"/>
  <c r="CI193" i="12"/>
  <c r="CJ193" i="12"/>
  <c r="CK193" i="12"/>
  <c r="CL193" i="12"/>
  <c r="CM193" i="12"/>
  <c r="CN193" i="12"/>
  <c r="CO193" i="12"/>
  <c r="CP193" i="12"/>
  <c r="CQ193" i="12"/>
  <c r="CR193" i="12"/>
  <c r="CS193" i="12"/>
  <c r="CT193" i="12"/>
  <c r="CU193" i="12"/>
  <c r="CV193" i="12"/>
  <c r="CW193" i="12"/>
  <c r="CX193" i="12"/>
  <c r="CY193" i="12"/>
  <c r="CZ193" i="12"/>
  <c r="DA193" i="12"/>
  <c r="DB193" i="12"/>
  <c r="DC193" i="12"/>
  <c r="DD193" i="12"/>
  <c r="DE193" i="12"/>
  <c r="DF193" i="12"/>
  <c r="DG193" i="12"/>
  <c r="DH193" i="12"/>
  <c r="DI193" i="12"/>
  <c r="DJ193" i="12"/>
  <c r="DK193" i="12"/>
  <c r="DL193" i="12"/>
  <c r="DM193" i="12"/>
  <c r="DN193" i="12"/>
  <c r="DO193" i="12"/>
  <c r="DP193" i="12"/>
  <c r="DQ193" i="12"/>
  <c r="DR193" i="12"/>
  <c r="DS193" i="12"/>
  <c r="DT193" i="12"/>
  <c r="DU193" i="12"/>
  <c r="DV193" i="12"/>
  <c r="DW193" i="12"/>
  <c r="DX193" i="12"/>
  <c r="DY193" i="12"/>
  <c r="DZ193" i="12"/>
  <c r="EA193" i="12"/>
  <c r="EB193" i="12"/>
  <c r="EC193" i="12"/>
  <c r="ED193" i="12"/>
  <c r="EE193" i="12"/>
  <c r="EF193" i="12"/>
  <c r="EG193" i="12"/>
  <c r="EH193" i="12"/>
  <c r="EI193" i="12"/>
  <c r="EJ193" i="12"/>
  <c r="EK193" i="12"/>
  <c r="EL193" i="12"/>
  <c r="EM193" i="12"/>
  <c r="EN193" i="12"/>
  <c r="EO193" i="12"/>
  <c r="EP193" i="12"/>
  <c r="EQ193" i="12"/>
  <c r="ER193" i="12"/>
  <c r="ES193" i="12"/>
  <c r="ET193" i="12"/>
  <c r="EU193" i="12"/>
  <c r="EV193" i="12"/>
  <c r="EW193" i="12"/>
  <c r="EX193" i="12"/>
  <c r="EY193" i="12"/>
  <c r="EZ193" i="12"/>
  <c r="FA193" i="12"/>
  <c r="FB193" i="12"/>
  <c r="FC193" i="12"/>
  <c r="FD193" i="12"/>
  <c r="FE193" i="12"/>
  <c r="FF193" i="12"/>
  <c r="FG193" i="12"/>
  <c r="FH193" i="12"/>
  <c r="FI193" i="12"/>
  <c r="FJ193" i="12"/>
  <c r="FK193" i="12"/>
  <c r="FL193" i="12"/>
  <c r="FM193" i="12"/>
  <c r="FN193" i="12"/>
  <c r="FO193" i="12"/>
  <c r="FP193" i="12"/>
  <c r="FQ193" i="12"/>
  <c r="FR193" i="12"/>
  <c r="FS193" i="12"/>
  <c r="FT193" i="12"/>
  <c r="FU193" i="12"/>
  <c r="FV193" i="12"/>
  <c r="FW193" i="12"/>
  <c r="FX193" i="12"/>
  <c r="FY193" i="12"/>
  <c r="FZ193" i="12"/>
  <c r="GA193" i="12"/>
  <c r="GB193" i="12"/>
  <c r="GC193" i="12"/>
  <c r="GD193" i="12"/>
  <c r="GE193" i="12"/>
  <c r="GF193" i="12"/>
  <c r="GG193" i="12"/>
  <c r="GH193" i="12"/>
  <c r="GI193" i="12"/>
  <c r="GJ193" i="12"/>
  <c r="GK193" i="12"/>
  <c r="GL193" i="12"/>
  <c r="GM193" i="12"/>
  <c r="GN193" i="12"/>
  <c r="GO193" i="12"/>
  <c r="GP193" i="12"/>
  <c r="GQ193" i="12"/>
  <c r="GR193" i="12"/>
  <c r="GS193" i="12"/>
  <c r="GT193" i="12"/>
  <c r="GU193" i="12"/>
  <c r="GV193" i="12"/>
  <c r="GW193" i="12"/>
  <c r="GX193" i="12"/>
  <c r="GY193" i="12"/>
  <c r="GZ193" i="12"/>
  <c r="HA193" i="12"/>
  <c r="HB193" i="12"/>
  <c r="HC193" i="12"/>
  <c r="HD193" i="12"/>
  <c r="HE193" i="12"/>
  <c r="HF193" i="12"/>
  <c r="HG193" i="12"/>
  <c r="HH193" i="12"/>
  <c r="HI193" i="12"/>
  <c r="HJ193" i="12"/>
  <c r="HK193" i="12"/>
  <c r="HL193" i="12"/>
  <c r="HM193" i="12"/>
  <c r="HN193" i="12"/>
  <c r="HO193" i="12"/>
  <c r="HP193" i="12"/>
  <c r="HQ193" i="12"/>
  <c r="HR193" i="12"/>
  <c r="HS193" i="12"/>
  <c r="HT193" i="12"/>
  <c r="HU193" i="12"/>
  <c r="HV193" i="12"/>
  <c r="HW193" i="12"/>
  <c r="HX193" i="12"/>
  <c r="HY193" i="12"/>
  <c r="HZ193" i="12"/>
  <c r="IA193" i="12"/>
  <c r="IB193" i="12"/>
  <c r="IC193" i="12"/>
  <c r="ID193" i="12"/>
  <c r="IE193" i="12"/>
  <c r="IF193" i="12"/>
  <c r="IG193" i="12"/>
  <c r="IH193" i="12"/>
  <c r="II193" i="12"/>
  <c r="IJ193" i="12"/>
  <c r="IK193" i="12"/>
  <c r="IL193" i="12"/>
  <c r="IM193" i="12"/>
  <c r="IN193" i="12"/>
  <c r="IO193" i="12"/>
  <c r="IP193" i="12"/>
  <c r="IQ193" i="12"/>
  <c r="IR193" i="12"/>
  <c r="IS193" i="12"/>
  <c r="IT193" i="12"/>
  <c r="IU193" i="12"/>
  <c r="IV193" i="12"/>
  <c r="F194" i="12"/>
  <c r="G194" i="12"/>
  <c r="H194" i="12"/>
  <c r="I194" i="12"/>
  <c r="J194" i="12"/>
  <c r="K194" i="12"/>
  <c r="L194" i="12"/>
  <c r="M194" i="12"/>
  <c r="N194" i="12"/>
  <c r="O194" i="12"/>
  <c r="P194" i="12"/>
  <c r="Q194" i="12"/>
  <c r="R194" i="12"/>
  <c r="S194" i="12"/>
  <c r="T194" i="12"/>
  <c r="U194" i="12"/>
  <c r="V194" i="12"/>
  <c r="W194" i="12"/>
  <c r="X194" i="12"/>
  <c r="Y194" i="12"/>
  <c r="Z194" i="12"/>
  <c r="AA194" i="12"/>
  <c r="AB194" i="12"/>
  <c r="AC194" i="12"/>
  <c r="AD194" i="12"/>
  <c r="AE194" i="12"/>
  <c r="AF194" i="12"/>
  <c r="AG194" i="12"/>
  <c r="AH194" i="12"/>
  <c r="AI194" i="12"/>
  <c r="AJ194" i="12"/>
  <c r="AK194" i="12"/>
  <c r="AL194" i="12"/>
  <c r="AM194" i="12"/>
  <c r="AN194" i="12"/>
  <c r="AO194" i="12"/>
  <c r="AP194" i="12"/>
  <c r="AQ194" i="12"/>
  <c r="AR194" i="12"/>
  <c r="AS194" i="12"/>
  <c r="AT194" i="12"/>
  <c r="AU194" i="12"/>
  <c r="AV194" i="12"/>
  <c r="AW194" i="12"/>
  <c r="AX194" i="12"/>
  <c r="AY194" i="12"/>
  <c r="AZ194" i="12"/>
  <c r="BA194" i="12"/>
  <c r="BB194" i="12"/>
  <c r="BC194" i="12"/>
  <c r="BD194" i="12"/>
  <c r="BE194" i="12"/>
  <c r="BF194" i="12"/>
  <c r="BG194" i="12"/>
  <c r="BH194" i="12"/>
  <c r="BI194" i="12"/>
  <c r="BJ194" i="12"/>
  <c r="BK194" i="12"/>
  <c r="BL194" i="12"/>
  <c r="BM194" i="12"/>
  <c r="BN194" i="12"/>
  <c r="BO194" i="12"/>
  <c r="BP194" i="12"/>
  <c r="BQ194" i="12"/>
  <c r="BR194" i="12"/>
  <c r="BS194" i="12"/>
  <c r="BT194" i="12"/>
  <c r="BU194" i="12"/>
  <c r="BV194" i="12"/>
  <c r="BW194" i="12"/>
  <c r="BX194" i="12"/>
  <c r="BY194" i="12"/>
  <c r="BZ194" i="12"/>
  <c r="CA194" i="12"/>
  <c r="CB194" i="12"/>
  <c r="CC194" i="12"/>
  <c r="CD194" i="12"/>
  <c r="CE194" i="12"/>
  <c r="CF194" i="12"/>
  <c r="CG194" i="12"/>
  <c r="CH194" i="12"/>
  <c r="CI194" i="12"/>
  <c r="CJ194" i="12"/>
  <c r="CK194" i="12"/>
  <c r="CL194" i="12"/>
  <c r="CM194" i="12"/>
  <c r="CN194" i="12"/>
  <c r="CO194" i="12"/>
  <c r="CP194" i="12"/>
  <c r="CQ194" i="12"/>
  <c r="CR194" i="12"/>
  <c r="CS194" i="12"/>
  <c r="CT194" i="12"/>
  <c r="CU194" i="12"/>
  <c r="CV194" i="12"/>
  <c r="CW194" i="12"/>
  <c r="CX194" i="12"/>
  <c r="CY194" i="12"/>
  <c r="CZ194" i="12"/>
  <c r="DA194" i="12"/>
  <c r="DB194" i="12"/>
  <c r="DC194" i="12"/>
  <c r="DD194" i="12"/>
  <c r="DE194" i="12"/>
  <c r="DF194" i="12"/>
  <c r="DG194" i="12"/>
  <c r="DH194" i="12"/>
  <c r="DI194" i="12"/>
  <c r="DJ194" i="12"/>
  <c r="DK194" i="12"/>
  <c r="DL194" i="12"/>
  <c r="DM194" i="12"/>
  <c r="DN194" i="12"/>
  <c r="DO194" i="12"/>
  <c r="DP194" i="12"/>
  <c r="DQ194" i="12"/>
  <c r="DR194" i="12"/>
  <c r="DS194" i="12"/>
  <c r="DT194" i="12"/>
  <c r="DU194" i="12"/>
  <c r="DV194" i="12"/>
  <c r="DW194" i="12"/>
  <c r="DX194" i="12"/>
  <c r="DY194" i="12"/>
  <c r="DZ194" i="12"/>
  <c r="EA194" i="12"/>
  <c r="EB194" i="12"/>
  <c r="EC194" i="12"/>
  <c r="ED194" i="12"/>
  <c r="EE194" i="12"/>
  <c r="EF194" i="12"/>
  <c r="EG194" i="12"/>
  <c r="EH194" i="12"/>
  <c r="EI194" i="12"/>
  <c r="EJ194" i="12"/>
  <c r="EK194" i="12"/>
  <c r="EL194" i="12"/>
  <c r="EM194" i="12"/>
  <c r="EN194" i="12"/>
  <c r="EO194" i="12"/>
  <c r="EP194" i="12"/>
  <c r="EQ194" i="12"/>
  <c r="ER194" i="12"/>
  <c r="ES194" i="12"/>
  <c r="ET194" i="12"/>
  <c r="EU194" i="12"/>
  <c r="EV194" i="12"/>
  <c r="EW194" i="12"/>
  <c r="EX194" i="12"/>
  <c r="EY194" i="12"/>
  <c r="EZ194" i="12"/>
  <c r="FA194" i="12"/>
  <c r="FB194" i="12"/>
  <c r="FC194" i="12"/>
  <c r="FD194" i="12"/>
  <c r="FE194" i="12"/>
  <c r="FF194" i="12"/>
  <c r="FG194" i="12"/>
  <c r="FH194" i="12"/>
  <c r="FI194" i="12"/>
  <c r="FJ194" i="12"/>
  <c r="FK194" i="12"/>
  <c r="FL194" i="12"/>
  <c r="FM194" i="12"/>
  <c r="FN194" i="12"/>
  <c r="FO194" i="12"/>
  <c r="FP194" i="12"/>
  <c r="FQ194" i="12"/>
  <c r="FR194" i="12"/>
  <c r="FS194" i="12"/>
  <c r="FT194" i="12"/>
  <c r="FU194" i="12"/>
  <c r="FV194" i="12"/>
  <c r="FW194" i="12"/>
  <c r="FX194" i="12"/>
  <c r="FY194" i="12"/>
  <c r="FZ194" i="12"/>
  <c r="GA194" i="12"/>
  <c r="GB194" i="12"/>
  <c r="GC194" i="12"/>
  <c r="GD194" i="12"/>
  <c r="GE194" i="12"/>
  <c r="GF194" i="12"/>
  <c r="GG194" i="12"/>
  <c r="GH194" i="12"/>
  <c r="GI194" i="12"/>
  <c r="GJ194" i="12"/>
  <c r="GK194" i="12"/>
  <c r="GL194" i="12"/>
  <c r="GM194" i="12"/>
  <c r="GN194" i="12"/>
  <c r="GO194" i="12"/>
  <c r="GP194" i="12"/>
  <c r="GQ194" i="12"/>
  <c r="GR194" i="12"/>
  <c r="GS194" i="12"/>
  <c r="GT194" i="12"/>
  <c r="GU194" i="12"/>
  <c r="GV194" i="12"/>
  <c r="GW194" i="12"/>
  <c r="GX194" i="12"/>
  <c r="GY194" i="12"/>
  <c r="GZ194" i="12"/>
  <c r="HA194" i="12"/>
  <c r="HB194" i="12"/>
  <c r="HC194" i="12"/>
  <c r="HD194" i="12"/>
  <c r="HE194" i="12"/>
  <c r="HF194" i="12"/>
  <c r="HG194" i="12"/>
  <c r="HH194" i="12"/>
  <c r="HI194" i="12"/>
  <c r="HJ194" i="12"/>
  <c r="HK194" i="12"/>
  <c r="HL194" i="12"/>
  <c r="HM194" i="12"/>
  <c r="HN194" i="12"/>
  <c r="HO194" i="12"/>
  <c r="HP194" i="12"/>
  <c r="HQ194" i="12"/>
  <c r="HR194" i="12"/>
  <c r="HS194" i="12"/>
  <c r="HT194" i="12"/>
  <c r="HU194" i="12"/>
  <c r="HV194" i="12"/>
  <c r="HW194" i="12"/>
  <c r="HX194" i="12"/>
  <c r="HY194" i="12"/>
  <c r="HZ194" i="12"/>
  <c r="IA194" i="12"/>
  <c r="IB194" i="12"/>
  <c r="IC194" i="12"/>
  <c r="ID194" i="12"/>
  <c r="IE194" i="12"/>
  <c r="IF194" i="12"/>
  <c r="IG194" i="12"/>
  <c r="IH194" i="12"/>
  <c r="II194" i="12"/>
  <c r="IJ194" i="12"/>
  <c r="IK194" i="12"/>
  <c r="IL194" i="12"/>
  <c r="IM194" i="12"/>
  <c r="IN194" i="12"/>
  <c r="IO194" i="12"/>
  <c r="IP194" i="12"/>
  <c r="IQ194" i="12"/>
  <c r="IR194" i="12"/>
  <c r="IS194" i="12"/>
  <c r="IT194" i="12"/>
  <c r="IU194" i="12"/>
  <c r="IV194" i="12"/>
  <c r="F195" i="12"/>
  <c r="G195" i="12"/>
  <c r="H195" i="12"/>
  <c r="I195" i="12"/>
  <c r="J195" i="12"/>
  <c r="K195" i="12"/>
  <c r="L195" i="12"/>
  <c r="M195" i="12"/>
  <c r="N195" i="12"/>
  <c r="O195" i="12"/>
  <c r="P195" i="12"/>
  <c r="Q195" i="12"/>
  <c r="R195" i="12"/>
  <c r="S195" i="12"/>
  <c r="T195" i="12"/>
  <c r="U195" i="12"/>
  <c r="V195" i="12"/>
  <c r="W195" i="12"/>
  <c r="X195" i="12"/>
  <c r="Y195" i="12"/>
  <c r="Z195" i="12"/>
  <c r="AA195" i="12"/>
  <c r="AB195" i="12"/>
  <c r="AC195" i="12"/>
  <c r="AD195" i="12"/>
  <c r="AE195" i="12"/>
  <c r="AF195" i="12"/>
  <c r="AG195" i="12"/>
  <c r="AH195" i="12"/>
  <c r="AI195" i="12"/>
  <c r="AJ195" i="12"/>
  <c r="AK195" i="12"/>
  <c r="AL195" i="12"/>
  <c r="AM195" i="12"/>
  <c r="AN195" i="12"/>
  <c r="AO195" i="12"/>
  <c r="AP195" i="12"/>
  <c r="AQ195" i="12"/>
  <c r="AR195" i="12"/>
  <c r="AS195" i="12"/>
  <c r="AT195" i="12"/>
  <c r="AU195" i="12"/>
  <c r="AV195" i="12"/>
  <c r="AW195" i="12"/>
  <c r="AX195" i="12"/>
  <c r="AY195" i="12"/>
  <c r="AZ195" i="12"/>
  <c r="BA195" i="12"/>
  <c r="BB195" i="12"/>
  <c r="BC195" i="12"/>
  <c r="BD195" i="12"/>
  <c r="BE195" i="12"/>
  <c r="BF195" i="12"/>
  <c r="BG195" i="12"/>
  <c r="BH195" i="12"/>
  <c r="BI195" i="12"/>
  <c r="BJ195" i="12"/>
  <c r="BK195" i="12"/>
  <c r="BL195" i="12"/>
  <c r="BM195" i="12"/>
  <c r="BN195" i="12"/>
  <c r="BO195" i="12"/>
  <c r="BP195" i="12"/>
  <c r="BQ195" i="12"/>
  <c r="BR195" i="12"/>
  <c r="BS195" i="12"/>
  <c r="BT195" i="12"/>
  <c r="BU195" i="12"/>
  <c r="BV195" i="12"/>
  <c r="BW195" i="12"/>
  <c r="BX195" i="12"/>
  <c r="BY195" i="12"/>
  <c r="BZ195" i="12"/>
  <c r="CA195" i="12"/>
  <c r="CB195" i="12"/>
  <c r="CC195" i="12"/>
  <c r="CD195" i="12"/>
  <c r="CE195" i="12"/>
  <c r="CF195" i="12"/>
  <c r="CG195" i="12"/>
  <c r="CH195" i="12"/>
  <c r="CI195" i="12"/>
  <c r="CJ195" i="12"/>
  <c r="CK195" i="12"/>
  <c r="CL195" i="12"/>
  <c r="CM195" i="12"/>
  <c r="CN195" i="12"/>
  <c r="CO195" i="12"/>
  <c r="CP195" i="12"/>
  <c r="CQ195" i="12"/>
  <c r="CR195" i="12"/>
  <c r="CS195" i="12"/>
  <c r="CT195" i="12"/>
  <c r="CU195" i="12"/>
  <c r="CV195" i="12"/>
  <c r="CW195" i="12"/>
  <c r="CX195" i="12"/>
  <c r="CY195" i="12"/>
  <c r="CZ195" i="12"/>
  <c r="DA195" i="12"/>
  <c r="DB195" i="12"/>
  <c r="DC195" i="12"/>
  <c r="DD195" i="12"/>
  <c r="DE195" i="12"/>
  <c r="DF195" i="12"/>
  <c r="DG195" i="12"/>
  <c r="DH195" i="12"/>
  <c r="DI195" i="12"/>
  <c r="DJ195" i="12"/>
  <c r="DK195" i="12"/>
  <c r="DL195" i="12"/>
  <c r="DM195" i="12"/>
  <c r="DN195" i="12"/>
  <c r="DO195" i="12"/>
  <c r="DP195" i="12"/>
  <c r="DQ195" i="12"/>
  <c r="DR195" i="12"/>
  <c r="DS195" i="12"/>
  <c r="DT195" i="12"/>
  <c r="DU195" i="12"/>
  <c r="DV195" i="12"/>
  <c r="DW195" i="12"/>
  <c r="DX195" i="12"/>
  <c r="DY195" i="12"/>
  <c r="DZ195" i="12"/>
  <c r="EA195" i="12"/>
  <c r="EB195" i="12"/>
  <c r="EC195" i="12"/>
  <c r="ED195" i="12"/>
  <c r="EE195" i="12"/>
  <c r="EF195" i="12"/>
  <c r="EG195" i="12"/>
  <c r="EH195" i="12"/>
  <c r="EI195" i="12"/>
  <c r="EJ195" i="12"/>
  <c r="EK195" i="12"/>
  <c r="EL195" i="12"/>
  <c r="EM195" i="12"/>
  <c r="EN195" i="12"/>
  <c r="EO195" i="12"/>
  <c r="EP195" i="12"/>
  <c r="EQ195" i="12"/>
  <c r="ER195" i="12"/>
  <c r="ES195" i="12"/>
  <c r="ET195" i="12"/>
  <c r="EU195" i="12"/>
  <c r="EV195" i="12"/>
  <c r="EW195" i="12"/>
  <c r="EX195" i="12"/>
  <c r="EY195" i="12"/>
  <c r="EZ195" i="12"/>
  <c r="FA195" i="12"/>
  <c r="FB195" i="12"/>
  <c r="FC195" i="12"/>
  <c r="FD195" i="12"/>
  <c r="FE195" i="12"/>
  <c r="FF195" i="12"/>
  <c r="FG195" i="12"/>
  <c r="FH195" i="12"/>
  <c r="FI195" i="12"/>
  <c r="FJ195" i="12"/>
  <c r="FK195" i="12"/>
  <c r="FL195" i="12"/>
  <c r="FM195" i="12"/>
  <c r="FN195" i="12"/>
  <c r="FO195" i="12"/>
  <c r="FP195" i="12"/>
  <c r="FQ195" i="12"/>
  <c r="FR195" i="12"/>
  <c r="FS195" i="12"/>
  <c r="FT195" i="12"/>
  <c r="FU195" i="12"/>
  <c r="FV195" i="12"/>
  <c r="FW195" i="12"/>
  <c r="FX195" i="12"/>
  <c r="FY195" i="12"/>
  <c r="FZ195" i="12"/>
  <c r="GA195" i="12"/>
  <c r="GB195" i="12"/>
  <c r="GC195" i="12"/>
  <c r="GD195" i="12"/>
  <c r="GE195" i="12"/>
  <c r="GF195" i="12"/>
  <c r="GG195" i="12"/>
  <c r="GH195" i="12"/>
  <c r="GI195" i="12"/>
  <c r="GJ195" i="12"/>
  <c r="GK195" i="12"/>
  <c r="GL195" i="12"/>
  <c r="GM195" i="12"/>
  <c r="GN195" i="12"/>
  <c r="GO195" i="12"/>
  <c r="GP195" i="12"/>
  <c r="GQ195" i="12"/>
  <c r="GR195" i="12"/>
  <c r="GS195" i="12"/>
  <c r="GT195" i="12"/>
  <c r="GU195" i="12"/>
  <c r="GV195" i="12"/>
  <c r="GW195" i="12"/>
  <c r="GX195" i="12"/>
  <c r="GY195" i="12"/>
  <c r="GZ195" i="12"/>
  <c r="HA195" i="12"/>
  <c r="HB195" i="12"/>
  <c r="HC195" i="12"/>
  <c r="HD195" i="12"/>
  <c r="HE195" i="12"/>
  <c r="HF195" i="12"/>
  <c r="HG195" i="12"/>
  <c r="HH195" i="12"/>
  <c r="HI195" i="12"/>
  <c r="HJ195" i="12"/>
  <c r="HK195" i="12"/>
  <c r="HL195" i="12"/>
  <c r="HM195" i="12"/>
  <c r="HN195" i="12"/>
  <c r="HO195" i="12"/>
  <c r="HP195" i="12"/>
  <c r="HQ195" i="12"/>
  <c r="HR195" i="12"/>
  <c r="HS195" i="12"/>
  <c r="HT195" i="12"/>
  <c r="HU195" i="12"/>
  <c r="HV195" i="12"/>
  <c r="HW195" i="12"/>
  <c r="HX195" i="12"/>
  <c r="HY195" i="12"/>
  <c r="HZ195" i="12"/>
  <c r="IA195" i="12"/>
  <c r="IB195" i="12"/>
  <c r="IC195" i="12"/>
  <c r="ID195" i="12"/>
  <c r="IE195" i="12"/>
  <c r="IF195" i="12"/>
  <c r="IG195" i="12"/>
  <c r="IH195" i="12"/>
  <c r="II195" i="12"/>
  <c r="IJ195" i="12"/>
  <c r="IK195" i="12"/>
  <c r="IL195" i="12"/>
  <c r="IM195" i="12"/>
  <c r="IN195" i="12"/>
  <c r="IO195" i="12"/>
  <c r="IP195" i="12"/>
  <c r="IQ195" i="12"/>
  <c r="IR195" i="12"/>
  <c r="IS195" i="12"/>
  <c r="IT195" i="12"/>
  <c r="IU195" i="12"/>
  <c r="IV195" i="12"/>
  <c r="F196" i="12"/>
  <c r="G196" i="12"/>
  <c r="H196" i="12"/>
  <c r="I196" i="12"/>
  <c r="J196" i="12"/>
  <c r="K196" i="12"/>
  <c r="L196" i="12"/>
  <c r="M196" i="12"/>
  <c r="N196" i="12"/>
  <c r="O196" i="12"/>
  <c r="P196" i="12"/>
  <c r="Q196" i="12"/>
  <c r="R196" i="12"/>
  <c r="S196" i="12"/>
  <c r="T196" i="12"/>
  <c r="U196" i="12"/>
  <c r="V196" i="12"/>
  <c r="W196" i="12"/>
  <c r="X196" i="12"/>
  <c r="Y196" i="12"/>
  <c r="Z196" i="12"/>
  <c r="AA196" i="12"/>
  <c r="AB196" i="12"/>
  <c r="AC196" i="12"/>
  <c r="AD196" i="12"/>
  <c r="AE196" i="12"/>
  <c r="AF196" i="12"/>
  <c r="AG196" i="12"/>
  <c r="AH196" i="12"/>
  <c r="AI196" i="12"/>
  <c r="AJ196" i="12"/>
  <c r="AK196" i="12"/>
  <c r="AL196" i="12"/>
  <c r="AM196" i="12"/>
  <c r="AN196" i="12"/>
  <c r="AO196" i="12"/>
  <c r="AP196" i="12"/>
  <c r="AQ196" i="12"/>
  <c r="AR196" i="12"/>
  <c r="AS196" i="12"/>
  <c r="AT196" i="12"/>
  <c r="AU196" i="12"/>
  <c r="AV196" i="12"/>
  <c r="AW196" i="12"/>
  <c r="AX196" i="12"/>
  <c r="AY196" i="12"/>
  <c r="AZ196" i="12"/>
  <c r="BA196" i="12"/>
  <c r="BB196" i="12"/>
  <c r="BC196" i="12"/>
  <c r="BD196" i="12"/>
  <c r="BE196" i="12"/>
  <c r="BF196" i="12"/>
  <c r="BG196" i="12"/>
  <c r="BH196" i="12"/>
  <c r="BI196" i="12"/>
  <c r="BJ196" i="12"/>
  <c r="BK196" i="12"/>
  <c r="BL196" i="12"/>
  <c r="BM196" i="12"/>
  <c r="BN196" i="12"/>
  <c r="BO196" i="12"/>
  <c r="BP196" i="12"/>
  <c r="BQ196" i="12"/>
  <c r="BR196" i="12"/>
  <c r="BS196" i="12"/>
  <c r="BT196" i="12"/>
  <c r="BU196" i="12"/>
  <c r="BV196" i="12"/>
  <c r="BW196" i="12"/>
  <c r="BX196" i="12"/>
  <c r="BY196" i="12"/>
  <c r="BZ196" i="12"/>
  <c r="CA196" i="12"/>
  <c r="CB196" i="12"/>
  <c r="CC196" i="12"/>
  <c r="CD196" i="12"/>
  <c r="CE196" i="12"/>
  <c r="CF196" i="12"/>
  <c r="CG196" i="12"/>
  <c r="CH196" i="12"/>
  <c r="CI196" i="12"/>
  <c r="CJ196" i="12"/>
  <c r="CK196" i="12"/>
  <c r="CL196" i="12"/>
  <c r="CM196" i="12"/>
  <c r="CN196" i="12"/>
  <c r="CO196" i="12"/>
  <c r="CP196" i="12"/>
  <c r="CQ196" i="12"/>
  <c r="CR196" i="12"/>
  <c r="CS196" i="12"/>
  <c r="CT196" i="12"/>
  <c r="CU196" i="12"/>
  <c r="CV196" i="12"/>
  <c r="CW196" i="12"/>
  <c r="CX196" i="12"/>
  <c r="CY196" i="12"/>
  <c r="CZ196" i="12"/>
  <c r="DA196" i="12"/>
  <c r="DB196" i="12"/>
  <c r="DC196" i="12"/>
  <c r="DD196" i="12"/>
  <c r="DE196" i="12"/>
  <c r="DF196" i="12"/>
  <c r="DG196" i="12"/>
  <c r="DH196" i="12"/>
  <c r="DI196" i="12"/>
  <c r="DJ196" i="12"/>
  <c r="DK196" i="12"/>
  <c r="DL196" i="12"/>
  <c r="DM196" i="12"/>
  <c r="DN196" i="12"/>
  <c r="DO196" i="12"/>
  <c r="DP196" i="12"/>
  <c r="DQ196" i="12"/>
  <c r="DR196" i="12"/>
  <c r="DS196" i="12"/>
  <c r="DT196" i="12"/>
  <c r="DU196" i="12"/>
  <c r="DV196" i="12"/>
  <c r="DW196" i="12"/>
  <c r="DX196" i="12"/>
  <c r="DY196" i="12"/>
  <c r="DZ196" i="12"/>
  <c r="EA196" i="12"/>
  <c r="EB196" i="12"/>
  <c r="EC196" i="12"/>
  <c r="ED196" i="12"/>
  <c r="EE196" i="12"/>
  <c r="EF196" i="12"/>
  <c r="EG196" i="12"/>
  <c r="EH196" i="12"/>
  <c r="EI196" i="12"/>
  <c r="EJ196" i="12"/>
  <c r="EK196" i="12"/>
  <c r="EL196" i="12"/>
  <c r="EM196" i="12"/>
  <c r="EN196" i="12"/>
  <c r="EO196" i="12"/>
  <c r="EP196" i="12"/>
  <c r="EQ196" i="12"/>
  <c r="ER196" i="12"/>
  <c r="ES196" i="12"/>
  <c r="ET196" i="12"/>
  <c r="EU196" i="12"/>
  <c r="EV196" i="12"/>
  <c r="EW196" i="12"/>
  <c r="EX196" i="12"/>
  <c r="EY196" i="12"/>
  <c r="EZ196" i="12"/>
  <c r="FA196" i="12"/>
  <c r="FB196" i="12"/>
  <c r="FC196" i="12"/>
  <c r="FD196" i="12"/>
  <c r="FE196" i="12"/>
  <c r="FF196" i="12"/>
  <c r="FG196" i="12"/>
  <c r="FH196" i="12"/>
  <c r="FI196" i="12"/>
  <c r="FJ196" i="12"/>
  <c r="FK196" i="12"/>
  <c r="FL196" i="12"/>
  <c r="FM196" i="12"/>
  <c r="FN196" i="12"/>
  <c r="FO196" i="12"/>
  <c r="FP196" i="12"/>
  <c r="FQ196" i="12"/>
  <c r="FR196" i="12"/>
  <c r="FS196" i="12"/>
  <c r="FT196" i="12"/>
  <c r="FU196" i="12"/>
  <c r="FV196" i="12"/>
  <c r="FW196" i="12"/>
  <c r="FX196" i="12"/>
  <c r="FY196" i="12"/>
  <c r="FZ196" i="12"/>
  <c r="GA196" i="12"/>
  <c r="GB196" i="12"/>
  <c r="GC196" i="12"/>
  <c r="GD196" i="12"/>
  <c r="GE196" i="12"/>
  <c r="GF196" i="12"/>
  <c r="GG196" i="12"/>
  <c r="GH196" i="12"/>
  <c r="GI196" i="12"/>
  <c r="GJ196" i="12"/>
  <c r="GK196" i="12"/>
  <c r="GL196" i="12"/>
  <c r="GM196" i="12"/>
  <c r="GN196" i="12"/>
  <c r="GO196" i="12"/>
  <c r="GP196" i="12"/>
  <c r="GQ196" i="12"/>
  <c r="GR196" i="12"/>
  <c r="GS196" i="12"/>
  <c r="GT196" i="12"/>
  <c r="GU196" i="12"/>
  <c r="GV196" i="12"/>
  <c r="GW196" i="12"/>
  <c r="GX196" i="12"/>
  <c r="GY196" i="12"/>
  <c r="GZ196" i="12"/>
  <c r="HA196" i="12"/>
  <c r="HB196" i="12"/>
  <c r="HC196" i="12"/>
  <c r="HD196" i="12"/>
  <c r="HE196" i="12"/>
  <c r="HF196" i="12"/>
  <c r="HG196" i="12"/>
  <c r="HH196" i="12"/>
  <c r="HI196" i="12"/>
  <c r="HJ196" i="12"/>
  <c r="HK196" i="12"/>
  <c r="HL196" i="12"/>
  <c r="HM196" i="12"/>
  <c r="HN196" i="12"/>
  <c r="HO196" i="12"/>
  <c r="HP196" i="12"/>
  <c r="HQ196" i="12"/>
  <c r="HR196" i="12"/>
  <c r="HS196" i="12"/>
  <c r="HT196" i="12"/>
  <c r="HU196" i="12"/>
  <c r="HV196" i="12"/>
  <c r="HW196" i="12"/>
  <c r="HX196" i="12"/>
  <c r="HY196" i="12"/>
  <c r="HZ196" i="12"/>
  <c r="IA196" i="12"/>
  <c r="IB196" i="12"/>
  <c r="IC196" i="12"/>
  <c r="ID196" i="12"/>
  <c r="IE196" i="12"/>
  <c r="IF196" i="12"/>
  <c r="IG196" i="12"/>
  <c r="IH196" i="12"/>
  <c r="II196" i="12"/>
  <c r="IJ196" i="12"/>
  <c r="IK196" i="12"/>
  <c r="IL196" i="12"/>
  <c r="IM196" i="12"/>
  <c r="IN196" i="12"/>
  <c r="IO196" i="12"/>
  <c r="IP196" i="12"/>
  <c r="IQ196" i="12"/>
  <c r="IR196" i="12"/>
  <c r="IS196" i="12"/>
  <c r="IT196" i="12"/>
  <c r="IU196" i="12"/>
  <c r="IV196" i="12"/>
  <c r="F197" i="12"/>
  <c r="G197" i="12"/>
  <c r="H197" i="12"/>
  <c r="I197" i="12"/>
  <c r="J197" i="12"/>
  <c r="K197" i="12"/>
  <c r="L197" i="12"/>
  <c r="M197" i="12"/>
  <c r="N197" i="12"/>
  <c r="O197" i="12"/>
  <c r="P197" i="12"/>
  <c r="Q197" i="12"/>
  <c r="R197" i="12"/>
  <c r="S197" i="12"/>
  <c r="T197" i="12"/>
  <c r="U197" i="12"/>
  <c r="V197" i="12"/>
  <c r="W197" i="12"/>
  <c r="X197" i="12"/>
  <c r="Y197" i="12"/>
  <c r="Z197" i="12"/>
  <c r="AA197" i="12"/>
  <c r="AB197" i="12"/>
  <c r="AC197" i="12"/>
  <c r="AD197" i="12"/>
  <c r="AE197" i="12"/>
  <c r="AF197" i="12"/>
  <c r="AG197" i="12"/>
  <c r="AH197" i="12"/>
  <c r="AI197" i="12"/>
  <c r="AJ197" i="12"/>
  <c r="AK197" i="12"/>
  <c r="AL197" i="12"/>
  <c r="AM197" i="12"/>
  <c r="AN197" i="12"/>
  <c r="AO197" i="12"/>
  <c r="AP197" i="12"/>
  <c r="AQ197" i="12"/>
  <c r="AR197" i="12"/>
  <c r="AS197" i="12"/>
  <c r="AT197" i="12"/>
  <c r="AU197" i="12"/>
  <c r="AV197" i="12"/>
  <c r="AW197" i="12"/>
  <c r="AX197" i="12"/>
  <c r="AY197" i="12"/>
  <c r="AZ197" i="12"/>
  <c r="BA197" i="12"/>
  <c r="BB197" i="12"/>
  <c r="BC197" i="12"/>
  <c r="BD197" i="12"/>
  <c r="BE197" i="12"/>
  <c r="BF197" i="12"/>
  <c r="BG197" i="12"/>
  <c r="BH197" i="12"/>
  <c r="BI197" i="12"/>
  <c r="BJ197" i="12"/>
  <c r="BK197" i="12"/>
  <c r="BL197" i="12"/>
  <c r="BM197" i="12"/>
  <c r="BN197" i="12"/>
  <c r="BO197" i="12"/>
  <c r="BP197" i="12"/>
  <c r="BQ197" i="12"/>
  <c r="BR197" i="12"/>
  <c r="BS197" i="12"/>
  <c r="BT197" i="12"/>
  <c r="BU197" i="12"/>
  <c r="BV197" i="12"/>
  <c r="BW197" i="12"/>
  <c r="BX197" i="12"/>
  <c r="BY197" i="12"/>
  <c r="BZ197" i="12"/>
  <c r="CA197" i="12"/>
  <c r="CB197" i="12"/>
  <c r="CC197" i="12"/>
  <c r="CD197" i="12"/>
  <c r="CE197" i="12"/>
  <c r="CF197" i="12"/>
  <c r="CG197" i="12"/>
  <c r="CH197" i="12"/>
  <c r="CI197" i="12"/>
  <c r="CJ197" i="12"/>
  <c r="CK197" i="12"/>
  <c r="CL197" i="12"/>
  <c r="CM197" i="12"/>
  <c r="CN197" i="12"/>
  <c r="CO197" i="12"/>
  <c r="CP197" i="12"/>
  <c r="CQ197" i="12"/>
  <c r="CR197" i="12"/>
  <c r="CS197" i="12"/>
  <c r="CT197" i="12"/>
  <c r="CU197" i="12"/>
  <c r="CV197" i="12"/>
  <c r="CW197" i="12"/>
  <c r="CX197" i="12"/>
  <c r="CY197" i="12"/>
  <c r="CZ197" i="12"/>
  <c r="DA197" i="12"/>
  <c r="DB197" i="12"/>
  <c r="DC197" i="12"/>
  <c r="DD197" i="12"/>
  <c r="DE197" i="12"/>
  <c r="DF197" i="12"/>
  <c r="DG197" i="12"/>
  <c r="DH197" i="12"/>
  <c r="DI197" i="12"/>
  <c r="DJ197" i="12"/>
  <c r="DK197" i="12"/>
  <c r="DL197" i="12"/>
  <c r="DM197" i="12"/>
  <c r="DN197" i="12"/>
  <c r="DO197" i="12"/>
  <c r="DP197" i="12"/>
  <c r="DQ197" i="12"/>
  <c r="DR197" i="12"/>
  <c r="DS197" i="12"/>
  <c r="DT197" i="12"/>
  <c r="DU197" i="12"/>
  <c r="DV197" i="12"/>
  <c r="DW197" i="12"/>
  <c r="DX197" i="12"/>
  <c r="DY197" i="12"/>
  <c r="DZ197" i="12"/>
  <c r="EA197" i="12"/>
  <c r="EB197" i="12"/>
  <c r="EC197" i="12"/>
  <c r="ED197" i="12"/>
  <c r="EE197" i="12"/>
  <c r="EF197" i="12"/>
  <c r="EG197" i="12"/>
  <c r="EH197" i="12"/>
  <c r="EI197" i="12"/>
  <c r="EJ197" i="12"/>
  <c r="EK197" i="12"/>
  <c r="EL197" i="12"/>
  <c r="EM197" i="12"/>
  <c r="EN197" i="12"/>
  <c r="EO197" i="12"/>
  <c r="EP197" i="12"/>
  <c r="EQ197" i="12"/>
  <c r="ER197" i="12"/>
  <c r="ES197" i="12"/>
  <c r="ET197" i="12"/>
  <c r="EU197" i="12"/>
  <c r="EV197" i="12"/>
  <c r="EW197" i="12"/>
  <c r="EX197" i="12"/>
  <c r="EY197" i="12"/>
  <c r="EZ197" i="12"/>
  <c r="FA197" i="12"/>
  <c r="FB197" i="12"/>
  <c r="FC197" i="12"/>
  <c r="FD197" i="12"/>
  <c r="FE197" i="12"/>
  <c r="FF197" i="12"/>
  <c r="FG197" i="12"/>
  <c r="FH197" i="12"/>
  <c r="FI197" i="12"/>
  <c r="FJ197" i="12"/>
  <c r="FK197" i="12"/>
  <c r="FL197" i="12"/>
  <c r="FM197" i="12"/>
  <c r="FN197" i="12"/>
  <c r="FO197" i="12"/>
  <c r="FP197" i="12"/>
  <c r="FQ197" i="12"/>
  <c r="FR197" i="12"/>
  <c r="FS197" i="12"/>
  <c r="FT197" i="12"/>
  <c r="FU197" i="12"/>
  <c r="FV197" i="12"/>
  <c r="FW197" i="12"/>
  <c r="FX197" i="12"/>
  <c r="FY197" i="12"/>
  <c r="FZ197" i="12"/>
  <c r="GA197" i="12"/>
  <c r="GB197" i="12"/>
  <c r="GC197" i="12"/>
  <c r="GD197" i="12"/>
  <c r="GE197" i="12"/>
  <c r="GF197" i="12"/>
  <c r="GG197" i="12"/>
  <c r="GH197" i="12"/>
  <c r="GI197" i="12"/>
  <c r="GJ197" i="12"/>
  <c r="GK197" i="12"/>
  <c r="GL197" i="12"/>
  <c r="GM197" i="12"/>
  <c r="GN197" i="12"/>
  <c r="GO197" i="12"/>
  <c r="GP197" i="12"/>
  <c r="GQ197" i="12"/>
  <c r="GR197" i="12"/>
  <c r="GS197" i="12"/>
  <c r="GT197" i="12"/>
  <c r="GU197" i="12"/>
  <c r="GV197" i="12"/>
  <c r="GW197" i="12"/>
  <c r="GX197" i="12"/>
  <c r="GY197" i="12"/>
  <c r="GZ197" i="12"/>
  <c r="HA197" i="12"/>
  <c r="HB197" i="12"/>
  <c r="HC197" i="12"/>
  <c r="HD197" i="12"/>
  <c r="HE197" i="12"/>
  <c r="HF197" i="12"/>
  <c r="HG197" i="12"/>
  <c r="HH197" i="12"/>
  <c r="HI197" i="12"/>
  <c r="HJ197" i="12"/>
  <c r="HK197" i="12"/>
  <c r="HL197" i="12"/>
  <c r="HM197" i="12"/>
  <c r="HN197" i="12"/>
  <c r="HO197" i="12"/>
  <c r="HP197" i="12"/>
  <c r="HQ197" i="12"/>
  <c r="HR197" i="12"/>
  <c r="HS197" i="12"/>
  <c r="HT197" i="12"/>
  <c r="HU197" i="12"/>
  <c r="HV197" i="12"/>
  <c r="HW197" i="12"/>
  <c r="HX197" i="12"/>
  <c r="HY197" i="12"/>
  <c r="HZ197" i="12"/>
  <c r="IA197" i="12"/>
  <c r="IB197" i="12"/>
  <c r="IC197" i="12"/>
  <c r="ID197" i="12"/>
  <c r="IE197" i="12"/>
  <c r="IF197" i="12"/>
  <c r="IG197" i="12"/>
  <c r="IH197" i="12"/>
  <c r="II197" i="12"/>
  <c r="IJ197" i="12"/>
  <c r="IK197" i="12"/>
  <c r="IL197" i="12"/>
  <c r="IM197" i="12"/>
  <c r="IN197" i="12"/>
  <c r="IO197" i="12"/>
  <c r="IP197" i="12"/>
  <c r="IQ197" i="12"/>
  <c r="IR197" i="12"/>
  <c r="IS197" i="12"/>
  <c r="IT197" i="12"/>
  <c r="IU197" i="12"/>
  <c r="IV197" i="12"/>
  <c r="F198" i="12"/>
  <c r="G198" i="12"/>
  <c r="H198" i="12"/>
  <c r="I198" i="12"/>
  <c r="J198" i="12"/>
  <c r="K198" i="12"/>
  <c r="L198" i="12"/>
  <c r="M198" i="12"/>
  <c r="N198" i="12"/>
  <c r="O198" i="12"/>
  <c r="P198" i="12"/>
  <c r="Q198" i="12"/>
  <c r="R198" i="12"/>
  <c r="S198" i="12"/>
  <c r="T198" i="12"/>
  <c r="U198" i="12"/>
  <c r="V198" i="12"/>
  <c r="W198" i="12"/>
  <c r="X198" i="12"/>
  <c r="Y198" i="12"/>
  <c r="Z198" i="12"/>
  <c r="AA198" i="12"/>
  <c r="AB198" i="12"/>
  <c r="AC198" i="12"/>
  <c r="AD198" i="12"/>
  <c r="AE198" i="12"/>
  <c r="AF198" i="12"/>
  <c r="AG198" i="12"/>
  <c r="AH198" i="12"/>
  <c r="AI198" i="12"/>
  <c r="AJ198" i="12"/>
  <c r="AK198" i="12"/>
  <c r="AL198" i="12"/>
  <c r="AM198" i="12"/>
  <c r="AN198" i="12"/>
  <c r="AO198" i="12"/>
  <c r="AP198" i="12"/>
  <c r="AQ198" i="12"/>
  <c r="AR198" i="12"/>
  <c r="AS198" i="12"/>
  <c r="AT198" i="12"/>
  <c r="AU198" i="12"/>
  <c r="AV198" i="12"/>
  <c r="AW198" i="12"/>
  <c r="AX198" i="12"/>
  <c r="AY198" i="12"/>
  <c r="AZ198" i="12"/>
  <c r="BA198" i="12"/>
  <c r="BB198" i="12"/>
  <c r="BC198" i="12"/>
  <c r="BD198" i="12"/>
  <c r="BE198" i="12"/>
  <c r="BF198" i="12"/>
  <c r="BG198" i="12"/>
  <c r="BH198" i="12"/>
  <c r="BI198" i="12"/>
  <c r="BJ198" i="12"/>
  <c r="BK198" i="12"/>
  <c r="BL198" i="12"/>
  <c r="BM198" i="12"/>
  <c r="BN198" i="12"/>
  <c r="BO198" i="12"/>
  <c r="BP198" i="12"/>
  <c r="BQ198" i="12"/>
  <c r="BR198" i="12"/>
  <c r="BS198" i="12"/>
  <c r="BT198" i="12"/>
  <c r="BU198" i="12"/>
  <c r="BV198" i="12"/>
  <c r="BW198" i="12"/>
  <c r="BX198" i="12"/>
  <c r="BY198" i="12"/>
  <c r="BZ198" i="12"/>
  <c r="CA198" i="12"/>
  <c r="CB198" i="12"/>
  <c r="CC198" i="12"/>
  <c r="CD198" i="12"/>
  <c r="CE198" i="12"/>
  <c r="CF198" i="12"/>
  <c r="CG198" i="12"/>
  <c r="CH198" i="12"/>
  <c r="CI198" i="12"/>
  <c r="CJ198" i="12"/>
  <c r="CK198" i="12"/>
  <c r="CL198" i="12"/>
  <c r="CM198" i="12"/>
  <c r="CN198" i="12"/>
  <c r="CO198" i="12"/>
  <c r="CP198" i="12"/>
  <c r="CQ198" i="12"/>
  <c r="CR198" i="12"/>
  <c r="CS198" i="12"/>
  <c r="CT198" i="12"/>
  <c r="CU198" i="12"/>
  <c r="CV198" i="12"/>
  <c r="CW198" i="12"/>
  <c r="CX198" i="12"/>
  <c r="CY198" i="12"/>
  <c r="CZ198" i="12"/>
  <c r="DA198" i="12"/>
  <c r="DB198" i="12"/>
  <c r="DC198" i="12"/>
  <c r="DD198" i="12"/>
  <c r="DE198" i="12"/>
  <c r="DF198" i="12"/>
  <c r="DG198" i="12"/>
  <c r="DH198" i="12"/>
  <c r="DI198" i="12"/>
  <c r="DJ198" i="12"/>
  <c r="DK198" i="12"/>
  <c r="DL198" i="12"/>
  <c r="DM198" i="12"/>
  <c r="DN198" i="12"/>
  <c r="DO198" i="12"/>
  <c r="DP198" i="12"/>
  <c r="DQ198" i="12"/>
  <c r="DR198" i="12"/>
  <c r="DS198" i="12"/>
  <c r="DT198" i="12"/>
  <c r="DU198" i="12"/>
  <c r="DV198" i="12"/>
  <c r="DW198" i="12"/>
  <c r="DX198" i="12"/>
  <c r="DY198" i="12"/>
  <c r="DZ198" i="12"/>
  <c r="EA198" i="12"/>
  <c r="EB198" i="12"/>
  <c r="EC198" i="12"/>
  <c r="ED198" i="12"/>
  <c r="EE198" i="12"/>
  <c r="EF198" i="12"/>
  <c r="EG198" i="12"/>
  <c r="EH198" i="12"/>
  <c r="EI198" i="12"/>
  <c r="EJ198" i="12"/>
  <c r="EK198" i="12"/>
  <c r="EL198" i="12"/>
  <c r="EM198" i="12"/>
  <c r="EN198" i="12"/>
  <c r="EO198" i="12"/>
  <c r="EP198" i="12"/>
  <c r="EQ198" i="12"/>
  <c r="ER198" i="12"/>
  <c r="ES198" i="12"/>
  <c r="ET198" i="12"/>
  <c r="EU198" i="12"/>
  <c r="EV198" i="12"/>
  <c r="EW198" i="12"/>
  <c r="EX198" i="12"/>
  <c r="EY198" i="12"/>
  <c r="EZ198" i="12"/>
  <c r="FA198" i="12"/>
  <c r="FB198" i="12"/>
  <c r="FC198" i="12"/>
  <c r="FD198" i="12"/>
  <c r="FE198" i="12"/>
  <c r="FF198" i="12"/>
  <c r="FG198" i="12"/>
  <c r="FH198" i="12"/>
  <c r="FI198" i="12"/>
  <c r="FJ198" i="12"/>
  <c r="FK198" i="12"/>
  <c r="FL198" i="12"/>
  <c r="FM198" i="12"/>
  <c r="FN198" i="12"/>
  <c r="FO198" i="12"/>
  <c r="FP198" i="12"/>
  <c r="FQ198" i="12"/>
  <c r="FR198" i="12"/>
  <c r="FS198" i="12"/>
  <c r="FT198" i="12"/>
  <c r="FU198" i="12"/>
  <c r="FV198" i="12"/>
  <c r="FW198" i="12"/>
  <c r="FX198" i="12"/>
  <c r="FY198" i="12"/>
  <c r="FZ198" i="12"/>
  <c r="GA198" i="12"/>
  <c r="GB198" i="12"/>
  <c r="GC198" i="12"/>
  <c r="GD198" i="12"/>
  <c r="GE198" i="12"/>
  <c r="GF198" i="12"/>
  <c r="GG198" i="12"/>
  <c r="GH198" i="12"/>
  <c r="GI198" i="12"/>
  <c r="GJ198" i="12"/>
  <c r="GK198" i="12"/>
  <c r="GL198" i="12"/>
  <c r="GM198" i="12"/>
  <c r="GN198" i="12"/>
  <c r="GO198" i="12"/>
  <c r="GP198" i="12"/>
  <c r="GQ198" i="12"/>
  <c r="GR198" i="12"/>
  <c r="GS198" i="12"/>
  <c r="GT198" i="12"/>
  <c r="GU198" i="12"/>
  <c r="GV198" i="12"/>
  <c r="GW198" i="12"/>
  <c r="GX198" i="12"/>
  <c r="GY198" i="12"/>
  <c r="GZ198" i="12"/>
  <c r="HA198" i="12"/>
  <c r="HB198" i="12"/>
  <c r="HC198" i="12"/>
  <c r="HD198" i="12"/>
  <c r="HE198" i="12"/>
  <c r="HF198" i="12"/>
  <c r="HG198" i="12"/>
  <c r="HH198" i="12"/>
  <c r="HI198" i="12"/>
  <c r="HJ198" i="12"/>
  <c r="HK198" i="12"/>
  <c r="HL198" i="12"/>
  <c r="HM198" i="12"/>
  <c r="HN198" i="12"/>
  <c r="HO198" i="12"/>
  <c r="HP198" i="12"/>
  <c r="HQ198" i="12"/>
  <c r="HR198" i="12"/>
  <c r="HS198" i="12"/>
  <c r="HT198" i="12"/>
  <c r="HU198" i="12"/>
  <c r="HV198" i="12"/>
  <c r="HW198" i="12"/>
  <c r="HX198" i="12"/>
  <c r="HY198" i="12"/>
  <c r="HZ198" i="12"/>
  <c r="IA198" i="12"/>
  <c r="IB198" i="12"/>
  <c r="IC198" i="12"/>
  <c r="ID198" i="12"/>
  <c r="IE198" i="12"/>
  <c r="IF198" i="12"/>
  <c r="IG198" i="12"/>
  <c r="IH198" i="12"/>
  <c r="II198" i="12"/>
  <c r="IJ198" i="12"/>
  <c r="IK198" i="12"/>
  <c r="IL198" i="12"/>
  <c r="IM198" i="12"/>
  <c r="IN198" i="12"/>
  <c r="IO198" i="12"/>
  <c r="IP198" i="12"/>
  <c r="IQ198" i="12"/>
  <c r="IR198" i="12"/>
  <c r="IS198" i="12"/>
  <c r="IT198" i="12"/>
  <c r="IU198" i="12"/>
  <c r="IV198" i="12"/>
  <c r="F199" i="12"/>
  <c r="G199" i="12"/>
  <c r="H199" i="12"/>
  <c r="I199" i="12"/>
  <c r="J199" i="12"/>
  <c r="K199" i="12"/>
  <c r="L199" i="12"/>
  <c r="M199" i="12"/>
  <c r="N199" i="12"/>
  <c r="O199" i="12"/>
  <c r="P199" i="12"/>
  <c r="Q199" i="12"/>
  <c r="R199" i="12"/>
  <c r="S199" i="12"/>
  <c r="T199" i="12"/>
  <c r="U199" i="12"/>
  <c r="V199" i="12"/>
  <c r="W199" i="12"/>
  <c r="X199" i="12"/>
  <c r="Y199" i="12"/>
  <c r="Z199" i="12"/>
  <c r="AA199" i="12"/>
  <c r="AB199" i="12"/>
  <c r="AC199" i="12"/>
  <c r="AD199" i="12"/>
  <c r="AE199" i="12"/>
  <c r="AF199" i="12"/>
  <c r="AG199" i="12"/>
  <c r="AH199" i="12"/>
  <c r="AI199" i="12"/>
  <c r="AJ199" i="12"/>
  <c r="AK199" i="12"/>
  <c r="AL199" i="12"/>
  <c r="AM199" i="12"/>
  <c r="AN199" i="12"/>
  <c r="AO199" i="12"/>
  <c r="AP199" i="12"/>
  <c r="AQ199" i="12"/>
  <c r="AR199" i="12"/>
  <c r="AS199" i="12"/>
  <c r="AT199" i="12"/>
  <c r="AU199" i="12"/>
  <c r="AV199" i="12"/>
  <c r="AW199" i="12"/>
  <c r="AX199" i="12"/>
  <c r="AY199" i="12"/>
  <c r="AZ199" i="12"/>
  <c r="BA199" i="12"/>
  <c r="BB199" i="12"/>
  <c r="BC199" i="12"/>
  <c r="BD199" i="12"/>
  <c r="BE199" i="12"/>
  <c r="BF199" i="12"/>
  <c r="BG199" i="12"/>
  <c r="BH199" i="12"/>
  <c r="BI199" i="12"/>
  <c r="BJ199" i="12"/>
  <c r="BK199" i="12"/>
  <c r="BL199" i="12"/>
  <c r="BM199" i="12"/>
  <c r="BN199" i="12"/>
  <c r="BO199" i="12"/>
  <c r="BP199" i="12"/>
  <c r="BQ199" i="12"/>
  <c r="BR199" i="12"/>
  <c r="BS199" i="12"/>
  <c r="BT199" i="12"/>
  <c r="BU199" i="12"/>
  <c r="BV199" i="12"/>
  <c r="BW199" i="12"/>
  <c r="BX199" i="12"/>
  <c r="BY199" i="12"/>
  <c r="BZ199" i="12"/>
  <c r="CA199" i="12"/>
  <c r="CB199" i="12"/>
  <c r="CC199" i="12"/>
  <c r="CD199" i="12"/>
  <c r="CE199" i="12"/>
  <c r="CF199" i="12"/>
  <c r="CG199" i="12"/>
  <c r="CH199" i="12"/>
  <c r="CI199" i="12"/>
  <c r="CJ199" i="12"/>
  <c r="CK199" i="12"/>
  <c r="CL199" i="12"/>
  <c r="CM199" i="12"/>
  <c r="CN199" i="12"/>
  <c r="CO199" i="12"/>
  <c r="CP199" i="12"/>
  <c r="CQ199" i="12"/>
  <c r="CR199" i="12"/>
  <c r="CS199" i="12"/>
  <c r="CT199" i="12"/>
  <c r="CU199" i="12"/>
  <c r="CV199" i="12"/>
  <c r="CW199" i="12"/>
  <c r="CX199" i="12"/>
  <c r="CY199" i="12"/>
  <c r="CZ199" i="12"/>
  <c r="DA199" i="12"/>
  <c r="DB199" i="12"/>
  <c r="DC199" i="12"/>
  <c r="DD199" i="12"/>
  <c r="DE199" i="12"/>
  <c r="DF199" i="12"/>
  <c r="DG199" i="12"/>
  <c r="DH199" i="12"/>
  <c r="DI199" i="12"/>
  <c r="DJ199" i="12"/>
  <c r="DK199" i="12"/>
  <c r="DL199" i="12"/>
  <c r="DM199" i="12"/>
  <c r="DN199" i="12"/>
  <c r="DO199" i="12"/>
  <c r="DP199" i="12"/>
  <c r="DQ199" i="12"/>
  <c r="DR199" i="12"/>
  <c r="DS199" i="12"/>
  <c r="DT199" i="12"/>
  <c r="DU199" i="12"/>
  <c r="DV199" i="12"/>
  <c r="DW199" i="12"/>
  <c r="DX199" i="12"/>
  <c r="DY199" i="12"/>
  <c r="DZ199" i="12"/>
  <c r="EA199" i="12"/>
  <c r="EB199" i="12"/>
  <c r="EC199" i="12"/>
  <c r="ED199" i="12"/>
  <c r="EE199" i="12"/>
  <c r="EF199" i="12"/>
  <c r="EG199" i="12"/>
  <c r="EH199" i="12"/>
  <c r="EI199" i="12"/>
  <c r="EJ199" i="12"/>
  <c r="EK199" i="12"/>
  <c r="EL199" i="12"/>
  <c r="EM199" i="12"/>
  <c r="EN199" i="12"/>
  <c r="EO199" i="12"/>
  <c r="EP199" i="12"/>
  <c r="EQ199" i="12"/>
  <c r="ER199" i="12"/>
  <c r="ES199" i="12"/>
  <c r="ET199" i="12"/>
  <c r="EU199" i="12"/>
  <c r="EV199" i="12"/>
  <c r="EW199" i="12"/>
  <c r="EX199" i="12"/>
  <c r="EY199" i="12"/>
  <c r="EZ199" i="12"/>
  <c r="FA199" i="12"/>
  <c r="FB199" i="12"/>
  <c r="FC199" i="12"/>
  <c r="FD199" i="12"/>
  <c r="FE199" i="12"/>
  <c r="FF199" i="12"/>
  <c r="FG199" i="12"/>
  <c r="FH199" i="12"/>
  <c r="FI199" i="12"/>
  <c r="FJ199" i="12"/>
  <c r="FK199" i="12"/>
  <c r="FL199" i="12"/>
  <c r="FM199" i="12"/>
  <c r="FN199" i="12"/>
  <c r="FO199" i="12"/>
  <c r="FP199" i="12"/>
  <c r="FQ199" i="12"/>
  <c r="FR199" i="12"/>
  <c r="FS199" i="12"/>
  <c r="FT199" i="12"/>
  <c r="FU199" i="12"/>
  <c r="FV199" i="12"/>
  <c r="FW199" i="12"/>
  <c r="FX199" i="12"/>
  <c r="FY199" i="12"/>
  <c r="FZ199" i="12"/>
  <c r="GA199" i="12"/>
  <c r="GB199" i="12"/>
  <c r="GC199" i="12"/>
  <c r="GD199" i="12"/>
  <c r="GE199" i="12"/>
  <c r="GF199" i="12"/>
  <c r="GG199" i="12"/>
  <c r="GH199" i="12"/>
  <c r="GI199" i="12"/>
  <c r="GJ199" i="12"/>
  <c r="GK199" i="12"/>
  <c r="GL199" i="12"/>
  <c r="GM199" i="12"/>
  <c r="GN199" i="12"/>
  <c r="GO199" i="12"/>
  <c r="GP199" i="12"/>
  <c r="GQ199" i="12"/>
  <c r="GR199" i="12"/>
  <c r="GS199" i="12"/>
  <c r="GT199" i="12"/>
  <c r="GU199" i="12"/>
  <c r="GV199" i="12"/>
  <c r="GW199" i="12"/>
  <c r="GX199" i="12"/>
  <c r="GY199" i="12"/>
  <c r="GZ199" i="12"/>
  <c r="HA199" i="12"/>
  <c r="HB199" i="12"/>
  <c r="HC199" i="12"/>
  <c r="HD199" i="12"/>
  <c r="HE199" i="12"/>
  <c r="HF199" i="12"/>
  <c r="HG199" i="12"/>
  <c r="HH199" i="12"/>
  <c r="HI199" i="12"/>
  <c r="HJ199" i="12"/>
  <c r="HK199" i="12"/>
  <c r="HL199" i="12"/>
  <c r="HM199" i="12"/>
  <c r="HN199" i="12"/>
  <c r="HO199" i="12"/>
  <c r="HP199" i="12"/>
  <c r="HQ199" i="12"/>
  <c r="HR199" i="12"/>
  <c r="HS199" i="12"/>
  <c r="HT199" i="12"/>
  <c r="HU199" i="12"/>
  <c r="HV199" i="12"/>
  <c r="HW199" i="12"/>
  <c r="HX199" i="12"/>
  <c r="HY199" i="12"/>
  <c r="HZ199" i="12"/>
  <c r="IA199" i="12"/>
  <c r="IB199" i="12"/>
  <c r="IC199" i="12"/>
  <c r="ID199" i="12"/>
  <c r="IE199" i="12"/>
  <c r="IF199" i="12"/>
  <c r="IG199" i="12"/>
  <c r="IH199" i="12"/>
  <c r="II199" i="12"/>
  <c r="IJ199" i="12"/>
  <c r="IK199" i="12"/>
  <c r="IL199" i="12"/>
  <c r="IM199" i="12"/>
  <c r="IN199" i="12"/>
  <c r="IO199" i="12"/>
  <c r="IP199" i="12"/>
  <c r="IQ199" i="12"/>
  <c r="IR199" i="12"/>
  <c r="IS199" i="12"/>
  <c r="IT199" i="12"/>
  <c r="IU199" i="12"/>
  <c r="IV199" i="12"/>
  <c r="F200" i="12"/>
  <c r="G200" i="12"/>
  <c r="H200" i="12"/>
  <c r="I200" i="12"/>
  <c r="J200" i="12"/>
  <c r="K200" i="12"/>
  <c r="L200" i="12"/>
  <c r="M200" i="12"/>
  <c r="N200" i="12"/>
  <c r="O200" i="12"/>
  <c r="P200" i="12"/>
  <c r="Q200" i="12"/>
  <c r="R200" i="12"/>
  <c r="S200" i="12"/>
  <c r="T200" i="12"/>
  <c r="U200" i="12"/>
  <c r="V200" i="12"/>
  <c r="W200" i="12"/>
  <c r="X200" i="12"/>
  <c r="Y200" i="12"/>
  <c r="Z200" i="12"/>
  <c r="AA200" i="12"/>
  <c r="AB200" i="12"/>
  <c r="AC200" i="12"/>
  <c r="AD200" i="12"/>
  <c r="AE200" i="12"/>
  <c r="AF200" i="12"/>
  <c r="AG200" i="12"/>
  <c r="AH200" i="12"/>
  <c r="AI200" i="12"/>
  <c r="AJ200" i="12"/>
  <c r="AK200" i="12"/>
  <c r="AL200" i="12"/>
  <c r="AM200" i="12"/>
  <c r="AN200" i="12"/>
  <c r="AO200" i="12"/>
  <c r="AP200" i="12"/>
  <c r="AQ200" i="12"/>
  <c r="AR200" i="12"/>
  <c r="AS200" i="12"/>
  <c r="AT200" i="12"/>
  <c r="AU200" i="12"/>
  <c r="AV200" i="12"/>
  <c r="AW200" i="12"/>
  <c r="AX200" i="12"/>
  <c r="AY200" i="12"/>
  <c r="AZ200" i="12"/>
  <c r="BA200" i="12"/>
  <c r="BB200" i="12"/>
  <c r="BC200" i="12"/>
  <c r="BD200" i="12"/>
  <c r="BE200" i="12"/>
  <c r="BF200" i="12"/>
  <c r="BG200" i="12"/>
  <c r="BH200" i="12"/>
  <c r="BI200" i="12"/>
  <c r="BJ200" i="12"/>
  <c r="BK200" i="12"/>
  <c r="BL200" i="12"/>
  <c r="BM200" i="12"/>
  <c r="BN200" i="12"/>
  <c r="BO200" i="12"/>
  <c r="BP200" i="12"/>
  <c r="BQ200" i="12"/>
  <c r="BR200" i="12"/>
  <c r="BS200" i="12"/>
  <c r="BT200" i="12"/>
  <c r="BU200" i="12"/>
  <c r="BV200" i="12"/>
  <c r="BW200" i="12"/>
  <c r="BX200" i="12"/>
  <c r="BY200" i="12"/>
  <c r="BZ200" i="12"/>
  <c r="CA200" i="12"/>
  <c r="CB200" i="12"/>
  <c r="CC200" i="12"/>
  <c r="CD200" i="12"/>
  <c r="CE200" i="12"/>
  <c r="CF200" i="12"/>
  <c r="CG200" i="12"/>
  <c r="CH200" i="12"/>
  <c r="CI200" i="12"/>
  <c r="CJ200" i="12"/>
  <c r="CK200" i="12"/>
  <c r="CL200" i="12"/>
  <c r="CM200" i="12"/>
  <c r="CN200" i="12"/>
  <c r="CO200" i="12"/>
  <c r="CP200" i="12"/>
  <c r="CQ200" i="12"/>
  <c r="CR200" i="12"/>
  <c r="CS200" i="12"/>
  <c r="CT200" i="12"/>
  <c r="CU200" i="12"/>
  <c r="CV200" i="12"/>
  <c r="CW200" i="12"/>
  <c r="CX200" i="12"/>
  <c r="CY200" i="12"/>
  <c r="CZ200" i="12"/>
  <c r="DA200" i="12"/>
  <c r="DB200" i="12"/>
  <c r="DC200" i="12"/>
  <c r="DD200" i="12"/>
  <c r="DE200" i="12"/>
  <c r="DF200" i="12"/>
  <c r="DG200" i="12"/>
  <c r="DH200" i="12"/>
  <c r="DI200" i="12"/>
  <c r="DJ200" i="12"/>
  <c r="DK200" i="12"/>
  <c r="DL200" i="12"/>
  <c r="DM200" i="12"/>
  <c r="DN200" i="12"/>
  <c r="DO200" i="12"/>
  <c r="DP200" i="12"/>
  <c r="DQ200" i="12"/>
  <c r="DR200" i="12"/>
  <c r="DS200" i="12"/>
  <c r="DT200" i="12"/>
  <c r="DU200" i="12"/>
  <c r="DV200" i="12"/>
  <c r="DW200" i="12"/>
  <c r="DX200" i="12"/>
  <c r="DY200" i="12"/>
  <c r="DZ200" i="12"/>
  <c r="EA200" i="12"/>
  <c r="EB200" i="12"/>
  <c r="EC200" i="12"/>
  <c r="ED200" i="12"/>
  <c r="EE200" i="12"/>
  <c r="EF200" i="12"/>
  <c r="EG200" i="12"/>
  <c r="EH200" i="12"/>
  <c r="EI200" i="12"/>
  <c r="EJ200" i="12"/>
  <c r="EK200" i="12"/>
  <c r="EL200" i="12"/>
  <c r="EM200" i="12"/>
  <c r="EN200" i="12"/>
  <c r="EO200" i="12"/>
  <c r="EP200" i="12"/>
  <c r="EQ200" i="12"/>
  <c r="ER200" i="12"/>
  <c r="ES200" i="12"/>
  <c r="ET200" i="12"/>
  <c r="EU200" i="12"/>
  <c r="EV200" i="12"/>
  <c r="EW200" i="12"/>
  <c r="EX200" i="12"/>
  <c r="EY200" i="12"/>
  <c r="EZ200" i="12"/>
  <c r="FA200" i="12"/>
  <c r="FB200" i="12"/>
  <c r="FC200" i="12"/>
  <c r="FD200" i="12"/>
  <c r="FE200" i="12"/>
  <c r="FF200" i="12"/>
  <c r="FG200" i="12"/>
  <c r="FH200" i="12"/>
  <c r="FI200" i="12"/>
  <c r="FJ200" i="12"/>
  <c r="FK200" i="12"/>
  <c r="FL200" i="12"/>
  <c r="FM200" i="12"/>
  <c r="FN200" i="12"/>
  <c r="FO200" i="12"/>
  <c r="FP200" i="12"/>
  <c r="FQ200" i="12"/>
  <c r="FR200" i="12"/>
  <c r="FS200" i="12"/>
  <c r="FT200" i="12"/>
  <c r="FU200" i="12"/>
  <c r="FV200" i="12"/>
  <c r="FW200" i="12"/>
  <c r="FX200" i="12"/>
  <c r="FY200" i="12"/>
  <c r="FZ200" i="12"/>
  <c r="GA200" i="12"/>
  <c r="GB200" i="12"/>
  <c r="GC200" i="12"/>
  <c r="GD200" i="12"/>
  <c r="GE200" i="12"/>
  <c r="GF200" i="12"/>
  <c r="GG200" i="12"/>
  <c r="GH200" i="12"/>
  <c r="GI200" i="12"/>
  <c r="GJ200" i="12"/>
  <c r="GK200" i="12"/>
  <c r="GL200" i="12"/>
  <c r="GM200" i="12"/>
  <c r="GN200" i="12"/>
  <c r="GO200" i="12"/>
  <c r="GP200" i="12"/>
  <c r="GQ200" i="12"/>
  <c r="GR200" i="12"/>
  <c r="GS200" i="12"/>
  <c r="GT200" i="12"/>
  <c r="GU200" i="12"/>
  <c r="GV200" i="12"/>
  <c r="GW200" i="12"/>
  <c r="GX200" i="12"/>
  <c r="GY200" i="12"/>
  <c r="GZ200" i="12"/>
  <c r="HA200" i="12"/>
  <c r="HB200" i="12"/>
  <c r="HC200" i="12"/>
  <c r="HD200" i="12"/>
  <c r="HE200" i="12"/>
  <c r="HF200" i="12"/>
  <c r="HG200" i="12"/>
  <c r="HH200" i="12"/>
  <c r="HI200" i="12"/>
  <c r="HJ200" i="12"/>
  <c r="HK200" i="12"/>
  <c r="HL200" i="12"/>
  <c r="HM200" i="12"/>
  <c r="HN200" i="12"/>
  <c r="HO200" i="12"/>
  <c r="HP200" i="12"/>
  <c r="HQ200" i="12"/>
  <c r="HR200" i="12"/>
  <c r="HS200" i="12"/>
  <c r="HT200" i="12"/>
  <c r="HU200" i="12"/>
  <c r="HV200" i="12"/>
  <c r="HW200" i="12"/>
  <c r="HX200" i="12"/>
  <c r="HY200" i="12"/>
  <c r="HZ200" i="12"/>
  <c r="IA200" i="12"/>
  <c r="IB200" i="12"/>
  <c r="IC200" i="12"/>
  <c r="ID200" i="12"/>
  <c r="IE200" i="12"/>
  <c r="IF200" i="12"/>
  <c r="IG200" i="12"/>
  <c r="IH200" i="12"/>
  <c r="II200" i="12"/>
  <c r="IJ200" i="12"/>
  <c r="IK200" i="12"/>
  <c r="IL200" i="12"/>
  <c r="IM200" i="12"/>
  <c r="IN200" i="12"/>
  <c r="IO200" i="12"/>
  <c r="IP200" i="12"/>
  <c r="IQ200" i="12"/>
  <c r="IR200" i="12"/>
  <c r="IS200" i="12"/>
  <c r="IT200" i="12"/>
  <c r="IU200" i="12"/>
  <c r="IV200" i="12"/>
  <c r="F201" i="12"/>
  <c r="G201" i="12"/>
  <c r="H201" i="12"/>
  <c r="I201" i="12"/>
  <c r="J201" i="12"/>
  <c r="K201" i="12"/>
  <c r="L201" i="12"/>
  <c r="M201" i="12"/>
  <c r="N201" i="12"/>
  <c r="O201" i="12"/>
  <c r="P201" i="12"/>
  <c r="Q201" i="12"/>
  <c r="R201" i="12"/>
  <c r="S201" i="12"/>
  <c r="T201" i="12"/>
  <c r="U201" i="12"/>
  <c r="V201" i="12"/>
  <c r="W201" i="12"/>
  <c r="X201" i="12"/>
  <c r="Y201" i="12"/>
  <c r="Z201" i="12"/>
  <c r="AA201" i="12"/>
  <c r="AB201" i="12"/>
  <c r="AC201" i="12"/>
  <c r="AD201" i="12"/>
  <c r="AE201" i="12"/>
  <c r="AF201" i="12"/>
  <c r="AG201" i="12"/>
  <c r="AH201" i="12"/>
  <c r="AI201" i="12"/>
  <c r="AJ201" i="12"/>
  <c r="AK201" i="12"/>
  <c r="AL201" i="12"/>
  <c r="AM201" i="12"/>
  <c r="AN201" i="12"/>
  <c r="AO201" i="12"/>
  <c r="AP201" i="12"/>
  <c r="AQ201" i="12"/>
  <c r="AR201" i="12"/>
  <c r="AS201" i="12"/>
  <c r="AT201" i="12"/>
  <c r="AU201" i="12"/>
  <c r="AV201" i="12"/>
  <c r="AW201" i="12"/>
  <c r="AX201" i="12"/>
  <c r="AY201" i="12"/>
  <c r="AZ201" i="12"/>
  <c r="BA201" i="12"/>
  <c r="BB201" i="12"/>
  <c r="BC201" i="12"/>
  <c r="BD201" i="12"/>
  <c r="BE201" i="12"/>
  <c r="BF201" i="12"/>
  <c r="BG201" i="12"/>
  <c r="BH201" i="12"/>
  <c r="BI201" i="12"/>
  <c r="BJ201" i="12"/>
  <c r="BK201" i="12"/>
  <c r="BL201" i="12"/>
  <c r="BM201" i="12"/>
  <c r="BN201" i="12"/>
  <c r="BO201" i="12"/>
  <c r="BP201" i="12"/>
  <c r="BQ201" i="12"/>
  <c r="BR201" i="12"/>
  <c r="BS201" i="12"/>
  <c r="BT201" i="12"/>
  <c r="BU201" i="12"/>
  <c r="BV201" i="12"/>
  <c r="BW201" i="12"/>
  <c r="BX201" i="12"/>
  <c r="BY201" i="12"/>
  <c r="BZ201" i="12"/>
  <c r="CA201" i="12"/>
  <c r="CB201" i="12"/>
  <c r="CC201" i="12"/>
  <c r="CD201" i="12"/>
  <c r="CE201" i="12"/>
  <c r="CF201" i="12"/>
  <c r="CG201" i="12"/>
  <c r="CH201" i="12"/>
  <c r="CI201" i="12"/>
  <c r="CJ201" i="12"/>
  <c r="CK201" i="12"/>
  <c r="CL201" i="12"/>
  <c r="CM201" i="12"/>
  <c r="CN201" i="12"/>
  <c r="CO201" i="12"/>
  <c r="CP201" i="12"/>
  <c r="CQ201" i="12"/>
  <c r="CR201" i="12"/>
  <c r="CS201" i="12"/>
  <c r="CT201" i="12"/>
  <c r="CU201" i="12"/>
  <c r="CV201" i="12"/>
  <c r="CW201" i="12"/>
  <c r="CX201" i="12"/>
  <c r="CY201" i="12"/>
  <c r="CZ201" i="12"/>
  <c r="DA201" i="12"/>
  <c r="DB201" i="12"/>
  <c r="DC201" i="12"/>
  <c r="DD201" i="12"/>
  <c r="DE201" i="12"/>
  <c r="DF201" i="12"/>
  <c r="DG201" i="12"/>
  <c r="DH201" i="12"/>
  <c r="DI201" i="12"/>
  <c r="DJ201" i="12"/>
  <c r="DK201" i="12"/>
  <c r="DL201" i="12"/>
  <c r="DM201" i="12"/>
  <c r="DN201" i="12"/>
  <c r="DO201" i="12"/>
  <c r="DP201" i="12"/>
  <c r="DQ201" i="12"/>
  <c r="DR201" i="12"/>
  <c r="DS201" i="12"/>
  <c r="DT201" i="12"/>
  <c r="DU201" i="12"/>
  <c r="DV201" i="12"/>
  <c r="DW201" i="12"/>
  <c r="DX201" i="12"/>
  <c r="DY201" i="12"/>
  <c r="DZ201" i="12"/>
  <c r="EA201" i="12"/>
  <c r="EB201" i="12"/>
  <c r="EC201" i="12"/>
  <c r="ED201" i="12"/>
  <c r="EE201" i="12"/>
  <c r="EF201" i="12"/>
  <c r="EG201" i="12"/>
  <c r="EH201" i="12"/>
  <c r="EI201" i="12"/>
  <c r="EJ201" i="12"/>
  <c r="EK201" i="12"/>
  <c r="EL201" i="12"/>
  <c r="EM201" i="12"/>
  <c r="EN201" i="12"/>
  <c r="EO201" i="12"/>
  <c r="EP201" i="12"/>
  <c r="EQ201" i="12"/>
  <c r="ER201" i="12"/>
  <c r="ES201" i="12"/>
  <c r="ET201" i="12"/>
  <c r="EU201" i="12"/>
  <c r="EV201" i="12"/>
  <c r="EW201" i="12"/>
  <c r="EX201" i="12"/>
  <c r="EY201" i="12"/>
  <c r="EZ201" i="12"/>
  <c r="FA201" i="12"/>
  <c r="FB201" i="12"/>
  <c r="FC201" i="12"/>
  <c r="FD201" i="12"/>
  <c r="FE201" i="12"/>
  <c r="FF201" i="12"/>
  <c r="FG201" i="12"/>
  <c r="FH201" i="12"/>
  <c r="FI201" i="12"/>
  <c r="FJ201" i="12"/>
  <c r="FK201" i="12"/>
  <c r="FL201" i="12"/>
  <c r="FM201" i="12"/>
  <c r="FN201" i="12"/>
  <c r="FO201" i="12"/>
  <c r="FP201" i="12"/>
  <c r="FQ201" i="12"/>
  <c r="FR201" i="12"/>
  <c r="FS201" i="12"/>
  <c r="FT201" i="12"/>
  <c r="FU201" i="12"/>
  <c r="FV201" i="12"/>
  <c r="FW201" i="12"/>
  <c r="FX201" i="12"/>
  <c r="FY201" i="12"/>
  <c r="FZ201" i="12"/>
  <c r="GA201" i="12"/>
  <c r="GB201" i="12"/>
  <c r="GC201" i="12"/>
  <c r="GD201" i="12"/>
  <c r="GE201" i="12"/>
  <c r="GF201" i="12"/>
  <c r="GG201" i="12"/>
  <c r="GH201" i="12"/>
  <c r="GI201" i="12"/>
  <c r="GJ201" i="12"/>
  <c r="GK201" i="12"/>
  <c r="GL201" i="12"/>
  <c r="GM201" i="12"/>
  <c r="GN201" i="12"/>
  <c r="GO201" i="12"/>
  <c r="GP201" i="12"/>
  <c r="GQ201" i="12"/>
  <c r="GR201" i="12"/>
  <c r="GS201" i="12"/>
  <c r="GT201" i="12"/>
  <c r="GU201" i="12"/>
  <c r="GV201" i="12"/>
  <c r="GW201" i="12"/>
  <c r="GX201" i="12"/>
  <c r="GY201" i="12"/>
  <c r="GZ201" i="12"/>
  <c r="HA201" i="12"/>
  <c r="HB201" i="12"/>
  <c r="HC201" i="12"/>
  <c r="HD201" i="12"/>
  <c r="HE201" i="12"/>
  <c r="HF201" i="12"/>
  <c r="HG201" i="12"/>
  <c r="HH201" i="12"/>
  <c r="HI201" i="12"/>
  <c r="HJ201" i="12"/>
  <c r="HK201" i="12"/>
  <c r="HL201" i="12"/>
  <c r="HM201" i="12"/>
  <c r="HN201" i="12"/>
  <c r="HO201" i="12"/>
  <c r="HP201" i="12"/>
  <c r="HQ201" i="12"/>
  <c r="HR201" i="12"/>
  <c r="HS201" i="12"/>
  <c r="HT201" i="12"/>
  <c r="HU201" i="12"/>
  <c r="HV201" i="12"/>
  <c r="HW201" i="12"/>
  <c r="HX201" i="12"/>
  <c r="HY201" i="12"/>
  <c r="HZ201" i="12"/>
  <c r="IA201" i="12"/>
  <c r="IB201" i="12"/>
  <c r="IC201" i="12"/>
  <c r="ID201" i="12"/>
  <c r="IE201" i="12"/>
  <c r="IF201" i="12"/>
  <c r="IG201" i="12"/>
  <c r="IH201" i="12"/>
  <c r="II201" i="12"/>
  <c r="IJ201" i="12"/>
  <c r="IK201" i="12"/>
  <c r="IL201" i="12"/>
  <c r="IM201" i="12"/>
  <c r="IN201" i="12"/>
  <c r="IO201" i="12"/>
  <c r="IP201" i="12"/>
  <c r="IQ201" i="12"/>
  <c r="IR201" i="12"/>
  <c r="IS201" i="12"/>
  <c r="IT201" i="12"/>
  <c r="IU201" i="12"/>
  <c r="IV201" i="12"/>
  <c r="F202" i="12"/>
  <c r="G202" i="12"/>
  <c r="H202" i="12"/>
  <c r="I202" i="12"/>
  <c r="J202" i="12"/>
  <c r="K202" i="12"/>
  <c r="L202" i="12"/>
  <c r="M202" i="12"/>
  <c r="N202" i="12"/>
  <c r="O202" i="12"/>
  <c r="P202" i="12"/>
  <c r="Q202" i="12"/>
  <c r="R202" i="12"/>
  <c r="S202" i="12"/>
  <c r="T202" i="12"/>
  <c r="U202" i="12"/>
  <c r="V202" i="12"/>
  <c r="W202" i="12"/>
  <c r="X202" i="12"/>
  <c r="Y202" i="12"/>
  <c r="Z202" i="12"/>
  <c r="AA202" i="12"/>
  <c r="AB202" i="12"/>
  <c r="AC202" i="12"/>
  <c r="AD202" i="12"/>
  <c r="AE202" i="12"/>
  <c r="AF202" i="12"/>
  <c r="AG202" i="12"/>
  <c r="AH202" i="12"/>
  <c r="AI202" i="12"/>
  <c r="AJ202" i="12"/>
  <c r="AK202" i="12"/>
  <c r="AL202" i="12"/>
  <c r="AM202" i="12"/>
  <c r="AN202" i="12"/>
  <c r="AO202" i="12"/>
  <c r="AP202" i="12"/>
  <c r="AQ202" i="12"/>
  <c r="AR202" i="12"/>
  <c r="AS202" i="12"/>
  <c r="AT202" i="12"/>
  <c r="AU202" i="12"/>
  <c r="AV202" i="12"/>
  <c r="AW202" i="12"/>
  <c r="AX202" i="12"/>
  <c r="AY202" i="12"/>
  <c r="AZ202" i="12"/>
  <c r="BA202" i="12"/>
  <c r="BB202" i="12"/>
  <c r="BC202" i="12"/>
  <c r="BD202" i="12"/>
  <c r="BE202" i="12"/>
  <c r="BF202" i="12"/>
  <c r="BG202" i="12"/>
  <c r="BH202" i="12"/>
  <c r="BI202" i="12"/>
  <c r="BJ202" i="12"/>
  <c r="BK202" i="12"/>
  <c r="BL202" i="12"/>
  <c r="BM202" i="12"/>
  <c r="BN202" i="12"/>
  <c r="BO202" i="12"/>
  <c r="BP202" i="12"/>
  <c r="BQ202" i="12"/>
  <c r="BR202" i="12"/>
  <c r="BS202" i="12"/>
  <c r="BT202" i="12"/>
  <c r="BU202" i="12"/>
  <c r="BV202" i="12"/>
  <c r="BW202" i="12"/>
  <c r="BX202" i="12"/>
  <c r="BY202" i="12"/>
  <c r="BZ202" i="12"/>
  <c r="CA202" i="12"/>
  <c r="CB202" i="12"/>
  <c r="CC202" i="12"/>
  <c r="CD202" i="12"/>
  <c r="CE202" i="12"/>
  <c r="CF202" i="12"/>
  <c r="CG202" i="12"/>
  <c r="CH202" i="12"/>
  <c r="CI202" i="12"/>
  <c r="CJ202" i="12"/>
  <c r="CK202" i="12"/>
  <c r="CL202" i="12"/>
  <c r="CM202" i="12"/>
  <c r="CN202" i="12"/>
  <c r="CO202" i="12"/>
  <c r="CP202" i="12"/>
  <c r="CQ202" i="12"/>
  <c r="CR202" i="12"/>
  <c r="CS202" i="12"/>
  <c r="CT202" i="12"/>
  <c r="CU202" i="12"/>
  <c r="CV202" i="12"/>
  <c r="CW202" i="12"/>
  <c r="CX202" i="12"/>
  <c r="CY202" i="12"/>
  <c r="CZ202" i="12"/>
  <c r="DA202" i="12"/>
  <c r="DB202" i="12"/>
  <c r="DC202" i="12"/>
  <c r="DD202" i="12"/>
  <c r="DE202" i="12"/>
  <c r="DF202" i="12"/>
  <c r="DG202" i="12"/>
  <c r="DH202" i="12"/>
  <c r="DI202" i="12"/>
  <c r="DJ202" i="12"/>
  <c r="DK202" i="12"/>
  <c r="DL202" i="12"/>
  <c r="DM202" i="12"/>
  <c r="DN202" i="12"/>
  <c r="DO202" i="12"/>
  <c r="DP202" i="12"/>
  <c r="DQ202" i="12"/>
  <c r="DR202" i="12"/>
  <c r="DS202" i="12"/>
  <c r="DT202" i="12"/>
  <c r="DU202" i="12"/>
  <c r="DV202" i="12"/>
  <c r="DW202" i="12"/>
  <c r="DX202" i="12"/>
  <c r="DY202" i="12"/>
  <c r="DZ202" i="12"/>
  <c r="EA202" i="12"/>
  <c r="EB202" i="12"/>
  <c r="EC202" i="12"/>
  <c r="ED202" i="12"/>
  <c r="EE202" i="12"/>
  <c r="EF202" i="12"/>
  <c r="EG202" i="12"/>
  <c r="EH202" i="12"/>
  <c r="EI202" i="12"/>
  <c r="EJ202" i="12"/>
  <c r="EK202" i="12"/>
  <c r="EL202" i="12"/>
  <c r="EM202" i="12"/>
  <c r="EN202" i="12"/>
  <c r="EO202" i="12"/>
  <c r="EP202" i="12"/>
  <c r="EQ202" i="12"/>
  <c r="ER202" i="12"/>
  <c r="ES202" i="12"/>
  <c r="ET202" i="12"/>
  <c r="EU202" i="12"/>
  <c r="EV202" i="12"/>
  <c r="EW202" i="12"/>
  <c r="EX202" i="12"/>
  <c r="EY202" i="12"/>
  <c r="EZ202" i="12"/>
  <c r="FA202" i="12"/>
  <c r="FB202" i="12"/>
  <c r="FC202" i="12"/>
  <c r="FD202" i="12"/>
  <c r="FE202" i="12"/>
  <c r="FF202" i="12"/>
  <c r="FG202" i="12"/>
  <c r="FH202" i="12"/>
  <c r="FI202" i="12"/>
  <c r="FJ202" i="12"/>
  <c r="FK202" i="12"/>
  <c r="FL202" i="12"/>
  <c r="FM202" i="12"/>
  <c r="FN202" i="12"/>
  <c r="FO202" i="12"/>
  <c r="FP202" i="12"/>
  <c r="FQ202" i="12"/>
  <c r="FR202" i="12"/>
  <c r="FS202" i="12"/>
  <c r="FT202" i="12"/>
  <c r="FU202" i="12"/>
  <c r="FV202" i="12"/>
  <c r="FW202" i="12"/>
  <c r="FX202" i="12"/>
  <c r="FY202" i="12"/>
  <c r="FZ202" i="12"/>
  <c r="GA202" i="12"/>
  <c r="GB202" i="12"/>
  <c r="GC202" i="12"/>
  <c r="GD202" i="12"/>
  <c r="GE202" i="12"/>
  <c r="GF202" i="12"/>
  <c r="GG202" i="12"/>
  <c r="GH202" i="12"/>
  <c r="GI202" i="12"/>
  <c r="GJ202" i="12"/>
  <c r="GK202" i="12"/>
  <c r="GL202" i="12"/>
  <c r="GM202" i="12"/>
  <c r="GN202" i="12"/>
  <c r="GO202" i="12"/>
  <c r="GP202" i="12"/>
  <c r="GQ202" i="12"/>
  <c r="GR202" i="12"/>
  <c r="GS202" i="12"/>
  <c r="GT202" i="12"/>
  <c r="GU202" i="12"/>
  <c r="GV202" i="12"/>
  <c r="GW202" i="12"/>
  <c r="GX202" i="12"/>
  <c r="GY202" i="12"/>
  <c r="GZ202" i="12"/>
  <c r="HA202" i="12"/>
  <c r="HB202" i="12"/>
  <c r="HC202" i="12"/>
  <c r="HD202" i="12"/>
  <c r="HE202" i="12"/>
  <c r="HF202" i="12"/>
  <c r="HG202" i="12"/>
  <c r="HH202" i="12"/>
  <c r="HI202" i="12"/>
  <c r="HJ202" i="12"/>
  <c r="HK202" i="12"/>
  <c r="HL202" i="12"/>
  <c r="HM202" i="12"/>
  <c r="HN202" i="12"/>
  <c r="HO202" i="12"/>
  <c r="HP202" i="12"/>
  <c r="HQ202" i="12"/>
  <c r="HR202" i="12"/>
  <c r="HS202" i="12"/>
  <c r="HT202" i="12"/>
  <c r="HU202" i="12"/>
  <c r="HV202" i="12"/>
  <c r="HW202" i="12"/>
  <c r="HX202" i="12"/>
  <c r="HY202" i="12"/>
  <c r="HZ202" i="12"/>
  <c r="IA202" i="12"/>
  <c r="IB202" i="12"/>
  <c r="IC202" i="12"/>
  <c r="ID202" i="12"/>
  <c r="IE202" i="12"/>
  <c r="IF202" i="12"/>
  <c r="IG202" i="12"/>
  <c r="IH202" i="12"/>
  <c r="II202" i="12"/>
  <c r="IJ202" i="12"/>
  <c r="IK202" i="12"/>
  <c r="IL202" i="12"/>
  <c r="IM202" i="12"/>
  <c r="IN202" i="12"/>
  <c r="IO202" i="12"/>
  <c r="IP202" i="12"/>
  <c r="IQ202" i="12"/>
  <c r="IR202" i="12"/>
  <c r="IS202" i="12"/>
  <c r="IT202" i="12"/>
  <c r="IU202" i="12"/>
  <c r="IV202" i="12"/>
  <c r="F203" i="12"/>
  <c r="G203" i="12"/>
  <c r="H203" i="12"/>
  <c r="I203" i="12"/>
  <c r="J203" i="12"/>
  <c r="K203" i="12"/>
  <c r="L203" i="12"/>
  <c r="M203" i="12"/>
  <c r="N203" i="12"/>
  <c r="O203" i="12"/>
  <c r="P203" i="12"/>
  <c r="Q203" i="12"/>
  <c r="R203" i="12"/>
  <c r="S203" i="12"/>
  <c r="T203" i="12"/>
  <c r="U203" i="12"/>
  <c r="V203" i="12"/>
  <c r="W203" i="12"/>
  <c r="X203" i="12"/>
  <c r="Y203" i="12"/>
  <c r="Z203" i="12"/>
  <c r="AA203" i="12"/>
  <c r="AB203" i="12"/>
  <c r="AC203" i="12"/>
  <c r="AD203" i="12"/>
  <c r="AE203" i="12"/>
  <c r="AF203" i="12"/>
  <c r="AG203" i="12"/>
  <c r="AH203" i="12"/>
  <c r="AI203" i="12"/>
  <c r="AJ203" i="12"/>
  <c r="AK203" i="12"/>
  <c r="AL203" i="12"/>
  <c r="AM203" i="12"/>
  <c r="AN203" i="12"/>
  <c r="AO203" i="12"/>
  <c r="AP203" i="12"/>
  <c r="AQ203" i="12"/>
  <c r="AR203" i="12"/>
  <c r="AS203" i="12"/>
  <c r="AT203" i="12"/>
  <c r="AU203" i="12"/>
  <c r="AV203" i="12"/>
  <c r="AW203" i="12"/>
  <c r="AX203" i="12"/>
  <c r="AY203" i="12"/>
  <c r="AZ203" i="12"/>
  <c r="BA203" i="12"/>
  <c r="BB203" i="12"/>
  <c r="BC203" i="12"/>
  <c r="BD203" i="12"/>
  <c r="BE203" i="12"/>
  <c r="BF203" i="12"/>
  <c r="BG203" i="12"/>
  <c r="BH203" i="12"/>
  <c r="BI203" i="12"/>
  <c r="BJ203" i="12"/>
  <c r="BK203" i="12"/>
  <c r="BL203" i="12"/>
  <c r="BM203" i="12"/>
  <c r="BN203" i="12"/>
  <c r="BO203" i="12"/>
  <c r="BP203" i="12"/>
  <c r="BQ203" i="12"/>
  <c r="BR203" i="12"/>
  <c r="BS203" i="12"/>
  <c r="BT203" i="12"/>
  <c r="BU203" i="12"/>
  <c r="BV203" i="12"/>
  <c r="BW203" i="12"/>
  <c r="BX203" i="12"/>
  <c r="BY203" i="12"/>
  <c r="BZ203" i="12"/>
  <c r="CA203" i="12"/>
  <c r="CB203" i="12"/>
  <c r="CC203" i="12"/>
  <c r="CD203" i="12"/>
  <c r="CE203" i="12"/>
  <c r="CF203" i="12"/>
  <c r="CG203" i="12"/>
  <c r="CH203" i="12"/>
  <c r="CI203" i="12"/>
  <c r="CJ203" i="12"/>
  <c r="CK203" i="12"/>
  <c r="CL203" i="12"/>
  <c r="CM203" i="12"/>
  <c r="CN203" i="12"/>
  <c r="CO203" i="12"/>
  <c r="CP203" i="12"/>
  <c r="CQ203" i="12"/>
  <c r="CR203" i="12"/>
  <c r="CS203" i="12"/>
  <c r="CT203" i="12"/>
  <c r="CU203" i="12"/>
  <c r="CV203" i="12"/>
  <c r="CW203" i="12"/>
  <c r="CX203" i="12"/>
  <c r="CY203" i="12"/>
  <c r="CZ203" i="12"/>
  <c r="DA203" i="12"/>
  <c r="DB203" i="12"/>
  <c r="DC203" i="12"/>
  <c r="DD203" i="12"/>
  <c r="DE203" i="12"/>
  <c r="DF203" i="12"/>
  <c r="DG203" i="12"/>
  <c r="DH203" i="12"/>
  <c r="DI203" i="12"/>
  <c r="DJ203" i="12"/>
  <c r="DK203" i="12"/>
  <c r="DL203" i="12"/>
  <c r="DM203" i="12"/>
  <c r="DN203" i="12"/>
  <c r="DO203" i="12"/>
  <c r="DP203" i="12"/>
  <c r="DQ203" i="12"/>
  <c r="DR203" i="12"/>
  <c r="DS203" i="12"/>
  <c r="DT203" i="12"/>
  <c r="DU203" i="12"/>
  <c r="DV203" i="12"/>
  <c r="DW203" i="12"/>
  <c r="DX203" i="12"/>
  <c r="DY203" i="12"/>
  <c r="DZ203" i="12"/>
  <c r="EA203" i="12"/>
  <c r="EB203" i="12"/>
  <c r="EC203" i="12"/>
  <c r="ED203" i="12"/>
  <c r="EE203" i="12"/>
  <c r="EF203" i="12"/>
  <c r="EG203" i="12"/>
  <c r="EH203" i="12"/>
  <c r="EI203" i="12"/>
  <c r="EJ203" i="12"/>
  <c r="EK203" i="12"/>
  <c r="EL203" i="12"/>
  <c r="EM203" i="12"/>
  <c r="EN203" i="12"/>
  <c r="EO203" i="12"/>
  <c r="EP203" i="12"/>
  <c r="EQ203" i="12"/>
  <c r="ER203" i="12"/>
  <c r="ES203" i="12"/>
  <c r="ET203" i="12"/>
  <c r="EU203" i="12"/>
  <c r="EV203" i="12"/>
  <c r="EW203" i="12"/>
  <c r="EX203" i="12"/>
  <c r="EY203" i="12"/>
  <c r="EZ203" i="12"/>
  <c r="FA203" i="12"/>
  <c r="FB203" i="12"/>
  <c r="FC203" i="12"/>
  <c r="FD203" i="12"/>
  <c r="FE203" i="12"/>
  <c r="FF203" i="12"/>
  <c r="FG203" i="12"/>
  <c r="FH203" i="12"/>
  <c r="FI203" i="12"/>
  <c r="FJ203" i="12"/>
  <c r="FK203" i="12"/>
  <c r="FL203" i="12"/>
  <c r="FM203" i="12"/>
  <c r="FN203" i="12"/>
  <c r="FO203" i="12"/>
  <c r="FP203" i="12"/>
  <c r="FQ203" i="12"/>
  <c r="FR203" i="12"/>
  <c r="FS203" i="12"/>
  <c r="FT203" i="12"/>
  <c r="FU203" i="12"/>
  <c r="FV203" i="12"/>
  <c r="FW203" i="12"/>
  <c r="FX203" i="12"/>
  <c r="FY203" i="12"/>
  <c r="FZ203" i="12"/>
  <c r="GA203" i="12"/>
  <c r="GB203" i="12"/>
  <c r="GC203" i="12"/>
  <c r="GD203" i="12"/>
  <c r="GE203" i="12"/>
  <c r="GF203" i="12"/>
  <c r="GG203" i="12"/>
  <c r="GH203" i="12"/>
  <c r="GI203" i="12"/>
  <c r="GJ203" i="12"/>
  <c r="GK203" i="12"/>
  <c r="GL203" i="12"/>
  <c r="GM203" i="12"/>
  <c r="GN203" i="12"/>
  <c r="GO203" i="12"/>
  <c r="GP203" i="12"/>
  <c r="GQ203" i="12"/>
  <c r="GR203" i="12"/>
  <c r="GS203" i="12"/>
  <c r="GT203" i="12"/>
  <c r="GU203" i="12"/>
  <c r="GV203" i="12"/>
  <c r="GW203" i="12"/>
  <c r="GX203" i="12"/>
  <c r="GY203" i="12"/>
  <c r="GZ203" i="12"/>
  <c r="HA203" i="12"/>
  <c r="HB203" i="12"/>
  <c r="HC203" i="12"/>
  <c r="HD203" i="12"/>
  <c r="HE203" i="12"/>
  <c r="HF203" i="12"/>
  <c r="HG203" i="12"/>
  <c r="HH203" i="12"/>
  <c r="HI203" i="12"/>
  <c r="HJ203" i="12"/>
  <c r="HK203" i="12"/>
  <c r="HL203" i="12"/>
  <c r="HM203" i="12"/>
  <c r="HN203" i="12"/>
  <c r="HO203" i="12"/>
  <c r="HP203" i="12"/>
  <c r="HQ203" i="12"/>
  <c r="HR203" i="12"/>
  <c r="HS203" i="12"/>
  <c r="HT203" i="12"/>
  <c r="HU203" i="12"/>
  <c r="HV203" i="12"/>
  <c r="HW203" i="12"/>
  <c r="HX203" i="12"/>
  <c r="HY203" i="12"/>
  <c r="HZ203" i="12"/>
  <c r="IA203" i="12"/>
  <c r="IB203" i="12"/>
  <c r="IC203" i="12"/>
  <c r="ID203" i="12"/>
  <c r="IE203" i="12"/>
  <c r="IF203" i="12"/>
  <c r="IG203" i="12"/>
  <c r="IH203" i="12"/>
  <c r="II203" i="12"/>
  <c r="IJ203" i="12"/>
  <c r="IK203" i="12"/>
  <c r="IL203" i="12"/>
  <c r="IM203" i="12"/>
  <c r="IN203" i="12"/>
  <c r="IO203" i="12"/>
  <c r="IP203" i="12"/>
  <c r="IQ203" i="12"/>
  <c r="IR203" i="12"/>
  <c r="IS203" i="12"/>
  <c r="IT203" i="12"/>
  <c r="IU203" i="12"/>
  <c r="IV203" i="12"/>
  <c r="F204" i="12"/>
  <c r="G204" i="12"/>
  <c r="H204" i="12"/>
  <c r="I204" i="12"/>
  <c r="J204" i="12"/>
  <c r="K204" i="12"/>
  <c r="L204" i="12"/>
  <c r="M204" i="12"/>
  <c r="N204" i="12"/>
  <c r="O204" i="12"/>
  <c r="P204" i="12"/>
  <c r="Q204" i="12"/>
  <c r="R204" i="12"/>
  <c r="S204" i="12"/>
  <c r="T204" i="12"/>
  <c r="U204" i="12"/>
  <c r="V204" i="12"/>
  <c r="W204" i="12"/>
  <c r="X204" i="12"/>
  <c r="Y204" i="12"/>
  <c r="Z204" i="12"/>
  <c r="AA204" i="12"/>
  <c r="AB204" i="12"/>
  <c r="AC204" i="12"/>
  <c r="AD204" i="12"/>
  <c r="AE204" i="12"/>
  <c r="AF204" i="12"/>
  <c r="AG204" i="12"/>
  <c r="AH204" i="12"/>
  <c r="AI204" i="12"/>
  <c r="AJ204" i="12"/>
  <c r="AK204" i="12"/>
  <c r="AL204" i="12"/>
  <c r="AM204" i="12"/>
  <c r="AN204" i="12"/>
  <c r="AO204" i="12"/>
  <c r="AP204" i="12"/>
  <c r="AQ204" i="12"/>
  <c r="AR204" i="12"/>
  <c r="AS204" i="12"/>
  <c r="AT204" i="12"/>
  <c r="AU204" i="12"/>
  <c r="AV204" i="12"/>
  <c r="AW204" i="12"/>
  <c r="AX204" i="12"/>
  <c r="AY204" i="12"/>
  <c r="AZ204" i="12"/>
  <c r="BA204" i="12"/>
  <c r="BB204" i="12"/>
  <c r="BC204" i="12"/>
  <c r="BD204" i="12"/>
  <c r="BE204" i="12"/>
  <c r="BF204" i="12"/>
  <c r="BG204" i="12"/>
  <c r="BH204" i="12"/>
  <c r="BI204" i="12"/>
  <c r="BJ204" i="12"/>
  <c r="BK204" i="12"/>
  <c r="BL204" i="12"/>
  <c r="BM204" i="12"/>
  <c r="BN204" i="12"/>
  <c r="BO204" i="12"/>
  <c r="BP204" i="12"/>
  <c r="BQ204" i="12"/>
  <c r="BR204" i="12"/>
  <c r="BS204" i="12"/>
  <c r="BT204" i="12"/>
  <c r="BU204" i="12"/>
  <c r="BV204" i="12"/>
  <c r="BW204" i="12"/>
  <c r="BX204" i="12"/>
  <c r="BY204" i="12"/>
  <c r="BZ204" i="12"/>
  <c r="CA204" i="12"/>
  <c r="CB204" i="12"/>
  <c r="CC204" i="12"/>
  <c r="CD204" i="12"/>
  <c r="CE204" i="12"/>
  <c r="CF204" i="12"/>
  <c r="CG204" i="12"/>
  <c r="CH204" i="12"/>
  <c r="CI204" i="12"/>
  <c r="CJ204" i="12"/>
  <c r="CK204" i="12"/>
  <c r="CL204" i="12"/>
  <c r="CM204" i="12"/>
  <c r="CN204" i="12"/>
  <c r="CO204" i="12"/>
  <c r="CP204" i="12"/>
  <c r="CQ204" i="12"/>
  <c r="CR204" i="12"/>
  <c r="CS204" i="12"/>
  <c r="CT204" i="12"/>
  <c r="CU204" i="12"/>
  <c r="CV204" i="12"/>
  <c r="CW204" i="12"/>
  <c r="CX204" i="12"/>
  <c r="CY204" i="12"/>
  <c r="CZ204" i="12"/>
  <c r="DA204" i="12"/>
  <c r="DB204" i="12"/>
  <c r="DC204" i="12"/>
  <c r="DD204" i="12"/>
  <c r="DE204" i="12"/>
  <c r="DF204" i="12"/>
  <c r="DG204" i="12"/>
  <c r="DH204" i="12"/>
  <c r="DI204" i="12"/>
  <c r="DJ204" i="12"/>
  <c r="DK204" i="12"/>
  <c r="DL204" i="12"/>
  <c r="DM204" i="12"/>
  <c r="DN204" i="12"/>
  <c r="DO204" i="12"/>
  <c r="DP204" i="12"/>
  <c r="DQ204" i="12"/>
  <c r="DR204" i="12"/>
  <c r="DS204" i="12"/>
  <c r="DT204" i="12"/>
  <c r="DU204" i="12"/>
  <c r="DV204" i="12"/>
  <c r="DW204" i="12"/>
  <c r="DX204" i="12"/>
  <c r="DY204" i="12"/>
  <c r="DZ204" i="12"/>
  <c r="EA204" i="12"/>
  <c r="EB204" i="12"/>
  <c r="EC204" i="12"/>
  <c r="ED204" i="12"/>
  <c r="EE204" i="12"/>
  <c r="EF204" i="12"/>
  <c r="EG204" i="12"/>
  <c r="EH204" i="12"/>
  <c r="EI204" i="12"/>
  <c r="EJ204" i="12"/>
  <c r="EK204" i="12"/>
  <c r="EL204" i="12"/>
  <c r="EM204" i="12"/>
  <c r="EN204" i="12"/>
  <c r="EO204" i="12"/>
  <c r="EP204" i="12"/>
  <c r="EQ204" i="12"/>
  <c r="ER204" i="12"/>
  <c r="ES204" i="12"/>
  <c r="ET204" i="12"/>
  <c r="EU204" i="12"/>
  <c r="EV204" i="12"/>
  <c r="EW204" i="12"/>
  <c r="EX204" i="12"/>
  <c r="EY204" i="12"/>
  <c r="EZ204" i="12"/>
  <c r="FA204" i="12"/>
  <c r="FB204" i="12"/>
  <c r="FC204" i="12"/>
  <c r="FD204" i="12"/>
  <c r="FE204" i="12"/>
  <c r="FF204" i="12"/>
  <c r="FG204" i="12"/>
  <c r="FH204" i="12"/>
  <c r="FI204" i="12"/>
  <c r="FJ204" i="12"/>
  <c r="FK204" i="12"/>
  <c r="FL204" i="12"/>
  <c r="FM204" i="12"/>
  <c r="FN204" i="12"/>
  <c r="FO204" i="12"/>
  <c r="FP204" i="12"/>
  <c r="FQ204" i="12"/>
  <c r="FR204" i="12"/>
  <c r="FS204" i="12"/>
  <c r="FT204" i="12"/>
  <c r="FU204" i="12"/>
  <c r="FV204" i="12"/>
  <c r="FW204" i="12"/>
  <c r="FX204" i="12"/>
  <c r="FY204" i="12"/>
  <c r="FZ204" i="12"/>
  <c r="GA204" i="12"/>
  <c r="GB204" i="12"/>
  <c r="GC204" i="12"/>
  <c r="GD204" i="12"/>
  <c r="GE204" i="12"/>
  <c r="GF204" i="12"/>
  <c r="GG204" i="12"/>
  <c r="GH204" i="12"/>
  <c r="GI204" i="12"/>
  <c r="GJ204" i="12"/>
  <c r="GK204" i="12"/>
  <c r="GL204" i="12"/>
  <c r="GM204" i="12"/>
  <c r="GN204" i="12"/>
  <c r="GO204" i="12"/>
  <c r="GP204" i="12"/>
  <c r="GQ204" i="12"/>
  <c r="GR204" i="12"/>
  <c r="GS204" i="12"/>
  <c r="GT204" i="12"/>
  <c r="GU204" i="12"/>
  <c r="GV204" i="12"/>
  <c r="GW204" i="12"/>
  <c r="GX204" i="12"/>
  <c r="GY204" i="12"/>
  <c r="GZ204" i="12"/>
  <c r="HA204" i="12"/>
  <c r="HB204" i="12"/>
  <c r="HC204" i="12"/>
  <c r="HD204" i="12"/>
  <c r="HE204" i="12"/>
  <c r="HF204" i="12"/>
  <c r="HG204" i="12"/>
  <c r="HH204" i="12"/>
  <c r="HI204" i="12"/>
  <c r="HJ204" i="12"/>
  <c r="HK204" i="12"/>
  <c r="HL204" i="12"/>
  <c r="HM204" i="12"/>
  <c r="HN204" i="12"/>
  <c r="HO204" i="12"/>
  <c r="HP204" i="12"/>
  <c r="HQ204" i="12"/>
  <c r="HR204" i="12"/>
  <c r="HS204" i="12"/>
  <c r="HT204" i="12"/>
  <c r="HU204" i="12"/>
  <c r="HV204" i="12"/>
  <c r="HW204" i="12"/>
  <c r="HX204" i="12"/>
  <c r="HY204" i="12"/>
  <c r="HZ204" i="12"/>
  <c r="IA204" i="12"/>
  <c r="IB204" i="12"/>
  <c r="IC204" i="12"/>
  <c r="ID204" i="12"/>
  <c r="IE204" i="12"/>
  <c r="IF204" i="12"/>
  <c r="IG204" i="12"/>
  <c r="IH204" i="12"/>
  <c r="II204" i="12"/>
  <c r="IJ204" i="12"/>
  <c r="IK204" i="12"/>
  <c r="IL204" i="12"/>
  <c r="IM204" i="12"/>
  <c r="IN204" i="12"/>
  <c r="IO204" i="12"/>
  <c r="IP204" i="12"/>
  <c r="IQ204" i="12"/>
  <c r="IR204" i="12"/>
  <c r="IS204" i="12"/>
  <c r="IT204" i="12"/>
  <c r="IU204" i="12"/>
  <c r="IV204" i="12"/>
  <c r="F205" i="12"/>
  <c r="G205" i="12"/>
  <c r="H205" i="12"/>
  <c r="I205" i="12"/>
  <c r="J205" i="12"/>
  <c r="K205" i="12"/>
  <c r="L205" i="12"/>
  <c r="M205" i="12"/>
  <c r="N205" i="12"/>
  <c r="O205" i="12"/>
  <c r="P205" i="12"/>
  <c r="Q205" i="12"/>
  <c r="R205" i="12"/>
  <c r="S205" i="12"/>
  <c r="T205" i="12"/>
  <c r="U205" i="12"/>
  <c r="V205" i="12"/>
  <c r="W205" i="12"/>
  <c r="X205" i="12"/>
  <c r="Y205" i="12"/>
  <c r="Z205" i="12"/>
  <c r="AA205" i="12"/>
  <c r="AB205" i="12"/>
  <c r="AC205" i="12"/>
  <c r="AD205" i="12"/>
  <c r="AE205" i="12"/>
  <c r="AF205" i="12"/>
  <c r="AG205" i="12"/>
  <c r="AH205" i="12"/>
  <c r="AI205" i="12"/>
  <c r="AJ205" i="12"/>
  <c r="AK205" i="12"/>
  <c r="AL205" i="12"/>
  <c r="AM205" i="12"/>
  <c r="AN205" i="12"/>
  <c r="AO205" i="12"/>
  <c r="AP205" i="12"/>
  <c r="AQ205" i="12"/>
  <c r="AR205" i="12"/>
  <c r="AS205" i="12"/>
  <c r="AT205" i="12"/>
  <c r="AU205" i="12"/>
  <c r="AV205" i="12"/>
  <c r="AW205" i="12"/>
  <c r="AX205" i="12"/>
  <c r="AY205" i="12"/>
  <c r="AZ205" i="12"/>
  <c r="BA205" i="12"/>
  <c r="BB205" i="12"/>
  <c r="BC205" i="12"/>
  <c r="BD205" i="12"/>
  <c r="BE205" i="12"/>
  <c r="BF205" i="12"/>
  <c r="BG205" i="12"/>
  <c r="BH205" i="12"/>
  <c r="BI205" i="12"/>
  <c r="BJ205" i="12"/>
  <c r="BK205" i="12"/>
  <c r="BL205" i="12"/>
  <c r="BM205" i="12"/>
  <c r="BN205" i="12"/>
  <c r="BO205" i="12"/>
  <c r="BP205" i="12"/>
  <c r="BQ205" i="12"/>
  <c r="BR205" i="12"/>
  <c r="BS205" i="12"/>
  <c r="BT205" i="12"/>
  <c r="BU205" i="12"/>
  <c r="BV205" i="12"/>
  <c r="BW205" i="12"/>
  <c r="BX205" i="12"/>
  <c r="BY205" i="12"/>
  <c r="BZ205" i="12"/>
  <c r="CA205" i="12"/>
  <c r="CB205" i="12"/>
  <c r="CC205" i="12"/>
  <c r="CD205" i="12"/>
  <c r="CE205" i="12"/>
  <c r="CF205" i="12"/>
  <c r="CG205" i="12"/>
  <c r="CH205" i="12"/>
  <c r="CI205" i="12"/>
  <c r="CJ205" i="12"/>
  <c r="CK205" i="12"/>
  <c r="CL205" i="12"/>
  <c r="CM205" i="12"/>
  <c r="CN205" i="12"/>
  <c r="CO205" i="12"/>
  <c r="CP205" i="12"/>
  <c r="CQ205" i="12"/>
  <c r="CR205" i="12"/>
  <c r="CS205" i="12"/>
  <c r="CT205" i="12"/>
  <c r="CU205" i="12"/>
  <c r="CV205" i="12"/>
  <c r="CW205" i="12"/>
  <c r="CX205" i="12"/>
  <c r="CY205" i="12"/>
  <c r="CZ205" i="12"/>
  <c r="DA205" i="12"/>
  <c r="DB205" i="12"/>
  <c r="DC205" i="12"/>
  <c r="DD205" i="12"/>
  <c r="DE205" i="12"/>
  <c r="DF205" i="12"/>
  <c r="DG205" i="12"/>
  <c r="DH205" i="12"/>
  <c r="DI205" i="12"/>
  <c r="DJ205" i="12"/>
  <c r="DK205" i="12"/>
  <c r="DL205" i="12"/>
  <c r="DM205" i="12"/>
  <c r="DN205" i="12"/>
  <c r="DO205" i="12"/>
  <c r="DP205" i="12"/>
  <c r="DQ205" i="12"/>
  <c r="DR205" i="12"/>
  <c r="DS205" i="12"/>
  <c r="DT205" i="12"/>
  <c r="DU205" i="12"/>
  <c r="DV205" i="12"/>
  <c r="DW205" i="12"/>
  <c r="DX205" i="12"/>
  <c r="DY205" i="12"/>
  <c r="DZ205" i="12"/>
  <c r="EA205" i="12"/>
  <c r="EB205" i="12"/>
  <c r="EC205" i="12"/>
  <c r="ED205" i="12"/>
  <c r="EE205" i="12"/>
  <c r="EF205" i="12"/>
  <c r="EG205" i="12"/>
  <c r="EH205" i="12"/>
  <c r="EI205" i="12"/>
  <c r="EJ205" i="12"/>
  <c r="EK205" i="12"/>
  <c r="EL205" i="12"/>
  <c r="EM205" i="12"/>
  <c r="EN205" i="12"/>
  <c r="EO205" i="12"/>
  <c r="EP205" i="12"/>
  <c r="EQ205" i="12"/>
  <c r="ER205" i="12"/>
  <c r="ES205" i="12"/>
  <c r="ET205" i="12"/>
  <c r="EU205" i="12"/>
  <c r="EV205" i="12"/>
  <c r="EW205" i="12"/>
  <c r="EX205" i="12"/>
  <c r="EY205" i="12"/>
  <c r="EZ205" i="12"/>
  <c r="FA205" i="12"/>
  <c r="FB205" i="12"/>
  <c r="FC205" i="12"/>
  <c r="FD205" i="12"/>
  <c r="FE205" i="12"/>
  <c r="FF205" i="12"/>
  <c r="FG205" i="12"/>
  <c r="FH205" i="12"/>
  <c r="FI205" i="12"/>
  <c r="FJ205" i="12"/>
  <c r="FK205" i="12"/>
  <c r="FL205" i="12"/>
  <c r="FM205" i="12"/>
  <c r="FN205" i="12"/>
  <c r="FO205" i="12"/>
  <c r="FP205" i="12"/>
  <c r="FQ205" i="12"/>
  <c r="FR205" i="12"/>
  <c r="FS205" i="12"/>
  <c r="FT205" i="12"/>
  <c r="FU205" i="12"/>
  <c r="FV205" i="12"/>
  <c r="FW205" i="12"/>
  <c r="FX205" i="12"/>
  <c r="FY205" i="12"/>
  <c r="FZ205" i="12"/>
  <c r="GA205" i="12"/>
  <c r="GB205" i="12"/>
  <c r="GC205" i="12"/>
  <c r="GD205" i="12"/>
  <c r="GE205" i="12"/>
  <c r="GF205" i="12"/>
  <c r="GG205" i="12"/>
  <c r="GH205" i="12"/>
  <c r="GI205" i="12"/>
  <c r="GJ205" i="12"/>
  <c r="GK205" i="12"/>
  <c r="GL205" i="12"/>
  <c r="GM205" i="12"/>
  <c r="GN205" i="12"/>
  <c r="GO205" i="12"/>
  <c r="GP205" i="12"/>
  <c r="GQ205" i="12"/>
  <c r="GR205" i="12"/>
  <c r="GS205" i="12"/>
  <c r="GT205" i="12"/>
  <c r="GU205" i="12"/>
  <c r="GV205" i="12"/>
  <c r="GW205" i="12"/>
  <c r="GX205" i="12"/>
  <c r="GY205" i="12"/>
  <c r="GZ205" i="12"/>
  <c r="HA205" i="12"/>
  <c r="HB205" i="12"/>
  <c r="HC205" i="12"/>
  <c r="HD205" i="12"/>
  <c r="HE205" i="12"/>
  <c r="HF205" i="12"/>
  <c r="HG205" i="12"/>
  <c r="HH205" i="12"/>
  <c r="HI205" i="12"/>
  <c r="HJ205" i="12"/>
  <c r="HK205" i="12"/>
  <c r="HL205" i="12"/>
  <c r="HM205" i="12"/>
  <c r="HN205" i="12"/>
  <c r="HO205" i="12"/>
  <c r="HP205" i="12"/>
  <c r="HQ205" i="12"/>
  <c r="HR205" i="12"/>
  <c r="HS205" i="12"/>
  <c r="HT205" i="12"/>
  <c r="HU205" i="12"/>
  <c r="HV205" i="12"/>
  <c r="HW205" i="12"/>
  <c r="HX205" i="12"/>
  <c r="HY205" i="12"/>
  <c r="HZ205" i="12"/>
  <c r="IA205" i="12"/>
  <c r="IB205" i="12"/>
  <c r="IC205" i="12"/>
  <c r="ID205" i="12"/>
  <c r="IE205" i="12"/>
  <c r="IF205" i="12"/>
  <c r="IG205" i="12"/>
  <c r="IH205" i="12"/>
  <c r="II205" i="12"/>
  <c r="IJ205" i="12"/>
  <c r="IK205" i="12"/>
  <c r="IL205" i="12"/>
  <c r="IM205" i="12"/>
  <c r="IN205" i="12"/>
  <c r="IO205" i="12"/>
  <c r="IP205" i="12"/>
  <c r="IQ205" i="12"/>
  <c r="IR205" i="12"/>
  <c r="IS205" i="12"/>
  <c r="IT205" i="12"/>
  <c r="IU205" i="12"/>
  <c r="IV205" i="12"/>
  <c r="F206" i="12"/>
  <c r="G206" i="12"/>
  <c r="H206" i="12"/>
  <c r="I206" i="12"/>
  <c r="J206" i="12"/>
  <c r="K206" i="12"/>
  <c r="L206" i="12"/>
  <c r="M206" i="12"/>
  <c r="N206" i="12"/>
  <c r="O206" i="12"/>
  <c r="P206" i="12"/>
  <c r="Q206" i="12"/>
  <c r="R206" i="12"/>
  <c r="S206" i="12"/>
  <c r="T206" i="12"/>
  <c r="U206" i="12"/>
  <c r="V206" i="12"/>
  <c r="W206" i="12"/>
  <c r="X206" i="12"/>
  <c r="Y206" i="12"/>
  <c r="Z206" i="12"/>
  <c r="AA206" i="12"/>
  <c r="AB206" i="12"/>
  <c r="AC206" i="12"/>
  <c r="AD206" i="12"/>
  <c r="AE206" i="12"/>
  <c r="AF206" i="12"/>
  <c r="AG206" i="12"/>
  <c r="AH206" i="12"/>
  <c r="AI206" i="12"/>
  <c r="AJ206" i="12"/>
  <c r="AK206" i="12"/>
  <c r="AL206" i="12"/>
  <c r="AM206" i="12"/>
  <c r="AN206" i="12"/>
  <c r="AO206" i="12"/>
  <c r="AP206" i="12"/>
  <c r="AQ206" i="12"/>
  <c r="AR206" i="12"/>
  <c r="AS206" i="12"/>
  <c r="AT206" i="12"/>
  <c r="AU206" i="12"/>
  <c r="AV206" i="12"/>
  <c r="AW206" i="12"/>
  <c r="AX206" i="12"/>
  <c r="AY206" i="12"/>
  <c r="AZ206" i="12"/>
  <c r="BA206" i="12"/>
  <c r="BB206" i="12"/>
  <c r="BC206" i="12"/>
  <c r="BD206" i="12"/>
  <c r="BE206" i="12"/>
  <c r="BF206" i="12"/>
  <c r="BG206" i="12"/>
  <c r="BH206" i="12"/>
  <c r="BI206" i="12"/>
  <c r="BJ206" i="12"/>
  <c r="BK206" i="12"/>
  <c r="BL206" i="12"/>
  <c r="BM206" i="12"/>
  <c r="BN206" i="12"/>
  <c r="BO206" i="12"/>
  <c r="BP206" i="12"/>
  <c r="BQ206" i="12"/>
  <c r="BR206" i="12"/>
  <c r="BS206" i="12"/>
  <c r="BT206" i="12"/>
  <c r="BU206" i="12"/>
  <c r="BV206" i="12"/>
  <c r="BW206" i="12"/>
  <c r="BX206" i="12"/>
  <c r="BY206" i="12"/>
  <c r="BZ206" i="12"/>
  <c r="CA206" i="12"/>
  <c r="CB206" i="12"/>
  <c r="CC206" i="12"/>
  <c r="CD206" i="12"/>
  <c r="CE206" i="12"/>
  <c r="CF206" i="12"/>
  <c r="CG206" i="12"/>
  <c r="CH206" i="12"/>
  <c r="CI206" i="12"/>
  <c r="CJ206" i="12"/>
  <c r="CK206" i="12"/>
  <c r="CL206" i="12"/>
  <c r="CM206" i="12"/>
  <c r="CN206" i="12"/>
  <c r="CO206" i="12"/>
  <c r="CP206" i="12"/>
  <c r="CQ206" i="12"/>
  <c r="CR206" i="12"/>
  <c r="CS206" i="12"/>
  <c r="CT206" i="12"/>
  <c r="CU206" i="12"/>
  <c r="CV206" i="12"/>
  <c r="CW206" i="12"/>
  <c r="CX206" i="12"/>
  <c r="CY206" i="12"/>
  <c r="CZ206" i="12"/>
  <c r="DA206" i="12"/>
  <c r="DB206" i="12"/>
  <c r="DC206" i="12"/>
  <c r="DD206" i="12"/>
  <c r="DE206" i="12"/>
  <c r="DF206" i="12"/>
  <c r="DG206" i="12"/>
  <c r="DH206" i="12"/>
  <c r="DI206" i="12"/>
  <c r="DJ206" i="12"/>
  <c r="DK206" i="12"/>
  <c r="DL206" i="12"/>
  <c r="DM206" i="12"/>
  <c r="DN206" i="12"/>
  <c r="DO206" i="12"/>
  <c r="DP206" i="12"/>
  <c r="DQ206" i="12"/>
  <c r="DR206" i="12"/>
  <c r="DS206" i="12"/>
  <c r="DT206" i="12"/>
  <c r="DU206" i="12"/>
  <c r="DV206" i="12"/>
  <c r="DW206" i="12"/>
  <c r="DX206" i="12"/>
  <c r="DY206" i="12"/>
  <c r="DZ206" i="12"/>
  <c r="EA206" i="12"/>
  <c r="EB206" i="12"/>
  <c r="EC206" i="12"/>
  <c r="ED206" i="12"/>
  <c r="EE206" i="12"/>
  <c r="EF206" i="12"/>
  <c r="EG206" i="12"/>
  <c r="EH206" i="12"/>
  <c r="EI206" i="12"/>
  <c r="EJ206" i="12"/>
  <c r="EK206" i="12"/>
  <c r="EL206" i="12"/>
  <c r="EM206" i="12"/>
  <c r="EN206" i="12"/>
  <c r="EO206" i="12"/>
  <c r="EP206" i="12"/>
  <c r="EQ206" i="12"/>
  <c r="ER206" i="12"/>
  <c r="ES206" i="12"/>
  <c r="ET206" i="12"/>
  <c r="EU206" i="12"/>
  <c r="EV206" i="12"/>
  <c r="EW206" i="12"/>
  <c r="EX206" i="12"/>
  <c r="EY206" i="12"/>
  <c r="EZ206" i="12"/>
  <c r="FA206" i="12"/>
  <c r="FB206" i="12"/>
  <c r="FC206" i="12"/>
  <c r="FD206" i="12"/>
  <c r="FE206" i="12"/>
  <c r="FF206" i="12"/>
  <c r="FG206" i="12"/>
  <c r="FH206" i="12"/>
  <c r="FI206" i="12"/>
  <c r="FJ206" i="12"/>
  <c r="FK206" i="12"/>
  <c r="FL206" i="12"/>
  <c r="FM206" i="12"/>
  <c r="FN206" i="12"/>
  <c r="FO206" i="12"/>
  <c r="FP206" i="12"/>
  <c r="FQ206" i="12"/>
  <c r="FR206" i="12"/>
  <c r="FS206" i="12"/>
  <c r="FT206" i="12"/>
  <c r="FU206" i="12"/>
  <c r="FV206" i="12"/>
  <c r="FW206" i="12"/>
  <c r="FX206" i="12"/>
  <c r="FY206" i="12"/>
  <c r="FZ206" i="12"/>
  <c r="GA206" i="12"/>
  <c r="GB206" i="12"/>
  <c r="GC206" i="12"/>
  <c r="GD206" i="12"/>
  <c r="GE206" i="12"/>
  <c r="GF206" i="12"/>
  <c r="GG206" i="12"/>
  <c r="GH206" i="12"/>
  <c r="GI206" i="12"/>
  <c r="GJ206" i="12"/>
  <c r="GK206" i="12"/>
  <c r="GL206" i="12"/>
  <c r="GM206" i="12"/>
  <c r="GN206" i="12"/>
  <c r="GO206" i="12"/>
  <c r="GP206" i="12"/>
  <c r="GQ206" i="12"/>
  <c r="GR206" i="12"/>
  <c r="GS206" i="12"/>
  <c r="GT206" i="12"/>
  <c r="GU206" i="12"/>
  <c r="GV206" i="12"/>
  <c r="GW206" i="12"/>
  <c r="GX206" i="12"/>
  <c r="GY206" i="12"/>
  <c r="GZ206" i="12"/>
  <c r="HA206" i="12"/>
  <c r="HB206" i="12"/>
  <c r="HC206" i="12"/>
  <c r="HD206" i="12"/>
  <c r="HE206" i="12"/>
  <c r="HF206" i="12"/>
  <c r="HG206" i="12"/>
  <c r="HH206" i="12"/>
  <c r="HI206" i="12"/>
  <c r="HJ206" i="12"/>
  <c r="HK206" i="12"/>
  <c r="HL206" i="12"/>
  <c r="HM206" i="12"/>
  <c r="HN206" i="12"/>
  <c r="HO206" i="12"/>
  <c r="HP206" i="12"/>
  <c r="HQ206" i="12"/>
  <c r="HR206" i="12"/>
  <c r="HS206" i="12"/>
  <c r="HT206" i="12"/>
  <c r="HU206" i="12"/>
  <c r="HV206" i="12"/>
  <c r="HW206" i="12"/>
  <c r="HX206" i="12"/>
  <c r="HY206" i="12"/>
  <c r="HZ206" i="12"/>
  <c r="IA206" i="12"/>
  <c r="IB206" i="12"/>
  <c r="IC206" i="12"/>
  <c r="ID206" i="12"/>
  <c r="IE206" i="12"/>
  <c r="IF206" i="12"/>
  <c r="IG206" i="12"/>
  <c r="IH206" i="12"/>
  <c r="II206" i="12"/>
  <c r="IJ206" i="12"/>
  <c r="IK206" i="12"/>
  <c r="IL206" i="12"/>
  <c r="IM206" i="12"/>
  <c r="IN206" i="12"/>
  <c r="IO206" i="12"/>
  <c r="IP206" i="12"/>
  <c r="IQ206" i="12"/>
  <c r="IR206" i="12"/>
  <c r="IS206" i="12"/>
  <c r="IT206" i="12"/>
  <c r="IU206" i="12"/>
  <c r="IV206" i="12"/>
  <c r="F207" i="12"/>
  <c r="G207" i="12"/>
  <c r="H207" i="12"/>
  <c r="I207" i="12"/>
  <c r="J207" i="12"/>
  <c r="K207" i="12"/>
  <c r="L207" i="12"/>
  <c r="M207" i="12"/>
  <c r="N207" i="12"/>
  <c r="O207" i="12"/>
  <c r="P207" i="12"/>
  <c r="Q207" i="12"/>
  <c r="R207" i="12"/>
  <c r="S207" i="12"/>
  <c r="T207" i="12"/>
  <c r="U207" i="12"/>
  <c r="V207" i="12"/>
  <c r="W207" i="12"/>
  <c r="X207" i="12"/>
  <c r="Y207" i="12"/>
  <c r="Z207" i="12"/>
  <c r="AA207" i="12"/>
  <c r="AB207" i="12"/>
  <c r="AC207" i="12"/>
  <c r="AD207" i="12"/>
  <c r="AE207" i="12"/>
  <c r="AF207" i="12"/>
  <c r="AG207" i="12"/>
  <c r="AH207" i="12"/>
  <c r="AI207" i="12"/>
  <c r="AJ207" i="12"/>
  <c r="AK207" i="12"/>
  <c r="AL207" i="12"/>
  <c r="AM207" i="12"/>
  <c r="AN207" i="12"/>
  <c r="AO207" i="12"/>
  <c r="AP207" i="12"/>
  <c r="AQ207" i="12"/>
  <c r="AR207" i="12"/>
  <c r="AS207" i="12"/>
  <c r="AT207" i="12"/>
  <c r="AU207" i="12"/>
  <c r="AV207" i="12"/>
  <c r="AW207" i="12"/>
  <c r="AX207" i="12"/>
  <c r="AY207" i="12"/>
  <c r="AZ207" i="12"/>
  <c r="BA207" i="12"/>
  <c r="BB207" i="12"/>
  <c r="BC207" i="12"/>
  <c r="BD207" i="12"/>
  <c r="BE207" i="12"/>
  <c r="BF207" i="12"/>
  <c r="BG207" i="12"/>
  <c r="BH207" i="12"/>
  <c r="BI207" i="12"/>
  <c r="BJ207" i="12"/>
  <c r="BK207" i="12"/>
  <c r="BL207" i="12"/>
  <c r="BM207" i="12"/>
  <c r="BN207" i="12"/>
  <c r="BO207" i="12"/>
  <c r="BP207" i="12"/>
  <c r="BQ207" i="12"/>
  <c r="BR207" i="12"/>
  <c r="BS207" i="12"/>
  <c r="BT207" i="12"/>
  <c r="BU207" i="12"/>
  <c r="BV207" i="12"/>
  <c r="BW207" i="12"/>
  <c r="BX207" i="12"/>
  <c r="BY207" i="12"/>
  <c r="BZ207" i="12"/>
  <c r="CA207" i="12"/>
  <c r="CB207" i="12"/>
  <c r="CC207" i="12"/>
  <c r="CD207" i="12"/>
  <c r="CE207" i="12"/>
  <c r="CF207" i="12"/>
  <c r="CG207" i="12"/>
  <c r="CH207" i="12"/>
  <c r="CI207" i="12"/>
  <c r="CJ207" i="12"/>
  <c r="CK207" i="12"/>
  <c r="CL207" i="12"/>
  <c r="CM207" i="12"/>
  <c r="CN207" i="12"/>
  <c r="CO207" i="12"/>
  <c r="CP207" i="12"/>
  <c r="CQ207" i="12"/>
  <c r="CR207" i="12"/>
  <c r="CS207" i="12"/>
  <c r="CT207" i="12"/>
  <c r="CU207" i="12"/>
  <c r="CV207" i="12"/>
  <c r="CW207" i="12"/>
  <c r="CX207" i="12"/>
  <c r="CY207" i="12"/>
  <c r="CZ207" i="12"/>
  <c r="DA207" i="12"/>
  <c r="DB207" i="12"/>
  <c r="DC207" i="12"/>
  <c r="DD207" i="12"/>
  <c r="DE207" i="12"/>
  <c r="DF207" i="12"/>
  <c r="DG207" i="12"/>
  <c r="DH207" i="12"/>
  <c r="DI207" i="12"/>
  <c r="DJ207" i="12"/>
  <c r="DK207" i="12"/>
  <c r="DL207" i="12"/>
  <c r="DM207" i="12"/>
  <c r="DN207" i="12"/>
  <c r="DO207" i="12"/>
  <c r="DP207" i="12"/>
  <c r="DQ207" i="12"/>
  <c r="DR207" i="12"/>
  <c r="DS207" i="12"/>
  <c r="DT207" i="12"/>
  <c r="DU207" i="12"/>
  <c r="DV207" i="12"/>
  <c r="DW207" i="12"/>
  <c r="DX207" i="12"/>
  <c r="DY207" i="12"/>
  <c r="DZ207" i="12"/>
  <c r="EA207" i="12"/>
  <c r="EB207" i="12"/>
  <c r="EC207" i="12"/>
  <c r="ED207" i="12"/>
  <c r="EE207" i="12"/>
  <c r="EF207" i="12"/>
  <c r="EG207" i="12"/>
  <c r="EH207" i="12"/>
  <c r="EI207" i="12"/>
  <c r="EJ207" i="12"/>
  <c r="EK207" i="12"/>
  <c r="EL207" i="12"/>
  <c r="EM207" i="12"/>
  <c r="EN207" i="12"/>
  <c r="EO207" i="12"/>
  <c r="EP207" i="12"/>
  <c r="EQ207" i="12"/>
  <c r="ER207" i="12"/>
  <c r="ES207" i="12"/>
  <c r="ET207" i="12"/>
  <c r="EU207" i="12"/>
  <c r="EV207" i="12"/>
  <c r="EW207" i="12"/>
  <c r="EX207" i="12"/>
  <c r="EY207" i="12"/>
  <c r="EZ207" i="12"/>
  <c r="FA207" i="12"/>
  <c r="FB207" i="12"/>
  <c r="FC207" i="12"/>
  <c r="FD207" i="12"/>
  <c r="FE207" i="12"/>
  <c r="FF207" i="12"/>
  <c r="FG207" i="12"/>
  <c r="FH207" i="12"/>
  <c r="FI207" i="12"/>
  <c r="FJ207" i="12"/>
  <c r="FK207" i="12"/>
  <c r="FL207" i="12"/>
  <c r="FM207" i="12"/>
  <c r="FN207" i="12"/>
  <c r="FO207" i="12"/>
  <c r="FP207" i="12"/>
  <c r="FQ207" i="12"/>
  <c r="FR207" i="12"/>
  <c r="FS207" i="12"/>
  <c r="FT207" i="12"/>
  <c r="FU207" i="12"/>
  <c r="FV207" i="12"/>
  <c r="FW207" i="12"/>
  <c r="FX207" i="12"/>
  <c r="FY207" i="12"/>
  <c r="FZ207" i="12"/>
  <c r="GA207" i="12"/>
  <c r="GB207" i="12"/>
  <c r="GC207" i="12"/>
  <c r="GD207" i="12"/>
  <c r="GE207" i="12"/>
  <c r="GF207" i="12"/>
  <c r="GG207" i="12"/>
  <c r="GH207" i="12"/>
  <c r="GI207" i="12"/>
  <c r="GJ207" i="12"/>
  <c r="GK207" i="12"/>
  <c r="GL207" i="12"/>
  <c r="GM207" i="12"/>
  <c r="GN207" i="12"/>
  <c r="GO207" i="12"/>
  <c r="GP207" i="12"/>
  <c r="GQ207" i="12"/>
  <c r="GR207" i="12"/>
  <c r="GS207" i="12"/>
  <c r="GT207" i="12"/>
  <c r="GU207" i="12"/>
  <c r="GV207" i="12"/>
  <c r="GW207" i="12"/>
  <c r="GX207" i="12"/>
  <c r="GY207" i="12"/>
  <c r="GZ207" i="12"/>
  <c r="HA207" i="12"/>
  <c r="HB207" i="12"/>
  <c r="HC207" i="12"/>
  <c r="HD207" i="12"/>
  <c r="HE207" i="12"/>
  <c r="HF207" i="12"/>
  <c r="HG207" i="12"/>
  <c r="HH207" i="12"/>
  <c r="HI207" i="12"/>
  <c r="HJ207" i="12"/>
  <c r="HK207" i="12"/>
  <c r="HL207" i="12"/>
  <c r="HM207" i="12"/>
  <c r="HN207" i="12"/>
  <c r="HO207" i="12"/>
  <c r="HP207" i="12"/>
  <c r="HQ207" i="12"/>
  <c r="HR207" i="12"/>
  <c r="HS207" i="12"/>
  <c r="HT207" i="12"/>
  <c r="HU207" i="12"/>
  <c r="HV207" i="12"/>
  <c r="HW207" i="12"/>
  <c r="HX207" i="12"/>
  <c r="HY207" i="12"/>
  <c r="HZ207" i="12"/>
  <c r="IA207" i="12"/>
  <c r="IB207" i="12"/>
  <c r="IC207" i="12"/>
  <c r="ID207" i="12"/>
  <c r="IE207" i="12"/>
  <c r="IF207" i="12"/>
  <c r="IG207" i="12"/>
  <c r="IH207" i="12"/>
  <c r="II207" i="12"/>
  <c r="IJ207" i="12"/>
  <c r="IK207" i="12"/>
  <c r="IL207" i="12"/>
  <c r="IM207" i="12"/>
  <c r="IN207" i="12"/>
  <c r="IO207" i="12"/>
  <c r="IP207" i="12"/>
  <c r="IQ207" i="12"/>
  <c r="IR207" i="12"/>
  <c r="IS207" i="12"/>
  <c r="IT207" i="12"/>
  <c r="IU207" i="12"/>
  <c r="IV207" i="12"/>
  <c r="F208" i="12"/>
  <c r="G208" i="12"/>
  <c r="H208" i="12"/>
  <c r="I208" i="12"/>
  <c r="J208" i="12"/>
  <c r="K208" i="12"/>
  <c r="L208" i="12"/>
  <c r="M208" i="12"/>
  <c r="N208" i="12"/>
  <c r="O208" i="12"/>
  <c r="P208" i="12"/>
  <c r="Q208" i="12"/>
  <c r="R208" i="12"/>
  <c r="S208" i="12"/>
  <c r="T208" i="12"/>
  <c r="U208" i="12"/>
  <c r="V208" i="12"/>
  <c r="W208" i="12"/>
  <c r="X208" i="12"/>
  <c r="Y208" i="12"/>
  <c r="Z208" i="12"/>
  <c r="AA208" i="12"/>
  <c r="AB208" i="12"/>
  <c r="AC208" i="12"/>
  <c r="AD208" i="12"/>
  <c r="AE208" i="12"/>
  <c r="AF208" i="12"/>
  <c r="AG208" i="12"/>
  <c r="AH208" i="12"/>
  <c r="AI208" i="12"/>
  <c r="AJ208" i="12"/>
  <c r="AK208" i="12"/>
  <c r="AL208" i="12"/>
  <c r="AM208" i="12"/>
  <c r="AN208" i="12"/>
  <c r="AO208" i="12"/>
  <c r="AP208" i="12"/>
  <c r="AQ208" i="12"/>
  <c r="AR208" i="12"/>
  <c r="AS208" i="12"/>
  <c r="AT208" i="12"/>
  <c r="AU208" i="12"/>
  <c r="AV208" i="12"/>
  <c r="AW208" i="12"/>
  <c r="AX208" i="12"/>
  <c r="AY208" i="12"/>
  <c r="AZ208" i="12"/>
  <c r="BA208" i="12"/>
  <c r="BB208" i="12"/>
  <c r="BC208" i="12"/>
  <c r="BD208" i="12"/>
  <c r="BE208" i="12"/>
  <c r="BF208" i="12"/>
  <c r="BG208" i="12"/>
  <c r="BH208" i="12"/>
  <c r="BI208" i="12"/>
  <c r="BJ208" i="12"/>
  <c r="BK208" i="12"/>
  <c r="BL208" i="12"/>
  <c r="BM208" i="12"/>
  <c r="BN208" i="12"/>
  <c r="BO208" i="12"/>
  <c r="BP208" i="12"/>
  <c r="BQ208" i="12"/>
  <c r="BR208" i="12"/>
  <c r="BS208" i="12"/>
  <c r="BT208" i="12"/>
  <c r="BU208" i="12"/>
  <c r="BV208" i="12"/>
  <c r="BW208" i="12"/>
  <c r="BX208" i="12"/>
  <c r="BY208" i="12"/>
  <c r="BZ208" i="12"/>
  <c r="CA208" i="12"/>
  <c r="CB208" i="12"/>
  <c r="CC208" i="12"/>
  <c r="CD208" i="12"/>
  <c r="CE208" i="12"/>
  <c r="CF208" i="12"/>
  <c r="CG208" i="12"/>
  <c r="CH208" i="12"/>
  <c r="CI208" i="12"/>
  <c r="CJ208" i="12"/>
  <c r="CK208" i="12"/>
  <c r="CL208" i="12"/>
  <c r="CM208" i="12"/>
  <c r="CN208" i="12"/>
  <c r="CO208" i="12"/>
  <c r="CP208" i="12"/>
  <c r="CQ208" i="12"/>
  <c r="CR208" i="12"/>
  <c r="CS208" i="12"/>
  <c r="CT208" i="12"/>
  <c r="CU208" i="12"/>
  <c r="CV208" i="12"/>
  <c r="CW208" i="12"/>
  <c r="CX208" i="12"/>
  <c r="CY208" i="12"/>
  <c r="CZ208" i="12"/>
  <c r="DA208" i="12"/>
  <c r="DB208" i="12"/>
  <c r="DC208" i="12"/>
  <c r="DD208" i="12"/>
  <c r="DE208" i="12"/>
  <c r="DF208" i="12"/>
  <c r="DG208" i="12"/>
  <c r="DH208" i="12"/>
  <c r="DI208" i="12"/>
  <c r="DJ208" i="12"/>
  <c r="DK208" i="12"/>
  <c r="DL208" i="12"/>
  <c r="DM208" i="12"/>
  <c r="DN208" i="12"/>
  <c r="DO208" i="12"/>
  <c r="DP208" i="12"/>
  <c r="DQ208" i="12"/>
  <c r="DR208" i="12"/>
  <c r="DS208" i="12"/>
  <c r="DT208" i="12"/>
  <c r="DU208" i="12"/>
  <c r="DV208" i="12"/>
  <c r="DW208" i="12"/>
  <c r="DX208" i="12"/>
  <c r="DY208" i="12"/>
  <c r="DZ208" i="12"/>
  <c r="EA208" i="12"/>
  <c r="EB208" i="12"/>
  <c r="EC208" i="12"/>
  <c r="ED208" i="12"/>
  <c r="EE208" i="12"/>
  <c r="EF208" i="12"/>
  <c r="EG208" i="12"/>
  <c r="EH208" i="12"/>
  <c r="EI208" i="12"/>
  <c r="EJ208" i="12"/>
  <c r="EK208" i="12"/>
  <c r="EL208" i="12"/>
  <c r="EM208" i="12"/>
  <c r="EN208" i="12"/>
  <c r="EO208" i="12"/>
  <c r="EP208" i="12"/>
  <c r="EQ208" i="12"/>
  <c r="ER208" i="12"/>
  <c r="ES208" i="12"/>
  <c r="ET208" i="12"/>
  <c r="EU208" i="12"/>
  <c r="EV208" i="12"/>
  <c r="EW208" i="12"/>
  <c r="EX208" i="12"/>
  <c r="EY208" i="12"/>
  <c r="EZ208" i="12"/>
  <c r="FA208" i="12"/>
  <c r="FB208" i="12"/>
  <c r="FC208" i="12"/>
  <c r="FD208" i="12"/>
  <c r="FE208" i="12"/>
  <c r="FF208" i="12"/>
  <c r="FG208" i="12"/>
  <c r="FH208" i="12"/>
  <c r="FI208" i="12"/>
  <c r="FJ208" i="12"/>
  <c r="FK208" i="12"/>
  <c r="FL208" i="12"/>
  <c r="FM208" i="12"/>
  <c r="FN208" i="12"/>
  <c r="FO208" i="12"/>
  <c r="FP208" i="12"/>
  <c r="FQ208" i="12"/>
  <c r="FR208" i="12"/>
  <c r="FS208" i="12"/>
  <c r="FT208" i="12"/>
  <c r="FU208" i="12"/>
  <c r="FV208" i="12"/>
  <c r="FW208" i="12"/>
  <c r="FX208" i="12"/>
  <c r="FY208" i="12"/>
  <c r="FZ208" i="12"/>
  <c r="GA208" i="12"/>
  <c r="GB208" i="12"/>
  <c r="GC208" i="12"/>
  <c r="GD208" i="12"/>
  <c r="GE208" i="12"/>
  <c r="GF208" i="12"/>
  <c r="GG208" i="12"/>
  <c r="GH208" i="12"/>
  <c r="GI208" i="12"/>
  <c r="GJ208" i="12"/>
  <c r="GK208" i="12"/>
  <c r="GL208" i="12"/>
  <c r="GM208" i="12"/>
  <c r="GN208" i="12"/>
  <c r="GO208" i="12"/>
  <c r="GP208" i="12"/>
  <c r="GQ208" i="12"/>
  <c r="GR208" i="12"/>
  <c r="GS208" i="12"/>
  <c r="GT208" i="12"/>
  <c r="GU208" i="12"/>
  <c r="GV208" i="12"/>
  <c r="GW208" i="12"/>
  <c r="GX208" i="12"/>
  <c r="GY208" i="12"/>
  <c r="GZ208" i="12"/>
  <c r="HA208" i="12"/>
  <c r="HB208" i="12"/>
  <c r="HC208" i="12"/>
  <c r="HD208" i="12"/>
  <c r="HE208" i="12"/>
  <c r="HF208" i="12"/>
  <c r="HG208" i="12"/>
  <c r="HH208" i="12"/>
  <c r="HI208" i="12"/>
  <c r="HJ208" i="12"/>
  <c r="HK208" i="12"/>
  <c r="HL208" i="12"/>
  <c r="HM208" i="12"/>
  <c r="HN208" i="12"/>
  <c r="HO208" i="12"/>
  <c r="HP208" i="12"/>
  <c r="HQ208" i="12"/>
  <c r="HR208" i="12"/>
  <c r="HS208" i="12"/>
  <c r="HT208" i="12"/>
  <c r="HU208" i="12"/>
  <c r="HV208" i="12"/>
  <c r="HW208" i="12"/>
  <c r="HX208" i="12"/>
  <c r="HY208" i="12"/>
  <c r="HZ208" i="12"/>
  <c r="IA208" i="12"/>
  <c r="IB208" i="12"/>
  <c r="IC208" i="12"/>
  <c r="ID208" i="12"/>
  <c r="IE208" i="12"/>
  <c r="IF208" i="12"/>
  <c r="IG208" i="12"/>
  <c r="IH208" i="12"/>
  <c r="II208" i="12"/>
  <c r="IJ208" i="12"/>
  <c r="IK208" i="12"/>
  <c r="IL208" i="12"/>
  <c r="IM208" i="12"/>
  <c r="IN208" i="12"/>
  <c r="IO208" i="12"/>
  <c r="IP208" i="12"/>
  <c r="IQ208" i="12"/>
  <c r="IR208" i="12"/>
  <c r="IS208" i="12"/>
  <c r="IT208" i="12"/>
  <c r="IU208" i="12"/>
  <c r="IV208" i="12"/>
  <c r="F209" i="12"/>
  <c r="G209" i="12"/>
  <c r="H209" i="12"/>
  <c r="I209" i="12"/>
  <c r="J209" i="12"/>
  <c r="K209" i="12"/>
  <c r="L209" i="12"/>
  <c r="M209" i="12"/>
  <c r="N209" i="12"/>
  <c r="O209" i="12"/>
  <c r="P209" i="12"/>
  <c r="Q209" i="12"/>
  <c r="R209" i="12"/>
  <c r="S209" i="12"/>
  <c r="T209" i="12"/>
  <c r="U209" i="12"/>
  <c r="V209" i="12"/>
  <c r="W209" i="12"/>
  <c r="X209" i="12"/>
  <c r="Y209" i="12"/>
  <c r="Z209" i="12"/>
  <c r="AA209" i="12"/>
  <c r="AB209" i="12"/>
  <c r="AC209" i="12"/>
  <c r="AD209" i="12"/>
  <c r="AE209" i="12"/>
  <c r="AF209" i="12"/>
  <c r="AG209" i="12"/>
  <c r="AH209" i="12"/>
  <c r="AI209" i="12"/>
  <c r="AJ209" i="12"/>
  <c r="AK209" i="12"/>
  <c r="AL209" i="12"/>
  <c r="AM209" i="12"/>
  <c r="AN209" i="12"/>
  <c r="AO209" i="12"/>
  <c r="AP209" i="12"/>
  <c r="AQ209" i="12"/>
  <c r="AR209" i="12"/>
  <c r="AS209" i="12"/>
  <c r="AT209" i="12"/>
  <c r="AU209" i="12"/>
  <c r="AV209" i="12"/>
  <c r="AW209" i="12"/>
  <c r="AX209" i="12"/>
  <c r="AY209" i="12"/>
  <c r="AZ209" i="12"/>
  <c r="BA209" i="12"/>
  <c r="BB209" i="12"/>
  <c r="BC209" i="12"/>
  <c r="BD209" i="12"/>
  <c r="BE209" i="12"/>
  <c r="BF209" i="12"/>
  <c r="BG209" i="12"/>
  <c r="BH209" i="12"/>
  <c r="BI209" i="12"/>
  <c r="BJ209" i="12"/>
  <c r="BK209" i="12"/>
  <c r="BL209" i="12"/>
  <c r="BM209" i="12"/>
  <c r="BN209" i="12"/>
  <c r="BO209" i="12"/>
  <c r="BP209" i="12"/>
  <c r="BQ209" i="12"/>
  <c r="BR209" i="12"/>
  <c r="BS209" i="12"/>
  <c r="BT209" i="12"/>
  <c r="BU209" i="12"/>
  <c r="BV209" i="12"/>
  <c r="BW209" i="12"/>
  <c r="BX209" i="12"/>
  <c r="BY209" i="12"/>
  <c r="BZ209" i="12"/>
  <c r="CA209" i="12"/>
  <c r="CB209" i="12"/>
  <c r="CC209" i="12"/>
  <c r="CD209" i="12"/>
  <c r="CE209" i="12"/>
  <c r="CF209" i="12"/>
  <c r="CG209" i="12"/>
  <c r="CH209" i="12"/>
  <c r="CI209" i="12"/>
  <c r="CJ209" i="12"/>
  <c r="CK209" i="12"/>
  <c r="CL209" i="12"/>
  <c r="CM209" i="12"/>
  <c r="CN209" i="12"/>
  <c r="CO209" i="12"/>
  <c r="CP209" i="12"/>
  <c r="CQ209" i="12"/>
  <c r="CR209" i="12"/>
  <c r="CS209" i="12"/>
  <c r="CT209" i="12"/>
  <c r="CU209" i="12"/>
  <c r="CV209" i="12"/>
  <c r="CW209" i="12"/>
  <c r="CX209" i="12"/>
  <c r="CY209" i="12"/>
  <c r="CZ209" i="12"/>
  <c r="DA209" i="12"/>
  <c r="DB209" i="12"/>
  <c r="DC209" i="12"/>
  <c r="DD209" i="12"/>
  <c r="DE209" i="12"/>
  <c r="DF209" i="12"/>
  <c r="DG209" i="12"/>
  <c r="DH209" i="12"/>
  <c r="DI209" i="12"/>
  <c r="DJ209" i="12"/>
  <c r="DK209" i="12"/>
  <c r="DL209" i="12"/>
  <c r="DM209" i="12"/>
  <c r="DN209" i="12"/>
  <c r="DO209" i="12"/>
  <c r="DP209" i="12"/>
  <c r="DQ209" i="12"/>
  <c r="DR209" i="12"/>
  <c r="DS209" i="12"/>
  <c r="DT209" i="12"/>
  <c r="DU209" i="12"/>
  <c r="DV209" i="12"/>
  <c r="DW209" i="12"/>
  <c r="DX209" i="12"/>
  <c r="DY209" i="12"/>
  <c r="DZ209" i="12"/>
  <c r="EA209" i="12"/>
  <c r="EB209" i="12"/>
  <c r="EC209" i="12"/>
  <c r="ED209" i="12"/>
  <c r="EE209" i="12"/>
  <c r="EF209" i="12"/>
  <c r="EG209" i="12"/>
  <c r="EH209" i="12"/>
  <c r="EI209" i="12"/>
  <c r="EJ209" i="12"/>
  <c r="EK209" i="12"/>
  <c r="EL209" i="12"/>
  <c r="EM209" i="12"/>
  <c r="EN209" i="12"/>
  <c r="EO209" i="12"/>
  <c r="EP209" i="12"/>
  <c r="EQ209" i="12"/>
  <c r="ER209" i="12"/>
  <c r="ES209" i="12"/>
  <c r="ET209" i="12"/>
  <c r="EU209" i="12"/>
  <c r="EV209" i="12"/>
  <c r="EW209" i="12"/>
  <c r="EX209" i="12"/>
  <c r="EY209" i="12"/>
  <c r="EZ209" i="12"/>
  <c r="FA209" i="12"/>
  <c r="FB209" i="12"/>
  <c r="FC209" i="12"/>
  <c r="FD209" i="12"/>
  <c r="FE209" i="12"/>
  <c r="FF209" i="12"/>
  <c r="FG209" i="12"/>
  <c r="FH209" i="12"/>
  <c r="FI209" i="12"/>
  <c r="FJ209" i="12"/>
  <c r="FK209" i="12"/>
  <c r="FL209" i="12"/>
  <c r="FM209" i="12"/>
  <c r="FN209" i="12"/>
  <c r="FO209" i="12"/>
  <c r="FP209" i="12"/>
  <c r="FQ209" i="12"/>
  <c r="FR209" i="12"/>
  <c r="FS209" i="12"/>
  <c r="FT209" i="12"/>
  <c r="FU209" i="12"/>
  <c r="FV209" i="12"/>
  <c r="FW209" i="12"/>
  <c r="FX209" i="12"/>
  <c r="FY209" i="12"/>
  <c r="FZ209" i="12"/>
  <c r="GA209" i="12"/>
  <c r="GB209" i="12"/>
  <c r="GC209" i="12"/>
  <c r="GD209" i="12"/>
  <c r="GE209" i="12"/>
  <c r="GF209" i="12"/>
  <c r="GG209" i="12"/>
  <c r="GH209" i="12"/>
  <c r="GI209" i="12"/>
  <c r="GJ209" i="12"/>
  <c r="GK209" i="12"/>
  <c r="GL209" i="12"/>
  <c r="GM209" i="12"/>
  <c r="GN209" i="12"/>
  <c r="GO209" i="12"/>
  <c r="GP209" i="12"/>
  <c r="GQ209" i="12"/>
  <c r="GR209" i="12"/>
  <c r="GS209" i="12"/>
  <c r="GT209" i="12"/>
  <c r="GU209" i="12"/>
  <c r="GV209" i="12"/>
  <c r="GW209" i="12"/>
  <c r="GX209" i="12"/>
  <c r="GY209" i="12"/>
  <c r="GZ209" i="12"/>
  <c r="HA209" i="12"/>
  <c r="HB209" i="12"/>
  <c r="HC209" i="12"/>
  <c r="HD209" i="12"/>
  <c r="HE209" i="12"/>
  <c r="HF209" i="12"/>
  <c r="HG209" i="12"/>
  <c r="HH209" i="12"/>
  <c r="HI209" i="12"/>
  <c r="HJ209" i="12"/>
  <c r="HK209" i="12"/>
  <c r="HL209" i="12"/>
  <c r="HM209" i="12"/>
  <c r="HN209" i="12"/>
  <c r="HO209" i="12"/>
  <c r="HP209" i="12"/>
  <c r="HQ209" i="12"/>
  <c r="HR209" i="12"/>
  <c r="HS209" i="12"/>
  <c r="HT209" i="12"/>
  <c r="HU209" i="12"/>
  <c r="HV209" i="12"/>
  <c r="HW209" i="12"/>
  <c r="HX209" i="12"/>
  <c r="HY209" i="12"/>
  <c r="HZ209" i="12"/>
  <c r="IA209" i="12"/>
  <c r="IB209" i="12"/>
  <c r="IC209" i="12"/>
  <c r="ID209" i="12"/>
  <c r="IE209" i="12"/>
  <c r="IF209" i="12"/>
  <c r="IG209" i="12"/>
  <c r="IH209" i="12"/>
  <c r="II209" i="12"/>
  <c r="IJ209" i="12"/>
  <c r="IK209" i="12"/>
  <c r="IL209" i="12"/>
  <c r="IM209" i="12"/>
  <c r="IN209" i="12"/>
  <c r="IO209" i="12"/>
  <c r="IP209" i="12"/>
  <c r="IQ209" i="12"/>
  <c r="IR209" i="12"/>
  <c r="IS209" i="12"/>
  <c r="IT209" i="12"/>
  <c r="IU209" i="12"/>
  <c r="IV209" i="12"/>
  <c r="F210" i="12"/>
  <c r="G210" i="12"/>
  <c r="H210" i="12"/>
  <c r="I210" i="12"/>
  <c r="J210" i="12"/>
  <c r="K210" i="12"/>
  <c r="L210" i="12"/>
  <c r="M210" i="12"/>
  <c r="N210" i="12"/>
  <c r="O210" i="12"/>
  <c r="P210" i="12"/>
  <c r="Q210" i="12"/>
  <c r="R210" i="12"/>
  <c r="S210" i="12"/>
  <c r="T210" i="12"/>
  <c r="U210" i="12"/>
  <c r="V210" i="12"/>
  <c r="W210" i="12"/>
  <c r="X210" i="12"/>
  <c r="Y210" i="12"/>
  <c r="Z210" i="12"/>
  <c r="AA210" i="12"/>
  <c r="AB210" i="12"/>
  <c r="AC210" i="12"/>
  <c r="AD210" i="12"/>
  <c r="AE210" i="12"/>
  <c r="AF210" i="12"/>
  <c r="AG210" i="12"/>
  <c r="AH210" i="12"/>
  <c r="AI210" i="12"/>
  <c r="AJ210" i="12"/>
  <c r="AK210" i="12"/>
  <c r="AL210" i="12"/>
  <c r="AM210" i="12"/>
  <c r="AN210" i="12"/>
  <c r="AO210" i="12"/>
  <c r="AP210" i="12"/>
  <c r="AQ210" i="12"/>
  <c r="AR210" i="12"/>
  <c r="AS210" i="12"/>
  <c r="AT210" i="12"/>
  <c r="AU210" i="12"/>
  <c r="AV210" i="12"/>
  <c r="AW210" i="12"/>
  <c r="AX210" i="12"/>
  <c r="AY210" i="12"/>
  <c r="AZ210" i="12"/>
  <c r="BA210" i="12"/>
  <c r="BB210" i="12"/>
  <c r="BC210" i="12"/>
  <c r="BD210" i="12"/>
  <c r="BE210" i="12"/>
  <c r="BF210" i="12"/>
  <c r="BG210" i="12"/>
  <c r="BH210" i="12"/>
  <c r="BI210" i="12"/>
  <c r="BJ210" i="12"/>
  <c r="BK210" i="12"/>
  <c r="BL210" i="12"/>
  <c r="BM210" i="12"/>
  <c r="BN210" i="12"/>
  <c r="BO210" i="12"/>
  <c r="BP210" i="12"/>
  <c r="BQ210" i="12"/>
  <c r="BR210" i="12"/>
  <c r="BS210" i="12"/>
  <c r="BT210" i="12"/>
  <c r="BU210" i="12"/>
  <c r="BV210" i="12"/>
  <c r="BW210" i="12"/>
  <c r="BX210" i="12"/>
  <c r="BY210" i="12"/>
  <c r="BZ210" i="12"/>
  <c r="CA210" i="12"/>
  <c r="CB210" i="12"/>
  <c r="CC210" i="12"/>
  <c r="CD210" i="12"/>
  <c r="CE210" i="12"/>
  <c r="CF210" i="12"/>
  <c r="CG210" i="12"/>
  <c r="CH210" i="12"/>
  <c r="CI210" i="12"/>
  <c r="CJ210" i="12"/>
  <c r="CK210" i="12"/>
  <c r="CL210" i="12"/>
  <c r="CM210" i="12"/>
  <c r="CN210" i="12"/>
  <c r="CO210" i="12"/>
  <c r="CP210" i="12"/>
  <c r="CQ210" i="12"/>
  <c r="CR210" i="12"/>
  <c r="CS210" i="12"/>
  <c r="CT210" i="12"/>
  <c r="CU210" i="12"/>
  <c r="CV210" i="12"/>
  <c r="CW210" i="12"/>
  <c r="CX210" i="12"/>
  <c r="CY210" i="12"/>
  <c r="CZ210" i="12"/>
  <c r="DA210" i="12"/>
  <c r="DB210" i="12"/>
  <c r="DC210" i="12"/>
  <c r="DD210" i="12"/>
  <c r="DE210" i="12"/>
  <c r="DF210" i="12"/>
  <c r="DG210" i="12"/>
  <c r="DH210" i="12"/>
  <c r="DI210" i="12"/>
  <c r="DJ210" i="12"/>
  <c r="DK210" i="12"/>
  <c r="DL210" i="12"/>
  <c r="DM210" i="12"/>
  <c r="DN210" i="12"/>
  <c r="DO210" i="12"/>
  <c r="DP210" i="12"/>
  <c r="DQ210" i="12"/>
  <c r="DR210" i="12"/>
  <c r="DS210" i="12"/>
  <c r="DT210" i="12"/>
  <c r="DU210" i="12"/>
  <c r="DV210" i="12"/>
  <c r="DW210" i="12"/>
  <c r="DX210" i="12"/>
  <c r="DY210" i="12"/>
  <c r="DZ210" i="12"/>
  <c r="EA210" i="12"/>
  <c r="EB210" i="12"/>
  <c r="EC210" i="12"/>
  <c r="ED210" i="12"/>
  <c r="EE210" i="12"/>
  <c r="EF210" i="12"/>
  <c r="EG210" i="12"/>
  <c r="EH210" i="12"/>
  <c r="EI210" i="12"/>
  <c r="EJ210" i="12"/>
  <c r="EK210" i="12"/>
  <c r="EL210" i="12"/>
  <c r="EM210" i="12"/>
  <c r="EN210" i="12"/>
  <c r="EO210" i="12"/>
  <c r="EP210" i="12"/>
  <c r="EQ210" i="12"/>
  <c r="ER210" i="12"/>
  <c r="ES210" i="12"/>
  <c r="ET210" i="12"/>
  <c r="EU210" i="12"/>
  <c r="EV210" i="12"/>
  <c r="EW210" i="12"/>
  <c r="EX210" i="12"/>
  <c r="EY210" i="12"/>
  <c r="EZ210" i="12"/>
  <c r="FA210" i="12"/>
  <c r="FB210" i="12"/>
  <c r="FC210" i="12"/>
  <c r="FD210" i="12"/>
  <c r="FE210" i="12"/>
  <c r="FF210" i="12"/>
  <c r="FG210" i="12"/>
  <c r="FH210" i="12"/>
  <c r="FI210" i="12"/>
  <c r="FJ210" i="12"/>
  <c r="FK210" i="12"/>
  <c r="FL210" i="12"/>
  <c r="FM210" i="12"/>
  <c r="FN210" i="12"/>
  <c r="FO210" i="12"/>
  <c r="FP210" i="12"/>
  <c r="FQ210" i="12"/>
  <c r="FR210" i="12"/>
  <c r="FS210" i="12"/>
  <c r="FT210" i="12"/>
  <c r="FU210" i="12"/>
  <c r="FV210" i="12"/>
  <c r="FW210" i="12"/>
  <c r="FX210" i="12"/>
  <c r="FY210" i="12"/>
  <c r="FZ210" i="12"/>
  <c r="GA210" i="12"/>
  <c r="GB210" i="12"/>
  <c r="GC210" i="12"/>
  <c r="GD210" i="12"/>
  <c r="GE210" i="12"/>
  <c r="GF210" i="12"/>
  <c r="GG210" i="12"/>
  <c r="GH210" i="12"/>
  <c r="GI210" i="12"/>
  <c r="GJ210" i="12"/>
  <c r="GK210" i="12"/>
  <c r="GL210" i="12"/>
  <c r="GM210" i="12"/>
  <c r="GN210" i="12"/>
  <c r="GO210" i="12"/>
  <c r="GP210" i="12"/>
  <c r="GQ210" i="12"/>
  <c r="GR210" i="12"/>
  <c r="GS210" i="12"/>
  <c r="GT210" i="12"/>
  <c r="GU210" i="12"/>
  <c r="GV210" i="12"/>
  <c r="GW210" i="12"/>
  <c r="GX210" i="12"/>
  <c r="GY210" i="12"/>
  <c r="GZ210" i="12"/>
  <c r="HA210" i="12"/>
  <c r="HB210" i="12"/>
  <c r="HC210" i="12"/>
  <c r="HD210" i="12"/>
  <c r="HE210" i="12"/>
  <c r="HF210" i="12"/>
  <c r="HG210" i="12"/>
  <c r="HH210" i="12"/>
  <c r="HI210" i="12"/>
  <c r="HJ210" i="12"/>
  <c r="HK210" i="12"/>
  <c r="HL210" i="12"/>
  <c r="HM210" i="12"/>
  <c r="HN210" i="12"/>
  <c r="HO210" i="12"/>
  <c r="HP210" i="12"/>
  <c r="HQ210" i="12"/>
  <c r="HR210" i="12"/>
  <c r="HS210" i="12"/>
  <c r="HT210" i="12"/>
  <c r="HU210" i="12"/>
  <c r="HV210" i="12"/>
  <c r="HW210" i="12"/>
  <c r="HX210" i="12"/>
  <c r="HY210" i="12"/>
  <c r="HZ210" i="12"/>
  <c r="IA210" i="12"/>
  <c r="IB210" i="12"/>
  <c r="IC210" i="12"/>
  <c r="ID210" i="12"/>
  <c r="IE210" i="12"/>
  <c r="IF210" i="12"/>
  <c r="IG210" i="12"/>
  <c r="IH210" i="12"/>
  <c r="II210" i="12"/>
  <c r="IJ210" i="12"/>
  <c r="IK210" i="12"/>
  <c r="IL210" i="12"/>
  <c r="IM210" i="12"/>
  <c r="IN210" i="12"/>
  <c r="IO210" i="12"/>
  <c r="IP210" i="12"/>
  <c r="IQ210" i="12"/>
  <c r="IR210" i="12"/>
  <c r="IS210" i="12"/>
  <c r="IT210" i="12"/>
  <c r="IU210" i="12"/>
  <c r="IV210" i="12"/>
  <c r="F211" i="12"/>
  <c r="G211" i="12"/>
  <c r="H211" i="12"/>
  <c r="I211" i="12"/>
  <c r="J211" i="12"/>
  <c r="K211" i="12"/>
  <c r="L211" i="12"/>
  <c r="M211" i="12"/>
  <c r="N211" i="12"/>
  <c r="O211" i="12"/>
  <c r="P211" i="12"/>
  <c r="Q211" i="12"/>
  <c r="R211" i="12"/>
  <c r="S211" i="12"/>
  <c r="T211" i="12"/>
  <c r="U211" i="12"/>
  <c r="V211" i="12"/>
  <c r="W211" i="12"/>
  <c r="X211" i="12"/>
  <c r="Y211" i="12"/>
  <c r="Z211" i="12"/>
  <c r="AA211" i="12"/>
  <c r="AB211" i="12"/>
  <c r="AC211" i="12"/>
  <c r="AD211" i="12"/>
  <c r="AE211" i="12"/>
  <c r="AF211" i="12"/>
  <c r="AG211" i="12"/>
  <c r="AH211" i="12"/>
  <c r="AI211" i="12"/>
  <c r="AJ211" i="12"/>
  <c r="AK211" i="12"/>
  <c r="AL211" i="12"/>
  <c r="AM211" i="12"/>
  <c r="AN211" i="12"/>
  <c r="AO211" i="12"/>
  <c r="AP211" i="12"/>
  <c r="AQ211" i="12"/>
  <c r="AR211" i="12"/>
  <c r="AS211" i="12"/>
  <c r="AT211" i="12"/>
  <c r="AU211" i="12"/>
  <c r="AV211" i="12"/>
  <c r="AW211" i="12"/>
  <c r="AX211" i="12"/>
  <c r="AY211" i="12"/>
  <c r="AZ211" i="12"/>
  <c r="BA211" i="12"/>
  <c r="BB211" i="12"/>
  <c r="BC211" i="12"/>
  <c r="BD211" i="12"/>
  <c r="BE211" i="12"/>
  <c r="BF211" i="12"/>
  <c r="BG211" i="12"/>
  <c r="BH211" i="12"/>
  <c r="BI211" i="12"/>
  <c r="BJ211" i="12"/>
  <c r="BK211" i="12"/>
  <c r="BL211" i="12"/>
  <c r="BM211" i="12"/>
  <c r="BN211" i="12"/>
  <c r="BO211" i="12"/>
  <c r="BP211" i="12"/>
  <c r="BQ211" i="12"/>
  <c r="BR211" i="12"/>
  <c r="BS211" i="12"/>
  <c r="BT211" i="12"/>
  <c r="BU211" i="12"/>
  <c r="BV211" i="12"/>
  <c r="BW211" i="12"/>
  <c r="BX211" i="12"/>
  <c r="BY211" i="12"/>
  <c r="BZ211" i="12"/>
  <c r="CA211" i="12"/>
  <c r="CB211" i="12"/>
  <c r="CC211" i="12"/>
  <c r="CD211" i="12"/>
  <c r="CE211" i="12"/>
  <c r="CF211" i="12"/>
  <c r="CG211" i="12"/>
  <c r="CH211" i="12"/>
  <c r="CI211" i="12"/>
  <c r="CJ211" i="12"/>
  <c r="CK211" i="12"/>
  <c r="CL211" i="12"/>
  <c r="CM211" i="12"/>
  <c r="CN211" i="12"/>
  <c r="CO211" i="12"/>
  <c r="CP211" i="12"/>
  <c r="CQ211" i="12"/>
  <c r="CR211" i="12"/>
  <c r="CS211" i="12"/>
  <c r="CT211" i="12"/>
  <c r="CU211" i="12"/>
  <c r="CV211" i="12"/>
  <c r="CW211" i="12"/>
  <c r="CX211" i="12"/>
  <c r="CY211" i="12"/>
  <c r="CZ211" i="12"/>
  <c r="DA211" i="12"/>
  <c r="DB211" i="12"/>
  <c r="DC211" i="12"/>
  <c r="DD211" i="12"/>
  <c r="DE211" i="12"/>
  <c r="DF211" i="12"/>
  <c r="DG211" i="12"/>
  <c r="DH211" i="12"/>
  <c r="DI211" i="12"/>
  <c r="DJ211" i="12"/>
  <c r="DK211" i="12"/>
  <c r="DL211" i="12"/>
  <c r="DM211" i="12"/>
  <c r="DN211" i="12"/>
  <c r="DO211" i="12"/>
  <c r="DP211" i="12"/>
  <c r="DQ211" i="12"/>
  <c r="DR211" i="12"/>
  <c r="DS211" i="12"/>
  <c r="DT211" i="12"/>
  <c r="DU211" i="12"/>
  <c r="DV211" i="12"/>
  <c r="DW211" i="12"/>
  <c r="DX211" i="12"/>
  <c r="DY211" i="12"/>
  <c r="DZ211" i="12"/>
  <c r="EA211" i="12"/>
  <c r="EB211" i="12"/>
  <c r="EC211" i="12"/>
  <c r="ED211" i="12"/>
  <c r="EE211" i="12"/>
  <c r="EF211" i="12"/>
  <c r="EG211" i="12"/>
  <c r="EH211" i="12"/>
  <c r="EI211" i="12"/>
  <c r="EJ211" i="12"/>
  <c r="EK211" i="12"/>
  <c r="EL211" i="12"/>
  <c r="EM211" i="12"/>
  <c r="EN211" i="12"/>
  <c r="EO211" i="12"/>
  <c r="EP211" i="12"/>
  <c r="EQ211" i="12"/>
  <c r="ER211" i="12"/>
  <c r="ES211" i="12"/>
  <c r="ET211" i="12"/>
  <c r="EU211" i="12"/>
  <c r="EV211" i="12"/>
  <c r="EW211" i="12"/>
  <c r="EX211" i="12"/>
  <c r="EY211" i="12"/>
  <c r="EZ211" i="12"/>
  <c r="FA211" i="12"/>
  <c r="FB211" i="12"/>
  <c r="FC211" i="12"/>
  <c r="FD211" i="12"/>
  <c r="FE211" i="12"/>
  <c r="FF211" i="12"/>
  <c r="FG211" i="12"/>
  <c r="FH211" i="12"/>
  <c r="FI211" i="12"/>
  <c r="FJ211" i="12"/>
  <c r="FK211" i="12"/>
  <c r="FL211" i="12"/>
  <c r="FM211" i="12"/>
  <c r="FN211" i="12"/>
  <c r="FO211" i="12"/>
  <c r="FP211" i="12"/>
  <c r="FQ211" i="12"/>
  <c r="FR211" i="12"/>
  <c r="FS211" i="12"/>
  <c r="FT211" i="12"/>
  <c r="FU211" i="12"/>
  <c r="FV211" i="12"/>
  <c r="FW211" i="12"/>
  <c r="FX211" i="12"/>
  <c r="FY211" i="12"/>
  <c r="FZ211" i="12"/>
  <c r="GA211" i="12"/>
  <c r="GB211" i="12"/>
  <c r="GC211" i="12"/>
  <c r="GD211" i="12"/>
  <c r="GE211" i="12"/>
  <c r="GF211" i="12"/>
  <c r="GG211" i="12"/>
  <c r="GH211" i="12"/>
  <c r="GI211" i="12"/>
  <c r="GJ211" i="12"/>
  <c r="GK211" i="12"/>
  <c r="GL211" i="12"/>
  <c r="GM211" i="12"/>
  <c r="GN211" i="12"/>
  <c r="GO211" i="12"/>
  <c r="GP211" i="12"/>
  <c r="GQ211" i="12"/>
  <c r="GR211" i="12"/>
  <c r="GS211" i="12"/>
  <c r="GT211" i="12"/>
  <c r="GU211" i="12"/>
  <c r="GV211" i="12"/>
  <c r="GW211" i="12"/>
  <c r="GX211" i="12"/>
  <c r="GY211" i="12"/>
  <c r="GZ211" i="12"/>
  <c r="HA211" i="12"/>
  <c r="HB211" i="12"/>
  <c r="HC211" i="12"/>
  <c r="HD211" i="12"/>
  <c r="HE211" i="12"/>
  <c r="HF211" i="12"/>
  <c r="HG211" i="12"/>
  <c r="HH211" i="12"/>
  <c r="HI211" i="12"/>
  <c r="HJ211" i="12"/>
  <c r="HK211" i="12"/>
  <c r="HL211" i="12"/>
  <c r="HM211" i="12"/>
  <c r="HN211" i="12"/>
  <c r="HO211" i="12"/>
  <c r="HP211" i="12"/>
  <c r="HQ211" i="12"/>
  <c r="HR211" i="12"/>
  <c r="HS211" i="12"/>
  <c r="HT211" i="12"/>
  <c r="HU211" i="12"/>
  <c r="HV211" i="12"/>
  <c r="HW211" i="12"/>
  <c r="HX211" i="12"/>
  <c r="HY211" i="12"/>
  <c r="HZ211" i="12"/>
  <c r="IA211" i="12"/>
  <c r="IB211" i="12"/>
  <c r="IC211" i="12"/>
  <c r="ID211" i="12"/>
  <c r="IE211" i="12"/>
  <c r="IF211" i="12"/>
  <c r="IG211" i="12"/>
  <c r="IH211" i="12"/>
  <c r="II211" i="12"/>
  <c r="IJ211" i="12"/>
  <c r="IK211" i="12"/>
  <c r="IL211" i="12"/>
  <c r="IM211" i="12"/>
  <c r="IN211" i="12"/>
  <c r="IO211" i="12"/>
  <c r="IP211" i="12"/>
  <c r="IQ211" i="12"/>
  <c r="IR211" i="12"/>
  <c r="IS211" i="12"/>
  <c r="IT211" i="12"/>
  <c r="IU211" i="12"/>
  <c r="IV211" i="12"/>
  <c r="F212" i="12"/>
  <c r="G212" i="12"/>
  <c r="H212" i="12"/>
  <c r="I212" i="12"/>
  <c r="J212" i="12"/>
  <c r="K212" i="12"/>
  <c r="L212" i="12"/>
  <c r="M212" i="12"/>
  <c r="N212" i="12"/>
  <c r="O212" i="12"/>
  <c r="P212" i="12"/>
  <c r="Q212" i="12"/>
  <c r="R212" i="12"/>
  <c r="S212" i="12"/>
  <c r="T212" i="12"/>
  <c r="U212" i="12"/>
  <c r="V212" i="12"/>
  <c r="W212" i="12"/>
  <c r="X212" i="12"/>
  <c r="Y212" i="12"/>
  <c r="Z212" i="12"/>
  <c r="AA212" i="12"/>
  <c r="AB212" i="12"/>
  <c r="AC212" i="12"/>
  <c r="AD212" i="12"/>
  <c r="AE212" i="12"/>
  <c r="AF212" i="12"/>
  <c r="AG212" i="12"/>
  <c r="AH212" i="12"/>
  <c r="AI212" i="12"/>
  <c r="AJ212" i="12"/>
  <c r="AK212" i="12"/>
  <c r="AL212" i="12"/>
  <c r="AM212" i="12"/>
  <c r="AN212" i="12"/>
  <c r="AO212" i="12"/>
  <c r="AP212" i="12"/>
  <c r="AQ212" i="12"/>
  <c r="AR212" i="12"/>
  <c r="AS212" i="12"/>
  <c r="AT212" i="12"/>
  <c r="AU212" i="12"/>
  <c r="AV212" i="12"/>
  <c r="AW212" i="12"/>
  <c r="AX212" i="12"/>
  <c r="AY212" i="12"/>
  <c r="AZ212" i="12"/>
  <c r="BA212" i="12"/>
  <c r="BB212" i="12"/>
  <c r="BC212" i="12"/>
  <c r="BD212" i="12"/>
  <c r="BE212" i="12"/>
  <c r="BF212" i="12"/>
  <c r="BG212" i="12"/>
  <c r="BH212" i="12"/>
  <c r="BI212" i="12"/>
  <c r="BJ212" i="12"/>
  <c r="BK212" i="12"/>
  <c r="BL212" i="12"/>
  <c r="BM212" i="12"/>
  <c r="BN212" i="12"/>
  <c r="BO212" i="12"/>
  <c r="BP212" i="12"/>
  <c r="BQ212" i="12"/>
  <c r="BR212" i="12"/>
  <c r="BS212" i="12"/>
  <c r="BT212" i="12"/>
  <c r="BU212" i="12"/>
  <c r="BV212" i="12"/>
  <c r="BW212" i="12"/>
  <c r="BX212" i="12"/>
  <c r="BY212" i="12"/>
  <c r="BZ212" i="12"/>
  <c r="CA212" i="12"/>
  <c r="CB212" i="12"/>
  <c r="CC212" i="12"/>
  <c r="CD212" i="12"/>
  <c r="CE212" i="12"/>
  <c r="CF212" i="12"/>
  <c r="CG212" i="12"/>
  <c r="CH212" i="12"/>
  <c r="CI212" i="12"/>
  <c r="CJ212" i="12"/>
  <c r="CK212" i="12"/>
  <c r="CL212" i="12"/>
  <c r="CM212" i="12"/>
  <c r="CN212" i="12"/>
  <c r="CO212" i="12"/>
  <c r="CP212" i="12"/>
  <c r="CQ212" i="12"/>
  <c r="CR212" i="12"/>
  <c r="CS212" i="12"/>
  <c r="CT212" i="12"/>
  <c r="CU212" i="12"/>
  <c r="CV212" i="12"/>
  <c r="CW212" i="12"/>
  <c r="CX212" i="12"/>
  <c r="CY212" i="12"/>
  <c r="CZ212" i="12"/>
  <c r="DA212" i="12"/>
  <c r="DB212" i="12"/>
  <c r="DC212" i="12"/>
  <c r="DD212" i="12"/>
  <c r="DE212" i="12"/>
  <c r="DF212" i="12"/>
  <c r="DG212" i="12"/>
  <c r="DH212" i="12"/>
  <c r="DI212" i="12"/>
  <c r="DJ212" i="12"/>
  <c r="DK212" i="12"/>
  <c r="DL212" i="12"/>
  <c r="DM212" i="12"/>
  <c r="DN212" i="12"/>
  <c r="DO212" i="12"/>
  <c r="DP212" i="12"/>
  <c r="DQ212" i="12"/>
  <c r="DR212" i="12"/>
  <c r="DS212" i="12"/>
  <c r="DT212" i="12"/>
  <c r="DU212" i="12"/>
  <c r="DV212" i="12"/>
  <c r="DW212" i="12"/>
  <c r="DX212" i="12"/>
  <c r="DY212" i="12"/>
  <c r="DZ212" i="12"/>
  <c r="EA212" i="12"/>
  <c r="EB212" i="12"/>
  <c r="EC212" i="12"/>
  <c r="ED212" i="12"/>
  <c r="EE212" i="12"/>
  <c r="EF212" i="12"/>
  <c r="EG212" i="12"/>
  <c r="EH212" i="12"/>
  <c r="EI212" i="12"/>
  <c r="EJ212" i="12"/>
  <c r="EK212" i="12"/>
  <c r="EL212" i="12"/>
  <c r="EM212" i="12"/>
  <c r="EN212" i="12"/>
  <c r="EO212" i="12"/>
  <c r="EP212" i="12"/>
  <c r="EQ212" i="12"/>
  <c r="ER212" i="12"/>
  <c r="ES212" i="12"/>
  <c r="ET212" i="12"/>
  <c r="EU212" i="12"/>
  <c r="EV212" i="12"/>
  <c r="EW212" i="12"/>
  <c r="EX212" i="12"/>
  <c r="EY212" i="12"/>
  <c r="EZ212" i="12"/>
  <c r="FA212" i="12"/>
  <c r="FB212" i="12"/>
  <c r="FC212" i="12"/>
  <c r="FD212" i="12"/>
  <c r="FE212" i="12"/>
  <c r="FF212" i="12"/>
  <c r="FG212" i="12"/>
  <c r="FH212" i="12"/>
  <c r="FI212" i="12"/>
  <c r="FJ212" i="12"/>
  <c r="FK212" i="12"/>
  <c r="FL212" i="12"/>
  <c r="FM212" i="12"/>
  <c r="FN212" i="12"/>
  <c r="FO212" i="12"/>
  <c r="FP212" i="12"/>
  <c r="FQ212" i="12"/>
  <c r="FR212" i="12"/>
  <c r="FS212" i="12"/>
  <c r="FT212" i="12"/>
  <c r="FU212" i="12"/>
  <c r="FV212" i="12"/>
  <c r="FW212" i="12"/>
  <c r="FX212" i="12"/>
  <c r="FY212" i="12"/>
  <c r="FZ212" i="12"/>
  <c r="GA212" i="12"/>
  <c r="GB212" i="12"/>
  <c r="GC212" i="12"/>
  <c r="GD212" i="12"/>
  <c r="GE212" i="12"/>
  <c r="GF212" i="12"/>
  <c r="GG212" i="12"/>
  <c r="GH212" i="12"/>
  <c r="GI212" i="12"/>
  <c r="GJ212" i="12"/>
  <c r="GK212" i="12"/>
  <c r="GL212" i="12"/>
  <c r="GM212" i="12"/>
  <c r="GN212" i="12"/>
  <c r="GO212" i="12"/>
  <c r="GP212" i="12"/>
  <c r="GQ212" i="12"/>
  <c r="GR212" i="12"/>
  <c r="GS212" i="12"/>
  <c r="GT212" i="12"/>
  <c r="GU212" i="12"/>
  <c r="GV212" i="12"/>
  <c r="GW212" i="12"/>
  <c r="GX212" i="12"/>
  <c r="GY212" i="12"/>
  <c r="GZ212" i="12"/>
  <c r="HA212" i="12"/>
  <c r="HB212" i="12"/>
  <c r="HC212" i="12"/>
  <c r="HD212" i="12"/>
  <c r="HE212" i="12"/>
  <c r="HF212" i="12"/>
  <c r="HG212" i="12"/>
  <c r="HH212" i="12"/>
  <c r="HI212" i="12"/>
  <c r="HJ212" i="12"/>
  <c r="HK212" i="12"/>
  <c r="HL212" i="12"/>
  <c r="HM212" i="12"/>
  <c r="HN212" i="12"/>
  <c r="HO212" i="12"/>
  <c r="HP212" i="12"/>
  <c r="HQ212" i="12"/>
  <c r="HR212" i="12"/>
  <c r="HS212" i="12"/>
  <c r="HT212" i="12"/>
  <c r="HU212" i="12"/>
  <c r="HV212" i="12"/>
  <c r="HW212" i="12"/>
  <c r="HX212" i="12"/>
  <c r="HY212" i="12"/>
  <c r="HZ212" i="12"/>
  <c r="IA212" i="12"/>
  <c r="IB212" i="12"/>
  <c r="IC212" i="12"/>
  <c r="ID212" i="12"/>
  <c r="IE212" i="12"/>
  <c r="IF212" i="12"/>
  <c r="IG212" i="12"/>
  <c r="IH212" i="12"/>
  <c r="II212" i="12"/>
  <c r="IJ212" i="12"/>
  <c r="IK212" i="12"/>
  <c r="IL212" i="12"/>
  <c r="IM212" i="12"/>
  <c r="IN212" i="12"/>
  <c r="IO212" i="12"/>
  <c r="IP212" i="12"/>
  <c r="IQ212" i="12"/>
  <c r="IR212" i="12"/>
  <c r="IS212" i="12"/>
  <c r="IT212" i="12"/>
  <c r="IU212" i="12"/>
  <c r="IV212" i="12"/>
  <c r="F213" i="12"/>
  <c r="G213" i="12"/>
  <c r="H213" i="12"/>
  <c r="I213" i="12"/>
  <c r="J213" i="12"/>
  <c r="K213" i="12"/>
  <c r="L213" i="12"/>
  <c r="M213" i="12"/>
  <c r="N213" i="12"/>
  <c r="O213" i="12"/>
  <c r="P213" i="12"/>
  <c r="Q213" i="12"/>
  <c r="R213" i="12"/>
  <c r="S213" i="12"/>
  <c r="T213" i="12"/>
  <c r="U213" i="12"/>
  <c r="V213" i="12"/>
  <c r="W213" i="12"/>
  <c r="X213" i="12"/>
  <c r="Y213" i="12"/>
  <c r="Z213" i="12"/>
  <c r="AA213" i="12"/>
  <c r="AB213" i="12"/>
  <c r="AC213" i="12"/>
  <c r="AD213" i="12"/>
  <c r="AE213" i="12"/>
  <c r="AF213" i="12"/>
  <c r="AG213" i="12"/>
  <c r="AH213" i="12"/>
  <c r="AI213" i="12"/>
  <c r="AJ213" i="12"/>
  <c r="AK213" i="12"/>
  <c r="AL213" i="12"/>
  <c r="AM213" i="12"/>
  <c r="AN213" i="12"/>
  <c r="AO213" i="12"/>
  <c r="AP213" i="12"/>
  <c r="AQ213" i="12"/>
  <c r="AR213" i="12"/>
  <c r="AS213" i="12"/>
  <c r="AT213" i="12"/>
  <c r="AU213" i="12"/>
  <c r="AV213" i="12"/>
  <c r="AW213" i="12"/>
  <c r="AX213" i="12"/>
  <c r="AY213" i="12"/>
  <c r="AZ213" i="12"/>
  <c r="BA213" i="12"/>
  <c r="BB213" i="12"/>
  <c r="BC213" i="12"/>
  <c r="BD213" i="12"/>
  <c r="BE213" i="12"/>
  <c r="BF213" i="12"/>
  <c r="BG213" i="12"/>
  <c r="BH213" i="12"/>
  <c r="BI213" i="12"/>
  <c r="BJ213" i="12"/>
  <c r="BK213" i="12"/>
  <c r="BL213" i="12"/>
  <c r="BM213" i="12"/>
  <c r="BN213" i="12"/>
  <c r="BO213" i="12"/>
  <c r="BP213" i="12"/>
  <c r="BQ213" i="12"/>
  <c r="BR213" i="12"/>
  <c r="BS213" i="12"/>
  <c r="BT213" i="12"/>
  <c r="BU213" i="12"/>
  <c r="BV213" i="12"/>
  <c r="BW213" i="12"/>
  <c r="BX213" i="12"/>
  <c r="BY213" i="12"/>
  <c r="BZ213" i="12"/>
  <c r="CA213" i="12"/>
  <c r="CB213" i="12"/>
  <c r="CC213" i="12"/>
  <c r="CD213" i="12"/>
  <c r="CE213" i="12"/>
  <c r="CF213" i="12"/>
  <c r="CG213" i="12"/>
  <c r="CH213" i="12"/>
  <c r="CI213" i="12"/>
  <c r="CJ213" i="12"/>
  <c r="CK213" i="12"/>
  <c r="CL213" i="12"/>
  <c r="CM213" i="12"/>
  <c r="CN213" i="12"/>
  <c r="CO213" i="12"/>
  <c r="CP213" i="12"/>
  <c r="CQ213" i="12"/>
  <c r="CR213" i="12"/>
  <c r="CS213" i="12"/>
  <c r="CT213" i="12"/>
  <c r="CU213" i="12"/>
  <c r="CV213" i="12"/>
  <c r="CW213" i="12"/>
  <c r="CX213" i="12"/>
  <c r="CY213" i="12"/>
  <c r="CZ213" i="12"/>
  <c r="DA213" i="12"/>
  <c r="DB213" i="12"/>
  <c r="DC213" i="12"/>
  <c r="DD213" i="12"/>
  <c r="DE213" i="12"/>
  <c r="DF213" i="12"/>
  <c r="DG213" i="12"/>
  <c r="DH213" i="12"/>
  <c r="DI213" i="12"/>
  <c r="DJ213" i="12"/>
  <c r="DK213" i="12"/>
  <c r="DL213" i="12"/>
  <c r="DM213" i="12"/>
  <c r="DN213" i="12"/>
  <c r="DO213" i="12"/>
  <c r="DP213" i="12"/>
  <c r="DQ213" i="12"/>
  <c r="DR213" i="12"/>
  <c r="DS213" i="12"/>
  <c r="DT213" i="12"/>
  <c r="DU213" i="12"/>
  <c r="DV213" i="12"/>
  <c r="DW213" i="12"/>
  <c r="DX213" i="12"/>
  <c r="DY213" i="12"/>
  <c r="DZ213" i="12"/>
  <c r="EA213" i="12"/>
  <c r="EB213" i="12"/>
  <c r="EC213" i="12"/>
  <c r="ED213" i="12"/>
  <c r="EE213" i="12"/>
  <c r="EF213" i="12"/>
  <c r="EG213" i="12"/>
  <c r="EH213" i="12"/>
  <c r="EI213" i="12"/>
  <c r="EJ213" i="12"/>
  <c r="EK213" i="12"/>
  <c r="EL213" i="12"/>
  <c r="EM213" i="12"/>
  <c r="EN213" i="12"/>
  <c r="EO213" i="12"/>
  <c r="EP213" i="12"/>
  <c r="EQ213" i="12"/>
  <c r="ER213" i="12"/>
  <c r="ES213" i="12"/>
  <c r="ET213" i="12"/>
  <c r="EU213" i="12"/>
  <c r="EV213" i="12"/>
  <c r="EW213" i="12"/>
  <c r="EX213" i="12"/>
  <c r="EY213" i="12"/>
  <c r="EZ213" i="12"/>
  <c r="FA213" i="12"/>
  <c r="FB213" i="12"/>
  <c r="FC213" i="12"/>
  <c r="FD213" i="12"/>
  <c r="FE213" i="12"/>
  <c r="FF213" i="12"/>
  <c r="FG213" i="12"/>
  <c r="FH213" i="12"/>
  <c r="FI213" i="12"/>
  <c r="FJ213" i="12"/>
  <c r="FK213" i="12"/>
  <c r="FL213" i="12"/>
  <c r="FM213" i="12"/>
  <c r="FN213" i="12"/>
  <c r="FO213" i="12"/>
  <c r="FP213" i="12"/>
  <c r="FQ213" i="12"/>
  <c r="FR213" i="12"/>
  <c r="FS213" i="12"/>
  <c r="FT213" i="12"/>
  <c r="FU213" i="12"/>
  <c r="FV213" i="12"/>
  <c r="FW213" i="12"/>
  <c r="FX213" i="12"/>
  <c r="FY213" i="12"/>
  <c r="FZ213" i="12"/>
  <c r="GA213" i="12"/>
  <c r="GB213" i="12"/>
  <c r="GC213" i="12"/>
  <c r="GD213" i="12"/>
  <c r="GE213" i="12"/>
  <c r="GF213" i="12"/>
  <c r="GG213" i="12"/>
  <c r="GH213" i="12"/>
  <c r="GI213" i="12"/>
  <c r="GJ213" i="12"/>
  <c r="GK213" i="12"/>
  <c r="GL213" i="12"/>
  <c r="GM213" i="12"/>
  <c r="GN213" i="12"/>
  <c r="GO213" i="12"/>
  <c r="GP213" i="12"/>
  <c r="GQ213" i="12"/>
  <c r="GR213" i="12"/>
  <c r="GS213" i="12"/>
  <c r="GT213" i="12"/>
  <c r="GU213" i="12"/>
  <c r="GV213" i="12"/>
  <c r="GW213" i="12"/>
  <c r="GX213" i="12"/>
  <c r="GY213" i="12"/>
  <c r="GZ213" i="12"/>
  <c r="HA213" i="12"/>
  <c r="HB213" i="12"/>
  <c r="HC213" i="12"/>
  <c r="HD213" i="12"/>
  <c r="HE213" i="12"/>
  <c r="HF213" i="12"/>
  <c r="HG213" i="12"/>
  <c r="HH213" i="12"/>
  <c r="HI213" i="12"/>
  <c r="HJ213" i="12"/>
  <c r="HK213" i="12"/>
  <c r="HL213" i="12"/>
  <c r="HM213" i="12"/>
  <c r="HN213" i="12"/>
  <c r="HO213" i="12"/>
  <c r="HP213" i="12"/>
  <c r="HQ213" i="12"/>
  <c r="HR213" i="12"/>
  <c r="HS213" i="12"/>
  <c r="HT213" i="12"/>
  <c r="HU213" i="12"/>
  <c r="HV213" i="12"/>
  <c r="HW213" i="12"/>
  <c r="HX213" i="12"/>
  <c r="HY213" i="12"/>
  <c r="HZ213" i="12"/>
  <c r="IA213" i="12"/>
  <c r="IB213" i="12"/>
  <c r="IC213" i="12"/>
  <c r="ID213" i="12"/>
  <c r="IE213" i="12"/>
  <c r="IF213" i="12"/>
  <c r="IG213" i="12"/>
  <c r="IH213" i="12"/>
  <c r="II213" i="12"/>
  <c r="IJ213" i="12"/>
  <c r="IK213" i="12"/>
  <c r="IL213" i="12"/>
  <c r="IM213" i="12"/>
  <c r="IN213" i="12"/>
  <c r="IO213" i="12"/>
  <c r="IP213" i="12"/>
  <c r="IQ213" i="12"/>
  <c r="IR213" i="12"/>
  <c r="IS213" i="12"/>
  <c r="IT213" i="12"/>
  <c r="IU213" i="12"/>
  <c r="IV213" i="12"/>
  <c r="F214" i="12"/>
  <c r="G214" i="12"/>
  <c r="H214" i="12"/>
  <c r="I214" i="12"/>
  <c r="J214" i="12"/>
  <c r="K214" i="12"/>
  <c r="L214" i="12"/>
  <c r="M214" i="12"/>
  <c r="N214" i="12"/>
  <c r="O214" i="12"/>
  <c r="P214" i="12"/>
  <c r="Q214" i="12"/>
  <c r="R214" i="12"/>
  <c r="S214" i="12"/>
  <c r="T214" i="12"/>
  <c r="U214" i="12"/>
  <c r="V214" i="12"/>
  <c r="W214" i="12"/>
  <c r="X214" i="12"/>
  <c r="Y214" i="12"/>
  <c r="Z214" i="12"/>
  <c r="AA214" i="12"/>
  <c r="AB214" i="12"/>
  <c r="AC214" i="12"/>
  <c r="AD214" i="12"/>
  <c r="AE214" i="12"/>
  <c r="AF214" i="12"/>
  <c r="AG214" i="12"/>
  <c r="AH214" i="12"/>
  <c r="AI214" i="12"/>
  <c r="AJ214" i="12"/>
  <c r="AK214" i="12"/>
  <c r="AL214" i="12"/>
  <c r="AM214" i="12"/>
  <c r="AN214" i="12"/>
  <c r="AO214" i="12"/>
  <c r="AP214" i="12"/>
  <c r="AQ214" i="12"/>
  <c r="AR214" i="12"/>
  <c r="AS214" i="12"/>
  <c r="AT214" i="12"/>
  <c r="AU214" i="12"/>
  <c r="AV214" i="12"/>
  <c r="AW214" i="12"/>
  <c r="AX214" i="12"/>
  <c r="AY214" i="12"/>
  <c r="AZ214" i="12"/>
  <c r="BA214" i="12"/>
  <c r="BB214" i="12"/>
  <c r="BC214" i="12"/>
  <c r="BD214" i="12"/>
  <c r="BE214" i="12"/>
  <c r="BF214" i="12"/>
  <c r="BG214" i="12"/>
  <c r="BH214" i="12"/>
  <c r="BI214" i="12"/>
  <c r="BJ214" i="12"/>
  <c r="BK214" i="12"/>
  <c r="BL214" i="12"/>
  <c r="BM214" i="12"/>
  <c r="BN214" i="12"/>
  <c r="BO214" i="12"/>
  <c r="BP214" i="12"/>
  <c r="BQ214" i="12"/>
  <c r="BR214" i="12"/>
  <c r="BS214" i="12"/>
  <c r="BT214" i="12"/>
  <c r="BU214" i="12"/>
  <c r="BV214" i="12"/>
  <c r="BW214" i="12"/>
  <c r="BX214" i="12"/>
  <c r="BY214" i="12"/>
  <c r="BZ214" i="12"/>
  <c r="CA214" i="12"/>
  <c r="CB214" i="12"/>
  <c r="CC214" i="12"/>
  <c r="CD214" i="12"/>
  <c r="CE214" i="12"/>
  <c r="CF214" i="12"/>
  <c r="CG214" i="12"/>
  <c r="CH214" i="12"/>
  <c r="CI214" i="12"/>
  <c r="CJ214" i="12"/>
  <c r="CK214" i="12"/>
  <c r="CL214" i="12"/>
  <c r="CM214" i="12"/>
  <c r="CN214" i="12"/>
  <c r="CO214" i="12"/>
  <c r="CP214" i="12"/>
  <c r="CQ214" i="12"/>
  <c r="CR214" i="12"/>
  <c r="CS214" i="12"/>
  <c r="CT214" i="12"/>
  <c r="CU214" i="12"/>
  <c r="CV214" i="12"/>
  <c r="CW214" i="12"/>
  <c r="CX214" i="12"/>
  <c r="CY214" i="12"/>
  <c r="CZ214" i="12"/>
  <c r="DA214" i="12"/>
  <c r="DB214" i="12"/>
  <c r="DC214" i="12"/>
  <c r="DD214" i="12"/>
  <c r="DE214" i="12"/>
  <c r="DF214" i="12"/>
  <c r="DG214" i="12"/>
  <c r="DH214" i="12"/>
  <c r="DI214" i="12"/>
  <c r="DJ214" i="12"/>
  <c r="DK214" i="12"/>
  <c r="DL214" i="12"/>
  <c r="DM214" i="12"/>
  <c r="DN214" i="12"/>
  <c r="DO214" i="12"/>
  <c r="DP214" i="12"/>
  <c r="DQ214" i="12"/>
  <c r="DR214" i="12"/>
  <c r="DS214" i="12"/>
  <c r="DT214" i="12"/>
  <c r="DU214" i="12"/>
  <c r="DV214" i="12"/>
  <c r="DW214" i="12"/>
  <c r="DX214" i="12"/>
  <c r="DY214" i="12"/>
  <c r="DZ214" i="12"/>
  <c r="EA214" i="12"/>
  <c r="EB214" i="12"/>
  <c r="EC214" i="12"/>
  <c r="ED214" i="12"/>
  <c r="EE214" i="12"/>
  <c r="EF214" i="12"/>
  <c r="EG214" i="12"/>
  <c r="EH214" i="12"/>
  <c r="EI214" i="12"/>
  <c r="EJ214" i="12"/>
  <c r="EK214" i="12"/>
  <c r="EL214" i="12"/>
  <c r="EM214" i="12"/>
  <c r="EN214" i="12"/>
  <c r="EO214" i="12"/>
  <c r="EP214" i="12"/>
  <c r="EQ214" i="12"/>
  <c r="ER214" i="12"/>
  <c r="ES214" i="12"/>
  <c r="ET214" i="12"/>
  <c r="EU214" i="12"/>
  <c r="EV214" i="12"/>
  <c r="EW214" i="12"/>
  <c r="EX214" i="12"/>
  <c r="EY214" i="12"/>
  <c r="EZ214" i="12"/>
  <c r="FA214" i="12"/>
  <c r="FB214" i="12"/>
  <c r="FC214" i="12"/>
  <c r="FD214" i="12"/>
  <c r="FE214" i="12"/>
  <c r="FF214" i="12"/>
  <c r="FG214" i="12"/>
  <c r="FH214" i="12"/>
  <c r="FI214" i="12"/>
  <c r="FJ214" i="12"/>
  <c r="FK214" i="12"/>
  <c r="FL214" i="12"/>
  <c r="FM214" i="12"/>
  <c r="FN214" i="12"/>
  <c r="FO214" i="12"/>
  <c r="FP214" i="12"/>
  <c r="FQ214" i="12"/>
  <c r="FR214" i="12"/>
  <c r="FS214" i="12"/>
  <c r="FT214" i="12"/>
  <c r="FU214" i="12"/>
  <c r="FV214" i="12"/>
  <c r="FW214" i="12"/>
  <c r="FX214" i="12"/>
  <c r="FY214" i="12"/>
  <c r="FZ214" i="12"/>
  <c r="GA214" i="12"/>
  <c r="GB214" i="12"/>
  <c r="GC214" i="12"/>
  <c r="GD214" i="12"/>
  <c r="GE214" i="12"/>
  <c r="GF214" i="12"/>
  <c r="GG214" i="12"/>
  <c r="GH214" i="12"/>
  <c r="GI214" i="12"/>
  <c r="GJ214" i="12"/>
  <c r="GK214" i="12"/>
  <c r="GL214" i="12"/>
  <c r="GM214" i="12"/>
  <c r="GN214" i="12"/>
  <c r="GO214" i="12"/>
  <c r="GP214" i="12"/>
  <c r="GQ214" i="12"/>
  <c r="GR214" i="12"/>
  <c r="GS214" i="12"/>
  <c r="GT214" i="12"/>
  <c r="GU214" i="12"/>
  <c r="GV214" i="12"/>
  <c r="GW214" i="12"/>
  <c r="GX214" i="12"/>
  <c r="GY214" i="12"/>
  <c r="GZ214" i="12"/>
  <c r="HA214" i="12"/>
  <c r="HB214" i="12"/>
  <c r="HC214" i="12"/>
  <c r="HD214" i="12"/>
  <c r="HE214" i="12"/>
  <c r="HF214" i="12"/>
  <c r="HG214" i="12"/>
  <c r="HH214" i="12"/>
  <c r="HI214" i="12"/>
  <c r="HJ214" i="12"/>
  <c r="HK214" i="12"/>
  <c r="HL214" i="12"/>
  <c r="HM214" i="12"/>
  <c r="HN214" i="12"/>
  <c r="HO214" i="12"/>
  <c r="HP214" i="12"/>
  <c r="HQ214" i="12"/>
  <c r="HR214" i="12"/>
  <c r="HS214" i="12"/>
  <c r="HT214" i="12"/>
  <c r="HU214" i="12"/>
  <c r="HV214" i="12"/>
  <c r="HW214" i="12"/>
  <c r="HX214" i="12"/>
  <c r="HY214" i="12"/>
  <c r="HZ214" i="12"/>
  <c r="IA214" i="12"/>
  <c r="IB214" i="12"/>
  <c r="IC214" i="12"/>
  <c r="ID214" i="12"/>
  <c r="IE214" i="12"/>
  <c r="IF214" i="12"/>
  <c r="IG214" i="12"/>
  <c r="IH214" i="12"/>
  <c r="II214" i="12"/>
  <c r="IJ214" i="12"/>
  <c r="IK214" i="12"/>
  <c r="IL214" i="12"/>
  <c r="IM214" i="12"/>
  <c r="IN214" i="12"/>
  <c r="IO214" i="12"/>
  <c r="IP214" i="12"/>
  <c r="IQ214" i="12"/>
  <c r="IR214" i="12"/>
  <c r="IS214" i="12"/>
  <c r="IT214" i="12"/>
  <c r="IU214" i="12"/>
  <c r="IV214" i="12"/>
  <c r="F215" i="12"/>
  <c r="G215" i="12"/>
  <c r="H215" i="12"/>
  <c r="I215" i="12"/>
  <c r="J215" i="12"/>
  <c r="K215" i="12"/>
  <c r="L215" i="12"/>
  <c r="M215" i="12"/>
  <c r="N215" i="12"/>
  <c r="O215" i="12"/>
  <c r="P215" i="12"/>
  <c r="Q215" i="12"/>
  <c r="R215" i="12"/>
  <c r="S215" i="12"/>
  <c r="T215" i="12"/>
  <c r="U215" i="12"/>
  <c r="V215" i="12"/>
  <c r="W215" i="12"/>
  <c r="X215" i="12"/>
  <c r="Y215" i="12"/>
  <c r="Z215" i="12"/>
  <c r="AA215" i="12"/>
  <c r="AB215" i="12"/>
  <c r="AC215" i="12"/>
  <c r="AD215" i="12"/>
  <c r="AE215" i="12"/>
  <c r="AF215" i="12"/>
  <c r="AG215" i="12"/>
  <c r="AH215" i="12"/>
  <c r="AI215" i="12"/>
  <c r="AJ215" i="12"/>
  <c r="AK215" i="12"/>
  <c r="AL215" i="12"/>
  <c r="AM215" i="12"/>
  <c r="AN215" i="12"/>
  <c r="AO215" i="12"/>
  <c r="AP215" i="12"/>
  <c r="AQ215" i="12"/>
  <c r="AR215" i="12"/>
  <c r="AS215" i="12"/>
  <c r="AT215" i="12"/>
  <c r="AU215" i="12"/>
  <c r="AV215" i="12"/>
  <c r="AW215" i="12"/>
  <c r="AX215" i="12"/>
  <c r="AY215" i="12"/>
  <c r="AZ215" i="12"/>
  <c r="BA215" i="12"/>
  <c r="BB215" i="12"/>
  <c r="BC215" i="12"/>
  <c r="BD215" i="12"/>
  <c r="BE215" i="12"/>
  <c r="BF215" i="12"/>
  <c r="BG215" i="12"/>
  <c r="BH215" i="12"/>
  <c r="BI215" i="12"/>
  <c r="BJ215" i="12"/>
  <c r="BK215" i="12"/>
  <c r="BL215" i="12"/>
  <c r="BM215" i="12"/>
  <c r="BN215" i="12"/>
  <c r="BO215" i="12"/>
  <c r="BP215" i="12"/>
  <c r="BQ215" i="12"/>
  <c r="BR215" i="12"/>
  <c r="BS215" i="12"/>
  <c r="BT215" i="12"/>
  <c r="BU215" i="12"/>
  <c r="BV215" i="12"/>
  <c r="BW215" i="12"/>
  <c r="BX215" i="12"/>
  <c r="BY215" i="12"/>
  <c r="BZ215" i="12"/>
  <c r="CA215" i="12"/>
  <c r="CB215" i="12"/>
  <c r="CC215" i="12"/>
  <c r="CD215" i="12"/>
  <c r="CE215" i="12"/>
  <c r="CF215" i="12"/>
  <c r="CG215" i="12"/>
  <c r="CH215" i="12"/>
  <c r="CI215" i="12"/>
  <c r="CJ215" i="12"/>
  <c r="CK215" i="12"/>
  <c r="CL215" i="12"/>
  <c r="CM215" i="12"/>
  <c r="CN215" i="12"/>
  <c r="CO215" i="12"/>
  <c r="CP215" i="12"/>
  <c r="CQ215" i="12"/>
  <c r="CR215" i="12"/>
  <c r="CS215" i="12"/>
  <c r="CT215" i="12"/>
  <c r="CU215" i="12"/>
  <c r="CV215" i="12"/>
  <c r="CW215" i="12"/>
  <c r="CX215" i="12"/>
  <c r="CY215" i="12"/>
  <c r="CZ215" i="12"/>
  <c r="DA215" i="12"/>
  <c r="DB215" i="12"/>
  <c r="DC215" i="12"/>
  <c r="DD215" i="12"/>
  <c r="DE215" i="12"/>
  <c r="DF215" i="12"/>
  <c r="DG215" i="12"/>
  <c r="DH215" i="12"/>
  <c r="DI215" i="12"/>
  <c r="DJ215" i="12"/>
  <c r="DK215" i="12"/>
  <c r="DL215" i="12"/>
  <c r="DM215" i="12"/>
  <c r="DN215" i="12"/>
  <c r="DO215" i="12"/>
  <c r="DP215" i="12"/>
  <c r="DQ215" i="12"/>
  <c r="DR215" i="12"/>
  <c r="DS215" i="12"/>
  <c r="DT215" i="12"/>
  <c r="DU215" i="12"/>
  <c r="DV215" i="12"/>
  <c r="DW215" i="12"/>
  <c r="DX215" i="12"/>
  <c r="DY215" i="12"/>
  <c r="DZ215" i="12"/>
  <c r="EA215" i="12"/>
  <c r="EB215" i="12"/>
  <c r="EC215" i="12"/>
  <c r="ED215" i="12"/>
  <c r="EE215" i="12"/>
  <c r="EF215" i="12"/>
  <c r="EG215" i="12"/>
  <c r="EH215" i="12"/>
  <c r="EI215" i="12"/>
  <c r="EJ215" i="12"/>
  <c r="EK215" i="12"/>
  <c r="EL215" i="12"/>
  <c r="EM215" i="12"/>
  <c r="EN215" i="12"/>
  <c r="EO215" i="12"/>
  <c r="EP215" i="12"/>
  <c r="EQ215" i="12"/>
  <c r="ER215" i="12"/>
  <c r="ES215" i="12"/>
  <c r="ET215" i="12"/>
  <c r="EU215" i="12"/>
  <c r="EV215" i="12"/>
  <c r="EW215" i="12"/>
  <c r="EX215" i="12"/>
  <c r="EY215" i="12"/>
  <c r="EZ215" i="12"/>
  <c r="FA215" i="12"/>
  <c r="FB215" i="12"/>
  <c r="FC215" i="12"/>
  <c r="FD215" i="12"/>
  <c r="FE215" i="12"/>
  <c r="FF215" i="12"/>
  <c r="FG215" i="12"/>
  <c r="FH215" i="12"/>
  <c r="FI215" i="12"/>
  <c r="FJ215" i="12"/>
  <c r="FK215" i="12"/>
  <c r="FL215" i="12"/>
  <c r="FM215" i="12"/>
  <c r="FN215" i="12"/>
  <c r="FO215" i="12"/>
  <c r="FP215" i="12"/>
  <c r="FQ215" i="12"/>
  <c r="FR215" i="12"/>
  <c r="FS215" i="12"/>
  <c r="FT215" i="12"/>
  <c r="FU215" i="12"/>
  <c r="FV215" i="12"/>
  <c r="FW215" i="12"/>
  <c r="FX215" i="12"/>
  <c r="FY215" i="12"/>
  <c r="FZ215" i="12"/>
  <c r="GA215" i="12"/>
  <c r="GB215" i="12"/>
  <c r="GC215" i="12"/>
  <c r="GD215" i="12"/>
  <c r="GE215" i="12"/>
  <c r="GF215" i="12"/>
  <c r="GG215" i="12"/>
  <c r="GH215" i="12"/>
  <c r="GI215" i="12"/>
  <c r="GJ215" i="12"/>
  <c r="GK215" i="12"/>
  <c r="GL215" i="12"/>
  <c r="GM215" i="12"/>
  <c r="GN215" i="12"/>
  <c r="GO215" i="12"/>
  <c r="GP215" i="12"/>
  <c r="GQ215" i="12"/>
  <c r="GR215" i="12"/>
  <c r="GS215" i="12"/>
  <c r="GT215" i="12"/>
  <c r="GU215" i="12"/>
  <c r="GV215" i="12"/>
  <c r="GW215" i="12"/>
  <c r="GX215" i="12"/>
  <c r="GY215" i="12"/>
  <c r="GZ215" i="12"/>
  <c r="HA215" i="12"/>
  <c r="HB215" i="12"/>
  <c r="HC215" i="12"/>
  <c r="HD215" i="12"/>
  <c r="HE215" i="12"/>
  <c r="HF215" i="12"/>
  <c r="HG215" i="12"/>
  <c r="HH215" i="12"/>
  <c r="HI215" i="12"/>
  <c r="HJ215" i="12"/>
  <c r="HK215" i="12"/>
  <c r="HL215" i="12"/>
  <c r="HM215" i="12"/>
  <c r="HN215" i="12"/>
  <c r="HO215" i="12"/>
  <c r="HP215" i="12"/>
  <c r="HQ215" i="12"/>
  <c r="HR215" i="12"/>
  <c r="HS215" i="12"/>
  <c r="HT215" i="12"/>
  <c r="HU215" i="12"/>
  <c r="HV215" i="12"/>
  <c r="HW215" i="12"/>
  <c r="HX215" i="12"/>
  <c r="HY215" i="12"/>
  <c r="HZ215" i="12"/>
  <c r="IA215" i="12"/>
  <c r="IB215" i="12"/>
  <c r="IC215" i="12"/>
  <c r="ID215" i="12"/>
  <c r="IE215" i="12"/>
  <c r="IF215" i="12"/>
  <c r="IG215" i="12"/>
  <c r="IH215" i="12"/>
  <c r="II215" i="12"/>
  <c r="IJ215" i="12"/>
  <c r="IK215" i="12"/>
  <c r="IL215" i="12"/>
  <c r="IM215" i="12"/>
  <c r="IN215" i="12"/>
  <c r="IO215" i="12"/>
  <c r="IP215" i="12"/>
  <c r="IQ215" i="12"/>
  <c r="IR215" i="12"/>
  <c r="IS215" i="12"/>
  <c r="IT215" i="12"/>
  <c r="IU215" i="12"/>
  <c r="IV215" i="12"/>
  <c r="F216" i="12"/>
  <c r="G216" i="12"/>
  <c r="H216" i="12"/>
  <c r="I216" i="12"/>
  <c r="J216" i="12"/>
  <c r="K216" i="12"/>
  <c r="L216" i="12"/>
  <c r="M216" i="12"/>
  <c r="N216" i="12"/>
  <c r="O216" i="12"/>
  <c r="P216" i="12"/>
  <c r="Q216" i="12"/>
  <c r="R216" i="12"/>
  <c r="S216" i="12"/>
  <c r="T216" i="12"/>
  <c r="U216" i="12"/>
  <c r="V216" i="12"/>
  <c r="W216" i="12"/>
  <c r="X216" i="12"/>
  <c r="Y216" i="12"/>
  <c r="Z216" i="12"/>
  <c r="AA216" i="12"/>
  <c r="AB216" i="12"/>
  <c r="AC216" i="12"/>
  <c r="AD216" i="12"/>
  <c r="AE216" i="12"/>
  <c r="AF216" i="12"/>
  <c r="AG216" i="12"/>
  <c r="AH216" i="12"/>
  <c r="AI216" i="12"/>
  <c r="AJ216" i="12"/>
  <c r="AK216" i="12"/>
  <c r="AL216" i="12"/>
  <c r="AM216" i="12"/>
  <c r="AN216" i="12"/>
  <c r="AO216" i="12"/>
  <c r="AP216" i="12"/>
  <c r="AQ216" i="12"/>
  <c r="AR216" i="12"/>
  <c r="AS216" i="12"/>
  <c r="AT216" i="12"/>
  <c r="AU216" i="12"/>
  <c r="AV216" i="12"/>
  <c r="AW216" i="12"/>
  <c r="AX216" i="12"/>
  <c r="AY216" i="12"/>
  <c r="AZ216" i="12"/>
  <c r="BA216" i="12"/>
  <c r="BB216" i="12"/>
  <c r="BC216" i="12"/>
  <c r="BD216" i="12"/>
  <c r="BE216" i="12"/>
  <c r="BF216" i="12"/>
  <c r="BG216" i="12"/>
  <c r="BH216" i="12"/>
  <c r="BI216" i="12"/>
  <c r="BJ216" i="12"/>
  <c r="BK216" i="12"/>
  <c r="BL216" i="12"/>
  <c r="BM216" i="12"/>
  <c r="BN216" i="12"/>
  <c r="BO216" i="12"/>
  <c r="BP216" i="12"/>
  <c r="BQ216" i="12"/>
  <c r="BR216" i="12"/>
  <c r="BS216" i="12"/>
  <c r="BT216" i="12"/>
  <c r="BU216" i="12"/>
  <c r="BV216" i="12"/>
  <c r="BW216" i="12"/>
  <c r="BX216" i="12"/>
  <c r="BY216" i="12"/>
  <c r="BZ216" i="12"/>
  <c r="CA216" i="12"/>
  <c r="CB216" i="12"/>
  <c r="CC216" i="12"/>
  <c r="CD216" i="12"/>
  <c r="CE216" i="12"/>
  <c r="CF216" i="12"/>
  <c r="CG216" i="12"/>
  <c r="CH216" i="12"/>
  <c r="CI216" i="12"/>
  <c r="CJ216" i="12"/>
  <c r="CK216" i="12"/>
  <c r="CL216" i="12"/>
  <c r="CM216" i="12"/>
  <c r="CN216" i="12"/>
  <c r="CO216" i="12"/>
  <c r="CP216" i="12"/>
  <c r="CQ216" i="12"/>
  <c r="CR216" i="12"/>
  <c r="CS216" i="12"/>
  <c r="CT216" i="12"/>
  <c r="CU216" i="12"/>
  <c r="CV216" i="12"/>
  <c r="CW216" i="12"/>
  <c r="CX216" i="12"/>
  <c r="CY216" i="12"/>
  <c r="CZ216" i="12"/>
  <c r="DA216" i="12"/>
  <c r="DB216" i="12"/>
  <c r="DC216" i="12"/>
  <c r="DD216" i="12"/>
  <c r="DE216" i="12"/>
  <c r="DF216" i="12"/>
  <c r="DG216" i="12"/>
  <c r="DH216" i="12"/>
  <c r="DI216" i="12"/>
  <c r="DJ216" i="12"/>
  <c r="DK216" i="12"/>
  <c r="DL216" i="12"/>
  <c r="DM216" i="12"/>
  <c r="DN216" i="12"/>
  <c r="DO216" i="12"/>
  <c r="DP216" i="12"/>
  <c r="DQ216" i="12"/>
  <c r="DR216" i="12"/>
  <c r="DS216" i="12"/>
  <c r="DT216" i="12"/>
  <c r="DU216" i="12"/>
  <c r="DV216" i="12"/>
  <c r="DW216" i="12"/>
  <c r="DX216" i="12"/>
  <c r="DY216" i="12"/>
  <c r="DZ216" i="12"/>
  <c r="EA216" i="12"/>
  <c r="EB216" i="12"/>
  <c r="EC216" i="12"/>
  <c r="ED216" i="12"/>
  <c r="EE216" i="12"/>
  <c r="EF216" i="12"/>
  <c r="EG216" i="12"/>
  <c r="EH216" i="12"/>
  <c r="EI216" i="12"/>
  <c r="EJ216" i="12"/>
  <c r="EK216" i="12"/>
  <c r="EL216" i="12"/>
  <c r="EM216" i="12"/>
  <c r="EN216" i="12"/>
  <c r="EO216" i="12"/>
  <c r="EP216" i="12"/>
  <c r="EQ216" i="12"/>
  <c r="ER216" i="12"/>
  <c r="ES216" i="12"/>
  <c r="ET216" i="12"/>
  <c r="EU216" i="12"/>
  <c r="EV216" i="12"/>
  <c r="EW216" i="12"/>
  <c r="EX216" i="12"/>
  <c r="EY216" i="12"/>
  <c r="EZ216" i="12"/>
  <c r="FA216" i="12"/>
  <c r="FB216" i="12"/>
  <c r="FC216" i="12"/>
  <c r="FD216" i="12"/>
  <c r="FE216" i="12"/>
  <c r="FF216" i="12"/>
  <c r="FG216" i="12"/>
  <c r="FH216" i="12"/>
  <c r="FI216" i="12"/>
  <c r="FJ216" i="12"/>
  <c r="FK216" i="12"/>
  <c r="FL216" i="12"/>
  <c r="FM216" i="12"/>
  <c r="FN216" i="12"/>
  <c r="FO216" i="12"/>
  <c r="FP216" i="12"/>
  <c r="FQ216" i="12"/>
  <c r="FR216" i="12"/>
  <c r="FS216" i="12"/>
  <c r="FT216" i="12"/>
  <c r="FU216" i="12"/>
  <c r="FV216" i="12"/>
  <c r="FW216" i="12"/>
  <c r="FX216" i="12"/>
  <c r="FY216" i="12"/>
  <c r="FZ216" i="12"/>
  <c r="GA216" i="12"/>
  <c r="GB216" i="12"/>
  <c r="GC216" i="12"/>
  <c r="GD216" i="12"/>
  <c r="GE216" i="12"/>
  <c r="GF216" i="12"/>
  <c r="GG216" i="12"/>
  <c r="GH216" i="12"/>
  <c r="GI216" i="12"/>
  <c r="GJ216" i="12"/>
  <c r="GK216" i="12"/>
  <c r="GL216" i="12"/>
  <c r="GM216" i="12"/>
  <c r="GN216" i="12"/>
  <c r="GO216" i="12"/>
  <c r="GP216" i="12"/>
  <c r="GQ216" i="12"/>
  <c r="GR216" i="12"/>
  <c r="GS216" i="12"/>
  <c r="GT216" i="12"/>
  <c r="GU216" i="12"/>
  <c r="GV216" i="12"/>
  <c r="GW216" i="12"/>
  <c r="GX216" i="12"/>
  <c r="GY216" i="12"/>
  <c r="GZ216" i="12"/>
  <c r="HA216" i="12"/>
  <c r="HB216" i="12"/>
  <c r="HC216" i="12"/>
  <c r="HD216" i="12"/>
  <c r="HE216" i="12"/>
  <c r="HF216" i="12"/>
  <c r="HG216" i="12"/>
  <c r="HH216" i="12"/>
  <c r="HI216" i="12"/>
  <c r="HJ216" i="12"/>
  <c r="HK216" i="12"/>
  <c r="HL216" i="12"/>
  <c r="HM216" i="12"/>
  <c r="HN216" i="12"/>
  <c r="HO216" i="12"/>
  <c r="HP216" i="12"/>
  <c r="HQ216" i="12"/>
  <c r="HR216" i="12"/>
  <c r="HS216" i="12"/>
  <c r="HT216" i="12"/>
  <c r="HU216" i="12"/>
  <c r="HV216" i="12"/>
  <c r="HW216" i="12"/>
  <c r="HX216" i="12"/>
  <c r="HY216" i="12"/>
  <c r="HZ216" i="12"/>
  <c r="IA216" i="12"/>
  <c r="IB216" i="12"/>
  <c r="IC216" i="12"/>
  <c r="ID216" i="12"/>
  <c r="IE216" i="12"/>
  <c r="IF216" i="12"/>
  <c r="IG216" i="12"/>
  <c r="IH216" i="12"/>
  <c r="II216" i="12"/>
  <c r="IJ216" i="12"/>
  <c r="IK216" i="12"/>
  <c r="IL216" i="12"/>
  <c r="IM216" i="12"/>
  <c r="IN216" i="12"/>
  <c r="IO216" i="12"/>
  <c r="IP216" i="12"/>
  <c r="IQ216" i="12"/>
  <c r="IR216" i="12"/>
  <c r="IS216" i="12"/>
  <c r="IT216" i="12"/>
  <c r="IU216" i="12"/>
  <c r="IV216" i="12"/>
  <c r="F217" i="12"/>
  <c r="G217" i="12"/>
  <c r="H217" i="12"/>
  <c r="I217" i="12"/>
  <c r="J217" i="12"/>
  <c r="K217" i="12"/>
  <c r="L217" i="12"/>
  <c r="M217" i="12"/>
  <c r="N217" i="12"/>
  <c r="O217" i="12"/>
  <c r="P217" i="12"/>
  <c r="Q217" i="12"/>
  <c r="R217" i="12"/>
  <c r="S217" i="12"/>
  <c r="T217" i="12"/>
  <c r="U217" i="12"/>
  <c r="V217" i="12"/>
  <c r="W217" i="12"/>
  <c r="X217" i="12"/>
  <c r="Y217" i="12"/>
  <c r="Z217" i="12"/>
  <c r="AA217" i="12"/>
  <c r="AB217" i="12"/>
  <c r="AC217" i="12"/>
  <c r="AD217" i="12"/>
  <c r="AE217" i="12"/>
  <c r="AF217" i="12"/>
  <c r="AG217" i="12"/>
  <c r="AH217" i="12"/>
  <c r="AI217" i="12"/>
  <c r="AJ217" i="12"/>
  <c r="AK217" i="12"/>
  <c r="AL217" i="12"/>
  <c r="AM217" i="12"/>
  <c r="AN217" i="12"/>
  <c r="AO217" i="12"/>
  <c r="AP217" i="12"/>
  <c r="AQ217" i="12"/>
  <c r="AR217" i="12"/>
  <c r="AS217" i="12"/>
  <c r="AT217" i="12"/>
  <c r="AU217" i="12"/>
  <c r="AV217" i="12"/>
  <c r="AW217" i="12"/>
  <c r="AX217" i="12"/>
  <c r="AY217" i="12"/>
  <c r="AZ217" i="12"/>
  <c r="BA217" i="12"/>
  <c r="BB217" i="12"/>
  <c r="BC217" i="12"/>
  <c r="BD217" i="12"/>
  <c r="BE217" i="12"/>
  <c r="BF217" i="12"/>
  <c r="BG217" i="12"/>
  <c r="BH217" i="12"/>
  <c r="BI217" i="12"/>
  <c r="BJ217" i="12"/>
  <c r="BK217" i="12"/>
  <c r="BL217" i="12"/>
  <c r="BM217" i="12"/>
  <c r="BN217" i="12"/>
  <c r="BO217" i="12"/>
  <c r="BP217" i="12"/>
  <c r="BQ217" i="12"/>
  <c r="BR217" i="12"/>
  <c r="BS217" i="12"/>
  <c r="BT217" i="12"/>
  <c r="BU217" i="12"/>
  <c r="BV217" i="12"/>
  <c r="BW217" i="12"/>
  <c r="BX217" i="12"/>
  <c r="BY217" i="12"/>
  <c r="BZ217" i="12"/>
  <c r="CA217" i="12"/>
  <c r="CB217" i="12"/>
  <c r="CC217" i="12"/>
  <c r="CD217" i="12"/>
  <c r="CE217" i="12"/>
  <c r="CF217" i="12"/>
  <c r="CG217" i="12"/>
  <c r="CH217" i="12"/>
  <c r="CI217" i="12"/>
  <c r="CJ217" i="12"/>
  <c r="CK217" i="12"/>
  <c r="CL217" i="12"/>
  <c r="CM217" i="12"/>
  <c r="CN217" i="12"/>
  <c r="CO217" i="12"/>
  <c r="CP217" i="12"/>
  <c r="CQ217" i="12"/>
  <c r="CR217" i="12"/>
  <c r="CS217" i="12"/>
  <c r="CT217" i="12"/>
  <c r="CU217" i="12"/>
  <c r="CV217" i="12"/>
  <c r="CW217" i="12"/>
  <c r="CX217" i="12"/>
  <c r="CY217" i="12"/>
  <c r="CZ217" i="12"/>
  <c r="DA217" i="12"/>
  <c r="DB217" i="12"/>
  <c r="DC217" i="12"/>
  <c r="DD217" i="12"/>
  <c r="DE217" i="12"/>
  <c r="DF217" i="12"/>
  <c r="DG217" i="12"/>
  <c r="DH217" i="12"/>
  <c r="DI217" i="12"/>
  <c r="DJ217" i="12"/>
  <c r="DK217" i="12"/>
  <c r="DL217" i="12"/>
  <c r="DM217" i="12"/>
  <c r="DN217" i="12"/>
  <c r="DO217" i="12"/>
  <c r="DP217" i="12"/>
  <c r="DQ217" i="12"/>
  <c r="DR217" i="12"/>
  <c r="DS217" i="12"/>
  <c r="DT217" i="12"/>
  <c r="DU217" i="12"/>
  <c r="DV217" i="12"/>
  <c r="DW217" i="12"/>
  <c r="DX217" i="12"/>
  <c r="DY217" i="12"/>
  <c r="DZ217" i="12"/>
  <c r="EA217" i="12"/>
  <c r="EB217" i="12"/>
  <c r="EC217" i="12"/>
  <c r="ED217" i="12"/>
  <c r="EE217" i="12"/>
  <c r="EF217" i="12"/>
  <c r="EG217" i="12"/>
  <c r="EH217" i="12"/>
  <c r="EI217" i="12"/>
  <c r="EJ217" i="12"/>
  <c r="EK217" i="12"/>
  <c r="EL217" i="12"/>
  <c r="EM217" i="12"/>
  <c r="EN217" i="12"/>
  <c r="EO217" i="12"/>
  <c r="EP217" i="12"/>
  <c r="EQ217" i="12"/>
  <c r="ER217" i="12"/>
  <c r="ES217" i="12"/>
  <c r="ET217" i="12"/>
  <c r="EU217" i="12"/>
  <c r="EV217" i="12"/>
  <c r="EW217" i="12"/>
  <c r="EX217" i="12"/>
  <c r="EY217" i="12"/>
  <c r="EZ217" i="12"/>
  <c r="FA217" i="12"/>
  <c r="FB217" i="12"/>
  <c r="FC217" i="12"/>
  <c r="FD217" i="12"/>
  <c r="FE217" i="12"/>
  <c r="FF217" i="12"/>
  <c r="FG217" i="12"/>
  <c r="FH217" i="12"/>
  <c r="FI217" i="12"/>
  <c r="FJ217" i="12"/>
  <c r="FK217" i="12"/>
  <c r="FL217" i="12"/>
  <c r="FM217" i="12"/>
  <c r="FN217" i="12"/>
  <c r="FO217" i="12"/>
  <c r="FP217" i="12"/>
  <c r="FQ217" i="12"/>
  <c r="FR217" i="12"/>
  <c r="FS217" i="12"/>
  <c r="FT217" i="12"/>
  <c r="FU217" i="12"/>
  <c r="FV217" i="12"/>
  <c r="FW217" i="12"/>
  <c r="FX217" i="12"/>
  <c r="FY217" i="12"/>
  <c r="FZ217" i="12"/>
  <c r="GA217" i="12"/>
  <c r="GB217" i="12"/>
  <c r="GC217" i="12"/>
  <c r="GD217" i="12"/>
  <c r="GE217" i="12"/>
  <c r="GF217" i="12"/>
  <c r="GG217" i="12"/>
  <c r="GH217" i="12"/>
  <c r="GI217" i="12"/>
  <c r="GJ217" i="12"/>
  <c r="GK217" i="12"/>
  <c r="GL217" i="12"/>
  <c r="GM217" i="12"/>
  <c r="GN217" i="12"/>
  <c r="GO217" i="12"/>
  <c r="GP217" i="12"/>
  <c r="GQ217" i="12"/>
  <c r="GR217" i="12"/>
  <c r="GS217" i="12"/>
  <c r="GT217" i="12"/>
  <c r="GU217" i="12"/>
  <c r="GV217" i="12"/>
  <c r="GW217" i="12"/>
  <c r="GX217" i="12"/>
  <c r="GY217" i="12"/>
  <c r="GZ217" i="12"/>
  <c r="HA217" i="12"/>
  <c r="HB217" i="12"/>
  <c r="HC217" i="12"/>
  <c r="HD217" i="12"/>
  <c r="HE217" i="12"/>
  <c r="HF217" i="12"/>
  <c r="HG217" i="12"/>
  <c r="HH217" i="12"/>
  <c r="HI217" i="12"/>
  <c r="HJ217" i="12"/>
  <c r="HK217" i="12"/>
  <c r="HL217" i="12"/>
  <c r="HM217" i="12"/>
  <c r="HN217" i="12"/>
  <c r="HO217" i="12"/>
  <c r="HP217" i="12"/>
  <c r="HQ217" i="12"/>
  <c r="HR217" i="12"/>
  <c r="HS217" i="12"/>
  <c r="HT217" i="12"/>
  <c r="HU217" i="12"/>
  <c r="HV217" i="12"/>
  <c r="HW217" i="12"/>
  <c r="HX217" i="12"/>
  <c r="HY217" i="12"/>
  <c r="HZ217" i="12"/>
  <c r="IA217" i="12"/>
  <c r="IB217" i="12"/>
  <c r="IC217" i="12"/>
  <c r="ID217" i="12"/>
  <c r="IE217" i="12"/>
  <c r="IF217" i="12"/>
  <c r="IG217" i="12"/>
  <c r="IH217" i="12"/>
  <c r="II217" i="12"/>
  <c r="IJ217" i="12"/>
  <c r="IK217" i="12"/>
  <c r="IL217" i="12"/>
  <c r="IM217" i="12"/>
  <c r="IN217" i="12"/>
  <c r="IO217" i="12"/>
  <c r="IP217" i="12"/>
  <c r="IQ217" i="12"/>
  <c r="IR217" i="12"/>
  <c r="IS217" i="12"/>
  <c r="IT217" i="12"/>
  <c r="IU217" i="12"/>
  <c r="IV217" i="12"/>
  <c r="F218" i="12"/>
  <c r="G218" i="12"/>
  <c r="H218" i="12"/>
  <c r="I218" i="12"/>
  <c r="J218" i="12"/>
  <c r="K218" i="12"/>
  <c r="L218" i="12"/>
  <c r="M218" i="12"/>
  <c r="N218" i="12"/>
  <c r="O218" i="12"/>
  <c r="P218" i="12"/>
  <c r="Q218" i="12"/>
  <c r="R218" i="12"/>
  <c r="S218" i="12"/>
  <c r="T218" i="12"/>
  <c r="U218" i="12"/>
  <c r="V218" i="12"/>
  <c r="W218" i="12"/>
  <c r="X218" i="12"/>
  <c r="Y218" i="12"/>
  <c r="Z218" i="12"/>
  <c r="AA218" i="12"/>
  <c r="AB218" i="12"/>
  <c r="AC218" i="12"/>
  <c r="AD218" i="12"/>
  <c r="AE218" i="12"/>
  <c r="AF218" i="12"/>
  <c r="AG218" i="12"/>
  <c r="AH218" i="12"/>
  <c r="AI218" i="12"/>
  <c r="AJ218" i="12"/>
  <c r="AK218" i="12"/>
  <c r="AL218" i="12"/>
  <c r="AM218" i="12"/>
  <c r="AN218" i="12"/>
  <c r="AO218" i="12"/>
  <c r="AP218" i="12"/>
  <c r="AQ218" i="12"/>
  <c r="AR218" i="12"/>
  <c r="AS218" i="12"/>
  <c r="AT218" i="12"/>
  <c r="AU218" i="12"/>
  <c r="AV218" i="12"/>
  <c r="AW218" i="12"/>
  <c r="AX218" i="12"/>
  <c r="AY218" i="12"/>
  <c r="AZ218" i="12"/>
  <c r="BA218" i="12"/>
  <c r="BB218" i="12"/>
  <c r="BC218" i="12"/>
  <c r="BD218" i="12"/>
  <c r="BE218" i="12"/>
  <c r="BF218" i="12"/>
  <c r="BG218" i="12"/>
  <c r="BH218" i="12"/>
  <c r="BI218" i="12"/>
  <c r="BJ218" i="12"/>
  <c r="BK218" i="12"/>
  <c r="BL218" i="12"/>
  <c r="BM218" i="12"/>
  <c r="BN218" i="12"/>
  <c r="BO218" i="12"/>
  <c r="BP218" i="12"/>
  <c r="BQ218" i="12"/>
  <c r="BR218" i="12"/>
  <c r="BS218" i="12"/>
  <c r="BT218" i="12"/>
  <c r="BU218" i="12"/>
  <c r="BV218" i="12"/>
  <c r="BW218" i="12"/>
  <c r="BX218" i="12"/>
  <c r="BY218" i="12"/>
  <c r="BZ218" i="12"/>
  <c r="CA218" i="12"/>
  <c r="CB218" i="12"/>
  <c r="CC218" i="12"/>
  <c r="CD218" i="12"/>
  <c r="CE218" i="12"/>
  <c r="CF218" i="12"/>
  <c r="CG218" i="12"/>
  <c r="CH218" i="12"/>
  <c r="CI218" i="12"/>
  <c r="CJ218" i="12"/>
  <c r="CK218" i="12"/>
  <c r="CL218" i="12"/>
  <c r="CM218" i="12"/>
  <c r="CN218" i="12"/>
  <c r="CO218" i="12"/>
  <c r="CP218" i="12"/>
  <c r="CQ218" i="12"/>
  <c r="CR218" i="12"/>
  <c r="CS218" i="12"/>
  <c r="CT218" i="12"/>
  <c r="CU218" i="12"/>
  <c r="CV218" i="12"/>
  <c r="CW218" i="12"/>
  <c r="CX218" i="12"/>
  <c r="CY218" i="12"/>
  <c r="CZ218" i="12"/>
  <c r="DA218" i="12"/>
  <c r="DB218" i="12"/>
  <c r="DC218" i="12"/>
  <c r="DD218" i="12"/>
  <c r="DE218" i="12"/>
  <c r="DF218" i="12"/>
  <c r="DG218" i="12"/>
  <c r="DH218" i="12"/>
  <c r="DI218" i="12"/>
  <c r="DJ218" i="12"/>
  <c r="DK218" i="12"/>
  <c r="DL218" i="12"/>
  <c r="DM218" i="12"/>
  <c r="DN218" i="12"/>
  <c r="DO218" i="12"/>
  <c r="DP218" i="12"/>
  <c r="DQ218" i="12"/>
  <c r="DR218" i="12"/>
  <c r="DS218" i="12"/>
  <c r="DT218" i="12"/>
  <c r="DU218" i="12"/>
  <c r="DV218" i="12"/>
  <c r="DW218" i="12"/>
  <c r="DX218" i="12"/>
  <c r="DY218" i="12"/>
  <c r="DZ218" i="12"/>
  <c r="EA218" i="12"/>
  <c r="EB218" i="12"/>
  <c r="EC218" i="12"/>
  <c r="ED218" i="12"/>
  <c r="EE218" i="12"/>
  <c r="EF218" i="12"/>
  <c r="EG218" i="12"/>
  <c r="EH218" i="12"/>
  <c r="EI218" i="12"/>
  <c r="EJ218" i="12"/>
  <c r="EK218" i="12"/>
  <c r="EL218" i="12"/>
  <c r="EM218" i="12"/>
  <c r="EN218" i="12"/>
  <c r="EO218" i="12"/>
  <c r="EP218" i="12"/>
  <c r="EQ218" i="12"/>
  <c r="ER218" i="12"/>
  <c r="ES218" i="12"/>
  <c r="ET218" i="12"/>
  <c r="EU218" i="12"/>
  <c r="EV218" i="12"/>
  <c r="EW218" i="12"/>
  <c r="EX218" i="12"/>
  <c r="EY218" i="12"/>
  <c r="EZ218" i="12"/>
  <c r="FA218" i="12"/>
  <c r="FB218" i="12"/>
  <c r="FC218" i="12"/>
  <c r="FD218" i="12"/>
  <c r="FE218" i="12"/>
  <c r="FF218" i="12"/>
  <c r="FG218" i="12"/>
  <c r="FH218" i="12"/>
  <c r="FI218" i="12"/>
  <c r="FJ218" i="12"/>
  <c r="FK218" i="12"/>
  <c r="FL218" i="12"/>
  <c r="FM218" i="12"/>
  <c r="FN218" i="12"/>
  <c r="FO218" i="12"/>
  <c r="FP218" i="12"/>
  <c r="FQ218" i="12"/>
  <c r="FR218" i="12"/>
  <c r="FS218" i="12"/>
  <c r="FT218" i="12"/>
  <c r="FU218" i="12"/>
  <c r="FV218" i="12"/>
  <c r="FW218" i="12"/>
  <c r="FX218" i="12"/>
  <c r="FY218" i="12"/>
  <c r="FZ218" i="12"/>
  <c r="GA218" i="12"/>
  <c r="GB218" i="12"/>
  <c r="GC218" i="12"/>
  <c r="GD218" i="12"/>
  <c r="GE218" i="12"/>
  <c r="GF218" i="12"/>
  <c r="GG218" i="12"/>
  <c r="GH218" i="12"/>
  <c r="GI218" i="12"/>
  <c r="GJ218" i="12"/>
  <c r="GK218" i="12"/>
  <c r="GL218" i="12"/>
  <c r="GM218" i="12"/>
  <c r="GN218" i="12"/>
  <c r="GO218" i="12"/>
  <c r="GP218" i="12"/>
  <c r="GQ218" i="12"/>
  <c r="GR218" i="12"/>
  <c r="GS218" i="12"/>
  <c r="GT218" i="12"/>
  <c r="GU218" i="12"/>
  <c r="GV218" i="12"/>
  <c r="GW218" i="12"/>
  <c r="GX218" i="12"/>
  <c r="GY218" i="12"/>
  <c r="GZ218" i="12"/>
  <c r="HA218" i="12"/>
  <c r="HB218" i="12"/>
  <c r="HC218" i="12"/>
  <c r="HD218" i="12"/>
  <c r="HE218" i="12"/>
  <c r="HF218" i="12"/>
  <c r="HG218" i="12"/>
  <c r="HH218" i="12"/>
  <c r="HI218" i="12"/>
  <c r="HJ218" i="12"/>
  <c r="HK218" i="12"/>
  <c r="HL218" i="12"/>
  <c r="HM218" i="12"/>
  <c r="HN218" i="12"/>
  <c r="HO218" i="12"/>
  <c r="HP218" i="12"/>
  <c r="HQ218" i="12"/>
  <c r="HR218" i="12"/>
  <c r="HS218" i="12"/>
  <c r="HT218" i="12"/>
  <c r="HU218" i="12"/>
  <c r="HV218" i="12"/>
  <c r="HW218" i="12"/>
  <c r="HX218" i="12"/>
  <c r="HY218" i="12"/>
  <c r="HZ218" i="12"/>
  <c r="IA218" i="12"/>
  <c r="IB218" i="12"/>
  <c r="IC218" i="12"/>
  <c r="ID218" i="12"/>
  <c r="IE218" i="12"/>
  <c r="IF218" i="12"/>
  <c r="IG218" i="12"/>
  <c r="IH218" i="12"/>
  <c r="II218" i="12"/>
  <c r="IJ218" i="12"/>
  <c r="IK218" i="12"/>
  <c r="IL218" i="12"/>
  <c r="IM218" i="12"/>
  <c r="IN218" i="12"/>
  <c r="IO218" i="12"/>
  <c r="IP218" i="12"/>
  <c r="IQ218" i="12"/>
  <c r="IR218" i="12"/>
  <c r="IS218" i="12"/>
  <c r="IT218" i="12"/>
  <c r="IU218" i="12"/>
  <c r="IV218" i="12"/>
  <c r="F219" i="12"/>
  <c r="G219" i="12"/>
  <c r="H219" i="12"/>
  <c r="I219" i="12"/>
  <c r="J219" i="12"/>
  <c r="K219" i="12"/>
  <c r="L219" i="12"/>
  <c r="M219" i="12"/>
  <c r="N219" i="12"/>
  <c r="O219" i="12"/>
  <c r="P219" i="12"/>
  <c r="Q219" i="12"/>
  <c r="R219" i="12"/>
  <c r="S219" i="12"/>
  <c r="T219" i="12"/>
  <c r="U219" i="12"/>
  <c r="V219" i="12"/>
  <c r="W219" i="12"/>
  <c r="X219" i="12"/>
  <c r="Y219" i="12"/>
  <c r="Z219" i="12"/>
  <c r="AA219" i="12"/>
  <c r="AB219" i="12"/>
  <c r="AC219" i="12"/>
  <c r="AD219" i="12"/>
  <c r="AE219" i="12"/>
  <c r="AF219" i="12"/>
  <c r="AG219" i="12"/>
  <c r="AH219" i="12"/>
  <c r="AI219" i="12"/>
  <c r="AJ219" i="12"/>
  <c r="AK219" i="12"/>
  <c r="AL219" i="12"/>
  <c r="AM219" i="12"/>
  <c r="AN219" i="12"/>
  <c r="AO219" i="12"/>
  <c r="AP219" i="12"/>
  <c r="AQ219" i="12"/>
  <c r="AR219" i="12"/>
  <c r="AS219" i="12"/>
  <c r="AT219" i="12"/>
  <c r="AU219" i="12"/>
  <c r="AV219" i="12"/>
  <c r="AW219" i="12"/>
  <c r="AX219" i="12"/>
  <c r="AY219" i="12"/>
  <c r="AZ219" i="12"/>
  <c r="BA219" i="12"/>
  <c r="BB219" i="12"/>
  <c r="BC219" i="12"/>
  <c r="BD219" i="12"/>
  <c r="BE219" i="12"/>
  <c r="BF219" i="12"/>
  <c r="BG219" i="12"/>
  <c r="BH219" i="12"/>
  <c r="BI219" i="12"/>
  <c r="BJ219" i="12"/>
  <c r="BK219" i="12"/>
  <c r="BL219" i="12"/>
  <c r="BM219" i="12"/>
  <c r="BN219" i="12"/>
  <c r="BO219" i="12"/>
  <c r="BP219" i="12"/>
  <c r="BQ219" i="12"/>
  <c r="BR219" i="12"/>
  <c r="BS219" i="12"/>
  <c r="BT219" i="12"/>
  <c r="BU219" i="12"/>
  <c r="BV219" i="12"/>
  <c r="BW219" i="12"/>
  <c r="BX219" i="12"/>
  <c r="BY219" i="12"/>
  <c r="BZ219" i="12"/>
  <c r="CA219" i="12"/>
  <c r="CB219" i="12"/>
  <c r="CC219" i="12"/>
  <c r="CD219" i="12"/>
  <c r="CE219" i="12"/>
  <c r="CF219" i="12"/>
  <c r="CG219" i="12"/>
  <c r="CH219" i="12"/>
  <c r="CI219" i="12"/>
  <c r="CJ219" i="12"/>
  <c r="CK219" i="12"/>
  <c r="CL219" i="12"/>
  <c r="CM219" i="12"/>
  <c r="CN219" i="12"/>
  <c r="CO219" i="12"/>
  <c r="CP219" i="12"/>
  <c r="CQ219" i="12"/>
  <c r="CR219" i="12"/>
  <c r="CS219" i="12"/>
  <c r="CT219" i="12"/>
  <c r="CU219" i="12"/>
  <c r="CV219" i="12"/>
  <c r="CW219" i="12"/>
  <c r="CX219" i="12"/>
  <c r="CY219" i="12"/>
  <c r="CZ219" i="12"/>
  <c r="DA219" i="12"/>
  <c r="DB219" i="12"/>
  <c r="DC219" i="12"/>
  <c r="DD219" i="12"/>
  <c r="DE219" i="12"/>
  <c r="DF219" i="12"/>
  <c r="DG219" i="12"/>
  <c r="DH219" i="12"/>
  <c r="DI219" i="12"/>
  <c r="DJ219" i="12"/>
  <c r="DK219" i="12"/>
  <c r="DL219" i="12"/>
  <c r="DM219" i="12"/>
  <c r="DN219" i="12"/>
  <c r="DO219" i="12"/>
  <c r="DP219" i="12"/>
  <c r="DQ219" i="12"/>
  <c r="DR219" i="12"/>
  <c r="DS219" i="12"/>
  <c r="DT219" i="12"/>
  <c r="DU219" i="12"/>
  <c r="DV219" i="12"/>
  <c r="DW219" i="12"/>
  <c r="DX219" i="12"/>
  <c r="DY219" i="12"/>
  <c r="DZ219" i="12"/>
  <c r="EA219" i="12"/>
  <c r="EB219" i="12"/>
  <c r="EC219" i="12"/>
  <c r="ED219" i="12"/>
  <c r="EE219" i="12"/>
  <c r="EF219" i="12"/>
  <c r="EG219" i="12"/>
  <c r="EH219" i="12"/>
  <c r="EI219" i="12"/>
  <c r="EJ219" i="12"/>
  <c r="EK219" i="12"/>
  <c r="EL219" i="12"/>
  <c r="EM219" i="12"/>
  <c r="EN219" i="12"/>
  <c r="EO219" i="12"/>
  <c r="EP219" i="12"/>
  <c r="EQ219" i="12"/>
  <c r="ER219" i="12"/>
  <c r="ES219" i="12"/>
  <c r="ET219" i="12"/>
  <c r="EU219" i="12"/>
  <c r="EV219" i="12"/>
  <c r="EW219" i="12"/>
  <c r="EX219" i="12"/>
  <c r="EY219" i="12"/>
  <c r="EZ219" i="12"/>
  <c r="FA219" i="12"/>
  <c r="FB219" i="12"/>
  <c r="FC219" i="12"/>
  <c r="FD219" i="12"/>
  <c r="FE219" i="12"/>
  <c r="FF219" i="12"/>
  <c r="FG219" i="12"/>
  <c r="FH219" i="12"/>
  <c r="FI219" i="12"/>
  <c r="FJ219" i="12"/>
  <c r="FK219" i="12"/>
  <c r="FL219" i="12"/>
  <c r="FM219" i="12"/>
  <c r="FN219" i="12"/>
  <c r="FO219" i="12"/>
  <c r="FP219" i="12"/>
  <c r="FQ219" i="12"/>
  <c r="FR219" i="12"/>
  <c r="FS219" i="12"/>
  <c r="FT219" i="12"/>
  <c r="FU219" i="12"/>
  <c r="FV219" i="12"/>
  <c r="FW219" i="12"/>
  <c r="FX219" i="12"/>
  <c r="FY219" i="12"/>
  <c r="FZ219" i="12"/>
  <c r="GA219" i="12"/>
  <c r="GB219" i="12"/>
  <c r="GC219" i="12"/>
  <c r="GD219" i="12"/>
  <c r="GE219" i="12"/>
  <c r="GF219" i="12"/>
  <c r="GG219" i="12"/>
  <c r="GH219" i="12"/>
  <c r="GI219" i="12"/>
  <c r="GJ219" i="12"/>
  <c r="GK219" i="12"/>
  <c r="GL219" i="12"/>
  <c r="GM219" i="12"/>
  <c r="GN219" i="12"/>
  <c r="GO219" i="12"/>
  <c r="GP219" i="12"/>
  <c r="GQ219" i="12"/>
  <c r="GR219" i="12"/>
  <c r="GS219" i="12"/>
  <c r="GT219" i="12"/>
  <c r="GU219" i="12"/>
  <c r="GV219" i="12"/>
  <c r="GW219" i="12"/>
  <c r="GX219" i="12"/>
  <c r="GY219" i="12"/>
  <c r="GZ219" i="12"/>
  <c r="HA219" i="12"/>
  <c r="HB219" i="12"/>
  <c r="HC219" i="12"/>
  <c r="HD219" i="12"/>
  <c r="HE219" i="12"/>
  <c r="HF219" i="12"/>
  <c r="HG219" i="12"/>
  <c r="HH219" i="12"/>
  <c r="HI219" i="12"/>
  <c r="HJ219" i="12"/>
  <c r="HK219" i="12"/>
  <c r="HL219" i="12"/>
  <c r="HM219" i="12"/>
  <c r="HN219" i="12"/>
  <c r="HO219" i="12"/>
  <c r="HP219" i="12"/>
  <c r="HQ219" i="12"/>
  <c r="HR219" i="12"/>
  <c r="HS219" i="12"/>
  <c r="HT219" i="12"/>
  <c r="HU219" i="12"/>
  <c r="HV219" i="12"/>
  <c r="HW219" i="12"/>
  <c r="HX219" i="12"/>
  <c r="HY219" i="12"/>
  <c r="HZ219" i="12"/>
  <c r="IA219" i="12"/>
  <c r="IB219" i="12"/>
  <c r="IC219" i="12"/>
  <c r="ID219" i="12"/>
  <c r="IE219" i="12"/>
  <c r="IF219" i="12"/>
  <c r="IG219" i="12"/>
  <c r="IH219" i="12"/>
  <c r="II219" i="12"/>
  <c r="IJ219" i="12"/>
  <c r="IK219" i="12"/>
  <c r="IL219" i="12"/>
  <c r="IM219" i="12"/>
  <c r="IN219" i="12"/>
  <c r="IO219" i="12"/>
  <c r="IP219" i="12"/>
  <c r="IQ219" i="12"/>
  <c r="IR219" i="12"/>
  <c r="IS219" i="12"/>
  <c r="IT219" i="12"/>
  <c r="IU219" i="12"/>
  <c r="IV219" i="12"/>
  <c r="F220" i="12"/>
  <c r="G220" i="12"/>
  <c r="H220" i="12"/>
  <c r="I220" i="12"/>
  <c r="J220" i="12"/>
  <c r="K220" i="12"/>
  <c r="L220" i="12"/>
  <c r="M220" i="12"/>
  <c r="N220" i="12"/>
  <c r="O220" i="12"/>
  <c r="P220" i="12"/>
  <c r="Q220" i="12"/>
  <c r="R220" i="12"/>
  <c r="S220" i="12"/>
  <c r="T220" i="12"/>
  <c r="U220" i="12"/>
  <c r="V220" i="12"/>
  <c r="W220" i="12"/>
  <c r="X220" i="12"/>
  <c r="Y220" i="12"/>
  <c r="Z220" i="12"/>
  <c r="AA220" i="12"/>
  <c r="AB220" i="12"/>
  <c r="AC220" i="12"/>
  <c r="AD220" i="12"/>
  <c r="AE220" i="12"/>
  <c r="AF220" i="12"/>
  <c r="AG220" i="12"/>
  <c r="AH220" i="12"/>
  <c r="AI220" i="12"/>
  <c r="AJ220" i="12"/>
  <c r="AK220" i="12"/>
  <c r="AL220" i="12"/>
  <c r="AM220" i="12"/>
  <c r="AN220" i="12"/>
  <c r="AO220" i="12"/>
  <c r="AP220" i="12"/>
  <c r="AQ220" i="12"/>
  <c r="AR220" i="12"/>
  <c r="AS220" i="12"/>
  <c r="AT220" i="12"/>
  <c r="AU220" i="12"/>
  <c r="AV220" i="12"/>
  <c r="AW220" i="12"/>
  <c r="AX220" i="12"/>
  <c r="AY220" i="12"/>
  <c r="AZ220" i="12"/>
  <c r="BA220" i="12"/>
  <c r="BB220" i="12"/>
  <c r="BC220" i="12"/>
  <c r="BD220" i="12"/>
  <c r="BE220" i="12"/>
  <c r="BF220" i="12"/>
  <c r="BG220" i="12"/>
  <c r="BH220" i="12"/>
  <c r="BI220" i="12"/>
  <c r="BJ220" i="12"/>
  <c r="BK220" i="12"/>
  <c r="BL220" i="12"/>
  <c r="BM220" i="12"/>
  <c r="BN220" i="12"/>
  <c r="BO220" i="12"/>
  <c r="BP220" i="12"/>
  <c r="BQ220" i="12"/>
  <c r="BR220" i="12"/>
  <c r="BS220" i="12"/>
  <c r="BT220" i="12"/>
  <c r="BU220" i="12"/>
  <c r="BV220" i="12"/>
  <c r="BW220" i="12"/>
  <c r="BX220" i="12"/>
  <c r="BY220" i="12"/>
  <c r="BZ220" i="12"/>
  <c r="CA220" i="12"/>
  <c r="CB220" i="12"/>
  <c r="CC220" i="12"/>
  <c r="CD220" i="12"/>
  <c r="CE220" i="12"/>
  <c r="CF220" i="12"/>
  <c r="CG220" i="12"/>
  <c r="CH220" i="12"/>
  <c r="CI220" i="12"/>
  <c r="CJ220" i="12"/>
  <c r="CK220" i="12"/>
  <c r="CL220" i="12"/>
  <c r="CM220" i="12"/>
  <c r="CN220" i="12"/>
  <c r="CO220" i="12"/>
  <c r="CP220" i="12"/>
  <c r="CQ220" i="12"/>
  <c r="CR220" i="12"/>
  <c r="CS220" i="12"/>
  <c r="CT220" i="12"/>
  <c r="CU220" i="12"/>
  <c r="CV220" i="12"/>
  <c r="CW220" i="12"/>
  <c r="CX220" i="12"/>
  <c r="CY220" i="12"/>
  <c r="CZ220" i="12"/>
  <c r="DA220" i="12"/>
  <c r="DB220" i="12"/>
  <c r="DC220" i="12"/>
  <c r="DD220" i="12"/>
  <c r="DE220" i="12"/>
  <c r="DF220" i="12"/>
  <c r="DG220" i="12"/>
  <c r="DH220" i="12"/>
  <c r="DI220" i="12"/>
  <c r="DJ220" i="12"/>
  <c r="DK220" i="12"/>
  <c r="DL220" i="12"/>
  <c r="DM220" i="12"/>
  <c r="DN220" i="12"/>
  <c r="DO220" i="12"/>
  <c r="DP220" i="12"/>
  <c r="DQ220" i="12"/>
  <c r="DR220" i="12"/>
  <c r="DS220" i="12"/>
  <c r="DT220" i="12"/>
  <c r="DU220" i="12"/>
  <c r="DV220" i="12"/>
  <c r="DW220" i="12"/>
  <c r="DX220" i="12"/>
  <c r="DY220" i="12"/>
  <c r="DZ220" i="12"/>
  <c r="EA220" i="12"/>
  <c r="EB220" i="12"/>
  <c r="EC220" i="12"/>
  <c r="ED220" i="12"/>
  <c r="EE220" i="12"/>
  <c r="EF220" i="12"/>
  <c r="EG220" i="12"/>
  <c r="EH220" i="12"/>
  <c r="EI220" i="12"/>
  <c r="EJ220" i="12"/>
  <c r="EK220" i="12"/>
  <c r="EL220" i="12"/>
  <c r="EM220" i="12"/>
  <c r="EN220" i="12"/>
  <c r="EO220" i="12"/>
  <c r="EP220" i="12"/>
  <c r="EQ220" i="12"/>
  <c r="ER220" i="12"/>
  <c r="ES220" i="12"/>
  <c r="ET220" i="12"/>
  <c r="EU220" i="12"/>
  <c r="EV220" i="12"/>
  <c r="EW220" i="12"/>
  <c r="EX220" i="12"/>
  <c r="EY220" i="12"/>
  <c r="EZ220" i="12"/>
  <c r="FA220" i="12"/>
  <c r="FB220" i="12"/>
  <c r="FC220" i="12"/>
  <c r="FD220" i="12"/>
  <c r="FE220" i="12"/>
  <c r="FF220" i="12"/>
  <c r="FG220" i="12"/>
  <c r="FH220" i="12"/>
  <c r="FI220" i="12"/>
  <c r="FJ220" i="12"/>
  <c r="FK220" i="12"/>
  <c r="FL220" i="12"/>
  <c r="FM220" i="12"/>
  <c r="FN220" i="12"/>
  <c r="FO220" i="12"/>
  <c r="FP220" i="12"/>
  <c r="FQ220" i="12"/>
  <c r="FR220" i="12"/>
  <c r="FS220" i="12"/>
  <c r="FT220" i="12"/>
  <c r="FU220" i="12"/>
  <c r="FV220" i="12"/>
  <c r="FW220" i="12"/>
  <c r="FX220" i="12"/>
  <c r="FY220" i="12"/>
  <c r="FZ220" i="12"/>
  <c r="GA220" i="12"/>
  <c r="GB220" i="12"/>
  <c r="GC220" i="12"/>
  <c r="GD220" i="12"/>
  <c r="GE220" i="12"/>
  <c r="GF220" i="12"/>
  <c r="GG220" i="12"/>
  <c r="GH220" i="12"/>
  <c r="GI220" i="12"/>
  <c r="GJ220" i="12"/>
  <c r="GK220" i="12"/>
  <c r="GL220" i="12"/>
  <c r="GM220" i="12"/>
  <c r="GN220" i="12"/>
  <c r="GO220" i="12"/>
  <c r="GP220" i="12"/>
  <c r="GQ220" i="12"/>
  <c r="GR220" i="12"/>
  <c r="GS220" i="12"/>
  <c r="GT220" i="12"/>
  <c r="GU220" i="12"/>
  <c r="GV220" i="12"/>
  <c r="GW220" i="12"/>
  <c r="GX220" i="12"/>
  <c r="GY220" i="12"/>
  <c r="GZ220" i="12"/>
  <c r="HA220" i="12"/>
  <c r="HB220" i="12"/>
  <c r="HC220" i="12"/>
  <c r="HD220" i="12"/>
  <c r="HE220" i="12"/>
  <c r="HF220" i="12"/>
  <c r="HG220" i="12"/>
  <c r="HH220" i="12"/>
  <c r="HI220" i="12"/>
  <c r="HJ220" i="12"/>
  <c r="HK220" i="12"/>
  <c r="HL220" i="12"/>
  <c r="HM220" i="12"/>
  <c r="HN220" i="12"/>
  <c r="HO220" i="12"/>
  <c r="HP220" i="12"/>
  <c r="HQ220" i="12"/>
  <c r="HR220" i="12"/>
  <c r="HS220" i="12"/>
  <c r="HT220" i="12"/>
  <c r="HU220" i="12"/>
  <c r="HV220" i="12"/>
  <c r="HW220" i="12"/>
  <c r="HX220" i="12"/>
  <c r="HY220" i="12"/>
  <c r="HZ220" i="12"/>
  <c r="IA220" i="12"/>
  <c r="IB220" i="12"/>
  <c r="IC220" i="12"/>
  <c r="ID220" i="12"/>
  <c r="IE220" i="12"/>
  <c r="IF220" i="12"/>
  <c r="IG220" i="12"/>
  <c r="IH220" i="12"/>
  <c r="II220" i="12"/>
  <c r="IJ220" i="12"/>
  <c r="IK220" i="12"/>
  <c r="IL220" i="12"/>
  <c r="IM220" i="12"/>
  <c r="IN220" i="12"/>
  <c r="IO220" i="12"/>
  <c r="IP220" i="12"/>
  <c r="IQ220" i="12"/>
  <c r="IR220" i="12"/>
  <c r="IS220" i="12"/>
  <c r="IT220" i="12"/>
  <c r="IU220" i="12"/>
  <c r="IV220" i="12"/>
  <c r="F221" i="12"/>
  <c r="G221" i="12"/>
  <c r="H221" i="12"/>
  <c r="I221" i="12"/>
  <c r="J221" i="12"/>
  <c r="K221" i="12"/>
  <c r="L221" i="12"/>
  <c r="M221" i="12"/>
  <c r="N221" i="12"/>
  <c r="O221" i="12"/>
  <c r="P221" i="12"/>
  <c r="Q221" i="12"/>
  <c r="R221" i="12"/>
  <c r="S221" i="12"/>
  <c r="T221" i="12"/>
  <c r="U221" i="12"/>
  <c r="V221" i="12"/>
  <c r="W221" i="12"/>
  <c r="X221" i="12"/>
  <c r="Y221" i="12"/>
  <c r="Z221" i="12"/>
  <c r="AA221" i="12"/>
  <c r="AB221" i="12"/>
  <c r="AC221" i="12"/>
  <c r="AD221" i="12"/>
  <c r="AE221" i="12"/>
  <c r="AF221" i="12"/>
  <c r="AG221" i="12"/>
  <c r="AH221" i="12"/>
  <c r="AI221" i="12"/>
  <c r="AJ221" i="12"/>
  <c r="AK221" i="12"/>
  <c r="AL221" i="12"/>
  <c r="AM221" i="12"/>
  <c r="AN221" i="12"/>
  <c r="AO221" i="12"/>
  <c r="AP221" i="12"/>
  <c r="AQ221" i="12"/>
  <c r="AR221" i="12"/>
  <c r="AS221" i="12"/>
  <c r="AT221" i="12"/>
  <c r="AU221" i="12"/>
  <c r="AV221" i="12"/>
  <c r="AW221" i="12"/>
  <c r="AX221" i="12"/>
  <c r="AY221" i="12"/>
  <c r="AZ221" i="12"/>
  <c r="BA221" i="12"/>
  <c r="BB221" i="12"/>
  <c r="BC221" i="12"/>
  <c r="BD221" i="12"/>
  <c r="BE221" i="12"/>
  <c r="BF221" i="12"/>
  <c r="BG221" i="12"/>
  <c r="BH221" i="12"/>
  <c r="BI221" i="12"/>
  <c r="BJ221" i="12"/>
  <c r="BK221" i="12"/>
  <c r="BL221" i="12"/>
  <c r="BM221" i="12"/>
  <c r="BN221" i="12"/>
  <c r="BO221" i="12"/>
  <c r="BP221" i="12"/>
  <c r="BQ221" i="12"/>
  <c r="BR221" i="12"/>
  <c r="BS221" i="12"/>
  <c r="BT221" i="12"/>
  <c r="BU221" i="12"/>
  <c r="BV221" i="12"/>
  <c r="BW221" i="12"/>
  <c r="BX221" i="12"/>
  <c r="BY221" i="12"/>
  <c r="BZ221" i="12"/>
  <c r="CA221" i="12"/>
  <c r="CB221" i="12"/>
  <c r="CC221" i="12"/>
  <c r="CD221" i="12"/>
  <c r="CE221" i="12"/>
  <c r="CF221" i="12"/>
  <c r="CG221" i="12"/>
  <c r="CH221" i="12"/>
  <c r="CI221" i="12"/>
  <c r="CJ221" i="12"/>
  <c r="CK221" i="12"/>
  <c r="CL221" i="12"/>
  <c r="CM221" i="12"/>
  <c r="CN221" i="12"/>
  <c r="CO221" i="12"/>
  <c r="CP221" i="12"/>
  <c r="CQ221" i="12"/>
  <c r="CR221" i="12"/>
  <c r="CS221" i="12"/>
  <c r="CT221" i="12"/>
  <c r="CU221" i="12"/>
  <c r="CV221" i="12"/>
  <c r="CW221" i="12"/>
  <c r="CX221" i="12"/>
  <c r="CY221" i="12"/>
  <c r="CZ221" i="12"/>
  <c r="DA221" i="12"/>
  <c r="DB221" i="12"/>
  <c r="DC221" i="12"/>
  <c r="DD221" i="12"/>
  <c r="DE221" i="12"/>
  <c r="DF221" i="12"/>
  <c r="DG221" i="12"/>
  <c r="DH221" i="12"/>
  <c r="DI221" i="12"/>
  <c r="DJ221" i="12"/>
  <c r="DK221" i="12"/>
  <c r="DL221" i="12"/>
  <c r="DM221" i="12"/>
  <c r="DN221" i="12"/>
  <c r="DO221" i="12"/>
  <c r="DP221" i="12"/>
  <c r="DQ221" i="12"/>
  <c r="DR221" i="12"/>
  <c r="DS221" i="12"/>
  <c r="DT221" i="12"/>
  <c r="DU221" i="12"/>
  <c r="DV221" i="12"/>
  <c r="DW221" i="12"/>
  <c r="DX221" i="12"/>
  <c r="DY221" i="12"/>
  <c r="DZ221" i="12"/>
  <c r="EA221" i="12"/>
  <c r="EB221" i="12"/>
  <c r="EC221" i="12"/>
  <c r="ED221" i="12"/>
  <c r="EE221" i="12"/>
  <c r="EF221" i="12"/>
  <c r="EG221" i="12"/>
  <c r="EH221" i="12"/>
  <c r="EI221" i="12"/>
  <c r="EJ221" i="12"/>
  <c r="EK221" i="12"/>
  <c r="EL221" i="12"/>
  <c r="EM221" i="12"/>
  <c r="EN221" i="12"/>
  <c r="EO221" i="12"/>
  <c r="EP221" i="12"/>
  <c r="EQ221" i="12"/>
  <c r="ER221" i="12"/>
  <c r="ES221" i="12"/>
  <c r="ET221" i="12"/>
  <c r="EU221" i="12"/>
  <c r="EV221" i="12"/>
  <c r="EW221" i="12"/>
  <c r="EX221" i="12"/>
  <c r="EY221" i="12"/>
  <c r="EZ221" i="12"/>
  <c r="FA221" i="12"/>
  <c r="FB221" i="12"/>
  <c r="FC221" i="12"/>
  <c r="FD221" i="12"/>
  <c r="FE221" i="12"/>
  <c r="FF221" i="12"/>
  <c r="FG221" i="12"/>
  <c r="FH221" i="12"/>
  <c r="FI221" i="12"/>
  <c r="FJ221" i="12"/>
  <c r="FK221" i="12"/>
  <c r="FL221" i="12"/>
  <c r="FM221" i="12"/>
  <c r="FN221" i="12"/>
  <c r="FO221" i="12"/>
  <c r="FP221" i="12"/>
  <c r="FQ221" i="12"/>
  <c r="FR221" i="12"/>
  <c r="FS221" i="12"/>
  <c r="FT221" i="12"/>
  <c r="FU221" i="12"/>
  <c r="FV221" i="12"/>
  <c r="FW221" i="12"/>
  <c r="FX221" i="12"/>
  <c r="FY221" i="12"/>
  <c r="FZ221" i="12"/>
  <c r="GA221" i="12"/>
  <c r="GB221" i="12"/>
  <c r="GC221" i="12"/>
  <c r="GD221" i="12"/>
  <c r="GE221" i="12"/>
  <c r="GF221" i="12"/>
  <c r="GG221" i="12"/>
  <c r="GH221" i="12"/>
  <c r="GI221" i="12"/>
  <c r="GJ221" i="12"/>
  <c r="GK221" i="12"/>
  <c r="GL221" i="12"/>
  <c r="GM221" i="12"/>
  <c r="GN221" i="12"/>
  <c r="GO221" i="12"/>
  <c r="GP221" i="12"/>
  <c r="GQ221" i="12"/>
  <c r="GR221" i="12"/>
  <c r="GS221" i="12"/>
  <c r="GT221" i="12"/>
  <c r="GU221" i="12"/>
  <c r="GV221" i="12"/>
  <c r="GW221" i="12"/>
  <c r="GX221" i="12"/>
  <c r="GY221" i="12"/>
  <c r="GZ221" i="12"/>
  <c r="HA221" i="12"/>
  <c r="HB221" i="12"/>
  <c r="HC221" i="12"/>
  <c r="HD221" i="12"/>
  <c r="HE221" i="12"/>
  <c r="HF221" i="12"/>
  <c r="HG221" i="12"/>
  <c r="HH221" i="12"/>
  <c r="HI221" i="12"/>
  <c r="HJ221" i="12"/>
  <c r="HK221" i="12"/>
  <c r="HL221" i="12"/>
  <c r="HM221" i="12"/>
  <c r="HN221" i="12"/>
  <c r="HO221" i="12"/>
  <c r="HP221" i="12"/>
  <c r="HQ221" i="12"/>
  <c r="HR221" i="12"/>
  <c r="HS221" i="12"/>
  <c r="HT221" i="12"/>
  <c r="HU221" i="12"/>
  <c r="HV221" i="12"/>
  <c r="HW221" i="12"/>
  <c r="HX221" i="12"/>
  <c r="HY221" i="12"/>
  <c r="HZ221" i="12"/>
  <c r="IA221" i="12"/>
  <c r="IB221" i="12"/>
  <c r="IC221" i="12"/>
  <c r="ID221" i="12"/>
  <c r="IE221" i="12"/>
  <c r="IF221" i="12"/>
  <c r="IG221" i="12"/>
  <c r="IH221" i="12"/>
  <c r="II221" i="12"/>
  <c r="IJ221" i="12"/>
  <c r="IK221" i="12"/>
  <c r="IL221" i="12"/>
  <c r="IM221" i="12"/>
  <c r="IN221" i="12"/>
  <c r="IO221" i="12"/>
  <c r="IP221" i="12"/>
  <c r="IQ221" i="12"/>
  <c r="IR221" i="12"/>
  <c r="IS221" i="12"/>
  <c r="IT221" i="12"/>
  <c r="IU221" i="12"/>
  <c r="IV221" i="12"/>
  <c r="F222" i="12"/>
  <c r="G222" i="12"/>
  <c r="H222" i="12"/>
  <c r="I222" i="12"/>
  <c r="J222" i="12"/>
  <c r="K222" i="12"/>
  <c r="L222" i="12"/>
  <c r="M222" i="12"/>
  <c r="N222" i="12"/>
  <c r="O222" i="12"/>
  <c r="P222" i="12"/>
  <c r="Q222" i="12"/>
  <c r="R222" i="12"/>
  <c r="S222" i="12"/>
  <c r="T222" i="12"/>
  <c r="U222" i="12"/>
  <c r="V222" i="12"/>
  <c r="W222" i="12"/>
  <c r="X222" i="12"/>
  <c r="Y222" i="12"/>
  <c r="Z222" i="12"/>
  <c r="AA222" i="12"/>
  <c r="AB222" i="12"/>
  <c r="AC222" i="12"/>
  <c r="AD222" i="12"/>
  <c r="AE222" i="12"/>
  <c r="AF222" i="12"/>
  <c r="AG222" i="12"/>
  <c r="AH222" i="12"/>
  <c r="AI222" i="12"/>
  <c r="AJ222" i="12"/>
  <c r="AK222" i="12"/>
  <c r="AL222" i="12"/>
  <c r="AM222" i="12"/>
  <c r="AN222" i="12"/>
  <c r="AO222" i="12"/>
  <c r="AP222" i="12"/>
  <c r="AQ222" i="12"/>
  <c r="AR222" i="12"/>
  <c r="AS222" i="12"/>
  <c r="AT222" i="12"/>
  <c r="AU222" i="12"/>
  <c r="AV222" i="12"/>
  <c r="AW222" i="12"/>
  <c r="AX222" i="12"/>
  <c r="AY222" i="12"/>
  <c r="AZ222" i="12"/>
  <c r="BA222" i="12"/>
  <c r="BB222" i="12"/>
  <c r="BC222" i="12"/>
  <c r="BD222" i="12"/>
  <c r="BE222" i="12"/>
  <c r="BF222" i="12"/>
  <c r="BG222" i="12"/>
  <c r="BH222" i="12"/>
  <c r="BI222" i="12"/>
  <c r="BJ222" i="12"/>
  <c r="BK222" i="12"/>
  <c r="BL222" i="12"/>
  <c r="BM222" i="12"/>
  <c r="BN222" i="12"/>
  <c r="BO222" i="12"/>
  <c r="BP222" i="12"/>
  <c r="BQ222" i="12"/>
  <c r="BR222" i="12"/>
  <c r="BS222" i="12"/>
  <c r="BT222" i="12"/>
  <c r="BU222" i="12"/>
  <c r="BV222" i="12"/>
  <c r="BW222" i="12"/>
  <c r="BX222" i="12"/>
  <c r="BY222" i="12"/>
  <c r="BZ222" i="12"/>
  <c r="CA222" i="12"/>
  <c r="CB222" i="12"/>
  <c r="CC222" i="12"/>
  <c r="CD222" i="12"/>
  <c r="CE222" i="12"/>
  <c r="CF222" i="12"/>
  <c r="CG222" i="12"/>
  <c r="CH222" i="12"/>
  <c r="CI222" i="12"/>
  <c r="CJ222" i="12"/>
  <c r="CK222" i="12"/>
  <c r="CL222" i="12"/>
  <c r="CM222" i="12"/>
  <c r="CN222" i="12"/>
  <c r="CO222" i="12"/>
  <c r="CP222" i="12"/>
  <c r="CQ222" i="12"/>
  <c r="CR222" i="12"/>
  <c r="CS222" i="12"/>
  <c r="CT222" i="12"/>
  <c r="CU222" i="12"/>
  <c r="CV222" i="12"/>
  <c r="CW222" i="12"/>
  <c r="CX222" i="12"/>
  <c r="CY222" i="12"/>
  <c r="CZ222" i="12"/>
  <c r="DA222" i="12"/>
  <c r="DB222" i="12"/>
  <c r="DC222" i="12"/>
  <c r="DD222" i="12"/>
  <c r="DE222" i="12"/>
  <c r="DF222" i="12"/>
  <c r="DG222" i="12"/>
  <c r="DH222" i="12"/>
  <c r="DI222" i="12"/>
  <c r="DJ222" i="12"/>
  <c r="DK222" i="12"/>
  <c r="DL222" i="12"/>
  <c r="DM222" i="12"/>
  <c r="DN222" i="12"/>
  <c r="DO222" i="12"/>
  <c r="DP222" i="12"/>
  <c r="DQ222" i="12"/>
  <c r="DR222" i="12"/>
  <c r="DS222" i="12"/>
  <c r="DT222" i="12"/>
  <c r="DU222" i="12"/>
  <c r="DV222" i="12"/>
  <c r="DW222" i="12"/>
  <c r="DX222" i="12"/>
  <c r="DY222" i="12"/>
  <c r="DZ222" i="12"/>
  <c r="EA222" i="12"/>
  <c r="EB222" i="12"/>
  <c r="EC222" i="12"/>
  <c r="ED222" i="12"/>
  <c r="EE222" i="12"/>
  <c r="EF222" i="12"/>
  <c r="EG222" i="12"/>
  <c r="EH222" i="12"/>
  <c r="EI222" i="12"/>
  <c r="EJ222" i="12"/>
  <c r="EK222" i="12"/>
  <c r="EL222" i="12"/>
  <c r="EM222" i="12"/>
  <c r="EN222" i="12"/>
  <c r="EO222" i="12"/>
  <c r="EP222" i="12"/>
  <c r="EQ222" i="12"/>
  <c r="ER222" i="12"/>
  <c r="ES222" i="12"/>
  <c r="ET222" i="12"/>
  <c r="EU222" i="12"/>
  <c r="EV222" i="12"/>
  <c r="EW222" i="12"/>
  <c r="EX222" i="12"/>
  <c r="EY222" i="12"/>
  <c r="EZ222" i="12"/>
  <c r="FA222" i="12"/>
  <c r="FB222" i="12"/>
  <c r="FC222" i="12"/>
  <c r="FD222" i="12"/>
  <c r="FE222" i="12"/>
  <c r="FF222" i="12"/>
  <c r="FG222" i="12"/>
  <c r="FH222" i="12"/>
  <c r="FI222" i="12"/>
  <c r="FJ222" i="12"/>
  <c r="FK222" i="12"/>
  <c r="FL222" i="12"/>
  <c r="FM222" i="12"/>
  <c r="FN222" i="12"/>
  <c r="FO222" i="12"/>
  <c r="FP222" i="12"/>
  <c r="FQ222" i="12"/>
  <c r="FR222" i="12"/>
  <c r="FS222" i="12"/>
  <c r="FT222" i="12"/>
  <c r="FU222" i="12"/>
  <c r="FV222" i="12"/>
  <c r="FW222" i="12"/>
  <c r="FX222" i="12"/>
  <c r="FY222" i="12"/>
  <c r="FZ222" i="12"/>
  <c r="GA222" i="12"/>
  <c r="GB222" i="12"/>
  <c r="GC222" i="12"/>
  <c r="GD222" i="12"/>
  <c r="GE222" i="12"/>
  <c r="GF222" i="12"/>
  <c r="GG222" i="12"/>
  <c r="GH222" i="12"/>
  <c r="GI222" i="12"/>
  <c r="GJ222" i="12"/>
  <c r="GK222" i="12"/>
  <c r="GL222" i="12"/>
  <c r="GM222" i="12"/>
  <c r="GN222" i="12"/>
  <c r="GO222" i="12"/>
  <c r="GP222" i="12"/>
  <c r="GQ222" i="12"/>
  <c r="GR222" i="12"/>
  <c r="GS222" i="12"/>
  <c r="GT222" i="12"/>
  <c r="GU222" i="12"/>
  <c r="GV222" i="12"/>
  <c r="GW222" i="12"/>
  <c r="GX222" i="12"/>
  <c r="GY222" i="12"/>
  <c r="GZ222" i="12"/>
  <c r="HA222" i="12"/>
  <c r="HB222" i="12"/>
  <c r="HC222" i="12"/>
  <c r="HD222" i="12"/>
  <c r="HE222" i="12"/>
  <c r="HF222" i="12"/>
  <c r="HG222" i="12"/>
  <c r="HH222" i="12"/>
  <c r="HI222" i="12"/>
  <c r="HJ222" i="12"/>
  <c r="HK222" i="12"/>
  <c r="HL222" i="12"/>
  <c r="HM222" i="12"/>
  <c r="HN222" i="12"/>
  <c r="HO222" i="12"/>
  <c r="HP222" i="12"/>
  <c r="HQ222" i="12"/>
  <c r="HR222" i="12"/>
  <c r="HS222" i="12"/>
  <c r="HT222" i="12"/>
  <c r="HU222" i="12"/>
  <c r="HV222" i="12"/>
  <c r="HW222" i="12"/>
  <c r="HX222" i="12"/>
  <c r="HY222" i="12"/>
  <c r="HZ222" i="12"/>
  <c r="IA222" i="12"/>
  <c r="IB222" i="12"/>
  <c r="IC222" i="12"/>
  <c r="ID222" i="12"/>
  <c r="IE222" i="12"/>
  <c r="IF222" i="12"/>
  <c r="IG222" i="12"/>
  <c r="IH222" i="12"/>
  <c r="II222" i="12"/>
  <c r="IJ222" i="12"/>
  <c r="IK222" i="12"/>
  <c r="IL222" i="12"/>
  <c r="IM222" i="12"/>
  <c r="IN222" i="12"/>
  <c r="IO222" i="12"/>
  <c r="IP222" i="12"/>
  <c r="IQ222" i="12"/>
  <c r="IR222" i="12"/>
  <c r="IS222" i="12"/>
  <c r="IT222" i="12"/>
  <c r="IU222" i="12"/>
  <c r="IV222" i="12"/>
  <c r="F223" i="12"/>
  <c r="G223" i="12"/>
  <c r="H223" i="12"/>
  <c r="I223" i="12"/>
  <c r="J223" i="12"/>
  <c r="K223" i="12"/>
  <c r="L223" i="12"/>
  <c r="M223" i="12"/>
  <c r="N223" i="12"/>
  <c r="O223" i="12"/>
  <c r="P223" i="12"/>
  <c r="Q223" i="12"/>
  <c r="R223" i="12"/>
  <c r="S223" i="12"/>
  <c r="T223" i="12"/>
  <c r="U223" i="12"/>
  <c r="V223" i="12"/>
  <c r="W223" i="12"/>
  <c r="X223" i="12"/>
  <c r="Y223" i="12"/>
  <c r="Z223" i="12"/>
  <c r="AA223" i="12"/>
  <c r="AB223" i="12"/>
  <c r="AC223" i="12"/>
  <c r="AD223" i="12"/>
  <c r="AE223" i="12"/>
  <c r="AF223" i="12"/>
  <c r="AG223" i="12"/>
  <c r="AH223" i="12"/>
  <c r="AI223" i="12"/>
  <c r="AJ223" i="12"/>
  <c r="AK223" i="12"/>
  <c r="AL223" i="12"/>
  <c r="AM223" i="12"/>
  <c r="AN223" i="12"/>
  <c r="AO223" i="12"/>
  <c r="AP223" i="12"/>
  <c r="AQ223" i="12"/>
  <c r="AR223" i="12"/>
  <c r="AS223" i="12"/>
  <c r="AT223" i="12"/>
  <c r="AU223" i="12"/>
  <c r="AV223" i="12"/>
  <c r="AW223" i="12"/>
  <c r="AX223" i="12"/>
  <c r="AY223" i="12"/>
  <c r="AZ223" i="12"/>
  <c r="BA223" i="12"/>
  <c r="BB223" i="12"/>
  <c r="BC223" i="12"/>
  <c r="BD223" i="12"/>
  <c r="BE223" i="12"/>
  <c r="BF223" i="12"/>
  <c r="BG223" i="12"/>
  <c r="BH223" i="12"/>
  <c r="BI223" i="12"/>
  <c r="BJ223" i="12"/>
  <c r="BK223" i="12"/>
  <c r="BL223" i="12"/>
  <c r="BM223" i="12"/>
  <c r="BN223" i="12"/>
  <c r="BO223" i="12"/>
  <c r="BP223" i="12"/>
  <c r="BQ223" i="12"/>
  <c r="BR223" i="12"/>
  <c r="BS223" i="12"/>
  <c r="BT223" i="12"/>
  <c r="BU223" i="12"/>
  <c r="BV223" i="12"/>
  <c r="BW223" i="12"/>
  <c r="BX223" i="12"/>
  <c r="BY223" i="12"/>
  <c r="BZ223" i="12"/>
  <c r="CA223" i="12"/>
  <c r="CB223" i="12"/>
  <c r="CC223" i="12"/>
  <c r="CD223" i="12"/>
  <c r="CE223" i="12"/>
  <c r="CF223" i="12"/>
  <c r="CG223" i="12"/>
  <c r="CH223" i="12"/>
  <c r="CI223" i="12"/>
  <c r="CJ223" i="12"/>
  <c r="CK223" i="12"/>
  <c r="CL223" i="12"/>
  <c r="CM223" i="12"/>
  <c r="CN223" i="12"/>
  <c r="CO223" i="12"/>
  <c r="CP223" i="12"/>
  <c r="CQ223" i="12"/>
  <c r="CR223" i="12"/>
  <c r="CS223" i="12"/>
  <c r="CT223" i="12"/>
  <c r="CU223" i="12"/>
  <c r="CV223" i="12"/>
  <c r="CW223" i="12"/>
  <c r="CX223" i="12"/>
  <c r="CY223" i="12"/>
  <c r="CZ223" i="12"/>
  <c r="DA223" i="12"/>
  <c r="DB223" i="12"/>
  <c r="DC223" i="12"/>
  <c r="DD223" i="12"/>
  <c r="DE223" i="12"/>
  <c r="DF223" i="12"/>
  <c r="DG223" i="12"/>
  <c r="DH223" i="12"/>
  <c r="DI223" i="12"/>
  <c r="DJ223" i="12"/>
  <c r="DK223" i="12"/>
  <c r="DL223" i="12"/>
  <c r="DM223" i="12"/>
  <c r="DN223" i="12"/>
  <c r="DO223" i="12"/>
  <c r="DP223" i="12"/>
  <c r="DQ223" i="12"/>
  <c r="DR223" i="12"/>
  <c r="DS223" i="12"/>
  <c r="DT223" i="12"/>
  <c r="DU223" i="12"/>
  <c r="DV223" i="12"/>
  <c r="DW223" i="12"/>
  <c r="DX223" i="12"/>
  <c r="DY223" i="12"/>
  <c r="DZ223" i="12"/>
  <c r="EA223" i="12"/>
  <c r="EB223" i="12"/>
  <c r="EC223" i="12"/>
  <c r="ED223" i="12"/>
  <c r="EE223" i="12"/>
  <c r="EF223" i="12"/>
  <c r="EG223" i="12"/>
  <c r="EH223" i="12"/>
  <c r="EI223" i="12"/>
  <c r="EJ223" i="12"/>
  <c r="EK223" i="12"/>
  <c r="EL223" i="12"/>
  <c r="EM223" i="12"/>
  <c r="EN223" i="12"/>
  <c r="EO223" i="12"/>
  <c r="EP223" i="12"/>
  <c r="EQ223" i="12"/>
  <c r="ER223" i="12"/>
  <c r="ES223" i="12"/>
  <c r="ET223" i="12"/>
  <c r="EU223" i="12"/>
  <c r="EV223" i="12"/>
  <c r="EW223" i="12"/>
  <c r="EX223" i="12"/>
  <c r="EY223" i="12"/>
  <c r="EZ223" i="12"/>
  <c r="FA223" i="12"/>
  <c r="FB223" i="12"/>
  <c r="FC223" i="12"/>
  <c r="FD223" i="12"/>
  <c r="FE223" i="12"/>
  <c r="FF223" i="12"/>
  <c r="FG223" i="12"/>
  <c r="FH223" i="12"/>
  <c r="FI223" i="12"/>
  <c r="FJ223" i="12"/>
  <c r="FK223" i="12"/>
  <c r="FL223" i="12"/>
  <c r="FM223" i="12"/>
  <c r="FN223" i="12"/>
  <c r="FO223" i="12"/>
  <c r="FP223" i="12"/>
  <c r="FQ223" i="12"/>
  <c r="FR223" i="12"/>
  <c r="FS223" i="12"/>
  <c r="FT223" i="12"/>
  <c r="FU223" i="12"/>
  <c r="FV223" i="12"/>
  <c r="FW223" i="12"/>
  <c r="FX223" i="12"/>
  <c r="FY223" i="12"/>
  <c r="FZ223" i="12"/>
  <c r="GA223" i="12"/>
  <c r="GB223" i="12"/>
  <c r="GC223" i="12"/>
  <c r="GD223" i="12"/>
  <c r="GE223" i="12"/>
  <c r="GF223" i="12"/>
  <c r="GG223" i="12"/>
  <c r="GH223" i="12"/>
  <c r="GI223" i="12"/>
  <c r="GJ223" i="12"/>
  <c r="GK223" i="12"/>
  <c r="GL223" i="12"/>
  <c r="GM223" i="12"/>
  <c r="GN223" i="12"/>
  <c r="GO223" i="12"/>
  <c r="GP223" i="12"/>
  <c r="GQ223" i="12"/>
  <c r="GR223" i="12"/>
  <c r="GS223" i="12"/>
  <c r="GT223" i="12"/>
  <c r="GU223" i="12"/>
  <c r="GV223" i="12"/>
  <c r="GW223" i="12"/>
  <c r="GX223" i="12"/>
  <c r="GY223" i="12"/>
  <c r="GZ223" i="12"/>
  <c r="HA223" i="12"/>
  <c r="HB223" i="12"/>
  <c r="HC223" i="12"/>
  <c r="HD223" i="12"/>
  <c r="HE223" i="12"/>
  <c r="HF223" i="12"/>
  <c r="HG223" i="12"/>
  <c r="HH223" i="12"/>
  <c r="HI223" i="12"/>
  <c r="HJ223" i="12"/>
  <c r="HK223" i="12"/>
  <c r="HL223" i="12"/>
  <c r="HM223" i="12"/>
  <c r="HN223" i="12"/>
  <c r="HO223" i="12"/>
  <c r="HP223" i="12"/>
  <c r="HQ223" i="12"/>
  <c r="HR223" i="12"/>
  <c r="HS223" i="12"/>
  <c r="HT223" i="12"/>
  <c r="HU223" i="12"/>
  <c r="HV223" i="12"/>
  <c r="HW223" i="12"/>
  <c r="HX223" i="12"/>
  <c r="HY223" i="12"/>
  <c r="HZ223" i="12"/>
  <c r="IA223" i="12"/>
  <c r="IB223" i="12"/>
  <c r="IC223" i="12"/>
  <c r="ID223" i="12"/>
  <c r="IE223" i="12"/>
  <c r="IF223" i="12"/>
  <c r="IG223" i="12"/>
  <c r="IH223" i="12"/>
  <c r="II223" i="12"/>
  <c r="IJ223" i="12"/>
  <c r="IK223" i="12"/>
  <c r="IL223" i="12"/>
  <c r="IM223" i="12"/>
  <c r="IN223" i="12"/>
  <c r="IO223" i="12"/>
  <c r="IP223" i="12"/>
  <c r="IQ223" i="12"/>
  <c r="IR223" i="12"/>
  <c r="IS223" i="12"/>
  <c r="IT223" i="12"/>
  <c r="IU223" i="12"/>
  <c r="IV223" i="12"/>
  <c r="F224" i="12"/>
  <c r="G224" i="12"/>
  <c r="H224" i="12"/>
  <c r="I224" i="12"/>
  <c r="J224" i="12"/>
  <c r="K224" i="12"/>
  <c r="L224" i="12"/>
  <c r="M224" i="12"/>
  <c r="N224" i="12"/>
  <c r="O224" i="12"/>
  <c r="P224" i="12"/>
  <c r="Q224" i="12"/>
  <c r="R224" i="12"/>
  <c r="S224" i="12"/>
  <c r="T224" i="12"/>
  <c r="U224" i="12"/>
  <c r="V224" i="12"/>
  <c r="W224" i="12"/>
  <c r="X224" i="12"/>
  <c r="Y224" i="12"/>
  <c r="Z224" i="12"/>
  <c r="AA224" i="12"/>
  <c r="AB224" i="12"/>
  <c r="AC224" i="12"/>
  <c r="AD224" i="12"/>
  <c r="AE224" i="12"/>
  <c r="AF224" i="12"/>
  <c r="AG224" i="12"/>
  <c r="AH224" i="12"/>
  <c r="AI224" i="12"/>
  <c r="AJ224" i="12"/>
  <c r="AK224" i="12"/>
  <c r="AL224" i="12"/>
  <c r="AM224" i="12"/>
  <c r="AN224" i="12"/>
  <c r="AO224" i="12"/>
  <c r="AP224" i="12"/>
  <c r="AQ224" i="12"/>
  <c r="AR224" i="12"/>
  <c r="AS224" i="12"/>
  <c r="AT224" i="12"/>
  <c r="AU224" i="12"/>
  <c r="AV224" i="12"/>
  <c r="AW224" i="12"/>
  <c r="AX224" i="12"/>
  <c r="AY224" i="12"/>
  <c r="AZ224" i="12"/>
  <c r="BA224" i="12"/>
  <c r="BB224" i="12"/>
  <c r="BC224" i="12"/>
  <c r="BD224" i="12"/>
  <c r="BE224" i="12"/>
  <c r="BF224" i="12"/>
  <c r="BG224" i="12"/>
  <c r="BH224" i="12"/>
  <c r="BI224" i="12"/>
  <c r="BJ224" i="12"/>
  <c r="BK224" i="12"/>
  <c r="BL224" i="12"/>
  <c r="BM224" i="12"/>
  <c r="BN224" i="12"/>
  <c r="BO224" i="12"/>
  <c r="BP224" i="12"/>
  <c r="BQ224" i="12"/>
  <c r="BR224" i="12"/>
  <c r="BS224" i="12"/>
  <c r="BT224" i="12"/>
  <c r="BU224" i="12"/>
  <c r="BV224" i="12"/>
  <c r="BW224" i="12"/>
  <c r="BX224" i="12"/>
  <c r="BY224" i="12"/>
  <c r="BZ224" i="12"/>
  <c r="CA224" i="12"/>
  <c r="CB224" i="12"/>
  <c r="CC224" i="12"/>
  <c r="CD224" i="12"/>
  <c r="CE224" i="12"/>
  <c r="CF224" i="12"/>
  <c r="CG224" i="12"/>
  <c r="CH224" i="12"/>
  <c r="CI224" i="12"/>
  <c r="CJ224" i="12"/>
  <c r="CK224" i="12"/>
  <c r="CL224" i="12"/>
  <c r="CM224" i="12"/>
  <c r="CN224" i="12"/>
  <c r="CO224" i="12"/>
  <c r="CP224" i="12"/>
  <c r="CQ224" i="12"/>
  <c r="CR224" i="12"/>
  <c r="CS224" i="12"/>
  <c r="CT224" i="12"/>
  <c r="CU224" i="12"/>
  <c r="CV224" i="12"/>
  <c r="CW224" i="12"/>
  <c r="CX224" i="12"/>
  <c r="CY224" i="12"/>
  <c r="CZ224" i="12"/>
  <c r="DA224" i="12"/>
  <c r="DB224" i="12"/>
  <c r="DC224" i="12"/>
  <c r="DD224" i="12"/>
  <c r="DE224" i="12"/>
  <c r="DF224" i="12"/>
  <c r="DG224" i="12"/>
  <c r="DH224" i="12"/>
  <c r="DI224" i="12"/>
  <c r="DJ224" i="12"/>
  <c r="DK224" i="12"/>
  <c r="DL224" i="12"/>
  <c r="DM224" i="12"/>
  <c r="DN224" i="12"/>
  <c r="DO224" i="12"/>
  <c r="DP224" i="12"/>
  <c r="DQ224" i="12"/>
  <c r="DR224" i="12"/>
  <c r="DS224" i="12"/>
  <c r="DT224" i="12"/>
  <c r="DU224" i="12"/>
  <c r="DV224" i="12"/>
  <c r="DW224" i="12"/>
  <c r="DX224" i="12"/>
  <c r="DY224" i="12"/>
  <c r="DZ224" i="12"/>
  <c r="EA224" i="12"/>
  <c r="EB224" i="12"/>
  <c r="EC224" i="12"/>
  <c r="ED224" i="12"/>
  <c r="EE224" i="12"/>
  <c r="EF224" i="12"/>
  <c r="EG224" i="12"/>
  <c r="EH224" i="12"/>
  <c r="EI224" i="12"/>
  <c r="EJ224" i="12"/>
  <c r="EK224" i="12"/>
  <c r="EL224" i="12"/>
  <c r="EM224" i="12"/>
  <c r="EN224" i="12"/>
  <c r="EO224" i="12"/>
  <c r="EP224" i="12"/>
  <c r="EQ224" i="12"/>
  <c r="ER224" i="12"/>
  <c r="ES224" i="12"/>
  <c r="ET224" i="12"/>
  <c r="EU224" i="12"/>
  <c r="EV224" i="12"/>
  <c r="EW224" i="12"/>
  <c r="EX224" i="12"/>
  <c r="EY224" i="12"/>
  <c r="EZ224" i="12"/>
  <c r="FA224" i="12"/>
  <c r="FB224" i="12"/>
  <c r="FC224" i="12"/>
  <c r="FD224" i="12"/>
  <c r="FE224" i="12"/>
  <c r="FF224" i="12"/>
  <c r="FG224" i="12"/>
  <c r="FH224" i="12"/>
  <c r="FI224" i="12"/>
  <c r="FJ224" i="12"/>
  <c r="FK224" i="12"/>
  <c r="FL224" i="12"/>
  <c r="FM224" i="12"/>
  <c r="FN224" i="12"/>
  <c r="FO224" i="12"/>
  <c r="FP224" i="12"/>
  <c r="FQ224" i="12"/>
  <c r="FR224" i="12"/>
  <c r="FS224" i="12"/>
  <c r="FT224" i="12"/>
  <c r="FU224" i="12"/>
  <c r="FV224" i="12"/>
  <c r="FW224" i="12"/>
  <c r="FX224" i="12"/>
  <c r="FY224" i="12"/>
  <c r="FZ224" i="12"/>
  <c r="GA224" i="12"/>
  <c r="GB224" i="12"/>
  <c r="GC224" i="12"/>
  <c r="GD224" i="12"/>
  <c r="GE224" i="12"/>
  <c r="GF224" i="12"/>
  <c r="GG224" i="12"/>
  <c r="GH224" i="12"/>
  <c r="GI224" i="12"/>
  <c r="GJ224" i="12"/>
  <c r="GK224" i="12"/>
  <c r="GL224" i="12"/>
  <c r="GM224" i="12"/>
  <c r="GN224" i="12"/>
  <c r="GO224" i="12"/>
  <c r="GP224" i="12"/>
  <c r="GQ224" i="12"/>
  <c r="GR224" i="12"/>
  <c r="GS224" i="12"/>
  <c r="GT224" i="12"/>
  <c r="GU224" i="12"/>
  <c r="GV224" i="12"/>
  <c r="GW224" i="12"/>
  <c r="GX224" i="12"/>
  <c r="GY224" i="12"/>
  <c r="GZ224" i="12"/>
  <c r="HA224" i="12"/>
  <c r="HB224" i="12"/>
  <c r="HC224" i="12"/>
  <c r="HD224" i="12"/>
  <c r="HE224" i="12"/>
  <c r="HF224" i="12"/>
  <c r="HG224" i="12"/>
  <c r="HH224" i="12"/>
  <c r="HI224" i="12"/>
  <c r="HJ224" i="12"/>
  <c r="HK224" i="12"/>
  <c r="HL224" i="12"/>
  <c r="HM224" i="12"/>
  <c r="HN224" i="12"/>
  <c r="HO224" i="12"/>
  <c r="HP224" i="12"/>
  <c r="HQ224" i="12"/>
  <c r="HR224" i="12"/>
  <c r="HS224" i="12"/>
  <c r="HT224" i="12"/>
  <c r="HU224" i="12"/>
  <c r="HV224" i="12"/>
  <c r="HW224" i="12"/>
  <c r="HX224" i="12"/>
  <c r="HY224" i="12"/>
  <c r="HZ224" i="12"/>
  <c r="IA224" i="12"/>
  <c r="IB224" i="12"/>
  <c r="IC224" i="12"/>
  <c r="ID224" i="12"/>
  <c r="IE224" i="12"/>
  <c r="IF224" i="12"/>
  <c r="IG224" i="12"/>
  <c r="IH224" i="12"/>
  <c r="II224" i="12"/>
  <c r="IJ224" i="12"/>
  <c r="IK224" i="12"/>
  <c r="IL224" i="12"/>
  <c r="IM224" i="12"/>
  <c r="IN224" i="12"/>
  <c r="IO224" i="12"/>
  <c r="IP224" i="12"/>
  <c r="IQ224" i="12"/>
  <c r="IR224" i="12"/>
  <c r="IS224" i="12"/>
  <c r="IT224" i="12"/>
  <c r="IU224" i="12"/>
  <c r="IV224" i="12"/>
  <c r="F225" i="12"/>
  <c r="G225" i="12"/>
  <c r="H225" i="12"/>
  <c r="I225" i="12"/>
  <c r="J225" i="12"/>
  <c r="K225" i="12"/>
  <c r="L225" i="12"/>
  <c r="M225" i="12"/>
  <c r="N225" i="12"/>
  <c r="O225" i="12"/>
  <c r="P225" i="12"/>
  <c r="Q225" i="12"/>
  <c r="R225" i="12"/>
  <c r="S225" i="12"/>
  <c r="T225" i="12"/>
  <c r="U225" i="12"/>
  <c r="V225" i="12"/>
  <c r="W225" i="12"/>
  <c r="X225" i="12"/>
  <c r="Y225" i="12"/>
  <c r="Z225" i="12"/>
  <c r="AA225" i="12"/>
  <c r="AB225" i="12"/>
  <c r="AC225" i="12"/>
  <c r="AD225" i="12"/>
  <c r="AE225" i="12"/>
  <c r="AF225" i="12"/>
  <c r="AG225" i="12"/>
  <c r="AH225" i="12"/>
  <c r="AI225" i="12"/>
  <c r="AJ225" i="12"/>
  <c r="AK225" i="12"/>
  <c r="AL225" i="12"/>
  <c r="AM225" i="12"/>
  <c r="AN225" i="12"/>
  <c r="AO225" i="12"/>
  <c r="AP225" i="12"/>
  <c r="AQ225" i="12"/>
  <c r="AR225" i="12"/>
  <c r="AS225" i="12"/>
  <c r="AT225" i="12"/>
  <c r="AU225" i="12"/>
  <c r="AV225" i="12"/>
  <c r="AW225" i="12"/>
  <c r="AX225" i="12"/>
  <c r="AY225" i="12"/>
  <c r="AZ225" i="12"/>
  <c r="BA225" i="12"/>
  <c r="BB225" i="12"/>
  <c r="BC225" i="12"/>
  <c r="BD225" i="12"/>
  <c r="BE225" i="12"/>
  <c r="BF225" i="12"/>
  <c r="BG225" i="12"/>
  <c r="BH225" i="12"/>
  <c r="BI225" i="12"/>
  <c r="BJ225" i="12"/>
  <c r="BK225" i="12"/>
  <c r="BL225" i="12"/>
  <c r="BM225" i="12"/>
  <c r="BN225" i="12"/>
  <c r="BO225" i="12"/>
  <c r="BP225" i="12"/>
  <c r="BQ225" i="12"/>
  <c r="BR225" i="12"/>
  <c r="BS225" i="12"/>
  <c r="BT225" i="12"/>
  <c r="BU225" i="12"/>
  <c r="BV225" i="12"/>
  <c r="BW225" i="12"/>
  <c r="BX225" i="12"/>
  <c r="BY225" i="12"/>
  <c r="BZ225" i="12"/>
  <c r="CA225" i="12"/>
  <c r="CB225" i="12"/>
  <c r="CC225" i="12"/>
  <c r="CD225" i="12"/>
  <c r="CE225" i="12"/>
  <c r="CF225" i="12"/>
  <c r="CG225" i="12"/>
  <c r="CH225" i="12"/>
  <c r="CI225" i="12"/>
  <c r="CJ225" i="12"/>
  <c r="CK225" i="12"/>
  <c r="CL225" i="12"/>
  <c r="CM225" i="12"/>
  <c r="CN225" i="12"/>
  <c r="CO225" i="12"/>
  <c r="CP225" i="12"/>
  <c r="CQ225" i="12"/>
  <c r="CR225" i="12"/>
  <c r="CS225" i="12"/>
  <c r="CT225" i="12"/>
  <c r="CU225" i="12"/>
  <c r="CV225" i="12"/>
  <c r="CW225" i="12"/>
  <c r="CX225" i="12"/>
  <c r="CY225" i="12"/>
  <c r="CZ225" i="12"/>
  <c r="DA225" i="12"/>
  <c r="DB225" i="12"/>
  <c r="DC225" i="12"/>
  <c r="DD225" i="12"/>
  <c r="DE225" i="12"/>
  <c r="DF225" i="12"/>
  <c r="DG225" i="12"/>
  <c r="DH225" i="12"/>
  <c r="DI225" i="12"/>
  <c r="DJ225" i="12"/>
  <c r="DK225" i="12"/>
  <c r="DL225" i="12"/>
  <c r="DM225" i="12"/>
  <c r="DN225" i="12"/>
  <c r="DO225" i="12"/>
  <c r="DP225" i="12"/>
  <c r="DQ225" i="12"/>
  <c r="DR225" i="12"/>
  <c r="DS225" i="12"/>
  <c r="DT225" i="12"/>
  <c r="DU225" i="12"/>
  <c r="DV225" i="12"/>
  <c r="DW225" i="12"/>
  <c r="DX225" i="12"/>
  <c r="DY225" i="12"/>
  <c r="DZ225" i="12"/>
  <c r="EA225" i="12"/>
  <c r="EB225" i="12"/>
  <c r="EC225" i="12"/>
  <c r="ED225" i="12"/>
  <c r="EE225" i="12"/>
  <c r="EF225" i="12"/>
  <c r="EG225" i="12"/>
  <c r="EH225" i="12"/>
  <c r="EI225" i="12"/>
  <c r="EJ225" i="12"/>
  <c r="EK225" i="12"/>
  <c r="EL225" i="12"/>
  <c r="EM225" i="12"/>
  <c r="EN225" i="12"/>
  <c r="EO225" i="12"/>
  <c r="EP225" i="12"/>
  <c r="EQ225" i="12"/>
  <c r="ER225" i="12"/>
  <c r="ES225" i="12"/>
  <c r="ET225" i="12"/>
  <c r="EU225" i="12"/>
  <c r="EV225" i="12"/>
  <c r="EW225" i="12"/>
  <c r="EX225" i="12"/>
  <c r="EY225" i="12"/>
  <c r="EZ225" i="12"/>
  <c r="FA225" i="12"/>
  <c r="FB225" i="12"/>
  <c r="FC225" i="12"/>
  <c r="FD225" i="12"/>
  <c r="FE225" i="12"/>
  <c r="FF225" i="12"/>
  <c r="FG225" i="12"/>
  <c r="FH225" i="12"/>
  <c r="FI225" i="12"/>
  <c r="FJ225" i="12"/>
  <c r="FK225" i="12"/>
  <c r="FL225" i="12"/>
  <c r="FM225" i="12"/>
  <c r="FN225" i="12"/>
  <c r="FO225" i="12"/>
  <c r="FP225" i="12"/>
  <c r="FQ225" i="12"/>
  <c r="FR225" i="12"/>
  <c r="FS225" i="12"/>
  <c r="FT225" i="12"/>
  <c r="FU225" i="12"/>
  <c r="FV225" i="12"/>
  <c r="FW225" i="12"/>
  <c r="FX225" i="12"/>
  <c r="FY225" i="12"/>
  <c r="FZ225" i="12"/>
  <c r="GA225" i="12"/>
  <c r="GB225" i="12"/>
  <c r="GC225" i="12"/>
  <c r="GD225" i="12"/>
  <c r="GE225" i="12"/>
  <c r="GF225" i="12"/>
  <c r="GG225" i="12"/>
  <c r="GH225" i="12"/>
  <c r="GI225" i="12"/>
  <c r="GJ225" i="12"/>
  <c r="GK225" i="12"/>
  <c r="GL225" i="12"/>
  <c r="GM225" i="12"/>
  <c r="GN225" i="12"/>
  <c r="GO225" i="12"/>
  <c r="GP225" i="12"/>
  <c r="GQ225" i="12"/>
  <c r="GR225" i="12"/>
  <c r="GS225" i="12"/>
  <c r="GT225" i="12"/>
  <c r="GU225" i="12"/>
  <c r="GV225" i="12"/>
  <c r="GW225" i="12"/>
  <c r="GX225" i="12"/>
  <c r="GY225" i="12"/>
  <c r="GZ225" i="12"/>
  <c r="HA225" i="12"/>
  <c r="HB225" i="12"/>
  <c r="HC225" i="12"/>
  <c r="HD225" i="12"/>
  <c r="HE225" i="12"/>
  <c r="HF225" i="12"/>
  <c r="HG225" i="12"/>
  <c r="HH225" i="12"/>
  <c r="HI225" i="12"/>
  <c r="HJ225" i="12"/>
  <c r="HK225" i="12"/>
  <c r="HL225" i="12"/>
  <c r="HM225" i="12"/>
  <c r="HN225" i="12"/>
  <c r="HO225" i="12"/>
  <c r="HP225" i="12"/>
  <c r="HQ225" i="12"/>
  <c r="HR225" i="12"/>
  <c r="HS225" i="12"/>
  <c r="HT225" i="12"/>
  <c r="HU225" i="12"/>
  <c r="HV225" i="12"/>
  <c r="HW225" i="12"/>
  <c r="HX225" i="12"/>
  <c r="HY225" i="12"/>
  <c r="HZ225" i="12"/>
  <c r="IA225" i="12"/>
  <c r="IB225" i="12"/>
  <c r="IC225" i="12"/>
  <c r="ID225" i="12"/>
  <c r="IE225" i="12"/>
  <c r="IF225" i="12"/>
  <c r="IG225" i="12"/>
  <c r="IH225" i="12"/>
  <c r="II225" i="12"/>
  <c r="IJ225" i="12"/>
  <c r="IK225" i="12"/>
  <c r="IL225" i="12"/>
  <c r="IM225" i="12"/>
  <c r="IN225" i="12"/>
  <c r="IO225" i="12"/>
  <c r="IP225" i="12"/>
  <c r="IQ225" i="12"/>
  <c r="IR225" i="12"/>
  <c r="IS225" i="12"/>
  <c r="IT225" i="12"/>
  <c r="IU225" i="12"/>
  <c r="IV225" i="12"/>
  <c r="F226" i="12"/>
  <c r="G226" i="12"/>
  <c r="H226" i="12"/>
  <c r="I226" i="12"/>
  <c r="J226" i="12"/>
  <c r="K226" i="12"/>
  <c r="L226" i="12"/>
  <c r="M226" i="12"/>
  <c r="N226" i="12"/>
  <c r="O226" i="12"/>
  <c r="P226" i="12"/>
  <c r="Q226" i="12"/>
  <c r="R226" i="12"/>
  <c r="S226" i="12"/>
  <c r="T226" i="12"/>
  <c r="U226" i="12"/>
  <c r="V226" i="12"/>
  <c r="W226" i="12"/>
  <c r="X226" i="12"/>
  <c r="Y226" i="12"/>
  <c r="Z226" i="12"/>
  <c r="AA226" i="12"/>
  <c r="AB226" i="12"/>
  <c r="AC226" i="12"/>
  <c r="AD226" i="12"/>
  <c r="AE226" i="12"/>
  <c r="AF226" i="12"/>
  <c r="AG226" i="12"/>
  <c r="AH226" i="12"/>
  <c r="AI226" i="12"/>
  <c r="AJ226" i="12"/>
  <c r="AK226" i="12"/>
  <c r="AL226" i="12"/>
  <c r="AM226" i="12"/>
  <c r="AN226" i="12"/>
  <c r="AO226" i="12"/>
  <c r="AP226" i="12"/>
  <c r="AQ226" i="12"/>
  <c r="AR226" i="12"/>
  <c r="AS226" i="12"/>
  <c r="AT226" i="12"/>
  <c r="AU226" i="12"/>
  <c r="AV226" i="12"/>
  <c r="AW226" i="12"/>
  <c r="AX226" i="12"/>
  <c r="AY226" i="12"/>
  <c r="AZ226" i="12"/>
  <c r="BA226" i="12"/>
  <c r="BB226" i="12"/>
  <c r="BC226" i="12"/>
  <c r="BD226" i="12"/>
  <c r="BE226" i="12"/>
  <c r="BF226" i="12"/>
  <c r="BG226" i="12"/>
  <c r="BH226" i="12"/>
  <c r="BI226" i="12"/>
  <c r="BJ226" i="12"/>
  <c r="BK226" i="12"/>
  <c r="BL226" i="12"/>
  <c r="BM226" i="12"/>
  <c r="BN226" i="12"/>
  <c r="BO226" i="12"/>
  <c r="BP226" i="12"/>
  <c r="BQ226" i="12"/>
  <c r="BR226" i="12"/>
  <c r="BS226" i="12"/>
  <c r="BT226" i="12"/>
  <c r="BU226" i="12"/>
  <c r="BV226" i="12"/>
  <c r="BW226" i="12"/>
  <c r="BX226" i="12"/>
  <c r="BY226" i="12"/>
  <c r="BZ226" i="12"/>
  <c r="CA226" i="12"/>
  <c r="CB226" i="12"/>
  <c r="CC226" i="12"/>
  <c r="CD226" i="12"/>
  <c r="CE226" i="12"/>
  <c r="CF226" i="12"/>
  <c r="CG226" i="12"/>
  <c r="CH226" i="12"/>
  <c r="CI226" i="12"/>
  <c r="CJ226" i="12"/>
  <c r="CK226" i="12"/>
  <c r="CL226" i="12"/>
  <c r="CM226" i="12"/>
  <c r="CN226" i="12"/>
  <c r="CO226" i="12"/>
  <c r="CP226" i="12"/>
  <c r="CQ226" i="12"/>
  <c r="CR226" i="12"/>
  <c r="CS226" i="12"/>
  <c r="CT226" i="12"/>
  <c r="CU226" i="12"/>
  <c r="CV226" i="12"/>
  <c r="CW226" i="12"/>
  <c r="CX226" i="12"/>
  <c r="CY226" i="12"/>
  <c r="CZ226" i="12"/>
  <c r="DA226" i="12"/>
  <c r="DB226" i="12"/>
  <c r="DC226" i="12"/>
  <c r="DD226" i="12"/>
  <c r="DE226" i="12"/>
  <c r="DF226" i="12"/>
  <c r="DG226" i="12"/>
  <c r="DH226" i="12"/>
  <c r="DI226" i="12"/>
  <c r="DJ226" i="12"/>
  <c r="DK226" i="12"/>
  <c r="DL226" i="12"/>
  <c r="DM226" i="12"/>
  <c r="DN226" i="12"/>
  <c r="DO226" i="12"/>
  <c r="DP226" i="12"/>
  <c r="DQ226" i="12"/>
  <c r="DR226" i="12"/>
  <c r="DS226" i="12"/>
  <c r="DT226" i="12"/>
  <c r="DU226" i="12"/>
  <c r="DV226" i="12"/>
  <c r="DW226" i="12"/>
  <c r="DX226" i="12"/>
  <c r="DY226" i="12"/>
  <c r="DZ226" i="12"/>
  <c r="EA226" i="12"/>
  <c r="EB226" i="12"/>
  <c r="EC226" i="12"/>
  <c r="ED226" i="12"/>
  <c r="EE226" i="12"/>
  <c r="EF226" i="12"/>
  <c r="EG226" i="12"/>
  <c r="EH226" i="12"/>
  <c r="EI226" i="12"/>
  <c r="EJ226" i="12"/>
  <c r="EK226" i="12"/>
  <c r="EL226" i="12"/>
  <c r="EM226" i="12"/>
  <c r="EN226" i="12"/>
  <c r="EO226" i="12"/>
  <c r="EP226" i="12"/>
  <c r="EQ226" i="12"/>
  <c r="ER226" i="12"/>
  <c r="ES226" i="12"/>
  <c r="ET226" i="12"/>
  <c r="EU226" i="12"/>
  <c r="EV226" i="12"/>
  <c r="EW226" i="12"/>
  <c r="EX226" i="12"/>
  <c r="EY226" i="12"/>
  <c r="EZ226" i="12"/>
  <c r="FA226" i="12"/>
  <c r="FB226" i="12"/>
  <c r="FC226" i="12"/>
  <c r="FD226" i="12"/>
  <c r="FE226" i="12"/>
  <c r="FF226" i="12"/>
  <c r="FG226" i="12"/>
  <c r="FH226" i="12"/>
  <c r="FI226" i="12"/>
  <c r="FJ226" i="12"/>
  <c r="FK226" i="12"/>
  <c r="FL226" i="12"/>
  <c r="FM226" i="12"/>
  <c r="FN226" i="12"/>
  <c r="FO226" i="12"/>
  <c r="FP226" i="12"/>
  <c r="FQ226" i="12"/>
  <c r="FR226" i="12"/>
  <c r="FS226" i="12"/>
  <c r="FT226" i="12"/>
  <c r="FU226" i="12"/>
  <c r="FV226" i="12"/>
  <c r="FW226" i="12"/>
  <c r="FX226" i="12"/>
  <c r="FY226" i="12"/>
  <c r="FZ226" i="12"/>
  <c r="GA226" i="12"/>
  <c r="GB226" i="12"/>
  <c r="GC226" i="12"/>
  <c r="GD226" i="12"/>
  <c r="GE226" i="12"/>
  <c r="GF226" i="12"/>
  <c r="GG226" i="12"/>
  <c r="GH226" i="12"/>
  <c r="GI226" i="12"/>
  <c r="GJ226" i="12"/>
  <c r="GK226" i="12"/>
  <c r="GL226" i="12"/>
  <c r="GM226" i="12"/>
  <c r="GN226" i="12"/>
  <c r="GO226" i="12"/>
  <c r="GP226" i="12"/>
  <c r="GQ226" i="12"/>
  <c r="GR226" i="12"/>
  <c r="GS226" i="12"/>
  <c r="GT226" i="12"/>
  <c r="GU226" i="12"/>
  <c r="GV226" i="12"/>
  <c r="GW226" i="12"/>
  <c r="GX226" i="12"/>
  <c r="GY226" i="12"/>
  <c r="GZ226" i="12"/>
  <c r="HA226" i="12"/>
  <c r="HB226" i="12"/>
  <c r="HC226" i="12"/>
  <c r="HD226" i="12"/>
  <c r="HE226" i="12"/>
  <c r="HF226" i="12"/>
  <c r="HG226" i="12"/>
  <c r="HH226" i="12"/>
  <c r="HI226" i="12"/>
  <c r="HJ226" i="12"/>
  <c r="HK226" i="12"/>
  <c r="HL226" i="12"/>
  <c r="HM226" i="12"/>
  <c r="HN226" i="12"/>
  <c r="HO226" i="12"/>
  <c r="HP226" i="12"/>
  <c r="HQ226" i="12"/>
  <c r="HR226" i="12"/>
  <c r="HS226" i="12"/>
  <c r="HT226" i="12"/>
  <c r="HU226" i="12"/>
  <c r="HV226" i="12"/>
  <c r="HW226" i="12"/>
  <c r="HX226" i="12"/>
  <c r="HY226" i="12"/>
  <c r="HZ226" i="12"/>
  <c r="IA226" i="12"/>
  <c r="IB226" i="12"/>
  <c r="IC226" i="12"/>
  <c r="ID226" i="12"/>
  <c r="IE226" i="12"/>
  <c r="IF226" i="12"/>
  <c r="IG226" i="12"/>
  <c r="IH226" i="12"/>
  <c r="II226" i="12"/>
  <c r="IJ226" i="12"/>
  <c r="IK226" i="12"/>
  <c r="IL226" i="12"/>
  <c r="IM226" i="12"/>
  <c r="IN226" i="12"/>
  <c r="IO226" i="12"/>
  <c r="IP226" i="12"/>
  <c r="IQ226" i="12"/>
  <c r="IR226" i="12"/>
  <c r="IS226" i="12"/>
  <c r="IT226" i="12"/>
  <c r="IU226" i="12"/>
  <c r="IV226" i="12"/>
  <c r="F227" i="12"/>
  <c r="G227" i="12"/>
  <c r="H227" i="12"/>
  <c r="I227" i="12"/>
  <c r="J227" i="12"/>
  <c r="K227" i="12"/>
  <c r="L227" i="12"/>
  <c r="M227" i="12"/>
  <c r="N227" i="12"/>
  <c r="O227" i="12"/>
  <c r="P227" i="12"/>
  <c r="Q227" i="12"/>
  <c r="R227" i="12"/>
  <c r="S227" i="12"/>
  <c r="T227" i="12"/>
  <c r="U227" i="12"/>
  <c r="V227" i="12"/>
  <c r="W227" i="12"/>
  <c r="X227" i="12"/>
  <c r="Y227" i="12"/>
  <c r="Z227" i="12"/>
  <c r="AA227" i="12"/>
  <c r="AB227" i="12"/>
  <c r="AC227" i="12"/>
  <c r="AD227" i="12"/>
  <c r="AE227" i="12"/>
  <c r="AF227" i="12"/>
  <c r="AG227" i="12"/>
  <c r="AH227" i="12"/>
  <c r="AI227" i="12"/>
  <c r="AJ227" i="12"/>
  <c r="AK227" i="12"/>
  <c r="AL227" i="12"/>
  <c r="AM227" i="12"/>
  <c r="AN227" i="12"/>
  <c r="AO227" i="12"/>
  <c r="AP227" i="12"/>
  <c r="AQ227" i="12"/>
  <c r="AR227" i="12"/>
  <c r="AS227" i="12"/>
  <c r="AT227" i="12"/>
  <c r="AU227" i="12"/>
  <c r="AV227" i="12"/>
  <c r="AW227" i="12"/>
  <c r="AX227" i="12"/>
  <c r="AY227" i="12"/>
  <c r="AZ227" i="12"/>
  <c r="BA227" i="12"/>
  <c r="BB227" i="12"/>
  <c r="BC227" i="12"/>
  <c r="BD227" i="12"/>
  <c r="BE227" i="12"/>
  <c r="BF227" i="12"/>
  <c r="BG227" i="12"/>
  <c r="BH227" i="12"/>
  <c r="BI227" i="12"/>
  <c r="BJ227" i="12"/>
  <c r="BK227" i="12"/>
  <c r="BL227" i="12"/>
  <c r="BM227" i="12"/>
  <c r="BN227" i="12"/>
  <c r="BO227" i="12"/>
  <c r="BP227" i="12"/>
  <c r="BQ227" i="12"/>
  <c r="BR227" i="12"/>
  <c r="BS227" i="12"/>
  <c r="BT227" i="12"/>
  <c r="BU227" i="12"/>
  <c r="BV227" i="12"/>
  <c r="BW227" i="12"/>
  <c r="BX227" i="12"/>
  <c r="BY227" i="12"/>
  <c r="BZ227" i="12"/>
  <c r="CA227" i="12"/>
  <c r="CB227" i="12"/>
  <c r="CC227" i="12"/>
  <c r="CD227" i="12"/>
  <c r="CE227" i="12"/>
  <c r="CF227" i="12"/>
  <c r="CG227" i="12"/>
  <c r="CH227" i="12"/>
  <c r="CI227" i="12"/>
  <c r="CJ227" i="12"/>
  <c r="CK227" i="12"/>
  <c r="CL227" i="12"/>
  <c r="CM227" i="12"/>
  <c r="CN227" i="12"/>
  <c r="CO227" i="12"/>
  <c r="CP227" i="12"/>
  <c r="CQ227" i="12"/>
  <c r="CR227" i="12"/>
  <c r="CS227" i="12"/>
  <c r="CT227" i="12"/>
  <c r="CU227" i="12"/>
  <c r="CV227" i="12"/>
  <c r="CW227" i="12"/>
  <c r="CX227" i="12"/>
  <c r="CY227" i="12"/>
  <c r="CZ227" i="12"/>
  <c r="DA227" i="12"/>
  <c r="DB227" i="12"/>
  <c r="DC227" i="12"/>
  <c r="DD227" i="12"/>
  <c r="DE227" i="12"/>
  <c r="DF227" i="12"/>
  <c r="DG227" i="12"/>
  <c r="DH227" i="12"/>
  <c r="DI227" i="12"/>
  <c r="DJ227" i="12"/>
  <c r="DK227" i="12"/>
  <c r="DL227" i="12"/>
  <c r="DM227" i="12"/>
  <c r="DN227" i="12"/>
  <c r="DO227" i="12"/>
  <c r="DP227" i="12"/>
  <c r="DQ227" i="12"/>
  <c r="DR227" i="12"/>
  <c r="DS227" i="12"/>
  <c r="DT227" i="12"/>
  <c r="DU227" i="12"/>
  <c r="DV227" i="12"/>
  <c r="DW227" i="12"/>
  <c r="DX227" i="12"/>
  <c r="DY227" i="12"/>
  <c r="DZ227" i="12"/>
  <c r="EA227" i="12"/>
  <c r="EB227" i="12"/>
  <c r="EC227" i="12"/>
  <c r="ED227" i="12"/>
  <c r="EE227" i="12"/>
  <c r="EF227" i="12"/>
  <c r="EG227" i="12"/>
  <c r="EH227" i="12"/>
  <c r="EI227" i="12"/>
  <c r="EJ227" i="12"/>
  <c r="EK227" i="12"/>
  <c r="EL227" i="12"/>
  <c r="EM227" i="12"/>
  <c r="EN227" i="12"/>
  <c r="EO227" i="12"/>
  <c r="EP227" i="12"/>
  <c r="EQ227" i="12"/>
  <c r="ER227" i="12"/>
  <c r="ES227" i="12"/>
  <c r="ET227" i="12"/>
  <c r="EU227" i="12"/>
  <c r="EV227" i="12"/>
  <c r="EW227" i="12"/>
  <c r="EX227" i="12"/>
  <c r="EY227" i="12"/>
  <c r="EZ227" i="12"/>
  <c r="FA227" i="12"/>
  <c r="FB227" i="12"/>
  <c r="FC227" i="12"/>
  <c r="FD227" i="12"/>
  <c r="FE227" i="12"/>
  <c r="FF227" i="12"/>
  <c r="FG227" i="12"/>
  <c r="FH227" i="12"/>
  <c r="FI227" i="12"/>
  <c r="FJ227" i="12"/>
  <c r="FK227" i="12"/>
  <c r="FL227" i="12"/>
  <c r="FM227" i="12"/>
  <c r="FN227" i="12"/>
  <c r="FO227" i="12"/>
  <c r="FP227" i="12"/>
  <c r="FQ227" i="12"/>
  <c r="FR227" i="12"/>
  <c r="FS227" i="12"/>
  <c r="FT227" i="12"/>
  <c r="FU227" i="12"/>
  <c r="FV227" i="12"/>
  <c r="FW227" i="12"/>
  <c r="FX227" i="12"/>
  <c r="FY227" i="12"/>
  <c r="FZ227" i="12"/>
  <c r="GA227" i="12"/>
  <c r="GB227" i="12"/>
  <c r="GC227" i="12"/>
  <c r="GD227" i="12"/>
  <c r="GE227" i="12"/>
  <c r="GF227" i="12"/>
  <c r="GG227" i="12"/>
  <c r="GH227" i="12"/>
  <c r="GI227" i="12"/>
  <c r="GJ227" i="12"/>
  <c r="GK227" i="12"/>
  <c r="GL227" i="12"/>
  <c r="GM227" i="12"/>
  <c r="GN227" i="12"/>
  <c r="GO227" i="12"/>
  <c r="GP227" i="12"/>
  <c r="GQ227" i="12"/>
  <c r="GR227" i="12"/>
  <c r="GS227" i="12"/>
  <c r="GT227" i="12"/>
  <c r="GU227" i="12"/>
  <c r="GV227" i="12"/>
  <c r="GW227" i="12"/>
  <c r="GX227" i="12"/>
  <c r="GY227" i="12"/>
  <c r="GZ227" i="12"/>
  <c r="HA227" i="12"/>
  <c r="HB227" i="12"/>
  <c r="HC227" i="12"/>
  <c r="HD227" i="12"/>
  <c r="HE227" i="12"/>
  <c r="HF227" i="12"/>
  <c r="HG227" i="12"/>
  <c r="HH227" i="12"/>
  <c r="HI227" i="12"/>
  <c r="HJ227" i="12"/>
  <c r="HK227" i="12"/>
  <c r="HL227" i="12"/>
  <c r="HM227" i="12"/>
  <c r="HN227" i="12"/>
  <c r="HO227" i="12"/>
  <c r="HP227" i="12"/>
  <c r="HQ227" i="12"/>
  <c r="HR227" i="12"/>
  <c r="HS227" i="12"/>
  <c r="HT227" i="12"/>
  <c r="HU227" i="12"/>
  <c r="HV227" i="12"/>
  <c r="HW227" i="12"/>
  <c r="HX227" i="12"/>
  <c r="HY227" i="12"/>
  <c r="HZ227" i="12"/>
  <c r="IA227" i="12"/>
  <c r="IB227" i="12"/>
  <c r="IC227" i="12"/>
  <c r="ID227" i="12"/>
  <c r="IE227" i="12"/>
  <c r="IF227" i="12"/>
  <c r="IG227" i="12"/>
  <c r="IH227" i="12"/>
  <c r="II227" i="12"/>
  <c r="IJ227" i="12"/>
  <c r="IK227" i="12"/>
  <c r="IL227" i="12"/>
  <c r="IM227" i="12"/>
  <c r="IN227" i="12"/>
  <c r="IO227" i="12"/>
  <c r="IP227" i="12"/>
  <c r="IQ227" i="12"/>
  <c r="IR227" i="12"/>
  <c r="IS227" i="12"/>
  <c r="IT227" i="12"/>
  <c r="IU227" i="12"/>
  <c r="IV227" i="12"/>
  <c r="F228" i="12"/>
  <c r="G228" i="12"/>
  <c r="H228" i="12"/>
  <c r="I228" i="12"/>
  <c r="J228" i="12"/>
  <c r="K228" i="12"/>
  <c r="L228" i="12"/>
  <c r="M228" i="12"/>
  <c r="N228" i="12"/>
  <c r="O228" i="12"/>
  <c r="P228" i="12"/>
  <c r="Q228" i="12"/>
  <c r="R228" i="12"/>
  <c r="S228" i="12"/>
  <c r="T228" i="12"/>
  <c r="U228" i="12"/>
  <c r="V228" i="12"/>
  <c r="W228" i="12"/>
  <c r="X228" i="12"/>
  <c r="Y228" i="12"/>
  <c r="Z228" i="12"/>
  <c r="AA228" i="12"/>
  <c r="AB228" i="12"/>
  <c r="AC228" i="12"/>
  <c r="AD228" i="12"/>
  <c r="AE228" i="12"/>
  <c r="AF228" i="12"/>
  <c r="AG228" i="12"/>
  <c r="AH228" i="12"/>
  <c r="AI228" i="12"/>
  <c r="AJ228" i="12"/>
  <c r="AK228" i="12"/>
  <c r="AL228" i="12"/>
  <c r="AM228" i="12"/>
  <c r="AN228" i="12"/>
  <c r="AO228" i="12"/>
  <c r="AP228" i="12"/>
  <c r="AQ228" i="12"/>
  <c r="AR228" i="12"/>
  <c r="AS228" i="12"/>
  <c r="AT228" i="12"/>
  <c r="AU228" i="12"/>
  <c r="AV228" i="12"/>
  <c r="AW228" i="12"/>
  <c r="AX228" i="12"/>
  <c r="AY228" i="12"/>
  <c r="AZ228" i="12"/>
  <c r="BA228" i="12"/>
  <c r="BB228" i="12"/>
  <c r="BC228" i="12"/>
  <c r="BD228" i="12"/>
  <c r="BE228" i="12"/>
  <c r="BF228" i="12"/>
  <c r="BG228" i="12"/>
  <c r="BH228" i="12"/>
  <c r="BI228" i="12"/>
  <c r="BJ228" i="12"/>
  <c r="BK228" i="12"/>
  <c r="BL228" i="12"/>
  <c r="BM228" i="12"/>
  <c r="BN228" i="12"/>
  <c r="BO228" i="12"/>
  <c r="BP228" i="12"/>
  <c r="BQ228" i="12"/>
  <c r="BR228" i="12"/>
  <c r="BS228" i="12"/>
  <c r="BT228" i="12"/>
  <c r="BU228" i="12"/>
  <c r="BV228" i="12"/>
  <c r="BW228" i="12"/>
  <c r="BX228" i="12"/>
  <c r="BY228" i="12"/>
  <c r="BZ228" i="12"/>
  <c r="CA228" i="12"/>
  <c r="CB228" i="12"/>
  <c r="CC228" i="12"/>
  <c r="CD228" i="12"/>
  <c r="CE228" i="12"/>
  <c r="CF228" i="12"/>
  <c r="CG228" i="12"/>
  <c r="CH228" i="12"/>
  <c r="CI228" i="12"/>
  <c r="CJ228" i="12"/>
  <c r="CK228" i="12"/>
  <c r="CL228" i="12"/>
  <c r="CM228" i="12"/>
  <c r="CN228" i="12"/>
  <c r="CO228" i="12"/>
  <c r="CP228" i="12"/>
  <c r="CQ228" i="12"/>
  <c r="CR228" i="12"/>
  <c r="CS228" i="12"/>
  <c r="CT228" i="12"/>
  <c r="CU228" i="12"/>
  <c r="CV228" i="12"/>
  <c r="CW228" i="12"/>
  <c r="CX228" i="12"/>
  <c r="CY228" i="12"/>
  <c r="CZ228" i="12"/>
  <c r="DA228" i="12"/>
  <c r="DB228" i="12"/>
  <c r="DC228" i="12"/>
  <c r="DD228" i="12"/>
  <c r="DE228" i="12"/>
  <c r="DF228" i="12"/>
  <c r="DG228" i="12"/>
  <c r="DH228" i="12"/>
  <c r="DI228" i="12"/>
  <c r="DJ228" i="12"/>
  <c r="DK228" i="12"/>
  <c r="DL228" i="12"/>
  <c r="DM228" i="12"/>
  <c r="DN228" i="12"/>
  <c r="DO228" i="12"/>
  <c r="DP228" i="12"/>
  <c r="DQ228" i="12"/>
  <c r="DR228" i="12"/>
  <c r="DS228" i="12"/>
  <c r="DT228" i="12"/>
  <c r="DU228" i="12"/>
  <c r="DV228" i="12"/>
  <c r="DW228" i="12"/>
  <c r="DX228" i="12"/>
  <c r="DY228" i="12"/>
  <c r="DZ228" i="12"/>
  <c r="EA228" i="12"/>
  <c r="EB228" i="12"/>
  <c r="EC228" i="12"/>
  <c r="ED228" i="12"/>
  <c r="EE228" i="12"/>
  <c r="EF228" i="12"/>
  <c r="EG228" i="12"/>
  <c r="EH228" i="12"/>
  <c r="EI228" i="12"/>
  <c r="EJ228" i="12"/>
  <c r="EK228" i="12"/>
  <c r="EL228" i="12"/>
  <c r="EM228" i="12"/>
  <c r="EN228" i="12"/>
  <c r="EO228" i="12"/>
  <c r="EP228" i="12"/>
  <c r="EQ228" i="12"/>
  <c r="ER228" i="12"/>
  <c r="ES228" i="12"/>
  <c r="ET228" i="12"/>
  <c r="EU228" i="12"/>
  <c r="EV228" i="12"/>
  <c r="EW228" i="12"/>
  <c r="EX228" i="12"/>
  <c r="EY228" i="12"/>
  <c r="EZ228" i="12"/>
  <c r="FA228" i="12"/>
  <c r="FB228" i="12"/>
  <c r="FC228" i="12"/>
  <c r="FD228" i="12"/>
  <c r="FE228" i="12"/>
  <c r="FF228" i="12"/>
  <c r="FG228" i="12"/>
  <c r="FH228" i="12"/>
  <c r="FI228" i="12"/>
  <c r="FJ228" i="12"/>
  <c r="FK228" i="12"/>
  <c r="FL228" i="12"/>
  <c r="FM228" i="12"/>
  <c r="FN228" i="12"/>
  <c r="FO228" i="12"/>
  <c r="FP228" i="12"/>
  <c r="FQ228" i="12"/>
  <c r="FR228" i="12"/>
  <c r="FS228" i="12"/>
  <c r="FT228" i="12"/>
  <c r="FU228" i="12"/>
  <c r="FV228" i="12"/>
  <c r="FW228" i="12"/>
  <c r="FX228" i="12"/>
  <c r="FY228" i="12"/>
  <c r="FZ228" i="12"/>
  <c r="GA228" i="12"/>
  <c r="GB228" i="12"/>
  <c r="GC228" i="12"/>
  <c r="GD228" i="12"/>
  <c r="GE228" i="12"/>
  <c r="GF228" i="12"/>
  <c r="GG228" i="12"/>
  <c r="GH228" i="12"/>
  <c r="GI228" i="12"/>
  <c r="GJ228" i="12"/>
  <c r="GK228" i="12"/>
  <c r="GL228" i="12"/>
  <c r="GM228" i="12"/>
  <c r="GN228" i="12"/>
  <c r="GO228" i="12"/>
  <c r="GP228" i="12"/>
  <c r="GQ228" i="12"/>
  <c r="GR228" i="12"/>
  <c r="GS228" i="12"/>
  <c r="GT228" i="12"/>
  <c r="GU228" i="12"/>
  <c r="GV228" i="12"/>
  <c r="GW228" i="12"/>
  <c r="GX228" i="12"/>
  <c r="GY228" i="12"/>
  <c r="GZ228" i="12"/>
  <c r="HA228" i="12"/>
  <c r="HB228" i="12"/>
  <c r="HC228" i="12"/>
  <c r="HD228" i="12"/>
  <c r="HE228" i="12"/>
  <c r="HF228" i="12"/>
  <c r="HG228" i="12"/>
  <c r="HH228" i="12"/>
  <c r="HI228" i="12"/>
  <c r="HJ228" i="12"/>
  <c r="HK228" i="12"/>
  <c r="HL228" i="12"/>
  <c r="HM228" i="12"/>
  <c r="HN228" i="12"/>
  <c r="HO228" i="12"/>
  <c r="HP228" i="12"/>
  <c r="HQ228" i="12"/>
  <c r="HR228" i="12"/>
  <c r="HS228" i="12"/>
  <c r="HT228" i="12"/>
  <c r="HU228" i="12"/>
  <c r="HV228" i="12"/>
  <c r="HW228" i="12"/>
  <c r="HX228" i="12"/>
  <c r="HY228" i="12"/>
  <c r="HZ228" i="12"/>
  <c r="IA228" i="12"/>
  <c r="IB228" i="12"/>
  <c r="IC228" i="12"/>
  <c r="ID228" i="12"/>
  <c r="IE228" i="12"/>
  <c r="IF228" i="12"/>
  <c r="IG228" i="12"/>
  <c r="IH228" i="12"/>
  <c r="II228" i="12"/>
  <c r="IJ228" i="12"/>
  <c r="IK228" i="12"/>
  <c r="IL228" i="12"/>
  <c r="IM228" i="12"/>
  <c r="IN228" i="12"/>
  <c r="IO228" i="12"/>
  <c r="IP228" i="12"/>
  <c r="IQ228" i="12"/>
  <c r="IR228" i="12"/>
  <c r="IS228" i="12"/>
  <c r="IT228" i="12"/>
  <c r="IU228" i="12"/>
  <c r="IV228" i="12"/>
  <c r="F229" i="12"/>
  <c r="G229" i="12"/>
  <c r="H229" i="12"/>
  <c r="I229" i="12"/>
  <c r="J229" i="12"/>
  <c r="K229" i="12"/>
  <c r="L229" i="12"/>
  <c r="M229" i="12"/>
  <c r="N229" i="12"/>
  <c r="O229" i="12"/>
  <c r="P229" i="12"/>
  <c r="Q229" i="12"/>
  <c r="R229" i="12"/>
  <c r="S229" i="12"/>
  <c r="T229" i="12"/>
  <c r="U229" i="12"/>
  <c r="V229" i="12"/>
  <c r="W229" i="12"/>
  <c r="X229" i="12"/>
  <c r="Y229" i="12"/>
  <c r="Z229" i="12"/>
  <c r="AA229" i="12"/>
  <c r="AB229" i="12"/>
  <c r="AC229" i="12"/>
  <c r="AD229" i="12"/>
  <c r="AE229" i="12"/>
  <c r="AF229" i="12"/>
  <c r="AG229" i="12"/>
  <c r="AH229" i="12"/>
  <c r="AI229" i="12"/>
  <c r="AJ229" i="12"/>
  <c r="AK229" i="12"/>
  <c r="AL229" i="12"/>
  <c r="AM229" i="12"/>
  <c r="AN229" i="12"/>
  <c r="AO229" i="12"/>
  <c r="AP229" i="12"/>
  <c r="AQ229" i="12"/>
  <c r="AR229" i="12"/>
  <c r="AS229" i="12"/>
  <c r="AT229" i="12"/>
  <c r="AU229" i="12"/>
  <c r="AV229" i="12"/>
  <c r="AW229" i="12"/>
  <c r="AX229" i="12"/>
  <c r="AY229" i="12"/>
  <c r="AZ229" i="12"/>
  <c r="BA229" i="12"/>
  <c r="BB229" i="12"/>
  <c r="BC229" i="12"/>
  <c r="BD229" i="12"/>
  <c r="BE229" i="12"/>
  <c r="BF229" i="12"/>
  <c r="BG229" i="12"/>
  <c r="BH229" i="12"/>
  <c r="BI229" i="12"/>
  <c r="BJ229" i="12"/>
  <c r="BK229" i="12"/>
  <c r="BL229" i="12"/>
  <c r="BM229" i="12"/>
  <c r="BN229" i="12"/>
  <c r="BO229" i="12"/>
  <c r="BP229" i="12"/>
  <c r="BQ229" i="12"/>
  <c r="BR229" i="12"/>
  <c r="BS229" i="12"/>
  <c r="BT229" i="12"/>
  <c r="BU229" i="12"/>
  <c r="BV229" i="12"/>
  <c r="BW229" i="12"/>
  <c r="BX229" i="12"/>
  <c r="BY229" i="12"/>
  <c r="BZ229" i="12"/>
  <c r="CA229" i="12"/>
  <c r="CB229" i="12"/>
  <c r="CC229" i="12"/>
  <c r="CD229" i="12"/>
  <c r="CE229" i="12"/>
  <c r="CF229" i="12"/>
  <c r="CG229" i="12"/>
  <c r="CH229" i="12"/>
  <c r="CI229" i="12"/>
  <c r="CJ229" i="12"/>
  <c r="CK229" i="12"/>
  <c r="CL229" i="12"/>
  <c r="CM229" i="12"/>
  <c r="CN229" i="12"/>
  <c r="CO229" i="12"/>
  <c r="CP229" i="12"/>
  <c r="CQ229" i="12"/>
  <c r="CR229" i="12"/>
  <c r="CS229" i="12"/>
  <c r="CT229" i="12"/>
  <c r="CU229" i="12"/>
  <c r="CV229" i="12"/>
  <c r="CW229" i="12"/>
  <c r="CX229" i="12"/>
  <c r="CY229" i="12"/>
  <c r="CZ229" i="12"/>
  <c r="DA229" i="12"/>
  <c r="DB229" i="12"/>
  <c r="DC229" i="12"/>
  <c r="DD229" i="12"/>
  <c r="DE229" i="12"/>
  <c r="DF229" i="12"/>
  <c r="DG229" i="12"/>
  <c r="DH229" i="12"/>
  <c r="DI229" i="12"/>
  <c r="DJ229" i="12"/>
  <c r="DK229" i="12"/>
  <c r="DL229" i="12"/>
  <c r="DM229" i="12"/>
  <c r="DN229" i="12"/>
  <c r="DO229" i="12"/>
  <c r="DP229" i="12"/>
  <c r="DQ229" i="12"/>
  <c r="DR229" i="12"/>
  <c r="DS229" i="12"/>
  <c r="DT229" i="12"/>
  <c r="DU229" i="12"/>
  <c r="DV229" i="12"/>
  <c r="DW229" i="12"/>
  <c r="DX229" i="12"/>
  <c r="DY229" i="12"/>
  <c r="DZ229" i="12"/>
  <c r="EA229" i="12"/>
  <c r="EB229" i="12"/>
  <c r="EC229" i="12"/>
  <c r="ED229" i="12"/>
  <c r="EE229" i="12"/>
  <c r="EF229" i="12"/>
  <c r="EG229" i="12"/>
  <c r="EH229" i="12"/>
  <c r="EI229" i="12"/>
  <c r="EJ229" i="12"/>
  <c r="EK229" i="12"/>
  <c r="EL229" i="12"/>
  <c r="EM229" i="12"/>
  <c r="EN229" i="12"/>
  <c r="EO229" i="12"/>
  <c r="EP229" i="12"/>
  <c r="EQ229" i="12"/>
  <c r="ER229" i="12"/>
  <c r="ES229" i="12"/>
  <c r="ET229" i="12"/>
  <c r="EU229" i="12"/>
  <c r="EV229" i="12"/>
  <c r="EW229" i="12"/>
  <c r="EX229" i="12"/>
  <c r="EY229" i="12"/>
  <c r="EZ229" i="12"/>
  <c r="FA229" i="12"/>
  <c r="FB229" i="12"/>
  <c r="FC229" i="12"/>
  <c r="FD229" i="12"/>
  <c r="FE229" i="12"/>
  <c r="FF229" i="12"/>
  <c r="FG229" i="12"/>
  <c r="FH229" i="12"/>
  <c r="FI229" i="12"/>
  <c r="FJ229" i="12"/>
  <c r="FK229" i="12"/>
  <c r="FL229" i="12"/>
  <c r="FM229" i="12"/>
  <c r="FN229" i="12"/>
  <c r="FO229" i="12"/>
  <c r="FP229" i="12"/>
  <c r="FQ229" i="12"/>
  <c r="FR229" i="12"/>
  <c r="FS229" i="12"/>
  <c r="FT229" i="12"/>
  <c r="FU229" i="12"/>
  <c r="FV229" i="12"/>
  <c r="FW229" i="12"/>
  <c r="FX229" i="12"/>
  <c r="FY229" i="12"/>
  <c r="FZ229" i="12"/>
  <c r="GA229" i="12"/>
  <c r="GB229" i="12"/>
  <c r="GC229" i="12"/>
  <c r="GD229" i="12"/>
  <c r="GE229" i="12"/>
  <c r="GF229" i="12"/>
  <c r="GG229" i="12"/>
  <c r="GH229" i="12"/>
  <c r="GI229" i="12"/>
  <c r="GJ229" i="12"/>
  <c r="GK229" i="12"/>
  <c r="GL229" i="12"/>
  <c r="GM229" i="12"/>
  <c r="GN229" i="12"/>
  <c r="GO229" i="12"/>
  <c r="GP229" i="12"/>
  <c r="GQ229" i="12"/>
  <c r="GR229" i="12"/>
  <c r="GS229" i="12"/>
  <c r="GT229" i="12"/>
  <c r="GU229" i="12"/>
  <c r="GV229" i="12"/>
  <c r="GW229" i="12"/>
  <c r="GX229" i="12"/>
  <c r="GY229" i="12"/>
  <c r="GZ229" i="12"/>
  <c r="HA229" i="12"/>
  <c r="HB229" i="12"/>
  <c r="HC229" i="12"/>
  <c r="HD229" i="12"/>
  <c r="HE229" i="12"/>
  <c r="HF229" i="12"/>
  <c r="HG229" i="12"/>
  <c r="HH229" i="12"/>
  <c r="HI229" i="12"/>
  <c r="HJ229" i="12"/>
  <c r="HK229" i="12"/>
  <c r="HL229" i="12"/>
  <c r="HM229" i="12"/>
  <c r="HN229" i="12"/>
  <c r="HO229" i="12"/>
  <c r="HP229" i="12"/>
  <c r="HQ229" i="12"/>
  <c r="HR229" i="12"/>
  <c r="HS229" i="12"/>
  <c r="HT229" i="12"/>
  <c r="HU229" i="12"/>
  <c r="HV229" i="12"/>
  <c r="HW229" i="12"/>
  <c r="HX229" i="12"/>
  <c r="HY229" i="12"/>
  <c r="HZ229" i="12"/>
  <c r="IA229" i="12"/>
  <c r="IB229" i="12"/>
  <c r="IC229" i="12"/>
  <c r="ID229" i="12"/>
  <c r="IE229" i="12"/>
  <c r="IF229" i="12"/>
  <c r="IG229" i="12"/>
  <c r="IH229" i="12"/>
  <c r="II229" i="12"/>
  <c r="IJ229" i="12"/>
  <c r="IK229" i="12"/>
  <c r="IL229" i="12"/>
  <c r="IM229" i="12"/>
  <c r="IN229" i="12"/>
  <c r="IO229" i="12"/>
  <c r="IP229" i="12"/>
  <c r="IQ229" i="12"/>
  <c r="IR229" i="12"/>
  <c r="IS229" i="12"/>
  <c r="IT229" i="12"/>
  <c r="IU229" i="12"/>
  <c r="IV229" i="12"/>
  <c r="F230" i="12"/>
  <c r="G230" i="12"/>
  <c r="H230" i="12"/>
  <c r="I230" i="12"/>
  <c r="J230" i="12"/>
  <c r="K230" i="12"/>
  <c r="L230" i="12"/>
  <c r="M230" i="12"/>
  <c r="N230" i="12"/>
  <c r="O230" i="12"/>
  <c r="P230" i="12"/>
  <c r="Q230" i="12"/>
  <c r="R230" i="12"/>
  <c r="S230" i="12"/>
  <c r="T230" i="12"/>
  <c r="U230" i="12"/>
  <c r="V230" i="12"/>
  <c r="W230" i="12"/>
  <c r="X230" i="12"/>
  <c r="Y230" i="12"/>
  <c r="Z230" i="12"/>
  <c r="AA230" i="12"/>
  <c r="AB230" i="12"/>
  <c r="AC230" i="12"/>
  <c r="AD230" i="12"/>
  <c r="AE230" i="12"/>
  <c r="AF230" i="12"/>
  <c r="AG230" i="12"/>
  <c r="AH230" i="12"/>
  <c r="AI230" i="12"/>
  <c r="AJ230" i="12"/>
  <c r="AK230" i="12"/>
  <c r="AL230" i="12"/>
  <c r="AM230" i="12"/>
  <c r="AN230" i="12"/>
  <c r="AO230" i="12"/>
  <c r="AP230" i="12"/>
  <c r="AQ230" i="12"/>
  <c r="AR230" i="12"/>
  <c r="AS230" i="12"/>
  <c r="AT230" i="12"/>
  <c r="AU230" i="12"/>
  <c r="AV230" i="12"/>
  <c r="AW230" i="12"/>
  <c r="AX230" i="12"/>
  <c r="AY230" i="12"/>
  <c r="AZ230" i="12"/>
  <c r="BA230" i="12"/>
  <c r="BB230" i="12"/>
  <c r="BC230" i="12"/>
  <c r="BD230" i="12"/>
  <c r="BE230" i="12"/>
  <c r="BF230" i="12"/>
  <c r="BG230" i="12"/>
  <c r="BH230" i="12"/>
  <c r="BI230" i="12"/>
  <c r="BJ230" i="12"/>
  <c r="BK230" i="12"/>
  <c r="BL230" i="12"/>
  <c r="BM230" i="12"/>
  <c r="BN230" i="12"/>
  <c r="BO230" i="12"/>
  <c r="BP230" i="12"/>
  <c r="BQ230" i="12"/>
  <c r="BR230" i="12"/>
  <c r="BS230" i="12"/>
  <c r="BT230" i="12"/>
  <c r="BU230" i="12"/>
  <c r="BV230" i="12"/>
  <c r="BW230" i="12"/>
  <c r="BX230" i="12"/>
  <c r="BY230" i="12"/>
  <c r="BZ230" i="12"/>
  <c r="CA230" i="12"/>
  <c r="CB230" i="12"/>
  <c r="CC230" i="12"/>
  <c r="CD230" i="12"/>
  <c r="CE230" i="12"/>
  <c r="CF230" i="12"/>
  <c r="CG230" i="12"/>
  <c r="CH230" i="12"/>
  <c r="CI230" i="12"/>
  <c r="CJ230" i="12"/>
  <c r="CK230" i="12"/>
  <c r="CL230" i="12"/>
  <c r="CM230" i="12"/>
  <c r="CN230" i="12"/>
  <c r="CO230" i="12"/>
  <c r="CP230" i="12"/>
  <c r="CQ230" i="12"/>
  <c r="CR230" i="12"/>
  <c r="CS230" i="12"/>
  <c r="CT230" i="12"/>
  <c r="CU230" i="12"/>
  <c r="CV230" i="12"/>
  <c r="CW230" i="12"/>
  <c r="CX230" i="12"/>
  <c r="CY230" i="12"/>
  <c r="CZ230" i="12"/>
  <c r="DA230" i="12"/>
  <c r="DB230" i="12"/>
  <c r="DC230" i="12"/>
  <c r="DD230" i="12"/>
  <c r="DE230" i="12"/>
  <c r="DF230" i="12"/>
  <c r="DG230" i="12"/>
  <c r="DH230" i="12"/>
  <c r="DI230" i="12"/>
  <c r="DJ230" i="12"/>
  <c r="DK230" i="12"/>
  <c r="DL230" i="12"/>
  <c r="DM230" i="12"/>
  <c r="DN230" i="12"/>
  <c r="DO230" i="12"/>
  <c r="DP230" i="12"/>
  <c r="DQ230" i="12"/>
  <c r="DR230" i="12"/>
  <c r="DS230" i="12"/>
  <c r="DT230" i="12"/>
  <c r="DU230" i="12"/>
  <c r="DV230" i="12"/>
  <c r="DW230" i="12"/>
  <c r="DX230" i="12"/>
  <c r="DY230" i="12"/>
  <c r="DZ230" i="12"/>
  <c r="EA230" i="12"/>
  <c r="EB230" i="12"/>
  <c r="EC230" i="12"/>
  <c r="ED230" i="12"/>
  <c r="EE230" i="12"/>
  <c r="EF230" i="12"/>
  <c r="EG230" i="12"/>
  <c r="EH230" i="12"/>
  <c r="EI230" i="12"/>
  <c r="EJ230" i="12"/>
  <c r="EK230" i="12"/>
  <c r="EL230" i="12"/>
  <c r="EM230" i="12"/>
  <c r="EN230" i="12"/>
  <c r="EO230" i="12"/>
  <c r="EP230" i="12"/>
  <c r="EQ230" i="12"/>
  <c r="ER230" i="12"/>
  <c r="ES230" i="12"/>
  <c r="ET230" i="12"/>
  <c r="EU230" i="12"/>
  <c r="EV230" i="12"/>
  <c r="EW230" i="12"/>
  <c r="EX230" i="12"/>
  <c r="EY230" i="12"/>
  <c r="EZ230" i="12"/>
  <c r="FA230" i="12"/>
  <c r="FB230" i="12"/>
  <c r="FC230" i="12"/>
  <c r="FD230" i="12"/>
  <c r="FE230" i="12"/>
  <c r="FF230" i="12"/>
  <c r="FG230" i="12"/>
  <c r="FH230" i="12"/>
  <c r="FI230" i="12"/>
  <c r="FJ230" i="12"/>
  <c r="FK230" i="12"/>
  <c r="FL230" i="12"/>
  <c r="FM230" i="12"/>
  <c r="FN230" i="12"/>
  <c r="FO230" i="12"/>
  <c r="FP230" i="12"/>
  <c r="FQ230" i="12"/>
  <c r="FR230" i="12"/>
  <c r="FS230" i="12"/>
  <c r="FT230" i="12"/>
  <c r="FU230" i="12"/>
  <c r="FV230" i="12"/>
  <c r="FW230" i="12"/>
  <c r="FX230" i="12"/>
  <c r="FY230" i="12"/>
  <c r="FZ230" i="12"/>
  <c r="GA230" i="12"/>
  <c r="GB230" i="12"/>
  <c r="GC230" i="12"/>
  <c r="GD230" i="12"/>
  <c r="GE230" i="12"/>
  <c r="GF230" i="12"/>
  <c r="GG230" i="12"/>
  <c r="GH230" i="12"/>
  <c r="GI230" i="12"/>
  <c r="GJ230" i="12"/>
  <c r="GK230" i="12"/>
  <c r="GL230" i="12"/>
  <c r="GM230" i="12"/>
  <c r="GN230" i="12"/>
  <c r="GO230" i="12"/>
  <c r="GP230" i="12"/>
  <c r="GQ230" i="12"/>
  <c r="GR230" i="12"/>
  <c r="GS230" i="12"/>
  <c r="GT230" i="12"/>
  <c r="GU230" i="12"/>
  <c r="GV230" i="12"/>
  <c r="GW230" i="12"/>
  <c r="GX230" i="12"/>
  <c r="GY230" i="12"/>
  <c r="GZ230" i="12"/>
  <c r="HA230" i="12"/>
  <c r="HB230" i="12"/>
  <c r="HC230" i="12"/>
  <c r="HD230" i="12"/>
  <c r="HE230" i="12"/>
  <c r="HF230" i="12"/>
  <c r="HG230" i="12"/>
  <c r="HH230" i="12"/>
  <c r="HI230" i="12"/>
  <c r="HJ230" i="12"/>
  <c r="HK230" i="12"/>
  <c r="HL230" i="12"/>
  <c r="HM230" i="12"/>
  <c r="HN230" i="12"/>
  <c r="HO230" i="12"/>
  <c r="HP230" i="12"/>
  <c r="HQ230" i="12"/>
  <c r="HR230" i="12"/>
  <c r="HS230" i="12"/>
  <c r="HT230" i="12"/>
  <c r="HU230" i="12"/>
  <c r="HV230" i="12"/>
  <c r="HW230" i="12"/>
  <c r="HX230" i="12"/>
  <c r="HY230" i="12"/>
  <c r="HZ230" i="12"/>
  <c r="IA230" i="12"/>
  <c r="IB230" i="12"/>
  <c r="IC230" i="12"/>
  <c r="ID230" i="12"/>
  <c r="IE230" i="12"/>
  <c r="IF230" i="12"/>
  <c r="IG230" i="12"/>
  <c r="IH230" i="12"/>
  <c r="II230" i="12"/>
  <c r="IJ230" i="12"/>
  <c r="IK230" i="12"/>
  <c r="IL230" i="12"/>
  <c r="IM230" i="12"/>
  <c r="IN230" i="12"/>
  <c r="IO230" i="12"/>
  <c r="IP230" i="12"/>
  <c r="IQ230" i="12"/>
  <c r="IR230" i="12"/>
  <c r="IS230" i="12"/>
  <c r="IT230" i="12"/>
  <c r="IU230" i="12"/>
  <c r="IV230" i="12"/>
  <c r="F231" i="12"/>
  <c r="G231" i="12"/>
  <c r="H231" i="12"/>
  <c r="I231" i="12"/>
  <c r="J231" i="12"/>
  <c r="K231" i="12"/>
  <c r="L231" i="12"/>
  <c r="M231" i="12"/>
  <c r="N231" i="12"/>
  <c r="O231" i="12"/>
  <c r="P231" i="12"/>
  <c r="Q231" i="12"/>
  <c r="R231" i="12"/>
  <c r="S231" i="12"/>
  <c r="T231" i="12"/>
  <c r="U231" i="12"/>
  <c r="V231" i="12"/>
  <c r="W231" i="12"/>
  <c r="X231" i="12"/>
  <c r="Y231" i="12"/>
  <c r="Z231" i="12"/>
  <c r="AA231" i="12"/>
  <c r="AB231" i="12"/>
  <c r="AC231" i="12"/>
  <c r="AD231" i="12"/>
  <c r="AE231" i="12"/>
  <c r="AF231" i="12"/>
  <c r="AG231" i="12"/>
  <c r="AH231" i="12"/>
  <c r="AI231" i="12"/>
  <c r="AJ231" i="12"/>
  <c r="AK231" i="12"/>
  <c r="AL231" i="12"/>
  <c r="AM231" i="12"/>
  <c r="AN231" i="12"/>
  <c r="AO231" i="12"/>
  <c r="AP231" i="12"/>
  <c r="AQ231" i="12"/>
  <c r="AR231" i="12"/>
  <c r="AS231" i="12"/>
  <c r="AT231" i="12"/>
  <c r="AU231" i="12"/>
  <c r="AV231" i="12"/>
  <c r="AW231" i="12"/>
  <c r="AX231" i="12"/>
  <c r="AY231" i="12"/>
  <c r="AZ231" i="12"/>
  <c r="BA231" i="12"/>
  <c r="BB231" i="12"/>
  <c r="BC231" i="12"/>
  <c r="BD231" i="12"/>
  <c r="BE231" i="12"/>
  <c r="BF231" i="12"/>
  <c r="BG231" i="12"/>
  <c r="BH231" i="12"/>
  <c r="BI231" i="12"/>
  <c r="BJ231" i="12"/>
  <c r="BK231" i="12"/>
  <c r="BL231" i="12"/>
  <c r="BM231" i="12"/>
  <c r="BN231" i="12"/>
  <c r="BO231" i="12"/>
  <c r="BP231" i="12"/>
  <c r="BQ231" i="12"/>
  <c r="BR231" i="12"/>
  <c r="BS231" i="12"/>
  <c r="BT231" i="12"/>
  <c r="BU231" i="12"/>
  <c r="BV231" i="12"/>
  <c r="BW231" i="12"/>
  <c r="BX231" i="12"/>
  <c r="BY231" i="12"/>
  <c r="BZ231" i="12"/>
  <c r="CA231" i="12"/>
  <c r="CB231" i="12"/>
  <c r="CC231" i="12"/>
  <c r="CD231" i="12"/>
  <c r="CE231" i="12"/>
  <c r="CF231" i="12"/>
  <c r="CG231" i="12"/>
  <c r="CH231" i="12"/>
  <c r="CI231" i="12"/>
  <c r="CJ231" i="12"/>
  <c r="CK231" i="12"/>
  <c r="CL231" i="12"/>
  <c r="CM231" i="12"/>
  <c r="CN231" i="12"/>
  <c r="CO231" i="12"/>
  <c r="CP231" i="12"/>
  <c r="CQ231" i="12"/>
  <c r="CR231" i="12"/>
  <c r="CS231" i="12"/>
  <c r="CT231" i="12"/>
  <c r="CU231" i="12"/>
  <c r="CV231" i="12"/>
  <c r="CW231" i="12"/>
  <c r="CX231" i="12"/>
  <c r="CY231" i="12"/>
  <c r="CZ231" i="12"/>
  <c r="DA231" i="12"/>
  <c r="DB231" i="12"/>
  <c r="DC231" i="12"/>
  <c r="DD231" i="12"/>
  <c r="DE231" i="12"/>
  <c r="DF231" i="12"/>
  <c r="DG231" i="12"/>
  <c r="DH231" i="12"/>
  <c r="DI231" i="12"/>
  <c r="DJ231" i="12"/>
  <c r="DK231" i="12"/>
  <c r="DL231" i="12"/>
  <c r="DM231" i="12"/>
  <c r="DN231" i="12"/>
  <c r="DO231" i="12"/>
  <c r="DP231" i="12"/>
  <c r="DQ231" i="12"/>
  <c r="DR231" i="12"/>
  <c r="DS231" i="12"/>
  <c r="DT231" i="12"/>
  <c r="DU231" i="12"/>
  <c r="DV231" i="12"/>
  <c r="DW231" i="12"/>
  <c r="DX231" i="12"/>
  <c r="DY231" i="12"/>
  <c r="DZ231" i="12"/>
  <c r="EA231" i="12"/>
  <c r="EB231" i="12"/>
  <c r="EC231" i="12"/>
  <c r="ED231" i="12"/>
  <c r="EE231" i="12"/>
  <c r="EF231" i="12"/>
  <c r="EG231" i="12"/>
  <c r="EH231" i="12"/>
  <c r="EI231" i="12"/>
  <c r="EJ231" i="12"/>
  <c r="EK231" i="12"/>
  <c r="EL231" i="12"/>
  <c r="EM231" i="12"/>
  <c r="EN231" i="12"/>
  <c r="EO231" i="12"/>
  <c r="EP231" i="12"/>
  <c r="EQ231" i="12"/>
  <c r="ER231" i="12"/>
  <c r="ES231" i="12"/>
  <c r="ET231" i="12"/>
  <c r="EU231" i="12"/>
  <c r="EV231" i="12"/>
  <c r="EW231" i="12"/>
  <c r="EX231" i="12"/>
  <c r="EY231" i="12"/>
  <c r="EZ231" i="12"/>
  <c r="FA231" i="12"/>
  <c r="FB231" i="12"/>
  <c r="FC231" i="12"/>
  <c r="FD231" i="12"/>
  <c r="FE231" i="12"/>
  <c r="FF231" i="12"/>
  <c r="FG231" i="12"/>
  <c r="FH231" i="12"/>
  <c r="FI231" i="12"/>
  <c r="FJ231" i="12"/>
  <c r="FK231" i="12"/>
  <c r="FL231" i="12"/>
  <c r="FM231" i="12"/>
  <c r="FN231" i="12"/>
  <c r="FO231" i="12"/>
  <c r="FP231" i="12"/>
  <c r="FQ231" i="12"/>
  <c r="FR231" i="12"/>
  <c r="FS231" i="12"/>
  <c r="FT231" i="12"/>
  <c r="FU231" i="12"/>
  <c r="FV231" i="12"/>
  <c r="FW231" i="12"/>
  <c r="FX231" i="12"/>
  <c r="FY231" i="12"/>
  <c r="FZ231" i="12"/>
  <c r="GA231" i="12"/>
  <c r="GB231" i="12"/>
  <c r="GC231" i="12"/>
  <c r="GD231" i="12"/>
  <c r="GE231" i="12"/>
  <c r="GF231" i="12"/>
  <c r="GG231" i="12"/>
  <c r="GH231" i="12"/>
  <c r="GI231" i="12"/>
  <c r="GJ231" i="12"/>
  <c r="GK231" i="12"/>
  <c r="GL231" i="12"/>
  <c r="GM231" i="12"/>
  <c r="GN231" i="12"/>
  <c r="GO231" i="12"/>
  <c r="GP231" i="12"/>
  <c r="GQ231" i="12"/>
  <c r="GR231" i="12"/>
  <c r="GS231" i="12"/>
  <c r="GT231" i="12"/>
  <c r="GU231" i="12"/>
  <c r="GV231" i="12"/>
  <c r="GW231" i="12"/>
  <c r="GX231" i="12"/>
  <c r="GY231" i="12"/>
  <c r="GZ231" i="12"/>
  <c r="HA231" i="12"/>
  <c r="HB231" i="12"/>
  <c r="HC231" i="12"/>
  <c r="HD231" i="12"/>
  <c r="HE231" i="12"/>
  <c r="HF231" i="12"/>
  <c r="HG231" i="12"/>
  <c r="HH231" i="12"/>
  <c r="HI231" i="12"/>
  <c r="HJ231" i="12"/>
  <c r="HK231" i="12"/>
  <c r="HL231" i="12"/>
  <c r="HM231" i="12"/>
  <c r="HN231" i="12"/>
  <c r="HO231" i="12"/>
  <c r="HP231" i="12"/>
  <c r="HQ231" i="12"/>
  <c r="HR231" i="12"/>
  <c r="HS231" i="12"/>
  <c r="HT231" i="12"/>
  <c r="HU231" i="12"/>
  <c r="HV231" i="12"/>
  <c r="HW231" i="12"/>
  <c r="HX231" i="12"/>
  <c r="HY231" i="12"/>
  <c r="HZ231" i="12"/>
  <c r="IA231" i="12"/>
  <c r="IB231" i="12"/>
  <c r="IC231" i="12"/>
  <c r="ID231" i="12"/>
  <c r="IE231" i="12"/>
  <c r="IF231" i="12"/>
  <c r="IG231" i="12"/>
  <c r="IH231" i="12"/>
  <c r="II231" i="12"/>
  <c r="IJ231" i="12"/>
  <c r="IK231" i="12"/>
  <c r="IL231" i="12"/>
  <c r="IM231" i="12"/>
  <c r="IN231" i="12"/>
  <c r="IO231" i="12"/>
  <c r="IP231" i="12"/>
  <c r="IQ231" i="12"/>
  <c r="IR231" i="12"/>
  <c r="IS231" i="12"/>
  <c r="IT231" i="12"/>
  <c r="IU231" i="12"/>
  <c r="IV231" i="12"/>
  <c r="F232" i="12"/>
  <c r="G232" i="12"/>
  <c r="H232" i="12"/>
  <c r="I232" i="12"/>
  <c r="J232" i="12"/>
  <c r="K232" i="12"/>
  <c r="L232" i="12"/>
  <c r="M232" i="12"/>
  <c r="N232" i="12"/>
  <c r="O232" i="12"/>
  <c r="P232" i="12"/>
  <c r="Q232" i="12"/>
  <c r="R232" i="12"/>
  <c r="S232" i="12"/>
  <c r="T232" i="12"/>
  <c r="U232" i="12"/>
  <c r="V232" i="12"/>
  <c r="W232" i="12"/>
  <c r="X232" i="12"/>
  <c r="Y232" i="12"/>
  <c r="Z232" i="12"/>
  <c r="AA232" i="12"/>
  <c r="AB232" i="12"/>
  <c r="AC232" i="12"/>
  <c r="AD232" i="12"/>
  <c r="AE232" i="12"/>
  <c r="AF232" i="12"/>
  <c r="AG232" i="12"/>
  <c r="AH232" i="12"/>
  <c r="AI232" i="12"/>
  <c r="AJ232" i="12"/>
  <c r="AK232" i="12"/>
  <c r="AL232" i="12"/>
  <c r="AM232" i="12"/>
  <c r="AN232" i="12"/>
  <c r="AO232" i="12"/>
  <c r="AP232" i="12"/>
  <c r="AQ232" i="12"/>
  <c r="AR232" i="12"/>
  <c r="AS232" i="12"/>
  <c r="AT232" i="12"/>
  <c r="AU232" i="12"/>
  <c r="AV232" i="12"/>
  <c r="AW232" i="12"/>
  <c r="AX232" i="12"/>
  <c r="AY232" i="12"/>
  <c r="AZ232" i="12"/>
  <c r="BA232" i="12"/>
  <c r="BB232" i="12"/>
  <c r="BC232" i="12"/>
  <c r="BD232" i="12"/>
  <c r="BE232" i="12"/>
  <c r="BF232" i="12"/>
  <c r="BG232" i="12"/>
  <c r="BH232" i="12"/>
  <c r="BI232" i="12"/>
  <c r="BJ232" i="12"/>
  <c r="BK232" i="12"/>
  <c r="BL232" i="12"/>
  <c r="BM232" i="12"/>
  <c r="BN232" i="12"/>
  <c r="BO232" i="12"/>
  <c r="BP232" i="12"/>
  <c r="BQ232" i="12"/>
  <c r="BR232" i="12"/>
  <c r="BS232" i="12"/>
  <c r="BT232" i="12"/>
  <c r="BU232" i="12"/>
  <c r="BV232" i="12"/>
  <c r="BW232" i="12"/>
  <c r="BX232" i="12"/>
  <c r="BY232" i="12"/>
  <c r="BZ232" i="12"/>
  <c r="CA232" i="12"/>
  <c r="CB232" i="12"/>
  <c r="CC232" i="12"/>
  <c r="CD232" i="12"/>
  <c r="CE232" i="12"/>
  <c r="CF232" i="12"/>
  <c r="CG232" i="12"/>
  <c r="CH232" i="12"/>
  <c r="CI232" i="12"/>
  <c r="CJ232" i="12"/>
  <c r="CK232" i="12"/>
  <c r="CL232" i="12"/>
  <c r="CM232" i="12"/>
  <c r="CN232" i="12"/>
  <c r="CO232" i="12"/>
  <c r="CP232" i="12"/>
  <c r="CQ232" i="12"/>
  <c r="CR232" i="12"/>
  <c r="CS232" i="12"/>
  <c r="CT232" i="12"/>
  <c r="CU232" i="12"/>
  <c r="CV232" i="12"/>
  <c r="CW232" i="12"/>
  <c r="CX232" i="12"/>
  <c r="CY232" i="12"/>
  <c r="CZ232" i="12"/>
  <c r="DA232" i="12"/>
  <c r="DB232" i="12"/>
  <c r="DC232" i="12"/>
  <c r="DD232" i="12"/>
  <c r="DE232" i="12"/>
  <c r="DF232" i="12"/>
  <c r="DG232" i="12"/>
  <c r="DH232" i="12"/>
  <c r="DI232" i="12"/>
  <c r="DJ232" i="12"/>
  <c r="DK232" i="12"/>
  <c r="DL232" i="12"/>
  <c r="DM232" i="12"/>
  <c r="DN232" i="12"/>
  <c r="DO232" i="12"/>
  <c r="DP232" i="12"/>
  <c r="DQ232" i="12"/>
  <c r="DR232" i="12"/>
  <c r="DS232" i="12"/>
  <c r="DT232" i="12"/>
  <c r="DU232" i="12"/>
  <c r="DV232" i="12"/>
  <c r="DW232" i="12"/>
  <c r="DX232" i="12"/>
  <c r="DY232" i="12"/>
  <c r="DZ232" i="12"/>
  <c r="EA232" i="12"/>
  <c r="EB232" i="12"/>
  <c r="EC232" i="12"/>
  <c r="ED232" i="12"/>
  <c r="EE232" i="12"/>
  <c r="EF232" i="12"/>
  <c r="EG232" i="12"/>
  <c r="EH232" i="12"/>
  <c r="EI232" i="12"/>
  <c r="EJ232" i="12"/>
  <c r="EK232" i="12"/>
  <c r="EL232" i="12"/>
  <c r="EM232" i="12"/>
  <c r="EN232" i="12"/>
  <c r="EO232" i="12"/>
  <c r="EP232" i="12"/>
  <c r="EQ232" i="12"/>
  <c r="ER232" i="12"/>
  <c r="ES232" i="12"/>
  <c r="ET232" i="12"/>
  <c r="EU232" i="12"/>
  <c r="EV232" i="12"/>
  <c r="EW232" i="12"/>
  <c r="EX232" i="12"/>
  <c r="EY232" i="12"/>
  <c r="EZ232" i="12"/>
  <c r="FA232" i="12"/>
  <c r="FB232" i="12"/>
  <c r="FC232" i="12"/>
  <c r="FD232" i="12"/>
  <c r="FE232" i="12"/>
  <c r="FF232" i="12"/>
  <c r="FG232" i="12"/>
  <c r="FH232" i="12"/>
  <c r="FI232" i="12"/>
  <c r="FJ232" i="12"/>
  <c r="FK232" i="12"/>
  <c r="FL232" i="12"/>
  <c r="FM232" i="12"/>
  <c r="FN232" i="12"/>
  <c r="FO232" i="12"/>
  <c r="FP232" i="12"/>
  <c r="FQ232" i="12"/>
  <c r="FR232" i="12"/>
  <c r="FS232" i="12"/>
  <c r="FT232" i="12"/>
  <c r="FU232" i="12"/>
  <c r="FV232" i="12"/>
  <c r="FW232" i="12"/>
  <c r="FX232" i="12"/>
  <c r="FY232" i="12"/>
  <c r="FZ232" i="12"/>
  <c r="GA232" i="12"/>
  <c r="GB232" i="12"/>
  <c r="GC232" i="12"/>
  <c r="GD232" i="12"/>
  <c r="GE232" i="12"/>
  <c r="GF232" i="12"/>
  <c r="GG232" i="12"/>
  <c r="GH232" i="12"/>
  <c r="GI232" i="12"/>
  <c r="GJ232" i="12"/>
  <c r="GK232" i="12"/>
  <c r="GL232" i="12"/>
  <c r="GM232" i="12"/>
  <c r="GN232" i="12"/>
  <c r="GO232" i="12"/>
  <c r="GP232" i="12"/>
  <c r="GQ232" i="12"/>
  <c r="GR232" i="12"/>
  <c r="GS232" i="12"/>
  <c r="GT232" i="12"/>
  <c r="GU232" i="12"/>
  <c r="GV232" i="12"/>
  <c r="GW232" i="12"/>
  <c r="GX232" i="12"/>
  <c r="GY232" i="12"/>
  <c r="GZ232" i="12"/>
  <c r="HA232" i="12"/>
  <c r="HB232" i="12"/>
  <c r="HC232" i="12"/>
  <c r="HD232" i="12"/>
  <c r="HE232" i="12"/>
  <c r="HF232" i="12"/>
  <c r="HG232" i="12"/>
  <c r="HH232" i="12"/>
  <c r="HI232" i="12"/>
  <c r="HJ232" i="12"/>
  <c r="HK232" i="12"/>
  <c r="HL232" i="12"/>
  <c r="HM232" i="12"/>
  <c r="HN232" i="12"/>
  <c r="HO232" i="12"/>
  <c r="HP232" i="12"/>
  <c r="HQ232" i="12"/>
  <c r="HR232" i="12"/>
  <c r="HS232" i="12"/>
  <c r="HT232" i="12"/>
  <c r="HU232" i="12"/>
  <c r="HV232" i="12"/>
  <c r="HW232" i="12"/>
  <c r="HX232" i="12"/>
  <c r="HY232" i="12"/>
  <c r="HZ232" i="12"/>
  <c r="IA232" i="12"/>
  <c r="IB232" i="12"/>
  <c r="IC232" i="12"/>
  <c r="ID232" i="12"/>
  <c r="IE232" i="12"/>
  <c r="IF232" i="12"/>
  <c r="IG232" i="12"/>
  <c r="IH232" i="12"/>
  <c r="II232" i="12"/>
  <c r="IJ232" i="12"/>
  <c r="IK232" i="12"/>
  <c r="IL232" i="12"/>
  <c r="IM232" i="12"/>
  <c r="IN232" i="12"/>
  <c r="IO232" i="12"/>
  <c r="IP232" i="12"/>
  <c r="IQ232" i="12"/>
  <c r="IR232" i="12"/>
  <c r="IS232" i="12"/>
  <c r="IT232" i="12"/>
  <c r="IU232" i="12"/>
  <c r="IV232" i="12"/>
  <c r="F233" i="12"/>
  <c r="G233" i="12"/>
  <c r="H233" i="12"/>
  <c r="I233" i="12"/>
  <c r="J233" i="12"/>
  <c r="K233" i="12"/>
  <c r="L233" i="12"/>
  <c r="M233" i="12"/>
  <c r="N233" i="12"/>
  <c r="O233" i="12"/>
  <c r="P233" i="12"/>
  <c r="Q233" i="12"/>
  <c r="R233" i="12"/>
  <c r="S233" i="12"/>
  <c r="T233" i="12"/>
  <c r="U233" i="12"/>
  <c r="V233" i="12"/>
  <c r="W233" i="12"/>
  <c r="X233" i="12"/>
  <c r="Y233" i="12"/>
  <c r="Z233" i="12"/>
  <c r="AA233" i="12"/>
  <c r="AB233" i="12"/>
  <c r="AC233" i="12"/>
  <c r="AD233" i="12"/>
  <c r="AE233" i="12"/>
  <c r="AF233" i="12"/>
  <c r="AG233" i="12"/>
  <c r="AH233" i="12"/>
  <c r="AI233" i="12"/>
  <c r="AJ233" i="12"/>
  <c r="AK233" i="12"/>
  <c r="AL233" i="12"/>
  <c r="AM233" i="12"/>
  <c r="AN233" i="12"/>
  <c r="AO233" i="12"/>
  <c r="AP233" i="12"/>
  <c r="AQ233" i="12"/>
  <c r="AR233" i="12"/>
  <c r="AS233" i="12"/>
  <c r="AT233" i="12"/>
  <c r="AU233" i="12"/>
  <c r="AV233" i="12"/>
  <c r="AW233" i="12"/>
  <c r="AX233" i="12"/>
  <c r="AY233" i="12"/>
  <c r="AZ233" i="12"/>
  <c r="BA233" i="12"/>
  <c r="BB233" i="12"/>
  <c r="BC233" i="12"/>
  <c r="BD233" i="12"/>
  <c r="BE233" i="12"/>
  <c r="BF233" i="12"/>
  <c r="BG233" i="12"/>
  <c r="BH233" i="12"/>
  <c r="BI233" i="12"/>
  <c r="BJ233" i="12"/>
  <c r="BK233" i="12"/>
  <c r="BL233" i="12"/>
  <c r="BM233" i="12"/>
  <c r="BN233" i="12"/>
  <c r="BO233" i="12"/>
  <c r="BP233" i="12"/>
  <c r="BQ233" i="12"/>
  <c r="BR233" i="12"/>
  <c r="BS233" i="12"/>
  <c r="BT233" i="12"/>
  <c r="BU233" i="12"/>
  <c r="BV233" i="12"/>
  <c r="BW233" i="12"/>
  <c r="BX233" i="12"/>
  <c r="BY233" i="12"/>
  <c r="BZ233" i="12"/>
  <c r="CA233" i="12"/>
  <c r="CB233" i="12"/>
  <c r="CC233" i="12"/>
  <c r="CD233" i="12"/>
  <c r="CE233" i="12"/>
  <c r="CF233" i="12"/>
  <c r="CG233" i="12"/>
  <c r="CH233" i="12"/>
  <c r="CI233" i="12"/>
  <c r="CJ233" i="12"/>
  <c r="CK233" i="12"/>
  <c r="CL233" i="12"/>
  <c r="CM233" i="12"/>
  <c r="CN233" i="12"/>
  <c r="CO233" i="12"/>
  <c r="CP233" i="12"/>
  <c r="CQ233" i="12"/>
  <c r="CR233" i="12"/>
  <c r="CS233" i="12"/>
  <c r="CT233" i="12"/>
  <c r="CU233" i="12"/>
  <c r="CV233" i="12"/>
  <c r="CW233" i="12"/>
  <c r="CX233" i="12"/>
  <c r="CY233" i="12"/>
  <c r="CZ233" i="12"/>
  <c r="DA233" i="12"/>
  <c r="DB233" i="12"/>
  <c r="DC233" i="12"/>
  <c r="DD233" i="12"/>
  <c r="DE233" i="12"/>
  <c r="DF233" i="12"/>
  <c r="DG233" i="12"/>
  <c r="DH233" i="12"/>
  <c r="DI233" i="12"/>
  <c r="DJ233" i="12"/>
  <c r="DK233" i="12"/>
  <c r="DL233" i="12"/>
  <c r="DM233" i="12"/>
  <c r="DN233" i="12"/>
  <c r="DO233" i="12"/>
  <c r="DP233" i="12"/>
  <c r="DQ233" i="12"/>
  <c r="DR233" i="12"/>
  <c r="DS233" i="12"/>
  <c r="DT233" i="12"/>
  <c r="DU233" i="12"/>
  <c r="DV233" i="12"/>
  <c r="DW233" i="12"/>
  <c r="DX233" i="12"/>
  <c r="DY233" i="12"/>
  <c r="DZ233" i="12"/>
  <c r="EA233" i="12"/>
  <c r="EB233" i="12"/>
  <c r="EC233" i="12"/>
  <c r="ED233" i="12"/>
  <c r="EE233" i="12"/>
  <c r="EF233" i="12"/>
  <c r="EG233" i="12"/>
  <c r="EH233" i="12"/>
  <c r="EI233" i="12"/>
  <c r="EJ233" i="12"/>
  <c r="EK233" i="12"/>
  <c r="EL233" i="12"/>
  <c r="EM233" i="12"/>
  <c r="EN233" i="12"/>
  <c r="EO233" i="12"/>
  <c r="EP233" i="12"/>
  <c r="EQ233" i="12"/>
  <c r="ER233" i="12"/>
  <c r="ES233" i="12"/>
  <c r="ET233" i="12"/>
  <c r="EU233" i="12"/>
  <c r="EV233" i="12"/>
  <c r="EW233" i="12"/>
  <c r="EX233" i="12"/>
  <c r="EY233" i="12"/>
  <c r="EZ233" i="12"/>
  <c r="FA233" i="12"/>
  <c r="FB233" i="12"/>
  <c r="FC233" i="12"/>
  <c r="FD233" i="12"/>
  <c r="FE233" i="12"/>
  <c r="FF233" i="12"/>
  <c r="FG233" i="12"/>
  <c r="FH233" i="12"/>
  <c r="FI233" i="12"/>
  <c r="FJ233" i="12"/>
  <c r="FK233" i="12"/>
  <c r="FL233" i="12"/>
  <c r="FM233" i="12"/>
  <c r="FN233" i="12"/>
  <c r="FO233" i="12"/>
  <c r="FP233" i="12"/>
  <c r="FQ233" i="12"/>
  <c r="FR233" i="12"/>
  <c r="FS233" i="12"/>
  <c r="FT233" i="12"/>
  <c r="FU233" i="12"/>
  <c r="FV233" i="12"/>
  <c r="FW233" i="12"/>
  <c r="FX233" i="12"/>
  <c r="FY233" i="12"/>
  <c r="FZ233" i="12"/>
  <c r="GA233" i="12"/>
  <c r="GB233" i="12"/>
  <c r="GC233" i="12"/>
  <c r="GD233" i="12"/>
  <c r="GE233" i="12"/>
  <c r="GF233" i="12"/>
  <c r="GG233" i="12"/>
  <c r="GH233" i="12"/>
  <c r="GI233" i="12"/>
  <c r="GJ233" i="12"/>
  <c r="GK233" i="12"/>
  <c r="GL233" i="12"/>
  <c r="GM233" i="12"/>
  <c r="GN233" i="12"/>
  <c r="GO233" i="12"/>
  <c r="GP233" i="12"/>
  <c r="GQ233" i="12"/>
  <c r="GR233" i="12"/>
  <c r="GS233" i="12"/>
  <c r="GT233" i="12"/>
  <c r="GU233" i="12"/>
  <c r="GV233" i="12"/>
  <c r="GW233" i="12"/>
  <c r="GX233" i="12"/>
  <c r="GY233" i="12"/>
  <c r="GZ233" i="12"/>
  <c r="HA233" i="12"/>
  <c r="HB233" i="12"/>
  <c r="HC233" i="12"/>
  <c r="HD233" i="12"/>
  <c r="HE233" i="12"/>
  <c r="HF233" i="12"/>
  <c r="HG233" i="12"/>
  <c r="HH233" i="12"/>
  <c r="HI233" i="12"/>
  <c r="HJ233" i="12"/>
  <c r="HK233" i="12"/>
  <c r="HL233" i="12"/>
  <c r="HM233" i="12"/>
  <c r="HN233" i="12"/>
  <c r="HO233" i="12"/>
  <c r="HP233" i="12"/>
  <c r="HQ233" i="12"/>
  <c r="HR233" i="12"/>
  <c r="HS233" i="12"/>
  <c r="HT233" i="12"/>
  <c r="HU233" i="12"/>
  <c r="HV233" i="12"/>
  <c r="HW233" i="12"/>
  <c r="HX233" i="12"/>
  <c r="HY233" i="12"/>
  <c r="HZ233" i="12"/>
  <c r="IA233" i="12"/>
  <c r="IB233" i="12"/>
  <c r="IC233" i="12"/>
  <c r="ID233" i="12"/>
  <c r="IE233" i="12"/>
  <c r="IF233" i="12"/>
  <c r="IG233" i="12"/>
  <c r="IH233" i="12"/>
  <c r="II233" i="12"/>
  <c r="IJ233" i="12"/>
  <c r="IK233" i="12"/>
  <c r="IL233" i="12"/>
  <c r="IM233" i="12"/>
  <c r="IN233" i="12"/>
  <c r="IO233" i="12"/>
  <c r="IP233" i="12"/>
  <c r="IQ233" i="12"/>
  <c r="IR233" i="12"/>
  <c r="IS233" i="12"/>
  <c r="IT233" i="12"/>
  <c r="IU233" i="12"/>
  <c r="IV233" i="12"/>
  <c r="F234" i="12"/>
  <c r="G234" i="12"/>
  <c r="H234" i="12"/>
  <c r="I234" i="12"/>
  <c r="J234" i="12"/>
  <c r="K234" i="12"/>
  <c r="L234" i="12"/>
  <c r="M234" i="12"/>
  <c r="N234" i="12"/>
  <c r="O234" i="12"/>
  <c r="P234" i="12"/>
  <c r="Q234" i="12"/>
  <c r="R234" i="12"/>
  <c r="S234" i="12"/>
  <c r="T234" i="12"/>
  <c r="U234" i="12"/>
  <c r="V234" i="12"/>
  <c r="W234" i="12"/>
  <c r="X234" i="12"/>
  <c r="Y234" i="12"/>
  <c r="Z234" i="12"/>
  <c r="AA234" i="12"/>
  <c r="AB234" i="12"/>
  <c r="AC234" i="12"/>
  <c r="AD234" i="12"/>
  <c r="AE234" i="12"/>
  <c r="AF234" i="12"/>
  <c r="AG234" i="12"/>
  <c r="AH234" i="12"/>
  <c r="AI234" i="12"/>
  <c r="AJ234" i="12"/>
  <c r="AK234" i="12"/>
  <c r="AL234" i="12"/>
  <c r="AM234" i="12"/>
  <c r="AN234" i="12"/>
  <c r="AO234" i="12"/>
  <c r="AP234" i="12"/>
  <c r="AQ234" i="12"/>
  <c r="AR234" i="12"/>
  <c r="AS234" i="12"/>
  <c r="AT234" i="12"/>
  <c r="AU234" i="12"/>
  <c r="AV234" i="12"/>
  <c r="AW234" i="12"/>
  <c r="AX234" i="12"/>
  <c r="AY234" i="12"/>
  <c r="AZ234" i="12"/>
  <c r="BA234" i="12"/>
  <c r="BB234" i="12"/>
  <c r="BC234" i="12"/>
  <c r="BD234" i="12"/>
  <c r="BE234" i="12"/>
  <c r="BF234" i="12"/>
  <c r="BG234" i="12"/>
  <c r="BH234" i="12"/>
  <c r="BI234" i="12"/>
  <c r="BJ234" i="12"/>
  <c r="BK234" i="12"/>
  <c r="BL234" i="12"/>
  <c r="BM234" i="12"/>
  <c r="BN234" i="12"/>
  <c r="BO234" i="12"/>
  <c r="BP234" i="12"/>
  <c r="BQ234" i="12"/>
  <c r="BR234" i="12"/>
  <c r="BS234" i="12"/>
  <c r="BT234" i="12"/>
  <c r="BU234" i="12"/>
  <c r="BV234" i="12"/>
  <c r="BW234" i="12"/>
  <c r="BX234" i="12"/>
  <c r="BY234" i="12"/>
  <c r="BZ234" i="12"/>
  <c r="CA234" i="12"/>
  <c r="CB234" i="12"/>
  <c r="CC234" i="12"/>
  <c r="CD234" i="12"/>
  <c r="CE234" i="12"/>
  <c r="CF234" i="12"/>
  <c r="CG234" i="12"/>
  <c r="CH234" i="12"/>
  <c r="CI234" i="12"/>
  <c r="CJ234" i="12"/>
  <c r="CK234" i="12"/>
  <c r="CL234" i="12"/>
  <c r="CM234" i="12"/>
  <c r="CN234" i="12"/>
  <c r="CO234" i="12"/>
  <c r="CP234" i="12"/>
  <c r="CQ234" i="12"/>
  <c r="CR234" i="12"/>
  <c r="CS234" i="12"/>
  <c r="CT234" i="12"/>
  <c r="CU234" i="12"/>
  <c r="CV234" i="12"/>
  <c r="CW234" i="12"/>
  <c r="CX234" i="12"/>
  <c r="CY234" i="12"/>
  <c r="CZ234" i="12"/>
  <c r="DA234" i="12"/>
  <c r="DB234" i="12"/>
  <c r="DC234" i="12"/>
  <c r="DD234" i="12"/>
  <c r="DE234" i="12"/>
  <c r="DF234" i="12"/>
  <c r="DG234" i="12"/>
  <c r="DH234" i="12"/>
  <c r="DI234" i="12"/>
  <c r="DJ234" i="12"/>
  <c r="DK234" i="12"/>
  <c r="DL234" i="12"/>
  <c r="DM234" i="12"/>
  <c r="DN234" i="12"/>
  <c r="DO234" i="12"/>
  <c r="DP234" i="12"/>
  <c r="DQ234" i="12"/>
  <c r="DR234" i="12"/>
  <c r="DS234" i="12"/>
  <c r="DT234" i="12"/>
  <c r="DU234" i="12"/>
  <c r="DV234" i="12"/>
  <c r="DW234" i="12"/>
  <c r="DX234" i="12"/>
  <c r="DY234" i="12"/>
  <c r="DZ234" i="12"/>
  <c r="EA234" i="12"/>
  <c r="EB234" i="12"/>
  <c r="EC234" i="12"/>
  <c r="ED234" i="12"/>
  <c r="EE234" i="12"/>
  <c r="EF234" i="12"/>
  <c r="EG234" i="12"/>
  <c r="EH234" i="12"/>
  <c r="EI234" i="12"/>
  <c r="EJ234" i="12"/>
  <c r="EK234" i="12"/>
  <c r="EL234" i="12"/>
  <c r="EM234" i="12"/>
  <c r="EN234" i="12"/>
  <c r="EO234" i="12"/>
  <c r="EP234" i="12"/>
  <c r="EQ234" i="12"/>
  <c r="ER234" i="12"/>
  <c r="ES234" i="12"/>
  <c r="ET234" i="12"/>
  <c r="EU234" i="12"/>
  <c r="EV234" i="12"/>
  <c r="EW234" i="12"/>
  <c r="EX234" i="12"/>
  <c r="EY234" i="12"/>
  <c r="EZ234" i="12"/>
  <c r="FA234" i="12"/>
  <c r="FB234" i="12"/>
  <c r="FC234" i="12"/>
  <c r="FD234" i="12"/>
  <c r="FE234" i="12"/>
  <c r="FF234" i="12"/>
  <c r="FG234" i="12"/>
  <c r="FH234" i="12"/>
  <c r="FI234" i="12"/>
  <c r="FJ234" i="12"/>
  <c r="FK234" i="12"/>
  <c r="FL234" i="12"/>
  <c r="FM234" i="12"/>
  <c r="FN234" i="12"/>
  <c r="FO234" i="12"/>
  <c r="FP234" i="12"/>
  <c r="FQ234" i="12"/>
  <c r="FR234" i="12"/>
  <c r="FS234" i="12"/>
  <c r="FT234" i="12"/>
  <c r="FU234" i="12"/>
  <c r="FV234" i="12"/>
  <c r="FW234" i="12"/>
  <c r="FX234" i="12"/>
  <c r="FY234" i="12"/>
  <c r="FZ234" i="12"/>
  <c r="GA234" i="12"/>
  <c r="GB234" i="12"/>
  <c r="GC234" i="12"/>
  <c r="GD234" i="12"/>
  <c r="GE234" i="12"/>
  <c r="GF234" i="12"/>
  <c r="GG234" i="12"/>
  <c r="GH234" i="12"/>
  <c r="GI234" i="12"/>
  <c r="GJ234" i="12"/>
  <c r="GK234" i="12"/>
  <c r="GL234" i="12"/>
  <c r="GM234" i="12"/>
  <c r="GN234" i="12"/>
  <c r="GO234" i="12"/>
  <c r="GP234" i="12"/>
  <c r="GQ234" i="12"/>
  <c r="GR234" i="12"/>
  <c r="GS234" i="12"/>
  <c r="GT234" i="12"/>
  <c r="GU234" i="12"/>
  <c r="GV234" i="12"/>
  <c r="GW234" i="12"/>
  <c r="GX234" i="12"/>
  <c r="GY234" i="12"/>
  <c r="GZ234" i="12"/>
  <c r="HA234" i="12"/>
  <c r="HB234" i="12"/>
  <c r="HC234" i="12"/>
  <c r="HD234" i="12"/>
  <c r="HE234" i="12"/>
  <c r="HF234" i="12"/>
  <c r="HG234" i="12"/>
  <c r="HH234" i="12"/>
  <c r="HI234" i="12"/>
  <c r="HJ234" i="12"/>
  <c r="HK234" i="12"/>
  <c r="HL234" i="12"/>
  <c r="HM234" i="12"/>
  <c r="HN234" i="12"/>
  <c r="HO234" i="12"/>
  <c r="HP234" i="12"/>
  <c r="HQ234" i="12"/>
  <c r="HR234" i="12"/>
  <c r="HS234" i="12"/>
  <c r="HT234" i="12"/>
  <c r="HU234" i="12"/>
  <c r="HV234" i="12"/>
  <c r="HW234" i="12"/>
  <c r="HX234" i="12"/>
  <c r="HY234" i="12"/>
  <c r="HZ234" i="12"/>
  <c r="IA234" i="12"/>
  <c r="IB234" i="12"/>
  <c r="IC234" i="12"/>
  <c r="ID234" i="12"/>
  <c r="IE234" i="12"/>
  <c r="IF234" i="12"/>
  <c r="IG234" i="12"/>
  <c r="IH234" i="12"/>
  <c r="II234" i="12"/>
  <c r="IJ234" i="12"/>
  <c r="IK234" i="12"/>
  <c r="IL234" i="12"/>
  <c r="IM234" i="12"/>
  <c r="IN234" i="12"/>
  <c r="IO234" i="12"/>
  <c r="IP234" i="12"/>
  <c r="IQ234" i="12"/>
  <c r="IR234" i="12"/>
  <c r="IS234" i="12"/>
  <c r="IT234" i="12"/>
  <c r="IU234" i="12"/>
  <c r="IV234" i="12"/>
  <c r="F235" i="12"/>
  <c r="G235" i="12"/>
  <c r="H235" i="12"/>
  <c r="I235" i="12"/>
  <c r="J235" i="12"/>
  <c r="K235" i="12"/>
  <c r="L235" i="12"/>
  <c r="M235" i="12"/>
  <c r="N235" i="12"/>
  <c r="O235" i="12"/>
  <c r="P235" i="12"/>
  <c r="Q235" i="12"/>
  <c r="R235" i="12"/>
  <c r="S235" i="12"/>
  <c r="T235" i="12"/>
  <c r="U235" i="12"/>
  <c r="V235" i="12"/>
  <c r="W235" i="12"/>
  <c r="X235" i="12"/>
  <c r="Y235" i="12"/>
  <c r="Z235" i="12"/>
  <c r="AA235" i="12"/>
  <c r="AB235" i="12"/>
  <c r="AC235" i="12"/>
  <c r="AD235" i="12"/>
  <c r="AE235" i="12"/>
  <c r="AF235" i="12"/>
  <c r="AG235" i="12"/>
  <c r="AH235" i="12"/>
  <c r="AI235" i="12"/>
  <c r="AJ235" i="12"/>
  <c r="AK235" i="12"/>
  <c r="AL235" i="12"/>
  <c r="AM235" i="12"/>
  <c r="AN235" i="12"/>
  <c r="AO235" i="12"/>
  <c r="AP235" i="12"/>
  <c r="AQ235" i="12"/>
  <c r="AR235" i="12"/>
  <c r="AS235" i="12"/>
  <c r="AT235" i="12"/>
  <c r="AU235" i="12"/>
  <c r="AV235" i="12"/>
  <c r="AW235" i="12"/>
  <c r="AX235" i="12"/>
  <c r="AY235" i="12"/>
  <c r="AZ235" i="12"/>
  <c r="BA235" i="12"/>
  <c r="BB235" i="12"/>
  <c r="BC235" i="12"/>
  <c r="BD235" i="12"/>
  <c r="BE235" i="12"/>
  <c r="BF235" i="12"/>
  <c r="BG235" i="12"/>
  <c r="BH235" i="12"/>
  <c r="BI235" i="12"/>
  <c r="BJ235" i="12"/>
  <c r="BK235" i="12"/>
  <c r="BL235" i="12"/>
  <c r="BM235" i="12"/>
  <c r="BN235" i="12"/>
  <c r="BO235" i="12"/>
  <c r="BP235" i="12"/>
  <c r="BQ235" i="12"/>
  <c r="BR235" i="12"/>
  <c r="BS235" i="12"/>
  <c r="BT235" i="12"/>
  <c r="BU235" i="12"/>
  <c r="BV235" i="12"/>
  <c r="BW235" i="12"/>
  <c r="BX235" i="12"/>
  <c r="BY235" i="12"/>
  <c r="BZ235" i="12"/>
  <c r="CA235" i="12"/>
  <c r="CB235" i="12"/>
  <c r="CC235" i="12"/>
  <c r="CD235" i="12"/>
  <c r="CE235" i="12"/>
  <c r="CF235" i="12"/>
  <c r="CG235" i="12"/>
  <c r="CH235" i="12"/>
  <c r="CI235" i="12"/>
  <c r="CJ235" i="12"/>
  <c r="CK235" i="12"/>
  <c r="CL235" i="12"/>
  <c r="CM235" i="12"/>
  <c r="CN235" i="12"/>
  <c r="CO235" i="12"/>
  <c r="CP235" i="12"/>
  <c r="CQ235" i="12"/>
  <c r="CR235" i="12"/>
  <c r="CS235" i="12"/>
  <c r="CT235" i="12"/>
  <c r="CU235" i="12"/>
  <c r="CV235" i="12"/>
  <c r="CW235" i="12"/>
  <c r="CX235" i="12"/>
  <c r="CY235" i="12"/>
  <c r="CZ235" i="12"/>
  <c r="DA235" i="12"/>
  <c r="DB235" i="12"/>
  <c r="DC235" i="12"/>
  <c r="DD235" i="12"/>
  <c r="DE235" i="12"/>
  <c r="DF235" i="12"/>
  <c r="DG235" i="12"/>
  <c r="DH235" i="12"/>
  <c r="DI235" i="12"/>
  <c r="DJ235" i="12"/>
  <c r="DK235" i="12"/>
  <c r="DL235" i="12"/>
  <c r="DM235" i="12"/>
  <c r="DN235" i="12"/>
  <c r="DO235" i="12"/>
  <c r="DP235" i="12"/>
  <c r="DQ235" i="12"/>
  <c r="DR235" i="12"/>
  <c r="DS235" i="12"/>
  <c r="DT235" i="12"/>
  <c r="DU235" i="12"/>
  <c r="DV235" i="12"/>
  <c r="DW235" i="12"/>
  <c r="DX235" i="12"/>
  <c r="DY235" i="12"/>
  <c r="DZ235" i="12"/>
  <c r="EA235" i="12"/>
  <c r="EB235" i="12"/>
  <c r="EC235" i="12"/>
  <c r="ED235" i="12"/>
  <c r="EE235" i="12"/>
  <c r="EF235" i="12"/>
  <c r="EG235" i="12"/>
  <c r="EH235" i="12"/>
  <c r="EI235" i="12"/>
  <c r="EJ235" i="12"/>
  <c r="EK235" i="12"/>
  <c r="EL235" i="12"/>
  <c r="EM235" i="12"/>
  <c r="EN235" i="12"/>
  <c r="EO235" i="12"/>
  <c r="EP235" i="12"/>
  <c r="EQ235" i="12"/>
  <c r="ER235" i="12"/>
  <c r="ES235" i="12"/>
  <c r="ET235" i="12"/>
  <c r="EU235" i="12"/>
  <c r="EV235" i="12"/>
  <c r="EW235" i="12"/>
  <c r="EX235" i="12"/>
  <c r="EY235" i="12"/>
  <c r="EZ235" i="12"/>
  <c r="FA235" i="12"/>
  <c r="FB235" i="12"/>
  <c r="FC235" i="12"/>
  <c r="FD235" i="12"/>
  <c r="FE235" i="12"/>
  <c r="FF235" i="12"/>
  <c r="FG235" i="12"/>
  <c r="FH235" i="12"/>
  <c r="FI235" i="12"/>
  <c r="FJ235" i="12"/>
  <c r="FK235" i="12"/>
  <c r="FL235" i="12"/>
  <c r="FM235" i="12"/>
  <c r="FN235" i="12"/>
  <c r="FO235" i="12"/>
  <c r="FP235" i="12"/>
  <c r="FQ235" i="12"/>
  <c r="FR235" i="12"/>
  <c r="FS235" i="12"/>
  <c r="FT235" i="12"/>
  <c r="FU235" i="12"/>
  <c r="FV235" i="12"/>
  <c r="FW235" i="12"/>
  <c r="FX235" i="12"/>
  <c r="FY235" i="12"/>
  <c r="FZ235" i="12"/>
  <c r="GA235" i="12"/>
  <c r="GB235" i="12"/>
  <c r="GC235" i="12"/>
  <c r="GD235" i="12"/>
  <c r="GE235" i="12"/>
  <c r="GF235" i="12"/>
  <c r="GG235" i="12"/>
  <c r="GH235" i="12"/>
  <c r="GI235" i="12"/>
  <c r="GJ235" i="12"/>
  <c r="GK235" i="12"/>
  <c r="GL235" i="12"/>
  <c r="GM235" i="12"/>
  <c r="GN235" i="12"/>
  <c r="GO235" i="12"/>
  <c r="GP235" i="12"/>
  <c r="GQ235" i="12"/>
  <c r="GR235" i="12"/>
  <c r="GS235" i="12"/>
  <c r="GT235" i="12"/>
  <c r="GU235" i="12"/>
  <c r="GV235" i="12"/>
  <c r="GW235" i="12"/>
  <c r="GX235" i="12"/>
  <c r="GY235" i="12"/>
  <c r="GZ235" i="12"/>
  <c r="HA235" i="12"/>
  <c r="HB235" i="12"/>
  <c r="HC235" i="12"/>
  <c r="HD235" i="12"/>
  <c r="HE235" i="12"/>
  <c r="HF235" i="12"/>
  <c r="HG235" i="12"/>
  <c r="HH235" i="12"/>
  <c r="HI235" i="12"/>
  <c r="HJ235" i="12"/>
  <c r="HK235" i="12"/>
  <c r="HL235" i="12"/>
  <c r="HM235" i="12"/>
  <c r="HN235" i="12"/>
  <c r="HO235" i="12"/>
  <c r="HP235" i="12"/>
  <c r="HQ235" i="12"/>
  <c r="HR235" i="12"/>
  <c r="HS235" i="12"/>
  <c r="HT235" i="12"/>
  <c r="HU235" i="12"/>
  <c r="HV235" i="12"/>
  <c r="HW235" i="12"/>
  <c r="HX235" i="12"/>
  <c r="HY235" i="12"/>
  <c r="HZ235" i="12"/>
  <c r="IA235" i="12"/>
  <c r="IB235" i="12"/>
  <c r="IC235" i="12"/>
  <c r="ID235" i="12"/>
  <c r="IE235" i="12"/>
  <c r="IF235" i="12"/>
  <c r="IG235" i="12"/>
  <c r="IH235" i="12"/>
  <c r="II235" i="12"/>
  <c r="IJ235" i="12"/>
  <c r="IK235" i="12"/>
  <c r="IL235" i="12"/>
  <c r="IM235" i="12"/>
  <c r="IN235" i="12"/>
  <c r="IO235" i="12"/>
  <c r="IP235" i="12"/>
  <c r="IQ235" i="12"/>
  <c r="IR235" i="12"/>
  <c r="IS235" i="12"/>
  <c r="IT235" i="12"/>
  <c r="IU235" i="12"/>
  <c r="IV235" i="12"/>
  <c r="F236" i="12"/>
  <c r="G236" i="12"/>
  <c r="H236" i="12"/>
  <c r="I236" i="12"/>
  <c r="J236" i="12"/>
  <c r="K236" i="12"/>
  <c r="L236" i="12"/>
  <c r="M236" i="12"/>
  <c r="N236" i="12"/>
  <c r="O236" i="12"/>
  <c r="P236" i="12"/>
  <c r="Q236" i="12"/>
  <c r="R236" i="12"/>
  <c r="S236" i="12"/>
  <c r="T236" i="12"/>
  <c r="U236" i="12"/>
  <c r="V236" i="12"/>
  <c r="W236" i="12"/>
  <c r="X236" i="12"/>
  <c r="Y236" i="12"/>
  <c r="Z236" i="12"/>
  <c r="AA236" i="12"/>
  <c r="AB236" i="12"/>
  <c r="AC236" i="12"/>
  <c r="AD236" i="12"/>
  <c r="AE236" i="12"/>
  <c r="AF236" i="12"/>
  <c r="AG236" i="12"/>
  <c r="AH236" i="12"/>
  <c r="AI236" i="12"/>
  <c r="AJ236" i="12"/>
  <c r="AK236" i="12"/>
  <c r="AL236" i="12"/>
  <c r="AM236" i="12"/>
  <c r="AN236" i="12"/>
  <c r="AO236" i="12"/>
  <c r="AP236" i="12"/>
  <c r="AQ236" i="12"/>
  <c r="AR236" i="12"/>
  <c r="AS236" i="12"/>
  <c r="AT236" i="12"/>
  <c r="AU236" i="12"/>
  <c r="AV236" i="12"/>
  <c r="AW236" i="12"/>
  <c r="AX236" i="12"/>
  <c r="AY236" i="12"/>
  <c r="AZ236" i="12"/>
  <c r="BA236" i="12"/>
  <c r="BB236" i="12"/>
  <c r="BC236" i="12"/>
  <c r="BD236" i="12"/>
  <c r="BE236" i="12"/>
  <c r="BF236" i="12"/>
  <c r="BG236" i="12"/>
  <c r="BH236" i="12"/>
  <c r="BI236" i="12"/>
  <c r="BJ236" i="12"/>
  <c r="BK236" i="12"/>
  <c r="BL236" i="12"/>
  <c r="BM236" i="12"/>
  <c r="BN236" i="12"/>
  <c r="BO236" i="12"/>
  <c r="BP236" i="12"/>
  <c r="BQ236" i="12"/>
  <c r="BR236" i="12"/>
  <c r="BS236" i="12"/>
  <c r="BT236" i="12"/>
  <c r="BU236" i="12"/>
  <c r="BV236" i="12"/>
  <c r="BW236" i="12"/>
  <c r="BX236" i="12"/>
  <c r="BY236" i="12"/>
  <c r="BZ236" i="12"/>
  <c r="CA236" i="12"/>
  <c r="CB236" i="12"/>
  <c r="CC236" i="12"/>
  <c r="CD236" i="12"/>
  <c r="CE236" i="12"/>
  <c r="CF236" i="12"/>
  <c r="CG236" i="12"/>
  <c r="CH236" i="12"/>
  <c r="CI236" i="12"/>
  <c r="CJ236" i="12"/>
  <c r="CK236" i="12"/>
  <c r="CL236" i="12"/>
  <c r="CM236" i="12"/>
  <c r="CN236" i="12"/>
  <c r="CO236" i="12"/>
  <c r="CP236" i="12"/>
  <c r="CQ236" i="12"/>
  <c r="CR236" i="12"/>
  <c r="CS236" i="12"/>
  <c r="CT236" i="12"/>
  <c r="CU236" i="12"/>
  <c r="CV236" i="12"/>
  <c r="CW236" i="12"/>
  <c r="CX236" i="12"/>
  <c r="CY236" i="12"/>
  <c r="CZ236" i="12"/>
  <c r="DA236" i="12"/>
  <c r="DB236" i="12"/>
  <c r="DC236" i="12"/>
  <c r="DD236" i="12"/>
  <c r="DE236" i="12"/>
  <c r="DF236" i="12"/>
  <c r="DG236" i="12"/>
  <c r="DH236" i="12"/>
  <c r="DI236" i="12"/>
  <c r="DJ236" i="12"/>
  <c r="DK236" i="12"/>
  <c r="DL236" i="12"/>
  <c r="DM236" i="12"/>
  <c r="DN236" i="12"/>
  <c r="DO236" i="12"/>
  <c r="DP236" i="12"/>
  <c r="DQ236" i="12"/>
  <c r="DR236" i="12"/>
  <c r="DS236" i="12"/>
  <c r="DT236" i="12"/>
  <c r="DU236" i="12"/>
  <c r="DV236" i="12"/>
  <c r="DW236" i="12"/>
  <c r="DX236" i="12"/>
  <c r="DY236" i="12"/>
  <c r="DZ236" i="12"/>
  <c r="EA236" i="12"/>
  <c r="EB236" i="12"/>
  <c r="EC236" i="12"/>
  <c r="ED236" i="12"/>
  <c r="EE236" i="12"/>
  <c r="EF236" i="12"/>
  <c r="EG236" i="12"/>
  <c r="EH236" i="12"/>
  <c r="EI236" i="12"/>
  <c r="EJ236" i="12"/>
  <c r="EK236" i="12"/>
  <c r="EL236" i="12"/>
  <c r="EM236" i="12"/>
  <c r="EN236" i="12"/>
  <c r="EO236" i="12"/>
  <c r="EP236" i="12"/>
  <c r="EQ236" i="12"/>
  <c r="ER236" i="12"/>
  <c r="ES236" i="12"/>
  <c r="ET236" i="12"/>
  <c r="EU236" i="12"/>
  <c r="EV236" i="12"/>
  <c r="EW236" i="12"/>
  <c r="EX236" i="12"/>
  <c r="EY236" i="12"/>
  <c r="EZ236" i="12"/>
  <c r="FA236" i="12"/>
  <c r="FB236" i="12"/>
  <c r="FC236" i="12"/>
  <c r="FD236" i="12"/>
  <c r="FE236" i="12"/>
  <c r="FF236" i="12"/>
  <c r="FG236" i="12"/>
  <c r="FH236" i="12"/>
  <c r="FI236" i="12"/>
  <c r="FJ236" i="12"/>
  <c r="FK236" i="12"/>
  <c r="FL236" i="12"/>
  <c r="FM236" i="12"/>
  <c r="FN236" i="12"/>
  <c r="FO236" i="12"/>
  <c r="FP236" i="12"/>
  <c r="FQ236" i="12"/>
  <c r="FR236" i="12"/>
  <c r="FS236" i="12"/>
  <c r="FT236" i="12"/>
  <c r="FU236" i="12"/>
  <c r="FV236" i="12"/>
  <c r="FW236" i="12"/>
  <c r="FX236" i="12"/>
  <c r="FY236" i="12"/>
  <c r="FZ236" i="12"/>
  <c r="GA236" i="12"/>
  <c r="GB236" i="12"/>
  <c r="GC236" i="12"/>
  <c r="GD236" i="12"/>
  <c r="GE236" i="12"/>
  <c r="GF236" i="12"/>
  <c r="GG236" i="12"/>
  <c r="GH236" i="12"/>
  <c r="GI236" i="12"/>
  <c r="GJ236" i="12"/>
  <c r="GK236" i="12"/>
  <c r="GL236" i="12"/>
  <c r="GM236" i="12"/>
  <c r="GN236" i="12"/>
  <c r="GO236" i="12"/>
  <c r="GP236" i="12"/>
  <c r="GQ236" i="12"/>
  <c r="GR236" i="12"/>
  <c r="GS236" i="12"/>
  <c r="GT236" i="12"/>
  <c r="GU236" i="12"/>
  <c r="GV236" i="12"/>
  <c r="GW236" i="12"/>
  <c r="GX236" i="12"/>
  <c r="GY236" i="12"/>
  <c r="GZ236" i="12"/>
  <c r="HA236" i="12"/>
  <c r="HB236" i="12"/>
  <c r="HC236" i="12"/>
  <c r="HD236" i="12"/>
  <c r="HE236" i="12"/>
  <c r="HF236" i="12"/>
  <c r="HG236" i="12"/>
  <c r="HH236" i="12"/>
  <c r="HI236" i="12"/>
  <c r="HJ236" i="12"/>
  <c r="HK236" i="12"/>
  <c r="HL236" i="12"/>
  <c r="HM236" i="12"/>
  <c r="HN236" i="12"/>
  <c r="HO236" i="12"/>
  <c r="HP236" i="12"/>
  <c r="HQ236" i="12"/>
  <c r="HR236" i="12"/>
  <c r="HS236" i="12"/>
  <c r="HT236" i="12"/>
  <c r="HU236" i="12"/>
  <c r="HV236" i="12"/>
  <c r="HW236" i="12"/>
  <c r="HX236" i="12"/>
  <c r="HY236" i="12"/>
  <c r="HZ236" i="12"/>
  <c r="IA236" i="12"/>
  <c r="IB236" i="12"/>
  <c r="IC236" i="12"/>
  <c r="ID236" i="12"/>
  <c r="IE236" i="12"/>
  <c r="IF236" i="12"/>
  <c r="IG236" i="12"/>
  <c r="IH236" i="12"/>
  <c r="II236" i="12"/>
  <c r="IJ236" i="12"/>
  <c r="IK236" i="12"/>
  <c r="IL236" i="12"/>
  <c r="IM236" i="12"/>
  <c r="IN236" i="12"/>
  <c r="IO236" i="12"/>
  <c r="IP236" i="12"/>
  <c r="IQ236" i="12"/>
  <c r="IR236" i="12"/>
  <c r="IS236" i="12"/>
  <c r="IT236" i="12"/>
  <c r="IU236" i="12"/>
  <c r="IV236" i="12"/>
  <c r="F237" i="12"/>
  <c r="G237" i="12"/>
  <c r="H237" i="12"/>
  <c r="I237" i="12"/>
  <c r="J237" i="12"/>
  <c r="K237" i="12"/>
  <c r="L237" i="12"/>
  <c r="M237" i="12"/>
  <c r="N237" i="12"/>
  <c r="O237" i="12"/>
  <c r="P237" i="12"/>
  <c r="Q237" i="12"/>
  <c r="R237" i="12"/>
  <c r="S237" i="12"/>
  <c r="T237" i="12"/>
  <c r="U237" i="12"/>
  <c r="V237" i="12"/>
  <c r="W237" i="12"/>
  <c r="X237" i="12"/>
  <c r="Y237" i="12"/>
  <c r="Z237" i="12"/>
  <c r="AA237" i="12"/>
  <c r="AB237" i="12"/>
  <c r="AC237" i="12"/>
  <c r="AD237" i="12"/>
  <c r="AE237" i="12"/>
  <c r="AF237" i="12"/>
  <c r="AG237" i="12"/>
  <c r="AH237" i="12"/>
  <c r="AI237" i="12"/>
  <c r="AJ237" i="12"/>
  <c r="AK237" i="12"/>
  <c r="AL237" i="12"/>
  <c r="AM237" i="12"/>
  <c r="AN237" i="12"/>
  <c r="AO237" i="12"/>
  <c r="AP237" i="12"/>
  <c r="AQ237" i="12"/>
  <c r="AR237" i="12"/>
  <c r="AS237" i="12"/>
  <c r="AT237" i="12"/>
  <c r="AU237" i="12"/>
  <c r="AV237" i="12"/>
  <c r="AW237" i="12"/>
  <c r="AX237" i="12"/>
  <c r="AY237" i="12"/>
  <c r="AZ237" i="12"/>
  <c r="BA237" i="12"/>
  <c r="BB237" i="12"/>
  <c r="BC237" i="12"/>
  <c r="BD237" i="12"/>
  <c r="BE237" i="12"/>
  <c r="BF237" i="12"/>
  <c r="BG237" i="12"/>
  <c r="BH237" i="12"/>
  <c r="BI237" i="12"/>
  <c r="BJ237" i="12"/>
  <c r="BK237" i="12"/>
  <c r="BL237" i="12"/>
  <c r="BM237" i="12"/>
  <c r="BN237" i="12"/>
  <c r="BO237" i="12"/>
  <c r="BP237" i="12"/>
  <c r="BQ237" i="12"/>
  <c r="BR237" i="12"/>
  <c r="BS237" i="12"/>
  <c r="BT237" i="12"/>
  <c r="BU237" i="12"/>
  <c r="BV237" i="12"/>
  <c r="BW237" i="12"/>
  <c r="BX237" i="12"/>
  <c r="BY237" i="12"/>
  <c r="BZ237" i="12"/>
  <c r="CA237" i="12"/>
  <c r="CB237" i="12"/>
  <c r="CC237" i="12"/>
  <c r="CD237" i="12"/>
  <c r="CE237" i="12"/>
  <c r="CF237" i="12"/>
  <c r="CG237" i="12"/>
  <c r="CH237" i="12"/>
  <c r="CI237" i="12"/>
  <c r="CJ237" i="12"/>
  <c r="CK237" i="12"/>
  <c r="CL237" i="12"/>
  <c r="CM237" i="12"/>
  <c r="CN237" i="12"/>
  <c r="CO237" i="12"/>
  <c r="CP237" i="12"/>
  <c r="CQ237" i="12"/>
  <c r="CR237" i="12"/>
  <c r="CS237" i="12"/>
  <c r="CT237" i="12"/>
  <c r="CU237" i="12"/>
  <c r="CV237" i="12"/>
  <c r="CW237" i="12"/>
  <c r="CX237" i="12"/>
  <c r="CY237" i="12"/>
  <c r="CZ237" i="12"/>
  <c r="DA237" i="12"/>
  <c r="DB237" i="12"/>
  <c r="DC237" i="12"/>
  <c r="DD237" i="12"/>
  <c r="DE237" i="12"/>
  <c r="DF237" i="12"/>
  <c r="DG237" i="12"/>
  <c r="DH237" i="12"/>
  <c r="DI237" i="12"/>
  <c r="DJ237" i="12"/>
  <c r="DK237" i="12"/>
  <c r="DL237" i="12"/>
  <c r="DM237" i="12"/>
  <c r="DN237" i="12"/>
  <c r="DO237" i="12"/>
  <c r="DP237" i="12"/>
  <c r="DQ237" i="12"/>
  <c r="DR237" i="12"/>
  <c r="DS237" i="12"/>
  <c r="DT237" i="12"/>
  <c r="DU237" i="12"/>
  <c r="DV237" i="12"/>
  <c r="DW237" i="12"/>
  <c r="DX237" i="12"/>
  <c r="DY237" i="12"/>
  <c r="DZ237" i="12"/>
  <c r="EA237" i="12"/>
  <c r="EB237" i="12"/>
  <c r="EC237" i="12"/>
  <c r="ED237" i="12"/>
  <c r="EE237" i="12"/>
  <c r="EF237" i="12"/>
  <c r="EG237" i="12"/>
  <c r="EH237" i="12"/>
  <c r="EI237" i="12"/>
  <c r="EJ237" i="12"/>
  <c r="EK237" i="12"/>
  <c r="EL237" i="12"/>
  <c r="EM237" i="12"/>
  <c r="EN237" i="12"/>
  <c r="EO237" i="12"/>
  <c r="EP237" i="12"/>
  <c r="EQ237" i="12"/>
  <c r="ER237" i="12"/>
  <c r="ES237" i="12"/>
  <c r="ET237" i="12"/>
  <c r="EU237" i="12"/>
  <c r="EV237" i="12"/>
  <c r="EW237" i="12"/>
  <c r="EX237" i="12"/>
  <c r="EY237" i="12"/>
  <c r="EZ237" i="12"/>
  <c r="FA237" i="12"/>
  <c r="FB237" i="12"/>
  <c r="FC237" i="12"/>
  <c r="FD237" i="12"/>
  <c r="FE237" i="12"/>
  <c r="FF237" i="12"/>
  <c r="FG237" i="12"/>
  <c r="FH237" i="12"/>
  <c r="FI237" i="12"/>
  <c r="FJ237" i="12"/>
  <c r="FK237" i="12"/>
  <c r="FL237" i="12"/>
  <c r="FM237" i="12"/>
  <c r="FN237" i="12"/>
  <c r="FO237" i="12"/>
  <c r="FP237" i="12"/>
  <c r="FQ237" i="12"/>
  <c r="FR237" i="12"/>
  <c r="FS237" i="12"/>
  <c r="FT237" i="12"/>
  <c r="FU237" i="12"/>
  <c r="FV237" i="12"/>
  <c r="FW237" i="12"/>
  <c r="FX237" i="12"/>
  <c r="FY237" i="12"/>
  <c r="FZ237" i="12"/>
  <c r="GA237" i="12"/>
  <c r="GB237" i="12"/>
  <c r="GC237" i="12"/>
  <c r="GD237" i="12"/>
  <c r="GE237" i="12"/>
  <c r="GF237" i="12"/>
  <c r="GG237" i="12"/>
  <c r="GH237" i="12"/>
  <c r="GI237" i="12"/>
  <c r="GJ237" i="12"/>
  <c r="GK237" i="12"/>
  <c r="GL237" i="12"/>
  <c r="GM237" i="12"/>
  <c r="GN237" i="12"/>
  <c r="GO237" i="12"/>
  <c r="GP237" i="12"/>
  <c r="GQ237" i="12"/>
  <c r="GR237" i="12"/>
  <c r="GS237" i="12"/>
  <c r="GT237" i="12"/>
  <c r="GU237" i="12"/>
  <c r="GV237" i="12"/>
  <c r="GW237" i="12"/>
  <c r="GX237" i="12"/>
  <c r="GY237" i="12"/>
  <c r="GZ237" i="12"/>
  <c r="HA237" i="12"/>
  <c r="HB237" i="12"/>
  <c r="HC237" i="12"/>
  <c r="HD237" i="12"/>
  <c r="HE237" i="12"/>
  <c r="HF237" i="12"/>
  <c r="HG237" i="12"/>
  <c r="HH237" i="12"/>
  <c r="HI237" i="12"/>
  <c r="HJ237" i="12"/>
  <c r="HK237" i="12"/>
  <c r="HL237" i="12"/>
  <c r="HM237" i="12"/>
  <c r="HN237" i="12"/>
  <c r="HO237" i="12"/>
  <c r="HP237" i="12"/>
  <c r="HQ237" i="12"/>
  <c r="HR237" i="12"/>
  <c r="HS237" i="12"/>
  <c r="HT237" i="12"/>
  <c r="HU237" i="12"/>
  <c r="HV237" i="12"/>
  <c r="HW237" i="12"/>
  <c r="HX237" i="12"/>
  <c r="HY237" i="12"/>
  <c r="HZ237" i="12"/>
  <c r="IA237" i="12"/>
  <c r="IB237" i="12"/>
  <c r="IC237" i="12"/>
  <c r="ID237" i="12"/>
  <c r="IE237" i="12"/>
  <c r="IF237" i="12"/>
  <c r="IG237" i="12"/>
  <c r="IH237" i="12"/>
  <c r="II237" i="12"/>
  <c r="IJ237" i="12"/>
  <c r="IK237" i="12"/>
  <c r="IL237" i="12"/>
  <c r="IM237" i="12"/>
  <c r="IN237" i="12"/>
  <c r="IO237" i="12"/>
  <c r="IP237" i="12"/>
  <c r="IQ237" i="12"/>
  <c r="IR237" i="12"/>
  <c r="IS237" i="12"/>
  <c r="IT237" i="12"/>
  <c r="IU237" i="12"/>
  <c r="IV237" i="12"/>
  <c r="F238" i="12"/>
  <c r="G238" i="12"/>
  <c r="H238" i="12"/>
  <c r="I238" i="12"/>
  <c r="J238" i="12"/>
  <c r="K238" i="12"/>
  <c r="L238" i="12"/>
  <c r="M238" i="12"/>
  <c r="N238" i="12"/>
  <c r="O238" i="12"/>
  <c r="P238" i="12"/>
  <c r="Q238" i="12"/>
  <c r="R238" i="12"/>
  <c r="S238" i="12"/>
  <c r="T238" i="12"/>
  <c r="U238" i="12"/>
  <c r="V238" i="12"/>
  <c r="W238" i="12"/>
  <c r="X238" i="12"/>
  <c r="Y238" i="12"/>
  <c r="Z238" i="12"/>
  <c r="AA238" i="12"/>
  <c r="AB238" i="12"/>
  <c r="AC238" i="12"/>
  <c r="AD238" i="12"/>
  <c r="AE238" i="12"/>
  <c r="AF238" i="12"/>
  <c r="AG238" i="12"/>
  <c r="AH238" i="12"/>
  <c r="AI238" i="12"/>
  <c r="AJ238" i="12"/>
  <c r="AK238" i="12"/>
  <c r="AL238" i="12"/>
  <c r="AM238" i="12"/>
  <c r="AN238" i="12"/>
  <c r="AO238" i="12"/>
  <c r="AP238" i="12"/>
  <c r="AQ238" i="12"/>
  <c r="AR238" i="12"/>
  <c r="AS238" i="12"/>
  <c r="AT238" i="12"/>
  <c r="AU238" i="12"/>
  <c r="AV238" i="12"/>
  <c r="AW238" i="12"/>
  <c r="AX238" i="12"/>
  <c r="AY238" i="12"/>
  <c r="AZ238" i="12"/>
  <c r="BA238" i="12"/>
  <c r="BB238" i="12"/>
  <c r="BC238" i="12"/>
  <c r="BD238" i="12"/>
  <c r="BE238" i="12"/>
  <c r="BF238" i="12"/>
  <c r="BG238" i="12"/>
  <c r="BH238" i="12"/>
  <c r="BI238" i="12"/>
  <c r="BJ238" i="12"/>
  <c r="BK238" i="12"/>
  <c r="BL238" i="12"/>
  <c r="BM238" i="12"/>
  <c r="BN238" i="12"/>
  <c r="BO238" i="12"/>
  <c r="BP238" i="12"/>
  <c r="BQ238" i="12"/>
  <c r="BR238" i="12"/>
  <c r="BS238" i="12"/>
  <c r="BT238" i="12"/>
  <c r="BU238" i="12"/>
  <c r="BV238" i="12"/>
  <c r="BW238" i="12"/>
  <c r="BX238" i="12"/>
  <c r="BY238" i="12"/>
  <c r="BZ238" i="12"/>
  <c r="CA238" i="12"/>
  <c r="CB238" i="12"/>
  <c r="CC238" i="12"/>
  <c r="CD238" i="12"/>
  <c r="CE238" i="12"/>
  <c r="CF238" i="12"/>
  <c r="CG238" i="12"/>
  <c r="CH238" i="12"/>
  <c r="CI238" i="12"/>
  <c r="CJ238" i="12"/>
  <c r="CK238" i="12"/>
  <c r="CL238" i="12"/>
  <c r="CM238" i="12"/>
  <c r="CN238" i="12"/>
  <c r="CO238" i="12"/>
  <c r="CP238" i="12"/>
  <c r="CQ238" i="12"/>
  <c r="CR238" i="12"/>
  <c r="CS238" i="12"/>
  <c r="CT238" i="12"/>
  <c r="CU238" i="12"/>
  <c r="CV238" i="12"/>
  <c r="CW238" i="12"/>
  <c r="CX238" i="12"/>
  <c r="CY238" i="12"/>
  <c r="CZ238" i="12"/>
  <c r="DA238" i="12"/>
  <c r="DB238" i="12"/>
  <c r="DC238" i="12"/>
  <c r="DD238" i="12"/>
  <c r="DE238" i="12"/>
  <c r="DF238" i="12"/>
  <c r="DG238" i="12"/>
  <c r="DH238" i="12"/>
  <c r="DI238" i="12"/>
  <c r="DJ238" i="12"/>
  <c r="DK238" i="12"/>
  <c r="DL238" i="12"/>
  <c r="DM238" i="12"/>
  <c r="DN238" i="12"/>
  <c r="DO238" i="12"/>
  <c r="DP238" i="12"/>
  <c r="DQ238" i="12"/>
  <c r="DR238" i="12"/>
  <c r="DS238" i="12"/>
  <c r="DT238" i="12"/>
  <c r="DU238" i="12"/>
  <c r="DV238" i="12"/>
  <c r="DW238" i="12"/>
  <c r="DX238" i="12"/>
  <c r="DY238" i="12"/>
  <c r="DZ238" i="12"/>
  <c r="EA238" i="12"/>
  <c r="EB238" i="12"/>
  <c r="EC238" i="12"/>
  <c r="ED238" i="12"/>
  <c r="EE238" i="12"/>
  <c r="EF238" i="12"/>
  <c r="EG238" i="12"/>
  <c r="EH238" i="12"/>
  <c r="EI238" i="12"/>
  <c r="EJ238" i="12"/>
  <c r="EK238" i="12"/>
  <c r="EL238" i="12"/>
  <c r="EM238" i="12"/>
  <c r="EN238" i="12"/>
  <c r="EO238" i="12"/>
  <c r="EP238" i="12"/>
  <c r="EQ238" i="12"/>
  <c r="ER238" i="12"/>
  <c r="ES238" i="12"/>
  <c r="ET238" i="12"/>
  <c r="EU238" i="12"/>
  <c r="EV238" i="12"/>
  <c r="EW238" i="12"/>
  <c r="EX238" i="12"/>
  <c r="EY238" i="12"/>
  <c r="EZ238" i="12"/>
  <c r="FA238" i="12"/>
  <c r="FB238" i="12"/>
  <c r="FC238" i="12"/>
  <c r="FD238" i="12"/>
  <c r="FE238" i="12"/>
  <c r="FF238" i="12"/>
  <c r="FG238" i="12"/>
  <c r="FH238" i="12"/>
  <c r="FI238" i="12"/>
  <c r="FJ238" i="12"/>
  <c r="FK238" i="12"/>
  <c r="FL238" i="12"/>
  <c r="FM238" i="12"/>
  <c r="FN238" i="12"/>
  <c r="FO238" i="12"/>
  <c r="FP238" i="12"/>
  <c r="FQ238" i="12"/>
  <c r="FR238" i="12"/>
  <c r="FS238" i="12"/>
  <c r="FT238" i="12"/>
  <c r="FU238" i="12"/>
  <c r="FV238" i="12"/>
  <c r="FW238" i="12"/>
  <c r="FX238" i="12"/>
  <c r="FY238" i="12"/>
  <c r="FZ238" i="12"/>
  <c r="GA238" i="12"/>
  <c r="GB238" i="12"/>
  <c r="GC238" i="12"/>
  <c r="GD238" i="12"/>
  <c r="GE238" i="12"/>
  <c r="GF238" i="12"/>
  <c r="GG238" i="12"/>
  <c r="GH238" i="12"/>
  <c r="GI238" i="12"/>
  <c r="GJ238" i="12"/>
  <c r="GK238" i="12"/>
  <c r="GL238" i="12"/>
  <c r="GM238" i="12"/>
  <c r="GN238" i="12"/>
  <c r="GO238" i="12"/>
  <c r="GP238" i="12"/>
  <c r="GQ238" i="12"/>
  <c r="GR238" i="12"/>
  <c r="GS238" i="12"/>
  <c r="GT238" i="12"/>
  <c r="GU238" i="12"/>
  <c r="GV238" i="12"/>
  <c r="GW238" i="12"/>
  <c r="GX238" i="12"/>
  <c r="GY238" i="12"/>
  <c r="GZ238" i="12"/>
  <c r="HA238" i="12"/>
  <c r="HB238" i="12"/>
  <c r="HC238" i="12"/>
  <c r="HD238" i="12"/>
  <c r="HE238" i="12"/>
  <c r="HF238" i="12"/>
  <c r="HG238" i="12"/>
  <c r="HH238" i="12"/>
  <c r="HI238" i="12"/>
  <c r="HJ238" i="12"/>
  <c r="HK238" i="12"/>
  <c r="HL238" i="12"/>
  <c r="HM238" i="12"/>
  <c r="HN238" i="12"/>
  <c r="HO238" i="12"/>
  <c r="HP238" i="12"/>
  <c r="HQ238" i="12"/>
  <c r="HR238" i="12"/>
  <c r="HS238" i="12"/>
  <c r="HT238" i="12"/>
  <c r="HU238" i="12"/>
  <c r="HV238" i="12"/>
  <c r="HW238" i="12"/>
  <c r="HX238" i="12"/>
  <c r="HY238" i="12"/>
  <c r="HZ238" i="12"/>
  <c r="IA238" i="12"/>
  <c r="IB238" i="12"/>
  <c r="IC238" i="12"/>
  <c r="ID238" i="12"/>
  <c r="IE238" i="12"/>
  <c r="IF238" i="12"/>
  <c r="IG238" i="12"/>
  <c r="IH238" i="12"/>
  <c r="II238" i="12"/>
  <c r="IJ238" i="12"/>
  <c r="IK238" i="12"/>
  <c r="IL238" i="12"/>
  <c r="IM238" i="12"/>
  <c r="IN238" i="12"/>
  <c r="IO238" i="12"/>
  <c r="IP238" i="12"/>
  <c r="IQ238" i="12"/>
  <c r="IR238" i="12"/>
  <c r="IS238" i="12"/>
  <c r="IT238" i="12"/>
  <c r="IU238" i="12"/>
  <c r="IV238" i="12"/>
  <c r="F239" i="12"/>
  <c r="G239" i="12"/>
  <c r="H239" i="12"/>
  <c r="I239" i="12"/>
  <c r="J239" i="12"/>
  <c r="K239" i="12"/>
  <c r="L239" i="12"/>
  <c r="M239" i="12"/>
  <c r="N239" i="12"/>
  <c r="O239" i="12"/>
  <c r="P239" i="12"/>
  <c r="Q239" i="12"/>
  <c r="R239" i="12"/>
  <c r="S239" i="12"/>
  <c r="T239" i="12"/>
  <c r="U239" i="12"/>
  <c r="V239" i="12"/>
  <c r="W239" i="12"/>
  <c r="X239" i="12"/>
  <c r="Y239" i="12"/>
  <c r="Z239" i="12"/>
  <c r="AA239" i="12"/>
  <c r="AB239" i="12"/>
  <c r="AC239" i="12"/>
  <c r="AD239" i="12"/>
  <c r="AE239" i="12"/>
  <c r="AF239" i="12"/>
  <c r="AG239" i="12"/>
  <c r="AH239" i="12"/>
  <c r="AI239" i="12"/>
  <c r="AJ239" i="12"/>
  <c r="AK239" i="12"/>
  <c r="AL239" i="12"/>
  <c r="AM239" i="12"/>
  <c r="AN239" i="12"/>
  <c r="AO239" i="12"/>
  <c r="AP239" i="12"/>
  <c r="AQ239" i="12"/>
  <c r="AR239" i="12"/>
  <c r="AS239" i="12"/>
  <c r="AT239" i="12"/>
  <c r="AU239" i="12"/>
  <c r="AV239" i="12"/>
  <c r="AW239" i="12"/>
  <c r="AX239" i="12"/>
  <c r="AY239" i="12"/>
  <c r="AZ239" i="12"/>
  <c r="BA239" i="12"/>
  <c r="BB239" i="12"/>
  <c r="BC239" i="12"/>
  <c r="BD239" i="12"/>
  <c r="BE239" i="12"/>
  <c r="BF239" i="12"/>
  <c r="BG239" i="12"/>
  <c r="BH239" i="12"/>
  <c r="BI239" i="12"/>
  <c r="BJ239" i="12"/>
  <c r="BK239" i="12"/>
  <c r="BL239" i="12"/>
  <c r="BM239" i="12"/>
  <c r="BN239" i="12"/>
  <c r="BO239" i="12"/>
  <c r="BP239" i="12"/>
  <c r="BQ239" i="12"/>
  <c r="BR239" i="12"/>
  <c r="BS239" i="12"/>
  <c r="BT239" i="12"/>
  <c r="BU239" i="12"/>
  <c r="BV239" i="12"/>
  <c r="BW239" i="12"/>
  <c r="BX239" i="12"/>
  <c r="BY239" i="12"/>
  <c r="BZ239" i="12"/>
  <c r="CA239" i="12"/>
  <c r="CB239" i="12"/>
  <c r="CC239" i="12"/>
  <c r="CD239" i="12"/>
  <c r="CE239" i="12"/>
  <c r="CF239" i="12"/>
  <c r="CG239" i="12"/>
  <c r="CH239" i="12"/>
  <c r="CI239" i="12"/>
  <c r="CJ239" i="12"/>
  <c r="CK239" i="12"/>
  <c r="CL239" i="12"/>
  <c r="CM239" i="12"/>
  <c r="CN239" i="12"/>
  <c r="CO239" i="12"/>
  <c r="CP239" i="12"/>
  <c r="CQ239" i="12"/>
  <c r="CR239" i="12"/>
  <c r="CS239" i="12"/>
  <c r="CT239" i="12"/>
  <c r="CU239" i="12"/>
  <c r="CV239" i="12"/>
  <c r="CW239" i="12"/>
  <c r="CX239" i="12"/>
  <c r="CY239" i="12"/>
  <c r="CZ239" i="12"/>
  <c r="DA239" i="12"/>
  <c r="DB239" i="12"/>
  <c r="DC239" i="12"/>
  <c r="DD239" i="12"/>
  <c r="DE239" i="12"/>
  <c r="DF239" i="12"/>
  <c r="DG239" i="12"/>
  <c r="DH239" i="12"/>
  <c r="DI239" i="12"/>
  <c r="DJ239" i="12"/>
  <c r="DK239" i="12"/>
  <c r="DL239" i="12"/>
  <c r="DM239" i="12"/>
  <c r="DN239" i="12"/>
  <c r="DO239" i="12"/>
  <c r="DP239" i="12"/>
  <c r="DQ239" i="12"/>
  <c r="DR239" i="12"/>
  <c r="DS239" i="12"/>
  <c r="DT239" i="12"/>
  <c r="DU239" i="12"/>
  <c r="DV239" i="12"/>
  <c r="DW239" i="12"/>
  <c r="DX239" i="12"/>
  <c r="DY239" i="12"/>
  <c r="DZ239" i="12"/>
  <c r="EA239" i="12"/>
  <c r="EB239" i="12"/>
  <c r="EC239" i="12"/>
  <c r="ED239" i="12"/>
  <c r="EE239" i="12"/>
  <c r="EF239" i="12"/>
  <c r="EG239" i="12"/>
  <c r="EH239" i="12"/>
  <c r="EI239" i="12"/>
  <c r="EJ239" i="12"/>
  <c r="EK239" i="12"/>
  <c r="EL239" i="12"/>
  <c r="EM239" i="12"/>
  <c r="EN239" i="12"/>
  <c r="EO239" i="12"/>
  <c r="EP239" i="12"/>
  <c r="EQ239" i="12"/>
  <c r="ER239" i="12"/>
  <c r="ES239" i="12"/>
  <c r="ET239" i="12"/>
  <c r="EU239" i="12"/>
  <c r="EV239" i="12"/>
  <c r="EW239" i="12"/>
  <c r="EX239" i="12"/>
  <c r="EY239" i="12"/>
  <c r="EZ239" i="12"/>
  <c r="FA239" i="12"/>
  <c r="FB239" i="12"/>
  <c r="FC239" i="12"/>
  <c r="FD239" i="12"/>
  <c r="FE239" i="12"/>
  <c r="FF239" i="12"/>
  <c r="FG239" i="12"/>
  <c r="FH239" i="12"/>
  <c r="FI239" i="12"/>
  <c r="FJ239" i="12"/>
  <c r="FK239" i="12"/>
  <c r="FL239" i="12"/>
  <c r="FM239" i="12"/>
  <c r="FN239" i="12"/>
  <c r="FO239" i="12"/>
  <c r="FP239" i="12"/>
  <c r="FQ239" i="12"/>
  <c r="FR239" i="12"/>
  <c r="FS239" i="12"/>
  <c r="FT239" i="12"/>
  <c r="FU239" i="12"/>
  <c r="FV239" i="12"/>
  <c r="FW239" i="12"/>
  <c r="FX239" i="12"/>
  <c r="FY239" i="12"/>
  <c r="FZ239" i="12"/>
  <c r="GA239" i="12"/>
  <c r="GB239" i="12"/>
  <c r="GC239" i="12"/>
  <c r="GD239" i="12"/>
  <c r="GE239" i="12"/>
  <c r="GF239" i="12"/>
  <c r="GG239" i="12"/>
  <c r="GH239" i="12"/>
  <c r="GI239" i="12"/>
  <c r="GJ239" i="12"/>
  <c r="GK239" i="12"/>
  <c r="GL239" i="12"/>
  <c r="GM239" i="12"/>
  <c r="GN239" i="12"/>
  <c r="GO239" i="12"/>
  <c r="GP239" i="12"/>
  <c r="GQ239" i="12"/>
  <c r="GR239" i="12"/>
  <c r="GS239" i="12"/>
  <c r="GT239" i="12"/>
  <c r="GU239" i="12"/>
  <c r="GV239" i="12"/>
  <c r="GW239" i="12"/>
  <c r="GX239" i="12"/>
  <c r="GY239" i="12"/>
  <c r="GZ239" i="12"/>
  <c r="HA239" i="12"/>
  <c r="HB239" i="12"/>
  <c r="HC239" i="12"/>
  <c r="HD239" i="12"/>
  <c r="HE239" i="12"/>
  <c r="HF239" i="12"/>
  <c r="HG239" i="12"/>
  <c r="HH239" i="12"/>
  <c r="HI239" i="12"/>
  <c r="HJ239" i="12"/>
  <c r="HK239" i="12"/>
  <c r="HL239" i="12"/>
  <c r="HM239" i="12"/>
  <c r="HN239" i="12"/>
  <c r="HO239" i="12"/>
  <c r="HP239" i="12"/>
  <c r="HQ239" i="12"/>
  <c r="HR239" i="12"/>
  <c r="HS239" i="12"/>
  <c r="HT239" i="12"/>
  <c r="HU239" i="12"/>
  <c r="HV239" i="12"/>
  <c r="HW239" i="12"/>
  <c r="HX239" i="12"/>
  <c r="HY239" i="12"/>
  <c r="HZ239" i="12"/>
  <c r="IA239" i="12"/>
  <c r="IB239" i="12"/>
  <c r="IC239" i="12"/>
  <c r="ID239" i="12"/>
  <c r="IE239" i="12"/>
  <c r="IF239" i="12"/>
  <c r="IG239" i="12"/>
  <c r="IH239" i="12"/>
  <c r="II239" i="12"/>
  <c r="IJ239" i="12"/>
  <c r="IK239" i="12"/>
  <c r="IL239" i="12"/>
  <c r="IM239" i="12"/>
  <c r="IN239" i="12"/>
  <c r="IO239" i="12"/>
  <c r="IP239" i="12"/>
  <c r="IQ239" i="12"/>
  <c r="IR239" i="12"/>
  <c r="IS239" i="12"/>
  <c r="IT239" i="12"/>
  <c r="IU239" i="12"/>
  <c r="IV239" i="12"/>
  <c r="F240" i="12"/>
  <c r="G240" i="12"/>
  <c r="H240" i="12"/>
  <c r="I240" i="12"/>
  <c r="J240" i="12"/>
  <c r="K240" i="12"/>
  <c r="L240" i="12"/>
  <c r="M240" i="12"/>
  <c r="N240" i="12"/>
  <c r="O240" i="12"/>
  <c r="P240" i="12"/>
  <c r="Q240" i="12"/>
  <c r="R240" i="12"/>
  <c r="S240" i="12"/>
  <c r="T240" i="12"/>
  <c r="U240" i="12"/>
  <c r="V240" i="12"/>
  <c r="W240" i="12"/>
  <c r="X240" i="12"/>
  <c r="Y240" i="12"/>
  <c r="Z240" i="12"/>
  <c r="AA240" i="12"/>
  <c r="AB240" i="12"/>
  <c r="AC240" i="12"/>
  <c r="AD240" i="12"/>
  <c r="AE240" i="12"/>
  <c r="AF240" i="12"/>
  <c r="AG240" i="12"/>
  <c r="AH240" i="12"/>
  <c r="AI240" i="12"/>
  <c r="AJ240" i="12"/>
  <c r="AK240" i="12"/>
  <c r="AL240" i="12"/>
  <c r="AM240" i="12"/>
  <c r="AN240" i="12"/>
  <c r="AO240" i="12"/>
  <c r="AP240" i="12"/>
  <c r="AQ240" i="12"/>
  <c r="AR240" i="12"/>
  <c r="AS240" i="12"/>
  <c r="AT240" i="12"/>
  <c r="AU240" i="12"/>
  <c r="AV240" i="12"/>
  <c r="AW240" i="12"/>
  <c r="AX240" i="12"/>
  <c r="AY240" i="12"/>
  <c r="AZ240" i="12"/>
  <c r="BA240" i="12"/>
  <c r="BB240" i="12"/>
  <c r="BC240" i="12"/>
  <c r="BD240" i="12"/>
  <c r="BE240" i="12"/>
  <c r="BF240" i="12"/>
  <c r="BG240" i="12"/>
  <c r="BH240" i="12"/>
  <c r="BI240" i="12"/>
  <c r="BJ240" i="12"/>
  <c r="BK240" i="12"/>
  <c r="BL240" i="12"/>
  <c r="BM240" i="12"/>
  <c r="BN240" i="12"/>
  <c r="BO240" i="12"/>
  <c r="BP240" i="12"/>
  <c r="BQ240" i="12"/>
  <c r="BR240" i="12"/>
  <c r="BS240" i="12"/>
  <c r="BT240" i="12"/>
  <c r="BU240" i="12"/>
  <c r="BV240" i="12"/>
  <c r="BW240" i="12"/>
  <c r="BX240" i="12"/>
  <c r="BY240" i="12"/>
  <c r="BZ240" i="12"/>
  <c r="CA240" i="12"/>
  <c r="CB240" i="12"/>
  <c r="CC240" i="12"/>
  <c r="CD240" i="12"/>
  <c r="CE240" i="12"/>
  <c r="CF240" i="12"/>
  <c r="CG240" i="12"/>
  <c r="CH240" i="12"/>
  <c r="CI240" i="12"/>
  <c r="CJ240" i="12"/>
  <c r="CK240" i="12"/>
  <c r="CL240" i="12"/>
  <c r="CM240" i="12"/>
  <c r="CN240" i="12"/>
  <c r="CO240" i="12"/>
  <c r="CP240" i="12"/>
  <c r="CQ240" i="12"/>
  <c r="CR240" i="12"/>
  <c r="CS240" i="12"/>
  <c r="CT240" i="12"/>
  <c r="CU240" i="12"/>
  <c r="CV240" i="12"/>
  <c r="CW240" i="12"/>
  <c r="CX240" i="12"/>
  <c r="CY240" i="12"/>
  <c r="CZ240" i="12"/>
  <c r="DA240" i="12"/>
  <c r="DB240" i="12"/>
  <c r="DC240" i="12"/>
  <c r="DD240" i="12"/>
  <c r="DE240" i="12"/>
  <c r="DF240" i="12"/>
  <c r="DG240" i="12"/>
  <c r="DH240" i="12"/>
  <c r="DI240" i="12"/>
  <c r="DJ240" i="12"/>
  <c r="DK240" i="12"/>
  <c r="DL240" i="12"/>
  <c r="DM240" i="12"/>
  <c r="DN240" i="12"/>
  <c r="DO240" i="12"/>
  <c r="DP240" i="12"/>
  <c r="DQ240" i="12"/>
  <c r="DR240" i="12"/>
  <c r="DS240" i="12"/>
  <c r="DT240" i="12"/>
  <c r="DU240" i="12"/>
  <c r="DV240" i="12"/>
  <c r="DW240" i="12"/>
  <c r="DX240" i="12"/>
  <c r="DY240" i="12"/>
  <c r="DZ240" i="12"/>
  <c r="EA240" i="12"/>
  <c r="EB240" i="12"/>
  <c r="EC240" i="12"/>
  <c r="ED240" i="12"/>
  <c r="EE240" i="12"/>
  <c r="EF240" i="12"/>
  <c r="EG240" i="12"/>
  <c r="EH240" i="12"/>
  <c r="EI240" i="12"/>
  <c r="EJ240" i="12"/>
  <c r="EK240" i="12"/>
  <c r="EL240" i="12"/>
  <c r="EM240" i="12"/>
  <c r="EN240" i="12"/>
  <c r="EO240" i="12"/>
  <c r="EP240" i="12"/>
  <c r="EQ240" i="12"/>
  <c r="ER240" i="12"/>
  <c r="ES240" i="12"/>
  <c r="ET240" i="12"/>
  <c r="EU240" i="12"/>
  <c r="EV240" i="12"/>
  <c r="EW240" i="12"/>
  <c r="EX240" i="12"/>
  <c r="EY240" i="12"/>
  <c r="EZ240" i="12"/>
  <c r="FA240" i="12"/>
  <c r="FB240" i="12"/>
  <c r="FC240" i="12"/>
  <c r="FD240" i="12"/>
  <c r="FE240" i="12"/>
  <c r="FF240" i="12"/>
  <c r="FG240" i="12"/>
  <c r="FH240" i="12"/>
  <c r="FI240" i="12"/>
  <c r="FJ240" i="12"/>
  <c r="FK240" i="12"/>
  <c r="FL240" i="12"/>
  <c r="FM240" i="12"/>
  <c r="FN240" i="12"/>
  <c r="FO240" i="12"/>
  <c r="FP240" i="12"/>
  <c r="FQ240" i="12"/>
  <c r="FR240" i="12"/>
  <c r="FS240" i="12"/>
  <c r="FT240" i="12"/>
  <c r="FU240" i="12"/>
  <c r="FV240" i="12"/>
  <c r="FW240" i="12"/>
  <c r="FX240" i="12"/>
  <c r="FY240" i="12"/>
  <c r="FZ240" i="12"/>
  <c r="GA240" i="12"/>
  <c r="GB240" i="12"/>
  <c r="GC240" i="12"/>
  <c r="GD240" i="12"/>
  <c r="GE240" i="12"/>
  <c r="GF240" i="12"/>
  <c r="GG240" i="12"/>
  <c r="GH240" i="12"/>
  <c r="GI240" i="12"/>
  <c r="GJ240" i="12"/>
  <c r="GK240" i="12"/>
  <c r="GL240" i="12"/>
  <c r="GM240" i="12"/>
  <c r="GN240" i="12"/>
  <c r="GO240" i="12"/>
  <c r="GP240" i="12"/>
  <c r="GQ240" i="12"/>
  <c r="GR240" i="12"/>
  <c r="GS240" i="12"/>
  <c r="GT240" i="12"/>
  <c r="GU240" i="12"/>
  <c r="GV240" i="12"/>
  <c r="GW240" i="12"/>
  <c r="GX240" i="12"/>
  <c r="GY240" i="12"/>
  <c r="GZ240" i="12"/>
  <c r="HA240" i="12"/>
  <c r="HB240" i="12"/>
  <c r="HC240" i="12"/>
  <c r="HD240" i="12"/>
  <c r="HE240" i="12"/>
  <c r="HF240" i="12"/>
  <c r="HG240" i="12"/>
  <c r="HH240" i="12"/>
  <c r="HI240" i="12"/>
  <c r="HJ240" i="12"/>
  <c r="HK240" i="12"/>
  <c r="HL240" i="12"/>
  <c r="HM240" i="12"/>
  <c r="HN240" i="12"/>
  <c r="HO240" i="12"/>
  <c r="HP240" i="12"/>
  <c r="HQ240" i="12"/>
  <c r="HR240" i="12"/>
  <c r="HS240" i="12"/>
  <c r="HT240" i="12"/>
  <c r="HU240" i="12"/>
  <c r="HV240" i="12"/>
  <c r="HW240" i="12"/>
  <c r="HX240" i="12"/>
  <c r="HY240" i="12"/>
  <c r="HZ240" i="12"/>
  <c r="IA240" i="12"/>
  <c r="IB240" i="12"/>
  <c r="IC240" i="12"/>
  <c r="ID240" i="12"/>
  <c r="IE240" i="12"/>
  <c r="IF240" i="12"/>
  <c r="IG240" i="12"/>
  <c r="IH240" i="12"/>
  <c r="II240" i="12"/>
  <c r="IJ240" i="12"/>
  <c r="IK240" i="12"/>
  <c r="IL240" i="12"/>
  <c r="IM240" i="12"/>
  <c r="IN240" i="12"/>
  <c r="IO240" i="12"/>
  <c r="IP240" i="12"/>
  <c r="IQ240" i="12"/>
  <c r="IR240" i="12"/>
  <c r="IS240" i="12"/>
  <c r="IT240" i="12"/>
  <c r="IU240" i="12"/>
  <c r="IV240" i="12"/>
  <c r="F241" i="12"/>
  <c r="G241" i="12"/>
  <c r="H241" i="12"/>
  <c r="I241" i="12"/>
  <c r="J241" i="12"/>
  <c r="K241" i="12"/>
  <c r="L241" i="12"/>
  <c r="M241" i="12"/>
  <c r="N241" i="12"/>
  <c r="O241" i="12"/>
  <c r="P241" i="12"/>
  <c r="Q241" i="12"/>
  <c r="R241" i="12"/>
  <c r="S241" i="12"/>
  <c r="T241" i="12"/>
  <c r="U241" i="12"/>
  <c r="V241" i="12"/>
  <c r="W241" i="12"/>
  <c r="X241" i="12"/>
  <c r="Y241" i="12"/>
  <c r="Z241" i="12"/>
  <c r="AA241" i="12"/>
  <c r="AB241" i="12"/>
  <c r="AC241" i="12"/>
  <c r="AD241" i="12"/>
  <c r="AE241" i="12"/>
  <c r="AF241" i="12"/>
  <c r="AG241" i="12"/>
  <c r="AH241" i="12"/>
  <c r="AI241" i="12"/>
  <c r="AJ241" i="12"/>
  <c r="AK241" i="12"/>
  <c r="AL241" i="12"/>
  <c r="AM241" i="12"/>
  <c r="AN241" i="12"/>
  <c r="AO241" i="12"/>
  <c r="AP241" i="12"/>
  <c r="AQ241" i="12"/>
  <c r="AR241" i="12"/>
  <c r="AS241" i="12"/>
  <c r="AT241" i="12"/>
  <c r="AU241" i="12"/>
  <c r="AV241" i="12"/>
  <c r="AW241" i="12"/>
  <c r="AX241" i="12"/>
  <c r="AY241" i="12"/>
  <c r="AZ241" i="12"/>
  <c r="BA241" i="12"/>
  <c r="BB241" i="12"/>
  <c r="BC241" i="12"/>
  <c r="BD241" i="12"/>
  <c r="BE241" i="12"/>
  <c r="BF241" i="12"/>
  <c r="BG241" i="12"/>
  <c r="BH241" i="12"/>
  <c r="BI241" i="12"/>
  <c r="BJ241" i="12"/>
  <c r="BK241" i="12"/>
  <c r="BL241" i="12"/>
  <c r="BM241" i="12"/>
  <c r="BN241" i="12"/>
  <c r="BO241" i="12"/>
  <c r="BP241" i="12"/>
  <c r="BQ241" i="12"/>
  <c r="BR241" i="12"/>
  <c r="BS241" i="12"/>
  <c r="BT241" i="12"/>
  <c r="BU241" i="12"/>
  <c r="BV241" i="12"/>
  <c r="BW241" i="12"/>
  <c r="BX241" i="12"/>
  <c r="BY241" i="12"/>
  <c r="BZ241" i="12"/>
  <c r="CA241" i="12"/>
  <c r="CB241" i="12"/>
  <c r="CC241" i="12"/>
  <c r="CD241" i="12"/>
  <c r="CE241" i="12"/>
  <c r="CF241" i="12"/>
  <c r="CG241" i="12"/>
  <c r="CH241" i="12"/>
  <c r="CI241" i="12"/>
  <c r="CJ241" i="12"/>
  <c r="CK241" i="12"/>
  <c r="CL241" i="12"/>
  <c r="CM241" i="12"/>
  <c r="CN241" i="12"/>
  <c r="CO241" i="12"/>
  <c r="CP241" i="12"/>
  <c r="CQ241" i="12"/>
  <c r="CR241" i="12"/>
  <c r="CS241" i="12"/>
  <c r="CT241" i="12"/>
  <c r="CU241" i="12"/>
  <c r="CV241" i="12"/>
  <c r="CW241" i="12"/>
  <c r="CX241" i="12"/>
  <c r="CY241" i="12"/>
  <c r="CZ241" i="12"/>
  <c r="DA241" i="12"/>
  <c r="DB241" i="12"/>
  <c r="DC241" i="12"/>
  <c r="DD241" i="12"/>
  <c r="DE241" i="12"/>
  <c r="DF241" i="12"/>
  <c r="DG241" i="12"/>
  <c r="DH241" i="12"/>
  <c r="DI241" i="12"/>
  <c r="DJ241" i="12"/>
  <c r="DK241" i="12"/>
  <c r="DL241" i="12"/>
  <c r="DM241" i="12"/>
  <c r="DN241" i="12"/>
  <c r="DO241" i="12"/>
  <c r="DP241" i="12"/>
  <c r="DQ241" i="12"/>
  <c r="DR241" i="12"/>
  <c r="DS241" i="12"/>
  <c r="DT241" i="12"/>
  <c r="DU241" i="12"/>
  <c r="DV241" i="12"/>
  <c r="DW241" i="12"/>
  <c r="DX241" i="12"/>
  <c r="DY241" i="12"/>
  <c r="DZ241" i="12"/>
  <c r="EA241" i="12"/>
  <c r="EB241" i="12"/>
  <c r="EC241" i="12"/>
  <c r="ED241" i="12"/>
  <c r="EE241" i="12"/>
  <c r="EF241" i="12"/>
  <c r="EG241" i="12"/>
  <c r="EH241" i="12"/>
  <c r="EI241" i="12"/>
  <c r="EJ241" i="12"/>
  <c r="EK241" i="12"/>
  <c r="EL241" i="12"/>
  <c r="EM241" i="12"/>
  <c r="EN241" i="12"/>
  <c r="EO241" i="12"/>
  <c r="EP241" i="12"/>
  <c r="EQ241" i="12"/>
  <c r="ER241" i="12"/>
  <c r="ES241" i="12"/>
  <c r="ET241" i="12"/>
  <c r="EU241" i="12"/>
  <c r="EV241" i="12"/>
  <c r="EW241" i="12"/>
  <c r="EX241" i="12"/>
  <c r="EY241" i="12"/>
  <c r="EZ241" i="12"/>
  <c r="FA241" i="12"/>
  <c r="FB241" i="12"/>
  <c r="FC241" i="12"/>
  <c r="FD241" i="12"/>
  <c r="FE241" i="12"/>
  <c r="FF241" i="12"/>
  <c r="FG241" i="12"/>
  <c r="FH241" i="12"/>
  <c r="FI241" i="12"/>
  <c r="FJ241" i="12"/>
  <c r="FK241" i="12"/>
  <c r="FL241" i="12"/>
  <c r="FM241" i="12"/>
  <c r="FN241" i="12"/>
  <c r="FO241" i="12"/>
  <c r="FP241" i="12"/>
  <c r="FQ241" i="12"/>
  <c r="FR241" i="12"/>
  <c r="FS241" i="12"/>
  <c r="FT241" i="12"/>
  <c r="FU241" i="12"/>
  <c r="FV241" i="12"/>
  <c r="FW241" i="12"/>
  <c r="FX241" i="12"/>
  <c r="FY241" i="12"/>
  <c r="FZ241" i="12"/>
  <c r="GA241" i="12"/>
  <c r="GB241" i="12"/>
  <c r="GC241" i="12"/>
  <c r="GD241" i="12"/>
  <c r="GE241" i="12"/>
  <c r="GF241" i="12"/>
  <c r="GG241" i="12"/>
  <c r="GH241" i="12"/>
  <c r="GI241" i="12"/>
  <c r="GJ241" i="12"/>
  <c r="GK241" i="12"/>
  <c r="GL241" i="12"/>
  <c r="GM241" i="12"/>
  <c r="GN241" i="12"/>
  <c r="GO241" i="12"/>
  <c r="GP241" i="12"/>
  <c r="GQ241" i="12"/>
  <c r="GR241" i="12"/>
  <c r="GS241" i="12"/>
  <c r="GT241" i="12"/>
  <c r="GU241" i="12"/>
  <c r="GV241" i="12"/>
  <c r="GW241" i="12"/>
  <c r="GX241" i="12"/>
  <c r="GY241" i="12"/>
  <c r="GZ241" i="12"/>
  <c r="HA241" i="12"/>
  <c r="HB241" i="12"/>
  <c r="HC241" i="12"/>
  <c r="HD241" i="12"/>
  <c r="HE241" i="12"/>
  <c r="HF241" i="12"/>
  <c r="HG241" i="12"/>
  <c r="HH241" i="12"/>
  <c r="HI241" i="12"/>
  <c r="HJ241" i="12"/>
  <c r="HK241" i="12"/>
  <c r="HL241" i="12"/>
  <c r="HM241" i="12"/>
  <c r="HN241" i="12"/>
  <c r="HO241" i="12"/>
  <c r="HP241" i="12"/>
  <c r="HQ241" i="12"/>
  <c r="HR241" i="12"/>
  <c r="HS241" i="12"/>
  <c r="HT241" i="12"/>
  <c r="HU241" i="12"/>
  <c r="HV241" i="12"/>
  <c r="HW241" i="12"/>
  <c r="HX241" i="12"/>
  <c r="HY241" i="12"/>
  <c r="HZ241" i="12"/>
  <c r="IA241" i="12"/>
  <c r="IB241" i="12"/>
  <c r="IC241" i="12"/>
  <c r="ID241" i="12"/>
  <c r="IE241" i="12"/>
  <c r="IF241" i="12"/>
  <c r="IG241" i="12"/>
  <c r="IH241" i="12"/>
  <c r="II241" i="12"/>
  <c r="IJ241" i="12"/>
  <c r="IK241" i="12"/>
  <c r="IL241" i="12"/>
  <c r="IM241" i="12"/>
  <c r="IN241" i="12"/>
  <c r="IO241" i="12"/>
  <c r="IP241" i="12"/>
  <c r="IQ241" i="12"/>
  <c r="IR241" i="12"/>
  <c r="IS241" i="12"/>
  <c r="IT241" i="12"/>
  <c r="IU241" i="12"/>
  <c r="IV241" i="12"/>
  <c r="F242" i="12"/>
  <c r="G242" i="12"/>
  <c r="H242" i="12"/>
  <c r="I242" i="12"/>
  <c r="J242" i="12"/>
  <c r="K242" i="12"/>
  <c r="L242" i="12"/>
  <c r="M242" i="12"/>
  <c r="N242" i="12"/>
  <c r="O242" i="12"/>
  <c r="P242" i="12"/>
  <c r="Q242" i="12"/>
  <c r="R242" i="12"/>
  <c r="S242" i="12"/>
  <c r="T242" i="12"/>
  <c r="U242" i="12"/>
  <c r="V242" i="12"/>
  <c r="W242" i="12"/>
  <c r="X242" i="12"/>
  <c r="Y242" i="12"/>
  <c r="Z242" i="12"/>
  <c r="AA242" i="12"/>
  <c r="AB242" i="12"/>
  <c r="AC242" i="12"/>
  <c r="AD242" i="12"/>
  <c r="AE242" i="12"/>
  <c r="AF242" i="12"/>
  <c r="AG242" i="12"/>
  <c r="AH242" i="12"/>
  <c r="AI242" i="12"/>
  <c r="AJ242" i="12"/>
  <c r="AK242" i="12"/>
  <c r="AL242" i="12"/>
  <c r="AM242" i="12"/>
  <c r="AN242" i="12"/>
  <c r="AO242" i="12"/>
  <c r="AP242" i="12"/>
  <c r="AQ242" i="12"/>
  <c r="AR242" i="12"/>
  <c r="AS242" i="12"/>
  <c r="AT242" i="12"/>
  <c r="AU242" i="12"/>
  <c r="AV242" i="12"/>
  <c r="AW242" i="12"/>
  <c r="AX242" i="12"/>
  <c r="AY242" i="12"/>
  <c r="AZ242" i="12"/>
  <c r="BA242" i="12"/>
  <c r="BB242" i="12"/>
  <c r="BC242" i="12"/>
  <c r="BD242" i="12"/>
  <c r="BE242" i="12"/>
  <c r="BF242" i="12"/>
  <c r="BG242" i="12"/>
  <c r="BH242" i="12"/>
  <c r="BI242" i="12"/>
  <c r="BJ242" i="12"/>
  <c r="BK242" i="12"/>
  <c r="BL242" i="12"/>
  <c r="BM242" i="12"/>
  <c r="BN242" i="12"/>
  <c r="BO242" i="12"/>
  <c r="BP242" i="12"/>
  <c r="BQ242" i="12"/>
  <c r="BR242" i="12"/>
  <c r="BS242" i="12"/>
  <c r="BT242" i="12"/>
  <c r="BU242" i="12"/>
  <c r="BV242" i="12"/>
  <c r="BW242" i="12"/>
  <c r="BX242" i="12"/>
  <c r="BY242" i="12"/>
  <c r="BZ242" i="12"/>
  <c r="CA242" i="12"/>
  <c r="CB242" i="12"/>
  <c r="CC242" i="12"/>
  <c r="CD242" i="12"/>
  <c r="CE242" i="12"/>
  <c r="CF242" i="12"/>
  <c r="CG242" i="12"/>
  <c r="CH242" i="12"/>
  <c r="CI242" i="12"/>
  <c r="CJ242" i="12"/>
  <c r="CK242" i="12"/>
  <c r="CL242" i="12"/>
  <c r="CM242" i="12"/>
  <c r="CN242" i="12"/>
  <c r="CO242" i="12"/>
  <c r="CP242" i="12"/>
  <c r="CQ242" i="12"/>
  <c r="CR242" i="12"/>
  <c r="CS242" i="12"/>
  <c r="CT242" i="12"/>
  <c r="CU242" i="12"/>
  <c r="CV242" i="12"/>
  <c r="CW242" i="12"/>
  <c r="CX242" i="12"/>
  <c r="CY242" i="12"/>
  <c r="CZ242" i="12"/>
  <c r="DA242" i="12"/>
  <c r="DB242" i="12"/>
  <c r="DC242" i="12"/>
  <c r="DD242" i="12"/>
  <c r="DE242" i="12"/>
  <c r="DF242" i="12"/>
  <c r="DG242" i="12"/>
  <c r="DH242" i="12"/>
  <c r="DI242" i="12"/>
  <c r="DJ242" i="12"/>
  <c r="DK242" i="12"/>
  <c r="DL242" i="12"/>
  <c r="DM242" i="12"/>
  <c r="DN242" i="12"/>
  <c r="DO242" i="12"/>
  <c r="DP242" i="12"/>
  <c r="DQ242" i="12"/>
  <c r="DR242" i="12"/>
  <c r="DS242" i="12"/>
  <c r="DT242" i="12"/>
  <c r="DU242" i="12"/>
  <c r="DV242" i="12"/>
  <c r="DW242" i="12"/>
  <c r="DX242" i="12"/>
  <c r="DY242" i="12"/>
  <c r="DZ242" i="12"/>
  <c r="EA242" i="12"/>
  <c r="EB242" i="12"/>
  <c r="EC242" i="12"/>
  <c r="ED242" i="12"/>
  <c r="EE242" i="12"/>
  <c r="EF242" i="12"/>
  <c r="EG242" i="12"/>
  <c r="EH242" i="12"/>
  <c r="EI242" i="12"/>
  <c r="EJ242" i="12"/>
  <c r="EK242" i="12"/>
  <c r="EL242" i="12"/>
  <c r="EM242" i="12"/>
  <c r="EN242" i="12"/>
  <c r="EO242" i="12"/>
  <c r="EP242" i="12"/>
  <c r="EQ242" i="12"/>
  <c r="ER242" i="12"/>
  <c r="ES242" i="12"/>
  <c r="ET242" i="12"/>
  <c r="EU242" i="12"/>
  <c r="EV242" i="12"/>
  <c r="EW242" i="12"/>
  <c r="EX242" i="12"/>
  <c r="EY242" i="12"/>
  <c r="EZ242" i="12"/>
  <c r="FA242" i="12"/>
  <c r="FB242" i="12"/>
  <c r="FC242" i="12"/>
  <c r="FD242" i="12"/>
  <c r="FE242" i="12"/>
  <c r="FF242" i="12"/>
  <c r="FG242" i="12"/>
  <c r="FH242" i="12"/>
  <c r="FI242" i="12"/>
  <c r="FJ242" i="12"/>
  <c r="FK242" i="12"/>
  <c r="FL242" i="12"/>
  <c r="FM242" i="12"/>
  <c r="FN242" i="12"/>
  <c r="FO242" i="12"/>
  <c r="FP242" i="12"/>
  <c r="FQ242" i="12"/>
  <c r="FR242" i="12"/>
  <c r="FS242" i="12"/>
  <c r="FT242" i="12"/>
  <c r="FU242" i="12"/>
  <c r="FV242" i="12"/>
  <c r="FW242" i="12"/>
  <c r="FX242" i="12"/>
  <c r="FY242" i="12"/>
  <c r="FZ242" i="12"/>
  <c r="GA242" i="12"/>
  <c r="GB242" i="12"/>
  <c r="GC242" i="12"/>
  <c r="GD242" i="12"/>
  <c r="GE242" i="12"/>
  <c r="GF242" i="12"/>
  <c r="GG242" i="12"/>
  <c r="GH242" i="12"/>
  <c r="GI242" i="12"/>
  <c r="GJ242" i="12"/>
  <c r="GK242" i="12"/>
  <c r="GL242" i="12"/>
  <c r="GM242" i="12"/>
  <c r="GN242" i="12"/>
  <c r="GO242" i="12"/>
  <c r="GP242" i="12"/>
  <c r="GQ242" i="12"/>
  <c r="GR242" i="12"/>
  <c r="GS242" i="12"/>
  <c r="GT242" i="12"/>
  <c r="GU242" i="12"/>
  <c r="GV242" i="12"/>
  <c r="GW242" i="12"/>
  <c r="GX242" i="12"/>
  <c r="GY242" i="12"/>
  <c r="GZ242" i="12"/>
  <c r="HA242" i="12"/>
  <c r="HB242" i="12"/>
  <c r="HC242" i="12"/>
  <c r="HD242" i="12"/>
  <c r="HE242" i="12"/>
  <c r="HF242" i="12"/>
  <c r="HG242" i="12"/>
  <c r="HH242" i="12"/>
  <c r="HI242" i="12"/>
  <c r="HJ242" i="12"/>
  <c r="HK242" i="12"/>
  <c r="HL242" i="12"/>
  <c r="HM242" i="12"/>
  <c r="HN242" i="12"/>
  <c r="HO242" i="12"/>
  <c r="HP242" i="12"/>
  <c r="HQ242" i="12"/>
  <c r="HR242" i="12"/>
  <c r="HS242" i="12"/>
  <c r="HT242" i="12"/>
  <c r="HU242" i="12"/>
  <c r="HV242" i="12"/>
  <c r="HW242" i="12"/>
  <c r="HX242" i="12"/>
  <c r="HY242" i="12"/>
  <c r="HZ242" i="12"/>
  <c r="IA242" i="12"/>
  <c r="IB242" i="12"/>
  <c r="IC242" i="12"/>
  <c r="ID242" i="12"/>
  <c r="IE242" i="12"/>
  <c r="IF242" i="12"/>
  <c r="IG242" i="12"/>
  <c r="IH242" i="12"/>
  <c r="II242" i="12"/>
  <c r="IJ242" i="12"/>
  <c r="IK242" i="12"/>
  <c r="IL242" i="12"/>
  <c r="IM242" i="12"/>
  <c r="IN242" i="12"/>
  <c r="IO242" i="12"/>
  <c r="IP242" i="12"/>
  <c r="IQ242" i="12"/>
  <c r="IR242" i="12"/>
  <c r="IS242" i="12"/>
  <c r="IT242" i="12"/>
  <c r="IU242" i="12"/>
  <c r="IV242" i="12"/>
  <c r="F243" i="12"/>
  <c r="G243" i="12"/>
  <c r="H243" i="12"/>
  <c r="I243" i="12"/>
  <c r="J243" i="12"/>
  <c r="K243" i="12"/>
  <c r="L243" i="12"/>
  <c r="M243" i="12"/>
  <c r="N243" i="12"/>
  <c r="O243" i="12"/>
  <c r="P243" i="12"/>
  <c r="Q243" i="12"/>
  <c r="R243" i="12"/>
  <c r="S243" i="12"/>
  <c r="T243" i="12"/>
  <c r="U243" i="12"/>
  <c r="V243" i="12"/>
  <c r="W243" i="12"/>
  <c r="X243" i="12"/>
  <c r="Y243" i="12"/>
  <c r="Z243" i="12"/>
  <c r="AA243" i="12"/>
  <c r="AB243" i="12"/>
  <c r="AC243" i="12"/>
  <c r="AD243" i="12"/>
  <c r="AE243" i="12"/>
  <c r="AF243" i="12"/>
  <c r="AG243" i="12"/>
  <c r="AH243" i="12"/>
  <c r="AI243" i="12"/>
  <c r="AJ243" i="12"/>
  <c r="AK243" i="12"/>
  <c r="AL243" i="12"/>
  <c r="AM243" i="12"/>
  <c r="AN243" i="12"/>
  <c r="AO243" i="12"/>
  <c r="AP243" i="12"/>
  <c r="AQ243" i="12"/>
  <c r="AR243" i="12"/>
  <c r="AS243" i="12"/>
  <c r="AT243" i="12"/>
  <c r="AU243" i="12"/>
  <c r="AV243" i="12"/>
  <c r="AW243" i="12"/>
  <c r="AX243" i="12"/>
  <c r="AY243" i="12"/>
  <c r="AZ243" i="12"/>
  <c r="BA243" i="12"/>
  <c r="BB243" i="12"/>
  <c r="BC243" i="12"/>
  <c r="BD243" i="12"/>
  <c r="BE243" i="12"/>
  <c r="BF243" i="12"/>
  <c r="BG243" i="12"/>
  <c r="BH243" i="12"/>
  <c r="BI243" i="12"/>
  <c r="BJ243" i="12"/>
  <c r="BK243" i="12"/>
  <c r="BL243" i="12"/>
  <c r="BM243" i="12"/>
  <c r="BN243" i="12"/>
  <c r="BO243" i="12"/>
  <c r="BP243" i="12"/>
  <c r="BQ243" i="12"/>
  <c r="BR243" i="12"/>
  <c r="BS243" i="12"/>
  <c r="BT243" i="12"/>
  <c r="BU243" i="12"/>
  <c r="BV243" i="12"/>
  <c r="BW243" i="12"/>
  <c r="BX243" i="12"/>
  <c r="BY243" i="12"/>
  <c r="BZ243" i="12"/>
  <c r="CA243" i="12"/>
  <c r="CB243" i="12"/>
  <c r="CC243" i="12"/>
  <c r="CD243" i="12"/>
  <c r="CE243" i="12"/>
  <c r="CF243" i="12"/>
  <c r="CG243" i="12"/>
  <c r="CH243" i="12"/>
  <c r="CI243" i="12"/>
  <c r="CJ243" i="12"/>
  <c r="CK243" i="12"/>
  <c r="CL243" i="12"/>
  <c r="CM243" i="12"/>
  <c r="CN243" i="12"/>
  <c r="CO243" i="12"/>
  <c r="CP243" i="12"/>
  <c r="CQ243" i="12"/>
  <c r="CR243" i="12"/>
  <c r="CS243" i="12"/>
  <c r="CT243" i="12"/>
  <c r="CU243" i="12"/>
  <c r="CV243" i="12"/>
  <c r="CW243" i="12"/>
  <c r="CX243" i="12"/>
  <c r="CY243" i="12"/>
  <c r="CZ243" i="12"/>
  <c r="DA243" i="12"/>
  <c r="DB243" i="12"/>
  <c r="DC243" i="12"/>
  <c r="DD243" i="12"/>
  <c r="DE243" i="12"/>
  <c r="DF243" i="12"/>
  <c r="DG243" i="12"/>
  <c r="DH243" i="12"/>
  <c r="DI243" i="12"/>
  <c r="DJ243" i="12"/>
  <c r="DK243" i="12"/>
  <c r="DL243" i="12"/>
  <c r="DM243" i="12"/>
  <c r="DN243" i="12"/>
  <c r="DO243" i="12"/>
  <c r="DP243" i="12"/>
  <c r="DQ243" i="12"/>
  <c r="DR243" i="12"/>
  <c r="DS243" i="12"/>
  <c r="DT243" i="12"/>
  <c r="DU243" i="12"/>
  <c r="DV243" i="12"/>
  <c r="DW243" i="12"/>
  <c r="DX243" i="12"/>
  <c r="DY243" i="12"/>
  <c r="DZ243" i="12"/>
  <c r="EA243" i="12"/>
  <c r="EB243" i="12"/>
  <c r="EC243" i="12"/>
  <c r="ED243" i="12"/>
  <c r="EE243" i="12"/>
  <c r="EF243" i="12"/>
  <c r="EG243" i="12"/>
  <c r="EH243" i="12"/>
  <c r="EI243" i="12"/>
  <c r="EJ243" i="12"/>
  <c r="EK243" i="12"/>
  <c r="EL243" i="12"/>
  <c r="EM243" i="12"/>
  <c r="EN243" i="12"/>
  <c r="EO243" i="12"/>
  <c r="EP243" i="12"/>
  <c r="EQ243" i="12"/>
  <c r="ER243" i="12"/>
  <c r="ES243" i="12"/>
  <c r="ET243" i="12"/>
  <c r="EU243" i="12"/>
  <c r="EV243" i="12"/>
  <c r="EW243" i="12"/>
  <c r="EX243" i="12"/>
  <c r="EY243" i="12"/>
  <c r="EZ243" i="12"/>
  <c r="FA243" i="12"/>
  <c r="FB243" i="12"/>
  <c r="FC243" i="12"/>
  <c r="FD243" i="12"/>
  <c r="FE243" i="12"/>
  <c r="FF243" i="12"/>
  <c r="FG243" i="12"/>
  <c r="FH243" i="12"/>
  <c r="FI243" i="12"/>
  <c r="FJ243" i="12"/>
  <c r="FK243" i="12"/>
  <c r="FL243" i="12"/>
  <c r="FM243" i="12"/>
  <c r="FN243" i="12"/>
  <c r="FO243" i="12"/>
  <c r="FP243" i="12"/>
  <c r="FQ243" i="12"/>
  <c r="FR243" i="12"/>
  <c r="FS243" i="12"/>
  <c r="FT243" i="12"/>
  <c r="FU243" i="12"/>
  <c r="FV243" i="12"/>
  <c r="FW243" i="12"/>
  <c r="FX243" i="12"/>
  <c r="FY243" i="12"/>
  <c r="FZ243" i="12"/>
  <c r="GA243" i="12"/>
  <c r="GB243" i="12"/>
  <c r="GC243" i="12"/>
  <c r="GD243" i="12"/>
  <c r="GE243" i="12"/>
  <c r="GF243" i="12"/>
  <c r="GG243" i="12"/>
  <c r="GH243" i="12"/>
  <c r="GI243" i="12"/>
  <c r="GJ243" i="12"/>
  <c r="GK243" i="12"/>
  <c r="GL243" i="12"/>
  <c r="GM243" i="12"/>
  <c r="GN243" i="12"/>
  <c r="GO243" i="12"/>
  <c r="GP243" i="12"/>
  <c r="GQ243" i="12"/>
  <c r="GR243" i="12"/>
  <c r="GS243" i="12"/>
  <c r="GT243" i="12"/>
  <c r="GU243" i="12"/>
  <c r="GV243" i="12"/>
  <c r="GW243" i="12"/>
  <c r="GX243" i="12"/>
  <c r="GY243" i="12"/>
  <c r="GZ243" i="12"/>
  <c r="HA243" i="12"/>
  <c r="HB243" i="12"/>
  <c r="HC243" i="12"/>
  <c r="HD243" i="12"/>
  <c r="HE243" i="12"/>
  <c r="HF243" i="12"/>
  <c r="HG243" i="12"/>
  <c r="HH243" i="12"/>
  <c r="HI243" i="12"/>
  <c r="HJ243" i="12"/>
  <c r="HK243" i="12"/>
  <c r="HL243" i="12"/>
  <c r="HM243" i="12"/>
  <c r="HN243" i="12"/>
  <c r="HO243" i="12"/>
  <c r="HP243" i="12"/>
  <c r="HQ243" i="12"/>
  <c r="HR243" i="12"/>
  <c r="HS243" i="12"/>
  <c r="HT243" i="12"/>
  <c r="HU243" i="12"/>
  <c r="HV243" i="12"/>
  <c r="HW243" i="12"/>
  <c r="HX243" i="12"/>
  <c r="HY243" i="12"/>
  <c r="HZ243" i="12"/>
  <c r="IA243" i="12"/>
  <c r="IB243" i="12"/>
  <c r="IC243" i="12"/>
  <c r="ID243" i="12"/>
  <c r="IE243" i="12"/>
  <c r="IF243" i="12"/>
  <c r="IG243" i="12"/>
  <c r="IH243" i="12"/>
  <c r="II243" i="12"/>
  <c r="IJ243" i="12"/>
  <c r="IK243" i="12"/>
  <c r="IL243" i="12"/>
  <c r="IM243" i="12"/>
  <c r="IN243" i="12"/>
  <c r="IO243" i="12"/>
  <c r="IP243" i="12"/>
  <c r="IQ243" i="12"/>
  <c r="IR243" i="12"/>
  <c r="IS243" i="12"/>
  <c r="IT243" i="12"/>
  <c r="IU243" i="12"/>
  <c r="IV243" i="12"/>
  <c r="F244" i="12"/>
  <c r="G244" i="12"/>
  <c r="H244" i="12"/>
  <c r="I244" i="12"/>
  <c r="J244" i="12"/>
  <c r="K244" i="12"/>
  <c r="L244" i="12"/>
  <c r="M244" i="12"/>
  <c r="N244" i="12"/>
  <c r="O244" i="12"/>
  <c r="P244" i="12"/>
  <c r="Q244" i="12"/>
  <c r="R244" i="12"/>
  <c r="S244" i="12"/>
  <c r="T244" i="12"/>
  <c r="U244" i="12"/>
  <c r="V244" i="12"/>
  <c r="W244" i="12"/>
  <c r="X244" i="12"/>
  <c r="Y244" i="12"/>
  <c r="Z244" i="12"/>
  <c r="AA244" i="12"/>
  <c r="AB244" i="12"/>
  <c r="AC244" i="12"/>
  <c r="AD244" i="12"/>
  <c r="AE244" i="12"/>
  <c r="AF244" i="12"/>
  <c r="AG244" i="12"/>
  <c r="AH244" i="12"/>
  <c r="AI244" i="12"/>
  <c r="AJ244" i="12"/>
  <c r="AK244" i="12"/>
  <c r="AL244" i="12"/>
  <c r="AM244" i="12"/>
  <c r="AN244" i="12"/>
  <c r="AO244" i="12"/>
  <c r="AP244" i="12"/>
  <c r="AQ244" i="12"/>
  <c r="AR244" i="12"/>
  <c r="AS244" i="12"/>
  <c r="AT244" i="12"/>
  <c r="AU244" i="12"/>
  <c r="AV244" i="12"/>
  <c r="AW244" i="12"/>
  <c r="AX244" i="12"/>
  <c r="AY244" i="12"/>
  <c r="AZ244" i="12"/>
  <c r="BA244" i="12"/>
  <c r="BB244" i="12"/>
  <c r="BC244" i="12"/>
  <c r="BD244" i="12"/>
  <c r="BE244" i="12"/>
  <c r="BF244" i="12"/>
  <c r="BG244" i="12"/>
  <c r="BH244" i="12"/>
  <c r="BI244" i="12"/>
  <c r="BJ244" i="12"/>
  <c r="BK244" i="12"/>
  <c r="BL244" i="12"/>
  <c r="BM244" i="12"/>
  <c r="BN244" i="12"/>
  <c r="BO244" i="12"/>
  <c r="BP244" i="12"/>
  <c r="BQ244" i="12"/>
  <c r="BR244" i="12"/>
  <c r="BS244" i="12"/>
  <c r="BT244" i="12"/>
  <c r="BU244" i="12"/>
  <c r="BV244" i="12"/>
  <c r="BW244" i="12"/>
  <c r="BX244" i="12"/>
  <c r="BY244" i="12"/>
  <c r="BZ244" i="12"/>
  <c r="CA244" i="12"/>
  <c r="CB244" i="12"/>
  <c r="CC244" i="12"/>
  <c r="CD244" i="12"/>
  <c r="CE244" i="12"/>
  <c r="CF244" i="12"/>
  <c r="CG244" i="12"/>
  <c r="CH244" i="12"/>
  <c r="CI244" i="12"/>
  <c r="CJ244" i="12"/>
  <c r="CK244" i="12"/>
  <c r="CL244" i="12"/>
  <c r="CM244" i="12"/>
  <c r="CN244" i="12"/>
  <c r="CO244" i="12"/>
  <c r="CP244" i="12"/>
  <c r="CQ244" i="12"/>
  <c r="CR244" i="12"/>
  <c r="CS244" i="12"/>
  <c r="CT244" i="12"/>
  <c r="CU244" i="12"/>
  <c r="CV244" i="12"/>
  <c r="CW244" i="12"/>
  <c r="CX244" i="12"/>
  <c r="CY244" i="12"/>
  <c r="CZ244" i="12"/>
  <c r="DA244" i="12"/>
  <c r="DB244" i="12"/>
  <c r="DC244" i="12"/>
  <c r="DD244" i="12"/>
  <c r="DE244" i="12"/>
  <c r="DF244" i="12"/>
  <c r="DG244" i="12"/>
  <c r="DH244" i="12"/>
  <c r="DI244" i="12"/>
  <c r="DJ244" i="12"/>
  <c r="DK244" i="12"/>
  <c r="DL244" i="12"/>
  <c r="DM244" i="12"/>
  <c r="DN244" i="12"/>
  <c r="DO244" i="12"/>
  <c r="DP244" i="12"/>
  <c r="DQ244" i="12"/>
  <c r="DR244" i="12"/>
  <c r="DS244" i="12"/>
  <c r="DT244" i="12"/>
  <c r="DU244" i="12"/>
  <c r="DV244" i="12"/>
  <c r="DW244" i="12"/>
  <c r="DX244" i="12"/>
  <c r="DY244" i="12"/>
  <c r="DZ244" i="12"/>
  <c r="EA244" i="12"/>
  <c r="EB244" i="12"/>
  <c r="EC244" i="12"/>
  <c r="ED244" i="12"/>
  <c r="EE244" i="12"/>
  <c r="EF244" i="12"/>
  <c r="EG244" i="12"/>
  <c r="EH244" i="12"/>
  <c r="EI244" i="12"/>
  <c r="EJ244" i="12"/>
  <c r="EK244" i="12"/>
  <c r="EL244" i="12"/>
  <c r="EM244" i="12"/>
  <c r="EN244" i="12"/>
  <c r="EO244" i="12"/>
  <c r="EP244" i="12"/>
  <c r="EQ244" i="12"/>
  <c r="ER244" i="12"/>
  <c r="ES244" i="12"/>
  <c r="ET244" i="12"/>
  <c r="EU244" i="12"/>
  <c r="EV244" i="12"/>
  <c r="EW244" i="12"/>
  <c r="EX244" i="12"/>
  <c r="EY244" i="12"/>
  <c r="EZ244" i="12"/>
  <c r="FA244" i="12"/>
  <c r="FB244" i="12"/>
  <c r="FC244" i="12"/>
  <c r="FD244" i="12"/>
  <c r="FE244" i="12"/>
  <c r="FF244" i="12"/>
  <c r="FG244" i="12"/>
  <c r="FH244" i="12"/>
  <c r="FI244" i="12"/>
  <c r="FJ244" i="12"/>
  <c r="FK244" i="12"/>
  <c r="FL244" i="12"/>
  <c r="FM244" i="12"/>
  <c r="FN244" i="12"/>
  <c r="FO244" i="12"/>
  <c r="FP244" i="12"/>
  <c r="FQ244" i="12"/>
  <c r="FR244" i="12"/>
  <c r="FS244" i="12"/>
  <c r="FT244" i="12"/>
  <c r="FU244" i="12"/>
  <c r="FV244" i="12"/>
  <c r="FW244" i="12"/>
  <c r="FX244" i="12"/>
  <c r="FY244" i="12"/>
  <c r="FZ244" i="12"/>
  <c r="GA244" i="12"/>
  <c r="GB244" i="12"/>
  <c r="GC244" i="12"/>
  <c r="GD244" i="12"/>
  <c r="GE244" i="12"/>
  <c r="GF244" i="12"/>
  <c r="GG244" i="12"/>
  <c r="GH244" i="12"/>
  <c r="GI244" i="12"/>
  <c r="GJ244" i="12"/>
  <c r="GK244" i="12"/>
  <c r="GL244" i="12"/>
  <c r="GM244" i="12"/>
  <c r="GN244" i="12"/>
  <c r="GO244" i="12"/>
  <c r="GP244" i="12"/>
  <c r="GQ244" i="12"/>
  <c r="GR244" i="12"/>
  <c r="GS244" i="12"/>
  <c r="GT244" i="12"/>
  <c r="GU244" i="12"/>
  <c r="GV244" i="12"/>
  <c r="GW244" i="12"/>
  <c r="GX244" i="12"/>
  <c r="GY244" i="12"/>
  <c r="GZ244" i="12"/>
  <c r="HA244" i="12"/>
  <c r="HB244" i="12"/>
  <c r="HC244" i="12"/>
  <c r="HD244" i="12"/>
  <c r="HE244" i="12"/>
  <c r="HF244" i="12"/>
  <c r="HG244" i="12"/>
  <c r="HH244" i="12"/>
  <c r="HI244" i="12"/>
  <c r="HJ244" i="12"/>
  <c r="HK244" i="12"/>
  <c r="HL244" i="12"/>
  <c r="HM244" i="12"/>
  <c r="HN244" i="12"/>
  <c r="HO244" i="12"/>
  <c r="HP244" i="12"/>
  <c r="HQ244" i="12"/>
  <c r="HR244" i="12"/>
  <c r="HS244" i="12"/>
  <c r="HT244" i="12"/>
  <c r="HU244" i="12"/>
  <c r="HV244" i="12"/>
  <c r="HW244" i="12"/>
  <c r="HX244" i="12"/>
  <c r="HY244" i="12"/>
  <c r="HZ244" i="12"/>
  <c r="IA244" i="12"/>
  <c r="IB244" i="12"/>
  <c r="IC244" i="12"/>
  <c r="ID244" i="12"/>
  <c r="IE244" i="12"/>
  <c r="IF244" i="12"/>
  <c r="IG244" i="12"/>
  <c r="IH244" i="12"/>
  <c r="II244" i="12"/>
  <c r="IJ244" i="12"/>
  <c r="IK244" i="12"/>
  <c r="IL244" i="12"/>
  <c r="IM244" i="12"/>
  <c r="IN244" i="12"/>
  <c r="IO244" i="12"/>
  <c r="IP244" i="12"/>
  <c r="IQ244" i="12"/>
  <c r="IR244" i="12"/>
  <c r="IS244" i="12"/>
  <c r="IT244" i="12"/>
  <c r="IU244" i="12"/>
  <c r="IV244" i="12"/>
  <c r="F245" i="12"/>
  <c r="G245" i="12"/>
  <c r="H245" i="12"/>
  <c r="I245" i="12"/>
  <c r="J245" i="12"/>
  <c r="K245" i="12"/>
  <c r="L245" i="12"/>
  <c r="M245" i="12"/>
  <c r="N245" i="12"/>
  <c r="O245" i="12"/>
  <c r="P245" i="12"/>
  <c r="Q245" i="12"/>
  <c r="R245" i="12"/>
  <c r="S245" i="12"/>
  <c r="T245" i="12"/>
  <c r="U245" i="12"/>
  <c r="V245" i="12"/>
  <c r="W245" i="12"/>
  <c r="X245" i="12"/>
  <c r="Y245" i="12"/>
  <c r="Z245" i="12"/>
  <c r="AA245" i="12"/>
  <c r="AB245" i="12"/>
  <c r="AC245" i="12"/>
  <c r="AD245" i="12"/>
  <c r="AE245" i="12"/>
  <c r="AF245" i="12"/>
  <c r="AG245" i="12"/>
  <c r="AH245" i="12"/>
  <c r="AI245" i="12"/>
  <c r="AJ245" i="12"/>
  <c r="AK245" i="12"/>
  <c r="AL245" i="12"/>
  <c r="AM245" i="12"/>
  <c r="AN245" i="12"/>
  <c r="AO245" i="12"/>
  <c r="AP245" i="12"/>
  <c r="AQ245" i="12"/>
  <c r="AR245" i="12"/>
  <c r="AS245" i="12"/>
  <c r="AT245" i="12"/>
  <c r="AU245" i="12"/>
  <c r="AV245" i="12"/>
  <c r="AW245" i="12"/>
  <c r="AX245" i="12"/>
  <c r="AY245" i="12"/>
  <c r="AZ245" i="12"/>
  <c r="BA245" i="12"/>
  <c r="BB245" i="12"/>
  <c r="BC245" i="12"/>
  <c r="BD245" i="12"/>
  <c r="BE245" i="12"/>
  <c r="BF245" i="12"/>
  <c r="BG245" i="12"/>
  <c r="BH245" i="12"/>
  <c r="BI245" i="12"/>
  <c r="BJ245" i="12"/>
  <c r="BK245" i="12"/>
  <c r="BL245" i="12"/>
  <c r="BM245" i="12"/>
  <c r="BN245" i="12"/>
  <c r="BO245" i="12"/>
  <c r="BP245" i="12"/>
  <c r="BQ245" i="12"/>
  <c r="BR245" i="12"/>
  <c r="BS245" i="12"/>
  <c r="BT245" i="12"/>
  <c r="BU245" i="12"/>
  <c r="BV245" i="12"/>
  <c r="BW245" i="12"/>
  <c r="BX245" i="12"/>
  <c r="BY245" i="12"/>
  <c r="BZ245" i="12"/>
  <c r="CA245" i="12"/>
  <c r="CB245" i="12"/>
  <c r="CC245" i="12"/>
  <c r="CD245" i="12"/>
  <c r="CE245" i="12"/>
  <c r="CF245" i="12"/>
  <c r="CG245" i="12"/>
  <c r="CH245" i="12"/>
  <c r="CI245" i="12"/>
  <c r="CJ245" i="12"/>
  <c r="CK245" i="12"/>
  <c r="CL245" i="12"/>
  <c r="CM245" i="12"/>
  <c r="CN245" i="12"/>
  <c r="CO245" i="12"/>
  <c r="CP245" i="12"/>
  <c r="CQ245" i="12"/>
  <c r="CR245" i="12"/>
  <c r="CS245" i="12"/>
  <c r="CT245" i="12"/>
  <c r="CU245" i="12"/>
  <c r="CV245" i="12"/>
  <c r="CW245" i="12"/>
  <c r="CX245" i="12"/>
  <c r="CY245" i="12"/>
  <c r="CZ245" i="12"/>
  <c r="DA245" i="12"/>
  <c r="DB245" i="12"/>
  <c r="DC245" i="12"/>
  <c r="DD245" i="12"/>
  <c r="DE245" i="12"/>
  <c r="DF245" i="12"/>
  <c r="DG245" i="12"/>
  <c r="DH245" i="12"/>
  <c r="DI245" i="12"/>
  <c r="DJ245" i="12"/>
  <c r="DK245" i="12"/>
  <c r="DL245" i="12"/>
  <c r="DM245" i="12"/>
  <c r="DN245" i="12"/>
  <c r="DO245" i="12"/>
  <c r="DP245" i="12"/>
  <c r="DQ245" i="12"/>
  <c r="DR245" i="12"/>
  <c r="DS245" i="12"/>
  <c r="DT245" i="12"/>
  <c r="DU245" i="12"/>
  <c r="DV245" i="12"/>
  <c r="DW245" i="12"/>
  <c r="DX245" i="12"/>
  <c r="DY245" i="12"/>
  <c r="DZ245" i="12"/>
  <c r="EA245" i="12"/>
  <c r="EB245" i="12"/>
  <c r="EC245" i="12"/>
  <c r="ED245" i="12"/>
  <c r="EE245" i="12"/>
  <c r="EF245" i="12"/>
  <c r="EG245" i="12"/>
  <c r="EH245" i="12"/>
  <c r="EI245" i="12"/>
  <c r="EJ245" i="12"/>
  <c r="EK245" i="12"/>
  <c r="EL245" i="12"/>
  <c r="EM245" i="12"/>
  <c r="EN245" i="12"/>
  <c r="EO245" i="12"/>
  <c r="EP245" i="12"/>
  <c r="EQ245" i="12"/>
  <c r="ER245" i="12"/>
  <c r="ES245" i="12"/>
  <c r="ET245" i="12"/>
  <c r="EU245" i="12"/>
  <c r="EV245" i="12"/>
  <c r="EW245" i="12"/>
  <c r="EX245" i="12"/>
  <c r="EY245" i="12"/>
  <c r="EZ245" i="12"/>
  <c r="FA245" i="12"/>
  <c r="FB245" i="12"/>
  <c r="FC245" i="12"/>
  <c r="FD245" i="12"/>
  <c r="FE245" i="12"/>
  <c r="FF245" i="12"/>
  <c r="FG245" i="12"/>
  <c r="FH245" i="12"/>
  <c r="FI245" i="12"/>
  <c r="FJ245" i="12"/>
  <c r="FK245" i="12"/>
  <c r="FL245" i="12"/>
  <c r="FM245" i="12"/>
  <c r="FN245" i="12"/>
  <c r="FO245" i="12"/>
  <c r="FP245" i="12"/>
  <c r="FQ245" i="12"/>
  <c r="FR245" i="12"/>
  <c r="FS245" i="12"/>
  <c r="FT245" i="12"/>
  <c r="FU245" i="12"/>
  <c r="FV245" i="12"/>
  <c r="FW245" i="12"/>
  <c r="FX245" i="12"/>
  <c r="FY245" i="12"/>
  <c r="FZ245" i="12"/>
  <c r="GA245" i="12"/>
  <c r="GB245" i="12"/>
  <c r="GC245" i="12"/>
  <c r="GD245" i="12"/>
  <c r="GE245" i="12"/>
  <c r="GF245" i="12"/>
  <c r="GG245" i="12"/>
  <c r="GH245" i="12"/>
  <c r="GI245" i="12"/>
  <c r="GJ245" i="12"/>
  <c r="GK245" i="12"/>
  <c r="GL245" i="12"/>
  <c r="GM245" i="12"/>
  <c r="GN245" i="12"/>
  <c r="GO245" i="12"/>
  <c r="GP245" i="12"/>
  <c r="GQ245" i="12"/>
  <c r="GR245" i="12"/>
  <c r="GS245" i="12"/>
  <c r="GT245" i="12"/>
  <c r="GU245" i="12"/>
  <c r="GV245" i="12"/>
  <c r="GW245" i="12"/>
  <c r="GX245" i="12"/>
  <c r="GY245" i="12"/>
  <c r="GZ245" i="12"/>
  <c r="HA245" i="12"/>
  <c r="HB245" i="12"/>
  <c r="HC245" i="12"/>
  <c r="HD245" i="12"/>
  <c r="HE245" i="12"/>
  <c r="HF245" i="12"/>
  <c r="HG245" i="12"/>
  <c r="HH245" i="12"/>
  <c r="HI245" i="12"/>
  <c r="HJ245" i="12"/>
  <c r="HK245" i="12"/>
  <c r="HL245" i="12"/>
  <c r="HM245" i="12"/>
  <c r="HN245" i="12"/>
  <c r="HO245" i="12"/>
  <c r="HP245" i="12"/>
  <c r="HQ245" i="12"/>
  <c r="HR245" i="12"/>
  <c r="HS245" i="12"/>
  <c r="HT245" i="12"/>
  <c r="HU245" i="12"/>
  <c r="HV245" i="12"/>
  <c r="HW245" i="12"/>
  <c r="HX245" i="12"/>
  <c r="HY245" i="12"/>
  <c r="HZ245" i="12"/>
  <c r="IA245" i="12"/>
  <c r="IB245" i="12"/>
  <c r="IC245" i="12"/>
  <c r="ID245" i="12"/>
  <c r="IE245" i="12"/>
  <c r="IF245" i="12"/>
  <c r="IG245" i="12"/>
  <c r="IH245" i="12"/>
  <c r="II245" i="12"/>
  <c r="IJ245" i="12"/>
  <c r="IK245" i="12"/>
  <c r="IL245" i="12"/>
  <c r="IM245" i="12"/>
  <c r="IN245" i="12"/>
  <c r="IO245" i="12"/>
  <c r="IP245" i="12"/>
  <c r="IQ245" i="12"/>
  <c r="IR245" i="12"/>
  <c r="IS245" i="12"/>
  <c r="IT245" i="12"/>
  <c r="IU245" i="12"/>
  <c r="IV245" i="12"/>
  <c r="F246" i="12"/>
  <c r="G246" i="12"/>
  <c r="H246" i="12"/>
  <c r="I246" i="12"/>
  <c r="J246" i="12"/>
  <c r="K246" i="12"/>
  <c r="L246" i="12"/>
  <c r="M246" i="12"/>
  <c r="N246" i="12"/>
  <c r="O246" i="12"/>
  <c r="P246" i="12"/>
  <c r="Q246" i="12"/>
  <c r="R246" i="12"/>
  <c r="S246" i="12"/>
  <c r="T246" i="12"/>
  <c r="U246" i="12"/>
  <c r="V246" i="12"/>
  <c r="W246" i="12"/>
  <c r="X246" i="12"/>
  <c r="Y246" i="12"/>
  <c r="Z246" i="12"/>
  <c r="AA246" i="12"/>
  <c r="AB246" i="12"/>
  <c r="AC246" i="12"/>
  <c r="AD246" i="12"/>
  <c r="AE246" i="12"/>
  <c r="AF246" i="12"/>
  <c r="AG246" i="12"/>
  <c r="AH246" i="12"/>
  <c r="AI246" i="12"/>
  <c r="AJ246" i="12"/>
  <c r="AK246" i="12"/>
  <c r="AL246" i="12"/>
  <c r="AM246" i="12"/>
  <c r="AN246" i="12"/>
  <c r="AO246" i="12"/>
  <c r="AP246" i="12"/>
  <c r="AQ246" i="12"/>
  <c r="AR246" i="12"/>
  <c r="AS246" i="12"/>
  <c r="AT246" i="12"/>
  <c r="AU246" i="12"/>
  <c r="AV246" i="12"/>
  <c r="AW246" i="12"/>
  <c r="AX246" i="12"/>
  <c r="AY246" i="12"/>
  <c r="AZ246" i="12"/>
  <c r="BA246" i="12"/>
  <c r="BB246" i="12"/>
  <c r="BC246" i="12"/>
  <c r="BD246" i="12"/>
  <c r="BE246" i="12"/>
  <c r="BF246" i="12"/>
  <c r="BG246" i="12"/>
  <c r="BH246" i="12"/>
  <c r="BI246" i="12"/>
  <c r="BJ246" i="12"/>
  <c r="BK246" i="12"/>
  <c r="BL246" i="12"/>
  <c r="BM246" i="12"/>
  <c r="BN246" i="12"/>
  <c r="BO246" i="12"/>
  <c r="BP246" i="12"/>
  <c r="BQ246" i="12"/>
  <c r="BR246" i="12"/>
  <c r="BS246" i="12"/>
  <c r="BT246" i="12"/>
  <c r="BU246" i="12"/>
  <c r="BV246" i="12"/>
  <c r="BW246" i="12"/>
  <c r="BX246" i="12"/>
  <c r="BY246" i="12"/>
  <c r="BZ246" i="12"/>
  <c r="CA246" i="12"/>
  <c r="CB246" i="12"/>
  <c r="CC246" i="12"/>
  <c r="CD246" i="12"/>
  <c r="CE246" i="12"/>
  <c r="CF246" i="12"/>
  <c r="CG246" i="12"/>
  <c r="CH246" i="12"/>
  <c r="CI246" i="12"/>
  <c r="CJ246" i="12"/>
  <c r="CK246" i="12"/>
  <c r="CL246" i="12"/>
  <c r="CM246" i="12"/>
  <c r="CN246" i="12"/>
  <c r="CO246" i="12"/>
  <c r="CP246" i="12"/>
  <c r="CQ246" i="12"/>
  <c r="CR246" i="12"/>
  <c r="CS246" i="12"/>
  <c r="CT246" i="12"/>
  <c r="CU246" i="12"/>
  <c r="CV246" i="12"/>
  <c r="CW246" i="12"/>
  <c r="CX246" i="12"/>
  <c r="CY246" i="12"/>
  <c r="CZ246" i="12"/>
  <c r="DA246" i="12"/>
  <c r="DB246" i="12"/>
  <c r="DC246" i="12"/>
  <c r="DD246" i="12"/>
  <c r="DE246" i="12"/>
  <c r="DF246" i="12"/>
  <c r="DG246" i="12"/>
  <c r="DH246" i="12"/>
  <c r="DI246" i="12"/>
  <c r="DJ246" i="12"/>
  <c r="DK246" i="12"/>
  <c r="DL246" i="12"/>
  <c r="DM246" i="12"/>
  <c r="DN246" i="12"/>
  <c r="DO246" i="12"/>
  <c r="DP246" i="12"/>
  <c r="DQ246" i="12"/>
  <c r="DR246" i="12"/>
  <c r="DS246" i="12"/>
  <c r="DT246" i="12"/>
  <c r="DU246" i="12"/>
  <c r="DV246" i="12"/>
  <c r="DW246" i="12"/>
  <c r="DX246" i="12"/>
  <c r="DY246" i="12"/>
  <c r="DZ246" i="12"/>
  <c r="EA246" i="12"/>
  <c r="EB246" i="12"/>
  <c r="EC246" i="12"/>
  <c r="ED246" i="12"/>
  <c r="EE246" i="12"/>
  <c r="EF246" i="12"/>
  <c r="EG246" i="12"/>
  <c r="EH246" i="12"/>
  <c r="EI246" i="12"/>
  <c r="EJ246" i="12"/>
  <c r="EK246" i="12"/>
  <c r="EL246" i="12"/>
  <c r="EM246" i="12"/>
  <c r="EN246" i="12"/>
  <c r="EO246" i="12"/>
  <c r="EP246" i="12"/>
  <c r="EQ246" i="12"/>
  <c r="ER246" i="12"/>
  <c r="ES246" i="12"/>
  <c r="ET246" i="12"/>
  <c r="EU246" i="12"/>
  <c r="EV246" i="12"/>
  <c r="EW246" i="12"/>
  <c r="EX246" i="12"/>
  <c r="EY246" i="12"/>
  <c r="EZ246" i="12"/>
  <c r="FA246" i="12"/>
  <c r="FB246" i="12"/>
  <c r="FC246" i="12"/>
  <c r="FD246" i="12"/>
  <c r="FE246" i="12"/>
  <c r="FF246" i="12"/>
  <c r="FG246" i="12"/>
  <c r="FH246" i="12"/>
  <c r="FI246" i="12"/>
  <c r="FJ246" i="12"/>
  <c r="FK246" i="12"/>
  <c r="FL246" i="12"/>
  <c r="FM246" i="12"/>
  <c r="FN246" i="12"/>
  <c r="FO246" i="12"/>
  <c r="FP246" i="12"/>
  <c r="FQ246" i="12"/>
  <c r="FR246" i="12"/>
  <c r="FS246" i="12"/>
  <c r="FT246" i="12"/>
  <c r="FU246" i="12"/>
  <c r="FV246" i="12"/>
  <c r="FW246" i="12"/>
  <c r="FX246" i="12"/>
  <c r="FY246" i="12"/>
  <c r="FZ246" i="12"/>
  <c r="GA246" i="12"/>
  <c r="GB246" i="12"/>
  <c r="GC246" i="12"/>
  <c r="GD246" i="12"/>
  <c r="GE246" i="12"/>
  <c r="GF246" i="12"/>
  <c r="GG246" i="12"/>
  <c r="GH246" i="12"/>
  <c r="GI246" i="12"/>
  <c r="GJ246" i="12"/>
  <c r="GK246" i="12"/>
  <c r="GL246" i="12"/>
  <c r="GM246" i="12"/>
  <c r="GN246" i="12"/>
  <c r="GO246" i="12"/>
  <c r="GP246" i="12"/>
  <c r="GQ246" i="12"/>
  <c r="GR246" i="12"/>
  <c r="GS246" i="12"/>
  <c r="GT246" i="12"/>
  <c r="GU246" i="12"/>
  <c r="GV246" i="12"/>
  <c r="GW246" i="12"/>
  <c r="GX246" i="12"/>
  <c r="GY246" i="12"/>
  <c r="GZ246" i="12"/>
  <c r="HA246" i="12"/>
  <c r="HB246" i="12"/>
  <c r="HC246" i="12"/>
  <c r="HD246" i="12"/>
  <c r="HE246" i="12"/>
  <c r="HF246" i="12"/>
  <c r="HG246" i="12"/>
  <c r="HH246" i="12"/>
  <c r="HI246" i="12"/>
  <c r="HJ246" i="12"/>
  <c r="HK246" i="12"/>
  <c r="HL246" i="12"/>
  <c r="HM246" i="12"/>
  <c r="HN246" i="12"/>
  <c r="HO246" i="12"/>
  <c r="HP246" i="12"/>
  <c r="HQ246" i="12"/>
  <c r="HR246" i="12"/>
  <c r="HS246" i="12"/>
  <c r="HT246" i="12"/>
  <c r="HU246" i="12"/>
  <c r="HV246" i="12"/>
  <c r="HW246" i="12"/>
  <c r="HX246" i="12"/>
  <c r="HY246" i="12"/>
  <c r="HZ246" i="12"/>
  <c r="IA246" i="12"/>
  <c r="IB246" i="12"/>
  <c r="IC246" i="12"/>
  <c r="ID246" i="12"/>
  <c r="IE246" i="12"/>
  <c r="IF246" i="12"/>
  <c r="IG246" i="12"/>
  <c r="IH246" i="12"/>
  <c r="II246" i="12"/>
  <c r="IJ246" i="12"/>
  <c r="IK246" i="12"/>
  <c r="IL246" i="12"/>
  <c r="IM246" i="12"/>
  <c r="IN246" i="12"/>
  <c r="IO246" i="12"/>
  <c r="IP246" i="12"/>
  <c r="IQ246" i="12"/>
  <c r="IR246" i="12"/>
  <c r="IS246" i="12"/>
  <c r="IT246" i="12"/>
  <c r="IU246" i="12"/>
  <c r="IV246" i="12"/>
  <c r="F247" i="12"/>
  <c r="G247" i="12"/>
  <c r="H247" i="12"/>
  <c r="I247" i="12"/>
  <c r="J247" i="12"/>
  <c r="K247" i="12"/>
  <c r="L247" i="12"/>
  <c r="M247" i="12"/>
  <c r="N247" i="12"/>
  <c r="O247" i="12"/>
  <c r="P247" i="12"/>
  <c r="Q247" i="12"/>
  <c r="R247" i="12"/>
  <c r="S247" i="12"/>
  <c r="T247" i="12"/>
  <c r="U247" i="12"/>
  <c r="V247" i="12"/>
  <c r="W247" i="12"/>
  <c r="X247" i="12"/>
  <c r="Y247" i="12"/>
  <c r="Z247" i="12"/>
  <c r="AA247" i="12"/>
  <c r="AB247" i="12"/>
  <c r="AC247" i="12"/>
  <c r="AD247" i="12"/>
  <c r="AE247" i="12"/>
  <c r="AF247" i="12"/>
  <c r="AG247" i="12"/>
  <c r="AH247" i="12"/>
  <c r="AI247" i="12"/>
  <c r="AJ247" i="12"/>
  <c r="AK247" i="12"/>
  <c r="AL247" i="12"/>
  <c r="AM247" i="12"/>
  <c r="AN247" i="12"/>
  <c r="AO247" i="12"/>
  <c r="AP247" i="12"/>
  <c r="AQ247" i="12"/>
  <c r="AR247" i="12"/>
  <c r="AS247" i="12"/>
  <c r="AT247" i="12"/>
  <c r="AU247" i="12"/>
  <c r="AV247" i="12"/>
  <c r="AW247" i="12"/>
  <c r="AX247" i="12"/>
  <c r="AY247" i="12"/>
  <c r="AZ247" i="12"/>
  <c r="BA247" i="12"/>
  <c r="BB247" i="12"/>
  <c r="BC247" i="12"/>
  <c r="BD247" i="12"/>
  <c r="BE247" i="12"/>
  <c r="BF247" i="12"/>
  <c r="BG247" i="12"/>
  <c r="BH247" i="12"/>
  <c r="BI247" i="12"/>
  <c r="BJ247" i="12"/>
  <c r="BK247" i="12"/>
  <c r="BL247" i="12"/>
  <c r="BM247" i="12"/>
  <c r="BN247" i="12"/>
  <c r="BO247" i="12"/>
  <c r="BP247" i="12"/>
  <c r="BQ247" i="12"/>
  <c r="BR247" i="12"/>
  <c r="BS247" i="12"/>
  <c r="BT247" i="12"/>
  <c r="BU247" i="12"/>
  <c r="BV247" i="12"/>
  <c r="BW247" i="12"/>
  <c r="BX247" i="12"/>
  <c r="BY247" i="12"/>
  <c r="BZ247" i="12"/>
  <c r="CA247" i="12"/>
  <c r="CB247" i="12"/>
  <c r="CC247" i="12"/>
  <c r="CD247" i="12"/>
  <c r="CE247" i="12"/>
  <c r="CF247" i="12"/>
  <c r="CG247" i="12"/>
  <c r="CH247" i="12"/>
  <c r="CI247" i="12"/>
  <c r="CJ247" i="12"/>
  <c r="CK247" i="12"/>
  <c r="CL247" i="12"/>
  <c r="CM247" i="12"/>
  <c r="CN247" i="12"/>
  <c r="CO247" i="12"/>
  <c r="CP247" i="12"/>
  <c r="CQ247" i="12"/>
  <c r="CR247" i="12"/>
  <c r="CS247" i="12"/>
  <c r="CT247" i="12"/>
  <c r="CU247" i="12"/>
  <c r="CV247" i="12"/>
  <c r="CW247" i="12"/>
  <c r="CX247" i="12"/>
  <c r="CY247" i="12"/>
  <c r="CZ247" i="12"/>
  <c r="DA247" i="12"/>
  <c r="DB247" i="12"/>
  <c r="DC247" i="12"/>
  <c r="DD247" i="12"/>
  <c r="DE247" i="12"/>
  <c r="DF247" i="12"/>
  <c r="DG247" i="12"/>
  <c r="DH247" i="12"/>
  <c r="DI247" i="12"/>
  <c r="DJ247" i="12"/>
  <c r="DK247" i="12"/>
  <c r="DL247" i="12"/>
  <c r="DM247" i="12"/>
  <c r="DN247" i="12"/>
  <c r="DO247" i="12"/>
  <c r="DP247" i="12"/>
  <c r="DQ247" i="12"/>
  <c r="DR247" i="12"/>
  <c r="DS247" i="12"/>
  <c r="DT247" i="12"/>
  <c r="DU247" i="12"/>
  <c r="DV247" i="12"/>
  <c r="DW247" i="12"/>
  <c r="DX247" i="12"/>
  <c r="DY247" i="12"/>
  <c r="DZ247" i="12"/>
  <c r="EA247" i="12"/>
  <c r="EB247" i="12"/>
  <c r="EC247" i="12"/>
  <c r="ED247" i="12"/>
  <c r="EE247" i="12"/>
  <c r="EF247" i="12"/>
  <c r="EG247" i="12"/>
  <c r="EH247" i="12"/>
  <c r="EI247" i="12"/>
  <c r="EJ247" i="12"/>
  <c r="EK247" i="12"/>
  <c r="EL247" i="12"/>
  <c r="EM247" i="12"/>
  <c r="EN247" i="12"/>
  <c r="EO247" i="12"/>
  <c r="EP247" i="12"/>
  <c r="EQ247" i="12"/>
  <c r="ER247" i="12"/>
  <c r="ES247" i="12"/>
  <c r="ET247" i="12"/>
  <c r="EU247" i="12"/>
  <c r="EV247" i="12"/>
  <c r="EW247" i="12"/>
  <c r="EX247" i="12"/>
  <c r="EY247" i="12"/>
  <c r="EZ247" i="12"/>
  <c r="FA247" i="12"/>
  <c r="FB247" i="12"/>
  <c r="FC247" i="12"/>
  <c r="FD247" i="12"/>
  <c r="FE247" i="12"/>
  <c r="FF247" i="12"/>
  <c r="FG247" i="12"/>
  <c r="FH247" i="12"/>
  <c r="FI247" i="12"/>
  <c r="FJ247" i="12"/>
  <c r="FK247" i="12"/>
  <c r="FL247" i="12"/>
  <c r="FM247" i="12"/>
  <c r="FN247" i="12"/>
  <c r="FO247" i="12"/>
  <c r="FP247" i="12"/>
  <c r="FQ247" i="12"/>
  <c r="FR247" i="12"/>
  <c r="FS247" i="12"/>
  <c r="FT247" i="12"/>
  <c r="FU247" i="12"/>
  <c r="FV247" i="12"/>
  <c r="FW247" i="12"/>
  <c r="FX247" i="12"/>
  <c r="FY247" i="12"/>
  <c r="FZ247" i="12"/>
  <c r="GA247" i="12"/>
  <c r="GB247" i="12"/>
  <c r="GC247" i="12"/>
  <c r="GD247" i="12"/>
  <c r="GE247" i="12"/>
  <c r="GF247" i="12"/>
  <c r="GG247" i="12"/>
  <c r="GH247" i="12"/>
  <c r="GI247" i="12"/>
  <c r="GJ247" i="12"/>
  <c r="GK247" i="12"/>
  <c r="GL247" i="12"/>
  <c r="GM247" i="12"/>
  <c r="GN247" i="12"/>
  <c r="GO247" i="12"/>
  <c r="GP247" i="12"/>
  <c r="GQ247" i="12"/>
  <c r="GR247" i="12"/>
  <c r="GS247" i="12"/>
  <c r="GT247" i="12"/>
  <c r="GU247" i="12"/>
  <c r="GV247" i="12"/>
  <c r="GW247" i="12"/>
  <c r="GX247" i="12"/>
  <c r="GY247" i="12"/>
  <c r="GZ247" i="12"/>
  <c r="HA247" i="12"/>
  <c r="HB247" i="12"/>
  <c r="HC247" i="12"/>
  <c r="HD247" i="12"/>
  <c r="HE247" i="12"/>
  <c r="HF247" i="12"/>
  <c r="HG247" i="12"/>
  <c r="HH247" i="12"/>
  <c r="HI247" i="12"/>
  <c r="HJ247" i="12"/>
  <c r="HK247" i="12"/>
  <c r="HL247" i="12"/>
  <c r="HM247" i="12"/>
  <c r="HN247" i="12"/>
  <c r="HO247" i="12"/>
  <c r="HP247" i="12"/>
  <c r="HQ247" i="12"/>
  <c r="HR247" i="12"/>
  <c r="HS247" i="12"/>
  <c r="HT247" i="12"/>
  <c r="HU247" i="12"/>
  <c r="HV247" i="12"/>
  <c r="HW247" i="12"/>
  <c r="HX247" i="12"/>
  <c r="HY247" i="12"/>
  <c r="HZ247" i="12"/>
  <c r="IA247" i="12"/>
  <c r="IB247" i="12"/>
  <c r="IC247" i="12"/>
  <c r="ID247" i="12"/>
  <c r="IE247" i="12"/>
  <c r="IF247" i="12"/>
  <c r="IG247" i="12"/>
  <c r="IH247" i="12"/>
  <c r="II247" i="12"/>
  <c r="IJ247" i="12"/>
  <c r="IK247" i="12"/>
  <c r="IL247" i="12"/>
  <c r="IM247" i="12"/>
  <c r="IN247" i="12"/>
  <c r="IO247" i="12"/>
  <c r="IP247" i="12"/>
  <c r="IQ247" i="12"/>
  <c r="IR247" i="12"/>
  <c r="IS247" i="12"/>
  <c r="IT247" i="12"/>
  <c r="IU247" i="12"/>
  <c r="IV247" i="12"/>
  <c r="F248" i="12"/>
  <c r="G248" i="12"/>
  <c r="H248" i="12"/>
  <c r="I248" i="12"/>
  <c r="J248" i="12"/>
  <c r="K248" i="12"/>
  <c r="L248" i="12"/>
  <c r="M248" i="12"/>
  <c r="N248" i="12"/>
  <c r="O248" i="12"/>
  <c r="P248" i="12"/>
  <c r="Q248" i="12"/>
  <c r="R248" i="12"/>
  <c r="S248" i="12"/>
  <c r="T248" i="12"/>
  <c r="U248" i="12"/>
  <c r="V248" i="12"/>
  <c r="W248" i="12"/>
  <c r="X248" i="12"/>
  <c r="Y248" i="12"/>
  <c r="Z248" i="12"/>
  <c r="AA248" i="12"/>
  <c r="AB248" i="12"/>
  <c r="AC248" i="12"/>
  <c r="AD248" i="12"/>
  <c r="AE248" i="12"/>
  <c r="AF248" i="12"/>
  <c r="AG248" i="12"/>
  <c r="AH248" i="12"/>
  <c r="AI248" i="12"/>
  <c r="AJ248" i="12"/>
  <c r="AK248" i="12"/>
  <c r="AL248" i="12"/>
  <c r="AM248" i="12"/>
  <c r="AN248" i="12"/>
  <c r="AO248" i="12"/>
  <c r="AP248" i="12"/>
  <c r="AQ248" i="12"/>
  <c r="AR248" i="12"/>
  <c r="AS248" i="12"/>
  <c r="AT248" i="12"/>
  <c r="AU248" i="12"/>
  <c r="AV248" i="12"/>
  <c r="AW248" i="12"/>
  <c r="AX248" i="12"/>
  <c r="AY248" i="12"/>
  <c r="AZ248" i="12"/>
  <c r="BA248" i="12"/>
  <c r="BB248" i="12"/>
  <c r="BC248" i="12"/>
  <c r="BD248" i="12"/>
  <c r="BE248" i="12"/>
  <c r="BF248" i="12"/>
  <c r="BG248" i="12"/>
  <c r="BH248" i="12"/>
  <c r="BI248" i="12"/>
  <c r="BJ248" i="12"/>
  <c r="BK248" i="12"/>
  <c r="BL248" i="12"/>
  <c r="BM248" i="12"/>
  <c r="BN248" i="12"/>
  <c r="BO248" i="12"/>
  <c r="BP248" i="12"/>
  <c r="BQ248" i="12"/>
  <c r="BR248" i="12"/>
  <c r="BS248" i="12"/>
  <c r="BT248" i="12"/>
  <c r="BU248" i="12"/>
  <c r="BV248" i="12"/>
  <c r="BW248" i="12"/>
  <c r="BX248" i="12"/>
  <c r="BY248" i="12"/>
  <c r="BZ248" i="12"/>
  <c r="CA248" i="12"/>
  <c r="CB248" i="12"/>
  <c r="CC248" i="12"/>
  <c r="CD248" i="12"/>
  <c r="CE248" i="12"/>
  <c r="CF248" i="12"/>
  <c r="CG248" i="12"/>
  <c r="CH248" i="12"/>
  <c r="CI248" i="12"/>
  <c r="CJ248" i="12"/>
  <c r="CK248" i="12"/>
  <c r="CL248" i="12"/>
  <c r="CM248" i="12"/>
  <c r="CN248" i="12"/>
  <c r="CO248" i="12"/>
  <c r="CP248" i="12"/>
  <c r="CQ248" i="12"/>
  <c r="CR248" i="12"/>
  <c r="CS248" i="12"/>
  <c r="CT248" i="12"/>
  <c r="CU248" i="12"/>
  <c r="CV248" i="12"/>
  <c r="CW248" i="12"/>
  <c r="CX248" i="12"/>
  <c r="CY248" i="12"/>
  <c r="CZ248" i="12"/>
  <c r="DA248" i="12"/>
  <c r="DB248" i="12"/>
  <c r="DC248" i="12"/>
  <c r="DD248" i="12"/>
  <c r="DE248" i="12"/>
  <c r="DF248" i="12"/>
  <c r="DG248" i="12"/>
  <c r="DH248" i="12"/>
  <c r="DI248" i="12"/>
  <c r="DJ248" i="12"/>
  <c r="DK248" i="12"/>
  <c r="DL248" i="12"/>
  <c r="DM248" i="12"/>
  <c r="DN248" i="12"/>
  <c r="DO248" i="12"/>
  <c r="DP248" i="12"/>
  <c r="DQ248" i="12"/>
  <c r="DR248" i="12"/>
  <c r="DS248" i="12"/>
  <c r="DT248" i="12"/>
  <c r="DU248" i="12"/>
  <c r="DV248" i="12"/>
  <c r="DW248" i="12"/>
  <c r="DX248" i="12"/>
  <c r="DY248" i="12"/>
  <c r="DZ248" i="12"/>
  <c r="EA248" i="12"/>
  <c r="EB248" i="12"/>
  <c r="EC248" i="12"/>
  <c r="ED248" i="12"/>
  <c r="EE248" i="12"/>
  <c r="EF248" i="12"/>
  <c r="EG248" i="12"/>
  <c r="EH248" i="12"/>
  <c r="EI248" i="12"/>
  <c r="EJ248" i="12"/>
  <c r="EK248" i="12"/>
  <c r="EL248" i="12"/>
  <c r="EM248" i="12"/>
  <c r="EN248" i="12"/>
  <c r="EO248" i="12"/>
  <c r="EP248" i="12"/>
  <c r="EQ248" i="12"/>
  <c r="ER248" i="12"/>
  <c r="ES248" i="12"/>
  <c r="ET248" i="12"/>
  <c r="EU248" i="12"/>
  <c r="EV248" i="12"/>
  <c r="EW248" i="12"/>
  <c r="EX248" i="12"/>
  <c r="EY248" i="12"/>
  <c r="EZ248" i="12"/>
  <c r="FA248" i="12"/>
  <c r="FB248" i="12"/>
  <c r="FC248" i="12"/>
  <c r="FD248" i="12"/>
  <c r="FE248" i="12"/>
  <c r="FF248" i="12"/>
  <c r="FG248" i="12"/>
  <c r="FH248" i="12"/>
  <c r="FI248" i="12"/>
  <c r="FJ248" i="12"/>
  <c r="FK248" i="12"/>
  <c r="FL248" i="12"/>
  <c r="FM248" i="12"/>
  <c r="FN248" i="12"/>
  <c r="FO248" i="12"/>
  <c r="FP248" i="12"/>
  <c r="FQ248" i="12"/>
  <c r="FR248" i="12"/>
  <c r="FS248" i="12"/>
  <c r="FT248" i="12"/>
  <c r="FU248" i="12"/>
  <c r="FV248" i="12"/>
  <c r="FW248" i="12"/>
  <c r="FX248" i="12"/>
  <c r="FY248" i="12"/>
  <c r="FZ248" i="12"/>
  <c r="GA248" i="12"/>
  <c r="GB248" i="12"/>
  <c r="GC248" i="12"/>
  <c r="GD248" i="12"/>
  <c r="GE248" i="12"/>
  <c r="GF248" i="12"/>
  <c r="GG248" i="12"/>
  <c r="GH248" i="12"/>
  <c r="GI248" i="12"/>
  <c r="GJ248" i="12"/>
  <c r="GK248" i="12"/>
  <c r="GL248" i="12"/>
  <c r="GM248" i="12"/>
  <c r="GN248" i="12"/>
  <c r="GO248" i="12"/>
  <c r="GP248" i="12"/>
  <c r="GQ248" i="12"/>
  <c r="GR248" i="12"/>
  <c r="GS248" i="12"/>
  <c r="GT248" i="12"/>
  <c r="GU248" i="12"/>
  <c r="GV248" i="12"/>
  <c r="GW248" i="12"/>
  <c r="GX248" i="12"/>
  <c r="GY248" i="12"/>
  <c r="GZ248" i="12"/>
  <c r="HA248" i="12"/>
  <c r="HB248" i="12"/>
  <c r="HC248" i="12"/>
  <c r="HD248" i="12"/>
  <c r="HE248" i="12"/>
  <c r="HF248" i="12"/>
  <c r="HG248" i="12"/>
  <c r="HH248" i="12"/>
  <c r="HI248" i="12"/>
  <c r="HJ248" i="12"/>
  <c r="HK248" i="12"/>
  <c r="HL248" i="12"/>
  <c r="HM248" i="12"/>
  <c r="HN248" i="12"/>
  <c r="HO248" i="12"/>
  <c r="HP248" i="12"/>
  <c r="HQ248" i="12"/>
  <c r="HR248" i="12"/>
  <c r="HS248" i="12"/>
  <c r="HT248" i="12"/>
  <c r="HU248" i="12"/>
  <c r="HV248" i="12"/>
  <c r="HW248" i="12"/>
  <c r="HX248" i="12"/>
  <c r="HY248" i="12"/>
  <c r="HZ248" i="12"/>
  <c r="IA248" i="12"/>
  <c r="IB248" i="12"/>
  <c r="IC248" i="12"/>
  <c r="ID248" i="12"/>
  <c r="IE248" i="12"/>
  <c r="IF248" i="12"/>
  <c r="IG248" i="12"/>
  <c r="IH248" i="12"/>
  <c r="II248" i="12"/>
  <c r="IJ248" i="12"/>
  <c r="IK248" i="12"/>
  <c r="IL248" i="12"/>
  <c r="IM248" i="12"/>
  <c r="IN248" i="12"/>
  <c r="IO248" i="12"/>
  <c r="IP248" i="12"/>
  <c r="IQ248" i="12"/>
  <c r="IR248" i="12"/>
  <c r="IS248" i="12"/>
  <c r="IT248" i="12"/>
  <c r="IU248" i="12"/>
  <c r="IV248" i="12"/>
  <c r="F249" i="12"/>
  <c r="G249" i="12"/>
  <c r="H249" i="12"/>
  <c r="I249" i="12"/>
  <c r="J249" i="12"/>
  <c r="K249" i="12"/>
  <c r="L249" i="12"/>
  <c r="M249" i="12"/>
  <c r="N249" i="12"/>
  <c r="O249" i="12"/>
  <c r="P249" i="12"/>
  <c r="Q249" i="12"/>
  <c r="R249" i="12"/>
  <c r="S249" i="12"/>
  <c r="T249" i="12"/>
  <c r="U249" i="12"/>
  <c r="V249" i="12"/>
  <c r="W249" i="12"/>
  <c r="X249" i="12"/>
  <c r="Y249" i="12"/>
  <c r="Z249" i="12"/>
  <c r="AA249" i="12"/>
  <c r="AB249" i="12"/>
  <c r="AC249" i="12"/>
  <c r="AD249" i="12"/>
  <c r="AE249" i="12"/>
  <c r="AF249" i="12"/>
  <c r="AG249" i="12"/>
  <c r="AH249" i="12"/>
  <c r="AI249" i="12"/>
  <c r="AJ249" i="12"/>
  <c r="AK249" i="12"/>
  <c r="AL249" i="12"/>
  <c r="AM249" i="12"/>
  <c r="AN249" i="12"/>
  <c r="AO249" i="12"/>
  <c r="AP249" i="12"/>
  <c r="AQ249" i="12"/>
  <c r="AR249" i="12"/>
  <c r="AS249" i="12"/>
  <c r="AT249" i="12"/>
  <c r="AU249" i="12"/>
  <c r="AV249" i="12"/>
  <c r="AW249" i="12"/>
  <c r="AX249" i="12"/>
  <c r="AY249" i="12"/>
  <c r="AZ249" i="12"/>
  <c r="BA249" i="12"/>
  <c r="BB249" i="12"/>
  <c r="BC249" i="12"/>
  <c r="BD249" i="12"/>
  <c r="BE249" i="12"/>
  <c r="BF249" i="12"/>
  <c r="BG249" i="12"/>
  <c r="BH249" i="12"/>
  <c r="BI249" i="12"/>
  <c r="BJ249" i="12"/>
  <c r="BK249" i="12"/>
  <c r="BL249" i="12"/>
  <c r="BM249" i="12"/>
  <c r="BN249" i="12"/>
  <c r="BO249" i="12"/>
  <c r="BP249" i="12"/>
  <c r="BQ249" i="12"/>
  <c r="BR249" i="12"/>
  <c r="BS249" i="12"/>
  <c r="BT249" i="12"/>
  <c r="BU249" i="12"/>
  <c r="BV249" i="12"/>
  <c r="BW249" i="12"/>
  <c r="BX249" i="12"/>
  <c r="BY249" i="12"/>
  <c r="BZ249" i="12"/>
  <c r="CA249" i="12"/>
  <c r="CB249" i="12"/>
  <c r="CC249" i="12"/>
  <c r="CD249" i="12"/>
  <c r="CE249" i="12"/>
  <c r="CF249" i="12"/>
  <c r="CG249" i="12"/>
  <c r="CH249" i="12"/>
  <c r="CI249" i="12"/>
  <c r="CJ249" i="12"/>
  <c r="CK249" i="12"/>
  <c r="CL249" i="12"/>
  <c r="CM249" i="12"/>
  <c r="CN249" i="12"/>
  <c r="CO249" i="12"/>
  <c r="CP249" i="12"/>
  <c r="CQ249" i="12"/>
  <c r="CR249" i="12"/>
  <c r="CS249" i="12"/>
  <c r="CT249" i="12"/>
  <c r="CU249" i="12"/>
  <c r="CV249" i="12"/>
  <c r="CW249" i="12"/>
  <c r="CX249" i="12"/>
  <c r="CY249" i="12"/>
  <c r="CZ249" i="12"/>
  <c r="DA249" i="12"/>
  <c r="DB249" i="12"/>
  <c r="DC249" i="12"/>
  <c r="DD249" i="12"/>
  <c r="DE249" i="12"/>
  <c r="DF249" i="12"/>
  <c r="DG249" i="12"/>
  <c r="DH249" i="12"/>
  <c r="DI249" i="12"/>
  <c r="DJ249" i="12"/>
  <c r="DK249" i="12"/>
  <c r="DL249" i="12"/>
  <c r="DM249" i="12"/>
  <c r="DN249" i="12"/>
  <c r="DO249" i="12"/>
  <c r="DP249" i="12"/>
  <c r="DQ249" i="12"/>
  <c r="DR249" i="12"/>
  <c r="DS249" i="12"/>
  <c r="DT249" i="12"/>
  <c r="DU249" i="12"/>
  <c r="DV249" i="12"/>
  <c r="DW249" i="12"/>
  <c r="DX249" i="12"/>
  <c r="DY249" i="12"/>
  <c r="DZ249" i="12"/>
  <c r="EA249" i="12"/>
  <c r="EB249" i="12"/>
  <c r="EC249" i="12"/>
  <c r="ED249" i="12"/>
  <c r="EE249" i="12"/>
  <c r="EF249" i="12"/>
  <c r="EG249" i="12"/>
  <c r="EH249" i="12"/>
  <c r="EI249" i="12"/>
  <c r="EJ249" i="12"/>
  <c r="EK249" i="12"/>
  <c r="EL249" i="12"/>
  <c r="EM249" i="12"/>
  <c r="EN249" i="12"/>
  <c r="EO249" i="12"/>
  <c r="EP249" i="12"/>
  <c r="EQ249" i="12"/>
  <c r="ER249" i="12"/>
  <c r="ES249" i="12"/>
  <c r="ET249" i="12"/>
  <c r="EU249" i="12"/>
  <c r="EV249" i="12"/>
  <c r="EW249" i="12"/>
  <c r="EX249" i="12"/>
  <c r="EY249" i="12"/>
  <c r="EZ249" i="12"/>
  <c r="FA249" i="12"/>
  <c r="FB249" i="12"/>
  <c r="FC249" i="12"/>
  <c r="FD249" i="12"/>
  <c r="FE249" i="12"/>
  <c r="FF249" i="12"/>
  <c r="FG249" i="12"/>
  <c r="FH249" i="12"/>
  <c r="FI249" i="12"/>
  <c r="FJ249" i="12"/>
  <c r="FK249" i="12"/>
  <c r="FL249" i="12"/>
  <c r="FM249" i="12"/>
  <c r="FN249" i="12"/>
  <c r="FO249" i="12"/>
  <c r="FP249" i="12"/>
  <c r="FQ249" i="12"/>
  <c r="FR249" i="12"/>
  <c r="FS249" i="12"/>
  <c r="FT249" i="12"/>
  <c r="FU249" i="12"/>
  <c r="FV249" i="12"/>
  <c r="FW249" i="12"/>
  <c r="FX249" i="12"/>
  <c r="FY249" i="12"/>
  <c r="FZ249" i="12"/>
  <c r="GA249" i="12"/>
  <c r="GB249" i="12"/>
  <c r="GC249" i="12"/>
  <c r="GD249" i="12"/>
  <c r="GE249" i="12"/>
  <c r="GF249" i="12"/>
  <c r="GG249" i="12"/>
  <c r="GH249" i="12"/>
  <c r="GI249" i="12"/>
  <c r="GJ249" i="12"/>
  <c r="GK249" i="12"/>
  <c r="GL249" i="12"/>
  <c r="GM249" i="12"/>
  <c r="GN249" i="12"/>
  <c r="GO249" i="12"/>
  <c r="GP249" i="12"/>
  <c r="GQ249" i="12"/>
  <c r="GR249" i="12"/>
  <c r="GS249" i="12"/>
  <c r="GT249" i="12"/>
  <c r="GU249" i="12"/>
  <c r="GV249" i="12"/>
  <c r="GW249" i="12"/>
  <c r="GX249" i="12"/>
  <c r="GY249" i="12"/>
  <c r="GZ249" i="12"/>
  <c r="HA249" i="12"/>
  <c r="HB249" i="12"/>
  <c r="HC249" i="12"/>
  <c r="HD249" i="12"/>
  <c r="HE249" i="12"/>
  <c r="HF249" i="12"/>
  <c r="HG249" i="12"/>
  <c r="HH249" i="12"/>
  <c r="HI249" i="12"/>
  <c r="HJ249" i="12"/>
  <c r="HK249" i="12"/>
  <c r="HL249" i="12"/>
  <c r="HM249" i="12"/>
  <c r="HN249" i="12"/>
  <c r="HO249" i="12"/>
  <c r="HP249" i="12"/>
  <c r="HQ249" i="12"/>
  <c r="HR249" i="12"/>
  <c r="HS249" i="12"/>
  <c r="HT249" i="12"/>
  <c r="HU249" i="12"/>
  <c r="HV249" i="12"/>
  <c r="HW249" i="12"/>
  <c r="HX249" i="12"/>
  <c r="HY249" i="12"/>
  <c r="HZ249" i="12"/>
  <c r="IA249" i="12"/>
  <c r="IB249" i="12"/>
  <c r="IC249" i="12"/>
  <c r="ID249" i="12"/>
  <c r="IE249" i="12"/>
  <c r="IF249" i="12"/>
  <c r="IG249" i="12"/>
  <c r="IH249" i="12"/>
  <c r="II249" i="12"/>
  <c r="IJ249" i="12"/>
  <c r="IK249" i="12"/>
  <c r="IL249" i="12"/>
  <c r="IM249" i="12"/>
  <c r="IN249" i="12"/>
  <c r="IO249" i="12"/>
  <c r="IP249" i="12"/>
  <c r="IQ249" i="12"/>
  <c r="IR249" i="12"/>
  <c r="IS249" i="12"/>
  <c r="IT249" i="12"/>
  <c r="IU249" i="12"/>
  <c r="IV249" i="12"/>
  <c r="F250" i="12"/>
  <c r="G250" i="12"/>
  <c r="H250" i="12"/>
  <c r="I250" i="12"/>
  <c r="J250" i="12"/>
  <c r="K250" i="12"/>
  <c r="L250" i="12"/>
  <c r="M250" i="12"/>
  <c r="N250" i="12"/>
  <c r="O250" i="12"/>
  <c r="P250" i="12"/>
  <c r="Q250" i="12"/>
  <c r="R250" i="12"/>
  <c r="S250" i="12"/>
  <c r="T250" i="12"/>
  <c r="U250" i="12"/>
  <c r="V250" i="12"/>
  <c r="W250" i="12"/>
  <c r="X250" i="12"/>
  <c r="Y250" i="12"/>
  <c r="Z250" i="12"/>
  <c r="AA250" i="12"/>
  <c r="AB250" i="12"/>
  <c r="AC250" i="12"/>
  <c r="AD250" i="12"/>
  <c r="AE250" i="12"/>
  <c r="AF250" i="12"/>
  <c r="AG250" i="12"/>
  <c r="AH250" i="12"/>
  <c r="AI250" i="12"/>
  <c r="AJ250" i="12"/>
  <c r="AK250" i="12"/>
  <c r="AL250" i="12"/>
  <c r="AM250" i="12"/>
  <c r="AN250" i="12"/>
  <c r="AO250" i="12"/>
  <c r="AP250" i="12"/>
  <c r="AQ250" i="12"/>
  <c r="AR250" i="12"/>
  <c r="AS250" i="12"/>
  <c r="AT250" i="12"/>
  <c r="AU250" i="12"/>
  <c r="AV250" i="12"/>
  <c r="AW250" i="12"/>
  <c r="AX250" i="12"/>
  <c r="AY250" i="12"/>
  <c r="AZ250" i="12"/>
  <c r="BA250" i="12"/>
  <c r="BB250" i="12"/>
  <c r="BC250" i="12"/>
  <c r="BD250" i="12"/>
  <c r="BE250" i="12"/>
  <c r="BF250" i="12"/>
  <c r="BG250" i="12"/>
  <c r="BH250" i="12"/>
  <c r="BI250" i="12"/>
  <c r="BJ250" i="12"/>
  <c r="BK250" i="12"/>
  <c r="BL250" i="12"/>
  <c r="BM250" i="12"/>
  <c r="BN250" i="12"/>
  <c r="BO250" i="12"/>
  <c r="BP250" i="12"/>
  <c r="BQ250" i="12"/>
  <c r="BR250" i="12"/>
  <c r="BS250" i="12"/>
  <c r="BT250" i="12"/>
  <c r="BU250" i="12"/>
  <c r="BV250" i="12"/>
  <c r="BW250" i="12"/>
  <c r="BX250" i="12"/>
  <c r="BY250" i="12"/>
  <c r="BZ250" i="12"/>
  <c r="CA250" i="12"/>
  <c r="CB250" i="12"/>
  <c r="CC250" i="12"/>
  <c r="CD250" i="12"/>
  <c r="CE250" i="12"/>
  <c r="CF250" i="12"/>
  <c r="CG250" i="12"/>
  <c r="CH250" i="12"/>
  <c r="CI250" i="12"/>
  <c r="CJ250" i="12"/>
  <c r="CK250" i="12"/>
  <c r="CL250" i="12"/>
  <c r="CM250" i="12"/>
  <c r="CN250" i="12"/>
  <c r="CO250" i="12"/>
  <c r="CP250" i="12"/>
  <c r="CQ250" i="12"/>
  <c r="CR250" i="12"/>
  <c r="CS250" i="12"/>
  <c r="CT250" i="12"/>
  <c r="CU250" i="12"/>
  <c r="CV250" i="12"/>
  <c r="CW250" i="12"/>
  <c r="CX250" i="12"/>
  <c r="CY250" i="12"/>
  <c r="CZ250" i="12"/>
  <c r="DA250" i="12"/>
  <c r="DB250" i="12"/>
  <c r="DC250" i="12"/>
  <c r="DD250" i="12"/>
  <c r="DE250" i="12"/>
  <c r="DF250" i="12"/>
  <c r="DG250" i="12"/>
  <c r="DH250" i="12"/>
  <c r="DI250" i="12"/>
  <c r="DJ250" i="12"/>
  <c r="DK250" i="12"/>
  <c r="DL250" i="12"/>
  <c r="DM250" i="12"/>
  <c r="DN250" i="12"/>
  <c r="DO250" i="12"/>
  <c r="DP250" i="12"/>
  <c r="DQ250" i="12"/>
  <c r="DR250" i="12"/>
  <c r="DS250" i="12"/>
  <c r="DT250" i="12"/>
  <c r="DU250" i="12"/>
  <c r="DV250" i="12"/>
  <c r="DW250" i="12"/>
  <c r="DX250" i="12"/>
  <c r="DY250" i="12"/>
  <c r="DZ250" i="12"/>
  <c r="EA250" i="12"/>
  <c r="EB250" i="12"/>
  <c r="EC250" i="12"/>
  <c r="ED250" i="12"/>
  <c r="EE250" i="12"/>
  <c r="EF250" i="12"/>
  <c r="EG250" i="12"/>
  <c r="EH250" i="12"/>
  <c r="EI250" i="12"/>
  <c r="EJ250" i="12"/>
  <c r="EK250" i="12"/>
  <c r="EL250" i="12"/>
  <c r="EM250" i="12"/>
  <c r="EN250" i="12"/>
  <c r="EO250" i="12"/>
  <c r="EP250" i="12"/>
  <c r="EQ250" i="12"/>
  <c r="ER250" i="12"/>
  <c r="ES250" i="12"/>
  <c r="ET250" i="12"/>
  <c r="EU250" i="12"/>
  <c r="EV250" i="12"/>
  <c r="EW250" i="12"/>
  <c r="EX250" i="12"/>
  <c r="EY250" i="12"/>
  <c r="EZ250" i="12"/>
  <c r="FA250" i="12"/>
  <c r="FB250" i="12"/>
  <c r="FC250" i="12"/>
  <c r="FD250" i="12"/>
  <c r="FE250" i="12"/>
  <c r="FF250" i="12"/>
  <c r="FG250" i="12"/>
  <c r="FH250" i="12"/>
  <c r="FI250" i="12"/>
  <c r="FJ250" i="12"/>
  <c r="FK250" i="12"/>
  <c r="FL250" i="12"/>
  <c r="FM250" i="12"/>
  <c r="FN250" i="12"/>
  <c r="FO250" i="12"/>
  <c r="FP250" i="12"/>
  <c r="FQ250" i="12"/>
  <c r="FR250" i="12"/>
  <c r="FS250" i="12"/>
  <c r="FT250" i="12"/>
  <c r="FU250" i="12"/>
  <c r="FV250" i="12"/>
  <c r="FW250" i="12"/>
  <c r="FX250" i="12"/>
  <c r="FY250" i="12"/>
  <c r="FZ250" i="12"/>
  <c r="GA250" i="12"/>
  <c r="GB250" i="12"/>
  <c r="GC250" i="12"/>
  <c r="GD250" i="12"/>
  <c r="GE250" i="12"/>
  <c r="GF250" i="12"/>
  <c r="GG250" i="12"/>
  <c r="GH250" i="12"/>
  <c r="GI250" i="12"/>
  <c r="GJ250" i="12"/>
  <c r="GK250" i="12"/>
  <c r="GL250" i="12"/>
  <c r="GM250" i="12"/>
  <c r="GN250" i="12"/>
  <c r="GO250" i="12"/>
  <c r="GP250" i="12"/>
  <c r="GQ250" i="12"/>
  <c r="GR250" i="12"/>
  <c r="GS250" i="12"/>
  <c r="GT250" i="12"/>
  <c r="GU250" i="12"/>
  <c r="GV250" i="12"/>
  <c r="GW250" i="12"/>
  <c r="GX250" i="12"/>
  <c r="GY250" i="12"/>
  <c r="GZ250" i="12"/>
  <c r="HA250" i="12"/>
  <c r="HB250" i="12"/>
  <c r="HC250" i="12"/>
  <c r="HD250" i="12"/>
  <c r="HE250" i="12"/>
  <c r="HF250" i="12"/>
  <c r="HG250" i="12"/>
  <c r="HH250" i="12"/>
  <c r="HI250" i="12"/>
  <c r="HJ250" i="12"/>
  <c r="HK250" i="12"/>
  <c r="HL250" i="12"/>
  <c r="HM250" i="12"/>
  <c r="HN250" i="12"/>
  <c r="HO250" i="12"/>
  <c r="HP250" i="12"/>
  <c r="HQ250" i="12"/>
  <c r="HR250" i="12"/>
  <c r="HS250" i="12"/>
  <c r="HT250" i="12"/>
  <c r="HU250" i="12"/>
  <c r="HV250" i="12"/>
  <c r="HW250" i="12"/>
  <c r="HX250" i="12"/>
  <c r="HY250" i="12"/>
  <c r="HZ250" i="12"/>
  <c r="IA250" i="12"/>
  <c r="IB250" i="12"/>
  <c r="IC250" i="12"/>
  <c r="ID250" i="12"/>
  <c r="IE250" i="12"/>
  <c r="IF250" i="12"/>
  <c r="IG250" i="12"/>
  <c r="IH250" i="12"/>
  <c r="II250" i="12"/>
  <c r="IJ250" i="12"/>
  <c r="IK250" i="12"/>
  <c r="IL250" i="12"/>
  <c r="IM250" i="12"/>
  <c r="IN250" i="12"/>
  <c r="IO250" i="12"/>
  <c r="IP250" i="12"/>
  <c r="IQ250" i="12"/>
  <c r="IR250" i="12"/>
  <c r="IS250" i="12"/>
  <c r="IT250" i="12"/>
  <c r="IU250" i="12"/>
  <c r="IV250" i="12"/>
  <c r="F251" i="12"/>
  <c r="G251" i="12"/>
  <c r="H251" i="12"/>
  <c r="I251" i="12"/>
  <c r="J251" i="12"/>
  <c r="K251" i="12"/>
  <c r="L251" i="12"/>
  <c r="M251" i="12"/>
  <c r="N251" i="12"/>
  <c r="O251" i="12"/>
  <c r="P251" i="12"/>
  <c r="Q251" i="12"/>
  <c r="R251" i="12"/>
  <c r="S251" i="12"/>
  <c r="T251" i="12"/>
  <c r="U251" i="12"/>
  <c r="V251" i="12"/>
  <c r="W251" i="12"/>
  <c r="X251" i="12"/>
  <c r="Y251" i="12"/>
  <c r="Z251" i="12"/>
  <c r="AA251" i="12"/>
  <c r="AB251" i="12"/>
  <c r="AC251" i="12"/>
  <c r="AD251" i="12"/>
  <c r="AE251" i="12"/>
  <c r="AF251" i="12"/>
  <c r="AG251" i="12"/>
  <c r="AH251" i="12"/>
  <c r="AI251" i="12"/>
  <c r="AJ251" i="12"/>
  <c r="AK251" i="12"/>
  <c r="AL251" i="12"/>
  <c r="AM251" i="12"/>
  <c r="AN251" i="12"/>
  <c r="AO251" i="12"/>
  <c r="AP251" i="12"/>
  <c r="AQ251" i="12"/>
  <c r="AR251" i="12"/>
  <c r="AS251" i="12"/>
  <c r="AT251" i="12"/>
  <c r="AU251" i="12"/>
  <c r="AV251" i="12"/>
  <c r="AW251" i="12"/>
  <c r="AX251" i="12"/>
  <c r="AY251" i="12"/>
  <c r="AZ251" i="12"/>
  <c r="BA251" i="12"/>
  <c r="BB251" i="12"/>
  <c r="BC251" i="12"/>
  <c r="BD251" i="12"/>
  <c r="BE251" i="12"/>
  <c r="BF251" i="12"/>
  <c r="BG251" i="12"/>
  <c r="BH251" i="12"/>
  <c r="BI251" i="12"/>
  <c r="BJ251" i="12"/>
  <c r="BK251" i="12"/>
  <c r="BL251" i="12"/>
  <c r="BM251" i="12"/>
  <c r="BN251" i="12"/>
  <c r="BO251" i="12"/>
  <c r="BP251" i="12"/>
  <c r="BQ251" i="12"/>
  <c r="BR251" i="12"/>
  <c r="BS251" i="12"/>
  <c r="BT251" i="12"/>
  <c r="BU251" i="12"/>
  <c r="BV251" i="12"/>
  <c r="BW251" i="12"/>
  <c r="BX251" i="12"/>
  <c r="BY251" i="12"/>
  <c r="BZ251" i="12"/>
  <c r="CA251" i="12"/>
  <c r="CB251" i="12"/>
  <c r="CC251" i="12"/>
  <c r="CD251" i="12"/>
  <c r="CE251" i="12"/>
  <c r="CF251" i="12"/>
  <c r="CG251" i="12"/>
  <c r="CH251" i="12"/>
  <c r="CI251" i="12"/>
  <c r="CJ251" i="12"/>
  <c r="CK251" i="12"/>
  <c r="CL251" i="12"/>
  <c r="CM251" i="12"/>
  <c r="CN251" i="12"/>
  <c r="CO251" i="12"/>
  <c r="CP251" i="12"/>
  <c r="CQ251" i="12"/>
  <c r="CR251" i="12"/>
  <c r="CS251" i="12"/>
  <c r="CT251" i="12"/>
  <c r="CU251" i="12"/>
  <c r="CV251" i="12"/>
  <c r="CW251" i="12"/>
  <c r="CX251" i="12"/>
  <c r="CY251" i="12"/>
  <c r="CZ251" i="12"/>
  <c r="DA251" i="12"/>
  <c r="DB251" i="12"/>
  <c r="DC251" i="12"/>
  <c r="DD251" i="12"/>
  <c r="DE251" i="12"/>
  <c r="DF251" i="12"/>
  <c r="DG251" i="12"/>
  <c r="DH251" i="12"/>
  <c r="DI251" i="12"/>
  <c r="DJ251" i="12"/>
  <c r="DK251" i="12"/>
  <c r="DL251" i="12"/>
  <c r="DM251" i="12"/>
  <c r="DN251" i="12"/>
  <c r="DO251" i="12"/>
  <c r="DP251" i="12"/>
  <c r="DQ251" i="12"/>
  <c r="DR251" i="12"/>
  <c r="DS251" i="12"/>
  <c r="DT251" i="12"/>
  <c r="DU251" i="12"/>
  <c r="DV251" i="12"/>
  <c r="DW251" i="12"/>
  <c r="DX251" i="12"/>
  <c r="DY251" i="12"/>
  <c r="DZ251" i="12"/>
  <c r="EA251" i="12"/>
  <c r="EB251" i="12"/>
  <c r="EC251" i="12"/>
  <c r="ED251" i="12"/>
  <c r="EE251" i="12"/>
  <c r="EF251" i="12"/>
  <c r="EG251" i="12"/>
  <c r="EH251" i="12"/>
  <c r="EI251" i="12"/>
  <c r="EJ251" i="12"/>
  <c r="EK251" i="12"/>
  <c r="EL251" i="12"/>
  <c r="EM251" i="12"/>
  <c r="EN251" i="12"/>
  <c r="EO251" i="12"/>
  <c r="EP251" i="12"/>
  <c r="EQ251" i="12"/>
  <c r="ER251" i="12"/>
  <c r="ES251" i="12"/>
  <c r="ET251" i="12"/>
  <c r="EU251" i="12"/>
  <c r="EV251" i="12"/>
  <c r="EW251" i="12"/>
  <c r="EX251" i="12"/>
  <c r="EY251" i="12"/>
  <c r="EZ251" i="12"/>
  <c r="FA251" i="12"/>
  <c r="FB251" i="12"/>
  <c r="FC251" i="12"/>
  <c r="FD251" i="12"/>
  <c r="FE251" i="12"/>
  <c r="FF251" i="12"/>
  <c r="FG251" i="12"/>
  <c r="FH251" i="12"/>
  <c r="FI251" i="12"/>
  <c r="FJ251" i="12"/>
  <c r="FK251" i="12"/>
  <c r="FL251" i="12"/>
  <c r="FM251" i="12"/>
  <c r="FN251" i="12"/>
  <c r="FO251" i="12"/>
  <c r="FP251" i="12"/>
  <c r="FQ251" i="12"/>
  <c r="FR251" i="12"/>
  <c r="FS251" i="12"/>
  <c r="FT251" i="12"/>
  <c r="FU251" i="12"/>
  <c r="FV251" i="12"/>
  <c r="FW251" i="12"/>
  <c r="FX251" i="12"/>
  <c r="FY251" i="12"/>
  <c r="FZ251" i="12"/>
  <c r="GA251" i="12"/>
  <c r="GB251" i="12"/>
  <c r="GC251" i="12"/>
  <c r="GD251" i="12"/>
  <c r="GE251" i="12"/>
  <c r="GF251" i="12"/>
  <c r="GG251" i="12"/>
  <c r="GH251" i="12"/>
  <c r="GI251" i="12"/>
  <c r="GJ251" i="12"/>
  <c r="GK251" i="12"/>
  <c r="GL251" i="12"/>
  <c r="GM251" i="12"/>
  <c r="GN251" i="12"/>
  <c r="GO251" i="12"/>
  <c r="GP251" i="12"/>
  <c r="GQ251" i="12"/>
  <c r="GR251" i="12"/>
  <c r="GS251" i="12"/>
  <c r="GT251" i="12"/>
  <c r="GU251" i="12"/>
  <c r="GV251" i="12"/>
  <c r="GW251" i="12"/>
  <c r="GX251" i="12"/>
  <c r="GY251" i="12"/>
  <c r="GZ251" i="12"/>
  <c r="HA251" i="12"/>
  <c r="HB251" i="12"/>
  <c r="HC251" i="12"/>
  <c r="HD251" i="12"/>
  <c r="HE251" i="12"/>
  <c r="HF251" i="12"/>
  <c r="HG251" i="12"/>
  <c r="HH251" i="12"/>
  <c r="HI251" i="12"/>
  <c r="HJ251" i="12"/>
  <c r="HK251" i="12"/>
  <c r="HL251" i="12"/>
  <c r="HM251" i="12"/>
  <c r="HN251" i="12"/>
  <c r="HO251" i="12"/>
  <c r="HP251" i="12"/>
  <c r="HQ251" i="12"/>
  <c r="HR251" i="12"/>
  <c r="HS251" i="12"/>
  <c r="HT251" i="12"/>
  <c r="HU251" i="12"/>
  <c r="HV251" i="12"/>
  <c r="HW251" i="12"/>
  <c r="HX251" i="12"/>
  <c r="HY251" i="12"/>
  <c r="HZ251" i="12"/>
  <c r="IA251" i="12"/>
  <c r="IB251" i="12"/>
  <c r="IC251" i="12"/>
  <c r="ID251" i="12"/>
  <c r="IE251" i="12"/>
  <c r="IF251" i="12"/>
  <c r="IG251" i="12"/>
  <c r="IH251" i="12"/>
  <c r="II251" i="12"/>
  <c r="IJ251" i="12"/>
  <c r="IK251" i="12"/>
  <c r="IL251" i="12"/>
  <c r="IM251" i="12"/>
  <c r="IN251" i="12"/>
  <c r="IO251" i="12"/>
  <c r="IP251" i="12"/>
  <c r="IQ251" i="12"/>
  <c r="IR251" i="12"/>
  <c r="IS251" i="12"/>
  <c r="IT251" i="12"/>
  <c r="IU251" i="12"/>
  <c r="IV251" i="12"/>
  <c r="F252" i="12"/>
  <c r="G252" i="12"/>
  <c r="H252" i="12"/>
  <c r="I252" i="12"/>
  <c r="J252" i="12"/>
  <c r="K252" i="12"/>
  <c r="L252" i="12"/>
  <c r="M252" i="12"/>
  <c r="N252" i="12"/>
  <c r="O252" i="12"/>
  <c r="P252" i="12"/>
  <c r="Q252" i="12"/>
  <c r="R252" i="12"/>
  <c r="S252" i="12"/>
  <c r="T252" i="12"/>
  <c r="U252" i="12"/>
  <c r="V252" i="12"/>
  <c r="W252" i="12"/>
  <c r="X252" i="12"/>
  <c r="Y252" i="12"/>
  <c r="Z252" i="12"/>
  <c r="AA252" i="12"/>
  <c r="AB252" i="12"/>
  <c r="AC252" i="12"/>
  <c r="AD252" i="12"/>
  <c r="AE252" i="12"/>
  <c r="AF252" i="12"/>
  <c r="AG252" i="12"/>
  <c r="AH252" i="12"/>
  <c r="AI252" i="12"/>
  <c r="AJ252" i="12"/>
  <c r="AK252" i="12"/>
  <c r="AL252" i="12"/>
  <c r="AM252" i="12"/>
  <c r="AN252" i="12"/>
  <c r="AO252" i="12"/>
  <c r="AP252" i="12"/>
  <c r="AQ252" i="12"/>
  <c r="AR252" i="12"/>
  <c r="AS252" i="12"/>
  <c r="AT252" i="12"/>
  <c r="AU252" i="12"/>
  <c r="AV252" i="12"/>
  <c r="AW252" i="12"/>
  <c r="AX252" i="12"/>
  <c r="AY252" i="12"/>
  <c r="AZ252" i="12"/>
  <c r="BA252" i="12"/>
  <c r="BB252" i="12"/>
  <c r="BC252" i="12"/>
  <c r="BD252" i="12"/>
  <c r="BE252" i="12"/>
  <c r="BF252" i="12"/>
  <c r="BG252" i="12"/>
  <c r="BH252" i="12"/>
  <c r="BI252" i="12"/>
  <c r="BJ252" i="12"/>
  <c r="BK252" i="12"/>
  <c r="BL252" i="12"/>
  <c r="BM252" i="12"/>
  <c r="BN252" i="12"/>
  <c r="BO252" i="12"/>
  <c r="BP252" i="12"/>
  <c r="BQ252" i="12"/>
  <c r="BR252" i="12"/>
  <c r="BS252" i="12"/>
  <c r="BT252" i="12"/>
  <c r="BU252" i="12"/>
  <c r="BV252" i="12"/>
  <c r="BW252" i="12"/>
  <c r="BX252" i="12"/>
  <c r="BY252" i="12"/>
  <c r="BZ252" i="12"/>
  <c r="CA252" i="12"/>
  <c r="CB252" i="12"/>
  <c r="CC252" i="12"/>
  <c r="CD252" i="12"/>
  <c r="CE252" i="12"/>
  <c r="CF252" i="12"/>
  <c r="CG252" i="12"/>
  <c r="CH252" i="12"/>
  <c r="CI252" i="12"/>
  <c r="CJ252" i="12"/>
  <c r="CK252" i="12"/>
  <c r="CL252" i="12"/>
  <c r="CM252" i="12"/>
  <c r="CN252" i="12"/>
  <c r="CO252" i="12"/>
  <c r="CP252" i="12"/>
  <c r="CQ252" i="12"/>
  <c r="CR252" i="12"/>
  <c r="CS252" i="12"/>
  <c r="CT252" i="12"/>
  <c r="CU252" i="12"/>
  <c r="CV252" i="12"/>
  <c r="CW252" i="12"/>
  <c r="CX252" i="12"/>
  <c r="CY252" i="12"/>
  <c r="CZ252" i="12"/>
  <c r="DA252" i="12"/>
  <c r="DB252" i="12"/>
  <c r="DC252" i="12"/>
  <c r="DD252" i="12"/>
  <c r="DE252" i="12"/>
  <c r="DF252" i="12"/>
  <c r="DG252" i="12"/>
  <c r="DH252" i="12"/>
  <c r="DI252" i="12"/>
  <c r="DJ252" i="12"/>
  <c r="DK252" i="12"/>
  <c r="DL252" i="12"/>
  <c r="DM252" i="12"/>
  <c r="DN252" i="12"/>
  <c r="DO252" i="12"/>
  <c r="DP252" i="12"/>
  <c r="DQ252" i="12"/>
  <c r="DR252" i="12"/>
  <c r="DS252" i="12"/>
  <c r="DT252" i="12"/>
  <c r="DU252" i="12"/>
  <c r="DV252" i="12"/>
  <c r="DW252" i="12"/>
  <c r="DX252" i="12"/>
  <c r="DY252" i="12"/>
  <c r="DZ252" i="12"/>
  <c r="EA252" i="12"/>
  <c r="EB252" i="12"/>
  <c r="EC252" i="12"/>
  <c r="ED252" i="12"/>
  <c r="EE252" i="12"/>
  <c r="EF252" i="12"/>
  <c r="EG252" i="12"/>
  <c r="EH252" i="12"/>
  <c r="EI252" i="12"/>
  <c r="EJ252" i="12"/>
  <c r="EK252" i="12"/>
  <c r="EL252" i="12"/>
  <c r="EM252" i="12"/>
  <c r="EN252" i="12"/>
  <c r="EO252" i="12"/>
  <c r="EP252" i="12"/>
  <c r="EQ252" i="12"/>
  <c r="ER252" i="12"/>
  <c r="ES252" i="12"/>
  <c r="ET252" i="12"/>
  <c r="EU252" i="12"/>
  <c r="EV252" i="12"/>
  <c r="EW252" i="12"/>
  <c r="EX252" i="12"/>
  <c r="EY252" i="12"/>
  <c r="EZ252" i="12"/>
  <c r="FA252" i="12"/>
  <c r="FB252" i="12"/>
  <c r="FC252" i="12"/>
  <c r="FD252" i="12"/>
  <c r="FE252" i="12"/>
  <c r="FF252" i="12"/>
  <c r="FG252" i="12"/>
  <c r="FH252" i="12"/>
  <c r="FI252" i="12"/>
  <c r="FJ252" i="12"/>
  <c r="FK252" i="12"/>
  <c r="FL252" i="12"/>
  <c r="FM252" i="12"/>
  <c r="FN252" i="12"/>
  <c r="FO252" i="12"/>
  <c r="FP252" i="12"/>
  <c r="FQ252" i="12"/>
  <c r="FR252" i="12"/>
  <c r="FS252" i="12"/>
  <c r="FT252" i="12"/>
  <c r="FU252" i="12"/>
  <c r="FV252" i="12"/>
  <c r="FW252" i="12"/>
  <c r="FX252" i="12"/>
  <c r="FY252" i="12"/>
  <c r="FZ252" i="12"/>
  <c r="GA252" i="12"/>
  <c r="GB252" i="12"/>
  <c r="GC252" i="12"/>
  <c r="GD252" i="12"/>
  <c r="GE252" i="12"/>
  <c r="GF252" i="12"/>
  <c r="GG252" i="12"/>
  <c r="GH252" i="12"/>
  <c r="GI252" i="12"/>
  <c r="GJ252" i="12"/>
  <c r="GK252" i="12"/>
  <c r="GL252" i="12"/>
  <c r="GM252" i="12"/>
  <c r="GN252" i="12"/>
  <c r="GO252" i="12"/>
  <c r="GP252" i="12"/>
  <c r="GQ252" i="12"/>
  <c r="GR252" i="12"/>
  <c r="GS252" i="12"/>
  <c r="GT252" i="12"/>
  <c r="GU252" i="12"/>
  <c r="GV252" i="12"/>
  <c r="GW252" i="12"/>
  <c r="GX252" i="12"/>
  <c r="GY252" i="12"/>
  <c r="GZ252" i="12"/>
  <c r="HA252" i="12"/>
  <c r="HB252" i="12"/>
  <c r="HC252" i="12"/>
  <c r="HD252" i="12"/>
  <c r="HE252" i="12"/>
  <c r="HF252" i="12"/>
  <c r="HG252" i="12"/>
  <c r="HH252" i="12"/>
  <c r="HI252" i="12"/>
  <c r="HJ252" i="12"/>
  <c r="HK252" i="12"/>
  <c r="HL252" i="12"/>
  <c r="HM252" i="12"/>
  <c r="HN252" i="12"/>
  <c r="HO252" i="12"/>
  <c r="HP252" i="12"/>
  <c r="HQ252" i="12"/>
  <c r="HR252" i="12"/>
  <c r="HS252" i="12"/>
  <c r="HT252" i="12"/>
  <c r="HU252" i="12"/>
  <c r="HV252" i="12"/>
  <c r="HW252" i="12"/>
  <c r="HX252" i="12"/>
  <c r="HY252" i="12"/>
  <c r="HZ252" i="12"/>
  <c r="IA252" i="12"/>
  <c r="IB252" i="12"/>
  <c r="IC252" i="12"/>
  <c r="ID252" i="12"/>
  <c r="IE252" i="12"/>
  <c r="IF252" i="12"/>
  <c r="IG252" i="12"/>
  <c r="IH252" i="12"/>
  <c r="II252" i="12"/>
  <c r="IJ252" i="12"/>
  <c r="IK252" i="12"/>
  <c r="IL252" i="12"/>
  <c r="IM252" i="12"/>
  <c r="IN252" i="12"/>
  <c r="IO252" i="12"/>
  <c r="IP252" i="12"/>
  <c r="IQ252" i="12"/>
  <c r="IR252" i="12"/>
  <c r="IS252" i="12"/>
  <c r="IT252" i="12"/>
  <c r="IU252" i="12"/>
  <c r="IV252" i="12"/>
  <c r="F253" i="12"/>
  <c r="G253" i="12"/>
  <c r="H253" i="12"/>
  <c r="I253" i="12"/>
  <c r="J253" i="12"/>
  <c r="K253" i="12"/>
  <c r="L253" i="12"/>
  <c r="M253" i="12"/>
  <c r="N253" i="12"/>
  <c r="O253" i="12"/>
  <c r="P253" i="12"/>
  <c r="Q253" i="12"/>
  <c r="R253" i="12"/>
  <c r="S253" i="12"/>
  <c r="T253" i="12"/>
  <c r="U253" i="12"/>
  <c r="V253" i="12"/>
  <c r="W253" i="12"/>
  <c r="X253" i="12"/>
  <c r="Y253" i="12"/>
  <c r="Z253" i="12"/>
  <c r="AA253" i="12"/>
  <c r="AB253" i="12"/>
  <c r="AC253" i="12"/>
  <c r="AD253" i="12"/>
  <c r="AE253" i="12"/>
  <c r="AF253" i="12"/>
  <c r="AG253" i="12"/>
  <c r="AH253" i="12"/>
  <c r="AI253" i="12"/>
  <c r="AJ253" i="12"/>
  <c r="AK253" i="12"/>
  <c r="AL253" i="12"/>
  <c r="AM253" i="12"/>
  <c r="AN253" i="12"/>
  <c r="AO253" i="12"/>
  <c r="AP253" i="12"/>
  <c r="AQ253" i="12"/>
  <c r="AR253" i="12"/>
  <c r="AS253" i="12"/>
  <c r="AT253" i="12"/>
  <c r="AU253" i="12"/>
  <c r="AV253" i="12"/>
  <c r="AW253" i="12"/>
  <c r="AX253" i="12"/>
  <c r="AY253" i="12"/>
  <c r="AZ253" i="12"/>
  <c r="BA253" i="12"/>
  <c r="BB253" i="12"/>
  <c r="BC253" i="12"/>
  <c r="BD253" i="12"/>
  <c r="BE253" i="12"/>
  <c r="BF253" i="12"/>
  <c r="BG253" i="12"/>
  <c r="BH253" i="12"/>
  <c r="BI253" i="12"/>
  <c r="BJ253" i="12"/>
  <c r="BK253" i="12"/>
  <c r="BL253" i="12"/>
  <c r="BM253" i="12"/>
  <c r="BN253" i="12"/>
  <c r="BO253" i="12"/>
  <c r="BP253" i="12"/>
  <c r="BQ253" i="12"/>
  <c r="BR253" i="12"/>
  <c r="BS253" i="12"/>
  <c r="BT253" i="12"/>
  <c r="BU253" i="12"/>
  <c r="BV253" i="12"/>
  <c r="BW253" i="12"/>
  <c r="BX253" i="12"/>
  <c r="BY253" i="12"/>
  <c r="BZ253" i="12"/>
  <c r="CA253" i="12"/>
  <c r="CB253" i="12"/>
  <c r="CC253" i="12"/>
  <c r="CD253" i="12"/>
  <c r="CE253" i="12"/>
  <c r="CF253" i="12"/>
  <c r="CG253" i="12"/>
  <c r="CH253" i="12"/>
  <c r="CI253" i="12"/>
  <c r="CJ253" i="12"/>
  <c r="CK253" i="12"/>
  <c r="CL253" i="12"/>
  <c r="CM253" i="12"/>
  <c r="CN253" i="12"/>
  <c r="CO253" i="12"/>
  <c r="CP253" i="12"/>
  <c r="CQ253" i="12"/>
  <c r="CR253" i="12"/>
  <c r="CS253" i="12"/>
  <c r="CT253" i="12"/>
  <c r="CU253" i="12"/>
  <c r="CV253" i="12"/>
  <c r="CW253" i="12"/>
  <c r="CX253" i="12"/>
  <c r="CY253" i="12"/>
  <c r="CZ253" i="12"/>
  <c r="DA253" i="12"/>
  <c r="DB253" i="12"/>
  <c r="DC253" i="12"/>
  <c r="DD253" i="12"/>
  <c r="DE253" i="12"/>
  <c r="DF253" i="12"/>
  <c r="DG253" i="12"/>
  <c r="DH253" i="12"/>
  <c r="DI253" i="12"/>
  <c r="DJ253" i="12"/>
  <c r="DK253" i="12"/>
  <c r="DL253" i="12"/>
  <c r="DM253" i="12"/>
  <c r="DN253" i="12"/>
  <c r="DO253" i="12"/>
  <c r="DP253" i="12"/>
  <c r="DQ253" i="12"/>
  <c r="DR253" i="12"/>
  <c r="DS253" i="12"/>
  <c r="DT253" i="12"/>
  <c r="DU253" i="12"/>
  <c r="DV253" i="12"/>
  <c r="DW253" i="12"/>
  <c r="DX253" i="12"/>
  <c r="DY253" i="12"/>
  <c r="DZ253" i="12"/>
  <c r="EA253" i="12"/>
  <c r="EB253" i="12"/>
  <c r="EC253" i="12"/>
  <c r="ED253" i="12"/>
  <c r="EE253" i="12"/>
  <c r="EF253" i="12"/>
  <c r="EG253" i="12"/>
  <c r="EH253" i="12"/>
  <c r="EI253" i="12"/>
  <c r="EJ253" i="12"/>
  <c r="EK253" i="12"/>
  <c r="EL253" i="12"/>
  <c r="EM253" i="12"/>
  <c r="EN253" i="12"/>
  <c r="EO253" i="12"/>
  <c r="EP253" i="12"/>
  <c r="EQ253" i="12"/>
  <c r="ER253" i="12"/>
  <c r="ES253" i="12"/>
  <c r="ET253" i="12"/>
  <c r="EU253" i="12"/>
  <c r="EV253" i="12"/>
  <c r="EW253" i="12"/>
  <c r="EX253" i="12"/>
  <c r="EY253" i="12"/>
  <c r="EZ253" i="12"/>
  <c r="FA253" i="12"/>
  <c r="FB253" i="12"/>
  <c r="FC253" i="12"/>
  <c r="FD253" i="12"/>
  <c r="FE253" i="12"/>
  <c r="FF253" i="12"/>
  <c r="FG253" i="12"/>
  <c r="FH253" i="12"/>
  <c r="FI253" i="12"/>
  <c r="FJ253" i="12"/>
  <c r="FK253" i="12"/>
  <c r="FL253" i="12"/>
  <c r="FM253" i="12"/>
  <c r="FN253" i="12"/>
  <c r="FO253" i="12"/>
  <c r="FP253" i="12"/>
  <c r="FQ253" i="12"/>
  <c r="FR253" i="12"/>
  <c r="FS253" i="12"/>
  <c r="FT253" i="12"/>
  <c r="FU253" i="12"/>
  <c r="FV253" i="12"/>
  <c r="FW253" i="12"/>
  <c r="FX253" i="12"/>
  <c r="FY253" i="12"/>
  <c r="FZ253" i="12"/>
  <c r="GA253" i="12"/>
  <c r="GB253" i="12"/>
  <c r="GC253" i="12"/>
  <c r="GD253" i="12"/>
  <c r="GE253" i="12"/>
  <c r="GF253" i="12"/>
  <c r="GG253" i="12"/>
  <c r="GH253" i="12"/>
  <c r="GI253" i="12"/>
  <c r="GJ253" i="12"/>
  <c r="GK253" i="12"/>
  <c r="GL253" i="12"/>
  <c r="GM253" i="12"/>
  <c r="GN253" i="12"/>
  <c r="GO253" i="12"/>
  <c r="GP253" i="12"/>
  <c r="GQ253" i="12"/>
  <c r="GR253" i="12"/>
  <c r="GS253" i="12"/>
  <c r="GT253" i="12"/>
  <c r="GU253" i="12"/>
  <c r="GV253" i="12"/>
  <c r="GW253" i="12"/>
  <c r="GX253" i="12"/>
  <c r="GY253" i="12"/>
  <c r="GZ253" i="12"/>
  <c r="HA253" i="12"/>
  <c r="HB253" i="12"/>
  <c r="HC253" i="12"/>
  <c r="HD253" i="12"/>
  <c r="HE253" i="12"/>
  <c r="HF253" i="12"/>
  <c r="HG253" i="12"/>
  <c r="HH253" i="12"/>
  <c r="HI253" i="12"/>
  <c r="HJ253" i="12"/>
  <c r="HK253" i="12"/>
  <c r="HL253" i="12"/>
  <c r="HM253" i="12"/>
  <c r="HN253" i="12"/>
  <c r="HO253" i="12"/>
  <c r="HP253" i="12"/>
  <c r="HQ253" i="12"/>
  <c r="HR253" i="12"/>
  <c r="HS253" i="12"/>
  <c r="HT253" i="12"/>
  <c r="HU253" i="12"/>
  <c r="HV253" i="12"/>
  <c r="HW253" i="12"/>
  <c r="HX253" i="12"/>
  <c r="HY253" i="12"/>
  <c r="HZ253" i="12"/>
  <c r="IA253" i="12"/>
  <c r="IB253" i="12"/>
  <c r="IC253" i="12"/>
  <c r="ID253" i="12"/>
  <c r="IE253" i="12"/>
  <c r="IF253" i="12"/>
  <c r="IG253" i="12"/>
  <c r="IH253" i="12"/>
  <c r="II253" i="12"/>
  <c r="IJ253" i="12"/>
  <c r="IK253" i="12"/>
  <c r="IL253" i="12"/>
  <c r="IM253" i="12"/>
  <c r="IN253" i="12"/>
  <c r="IO253" i="12"/>
  <c r="IP253" i="12"/>
  <c r="IQ253" i="12"/>
  <c r="IR253" i="12"/>
  <c r="IS253" i="12"/>
  <c r="IT253" i="12"/>
  <c r="IU253" i="12"/>
  <c r="IV253" i="12"/>
  <c r="F254" i="12"/>
  <c r="G254" i="12"/>
  <c r="H254" i="12"/>
  <c r="I254" i="12"/>
  <c r="J254" i="12"/>
  <c r="K254" i="12"/>
  <c r="L254" i="12"/>
  <c r="M254" i="12"/>
  <c r="N254" i="12"/>
  <c r="O254" i="12"/>
  <c r="P254" i="12"/>
  <c r="Q254" i="12"/>
  <c r="R254" i="12"/>
  <c r="S254" i="12"/>
  <c r="T254" i="12"/>
  <c r="U254" i="12"/>
  <c r="V254" i="12"/>
  <c r="W254" i="12"/>
  <c r="X254" i="12"/>
  <c r="Y254" i="12"/>
  <c r="Z254" i="12"/>
  <c r="AA254" i="12"/>
  <c r="AB254" i="12"/>
  <c r="AC254" i="12"/>
  <c r="AD254" i="12"/>
  <c r="AE254" i="12"/>
  <c r="AF254" i="12"/>
  <c r="AG254" i="12"/>
  <c r="AH254" i="12"/>
  <c r="AI254" i="12"/>
  <c r="AJ254" i="12"/>
  <c r="AK254" i="12"/>
  <c r="AL254" i="12"/>
  <c r="AM254" i="12"/>
  <c r="AN254" i="12"/>
  <c r="AO254" i="12"/>
  <c r="AP254" i="12"/>
  <c r="AQ254" i="12"/>
  <c r="AR254" i="12"/>
  <c r="AS254" i="12"/>
  <c r="AT254" i="12"/>
  <c r="AU254" i="12"/>
  <c r="AV254" i="12"/>
  <c r="AW254" i="12"/>
  <c r="AX254" i="12"/>
  <c r="AY254" i="12"/>
  <c r="AZ254" i="12"/>
  <c r="BA254" i="12"/>
  <c r="BB254" i="12"/>
  <c r="BC254" i="12"/>
  <c r="BD254" i="12"/>
  <c r="BE254" i="12"/>
  <c r="BF254" i="12"/>
  <c r="BG254" i="12"/>
  <c r="BH254" i="12"/>
  <c r="BI254" i="12"/>
  <c r="BJ254" i="12"/>
  <c r="BK254" i="12"/>
  <c r="BL254" i="12"/>
  <c r="BM254" i="12"/>
  <c r="BN254" i="12"/>
  <c r="BO254" i="12"/>
  <c r="BP254" i="12"/>
  <c r="BQ254" i="12"/>
  <c r="BR254" i="12"/>
  <c r="BS254" i="12"/>
  <c r="BT254" i="12"/>
  <c r="BU254" i="12"/>
  <c r="BV254" i="12"/>
  <c r="BW254" i="12"/>
  <c r="BX254" i="12"/>
  <c r="BY254" i="12"/>
  <c r="BZ254" i="12"/>
  <c r="CA254" i="12"/>
  <c r="CB254" i="12"/>
  <c r="CC254" i="12"/>
  <c r="CD254" i="12"/>
  <c r="CE254" i="12"/>
  <c r="CF254" i="12"/>
  <c r="CG254" i="12"/>
  <c r="CH254" i="12"/>
  <c r="CI254" i="12"/>
  <c r="CJ254" i="12"/>
  <c r="CK254" i="12"/>
  <c r="CL254" i="12"/>
  <c r="CM254" i="12"/>
  <c r="CN254" i="12"/>
  <c r="CO254" i="12"/>
  <c r="CP254" i="12"/>
  <c r="CQ254" i="12"/>
  <c r="CR254" i="12"/>
  <c r="CS254" i="12"/>
  <c r="CT254" i="12"/>
  <c r="CU254" i="12"/>
  <c r="CV254" i="12"/>
  <c r="CW254" i="12"/>
  <c r="CX254" i="12"/>
  <c r="CY254" i="12"/>
  <c r="CZ254" i="12"/>
  <c r="DA254" i="12"/>
  <c r="DB254" i="12"/>
  <c r="DC254" i="12"/>
  <c r="DD254" i="12"/>
  <c r="DE254" i="12"/>
  <c r="DF254" i="12"/>
  <c r="DG254" i="12"/>
  <c r="DH254" i="12"/>
  <c r="DI254" i="12"/>
  <c r="DJ254" i="12"/>
  <c r="DK254" i="12"/>
  <c r="DL254" i="12"/>
  <c r="DM254" i="12"/>
  <c r="DN254" i="12"/>
  <c r="DO254" i="12"/>
  <c r="DP254" i="12"/>
  <c r="DQ254" i="12"/>
  <c r="DR254" i="12"/>
  <c r="DS254" i="12"/>
  <c r="DT254" i="12"/>
  <c r="DU254" i="12"/>
  <c r="DV254" i="12"/>
  <c r="DW254" i="12"/>
  <c r="DX254" i="12"/>
  <c r="DY254" i="12"/>
  <c r="DZ254" i="12"/>
  <c r="EA254" i="12"/>
  <c r="EB254" i="12"/>
  <c r="EC254" i="12"/>
  <c r="ED254" i="12"/>
  <c r="EE254" i="12"/>
  <c r="EF254" i="12"/>
  <c r="EG254" i="12"/>
  <c r="EH254" i="12"/>
  <c r="EI254" i="12"/>
  <c r="EJ254" i="12"/>
  <c r="EK254" i="12"/>
  <c r="EL254" i="12"/>
  <c r="EM254" i="12"/>
  <c r="EN254" i="12"/>
  <c r="EO254" i="12"/>
  <c r="EP254" i="12"/>
  <c r="EQ254" i="12"/>
  <c r="ER254" i="12"/>
  <c r="ES254" i="12"/>
  <c r="ET254" i="12"/>
  <c r="EU254" i="12"/>
  <c r="EV254" i="12"/>
  <c r="EW254" i="12"/>
  <c r="EX254" i="12"/>
  <c r="EY254" i="12"/>
  <c r="EZ254" i="12"/>
  <c r="FA254" i="12"/>
  <c r="FB254" i="12"/>
  <c r="FC254" i="12"/>
  <c r="FD254" i="12"/>
  <c r="FE254" i="12"/>
  <c r="FF254" i="12"/>
  <c r="FG254" i="12"/>
  <c r="FH254" i="12"/>
  <c r="FI254" i="12"/>
  <c r="FJ254" i="12"/>
  <c r="FK254" i="12"/>
  <c r="FL254" i="12"/>
  <c r="FM254" i="12"/>
  <c r="FN254" i="12"/>
  <c r="FO254" i="12"/>
  <c r="FP254" i="12"/>
  <c r="FQ254" i="12"/>
  <c r="FR254" i="12"/>
  <c r="FS254" i="12"/>
  <c r="FT254" i="12"/>
  <c r="FU254" i="12"/>
  <c r="FV254" i="12"/>
  <c r="FW254" i="12"/>
  <c r="FX254" i="12"/>
  <c r="FY254" i="12"/>
  <c r="FZ254" i="12"/>
  <c r="GA254" i="12"/>
  <c r="GB254" i="12"/>
  <c r="GC254" i="12"/>
  <c r="GD254" i="12"/>
  <c r="GE254" i="12"/>
  <c r="GF254" i="12"/>
  <c r="GG254" i="12"/>
  <c r="GH254" i="12"/>
  <c r="GI254" i="12"/>
  <c r="GJ254" i="12"/>
  <c r="GK254" i="12"/>
  <c r="GL254" i="12"/>
  <c r="GM254" i="12"/>
  <c r="GN254" i="12"/>
  <c r="GO254" i="12"/>
  <c r="GP254" i="12"/>
  <c r="GQ254" i="12"/>
  <c r="GR254" i="12"/>
  <c r="GS254" i="12"/>
  <c r="GT254" i="12"/>
  <c r="GU254" i="12"/>
  <c r="GV254" i="12"/>
  <c r="GW254" i="12"/>
  <c r="GX254" i="12"/>
  <c r="GY254" i="12"/>
  <c r="GZ254" i="12"/>
  <c r="HA254" i="12"/>
  <c r="HB254" i="12"/>
  <c r="HC254" i="12"/>
  <c r="HD254" i="12"/>
  <c r="HE254" i="12"/>
  <c r="HF254" i="12"/>
  <c r="HG254" i="12"/>
  <c r="HH254" i="12"/>
  <c r="HI254" i="12"/>
  <c r="HJ254" i="12"/>
  <c r="HK254" i="12"/>
  <c r="HL254" i="12"/>
  <c r="HM254" i="12"/>
  <c r="HN254" i="12"/>
  <c r="HO254" i="12"/>
  <c r="HP254" i="12"/>
  <c r="HQ254" i="12"/>
  <c r="HR254" i="12"/>
  <c r="HS254" i="12"/>
  <c r="HT254" i="12"/>
  <c r="HU254" i="12"/>
  <c r="HV254" i="12"/>
  <c r="HW254" i="12"/>
  <c r="HX254" i="12"/>
  <c r="HY254" i="12"/>
  <c r="HZ254" i="12"/>
  <c r="IA254" i="12"/>
  <c r="IB254" i="12"/>
  <c r="IC254" i="12"/>
  <c r="ID254" i="12"/>
  <c r="IE254" i="12"/>
  <c r="IF254" i="12"/>
  <c r="IG254" i="12"/>
  <c r="IH254" i="12"/>
  <c r="II254" i="12"/>
  <c r="IJ254" i="12"/>
  <c r="IK254" i="12"/>
  <c r="IL254" i="12"/>
  <c r="IM254" i="12"/>
  <c r="IN254" i="12"/>
  <c r="IO254" i="12"/>
  <c r="IP254" i="12"/>
  <c r="IQ254" i="12"/>
  <c r="IR254" i="12"/>
  <c r="IS254" i="12"/>
  <c r="IT254" i="12"/>
  <c r="IU254" i="12"/>
  <c r="IV254" i="12"/>
  <c r="F255" i="12"/>
  <c r="G255" i="12"/>
  <c r="H255" i="12"/>
  <c r="I255" i="12"/>
  <c r="J255" i="12"/>
  <c r="K255" i="12"/>
  <c r="L255" i="12"/>
  <c r="M255" i="12"/>
  <c r="N255" i="12"/>
  <c r="O255" i="12"/>
  <c r="P255" i="12"/>
  <c r="Q255" i="12"/>
  <c r="R255" i="12"/>
  <c r="S255" i="12"/>
  <c r="T255" i="12"/>
  <c r="U255" i="12"/>
  <c r="V255" i="12"/>
  <c r="W255" i="12"/>
  <c r="X255" i="12"/>
  <c r="Y255" i="12"/>
  <c r="Z255" i="12"/>
  <c r="AA255" i="12"/>
  <c r="AB255" i="12"/>
  <c r="AC255" i="12"/>
  <c r="AD255" i="12"/>
  <c r="AE255" i="12"/>
  <c r="AF255" i="12"/>
  <c r="AG255" i="12"/>
  <c r="AH255" i="12"/>
  <c r="AI255" i="12"/>
  <c r="AJ255" i="12"/>
  <c r="AK255" i="12"/>
  <c r="AL255" i="12"/>
  <c r="AM255" i="12"/>
  <c r="AN255" i="12"/>
  <c r="AO255" i="12"/>
  <c r="AP255" i="12"/>
  <c r="AQ255" i="12"/>
  <c r="AR255" i="12"/>
  <c r="AS255" i="12"/>
  <c r="AT255" i="12"/>
  <c r="AU255" i="12"/>
  <c r="AV255" i="12"/>
  <c r="AW255" i="12"/>
  <c r="AX255" i="12"/>
  <c r="AY255" i="12"/>
  <c r="AZ255" i="12"/>
  <c r="BA255" i="12"/>
  <c r="BB255" i="12"/>
  <c r="BC255" i="12"/>
  <c r="BD255" i="12"/>
  <c r="BE255" i="12"/>
  <c r="BF255" i="12"/>
  <c r="BG255" i="12"/>
  <c r="BH255" i="12"/>
  <c r="BI255" i="12"/>
  <c r="BJ255" i="12"/>
  <c r="BK255" i="12"/>
  <c r="BL255" i="12"/>
  <c r="BM255" i="12"/>
  <c r="BN255" i="12"/>
  <c r="BO255" i="12"/>
  <c r="BP255" i="12"/>
  <c r="BQ255" i="12"/>
  <c r="BR255" i="12"/>
  <c r="BS255" i="12"/>
  <c r="BT255" i="12"/>
  <c r="BU255" i="12"/>
  <c r="BV255" i="12"/>
  <c r="BW255" i="12"/>
  <c r="BX255" i="12"/>
  <c r="BY255" i="12"/>
  <c r="BZ255" i="12"/>
  <c r="CA255" i="12"/>
  <c r="CB255" i="12"/>
  <c r="CC255" i="12"/>
  <c r="CD255" i="12"/>
  <c r="CE255" i="12"/>
  <c r="CF255" i="12"/>
  <c r="CG255" i="12"/>
  <c r="CH255" i="12"/>
  <c r="CI255" i="12"/>
  <c r="CJ255" i="12"/>
  <c r="CK255" i="12"/>
  <c r="CL255" i="12"/>
  <c r="CM255" i="12"/>
  <c r="CN255" i="12"/>
  <c r="CO255" i="12"/>
  <c r="CP255" i="12"/>
  <c r="CQ255" i="12"/>
  <c r="CR255" i="12"/>
  <c r="CS255" i="12"/>
  <c r="CT255" i="12"/>
  <c r="CU255" i="12"/>
  <c r="CV255" i="12"/>
  <c r="CW255" i="12"/>
  <c r="CX255" i="12"/>
  <c r="CY255" i="12"/>
  <c r="CZ255" i="12"/>
  <c r="DA255" i="12"/>
  <c r="DB255" i="12"/>
  <c r="DC255" i="12"/>
  <c r="DD255" i="12"/>
  <c r="DE255" i="12"/>
  <c r="DF255" i="12"/>
  <c r="DG255" i="12"/>
  <c r="DH255" i="12"/>
  <c r="DI255" i="12"/>
  <c r="DJ255" i="12"/>
  <c r="DK255" i="12"/>
  <c r="DL255" i="12"/>
  <c r="DM255" i="12"/>
  <c r="DN255" i="12"/>
  <c r="DO255" i="12"/>
  <c r="DP255" i="12"/>
  <c r="DQ255" i="12"/>
  <c r="DR255" i="12"/>
  <c r="DS255" i="12"/>
  <c r="DT255" i="12"/>
  <c r="DU255" i="12"/>
  <c r="DV255" i="12"/>
  <c r="DW255" i="12"/>
  <c r="DX255" i="12"/>
  <c r="DY255" i="12"/>
  <c r="DZ255" i="12"/>
  <c r="EA255" i="12"/>
  <c r="EB255" i="12"/>
  <c r="EC255" i="12"/>
  <c r="ED255" i="12"/>
  <c r="EE255" i="12"/>
  <c r="EF255" i="12"/>
  <c r="EG255" i="12"/>
  <c r="EH255" i="12"/>
  <c r="EI255" i="12"/>
  <c r="EJ255" i="12"/>
  <c r="EK255" i="12"/>
  <c r="EL255" i="12"/>
  <c r="EM255" i="12"/>
  <c r="EN255" i="12"/>
  <c r="EO255" i="12"/>
  <c r="EP255" i="12"/>
  <c r="EQ255" i="12"/>
  <c r="ER255" i="12"/>
  <c r="ES255" i="12"/>
  <c r="ET255" i="12"/>
  <c r="EU255" i="12"/>
  <c r="EV255" i="12"/>
  <c r="EW255" i="12"/>
  <c r="EX255" i="12"/>
  <c r="EY255" i="12"/>
  <c r="EZ255" i="12"/>
  <c r="FA255" i="12"/>
  <c r="FB255" i="12"/>
  <c r="FC255" i="12"/>
  <c r="FD255" i="12"/>
  <c r="FE255" i="12"/>
  <c r="FF255" i="12"/>
  <c r="FG255" i="12"/>
  <c r="FH255" i="12"/>
  <c r="FI255" i="12"/>
  <c r="FJ255" i="12"/>
  <c r="FK255" i="12"/>
  <c r="FL255" i="12"/>
  <c r="FM255" i="12"/>
  <c r="FN255" i="12"/>
  <c r="FO255" i="12"/>
  <c r="FP255" i="12"/>
  <c r="FQ255" i="12"/>
  <c r="FR255" i="12"/>
  <c r="FS255" i="12"/>
  <c r="FT255" i="12"/>
  <c r="FU255" i="12"/>
  <c r="FV255" i="12"/>
  <c r="FW255" i="12"/>
  <c r="FX255" i="12"/>
  <c r="FY255" i="12"/>
  <c r="FZ255" i="12"/>
  <c r="GA255" i="12"/>
  <c r="GB255" i="12"/>
  <c r="GC255" i="12"/>
  <c r="GD255" i="12"/>
  <c r="GE255" i="12"/>
  <c r="GF255" i="12"/>
  <c r="GG255" i="12"/>
  <c r="GH255" i="12"/>
  <c r="GI255" i="12"/>
  <c r="GJ255" i="12"/>
  <c r="GK255" i="12"/>
  <c r="GL255" i="12"/>
  <c r="GM255" i="12"/>
  <c r="GN255" i="12"/>
  <c r="GO255" i="12"/>
  <c r="GP255" i="12"/>
  <c r="GQ255" i="12"/>
  <c r="GR255" i="12"/>
  <c r="GS255" i="12"/>
  <c r="GT255" i="12"/>
  <c r="GU255" i="12"/>
  <c r="GV255" i="12"/>
  <c r="GW255" i="12"/>
  <c r="GX255" i="12"/>
  <c r="GY255" i="12"/>
  <c r="GZ255" i="12"/>
  <c r="HA255" i="12"/>
  <c r="HB255" i="12"/>
  <c r="HC255" i="12"/>
  <c r="HD255" i="12"/>
  <c r="HE255" i="12"/>
  <c r="HF255" i="12"/>
  <c r="HG255" i="12"/>
  <c r="HH255" i="12"/>
  <c r="HI255" i="12"/>
  <c r="HJ255" i="12"/>
  <c r="HK255" i="12"/>
  <c r="HL255" i="12"/>
  <c r="HM255" i="12"/>
  <c r="HN255" i="12"/>
  <c r="HO255" i="12"/>
  <c r="HP255" i="12"/>
  <c r="HQ255" i="12"/>
  <c r="HR255" i="12"/>
  <c r="HS255" i="12"/>
  <c r="HT255" i="12"/>
  <c r="HU255" i="12"/>
  <c r="HV255" i="12"/>
  <c r="HW255" i="12"/>
  <c r="HX255" i="12"/>
  <c r="HY255" i="12"/>
  <c r="HZ255" i="12"/>
  <c r="IA255" i="12"/>
  <c r="IB255" i="12"/>
  <c r="IC255" i="12"/>
  <c r="ID255" i="12"/>
  <c r="IE255" i="12"/>
  <c r="IF255" i="12"/>
  <c r="IG255" i="12"/>
  <c r="IH255" i="12"/>
  <c r="II255" i="12"/>
  <c r="IJ255" i="12"/>
  <c r="IK255" i="12"/>
  <c r="IL255" i="12"/>
  <c r="IM255" i="12"/>
  <c r="IN255" i="12"/>
  <c r="IO255" i="12"/>
  <c r="IP255" i="12"/>
  <c r="IQ255" i="12"/>
  <c r="IR255" i="12"/>
  <c r="IS255" i="12"/>
  <c r="IT255" i="12"/>
  <c r="IU255" i="12"/>
  <c r="IV255" i="12"/>
  <c r="F256" i="12"/>
  <c r="G256" i="12"/>
  <c r="H256" i="12"/>
  <c r="I256" i="12"/>
  <c r="J256" i="12"/>
  <c r="K256" i="12"/>
  <c r="L256" i="12"/>
  <c r="M256" i="12"/>
  <c r="N256" i="12"/>
  <c r="O256" i="12"/>
  <c r="P256" i="12"/>
  <c r="Q256" i="12"/>
  <c r="R256" i="12"/>
  <c r="S256" i="12"/>
  <c r="T256" i="12"/>
  <c r="U256" i="12"/>
  <c r="V256" i="12"/>
  <c r="W256" i="12"/>
  <c r="X256" i="12"/>
  <c r="Y256" i="12"/>
  <c r="Z256" i="12"/>
  <c r="AA256" i="12"/>
  <c r="AB256" i="12"/>
  <c r="AC256" i="12"/>
  <c r="AD256" i="12"/>
  <c r="AE256" i="12"/>
  <c r="AF256" i="12"/>
  <c r="AG256" i="12"/>
  <c r="AH256" i="12"/>
  <c r="AI256" i="12"/>
  <c r="AJ256" i="12"/>
  <c r="AK256" i="12"/>
  <c r="AL256" i="12"/>
  <c r="AM256" i="12"/>
  <c r="AN256" i="12"/>
  <c r="AO256" i="12"/>
  <c r="AP256" i="12"/>
  <c r="AQ256" i="12"/>
  <c r="AR256" i="12"/>
  <c r="AS256" i="12"/>
  <c r="AT256" i="12"/>
  <c r="AU256" i="12"/>
  <c r="AV256" i="12"/>
  <c r="AW256" i="12"/>
  <c r="AX256" i="12"/>
  <c r="AY256" i="12"/>
  <c r="AZ256" i="12"/>
  <c r="BA256" i="12"/>
  <c r="BB256" i="12"/>
  <c r="BC256" i="12"/>
  <c r="BD256" i="12"/>
  <c r="BE256" i="12"/>
  <c r="BF256" i="12"/>
  <c r="BG256" i="12"/>
  <c r="BH256" i="12"/>
  <c r="BI256" i="12"/>
  <c r="BJ256" i="12"/>
  <c r="BK256" i="12"/>
  <c r="BL256" i="12"/>
  <c r="BM256" i="12"/>
  <c r="BN256" i="12"/>
  <c r="BO256" i="12"/>
  <c r="BP256" i="12"/>
  <c r="BQ256" i="12"/>
  <c r="BR256" i="12"/>
  <c r="BS256" i="12"/>
  <c r="BT256" i="12"/>
  <c r="BU256" i="12"/>
  <c r="BV256" i="12"/>
  <c r="BW256" i="12"/>
  <c r="BX256" i="12"/>
  <c r="BY256" i="12"/>
  <c r="BZ256" i="12"/>
  <c r="CA256" i="12"/>
  <c r="CB256" i="12"/>
  <c r="CC256" i="12"/>
  <c r="CD256" i="12"/>
  <c r="CE256" i="12"/>
  <c r="CF256" i="12"/>
  <c r="CG256" i="12"/>
  <c r="CH256" i="12"/>
  <c r="CI256" i="12"/>
  <c r="CJ256" i="12"/>
  <c r="CK256" i="12"/>
  <c r="CL256" i="12"/>
  <c r="CM256" i="12"/>
  <c r="CN256" i="12"/>
  <c r="CO256" i="12"/>
  <c r="CP256" i="12"/>
  <c r="CQ256" i="12"/>
  <c r="CR256" i="12"/>
  <c r="CS256" i="12"/>
  <c r="CT256" i="12"/>
  <c r="CU256" i="12"/>
  <c r="CV256" i="12"/>
  <c r="CW256" i="12"/>
  <c r="CX256" i="12"/>
  <c r="CY256" i="12"/>
  <c r="CZ256" i="12"/>
  <c r="DA256" i="12"/>
  <c r="DB256" i="12"/>
  <c r="DC256" i="12"/>
  <c r="DD256" i="12"/>
  <c r="DE256" i="12"/>
  <c r="DF256" i="12"/>
  <c r="DG256" i="12"/>
  <c r="DH256" i="12"/>
  <c r="DI256" i="12"/>
  <c r="DJ256" i="12"/>
  <c r="DK256" i="12"/>
  <c r="DL256" i="12"/>
  <c r="DM256" i="12"/>
  <c r="DN256" i="12"/>
  <c r="DO256" i="12"/>
  <c r="DP256" i="12"/>
  <c r="DQ256" i="12"/>
  <c r="DR256" i="12"/>
  <c r="DS256" i="12"/>
  <c r="DT256" i="12"/>
  <c r="DU256" i="12"/>
  <c r="DV256" i="12"/>
  <c r="DW256" i="12"/>
  <c r="DX256" i="12"/>
  <c r="DY256" i="12"/>
  <c r="DZ256" i="12"/>
  <c r="EA256" i="12"/>
  <c r="EB256" i="12"/>
  <c r="EC256" i="12"/>
  <c r="ED256" i="12"/>
  <c r="EE256" i="12"/>
  <c r="EF256" i="12"/>
  <c r="EG256" i="12"/>
  <c r="EH256" i="12"/>
  <c r="EI256" i="12"/>
  <c r="EJ256" i="12"/>
  <c r="EK256" i="12"/>
  <c r="EL256" i="12"/>
  <c r="EM256" i="12"/>
  <c r="EN256" i="12"/>
  <c r="EO256" i="12"/>
  <c r="EP256" i="12"/>
  <c r="EQ256" i="12"/>
  <c r="ER256" i="12"/>
  <c r="ES256" i="12"/>
  <c r="ET256" i="12"/>
  <c r="EU256" i="12"/>
  <c r="EV256" i="12"/>
  <c r="EW256" i="12"/>
  <c r="EX256" i="12"/>
  <c r="EY256" i="12"/>
  <c r="EZ256" i="12"/>
  <c r="FA256" i="12"/>
  <c r="FB256" i="12"/>
  <c r="FC256" i="12"/>
  <c r="FD256" i="12"/>
  <c r="FE256" i="12"/>
  <c r="FF256" i="12"/>
  <c r="FG256" i="12"/>
  <c r="FH256" i="12"/>
  <c r="FI256" i="12"/>
  <c r="FJ256" i="12"/>
  <c r="FK256" i="12"/>
  <c r="FL256" i="12"/>
  <c r="FM256" i="12"/>
  <c r="FN256" i="12"/>
  <c r="FO256" i="12"/>
  <c r="FP256" i="12"/>
  <c r="FQ256" i="12"/>
  <c r="FR256" i="12"/>
  <c r="FS256" i="12"/>
  <c r="FT256" i="12"/>
  <c r="FU256" i="12"/>
  <c r="FV256" i="12"/>
  <c r="FW256" i="12"/>
  <c r="FX256" i="12"/>
  <c r="FY256" i="12"/>
  <c r="FZ256" i="12"/>
  <c r="GA256" i="12"/>
  <c r="GB256" i="12"/>
  <c r="GC256" i="12"/>
  <c r="GD256" i="12"/>
  <c r="GE256" i="12"/>
  <c r="GF256" i="12"/>
  <c r="GG256" i="12"/>
  <c r="GH256" i="12"/>
  <c r="GI256" i="12"/>
  <c r="GJ256" i="12"/>
  <c r="GK256" i="12"/>
  <c r="GL256" i="12"/>
  <c r="GM256" i="12"/>
  <c r="GN256" i="12"/>
  <c r="GO256" i="12"/>
  <c r="GP256" i="12"/>
  <c r="GQ256" i="12"/>
  <c r="GR256" i="12"/>
  <c r="GS256" i="12"/>
  <c r="GT256" i="12"/>
  <c r="GU256" i="12"/>
  <c r="GV256" i="12"/>
  <c r="GW256" i="12"/>
  <c r="GX256" i="12"/>
  <c r="GY256" i="12"/>
  <c r="GZ256" i="12"/>
  <c r="HA256" i="12"/>
  <c r="HB256" i="12"/>
  <c r="HC256" i="12"/>
  <c r="HD256" i="12"/>
  <c r="HE256" i="12"/>
  <c r="HF256" i="12"/>
  <c r="HG256" i="12"/>
  <c r="HH256" i="12"/>
  <c r="HI256" i="12"/>
  <c r="HJ256" i="12"/>
  <c r="HK256" i="12"/>
  <c r="HL256" i="12"/>
  <c r="HM256" i="12"/>
  <c r="HN256" i="12"/>
  <c r="HO256" i="12"/>
  <c r="HP256" i="12"/>
  <c r="HQ256" i="12"/>
  <c r="HR256" i="12"/>
  <c r="HS256" i="12"/>
  <c r="HT256" i="12"/>
  <c r="HU256" i="12"/>
  <c r="HV256" i="12"/>
  <c r="HW256" i="12"/>
  <c r="HX256" i="12"/>
  <c r="HY256" i="12"/>
  <c r="HZ256" i="12"/>
  <c r="IA256" i="12"/>
  <c r="IB256" i="12"/>
  <c r="IC256" i="12"/>
  <c r="ID256" i="12"/>
  <c r="IE256" i="12"/>
  <c r="IF256" i="12"/>
  <c r="IG256" i="12"/>
  <c r="IH256" i="12"/>
  <c r="II256" i="12"/>
  <c r="IJ256" i="12"/>
  <c r="IK256" i="12"/>
  <c r="IL256" i="12"/>
  <c r="IM256" i="12"/>
  <c r="IN256" i="12"/>
  <c r="IO256" i="12"/>
  <c r="IP256" i="12"/>
  <c r="IQ256" i="12"/>
  <c r="IR256" i="12"/>
  <c r="IS256" i="12"/>
  <c r="IT256" i="12"/>
  <c r="IU256" i="12"/>
  <c r="IV256" i="12"/>
  <c r="F257" i="12"/>
  <c r="G257" i="12"/>
  <c r="H257" i="12"/>
  <c r="I257" i="12"/>
  <c r="J257" i="12"/>
  <c r="K257" i="12"/>
  <c r="L257" i="12"/>
  <c r="M257" i="12"/>
  <c r="N257" i="12"/>
  <c r="O257" i="12"/>
  <c r="P257" i="12"/>
  <c r="Q257" i="12"/>
  <c r="R257" i="12"/>
  <c r="S257" i="12"/>
  <c r="T257" i="12"/>
  <c r="U257" i="12"/>
  <c r="V257" i="12"/>
  <c r="W257" i="12"/>
  <c r="X257" i="12"/>
  <c r="Y257" i="12"/>
  <c r="Z257" i="12"/>
  <c r="AA257" i="12"/>
  <c r="AB257" i="12"/>
  <c r="AC257" i="12"/>
  <c r="AD257" i="12"/>
  <c r="AE257" i="12"/>
  <c r="AF257" i="12"/>
  <c r="AG257" i="12"/>
  <c r="AH257" i="12"/>
  <c r="AI257" i="12"/>
  <c r="AJ257" i="12"/>
  <c r="AK257" i="12"/>
  <c r="AL257" i="12"/>
  <c r="AM257" i="12"/>
  <c r="AN257" i="12"/>
  <c r="AO257" i="12"/>
  <c r="AP257" i="12"/>
  <c r="AQ257" i="12"/>
  <c r="AR257" i="12"/>
  <c r="AS257" i="12"/>
  <c r="AT257" i="12"/>
  <c r="AU257" i="12"/>
  <c r="AV257" i="12"/>
  <c r="AW257" i="12"/>
  <c r="AX257" i="12"/>
  <c r="AY257" i="12"/>
  <c r="AZ257" i="12"/>
  <c r="BA257" i="12"/>
  <c r="BB257" i="12"/>
  <c r="BC257" i="12"/>
  <c r="BD257" i="12"/>
  <c r="BE257" i="12"/>
  <c r="BF257" i="12"/>
  <c r="BG257" i="12"/>
  <c r="BH257" i="12"/>
  <c r="BI257" i="12"/>
  <c r="BJ257" i="12"/>
  <c r="BK257" i="12"/>
  <c r="BL257" i="12"/>
  <c r="BM257" i="12"/>
  <c r="BN257" i="12"/>
  <c r="BO257" i="12"/>
  <c r="BP257" i="12"/>
  <c r="BQ257" i="12"/>
  <c r="BR257" i="12"/>
  <c r="BS257" i="12"/>
  <c r="BT257" i="12"/>
  <c r="BU257" i="12"/>
  <c r="BV257" i="12"/>
  <c r="BW257" i="12"/>
  <c r="BX257" i="12"/>
  <c r="BY257" i="12"/>
  <c r="BZ257" i="12"/>
  <c r="CA257" i="12"/>
  <c r="CB257" i="12"/>
  <c r="CC257" i="12"/>
  <c r="CD257" i="12"/>
  <c r="CE257" i="12"/>
  <c r="CF257" i="12"/>
  <c r="CG257" i="12"/>
  <c r="CH257" i="12"/>
  <c r="CI257" i="12"/>
  <c r="CJ257" i="12"/>
  <c r="CK257" i="12"/>
  <c r="CL257" i="12"/>
  <c r="CM257" i="12"/>
  <c r="CN257" i="12"/>
  <c r="CO257" i="12"/>
  <c r="CP257" i="12"/>
  <c r="CQ257" i="12"/>
  <c r="CR257" i="12"/>
  <c r="CS257" i="12"/>
  <c r="CT257" i="12"/>
  <c r="CU257" i="12"/>
  <c r="CV257" i="12"/>
  <c r="CW257" i="12"/>
  <c r="CX257" i="12"/>
  <c r="CY257" i="12"/>
  <c r="CZ257" i="12"/>
  <c r="DA257" i="12"/>
  <c r="DB257" i="12"/>
  <c r="DC257" i="12"/>
  <c r="DD257" i="12"/>
  <c r="DE257" i="12"/>
  <c r="DF257" i="12"/>
  <c r="DG257" i="12"/>
  <c r="DH257" i="12"/>
  <c r="DI257" i="12"/>
  <c r="DJ257" i="12"/>
  <c r="DK257" i="12"/>
  <c r="DL257" i="12"/>
  <c r="DM257" i="12"/>
  <c r="DN257" i="12"/>
  <c r="DO257" i="12"/>
  <c r="DP257" i="12"/>
  <c r="DQ257" i="12"/>
  <c r="DR257" i="12"/>
  <c r="DS257" i="12"/>
  <c r="DT257" i="12"/>
  <c r="DU257" i="12"/>
  <c r="DV257" i="12"/>
  <c r="DW257" i="12"/>
  <c r="DX257" i="12"/>
  <c r="DY257" i="12"/>
  <c r="DZ257" i="12"/>
  <c r="EA257" i="12"/>
  <c r="EB257" i="12"/>
  <c r="EC257" i="12"/>
  <c r="ED257" i="12"/>
  <c r="EE257" i="12"/>
  <c r="EF257" i="12"/>
  <c r="EG257" i="12"/>
  <c r="EH257" i="12"/>
  <c r="EI257" i="12"/>
  <c r="EJ257" i="12"/>
  <c r="EK257" i="12"/>
  <c r="EL257" i="12"/>
  <c r="EM257" i="12"/>
  <c r="EN257" i="12"/>
  <c r="EO257" i="12"/>
  <c r="EP257" i="12"/>
  <c r="EQ257" i="12"/>
  <c r="ER257" i="12"/>
  <c r="ES257" i="12"/>
  <c r="ET257" i="12"/>
  <c r="EU257" i="12"/>
  <c r="EV257" i="12"/>
  <c r="EW257" i="12"/>
  <c r="EX257" i="12"/>
  <c r="EY257" i="12"/>
  <c r="EZ257" i="12"/>
  <c r="FA257" i="12"/>
  <c r="FB257" i="12"/>
  <c r="FC257" i="12"/>
  <c r="FD257" i="12"/>
  <c r="FE257" i="12"/>
  <c r="FF257" i="12"/>
  <c r="FG257" i="12"/>
  <c r="FH257" i="12"/>
  <c r="FI257" i="12"/>
  <c r="FJ257" i="12"/>
  <c r="FK257" i="12"/>
  <c r="FL257" i="12"/>
  <c r="FM257" i="12"/>
  <c r="FN257" i="12"/>
  <c r="FO257" i="12"/>
  <c r="FP257" i="12"/>
  <c r="FQ257" i="12"/>
  <c r="FR257" i="12"/>
  <c r="FS257" i="12"/>
  <c r="FT257" i="12"/>
  <c r="FU257" i="12"/>
  <c r="FV257" i="12"/>
  <c r="FW257" i="12"/>
  <c r="FX257" i="12"/>
  <c r="FY257" i="12"/>
  <c r="FZ257" i="12"/>
  <c r="GA257" i="12"/>
  <c r="GB257" i="12"/>
  <c r="GC257" i="12"/>
  <c r="GD257" i="12"/>
  <c r="GE257" i="12"/>
  <c r="GF257" i="12"/>
  <c r="GG257" i="12"/>
  <c r="GH257" i="12"/>
  <c r="GI257" i="12"/>
  <c r="GJ257" i="12"/>
  <c r="GK257" i="12"/>
  <c r="GL257" i="12"/>
  <c r="GM257" i="12"/>
  <c r="GN257" i="12"/>
  <c r="GO257" i="12"/>
  <c r="GP257" i="12"/>
  <c r="GQ257" i="12"/>
  <c r="GR257" i="12"/>
  <c r="GS257" i="12"/>
  <c r="GT257" i="12"/>
  <c r="GU257" i="12"/>
  <c r="GV257" i="12"/>
  <c r="GW257" i="12"/>
  <c r="GX257" i="12"/>
  <c r="GY257" i="12"/>
  <c r="GZ257" i="12"/>
  <c r="HA257" i="12"/>
  <c r="HB257" i="12"/>
  <c r="HC257" i="12"/>
  <c r="HD257" i="12"/>
  <c r="HE257" i="12"/>
  <c r="HF257" i="12"/>
  <c r="HG257" i="12"/>
  <c r="HH257" i="12"/>
  <c r="HI257" i="12"/>
  <c r="HJ257" i="12"/>
  <c r="HK257" i="12"/>
  <c r="HL257" i="12"/>
  <c r="HM257" i="12"/>
  <c r="HN257" i="12"/>
  <c r="HO257" i="12"/>
  <c r="HP257" i="12"/>
  <c r="HQ257" i="12"/>
  <c r="HR257" i="12"/>
  <c r="HS257" i="12"/>
  <c r="HT257" i="12"/>
  <c r="HU257" i="12"/>
  <c r="HV257" i="12"/>
  <c r="HW257" i="12"/>
  <c r="HX257" i="12"/>
  <c r="HY257" i="12"/>
  <c r="HZ257" i="12"/>
  <c r="IA257" i="12"/>
  <c r="IB257" i="12"/>
  <c r="IC257" i="12"/>
  <c r="ID257" i="12"/>
  <c r="IE257" i="12"/>
  <c r="IF257" i="12"/>
  <c r="IG257" i="12"/>
  <c r="IH257" i="12"/>
  <c r="II257" i="12"/>
  <c r="IJ257" i="12"/>
  <c r="IK257" i="12"/>
  <c r="IL257" i="12"/>
  <c r="IM257" i="12"/>
  <c r="IN257" i="12"/>
  <c r="IO257" i="12"/>
  <c r="IP257" i="12"/>
  <c r="IQ257" i="12"/>
  <c r="IR257" i="12"/>
  <c r="IS257" i="12"/>
  <c r="IT257" i="12"/>
  <c r="IU257" i="12"/>
  <c r="IV257" i="12"/>
  <c r="F258" i="12"/>
  <c r="G258" i="12"/>
  <c r="H258" i="12"/>
  <c r="I258" i="12"/>
  <c r="J258" i="12"/>
  <c r="K258" i="12"/>
  <c r="L258" i="12"/>
  <c r="M258" i="12"/>
  <c r="N258" i="12"/>
  <c r="O258" i="12"/>
  <c r="P258" i="12"/>
  <c r="Q258" i="12"/>
  <c r="R258" i="12"/>
  <c r="S258" i="12"/>
  <c r="T258" i="12"/>
  <c r="U258" i="12"/>
  <c r="V258" i="12"/>
  <c r="W258" i="12"/>
  <c r="X258" i="12"/>
  <c r="Y258" i="12"/>
  <c r="Z258" i="12"/>
  <c r="AA258" i="12"/>
  <c r="AB258" i="12"/>
  <c r="AC258" i="12"/>
  <c r="AD258" i="12"/>
  <c r="AE258" i="12"/>
  <c r="AF258" i="12"/>
  <c r="AG258" i="12"/>
  <c r="AH258" i="12"/>
  <c r="AI258" i="12"/>
  <c r="AJ258" i="12"/>
  <c r="AK258" i="12"/>
  <c r="AL258" i="12"/>
  <c r="AM258" i="12"/>
  <c r="AN258" i="12"/>
  <c r="AO258" i="12"/>
  <c r="AP258" i="12"/>
  <c r="AQ258" i="12"/>
  <c r="AR258" i="12"/>
  <c r="AS258" i="12"/>
  <c r="AT258" i="12"/>
  <c r="AU258" i="12"/>
  <c r="AV258" i="12"/>
  <c r="AW258" i="12"/>
  <c r="AX258" i="12"/>
  <c r="AY258" i="12"/>
  <c r="AZ258" i="12"/>
  <c r="BA258" i="12"/>
  <c r="BB258" i="12"/>
  <c r="BC258" i="12"/>
  <c r="BD258" i="12"/>
  <c r="BE258" i="12"/>
  <c r="BF258" i="12"/>
  <c r="BG258" i="12"/>
  <c r="BH258" i="12"/>
  <c r="BI258" i="12"/>
  <c r="BJ258" i="12"/>
  <c r="BK258" i="12"/>
  <c r="BL258" i="12"/>
  <c r="BM258" i="12"/>
  <c r="BN258" i="12"/>
  <c r="BO258" i="12"/>
  <c r="BP258" i="12"/>
  <c r="BQ258" i="12"/>
  <c r="BR258" i="12"/>
  <c r="BS258" i="12"/>
  <c r="BT258" i="12"/>
  <c r="BU258" i="12"/>
  <c r="BV258" i="12"/>
  <c r="BW258" i="12"/>
  <c r="BX258" i="12"/>
  <c r="BY258" i="12"/>
  <c r="BZ258" i="12"/>
  <c r="CA258" i="12"/>
  <c r="CB258" i="12"/>
  <c r="CC258" i="12"/>
  <c r="CD258" i="12"/>
  <c r="CE258" i="12"/>
  <c r="CF258" i="12"/>
  <c r="CG258" i="12"/>
  <c r="CH258" i="12"/>
  <c r="CI258" i="12"/>
  <c r="CJ258" i="12"/>
  <c r="CK258" i="12"/>
  <c r="CL258" i="12"/>
  <c r="CM258" i="12"/>
  <c r="CN258" i="12"/>
  <c r="CO258" i="12"/>
  <c r="CP258" i="12"/>
  <c r="CQ258" i="12"/>
  <c r="CR258" i="12"/>
  <c r="CS258" i="12"/>
  <c r="CT258" i="12"/>
  <c r="CU258" i="12"/>
  <c r="CV258" i="12"/>
  <c r="CW258" i="12"/>
  <c r="CX258" i="12"/>
  <c r="CY258" i="12"/>
  <c r="CZ258" i="12"/>
  <c r="DA258" i="12"/>
  <c r="DB258" i="12"/>
  <c r="DC258" i="12"/>
  <c r="DD258" i="12"/>
  <c r="DE258" i="12"/>
  <c r="DF258" i="12"/>
  <c r="DG258" i="12"/>
  <c r="DH258" i="12"/>
  <c r="DI258" i="12"/>
  <c r="DJ258" i="12"/>
  <c r="DK258" i="12"/>
  <c r="DL258" i="12"/>
  <c r="DM258" i="12"/>
  <c r="DN258" i="12"/>
  <c r="DO258" i="12"/>
  <c r="DP258" i="12"/>
  <c r="DQ258" i="12"/>
  <c r="DR258" i="12"/>
  <c r="DS258" i="12"/>
  <c r="DT258" i="12"/>
  <c r="DU258" i="12"/>
  <c r="DV258" i="12"/>
  <c r="DW258" i="12"/>
  <c r="DX258" i="12"/>
  <c r="DY258" i="12"/>
  <c r="DZ258" i="12"/>
  <c r="EA258" i="12"/>
  <c r="EB258" i="12"/>
  <c r="EC258" i="12"/>
  <c r="ED258" i="12"/>
  <c r="EE258" i="12"/>
  <c r="EF258" i="12"/>
  <c r="EG258" i="12"/>
  <c r="EH258" i="12"/>
  <c r="EI258" i="12"/>
  <c r="EJ258" i="12"/>
  <c r="EK258" i="12"/>
  <c r="EL258" i="12"/>
  <c r="EM258" i="12"/>
  <c r="EN258" i="12"/>
  <c r="EO258" i="12"/>
  <c r="EP258" i="12"/>
  <c r="EQ258" i="12"/>
  <c r="ER258" i="12"/>
  <c r="ES258" i="12"/>
  <c r="ET258" i="12"/>
  <c r="EU258" i="12"/>
  <c r="EV258" i="12"/>
  <c r="EW258" i="12"/>
  <c r="EX258" i="12"/>
  <c r="EY258" i="12"/>
  <c r="EZ258" i="12"/>
  <c r="FA258" i="12"/>
  <c r="FB258" i="12"/>
  <c r="FC258" i="12"/>
  <c r="FD258" i="12"/>
  <c r="FE258" i="12"/>
  <c r="FF258" i="12"/>
  <c r="FG258" i="12"/>
  <c r="FH258" i="12"/>
  <c r="FI258" i="12"/>
  <c r="FJ258" i="12"/>
  <c r="FK258" i="12"/>
  <c r="FL258" i="12"/>
  <c r="FM258" i="12"/>
  <c r="FN258" i="12"/>
  <c r="FO258" i="12"/>
  <c r="FP258" i="12"/>
  <c r="FQ258" i="12"/>
  <c r="FR258" i="12"/>
  <c r="FS258" i="12"/>
  <c r="FT258" i="12"/>
  <c r="FU258" i="12"/>
  <c r="FV258" i="12"/>
  <c r="FW258" i="12"/>
  <c r="FX258" i="12"/>
  <c r="FY258" i="12"/>
  <c r="FZ258" i="12"/>
  <c r="GA258" i="12"/>
  <c r="GB258" i="12"/>
  <c r="GC258" i="12"/>
  <c r="GD258" i="12"/>
  <c r="GE258" i="12"/>
  <c r="GF258" i="12"/>
  <c r="GG258" i="12"/>
  <c r="GH258" i="12"/>
  <c r="GI258" i="12"/>
  <c r="GJ258" i="12"/>
  <c r="GK258" i="12"/>
  <c r="GL258" i="12"/>
  <c r="GM258" i="12"/>
  <c r="GN258" i="12"/>
  <c r="GO258" i="12"/>
  <c r="GP258" i="12"/>
  <c r="GQ258" i="12"/>
  <c r="GR258" i="12"/>
  <c r="GS258" i="12"/>
  <c r="GT258" i="12"/>
  <c r="GU258" i="12"/>
  <c r="GV258" i="12"/>
  <c r="GW258" i="12"/>
  <c r="GX258" i="12"/>
  <c r="GY258" i="12"/>
  <c r="GZ258" i="12"/>
  <c r="HA258" i="12"/>
  <c r="HB258" i="12"/>
  <c r="HC258" i="12"/>
  <c r="HD258" i="12"/>
  <c r="HE258" i="12"/>
  <c r="HF258" i="12"/>
  <c r="HG258" i="12"/>
  <c r="HH258" i="12"/>
  <c r="HI258" i="12"/>
  <c r="HJ258" i="12"/>
  <c r="HK258" i="12"/>
  <c r="HL258" i="12"/>
  <c r="HM258" i="12"/>
  <c r="HN258" i="12"/>
  <c r="HO258" i="12"/>
  <c r="HP258" i="12"/>
  <c r="HQ258" i="12"/>
  <c r="HR258" i="12"/>
  <c r="HS258" i="12"/>
  <c r="HT258" i="12"/>
  <c r="HU258" i="12"/>
  <c r="HV258" i="12"/>
  <c r="HW258" i="12"/>
  <c r="HX258" i="12"/>
  <c r="HY258" i="12"/>
  <c r="HZ258" i="12"/>
  <c r="IA258" i="12"/>
  <c r="IB258" i="12"/>
  <c r="IC258" i="12"/>
  <c r="ID258" i="12"/>
  <c r="IE258" i="12"/>
  <c r="IF258" i="12"/>
  <c r="IG258" i="12"/>
  <c r="IH258" i="12"/>
  <c r="II258" i="12"/>
  <c r="IJ258" i="12"/>
  <c r="IK258" i="12"/>
  <c r="IL258" i="12"/>
  <c r="IM258" i="12"/>
  <c r="IN258" i="12"/>
  <c r="IO258" i="12"/>
  <c r="IP258" i="12"/>
  <c r="IQ258" i="12"/>
  <c r="IR258" i="12"/>
  <c r="IS258" i="12"/>
  <c r="IT258" i="12"/>
  <c r="IU258" i="12"/>
  <c r="IV258" i="12"/>
  <c r="F259" i="12"/>
  <c r="G259" i="12"/>
  <c r="H259" i="12"/>
  <c r="I259" i="12"/>
  <c r="J259" i="12"/>
  <c r="K259" i="12"/>
  <c r="L259" i="12"/>
  <c r="M259" i="12"/>
  <c r="N259" i="12"/>
  <c r="O259" i="12"/>
  <c r="P259" i="12"/>
  <c r="Q259" i="12"/>
  <c r="R259" i="12"/>
  <c r="S259" i="12"/>
  <c r="T259" i="12"/>
  <c r="U259" i="12"/>
  <c r="V259" i="12"/>
  <c r="W259" i="12"/>
  <c r="X259" i="12"/>
  <c r="Y259" i="12"/>
  <c r="Z259" i="12"/>
  <c r="AA259" i="12"/>
  <c r="AB259" i="12"/>
  <c r="AC259" i="12"/>
  <c r="AD259" i="12"/>
  <c r="AE259" i="12"/>
  <c r="AF259" i="12"/>
  <c r="AG259" i="12"/>
  <c r="AH259" i="12"/>
  <c r="AI259" i="12"/>
  <c r="AJ259" i="12"/>
  <c r="AK259" i="12"/>
  <c r="AL259" i="12"/>
  <c r="AM259" i="12"/>
  <c r="AN259" i="12"/>
  <c r="AO259" i="12"/>
  <c r="AP259" i="12"/>
  <c r="AQ259" i="12"/>
  <c r="AR259" i="12"/>
  <c r="AS259" i="12"/>
  <c r="AT259" i="12"/>
  <c r="AU259" i="12"/>
  <c r="AV259" i="12"/>
  <c r="AW259" i="12"/>
  <c r="AX259" i="12"/>
  <c r="AY259" i="12"/>
  <c r="AZ259" i="12"/>
  <c r="BA259" i="12"/>
  <c r="BB259" i="12"/>
  <c r="BC259" i="12"/>
  <c r="BD259" i="12"/>
  <c r="BE259" i="12"/>
  <c r="BF259" i="12"/>
  <c r="BG259" i="12"/>
  <c r="BH259" i="12"/>
  <c r="BI259" i="12"/>
  <c r="BJ259" i="12"/>
  <c r="BK259" i="12"/>
  <c r="BL259" i="12"/>
  <c r="BM259" i="12"/>
  <c r="BN259" i="12"/>
  <c r="BO259" i="12"/>
  <c r="BP259" i="12"/>
  <c r="BQ259" i="12"/>
  <c r="BR259" i="12"/>
  <c r="BS259" i="12"/>
  <c r="BT259" i="12"/>
  <c r="BU259" i="12"/>
  <c r="BV259" i="12"/>
  <c r="BW259" i="12"/>
  <c r="BX259" i="12"/>
  <c r="BY259" i="12"/>
  <c r="BZ259" i="12"/>
  <c r="CA259" i="12"/>
  <c r="CB259" i="12"/>
  <c r="CC259" i="12"/>
  <c r="CD259" i="12"/>
  <c r="CE259" i="12"/>
  <c r="CF259" i="12"/>
  <c r="CG259" i="12"/>
  <c r="CH259" i="12"/>
  <c r="CI259" i="12"/>
  <c r="CJ259" i="12"/>
  <c r="CK259" i="12"/>
  <c r="CL259" i="12"/>
  <c r="CM259" i="12"/>
  <c r="CN259" i="12"/>
  <c r="CO259" i="12"/>
  <c r="CP259" i="12"/>
  <c r="CQ259" i="12"/>
  <c r="CR259" i="12"/>
  <c r="CS259" i="12"/>
  <c r="CT259" i="12"/>
  <c r="CU259" i="12"/>
  <c r="CV259" i="12"/>
  <c r="CW259" i="12"/>
  <c r="CX259" i="12"/>
  <c r="CY259" i="12"/>
  <c r="CZ259" i="12"/>
  <c r="DA259" i="12"/>
  <c r="DB259" i="12"/>
  <c r="DC259" i="12"/>
  <c r="DD259" i="12"/>
  <c r="DE259" i="12"/>
  <c r="DF259" i="12"/>
  <c r="DG259" i="12"/>
  <c r="DH259" i="12"/>
  <c r="DI259" i="12"/>
  <c r="DJ259" i="12"/>
  <c r="DK259" i="12"/>
  <c r="DL259" i="12"/>
  <c r="DM259" i="12"/>
  <c r="DN259" i="12"/>
  <c r="DO259" i="12"/>
  <c r="DP259" i="12"/>
  <c r="DQ259" i="12"/>
  <c r="DR259" i="12"/>
  <c r="DS259" i="12"/>
  <c r="DT259" i="12"/>
  <c r="DU259" i="12"/>
  <c r="DV259" i="12"/>
  <c r="DW259" i="12"/>
  <c r="DX259" i="12"/>
  <c r="DY259" i="12"/>
  <c r="DZ259" i="12"/>
  <c r="EA259" i="12"/>
  <c r="EB259" i="12"/>
  <c r="EC259" i="12"/>
  <c r="ED259" i="12"/>
  <c r="EE259" i="12"/>
  <c r="EF259" i="12"/>
  <c r="EG259" i="12"/>
  <c r="EH259" i="12"/>
  <c r="EI259" i="12"/>
  <c r="EJ259" i="12"/>
  <c r="EK259" i="12"/>
  <c r="EL259" i="12"/>
  <c r="EM259" i="12"/>
  <c r="EN259" i="12"/>
  <c r="EO259" i="12"/>
  <c r="EP259" i="12"/>
  <c r="EQ259" i="12"/>
  <c r="ER259" i="12"/>
  <c r="ES259" i="12"/>
  <c r="ET259" i="12"/>
  <c r="EU259" i="12"/>
  <c r="EV259" i="12"/>
  <c r="EW259" i="12"/>
  <c r="EX259" i="12"/>
  <c r="EY259" i="12"/>
  <c r="EZ259" i="12"/>
  <c r="FA259" i="12"/>
  <c r="FB259" i="12"/>
  <c r="FC259" i="12"/>
  <c r="FD259" i="12"/>
  <c r="FE259" i="12"/>
  <c r="FF259" i="12"/>
  <c r="FG259" i="12"/>
  <c r="FH259" i="12"/>
  <c r="FI259" i="12"/>
  <c r="FJ259" i="12"/>
  <c r="FK259" i="12"/>
  <c r="FL259" i="12"/>
  <c r="FM259" i="12"/>
  <c r="FN259" i="12"/>
  <c r="FO259" i="12"/>
  <c r="FP259" i="12"/>
  <c r="FQ259" i="12"/>
  <c r="FR259" i="12"/>
  <c r="FS259" i="12"/>
  <c r="FT259" i="12"/>
  <c r="FU259" i="12"/>
  <c r="FV259" i="12"/>
  <c r="FW259" i="12"/>
  <c r="FX259" i="12"/>
  <c r="FY259" i="12"/>
  <c r="FZ259" i="12"/>
  <c r="GA259" i="12"/>
  <c r="GB259" i="12"/>
  <c r="GC259" i="12"/>
  <c r="GD259" i="12"/>
  <c r="GE259" i="12"/>
  <c r="GF259" i="12"/>
  <c r="GG259" i="12"/>
  <c r="GH259" i="12"/>
  <c r="GI259" i="12"/>
  <c r="GJ259" i="12"/>
  <c r="GK259" i="12"/>
  <c r="GL259" i="12"/>
  <c r="GM259" i="12"/>
  <c r="GN259" i="12"/>
  <c r="GO259" i="12"/>
  <c r="GP259" i="12"/>
  <c r="GQ259" i="12"/>
  <c r="GR259" i="12"/>
  <c r="GS259" i="12"/>
  <c r="GT259" i="12"/>
  <c r="GU259" i="12"/>
  <c r="GV259" i="12"/>
  <c r="GW259" i="12"/>
  <c r="GX259" i="12"/>
  <c r="GY259" i="12"/>
  <c r="GZ259" i="12"/>
  <c r="HA259" i="12"/>
  <c r="HB259" i="12"/>
  <c r="HC259" i="12"/>
  <c r="HD259" i="12"/>
  <c r="HE259" i="12"/>
  <c r="HF259" i="12"/>
  <c r="HG259" i="12"/>
  <c r="HH259" i="12"/>
  <c r="HI259" i="12"/>
  <c r="HJ259" i="12"/>
  <c r="HK259" i="12"/>
  <c r="HL259" i="12"/>
  <c r="HM259" i="12"/>
  <c r="HN259" i="12"/>
  <c r="HO259" i="12"/>
  <c r="HP259" i="12"/>
  <c r="HQ259" i="12"/>
  <c r="HR259" i="12"/>
  <c r="HS259" i="12"/>
  <c r="HT259" i="12"/>
  <c r="HU259" i="12"/>
  <c r="HV259" i="12"/>
  <c r="HW259" i="12"/>
  <c r="HX259" i="12"/>
  <c r="HY259" i="12"/>
  <c r="HZ259" i="12"/>
  <c r="IA259" i="12"/>
  <c r="IB259" i="12"/>
  <c r="IC259" i="12"/>
  <c r="ID259" i="12"/>
  <c r="IE259" i="12"/>
  <c r="IF259" i="12"/>
  <c r="IG259" i="12"/>
  <c r="IH259" i="12"/>
  <c r="II259" i="12"/>
  <c r="IJ259" i="12"/>
  <c r="IK259" i="12"/>
  <c r="IL259" i="12"/>
  <c r="IM259" i="12"/>
  <c r="IN259" i="12"/>
  <c r="IO259" i="12"/>
  <c r="IP259" i="12"/>
  <c r="IQ259" i="12"/>
  <c r="IR259" i="12"/>
  <c r="IS259" i="12"/>
  <c r="IT259" i="12"/>
  <c r="IU259" i="12"/>
  <c r="IV259" i="12"/>
  <c r="F260" i="12"/>
  <c r="G260" i="12"/>
  <c r="H260" i="12"/>
  <c r="I260" i="12"/>
  <c r="J260" i="12"/>
  <c r="K260" i="12"/>
  <c r="L260" i="12"/>
  <c r="M260" i="12"/>
  <c r="N260" i="12"/>
  <c r="O260" i="12"/>
  <c r="P260" i="12"/>
  <c r="Q260" i="12"/>
  <c r="R260" i="12"/>
  <c r="S260" i="12"/>
  <c r="T260" i="12"/>
  <c r="U260" i="12"/>
  <c r="V260" i="12"/>
  <c r="W260" i="12"/>
  <c r="X260" i="12"/>
  <c r="Y260" i="12"/>
  <c r="Z260" i="12"/>
  <c r="AA260" i="12"/>
  <c r="AB260" i="12"/>
  <c r="AC260" i="12"/>
  <c r="AD260" i="12"/>
  <c r="AE260" i="12"/>
  <c r="AF260" i="12"/>
  <c r="AG260" i="12"/>
  <c r="AH260" i="12"/>
  <c r="AI260" i="12"/>
  <c r="AJ260" i="12"/>
  <c r="AK260" i="12"/>
  <c r="AL260" i="12"/>
  <c r="AM260" i="12"/>
  <c r="AN260" i="12"/>
  <c r="AO260" i="12"/>
  <c r="AP260" i="12"/>
  <c r="AQ260" i="12"/>
  <c r="AR260" i="12"/>
  <c r="AS260" i="12"/>
  <c r="AT260" i="12"/>
  <c r="AU260" i="12"/>
  <c r="AV260" i="12"/>
  <c r="AW260" i="12"/>
  <c r="AX260" i="12"/>
  <c r="AY260" i="12"/>
  <c r="AZ260" i="12"/>
  <c r="BA260" i="12"/>
  <c r="BB260" i="12"/>
  <c r="BC260" i="12"/>
  <c r="BD260" i="12"/>
  <c r="BE260" i="12"/>
  <c r="BF260" i="12"/>
  <c r="BG260" i="12"/>
  <c r="BH260" i="12"/>
  <c r="BI260" i="12"/>
  <c r="BJ260" i="12"/>
  <c r="BK260" i="12"/>
  <c r="BL260" i="12"/>
  <c r="BM260" i="12"/>
  <c r="BN260" i="12"/>
  <c r="BO260" i="12"/>
  <c r="BP260" i="12"/>
  <c r="BQ260" i="12"/>
  <c r="BR260" i="12"/>
  <c r="BS260" i="12"/>
  <c r="BT260" i="12"/>
  <c r="BU260" i="12"/>
  <c r="BV260" i="12"/>
  <c r="BW260" i="12"/>
  <c r="BX260" i="12"/>
  <c r="BY260" i="12"/>
  <c r="BZ260" i="12"/>
  <c r="CA260" i="12"/>
  <c r="CB260" i="12"/>
  <c r="CC260" i="12"/>
  <c r="CD260" i="12"/>
  <c r="CE260" i="12"/>
  <c r="CF260" i="12"/>
  <c r="CG260" i="12"/>
  <c r="CH260" i="12"/>
  <c r="CI260" i="12"/>
  <c r="CJ260" i="12"/>
  <c r="CK260" i="12"/>
  <c r="CL260" i="12"/>
  <c r="CM260" i="12"/>
  <c r="CN260" i="12"/>
  <c r="CO260" i="12"/>
  <c r="CP260" i="12"/>
  <c r="CQ260" i="12"/>
  <c r="CR260" i="12"/>
  <c r="CS260" i="12"/>
  <c r="CT260" i="12"/>
  <c r="CU260" i="12"/>
  <c r="CV260" i="12"/>
  <c r="CW260" i="12"/>
  <c r="CX260" i="12"/>
  <c r="CY260" i="12"/>
  <c r="CZ260" i="12"/>
  <c r="DA260" i="12"/>
  <c r="DB260" i="12"/>
  <c r="DC260" i="12"/>
  <c r="DD260" i="12"/>
  <c r="DE260" i="12"/>
  <c r="DF260" i="12"/>
  <c r="DG260" i="12"/>
  <c r="DH260" i="12"/>
  <c r="DI260" i="12"/>
  <c r="DJ260" i="12"/>
  <c r="DK260" i="12"/>
  <c r="DL260" i="12"/>
  <c r="DM260" i="12"/>
  <c r="DN260" i="12"/>
  <c r="DO260" i="12"/>
  <c r="DP260" i="12"/>
  <c r="DQ260" i="12"/>
  <c r="DR260" i="12"/>
  <c r="DS260" i="12"/>
  <c r="DT260" i="12"/>
  <c r="DU260" i="12"/>
  <c r="DV260" i="12"/>
  <c r="DW260" i="12"/>
  <c r="DX260" i="12"/>
  <c r="DY260" i="12"/>
  <c r="DZ260" i="12"/>
  <c r="EA260" i="12"/>
  <c r="EB260" i="12"/>
  <c r="EC260" i="12"/>
  <c r="ED260" i="12"/>
  <c r="EE260" i="12"/>
  <c r="EF260" i="12"/>
  <c r="EG260" i="12"/>
  <c r="EH260" i="12"/>
  <c r="EI260" i="12"/>
  <c r="EJ260" i="12"/>
  <c r="EK260" i="12"/>
  <c r="EL260" i="12"/>
  <c r="EM260" i="12"/>
  <c r="EN260" i="12"/>
  <c r="EO260" i="12"/>
  <c r="EP260" i="12"/>
  <c r="EQ260" i="12"/>
  <c r="ER260" i="12"/>
  <c r="ES260" i="12"/>
  <c r="ET260" i="12"/>
  <c r="EU260" i="12"/>
  <c r="EV260" i="12"/>
  <c r="EW260" i="12"/>
  <c r="EX260" i="12"/>
  <c r="EY260" i="12"/>
  <c r="EZ260" i="12"/>
  <c r="FA260" i="12"/>
  <c r="FB260" i="12"/>
  <c r="FC260" i="12"/>
  <c r="FD260" i="12"/>
  <c r="FE260" i="12"/>
  <c r="FF260" i="12"/>
  <c r="FG260" i="12"/>
  <c r="FH260" i="12"/>
  <c r="FI260" i="12"/>
  <c r="FJ260" i="12"/>
  <c r="FK260" i="12"/>
  <c r="FL260" i="12"/>
  <c r="FM260" i="12"/>
  <c r="FN260" i="12"/>
  <c r="FO260" i="12"/>
  <c r="FP260" i="12"/>
  <c r="FQ260" i="12"/>
  <c r="FR260" i="12"/>
  <c r="FS260" i="12"/>
  <c r="FT260" i="12"/>
  <c r="FU260" i="12"/>
  <c r="FV260" i="12"/>
  <c r="FW260" i="12"/>
  <c r="FX260" i="12"/>
  <c r="FY260" i="12"/>
  <c r="FZ260" i="12"/>
  <c r="GA260" i="12"/>
  <c r="GB260" i="12"/>
  <c r="GC260" i="12"/>
  <c r="GD260" i="12"/>
  <c r="GE260" i="12"/>
  <c r="GF260" i="12"/>
  <c r="GG260" i="12"/>
  <c r="GH260" i="12"/>
  <c r="GI260" i="12"/>
  <c r="GJ260" i="12"/>
  <c r="GK260" i="12"/>
  <c r="GL260" i="12"/>
  <c r="GM260" i="12"/>
  <c r="GN260" i="12"/>
  <c r="GO260" i="12"/>
  <c r="GP260" i="12"/>
  <c r="GQ260" i="12"/>
  <c r="GR260" i="12"/>
  <c r="GS260" i="12"/>
  <c r="GT260" i="12"/>
  <c r="GU260" i="12"/>
  <c r="GV260" i="12"/>
  <c r="GW260" i="12"/>
  <c r="GX260" i="12"/>
  <c r="GY260" i="12"/>
  <c r="GZ260" i="12"/>
  <c r="HA260" i="12"/>
  <c r="HB260" i="12"/>
  <c r="HC260" i="12"/>
  <c r="HD260" i="12"/>
  <c r="HE260" i="12"/>
  <c r="HF260" i="12"/>
  <c r="HG260" i="12"/>
  <c r="HH260" i="12"/>
  <c r="HI260" i="12"/>
  <c r="HJ260" i="12"/>
  <c r="HK260" i="12"/>
  <c r="HL260" i="12"/>
  <c r="HM260" i="12"/>
  <c r="HN260" i="12"/>
  <c r="HO260" i="12"/>
  <c r="HP260" i="12"/>
  <c r="HQ260" i="12"/>
  <c r="HR260" i="12"/>
  <c r="HS260" i="12"/>
  <c r="HT260" i="12"/>
  <c r="HU260" i="12"/>
  <c r="HV260" i="12"/>
  <c r="HW260" i="12"/>
  <c r="HX260" i="12"/>
  <c r="HY260" i="12"/>
  <c r="HZ260" i="12"/>
  <c r="IA260" i="12"/>
  <c r="IB260" i="12"/>
  <c r="IC260" i="12"/>
  <c r="ID260" i="12"/>
  <c r="IE260" i="12"/>
  <c r="IF260" i="12"/>
  <c r="IG260" i="12"/>
  <c r="IH260" i="12"/>
  <c r="II260" i="12"/>
  <c r="IJ260" i="12"/>
  <c r="IK260" i="12"/>
  <c r="IL260" i="12"/>
  <c r="IM260" i="12"/>
  <c r="IN260" i="12"/>
  <c r="IO260" i="12"/>
  <c r="IP260" i="12"/>
  <c r="IQ260" i="12"/>
  <c r="IR260" i="12"/>
  <c r="IS260" i="12"/>
  <c r="IT260" i="12"/>
  <c r="IU260" i="12"/>
  <c r="IV260" i="12"/>
  <c r="F261" i="12"/>
  <c r="G261" i="12"/>
  <c r="H261" i="12"/>
  <c r="I261" i="12"/>
  <c r="J261" i="12"/>
  <c r="K261" i="12"/>
  <c r="L261" i="12"/>
  <c r="M261" i="12"/>
  <c r="N261" i="12"/>
  <c r="O261" i="12"/>
  <c r="P261" i="12"/>
  <c r="Q261" i="12"/>
  <c r="R261" i="12"/>
  <c r="S261" i="12"/>
  <c r="T261" i="12"/>
  <c r="U261" i="12"/>
  <c r="V261" i="12"/>
  <c r="W261" i="12"/>
  <c r="X261" i="12"/>
  <c r="Y261" i="12"/>
  <c r="Z261" i="12"/>
  <c r="AA261" i="12"/>
  <c r="AB261" i="12"/>
  <c r="AC261" i="12"/>
  <c r="AD261" i="12"/>
  <c r="AE261" i="12"/>
  <c r="AF261" i="12"/>
  <c r="AG261" i="12"/>
  <c r="AH261" i="12"/>
  <c r="AI261" i="12"/>
  <c r="AJ261" i="12"/>
  <c r="AK261" i="12"/>
  <c r="AL261" i="12"/>
  <c r="AM261" i="12"/>
  <c r="AN261" i="12"/>
  <c r="AO261" i="12"/>
  <c r="AP261" i="12"/>
  <c r="AQ261" i="12"/>
  <c r="AR261" i="12"/>
  <c r="AS261" i="12"/>
  <c r="AT261" i="12"/>
  <c r="AU261" i="12"/>
  <c r="AV261" i="12"/>
  <c r="AW261" i="12"/>
  <c r="AX261" i="12"/>
  <c r="AY261" i="12"/>
  <c r="AZ261" i="12"/>
  <c r="BA261" i="12"/>
  <c r="BB261" i="12"/>
  <c r="BC261" i="12"/>
  <c r="BD261" i="12"/>
  <c r="BE261" i="12"/>
  <c r="BF261" i="12"/>
  <c r="BG261" i="12"/>
  <c r="BH261" i="12"/>
  <c r="BI261" i="12"/>
  <c r="BJ261" i="12"/>
  <c r="BK261" i="12"/>
  <c r="BL261" i="12"/>
  <c r="BM261" i="12"/>
  <c r="BN261" i="12"/>
  <c r="BO261" i="12"/>
  <c r="BP261" i="12"/>
  <c r="BQ261" i="12"/>
  <c r="BR261" i="12"/>
  <c r="BS261" i="12"/>
  <c r="BT261" i="12"/>
  <c r="BU261" i="12"/>
  <c r="BV261" i="12"/>
  <c r="BW261" i="12"/>
  <c r="BX261" i="12"/>
  <c r="BY261" i="12"/>
  <c r="BZ261" i="12"/>
  <c r="CA261" i="12"/>
  <c r="CB261" i="12"/>
  <c r="CC261" i="12"/>
  <c r="CD261" i="12"/>
  <c r="CE261" i="12"/>
  <c r="CF261" i="12"/>
  <c r="CG261" i="12"/>
  <c r="CH261" i="12"/>
  <c r="CI261" i="12"/>
  <c r="CJ261" i="12"/>
  <c r="CK261" i="12"/>
  <c r="CL261" i="12"/>
  <c r="CM261" i="12"/>
  <c r="CN261" i="12"/>
  <c r="CO261" i="12"/>
  <c r="CP261" i="12"/>
  <c r="CQ261" i="12"/>
  <c r="CR261" i="12"/>
  <c r="CS261" i="12"/>
  <c r="CT261" i="12"/>
  <c r="CU261" i="12"/>
  <c r="CV261" i="12"/>
  <c r="CW261" i="12"/>
  <c r="CX261" i="12"/>
  <c r="CY261" i="12"/>
  <c r="CZ261" i="12"/>
  <c r="DA261" i="12"/>
  <c r="DB261" i="12"/>
  <c r="DC261" i="12"/>
  <c r="DD261" i="12"/>
  <c r="DE261" i="12"/>
  <c r="DF261" i="12"/>
  <c r="DG261" i="12"/>
  <c r="DH261" i="12"/>
  <c r="DI261" i="12"/>
  <c r="DJ261" i="12"/>
  <c r="DK261" i="12"/>
  <c r="DL261" i="12"/>
  <c r="DM261" i="12"/>
  <c r="DN261" i="12"/>
  <c r="DO261" i="12"/>
  <c r="DP261" i="12"/>
  <c r="DQ261" i="12"/>
  <c r="DR261" i="12"/>
  <c r="DS261" i="12"/>
  <c r="DT261" i="12"/>
  <c r="DU261" i="12"/>
  <c r="DV261" i="12"/>
  <c r="DW261" i="12"/>
  <c r="DX261" i="12"/>
  <c r="DY261" i="12"/>
  <c r="DZ261" i="12"/>
  <c r="EA261" i="12"/>
  <c r="EB261" i="12"/>
  <c r="EC261" i="12"/>
  <c r="ED261" i="12"/>
  <c r="EE261" i="12"/>
  <c r="EF261" i="12"/>
  <c r="EG261" i="12"/>
  <c r="EH261" i="12"/>
  <c r="EI261" i="12"/>
  <c r="EJ261" i="12"/>
  <c r="EK261" i="12"/>
  <c r="EL261" i="12"/>
  <c r="EM261" i="12"/>
  <c r="EN261" i="12"/>
  <c r="EO261" i="12"/>
  <c r="EP261" i="12"/>
  <c r="EQ261" i="12"/>
  <c r="ER261" i="12"/>
  <c r="ES261" i="12"/>
  <c r="ET261" i="12"/>
  <c r="EU261" i="12"/>
  <c r="EV261" i="12"/>
  <c r="EW261" i="12"/>
  <c r="EX261" i="12"/>
  <c r="EY261" i="12"/>
  <c r="EZ261" i="12"/>
  <c r="FA261" i="12"/>
  <c r="FB261" i="12"/>
  <c r="FC261" i="12"/>
  <c r="FD261" i="12"/>
  <c r="FE261" i="12"/>
  <c r="FF261" i="12"/>
  <c r="FG261" i="12"/>
  <c r="FH261" i="12"/>
  <c r="FI261" i="12"/>
  <c r="FJ261" i="12"/>
  <c r="FK261" i="12"/>
  <c r="FL261" i="12"/>
  <c r="FM261" i="12"/>
  <c r="FN261" i="12"/>
  <c r="FO261" i="12"/>
  <c r="FP261" i="12"/>
  <c r="FQ261" i="12"/>
  <c r="FR261" i="12"/>
  <c r="FS261" i="12"/>
  <c r="FT261" i="12"/>
  <c r="FU261" i="12"/>
  <c r="FV261" i="12"/>
  <c r="FW261" i="12"/>
  <c r="FX261" i="12"/>
  <c r="FY261" i="12"/>
  <c r="FZ261" i="12"/>
  <c r="GA261" i="12"/>
  <c r="GB261" i="12"/>
  <c r="GC261" i="12"/>
  <c r="GD261" i="12"/>
  <c r="GE261" i="12"/>
  <c r="GF261" i="12"/>
  <c r="GG261" i="12"/>
  <c r="GH261" i="12"/>
  <c r="GI261" i="12"/>
  <c r="GJ261" i="12"/>
  <c r="GK261" i="12"/>
  <c r="GL261" i="12"/>
  <c r="GM261" i="12"/>
  <c r="GN261" i="12"/>
  <c r="GO261" i="12"/>
  <c r="GP261" i="12"/>
  <c r="GQ261" i="12"/>
  <c r="GR261" i="12"/>
  <c r="GS261" i="12"/>
  <c r="GT261" i="12"/>
  <c r="GU261" i="12"/>
  <c r="GV261" i="12"/>
  <c r="GW261" i="12"/>
  <c r="GX261" i="12"/>
  <c r="GY261" i="12"/>
  <c r="GZ261" i="12"/>
  <c r="HA261" i="12"/>
  <c r="HB261" i="12"/>
  <c r="HC261" i="12"/>
  <c r="HD261" i="12"/>
  <c r="HE261" i="12"/>
  <c r="HF261" i="12"/>
  <c r="HG261" i="12"/>
  <c r="HH261" i="12"/>
  <c r="HI261" i="12"/>
  <c r="HJ261" i="12"/>
  <c r="HK261" i="12"/>
  <c r="HL261" i="12"/>
  <c r="HM261" i="12"/>
  <c r="HN261" i="12"/>
  <c r="HO261" i="12"/>
  <c r="HP261" i="12"/>
  <c r="HQ261" i="12"/>
  <c r="HR261" i="12"/>
  <c r="HS261" i="12"/>
  <c r="HT261" i="12"/>
  <c r="HU261" i="12"/>
  <c r="HV261" i="12"/>
  <c r="HW261" i="12"/>
  <c r="HX261" i="12"/>
  <c r="HY261" i="12"/>
  <c r="HZ261" i="12"/>
  <c r="IA261" i="12"/>
  <c r="IB261" i="12"/>
  <c r="IC261" i="12"/>
  <c r="ID261" i="12"/>
  <c r="IE261" i="12"/>
  <c r="IF261" i="12"/>
  <c r="IG261" i="12"/>
  <c r="IH261" i="12"/>
  <c r="II261" i="12"/>
  <c r="IJ261" i="12"/>
  <c r="IK261" i="12"/>
  <c r="IL261" i="12"/>
  <c r="IM261" i="12"/>
  <c r="IN261" i="12"/>
  <c r="IO261" i="12"/>
  <c r="IP261" i="12"/>
  <c r="IQ261" i="12"/>
  <c r="IR261" i="12"/>
  <c r="IS261" i="12"/>
  <c r="IT261" i="12"/>
  <c r="IU261" i="12"/>
  <c r="IV261" i="12"/>
  <c r="F262" i="12"/>
  <c r="G262" i="12"/>
  <c r="H262" i="12"/>
  <c r="I262" i="12"/>
  <c r="J262" i="12"/>
  <c r="K262" i="12"/>
  <c r="L262" i="12"/>
  <c r="M262" i="12"/>
  <c r="N262" i="12"/>
  <c r="O262" i="12"/>
  <c r="P262" i="12"/>
  <c r="Q262" i="12"/>
  <c r="R262" i="12"/>
  <c r="S262" i="12"/>
  <c r="T262" i="12"/>
  <c r="U262" i="12"/>
  <c r="V262" i="12"/>
  <c r="W262" i="12"/>
  <c r="X262" i="12"/>
  <c r="Y262" i="12"/>
  <c r="Z262" i="12"/>
  <c r="AA262" i="12"/>
  <c r="AB262" i="12"/>
  <c r="AC262" i="12"/>
  <c r="AD262" i="12"/>
  <c r="AE262" i="12"/>
  <c r="AF262" i="12"/>
  <c r="AG262" i="12"/>
  <c r="AH262" i="12"/>
  <c r="AI262" i="12"/>
  <c r="AJ262" i="12"/>
  <c r="AK262" i="12"/>
  <c r="AL262" i="12"/>
  <c r="AM262" i="12"/>
  <c r="AN262" i="12"/>
  <c r="AO262" i="12"/>
  <c r="AP262" i="12"/>
  <c r="AQ262" i="12"/>
  <c r="AR262" i="12"/>
  <c r="AS262" i="12"/>
  <c r="AT262" i="12"/>
  <c r="AU262" i="12"/>
  <c r="AV262" i="12"/>
  <c r="AW262" i="12"/>
  <c r="AX262" i="12"/>
  <c r="AY262" i="12"/>
  <c r="AZ262" i="12"/>
  <c r="BA262" i="12"/>
  <c r="BB262" i="12"/>
  <c r="BC262" i="12"/>
  <c r="BD262" i="12"/>
  <c r="BE262" i="12"/>
  <c r="BF262" i="12"/>
  <c r="BG262" i="12"/>
  <c r="BH262" i="12"/>
  <c r="BI262" i="12"/>
  <c r="BJ262" i="12"/>
  <c r="BK262" i="12"/>
  <c r="BL262" i="12"/>
  <c r="BM262" i="12"/>
  <c r="BN262" i="12"/>
  <c r="BO262" i="12"/>
  <c r="BP262" i="12"/>
  <c r="BQ262" i="12"/>
  <c r="BR262" i="12"/>
  <c r="BS262" i="12"/>
  <c r="BT262" i="12"/>
  <c r="BU262" i="12"/>
  <c r="BV262" i="12"/>
  <c r="BW262" i="12"/>
  <c r="BX262" i="12"/>
  <c r="BY262" i="12"/>
  <c r="BZ262" i="12"/>
  <c r="CA262" i="12"/>
  <c r="CB262" i="12"/>
  <c r="CC262" i="12"/>
  <c r="CD262" i="12"/>
  <c r="CE262" i="12"/>
  <c r="CF262" i="12"/>
  <c r="CG262" i="12"/>
  <c r="CH262" i="12"/>
  <c r="CI262" i="12"/>
  <c r="CJ262" i="12"/>
  <c r="CK262" i="12"/>
  <c r="CL262" i="12"/>
  <c r="CM262" i="12"/>
  <c r="CN262" i="12"/>
  <c r="CO262" i="12"/>
  <c r="CP262" i="12"/>
  <c r="CQ262" i="12"/>
  <c r="CR262" i="12"/>
  <c r="CS262" i="12"/>
  <c r="CT262" i="12"/>
  <c r="CU262" i="12"/>
  <c r="CV262" i="12"/>
  <c r="CW262" i="12"/>
  <c r="CX262" i="12"/>
  <c r="CY262" i="12"/>
  <c r="CZ262" i="12"/>
  <c r="DA262" i="12"/>
  <c r="DB262" i="12"/>
  <c r="DC262" i="12"/>
  <c r="DD262" i="12"/>
  <c r="DE262" i="12"/>
  <c r="DF262" i="12"/>
  <c r="DG262" i="12"/>
  <c r="DH262" i="12"/>
  <c r="DI262" i="12"/>
  <c r="DJ262" i="12"/>
  <c r="DK262" i="12"/>
  <c r="DL262" i="12"/>
  <c r="DM262" i="12"/>
  <c r="DN262" i="12"/>
  <c r="DO262" i="12"/>
  <c r="DP262" i="12"/>
  <c r="DQ262" i="12"/>
  <c r="DR262" i="12"/>
  <c r="DS262" i="12"/>
  <c r="DT262" i="12"/>
  <c r="DU262" i="12"/>
  <c r="DV262" i="12"/>
  <c r="DW262" i="12"/>
  <c r="DX262" i="12"/>
  <c r="DY262" i="12"/>
  <c r="DZ262" i="12"/>
  <c r="EA262" i="12"/>
  <c r="EB262" i="12"/>
  <c r="EC262" i="12"/>
  <c r="ED262" i="12"/>
  <c r="EE262" i="12"/>
  <c r="EF262" i="12"/>
  <c r="EG262" i="12"/>
  <c r="EH262" i="12"/>
  <c r="EI262" i="12"/>
  <c r="EJ262" i="12"/>
  <c r="EK262" i="12"/>
  <c r="EL262" i="12"/>
  <c r="EM262" i="12"/>
  <c r="EN262" i="12"/>
  <c r="EO262" i="12"/>
  <c r="EP262" i="12"/>
  <c r="EQ262" i="12"/>
  <c r="ER262" i="12"/>
  <c r="ES262" i="12"/>
  <c r="ET262" i="12"/>
  <c r="EU262" i="12"/>
  <c r="EV262" i="12"/>
  <c r="EW262" i="12"/>
  <c r="EX262" i="12"/>
  <c r="EY262" i="12"/>
  <c r="EZ262" i="12"/>
  <c r="FA262" i="12"/>
  <c r="FB262" i="12"/>
  <c r="FC262" i="12"/>
  <c r="FD262" i="12"/>
  <c r="FE262" i="12"/>
  <c r="FF262" i="12"/>
  <c r="FG262" i="12"/>
  <c r="FH262" i="12"/>
  <c r="FI262" i="12"/>
  <c r="FJ262" i="12"/>
  <c r="FK262" i="12"/>
  <c r="FL262" i="12"/>
  <c r="FM262" i="12"/>
  <c r="FN262" i="12"/>
  <c r="FO262" i="12"/>
  <c r="FP262" i="12"/>
  <c r="FQ262" i="12"/>
  <c r="FR262" i="12"/>
  <c r="FS262" i="12"/>
  <c r="FT262" i="12"/>
  <c r="FU262" i="12"/>
  <c r="FV262" i="12"/>
  <c r="FW262" i="12"/>
  <c r="FX262" i="12"/>
  <c r="FY262" i="12"/>
  <c r="FZ262" i="12"/>
  <c r="GA262" i="12"/>
  <c r="GB262" i="12"/>
  <c r="GC262" i="12"/>
  <c r="GD262" i="12"/>
  <c r="GE262" i="12"/>
  <c r="GF262" i="12"/>
  <c r="GG262" i="12"/>
  <c r="GH262" i="12"/>
  <c r="GI262" i="12"/>
  <c r="GJ262" i="12"/>
  <c r="GK262" i="12"/>
  <c r="GL262" i="12"/>
  <c r="GM262" i="12"/>
  <c r="GN262" i="12"/>
  <c r="GO262" i="12"/>
  <c r="GP262" i="12"/>
  <c r="GQ262" i="12"/>
  <c r="GR262" i="12"/>
  <c r="GS262" i="12"/>
  <c r="GT262" i="12"/>
  <c r="GU262" i="12"/>
  <c r="GV262" i="12"/>
  <c r="GW262" i="12"/>
  <c r="GX262" i="12"/>
  <c r="GY262" i="12"/>
  <c r="GZ262" i="12"/>
  <c r="HA262" i="12"/>
  <c r="HB262" i="12"/>
  <c r="HC262" i="12"/>
  <c r="HD262" i="12"/>
  <c r="HE262" i="12"/>
  <c r="HF262" i="12"/>
  <c r="HG262" i="12"/>
  <c r="HH262" i="12"/>
  <c r="HI262" i="12"/>
  <c r="HJ262" i="12"/>
  <c r="HK262" i="12"/>
  <c r="HL262" i="12"/>
  <c r="HM262" i="12"/>
  <c r="HN262" i="12"/>
  <c r="HO262" i="12"/>
  <c r="HP262" i="12"/>
  <c r="HQ262" i="12"/>
  <c r="HR262" i="12"/>
  <c r="HS262" i="12"/>
  <c r="HT262" i="12"/>
  <c r="HU262" i="12"/>
  <c r="HV262" i="12"/>
  <c r="HW262" i="12"/>
  <c r="HX262" i="12"/>
  <c r="HY262" i="12"/>
  <c r="HZ262" i="12"/>
  <c r="IA262" i="12"/>
  <c r="IB262" i="12"/>
  <c r="IC262" i="12"/>
  <c r="ID262" i="12"/>
  <c r="IE262" i="12"/>
  <c r="IF262" i="12"/>
  <c r="IG262" i="12"/>
  <c r="IH262" i="12"/>
  <c r="II262" i="12"/>
  <c r="IJ262" i="12"/>
  <c r="IK262" i="12"/>
  <c r="IL262" i="12"/>
  <c r="IM262" i="12"/>
  <c r="IN262" i="12"/>
  <c r="IO262" i="12"/>
  <c r="IP262" i="12"/>
  <c r="IQ262" i="12"/>
  <c r="IR262" i="12"/>
  <c r="IS262" i="12"/>
  <c r="IT262" i="12"/>
  <c r="IU262" i="12"/>
  <c r="IV262" i="12"/>
  <c r="F263" i="12"/>
  <c r="G263" i="12"/>
  <c r="H263" i="12"/>
  <c r="I263" i="12"/>
  <c r="J263" i="12"/>
  <c r="K263" i="12"/>
  <c r="L263" i="12"/>
  <c r="M263" i="12"/>
  <c r="N263" i="12"/>
  <c r="O263" i="12"/>
  <c r="P263" i="12"/>
  <c r="Q263" i="12"/>
  <c r="R263" i="12"/>
  <c r="S263" i="12"/>
  <c r="T263" i="12"/>
  <c r="U263" i="12"/>
  <c r="V263" i="12"/>
  <c r="W263" i="12"/>
  <c r="X263" i="12"/>
  <c r="Y263" i="12"/>
  <c r="Z263" i="12"/>
  <c r="AA263" i="12"/>
  <c r="AB263" i="12"/>
  <c r="AC263" i="12"/>
  <c r="AD263" i="12"/>
  <c r="AE263" i="12"/>
  <c r="AF263" i="12"/>
  <c r="AG263" i="12"/>
  <c r="AH263" i="12"/>
  <c r="AI263" i="12"/>
  <c r="AJ263" i="12"/>
  <c r="AK263" i="12"/>
  <c r="AL263" i="12"/>
  <c r="AM263" i="12"/>
  <c r="AN263" i="12"/>
  <c r="AO263" i="12"/>
  <c r="AP263" i="12"/>
  <c r="AQ263" i="12"/>
  <c r="AR263" i="12"/>
  <c r="AS263" i="12"/>
  <c r="AT263" i="12"/>
  <c r="AU263" i="12"/>
  <c r="AV263" i="12"/>
  <c r="AW263" i="12"/>
  <c r="AX263" i="12"/>
  <c r="AY263" i="12"/>
  <c r="AZ263" i="12"/>
  <c r="BA263" i="12"/>
  <c r="BB263" i="12"/>
  <c r="BC263" i="12"/>
  <c r="BD263" i="12"/>
  <c r="BE263" i="12"/>
  <c r="BF263" i="12"/>
  <c r="BG263" i="12"/>
  <c r="BH263" i="12"/>
  <c r="BI263" i="12"/>
  <c r="BJ263" i="12"/>
  <c r="BK263" i="12"/>
  <c r="BL263" i="12"/>
  <c r="BM263" i="12"/>
  <c r="BN263" i="12"/>
  <c r="BO263" i="12"/>
  <c r="BP263" i="12"/>
  <c r="BQ263" i="12"/>
  <c r="BR263" i="12"/>
  <c r="BS263" i="12"/>
  <c r="BT263" i="12"/>
  <c r="BU263" i="12"/>
  <c r="BV263" i="12"/>
  <c r="BW263" i="12"/>
  <c r="BX263" i="12"/>
  <c r="BY263" i="12"/>
  <c r="BZ263" i="12"/>
  <c r="CA263" i="12"/>
  <c r="CB263" i="12"/>
  <c r="CC263" i="12"/>
  <c r="CD263" i="12"/>
  <c r="CE263" i="12"/>
  <c r="CF263" i="12"/>
  <c r="CG263" i="12"/>
  <c r="CH263" i="12"/>
  <c r="CI263" i="12"/>
  <c r="CJ263" i="12"/>
  <c r="CK263" i="12"/>
  <c r="CL263" i="12"/>
  <c r="CM263" i="12"/>
  <c r="CN263" i="12"/>
  <c r="CO263" i="12"/>
  <c r="CP263" i="12"/>
  <c r="CQ263" i="12"/>
  <c r="CR263" i="12"/>
  <c r="CS263" i="12"/>
  <c r="CT263" i="12"/>
  <c r="CU263" i="12"/>
  <c r="CV263" i="12"/>
  <c r="CW263" i="12"/>
  <c r="CX263" i="12"/>
  <c r="CY263" i="12"/>
  <c r="CZ263" i="12"/>
  <c r="DA263" i="12"/>
  <c r="DB263" i="12"/>
  <c r="DC263" i="12"/>
  <c r="DD263" i="12"/>
  <c r="DE263" i="12"/>
  <c r="DF263" i="12"/>
  <c r="DG263" i="12"/>
  <c r="DH263" i="12"/>
  <c r="DI263" i="12"/>
  <c r="DJ263" i="12"/>
  <c r="DK263" i="12"/>
  <c r="DL263" i="12"/>
  <c r="DM263" i="12"/>
  <c r="DN263" i="12"/>
  <c r="DO263" i="12"/>
  <c r="DP263" i="12"/>
  <c r="DQ263" i="12"/>
  <c r="DR263" i="12"/>
  <c r="DS263" i="12"/>
  <c r="DT263" i="12"/>
  <c r="DU263" i="12"/>
  <c r="DV263" i="12"/>
  <c r="DW263" i="12"/>
  <c r="DX263" i="12"/>
  <c r="DY263" i="12"/>
  <c r="DZ263" i="12"/>
  <c r="EA263" i="12"/>
  <c r="EB263" i="12"/>
  <c r="EC263" i="12"/>
  <c r="ED263" i="12"/>
  <c r="EE263" i="12"/>
  <c r="EF263" i="12"/>
  <c r="EG263" i="12"/>
  <c r="EH263" i="12"/>
  <c r="EI263" i="12"/>
  <c r="EJ263" i="12"/>
  <c r="EK263" i="12"/>
  <c r="EL263" i="12"/>
  <c r="EM263" i="12"/>
  <c r="EN263" i="12"/>
  <c r="EO263" i="12"/>
  <c r="EP263" i="12"/>
  <c r="EQ263" i="12"/>
  <c r="ER263" i="12"/>
  <c r="ES263" i="12"/>
  <c r="ET263" i="12"/>
  <c r="EU263" i="12"/>
  <c r="EV263" i="12"/>
  <c r="EW263" i="12"/>
  <c r="EX263" i="12"/>
  <c r="EY263" i="12"/>
  <c r="EZ263" i="12"/>
  <c r="FA263" i="12"/>
  <c r="FB263" i="12"/>
  <c r="FC263" i="12"/>
  <c r="FD263" i="12"/>
  <c r="FE263" i="12"/>
  <c r="FF263" i="12"/>
  <c r="FG263" i="12"/>
  <c r="FH263" i="12"/>
  <c r="FI263" i="12"/>
  <c r="FJ263" i="12"/>
  <c r="FK263" i="12"/>
  <c r="FL263" i="12"/>
  <c r="FM263" i="12"/>
  <c r="FN263" i="12"/>
  <c r="FO263" i="12"/>
  <c r="FP263" i="12"/>
  <c r="FQ263" i="12"/>
  <c r="FR263" i="12"/>
  <c r="FS263" i="12"/>
  <c r="FT263" i="12"/>
  <c r="FU263" i="12"/>
  <c r="FV263" i="12"/>
  <c r="FW263" i="12"/>
  <c r="FX263" i="12"/>
  <c r="FY263" i="12"/>
  <c r="FZ263" i="12"/>
  <c r="GA263" i="12"/>
  <c r="GB263" i="12"/>
  <c r="GC263" i="12"/>
  <c r="GD263" i="12"/>
  <c r="GE263" i="12"/>
  <c r="GF263" i="12"/>
  <c r="GG263" i="12"/>
  <c r="GH263" i="12"/>
  <c r="GI263" i="12"/>
  <c r="GJ263" i="12"/>
  <c r="GK263" i="12"/>
  <c r="GL263" i="12"/>
  <c r="GM263" i="12"/>
  <c r="GN263" i="12"/>
  <c r="GO263" i="12"/>
  <c r="GP263" i="12"/>
  <c r="GQ263" i="12"/>
  <c r="GR263" i="12"/>
  <c r="GS263" i="12"/>
  <c r="GT263" i="12"/>
  <c r="GU263" i="12"/>
  <c r="GV263" i="12"/>
  <c r="GW263" i="12"/>
  <c r="GX263" i="12"/>
  <c r="GY263" i="12"/>
  <c r="GZ263" i="12"/>
  <c r="HA263" i="12"/>
  <c r="HB263" i="12"/>
  <c r="HC263" i="12"/>
  <c r="HD263" i="12"/>
  <c r="HE263" i="12"/>
  <c r="HF263" i="12"/>
  <c r="HG263" i="12"/>
  <c r="HH263" i="12"/>
  <c r="HI263" i="12"/>
  <c r="HJ263" i="12"/>
  <c r="HK263" i="12"/>
  <c r="HL263" i="12"/>
  <c r="HM263" i="12"/>
  <c r="HN263" i="12"/>
  <c r="HO263" i="12"/>
  <c r="HP263" i="12"/>
  <c r="HQ263" i="12"/>
  <c r="HR263" i="12"/>
  <c r="HS263" i="12"/>
  <c r="HT263" i="12"/>
  <c r="HU263" i="12"/>
  <c r="HV263" i="12"/>
  <c r="HW263" i="12"/>
  <c r="HX263" i="12"/>
  <c r="HY263" i="12"/>
  <c r="HZ263" i="12"/>
  <c r="IA263" i="12"/>
  <c r="IB263" i="12"/>
  <c r="IC263" i="12"/>
  <c r="ID263" i="12"/>
  <c r="IE263" i="12"/>
  <c r="IF263" i="12"/>
  <c r="IG263" i="12"/>
  <c r="IH263" i="12"/>
  <c r="II263" i="12"/>
  <c r="IJ263" i="12"/>
  <c r="IK263" i="12"/>
  <c r="IL263" i="12"/>
  <c r="IM263" i="12"/>
  <c r="IN263" i="12"/>
  <c r="IO263" i="12"/>
  <c r="IP263" i="12"/>
  <c r="IQ263" i="12"/>
  <c r="IR263" i="12"/>
  <c r="IS263" i="12"/>
  <c r="IT263" i="12"/>
  <c r="IU263" i="12"/>
  <c r="IV263" i="12"/>
  <c r="F264" i="12"/>
  <c r="G264" i="12"/>
  <c r="H264" i="12"/>
  <c r="I264" i="12"/>
  <c r="J264" i="12"/>
  <c r="K264" i="12"/>
  <c r="L264" i="12"/>
  <c r="M264" i="12"/>
  <c r="N264" i="12"/>
  <c r="O264" i="12"/>
  <c r="P264" i="12"/>
  <c r="Q264" i="12"/>
  <c r="R264" i="12"/>
  <c r="S264" i="12"/>
  <c r="T264" i="12"/>
  <c r="U264" i="12"/>
  <c r="V264" i="12"/>
  <c r="W264" i="12"/>
  <c r="X264" i="12"/>
  <c r="Y264" i="12"/>
  <c r="Z264" i="12"/>
  <c r="AA264" i="12"/>
  <c r="AB264" i="12"/>
  <c r="AC264" i="12"/>
  <c r="AD264" i="12"/>
  <c r="AE264" i="12"/>
  <c r="AF264" i="12"/>
  <c r="AG264" i="12"/>
  <c r="AH264" i="12"/>
  <c r="AI264" i="12"/>
  <c r="AJ264" i="12"/>
  <c r="AK264" i="12"/>
  <c r="AL264" i="12"/>
  <c r="AM264" i="12"/>
  <c r="AN264" i="12"/>
  <c r="AO264" i="12"/>
  <c r="AP264" i="12"/>
  <c r="AQ264" i="12"/>
  <c r="AR264" i="12"/>
  <c r="AS264" i="12"/>
  <c r="AT264" i="12"/>
  <c r="AU264" i="12"/>
  <c r="AV264" i="12"/>
  <c r="AW264" i="12"/>
  <c r="AX264" i="12"/>
  <c r="AY264" i="12"/>
  <c r="AZ264" i="12"/>
  <c r="BA264" i="12"/>
  <c r="BB264" i="12"/>
  <c r="BC264" i="12"/>
  <c r="BD264" i="12"/>
  <c r="BE264" i="12"/>
  <c r="BF264" i="12"/>
  <c r="BG264" i="12"/>
  <c r="BH264" i="12"/>
  <c r="BI264" i="12"/>
  <c r="BJ264" i="12"/>
  <c r="BK264" i="12"/>
  <c r="BL264" i="12"/>
  <c r="BM264" i="12"/>
  <c r="BN264" i="12"/>
  <c r="BO264" i="12"/>
  <c r="BP264" i="12"/>
  <c r="BQ264" i="12"/>
  <c r="BR264" i="12"/>
  <c r="BS264" i="12"/>
  <c r="BT264" i="12"/>
  <c r="BU264" i="12"/>
  <c r="BV264" i="12"/>
  <c r="BW264" i="12"/>
  <c r="BX264" i="12"/>
  <c r="BY264" i="12"/>
  <c r="BZ264" i="12"/>
  <c r="CA264" i="12"/>
  <c r="CB264" i="12"/>
  <c r="CC264" i="12"/>
  <c r="CD264" i="12"/>
  <c r="CE264" i="12"/>
  <c r="CF264" i="12"/>
  <c r="CG264" i="12"/>
  <c r="CH264" i="12"/>
  <c r="CI264" i="12"/>
  <c r="CJ264" i="12"/>
  <c r="CK264" i="12"/>
  <c r="CL264" i="12"/>
  <c r="CM264" i="12"/>
  <c r="CN264" i="12"/>
  <c r="CO264" i="12"/>
  <c r="CP264" i="12"/>
  <c r="CQ264" i="12"/>
  <c r="CR264" i="12"/>
  <c r="CS264" i="12"/>
  <c r="CT264" i="12"/>
  <c r="CU264" i="12"/>
  <c r="CV264" i="12"/>
  <c r="CW264" i="12"/>
  <c r="CX264" i="12"/>
  <c r="CY264" i="12"/>
  <c r="CZ264" i="12"/>
  <c r="DA264" i="12"/>
  <c r="DB264" i="12"/>
  <c r="DC264" i="12"/>
  <c r="DD264" i="12"/>
  <c r="DE264" i="12"/>
  <c r="DF264" i="12"/>
  <c r="DG264" i="12"/>
  <c r="DH264" i="12"/>
  <c r="DI264" i="12"/>
  <c r="DJ264" i="12"/>
  <c r="DK264" i="12"/>
  <c r="DL264" i="12"/>
  <c r="DM264" i="12"/>
  <c r="DN264" i="12"/>
  <c r="DO264" i="12"/>
  <c r="DP264" i="12"/>
  <c r="DQ264" i="12"/>
  <c r="DR264" i="12"/>
  <c r="DS264" i="12"/>
  <c r="DT264" i="12"/>
  <c r="DU264" i="12"/>
  <c r="DV264" i="12"/>
  <c r="DW264" i="12"/>
  <c r="DX264" i="12"/>
  <c r="DY264" i="12"/>
  <c r="DZ264" i="12"/>
  <c r="EA264" i="12"/>
  <c r="EB264" i="12"/>
  <c r="EC264" i="12"/>
  <c r="ED264" i="12"/>
  <c r="EE264" i="12"/>
  <c r="EF264" i="12"/>
  <c r="EG264" i="12"/>
  <c r="EH264" i="12"/>
  <c r="EI264" i="12"/>
  <c r="EJ264" i="12"/>
  <c r="EK264" i="12"/>
  <c r="EL264" i="12"/>
  <c r="EM264" i="12"/>
  <c r="EN264" i="12"/>
  <c r="EO264" i="12"/>
  <c r="EP264" i="12"/>
  <c r="EQ264" i="12"/>
  <c r="ER264" i="12"/>
  <c r="ES264" i="12"/>
  <c r="ET264" i="12"/>
  <c r="EU264" i="12"/>
  <c r="EV264" i="12"/>
  <c r="EW264" i="12"/>
  <c r="EX264" i="12"/>
  <c r="EY264" i="12"/>
  <c r="EZ264" i="12"/>
  <c r="FA264" i="12"/>
  <c r="FB264" i="12"/>
  <c r="FC264" i="12"/>
  <c r="FD264" i="12"/>
  <c r="FE264" i="12"/>
  <c r="FF264" i="12"/>
  <c r="FG264" i="12"/>
  <c r="FH264" i="12"/>
  <c r="FI264" i="12"/>
  <c r="FJ264" i="12"/>
  <c r="FK264" i="12"/>
  <c r="FL264" i="12"/>
  <c r="FM264" i="12"/>
  <c r="FN264" i="12"/>
  <c r="FO264" i="12"/>
  <c r="FP264" i="12"/>
  <c r="FQ264" i="12"/>
  <c r="FR264" i="12"/>
  <c r="FS264" i="12"/>
  <c r="FT264" i="12"/>
  <c r="FU264" i="12"/>
  <c r="FV264" i="12"/>
  <c r="FW264" i="12"/>
  <c r="FX264" i="12"/>
  <c r="FY264" i="12"/>
  <c r="FZ264" i="12"/>
  <c r="GA264" i="12"/>
  <c r="GB264" i="12"/>
  <c r="GC264" i="12"/>
  <c r="GD264" i="12"/>
  <c r="GE264" i="12"/>
  <c r="GF264" i="12"/>
  <c r="GG264" i="12"/>
  <c r="GH264" i="12"/>
  <c r="GI264" i="12"/>
  <c r="GJ264" i="12"/>
  <c r="GK264" i="12"/>
  <c r="GL264" i="12"/>
  <c r="GM264" i="12"/>
  <c r="GN264" i="12"/>
  <c r="GO264" i="12"/>
  <c r="GP264" i="12"/>
  <c r="GQ264" i="12"/>
  <c r="GR264" i="12"/>
  <c r="GS264" i="12"/>
  <c r="GT264" i="12"/>
  <c r="GU264" i="12"/>
  <c r="GV264" i="12"/>
  <c r="GW264" i="12"/>
  <c r="GX264" i="12"/>
  <c r="GY264" i="12"/>
  <c r="GZ264" i="12"/>
  <c r="HA264" i="12"/>
  <c r="HB264" i="12"/>
  <c r="HC264" i="12"/>
  <c r="HD264" i="12"/>
  <c r="HE264" i="12"/>
  <c r="HF264" i="12"/>
  <c r="HG264" i="12"/>
  <c r="HH264" i="12"/>
  <c r="HI264" i="12"/>
  <c r="HJ264" i="12"/>
  <c r="HK264" i="12"/>
  <c r="HL264" i="12"/>
  <c r="HM264" i="12"/>
  <c r="HN264" i="12"/>
  <c r="HO264" i="12"/>
  <c r="HP264" i="12"/>
  <c r="HQ264" i="12"/>
  <c r="HR264" i="12"/>
  <c r="HS264" i="12"/>
  <c r="HT264" i="12"/>
  <c r="HU264" i="12"/>
  <c r="HV264" i="12"/>
  <c r="HW264" i="12"/>
  <c r="HX264" i="12"/>
  <c r="HY264" i="12"/>
  <c r="HZ264" i="12"/>
  <c r="IA264" i="12"/>
  <c r="IB264" i="12"/>
  <c r="IC264" i="12"/>
  <c r="ID264" i="12"/>
  <c r="IE264" i="12"/>
  <c r="IF264" i="12"/>
  <c r="IG264" i="12"/>
  <c r="IH264" i="12"/>
  <c r="II264" i="12"/>
  <c r="IJ264" i="12"/>
  <c r="IK264" i="12"/>
  <c r="IL264" i="12"/>
  <c r="IM264" i="12"/>
  <c r="IN264" i="12"/>
  <c r="IO264" i="12"/>
  <c r="IP264" i="12"/>
  <c r="IQ264" i="12"/>
  <c r="IR264" i="12"/>
  <c r="IS264" i="12"/>
  <c r="IT264" i="12"/>
  <c r="IU264" i="12"/>
  <c r="IV264" i="12"/>
  <c r="F265" i="12"/>
  <c r="G265" i="12"/>
  <c r="H265" i="12"/>
  <c r="I265" i="12"/>
  <c r="J265" i="12"/>
  <c r="K265" i="12"/>
  <c r="L265" i="12"/>
  <c r="M265" i="12"/>
  <c r="N265" i="12"/>
  <c r="O265" i="12"/>
  <c r="P265" i="12"/>
  <c r="Q265" i="12"/>
  <c r="R265" i="12"/>
  <c r="S265" i="12"/>
  <c r="T265" i="12"/>
  <c r="U265" i="12"/>
  <c r="V265" i="12"/>
  <c r="W265" i="12"/>
  <c r="X265" i="12"/>
  <c r="Y265" i="12"/>
  <c r="Z265" i="12"/>
  <c r="AA265" i="12"/>
  <c r="AB265" i="12"/>
  <c r="AC265" i="12"/>
  <c r="AD265" i="12"/>
  <c r="AE265" i="12"/>
  <c r="AF265" i="12"/>
  <c r="AG265" i="12"/>
  <c r="AH265" i="12"/>
  <c r="AI265" i="12"/>
  <c r="AJ265" i="12"/>
  <c r="AK265" i="12"/>
  <c r="AL265" i="12"/>
  <c r="AM265" i="12"/>
  <c r="AN265" i="12"/>
  <c r="AO265" i="12"/>
  <c r="AP265" i="12"/>
  <c r="AQ265" i="12"/>
  <c r="AR265" i="12"/>
  <c r="AS265" i="12"/>
  <c r="AT265" i="12"/>
  <c r="AU265" i="12"/>
  <c r="AV265" i="12"/>
  <c r="AW265" i="12"/>
  <c r="AX265" i="12"/>
  <c r="AY265" i="12"/>
  <c r="AZ265" i="12"/>
  <c r="BA265" i="12"/>
  <c r="BB265" i="12"/>
  <c r="BC265" i="12"/>
  <c r="BD265" i="12"/>
  <c r="BE265" i="12"/>
  <c r="BF265" i="12"/>
  <c r="BG265" i="12"/>
  <c r="BH265" i="12"/>
  <c r="BI265" i="12"/>
  <c r="BJ265" i="12"/>
  <c r="BK265" i="12"/>
  <c r="BL265" i="12"/>
  <c r="BM265" i="12"/>
  <c r="BN265" i="12"/>
  <c r="BO265" i="12"/>
  <c r="BP265" i="12"/>
  <c r="BQ265" i="12"/>
  <c r="BR265" i="12"/>
  <c r="BS265" i="12"/>
  <c r="BT265" i="12"/>
  <c r="BU265" i="12"/>
  <c r="BV265" i="12"/>
  <c r="BW265" i="12"/>
  <c r="BX265" i="12"/>
  <c r="BY265" i="12"/>
  <c r="BZ265" i="12"/>
  <c r="CA265" i="12"/>
  <c r="CB265" i="12"/>
  <c r="CC265" i="12"/>
  <c r="CD265" i="12"/>
  <c r="CE265" i="12"/>
  <c r="CF265" i="12"/>
  <c r="CG265" i="12"/>
  <c r="CH265" i="12"/>
  <c r="CI265" i="12"/>
  <c r="CJ265" i="12"/>
  <c r="CK265" i="12"/>
  <c r="CL265" i="12"/>
  <c r="CM265" i="12"/>
  <c r="CN265" i="12"/>
  <c r="CO265" i="12"/>
  <c r="CP265" i="12"/>
  <c r="CQ265" i="12"/>
  <c r="CR265" i="12"/>
  <c r="CS265" i="12"/>
  <c r="CT265" i="12"/>
  <c r="CU265" i="12"/>
  <c r="CV265" i="12"/>
  <c r="CW265" i="12"/>
  <c r="CX265" i="12"/>
  <c r="CY265" i="12"/>
  <c r="CZ265" i="12"/>
  <c r="DA265" i="12"/>
  <c r="DB265" i="12"/>
  <c r="DC265" i="12"/>
  <c r="DD265" i="12"/>
  <c r="DE265" i="12"/>
  <c r="DF265" i="12"/>
  <c r="DG265" i="12"/>
  <c r="DH265" i="12"/>
  <c r="DI265" i="12"/>
  <c r="DJ265" i="12"/>
  <c r="DK265" i="12"/>
  <c r="DL265" i="12"/>
  <c r="DM265" i="12"/>
  <c r="DN265" i="12"/>
  <c r="DO265" i="12"/>
  <c r="DP265" i="12"/>
  <c r="DQ265" i="12"/>
  <c r="DR265" i="12"/>
  <c r="DS265" i="12"/>
  <c r="DT265" i="12"/>
  <c r="DU265" i="12"/>
  <c r="DV265" i="12"/>
  <c r="DW265" i="12"/>
  <c r="DX265" i="12"/>
  <c r="DY265" i="12"/>
  <c r="DZ265" i="12"/>
  <c r="EA265" i="12"/>
  <c r="EB265" i="12"/>
  <c r="EC265" i="12"/>
  <c r="ED265" i="12"/>
  <c r="EE265" i="12"/>
  <c r="EF265" i="12"/>
  <c r="EG265" i="12"/>
  <c r="EH265" i="12"/>
  <c r="EI265" i="12"/>
  <c r="EJ265" i="12"/>
  <c r="EK265" i="12"/>
  <c r="EL265" i="12"/>
  <c r="EM265" i="12"/>
  <c r="EN265" i="12"/>
  <c r="EO265" i="12"/>
  <c r="EP265" i="12"/>
  <c r="EQ265" i="12"/>
  <c r="ER265" i="12"/>
  <c r="ES265" i="12"/>
  <c r="ET265" i="12"/>
  <c r="EU265" i="12"/>
  <c r="EV265" i="12"/>
  <c r="EW265" i="12"/>
  <c r="EX265" i="12"/>
  <c r="EY265" i="12"/>
  <c r="EZ265" i="12"/>
  <c r="FA265" i="12"/>
  <c r="FB265" i="12"/>
  <c r="FC265" i="12"/>
  <c r="FD265" i="12"/>
  <c r="FE265" i="12"/>
  <c r="FF265" i="12"/>
  <c r="FG265" i="12"/>
  <c r="FH265" i="12"/>
  <c r="FI265" i="12"/>
  <c r="FJ265" i="12"/>
  <c r="FK265" i="12"/>
  <c r="FL265" i="12"/>
  <c r="FM265" i="12"/>
  <c r="FN265" i="12"/>
  <c r="FO265" i="12"/>
  <c r="FP265" i="12"/>
  <c r="FQ265" i="12"/>
  <c r="FR265" i="12"/>
  <c r="FS265" i="12"/>
  <c r="FT265" i="12"/>
  <c r="FU265" i="12"/>
  <c r="FV265" i="12"/>
  <c r="FW265" i="12"/>
  <c r="FX265" i="12"/>
  <c r="FY265" i="12"/>
  <c r="FZ265" i="12"/>
  <c r="GA265" i="12"/>
  <c r="GB265" i="12"/>
  <c r="GC265" i="12"/>
  <c r="GD265" i="12"/>
  <c r="GE265" i="12"/>
  <c r="GF265" i="12"/>
  <c r="GG265" i="12"/>
  <c r="GH265" i="12"/>
  <c r="GI265" i="12"/>
  <c r="GJ265" i="12"/>
  <c r="GK265" i="12"/>
  <c r="GL265" i="12"/>
  <c r="GM265" i="12"/>
  <c r="GN265" i="12"/>
  <c r="GO265" i="12"/>
  <c r="GP265" i="12"/>
  <c r="GQ265" i="12"/>
  <c r="GR265" i="12"/>
  <c r="GS265" i="12"/>
  <c r="GT265" i="12"/>
  <c r="GU265" i="12"/>
  <c r="GV265" i="12"/>
  <c r="GW265" i="12"/>
  <c r="GX265" i="12"/>
  <c r="GY265" i="12"/>
  <c r="GZ265" i="12"/>
  <c r="HA265" i="12"/>
  <c r="HB265" i="12"/>
  <c r="HC265" i="12"/>
  <c r="HD265" i="12"/>
  <c r="HE265" i="12"/>
  <c r="HF265" i="12"/>
  <c r="HG265" i="12"/>
  <c r="HH265" i="12"/>
  <c r="HI265" i="12"/>
  <c r="HJ265" i="12"/>
  <c r="HK265" i="12"/>
  <c r="HL265" i="12"/>
  <c r="HM265" i="12"/>
  <c r="HN265" i="12"/>
  <c r="HO265" i="12"/>
  <c r="HP265" i="12"/>
  <c r="HQ265" i="12"/>
  <c r="HR265" i="12"/>
  <c r="HS265" i="12"/>
  <c r="HT265" i="12"/>
  <c r="HU265" i="12"/>
  <c r="HV265" i="12"/>
  <c r="HW265" i="12"/>
  <c r="HX265" i="12"/>
  <c r="HY265" i="12"/>
  <c r="HZ265" i="12"/>
  <c r="IA265" i="12"/>
  <c r="IB265" i="12"/>
  <c r="IC265" i="12"/>
  <c r="ID265" i="12"/>
  <c r="IE265" i="12"/>
  <c r="IF265" i="12"/>
  <c r="IG265" i="12"/>
  <c r="IH265" i="12"/>
  <c r="II265" i="12"/>
  <c r="IJ265" i="12"/>
  <c r="IK265" i="12"/>
  <c r="IL265" i="12"/>
  <c r="IM265" i="12"/>
  <c r="IN265" i="12"/>
  <c r="IO265" i="12"/>
  <c r="IP265" i="12"/>
  <c r="IQ265" i="12"/>
  <c r="IR265" i="12"/>
  <c r="IS265" i="12"/>
  <c r="IT265" i="12"/>
  <c r="IU265" i="12"/>
  <c r="IV265" i="12"/>
  <c r="F266" i="12"/>
  <c r="G266" i="12"/>
  <c r="H266" i="12"/>
  <c r="I266" i="12"/>
  <c r="J266" i="12"/>
  <c r="K266" i="12"/>
  <c r="L266" i="12"/>
  <c r="M266" i="12"/>
  <c r="N266" i="12"/>
  <c r="O266" i="12"/>
  <c r="P266" i="12"/>
  <c r="Q266" i="12"/>
  <c r="R266" i="12"/>
  <c r="S266" i="12"/>
  <c r="T266" i="12"/>
  <c r="U266" i="12"/>
  <c r="V266" i="12"/>
  <c r="W266" i="12"/>
  <c r="X266" i="12"/>
  <c r="Y266" i="12"/>
  <c r="Z266" i="12"/>
  <c r="AA266" i="12"/>
  <c r="AB266" i="12"/>
  <c r="AC266" i="12"/>
  <c r="AD266" i="12"/>
  <c r="AE266" i="12"/>
  <c r="AF266" i="12"/>
  <c r="AG266" i="12"/>
  <c r="AH266" i="12"/>
  <c r="AI266" i="12"/>
  <c r="AJ266" i="12"/>
  <c r="AK266" i="12"/>
  <c r="AL266" i="12"/>
  <c r="AM266" i="12"/>
  <c r="AN266" i="12"/>
  <c r="AO266" i="12"/>
  <c r="AP266" i="12"/>
  <c r="AQ266" i="12"/>
  <c r="AR266" i="12"/>
  <c r="AS266" i="12"/>
  <c r="AT266" i="12"/>
  <c r="AU266" i="12"/>
  <c r="AV266" i="12"/>
  <c r="AW266" i="12"/>
  <c r="AX266" i="12"/>
  <c r="AY266" i="12"/>
  <c r="AZ266" i="12"/>
  <c r="BA266" i="12"/>
  <c r="BB266" i="12"/>
  <c r="BC266" i="12"/>
  <c r="BD266" i="12"/>
  <c r="BE266" i="12"/>
  <c r="BF266" i="12"/>
  <c r="BG266" i="12"/>
  <c r="BH266" i="12"/>
  <c r="BI266" i="12"/>
  <c r="BJ266" i="12"/>
  <c r="BK266" i="12"/>
  <c r="BL266" i="12"/>
  <c r="BM266" i="12"/>
  <c r="BN266" i="12"/>
  <c r="BO266" i="12"/>
  <c r="BP266" i="12"/>
  <c r="BQ266" i="12"/>
  <c r="BR266" i="12"/>
  <c r="BS266" i="12"/>
  <c r="BT266" i="12"/>
  <c r="BU266" i="12"/>
  <c r="BV266" i="12"/>
  <c r="BW266" i="12"/>
  <c r="BX266" i="12"/>
  <c r="BY266" i="12"/>
  <c r="BZ266" i="12"/>
  <c r="CA266" i="12"/>
  <c r="CB266" i="12"/>
  <c r="CC266" i="12"/>
  <c r="CD266" i="12"/>
  <c r="CE266" i="12"/>
  <c r="CF266" i="12"/>
  <c r="CG266" i="12"/>
  <c r="CH266" i="12"/>
  <c r="CI266" i="12"/>
  <c r="CJ266" i="12"/>
  <c r="CK266" i="12"/>
  <c r="CL266" i="12"/>
  <c r="CM266" i="12"/>
  <c r="CN266" i="12"/>
  <c r="CO266" i="12"/>
  <c r="CP266" i="12"/>
  <c r="CQ266" i="12"/>
  <c r="CR266" i="12"/>
  <c r="CS266" i="12"/>
  <c r="CT266" i="12"/>
  <c r="CU266" i="12"/>
  <c r="CV266" i="12"/>
  <c r="CW266" i="12"/>
  <c r="CX266" i="12"/>
  <c r="CY266" i="12"/>
  <c r="CZ266" i="12"/>
  <c r="DA266" i="12"/>
  <c r="DB266" i="12"/>
  <c r="DC266" i="12"/>
  <c r="DD266" i="12"/>
  <c r="DE266" i="12"/>
  <c r="DF266" i="12"/>
  <c r="DG266" i="12"/>
  <c r="DH266" i="12"/>
  <c r="DI266" i="12"/>
  <c r="DJ266" i="12"/>
  <c r="DK266" i="12"/>
  <c r="DL266" i="12"/>
  <c r="DM266" i="12"/>
  <c r="DN266" i="12"/>
  <c r="DO266" i="12"/>
  <c r="DP266" i="12"/>
  <c r="DQ266" i="12"/>
  <c r="DR266" i="12"/>
  <c r="DS266" i="12"/>
  <c r="DT266" i="12"/>
  <c r="DU266" i="12"/>
  <c r="DV266" i="12"/>
  <c r="DW266" i="12"/>
  <c r="DX266" i="12"/>
  <c r="DY266" i="12"/>
  <c r="DZ266" i="12"/>
  <c r="EA266" i="12"/>
  <c r="EB266" i="12"/>
  <c r="EC266" i="12"/>
  <c r="ED266" i="12"/>
  <c r="EE266" i="12"/>
  <c r="EF266" i="12"/>
  <c r="EG266" i="12"/>
  <c r="EH266" i="12"/>
  <c r="EI266" i="12"/>
  <c r="EJ266" i="12"/>
  <c r="EK266" i="12"/>
  <c r="EL266" i="12"/>
  <c r="EM266" i="12"/>
  <c r="EN266" i="12"/>
  <c r="EO266" i="12"/>
  <c r="EP266" i="12"/>
  <c r="EQ266" i="12"/>
  <c r="ER266" i="12"/>
  <c r="ES266" i="12"/>
  <c r="ET266" i="12"/>
  <c r="EU266" i="12"/>
  <c r="EV266" i="12"/>
  <c r="EW266" i="12"/>
  <c r="EX266" i="12"/>
  <c r="EY266" i="12"/>
  <c r="EZ266" i="12"/>
  <c r="FA266" i="12"/>
  <c r="FB266" i="12"/>
  <c r="FC266" i="12"/>
  <c r="FD266" i="12"/>
  <c r="FE266" i="12"/>
  <c r="FF266" i="12"/>
  <c r="FG266" i="12"/>
  <c r="FH266" i="12"/>
  <c r="FI266" i="12"/>
  <c r="FJ266" i="12"/>
  <c r="FK266" i="12"/>
  <c r="FL266" i="12"/>
  <c r="FM266" i="12"/>
  <c r="FN266" i="12"/>
  <c r="FO266" i="12"/>
  <c r="FP266" i="12"/>
  <c r="FQ266" i="12"/>
  <c r="FR266" i="12"/>
  <c r="FS266" i="12"/>
  <c r="FT266" i="12"/>
  <c r="FU266" i="12"/>
  <c r="FV266" i="12"/>
  <c r="FW266" i="12"/>
  <c r="FX266" i="12"/>
  <c r="FY266" i="12"/>
  <c r="FZ266" i="12"/>
  <c r="GA266" i="12"/>
  <c r="GB266" i="12"/>
  <c r="GC266" i="12"/>
  <c r="GD266" i="12"/>
  <c r="GE266" i="12"/>
  <c r="GF266" i="12"/>
  <c r="GG266" i="12"/>
  <c r="GH266" i="12"/>
  <c r="GI266" i="12"/>
  <c r="GJ266" i="12"/>
  <c r="GK266" i="12"/>
  <c r="GL266" i="12"/>
  <c r="GM266" i="12"/>
  <c r="GN266" i="12"/>
  <c r="GO266" i="12"/>
  <c r="GP266" i="12"/>
  <c r="GQ266" i="12"/>
  <c r="GR266" i="12"/>
  <c r="GS266" i="12"/>
  <c r="GT266" i="12"/>
  <c r="GU266" i="12"/>
  <c r="GV266" i="12"/>
  <c r="GW266" i="12"/>
  <c r="GX266" i="12"/>
  <c r="GY266" i="12"/>
  <c r="GZ266" i="12"/>
  <c r="HA266" i="12"/>
  <c r="HB266" i="12"/>
  <c r="HC266" i="12"/>
  <c r="HD266" i="12"/>
  <c r="HE266" i="12"/>
  <c r="HF266" i="12"/>
  <c r="HG266" i="12"/>
  <c r="HH266" i="12"/>
  <c r="HI266" i="12"/>
  <c r="HJ266" i="12"/>
  <c r="HK266" i="12"/>
  <c r="HL266" i="12"/>
  <c r="HM266" i="12"/>
  <c r="HN266" i="12"/>
  <c r="HO266" i="12"/>
  <c r="HP266" i="12"/>
  <c r="HQ266" i="12"/>
  <c r="HR266" i="12"/>
  <c r="HS266" i="12"/>
  <c r="HT266" i="12"/>
  <c r="HU266" i="12"/>
  <c r="HV266" i="12"/>
  <c r="HW266" i="12"/>
  <c r="HX266" i="12"/>
  <c r="HY266" i="12"/>
  <c r="HZ266" i="12"/>
  <c r="IA266" i="12"/>
  <c r="IB266" i="12"/>
  <c r="IC266" i="12"/>
  <c r="ID266" i="12"/>
  <c r="IE266" i="12"/>
  <c r="IF266" i="12"/>
  <c r="IG266" i="12"/>
  <c r="IH266" i="12"/>
  <c r="II266" i="12"/>
  <c r="IJ266" i="12"/>
  <c r="IK266" i="12"/>
  <c r="IL266" i="12"/>
  <c r="IM266" i="12"/>
  <c r="IN266" i="12"/>
  <c r="IO266" i="12"/>
  <c r="IP266" i="12"/>
  <c r="IQ266" i="12"/>
  <c r="IR266" i="12"/>
  <c r="IS266" i="12"/>
  <c r="IT266" i="12"/>
  <c r="IU266" i="12"/>
  <c r="IV266" i="12"/>
  <c r="F267" i="12"/>
  <c r="G267" i="12"/>
  <c r="H267" i="12"/>
  <c r="I267" i="12"/>
  <c r="J267" i="12"/>
  <c r="K267" i="12"/>
  <c r="L267" i="12"/>
  <c r="M267" i="12"/>
  <c r="N267" i="12"/>
  <c r="O267" i="12"/>
  <c r="P267" i="12"/>
  <c r="Q267" i="12"/>
  <c r="R267" i="12"/>
  <c r="S267" i="12"/>
  <c r="T267" i="12"/>
  <c r="U267" i="12"/>
  <c r="V267" i="12"/>
  <c r="W267" i="12"/>
  <c r="X267" i="12"/>
  <c r="Y267" i="12"/>
  <c r="Z267" i="12"/>
  <c r="AA267" i="12"/>
  <c r="AB267" i="12"/>
  <c r="AC267" i="12"/>
  <c r="AD267" i="12"/>
  <c r="AE267" i="12"/>
  <c r="AF267" i="12"/>
  <c r="AG267" i="12"/>
  <c r="AH267" i="12"/>
  <c r="AI267" i="12"/>
  <c r="AJ267" i="12"/>
  <c r="AK267" i="12"/>
  <c r="AL267" i="12"/>
  <c r="AM267" i="12"/>
  <c r="AN267" i="12"/>
  <c r="AO267" i="12"/>
  <c r="AP267" i="12"/>
  <c r="AQ267" i="12"/>
  <c r="AR267" i="12"/>
  <c r="AS267" i="12"/>
  <c r="AT267" i="12"/>
  <c r="AU267" i="12"/>
  <c r="AV267" i="12"/>
  <c r="AW267" i="12"/>
  <c r="AX267" i="12"/>
  <c r="AY267" i="12"/>
  <c r="AZ267" i="12"/>
  <c r="BA267" i="12"/>
  <c r="BB267" i="12"/>
  <c r="BC267" i="12"/>
  <c r="BD267" i="12"/>
  <c r="BE267" i="12"/>
  <c r="BF267" i="12"/>
  <c r="BG267" i="12"/>
  <c r="BH267" i="12"/>
  <c r="BI267" i="12"/>
  <c r="BJ267" i="12"/>
  <c r="BK267" i="12"/>
  <c r="BL267" i="12"/>
  <c r="BM267" i="12"/>
  <c r="BN267" i="12"/>
  <c r="BO267" i="12"/>
  <c r="BP267" i="12"/>
  <c r="BQ267" i="12"/>
  <c r="BR267" i="12"/>
  <c r="BS267" i="12"/>
  <c r="BT267" i="12"/>
  <c r="BU267" i="12"/>
  <c r="BV267" i="12"/>
  <c r="BW267" i="12"/>
  <c r="BX267" i="12"/>
  <c r="BY267" i="12"/>
  <c r="BZ267" i="12"/>
  <c r="CA267" i="12"/>
  <c r="CB267" i="12"/>
  <c r="CC267" i="12"/>
  <c r="CD267" i="12"/>
  <c r="CE267" i="12"/>
  <c r="CF267" i="12"/>
  <c r="CG267" i="12"/>
  <c r="CH267" i="12"/>
  <c r="CI267" i="12"/>
  <c r="CJ267" i="12"/>
  <c r="CK267" i="12"/>
  <c r="CL267" i="12"/>
  <c r="CM267" i="12"/>
  <c r="CN267" i="12"/>
  <c r="CO267" i="12"/>
  <c r="CP267" i="12"/>
  <c r="CQ267" i="12"/>
  <c r="CR267" i="12"/>
  <c r="CS267" i="12"/>
  <c r="CT267" i="12"/>
  <c r="CU267" i="12"/>
  <c r="CV267" i="12"/>
  <c r="CW267" i="12"/>
  <c r="CX267" i="12"/>
  <c r="CY267" i="12"/>
  <c r="CZ267" i="12"/>
  <c r="DA267" i="12"/>
  <c r="DB267" i="12"/>
  <c r="DC267" i="12"/>
  <c r="DD267" i="12"/>
  <c r="DE267" i="12"/>
  <c r="DF267" i="12"/>
  <c r="DG267" i="12"/>
  <c r="DH267" i="12"/>
  <c r="DI267" i="12"/>
  <c r="DJ267" i="12"/>
  <c r="DK267" i="12"/>
  <c r="DL267" i="12"/>
  <c r="DM267" i="12"/>
  <c r="DN267" i="12"/>
  <c r="DO267" i="12"/>
  <c r="DP267" i="12"/>
  <c r="DQ267" i="12"/>
  <c r="DR267" i="12"/>
  <c r="DS267" i="12"/>
  <c r="DT267" i="12"/>
  <c r="DU267" i="12"/>
  <c r="DV267" i="12"/>
  <c r="DW267" i="12"/>
  <c r="DX267" i="12"/>
  <c r="DY267" i="12"/>
  <c r="DZ267" i="12"/>
  <c r="EA267" i="12"/>
  <c r="EB267" i="12"/>
  <c r="EC267" i="12"/>
  <c r="ED267" i="12"/>
  <c r="EE267" i="12"/>
  <c r="EF267" i="12"/>
  <c r="EG267" i="12"/>
  <c r="EH267" i="12"/>
  <c r="EI267" i="12"/>
  <c r="EJ267" i="12"/>
  <c r="EK267" i="12"/>
  <c r="EL267" i="12"/>
  <c r="EM267" i="12"/>
  <c r="EN267" i="12"/>
  <c r="EO267" i="12"/>
  <c r="EP267" i="12"/>
  <c r="EQ267" i="12"/>
  <c r="ER267" i="12"/>
  <c r="ES267" i="12"/>
  <c r="ET267" i="12"/>
  <c r="EU267" i="12"/>
  <c r="EV267" i="12"/>
  <c r="EW267" i="12"/>
  <c r="EX267" i="12"/>
  <c r="EY267" i="12"/>
  <c r="EZ267" i="12"/>
  <c r="FA267" i="12"/>
  <c r="FB267" i="12"/>
  <c r="FC267" i="12"/>
  <c r="FD267" i="12"/>
  <c r="FE267" i="12"/>
  <c r="FF267" i="12"/>
  <c r="FG267" i="12"/>
  <c r="FH267" i="12"/>
  <c r="FI267" i="12"/>
  <c r="FJ267" i="12"/>
  <c r="FK267" i="12"/>
  <c r="FL267" i="12"/>
  <c r="FM267" i="12"/>
  <c r="FN267" i="12"/>
  <c r="FO267" i="12"/>
  <c r="FP267" i="12"/>
  <c r="FQ267" i="12"/>
  <c r="FR267" i="12"/>
  <c r="FS267" i="12"/>
  <c r="FT267" i="12"/>
  <c r="FU267" i="12"/>
  <c r="FV267" i="12"/>
  <c r="FW267" i="12"/>
  <c r="FX267" i="12"/>
  <c r="FY267" i="12"/>
  <c r="FZ267" i="12"/>
  <c r="GA267" i="12"/>
  <c r="GB267" i="12"/>
  <c r="GC267" i="12"/>
  <c r="GD267" i="12"/>
  <c r="GE267" i="12"/>
  <c r="GF267" i="12"/>
  <c r="GG267" i="12"/>
  <c r="GH267" i="12"/>
  <c r="GI267" i="12"/>
  <c r="GJ267" i="12"/>
  <c r="GK267" i="12"/>
  <c r="GL267" i="12"/>
  <c r="GM267" i="12"/>
  <c r="GN267" i="12"/>
  <c r="GO267" i="12"/>
  <c r="GP267" i="12"/>
  <c r="GQ267" i="12"/>
  <c r="GR267" i="12"/>
  <c r="GS267" i="12"/>
  <c r="GT267" i="12"/>
  <c r="GU267" i="12"/>
  <c r="GV267" i="12"/>
  <c r="GW267" i="12"/>
  <c r="GX267" i="12"/>
  <c r="GY267" i="12"/>
  <c r="GZ267" i="12"/>
  <c r="HA267" i="12"/>
  <c r="HB267" i="12"/>
  <c r="HC267" i="12"/>
  <c r="HD267" i="12"/>
  <c r="HE267" i="12"/>
  <c r="HF267" i="12"/>
  <c r="HG267" i="12"/>
  <c r="HH267" i="12"/>
  <c r="HI267" i="12"/>
  <c r="HJ267" i="12"/>
  <c r="HK267" i="12"/>
  <c r="HL267" i="12"/>
  <c r="HM267" i="12"/>
  <c r="HN267" i="12"/>
  <c r="HO267" i="12"/>
  <c r="HP267" i="12"/>
  <c r="HQ267" i="12"/>
  <c r="HR267" i="12"/>
  <c r="HS267" i="12"/>
  <c r="HT267" i="12"/>
  <c r="HU267" i="12"/>
  <c r="HV267" i="12"/>
  <c r="HW267" i="12"/>
  <c r="HX267" i="12"/>
  <c r="HY267" i="12"/>
  <c r="HZ267" i="12"/>
  <c r="IA267" i="12"/>
  <c r="IB267" i="12"/>
  <c r="IC267" i="12"/>
  <c r="ID267" i="12"/>
  <c r="IE267" i="12"/>
  <c r="IF267" i="12"/>
  <c r="IG267" i="12"/>
  <c r="IH267" i="12"/>
  <c r="II267" i="12"/>
  <c r="IJ267" i="12"/>
  <c r="IK267" i="12"/>
  <c r="IL267" i="12"/>
  <c r="IM267" i="12"/>
  <c r="IN267" i="12"/>
  <c r="IO267" i="12"/>
  <c r="IP267" i="12"/>
  <c r="IQ267" i="12"/>
  <c r="IR267" i="12"/>
  <c r="IS267" i="12"/>
  <c r="IT267" i="12"/>
  <c r="IU267" i="12"/>
  <c r="IV267" i="12"/>
  <c r="F268" i="12"/>
  <c r="G268" i="12"/>
  <c r="H268" i="12"/>
  <c r="I268" i="12"/>
  <c r="J268" i="12"/>
  <c r="K268" i="12"/>
  <c r="L268" i="12"/>
  <c r="M268" i="12"/>
  <c r="N268" i="12"/>
  <c r="O268" i="12"/>
  <c r="P268" i="12"/>
  <c r="Q268" i="12"/>
  <c r="R268" i="12"/>
  <c r="S268" i="12"/>
  <c r="T268" i="12"/>
  <c r="U268" i="12"/>
  <c r="V268" i="12"/>
  <c r="W268" i="12"/>
  <c r="X268" i="12"/>
  <c r="Y268" i="12"/>
  <c r="Z268" i="12"/>
  <c r="AA268" i="12"/>
  <c r="AB268" i="12"/>
  <c r="AC268" i="12"/>
  <c r="AD268" i="12"/>
  <c r="AE268" i="12"/>
  <c r="AF268" i="12"/>
  <c r="AG268" i="12"/>
  <c r="AH268" i="12"/>
  <c r="AI268" i="12"/>
  <c r="AJ268" i="12"/>
  <c r="AK268" i="12"/>
  <c r="AL268" i="12"/>
  <c r="AM268" i="12"/>
  <c r="AN268" i="12"/>
  <c r="AO268" i="12"/>
  <c r="AP268" i="12"/>
  <c r="AQ268" i="12"/>
  <c r="AR268" i="12"/>
  <c r="AS268" i="12"/>
  <c r="AT268" i="12"/>
  <c r="AU268" i="12"/>
  <c r="AV268" i="12"/>
  <c r="AW268" i="12"/>
  <c r="AX268" i="12"/>
  <c r="AY268" i="12"/>
  <c r="AZ268" i="12"/>
  <c r="BA268" i="12"/>
  <c r="BB268" i="12"/>
  <c r="BC268" i="12"/>
  <c r="BD268" i="12"/>
  <c r="BE268" i="12"/>
  <c r="BF268" i="12"/>
  <c r="BG268" i="12"/>
  <c r="BH268" i="12"/>
  <c r="BI268" i="12"/>
  <c r="BJ268" i="12"/>
  <c r="BK268" i="12"/>
  <c r="BL268" i="12"/>
  <c r="BM268" i="12"/>
  <c r="BN268" i="12"/>
  <c r="BO268" i="12"/>
  <c r="BP268" i="12"/>
  <c r="BQ268" i="12"/>
  <c r="BR268" i="12"/>
  <c r="BS268" i="12"/>
  <c r="BT268" i="12"/>
  <c r="BU268" i="12"/>
  <c r="BV268" i="12"/>
  <c r="BW268" i="12"/>
  <c r="BX268" i="12"/>
  <c r="BY268" i="12"/>
  <c r="BZ268" i="12"/>
  <c r="CA268" i="12"/>
  <c r="CB268" i="12"/>
  <c r="CC268" i="12"/>
  <c r="CD268" i="12"/>
  <c r="CE268" i="12"/>
  <c r="CF268" i="12"/>
  <c r="CG268" i="12"/>
  <c r="CH268" i="12"/>
  <c r="CI268" i="12"/>
  <c r="CJ268" i="12"/>
  <c r="CK268" i="12"/>
  <c r="CL268" i="12"/>
  <c r="CM268" i="12"/>
  <c r="CN268" i="12"/>
  <c r="CO268" i="12"/>
  <c r="CP268" i="12"/>
  <c r="CQ268" i="12"/>
  <c r="CR268" i="12"/>
  <c r="CS268" i="12"/>
  <c r="CT268" i="12"/>
  <c r="CU268" i="12"/>
  <c r="CV268" i="12"/>
  <c r="CW268" i="12"/>
  <c r="CX268" i="12"/>
  <c r="CY268" i="12"/>
  <c r="CZ268" i="12"/>
  <c r="DA268" i="12"/>
  <c r="DB268" i="12"/>
  <c r="DC268" i="12"/>
  <c r="DD268" i="12"/>
  <c r="DE268" i="12"/>
  <c r="DF268" i="12"/>
  <c r="DG268" i="12"/>
  <c r="DH268" i="12"/>
  <c r="DI268" i="12"/>
  <c r="DJ268" i="12"/>
  <c r="DK268" i="12"/>
  <c r="DL268" i="12"/>
  <c r="DM268" i="12"/>
  <c r="DN268" i="12"/>
  <c r="DO268" i="12"/>
  <c r="DP268" i="12"/>
  <c r="DQ268" i="12"/>
  <c r="DR268" i="12"/>
  <c r="DS268" i="12"/>
  <c r="DT268" i="12"/>
  <c r="DU268" i="12"/>
  <c r="DV268" i="12"/>
  <c r="DW268" i="12"/>
  <c r="DX268" i="12"/>
  <c r="DY268" i="12"/>
  <c r="DZ268" i="12"/>
  <c r="EA268" i="12"/>
  <c r="EB268" i="12"/>
  <c r="EC268" i="12"/>
  <c r="ED268" i="12"/>
  <c r="EE268" i="12"/>
  <c r="EF268" i="12"/>
  <c r="EG268" i="12"/>
  <c r="EH268" i="12"/>
  <c r="EI268" i="12"/>
  <c r="EJ268" i="12"/>
  <c r="EK268" i="12"/>
  <c r="EL268" i="12"/>
  <c r="EM268" i="12"/>
  <c r="EN268" i="12"/>
  <c r="EO268" i="12"/>
  <c r="EP268" i="12"/>
  <c r="EQ268" i="12"/>
  <c r="ER268" i="12"/>
  <c r="ES268" i="12"/>
  <c r="ET268" i="12"/>
  <c r="EU268" i="12"/>
  <c r="EV268" i="12"/>
  <c r="EW268" i="12"/>
  <c r="EX268" i="12"/>
  <c r="EY268" i="12"/>
  <c r="EZ268" i="12"/>
  <c r="FA268" i="12"/>
  <c r="FB268" i="12"/>
  <c r="FC268" i="12"/>
  <c r="FD268" i="12"/>
  <c r="FE268" i="12"/>
  <c r="FF268" i="12"/>
  <c r="FG268" i="12"/>
  <c r="FH268" i="12"/>
  <c r="FI268" i="12"/>
  <c r="FJ268" i="12"/>
  <c r="FK268" i="12"/>
  <c r="FL268" i="12"/>
  <c r="FM268" i="12"/>
  <c r="FN268" i="12"/>
  <c r="FO268" i="12"/>
  <c r="FP268" i="12"/>
  <c r="FQ268" i="12"/>
  <c r="FR268" i="12"/>
  <c r="FS268" i="12"/>
  <c r="FT268" i="12"/>
  <c r="FU268" i="12"/>
  <c r="FV268" i="12"/>
  <c r="FW268" i="12"/>
  <c r="FX268" i="12"/>
  <c r="FY268" i="12"/>
  <c r="FZ268" i="12"/>
  <c r="GA268" i="12"/>
  <c r="GB268" i="12"/>
  <c r="GC268" i="12"/>
  <c r="GD268" i="12"/>
  <c r="GE268" i="12"/>
  <c r="GF268" i="12"/>
  <c r="GG268" i="12"/>
  <c r="GH268" i="12"/>
  <c r="GI268" i="12"/>
  <c r="GJ268" i="12"/>
  <c r="GK268" i="12"/>
  <c r="GL268" i="12"/>
  <c r="GM268" i="12"/>
  <c r="GN268" i="12"/>
  <c r="GO268" i="12"/>
  <c r="GP268" i="12"/>
  <c r="GQ268" i="12"/>
  <c r="GR268" i="12"/>
  <c r="GS268" i="12"/>
  <c r="GT268" i="12"/>
  <c r="GU268" i="12"/>
  <c r="GV268" i="12"/>
  <c r="GW268" i="12"/>
  <c r="GX268" i="12"/>
  <c r="GY268" i="12"/>
  <c r="GZ268" i="12"/>
  <c r="HA268" i="12"/>
  <c r="HB268" i="12"/>
  <c r="HC268" i="12"/>
  <c r="HD268" i="12"/>
  <c r="HE268" i="12"/>
  <c r="HF268" i="12"/>
  <c r="HG268" i="12"/>
  <c r="HH268" i="12"/>
  <c r="HI268" i="12"/>
  <c r="HJ268" i="12"/>
  <c r="HK268" i="12"/>
  <c r="HL268" i="12"/>
  <c r="HM268" i="12"/>
  <c r="HN268" i="12"/>
  <c r="HO268" i="12"/>
  <c r="HP268" i="12"/>
  <c r="HQ268" i="12"/>
  <c r="HR268" i="12"/>
  <c r="HS268" i="12"/>
  <c r="HT268" i="12"/>
  <c r="HU268" i="12"/>
  <c r="HV268" i="12"/>
  <c r="HW268" i="12"/>
  <c r="HX268" i="12"/>
  <c r="HY268" i="12"/>
  <c r="HZ268" i="12"/>
  <c r="IA268" i="12"/>
  <c r="IB268" i="12"/>
  <c r="IC268" i="12"/>
  <c r="ID268" i="12"/>
  <c r="IE268" i="12"/>
  <c r="IF268" i="12"/>
  <c r="IG268" i="12"/>
  <c r="IH268" i="12"/>
  <c r="II268" i="12"/>
  <c r="IJ268" i="12"/>
  <c r="IK268" i="12"/>
  <c r="IL268" i="12"/>
  <c r="IM268" i="12"/>
  <c r="IN268" i="12"/>
  <c r="IO268" i="12"/>
  <c r="IP268" i="12"/>
  <c r="IQ268" i="12"/>
  <c r="IR268" i="12"/>
  <c r="IS268" i="12"/>
  <c r="IT268" i="12"/>
  <c r="IU268" i="12"/>
  <c r="IV268" i="12"/>
  <c r="F269" i="12"/>
  <c r="G269" i="12"/>
  <c r="H269" i="12"/>
  <c r="I269" i="12"/>
  <c r="J269" i="12"/>
  <c r="K269" i="12"/>
  <c r="L269" i="12"/>
  <c r="M269" i="12"/>
  <c r="N269" i="12"/>
  <c r="O269" i="12"/>
  <c r="P269" i="12"/>
  <c r="Q269" i="12"/>
  <c r="R269" i="12"/>
  <c r="S269" i="12"/>
  <c r="T269" i="12"/>
  <c r="U269" i="12"/>
  <c r="V269" i="12"/>
  <c r="W269" i="12"/>
  <c r="X269" i="12"/>
  <c r="Y269" i="12"/>
  <c r="Z269" i="12"/>
  <c r="AA269" i="12"/>
  <c r="AB269" i="12"/>
  <c r="AC269" i="12"/>
  <c r="AD269" i="12"/>
  <c r="AE269" i="12"/>
  <c r="AF269" i="12"/>
  <c r="AG269" i="12"/>
  <c r="AH269" i="12"/>
  <c r="AI269" i="12"/>
  <c r="AJ269" i="12"/>
  <c r="AK269" i="12"/>
  <c r="AL269" i="12"/>
  <c r="AM269" i="12"/>
  <c r="AN269" i="12"/>
  <c r="AO269" i="12"/>
  <c r="AP269" i="12"/>
  <c r="AQ269" i="12"/>
  <c r="AR269" i="12"/>
  <c r="AS269" i="12"/>
  <c r="AT269" i="12"/>
  <c r="AU269" i="12"/>
  <c r="AV269" i="12"/>
  <c r="AW269" i="12"/>
  <c r="AX269" i="12"/>
  <c r="AY269" i="12"/>
  <c r="AZ269" i="12"/>
  <c r="BA269" i="12"/>
  <c r="BB269" i="12"/>
  <c r="BC269" i="12"/>
  <c r="BD269" i="12"/>
  <c r="BE269" i="12"/>
  <c r="BF269" i="12"/>
  <c r="BG269" i="12"/>
  <c r="BH269" i="12"/>
  <c r="BI269" i="12"/>
  <c r="BJ269" i="12"/>
  <c r="BK269" i="12"/>
  <c r="BL269" i="12"/>
  <c r="BM269" i="12"/>
  <c r="BN269" i="12"/>
  <c r="BO269" i="12"/>
  <c r="BP269" i="12"/>
  <c r="BQ269" i="12"/>
  <c r="BR269" i="12"/>
  <c r="BS269" i="12"/>
  <c r="BT269" i="12"/>
  <c r="BU269" i="12"/>
  <c r="BV269" i="12"/>
  <c r="BW269" i="12"/>
  <c r="BX269" i="12"/>
  <c r="BY269" i="12"/>
  <c r="BZ269" i="12"/>
  <c r="CA269" i="12"/>
  <c r="CB269" i="12"/>
  <c r="CC269" i="12"/>
  <c r="CD269" i="12"/>
  <c r="CE269" i="12"/>
  <c r="CF269" i="12"/>
  <c r="CG269" i="12"/>
  <c r="CH269" i="12"/>
  <c r="CI269" i="12"/>
  <c r="CJ269" i="12"/>
  <c r="CK269" i="12"/>
  <c r="CL269" i="12"/>
  <c r="CM269" i="12"/>
  <c r="CN269" i="12"/>
  <c r="CO269" i="12"/>
  <c r="CP269" i="12"/>
  <c r="CQ269" i="12"/>
  <c r="CR269" i="12"/>
  <c r="CS269" i="12"/>
  <c r="CT269" i="12"/>
  <c r="CU269" i="12"/>
  <c r="CV269" i="12"/>
  <c r="CW269" i="12"/>
  <c r="CX269" i="12"/>
  <c r="CY269" i="12"/>
  <c r="CZ269" i="12"/>
  <c r="DA269" i="12"/>
  <c r="DB269" i="12"/>
  <c r="DC269" i="12"/>
  <c r="DD269" i="12"/>
  <c r="DE269" i="12"/>
  <c r="DF269" i="12"/>
  <c r="DG269" i="12"/>
  <c r="DH269" i="12"/>
  <c r="DI269" i="12"/>
  <c r="DJ269" i="12"/>
  <c r="DK269" i="12"/>
  <c r="DL269" i="12"/>
  <c r="DM269" i="12"/>
  <c r="DN269" i="12"/>
  <c r="DO269" i="12"/>
  <c r="DP269" i="12"/>
  <c r="DQ269" i="12"/>
  <c r="DR269" i="12"/>
  <c r="DS269" i="12"/>
  <c r="DT269" i="12"/>
  <c r="DU269" i="12"/>
  <c r="DV269" i="12"/>
  <c r="DW269" i="12"/>
  <c r="DX269" i="12"/>
  <c r="DY269" i="12"/>
  <c r="DZ269" i="12"/>
  <c r="EA269" i="12"/>
  <c r="EB269" i="12"/>
  <c r="EC269" i="12"/>
  <c r="ED269" i="12"/>
  <c r="EE269" i="12"/>
  <c r="EF269" i="12"/>
  <c r="EG269" i="12"/>
  <c r="EH269" i="12"/>
  <c r="EI269" i="12"/>
  <c r="EJ269" i="12"/>
  <c r="EK269" i="12"/>
  <c r="EL269" i="12"/>
  <c r="EM269" i="12"/>
  <c r="EN269" i="12"/>
  <c r="EO269" i="12"/>
  <c r="EP269" i="12"/>
  <c r="EQ269" i="12"/>
  <c r="ER269" i="12"/>
  <c r="ES269" i="12"/>
  <c r="ET269" i="12"/>
  <c r="EU269" i="12"/>
  <c r="EV269" i="12"/>
  <c r="EW269" i="12"/>
  <c r="EX269" i="12"/>
  <c r="EY269" i="12"/>
  <c r="EZ269" i="12"/>
  <c r="FA269" i="12"/>
  <c r="FB269" i="12"/>
  <c r="FC269" i="12"/>
  <c r="FD269" i="12"/>
  <c r="FE269" i="12"/>
  <c r="FF269" i="12"/>
  <c r="FG269" i="12"/>
  <c r="FH269" i="12"/>
  <c r="FI269" i="12"/>
  <c r="FJ269" i="12"/>
  <c r="FK269" i="12"/>
  <c r="FL269" i="12"/>
  <c r="FM269" i="12"/>
  <c r="FN269" i="12"/>
  <c r="FO269" i="12"/>
  <c r="FP269" i="12"/>
  <c r="FQ269" i="12"/>
  <c r="FR269" i="12"/>
  <c r="FS269" i="12"/>
  <c r="FT269" i="12"/>
  <c r="FU269" i="12"/>
  <c r="FV269" i="12"/>
  <c r="FW269" i="12"/>
  <c r="FX269" i="12"/>
  <c r="FY269" i="12"/>
  <c r="FZ269" i="12"/>
  <c r="GA269" i="12"/>
  <c r="GB269" i="12"/>
  <c r="GC269" i="12"/>
  <c r="GD269" i="12"/>
  <c r="GE269" i="12"/>
  <c r="GF269" i="12"/>
  <c r="GG269" i="12"/>
  <c r="GH269" i="12"/>
  <c r="GI269" i="12"/>
  <c r="GJ269" i="12"/>
  <c r="GK269" i="12"/>
  <c r="GL269" i="12"/>
  <c r="GM269" i="12"/>
  <c r="GN269" i="12"/>
  <c r="GO269" i="12"/>
  <c r="GP269" i="12"/>
  <c r="GQ269" i="12"/>
  <c r="GR269" i="12"/>
  <c r="GS269" i="12"/>
  <c r="GT269" i="12"/>
  <c r="GU269" i="12"/>
  <c r="GV269" i="12"/>
  <c r="GW269" i="12"/>
  <c r="GX269" i="12"/>
  <c r="GY269" i="12"/>
  <c r="GZ269" i="12"/>
  <c r="HA269" i="12"/>
  <c r="HB269" i="12"/>
  <c r="HC269" i="12"/>
  <c r="HD269" i="12"/>
  <c r="HE269" i="12"/>
  <c r="HF269" i="12"/>
  <c r="HG269" i="12"/>
  <c r="HH269" i="12"/>
  <c r="HI269" i="12"/>
  <c r="HJ269" i="12"/>
  <c r="HK269" i="12"/>
  <c r="HL269" i="12"/>
  <c r="HM269" i="12"/>
  <c r="HN269" i="12"/>
  <c r="HO269" i="12"/>
  <c r="HP269" i="12"/>
  <c r="HQ269" i="12"/>
  <c r="HR269" i="12"/>
  <c r="HS269" i="12"/>
  <c r="HT269" i="12"/>
  <c r="HU269" i="12"/>
  <c r="HV269" i="12"/>
  <c r="HW269" i="12"/>
  <c r="HX269" i="12"/>
  <c r="HY269" i="12"/>
  <c r="HZ269" i="12"/>
  <c r="IA269" i="12"/>
  <c r="IB269" i="12"/>
  <c r="IC269" i="12"/>
  <c r="ID269" i="12"/>
  <c r="IE269" i="12"/>
  <c r="IF269" i="12"/>
  <c r="IG269" i="12"/>
  <c r="IH269" i="12"/>
  <c r="II269" i="12"/>
  <c r="IJ269" i="12"/>
  <c r="IK269" i="12"/>
  <c r="IL269" i="12"/>
  <c r="IM269" i="12"/>
  <c r="IN269" i="12"/>
  <c r="IO269" i="12"/>
  <c r="IP269" i="12"/>
  <c r="IQ269" i="12"/>
  <c r="IR269" i="12"/>
  <c r="IS269" i="12"/>
  <c r="IT269" i="12"/>
  <c r="IU269" i="12"/>
  <c r="IV269" i="12"/>
  <c r="F270" i="12"/>
  <c r="G270" i="12"/>
  <c r="H270" i="12"/>
  <c r="I270" i="12"/>
  <c r="J270" i="12"/>
  <c r="K270" i="12"/>
  <c r="L270" i="12"/>
  <c r="M270" i="12"/>
  <c r="N270" i="12"/>
  <c r="O270" i="12"/>
  <c r="P270" i="12"/>
  <c r="Q270" i="12"/>
  <c r="R270" i="12"/>
  <c r="S270" i="12"/>
  <c r="T270" i="12"/>
  <c r="U270" i="12"/>
  <c r="V270" i="12"/>
  <c r="W270" i="12"/>
  <c r="X270" i="12"/>
  <c r="Y270" i="12"/>
  <c r="Z270" i="12"/>
  <c r="AA270" i="12"/>
  <c r="AB270" i="12"/>
  <c r="AC270" i="12"/>
  <c r="AD270" i="12"/>
  <c r="AE270" i="12"/>
  <c r="AF270" i="12"/>
  <c r="AG270" i="12"/>
  <c r="AH270" i="12"/>
  <c r="AI270" i="12"/>
  <c r="AJ270" i="12"/>
  <c r="AK270" i="12"/>
  <c r="AL270" i="12"/>
  <c r="AM270" i="12"/>
  <c r="AN270" i="12"/>
  <c r="AO270" i="12"/>
  <c r="AP270" i="12"/>
  <c r="AQ270" i="12"/>
  <c r="AR270" i="12"/>
  <c r="AS270" i="12"/>
  <c r="AT270" i="12"/>
  <c r="AU270" i="12"/>
  <c r="AV270" i="12"/>
  <c r="AW270" i="12"/>
  <c r="AX270" i="12"/>
  <c r="AY270" i="12"/>
  <c r="AZ270" i="12"/>
  <c r="BA270" i="12"/>
  <c r="BB270" i="12"/>
  <c r="BC270" i="12"/>
  <c r="BD270" i="12"/>
  <c r="BE270" i="12"/>
  <c r="BF270" i="12"/>
  <c r="BG270" i="12"/>
  <c r="BH270" i="12"/>
  <c r="BI270" i="12"/>
  <c r="BJ270" i="12"/>
  <c r="BK270" i="12"/>
  <c r="BL270" i="12"/>
  <c r="BM270" i="12"/>
  <c r="BN270" i="12"/>
  <c r="BO270" i="12"/>
  <c r="BP270" i="12"/>
  <c r="BQ270" i="12"/>
  <c r="BR270" i="12"/>
  <c r="BS270" i="12"/>
  <c r="BT270" i="12"/>
  <c r="BU270" i="12"/>
  <c r="BV270" i="12"/>
  <c r="BW270" i="12"/>
  <c r="BX270" i="12"/>
  <c r="BY270" i="12"/>
  <c r="BZ270" i="12"/>
  <c r="CA270" i="12"/>
  <c r="CB270" i="12"/>
  <c r="CC270" i="12"/>
  <c r="CD270" i="12"/>
  <c r="CE270" i="12"/>
  <c r="CF270" i="12"/>
  <c r="CG270" i="12"/>
  <c r="CH270" i="12"/>
  <c r="CI270" i="12"/>
  <c r="CJ270" i="12"/>
  <c r="CK270" i="12"/>
  <c r="CL270" i="12"/>
  <c r="CM270" i="12"/>
  <c r="CN270" i="12"/>
  <c r="CO270" i="12"/>
  <c r="CP270" i="12"/>
  <c r="CQ270" i="12"/>
  <c r="CR270" i="12"/>
  <c r="CS270" i="12"/>
  <c r="CT270" i="12"/>
  <c r="CU270" i="12"/>
  <c r="CV270" i="12"/>
  <c r="CW270" i="12"/>
  <c r="CX270" i="12"/>
  <c r="CY270" i="12"/>
  <c r="CZ270" i="12"/>
  <c r="DA270" i="12"/>
  <c r="DB270" i="12"/>
  <c r="DC270" i="12"/>
  <c r="DD270" i="12"/>
  <c r="DE270" i="12"/>
  <c r="DF270" i="12"/>
  <c r="DG270" i="12"/>
  <c r="DH270" i="12"/>
  <c r="DI270" i="12"/>
  <c r="DJ270" i="12"/>
  <c r="DK270" i="12"/>
  <c r="DL270" i="12"/>
  <c r="DM270" i="12"/>
  <c r="DN270" i="12"/>
  <c r="DO270" i="12"/>
  <c r="DP270" i="12"/>
  <c r="DQ270" i="12"/>
  <c r="DR270" i="12"/>
  <c r="DS270" i="12"/>
  <c r="DT270" i="12"/>
  <c r="DU270" i="12"/>
  <c r="DV270" i="12"/>
  <c r="DW270" i="12"/>
  <c r="DX270" i="12"/>
  <c r="DY270" i="12"/>
  <c r="DZ270" i="12"/>
  <c r="EA270" i="12"/>
  <c r="EB270" i="12"/>
  <c r="EC270" i="12"/>
  <c r="ED270" i="12"/>
  <c r="EE270" i="12"/>
  <c r="EF270" i="12"/>
  <c r="EG270" i="12"/>
  <c r="EH270" i="12"/>
  <c r="EI270" i="12"/>
  <c r="EJ270" i="12"/>
  <c r="EK270" i="12"/>
  <c r="EL270" i="12"/>
  <c r="EM270" i="12"/>
  <c r="EN270" i="12"/>
  <c r="EO270" i="12"/>
  <c r="EP270" i="12"/>
  <c r="EQ270" i="12"/>
  <c r="ER270" i="12"/>
  <c r="ES270" i="12"/>
  <c r="ET270" i="12"/>
  <c r="EU270" i="12"/>
  <c r="EV270" i="12"/>
  <c r="EW270" i="12"/>
  <c r="EX270" i="12"/>
  <c r="EY270" i="12"/>
  <c r="EZ270" i="12"/>
  <c r="FA270" i="12"/>
  <c r="FB270" i="12"/>
  <c r="FC270" i="12"/>
  <c r="FD270" i="12"/>
  <c r="FE270" i="12"/>
  <c r="FF270" i="12"/>
  <c r="FG270" i="12"/>
  <c r="FH270" i="12"/>
  <c r="FI270" i="12"/>
  <c r="FJ270" i="12"/>
  <c r="FK270" i="12"/>
  <c r="FL270" i="12"/>
  <c r="FM270" i="12"/>
  <c r="FN270" i="12"/>
  <c r="FO270" i="12"/>
  <c r="FP270" i="12"/>
  <c r="FQ270" i="12"/>
  <c r="FR270" i="12"/>
  <c r="FS270" i="12"/>
  <c r="FT270" i="12"/>
  <c r="FU270" i="12"/>
  <c r="FV270" i="12"/>
  <c r="FW270" i="12"/>
  <c r="FX270" i="12"/>
  <c r="FY270" i="12"/>
  <c r="FZ270" i="12"/>
  <c r="GA270" i="12"/>
  <c r="GB270" i="12"/>
  <c r="GC270" i="12"/>
  <c r="GD270" i="12"/>
  <c r="GE270" i="12"/>
  <c r="GF270" i="12"/>
  <c r="GG270" i="12"/>
  <c r="GH270" i="12"/>
  <c r="GI270" i="12"/>
  <c r="GJ270" i="12"/>
  <c r="GK270" i="12"/>
  <c r="GL270" i="12"/>
  <c r="GM270" i="12"/>
  <c r="GN270" i="12"/>
  <c r="GO270" i="12"/>
  <c r="GP270" i="12"/>
  <c r="GQ270" i="12"/>
  <c r="GR270" i="12"/>
  <c r="GS270" i="12"/>
  <c r="GT270" i="12"/>
  <c r="GU270" i="12"/>
  <c r="GV270" i="12"/>
  <c r="GW270" i="12"/>
  <c r="GX270" i="12"/>
  <c r="GY270" i="12"/>
  <c r="GZ270" i="12"/>
  <c r="HA270" i="12"/>
  <c r="HB270" i="12"/>
  <c r="HC270" i="12"/>
  <c r="HD270" i="12"/>
  <c r="HE270" i="12"/>
  <c r="HF270" i="12"/>
  <c r="HG270" i="12"/>
  <c r="HH270" i="12"/>
  <c r="HI270" i="12"/>
  <c r="HJ270" i="12"/>
  <c r="HK270" i="12"/>
  <c r="HL270" i="12"/>
  <c r="HM270" i="12"/>
  <c r="HN270" i="12"/>
  <c r="HO270" i="12"/>
  <c r="HP270" i="12"/>
  <c r="HQ270" i="12"/>
  <c r="HR270" i="12"/>
  <c r="HS270" i="12"/>
  <c r="HT270" i="12"/>
  <c r="HU270" i="12"/>
  <c r="HV270" i="12"/>
  <c r="HW270" i="12"/>
  <c r="HX270" i="12"/>
  <c r="HY270" i="12"/>
  <c r="HZ270" i="12"/>
  <c r="IA270" i="12"/>
  <c r="IB270" i="12"/>
  <c r="IC270" i="12"/>
  <c r="ID270" i="12"/>
  <c r="IE270" i="12"/>
  <c r="IF270" i="12"/>
  <c r="IG270" i="12"/>
  <c r="IH270" i="12"/>
  <c r="II270" i="12"/>
  <c r="IJ270" i="12"/>
  <c r="IK270" i="12"/>
  <c r="IL270" i="12"/>
  <c r="IM270" i="12"/>
  <c r="IN270" i="12"/>
  <c r="IO270" i="12"/>
  <c r="IP270" i="12"/>
  <c r="IQ270" i="12"/>
  <c r="IR270" i="12"/>
  <c r="IS270" i="12"/>
  <c r="IT270" i="12"/>
  <c r="IU270" i="12"/>
  <c r="IV270" i="12"/>
  <c r="F271" i="12"/>
  <c r="G271" i="12"/>
  <c r="H271" i="12"/>
  <c r="I271" i="12"/>
  <c r="J271" i="12"/>
  <c r="K271" i="12"/>
  <c r="L271" i="12"/>
  <c r="M271" i="12"/>
  <c r="N271" i="12"/>
  <c r="O271" i="12"/>
  <c r="P271" i="12"/>
  <c r="Q271" i="12"/>
  <c r="R271" i="12"/>
  <c r="S271" i="12"/>
  <c r="T271" i="12"/>
  <c r="U271" i="12"/>
  <c r="V271" i="12"/>
  <c r="W271" i="12"/>
  <c r="X271" i="12"/>
  <c r="Y271" i="12"/>
  <c r="Z271" i="12"/>
  <c r="AA271" i="12"/>
  <c r="AB271" i="12"/>
  <c r="AC271" i="12"/>
  <c r="AD271" i="12"/>
  <c r="AE271" i="12"/>
  <c r="AF271" i="12"/>
  <c r="AG271" i="12"/>
  <c r="AH271" i="12"/>
  <c r="AI271" i="12"/>
  <c r="AJ271" i="12"/>
  <c r="AK271" i="12"/>
  <c r="AL271" i="12"/>
  <c r="AM271" i="12"/>
  <c r="AN271" i="12"/>
  <c r="AO271" i="12"/>
  <c r="AP271" i="12"/>
  <c r="AQ271" i="12"/>
  <c r="AR271" i="12"/>
  <c r="AS271" i="12"/>
  <c r="AT271" i="12"/>
  <c r="AU271" i="12"/>
  <c r="AV271" i="12"/>
  <c r="AW271" i="12"/>
  <c r="AX271" i="12"/>
  <c r="AY271" i="12"/>
  <c r="AZ271" i="12"/>
  <c r="BA271" i="12"/>
  <c r="BB271" i="12"/>
  <c r="BC271" i="12"/>
  <c r="BD271" i="12"/>
  <c r="BE271" i="12"/>
  <c r="BF271" i="12"/>
  <c r="BG271" i="12"/>
  <c r="BH271" i="12"/>
  <c r="BI271" i="12"/>
  <c r="BJ271" i="12"/>
  <c r="BK271" i="12"/>
  <c r="BL271" i="12"/>
  <c r="BM271" i="12"/>
  <c r="BN271" i="12"/>
  <c r="BO271" i="12"/>
  <c r="BP271" i="12"/>
  <c r="BQ271" i="12"/>
  <c r="BR271" i="12"/>
  <c r="BS271" i="12"/>
  <c r="BT271" i="12"/>
  <c r="BU271" i="12"/>
  <c r="BV271" i="12"/>
  <c r="BW271" i="12"/>
  <c r="BX271" i="12"/>
  <c r="BY271" i="12"/>
  <c r="BZ271" i="12"/>
  <c r="CA271" i="12"/>
  <c r="CB271" i="12"/>
  <c r="CC271" i="12"/>
  <c r="CD271" i="12"/>
  <c r="CE271" i="12"/>
  <c r="CF271" i="12"/>
  <c r="CG271" i="12"/>
  <c r="CH271" i="12"/>
  <c r="CI271" i="12"/>
  <c r="CJ271" i="12"/>
  <c r="CK271" i="12"/>
  <c r="CL271" i="12"/>
  <c r="CM271" i="12"/>
  <c r="CN271" i="12"/>
  <c r="CO271" i="12"/>
  <c r="CP271" i="12"/>
  <c r="CQ271" i="12"/>
  <c r="CR271" i="12"/>
  <c r="CS271" i="12"/>
  <c r="CT271" i="12"/>
  <c r="CU271" i="12"/>
  <c r="CV271" i="12"/>
  <c r="CW271" i="12"/>
  <c r="CX271" i="12"/>
  <c r="CY271" i="12"/>
  <c r="CZ271" i="12"/>
  <c r="DA271" i="12"/>
  <c r="DB271" i="12"/>
  <c r="DC271" i="12"/>
  <c r="DD271" i="12"/>
  <c r="DE271" i="12"/>
  <c r="DF271" i="12"/>
  <c r="DG271" i="12"/>
  <c r="DH271" i="12"/>
  <c r="DI271" i="12"/>
  <c r="DJ271" i="12"/>
  <c r="DK271" i="12"/>
  <c r="DL271" i="12"/>
  <c r="DM271" i="12"/>
  <c r="DN271" i="12"/>
  <c r="DO271" i="12"/>
  <c r="DP271" i="12"/>
  <c r="DQ271" i="12"/>
  <c r="DR271" i="12"/>
  <c r="DS271" i="12"/>
  <c r="DT271" i="12"/>
  <c r="DU271" i="12"/>
  <c r="DV271" i="12"/>
  <c r="DW271" i="12"/>
  <c r="DX271" i="12"/>
  <c r="DY271" i="12"/>
  <c r="DZ271" i="12"/>
  <c r="EA271" i="12"/>
  <c r="EB271" i="12"/>
  <c r="EC271" i="12"/>
  <c r="ED271" i="12"/>
  <c r="EE271" i="12"/>
  <c r="EF271" i="12"/>
  <c r="EG271" i="12"/>
  <c r="EH271" i="12"/>
  <c r="EI271" i="12"/>
  <c r="EJ271" i="12"/>
  <c r="EK271" i="12"/>
  <c r="EL271" i="12"/>
  <c r="EM271" i="12"/>
  <c r="EN271" i="12"/>
  <c r="EO271" i="12"/>
  <c r="EP271" i="12"/>
  <c r="EQ271" i="12"/>
  <c r="ER271" i="12"/>
  <c r="ES271" i="12"/>
  <c r="ET271" i="12"/>
  <c r="EU271" i="12"/>
  <c r="EV271" i="12"/>
  <c r="EW271" i="12"/>
  <c r="EX271" i="12"/>
  <c r="EY271" i="12"/>
  <c r="EZ271" i="12"/>
  <c r="FA271" i="12"/>
  <c r="FB271" i="12"/>
  <c r="FC271" i="12"/>
  <c r="FD271" i="12"/>
  <c r="FE271" i="12"/>
  <c r="FF271" i="12"/>
  <c r="FG271" i="12"/>
  <c r="FH271" i="12"/>
  <c r="FI271" i="12"/>
  <c r="FJ271" i="12"/>
  <c r="FK271" i="12"/>
  <c r="FL271" i="12"/>
  <c r="FM271" i="12"/>
  <c r="FN271" i="12"/>
  <c r="FO271" i="12"/>
  <c r="FP271" i="12"/>
  <c r="FQ271" i="12"/>
  <c r="FR271" i="12"/>
  <c r="FS271" i="12"/>
  <c r="FT271" i="12"/>
  <c r="FU271" i="12"/>
  <c r="FV271" i="12"/>
  <c r="FW271" i="12"/>
  <c r="FX271" i="12"/>
  <c r="FY271" i="12"/>
  <c r="FZ271" i="12"/>
  <c r="GA271" i="12"/>
  <c r="GB271" i="12"/>
  <c r="GC271" i="12"/>
  <c r="GD271" i="12"/>
  <c r="GE271" i="12"/>
  <c r="GF271" i="12"/>
  <c r="GG271" i="12"/>
  <c r="GH271" i="12"/>
  <c r="GI271" i="12"/>
  <c r="GJ271" i="12"/>
  <c r="GK271" i="12"/>
  <c r="GL271" i="12"/>
  <c r="GM271" i="12"/>
  <c r="GN271" i="12"/>
  <c r="GO271" i="12"/>
  <c r="GP271" i="12"/>
  <c r="GQ271" i="12"/>
  <c r="GR271" i="12"/>
  <c r="GS271" i="12"/>
  <c r="GT271" i="12"/>
  <c r="GU271" i="12"/>
  <c r="GV271" i="12"/>
  <c r="GW271" i="12"/>
  <c r="GX271" i="12"/>
  <c r="GY271" i="12"/>
  <c r="GZ271" i="12"/>
  <c r="HA271" i="12"/>
  <c r="HB271" i="12"/>
  <c r="HC271" i="12"/>
  <c r="HD271" i="12"/>
  <c r="HE271" i="12"/>
  <c r="HF271" i="12"/>
  <c r="HG271" i="12"/>
  <c r="HH271" i="12"/>
  <c r="HI271" i="12"/>
  <c r="HJ271" i="12"/>
  <c r="HK271" i="12"/>
  <c r="HL271" i="12"/>
  <c r="HM271" i="12"/>
  <c r="HN271" i="12"/>
  <c r="HO271" i="12"/>
  <c r="HP271" i="12"/>
  <c r="HQ271" i="12"/>
  <c r="HR271" i="12"/>
  <c r="HS271" i="12"/>
  <c r="HT271" i="12"/>
  <c r="HU271" i="12"/>
  <c r="HV271" i="12"/>
  <c r="HW271" i="12"/>
  <c r="HX271" i="12"/>
  <c r="HY271" i="12"/>
  <c r="HZ271" i="12"/>
  <c r="IA271" i="12"/>
  <c r="IB271" i="12"/>
  <c r="IC271" i="12"/>
  <c r="ID271" i="12"/>
  <c r="IE271" i="12"/>
  <c r="IF271" i="12"/>
  <c r="IG271" i="12"/>
  <c r="IH271" i="12"/>
  <c r="II271" i="12"/>
  <c r="IJ271" i="12"/>
  <c r="IK271" i="12"/>
  <c r="IL271" i="12"/>
  <c r="IM271" i="12"/>
  <c r="IN271" i="12"/>
  <c r="IO271" i="12"/>
  <c r="IP271" i="12"/>
  <c r="IQ271" i="12"/>
  <c r="IR271" i="12"/>
  <c r="IS271" i="12"/>
  <c r="IT271" i="12"/>
  <c r="IU271" i="12"/>
  <c r="IV271" i="12"/>
  <c r="F272" i="12"/>
  <c r="G272" i="12"/>
  <c r="H272" i="12"/>
  <c r="I272" i="12"/>
  <c r="J272" i="12"/>
  <c r="K272" i="12"/>
  <c r="L272" i="12"/>
  <c r="M272" i="12"/>
  <c r="N272" i="12"/>
  <c r="O272" i="12"/>
  <c r="P272" i="12"/>
  <c r="Q272" i="12"/>
  <c r="R272" i="12"/>
  <c r="S272" i="12"/>
  <c r="T272" i="12"/>
  <c r="U272" i="12"/>
  <c r="V272" i="12"/>
  <c r="W272" i="12"/>
  <c r="X272" i="12"/>
  <c r="Y272" i="12"/>
  <c r="Z272" i="12"/>
  <c r="AA272" i="12"/>
  <c r="AB272" i="12"/>
  <c r="AC272" i="12"/>
  <c r="AD272" i="12"/>
  <c r="AE272" i="12"/>
  <c r="AF272" i="12"/>
  <c r="AG272" i="12"/>
  <c r="AH272" i="12"/>
  <c r="AI272" i="12"/>
  <c r="AJ272" i="12"/>
  <c r="AK272" i="12"/>
  <c r="AL272" i="12"/>
  <c r="AM272" i="12"/>
  <c r="AN272" i="12"/>
  <c r="AO272" i="12"/>
  <c r="AP272" i="12"/>
  <c r="AQ272" i="12"/>
  <c r="AR272" i="12"/>
  <c r="AS272" i="12"/>
  <c r="AT272" i="12"/>
  <c r="AU272" i="12"/>
  <c r="AV272" i="12"/>
  <c r="AW272" i="12"/>
  <c r="AX272" i="12"/>
  <c r="AY272" i="12"/>
  <c r="AZ272" i="12"/>
  <c r="BA272" i="12"/>
  <c r="BB272" i="12"/>
  <c r="BC272" i="12"/>
  <c r="BD272" i="12"/>
  <c r="BE272" i="12"/>
  <c r="BF272" i="12"/>
  <c r="BG272" i="12"/>
  <c r="BH272" i="12"/>
  <c r="BI272" i="12"/>
  <c r="BJ272" i="12"/>
  <c r="BK272" i="12"/>
  <c r="BL272" i="12"/>
  <c r="BM272" i="12"/>
  <c r="BN272" i="12"/>
  <c r="BO272" i="12"/>
  <c r="BP272" i="12"/>
  <c r="BQ272" i="12"/>
  <c r="BR272" i="12"/>
  <c r="BS272" i="12"/>
  <c r="BT272" i="12"/>
  <c r="BU272" i="12"/>
  <c r="BV272" i="12"/>
  <c r="BW272" i="12"/>
  <c r="BX272" i="12"/>
  <c r="BY272" i="12"/>
  <c r="BZ272" i="12"/>
  <c r="CA272" i="12"/>
  <c r="CB272" i="12"/>
  <c r="CC272" i="12"/>
  <c r="CD272" i="12"/>
  <c r="CE272" i="12"/>
  <c r="CF272" i="12"/>
  <c r="CG272" i="12"/>
  <c r="CH272" i="12"/>
  <c r="CI272" i="12"/>
  <c r="CJ272" i="12"/>
  <c r="CK272" i="12"/>
  <c r="CL272" i="12"/>
  <c r="CM272" i="12"/>
  <c r="CN272" i="12"/>
  <c r="CO272" i="12"/>
  <c r="CP272" i="12"/>
  <c r="CQ272" i="12"/>
  <c r="CR272" i="12"/>
  <c r="CS272" i="12"/>
  <c r="CT272" i="12"/>
  <c r="CU272" i="12"/>
  <c r="CV272" i="12"/>
  <c r="CW272" i="12"/>
  <c r="CX272" i="12"/>
  <c r="CY272" i="12"/>
  <c r="CZ272" i="12"/>
  <c r="DA272" i="12"/>
  <c r="DB272" i="12"/>
  <c r="DC272" i="12"/>
  <c r="DD272" i="12"/>
  <c r="DE272" i="12"/>
  <c r="DF272" i="12"/>
  <c r="DG272" i="12"/>
  <c r="DH272" i="12"/>
  <c r="DI272" i="12"/>
  <c r="DJ272" i="12"/>
  <c r="DK272" i="12"/>
  <c r="DL272" i="12"/>
  <c r="DM272" i="12"/>
  <c r="DN272" i="12"/>
  <c r="DO272" i="12"/>
  <c r="DP272" i="12"/>
  <c r="DQ272" i="12"/>
  <c r="DR272" i="12"/>
  <c r="DS272" i="12"/>
  <c r="DT272" i="12"/>
  <c r="DU272" i="12"/>
  <c r="DV272" i="12"/>
  <c r="DW272" i="12"/>
  <c r="DX272" i="12"/>
  <c r="DY272" i="12"/>
  <c r="DZ272" i="12"/>
  <c r="EA272" i="12"/>
  <c r="EB272" i="12"/>
  <c r="EC272" i="12"/>
  <c r="ED272" i="12"/>
  <c r="EE272" i="12"/>
  <c r="EF272" i="12"/>
  <c r="EG272" i="12"/>
  <c r="EH272" i="12"/>
  <c r="EI272" i="12"/>
  <c r="EJ272" i="12"/>
  <c r="EK272" i="12"/>
  <c r="EL272" i="12"/>
  <c r="EM272" i="12"/>
  <c r="EN272" i="12"/>
  <c r="EO272" i="12"/>
  <c r="EP272" i="12"/>
  <c r="EQ272" i="12"/>
  <c r="ER272" i="12"/>
  <c r="ES272" i="12"/>
  <c r="ET272" i="12"/>
  <c r="EU272" i="12"/>
  <c r="EV272" i="12"/>
  <c r="EW272" i="12"/>
  <c r="EX272" i="12"/>
  <c r="EY272" i="12"/>
  <c r="EZ272" i="12"/>
  <c r="FA272" i="12"/>
  <c r="FB272" i="12"/>
  <c r="FC272" i="12"/>
  <c r="FD272" i="12"/>
  <c r="FE272" i="12"/>
  <c r="FF272" i="12"/>
  <c r="FG272" i="12"/>
  <c r="FH272" i="12"/>
  <c r="FI272" i="12"/>
  <c r="FJ272" i="12"/>
  <c r="FK272" i="12"/>
  <c r="FL272" i="12"/>
  <c r="FM272" i="12"/>
  <c r="FN272" i="12"/>
  <c r="FO272" i="12"/>
  <c r="FP272" i="12"/>
  <c r="FQ272" i="12"/>
  <c r="FR272" i="12"/>
  <c r="FS272" i="12"/>
  <c r="FT272" i="12"/>
  <c r="FU272" i="12"/>
  <c r="FV272" i="12"/>
  <c r="FW272" i="12"/>
  <c r="FX272" i="12"/>
  <c r="FY272" i="12"/>
  <c r="FZ272" i="12"/>
  <c r="GA272" i="12"/>
  <c r="GB272" i="12"/>
  <c r="GC272" i="12"/>
  <c r="GD272" i="12"/>
  <c r="GE272" i="12"/>
  <c r="GF272" i="12"/>
  <c r="GG272" i="12"/>
  <c r="GH272" i="12"/>
  <c r="GI272" i="12"/>
  <c r="GJ272" i="12"/>
  <c r="GK272" i="12"/>
  <c r="GL272" i="12"/>
  <c r="GM272" i="12"/>
  <c r="GN272" i="12"/>
  <c r="GO272" i="12"/>
  <c r="GP272" i="12"/>
  <c r="GQ272" i="12"/>
  <c r="GR272" i="12"/>
  <c r="GS272" i="12"/>
  <c r="GT272" i="12"/>
  <c r="GU272" i="12"/>
  <c r="GV272" i="12"/>
  <c r="GW272" i="12"/>
  <c r="GX272" i="12"/>
  <c r="GY272" i="12"/>
  <c r="GZ272" i="12"/>
  <c r="HA272" i="12"/>
  <c r="HB272" i="12"/>
  <c r="HC272" i="12"/>
  <c r="HD272" i="12"/>
  <c r="HE272" i="12"/>
  <c r="HF272" i="12"/>
  <c r="HG272" i="12"/>
  <c r="HH272" i="12"/>
  <c r="HI272" i="12"/>
  <c r="HJ272" i="12"/>
  <c r="HK272" i="12"/>
  <c r="HL272" i="12"/>
  <c r="HM272" i="12"/>
  <c r="HN272" i="12"/>
  <c r="HO272" i="12"/>
  <c r="HP272" i="12"/>
  <c r="HQ272" i="12"/>
  <c r="HR272" i="12"/>
  <c r="HS272" i="12"/>
  <c r="HT272" i="12"/>
  <c r="HU272" i="12"/>
  <c r="HV272" i="12"/>
  <c r="HW272" i="12"/>
  <c r="HX272" i="12"/>
  <c r="HY272" i="12"/>
  <c r="HZ272" i="12"/>
  <c r="IA272" i="12"/>
  <c r="IB272" i="12"/>
  <c r="IC272" i="12"/>
  <c r="ID272" i="12"/>
  <c r="IE272" i="12"/>
  <c r="IF272" i="12"/>
  <c r="IG272" i="12"/>
  <c r="IH272" i="12"/>
  <c r="II272" i="12"/>
  <c r="IJ272" i="12"/>
  <c r="IK272" i="12"/>
  <c r="IL272" i="12"/>
  <c r="IM272" i="12"/>
  <c r="IN272" i="12"/>
  <c r="IO272" i="12"/>
  <c r="IP272" i="12"/>
  <c r="IQ272" i="12"/>
  <c r="IR272" i="12"/>
  <c r="IS272" i="12"/>
  <c r="IT272" i="12"/>
  <c r="IU272" i="12"/>
  <c r="IV272" i="12"/>
  <c r="F273" i="12"/>
  <c r="G273" i="12"/>
  <c r="H273" i="12"/>
  <c r="I273" i="12"/>
  <c r="J273" i="12"/>
  <c r="K273" i="12"/>
  <c r="L273" i="12"/>
  <c r="M273" i="12"/>
  <c r="N273" i="12"/>
  <c r="O273" i="12"/>
  <c r="P273" i="12"/>
  <c r="Q273" i="12"/>
  <c r="R273" i="12"/>
  <c r="S273" i="12"/>
  <c r="T273" i="12"/>
  <c r="U273" i="12"/>
  <c r="V273" i="12"/>
  <c r="W273" i="12"/>
  <c r="X273" i="12"/>
  <c r="Y273" i="12"/>
  <c r="Z273" i="12"/>
  <c r="AA273" i="12"/>
  <c r="AB273" i="12"/>
  <c r="AC273" i="12"/>
  <c r="AD273" i="12"/>
  <c r="AE273" i="12"/>
  <c r="AF273" i="12"/>
  <c r="AG273" i="12"/>
  <c r="AH273" i="12"/>
  <c r="AI273" i="12"/>
  <c r="AJ273" i="12"/>
  <c r="AK273" i="12"/>
  <c r="AL273" i="12"/>
  <c r="AM273" i="12"/>
  <c r="AN273" i="12"/>
  <c r="AO273" i="12"/>
  <c r="AP273" i="12"/>
  <c r="AQ273" i="12"/>
  <c r="AR273" i="12"/>
  <c r="AS273" i="12"/>
  <c r="AT273" i="12"/>
  <c r="AU273" i="12"/>
  <c r="AV273" i="12"/>
  <c r="AW273" i="12"/>
  <c r="AX273" i="12"/>
  <c r="AY273" i="12"/>
  <c r="AZ273" i="12"/>
  <c r="BA273" i="12"/>
  <c r="BB273" i="12"/>
  <c r="BC273" i="12"/>
  <c r="BD273" i="12"/>
  <c r="BE273" i="12"/>
  <c r="BF273" i="12"/>
  <c r="BG273" i="12"/>
  <c r="BH273" i="12"/>
  <c r="BI273" i="12"/>
  <c r="BJ273" i="12"/>
  <c r="BK273" i="12"/>
  <c r="BL273" i="12"/>
  <c r="BM273" i="12"/>
  <c r="BN273" i="12"/>
  <c r="BO273" i="12"/>
  <c r="BP273" i="12"/>
  <c r="BQ273" i="12"/>
  <c r="BR273" i="12"/>
  <c r="BS273" i="12"/>
  <c r="BT273" i="12"/>
  <c r="BU273" i="12"/>
  <c r="BV273" i="12"/>
  <c r="BW273" i="12"/>
  <c r="BX273" i="12"/>
  <c r="BY273" i="12"/>
  <c r="BZ273" i="12"/>
  <c r="CA273" i="12"/>
  <c r="CB273" i="12"/>
  <c r="CC273" i="12"/>
  <c r="CD273" i="12"/>
  <c r="CE273" i="12"/>
  <c r="CF273" i="12"/>
  <c r="CG273" i="12"/>
  <c r="CH273" i="12"/>
  <c r="CI273" i="12"/>
  <c r="CJ273" i="12"/>
  <c r="CK273" i="12"/>
  <c r="CL273" i="12"/>
  <c r="CM273" i="12"/>
  <c r="CN273" i="12"/>
  <c r="CO273" i="12"/>
  <c r="CP273" i="12"/>
  <c r="CQ273" i="12"/>
  <c r="CR273" i="12"/>
  <c r="CS273" i="12"/>
  <c r="CT273" i="12"/>
  <c r="CU273" i="12"/>
  <c r="CV273" i="12"/>
  <c r="CW273" i="12"/>
  <c r="CX273" i="12"/>
  <c r="CY273" i="12"/>
  <c r="CZ273" i="12"/>
  <c r="DA273" i="12"/>
  <c r="DB273" i="12"/>
  <c r="DC273" i="12"/>
  <c r="DD273" i="12"/>
  <c r="DE273" i="12"/>
  <c r="DF273" i="12"/>
  <c r="DG273" i="12"/>
  <c r="DH273" i="12"/>
  <c r="DI273" i="12"/>
  <c r="DJ273" i="12"/>
  <c r="DK273" i="12"/>
  <c r="DL273" i="12"/>
  <c r="DM273" i="12"/>
  <c r="DN273" i="12"/>
  <c r="DO273" i="12"/>
  <c r="DP273" i="12"/>
  <c r="DQ273" i="12"/>
  <c r="DR273" i="12"/>
  <c r="DS273" i="12"/>
  <c r="DT273" i="12"/>
  <c r="DU273" i="12"/>
  <c r="DV273" i="12"/>
  <c r="DW273" i="12"/>
  <c r="DX273" i="12"/>
  <c r="DY273" i="12"/>
  <c r="DZ273" i="12"/>
  <c r="EA273" i="12"/>
  <c r="EB273" i="12"/>
  <c r="EC273" i="12"/>
  <c r="ED273" i="12"/>
  <c r="EE273" i="12"/>
  <c r="EF273" i="12"/>
  <c r="EG273" i="12"/>
  <c r="EH273" i="12"/>
  <c r="EI273" i="12"/>
  <c r="EJ273" i="12"/>
  <c r="EK273" i="12"/>
  <c r="EL273" i="12"/>
  <c r="EM273" i="12"/>
  <c r="EN273" i="12"/>
  <c r="EO273" i="12"/>
  <c r="EP273" i="12"/>
  <c r="EQ273" i="12"/>
  <c r="ER273" i="12"/>
  <c r="ES273" i="12"/>
  <c r="ET273" i="12"/>
  <c r="EU273" i="12"/>
  <c r="EV273" i="12"/>
  <c r="EW273" i="12"/>
  <c r="EX273" i="12"/>
  <c r="EY273" i="12"/>
  <c r="EZ273" i="12"/>
  <c r="FA273" i="12"/>
  <c r="FB273" i="12"/>
  <c r="FC273" i="12"/>
  <c r="FD273" i="12"/>
  <c r="FE273" i="12"/>
  <c r="FF273" i="12"/>
  <c r="FG273" i="12"/>
  <c r="FH273" i="12"/>
  <c r="FI273" i="12"/>
  <c r="FJ273" i="12"/>
  <c r="FK273" i="12"/>
  <c r="FL273" i="12"/>
  <c r="FM273" i="12"/>
  <c r="FN273" i="12"/>
  <c r="FO273" i="12"/>
  <c r="FP273" i="12"/>
  <c r="FQ273" i="12"/>
  <c r="FR273" i="12"/>
  <c r="FS273" i="12"/>
  <c r="FT273" i="12"/>
  <c r="FU273" i="12"/>
  <c r="FV273" i="12"/>
  <c r="FW273" i="12"/>
  <c r="FX273" i="12"/>
  <c r="FY273" i="12"/>
  <c r="FZ273" i="12"/>
  <c r="GA273" i="12"/>
  <c r="GB273" i="12"/>
  <c r="GC273" i="12"/>
  <c r="GD273" i="12"/>
  <c r="GE273" i="12"/>
  <c r="GF273" i="12"/>
  <c r="GG273" i="12"/>
  <c r="GH273" i="12"/>
  <c r="GI273" i="12"/>
  <c r="GJ273" i="12"/>
  <c r="GK273" i="12"/>
  <c r="GL273" i="12"/>
  <c r="GM273" i="12"/>
  <c r="GN273" i="12"/>
  <c r="GO273" i="12"/>
  <c r="GP273" i="12"/>
  <c r="GQ273" i="12"/>
  <c r="GR273" i="12"/>
  <c r="GS273" i="12"/>
  <c r="GT273" i="12"/>
  <c r="GU273" i="12"/>
  <c r="GV273" i="12"/>
  <c r="GW273" i="12"/>
  <c r="GX273" i="12"/>
  <c r="GY273" i="12"/>
  <c r="GZ273" i="12"/>
  <c r="HA273" i="12"/>
  <c r="HB273" i="12"/>
  <c r="HC273" i="12"/>
  <c r="HD273" i="12"/>
  <c r="HE273" i="12"/>
  <c r="HF273" i="12"/>
  <c r="HG273" i="12"/>
  <c r="HH273" i="12"/>
  <c r="HI273" i="12"/>
  <c r="HJ273" i="12"/>
  <c r="HK273" i="12"/>
  <c r="HL273" i="12"/>
  <c r="HM273" i="12"/>
  <c r="HN273" i="12"/>
  <c r="HO273" i="12"/>
  <c r="HP273" i="12"/>
  <c r="HQ273" i="12"/>
  <c r="HR273" i="12"/>
  <c r="HS273" i="12"/>
  <c r="HT273" i="12"/>
  <c r="HU273" i="12"/>
  <c r="HV273" i="12"/>
  <c r="HW273" i="12"/>
  <c r="HX273" i="12"/>
  <c r="HY273" i="12"/>
  <c r="HZ273" i="12"/>
  <c r="IA273" i="12"/>
  <c r="IB273" i="12"/>
  <c r="IC273" i="12"/>
  <c r="ID273" i="12"/>
  <c r="IE273" i="12"/>
  <c r="IF273" i="12"/>
  <c r="IG273" i="12"/>
  <c r="IH273" i="12"/>
  <c r="II273" i="12"/>
  <c r="IJ273" i="12"/>
  <c r="IK273" i="12"/>
  <c r="IL273" i="12"/>
  <c r="IM273" i="12"/>
  <c r="IN273" i="12"/>
  <c r="IO273" i="12"/>
  <c r="IP273" i="12"/>
  <c r="IQ273" i="12"/>
  <c r="IR273" i="12"/>
  <c r="IS273" i="12"/>
  <c r="IT273" i="12"/>
  <c r="IU273" i="12"/>
  <c r="IV273" i="12"/>
  <c r="F274" i="12"/>
  <c r="G274" i="12"/>
  <c r="H274" i="12"/>
  <c r="I274" i="12"/>
  <c r="J274" i="12"/>
  <c r="K274" i="12"/>
  <c r="L274" i="12"/>
  <c r="M274" i="12"/>
  <c r="N274" i="12"/>
  <c r="O274" i="12"/>
  <c r="P274" i="12"/>
  <c r="Q274" i="12"/>
  <c r="R274" i="12"/>
  <c r="S274" i="12"/>
  <c r="T274" i="12"/>
  <c r="U274" i="12"/>
  <c r="V274" i="12"/>
  <c r="W274" i="12"/>
  <c r="X274" i="12"/>
  <c r="Y274" i="12"/>
  <c r="Z274" i="12"/>
  <c r="AA274" i="12"/>
  <c r="AB274" i="12"/>
  <c r="AC274" i="12"/>
  <c r="AD274" i="12"/>
  <c r="AE274" i="12"/>
  <c r="AF274" i="12"/>
  <c r="AG274" i="12"/>
  <c r="AH274" i="12"/>
  <c r="AI274" i="12"/>
  <c r="AJ274" i="12"/>
  <c r="AK274" i="12"/>
  <c r="AL274" i="12"/>
  <c r="AM274" i="12"/>
  <c r="AN274" i="12"/>
  <c r="AO274" i="12"/>
  <c r="AP274" i="12"/>
  <c r="AQ274" i="12"/>
  <c r="AR274" i="12"/>
  <c r="AS274" i="12"/>
  <c r="AT274" i="12"/>
  <c r="AU274" i="12"/>
  <c r="AV274" i="12"/>
  <c r="AW274" i="12"/>
  <c r="AX274" i="12"/>
  <c r="AY274" i="12"/>
  <c r="AZ274" i="12"/>
  <c r="BA274" i="12"/>
  <c r="BB274" i="12"/>
  <c r="BC274" i="12"/>
  <c r="BD274" i="12"/>
  <c r="BE274" i="12"/>
  <c r="BF274" i="12"/>
  <c r="BG274" i="12"/>
  <c r="BH274" i="12"/>
  <c r="BI274" i="12"/>
  <c r="BJ274" i="12"/>
  <c r="BK274" i="12"/>
  <c r="BL274" i="12"/>
  <c r="BM274" i="12"/>
  <c r="BN274" i="12"/>
  <c r="BO274" i="12"/>
  <c r="BP274" i="12"/>
  <c r="BQ274" i="12"/>
  <c r="BR274" i="12"/>
  <c r="BS274" i="12"/>
  <c r="BT274" i="12"/>
  <c r="BU274" i="12"/>
  <c r="BV274" i="12"/>
  <c r="BW274" i="12"/>
  <c r="BX274" i="12"/>
  <c r="BY274" i="12"/>
  <c r="BZ274" i="12"/>
  <c r="CA274" i="12"/>
  <c r="CB274" i="12"/>
  <c r="CC274" i="12"/>
  <c r="CD274" i="12"/>
  <c r="CE274" i="12"/>
  <c r="CF274" i="12"/>
  <c r="CG274" i="12"/>
  <c r="CH274" i="12"/>
  <c r="CI274" i="12"/>
  <c r="CJ274" i="12"/>
  <c r="CK274" i="12"/>
  <c r="CL274" i="12"/>
  <c r="CM274" i="12"/>
  <c r="CN274" i="12"/>
  <c r="CO274" i="12"/>
  <c r="CP274" i="12"/>
  <c r="CQ274" i="12"/>
  <c r="CR274" i="12"/>
  <c r="CS274" i="12"/>
  <c r="CT274" i="12"/>
  <c r="CU274" i="12"/>
  <c r="CV274" i="12"/>
  <c r="CW274" i="12"/>
  <c r="CX274" i="12"/>
  <c r="CY274" i="12"/>
  <c r="CZ274" i="12"/>
  <c r="DA274" i="12"/>
  <c r="DB274" i="12"/>
  <c r="DC274" i="12"/>
  <c r="DD274" i="12"/>
  <c r="DE274" i="12"/>
  <c r="DF274" i="12"/>
  <c r="DG274" i="12"/>
  <c r="DH274" i="12"/>
  <c r="DI274" i="12"/>
  <c r="DJ274" i="12"/>
  <c r="DK274" i="12"/>
  <c r="DL274" i="12"/>
  <c r="DM274" i="12"/>
  <c r="DN274" i="12"/>
  <c r="DO274" i="12"/>
  <c r="DP274" i="12"/>
  <c r="DQ274" i="12"/>
  <c r="DR274" i="12"/>
  <c r="DS274" i="12"/>
  <c r="DT274" i="12"/>
  <c r="DU274" i="12"/>
  <c r="DV274" i="12"/>
  <c r="DW274" i="12"/>
  <c r="DX274" i="12"/>
  <c r="DY274" i="12"/>
  <c r="DZ274" i="12"/>
  <c r="EA274" i="12"/>
  <c r="EB274" i="12"/>
  <c r="EC274" i="12"/>
  <c r="ED274" i="12"/>
  <c r="EE274" i="12"/>
  <c r="EF274" i="12"/>
  <c r="EG274" i="12"/>
  <c r="EH274" i="12"/>
  <c r="EI274" i="12"/>
  <c r="EJ274" i="12"/>
  <c r="EK274" i="12"/>
  <c r="EL274" i="12"/>
  <c r="EM274" i="12"/>
  <c r="EN274" i="12"/>
  <c r="EO274" i="12"/>
  <c r="EP274" i="12"/>
  <c r="EQ274" i="12"/>
  <c r="ER274" i="12"/>
  <c r="ES274" i="12"/>
  <c r="ET274" i="12"/>
  <c r="EU274" i="12"/>
  <c r="EV274" i="12"/>
  <c r="EW274" i="12"/>
  <c r="EX274" i="12"/>
  <c r="EY274" i="12"/>
  <c r="EZ274" i="12"/>
  <c r="FA274" i="12"/>
  <c r="FB274" i="12"/>
  <c r="FC274" i="12"/>
  <c r="FD274" i="12"/>
  <c r="FE274" i="12"/>
  <c r="FF274" i="12"/>
  <c r="FG274" i="12"/>
  <c r="FH274" i="12"/>
  <c r="FI274" i="12"/>
  <c r="FJ274" i="12"/>
  <c r="FK274" i="12"/>
  <c r="FL274" i="12"/>
  <c r="FM274" i="12"/>
  <c r="FN274" i="12"/>
  <c r="FO274" i="12"/>
  <c r="FP274" i="12"/>
  <c r="FQ274" i="12"/>
  <c r="FR274" i="12"/>
  <c r="FS274" i="12"/>
  <c r="FT274" i="12"/>
  <c r="FU274" i="12"/>
  <c r="FV274" i="12"/>
  <c r="FW274" i="12"/>
  <c r="FX274" i="12"/>
  <c r="FY274" i="12"/>
  <c r="FZ274" i="12"/>
  <c r="GA274" i="12"/>
  <c r="GB274" i="12"/>
  <c r="GC274" i="12"/>
  <c r="GD274" i="12"/>
  <c r="GE274" i="12"/>
  <c r="GF274" i="12"/>
  <c r="GG274" i="12"/>
  <c r="GH274" i="12"/>
  <c r="GI274" i="12"/>
  <c r="GJ274" i="12"/>
  <c r="GK274" i="12"/>
  <c r="GL274" i="12"/>
  <c r="GM274" i="12"/>
  <c r="GN274" i="12"/>
  <c r="GO274" i="12"/>
  <c r="GP274" i="12"/>
  <c r="GQ274" i="12"/>
  <c r="GR274" i="12"/>
  <c r="GS274" i="12"/>
  <c r="GT274" i="12"/>
  <c r="GU274" i="12"/>
  <c r="GV274" i="12"/>
  <c r="GW274" i="12"/>
  <c r="GX274" i="12"/>
  <c r="GY274" i="12"/>
  <c r="GZ274" i="12"/>
  <c r="HA274" i="12"/>
  <c r="HB274" i="12"/>
  <c r="HC274" i="12"/>
  <c r="HD274" i="12"/>
  <c r="HE274" i="12"/>
  <c r="HF274" i="12"/>
  <c r="HG274" i="12"/>
  <c r="HH274" i="12"/>
  <c r="HI274" i="12"/>
  <c r="HJ274" i="12"/>
  <c r="HK274" i="12"/>
  <c r="HL274" i="12"/>
  <c r="HM274" i="12"/>
  <c r="HN274" i="12"/>
  <c r="HO274" i="12"/>
  <c r="HP274" i="12"/>
  <c r="HQ274" i="12"/>
  <c r="HR274" i="12"/>
  <c r="HS274" i="12"/>
  <c r="HT274" i="12"/>
  <c r="HU274" i="12"/>
  <c r="HV274" i="12"/>
  <c r="HW274" i="12"/>
  <c r="HX274" i="12"/>
  <c r="HY274" i="12"/>
  <c r="HZ274" i="12"/>
  <c r="IA274" i="12"/>
  <c r="IB274" i="12"/>
  <c r="IC274" i="12"/>
  <c r="ID274" i="12"/>
  <c r="IE274" i="12"/>
  <c r="IF274" i="12"/>
  <c r="IG274" i="12"/>
  <c r="IH274" i="12"/>
  <c r="II274" i="12"/>
  <c r="IJ274" i="12"/>
  <c r="IK274" i="12"/>
  <c r="IL274" i="12"/>
  <c r="IM274" i="12"/>
  <c r="IN274" i="12"/>
  <c r="IO274" i="12"/>
  <c r="IP274" i="12"/>
  <c r="IQ274" i="12"/>
  <c r="IR274" i="12"/>
  <c r="IS274" i="12"/>
  <c r="IT274" i="12"/>
  <c r="IU274" i="12"/>
  <c r="IV274" i="12"/>
  <c r="F275" i="12"/>
  <c r="G275" i="12"/>
  <c r="H275" i="12"/>
  <c r="I275" i="12"/>
  <c r="J275" i="12"/>
  <c r="K275" i="12"/>
  <c r="L275" i="12"/>
  <c r="M275" i="12"/>
  <c r="N275" i="12"/>
  <c r="O275" i="12"/>
  <c r="P275" i="12"/>
  <c r="Q275" i="12"/>
  <c r="R275" i="12"/>
  <c r="S275" i="12"/>
  <c r="T275" i="12"/>
  <c r="U275" i="12"/>
  <c r="V275" i="12"/>
  <c r="W275" i="12"/>
  <c r="X275" i="12"/>
  <c r="Y275" i="12"/>
  <c r="Z275" i="12"/>
  <c r="AA275" i="12"/>
  <c r="AB275" i="12"/>
  <c r="AC275" i="12"/>
  <c r="AD275" i="12"/>
  <c r="AE275" i="12"/>
  <c r="AF275" i="12"/>
  <c r="AG275" i="12"/>
  <c r="AH275" i="12"/>
  <c r="AI275" i="12"/>
  <c r="AJ275" i="12"/>
  <c r="AK275" i="12"/>
  <c r="AL275" i="12"/>
  <c r="AM275" i="12"/>
  <c r="AN275" i="12"/>
  <c r="AO275" i="12"/>
  <c r="AP275" i="12"/>
  <c r="AQ275" i="12"/>
  <c r="AR275" i="12"/>
  <c r="AS275" i="12"/>
  <c r="AT275" i="12"/>
  <c r="AU275" i="12"/>
  <c r="AV275" i="12"/>
  <c r="AW275" i="12"/>
  <c r="AX275" i="12"/>
  <c r="AY275" i="12"/>
  <c r="AZ275" i="12"/>
  <c r="BA275" i="12"/>
  <c r="BB275" i="12"/>
  <c r="BC275" i="12"/>
  <c r="BD275" i="12"/>
  <c r="BE275" i="12"/>
  <c r="BF275" i="12"/>
  <c r="BG275" i="12"/>
  <c r="BH275" i="12"/>
  <c r="BI275" i="12"/>
  <c r="BJ275" i="12"/>
  <c r="BK275" i="12"/>
  <c r="BL275" i="12"/>
  <c r="BM275" i="12"/>
  <c r="BN275" i="12"/>
  <c r="BO275" i="12"/>
  <c r="BP275" i="12"/>
  <c r="BQ275" i="12"/>
  <c r="BR275" i="12"/>
  <c r="BS275" i="12"/>
  <c r="BT275" i="12"/>
  <c r="BU275" i="12"/>
  <c r="BV275" i="12"/>
  <c r="BW275" i="12"/>
  <c r="BX275" i="12"/>
  <c r="BY275" i="12"/>
  <c r="BZ275" i="12"/>
  <c r="CA275" i="12"/>
  <c r="CB275" i="12"/>
  <c r="CC275" i="12"/>
  <c r="CD275" i="12"/>
  <c r="CE275" i="12"/>
  <c r="CF275" i="12"/>
  <c r="CG275" i="12"/>
  <c r="CH275" i="12"/>
  <c r="CI275" i="12"/>
  <c r="CJ275" i="12"/>
  <c r="CK275" i="12"/>
  <c r="CL275" i="12"/>
  <c r="CM275" i="12"/>
  <c r="CN275" i="12"/>
  <c r="CO275" i="12"/>
  <c r="CP275" i="12"/>
  <c r="CQ275" i="12"/>
  <c r="CR275" i="12"/>
  <c r="CS275" i="12"/>
  <c r="CT275" i="12"/>
  <c r="CU275" i="12"/>
  <c r="CV275" i="12"/>
  <c r="CW275" i="12"/>
  <c r="CX275" i="12"/>
  <c r="CY275" i="12"/>
  <c r="CZ275" i="12"/>
  <c r="DA275" i="12"/>
  <c r="DB275" i="12"/>
  <c r="DC275" i="12"/>
  <c r="DD275" i="12"/>
  <c r="DE275" i="12"/>
  <c r="DF275" i="12"/>
  <c r="DG275" i="12"/>
  <c r="DH275" i="12"/>
  <c r="DI275" i="12"/>
  <c r="DJ275" i="12"/>
  <c r="DK275" i="12"/>
  <c r="DL275" i="12"/>
  <c r="DM275" i="12"/>
  <c r="DN275" i="12"/>
  <c r="DO275" i="12"/>
  <c r="DP275" i="12"/>
  <c r="DQ275" i="12"/>
  <c r="DR275" i="12"/>
  <c r="DS275" i="12"/>
  <c r="DT275" i="12"/>
  <c r="DU275" i="12"/>
  <c r="DV275" i="12"/>
  <c r="DW275" i="12"/>
  <c r="DX275" i="12"/>
  <c r="DY275" i="12"/>
  <c r="DZ275" i="12"/>
  <c r="EA275" i="12"/>
  <c r="EB275" i="12"/>
  <c r="EC275" i="12"/>
  <c r="ED275" i="12"/>
  <c r="EE275" i="12"/>
  <c r="EF275" i="12"/>
  <c r="EG275" i="12"/>
  <c r="EH275" i="12"/>
  <c r="EI275" i="12"/>
  <c r="EJ275" i="12"/>
  <c r="EK275" i="12"/>
  <c r="EL275" i="12"/>
  <c r="EM275" i="12"/>
  <c r="EN275" i="12"/>
  <c r="EO275" i="12"/>
  <c r="EP275" i="12"/>
  <c r="EQ275" i="12"/>
  <c r="ER275" i="12"/>
  <c r="ES275" i="12"/>
  <c r="ET275" i="12"/>
  <c r="EU275" i="12"/>
  <c r="EV275" i="12"/>
  <c r="EW275" i="12"/>
  <c r="EX275" i="12"/>
  <c r="EY275" i="12"/>
  <c r="EZ275" i="12"/>
  <c r="FA275" i="12"/>
  <c r="FB275" i="12"/>
  <c r="FC275" i="12"/>
  <c r="FD275" i="12"/>
  <c r="FE275" i="12"/>
  <c r="FF275" i="12"/>
  <c r="FG275" i="12"/>
  <c r="FH275" i="12"/>
  <c r="FI275" i="12"/>
  <c r="FJ275" i="12"/>
  <c r="FK275" i="12"/>
  <c r="FL275" i="12"/>
  <c r="FM275" i="12"/>
  <c r="FN275" i="12"/>
  <c r="FO275" i="12"/>
  <c r="FP275" i="12"/>
  <c r="FQ275" i="12"/>
  <c r="FR275" i="12"/>
  <c r="FS275" i="12"/>
  <c r="FT275" i="12"/>
  <c r="FU275" i="12"/>
  <c r="FV275" i="12"/>
  <c r="FW275" i="12"/>
  <c r="FX275" i="12"/>
  <c r="FY275" i="12"/>
  <c r="FZ275" i="12"/>
  <c r="GA275" i="12"/>
  <c r="GB275" i="12"/>
  <c r="GC275" i="12"/>
  <c r="GD275" i="12"/>
  <c r="GE275" i="12"/>
  <c r="GF275" i="12"/>
  <c r="GG275" i="12"/>
  <c r="GH275" i="12"/>
  <c r="GI275" i="12"/>
  <c r="GJ275" i="12"/>
  <c r="GK275" i="12"/>
  <c r="GL275" i="12"/>
  <c r="GM275" i="12"/>
  <c r="GN275" i="12"/>
  <c r="GO275" i="12"/>
  <c r="GP275" i="12"/>
  <c r="GQ275" i="12"/>
  <c r="GR275" i="12"/>
  <c r="GS275" i="12"/>
  <c r="GT275" i="12"/>
  <c r="GU275" i="12"/>
  <c r="GV275" i="12"/>
  <c r="GW275" i="12"/>
  <c r="GX275" i="12"/>
  <c r="GY275" i="12"/>
  <c r="GZ275" i="12"/>
  <c r="HA275" i="12"/>
  <c r="HB275" i="12"/>
  <c r="HC275" i="12"/>
  <c r="HD275" i="12"/>
  <c r="HE275" i="12"/>
  <c r="HF275" i="12"/>
  <c r="HG275" i="12"/>
  <c r="HH275" i="12"/>
  <c r="HI275" i="12"/>
  <c r="HJ275" i="12"/>
  <c r="HK275" i="12"/>
  <c r="HL275" i="12"/>
  <c r="HM275" i="12"/>
  <c r="HN275" i="12"/>
  <c r="HO275" i="12"/>
  <c r="HP275" i="12"/>
  <c r="HQ275" i="12"/>
  <c r="HR275" i="12"/>
  <c r="HS275" i="12"/>
  <c r="HT275" i="12"/>
  <c r="HU275" i="12"/>
  <c r="HV275" i="12"/>
  <c r="HW275" i="12"/>
  <c r="HX275" i="12"/>
  <c r="HY275" i="12"/>
  <c r="HZ275" i="12"/>
  <c r="IA275" i="12"/>
  <c r="IB275" i="12"/>
  <c r="IC275" i="12"/>
  <c r="ID275" i="12"/>
  <c r="IE275" i="12"/>
  <c r="IF275" i="12"/>
  <c r="IG275" i="12"/>
  <c r="IH275" i="12"/>
  <c r="II275" i="12"/>
  <c r="IJ275" i="12"/>
  <c r="IK275" i="12"/>
  <c r="IL275" i="12"/>
  <c r="IM275" i="12"/>
  <c r="IN275" i="12"/>
  <c r="IO275" i="12"/>
  <c r="IP275" i="12"/>
  <c r="IQ275" i="12"/>
  <c r="IR275" i="12"/>
  <c r="IS275" i="12"/>
  <c r="IT275" i="12"/>
  <c r="IU275" i="12"/>
  <c r="IV275" i="12"/>
  <c r="F276" i="12"/>
  <c r="G276" i="12"/>
  <c r="H276" i="12"/>
  <c r="I276" i="12"/>
  <c r="J276" i="12"/>
  <c r="K276" i="12"/>
  <c r="L276" i="12"/>
  <c r="M276" i="12"/>
  <c r="N276" i="12"/>
  <c r="O276" i="12"/>
  <c r="P276" i="12"/>
  <c r="Q276" i="12"/>
  <c r="R276" i="12"/>
  <c r="S276" i="12"/>
  <c r="T276" i="12"/>
  <c r="U276" i="12"/>
  <c r="V276" i="12"/>
  <c r="W276" i="12"/>
  <c r="X276" i="12"/>
  <c r="Y276" i="12"/>
  <c r="Z276" i="12"/>
  <c r="AA276" i="12"/>
  <c r="AB276" i="12"/>
  <c r="AC276" i="12"/>
  <c r="AD276" i="12"/>
  <c r="AE276" i="12"/>
  <c r="AF276" i="12"/>
  <c r="AG276" i="12"/>
  <c r="AH276" i="12"/>
  <c r="AI276" i="12"/>
  <c r="AJ276" i="12"/>
  <c r="AK276" i="12"/>
  <c r="AL276" i="12"/>
  <c r="AM276" i="12"/>
  <c r="AN276" i="12"/>
  <c r="AO276" i="12"/>
  <c r="AP276" i="12"/>
  <c r="AQ276" i="12"/>
  <c r="AR276" i="12"/>
  <c r="AS276" i="12"/>
  <c r="AT276" i="12"/>
  <c r="AU276" i="12"/>
  <c r="AV276" i="12"/>
  <c r="AW276" i="12"/>
  <c r="AX276" i="12"/>
  <c r="AY276" i="12"/>
  <c r="AZ276" i="12"/>
  <c r="BA276" i="12"/>
  <c r="BB276" i="12"/>
  <c r="BC276" i="12"/>
  <c r="BD276" i="12"/>
  <c r="BE276" i="12"/>
  <c r="BF276" i="12"/>
  <c r="BG276" i="12"/>
  <c r="BH276" i="12"/>
  <c r="BI276" i="12"/>
  <c r="BJ276" i="12"/>
  <c r="BK276" i="12"/>
  <c r="BL276" i="12"/>
  <c r="BM276" i="12"/>
  <c r="BN276" i="12"/>
  <c r="BO276" i="12"/>
  <c r="BP276" i="12"/>
  <c r="BQ276" i="12"/>
  <c r="BR276" i="12"/>
  <c r="BS276" i="12"/>
  <c r="BT276" i="12"/>
  <c r="BU276" i="12"/>
  <c r="BV276" i="12"/>
  <c r="BW276" i="12"/>
  <c r="BX276" i="12"/>
  <c r="BY276" i="12"/>
  <c r="BZ276" i="12"/>
  <c r="CA276" i="12"/>
  <c r="CB276" i="12"/>
  <c r="CC276" i="12"/>
  <c r="CD276" i="12"/>
  <c r="CE276" i="12"/>
  <c r="CF276" i="12"/>
  <c r="CG276" i="12"/>
  <c r="CH276" i="12"/>
  <c r="CI276" i="12"/>
  <c r="CJ276" i="12"/>
  <c r="CK276" i="12"/>
  <c r="CL276" i="12"/>
  <c r="CM276" i="12"/>
  <c r="CN276" i="12"/>
  <c r="CO276" i="12"/>
  <c r="CP276" i="12"/>
  <c r="CQ276" i="12"/>
  <c r="CR276" i="12"/>
  <c r="CS276" i="12"/>
  <c r="CT276" i="12"/>
  <c r="CU276" i="12"/>
  <c r="CV276" i="12"/>
  <c r="CW276" i="12"/>
  <c r="CX276" i="12"/>
  <c r="CY276" i="12"/>
  <c r="CZ276" i="12"/>
  <c r="DA276" i="12"/>
  <c r="DB276" i="12"/>
  <c r="DC276" i="12"/>
  <c r="DD276" i="12"/>
  <c r="DE276" i="12"/>
  <c r="DF276" i="12"/>
  <c r="DG276" i="12"/>
  <c r="DH276" i="12"/>
  <c r="DI276" i="12"/>
  <c r="DJ276" i="12"/>
  <c r="DK276" i="12"/>
  <c r="DL276" i="12"/>
  <c r="DM276" i="12"/>
  <c r="DN276" i="12"/>
  <c r="DO276" i="12"/>
  <c r="DP276" i="12"/>
  <c r="DQ276" i="12"/>
  <c r="DR276" i="12"/>
  <c r="DS276" i="12"/>
  <c r="DT276" i="12"/>
  <c r="DU276" i="12"/>
  <c r="DV276" i="12"/>
  <c r="DW276" i="12"/>
  <c r="DX276" i="12"/>
  <c r="DY276" i="12"/>
  <c r="DZ276" i="12"/>
  <c r="EA276" i="12"/>
  <c r="EB276" i="12"/>
  <c r="EC276" i="12"/>
  <c r="ED276" i="12"/>
  <c r="EE276" i="12"/>
  <c r="EF276" i="12"/>
  <c r="EG276" i="12"/>
  <c r="EH276" i="12"/>
  <c r="EI276" i="12"/>
  <c r="EJ276" i="12"/>
  <c r="EK276" i="12"/>
  <c r="EL276" i="12"/>
  <c r="EM276" i="12"/>
  <c r="EN276" i="12"/>
  <c r="EO276" i="12"/>
  <c r="EP276" i="12"/>
  <c r="EQ276" i="12"/>
  <c r="ER276" i="12"/>
  <c r="ES276" i="12"/>
  <c r="ET276" i="12"/>
  <c r="EU276" i="12"/>
  <c r="EV276" i="12"/>
  <c r="EW276" i="12"/>
  <c r="EX276" i="12"/>
  <c r="EY276" i="12"/>
  <c r="EZ276" i="12"/>
  <c r="FA276" i="12"/>
  <c r="FB276" i="12"/>
  <c r="FC276" i="12"/>
  <c r="FD276" i="12"/>
  <c r="FE276" i="12"/>
  <c r="FF276" i="12"/>
  <c r="FG276" i="12"/>
  <c r="FH276" i="12"/>
  <c r="FI276" i="12"/>
  <c r="FJ276" i="12"/>
  <c r="FK276" i="12"/>
  <c r="FL276" i="12"/>
  <c r="FM276" i="12"/>
  <c r="FN276" i="12"/>
  <c r="FO276" i="12"/>
  <c r="FP276" i="12"/>
  <c r="FQ276" i="12"/>
  <c r="FR276" i="12"/>
  <c r="FS276" i="12"/>
  <c r="FT276" i="12"/>
  <c r="FU276" i="12"/>
  <c r="FV276" i="12"/>
  <c r="FW276" i="12"/>
  <c r="FX276" i="12"/>
  <c r="FY276" i="12"/>
  <c r="FZ276" i="12"/>
  <c r="GA276" i="12"/>
  <c r="GB276" i="12"/>
  <c r="GC276" i="12"/>
  <c r="GD276" i="12"/>
  <c r="GE276" i="12"/>
  <c r="GF276" i="12"/>
  <c r="GG276" i="12"/>
  <c r="GH276" i="12"/>
  <c r="GI276" i="12"/>
  <c r="GJ276" i="12"/>
  <c r="GK276" i="12"/>
  <c r="GL276" i="12"/>
  <c r="GM276" i="12"/>
  <c r="GN276" i="12"/>
  <c r="GO276" i="12"/>
  <c r="GP276" i="12"/>
  <c r="GQ276" i="12"/>
  <c r="GR276" i="12"/>
  <c r="GS276" i="12"/>
  <c r="GT276" i="12"/>
  <c r="GU276" i="12"/>
  <c r="GV276" i="12"/>
  <c r="GW276" i="12"/>
  <c r="GX276" i="12"/>
  <c r="GY276" i="12"/>
  <c r="GZ276" i="12"/>
  <c r="HA276" i="12"/>
  <c r="HB276" i="12"/>
  <c r="HC276" i="12"/>
  <c r="HD276" i="12"/>
  <c r="HE276" i="12"/>
  <c r="HF276" i="12"/>
  <c r="HG276" i="12"/>
  <c r="HH276" i="12"/>
  <c r="HI276" i="12"/>
  <c r="HJ276" i="12"/>
  <c r="HK276" i="12"/>
  <c r="HL276" i="12"/>
  <c r="HM276" i="12"/>
  <c r="HN276" i="12"/>
  <c r="HO276" i="12"/>
  <c r="HP276" i="12"/>
  <c r="HQ276" i="12"/>
  <c r="HR276" i="12"/>
  <c r="HS276" i="12"/>
  <c r="HT276" i="12"/>
  <c r="HU276" i="12"/>
  <c r="HV276" i="12"/>
  <c r="HW276" i="12"/>
  <c r="HX276" i="12"/>
  <c r="HY276" i="12"/>
  <c r="HZ276" i="12"/>
  <c r="IA276" i="12"/>
  <c r="IB276" i="12"/>
  <c r="IC276" i="12"/>
  <c r="ID276" i="12"/>
  <c r="IE276" i="12"/>
  <c r="IF276" i="12"/>
  <c r="IG276" i="12"/>
  <c r="IH276" i="12"/>
  <c r="II276" i="12"/>
  <c r="IJ276" i="12"/>
  <c r="IK276" i="12"/>
  <c r="IL276" i="12"/>
  <c r="IM276" i="12"/>
  <c r="IN276" i="12"/>
  <c r="IO276" i="12"/>
  <c r="IP276" i="12"/>
  <c r="IQ276" i="12"/>
  <c r="IR276" i="12"/>
  <c r="IS276" i="12"/>
  <c r="IT276" i="12"/>
  <c r="IU276" i="12"/>
  <c r="IV276" i="12"/>
  <c r="F277" i="12"/>
  <c r="G277" i="12"/>
  <c r="H277" i="12"/>
  <c r="I277" i="12"/>
  <c r="J277" i="12"/>
  <c r="K277" i="12"/>
  <c r="L277" i="12"/>
  <c r="M277" i="12"/>
  <c r="N277" i="12"/>
  <c r="O277" i="12"/>
  <c r="P277" i="12"/>
  <c r="Q277" i="12"/>
  <c r="R277" i="12"/>
  <c r="S277" i="12"/>
  <c r="T277" i="12"/>
  <c r="U277" i="12"/>
  <c r="V277" i="12"/>
  <c r="W277" i="12"/>
  <c r="X277" i="12"/>
  <c r="Y277" i="12"/>
  <c r="Z277" i="12"/>
  <c r="AA277" i="12"/>
  <c r="AB277" i="12"/>
  <c r="AC277" i="12"/>
  <c r="AD277" i="12"/>
  <c r="AE277" i="12"/>
  <c r="AF277" i="12"/>
  <c r="AG277" i="12"/>
  <c r="AH277" i="12"/>
  <c r="AI277" i="12"/>
  <c r="AJ277" i="12"/>
  <c r="AK277" i="12"/>
  <c r="AL277" i="12"/>
  <c r="AM277" i="12"/>
  <c r="AN277" i="12"/>
  <c r="AO277" i="12"/>
  <c r="AP277" i="12"/>
  <c r="AQ277" i="12"/>
  <c r="AR277" i="12"/>
  <c r="AS277" i="12"/>
  <c r="AT277" i="12"/>
  <c r="AU277" i="12"/>
  <c r="AV277" i="12"/>
  <c r="AW277" i="12"/>
  <c r="AX277" i="12"/>
  <c r="AY277" i="12"/>
  <c r="AZ277" i="12"/>
  <c r="BA277" i="12"/>
  <c r="BB277" i="12"/>
  <c r="BC277" i="12"/>
  <c r="BD277" i="12"/>
  <c r="BE277" i="12"/>
  <c r="BF277" i="12"/>
  <c r="BG277" i="12"/>
  <c r="BH277" i="12"/>
  <c r="BI277" i="12"/>
  <c r="BJ277" i="12"/>
  <c r="BK277" i="12"/>
  <c r="BL277" i="12"/>
  <c r="BM277" i="12"/>
  <c r="BN277" i="12"/>
  <c r="BO277" i="12"/>
  <c r="BP277" i="12"/>
  <c r="BQ277" i="12"/>
  <c r="BR277" i="12"/>
  <c r="BS277" i="12"/>
  <c r="BT277" i="12"/>
  <c r="BU277" i="12"/>
  <c r="BV277" i="12"/>
  <c r="BW277" i="12"/>
  <c r="BX277" i="12"/>
  <c r="BY277" i="12"/>
  <c r="BZ277" i="12"/>
  <c r="CA277" i="12"/>
  <c r="CB277" i="12"/>
  <c r="CC277" i="12"/>
  <c r="CD277" i="12"/>
  <c r="CE277" i="12"/>
  <c r="CF277" i="12"/>
  <c r="CG277" i="12"/>
  <c r="CH277" i="12"/>
  <c r="CI277" i="12"/>
  <c r="CJ277" i="12"/>
  <c r="CK277" i="12"/>
  <c r="CL277" i="12"/>
  <c r="CM277" i="12"/>
  <c r="CN277" i="12"/>
  <c r="CO277" i="12"/>
  <c r="CP277" i="12"/>
  <c r="CQ277" i="12"/>
  <c r="CR277" i="12"/>
  <c r="CS277" i="12"/>
  <c r="CT277" i="12"/>
  <c r="CU277" i="12"/>
  <c r="CV277" i="12"/>
  <c r="CW277" i="12"/>
  <c r="CX277" i="12"/>
  <c r="CY277" i="12"/>
  <c r="CZ277" i="12"/>
  <c r="DA277" i="12"/>
  <c r="DB277" i="12"/>
  <c r="DC277" i="12"/>
  <c r="DD277" i="12"/>
  <c r="DE277" i="12"/>
  <c r="DF277" i="12"/>
  <c r="DG277" i="12"/>
  <c r="DH277" i="12"/>
  <c r="DI277" i="12"/>
  <c r="DJ277" i="12"/>
  <c r="DK277" i="12"/>
  <c r="DL277" i="12"/>
  <c r="DM277" i="12"/>
  <c r="DN277" i="12"/>
  <c r="DO277" i="12"/>
  <c r="DP277" i="12"/>
  <c r="DQ277" i="12"/>
  <c r="DR277" i="12"/>
  <c r="DS277" i="12"/>
  <c r="DT277" i="12"/>
  <c r="DU277" i="12"/>
  <c r="DV277" i="12"/>
  <c r="DW277" i="12"/>
  <c r="DX277" i="12"/>
  <c r="DY277" i="12"/>
  <c r="DZ277" i="12"/>
  <c r="EA277" i="12"/>
  <c r="EB277" i="12"/>
  <c r="EC277" i="12"/>
  <c r="ED277" i="12"/>
  <c r="EE277" i="12"/>
  <c r="EF277" i="12"/>
  <c r="EG277" i="12"/>
  <c r="EH277" i="12"/>
  <c r="EI277" i="12"/>
  <c r="EJ277" i="12"/>
  <c r="EK277" i="12"/>
  <c r="EL277" i="12"/>
  <c r="EM277" i="12"/>
  <c r="EN277" i="12"/>
  <c r="EO277" i="12"/>
  <c r="EP277" i="12"/>
  <c r="EQ277" i="12"/>
  <c r="ER277" i="12"/>
  <c r="ES277" i="12"/>
  <c r="ET277" i="12"/>
  <c r="EU277" i="12"/>
  <c r="EV277" i="12"/>
  <c r="EW277" i="12"/>
  <c r="EX277" i="12"/>
  <c r="EY277" i="12"/>
  <c r="EZ277" i="12"/>
  <c r="FA277" i="12"/>
  <c r="FB277" i="12"/>
  <c r="FC277" i="12"/>
  <c r="FD277" i="12"/>
  <c r="FE277" i="12"/>
  <c r="FF277" i="12"/>
  <c r="FG277" i="12"/>
  <c r="FH277" i="12"/>
  <c r="FI277" i="12"/>
  <c r="FJ277" i="12"/>
  <c r="FK277" i="12"/>
  <c r="FL277" i="12"/>
  <c r="FM277" i="12"/>
  <c r="FN277" i="12"/>
  <c r="FO277" i="12"/>
  <c r="FP277" i="12"/>
  <c r="FQ277" i="12"/>
  <c r="FR277" i="12"/>
  <c r="FS277" i="12"/>
  <c r="FT277" i="12"/>
  <c r="FU277" i="12"/>
  <c r="FV277" i="12"/>
  <c r="FW277" i="12"/>
  <c r="FX277" i="12"/>
  <c r="FY277" i="12"/>
  <c r="FZ277" i="12"/>
  <c r="GA277" i="12"/>
  <c r="GB277" i="12"/>
  <c r="GC277" i="12"/>
  <c r="GD277" i="12"/>
  <c r="GE277" i="12"/>
  <c r="GF277" i="12"/>
  <c r="GG277" i="12"/>
  <c r="GH277" i="12"/>
  <c r="GI277" i="12"/>
  <c r="GJ277" i="12"/>
  <c r="GK277" i="12"/>
  <c r="GL277" i="12"/>
  <c r="GM277" i="12"/>
  <c r="GN277" i="12"/>
  <c r="GO277" i="12"/>
  <c r="GP277" i="12"/>
  <c r="GQ277" i="12"/>
  <c r="GR277" i="12"/>
  <c r="GS277" i="12"/>
  <c r="GT277" i="12"/>
  <c r="GU277" i="12"/>
  <c r="GV277" i="12"/>
  <c r="GW277" i="12"/>
  <c r="GX277" i="12"/>
  <c r="GY277" i="12"/>
  <c r="GZ277" i="12"/>
  <c r="HA277" i="12"/>
  <c r="HB277" i="12"/>
  <c r="HC277" i="12"/>
  <c r="HD277" i="12"/>
  <c r="HE277" i="12"/>
  <c r="HF277" i="12"/>
  <c r="HG277" i="12"/>
  <c r="HH277" i="12"/>
  <c r="HI277" i="12"/>
  <c r="HJ277" i="12"/>
  <c r="HK277" i="12"/>
  <c r="HL277" i="12"/>
  <c r="HM277" i="12"/>
  <c r="HN277" i="12"/>
  <c r="HO277" i="12"/>
  <c r="HP277" i="12"/>
  <c r="HQ277" i="12"/>
  <c r="HR277" i="12"/>
  <c r="HS277" i="12"/>
  <c r="HT277" i="12"/>
  <c r="HU277" i="12"/>
  <c r="HV277" i="12"/>
  <c r="HW277" i="12"/>
  <c r="HX277" i="12"/>
  <c r="HY277" i="12"/>
  <c r="HZ277" i="12"/>
  <c r="IA277" i="12"/>
  <c r="IB277" i="12"/>
  <c r="IC277" i="12"/>
  <c r="ID277" i="12"/>
  <c r="IE277" i="12"/>
  <c r="IF277" i="12"/>
  <c r="IG277" i="12"/>
  <c r="IH277" i="12"/>
  <c r="II277" i="12"/>
  <c r="IJ277" i="12"/>
  <c r="IK277" i="12"/>
  <c r="IL277" i="12"/>
  <c r="IM277" i="12"/>
  <c r="IN277" i="12"/>
  <c r="IO277" i="12"/>
  <c r="IP277" i="12"/>
  <c r="IQ277" i="12"/>
  <c r="IR277" i="12"/>
  <c r="IS277" i="12"/>
  <c r="IT277" i="12"/>
  <c r="IU277" i="12"/>
  <c r="IV277" i="12"/>
  <c r="F278" i="12"/>
  <c r="G278" i="12"/>
  <c r="H278" i="12"/>
  <c r="I278" i="12"/>
  <c r="J278" i="12"/>
  <c r="K278" i="12"/>
  <c r="L278" i="12"/>
  <c r="M278" i="12"/>
  <c r="N278" i="12"/>
  <c r="O278" i="12"/>
  <c r="P278" i="12"/>
  <c r="Q278" i="12"/>
  <c r="R278" i="12"/>
  <c r="S278" i="12"/>
  <c r="T278" i="12"/>
  <c r="U278" i="12"/>
  <c r="V278" i="12"/>
  <c r="W278" i="12"/>
  <c r="X278" i="12"/>
  <c r="Y278" i="12"/>
  <c r="Z278" i="12"/>
  <c r="AA278" i="12"/>
  <c r="AB278" i="12"/>
  <c r="AC278" i="12"/>
  <c r="AD278" i="12"/>
  <c r="AE278" i="12"/>
  <c r="AF278" i="12"/>
  <c r="AG278" i="12"/>
  <c r="AH278" i="12"/>
  <c r="AI278" i="12"/>
  <c r="AJ278" i="12"/>
  <c r="AK278" i="12"/>
  <c r="AL278" i="12"/>
  <c r="AM278" i="12"/>
  <c r="AN278" i="12"/>
  <c r="AO278" i="12"/>
  <c r="AP278" i="12"/>
  <c r="AQ278" i="12"/>
  <c r="AR278" i="12"/>
  <c r="AS278" i="12"/>
  <c r="AT278" i="12"/>
  <c r="AU278" i="12"/>
  <c r="AV278" i="12"/>
  <c r="AW278" i="12"/>
  <c r="AX278" i="12"/>
  <c r="AY278" i="12"/>
  <c r="AZ278" i="12"/>
  <c r="BA278" i="12"/>
  <c r="BB278" i="12"/>
  <c r="BC278" i="12"/>
  <c r="BD278" i="12"/>
  <c r="BE278" i="12"/>
  <c r="BF278" i="12"/>
  <c r="BG278" i="12"/>
  <c r="BH278" i="12"/>
  <c r="BI278" i="12"/>
  <c r="BJ278" i="12"/>
  <c r="BK278" i="12"/>
  <c r="BL278" i="12"/>
  <c r="BM278" i="12"/>
  <c r="BN278" i="12"/>
  <c r="BO278" i="12"/>
  <c r="BP278" i="12"/>
  <c r="BQ278" i="12"/>
  <c r="BR278" i="12"/>
  <c r="BS278" i="12"/>
  <c r="BT278" i="12"/>
  <c r="BU278" i="12"/>
  <c r="BV278" i="12"/>
  <c r="BW278" i="12"/>
  <c r="BX278" i="12"/>
  <c r="BY278" i="12"/>
  <c r="BZ278" i="12"/>
  <c r="CA278" i="12"/>
  <c r="CB278" i="12"/>
  <c r="CC278" i="12"/>
  <c r="CD278" i="12"/>
  <c r="CE278" i="12"/>
  <c r="CF278" i="12"/>
  <c r="CG278" i="12"/>
  <c r="CH278" i="12"/>
  <c r="CI278" i="12"/>
  <c r="CJ278" i="12"/>
  <c r="CK278" i="12"/>
  <c r="CL278" i="12"/>
  <c r="CM278" i="12"/>
  <c r="CN278" i="12"/>
  <c r="CO278" i="12"/>
  <c r="CP278" i="12"/>
  <c r="CQ278" i="12"/>
  <c r="CR278" i="12"/>
  <c r="CS278" i="12"/>
  <c r="CT278" i="12"/>
  <c r="CU278" i="12"/>
  <c r="CV278" i="12"/>
  <c r="CW278" i="12"/>
  <c r="CX278" i="12"/>
  <c r="CY278" i="12"/>
  <c r="CZ278" i="12"/>
  <c r="DA278" i="12"/>
  <c r="DB278" i="12"/>
  <c r="DC278" i="12"/>
  <c r="DD278" i="12"/>
  <c r="DE278" i="12"/>
  <c r="DF278" i="12"/>
  <c r="DG278" i="12"/>
  <c r="DH278" i="12"/>
  <c r="DI278" i="12"/>
  <c r="DJ278" i="12"/>
  <c r="DK278" i="12"/>
  <c r="DL278" i="12"/>
  <c r="DM278" i="12"/>
  <c r="DN278" i="12"/>
  <c r="DO278" i="12"/>
  <c r="DP278" i="12"/>
  <c r="DQ278" i="12"/>
  <c r="DR278" i="12"/>
  <c r="DS278" i="12"/>
  <c r="DT278" i="12"/>
  <c r="DU278" i="12"/>
  <c r="DV278" i="12"/>
  <c r="DW278" i="12"/>
  <c r="DX278" i="12"/>
  <c r="DY278" i="12"/>
  <c r="DZ278" i="12"/>
  <c r="EA278" i="12"/>
  <c r="EB278" i="12"/>
  <c r="EC278" i="12"/>
  <c r="ED278" i="12"/>
  <c r="EE278" i="12"/>
  <c r="EF278" i="12"/>
  <c r="EG278" i="12"/>
  <c r="EH278" i="12"/>
  <c r="EI278" i="12"/>
  <c r="EJ278" i="12"/>
  <c r="EK278" i="12"/>
  <c r="EL278" i="12"/>
  <c r="EM278" i="12"/>
  <c r="EN278" i="12"/>
  <c r="EO278" i="12"/>
  <c r="EP278" i="12"/>
  <c r="EQ278" i="12"/>
  <c r="ER278" i="12"/>
  <c r="ES278" i="12"/>
  <c r="ET278" i="12"/>
  <c r="EU278" i="12"/>
  <c r="EV278" i="12"/>
  <c r="EW278" i="12"/>
  <c r="EX278" i="12"/>
  <c r="EY278" i="12"/>
  <c r="EZ278" i="12"/>
  <c r="FA278" i="12"/>
  <c r="FB278" i="12"/>
  <c r="FC278" i="12"/>
  <c r="FD278" i="12"/>
  <c r="FE278" i="12"/>
  <c r="FF278" i="12"/>
  <c r="FG278" i="12"/>
  <c r="FH278" i="12"/>
  <c r="FI278" i="12"/>
  <c r="FJ278" i="12"/>
  <c r="FK278" i="12"/>
  <c r="FL278" i="12"/>
  <c r="FM278" i="12"/>
  <c r="FN278" i="12"/>
  <c r="FO278" i="12"/>
  <c r="FP278" i="12"/>
  <c r="FQ278" i="12"/>
  <c r="FR278" i="12"/>
  <c r="FS278" i="12"/>
  <c r="FT278" i="12"/>
  <c r="FU278" i="12"/>
  <c r="FV278" i="12"/>
  <c r="FW278" i="12"/>
  <c r="FX278" i="12"/>
  <c r="FY278" i="12"/>
  <c r="FZ278" i="12"/>
  <c r="GA278" i="12"/>
  <c r="GB278" i="12"/>
  <c r="GC278" i="12"/>
  <c r="GD278" i="12"/>
  <c r="GE278" i="12"/>
  <c r="GF278" i="12"/>
  <c r="GG278" i="12"/>
  <c r="GH278" i="12"/>
  <c r="GI278" i="12"/>
  <c r="GJ278" i="12"/>
  <c r="GK278" i="12"/>
  <c r="GL278" i="12"/>
  <c r="GM278" i="12"/>
  <c r="GN278" i="12"/>
  <c r="GO278" i="12"/>
  <c r="GP278" i="12"/>
  <c r="GQ278" i="12"/>
  <c r="GR278" i="12"/>
  <c r="GS278" i="12"/>
  <c r="GT278" i="12"/>
  <c r="GU278" i="12"/>
  <c r="GV278" i="12"/>
  <c r="GW278" i="12"/>
  <c r="GX278" i="12"/>
  <c r="GY278" i="12"/>
  <c r="GZ278" i="12"/>
  <c r="HA278" i="12"/>
  <c r="HB278" i="12"/>
  <c r="HC278" i="12"/>
  <c r="HD278" i="12"/>
  <c r="HE278" i="12"/>
  <c r="HF278" i="12"/>
  <c r="HG278" i="12"/>
  <c r="HH278" i="12"/>
  <c r="HI278" i="12"/>
  <c r="HJ278" i="12"/>
  <c r="HK278" i="12"/>
  <c r="HL278" i="12"/>
  <c r="HM278" i="12"/>
  <c r="HN278" i="12"/>
  <c r="HO278" i="12"/>
  <c r="HP278" i="12"/>
  <c r="HQ278" i="12"/>
  <c r="HR278" i="12"/>
  <c r="HS278" i="12"/>
  <c r="HT278" i="12"/>
  <c r="HU278" i="12"/>
  <c r="HV278" i="12"/>
  <c r="HW278" i="12"/>
  <c r="HX278" i="12"/>
  <c r="HY278" i="12"/>
  <c r="HZ278" i="12"/>
  <c r="IA278" i="12"/>
  <c r="IB278" i="12"/>
  <c r="IC278" i="12"/>
  <c r="ID278" i="12"/>
  <c r="IE278" i="12"/>
  <c r="IF278" i="12"/>
  <c r="IG278" i="12"/>
  <c r="IH278" i="12"/>
  <c r="II278" i="12"/>
  <c r="IJ278" i="12"/>
  <c r="IK278" i="12"/>
  <c r="IL278" i="12"/>
  <c r="IM278" i="12"/>
  <c r="IN278" i="12"/>
  <c r="IO278" i="12"/>
  <c r="IP278" i="12"/>
  <c r="IQ278" i="12"/>
  <c r="IR278" i="12"/>
  <c r="IS278" i="12"/>
  <c r="IT278" i="12"/>
  <c r="IU278" i="12"/>
  <c r="IV278" i="12"/>
  <c r="F279" i="12"/>
  <c r="G279" i="12"/>
  <c r="H279" i="12"/>
  <c r="I279" i="12"/>
  <c r="J279" i="12"/>
  <c r="K279" i="12"/>
  <c r="L279" i="12"/>
  <c r="M279" i="12"/>
  <c r="N279" i="12"/>
  <c r="O279" i="12"/>
  <c r="P279" i="12"/>
  <c r="Q279" i="12"/>
  <c r="R279" i="12"/>
  <c r="S279" i="12"/>
  <c r="T279" i="12"/>
  <c r="U279" i="12"/>
  <c r="V279" i="12"/>
  <c r="W279" i="12"/>
  <c r="X279" i="12"/>
  <c r="Y279" i="12"/>
  <c r="Z279" i="12"/>
  <c r="AA279" i="12"/>
  <c r="AB279" i="12"/>
  <c r="AC279" i="12"/>
  <c r="AD279" i="12"/>
  <c r="AE279" i="12"/>
  <c r="AF279" i="12"/>
  <c r="AG279" i="12"/>
  <c r="AH279" i="12"/>
  <c r="AI279" i="12"/>
  <c r="AJ279" i="12"/>
  <c r="AK279" i="12"/>
  <c r="AL279" i="12"/>
  <c r="AM279" i="12"/>
  <c r="AN279" i="12"/>
  <c r="AO279" i="12"/>
  <c r="AP279" i="12"/>
  <c r="AQ279" i="12"/>
  <c r="AR279" i="12"/>
  <c r="AS279" i="12"/>
  <c r="AT279" i="12"/>
  <c r="AU279" i="12"/>
  <c r="AV279" i="12"/>
  <c r="AW279" i="12"/>
  <c r="AX279" i="12"/>
  <c r="AY279" i="12"/>
  <c r="AZ279" i="12"/>
  <c r="BA279" i="12"/>
  <c r="BB279" i="12"/>
  <c r="BC279" i="12"/>
  <c r="BD279" i="12"/>
  <c r="BE279" i="12"/>
  <c r="BF279" i="12"/>
  <c r="BG279" i="12"/>
  <c r="BH279" i="12"/>
  <c r="BI279" i="12"/>
  <c r="BJ279" i="12"/>
  <c r="BK279" i="12"/>
  <c r="BL279" i="12"/>
  <c r="BM279" i="12"/>
  <c r="BN279" i="12"/>
  <c r="BO279" i="12"/>
  <c r="BP279" i="12"/>
  <c r="BQ279" i="12"/>
  <c r="BR279" i="12"/>
  <c r="BS279" i="12"/>
  <c r="BT279" i="12"/>
  <c r="BU279" i="12"/>
  <c r="BV279" i="12"/>
  <c r="BW279" i="12"/>
  <c r="BX279" i="12"/>
  <c r="BY279" i="12"/>
  <c r="BZ279" i="12"/>
  <c r="CA279" i="12"/>
  <c r="CB279" i="12"/>
  <c r="CC279" i="12"/>
  <c r="CD279" i="12"/>
  <c r="CE279" i="12"/>
  <c r="CF279" i="12"/>
  <c r="CG279" i="12"/>
  <c r="CH279" i="12"/>
  <c r="CI279" i="12"/>
  <c r="CJ279" i="12"/>
  <c r="CK279" i="12"/>
  <c r="CL279" i="12"/>
  <c r="CM279" i="12"/>
  <c r="CN279" i="12"/>
  <c r="CO279" i="12"/>
  <c r="CP279" i="12"/>
  <c r="CQ279" i="12"/>
  <c r="CR279" i="12"/>
  <c r="CS279" i="12"/>
  <c r="CT279" i="12"/>
  <c r="CU279" i="12"/>
  <c r="CV279" i="12"/>
  <c r="CW279" i="12"/>
  <c r="CX279" i="12"/>
  <c r="CY279" i="12"/>
  <c r="CZ279" i="12"/>
  <c r="DA279" i="12"/>
  <c r="DB279" i="12"/>
  <c r="DC279" i="12"/>
  <c r="DD279" i="12"/>
  <c r="DE279" i="12"/>
  <c r="DF279" i="12"/>
  <c r="DG279" i="12"/>
  <c r="DH279" i="12"/>
  <c r="DI279" i="12"/>
  <c r="DJ279" i="12"/>
  <c r="DK279" i="12"/>
  <c r="DL279" i="12"/>
  <c r="DM279" i="12"/>
  <c r="DN279" i="12"/>
  <c r="DO279" i="12"/>
  <c r="DP279" i="12"/>
  <c r="DQ279" i="12"/>
  <c r="DR279" i="12"/>
  <c r="DS279" i="12"/>
  <c r="DT279" i="12"/>
  <c r="DU279" i="12"/>
  <c r="DV279" i="12"/>
  <c r="DW279" i="12"/>
  <c r="DX279" i="12"/>
  <c r="DY279" i="12"/>
  <c r="DZ279" i="12"/>
  <c r="EA279" i="12"/>
  <c r="EB279" i="12"/>
  <c r="EC279" i="12"/>
  <c r="ED279" i="12"/>
  <c r="EE279" i="12"/>
  <c r="EF279" i="12"/>
  <c r="EG279" i="12"/>
  <c r="EH279" i="12"/>
  <c r="EI279" i="12"/>
  <c r="EJ279" i="12"/>
  <c r="EK279" i="12"/>
  <c r="EL279" i="12"/>
  <c r="EM279" i="12"/>
  <c r="EN279" i="12"/>
  <c r="EO279" i="12"/>
  <c r="EP279" i="12"/>
  <c r="EQ279" i="12"/>
  <c r="ER279" i="12"/>
  <c r="ES279" i="12"/>
  <c r="ET279" i="12"/>
  <c r="EU279" i="12"/>
  <c r="EV279" i="12"/>
  <c r="EW279" i="12"/>
  <c r="EX279" i="12"/>
  <c r="EY279" i="12"/>
  <c r="EZ279" i="12"/>
  <c r="FA279" i="12"/>
  <c r="FB279" i="12"/>
  <c r="FC279" i="12"/>
  <c r="FD279" i="12"/>
  <c r="FE279" i="12"/>
  <c r="FF279" i="12"/>
  <c r="FG279" i="12"/>
  <c r="FH279" i="12"/>
  <c r="FI279" i="12"/>
  <c r="FJ279" i="12"/>
  <c r="FK279" i="12"/>
  <c r="FL279" i="12"/>
  <c r="FM279" i="12"/>
  <c r="FN279" i="12"/>
  <c r="FO279" i="12"/>
  <c r="FP279" i="12"/>
  <c r="FQ279" i="12"/>
  <c r="FR279" i="12"/>
  <c r="FS279" i="12"/>
  <c r="FT279" i="12"/>
  <c r="FU279" i="12"/>
  <c r="FV279" i="12"/>
  <c r="FW279" i="12"/>
  <c r="FX279" i="12"/>
  <c r="FY279" i="12"/>
  <c r="FZ279" i="12"/>
  <c r="GA279" i="12"/>
  <c r="GB279" i="12"/>
  <c r="GC279" i="12"/>
  <c r="GD279" i="12"/>
  <c r="GE279" i="12"/>
  <c r="GF279" i="12"/>
  <c r="GG279" i="12"/>
  <c r="GH279" i="12"/>
  <c r="GI279" i="12"/>
  <c r="GJ279" i="12"/>
  <c r="GK279" i="12"/>
  <c r="GL279" i="12"/>
  <c r="GM279" i="12"/>
  <c r="GN279" i="12"/>
  <c r="GO279" i="12"/>
  <c r="GP279" i="12"/>
  <c r="GQ279" i="12"/>
  <c r="GR279" i="12"/>
  <c r="GS279" i="12"/>
  <c r="GT279" i="12"/>
  <c r="GU279" i="12"/>
  <c r="GV279" i="12"/>
  <c r="GW279" i="12"/>
  <c r="GX279" i="12"/>
  <c r="GY279" i="12"/>
  <c r="GZ279" i="12"/>
  <c r="HA279" i="12"/>
  <c r="HB279" i="12"/>
  <c r="HC279" i="12"/>
  <c r="HD279" i="12"/>
  <c r="HE279" i="12"/>
  <c r="HF279" i="12"/>
  <c r="HG279" i="12"/>
  <c r="HH279" i="12"/>
  <c r="HI279" i="12"/>
  <c r="HJ279" i="12"/>
  <c r="HK279" i="12"/>
  <c r="HL279" i="12"/>
  <c r="HM279" i="12"/>
  <c r="HN279" i="12"/>
  <c r="HO279" i="12"/>
  <c r="HP279" i="12"/>
  <c r="HQ279" i="12"/>
  <c r="HR279" i="12"/>
  <c r="HS279" i="12"/>
  <c r="HT279" i="12"/>
  <c r="HU279" i="12"/>
  <c r="HV279" i="12"/>
  <c r="HW279" i="12"/>
  <c r="HX279" i="12"/>
  <c r="HY279" i="12"/>
  <c r="HZ279" i="12"/>
  <c r="IA279" i="12"/>
  <c r="IB279" i="12"/>
  <c r="IC279" i="12"/>
  <c r="ID279" i="12"/>
  <c r="IE279" i="12"/>
  <c r="IF279" i="12"/>
  <c r="IG279" i="12"/>
  <c r="IH279" i="12"/>
  <c r="II279" i="12"/>
  <c r="IJ279" i="12"/>
  <c r="IK279" i="12"/>
  <c r="IL279" i="12"/>
  <c r="IM279" i="12"/>
  <c r="IN279" i="12"/>
  <c r="IO279" i="12"/>
  <c r="IP279" i="12"/>
  <c r="IQ279" i="12"/>
  <c r="IR279" i="12"/>
  <c r="IS279" i="12"/>
  <c r="IT279" i="12"/>
  <c r="IU279" i="12"/>
  <c r="IV279" i="12"/>
  <c r="F280" i="12"/>
  <c r="G280" i="12"/>
  <c r="H280" i="12"/>
  <c r="I280" i="12"/>
  <c r="J280" i="12"/>
  <c r="K280" i="12"/>
  <c r="L280" i="12"/>
  <c r="M280" i="12"/>
  <c r="N280" i="12"/>
  <c r="O280" i="12"/>
  <c r="P280" i="12"/>
  <c r="Q280" i="12"/>
  <c r="R280" i="12"/>
  <c r="S280" i="12"/>
  <c r="T280" i="12"/>
  <c r="U280" i="12"/>
  <c r="V280" i="12"/>
  <c r="W280" i="12"/>
  <c r="X280" i="12"/>
  <c r="Y280" i="12"/>
  <c r="Z280" i="12"/>
  <c r="AA280" i="12"/>
  <c r="AB280" i="12"/>
  <c r="AC280" i="12"/>
  <c r="AD280" i="12"/>
  <c r="AE280" i="12"/>
  <c r="AF280" i="12"/>
  <c r="AG280" i="12"/>
  <c r="AH280" i="12"/>
  <c r="AI280" i="12"/>
  <c r="AJ280" i="12"/>
  <c r="AK280" i="12"/>
  <c r="AL280" i="12"/>
  <c r="AM280" i="12"/>
  <c r="AN280" i="12"/>
  <c r="AO280" i="12"/>
  <c r="AP280" i="12"/>
  <c r="AQ280" i="12"/>
  <c r="AR280" i="12"/>
  <c r="AS280" i="12"/>
  <c r="AT280" i="12"/>
  <c r="AU280" i="12"/>
  <c r="AV280" i="12"/>
  <c r="AW280" i="12"/>
  <c r="AX280" i="12"/>
  <c r="AY280" i="12"/>
  <c r="AZ280" i="12"/>
  <c r="BA280" i="12"/>
  <c r="BB280" i="12"/>
  <c r="BC280" i="12"/>
  <c r="BD280" i="12"/>
  <c r="BE280" i="12"/>
  <c r="BF280" i="12"/>
  <c r="BG280" i="12"/>
  <c r="BH280" i="12"/>
  <c r="BI280" i="12"/>
  <c r="BJ280" i="12"/>
  <c r="BK280" i="12"/>
  <c r="BL280" i="12"/>
  <c r="BM280" i="12"/>
  <c r="BN280" i="12"/>
  <c r="BO280" i="12"/>
  <c r="BP280" i="12"/>
  <c r="BQ280" i="12"/>
  <c r="BR280" i="12"/>
  <c r="BS280" i="12"/>
  <c r="BT280" i="12"/>
  <c r="BU280" i="12"/>
  <c r="BV280" i="12"/>
  <c r="BW280" i="12"/>
  <c r="BX280" i="12"/>
  <c r="BY280" i="12"/>
  <c r="BZ280" i="12"/>
  <c r="CA280" i="12"/>
  <c r="CB280" i="12"/>
  <c r="CC280" i="12"/>
  <c r="CD280" i="12"/>
  <c r="CE280" i="12"/>
  <c r="CF280" i="12"/>
  <c r="CG280" i="12"/>
  <c r="CH280" i="12"/>
  <c r="CI280" i="12"/>
  <c r="CJ280" i="12"/>
  <c r="CK280" i="12"/>
  <c r="CL280" i="12"/>
  <c r="CM280" i="12"/>
  <c r="CN280" i="12"/>
  <c r="CO280" i="12"/>
  <c r="CP280" i="12"/>
  <c r="CQ280" i="12"/>
  <c r="CR280" i="12"/>
  <c r="CS280" i="12"/>
  <c r="CT280" i="12"/>
  <c r="CU280" i="12"/>
  <c r="CV280" i="12"/>
  <c r="CW280" i="12"/>
  <c r="CX280" i="12"/>
  <c r="CY280" i="12"/>
  <c r="CZ280" i="12"/>
  <c r="DA280" i="12"/>
  <c r="DB280" i="12"/>
  <c r="DC280" i="12"/>
  <c r="DD280" i="12"/>
  <c r="DE280" i="12"/>
  <c r="DF280" i="12"/>
  <c r="DG280" i="12"/>
  <c r="DH280" i="12"/>
  <c r="DI280" i="12"/>
  <c r="DJ280" i="12"/>
  <c r="DK280" i="12"/>
  <c r="DL280" i="12"/>
  <c r="DM280" i="12"/>
  <c r="DN280" i="12"/>
  <c r="DO280" i="12"/>
  <c r="DP280" i="12"/>
  <c r="DQ280" i="12"/>
  <c r="DR280" i="12"/>
  <c r="DS280" i="12"/>
  <c r="DT280" i="12"/>
  <c r="DU280" i="12"/>
  <c r="DV280" i="12"/>
  <c r="DW280" i="12"/>
  <c r="DX280" i="12"/>
  <c r="DY280" i="12"/>
  <c r="DZ280" i="12"/>
  <c r="EA280" i="12"/>
  <c r="EB280" i="12"/>
  <c r="EC280" i="12"/>
  <c r="ED280" i="12"/>
  <c r="EE280" i="12"/>
  <c r="EF280" i="12"/>
  <c r="EG280" i="12"/>
  <c r="EH280" i="12"/>
  <c r="EI280" i="12"/>
  <c r="EJ280" i="12"/>
  <c r="EK280" i="12"/>
  <c r="EL280" i="12"/>
  <c r="EM280" i="12"/>
  <c r="EN280" i="12"/>
  <c r="EO280" i="12"/>
  <c r="EP280" i="12"/>
  <c r="EQ280" i="12"/>
  <c r="ER280" i="12"/>
  <c r="ES280" i="12"/>
  <c r="ET280" i="12"/>
  <c r="EU280" i="12"/>
  <c r="EV280" i="12"/>
  <c r="EW280" i="12"/>
  <c r="EX280" i="12"/>
  <c r="EY280" i="12"/>
  <c r="EZ280" i="12"/>
  <c r="FA280" i="12"/>
  <c r="FB280" i="12"/>
  <c r="FC280" i="12"/>
  <c r="FD280" i="12"/>
  <c r="FE280" i="12"/>
  <c r="FF280" i="12"/>
  <c r="FG280" i="12"/>
  <c r="FH280" i="12"/>
  <c r="FI280" i="12"/>
  <c r="FJ280" i="12"/>
  <c r="FK280" i="12"/>
  <c r="FL280" i="12"/>
  <c r="FM280" i="12"/>
  <c r="FN280" i="12"/>
  <c r="FO280" i="12"/>
  <c r="FP280" i="12"/>
  <c r="FQ280" i="12"/>
  <c r="FR280" i="12"/>
  <c r="FS280" i="12"/>
  <c r="FT280" i="12"/>
  <c r="FU280" i="12"/>
  <c r="FV280" i="12"/>
  <c r="FW280" i="12"/>
  <c r="FX280" i="12"/>
  <c r="FY280" i="12"/>
  <c r="FZ280" i="12"/>
  <c r="GA280" i="12"/>
  <c r="GB280" i="12"/>
  <c r="GC280" i="12"/>
  <c r="GD280" i="12"/>
  <c r="GE280" i="12"/>
  <c r="GF280" i="12"/>
  <c r="GG280" i="12"/>
  <c r="GH280" i="12"/>
  <c r="GI280" i="12"/>
  <c r="GJ280" i="12"/>
  <c r="GK280" i="12"/>
  <c r="GL280" i="12"/>
  <c r="GM280" i="12"/>
  <c r="GN280" i="12"/>
  <c r="GO280" i="12"/>
  <c r="GP280" i="12"/>
  <c r="GQ280" i="12"/>
  <c r="GR280" i="12"/>
  <c r="GS280" i="12"/>
  <c r="GT280" i="12"/>
  <c r="GU280" i="12"/>
  <c r="GV280" i="12"/>
  <c r="GW280" i="12"/>
  <c r="GX280" i="12"/>
  <c r="GY280" i="12"/>
  <c r="GZ280" i="12"/>
  <c r="HA280" i="12"/>
  <c r="HB280" i="12"/>
  <c r="HC280" i="12"/>
  <c r="HD280" i="12"/>
  <c r="HE280" i="12"/>
  <c r="HF280" i="12"/>
  <c r="HG280" i="12"/>
  <c r="HH280" i="12"/>
  <c r="HI280" i="12"/>
  <c r="HJ280" i="12"/>
  <c r="HK280" i="12"/>
  <c r="HL280" i="12"/>
  <c r="HM280" i="12"/>
  <c r="HN280" i="12"/>
  <c r="HO280" i="12"/>
  <c r="HP280" i="12"/>
  <c r="HQ280" i="12"/>
  <c r="HR280" i="12"/>
  <c r="HS280" i="12"/>
  <c r="HT280" i="12"/>
  <c r="HU280" i="12"/>
  <c r="HV280" i="12"/>
  <c r="HW280" i="12"/>
  <c r="HX280" i="12"/>
  <c r="HY280" i="12"/>
  <c r="HZ280" i="12"/>
  <c r="IA280" i="12"/>
  <c r="IB280" i="12"/>
  <c r="IC280" i="12"/>
  <c r="ID280" i="12"/>
  <c r="IE280" i="12"/>
  <c r="IF280" i="12"/>
  <c r="IG280" i="12"/>
  <c r="IH280" i="12"/>
  <c r="II280" i="12"/>
  <c r="IJ280" i="12"/>
  <c r="IK280" i="12"/>
  <c r="IL280" i="12"/>
  <c r="IM280" i="12"/>
  <c r="IN280" i="12"/>
  <c r="IO280" i="12"/>
  <c r="IP280" i="12"/>
  <c r="IQ280" i="12"/>
  <c r="IR280" i="12"/>
  <c r="IS280" i="12"/>
  <c r="IT280" i="12"/>
  <c r="IU280" i="12"/>
  <c r="IV280" i="12"/>
  <c r="F281" i="12"/>
  <c r="G281" i="12"/>
  <c r="H281" i="12"/>
  <c r="I281" i="12"/>
  <c r="J281" i="12"/>
  <c r="K281" i="12"/>
  <c r="L281" i="12"/>
  <c r="M281" i="12"/>
  <c r="N281" i="12"/>
  <c r="O281" i="12"/>
  <c r="P281" i="12"/>
  <c r="Q281" i="12"/>
  <c r="R281" i="12"/>
  <c r="S281" i="12"/>
  <c r="T281" i="12"/>
  <c r="U281" i="12"/>
  <c r="V281" i="12"/>
  <c r="W281" i="12"/>
  <c r="X281" i="12"/>
  <c r="Y281" i="12"/>
  <c r="Z281" i="12"/>
  <c r="AA281" i="12"/>
  <c r="AB281" i="12"/>
  <c r="AC281" i="12"/>
  <c r="AD281" i="12"/>
  <c r="AE281" i="12"/>
  <c r="AF281" i="12"/>
  <c r="AG281" i="12"/>
  <c r="AH281" i="12"/>
  <c r="AI281" i="12"/>
  <c r="AJ281" i="12"/>
  <c r="AK281" i="12"/>
  <c r="AL281" i="12"/>
  <c r="AM281" i="12"/>
  <c r="AN281" i="12"/>
  <c r="AO281" i="12"/>
  <c r="AP281" i="12"/>
  <c r="AQ281" i="12"/>
  <c r="AR281" i="12"/>
  <c r="AS281" i="12"/>
  <c r="AT281" i="12"/>
  <c r="AU281" i="12"/>
  <c r="AV281" i="12"/>
  <c r="AW281" i="12"/>
  <c r="AX281" i="12"/>
  <c r="AY281" i="12"/>
  <c r="AZ281" i="12"/>
  <c r="BA281" i="12"/>
  <c r="BB281" i="12"/>
  <c r="BC281" i="12"/>
  <c r="BD281" i="12"/>
  <c r="BE281" i="12"/>
  <c r="BF281" i="12"/>
  <c r="BG281" i="12"/>
  <c r="BH281" i="12"/>
  <c r="BI281" i="12"/>
  <c r="BJ281" i="12"/>
  <c r="BK281" i="12"/>
  <c r="BL281" i="12"/>
  <c r="BM281" i="12"/>
  <c r="BN281" i="12"/>
  <c r="BO281" i="12"/>
  <c r="BP281" i="12"/>
  <c r="BQ281" i="12"/>
  <c r="BR281" i="12"/>
  <c r="BS281" i="12"/>
  <c r="BT281" i="12"/>
  <c r="BU281" i="12"/>
  <c r="BV281" i="12"/>
  <c r="BW281" i="12"/>
  <c r="BX281" i="12"/>
  <c r="BY281" i="12"/>
  <c r="BZ281" i="12"/>
  <c r="CA281" i="12"/>
  <c r="CB281" i="12"/>
  <c r="CC281" i="12"/>
  <c r="CD281" i="12"/>
  <c r="CE281" i="12"/>
  <c r="CF281" i="12"/>
  <c r="CG281" i="12"/>
  <c r="CH281" i="12"/>
  <c r="CI281" i="12"/>
  <c r="CJ281" i="12"/>
  <c r="CK281" i="12"/>
  <c r="CL281" i="12"/>
  <c r="CM281" i="12"/>
  <c r="CN281" i="12"/>
  <c r="CO281" i="12"/>
  <c r="CP281" i="12"/>
  <c r="CQ281" i="12"/>
  <c r="CR281" i="12"/>
  <c r="CS281" i="12"/>
  <c r="CT281" i="12"/>
  <c r="CU281" i="12"/>
  <c r="CV281" i="12"/>
  <c r="CW281" i="12"/>
  <c r="CX281" i="12"/>
  <c r="CY281" i="12"/>
  <c r="CZ281" i="12"/>
  <c r="DA281" i="12"/>
  <c r="DB281" i="12"/>
  <c r="DC281" i="12"/>
  <c r="DD281" i="12"/>
  <c r="DE281" i="12"/>
  <c r="DF281" i="12"/>
  <c r="DG281" i="12"/>
  <c r="DH281" i="12"/>
  <c r="DI281" i="12"/>
  <c r="DJ281" i="12"/>
  <c r="DK281" i="12"/>
  <c r="DL281" i="12"/>
  <c r="DM281" i="12"/>
  <c r="DN281" i="12"/>
  <c r="DO281" i="12"/>
  <c r="DP281" i="12"/>
  <c r="DQ281" i="12"/>
  <c r="DR281" i="12"/>
  <c r="DS281" i="12"/>
  <c r="DT281" i="12"/>
  <c r="DU281" i="12"/>
  <c r="DV281" i="12"/>
  <c r="DW281" i="12"/>
  <c r="DX281" i="12"/>
  <c r="DY281" i="12"/>
  <c r="DZ281" i="12"/>
  <c r="EA281" i="12"/>
  <c r="EB281" i="12"/>
  <c r="EC281" i="12"/>
  <c r="ED281" i="12"/>
  <c r="EE281" i="12"/>
  <c r="EF281" i="12"/>
  <c r="EG281" i="12"/>
  <c r="EH281" i="12"/>
  <c r="EI281" i="12"/>
  <c r="EJ281" i="12"/>
  <c r="EK281" i="12"/>
  <c r="EL281" i="12"/>
  <c r="EM281" i="12"/>
  <c r="EN281" i="12"/>
  <c r="EO281" i="12"/>
  <c r="EP281" i="12"/>
  <c r="EQ281" i="12"/>
  <c r="ER281" i="12"/>
  <c r="ES281" i="12"/>
  <c r="ET281" i="12"/>
  <c r="EU281" i="12"/>
  <c r="EV281" i="12"/>
  <c r="EW281" i="12"/>
  <c r="EX281" i="12"/>
  <c r="EY281" i="12"/>
  <c r="EZ281" i="12"/>
  <c r="FA281" i="12"/>
  <c r="FB281" i="12"/>
  <c r="FC281" i="12"/>
  <c r="FD281" i="12"/>
  <c r="FE281" i="12"/>
  <c r="FF281" i="12"/>
  <c r="FG281" i="12"/>
  <c r="FH281" i="12"/>
  <c r="FI281" i="12"/>
  <c r="FJ281" i="12"/>
  <c r="FK281" i="12"/>
  <c r="FL281" i="12"/>
  <c r="FM281" i="12"/>
  <c r="FN281" i="12"/>
  <c r="FO281" i="12"/>
  <c r="FP281" i="12"/>
  <c r="FQ281" i="12"/>
  <c r="FR281" i="12"/>
  <c r="FS281" i="12"/>
  <c r="FT281" i="12"/>
  <c r="FU281" i="12"/>
  <c r="FV281" i="12"/>
  <c r="FW281" i="12"/>
  <c r="FX281" i="12"/>
  <c r="FY281" i="12"/>
  <c r="FZ281" i="12"/>
  <c r="GA281" i="12"/>
  <c r="GB281" i="12"/>
  <c r="GC281" i="12"/>
  <c r="GD281" i="12"/>
  <c r="GE281" i="12"/>
  <c r="GF281" i="12"/>
  <c r="GG281" i="12"/>
  <c r="GH281" i="12"/>
  <c r="GI281" i="12"/>
  <c r="GJ281" i="12"/>
  <c r="GK281" i="12"/>
  <c r="GL281" i="12"/>
  <c r="GM281" i="12"/>
  <c r="GN281" i="12"/>
  <c r="GO281" i="12"/>
  <c r="GP281" i="12"/>
  <c r="GQ281" i="12"/>
  <c r="GR281" i="12"/>
  <c r="GS281" i="12"/>
  <c r="GT281" i="12"/>
  <c r="GU281" i="12"/>
  <c r="GV281" i="12"/>
  <c r="GW281" i="12"/>
  <c r="GX281" i="12"/>
  <c r="GY281" i="12"/>
  <c r="GZ281" i="12"/>
  <c r="HA281" i="12"/>
  <c r="HB281" i="12"/>
  <c r="HC281" i="12"/>
  <c r="HD281" i="12"/>
  <c r="HE281" i="12"/>
  <c r="HF281" i="12"/>
  <c r="HG281" i="12"/>
  <c r="HH281" i="12"/>
  <c r="HI281" i="12"/>
  <c r="HJ281" i="12"/>
  <c r="HK281" i="12"/>
  <c r="HL281" i="12"/>
  <c r="HM281" i="12"/>
  <c r="HN281" i="12"/>
  <c r="HO281" i="12"/>
  <c r="HP281" i="12"/>
  <c r="HQ281" i="12"/>
  <c r="HR281" i="12"/>
  <c r="HS281" i="12"/>
  <c r="HT281" i="12"/>
  <c r="HU281" i="12"/>
  <c r="HV281" i="12"/>
  <c r="HW281" i="12"/>
  <c r="HX281" i="12"/>
  <c r="HY281" i="12"/>
  <c r="HZ281" i="12"/>
  <c r="IA281" i="12"/>
  <c r="IB281" i="12"/>
  <c r="IC281" i="12"/>
  <c r="ID281" i="12"/>
  <c r="IE281" i="12"/>
  <c r="IF281" i="12"/>
  <c r="IG281" i="12"/>
  <c r="IH281" i="12"/>
  <c r="II281" i="12"/>
  <c r="IJ281" i="12"/>
  <c r="IK281" i="12"/>
  <c r="IL281" i="12"/>
  <c r="IM281" i="12"/>
  <c r="IN281" i="12"/>
  <c r="IO281" i="12"/>
  <c r="IP281" i="12"/>
  <c r="IQ281" i="12"/>
  <c r="IR281" i="12"/>
  <c r="IS281" i="12"/>
  <c r="IT281" i="12"/>
  <c r="IU281" i="12"/>
  <c r="IV281" i="12"/>
  <c r="F282" i="12"/>
  <c r="G282" i="12"/>
  <c r="H282" i="12"/>
  <c r="I282" i="12"/>
  <c r="J282" i="12"/>
  <c r="K282" i="12"/>
  <c r="L282" i="12"/>
  <c r="M282" i="12"/>
  <c r="N282" i="12"/>
  <c r="O282" i="12"/>
  <c r="P282" i="12"/>
  <c r="Q282" i="12"/>
  <c r="R282" i="12"/>
  <c r="S282" i="12"/>
  <c r="T282" i="12"/>
  <c r="U282" i="12"/>
  <c r="V282" i="12"/>
  <c r="W282" i="12"/>
  <c r="X282" i="12"/>
  <c r="Y282" i="12"/>
  <c r="Z282" i="12"/>
  <c r="AA282" i="12"/>
  <c r="AB282" i="12"/>
  <c r="AC282" i="12"/>
  <c r="AD282" i="12"/>
  <c r="AE282" i="12"/>
  <c r="AF282" i="12"/>
  <c r="AG282" i="12"/>
  <c r="AH282" i="12"/>
  <c r="AI282" i="12"/>
  <c r="AJ282" i="12"/>
  <c r="AK282" i="12"/>
  <c r="AL282" i="12"/>
  <c r="AM282" i="12"/>
  <c r="AN282" i="12"/>
  <c r="AO282" i="12"/>
  <c r="AP282" i="12"/>
  <c r="AQ282" i="12"/>
  <c r="AR282" i="12"/>
  <c r="AS282" i="12"/>
  <c r="AT282" i="12"/>
  <c r="AU282" i="12"/>
  <c r="AV282" i="12"/>
  <c r="AW282" i="12"/>
  <c r="AX282" i="12"/>
  <c r="AY282" i="12"/>
  <c r="AZ282" i="12"/>
  <c r="BA282" i="12"/>
  <c r="BB282" i="12"/>
  <c r="BC282" i="12"/>
  <c r="BD282" i="12"/>
  <c r="BE282" i="12"/>
  <c r="BF282" i="12"/>
  <c r="BG282" i="12"/>
  <c r="BH282" i="12"/>
  <c r="BI282" i="12"/>
  <c r="BJ282" i="12"/>
  <c r="BK282" i="12"/>
  <c r="BL282" i="12"/>
  <c r="BM282" i="12"/>
  <c r="BN282" i="12"/>
  <c r="BO282" i="12"/>
  <c r="BP282" i="12"/>
  <c r="BQ282" i="12"/>
  <c r="BR282" i="12"/>
  <c r="BS282" i="12"/>
  <c r="BT282" i="12"/>
  <c r="BU282" i="12"/>
  <c r="BV282" i="12"/>
  <c r="BW282" i="12"/>
  <c r="BX282" i="12"/>
  <c r="BY282" i="12"/>
  <c r="BZ282" i="12"/>
  <c r="CA282" i="12"/>
  <c r="CB282" i="12"/>
  <c r="CC282" i="12"/>
  <c r="CD282" i="12"/>
  <c r="CE282" i="12"/>
  <c r="CF282" i="12"/>
  <c r="CG282" i="12"/>
  <c r="CH282" i="12"/>
  <c r="CI282" i="12"/>
  <c r="CJ282" i="12"/>
  <c r="CK282" i="12"/>
  <c r="CL282" i="12"/>
  <c r="CM282" i="12"/>
  <c r="CN282" i="12"/>
  <c r="CO282" i="12"/>
  <c r="CP282" i="12"/>
  <c r="CQ282" i="12"/>
  <c r="CR282" i="12"/>
  <c r="CS282" i="12"/>
  <c r="CT282" i="12"/>
  <c r="CU282" i="12"/>
  <c r="CV282" i="12"/>
  <c r="CW282" i="12"/>
  <c r="CX282" i="12"/>
  <c r="CY282" i="12"/>
  <c r="CZ282" i="12"/>
  <c r="DA282" i="12"/>
  <c r="DB282" i="12"/>
  <c r="DC282" i="12"/>
  <c r="DD282" i="12"/>
  <c r="DE282" i="12"/>
  <c r="DF282" i="12"/>
  <c r="DG282" i="12"/>
  <c r="DH282" i="12"/>
  <c r="DI282" i="12"/>
  <c r="DJ282" i="12"/>
  <c r="DK282" i="12"/>
  <c r="DL282" i="12"/>
  <c r="DM282" i="12"/>
  <c r="DN282" i="12"/>
  <c r="DO282" i="12"/>
  <c r="DP282" i="12"/>
  <c r="DQ282" i="12"/>
  <c r="DR282" i="12"/>
  <c r="DS282" i="12"/>
  <c r="DT282" i="12"/>
  <c r="DU282" i="12"/>
  <c r="DV282" i="12"/>
  <c r="DW282" i="12"/>
  <c r="DX282" i="12"/>
  <c r="DY282" i="12"/>
  <c r="DZ282" i="12"/>
  <c r="EA282" i="12"/>
  <c r="EB282" i="12"/>
  <c r="EC282" i="12"/>
  <c r="ED282" i="12"/>
  <c r="EE282" i="12"/>
  <c r="EF282" i="12"/>
  <c r="EG282" i="12"/>
  <c r="EH282" i="12"/>
  <c r="EI282" i="12"/>
  <c r="EJ282" i="12"/>
  <c r="EK282" i="12"/>
  <c r="EL282" i="12"/>
  <c r="EM282" i="12"/>
  <c r="EN282" i="12"/>
  <c r="EO282" i="12"/>
  <c r="EP282" i="12"/>
  <c r="EQ282" i="12"/>
  <c r="ER282" i="12"/>
  <c r="ES282" i="12"/>
  <c r="ET282" i="12"/>
  <c r="EU282" i="12"/>
  <c r="EV282" i="12"/>
  <c r="EW282" i="12"/>
  <c r="EX282" i="12"/>
  <c r="EY282" i="12"/>
  <c r="EZ282" i="12"/>
  <c r="FA282" i="12"/>
  <c r="FB282" i="12"/>
  <c r="FC282" i="12"/>
  <c r="FD282" i="12"/>
  <c r="FE282" i="12"/>
  <c r="FF282" i="12"/>
  <c r="FG282" i="12"/>
  <c r="FH282" i="12"/>
  <c r="FI282" i="12"/>
  <c r="FJ282" i="12"/>
  <c r="FK282" i="12"/>
  <c r="FL282" i="12"/>
  <c r="FM282" i="12"/>
  <c r="FN282" i="12"/>
  <c r="FO282" i="12"/>
  <c r="FP282" i="12"/>
  <c r="FQ282" i="12"/>
  <c r="FR282" i="12"/>
  <c r="FS282" i="12"/>
  <c r="FT282" i="12"/>
  <c r="FU282" i="12"/>
  <c r="FV282" i="12"/>
  <c r="FW282" i="12"/>
  <c r="FX282" i="12"/>
  <c r="FY282" i="12"/>
  <c r="FZ282" i="12"/>
  <c r="GA282" i="12"/>
  <c r="GB282" i="12"/>
  <c r="GC282" i="12"/>
  <c r="GD282" i="12"/>
  <c r="GE282" i="12"/>
  <c r="GF282" i="12"/>
  <c r="GG282" i="12"/>
  <c r="GH282" i="12"/>
  <c r="GI282" i="12"/>
  <c r="GJ282" i="12"/>
  <c r="GK282" i="12"/>
  <c r="GL282" i="12"/>
  <c r="GM282" i="12"/>
  <c r="GN282" i="12"/>
  <c r="GO282" i="12"/>
  <c r="GP282" i="12"/>
  <c r="GQ282" i="12"/>
  <c r="GR282" i="12"/>
  <c r="GS282" i="12"/>
  <c r="GT282" i="12"/>
  <c r="GU282" i="12"/>
  <c r="GV282" i="12"/>
  <c r="GW282" i="12"/>
  <c r="GX282" i="12"/>
  <c r="GY282" i="12"/>
  <c r="GZ282" i="12"/>
  <c r="HA282" i="12"/>
  <c r="HB282" i="12"/>
  <c r="HC282" i="12"/>
  <c r="HD282" i="12"/>
  <c r="HE282" i="12"/>
  <c r="HF282" i="12"/>
  <c r="HG282" i="12"/>
  <c r="HH282" i="12"/>
  <c r="HI282" i="12"/>
  <c r="HJ282" i="12"/>
  <c r="HK282" i="12"/>
  <c r="HL282" i="12"/>
  <c r="HM282" i="12"/>
  <c r="HN282" i="12"/>
  <c r="HO282" i="12"/>
  <c r="HP282" i="12"/>
  <c r="HQ282" i="12"/>
  <c r="HR282" i="12"/>
  <c r="HS282" i="12"/>
  <c r="HT282" i="12"/>
  <c r="HU282" i="12"/>
  <c r="HV282" i="12"/>
  <c r="HW282" i="12"/>
  <c r="HX282" i="12"/>
  <c r="HY282" i="12"/>
  <c r="HZ282" i="12"/>
  <c r="IA282" i="12"/>
  <c r="IB282" i="12"/>
  <c r="IC282" i="12"/>
  <c r="ID282" i="12"/>
  <c r="IE282" i="12"/>
  <c r="IF282" i="12"/>
  <c r="IG282" i="12"/>
  <c r="IH282" i="12"/>
  <c r="II282" i="12"/>
  <c r="IJ282" i="12"/>
  <c r="IK282" i="12"/>
  <c r="IL282" i="12"/>
  <c r="IM282" i="12"/>
  <c r="IN282" i="12"/>
  <c r="IO282" i="12"/>
  <c r="IP282" i="12"/>
  <c r="IQ282" i="12"/>
  <c r="IR282" i="12"/>
  <c r="IS282" i="12"/>
  <c r="IT282" i="12"/>
  <c r="IU282" i="12"/>
  <c r="IV282" i="12"/>
  <c r="F283" i="12"/>
  <c r="G283" i="12"/>
  <c r="H283" i="12"/>
  <c r="I283" i="12"/>
  <c r="J283" i="12"/>
  <c r="K283" i="12"/>
  <c r="L283" i="12"/>
  <c r="M283" i="12"/>
  <c r="N283" i="12"/>
  <c r="O283" i="12"/>
  <c r="P283" i="12"/>
  <c r="Q283" i="12"/>
  <c r="R283" i="12"/>
  <c r="S283" i="12"/>
  <c r="T283" i="12"/>
  <c r="U283" i="12"/>
  <c r="V283" i="12"/>
  <c r="W283" i="12"/>
  <c r="X283" i="12"/>
  <c r="Y283" i="12"/>
  <c r="Z283" i="12"/>
  <c r="AA283" i="12"/>
  <c r="AB283" i="12"/>
  <c r="AC283" i="12"/>
  <c r="AD283" i="12"/>
  <c r="AE283" i="12"/>
  <c r="AF283" i="12"/>
  <c r="AG283" i="12"/>
  <c r="AH283" i="12"/>
  <c r="AI283" i="12"/>
  <c r="AJ283" i="12"/>
  <c r="AK283" i="12"/>
  <c r="AL283" i="12"/>
  <c r="AM283" i="12"/>
  <c r="AN283" i="12"/>
  <c r="AO283" i="12"/>
  <c r="AP283" i="12"/>
  <c r="AQ283" i="12"/>
  <c r="AR283" i="12"/>
  <c r="AS283" i="12"/>
  <c r="AT283" i="12"/>
  <c r="AU283" i="12"/>
  <c r="AV283" i="12"/>
  <c r="AW283" i="12"/>
  <c r="AX283" i="12"/>
  <c r="AY283" i="12"/>
  <c r="AZ283" i="12"/>
  <c r="BA283" i="12"/>
  <c r="BB283" i="12"/>
  <c r="BC283" i="12"/>
  <c r="BD283" i="12"/>
  <c r="BE283" i="12"/>
  <c r="BF283" i="12"/>
  <c r="BG283" i="12"/>
  <c r="BH283" i="12"/>
  <c r="BI283" i="12"/>
  <c r="BJ283" i="12"/>
  <c r="BK283" i="12"/>
  <c r="BL283" i="12"/>
  <c r="BM283" i="12"/>
  <c r="BN283" i="12"/>
  <c r="BO283" i="12"/>
  <c r="BP283" i="12"/>
  <c r="BQ283" i="12"/>
  <c r="BR283" i="12"/>
  <c r="BS283" i="12"/>
  <c r="BT283" i="12"/>
  <c r="BU283" i="12"/>
  <c r="BV283" i="12"/>
  <c r="BW283" i="12"/>
  <c r="BX283" i="12"/>
  <c r="BY283" i="12"/>
  <c r="BZ283" i="12"/>
  <c r="CA283" i="12"/>
  <c r="CB283" i="12"/>
  <c r="CC283" i="12"/>
  <c r="CD283" i="12"/>
  <c r="CE283" i="12"/>
  <c r="CF283" i="12"/>
  <c r="CG283" i="12"/>
  <c r="CH283" i="12"/>
  <c r="CI283" i="12"/>
  <c r="CJ283" i="12"/>
  <c r="CK283" i="12"/>
  <c r="CL283" i="12"/>
  <c r="CM283" i="12"/>
  <c r="CN283" i="12"/>
  <c r="CO283" i="12"/>
  <c r="CP283" i="12"/>
  <c r="CQ283" i="12"/>
  <c r="CR283" i="12"/>
  <c r="CS283" i="12"/>
  <c r="CT283" i="12"/>
  <c r="CU283" i="12"/>
  <c r="CV283" i="12"/>
  <c r="CW283" i="12"/>
  <c r="CX283" i="12"/>
  <c r="CY283" i="12"/>
  <c r="CZ283" i="12"/>
  <c r="DA283" i="12"/>
  <c r="DB283" i="12"/>
  <c r="DC283" i="12"/>
  <c r="DD283" i="12"/>
  <c r="DE283" i="12"/>
  <c r="DF283" i="12"/>
  <c r="DG283" i="12"/>
  <c r="DH283" i="12"/>
  <c r="DI283" i="12"/>
  <c r="DJ283" i="12"/>
  <c r="DK283" i="12"/>
  <c r="DL283" i="12"/>
  <c r="DM283" i="12"/>
  <c r="DN283" i="12"/>
  <c r="DO283" i="12"/>
  <c r="DP283" i="12"/>
  <c r="DQ283" i="12"/>
  <c r="DR283" i="12"/>
  <c r="DS283" i="12"/>
  <c r="DT283" i="12"/>
  <c r="DU283" i="12"/>
  <c r="DV283" i="12"/>
  <c r="DW283" i="12"/>
  <c r="DX283" i="12"/>
  <c r="DY283" i="12"/>
  <c r="DZ283" i="12"/>
  <c r="EA283" i="12"/>
  <c r="EB283" i="12"/>
  <c r="EC283" i="12"/>
  <c r="ED283" i="12"/>
  <c r="EE283" i="12"/>
  <c r="EF283" i="12"/>
  <c r="EG283" i="12"/>
  <c r="EH283" i="12"/>
  <c r="EI283" i="12"/>
  <c r="EJ283" i="12"/>
  <c r="EK283" i="12"/>
  <c r="EL283" i="12"/>
  <c r="EM283" i="12"/>
  <c r="EN283" i="12"/>
  <c r="EO283" i="12"/>
  <c r="EP283" i="12"/>
  <c r="EQ283" i="12"/>
  <c r="ER283" i="12"/>
  <c r="ES283" i="12"/>
  <c r="ET283" i="12"/>
  <c r="EU283" i="12"/>
  <c r="EV283" i="12"/>
  <c r="EW283" i="12"/>
  <c r="EX283" i="12"/>
  <c r="EY283" i="12"/>
  <c r="EZ283" i="12"/>
  <c r="FA283" i="12"/>
  <c r="FB283" i="12"/>
  <c r="FC283" i="12"/>
  <c r="FD283" i="12"/>
  <c r="FE283" i="12"/>
  <c r="FF283" i="12"/>
  <c r="FG283" i="12"/>
  <c r="FH283" i="12"/>
  <c r="FI283" i="12"/>
  <c r="FJ283" i="12"/>
  <c r="FK283" i="12"/>
  <c r="FL283" i="12"/>
  <c r="FM283" i="12"/>
  <c r="FN283" i="12"/>
  <c r="FO283" i="12"/>
  <c r="FP283" i="12"/>
  <c r="FQ283" i="12"/>
  <c r="FR283" i="12"/>
  <c r="FS283" i="12"/>
  <c r="FT283" i="12"/>
  <c r="FU283" i="12"/>
  <c r="FV283" i="12"/>
  <c r="FW283" i="12"/>
  <c r="FX283" i="12"/>
  <c r="FY283" i="12"/>
  <c r="FZ283" i="12"/>
  <c r="GA283" i="12"/>
  <c r="GB283" i="12"/>
  <c r="GC283" i="12"/>
  <c r="GD283" i="12"/>
  <c r="GE283" i="12"/>
  <c r="GF283" i="12"/>
  <c r="GG283" i="12"/>
  <c r="GH283" i="12"/>
  <c r="GI283" i="12"/>
  <c r="GJ283" i="12"/>
  <c r="GK283" i="12"/>
  <c r="GL283" i="12"/>
  <c r="GM283" i="12"/>
  <c r="GN283" i="12"/>
  <c r="GO283" i="12"/>
  <c r="GP283" i="12"/>
  <c r="GQ283" i="12"/>
  <c r="GR283" i="12"/>
  <c r="GS283" i="12"/>
  <c r="GT283" i="12"/>
  <c r="GU283" i="12"/>
  <c r="GV283" i="12"/>
  <c r="GW283" i="12"/>
  <c r="GX283" i="12"/>
  <c r="GY283" i="12"/>
  <c r="GZ283" i="12"/>
  <c r="HA283" i="12"/>
  <c r="HB283" i="12"/>
  <c r="HC283" i="12"/>
  <c r="HD283" i="12"/>
  <c r="HE283" i="12"/>
  <c r="HF283" i="12"/>
  <c r="HG283" i="12"/>
  <c r="HH283" i="12"/>
  <c r="HI283" i="12"/>
  <c r="HJ283" i="12"/>
  <c r="HK283" i="12"/>
  <c r="HL283" i="12"/>
  <c r="HM283" i="12"/>
  <c r="HN283" i="12"/>
  <c r="HO283" i="12"/>
  <c r="HP283" i="12"/>
  <c r="HQ283" i="12"/>
  <c r="HR283" i="12"/>
  <c r="HS283" i="12"/>
  <c r="HT283" i="12"/>
  <c r="HU283" i="12"/>
  <c r="HV283" i="12"/>
  <c r="HW283" i="12"/>
  <c r="HX283" i="12"/>
  <c r="HY283" i="12"/>
  <c r="HZ283" i="12"/>
  <c r="IA283" i="12"/>
  <c r="IB283" i="12"/>
  <c r="IC283" i="12"/>
  <c r="ID283" i="12"/>
  <c r="IE283" i="12"/>
  <c r="IF283" i="12"/>
  <c r="IG283" i="12"/>
  <c r="IH283" i="12"/>
  <c r="II283" i="12"/>
  <c r="IJ283" i="12"/>
  <c r="IK283" i="12"/>
  <c r="IL283" i="12"/>
  <c r="IM283" i="12"/>
  <c r="IN283" i="12"/>
  <c r="IO283" i="12"/>
  <c r="IP283" i="12"/>
  <c r="IQ283" i="12"/>
  <c r="IR283" i="12"/>
  <c r="IS283" i="12"/>
  <c r="IT283" i="12"/>
  <c r="IU283" i="12"/>
  <c r="IV283" i="12"/>
  <c r="F284" i="12"/>
  <c r="G284" i="12"/>
  <c r="H284" i="12"/>
  <c r="I284" i="12"/>
  <c r="J284" i="12"/>
  <c r="K284" i="12"/>
  <c r="L284" i="12"/>
  <c r="M284" i="12"/>
  <c r="N284" i="12"/>
  <c r="O284" i="12"/>
  <c r="P284" i="12"/>
  <c r="Q284" i="12"/>
  <c r="R284" i="12"/>
  <c r="S284" i="12"/>
  <c r="T284" i="12"/>
  <c r="U284" i="12"/>
  <c r="V284" i="12"/>
  <c r="W284" i="12"/>
  <c r="X284" i="12"/>
  <c r="Y284" i="12"/>
  <c r="Z284" i="12"/>
  <c r="AA284" i="12"/>
  <c r="AB284" i="12"/>
  <c r="AC284" i="12"/>
  <c r="AD284" i="12"/>
  <c r="AE284" i="12"/>
  <c r="AF284" i="12"/>
  <c r="AG284" i="12"/>
  <c r="AH284" i="12"/>
  <c r="AI284" i="12"/>
  <c r="AJ284" i="12"/>
  <c r="AK284" i="12"/>
  <c r="AL284" i="12"/>
  <c r="AM284" i="12"/>
  <c r="AN284" i="12"/>
  <c r="AO284" i="12"/>
  <c r="AP284" i="12"/>
  <c r="AQ284" i="12"/>
  <c r="AR284" i="12"/>
  <c r="AS284" i="12"/>
  <c r="AT284" i="12"/>
  <c r="AU284" i="12"/>
  <c r="AV284" i="12"/>
  <c r="AW284" i="12"/>
  <c r="AX284" i="12"/>
  <c r="AY284" i="12"/>
  <c r="AZ284" i="12"/>
  <c r="BA284" i="12"/>
  <c r="BB284" i="12"/>
  <c r="BC284" i="12"/>
  <c r="BD284" i="12"/>
  <c r="BE284" i="12"/>
  <c r="BF284" i="12"/>
  <c r="BG284" i="12"/>
  <c r="BH284" i="12"/>
  <c r="BI284" i="12"/>
  <c r="BJ284" i="12"/>
  <c r="BK284" i="12"/>
  <c r="BL284" i="12"/>
  <c r="BM284" i="12"/>
  <c r="BN284" i="12"/>
  <c r="BO284" i="12"/>
  <c r="BP284" i="12"/>
  <c r="BQ284" i="12"/>
  <c r="BR284" i="12"/>
  <c r="BS284" i="12"/>
  <c r="BT284" i="12"/>
  <c r="BU284" i="12"/>
  <c r="BV284" i="12"/>
  <c r="BW284" i="12"/>
  <c r="BX284" i="12"/>
  <c r="BY284" i="12"/>
  <c r="BZ284" i="12"/>
  <c r="CA284" i="12"/>
  <c r="CB284" i="12"/>
  <c r="CC284" i="12"/>
  <c r="CD284" i="12"/>
  <c r="CE284" i="12"/>
  <c r="CF284" i="12"/>
  <c r="CG284" i="12"/>
  <c r="CH284" i="12"/>
  <c r="CI284" i="12"/>
  <c r="CJ284" i="12"/>
  <c r="CK284" i="12"/>
  <c r="CL284" i="12"/>
  <c r="CM284" i="12"/>
  <c r="CN284" i="12"/>
  <c r="CO284" i="12"/>
  <c r="CP284" i="12"/>
  <c r="CQ284" i="12"/>
  <c r="CR284" i="12"/>
  <c r="CS284" i="12"/>
  <c r="CT284" i="12"/>
  <c r="CU284" i="12"/>
  <c r="CV284" i="12"/>
  <c r="CW284" i="12"/>
  <c r="CX284" i="12"/>
  <c r="CY284" i="12"/>
  <c r="CZ284" i="12"/>
  <c r="DA284" i="12"/>
  <c r="DB284" i="12"/>
  <c r="DC284" i="12"/>
  <c r="DD284" i="12"/>
  <c r="DE284" i="12"/>
  <c r="DF284" i="12"/>
  <c r="DG284" i="12"/>
  <c r="DH284" i="12"/>
  <c r="DI284" i="12"/>
  <c r="DJ284" i="12"/>
  <c r="DK284" i="12"/>
  <c r="DL284" i="12"/>
  <c r="DM284" i="12"/>
  <c r="DN284" i="12"/>
  <c r="DO284" i="12"/>
  <c r="DP284" i="12"/>
  <c r="DQ284" i="12"/>
  <c r="DR284" i="12"/>
  <c r="DS284" i="12"/>
  <c r="DT284" i="12"/>
  <c r="DU284" i="12"/>
  <c r="DV284" i="12"/>
  <c r="DW284" i="12"/>
  <c r="DX284" i="12"/>
  <c r="DY284" i="12"/>
  <c r="DZ284" i="12"/>
  <c r="EA284" i="12"/>
  <c r="EB284" i="12"/>
  <c r="EC284" i="12"/>
  <c r="ED284" i="12"/>
  <c r="EE284" i="12"/>
  <c r="EF284" i="12"/>
  <c r="EG284" i="12"/>
  <c r="EH284" i="12"/>
  <c r="EI284" i="12"/>
  <c r="EJ284" i="12"/>
  <c r="EK284" i="12"/>
  <c r="EL284" i="12"/>
  <c r="EM284" i="12"/>
  <c r="EN284" i="12"/>
  <c r="EO284" i="12"/>
  <c r="EP284" i="12"/>
  <c r="EQ284" i="12"/>
  <c r="ER284" i="12"/>
  <c r="ES284" i="12"/>
  <c r="ET284" i="12"/>
  <c r="EU284" i="12"/>
  <c r="EV284" i="12"/>
  <c r="EW284" i="12"/>
  <c r="EX284" i="12"/>
  <c r="EY284" i="12"/>
  <c r="EZ284" i="12"/>
  <c r="FA284" i="12"/>
  <c r="FB284" i="12"/>
  <c r="FC284" i="12"/>
  <c r="FD284" i="12"/>
  <c r="FE284" i="12"/>
  <c r="FF284" i="12"/>
  <c r="FG284" i="12"/>
  <c r="FH284" i="12"/>
  <c r="FI284" i="12"/>
  <c r="FJ284" i="12"/>
  <c r="FK284" i="12"/>
  <c r="FL284" i="12"/>
  <c r="FM284" i="12"/>
  <c r="FN284" i="12"/>
  <c r="FO284" i="12"/>
  <c r="FP284" i="12"/>
  <c r="FQ284" i="12"/>
  <c r="FR284" i="12"/>
  <c r="FS284" i="12"/>
  <c r="FT284" i="12"/>
  <c r="FU284" i="12"/>
  <c r="FV284" i="12"/>
  <c r="FW284" i="12"/>
  <c r="FX284" i="12"/>
  <c r="FY284" i="12"/>
  <c r="FZ284" i="12"/>
  <c r="GA284" i="12"/>
  <c r="GB284" i="12"/>
  <c r="GC284" i="12"/>
  <c r="GD284" i="12"/>
  <c r="GE284" i="12"/>
  <c r="GF284" i="12"/>
  <c r="GG284" i="12"/>
  <c r="GH284" i="12"/>
  <c r="GI284" i="12"/>
  <c r="GJ284" i="12"/>
  <c r="GK284" i="12"/>
  <c r="GL284" i="12"/>
  <c r="GM284" i="12"/>
  <c r="GN284" i="12"/>
  <c r="GO284" i="12"/>
  <c r="GP284" i="12"/>
  <c r="GQ284" i="12"/>
  <c r="GR284" i="12"/>
  <c r="GS284" i="12"/>
  <c r="GT284" i="12"/>
  <c r="GU284" i="12"/>
  <c r="GV284" i="12"/>
  <c r="GW284" i="12"/>
  <c r="GX284" i="12"/>
  <c r="GY284" i="12"/>
  <c r="GZ284" i="12"/>
  <c r="HA284" i="12"/>
  <c r="HB284" i="12"/>
  <c r="HC284" i="12"/>
  <c r="HD284" i="12"/>
  <c r="HE284" i="12"/>
  <c r="HF284" i="12"/>
  <c r="HG284" i="12"/>
  <c r="HH284" i="12"/>
  <c r="HI284" i="12"/>
  <c r="HJ284" i="12"/>
  <c r="HK284" i="12"/>
  <c r="HL284" i="12"/>
  <c r="HM284" i="12"/>
  <c r="HN284" i="12"/>
  <c r="HO284" i="12"/>
  <c r="HP284" i="12"/>
  <c r="HQ284" i="12"/>
  <c r="HR284" i="12"/>
  <c r="HS284" i="12"/>
  <c r="HT284" i="12"/>
  <c r="HU284" i="12"/>
  <c r="HV284" i="12"/>
  <c r="HW284" i="12"/>
  <c r="HX284" i="12"/>
  <c r="HY284" i="12"/>
  <c r="HZ284" i="12"/>
  <c r="IA284" i="12"/>
  <c r="IB284" i="12"/>
  <c r="IC284" i="12"/>
  <c r="ID284" i="12"/>
  <c r="IE284" i="12"/>
  <c r="IF284" i="12"/>
  <c r="IG284" i="12"/>
  <c r="IH284" i="12"/>
  <c r="II284" i="12"/>
  <c r="IJ284" i="12"/>
  <c r="IK284" i="12"/>
  <c r="IL284" i="12"/>
  <c r="IM284" i="12"/>
  <c r="IN284" i="12"/>
  <c r="IO284" i="12"/>
  <c r="IP284" i="12"/>
  <c r="IQ284" i="12"/>
  <c r="IR284" i="12"/>
  <c r="IS284" i="12"/>
  <c r="IT284" i="12"/>
  <c r="IU284" i="12"/>
  <c r="IV284" i="12"/>
  <c r="F285" i="12"/>
  <c r="G285" i="12"/>
  <c r="H285" i="12"/>
  <c r="I285" i="12"/>
  <c r="J285" i="12"/>
  <c r="K285" i="12"/>
  <c r="L285" i="12"/>
  <c r="M285" i="12"/>
  <c r="N285" i="12"/>
  <c r="O285" i="12"/>
  <c r="P285" i="12"/>
  <c r="Q285" i="12"/>
  <c r="R285" i="12"/>
  <c r="S285" i="12"/>
  <c r="T285" i="12"/>
  <c r="U285" i="12"/>
  <c r="V285" i="12"/>
  <c r="W285" i="12"/>
  <c r="X285" i="12"/>
  <c r="Y285" i="12"/>
  <c r="Z285" i="12"/>
  <c r="AA285" i="12"/>
  <c r="AB285" i="12"/>
  <c r="AC285" i="12"/>
  <c r="AD285" i="12"/>
  <c r="AE285" i="12"/>
  <c r="AF285" i="12"/>
  <c r="AG285" i="12"/>
  <c r="AH285" i="12"/>
  <c r="AI285" i="12"/>
  <c r="AJ285" i="12"/>
  <c r="AK285" i="12"/>
  <c r="AL285" i="12"/>
  <c r="AM285" i="12"/>
  <c r="AN285" i="12"/>
  <c r="AO285" i="12"/>
  <c r="AP285" i="12"/>
  <c r="AQ285" i="12"/>
  <c r="AR285" i="12"/>
  <c r="AS285" i="12"/>
  <c r="AT285" i="12"/>
  <c r="AU285" i="12"/>
  <c r="AV285" i="12"/>
  <c r="AW285" i="12"/>
  <c r="AX285" i="12"/>
  <c r="AY285" i="12"/>
  <c r="AZ285" i="12"/>
  <c r="BA285" i="12"/>
  <c r="BB285" i="12"/>
  <c r="BC285" i="12"/>
  <c r="BD285" i="12"/>
  <c r="BE285" i="12"/>
  <c r="BF285" i="12"/>
  <c r="BG285" i="12"/>
  <c r="BH285" i="12"/>
  <c r="BI285" i="12"/>
  <c r="BJ285" i="12"/>
  <c r="BK285" i="12"/>
  <c r="BL285" i="12"/>
  <c r="BM285" i="12"/>
  <c r="BN285" i="12"/>
  <c r="BO285" i="12"/>
  <c r="BP285" i="12"/>
  <c r="BQ285" i="12"/>
  <c r="BR285" i="12"/>
  <c r="BS285" i="12"/>
  <c r="BT285" i="12"/>
  <c r="BU285" i="12"/>
  <c r="BV285" i="12"/>
  <c r="BW285" i="12"/>
  <c r="BX285" i="12"/>
  <c r="BY285" i="12"/>
  <c r="BZ285" i="12"/>
  <c r="CA285" i="12"/>
  <c r="CB285" i="12"/>
  <c r="CC285" i="12"/>
  <c r="CD285" i="12"/>
  <c r="CE285" i="12"/>
  <c r="CF285" i="12"/>
  <c r="CG285" i="12"/>
  <c r="CH285" i="12"/>
  <c r="CI285" i="12"/>
  <c r="CJ285" i="12"/>
  <c r="CK285" i="12"/>
  <c r="CL285" i="12"/>
  <c r="CM285" i="12"/>
  <c r="CN285" i="12"/>
  <c r="CO285" i="12"/>
  <c r="CP285" i="12"/>
  <c r="CQ285" i="12"/>
  <c r="CR285" i="12"/>
  <c r="CS285" i="12"/>
  <c r="CT285" i="12"/>
  <c r="CU285" i="12"/>
  <c r="CV285" i="12"/>
  <c r="CW285" i="12"/>
  <c r="CX285" i="12"/>
  <c r="CY285" i="12"/>
  <c r="CZ285" i="12"/>
  <c r="DA285" i="12"/>
  <c r="DB285" i="12"/>
  <c r="DC285" i="12"/>
  <c r="DD285" i="12"/>
  <c r="DE285" i="12"/>
  <c r="DF285" i="12"/>
  <c r="DG285" i="12"/>
  <c r="DH285" i="12"/>
  <c r="DI285" i="12"/>
  <c r="DJ285" i="12"/>
  <c r="DK285" i="12"/>
  <c r="DL285" i="12"/>
  <c r="DM285" i="12"/>
  <c r="DN285" i="12"/>
  <c r="DO285" i="12"/>
  <c r="DP285" i="12"/>
  <c r="DQ285" i="12"/>
  <c r="DR285" i="12"/>
  <c r="DS285" i="12"/>
  <c r="DT285" i="12"/>
  <c r="DU285" i="12"/>
  <c r="DV285" i="12"/>
  <c r="DW285" i="12"/>
  <c r="DX285" i="12"/>
  <c r="DY285" i="12"/>
  <c r="DZ285" i="12"/>
  <c r="EA285" i="12"/>
  <c r="EB285" i="12"/>
  <c r="EC285" i="12"/>
  <c r="ED285" i="12"/>
  <c r="EE285" i="12"/>
  <c r="EF285" i="12"/>
  <c r="EG285" i="12"/>
  <c r="EH285" i="12"/>
  <c r="EI285" i="12"/>
  <c r="EJ285" i="12"/>
  <c r="EK285" i="12"/>
  <c r="EL285" i="12"/>
  <c r="EM285" i="12"/>
  <c r="EN285" i="12"/>
  <c r="EO285" i="12"/>
  <c r="EP285" i="12"/>
  <c r="EQ285" i="12"/>
  <c r="ER285" i="12"/>
  <c r="ES285" i="12"/>
  <c r="ET285" i="12"/>
  <c r="EU285" i="12"/>
  <c r="EV285" i="12"/>
  <c r="EW285" i="12"/>
  <c r="EX285" i="12"/>
  <c r="EY285" i="12"/>
  <c r="EZ285" i="12"/>
  <c r="FA285" i="12"/>
  <c r="FB285" i="12"/>
  <c r="FC285" i="12"/>
  <c r="FD285" i="12"/>
  <c r="FE285" i="12"/>
  <c r="FF285" i="12"/>
  <c r="FG285" i="12"/>
  <c r="FH285" i="12"/>
  <c r="FI285" i="12"/>
  <c r="FJ285" i="12"/>
  <c r="FK285" i="12"/>
  <c r="FL285" i="12"/>
  <c r="FM285" i="12"/>
  <c r="FN285" i="12"/>
  <c r="FO285" i="12"/>
  <c r="FP285" i="12"/>
  <c r="FQ285" i="12"/>
  <c r="FR285" i="12"/>
  <c r="FS285" i="12"/>
  <c r="FT285" i="12"/>
  <c r="FU285" i="12"/>
  <c r="FV285" i="12"/>
  <c r="FW285" i="12"/>
  <c r="FX285" i="12"/>
  <c r="FY285" i="12"/>
  <c r="FZ285" i="12"/>
  <c r="GA285" i="12"/>
  <c r="GB285" i="12"/>
  <c r="GC285" i="12"/>
  <c r="GD285" i="12"/>
  <c r="GE285" i="12"/>
  <c r="GF285" i="12"/>
  <c r="GG285" i="12"/>
  <c r="GH285" i="12"/>
  <c r="GI285" i="12"/>
  <c r="GJ285" i="12"/>
  <c r="GK285" i="12"/>
  <c r="GL285" i="12"/>
  <c r="GM285" i="12"/>
  <c r="GN285" i="12"/>
  <c r="GO285" i="12"/>
  <c r="GP285" i="12"/>
  <c r="GQ285" i="12"/>
  <c r="GR285" i="12"/>
  <c r="GS285" i="12"/>
  <c r="GT285" i="12"/>
  <c r="GU285" i="12"/>
  <c r="GV285" i="12"/>
  <c r="GW285" i="12"/>
  <c r="GX285" i="12"/>
  <c r="GY285" i="12"/>
  <c r="GZ285" i="12"/>
  <c r="HA285" i="12"/>
  <c r="HB285" i="12"/>
  <c r="HC285" i="12"/>
  <c r="HD285" i="12"/>
  <c r="HE285" i="12"/>
  <c r="HF285" i="12"/>
  <c r="HG285" i="12"/>
  <c r="HH285" i="12"/>
  <c r="HI285" i="12"/>
  <c r="HJ285" i="12"/>
  <c r="HK285" i="12"/>
  <c r="HL285" i="12"/>
  <c r="HM285" i="12"/>
  <c r="HN285" i="12"/>
  <c r="HO285" i="12"/>
  <c r="HP285" i="12"/>
  <c r="HQ285" i="12"/>
  <c r="HR285" i="12"/>
  <c r="HS285" i="12"/>
  <c r="HT285" i="12"/>
  <c r="HU285" i="12"/>
  <c r="HV285" i="12"/>
  <c r="HW285" i="12"/>
  <c r="HX285" i="12"/>
  <c r="HY285" i="12"/>
  <c r="HZ285" i="12"/>
  <c r="IA285" i="12"/>
  <c r="IB285" i="12"/>
  <c r="IC285" i="12"/>
  <c r="ID285" i="12"/>
  <c r="IE285" i="12"/>
  <c r="IF285" i="12"/>
  <c r="IG285" i="12"/>
  <c r="IH285" i="12"/>
  <c r="II285" i="12"/>
  <c r="IJ285" i="12"/>
  <c r="IK285" i="12"/>
  <c r="IL285" i="12"/>
  <c r="IM285" i="12"/>
  <c r="IN285" i="12"/>
  <c r="IO285" i="12"/>
  <c r="IP285" i="12"/>
  <c r="IQ285" i="12"/>
  <c r="IR285" i="12"/>
  <c r="IS285" i="12"/>
  <c r="IT285" i="12"/>
  <c r="IU285" i="12"/>
  <c r="IV285" i="12"/>
  <c r="F286" i="12"/>
  <c r="G286" i="12"/>
  <c r="H286" i="12"/>
  <c r="I286" i="12"/>
  <c r="J286" i="12"/>
  <c r="K286" i="12"/>
  <c r="L286" i="12"/>
  <c r="M286" i="12"/>
  <c r="N286" i="12"/>
  <c r="O286" i="12"/>
  <c r="P286" i="12"/>
  <c r="Q286" i="12"/>
  <c r="R286" i="12"/>
  <c r="S286" i="12"/>
  <c r="T286" i="12"/>
  <c r="U286" i="12"/>
  <c r="V286" i="12"/>
  <c r="W286" i="12"/>
  <c r="X286" i="12"/>
  <c r="Y286" i="12"/>
  <c r="Z286" i="12"/>
  <c r="AA286" i="12"/>
  <c r="AB286" i="12"/>
  <c r="AC286" i="12"/>
  <c r="AD286" i="12"/>
  <c r="AE286" i="12"/>
  <c r="AF286" i="12"/>
  <c r="AG286" i="12"/>
  <c r="AH286" i="12"/>
  <c r="AI286" i="12"/>
  <c r="AJ286" i="12"/>
  <c r="AK286" i="12"/>
  <c r="AL286" i="12"/>
  <c r="AM286" i="12"/>
  <c r="AN286" i="12"/>
  <c r="AO286" i="12"/>
  <c r="AP286" i="12"/>
  <c r="AQ286" i="12"/>
  <c r="AR286" i="12"/>
  <c r="AS286" i="12"/>
  <c r="AT286" i="12"/>
  <c r="AU286" i="12"/>
  <c r="AV286" i="12"/>
  <c r="AW286" i="12"/>
  <c r="AX286" i="12"/>
  <c r="AY286" i="12"/>
  <c r="AZ286" i="12"/>
  <c r="BA286" i="12"/>
  <c r="BB286" i="12"/>
  <c r="BC286" i="12"/>
  <c r="BD286" i="12"/>
  <c r="BE286" i="12"/>
  <c r="BF286" i="12"/>
  <c r="BG286" i="12"/>
  <c r="BH286" i="12"/>
  <c r="BI286" i="12"/>
  <c r="BJ286" i="12"/>
  <c r="BK286" i="12"/>
  <c r="BL286" i="12"/>
  <c r="BM286" i="12"/>
  <c r="BN286" i="12"/>
  <c r="BO286" i="12"/>
  <c r="BP286" i="12"/>
  <c r="BQ286" i="12"/>
  <c r="BR286" i="12"/>
  <c r="BS286" i="12"/>
  <c r="BT286" i="12"/>
  <c r="BU286" i="12"/>
  <c r="BV286" i="12"/>
  <c r="BW286" i="12"/>
  <c r="BX286" i="12"/>
  <c r="BY286" i="12"/>
  <c r="BZ286" i="12"/>
  <c r="CA286" i="12"/>
  <c r="CB286" i="12"/>
  <c r="CC286" i="12"/>
  <c r="CD286" i="12"/>
  <c r="CE286" i="12"/>
  <c r="CF286" i="12"/>
  <c r="CG286" i="12"/>
  <c r="CH286" i="12"/>
  <c r="CI286" i="12"/>
  <c r="CJ286" i="12"/>
  <c r="CK286" i="12"/>
  <c r="CL286" i="12"/>
  <c r="CM286" i="12"/>
  <c r="CN286" i="12"/>
  <c r="CO286" i="12"/>
  <c r="CP286" i="12"/>
  <c r="CQ286" i="12"/>
  <c r="CR286" i="12"/>
  <c r="CS286" i="12"/>
  <c r="CT286" i="12"/>
  <c r="CU286" i="12"/>
  <c r="CV286" i="12"/>
  <c r="CW286" i="12"/>
  <c r="CX286" i="12"/>
  <c r="CY286" i="12"/>
  <c r="CZ286" i="12"/>
  <c r="DA286" i="12"/>
  <c r="DB286" i="12"/>
  <c r="DC286" i="12"/>
  <c r="DD286" i="12"/>
  <c r="DE286" i="12"/>
  <c r="DF286" i="12"/>
  <c r="DG286" i="12"/>
  <c r="DH286" i="12"/>
  <c r="DI286" i="12"/>
  <c r="DJ286" i="12"/>
  <c r="DK286" i="12"/>
  <c r="DL286" i="12"/>
  <c r="DM286" i="12"/>
  <c r="DN286" i="12"/>
  <c r="DO286" i="12"/>
  <c r="DP286" i="12"/>
  <c r="DQ286" i="12"/>
  <c r="DR286" i="12"/>
  <c r="DS286" i="12"/>
  <c r="DT286" i="12"/>
  <c r="DU286" i="12"/>
  <c r="DV286" i="12"/>
  <c r="DW286" i="12"/>
  <c r="DX286" i="12"/>
  <c r="DY286" i="12"/>
  <c r="DZ286" i="12"/>
  <c r="EA286" i="12"/>
  <c r="EB286" i="12"/>
  <c r="EC286" i="12"/>
  <c r="ED286" i="12"/>
  <c r="EE286" i="12"/>
  <c r="EF286" i="12"/>
  <c r="EG286" i="12"/>
  <c r="EH286" i="12"/>
  <c r="EI286" i="12"/>
  <c r="EJ286" i="12"/>
  <c r="EK286" i="12"/>
  <c r="EL286" i="12"/>
  <c r="EM286" i="12"/>
  <c r="EN286" i="12"/>
  <c r="EO286" i="12"/>
  <c r="EP286" i="12"/>
  <c r="EQ286" i="12"/>
  <c r="ER286" i="12"/>
  <c r="ES286" i="12"/>
  <c r="ET286" i="12"/>
  <c r="EU286" i="12"/>
  <c r="EV286" i="12"/>
  <c r="EW286" i="12"/>
  <c r="EX286" i="12"/>
  <c r="EY286" i="12"/>
  <c r="EZ286" i="12"/>
  <c r="FA286" i="12"/>
  <c r="FB286" i="12"/>
  <c r="FC286" i="12"/>
  <c r="FD286" i="12"/>
  <c r="FE286" i="12"/>
  <c r="FF286" i="12"/>
  <c r="FG286" i="12"/>
  <c r="FH286" i="12"/>
  <c r="FI286" i="12"/>
  <c r="FJ286" i="12"/>
  <c r="FK286" i="12"/>
  <c r="FL286" i="12"/>
  <c r="FM286" i="12"/>
  <c r="FN286" i="12"/>
  <c r="FO286" i="12"/>
  <c r="FP286" i="12"/>
  <c r="FQ286" i="12"/>
  <c r="FR286" i="12"/>
  <c r="FS286" i="12"/>
  <c r="FT286" i="12"/>
  <c r="FU286" i="12"/>
  <c r="FV286" i="12"/>
  <c r="FW286" i="12"/>
  <c r="FX286" i="12"/>
  <c r="FY286" i="12"/>
  <c r="FZ286" i="12"/>
  <c r="GA286" i="12"/>
  <c r="GB286" i="12"/>
  <c r="GC286" i="12"/>
  <c r="GD286" i="12"/>
  <c r="GE286" i="12"/>
  <c r="GF286" i="12"/>
  <c r="GG286" i="12"/>
  <c r="GH286" i="12"/>
  <c r="GI286" i="12"/>
  <c r="GJ286" i="12"/>
  <c r="GK286" i="12"/>
  <c r="GL286" i="12"/>
  <c r="GM286" i="12"/>
  <c r="GN286" i="12"/>
  <c r="GO286" i="12"/>
  <c r="GP286" i="12"/>
  <c r="GQ286" i="12"/>
  <c r="GR286" i="12"/>
  <c r="GS286" i="12"/>
  <c r="GT286" i="12"/>
  <c r="GU286" i="12"/>
  <c r="GV286" i="12"/>
  <c r="GW286" i="12"/>
  <c r="GX286" i="12"/>
  <c r="GY286" i="12"/>
  <c r="GZ286" i="12"/>
  <c r="HA286" i="12"/>
  <c r="HB286" i="12"/>
  <c r="HC286" i="12"/>
  <c r="HD286" i="12"/>
  <c r="HE286" i="12"/>
  <c r="HF286" i="12"/>
  <c r="HG286" i="12"/>
  <c r="HH286" i="12"/>
  <c r="HI286" i="12"/>
  <c r="HJ286" i="12"/>
  <c r="HK286" i="12"/>
  <c r="HL286" i="12"/>
  <c r="HM286" i="12"/>
  <c r="HN286" i="12"/>
  <c r="HO286" i="12"/>
  <c r="HP286" i="12"/>
  <c r="HQ286" i="12"/>
  <c r="HR286" i="12"/>
  <c r="HS286" i="12"/>
  <c r="HT286" i="12"/>
  <c r="HU286" i="12"/>
  <c r="HV286" i="12"/>
  <c r="HW286" i="12"/>
  <c r="HX286" i="12"/>
  <c r="HY286" i="12"/>
  <c r="HZ286" i="12"/>
  <c r="IA286" i="12"/>
  <c r="IB286" i="12"/>
  <c r="IC286" i="12"/>
  <c r="ID286" i="12"/>
  <c r="IE286" i="12"/>
  <c r="IF286" i="12"/>
  <c r="IG286" i="12"/>
  <c r="IH286" i="12"/>
  <c r="II286" i="12"/>
  <c r="IJ286" i="12"/>
  <c r="IK286" i="12"/>
  <c r="IL286" i="12"/>
  <c r="IM286" i="12"/>
  <c r="IN286" i="12"/>
  <c r="IO286" i="12"/>
  <c r="IP286" i="12"/>
  <c r="IQ286" i="12"/>
  <c r="IR286" i="12"/>
  <c r="IS286" i="12"/>
  <c r="IT286" i="12"/>
  <c r="IU286" i="12"/>
  <c r="IV286" i="12"/>
  <c r="F287" i="12"/>
  <c r="G287" i="12"/>
  <c r="H287" i="12"/>
  <c r="I287" i="12"/>
  <c r="J287" i="12"/>
  <c r="K287" i="12"/>
  <c r="L287" i="12"/>
  <c r="M287" i="12"/>
  <c r="N287" i="12"/>
  <c r="O287" i="12"/>
  <c r="P287" i="12"/>
  <c r="Q287" i="12"/>
  <c r="R287" i="12"/>
  <c r="S287" i="12"/>
  <c r="T287" i="12"/>
  <c r="U287" i="12"/>
  <c r="V287" i="12"/>
  <c r="W287" i="12"/>
  <c r="X287" i="12"/>
  <c r="Y287" i="12"/>
  <c r="Z287" i="12"/>
  <c r="AA287" i="12"/>
  <c r="AB287" i="12"/>
  <c r="AC287" i="12"/>
  <c r="AD287" i="12"/>
  <c r="AE287" i="12"/>
  <c r="AF287" i="12"/>
  <c r="AG287" i="12"/>
  <c r="AH287" i="12"/>
  <c r="AI287" i="12"/>
  <c r="AJ287" i="12"/>
  <c r="AK287" i="12"/>
  <c r="AL287" i="12"/>
  <c r="AM287" i="12"/>
  <c r="AN287" i="12"/>
  <c r="AO287" i="12"/>
  <c r="AP287" i="12"/>
  <c r="AQ287" i="12"/>
  <c r="AR287" i="12"/>
  <c r="AS287" i="12"/>
  <c r="AT287" i="12"/>
  <c r="AU287" i="12"/>
  <c r="AV287" i="12"/>
  <c r="AW287" i="12"/>
  <c r="AX287" i="12"/>
  <c r="AY287" i="12"/>
  <c r="AZ287" i="12"/>
  <c r="BA287" i="12"/>
  <c r="BB287" i="12"/>
  <c r="BC287" i="12"/>
  <c r="BD287" i="12"/>
  <c r="BE287" i="12"/>
  <c r="BF287" i="12"/>
  <c r="BG287" i="12"/>
  <c r="BH287" i="12"/>
  <c r="BI287" i="12"/>
  <c r="BJ287" i="12"/>
  <c r="BK287" i="12"/>
  <c r="BL287" i="12"/>
  <c r="BM287" i="12"/>
  <c r="BN287" i="12"/>
  <c r="BO287" i="12"/>
  <c r="BP287" i="12"/>
  <c r="BQ287" i="12"/>
  <c r="BR287" i="12"/>
  <c r="BS287" i="12"/>
  <c r="BT287" i="12"/>
  <c r="BU287" i="12"/>
  <c r="BV287" i="12"/>
  <c r="BW287" i="12"/>
  <c r="BX287" i="12"/>
  <c r="BY287" i="12"/>
  <c r="BZ287" i="12"/>
  <c r="CA287" i="12"/>
  <c r="CB287" i="12"/>
  <c r="CC287" i="12"/>
  <c r="CD287" i="12"/>
  <c r="CE287" i="12"/>
  <c r="CF287" i="12"/>
  <c r="CG287" i="12"/>
  <c r="CH287" i="12"/>
  <c r="CI287" i="12"/>
  <c r="CJ287" i="12"/>
  <c r="CK287" i="12"/>
  <c r="CL287" i="12"/>
  <c r="CM287" i="12"/>
  <c r="CN287" i="12"/>
  <c r="CO287" i="12"/>
  <c r="CP287" i="12"/>
  <c r="CQ287" i="12"/>
  <c r="CR287" i="12"/>
  <c r="CS287" i="12"/>
  <c r="CT287" i="12"/>
  <c r="CU287" i="12"/>
  <c r="CV287" i="12"/>
  <c r="CW287" i="12"/>
  <c r="CX287" i="12"/>
  <c r="CY287" i="12"/>
  <c r="CZ287" i="12"/>
  <c r="DA287" i="12"/>
  <c r="DB287" i="12"/>
  <c r="DC287" i="12"/>
  <c r="DD287" i="12"/>
  <c r="DE287" i="12"/>
  <c r="DF287" i="12"/>
  <c r="DG287" i="12"/>
  <c r="DH287" i="12"/>
  <c r="DI287" i="12"/>
  <c r="DJ287" i="12"/>
  <c r="DK287" i="12"/>
  <c r="DL287" i="12"/>
  <c r="DM287" i="12"/>
  <c r="DN287" i="12"/>
  <c r="DO287" i="12"/>
  <c r="DP287" i="12"/>
  <c r="DQ287" i="12"/>
  <c r="DR287" i="12"/>
  <c r="DS287" i="12"/>
  <c r="DT287" i="12"/>
  <c r="DU287" i="12"/>
  <c r="DV287" i="12"/>
  <c r="DW287" i="12"/>
  <c r="DX287" i="12"/>
  <c r="DY287" i="12"/>
  <c r="DZ287" i="12"/>
  <c r="EA287" i="12"/>
  <c r="EB287" i="12"/>
  <c r="EC287" i="12"/>
  <c r="ED287" i="12"/>
  <c r="EE287" i="12"/>
  <c r="EF287" i="12"/>
  <c r="EG287" i="12"/>
  <c r="EH287" i="12"/>
  <c r="EI287" i="12"/>
  <c r="EJ287" i="12"/>
  <c r="EK287" i="12"/>
  <c r="EL287" i="12"/>
  <c r="EM287" i="12"/>
  <c r="EN287" i="12"/>
  <c r="EO287" i="12"/>
  <c r="EP287" i="12"/>
  <c r="EQ287" i="12"/>
  <c r="ER287" i="12"/>
  <c r="ES287" i="12"/>
  <c r="ET287" i="12"/>
  <c r="EU287" i="12"/>
  <c r="EV287" i="12"/>
  <c r="EW287" i="12"/>
  <c r="EX287" i="12"/>
  <c r="EY287" i="12"/>
  <c r="EZ287" i="12"/>
  <c r="FA287" i="12"/>
  <c r="FB287" i="12"/>
  <c r="FC287" i="12"/>
  <c r="FD287" i="12"/>
  <c r="FE287" i="12"/>
  <c r="FF287" i="12"/>
  <c r="FG287" i="12"/>
  <c r="FH287" i="12"/>
  <c r="FI287" i="12"/>
  <c r="FJ287" i="12"/>
  <c r="FK287" i="12"/>
  <c r="FL287" i="12"/>
  <c r="FM287" i="12"/>
  <c r="FN287" i="12"/>
  <c r="FO287" i="12"/>
  <c r="FP287" i="12"/>
  <c r="FQ287" i="12"/>
  <c r="FR287" i="12"/>
  <c r="FS287" i="12"/>
  <c r="FT287" i="12"/>
  <c r="FU287" i="12"/>
  <c r="FV287" i="12"/>
  <c r="FW287" i="12"/>
  <c r="FX287" i="12"/>
  <c r="FY287" i="12"/>
  <c r="FZ287" i="12"/>
  <c r="GA287" i="12"/>
  <c r="GB287" i="12"/>
  <c r="GC287" i="12"/>
  <c r="GD287" i="12"/>
  <c r="GE287" i="12"/>
  <c r="GF287" i="12"/>
  <c r="GG287" i="12"/>
  <c r="GH287" i="12"/>
  <c r="GI287" i="12"/>
  <c r="GJ287" i="12"/>
  <c r="GK287" i="12"/>
  <c r="GL287" i="12"/>
  <c r="GM287" i="12"/>
  <c r="GN287" i="12"/>
  <c r="GO287" i="12"/>
  <c r="GP287" i="12"/>
  <c r="GQ287" i="12"/>
  <c r="GR287" i="12"/>
  <c r="GS287" i="12"/>
  <c r="GT287" i="12"/>
  <c r="GU287" i="12"/>
  <c r="GV287" i="12"/>
  <c r="GW287" i="12"/>
  <c r="GX287" i="12"/>
  <c r="GY287" i="12"/>
  <c r="GZ287" i="12"/>
  <c r="HA287" i="12"/>
  <c r="HB287" i="12"/>
  <c r="HC287" i="12"/>
  <c r="HD287" i="12"/>
  <c r="HE287" i="12"/>
  <c r="HF287" i="12"/>
  <c r="HG287" i="12"/>
  <c r="HH287" i="12"/>
  <c r="HI287" i="12"/>
  <c r="HJ287" i="12"/>
  <c r="HK287" i="12"/>
  <c r="HL287" i="12"/>
  <c r="HM287" i="12"/>
  <c r="HN287" i="12"/>
  <c r="HO287" i="12"/>
  <c r="HP287" i="12"/>
  <c r="HQ287" i="12"/>
  <c r="HR287" i="12"/>
  <c r="HS287" i="12"/>
  <c r="HT287" i="12"/>
  <c r="HU287" i="12"/>
  <c r="HV287" i="12"/>
  <c r="HW287" i="12"/>
  <c r="HX287" i="12"/>
  <c r="HY287" i="12"/>
  <c r="HZ287" i="12"/>
  <c r="IA287" i="12"/>
  <c r="IB287" i="12"/>
  <c r="IC287" i="12"/>
  <c r="ID287" i="12"/>
  <c r="IE287" i="12"/>
  <c r="IF287" i="12"/>
  <c r="IG287" i="12"/>
  <c r="IH287" i="12"/>
  <c r="II287" i="12"/>
  <c r="IJ287" i="12"/>
  <c r="IK287" i="12"/>
  <c r="IL287" i="12"/>
  <c r="IM287" i="12"/>
  <c r="IN287" i="12"/>
  <c r="IO287" i="12"/>
  <c r="IP287" i="12"/>
  <c r="IQ287" i="12"/>
  <c r="IR287" i="12"/>
  <c r="IS287" i="12"/>
  <c r="IT287" i="12"/>
  <c r="IU287" i="12"/>
  <c r="IV287" i="12"/>
  <c r="F288" i="12"/>
  <c r="G288" i="12"/>
  <c r="H288" i="12"/>
  <c r="I288" i="12"/>
  <c r="J288" i="12"/>
  <c r="K288" i="12"/>
  <c r="L288" i="12"/>
  <c r="M288" i="12"/>
  <c r="N288" i="12"/>
  <c r="O288" i="12"/>
  <c r="P288" i="12"/>
  <c r="Q288" i="12"/>
  <c r="R288" i="12"/>
  <c r="S288" i="12"/>
  <c r="T288" i="12"/>
  <c r="U288" i="12"/>
  <c r="V288" i="12"/>
  <c r="W288" i="12"/>
  <c r="X288" i="12"/>
  <c r="Y288" i="12"/>
  <c r="Z288" i="12"/>
  <c r="AA288" i="12"/>
  <c r="AB288" i="12"/>
  <c r="AC288" i="12"/>
  <c r="AD288" i="12"/>
  <c r="AE288" i="12"/>
  <c r="AF288" i="12"/>
  <c r="AG288" i="12"/>
  <c r="AH288" i="12"/>
  <c r="AI288" i="12"/>
  <c r="AJ288" i="12"/>
  <c r="AK288" i="12"/>
  <c r="AL288" i="12"/>
  <c r="AM288" i="12"/>
  <c r="AN288" i="12"/>
  <c r="AO288" i="12"/>
  <c r="AP288" i="12"/>
  <c r="AQ288" i="12"/>
  <c r="AR288" i="12"/>
  <c r="AS288" i="12"/>
  <c r="AT288" i="12"/>
  <c r="AU288" i="12"/>
  <c r="AV288" i="12"/>
  <c r="AW288" i="12"/>
  <c r="AX288" i="12"/>
  <c r="AY288" i="12"/>
  <c r="AZ288" i="12"/>
  <c r="BA288" i="12"/>
  <c r="BB288" i="12"/>
  <c r="BC288" i="12"/>
  <c r="BD288" i="12"/>
  <c r="BE288" i="12"/>
  <c r="BF288" i="12"/>
  <c r="BG288" i="12"/>
  <c r="BH288" i="12"/>
  <c r="BI288" i="12"/>
  <c r="BJ288" i="12"/>
  <c r="BK288" i="12"/>
  <c r="BL288" i="12"/>
  <c r="BM288" i="12"/>
  <c r="BN288" i="12"/>
  <c r="BO288" i="12"/>
  <c r="BP288" i="12"/>
  <c r="BQ288" i="12"/>
  <c r="BR288" i="12"/>
  <c r="BS288" i="12"/>
  <c r="BT288" i="12"/>
  <c r="BU288" i="12"/>
  <c r="BV288" i="12"/>
  <c r="BW288" i="12"/>
  <c r="BX288" i="12"/>
  <c r="BY288" i="12"/>
  <c r="BZ288" i="12"/>
  <c r="CA288" i="12"/>
  <c r="CB288" i="12"/>
  <c r="CC288" i="12"/>
  <c r="CD288" i="12"/>
  <c r="CE288" i="12"/>
  <c r="CF288" i="12"/>
  <c r="CG288" i="12"/>
  <c r="CH288" i="12"/>
  <c r="CI288" i="12"/>
  <c r="CJ288" i="12"/>
  <c r="CK288" i="12"/>
  <c r="CL288" i="12"/>
  <c r="CM288" i="12"/>
  <c r="CN288" i="12"/>
  <c r="CO288" i="12"/>
  <c r="CP288" i="12"/>
  <c r="CQ288" i="12"/>
  <c r="CR288" i="12"/>
  <c r="CS288" i="12"/>
  <c r="CT288" i="12"/>
  <c r="CU288" i="12"/>
  <c r="CV288" i="12"/>
  <c r="CW288" i="12"/>
  <c r="CX288" i="12"/>
  <c r="CY288" i="12"/>
  <c r="CZ288" i="12"/>
  <c r="DA288" i="12"/>
  <c r="DB288" i="12"/>
  <c r="DC288" i="12"/>
  <c r="DD288" i="12"/>
  <c r="DE288" i="12"/>
  <c r="DF288" i="12"/>
  <c r="DG288" i="12"/>
  <c r="DH288" i="12"/>
  <c r="DI288" i="12"/>
  <c r="DJ288" i="12"/>
  <c r="DK288" i="12"/>
  <c r="DL288" i="12"/>
  <c r="DM288" i="12"/>
  <c r="DN288" i="12"/>
  <c r="DO288" i="12"/>
  <c r="DP288" i="12"/>
  <c r="DQ288" i="12"/>
  <c r="DR288" i="12"/>
  <c r="DS288" i="12"/>
  <c r="DT288" i="12"/>
  <c r="DU288" i="12"/>
  <c r="DV288" i="12"/>
  <c r="DW288" i="12"/>
  <c r="DX288" i="12"/>
  <c r="DY288" i="12"/>
  <c r="DZ288" i="12"/>
  <c r="EA288" i="12"/>
  <c r="EB288" i="12"/>
  <c r="EC288" i="12"/>
  <c r="ED288" i="12"/>
  <c r="EE288" i="12"/>
  <c r="EF288" i="12"/>
  <c r="EG288" i="12"/>
  <c r="EH288" i="12"/>
  <c r="EI288" i="12"/>
  <c r="EJ288" i="12"/>
  <c r="EK288" i="12"/>
  <c r="EL288" i="12"/>
  <c r="EM288" i="12"/>
  <c r="EN288" i="12"/>
  <c r="EO288" i="12"/>
  <c r="EP288" i="12"/>
  <c r="EQ288" i="12"/>
  <c r="ER288" i="12"/>
  <c r="ES288" i="12"/>
  <c r="ET288" i="12"/>
  <c r="EU288" i="12"/>
  <c r="EV288" i="12"/>
  <c r="EW288" i="12"/>
  <c r="EX288" i="12"/>
  <c r="EY288" i="12"/>
  <c r="EZ288" i="12"/>
  <c r="FA288" i="12"/>
  <c r="FB288" i="12"/>
  <c r="FC288" i="12"/>
  <c r="FD288" i="12"/>
  <c r="FE288" i="12"/>
  <c r="FF288" i="12"/>
  <c r="FG288" i="12"/>
  <c r="FH288" i="12"/>
  <c r="FI288" i="12"/>
  <c r="FJ288" i="12"/>
  <c r="FK288" i="12"/>
  <c r="FL288" i="12"/>
  <c r="FM288" i="12"/>
  <c r="FN288" i="12"/>
  <c r="FO288" i="12"/>
  <c r="FP288" i="12"/>
  <c r="FQ288" i="12"/>
  <c r="FR288" i="12"/>
  <c r="FS288" i="12"/>
  <c r="FT288" i="12"/>
  <c r="FU288" i="12"/>
  <c r="FV288" i="12"/>
  <c r="FW288" i="12"/>
  <c r="FX288" i="12"/>
  <c r="FY288" i="12"/>
  <c r="FZ288" i="12"/>
  <c r="GA288" i="12"/>
  <c r="GB288" i="12"/>
  <c r="GC288" i="12"/>
  <c r="GD288" i="12"/>
  <c r="GE288" i="12"/>
  <c r="GF288" i="12"/>
  <c r="GG288" i="12"/>
  <c r="GH288" i="12"/>
  <c r="GI288" i="12"/>
  <c r="GJ288" i="12"/>
  <c r="GK288" i="12"/>
  <c r="GL288" i="12"/>
  <c r="GM288" i="12"/>
  <c r="GN288" i="12"/>
  <c r="GO288" i="12"/>
  <c r="GP288" i="12"/>
  <c r="GQ288" i="12"/>
  <c r="GR288" i="12"/>
  <c r="GS288" i="12"/>
  <c r="GT288" i="12"/>
  <c r="GU288" i="12"/>
  <c r="GV288" i="12"/>
  <c r="GW288" i="12"/>
  <c r="GX288" i="12"/>
  <c r="GY288" i="12"/>
  <c r="GZ288" i="12"/>
  <c r="HA288" i="12"/>
  <c r="HB288" i="12"/>
  <c r="HC288" i="12"/>
  <c r="HD288" i="12"/>
  <c r="HE288" i="12"/>
  <c r="HF288" i="12"/>
  <c r="HG288" i="12"/>
  <c r="HH288" i="12"/>
  <c r="HI288" i="12"/>
  <c r="HJ288" i="12"/>
  <c r="HK288" i="12"/>
  <c r="HL288" i="12"/>
  <c r="HM288" i="12"/>
  <c r="HN288" i="12"/>
  <c r="HO288" i="12"/>
  <c r="HP288" i="12"/>
  <c r="HQ288" i="12"/>
  <c r="HR288" i="12"/>
  <c r="HS288" i="12"/>
  <c r="HT288" i="12"/>
  <c r="HU288" i="12"/>
  <c r="HV288" i="12"/>
  <c r="HW288" i="12"/>
  <c r="HX288" i="12"/>
  <c r="HY288" i="12"/>
  <c r="HZ288" i="12"/>
  <c r="IA288" i="12"/>
  <c r="IB288" i="12"/>
  <c r="IC288" i="12"/>
  <c r="ID288" i="12"/>
  <c r="IE288" i="12"/>
  <c r="IF288" i="12"/>
  <c r="IG288" i="12"/>
  <c r="IH288" i="12"/>
  <c r="II288" i="12"/>
  <c r="IJ288" i="12"/>
  <c r="IK288" i="12"/>
  <c r="IL288" i="12"/>
  <c r="IM288" i="12"/>
  <c r="IN288" i="12"/>
  <c r="IO288" i="12"/>
  <c r="IP288" i="12"/>
  <c r="IQ288" i="12"/>
  <c r="IR288" i="12"/>
  <c r="IS288" i="12"/>
  <c r="IT288" i="12"/>
  <c r="IU288" i="12"/>
  <c r="IV288" i="12"/>
  <c r="F289" i="12"/>
  <c r="G289" i="12"/>
  <c r="H289" i="12"/>
  <c r="I289" i="12"/>
  <c r="J289" i="12"/>
  <c r="K289" i="12"/>
  <c r="L289" i="12"/>
  <c r="M289" i="12"/>
  <c r="N289" i="12"/>
  <c r="O289" i="12"/>
  <c r="P289" i="12"/>
  <c r="Q289" i="12"/>
  <c r="R289" i="12"/>
  <c r="S289" i="12"/>
  <c r="T289" i="12"/>
  <c r="U289" i="12"/>
  <c r="V289" i="12"/>
  <c r="W289" i="12"/>
  <c r="X289" i="12"/>
  <c r="Y289" i="12"/>
  <c r="Z289" i="12"/>
  <c r="AA289" i="12"/>
  <c r="AB289" i="12"/>
  <c r="AC289" i="12"/>
  <c r="AD289" i="12"/>
  <c r="AE289" i="12"/>
  <c r="AF289" i="12"/>
  <c r="AG289" i="12"/>
  <c r="AH289" i="12"/>
  <c r="AI289" i="12"/>
  <c r="AJ289" i="12"/>
  <c r="AK289" i="12"/>
  <c r="AL289" i="12"/>
  <c r="AM289" i="12"/>
  <c r="AN289" i="12"/>
  <c r="AO289" i="12"/>
  <c r="AP289" i="12"/>
  <c r="AQ289" i="12"/>
  <c r="AR289" i="12"/>
  <c r="AS289" i="12"/>
  <c r="AT289" i="12"/>
  <c r="AU289" i="12"/>
  <c r="AV289" i="12"/>
  <c r="AW289" i="12"/>
  <c r="AX289" i="12"/>
  <c r="AY289" i="12"/>
  <c r="AZ289" i="12"/>
  <c r="BA289" i="12"/>
  <c r="BB289" i="12"/>
  <c r="BC289" i="12"/>
  <c r="BD289" i="12"/>
  <c r="BE289" i="12"/>
  <c r="BF289" i="12"/>
  <c r="BG289" i="12"/>
  <c r="BH289" i="12"/>
  <c r="BI289" i="12"/>
  <c r="BJ289" i="12"/>
  <c r="BK289" i="12"/>
  <c r="BL289" i="12"/>
  <c r="BM289" i="12"/>
  <c r="BN289" i="12"/>
  <c r="BO289" i="12"/>
  <c r="BP289" i="12"/>
  <c r="BQ289" i="12"/>
  <c r="BR289" i="12"/>
  <c r="BS289" i="12"/>
  <c r="BT289" i="12"/>
  <c r="BU289" i="12"/>
  <c r="BV289" i="12"/>
  <c r="BW289" i="12"/>
  <c r="BX289" i="12"/>
  <c r="BY289" i="12"/>
  <c r="BZ289" i="12"/>
  <c r="CA289" i="12"/>
  <c r="CB289" i="12"/>
  <c r="CC289" i="12"/>
  <c r="CD289" i="12"/>
  <c r="CE289" i="12"/>
  <c r="CF289" i="12"/>
  <c r="CG289" i="12"/>
  <c r="CH289" i="12"/>
  <c r="CI289" i="12"/>
  <c r="CJ289" i="12"/>
  <c r="CK289" i="12"/>
  <c r="CL289" i="12"/>
  <c r="CM289" i="12"/>
  <c r="CN289" i="12"/>
  <c r="CO289" i="12"/>
  <c r="CP289" i="12"/>
  <c r="CQ289" i="12"/>
  <c r="CR289" i="12"/>
  <c r="CS289" i="12"/>
  <c r="CT289" i="12"/>
  <c r="CU289" i="12"/>
  <c r="CV289" i="12"/>
  <c r="CW289" i="12"/>
  <c r="CX289" i="12"/>
  <c r="CY289" i="12"/>
  <c r="CZ289" i="12"/>
  <c r="DA289" i="12"/>
  <c r="DB289" i="12"/>
  <c r="DC289" i="12"/>
  <c r="DD289" i="12"/>
  <c r="DE289" i="12"/>
  <c r="DF289" i="12"/>
  <c r="DG289" i="12"/>
  <c r="DH289" i="12"/>
  <c r="DI289" i="12"/>
  <c r="DJ289" i="12"/>
  <c r="DK289" i="12"/>
  <c r="DL289" i="12"/>
  <c r="DM289" i="12"/>
  <c r="DN289" i="12"/>
  <c r="DO289" i="12"/>
  <c r="DP289" i="12"/>
  <c r="DQ289" i="12"/>
  <c r="DR289" i="12"/>
  <c r="DS289" i="12"/>
  <c r="DT289" i="12"/>
  <c r="DU289" i="12"/>
  <c r="DV289" i="12"/>
  <c r="DW289" i="12"/>
  <c r="DX289" i="12"/>
  <c r="DY289" i="12"/>
  <c r="DZ289" i="12"/>
  <c r="EA289" i="12"/>
  <c r="EB289" i="12"/>
  <c r="EC289" i="12"/>
  <c r="ED289" i="12"/>
  <c r="EE289" i="12"/>
  <c r="EF289" i="12"/>
  <c r="EG289" i="12"/>
  <c r="EH289" i="12"/>
  <c r="EI289" i="12"/>
  <c r="EJ289" i="12"/>
  <c r="EK289" i="12"/>
  <c r="EL289" i="12"/>
  <c r="EM289" i="12"/>
  <c r="EN289" i="12"/>
  <c r="EO289" i="12"/>
  <c r="EP289" i="12"/>
  <c r="EQ289" i="12"/>
  <c r="ER289" i="12"/>
  <c r="ES289" i="12"/>
  <c r="ET289" i="12"/>
  <c r="EU289" i="12"/>
  <c r="EV289" i="12"/>
  <c r="EW289" i="12"/>
  <c r="EX289" i="12"/>
  <c r="EY289" i="12"/>
  <c r="EZ289" i="12"/>
  <c r="FA289" i="12"/>
  <c r="FB289" i="12"/>
  <c r="FC289" i="12"/>
  <c r="FD289" i="12"/>
  <c r="FE289" i="12"/>
  <c r="FF289" i="12"/>
  <c r="FG289" i="12"/>
  <c r="FH289" i="12"/>
  <c r="FI289" i="12"/>
  <c r="FJ289" i="12"/>
  <c r="FK289" i="12"/>
  <c r="FL289" i="12"/>
  <c r="FM289" i="12"/>
  <c r="FN289" i="12"/>
  <c r="FO289" i="12"/>
  <c r="FP289" i="12"/>
  <c r="FQ289" i="12"/>
  <c r="FR289" i="12"/>
  <c r="FS289" i="12"/>
  <c r="FT289" i="12"/>
  <c r="FU289" i="12"/>
  <c r="FV289" i="12"/>
  <c r="FW289" i="12"/>
  <c r="FX289" i="12"/>
  <c r="FY289" i="12"/>
  <c r="FZ289" i="12"/>
  <c r="GA289" i="12"/>
  <c r="GB289" i="12"/>
  <c r="GC289" i="12"/>
  <c r="GD289" i="12"/>
  <c r="GE289" i="12"/>
  <c r="GF289" i="12"/>
  <c r="GG289" i="12"/>
  <c r="GH289" i="12"/>
  <c r="GI289" i="12"/>
  <c r="GJ289" i="12"/>
  <c r="GK289" i="12"/>
  <c r="GL289" i="12"/>
  <c r="GM289" i="12"/>
  <c r="GN289" i="12"/>
  <c r="GO289" i="12"/>
  <c r="GP289" i="12"/>
  <c r="GQ289" i="12"/>
  <c r="GR289" i="12"/>
  <c r="GS289" i="12"/>
  <c r="GT289" i="12"/>
  <c r="GU289" i="12"/>
  <c r="GV289" i="12"/>
  <c r="GW289" i="12"/>
  <c r="GX289" i="12"/>
  <c r="GY289" i="12"/>
  <c r="GZ289" i="12"/>
  <c r="HA289" i="12"/>
  <c r="HB289" i="12"/>
  <c r="HC289" i="12"/>
  <c r="HD289" i="12"/>
  <c r="HE289" i="12"/>
  <c r="HF289" i="12"/>
  <c r="HG289" i="12"/>
  <c r="HH289" i="12"/>
  <c r="HI289" i="12"/>
  <c r="HJ289" i="12"/>
  <c r="HK289" i="12"/>
  <c r="HL289" i="12"/>
  <c r="HM289" i="12"/>
  <c r="HN289" i="12"/>
  <c r="HO289" i="12"/>
  <c r="HP289" i="12"/>
  <c r="HQ289" i="12"/>
  <c r="HR289" i="12"/>
  <c r="HS289" i="12"/>
  <c r="HT289" i="12"/>
  <c r="HU289" i="12"/>
  <c r="HV289" i="12"/>
  <c r="HW289" i="12"/>
  <c r="HX289" i="12"/>
  <c r="HY289" i="12"/>
  <c r="HZ289" i="12"/>
  <c r="IA289" i="12"/>
  <c r="IB289" i="12"/>
  <c r="IC289" i="12"/>
  <c r="ID289" i="12"/>
  <c r="IE289" i="12"/>
  <c r="IF289" i="12"/>
  <c r="IG289" i="12"/>
  <c r="IH289" i="12"/>
  <c r="II289" i="12"/>
  <c r="IJ289" i="12"/>
  <c r="IK289" i="12"/>
  <c r="IL289" i="12"/>
  <c r="IM289" i="12"/>
  <c r="IN289" i="12"/>
  <c r="IO289" i="12"/>
  <c r="IP289" i="12"/>
  <c r="IQ289" i="12"/>
  <c r="IR289" i="12"/>
  <c r="IS289" i="12"/>
  <c r="IT289" i="12"/>
  <c r="IU289" i="12"/>
  <c r="IV289" i="12"/>
  <c r="F290" i="12"/>
  <c r="G290" i="12"/>
  <c r="H290" i="12"/>
  <c r="I290" i="12"/>
  <c r="J290" i="12"/>
  <c r="K290" i="12"/>
  <c r="L290" i="12"/>
  <c r="M290" i="12"/>
  <c r="N290" i="12"/>
  <c r="O290" i="12"/>
  <c r="P290" i="12"/>
  <c r="Q290" i="12"/>
  <c r="R290" i="12"/>
  <c r="S290" i="12"/>
  <c r="T290" i="12"/>
  <c r="U290" i="12"/>
  <c r="V290" i="12"/>
  <c r="W290" i="12"/>
  <c r="X290" i="12"/>
  <c r="Y290" i="12"/>
  <c r="Z290" i="12"/>
  <c r="AA290" i="12"/>
  <c r="AB290" i="12"/>
  <c r="AC290" i="12"/>
  <c r="AD290" i="12"/>
  <c r="AE290" i="12"/>
  <c r="AF290" i="12"/>
  <c r="AG290" i="12"/>
  <c r="AH290" i="12"/>
  <c r="AI290" i="12"/>
  <c r="AJ290" i="12"/>
  <c r="AK290" i="12"/>
  <c r="AL290" i="12"/>
  <c r="AM290" i="12"/>
  <c r="AN290" i="12"/>
  <c r="AO290" i="12"/>
  <c r="AP290" i="12"/>
  <c r="AQ290" i="12"/>
  <c r="AR290" i="12"/>
  <c r="AS290" i="12"/>
  <c r="AT290" i="12"/>
  <c r="AU290" i="12"/>
  <c r="AV290" i="12"/>
  <c r="AW290" i="12"/>
  <c r="AX290" i="12"/>
  <c r="AY290" i="12"/>
  <c r="AZ290" i="12"/>
  <c r="BA290" i="12"/>
  <c r="BB290" i="12"/>
  <c r="BC290" i="12"/>
  <c r="BD290" i="12"/>
  <c r="BE290" i="12"/>
  <c r="BF290" i="12"/>
  <c r="BG290" i="12"/>
  <c r="BH290" i="12"/>
  <c r="BI290" i="12"/>
  <c r="BJ290" i="12"/>
  <c r="BK290" i="12"/>
  <c r="BL290" i="12"/>
  <c r="BM290" i="12"/>
  <c r="BN290" i="12"/>
  <c r="BO290" i="12"/>
  <c r="BP290" i="12"/>
  <c r="BQ290" i="12"/>
  <c r="BR290" i="12"/>
  <c r="BS290" i="12"/>
  <c r="BT290" i="12"/>
  <c r="BU290" i="12"/>
  <c r="BV290" i="12"/>
  <c r="BW290" i="12"/>
  <c r="BX290" i="12"/>
  <c r="BY290" i="12"/>
  <c r="BZ290" i="12"/>
  <c r="CA290" i="12"/>
  <c r="CB290" i="12"/>
  <c r="CC290" i="12"/>
  <c r="CD290" i="12"/>
  <c r="CE290" i="12"/>
  <c r="CF290" i="12"/>
  <c r="CG290" i="12"/>
  <c r="CH290" i="12"/>
  <c r="CI290" i="12"/>
  <c r="CJ290" i="12"/>
  <c r="CK290" i="12"/>
  <c r="CL290" i="12"/>
  <c r="CM290" i="12"/>
  <c r="CN290" i="12"/>
  <c r="CO290" i="12"/>
  <c r="CP290" i="12"/>
  <c r="CQ290" i="12"/>
  <c r="CR290" i="12"/>
  <c r="CS290" i="12"/>
  <c r="CT290" i="12"/>
  <c r="CU290" i="12"/>
  <c r="CV290" i="12"/>
  <c r="CW290" i="12"/>
  <c r="CX290" i="12"/>
  <c r="CY290" i="12"/>
  <c r="CZ290" i="12"/>
  <c r="DA290" i="12"/>
  <c r="DB290" i="12"/>
  <c r="DC290" i="12"/>
  <c r="DD290" i="12"/>
  <c r="DE290" i="12"/>
  <c r="DF290" i="12"/>
  <c r="DG290" i="12"/>
  <c r="DH290" i="12"/>
  <c r="DI290" i="12"/>
  <c r="DJ290" i="12"/>
  <c r="DK290" i="12"/>
  <c r="DL290" i="12"/>
  <c r="DM290" i="12"/>
  <c r="DN290" i="12"/>
  <c r="DO290" i="12"/>
  <c r="DP290" i="12"/>
  <c r="DQ290" i="12"/>
  <c r="DR290" i="12"/>
  <c r="DS290" i="12"/>
  <c r="DT290" i="12"/>
  <c r="DU290" i="12"/>
  <c r="DV290" i="12"/>
  <c r="DW290" i="12"/>
  <c r="DX290" i="12"/>
  <c r="DY290" i="12"/>
  <c r="DZ290" i="12"/>
  <c r="EA290" i="12"/>
  <c r="EB290" i="12"/>
  <c r="EC290" i="12"/>
  <c r="ED290" i="12"/>
  <c r="EE290" i="12"/>
  <c r="EF290" i="12"/>
  <c r="EG290" i="12"/>
  <c r="EH290" i="12"/>
  <c r="EI290" i="12"/>
  <c r="EJ290" i="12"/>
  <c r="EK290" i="12"/>
  <c r="EL290" i="12"/>
  <c r="EM290" i="12"/>
  <c r="EN290" i="12"/>
  <c r="EO290" i="12"/>
  <c r="EP290" i="12"/>
  <c r="EQ290" i="12"/>
  <c r="ER290" i="12"/>
  <c r="ES290" i="12"/>
  <c r="ET290" i="12"/>
  <c r="EU290" i="12"/>
  <c r="EV290" i="12"/>
  <c r="EW290" i="12"/>
  <c r="EX290" i="12"/>
  <c r="EY290" i="12"/>
  <c r="EZ290" i="12"/>
  <c r="FA290" i="12"/>
  <c r="FB290" i="12"/>
  <c r="FC290" i="12"/>
  <c r="FD290" i="12"/>
  <c r="FE290" i="12"/>
  <c r="FF290" i="12"/>
  <c r="FG290" i="12"/>
  <c r="FH290" i="12"/>
  <c r="FI290" i="12"/>
  <c r="FJ290" i="12"/>
  <c r="FK290" i="12"/>
  <c r="FL290" i="12"/>
  <c r="FM290" i="12"/>
  <c r="FN290" i="12"/>
  <c r="FO290" i="12"/>
  <c r="FP290" i="12"/>
  <c r="FQ290" i="12"/>
  <c r="FR290" i="12"/>
  <c r="FS290" i="12"/>
  <c r="FT290" i="12"/>
  <c r="FU290" i="12"/>
  <c r="FV290" i="12"/>
  <c r="FW290" i="12"/>
  <c r="FX290" i="12"/>
  <c r="FY290" i="12"/>
  <c r="FZ290" i="12"/>
  <c r="GA290" i="12"/>
  <c r="GB290" i="12"/>
  <c r="GC290" i="12"/>
  <c r="GD290" i="12"/>
  <c r="GE290" i="12"/>
  <c r="GF290" i="12"/>
  <c r="GG290" i="12"/>
  <c r="GH290" i="12"/>
  <c r="GI290" i="12"/>
  <c r="GJ290" i="12"/>
  <c r="GK290" i="12"/>
  <c r="GL290" i="12"/>
  <c r="GM290" i="12"/>
  <c r="GN290" i="12"/>
  <c r="GO290" i="12"/>
  <c r="GP290" i="12"/>
  <c r="GQ290" i="12"/>
  <c r="GR290" i="12"/>
  <c r="GS290" i="12"/>
  <c r="GT290" i="12"/>
  <c r="GU290" i="12"/>
  <c r="GV290" i="12"/>
  <c r="GW290" i="12"/>
  <c r="GX290" i="12"/>
  <c r="GY290" i="12"/>
  <c r="GZ290" i="12"/>
  <c r="HA290" i="12"/>
  <c r="HB290" i="12"/>
  <c r="HC290" i="12"/>
  <c r="HD290" i="12"/>
  <c r="HE290" i="12"/>
  <c r="HF290" i="12"/>
  <c r="HG290" i="12"/>
  <c r="HH290" i="12"/>
  <c r="HI290" i="12"/>
  <c r="HJ290" i="12"/>
  <c r="HK290" i="12"/>
  <c r="HL290" i="12"/>
  <c r="HM290" i="12"/>
  <c r="HN290" i="12"/>
  <c r="HO290" i="12"/>
  <c r="HP290" i="12"/>
  <c r="HQ290" i="12"/>
  <c r="HR290" i="12"/>
  <c r="HS290" i="12"/>
  <c r="HT290" i="12"/>
  <c r="HU290" i="12"/>
  <c r="HV290" i="12"/>
  <c r="HW290" i="12"/>
  <c r="HX290" i="12"/>
  <c r="HY290" i="12"/>
  <c r="HZ290" i="12"/>
  <c r="IA290" i="12"/>
  <c r="IB290" i="12"/>
  <c r="IC290" i="12"/>
  <c r="ID290" i="12"/>
  <c r="IE290" i="12"/>
  <c r="IF290" i="12"/>
  <c r="IG290" i="12"/>
  <c r="IH290" i="12"/>
  <c r="II290" i="12"/>
  <c r="IJ290" i="12"/>
  <c r="IK290" i="12"/>
  <c r="IL290" i="12"/>
  <c r="IM290" i="12"/>
  <c r="IN290" i="12"/>
  <c r="IO290" i="12"/>
  <c r="IP290" i="12"/>
  <c r="IQ290" i="12"/>
  <c r="IR290" i="12"/>
  <c r="IS290" i="12"/>
  <c r="IT290" i="12"/>
  <c r="IU290" i="12"/>
  <c r="IV290" i="12"/>
  <c r="F291" i="12"/>
  <c r="G291" i="12"/>
  <c r="H291" i="12"/>
  <c r="I291" i="12"/>
  <c r="J291" i="12"/>
  <c r="K291" i="12"/>
  <c r="L291" i="12"/>
  <c r="M291" i="12"/>
  <c r="N291" i="12"/>
  <c r="O291" i="12"/>
  <c r="P291" i="12"/>
  <c r="Q291" i="12"/>
  <c r="R291" i="12"/>
  <c r="S291" i="12"/>
  <c r="T291" i="12"/>
  <c r="U291" i="12"/>
  <c r="V291" i="12"/>
  <c r="W291" i="12"/>
  <c r="X291" i="12"/>
  <c r="Y291" i="12"/>
  <c r="Z291" i="12"/>
  <c r="AA291" i="12"/>
  <c r="AB291" i="12"/>
  <c r="AC291" i="12"/>
  <c r="AD291" i="12"/>
  <c r="AE291" i="12"/>
  <c r="AF291" i="12"/>
  <c r="AG291" i="12"/>
  <c r="AH291" i="12"/>
  <c r="AI291" i="12"/>
  <c r="AJ291" i="12"/>
  <c r="AK291" i="12"/>
  <c r="AL291" i="12"/>
  <c r="AM291" i="12"/>
  <c r="AN291" i="12"/>
  <c r="AO291" i="12"/>
  <c r="AP291" i="12"/>
  <c r="AQ291" i="12"/>
  <c r="AR291" i="12"/>
  <c r="AS291" i="12"/>
  <c r="AT291" i="12"/>
  <c r="AU291" i="12"/>
  <c r="AV291" i="12"/>
  <c r="AW291" i="12"/>
  <c r="AX291" i="12"/>
  <c r="AY291" i="12"/>
  <c r="AZ291" i="12"/>
  <c r="BA291" i="12"/>
  <c r="BB291" i="12"/>
  <c r="BC291" i="12"/>
  <c r="BD291" i="12"/>
  <c r="BE291" i="12"/>
  <c r="BF291" i="12"/>
  <c r="BG291" i="12"/>
  <c r="BH291" i="12"/>
  <c r="BI291" i="12"/>
  <c r="BJ291" i="12"/>
  <c r="BK291" i="12"/>
  <c r="BL291" i="12"/>
  <c r="BM291" i="12"/>
  <c r="BN291" i="12"/>
  <c r="BO291" i="12"/>
  <c r="BP291" i="12"/>
  <c r="BQ291" i="12"/>
  <c r="BR291" i="12"/>
  <c r="BS291" i="12"/>
  <c r="BT291" i="12"/>
  <c r="BU291" i="12"/>
  <c r="BV291" i="12"/>
  <c r="BW291" i="12"/>
  <c r="BX291" i="12"/>
  <c r="BY291" i="12"/>
  <c r="BZ291" i="12"/>
  <c r="CA291" i="12"/>
  <c r="CB291" i="12"/>
  <c r="CC291" i="12"/>
  <c r="CD291" i="12"/>
  <c r="CE291" i="12"/>
  <c r="CF291" i="12"/>
  <c r="CG291" i="12"/>
  <c r="CH291" i="12"/>
  <c r="CI291" i="12"/>
  <c r="CJ291" i="12"/>
  <c r="CK291" i="12"/>
  <c r="CL291" i="12"/>
  <c r="CM291" i="12"/>
  <c r="CN291" i="12"/>
  <c r="CO291" i="12"/>
  <c r="CP291" i="12"/>
  <c r="CQ291" i="12"/>
  <c r="CR291" i="12"/>
  <c r="CS291" i="12"/>
  <c r="CT291" i="12"/>
  <c r="CU291" i="12"/>
  <c r="CV291" i="12"/>
  <c r="CW291" i="12"/>
  <c r="CX291" i="12"/>
  <c r="CY291" i="12"/>
  <c r="CZ291" i="12"/>
  <c r="DA291" i="12"/>
  <c r="DB291" i="12"/>
  <c r="DC291" i="12"/>
  <c r="DD291" i="12"/>
  <c r="DE291" i="12"/>
  <c r="DF291" i="12"/>
  <c r="DG291" i="12"/>
  <c r="DH291" i="12"/>
  <c r="DI291" i="12"/>
  <c r="DJ291" i="12"/>
  <c r="DK291" i="12"/>
  <c r="DL291" i="12"/>
  <c r="DM291" i="12"/>
  <c r="DN291" i="12"/>
  <c r="DO291" i="12"/>
  <c r="DP291" i="12"/>
  <c r="DQ291" i="12"/>
  <c r="DR291" i="12"/>
  <c r="DS291" i="12"/>
  <c r="DT291" i="12"/>
  <c r="DU291" i="12"/>
  <c r="DV291" i="12"/>
  <c r="DW291" i="12"/>
  <c r="DX291" i="12"/>
  <c r="DY291" i="12"/>
  <c r="DZ291" i="12"/>
  <c r="EA291" i="12"/>
  <c r="EB291" i="12"/>
  <c r="EC291" i="12"/>
  <c r="ED291" i="12"/>
  <c r="EE291" i="12"/>
  <c r="EF291" i="12"/>
  <c r="EG291" i="12"/>
  <c r="EH291" i="12"/>
  <c r="EI291" i="12"/>
  <c r="EJ291" i="12"/>
  <c r="EK291" i="12"/>
  <c r="EL291" i="12"/>
  <c r="EM291" i="12"/>
  <c r="EN291" i="12"/>
  <c r="EO291" i="12"/>
  <c r="EP291" i="12"/>
  <c r="EQ291" i="12"/>
  <c r="ER291" i="12"/>
  <c r="ES291" i="12"/>
  <c r="ET291" i="12"/>
  <c r="EU291" i="12"/>
  <c r="EV291" i="12"/>
  <c r="EW291" i="12"/>
  <c r="EX291" i="12"/>
  <c r="EY291" i="12"/>
  <c r="EZ291" i="12"/>
  <c r="FA291" i="12"/>
  <c r="FB291" i="12"/>
  <c r="FC291" i="12"/>
  <c r="FD291" i="12"/>
  <c r="FE291" i="12"/>
  <c r="FF291" i="12"/>
  <c r="FG291" i="12"/>
  <c r="FH291" i="12"/>
  <c r="FI291" i="12"/>
  <c r="FJ291" i="12"/>
  <c r="FK291" i="12"/>
  <c r="FL291" i="12"/>
  <c r="FM291" i="12"/>
  <c r="FN291" i="12"/>
  <c r="FO291" i="12"/>
  <c r="FP291" i="12"/>
  <c r="FQ291" i="12"/>
  <c r="FR291" i="12"/>
  <c r="FS291" i="12"/>
  <c r="FT291" i="12"/>
  <c r="FU291" i="12"/>
  <c r="FV291" i="12"/>
  <c r="FW291" i="12"/>
  <c r="FX291" i="12"/>
  <c r="FY291" i="12"/>
  <c r="FZ291" i="12"/>
  <c r="GA291" i="12"/>
  <c r="GB291" i="12"/>
  <c r="GC291" i="12"/>
  <c r="GD291" i="12"/>
  <c r="GE291" i="12"/>
  <c r="GF291" i="12"/>
  <c r="GG291" i="12"/>
  <c r="GH291" i="12"/>
  <c r="GI291" i="12"/>
  <c r="GJ291" i="12"/>
  <c r="GK291" i="12"/>
  <c r="GL291" i="12"/>
  <c r="GM291" i="12"/>
  <c r="GN291" i="12"/>
  <c r="GO291" i="12"/>
  <c r="GP291" i="12"/>
  <c r="GQ291" i="12"/>
  <c r="GR291" i="12"/>
  <c r="GS291" i="12"/>
  <c r="GT291" i="12"/>
  <c r="GU291" i="12"/>
  <c r="GV291" i="12"/>
  <c r="GW291" i="12"/>
  <c r="GX291" i="12"/>
  <c r="GY291" i="12"/>
  <c r="GZ291" i="12"/>
  <c r="HA291" i="12"/>
  <c r="HB291" i="12"/>
  <c r="HC291" i="12"/>
  <c r="HD291" i="12"/>
  <c r="HE291" i="12"/>
  <c r="HF291" i="12"/>
  <c r="HG291" i="12"/>
  <c r="HH291" i="12"/>
  <c r="HI291" i="12"/>
  <c r="HJ291" i="12"/>
  <c r="HK291" i="12"/>
  <c r="HL291" i="12"/>
  <c r="HM291" i="12"/>
  <c r="HN291" i="12"/>
  <c r="HO291" i="12"/>
  <c r="HP291" i="12"/>
  <c r="HQ291" i="12"/>
  <c r="HR291" i="12"/>
  <c r="HS291" i="12"/>
  <c r="HT291" i="12"/>
  <c r="HU291" i="12"/>
  <c r="HV291" i="12"/>
  <c r="HW291" i="12"/>
  <c r="HX291" i="12"/>
  <c r="HY291" i="12"/>
  <c r="HZ291" i="12"/>
  <c r="IA291" i="12"/>
  <c r="IB291" i="12"/>
  <c r="IC291" i="12"/>
  <c r="ID291" i="12"/>
  <c r="IE291" i="12"/>
  <c r="IF291" i="12"/>
  <c r="IG291" i="12"/>
  <c r="IH291" i="12"/>
  <c r="II291" i="12"/>
  <c r="IJ291" i="12"/>
  <c r="IK291" i="12"/>
  <c r="IL291" i="12"/>
  <c r="IM291" i="12"/>
  <c r="IN291" i="12"/>
  <c r="IO291" i="12"/>
  <c r="IP291" i="12"/>
  <c r="IQ291" i="12"/>
  <c r="IR291" i="12"/>
  <c r="IS291" i="12"/>
  <c r="IT291" i="12"/>
  <c r="IU291" i="12"/>
  <c r="IV291" i="12"/>
  <c r="F292" i="12"/>
  <c r="G292" i="12"/>
  <c r="H292" i="12"/>
  <c r="I292" i="12"/>
  <c r="J292" i="12"/>
  <c r="K292" i="12"/>
  <c r="L292" i="12"/>
  <c r="M292" i="12"/>
  <c r="N292" i="12"/>
  <c r="O292" i="12"/>
  <c r="P292" i="12"/>
  <c r="Q292" i="12"/>
  <c r="R292" i="12"/>
  <c r="S292" i="12"/>
  <c r="T292" i="12"/>
  <c r="U292" i="12"/>
  <c r="V292" i="12"/>
  <c r="W292" i="12"/>
  <c r="X292" i="12"/>
  <c r="Y292" i="12"/>
  <c r="Z292" i="12"/>
  <c r="AA292" i="12"/>
  <c r="AB292" i="12"/>
  <c r="AC292" i="12"/>
  <c r="AD292" i="12"/>
  <c r="AE292" i="12"/>
  <c r="AF292" i="12"/>
  <c r="AG292" i="12"/>
  <c r="AH292" i="12"/>
  <c r="AI292" i="12"/>
  <c r="AJ292" i="12"/>
  <c r="AK292" i="12"/>
  <c r="AL292" i="12"/>
  <c r="AM292" i="12"/>
  <c r="AN292" i="12"/>
  <c r="AO292" i="12"/>
  <c r="AP292" i="12"/>
  <c r="AQ292" i="12"/>
  <c r="AR292" i="12"/>
  <c r="AS292" i="12"/>
  <c r="AT292" i="12"/>
  <c r="AU292" i="12"/>
  <c r="AV292" i="12"/>
  <c r="AW292" i="12"/>
  <c r="AX292" i="12"/>
  <c r="AY292" i="12"/>
  <c r="AZ292" i="12"/>
  <c r="BA292" i="12"/>
  <c r="BB292" i="12"/>
  <c r="BC292" i="12"/>
  <c r="BD292" i="12"/>
  <c r="BE292" i="12"/>
  <c r="BF292" i="12"/>
  <c r="BG292" i="12"/>
  <c r="BH292" i="12"/>
  <c r="BI292" i="12"/>
  <c r="BJ292" i="12"/>
  <c r="BK292" i="12"/>
  <c r="BL292" i="12"/>
  <c r="BM292" i="12"/>
  <c r="BN292" i="12"/>
  <c r="BO292" i="12"/>
  <c r="BP292" i="12"/>
  <c r="BQ292" i="12"/>
  <c r="BR292" i="12"/>
  <c r="BS292" i="12"/>
  <c r="BT292" i="12"/>
  <c r="BU292" i="12"/>
  <c r="BV292" i="12"/>
  <c r="BW292" i="12"/>
  <c r="BX292" i="12"/>
  <c r="BY292" i="12"/>
  <c r="BZ292" i="12"/>
  <c r="CA292" i="12"/>
  <c r="CB292" i="12"/>
  <c r="CC292" i="12"/>
  <c r="CD292" i="12"/>
  <c r="CE292" i="12"/>
  <c r="CF292" i="12"/>
  <c r="CG292" i="12"/>
  <c r="CH292" i="12"/>
  <c r="CI292" i="12"/>
  <c r="CJ292" i="12"/>
  <c r="CK292" i="12"/>
  <c r="CL292" i="12"/>
  <c r="CM292" i="12"/>
  <c r="CN292" i="12"/>
  <c r="CO292" i="12"/>
  <c r="CP292" i="12"/>
  <c r="CQ292" i="12"/>
  <c r="CR292" i="12"/>
  <c r="CS292" i="12"/>
  <c r="CT292" i="12"/>
  <c r="CU292" i="12"/>
  <c r="CV292" i="12"/>
  <c r="CW292" i="12"/>
  <c r="CX292" i="12"/>
  <c r="CY292" i="12"/>
  <c r="CZ292" i="12"/>
  <c r="DA292" i="12"/>
  <c r="DB292" i="12"/>
  <c r="DC292" i="12"/>
  <c r="DD292" i="12"/>
  <c r="DE292" i="12"/>
  <c r="DF292" i="12"/>
  <c r="DG292" i="12"/>
  <c r="DH292" i="12"/>
  <c r="DI292" i="12"/>
  <c r="DJ292" i="12"/>
  <c r="DK292" i="12"/>
  <c r="DL292" i="12"/>
  <c r="DM292" i="12"/>
  <c r="DN292" i="12"/>
  <c r="DO292" i="12"/>
  <c r="DP292" i="12"/>
  <c r="DQ292" i="12"/>
  <c r="DR292" i="12"/>
  <c r="DS292" i="12"/>
  <c r="DT292" i="12"/>
  <c r="DU292" i="12"/>
  <c r="DV292" i="12"/>
  <c r="DW292" i="12"/>
  <c r="DX292" i="12"/>
  <c r="DY292" i="12"/>
  <c r="DZ292" i="12"/>
  <c r="EA292" i="12"/>
  <c r="EB292" i="12"/>
  <c r="EC292" i="12"/>
  <c r="ED292" i="12"/>
  <c r="EE292" i="12"/>
  <c r="EF292" i="12"/>
  <c r="EG292" i="12"/>
  <c r="EH292" i="12"/>
  <c r="EI292" i="12"/>
  <c r="EJ292" i="12"/>
  <c r="EK292" i="12"/>
  <c r="EL292" i="12"/>
  <c r="EM292" i="12"/>
  <c r="EN292" i="12"/>
  <c r="EO292" i="12"/>
  <c r="EP292" i="12"/>
  <c r="EQ292" i="12"/>
  <c r="ER292" i="12"/>
  <c r="ES292" i="12"/>
  <c r="ET292" i="12"/>
  <c r="EU292" i="12"/>
  <c r="EV292" i="12"/>
  <c r="EW292" i="12"/>
  <c r="EX292" i="12"/>
  <c r="EY292" i="12"/>
  <c r="EZ292" i="12"/>
  <c r="FA292" i="12"/>
  <c r="FB292" i="12"/>
  <c r="FC292" i="12"/>
  <c r="FD292" i="12"/>
  <c r="FE292" i="12"/>
  <c r="FF292" i="12"/>
  <c r="FG292" i="12"/>
  <c r="FH292" i="12"/>
  <c r="FI292" i="12"/>
  <c r="FJ292" i="12"/>
  <c r="FK292" i="12"/>
  <c r="FL292" i="12"/>
  <c r="FM292" i="12"/>
  <c r="FN292" i="12"/>
  <c r="FO292" i="12"/>
  <c r="FP292" i="12"/>
  <c r="FQ292" i="12"/>
  <c r="FR292" i="12"/>
  <c r="FS292" i="12"/>
  <c r="FT292" i="12"/>
  <c r="FU292" i="12"/>
  <c r="FV292" i="12"/>
  <c r="FW292" i="12"/>
  <c r="FX292" i="12"/>
  <c r="FY292" i="12"/>
  <c r="FZ292" i="12"/>
  <c r="GA292" i="12"/>
  <c r="GB292" i="12"/>
  <c r="GC292" i="12"/>
  <c r="GD292" i="12"/>
  <c r="GE292" i="12"/>
  <c r="GF292" i="12"/>
  <c r="GG292" i="12"/>
  <c r="GH292" i="12"/>
  <c r="GI292" i="12"/>
  <c r="GJ292" i="12"/>
  <c r="GK292" i="12"/>
  <c r="GL292" i="12"/>
  <c r="GM292" i="12"/>
  <c r="GN292" i="12"/>
  <c r="GO292" i="12"/>
  <c r="GP292" i="12"/>
  <c r="GQ292" i="12"/>
  <c r="GR292" i="12"/>
  <c r="GS292" i="12"/>
  <c r="GT292" i="12"/>
  <c r="GU292" i="12"/>
  <c r="GV292" i="12"/>
  <c r="GW292" i="12"/>
  <c r="GX292" i="12"/>
  <c r="GY292" i="12"/>
  <c r="GZ292" i="12"/>
  <c r="HA292" i="12"/>
  <c r="HB292" i="12"/>
  <c r="HC292" i="12"/>
  <c r="HD292" i="12"/>
  <c r="HE292" i="12"/>
  <c r="HF292" i="12"/>
  <c r="HG292" i="12"/>
  <c r="HH292" i="12"/>
  <c r="HI292" i="12"/>
  <c r="HJ292" i="12"/>
  <c r="HK292" i="12"/>
  <c r="HL292" i="12"/>
  <c r="HM292" i="12"/>
  <c r="HN292" i="12"/>
  <c r="HO292" i="12"/>
  <c r="HP292" i="12"/>
  <c r="HQ292" i="12"/>
  <c r="HR292" i="12"/>
  <c r="HS292" i="12"/>
  <c r="HT292" i="12"/>
  <c r="HU292" i="12"/>
  <c r="HV292" i="12"/>
  <c r="HW292" i="12"/>
  <c r="HX292" i="12"/>
  <c r="HY292" i="12"/>
  <c r="HZ292" i="12"/>
  <c r="IA292" i="12"/>
  <c r="IB292" i="12"/>
  <c r="IC292" i="12"/>
  <c r="ID292" i="12"/>
  <c r="IE292" i="12"/>
  <c r="IF292" i="12"/>
  <c r="IG292" i="12"/>
  <c r="IH292" i="12"/>
  <c r="II292" i="12"/>
  <c r="IJ292" i="12"/>
  <c r="IK292" i="12"/>
  <c r="IL292" i="12"/>
  <c r="IM292" i="12"/>
  <c r="IN292" i="12"/>
  <c r="IO292" i="12"/>
  <c r="IP292" i="12"/>
  <c r="IQ292" i="12"/>
  <c r="IR292" i="12"/>
  <c r="IS292" i="12"/>
  <c r="IT292" i="12"/>
  <c r="IU292" i="12"/>
  <c r="IV292" i="12"/>
  <c r="F293" i="12"/>
  <c r="G293" i="12"/>
  <c r="H293" i="12"/>
  <c r="I293" i="12"/>
  <c r="J293" i="12"/>
  <c r="K293" i="12"/>
  <c r="L293" i="12"/>
  <c r="M293" i="12"/>
  <c r="N293" i="12"/>
  <c r="O293" i="12"/>
  <c r="P293" i="12"/>
  <c r="Q293" i="12"/>
  <c r="R293" i="12"/>
  <c r="S293" i="12"/>
  <c r="T293" i="12"/>
  <c r="U293" i="12"/>
  <c r="V293" i="12"/>
  <c r="W293" i="12"/>
  <c r="X293" i="12"/>
  <c r="Y293" i="12"/>
  <c r="Z293" i="12"/>
  <c r="AA293" i="12"/>
  <c r="AB293" i="12"/>
  <c r="AC293" i="12"/>
  <c r="AD293" i="12"/>
  <c r="AE293" i="12"/>
  <c r="AF293" i="12"/>
  <c r="AG293" i="12"/>
  <c r="AH293" i="12"/>
  <c r="AI293" i="12"/>
  <c r="AJ293" i="12"/>
  <c r="AK293" i="12"/>
  <c r="AL293" i="12"/>
  <c r="AM293" i="12"/>
  <c r="AN293" i="12"/>
  <c r="AO293" i="12"/>
  <c r="AP293" i="12"/>
  <c r="AQ293" i="12"/>
  <c r="AR293" i="12"/>
  <c r="AS293" i="12"/>
  <c r="AT293" i="12"/>
  <c r="AU293" i="12"/>
  <c r="AV293" i="12"/>
  <c r="AW293" i="12"/>
  <c r="AX293" i="12"/>
  <c r="AY293" i="12"/>
  <c r="AZ293" i="12"/>
  <c r="BA293" i="12"/>
  <c r="BB293" i="12"/>
  <c r="BC293" i="12"/>
  <c r="BD293" i="12"/>
  <c r="BE293" i="12"/>
  <c r="BF293" i="12"/>
  <c r="BG293" i="12"/>
  <c r="BH293" i="12"/>
  <c r="BI293" i="12"/>
  <c r="BJ293" i="12"/>
  <c r="BK293" i="12"/>
  <c r="BL293" i="12"/>
  <c r="BM293" i="12"/>
  <c r="BN293" i="12"/>
  <c r="BO293" i="12"/>
  <c r="BP293" i="12"/>
  <c r="BQ293" i="12"/>
  <c r="BR293" i="12"/>
  <c r="BS293" i="12"/>
  <c r="BT293" i="12"/>
  <c r="BU293" i="12"/>
  <c r="BV293" i="12"/>
  <c r="BW293" i="12"/>
  <c r="BX293" i="12"/>
  <c r="BY293" i="12"/>
  <c r="BZ293" i="12"/>
  <c r="CA293" i="12"/>
  <c r="CB293" i="12"/>
  <c r="CC293" i="12"/>
  <c r="CD293" i="12"/>
  <c r="CE293" i="12"/>
  <c r="CF293" i="12"/>
  <c r="CG293" i="12"/>
  <c r="CH293" i="12"/>
  <c r="CI293" i="12"/>
  <c r="CJ293" i="12"/>
  <c r="CK293" i="12"/>
  <c r="CL293" i="12"/>
  <c r="CM293" i="12"/>
  <c r="CN293" i="12"/>
  <c r="CO293" i="12"/>
  <c r="CP293" i="12"/>
  <c r="CQ293" i="12"/>
  <c r="CR293" i="12"/>
  <c r="CS293" i="12"/>
  <c r="CT293" i="12"/>
  <c r="CU293" i="12"/>
  <c r="CV293" i="12"/>
  <c r="CW293" i="12"/>
  <c r="CX293" i="12"/>
  <c r="CY293" i="12"/>
  <c r="CZ293" i="12"/>
  <c r="DA293" i="12"/>
  <c r="DB293" i="12"/>
  <c r="DC293" i="12"/>
  <c r="DD293" i="12"/>
  <c r="DE293" i="12"/>
  <c r="DF293" i="12"/>
  <c r="DG293" i="12"/>
  <c r="DH293" i="12"/>
  <c r="DI293" i="12"/>
  <c r="DJ293" i="12"/>
  <c r="DK293" i="12"/>
  <c r="DL293" i="12"/>
  <c r="DM293" i="12"/>
  <c r="DN293" i="12"/>
  <c r="DO293" i="12"/>
  <c r="DP293" i="12"/>
  <c r="DQ293" i="12"/>
  <c r="DR293" i="12"/>
  <c r="DS293" i="12"/>
  <c r="DT293" i="12"/>
  <c r="DU293" i="12"/>
  <c r="DV293" i="12"/>
  <c r="DW293" i="12"/>
  <c r="DX293" i="12"/>
  <c r="DY293" i="12"/>
  <c r="DZ293" i="12"/>
  <c r="EA293" i="12"/>
  <c r="EB293" i="12"/>
  <c r="EC293" i="12"/>
  <c r="ED293" i="12"/>
  <c r="EE293" i="12"/>
  <c r="EF293" i="12"/>
  <c r="EG293" i="12"/>
  <c r="EH293" i="12"/>
  <c r="EI293" i="12"/>
  <c r="EJ293" i="12"/>
  <c r="EK293" i="12"/>
  <c r="EL293" i="12"/>
  <c r="EM293" i="12"/>
  <c r="EN293" i="12"/>
  <c r="EO293" i="12"/>
  <c r="EP293" i="12"/>
  <c r="EQ293" i="12"/>
  <c r="ER293" i="12"/>
  <c r="ES293" i="12"/>
  <c r="ET293" i="12"/>
  <c r="EU293" i="12"/>
  <c r="EV293" i="12"/>
  <c r="EW293" i="12"/>
  <c r="EX293" i="12"/>
  <c r="EY293" i="12"/>
  <c r="EZ293" i="12"/>
  <c r="FA293" i="12"/>
  <c r="FB293" i="12"/>
  <c r="FC293" i="12"/>
  <c r="FD293" i="12"/>
  <c r="FE293" i="12"/>
  <c r="FF293" i="12"/>
  <c r="FG293" i="12"/>
  <c r="FH293" i="12"/>
  <c r="FI293" i="12"/>
  <c r="FJ293" i="12"/>
  <c r="FK293" i="12"/>
  <c r="FL293" i="12"/>
  <c r="FM293" i="12"/>
  <c r="FN293" i="12"/>
  <c r="FO293" i="12"/>
  <c r="FP293" i="12"/>
  <c r="FQ293" i="12"/>
  <c r="FR293" i="12"/>
  <c r="FS293" i="12"/>
  <c r="FT293" i="12"/>
  <c r="FU293" i="12"/>
  <c r="FV293" i="12"/>
  <c r="FW293" i="12"/>
  <c r="FX293" i="12"/>
  <c r="FY293" i="12"/>
  <c r="FZ293" i="12"/>
  <c r="GA293" i="12"/>
  <c r="GB293" i="12"/>
  <c r="GC293" i="12"/>
  <c r="GD293" i="12"/>
  <c r="GE293" i="12"/>
  <c r="GF293" i="12"/>
  <c r="GG293" i="12"/>
  <c r="GH293" i="12"/>
  <c r="GI293" i="12"/>
  <c r="GJ293" i="12"/>
  <c r="GK293" i="12"/>
  <c r="GL293" i="12"/>
  <c r="GM293" i="12"/>
  <c r="GN293" i="12"/>
  <c r="GO293" i="12"/>
  <c r="GP293" i="12"/>
  <c r="GQ293" i="12"/>
  <c r="GR293" i="12"/>
  <c r="GS293" i="12"/>
  <c r="GT293" i="12"/>
  <c r="GU293" i="12"/>
  <c r="GV293" i="12"/>
  <c r="GW293" i="12"/>
  <c r="GX293" i="12"/>
  <c r="GY293" i="12"/>
  <c r="GZ293" i="12"/>
  <c r="HA293" i="12"/>
  <c r="HB293" i="12"/>
  <c r="HC293" i="12"/>
  <c r="HD293" i="12"/>
  <c r="HE293" i="12"/>
  <c r="HF293" i="12"/>
  <c r="HG293" i="12"/>
  <c r="HH293" i="12"/>
  <c r="HI293" i="12"/>
  <c r="HJ293" i="12"/>
  <c r="HK293" i="12"/>
  <c r="HL293" i="12"/>
  <c r="HM293" i="12"/>
  <c r="HN293" i="12"/>
  <c r="HO293" i="12"/>
  <c r="HP293" i="12"/>
  <c r="HQ293" i="12"/>
  <c r="HR293" i="12"/>
  <c r="HS293" i="12"/>
  <c r="HT293" i="12"/>
  <c r="HU293" i="12"/>
  <c r="HV293" i="12"/>
  <c r="HW293" i="12"/>
  <c r="HX293" i="12"/>
  <c r="HY293" i="12"/>
  <c r="HZ293" i="12"/>
  <c r="IA293" i="12"/>
  <c r="IB293" i="12"/>
  <c r="IC293" i="12"/>
  <c r="ID293" i="12"/>
  <c r="IE293" i="12"/>
  <c r="IF293" i="12"/>
  <c r="IG293" i="12"/>
  <c r="IH293" i="12"/>
  <c r="II293" i="12"/>
  <c r="IJ293" i="12"/>
  <c r="IK293" i="12"/>
  <c r="IL293" i="12"/>
  <c r="IM293" i="12"/>
  <c r="IN293" i="12"/>
  <c r="IO293" i="12"/>
  <c r="IP293" i="12"/>
  <c r="IQ293" i="12"/>
  <c r="IR293" i="12"/>
  <c r="IS293" i="12"/>
  <c r="IT293" i="12"/>
  <c r="IU293" i="12"/>
  <c r="IV293" i="12"/>
  <c r="F294" i="12"/>
  <c r="G294" i="12"/>
  <c r="H294" i="12"/>
  <c r="I294" i="12"/>
  <c r="J294" i="12"/>
  <c r="K294" i="12"/>
  <c r="L294" i="12"/>
  <c r="M294" i="12"/>
  <c r="N294" i="12"/>
  <c r="O294" i="12"/>
  <c r="P294" i="12"/>
  <c r="Q294" i="12"/>
  <c r="R294" i="12"/>
  <c r="S294" i="12"/>
  <c r="T294" i="12"/>
  <c r="U294" i="12"/>
  <c r="V294" i="12"/>
  <c r="W294" i="12"/>
  <c r="X294" i="12"/>
  <c r="Y294" i="12"/>
  <c r="Z294" i="12"/>
  <c r="AA294" i="12"/>
  <c r="AB294" i="12"/>
  <c r="AC294" i="12"/>
  <c r="AD294" i="12"/>
  <c r="AE294" i="12"/>
  <c r="AF294" i="12"/>
  <c r="AG294" i="12"/>
  <c r="AH294" i="12"/>
  <c r="AI294" i="12"/>
  <c r="AJ294" i="12"/>
  <c r="AK294" i="12"/>
  <c r="AL294" i="12"/>
  <c r="AM294" i="12"/>
  <c r="AN294" i="12"/>
  <c r="AO294" i="12"/>
  <c r="AP294" i="12"/>
  <c r="AQ294" i="12"/>
  <c r="AR294" i="12"/>
  <c r="AS294" i="12"/>
  <c r="AT294" i="12"/>
  <c r="AU294" i="12"/>
  <c r="AV294" i="12"/>
  <c r="AW294" i="12"/>
  <c r="AX294" i="12"/>
  <c r="AY294" i="12"/>
  <c r="AZ294" i="12"/>
  <c r="BA294" i="12"/>
  <c r="BB294" i="12"/>
  <c r="BC294" i="12"/>
  <c r="BD294" i="12"/>
  <c r="BE294" i="12"/>
  <c r="BF294" i="12"/>
  <c r="BG294" i="12"/>
  <c r="BH294" i="12"/>
  <c r="BI294" i="12"/>
  <c r="BJ294" i="12"/>
  <c r="BK294" i="12"/>
  <c r="BL294" i="12"/>
  <c r="BM294" i="12"/>
  <c r="BN294" i="12"/>
  <c r="BO294" i="12"/>
  <c r="BP294" i="12"/>
  <c r="BQ294" i="12"/>
  <c r="BR294" i="12"/>
  <c r="BS294" i="12"/>
  <c r="BT294" i="12"/>
  <c r="BU294" i="12"/>
  <c r="BV294" i="12"/>
  <c r="BW294" i="12"/>
  <c r="BX294" i="12"/>
  <c r="BY294" i="12"/>
  <c r="BZ294" i="12"/>
  <c r="CA294" i="12"/>
  <c r="CB294" i="12"/>
  <c r="CC294" i="12"/>
  <c r="CD294" i="12"/>
  <c r="CE294" i="12"/>
  <c r="CF294" i="12"/>
  <c r="CG294" i="12"/>
  <c r="CH294" i="12"/>
  <c r="CI294" i="12"/>
  <c r="CJ294" i="12"/>
  <c r="CK294" i="12"/>
  <c r="CL294" i="12"/>
  <c r="CM294" i="12"/>
  <c r="CN294" i="12"/>
  <c r="CO294" i="12"/>
  <c r="CP294" i="12"/>
  <c r="CQ294" i="12"/>
  <c r="CR294" i="12"/>
  <c r="CS294" i="12"/>
  <c r="CT294" i="12"/>
  <c r="CU294" i="12"/>
  <c r="CV294" i="12"/>
  <c r="CW294" i="12"/>
  <c r="CX294" i="12"/>
  <c r="CY294" i="12"/>
  <c r="CZ294" i="12"/>
  <c r="DA294" i="12"/>
  <c r="DB294" i="12"/>
  <c r="DC294" i="12"/>
  <c r="DD294" i="12"/>
  <c r="DE294" i="12"/>
  <c r="DF294" i="12"/>
  <c r="DG294" i="12"/>
  <c r="DH294" i="12"/>
  <c r="DI294" i="12"/>
  <c r="DJ294" i="12"/>
  <c r="DK294" i="12"/>
  <c r="DL294" i="12"/>
  <c r="DM294" i="12"/>
  <c r="DN294" i="12"/>
  <c r="DO294" i="12"/>
  <c r="DP294" i="12"/>
  <c r="DQ294" i="12"/>
  <c r="DR294" i="12"/>
  <c r="DS294" i="12"/>
  <c r="DT294" i="12"/>
  <c r="DU294" i="12"/>
  <c r="DV294" i="12"/>
  <c r="DW294" i="12"/>
  <c r="DX294" i="12"/>
  <c r="DY294" i="12"/>
  <c r="DZ294" i="12"/>
  <c r="EA294" i="12"/>
  <c r="EB294" i="12"/>
  <c r="EC294" i="12"/>
  <c r="ED294" i="12"/>
  <c r="EE294" i="12"/>
  <c r="EF294" i="12"/>
  <c r="EG294" i="12"/>
  <c r="EH294" i="12"/>
  <c r="EI294" i="12"/>
  <c r="EJ294" i="12"/>
  <c r="EK294" i="12"/>
  <c r="EL294" i="12"/>
  <c r="EM294" i="12"/>
  <c r="EN294" i="12"/>
  <c r="EO294" i="12"/>
  <c r="EP294" i="12"/>
  <c r="EQ294" i="12"/>
  <c r="ER294" i="12"/>
  <c r="ES294" i="12"/>
  <c r="ET294" i="12"/>
  <c r="EU294" i="12"/>
  <c r="EV294" i="12"/>
  <c r="EW294" i="12"/>
  <c r="EX294" i="12"/>
  <c r="EY294" i="12"/>
  <c r="EZ294" i="12"/>
  <c r="FA294" i="12"/>
  <c r="FB294" i="12"/>
  <c r="FC294" i="12"/>
  <c r="FD294" i="12"/>
  <c r="FE294" i="12"/>
  <c r="FF294" i="12"/>
  <c r="FG294" i="12"/>
  <c r="FH294" i="12"/>
  <c r="FI294" i="12"/>
  <c r="FJ294" i="12"/>
  <c r="FK294" i="12"/>
  <c r="FL294" i="12"/>
  <c r="FM294" i="12"/>
  <c r="FN294" i="12"/>
  <c r="FO294" i="12"/>
  <c r="FP294" i="12"/>
  <c r="FQ294" i="12"/>
  <c r="FR294" i="12"/>
  <c r="FS294" i="12"/>
  <c r="FT294" i="12"/>
  <c r="FU294" i="12"/>
  <c r="FV294" i="12"/>
  <c r="FW294" i="12"/>
  <c r="FX294" i="12"/>
  <c r="FY294" i="12"/>
  <c r="FZ294" i="12"/>
  <c r="GA294" i="12"/>
  <c r="GB294" i="12"/>
  <c r="GC294" i="12"/>
  <c r="GD294" i="12"/>
  <c r="GE294" i="12"/>
  <c r="GF294" i="12"/>
  <c r="GG294" i="12"/>
  <c r="GH294" i="12"/>
  <c r="GI294" i="12"/>
  <c r="GJ294" i="12"/>
  <c r="GK294" i="12"/>
  <c r="GL294" i="12"/>
  <c r="GM294" i="12"/>
  <c r="GN294" i="12"/>
  <c r="GO294" i="12"/>
  <c r="GP294" i="12"/>
  <c r="GQ294" i="12"/>
  <c r="GR294" i="12"/>
  <c r="GS294" i="12"/>
  <c r="GT294" i="12"/>
  <c r="GU294" i="12"/>
  <c r="GV294" i="12"/>
  <c r="GW294" i="12"/>
  <c r="GX294" i="12"/>
  <c r="GY294" i="12"/>
  <c r="GZ294" i="12"/>
  <c r="HA294" i="12"/>
  <c r="HB294" i="12"/>
  <c r="HC294" i="12"/>
  <c r="HD294" i="12"/>
  <c r="HE294" i="12"/>
  <c r="HF294" i="12"/>
  <c r="HG294" i="12"/>
  <c r="HH294" i="12"/>
  <c r="HI294" i="12"/>
  <c r="HJ294" i="12"/>
  <c r="HK294" i="12"/>
  <c r="HL294" i="12"/>
  <c r="HM294" i="12"/>
  <c r="HN294" i="12"/>
  <c r="HO294" i="12"/>
  <c r="HP294" i="12"/>
  <c r="HQ294" i="12"/>
  <c r="HR294" i="12"/>
  <c r="HS294" i="12"/>
  <c r="HT294" i="12"/>
  <c r="HU294" i="12"/>
  <c r="HV294" i="12"/>
  <c r="HW294" i="12"/>
  <c r="HX294" i="12"/>
  <c r="HY294" i="12"/>
  <c r="HZ294" i="12"/>
  <c r="IA294" i="12"/>
  <c r="IB294" i="12"/>
  <c r="IC294" i="12"/>
  <c r="ID294" i="12"/>
  <c r="IE294" i="12"/>
  <c r="IF294" i="12"/>
  <c r="IG294" i="12"/>
  <c r="IH294" i="12"/>
  <c r="II294" i="12"/>
  <c r="IJ294" i="12"/>
  <c r="IK294" i="12"/>
  <c r="IL294" i="12"/>
  <c r="IM294" i="12"/>
  <c r="IN294" i="12"/>
  <c r="IO294" i="12"/>
  <c r="IP294" i="12"/>
  <c r="IQ294" i="12"/>
  <c r="IR294" i="12"/>
  <c r="IS294" i="12"/>
  <c r="IT294" i="12"/>
  <c r="IU294" i="12"/>
  <c r="IV294" i="12"/>
  <c r="F295" i="12"/>
  <c r="G295" i="12"/>
  <c r="H295" i="12"/>
  <c r="I295" i="12"/>
  <c r="J295" i="12"/>
  <c r="K295" i="12"/>
  <c r="L295" i="12"/>
  <c r="M295" i="12"/>
  <c r="N295" i="12"/>
  <c r="O295" i="12"/>
  <c r="P295" i="12"/>
  <c r="Q295" i="12"/>
  <c r="R295" i="12"/>
  <c r="S295" i="12"/>
  <c r="T295" i="12"/>
  <c r="U295" i="12"/>
  <c r="V295" i="12"/>
  <c r="W295" i="12"/>
  <c r="X295" i="12"/>
  <c r="Y295" i="12"/>
  <c r="Z295" i="12"/>
  <c r="AA295" i="12"/>
  <c r="AB295" i="12"/>
  <c r="AC295" i="12"/>
  <c r="AD295" i="12"/>
  <c r="AE295" i="12"/>
  <c r="AF295" i="12"/>
  <c r="AG295" i="12"/>
  <c r="AH295" i="12"/>
  <c r="AI295" i="12"/>
  <c r="AJ295" i="12"/>
  <c r="AK295" i="12"/>
  <c r="AL295" i="12"/>
  <c r="AM295" i="12"/>
  <c r="AN295" i="12"/>
  <c r="AO295" i="12"/>
  <c r="AP295" i="12"/>
  <c r="AQ295" i="12"/>
  <c r="AR295" i="12"/>
  <c r="AS295" i="12"/>
  <c r="AT295" i="12"/>
  <c r="AU295" i="12"/>
  <c r="AV295" i="12"/>
  <c r="AW295" i="12"/>
  <c r="AX295" i="12"/>
  <c r="AY295" i="12"/>
  <c r="AZ295" i="12"/>
  <c r="BA295" i="12"/>
  <c r="BB295" i="12"/>
  <c r="BC295" i="12"/>
  <c r="BD295" i="12"/>
  <c r="BE295" i="12"/>
  <c r="BF295" i="12"/>
  <c r="BG295" i="12"/>
  <c r="BH295" i="12"/>
  <c r="BI295" i="12"/>
  <c r="BJ295" i="12"/>
  <c r="BK295" i="12"/>
  <c r="BL295" i="12"/>
  <c r="BM295" i="12"/>
  <c r="BN295" i="12"/>
  <c r="BO295" i="12"/>
  <c r="BP295" i="12"/>
  <c r="BQ295" i="12"/>
  <c r="BR295" i="12"/>
  <c r="BS295" i="12"/>
  <c r="BT295" i="12"/>
  <c r="BU295" i="12"/>
  <c r="BV295" i="12"/>
  <c r="BW295" i="12"/>
  <c r="BX295" i="12"/>
  <c r="BY295" i="12"/>
  <c r="BZ295" i="12"/>
  <c r="CA295" i="12"/>
  <c r="CB295" i="12"/>
  <c r="CC295" i="12"/>
  <c r="CD295" i="12"/>
  <c r="CE295" i="12"/>
  <c r="CF295" i="12"/>
  <c r="CG295" i="12"/>
  <c r="CH295" i="12"/>
  <c r="CI295" i="12"/>
  <c r="CJ295" i="12"/>
  <c r="CK295" i="12"/>
  <c r="CL295" i="12"/>
  <c r="CM295" i="12"/>
  <c r="CN295" i="12"/>
  <c r="CO295" i="12"/>
  <c r="CP295" i="12"/>
  <c r="CQ295" i="12"/>
  <c r="CR295" i="12"/>
  <c r="CS295" i="12"/>
  <c r="CT295" i="12"/>
  <c r="CU295" i="12"/>
  <c r="CV295" i="12"/>
  <c r="CW295" i="12"/>
  <c r="CX295" i="12"/>
  <c r="CY295" i="12"/>
  <c r="CZ295" i="12"/>
  <c r="DA295" i="12"/>
  <c r="DB295" i="12"/>
  <c r="DC295" i="12"/>
  <c r="DD295" i="12"/>
  <c r="DE295" i="12"/>
  <c r="DF295" i="12"/>
  <c r="DG295" i="12"/>
  <c r="DH295" i="12"/>
  <c r="DI295" i="12"/>
  <c r="DJ295" i="12"/>
  <c r="DK295" i="12"/>
  <c r="DL295" i="12"/>
  <c r="DM295" i="12"/>
  <c r="DN295" i="12"/>
  <c r="DO295" i="12"/>
  <c r="DP295" i="12"/>
  <c r="DQ295" i="12"/>
  <c r="DR295" i="12"/>
  <c r="DS295" i="12"/>
  <c r="DT295" i="12"/>
  <c r="DU295" i="12"/>
  <c r="DV295" i="12"/>
  <c r="DW295" i="12"/>
  <c r="DX295" i="12"/>
  <c r="DY295" i="12"/>
  <c r="DZ295" i="12"/>
  <c r="EA295" i="12"/>
  <c r="EB295" i="12"/>
  <c r="EC295" i="12"/>
  <c r="ED295" i="12"/>
  <c r="EE295" i="12"/>
  <c r="EF295" i="12"/>
  <c r="EG295" i="12"/>
  <c r="EH295" i="12"/>
  <c r="EI295" i="12"/>
  <c r="EJ295" i="12"/>
  <c r="EK295" i="12"/>
  <c r="EL295" i="12"/>
  <c r="EM295" i="12"/>
  <c r="EN295" i="12"/>
  <c r="EO295" i="12"/>
  <c r="EP295" i="12"/>
  <c r="EQ295" i="12"/>
  <c r="ER295" i="12"/>
  <c r="ES295" i="12"/>
  <c r="ET295" i="12"/>
  <c r="EU295" i="12"/>
  <c r="EV295" i="12"/>
  <c r="EW295" i="12"/>
  <c r="EX295" i="12"/>
  <c r="EY295" i="12"/>
  <c r="EZ295" i="12"/>
  <c r="FA295" i="12"/>
  <c r="FB295" i="12"/>
  <c r="FC295" i="12"/>
  <c r="FD295" i="12"/>
  <c r="FE295" i="12"/>
  <c r="FF295" i="12"/>
  <c r="FG295" i="12"/>
  <c r="FH295" i="12"/>
  <c r="FI295" i="12"/>
  <c r="FJ295" i="12"/>
  <c r="FK295" i="12"/>
  <c r="FL295" i="12"/>
  <c r="FM295" i="12"/>
  <c r="FN295" i="12"/>
  <c r="FO295" i="12"/>
  <c r="FP295" i="12"/>
  <c r="FQ295" i="12"/>
  <c r="FR295" i="12"/>
  <c r="FS295" i="12"/>
  <c r="FT295" i="12"/>
  <c r="FU295" i="12"/>
  <c r="FV295" i="12"/>
  <c r="FW295" i="12"/>
  <c r="FX295" i="12"/>
  <c r="FY295" i="12"/>
  <c r="FZ295" i="12"/>
  <c r="GA295" i="12"/>
  <c r="GB295" i="12"/>
  <c r="GC295" i="12"/>
  <c r="GD295" i="12"/>
  <c r="GE295" i="12"/>
  <c r="GF295" i="12"/>
  <c r="GG295" i="12"/>
  <c r="GH295" i="12"/>
  <c r="GI295" i="12"/>
  <c r="GJ295" i="12"/>
  <c r="GK295" i="12"/>
  <c r="GL295" i="12"/>
  <c r="GM295" i="12"/>
  <c r="GN295" i="12"/>
  <c r="GO295" i="12"/>
  <c r="GP295" i="12"/>
  <c r="GQ295" i="12"/>
  <c r="GR295" i="12"/>
  <c r="GS295" i="12"/>
  <c r="GT295" i="12"/>
  <c r="GU295" i="12"/>
  <c r="GV295" i="12"/>
  <c r="GW295" i="12"/>
  <c r="GX295" i="12"/>
  <c r="GY295" i="12"/>
  <c r="GZ295" i="12"/>
  <c r="HA295" i="12"/>
  <c r="HB295" i="12"/>
  <c r="HC295" i="12"/>
  <c r="HD295" i="12"/>
  <c r="HE295" i="12"/>
  <c r="HF295" i="12"/>
  <c r="HG295" i="12"/>
  <c r="HH295" i="12"/>
  <c r="HI295" i="12"/>
  <c r="HJ295" i="12"/>
  <c r="HK295" i="12"/>
  <c r="HL295" i="12"/>
  <c r="HM295" i="12"/>
  <c r="HN295" i="12"/>
  <c r="HO295" i="12"/>
  <c r="HP295" i="12"/>
  <c r="HQ295" i="12"/>
  <c r="HR295" i="12"/>
  <c r="HS295" i="12"/>
  <c r="HT295" i="12"/>
  <c r="HU295" i="12"/>
  <c r="HV295" i="12"/>
  <c r="HW295" i="12"/>
  <c r="HX295" i="12"/>
  <c r="HY295" i="12"/>
  <c r="HZ295" i="12"/>
  <c r="IA295" i="12"/>
  <c r="IB295" i="12"/>
  <c r="IC295" i="12"/>
  <c r="ID295" i="12"/>
  <c r="IE295" i="12"/>
  <c r="IF295" i="12"/>
  <c r="IG295" i="12"/>
  <c r="IH295" i="12"/>
  <c r="II295" i="12"/>
  <c r="IJ295" i="12"/>
  <c r="IK295" i="12"/>
  <c r="IL295" i="12"/>
  <c r="IM295" i="12"/>
  <c r="IN295" i="12"/>
  <c r="IO295" i="12"/>
  <c r="IP295" i="12"/>
  <c r="IQ295" i="12"/>
  <c r="IR295" i="12"/>
  <c r="IS295" i="12"/>
  <c r="IT295" i="12"/>
  <c r="IU295" i="12"/>
  <c r="IV295" i="12"/>
  <c r="F296" i="12"/>
  <c r="G296" i="12"/>
  <c r="H296" i="12"/>
  <c r="I296" i="12"/>
  <c r="J296" i="12"/>
  <c r="K296" i="12"/>
  <c r="L296" i="12"/>
  <c r="M296" i="12"/>
  <c r="N296" i="12"/>
  <c r="O296" i="12"/>
  <c r="P296" i="12"/>
  <c r="Q296" i="12"/>
  <c r="R296" i="12"/>
  <c r="S296" i="12"/>
  <c r="T296" i="12"/>
  <c r="U296" i="12"/>
  <c r="V296" i="12"/>
  <c r="W296" i="12"/>
  <c r="X296" i="12"/>
  <c r="Y296" i="12"/>
  <c r="Z296" i="12"/>
  <c r="AA296" i="12"/>
  <c r="AB296" i="12"/>
  <c r="AC296" i="12"/>
  <c r="AD296" i="12"/>
  <c r="AE296" i="12"/>
  <c r="AF296" i="12"/>
  <c r="AG296" i="12"/>
  <c r="AH296" i="12"/>
  <c r="AI296" i="12"/>
  <c r="AJ296" i="12"/>
  <c r="AK296" i="12"/>
  <c r="AL296" i="12"/>
  <c r="AM296" i="12"/>
  <c r="AN296" i="12"/>
  <c r="AO296" i="12"/>
  <c r="AP296" i="12"/>
  <c r="AQ296" i="12"/>
  <c r="AR296" i="12"/>
  <c r="AS296" i="12"/>
  <c r="AT296" i="12"/>
  <c r="AU296" i="12"/>
  <c r="AV296" i="12"/>
  <c r="AW296" i="12"/>
  <c r="AX296" i="12"/>
  <c r="AY296" i="12"/>
  <c r="AZ296" i="12"/>
  <c r="BA296" i="12"/>
  <c r="BB296" i="12"/>
  <c r="BC296" i="12"/>
  <c r="BD296" i="12"/>
  <c r="BE296" i="12"/>
  <c r="BF296" i="12"/>
  <c r="BG296" i="12"/>
  <c r="BH296" i="12"/>
  <c r="BI296" i="12"/>
  <c r="BJ296" i="12"/>
  <c r="BK296" i="12"/>
  <c r="BL296" i="12"/>
  <c r="BM296" i="12"/>
  <c r="BN296" i="12"/>
  <c r="BO296" i="12"/>
  <c r="BP296" i="12"/>
  <c r="BQ296" i="12"/>
  <c r="BR296" i="12"/>
  <c r="BS296" i="12"/>
  <c r="BT296" i="12"/>
  <c r="BU296" i="12"/>
  <c r="BV296" i="12"/>
  <c r="BW296" i="12"/>
  <c r="BX296" i="12"/>
  <c r="BY296" i="12"/>
  <c r="BZ296" i="12"/>
  <c r="CA296" i="12"/>
  <c r="CB296" i="12"/>
  <c r="CC296" i="12"/>
  <c r="CD296" i="12"/>
  <c r="CE296" i="12"/>
  <c r="CF296" i="12"/>
  <c r="CG296" i="12"/>
  <c r="CH296" i="12"/>
  <c r="CI296" i="12"/>
  <c r="CJ296" i="12"/>
  <c r="CK296" i="12"/>
  <c r="CL296" i="12"/>
  <c r="CM296" i="12"/>
  <c r="CN296" i="12"/>
  <c r="CO296" i="12"/>
  <c r="CP296" i="12"/>
  <c r="CQ296" i="12"/>
  <c r="CR296" i="12"/>
  <c r="CS296" i="12"/>
  <c r="CT296" i="12"/>
  <c r="CU296" i="12"/>
  <c r="CV296" i="12"/>
  <c r="CW296" i="12"/>
  <c r="CX296" i="12"/>
  <c r="CY296" i="12"/>
  <c r="CZ296" i="12"/>
  <c r="DA296" i="12"/>
  <c r="DB296" i="12"/>
  <c r="DC296" i="12"/>
  <c r="DD296" i="12"/>
  <c r="DE296" i="12"/>
  <c r="DF296" i="12"/>
  <c r="DG296" i="12"/>
  <c r="DH296" i="12"/>
  <c r="DI296" i="12"/>
  <c r="DJ296" i="12"/>
  <c r="DK296" i="12"/>
  <c r="DL296" i="12"/>
  <c r="DM296" i="12"/>
  <c r="DN296" i="12"/>
  <c r="DO296" i="12"/>
  <c r="DP296" i="12"/>
  <c r="DQ296" i="12"/>
  <c r="DR296" i="12"/>
  <c r="DS296" i="12"/>
  <c r="DT296" i="12"/>
  <c r="DU296" i="12"/>
  <c r="DV296" i="12"/>
  <c r="DW296" i="12"/>
  <c r="DX296" i="12"/>
  <c r="DY296" i="12"/>
  <c r="DZ296" i="12"/>
  <c r="EA296" i="12"/>
  <c r="EB296" i="12"/>
  <c r="EC296" i="12"/>
  <c r="ED296" i="12"/>
  <c r="EE296" i="12"/>
  <c r="EF296" i="12"/>
  <c r="EG296" i="12"/>
  <c r="EH296" i="12"/>
  <c r="EI296" i="12"/>
  <c r="EJ296" i="12"/>
  <c r="EK296" i="12"/>
  <c r="EL296" i="12"/>
  <c r="EM296" i="12"/>
  <c r="EN296" i="12"/>
  <c r="EO296" i="12"/>
  <c r="EP296" i="12"/>
  <c r="EQ296" i="12"/>
  <c r="ER296" i="12"/>
  <c r="ES296" i="12"/>
  <c r="ET296" i="12"/>
  <c r="EU296" i="12"/>
  <c r="EV296" i="12"/>
  <c r="EW296" i="12"/>
  <c r="EX296" i="12"/>
  <c r="EY296" i="12"/>
  <c r="EZ296" i="12"/>
  <c r="FA296" i="12"/>
  <c r="FB296" i="12"/>
  <c r="FC296" i="12"/>
  <c r="FD296" i="12"/>
  <c r="FE296" i="12"/>
  <c r="FF296" i="12"/>
  <c r="FG296" i="12"/>
  <c r="FH296" i="12"/>
  <c r="FI296" i="12"/>
  <c r="FJ296" i="12"/>
  <c r="FK296" i="12"/>
  <c r="FL296" i="12"/>
  <c r="FM296" i="12"/>
  <c r="FN296" i="12"/>
  <c r="FO296" i="12"/>
  <c r="FP296" i="12"/>
  <c r="FQ296" i="12"/>
  <c r="FR296" i="12"/>
  <c r="FS296" i="12"/>
  <c r="FT296" i="12"/>
  <c r="FU296" i="12"/>
  <c r="FV296" i="12"/>
  <c r="FW296" i="12"/>
  <c r="FX296" i="12"/>
  <c r="FY296" i="12"/>
  <c r="FZ296" i="12"/>
  <c r="GA296" i="12"/>
  <c r="GB296" i="12"/>
  <c r="GC296" i="12"/>
  <c r="GD296" i="12"/>
  <c r="GE296" i="12"/>
  <c r="GF296" i="12"/>
  <c r="GG296" i="12"/>
  <c r="GH296" i="12"/>
  <c r="GI296" i="12"/>
  <c r="GJ296" i="12"/>
  <c r="GK296" i="12"/>
  <c r="GL296" i="12"/>
  <c r="GM296" i="12"/>
  <c r="GN296" i="12"/>
  <c r="GO296" i="12"/>
  <c r="GP296" i="12"/>
  <c r="GQ296" i="12"/>
  <c r="GR296" i="12"/>
  <c r="GS296" i="12"/>
  <c r="GT296" i="12"/>
  <c r="GU296" i="12"/>
  <c r="GV296" i="12"/>
  <c r="GW296" i="12"/>
  <c r="GX296" i="12"/>
  <c r="GY296" i="12"/>
  <c r="GZ296" i="12"/>
  <c r="HA296" i="12"/>
  <c r="HB296" i="12"/>
  <c r="HC296" i="12"/>
  <c r="HD296" i="12"/>
  <c r="HE296" i="12"/>
  <c r="HF296" i="12"/>
  <c r="HG296" i="12"/>
  <c r="HH296" i="12"/>
  <c r="HI296" i="12"/>
  <c r="HJ296" i="12"/>
  <c r="HK296" i="12"/>
  <c r="HL296" i="12"/>
  <c r="HM296" i="12"/>
  <c r="HN296" i="12"/>
  <c r="HO296" i="12"/>
  <c r="HP296" i="12"/>
  <c r="HQ296" i="12"/>
  <c r="HR296" i="12"/>
  <c r="HS296" i="12"/>
  <c r="HT296" i="12"/>
  <c r="HU296" i="12"/>
  <c r="HV296" i="12"/>
  <c r="HW296" i="12"/>
  <c r="HX296" i="12"/>
  <c r="HY296" i="12"/>
  <c r="HZ296" i="12"/>
  <c r="IA296" i="12"/>
  <c r="IB296" i="12"/>
  <c r="IC296" i="12"/>
  <c r="ID296" i="12"/>
  <c r="IE296" i="12"/>
  <c r="IF296" i="12"/>
  <c r="IG296" i="12"/>
  <c r="IH296" i="12"/>
  <c r="II296" i="12"/>
  <c r="IJ296" i="12"/>
  <c r="IK296" i="12"/>
  <c r="IL296" i="12"/>
  <c r="IM296" i="12"/>
  <c r="IN296" i="12"/>
  <c r="IO296" i="12"/>
  <c r="IP296" i="12"/>
  <c r="IQ296" i="12"/>
  <c r="IR296" i="12"/>
  <c r="IS296" i="12"/>
  <c r="IT296" i="12"/>
  <c r="IU296" i="12"/>
  <c r="IV296" i="12"/>
  <c r="F297" i="12"/>
  <c r="G297" i="12"/>
  <c r="H297" i="12"/>
  <c r="I297" i="12"/>
  <c r="J297" i="12"/>
  <c r="K297" i="12"/>
  <c r="L297" i="12"/>
  <c r="M297" i="12"/>
  <c r="N297" i="12"/>
  <c r="O297" i="12"/>
  <c r="P297" i="12"/>
  <c r="Q297" i="12"/>
  <c r="R297" i="12"/>
  <c r="S297" i="12"/>
  <c r="T297" i="12"/>
  <c r="U297" i="12"/>
  <c r="V297" i="12"/>
  <c r="W297" i="12"/>
  <c r="X297" i="12"/>
  <c r="Y297" i="12"/>
  <c r="Z297" i="12"/>
  <c r="AA297" i="12"/>
  <c r="AB297" i="12"/>
  <c r="AC297" i="12"/>
  <c r="AD297" i="12"/>
  <c r="AE297" i="12"/>
  <c r="AF297" i="12"/>
  <c r="AG297" i="12"/>
  <c r="AH297" i="12"/>
  <c r="AI297" i="12"/>
  <c r="AJ297" i="12"/>
  <c r="AK297" i="12"/>
  <c r="AL297" i="12"/>
  <c r="AM297" i="12"/>
  <c r="AN297" i="12"/>
  <c r="AO297" i="12"/>
  <c r="AP297" i="12"/>
  <c r="AQ297" i="12"/>
  <c r="AR297" i="12"/>
  <c r="AS297" i="12"/>
  <c r="AT297" i="12"/>
  <c r="AU297" i="12"/>
  <c r="AV297" i="12"/>
  <c r="AW297" i="12"/>
  <c r="AX297" i="12"/>
  <c r="AY297" i="12"/>
  <c r="AZ297" i="12"/>
  <c r="BA297" i="12"/>
  <c r="BB297" i="12"/>
  <c r="BC297" i="12"/>
  <c r="BD297" i="12"/>
  <c r="BE297" i="12"/>
  <c r="BF297" i="12"/>
  <c r="BG297" i="12"/>
  <c r="BH297" i="12"/>
  <c r="BI297" i="12"/>
  <c r="BJ297" i="12"/>
  <c r="BK297" i="12"/>
  <c r="BL297" i="12"/>
  <c r="BM297" i="12"/>
  <c r="BN297" i="12"/>
  <c r="BO297" i="12"/>
  <c r="BP297" i="12"/>
  <c r="BQ297" i="12"/>
  <c r="BR297" i="12"/>
  <c r="BS297" i="12"/>
  <c r="BT297" i="12"/>
  <c r="BU297" i="12"/>
  <c r="BV297" i="12"/>
  <c r="BW297" i="12"/>
  <c r="BX297" i="12"/>
  <c r="BY297" i="12"/>
  <c r="BZ297" i="12"/>
  <c r="CA297" i="12"/>
  <c r="CB297" i="12"/>
  <c r="CC297" i="12"/>
  <c r="CD297" i="12"/>
  <c r="CE297" i="12"/>
  <c r="CF297" i="12"/>
  <c r="CG297" i="12"/>
  <c r="CH297" i="12"/>
  <c r="CI297" i="12"/>
  <c r="CJ297" i="12"/>
  <c r="CK297" i="12"/>
  <c r="CL297" i="12"/>
  <c r="CM297" i="12"/>
  <c r="CN297" i="12"/>
  <c r="CO297" i="12"/>
  <c r="CP297" i="12"/>
  <c r="CQ297" i="12"/>
  <c r="CR297" i="12"/>
  <c r="CS297" i="12"/>
  <c r="CT297" i="12"/>
  <c r="CU297" i="12"/>
  <c r="CV297" i="12"/>
  <c r="CW297" i="12"/>
  <c r="CX297" i="12"/>
  <c r="CY297" i="12"/>
  <c r="CZ297" i="12"/>
  <c r="DA297" i="12"/>
  <c r="DB297" i="12"/>
  <c r="DC297" i="12"/>
  <c r="DD297" i="12"/>
  <c r="DE297" i="12"/>
  <c r="DF297" i="12"/>
  <c r="DG297" i="12"/>
  <c r="DH297" i="12"/>
  <c r="DI297" i="12"/>
  <c r="DJ297" i="12"/>
  <c r="DK297" i="12"/>
  <c r="DL297" i="12"/>
  <c r="DM297" i="12"/>
  <c r="DN297" i="12"/>
  <c r="DO297" i="12"/>
  <c r="DP297" i="12"/>
  <c r="DQ297" i="12"/>
  <c r="DR297" i="12"/>
  <c r="DS297" i="12"/>
  <c r="DT297" i="12"/>
  <c r="DU297" i="12"/>
  <c r="DV297" i="12"/>
  <c r="DW297" i="12"/>
  <c r="DX297" i="12"/>
  <c r="DY297" i="12"/>
  <c r="DZ297" i="12"/>
  <c r="EA297" i="12"/>
  <c r="EB297" i="12"/>
  <c r="EC297" i="12"/>
  <c r="ED297" i="12"/>
  <c r="EE297" i="12"/>
  <c r="EF297" i="12"/>
  <c r="EG297" i="12"/>
  <c r="EH297" i="12"/>
  <c r="EI297" i="12"/>
  <c r="EJ297" i="12"/>
  <c r="EK297" i="12"/>
  <c r="EL297" i="12"/>
  <c r="EM297" i="12"/>
  <c r="EN297" i="12"/>
  <c r="EO297" i="12"/>
  <c r="EP297" i="12"/>
  <c r="EQ297" i="12"/>
  <c r="ER297" i="12"/>
  <c r="ES297" i="12"/>
  <c r="ET297" i="12"/>
  <c r="EU297" i="12"/>
  <c r="EV297" i="12"/>
  <c r="EW297" i="12"/>
  <c r="EX297" i="12"/>
  <c r="EY297" i="12"/>
  <c r="EZ297" i="12"/>
  <c r="FA297" i="12"/>
  <c r="FB297" i="12"/>
  <c r="FC297" i="12"/>
  <c r="FD297" i="12"/>
  <c r="FE297" i="12"/>
  <c r="FF297" i="12"/>
  <c r="FG297" i="12"/>
  <c r="FH297" i="12"/>
  <c r="FI297" i="12"/>
  <c r="FJ297" i="12"/>
  <c r="FK297" i="12"/>
  <c r="FL297" i="12"/>
  <c r="FM297" i="12"/>
  <c r="FN297" i="12"/>
  <c r="FO297" i="12"/>
  <c r="FP297" i="12"/>
  <c r="FQ297" i="12"/>
  <c r="FR297" i="12"/>
  <c r="FS297" i="12"/>
  <c r="FT297" i="12"/>
  <c r="FU297" i="12"/>
  <c r="FV297" i="12"/>
  <c r="FW297" i="12"/>
  <c r="FX297" i="12"/>
  <c r="FY297" i="12"/>
  <c r="FZ297" i="12"/>
  <c r="GA297" i="12"/>
  <c r="GB297" i="12"/>
  <c r="GC297" i="12"/>
  <c r="GD297" i="12"/>
  <c r="GE297" i="12"/>
  <c r="GF297" i="12"/>
  <c r="GG297" i="12"/>
  <c r="GH297" i="12"/>
  <c r="GI297" i="12"/>
  <c r="GJ297" i="12"/>
  <c r="GK297" i="12"/>
  <c r="GL297" i="12"/>
  <c r="GM297" i="12"/>
  <c r="GN297" i="12"/>
  <c r="GO297" i="12"/>
  <c r="GP297" i="12"/>
  <c r="GQ297" i="12"/>
  <c r="GR297" i="12"/>
  <c r="GS297" i="12"/>
  <c r="GT297" i="12"/>
  <c r="GU297" i="12"/>
  <c r="GV297" i="12"/>
  <c r="GW297" i="12"/>
  <c r="GX297" i="12"/>
  <c r="GY297" i="12"/>
  <c r="GZ297" i="12"/>
  <c r="HA297" i="12"/>
  <c r="HB297" i="12"/>
  <c r="HC297" i="12"/>
  <c r="HD297" i="12"/>
  <c r="HE297" i="12"/>
  <c r="HF297" i="12"/>
  <c r="HG297" i="12"/>
  <c r="HH297" i="12"/>
  <c r="HI297" i="12"/>
  <c r="HJ297" i="12"/>
  <c r="HK297" i="12"/>
  <c r="HL297" i="12"/>
  <c r="HM297" i="12"/>
  <c r="HN297" i="12"/>
  <c r="HO297" i="12"/>
  <c r="HP297" i="12"/>
  <c r="HQ297" i="12"/>
  <c r="HR297" i="12"/>
  <c r="HS297" i="12"/>
  <c r="HT297" i="12"/>
  <c r="HU297" i="12"/>
  <c r="HV297" i="12"/>
  <c r="HW297" i="12"/>
  <c r="HX297" i="12"/>
  <c r="HY297" i="12"/>
  <c r="HZ297" i="12"/>
  <c r="IA297" i="12"/>
  <c r="IB297" i="12"/>
  <c r="IC297" i="12"/>
  <c r="ID297" i="12"/>
  <c r="IE297" i="12"/>
  <c r="IF297" i="12"/>
  <c r="IG297" i="12"/>
  <c r="IH297" i="12"/>
  <c r="II297" i="12"/>
  <c r="IJ297" i="12"/>
  <c r="IK297" i="12"/>
  <c r="IL297" i="12"/>
  <c r="IM297" i="12"/>
  <c r="IN297" i="12"/>
  <c r="IO297" i="12"/>
  <c r="IP297" i="12"/>
  <c r="IQ297" i="12"/>
  <c r="IR297" i="12"/>
  <c r="IS297" i="12"/>
  <c r="IT297" i="12"/>
  <c r="IU297" i="12"/>
  <c r="IV297" i="12"/>
  <c r="F298" i="12"/>
  <c r="G298" i="12"/>
  <c r="H298" i="12"/>
  <c r="I298" i="12"/>
  <c r="J298" i="12"/>
  <c r="K298" i="12"/>
  <c r="L298" i="12"/>
  <c r="M298" i="12"/>
  <c r="N298" i="12"/>
  <c r="O298" i="12"/>
  <c r="P298" i="12"/>
  <c r="Q298" i="12"/>
  <c r="R298" i="12"/>
  <c r="S298" i="12"/>
  <c r="T298" i="12"/>
  <c r="U298" i="12"/>
  <c r="V298" i="12"/>
  <c r="W298" i="12"/>
  <c r="X298" i="12"/>
  <c r="Y298" i="12"/>
  <c r="Z298" i="12"/>
  <c r="AA298" i="12"/>
  <c r="AB298" i="12"/>
  <c r="AC298" i="12"/>
  <c r="AD298" i="12"/>
  <c r="AE298" i="12"/>
  <c r="AF298" i="12"/>
  <c r="AG298" i="12"/>
  <c r="AH298" i="12"/>
  <c r="AI298" i="12"/>
  <c r="AJ298" i="12"/>
  <c r="AK298" i="12"/>
  <c r="AL298" i="12"/>
  <c r="AM298" i="12"/>
  <c r="AN298" i="12"/>
  <c r="AO298" i="12"/>
  <c r="AP298" i="12"/>
  <c r="AQ298" i="12"/>
  <c r="AR298" i="12"/>
  <c r="AS298" i="12"/>
  <c r="AT298" i="12"/>
  <c r="AU298" i="12"/>
  <c r="AV298" i="12"/>
  <c r="AW298" i="12"/>
  <c r="AX298" i="12"/>
  <c r="AY298" i="12"/>
  <c r="AZ298" i="12"/>
  <c r="BA298" i="12"/>
  <c r="BB298" i="12"/>
  <c r="BC298" i="12"/>
  <c r="BD298" i="12"/>
  <c r="BE298" i="12"/>
  <c r="BF298" i="12"/>
  <c r="BG298" i="12"/>
  <c r="BH298" i="12"/>
  <c r="BI298" i="12"/>
  <c r="BJ298" i="12"/>
  <c r="BK298" i="12"/>
  <c r="BL298" i="12"/>
  <c r="BM298" i="12"/>
  <c r="BN298" i="12"/>
  <c r="BO298" i="12"/>
  <c r="BP298" i="12"/>
  <c r="BQ298" i="12"/>
  <c r="BR298" i="12"/>
  <c r="BS298" i="12"/>
  <c r="BT298" i="12"/>
  <c r="BU298" i="12"/>
  <c r="BV298" i="12"/>
  <c r="BW298" i="12"/>
  <c r="BX298" i="12"/>
  <c r="BY298" i="12"/>
  <c r="BZ298" i="12"/>
  <c r="CA298" i="12"/>
  <c r="CB298" i="12"/>
  <c r="CC298" i="12"/>
  <c r="CD298" i="12"/>
  <c r="CE298" i="12"/>
  <c r="CF298" i="12"/>
  <c r="CG298" i="12"/>
  <c r="CH298" i="12"/>
  <c r="CI298" i="12"/>
  <c r="CJ298" i="12"/>
  <c r="CK298" i="12"/>
  <c r="CL298" i="12"/>
  <c r="CM298" i="12"/>
  <c r="CN298" i="12"/>
  <c r="CO298" i="12"/>
  <c r="CP298" i="12"/>
  <c r="CQ298" i="12"/>
  <c r="CR298" i="12"/>
  <c r="CS298" i="12"/>
  <c r="CT298" i="12"/>
  <c r="CU298" i="12"/>
  <c r="CV298" i="12"/>
  <c r="CW298" i="12"/>
  <c r="CX298" i="12"/>
  <c r="CY298" i="12"/>
  <c r="CZ298" i="12"/>
  <c r="DA298" i="12"/>
  <c r="DB298" i="12"/>
  <c r="DC298" i="12"/>
  <c r="DD298" i="12"/>
  <c r="DE298" i="12"/>
  <c r="DF298" i="12"/>
  <c r="DG298" i="12"/>
  <c r="DH298" i="12"/>
  <c r="DI298" i="12"/>
  <c r="DJ298" i="12"/>
  <c r="DK298" i="12"/>
  <c r="DL298" i="12"/>
  <c r="DM298" i="12"/>
  <c r="DN298" i="12"/>
  <c r="DO298" i="12"/>
  <c r="DP298" i="12"/>
  <c r="DQ298" i="12"/>
  <c r="DR298" i="12"/>
  <c r="DS298" i="12"/>
  <c r="DT298" i="12"/>
  <c r="DU298" i="12"/>
  <c r="DV298" i="12"/>
  <c r="DW298" i="12"/>
  <c r="DX298" i="12"/>
  <c r="DY298" i="12"/>
  <c r="DZ298" i="12"/>
  <c r="EA298" i="12"/>
  <c r="EB298" i="12"/>
  <c r="EC298" i="12"/>
  <c r="ED298" i="12"/>
  <c r="EE298" i="12"/>
  <c r="EF298" i="12"/>
  <c r="EG298" i="12"/>
  <c r="EH298" i="12"/>
  <c r="EI298" i="12"/>
  <c r="EJ298" i="12"/>
  <c r="EK298" i="12"/>
  <c r="EL298" i="12"/>
  <c r="EM298" i="12"/>
  <c r="EN298" i="12"/>
  <c r="EO298" i="12"/>
  <c r="EP298" i="12"/>
  <c r="EQ298" i="12"/>
  <c r="ER298" i="12"/>
  <c r="ES298" i="12"/>
  <c r="ET298" i="12"/>
  <c r="EU298" i="12"/>
  <c r="EV298" i="12"/>
  <c r="EW298" i="12"/>
  <c r="EX298" i="12"/>
  <c r="EY298" i="12"/>
  <c r="EZ298" i="12"/>
  <c r="FA298" i="12"/>
  <c r="FB298" i="12"/>
  <c r="FC298" i="12"/>
  <c r="FD298" i="12"/>
  <c r="FE298" i="12"/>
  <c r="FF298" i="12"/>
  <c r="FG298" i="12"/>
  <c r="FH298" i="12"/>
  <c r="FI298" i="12"/>
  <c r="FJ298" i="12"/>
  <c r="FK298" i="12"/>
  <c r="FL298" i="12"/>
  <c r="FM298" i="12"/>
  <c r="FN298" i="12"/>
  <c r="FO298" i="12"/>
  <c r="FP298" i="12"/>
  <c r="FQ298" i="12"/>
  <c r="FR298" i="12"/>
  <c r="FS298" i="12"/>
  <c r="FT298" i="12"/>
  <c r="FU298" i="12"/>
  <c r="FV298" i="12"/>
  <c r="FW298" i="12"/>
  <c r="FX298" i="12"/>
  <c r="FY298" i="12"/>
  <c r="FZ298" i="12"/>
  <c r="GA298" i="12"/>
  <c r="GB298" i="12"/>
  <c r="GC298" i="12"/>
  <c r="GD298" i="12"/>
  <c r="GE298" i="12"/>
  <c r="GF298" i="12"/>
  <c r="GG298" i="12"/>
  <c r="GH298" i="12"/>
  <c r="GI298" i="12"/>
  <c r="GJ298" i="12"/>
  <c r="GK298" i="12"/>
  <c r="GL298" i="12"/>
  <c r="GM298" i="12"/>
  <c r="GN298" i="12"/>
  <c r="GO298" i="12"/>
  <c r="GP298" i="12"/>
  <c r="GQ298" i="12"/>
  <c r="GR298" i="12"/>
  <c r="GS298" i="12"/>
  <c r="GT298" i="12"/>
  <c r="GU298" i="12"/>
  <c r="GV298" i="12"/>
  <c r="GW298" i="12"/>
  <c r="GX298" i="12"/>
  <c r="GY298" i="12"/>
  <c r="GZ298" i="12"/>
  <c r="HA298" i="12"/>
  <c r="HB298" i="12"/>
  <c r="HC298" i="12"/>
  <c r="HD298" i="12"/>
  <c r="HE298" i="12"/>
  <c r="HF298" i="12"/>
  <c r="HG298" i="12"/>
  <c r="HH298" i="12"/>
  <c r="HI298" i="12"/>
  <c r="HJ298" i="12"/>
  <c r="HK298" i="12"/>
  <c r="HL298" i="12"/>
  <c r="HM298" i="12"/>
  <c r="HN298" i="12"/>
  <c r="HO298" i="12"/>
  <c r="HP298" i="12"/>
  <c r="HQ298" i="12"/>
  <c r="HR298" i="12"/>
  <c r="HS298" i="12"/>
  <c r="HT298" i="12"/>
  <c r="HU298" i="12"/>
  <c r="HV298" i="12"/>
  <c r="HW298" i="12"/>
  <c r="HX298" i="12"/>
  <c r="HY298" i="12"/>
  <c r="HZ298" i="12"/>
  <c r="IA298" i="12"/>
  <c r="IB298" i="12"/>
  <c r="IC298" i="12"/>
  <c r="ID298" i="12"/>
  <c r="IE298" i="12"/>
  <c r="IF298" i="12"/>
  <c r="IG298" i="12"/>
  <c r="IH298" i="12"/>
  <c r="II298" i="12"/>
  <c r="IJ298" i="12"/>
  <c r="IK298" i="12"/>
  <c r="IL298" i="12"/>
  <c r="IM298" i="12"/>
  <c r="IN298" i="12"/>
  <c r="IO298" i="12"/>
  <c r="IP298" i="12"/>
  <c r="IQ298" i="12"/>
  <c r="IR298" i="12"/>
  <c r="IS298" i="12"/>
  <c r="IT298" i="12"/>
  <c r="IU298" i="12"/>
  <c r="IV298" i="12"/>
  <c r="F299" i="12"/>
  <c r="G299" i="12"/>
  <c r="H299" i="12"/>
  <c r="I299" i="12"/>
  <c r="J299" i="12"/>
  <c r="K299" i="12"/>
  <c r="L299" i="12"/>
  <c r="M299" i="12"/>
  <c r="N299" i="12"/>
  <c r="O299" i="12"/>
  <c r="P299" i="12"/>
  <c r="Q299" i="12"/>
  <c r="R299" i="12"/>
  <c r="S299" i="12"/>
  <c r="T299" i="12"/>
  <c r="U299" i="12"/>
  <c r="V299" i="12"/>
  <c r="W299" i="12"/>
  <c r="X299" i="12"/>
  <c r="Y299" i="12"/>
  <c r="Z299" i="12"/>
  <c r="AA299" i="12"/>
  <c r="AB299" i="12"/>
  <c r="AC299" i="12"/>
  <c r="AD299" i="12"/>
  <c r="AE299" i="12"/>
  <c r="AF299" i="12"/>
  <c r="AG299" i="12"/>
  <c r="AH299" i="12"/>
  <c r="AI299" i="12"/>
  <c r="AJ299" i="12"/>
  <c r="AK299" i="12"/>
  <c r="AL299" i="12"/>
  <c r="AM299" i="12"/>
  <c r="AN299" i="12"/>
  <c r="AO299" i="12"/>
  <c r="AP299" i="12"/>
  <c r="AQ299" i="12"/>
  <c r="AR299" i="12"/>
  <c r="AS299" i="12"/>
  <c r="AT299" i="12"/>
  <c r="AU299" i="12"/>
  <c r="AV299" i="12"/>
  <c r="AW299" i="12"/>
  <c r="AX299" i="12"/>
  <c r="AY299" i="12"/>
  <c r="AZ299" i="12"/>
  <c r="BA299" i="12"/>
  <c r="BB299" i="12"/>
  <c r="BC299" i="12"/>
  <c r="BD299" i="12"/>
  <c r="BE299" i="12"/>
  <c r="BF299" i="12"/>
  <c r="BG299" i="12"/>
  <c r="BH299" i="12"/>
  <c r="BI299" i="12"/>
  <c r="BJ299" i="12"/>
  <c r="BK299" i="12"/>
  <c r="BL299" i="12"/>
  <c r="BM299" i="12"/>
  <c r="BN299" i="12"/>
  <c r="BO299" i="12"/>
  <c r="BP299" i="12"/>
  <c r="BQ299" i="12"/>
  <c r="BR299" i="12"/>
  <c r="BS299" i="12"/>
  <c r="BT299" i="12"/>
  <c r="BU299" i="12"/>
  <c r="BV299" i="12"/>
  <c r="BW299" i="12"/>
  <c r="BX299" i="12"/>
  <c r="BY299" i="12"/>
  <c r="BZ299" i="12"/>
  <c r="CA299" i="12"/>
  <c r="CB299" i="12"/>
  <c r="CC299" i="12"/>
  <c r="CD299" i="12"/>
  <c r="CE299" i="12"/>
  <c r="CF299" i="12"/>
  <c r="CG299" i="12"/>
  <c r="CH299" i="12"/>
  <c r="CI299" i="12"/>
  <c r="CJ299" i="12"/>
  <c r="CK299" i="12"/>
  <c r="CL299" i="12"/>
  <c r="CM299" i="12"/>
  <c r="CN299" i="12"/>
  <c r="CO299" i="12"/>
  <c r="CP299" i="12"/>
  <c r="CQ299" i="12"/>
  <c r="CR299" i="12"/>
  <c r="CS299" i="12"/>
  <c r="CT299" i="12"/>
  <c r="CU299" i="12"/>
  <c r="CV299" i="12"/>
  <c r="CW299" i="12"/>
  <c r="CX299" i="12"/>
  <c r="CY299" i="12"/>
  <c r="CZ299" i="12"/>
  <c r="DA299" i="12"/>
  <c r="DB299" i="12"/>
  <c r="DC299" i="12"/>
  <c r="DD299" i="12"/>
  <c r="DE299" i="12"/>
  <c r="DF299" i="12"/>
  <c r="DG299" i="12"/>
  <c r="DH299" i="12"/>
  <c r="DI299" i="12"/>
  <c r="DJ299" i="12"/>
  <c r="DK299" i="12"/>
  <c r="DL299" i="12"/>
  <c r="DM299" i="12"/>
  <c r="DN299" i="12"/>
  <c r="DO299" i="12"/>
  <c r="DP299" i="12"/>
  <c r="DQ299" i="12"/>
  <c r="DR299" i="12"/>
  <c r="DS299" i="12"/>
  <c r="DT299" i="12"/>
  <c r="DU299" i="12"/>
  <c r="DV299" i="12"/>
  <c r="DW299" i="12"/>
  <c r="DX299" i="12"/>
  <c r="DY299" i="12"/>
  <c r="DZ299" i="12"/>
  <c r="EA299" i="12"/>
  <c r="EB299" i="12"/>
  <c r="EC299" i="12"/>
  <c r="ED299" i="12"/>
  <c r="EE299" i="12"/>
  <c r="EF299" i="12"/>
  <c r="EG299" i="12"/>
  <c r="EH299" i="12"/>
  <c r="EI299" i="12"/>
  <c r="EJ299" i="12"/>
  <c r="EK299" i="12"/>
  <c r="EL299" i="12"/>
  <c r="EM299" i="12"/>
  <c r="EN299" i="12"/>
  <c r="EO299" i="12"/>
  <c r="EP299" i="12"/>
  <c r="EQ299" i="12"/>
  <c r="ER299" i="12"/>
  <c r="ES299" i="12"/>
  <c r="ET299" i="12"/>
  <c r="EU299" i="12"/>
  <c r="EV299" i="12"/>
  <c r="EW299" i="12"/>
  <c r="EX299" i="12"/>
  <c r="EY299" i="12"/>
  <c r="EZ299" i="12"/>
  <c r="FA299" i="12"/>
  <c r="FB299" i="12"/>
  <c r="FC299" i="12"/>
  <c r="FD299" i="12"/>
  <c r="FE299" i="12"/>
  <c r="FF299" i="12"/>
  <c r="FG299" i="12"/>
  <c r="FH299" i="12"/>
  <c r="FI299" i="12"/>
  <c r="FJ299" i="12"/>
  <c r="FK299" i="12"/>
  <c r="FL299" i="12"/>
  <c r="FM299" i="12"/>
  <c r="FN299" i="12"/>
  <c r="FO299" i="12"/>
  <c r="FP299" i="12"/>
  <c r="FQ299" i="12"/>
  <c r="FR299" i="12"/>
  <c r="FS299" i="12"/>
  <c r="FT299" i="12"/>
  <c r="FU299" i="12"/>
  <c r="FV299" i="12"/>
  <c r="FW299" i="12"/>
  <c r="FX299" i="12"/>
  <c r="FY299" i="12"/>
  <c r="FZ299" i="12"/>
  <c r="GA299" i="12"/>
  <c r="GB299" i="12"/>
  <c r="GC299" i="12"/>
  <c r="GD299" i="12"/>
  <c r="GE299" i="12"/>
  <c r="GF299" i="12"/>
  <c r="GG299" i="12"/>
  <c r="GH299" i="12"/>
  <c r="GI299" i="12"/>
  <c r="GJ299" i="12"/>
  <c r="GK299" i="12"/>
  <c r="GL299" i="12"/>
  <c r="GM299" i="12"/>
  <c r="GN299" i="12"/>
  <c r="GO299" i="12"/>
  <c r="GP299" i="12"/>
  <c r="GQ299" i="12"/>
  <c r="GR299" i="12"/>
  <c r="GS299" i="12"/>
  <c r="GT299" i="12"/>
  <c r="GU299" i="12"/>
  <c r="GV299" i="12"/>
  <c r="GW299" i="12"/>
  <c r="GX299" i="12"/>
  <c r="GY299" i="12"/>
  <c r="GZ299" i="12"/>
  <c r="HA299" i="12"/>
  <c r="HB299" i="12"/>
  <c r="HC299" i="12"/>
  <c r="HD299" i="12"/>
  <c r="HE299" i="12"/>
  <c r="HF299" i="12"/>
  <c r="HG299" i="12"/>
  <c r="HH299" i="12"/>
  <c r="HI299" i="12"/>
  <c r="HJ299" i="12"/>
  <c r="HK299" i="12"/>
  <c r="HL299" i="12"/>
  <c r="HM299" i="12"/>
  <c r="HN299" i="12"/>
  <c r="HO299" i="12"/>
  <c r="HP299" i="12"/>
  <c r="HQ299" i="12"/>
  <c r="HR299" i="12"/>
  <c r="HS299" i="12"/>
  <c r="HT299" i="12"/>
  <c r="HU299" i="12"/>
  <c r="HV299" i="12"/>
  <c r="HW299" i="12"/>
  <c r="HX299" i="12"/>
  <c r="HY299" i="12"/>
  <c r="HZ299" i="12"/>
  <c r="IA299" i="12"/>
  <c r="IB299" i="12"/>
  <c r="IC299" i="12"/>
  <c r="ID299" i="12"/>
  <c r="IE299" i="12"/>
  <c r="IF299" i="12"/>
  <c r="IG299" i="12"/>
  <c r="IH299" i="12"/>
  <c r="II299" i="12"/>
  <c r="IJ299" i="12"/>
  <c r="IK299" i="12"/>
  <c r="IL299" i="12"/>
  <c r="IM299" i="12"/>
  <c r="IN299" i="12"/>
  <c r="IO299" i="12"/>
  <c r="IP299" i="12"/>
  <c r="IQ299" i="12"/>
  <c r="IR299" i="12"/>
  <c r="IS299" i="12"/>
  <c r="IT299" i="12"/>
  <c r="IU299" i="12"/>
  <c r="IV299" i="12"/>
  <c r="F300" i="12"/>
  <c r="G300" i="12"/>
  <c r="H300" i="12"/>
  <c r="I300" i="12"/>
  <c r="J300" i="12"/>
  <c r="K300" i="12"/>
  <c r="L300" i="12"/>
  <c r="M300" i="12"/>
  <c r="N300" i="12"/>
  <c r="O300" i="12"/>
  <c r="P300" i="12"/>
  <c r="Q300" i="12"/>
  <c r="R300" i="12"/>
  <c r="S300" i="12"/>
  <c r="T300" i="12"/>
  <c r="U300" i="12"/>
  <c r="V300" i="12"/>
  <c r="W300" i="12"/>
  <c r="X300" i="12"/>
  <c r="Y300" i="12"/>
  <c r="Z300" i="12"/>
  <c r="AA300" i="12"/>
  <c r="AB300" i="12"/>
  <c r="AC300" i="12"/>
  <c r="AD300" i="12"/>
  <c r="AE300" i="12"/>
  <c r="AF300" i="12"/>
  <c r="AG300" i="12"/>
  <c r="AH300" i="12"/>
  <c r="AI300" i="12"/>
  <c r="AJ300" i="12"/>
  <c r="AK300" i="12"/>
  <c r="AL300" i="12"/>
  <c r="AM300" i="12"/>
  <c r="AN300" i="12"/>
  <c r="AO300" i="12"/>
  <c r="AP300" i="12"/>
  <c r="AQ300" i="12"/>
  <c r="AR300" i="12"/>
  <c r="AS300" i="12"/>
  <c r="AT300" i="12"/>
  <c r="AU300" i="12"/>
  <c r="AV300" i="12"/>
  <c r="AW300" i="12"/>
  <c r="AX300" i="12"/>
  <c r="AY300" i="12"/>
  <c r="AZ300" i="12"/>
  <c r="BA300" i="12"/>
  <c r="BB300" i="12"/>
  <c r="BC300" i="12"/>
  <c r="BD300" i="12"/>
  <c r="BE300" i="12"/>
  <c r="BF300" i="12"/>
  <c r="BG300" i="12"/>
  <c r="BH300" i="12"/>
  <c r="BI300" i="12"/>
  <c r="BJ300" i="12"/>
  <c r="BK300" i="12"/>
  <c r="BL300" i="12"/>
  <c r="BM300" i="12"/>
  <c r="BN300" i="12"/>
  <c r="BO300" i="12"/>
  <c r="BP300" i="12"/>
  <c r="BQ300" i="12"/>
  <c r="BR300" i="12"/>
  <c r="BS300" i="12"/>
  <c r="BT300" i="12"/>
  <c r="BU300" i="12"/>
  <c r="BV300" i="12"/>
  <c r="BW300" i="12"/>
  <c r="BX300" i="12"/>
  <c r="BY300" i="12"/>
  <c r="BZ300" i="12"/>
  <c r="CA300" i="12"/>
  <c r="CB300" i="12"/>
  <c r="CC300" i="12"/>
  <c r="CD300" i="12"/>
  <c r="CE300" i="12"/>
  <c r="CF300" i="12"/>
  <c r="CG300" i="12"/>
  <c r="CH300" i="12"/>
  <c r="CI300" i="12"/>
  <c r="CJ300" i="12"/>
  <c r="CK300" i="12"/>
  <c r="CL300" i="12"/>
  <c r="CM300" i="12"/>
  <c r="CN300" i="12"/>
  <c r="CO300" i="12"/>
  <c r="CP300" i="12"/>
  <c r="CQ300" i="12"/>
  <c r="CR300" i="12"/>
  <c r="CS300" i="12"/>
  <c r="CT300" i="12"/>
  <c r="CU300" i="12"/>
  <c r="CV300" i="12"/>
  <c r="CW300" i="12"/>
  <c r="CX300" i="12"/>
  <c r="CY300" i="12"/>
  <c r="CZ300" i="12"/>
  <c r="DA300" i="12"/>
  <c r="DB300" i="12"/>
  <c r="DC300" i="12"/>
  <c r="DD300" i="12"/>
  <c r="DE300" i="12"/>
  <c r="DF300" i="12"/>
  <c r="DG300" i="12"/>
  <c r="DH300" i="12"/>
  <c r="DI300" i="12"/>
  <c r="DJ300" i="12"/>
  <c r="DK300" i="12"/>
  <c r="DL300" i="12"/>
  <c r="DM300" i="12"/>
  <c r="DN300" i="12"/>
  <c r="DO300" i="12"/>
  <c r="DP300" i="12"/>
  <c r="DQ300" i="12"/>
  <c r="DR300" i="12"/>
  <c r="DS300" i="12"/>
  <c r="DT300" i="12"/>
  <c r="DU300" i="12"/>
  <c r="DV300" i="12"/>
  <c r="DW300" i="12"/>
  <c r="DX300" i="12"/>
  <c r="DY300" i="12"/>
  <c r="DZ300" i="12"/>
  <c r="EA300" i="12"/>
  <c r="EB300" i="12"/>
  <c r="EC300" i="12"/>
  <c r="ED300" i="12"/>
  <c r="EE300" i="12"/>
  <c r="EF300" i="12"/>
  <c r="EG300" i="12"/>
  <c r="EH300" i="12"/>
  <c r="EI300" i="12"/>
  <c r="EJ300" i="12"/>
  <c r="EK300" i="12"/>
  <c r="EL300" i="12"/>
  <c r="EM300" i="12"/>
  <c r="EN300" i="12"/>
  <c r="EO300" i="12"/>
  <c r="EP300" i="12"/>
  <c r="EQ300" i="12"/>
  <c r="ER300" i="12"/>
  <c r="ES300" i="12"/>
  <c r="ET300" i="12"/>
  <c r="EU300" i="12"/>
  <c r="EV300" i="12"/>
  <c r="EW300" i="12"/>
  <c r="EX300" i="12"/>
  <c r="EY300" i="12"/>
  <c r="EZ300" i="12"/>
  <c r="FA300" i="12"/>
  <c r="FB300" i="12"/>
  <c r="FC300" i="12"/>
  <c r="FD300" i="12"/>
  <c r="FE300" i="12"/>
  <c r="FF300" i="12"/>
  <c r="FG300" i="12"/>
  <c r="FH300" i="12"/>
  <c r="FI300" i="12"/>
  <c r="FJ300" i="12"/>
  <c r="FK300" i="12"/>
  <c r="FL300" i="12"/>
  <c r="FM300" i="12"/>
  <c r="FN300" i="12"/>
  <c r="FO300" i="12"/>
  <c r="FP300" i="12"/>
  <c r="FQ300" i="12"/>
  <c r="FR300" i="12"/>
  <c r="FS300" i="12"/>
  <c r="FT300" i="12"/>
  <c r="FU300" i="12"/>
  <c r="FV300" i="12"/>
  <c r="FW300" i="12"/>
  <c r="FX300" i="12"/>
  <c r="FY300" i="12"/>
  <c r="FZ300" i="12"/>
  <c r="GA300" i="12"/>
  <c r="GB300" i="12"/>
  <c r="GC300" i="12"/>
  <c r="GD300" i="12"/>
  <c r="GE300" i="12"/>
  <c r="GF300" i="12"/>
  <c r="GG300" i="12"/>
  <c r="GH300" i="12"/>
  <c r="GI300" i="12"/>
  <c r="GJ300" i="12"/>
  <c r="GK300" i="12"/>
  <c r="GL300" i="12"/>
  <c r="GM300" i="12"/>
  <c r="GN300" i="12"/>
  <c r="GO300" i="12"/>
  <c r="GP300" i="12"/>
  <c r="GQ300" i="12"/>
  <c r="GR300" i="12"/>
  <c r="GS300" i="12"/>
  <c r="GT300" i="12"/>
  <c r="GU300" i="12"/>
  <c r="GV300" i="12"/>
  <c r="GW300" i="12"/>
  <c r="GX300" i="12"/>
  <c r="GY300" i="12"/>
  <c r="GZ300" i="12"/>
  <c r="HA300" i="12"/>
  <c r="HB300" i="12"/>
  <c r="HC300" i="12"/>
  <c r="HD300" i="12"/>
  <c r="HE300" i="12"/>
  <c r="HF300" i="12"/>
  <c r="HG300" i="12"/>
  <c r="HH300" i="12"/>
  <c r="HI300" i="12"/>
  <c r="HJ300" i="12"/>
  <c r="HK300" i="12"/>
  <c r="HL300" i="12"/>
  <c r="HM300" i="12"/>
  <c r="HN300" i="12"/>
  <c r="HO300" i="12"/>
  <c r="HP300" i="12"/>
  <c r="HQ300" i="12"/>
  <c r="HR300" i="12"/>
  <c r="HS300" i="12"/>
  <c r="HT300" i="12"/>
  <c r="HU300" i="12"/>
  <c r="HV300" i="12"/>
  <c r="HW300" i="12"/>
  <c r="HX300" i="12"/>
  <c r="HY300" i="12"/>
  <c r="HZ300" i="12"/>
  <c r="IA300" i="12"/>
  <c r="IB300" i="12"/>
  <c r="IC300" i="12"/>
  <c r="ID300" i="12"/>
  <c r="IE300" i="12"/>
  <c r="IF300" i="12"/>
  <c r="IG300" i="12"/>
  <c r="IH300" i="12"/>
  <c r="II300" i="12"/>
  <c r="IJ300" i="12"/>
  <c r="IK300" i="12"/>
  <c r="IL300" i="12"/>
  <c r="IM300" i="12"/>
  <c r="IN300" i="12"/>
  <c r="IO300" i="12"/>
  <c r="IP300" i="12"/>
  <c r="IQ300" i="12"/>
  <c r="IR300" i="12"/>
  <c r="IS300" i="12"/>
  <c r="IT300" i="12"/>
  <c r="IU300" i="12"/>
  <c r="IV300" i="12"/>
  <c r="F301" i="12"/>
  <c r="G301" i="12"/>
  <c r="H301" i="12"/>
  <c r="I301" i="12"/>
  <c r="J301" i="12"/>
  <c r="K301" i="12"/>
  <c r="L301" i="12"/>
  <c r="M301" i="12"/>
  <c r="N301" i="12"/>
  <c r="O301" i="12"/>
  <c r="P301" i="12"/>
  <c r="Q301" i="12"/>
  <c r="R301" i="12"/>
  <c r="S301" i="12"/>
  <c r="T301" i="12"/>
  <c r="U301" i="12"/>
  <c r="V301" i="12"/>
  <c r="W301" i="12"/>
  <c r="X301" i="12"/>
  <c r="Y301" i="12"/>
  <c r="Z301" i="12"/>
  <c r="AA301" i="12"/>
  <c r="AB301" i="12"/>
  <c r="AC301" i="12"/>
  <c r="AD301" i="12"/>
  <c r="AE301" i="12"/>
  <c r="AF301" i="12"/>
  <c r="AG301" i="12"/>
  <c r="AH301" i="12"/>
  <c r="AI301" i="12"/>
  <c r="AJ301" i="12"/>
  <c r="AK301" i="12"/>
  <c r="AL301" i="12"/>
  <c r="AM301" i="12"/>
  <c r="AN301" i="12"/>
  <c r="AO301" i="12"/>
  <c r="AP301" i="12"/>
  <c r="AQ301" i="12"/>
  <c r="AR301" i="12"/>
  <c r="AS301" i="12"/>
  <c r="AT301" i="12"/>
  <c r="AU301" i="12"/>
  <c r="AV301" i="12"/>
  <c r="AW301" i="12"/>
  <c r="AX301" i="12"/>
  <c r="AY301" i="12"/>
  <c r="AZ301" i="12"/>
  <c r="BA301" i="12"/>
  <c r="BB301" i="12"/>
  <c r="BC301" i="12"/>
  <c r="BD301" i="12"/>
  <c r="BE301" i="12"/>
  <c r="BF301" i="12"/>
  <c r="BG301" i="12"/>
  <c r="BH301" i="12"/>
  <c r="BI301" i="12"/>
  <c r="BJ301" i="12"/>
  <c r="BK301" i="12"/>
  <c r="BL301" i="12"/>
  <c r="BM301" i="12"/>
  <c r="BN301" i="12"/>
  <c r="BO301" i="12"/>
  <c r="BP301" i="12"/>
  <c r="BQ301" i="12"/>
  <c r="BR301" i="12"/>
  <c r="BS301" i="12"/>
  <c r="BT301" i="12"/>
  <c r="BU301" i="12"/>
  <c r="BV301" i="12"/>
  <c r="BW301" i="12"/>
  <c r="BX301" i="12"/>
  <c r="BY301" i="12"/>
  <c r="BZ301" i="12"/>
  <c r="CA301" i="12"/>
  <c r="CB301" i="12"/>
  <c r="CC301" i="12"/>
  <c r="CD301" i="12"/>
  <c r="CE301" i="12"/>
  <c r="CF301" i="12"/>
  <c r="CG301" i="12"/>
  <c r="CH301" i="12"/>
  <c r="CI301" i="12"/>
  <c r="CJ301" i="12"/>
  <c r="CK301" i="12"/>
  <c r="CL301" i="12"/>
  <c r="CM301" i="12"/>
  <c r="CN301" i="12"/>
  <c r="CO301" i="12"/>
  <c r="CP301" i="12"/>
  <c r="CQ301" i="12"/>
  <c r="CR301" i="12"/>
  <c r="CS301" i="12"/>
  <c r="CT301" i="12"/>
  <c r="CU301" i="12"/>
  <c r="CV301" i="12"/>
  <c r="CW301" i="12"/>
  <c r="CX301" i="12"/>
  <c r="CY301" i="12"/>
  <c r="CZ301" i="12"/>
  <c r="DA301" i="12"/>
  <c r="DB301" i="12"/>
  <c r="DC301" i="12"/>
  <c r="DD301" i="12"/>
  <c r="DE301" i="12"/>
  <c r="DF301" i="12"/>
  <c r="DG301" i="12"/>
  <c r="DH301" i="12"/>
  <c r="DI301" i="12"/>
  <c r="DJ301" i="12"/>
  <c r="DK301" i="12"/>
  <c r="DL301" i="12"/>
  <c r="DM301" i="12"/>
  <c r="DN301" i="12"/>
  <c r="DO301" i="12"/>
  <c r="DP301" i="12"/>
  <c r="DQ301" i="12"/>
  <c r="DR301" i="12"/>
  <c r="DS301" i="12"/>
  <c r="DT301" i="12"/>
  <c r="DU301" i="12"/>
  <c r="DV301" i="12"/>
  <c r="DW301" i="12"/>
  <c r="DX301" i="12"/>
  <c r="DY301" i="12"/>
  <c r="DZ301" i="12"/>
  <c r="EA301" i="12"/>
  <c r="EB301" i="12"/>
  <c r="EC301" i="12"/>
  <c r="ED301" i="12"/>
  <c r="EE301" i="12"/>
  <c r="EF301" i="12"/>
  <c r="EG301" i="12"/>
  <c r="EH301" i="12"/>
  <c r="EI301" i="12"/>
  <c r="EJ301" i="12"/>
  <c r="EK301" i="12"/>
  <c r="EL301" i="12"/>
  <c r="EM301" i="12"/>
  <c r="EN301" i="12"/>
  <c r="EO301" i="12"/>
  <c r="EP301" i="12"/>
  <c r="EQ301" i="12"/>
  <c r="ER301" i="12"/>
  <c r="ES301" i="12"/>
  <c r="ET301" i="12"/>
  <c r="EU301" i="12"/>
  <c r="EV301" i="12"/>
  <c r="EW301" i="12"/>
  <c r="EX301" i="12"/>
  <c r="EY301" i="12"/>
  <c r="EZ301" i="12"/>
  <c r="FA301" i="12"/>
  <c r="FB301" i="12"/>
  <c r="FC301" i="12"/>
  <c r="FD301" i="12"/>
  <c r="FE301" i="12"/>
  <c r="FF301" i="12"/>
  <c r="FG301" i="12"/>
  <c r="FH301" i="12"/>
  <c r="FI301" i="12"/>
  <c r="FJ301" i="12"/>
  <c r="FK301" i="12"/>
  <c r="FL301" i="12"/>
  <c r="FM301" i="12"/>
  <c r="FN301" i="12"/>
  <c r="FO301" i="12"/>
  <c r="FP301" i="12"/>
  <c r="FQ301" i="12"/>
  <c r="FR301" i="12"/>
  <c r="FS301" i="12"/>
  <c r="FT301" i="12"/>
  <c r="FU301" i="12"/>
  <c r="FV301" i="12"/>
  <c r="FW301" i="12"/>
  <c r="FX301" i="12"/>
  <c r="FY301" i="12"/>
  <c r="FZ301" i="12"/>
  <c r="GA301" i="12"/>
  <c r="GB301" i="12"/>
  <c r="GC301" i="12"/>
  <c r="GD301" i="12"/>
  <c r="GE301" i="12"/>
  <c r="GF301" i="12"/>
  <c r="GG301" i="12"/>
  <c r="GH301" i="12"/>
  <c r="GI301" i="12"/>
  <c r="GJ301" i="12"/>
  <c r="GK301" i="12"/>
  <c r="GL301" i="12"/>
  <c r="GM301" i="12"/>
  <c r="GN301" i="12"/>
  <c r="GO301" i="12"/>
  <c r="GP301" i="12"/>
  <c r="GQ301" i="12"/>
  <c r="GR301" i="12"/>
  <c r="GS301" i="12"/>
  <c r="GT301" i="12"/>
  <c r="GU301" i="12"/>
  <c r="GV301" i="12"/>
  <c r="GW301" i="12"/>
  <c r="GX301" i="12"/>
  <c r="GY301" i="12"/>
  <c r="GZ301" i="12"/>
  <c r="HA301" i="12"/>
  <c r="HB301" i="12"/>
  <c r="HC301" i="12"/>
  <c r="HD301" i="12"/>
  <c r="HE301" i="12"/>
  <c r="HF301" i="12"/>
  <c r="HG301" i="12"/>
  <c r="HH301" i="12"/>
  <c r="HI301" i="12"/>
  <c r="HJ301" i="12"/>
  <c r="HK301" i="12"/>
  <c r="HL301" i="12"/>
  <c r="HM301" i="12"/>
  <c r="HN301" i="12"/>
  <c r="HO301" i="12"/>
  <c r="HP301" i="12"/>
  <c r="HQ301" i="12"/>
  <c r="HR301" i="12"/>
  <c r="HS301" i="12"/>
  <c r="HT301" i="12"/>
  <c r="HU301" i="12"/>
  <c r="HV301" i="12"/>
  <c r="HW301" i="12"/>
  <c r="HX301" i="12"/>
  <c r="HY301" i="12"/>
  <c r="HZ301" i="12"/>
  <c r="IA301" i="12"/>
  <c r="IB301" i="12"/>
  <c r="IC301" i="12"/>
  <c r="ID301" i="12"/>
  <c r="IE301" i="12"/>
  <c r="IF301" i="12"/>
  <c r="IG301" i="12"/>
  <c r="IH301" i="12"/>
  <c r="II301" i="12"/>
  <c r="IJ301" i="12"/>
  <c r="IK301" i="12"/>
  <c r="IL301" i="12"/>
  <c r="IM301" i="12"/>
  <c r="IN301" i="12"/>
  <c r="IO301" i="12"/>
  <c r="IP301" i="12"/>
  <c r="IQ301" i="12"/>
  <c r="IR301" i="12"/>
  <c r="IS301" i="12"/>
  <c r="IT301" i="12"/>
  <c r="IU301" i="12"/>
  <c r="IV301" i="12"/>
  <c r="F302" i="12"/>
  <c r="G302" i="12"/>
  <c r="H302" i="12"/>
  <c r="I302" i="12"/>
  <c r="J302" i="12"/>
  <c r="K302" i="12"/>
  <c r="L302" i="12"/>
  <c r="M302" i="12"/>
  <c r="N302" i="12"/>
  <c r="O302" i="12"/>
  <c r="P302" i="12"/>
  <c r="Q302" i="12"/>
  <c r="R302" i="12"/>
  <c r="S302" i="12"/>
  <c r="T302" i="12"/>
  <c r="U302" i="12"/>
  <c r="V302" i="12"/>
  <c r="W302" i="12"/>
  <c r="X302" i="12"/>
  <c r="Y302" i="12"/>
  <c r="Z302" i="12"/>
  <c r="AA302" i="12"/>
  <c r="AB302" i="12"/>
  <c r="AC302" i="12"/>
  <c r="AD302" i="12"/>
  <c r="AE302" i="12"/>
  <c r="AF302" i="12"/>
  <c r="AG302" i="12"/>
  <c r="AH302" i="12"/>
  <c r="AI302" i="12"/>
  <c r="AJ302" i="12"/>
  <c r="AK302" i="12"/>
  <c r="AL302" i="12"/>
  <c r="AM302" i="12"/>
  <c r="AN302" i="12"/>
  <c r="AO302" i="12"/>
  <c r="AP302" i="12"/>
  <c r="AQ302" i="12"/>
  <c r="AR302" i="12"/>
  <c r="AS302" i="12"/>
  <c r="AT302" i="12"/>
  <c r="AU302" i="12"/>
  <c r="AV302" i="12"/>
  <c r="AW302" i="12"/>
  <c r="AX302" i="12"/>
  <c r="AY302" i="12"/>
  <c r="AZ302" i="12"/>
  <c r="BA302" i="12"/>
  <c r="BB302" i="12"/>
  <c r="BC302" i="12"/>
  <c r="BD302" i="12"/>
  <c r="BE302" i="12"/>
  <c r="BF302" i="12"/>
  <c r="BG302" i="12"/>
  <c r="BH302" i="12"/>
  <c r="BI302" i="12"/>
  <c r="BJ302" i="12"/>
  <c r="BK302" i="12"/>
  <c r="BL302" i="12"/>
  <c r="BM302" i="12"/>
  <c r="BN302" i="12"/>
  <c r="BO302" i="12"/>
  <c r="BP302" i="12"/>
  <c r="BQ302" i="12"/>
  <c r="BR302" i="12"/>
  <c r="BS302" i="12"/>
  <c r="BT302" i="12"/>
  <c r="BU302" i="12"/>
  <c r="BV302" i="12"/>
  <c r="BW302" i="12"/>
  <c r="BX302" i="12"/>
  <c r="BY302" i="12"/>
  <c r="BZ302" i="12"/>
  <c r="CA302" i="12"/>
  <c r="CB302" i="12"/>
  <c r="CC302" i="12"/>
  <c r="CD302" i="12"/>
  <c r="CE302" i="12"/>
  <c r="CF302" i="12"/>
  <c r="CG302" i="12"/>
  <c r="CH302" i="12"/>
  <c r="CI302" i="12"/>
  <c r="CJ302" i="12"/>
  <c r="CK302" i="12"/>
  <c r="CL302" i="12"/>
  <c r="CM302" i="12"/>
  <c r="CN302" i="12"/>
  <c r="CO302" i="12"/>
  <c r="CP302" i="12"/>
  <c r="CQ302" i="12"/>
  <c r="CR302" i="12"/>
  <c r="CS302" i="12"/>
  <c r="CT302" i="12"/>
  <c r="CU302" i="12"/>
  <c r="CV302" i="12"/>
  <c r="CW302" i="12"/>
  <c r="CX302" i="12"/>
  <c r="CY302" i="12"/>
  <c r="CZ302" i="12"/>
  <c r="DA302" i="12"/>
  <c r="DB302" i="12"/>
  <c r="DC302" i="12"/>
  <c r="DD302" i="12"/>
  <c r="DE302" i="12"/>
  <c r="DF302" i="12"/>
  <c r="DG302" i="12"/>
  <c r="DH302" i="12"/>
  <c r="DI302" i="12"/>
  <c r="DJ302" i="12"/>
  <c r="DK302" i="12"/>
  <c r="DL302" i="12"/>
  <c r="DM302" i="12"/>
  <c r="DN302" i="12"/>
  <c r="DO302" i="12"/>
  <c r="DP302" i="12"/>
  <c r="DQ302" i="12"/>
  <c r="DR302" i="12"/>
  <c r="DS302" i="12"/>
  <c r="DT302" i="12"/>
  <c r="DU302" i="12"/>
  <c r="DV302" i="12"/>
  <c r="DW302" i="12"/>
  <c r="DX302" i="12"/>
  <c r="DY302" i="12"/>
  <c r="DZ302" i="12"/>
  <c r="EA302" i="12"/>
  <c r="EB302" i="12"/>
  <c r="EC302" i="12"/>
  <c r="ED302" i="12"/>
  <c r="EE302" i="12"/>
  <c r="EF302" i="12"/>
  <c r="EG302" i="12"/>
  <c r="EH302" i="12"/>
  <c r="EI302" i="12"/>
  <c r="EJ302" i="12"/>
  <c r="EK302" i="12"/>
  <c r="EL302" i="12"/>
  <c r="EM302" i="12"/>
  <c r="EN302" i="12"/>
  <c r="EO302" i="12"/>
  <c r="EP302" i="12"/>
  <c r="EQ302" i="12"/>
  <c r="ER302" i="12"/>
  <c r="ES302" i="12"/>
  <c r="ET302" i="12"/>
  <c r="EU302" i="12"/>
  <c r="EV302" i="12"/>
  <c r="EW302" i="12"/>
  <c r="EX302" i="12"/>
  <c r="EY302" i="12"/>
  <c r="EZ302" i="12"/>
  <c r="FA302" i="12"/>
  <c r="FB302" i="12"/>
  <c r="FC302" i="12"/>
  <c r="FD302" i="12"/>
  <c r="FE302" i="12"/>
  <c r="FF302" i="12"/>
  <c r="FG302" i="12"/>
  <c r="FH302" i="12"/>
  <c r="FI302" i="12"/>
  <c r="FJ302" i="12"/>
  <c r="FK302" i="12"/>
  <c r="FL302" i="12"/>
  <c r="FM302" i="12"/>
  <c r="FN302" i="12"/>
  <c r="FO302" i="12"/>
  <c r="FP302" i="12"/>
  <c r="FQ302" i="12"/>
  <c r="FR302" i="12"/>
  <c r="FS302" i="12"/>
  <c r="FT302" i="12"/>
  <c r="FU302" i="12"/>
  <c r="FV302" i="12"/>
  <c r="FW302" i="12"/>
  <c r="FX302" i="12"/>
  <c r="FY302" i="12"/>
  <c r="FZ302" i="12"/>
  <c r="GA302" i="12"/>
  <c r="GB302" i="12"/>
  <c r="GC302" i="12"/>
  <c r="GD302" i="12"/>
  <c r="GE302" i="12"/>
  <c r="GF302" i="12"/>
  <c r="GG302" i="12"/>
  <c r="GH302" i="12"/>
  <c r="GI302" i="12"/>
  <c r="GJ302" i="12"/>
  <c r="GK302" i="12"/>
  <c r="GL302" i="12"/>
  <c r="GM302" i="12"/>
  <c r="GN302" i="12"/>
  <c r="GO302" i="12"/>
  <c r="GP302" i="12"/>
  <c r="GQ302" i="12"/>
  <c r="GR302" i="12"/>
  <c r="GS302" i="12"/>
  <c r="GT302" i="12"/>
  <c r="GU302" i="12"/>
  <c r="GV302" i="12"/>
  <c r="GW302" i="12"/>
  <c r="GX302" i="12"/>
  <c r="GY302" i="12"/>
  <c r="GZ302" i="12"/>
  <c r="HA302" i="12"/>
  <c r="HB302" i="12"/>
  <c r="HC302" i="12"/>
  <c r="HD302" i="12"/>
  <c r="HE302" i="12"/>
  <c r="HF302" i="12"/>
  <c r="HG302" i="12"/>
  <c r="HH302" i="12"/>
  <c r="HI302" i="12"/>
  <c r="HJ302" i="12"/>
  <c r="HK302" i="12"/>
  <c r="HL302" i="12"/>
  <c r="HM302" i="12"/>
  <c r="HN302" i="12"/>
  <c r="HO302" i="12"/>
  <c r="HP302" i="12"/>
  <c r="HQ302" i="12"/>
  <c r="HR302" i="12"/>
  <c r="HS302" i="12"/>
  <c r="HT302" i="12"/>
  <c r="HU302" i="12"/>
  <c r="HV302" i="12"/>
  <c r="HW302" i="12"/>
  <c r="HX302" i="12"/>
  <c r="HY302" i="12"/>
  <c r="HZ302" i="12"/>
  <c r="IA302" i="12"/>
  <c r="IB302" i="12"/>
  <c r="IC302" i="12"/>
  <c r="ID302" i="12"/>
  <c r="IE302" i="12"/>
  <c r="IF302" i="12"/>
  <c r="IG302" i="12"/>
  <c r="IH302" i="12"/>
  <c r="II302" i="12"/>
  <c r="IJ302" i="12"/>
  <c r="IK302" i="12"/>
  <c r="IL302" i="12"/>
  <c r="IM302" i="12"/>
  <c r="IN302" i="12"/>
  <c r="IO302" i="12"/>
  <c r="IP302" i="12"/>
  <c r="IQ302" i="12"/>
  <c r="IR302" i="12"/>
  <c r="IS302" i="12"/>
  <c r="IT302" i="12"/>
  <c r="IU302" i="12"/>
  <c r="IV302" i="12"/>
  <c r="F303" i="12"/>
  <c r="G303" i="12"/>
  <c r="H303" i="12"/>
  <c r="I303" i="12"/>
  <c r="J303" i="12"/>
  <c r="K303" i="12"/>
  <c r="L303" i="12"/>
  <c r="M303" i="12"/>
  <c r="N303" i="12"/>
  <c r="O303" i="12"/>
  <c r="P303" i="12"/>
  <c r="Q303" i="12"/>
  <c r="R303" i="12"/>
  <c r="S303" i="12"/>
  <c r="T303" i="12"/>
  <c r="U303" i="12"/>
  <c r="V303" i="12"/>
  <c r="W303" i="12"/>
  <c r="X303" i="12"/>
  <c r="Y303" i="12"/>
  <c r="Z303" i="12"/>
  <c r="AA303" i="12"/>
  <c r="AB303" i="12"/>
  <c r="AC303" i="12"/>
  <c r="AD303" i="12"/>
  <c r="AE303" i="12"/>
  <c r="AF303" i="12"/>
  <c r="AG303" i="12"/>
  <c r="AH303" i="12"/>
  <c r="AI303" i="12"/>
  <c r="AJ303" i="12"/>
  <c r="AK303" i="12"/>
  <c r="AL303" i="12"/>
  <c r="AM303" i="12"/>
  <c r="AN303" i="12"/>
  <c r="AO303" i="12"/>
  <c r="AP303" i="12"/>
  <c r="AQ303" i="12"/>
  <c r="AR303" i="12"/>
  <c r="AS303" i="12"/>
  <c r="AT303" i="12"/>
  <c r="AU303" i="12"/>
  <c r="AV303" i="12"/>
  <c r="AW303" i="12"/>
  <c r="AX303" i="12"/>
  <c r="AY303" i="12"/>
  <c r="AZ303" i="12"/>
  <c r="BA303" i="12"/>
  <c r="BB303" i="12"/>
  <c r="BC303" i="12"/>
  <c r="BD303" i="12"/>
  <c r="BE303" i="12"/>
  <c r="BF303" i="12"/>
  <c r="BG303" i="12"/>
  <c r="BH303" i="12"/>
  <c r="BI303" i="12"/>
  <c r="BJ303" i="12"/>
  <c r="BK303" i="12"/>
  <c r="BL303" i="12"/>
  <c r="BM303" i="12"/>
  <c r="BN303" i="12"/>
  <c r="BO303" i="12"/>
  <c r="BP303" i="12"/>
  <c r="BQ303" i="12"/>
  <c r="BR303" i="12"/>
  <c r="BS303" i="12"/>
  <c r="BT303" i="12"/>
  <c r="BU303" i="12"/>
  <c r="BV303" i="12"/>
  <c r="BW303" i="12"/>
  <c r="BX303" i="12"/>
  <c r="BY303" i="12"/>
  <c r="BZ303" i="12"/>
  <c r="CA303" i="12"/>
  <c r="CB303" i="12"/>
  <c r="CC303" i="12"/>
  <c r="CD303" i="12"/>
  <c r="CE303" i="12"/>
  <c r="CF303" i="12"/>
  <c r="CG303" i="12"/>
  <c r="CH303" i="12"/>
  <c r="CI303" i="12"/>
  <c r="CJ303" i="12"/>
  <c r="CK303" i="12"/>
  <c r="CL303" i="12"/>
  <c r="CM303" i="12"/>
  <c r="CN303" i="12"/>
  <c r="CO303" i="12"/>
  <c r="CP303" i="12"/>
  <c r="CQ303" i="12"/>
  <c r="CR303" i="12"/>
  <c r="CS303" i="12"/>
  <c r="CT303" i="12"/>
  <c r="CU303" i="12"/>
  <c r="CV303" i="12"/>
  <c r="CW303" i="12"/>
  <c r="CX303" i="12"/>
  <c r="CY303" i="12"/>
  <c r="CZ303" i="12"/>
  <c r="DA303" i="12"/>
  <c r="DB303" i="12"/>
  <c r="DC303" i="12"/>
  <c r="DD303" i="12"/>
  <c r="DE303" i="12"/>
  <c r="DF303" i="12"/>
  <c r="DG303" i="12"/>
  <c r="DH303" i="12"/>
  <c r="DI303" i="12"/>
  <c r="DJ303" i="12"/>
  <c r="DK303" i="12"/>
  <c r="DL303" i="12"/>
  <c r="DM303" i="12"/>
  <c r="DN303" i="12"/>
  <c r="DO303" i="12"/>
  <c r="DP303" i="12"/>
  <c r="DQ303" i="12"/>
  <c r="DR303" i="12"/>
  <c r="DS303" i="12"/>
  <c r="DT303" i="12"/>
  <c r="DU303" i="12"/>
  <c r="DV303" i="12"/>
  <c r="DW303" i="12"/>
  <c r="DX303" i="12"/>
  <c r="DY303" i="12"/>
  <c r="DZ303" i="12"/>
  <c r="EA303" i="12"/>
  <c r="EB303" i="12"/>
  <c r="EC303" i="12"/>
  <c r="ED303" i="12"/>
  <c r="EE303" i="12"/>
  <c r="EF303" i="12"/>
  <c r="EG303" i="12"/>
  <c r="EH303" i="12"/>
  <c r="EI303" i="12"/>
  <c r="EJ303" i="12"/>
  <c r="EK303" i="12"/>
  <c r="EL303" i="12"/>
  <c r="EM303" i="12"/>
  <c r="EN303" i="12"/>
  <c r="EO303" i="12"/>
  <c r="EP303" i="12"/>
  <c r="EQ303" i="12"/>
  <c r="ER303" i="12"/>
  <c r="ES303" i="12"/>
  <c r="ET303" i="12"/>
  <c r="EU303" i="12"/>
  <c r="EV303" i="12"/>
  <c r="EW303" i="12"/>
  <c r="EX303" i="12"/>
  <c r="EY303" i="12"/>
  <c r="EZ303" i="12"/>
  <c r="FA303" i="12"/>
  <c r="FB303" i="12"/>
  <c r="FC303" i="12"/>
  <c r="FD303" i="12"/>
  <c r="FE303" i="12"/>
  <c r="FF303" i="12"/>
  <c r="FG303" i="12"/>
  <c r="FH303" i="12"/>
  <c r="FI303" i="12"/>
  <c r="FJ303" i="12"/>
  <c r="FK303" i="12"/>
  <c r="FL303" i="12"/>
  <c r="FM303" i="12"/>
  <c r="FN303" i="12"/>
  <c r="FO303" i="12"/>
  <c r="FP303" i="12"/>
  <c r="FQ303" i="12"/>
  <c r="FR303" i="12"/>
  <c r="FS303" i="12"/>
  <c r="FT303" i="12"/>
  <c r="FU303" i="12"/>
  <c r="FV303" i="12"/>
  <c r="FW303" i="12"/>
  <c r="FX303" i="12"/>
  <c r="FY303" i="12"/>
  <c r="FZ303" i="12"/>
  <c r="GA303" i="12"/>
  <c r="GB303" i="12"/>
  <c r="GC303" i="12"/>
  <c r="GD303" i="12"/>
  <c r="GE303" i="12"/>
  <c r="GF303" i="12"/>
  <c r="GG303" i="12"/>
  <c r="GH303" i="12"/>
  <c r="GI303" i="12"/>
  <c r="GJ303" i="12"/>
  <c r="GK303" i="12"/>
  <c r="GL303" i="12"/>
  <c r="GM303" i="12"/>
  <c r="GN303" i="12"/>
  <c r="GO303" i="12"/>
  <c r="GP303" i="12"/>
  <c r="GQ303" i="12"/>
  <c r="GR303" i="12"/>
  <c r="GS303" i="12"/>
  <c r="GT303" i="12"/>
  <c r="GU303" i="12"/>
  <c r="GV303" i="12"/>
  <c r="GW303" i="12"/>
  <c r="GX303" i="12"/>
  <c r="GY303" i="12"/>
  <c r="GZ303" i="12"/>
  <c r="HA303" i="12"/>
  <c r="HB303" i="12"/>
  <c r="HC303" i="12"/>
  <c r="HD303" i="12"/>
  <c r="HE303" i="12"/>
  <c r="HF303" i="12"/>
  <c r="HG303" i="12"/>
  <c r="HH303" i="12"/>
  <c r="HI303" i="12"/>
  <c r="HJ303" i="12"/>
  <c r="HK303" i="12"/>
  <c r="HL303" i="12"/>
  <c r="HM303" i="12"/>
  <c r="HN303" i="12"/>
  <c r="HO303" i="12"/>
  <c r="HP303" i="12"/>
  <c r="HQ303" i="12"/>
  <c r="HR303" i="12"/>
  <c r="HS303" i="12"/>
  <c r="HT303" i="12"/>
  <c r="HU303" i="12"/>
  <c r="HV303" i="12"/>
  <c r="HW303" i="12"/>
  <c r="HX303" i="12"/>
  <c r="HY303" i="12"/>
  <c r="HZ303" i="12"/>
  <c r="IA303" i="12"/>
  <c r="IB303" i="12"/>
  <c r="IC303" i="12"/>
  <c r="ID303" i="12"/>
  <c r="IE303" i="12"/>
  <c r="IF303" i="12"/>
  <c r="IG303" i="12"/>
  <c r="IH303" i="12"/>
  <c r="II303" i="12"/>
  <c r="IJ303" i="12"/>
  <c r="IK303" i="12"/>
  <c r="IL303" i="12"/>
  <c r="IM303" i="12"/>
  <c r="IN303" i="12"/>
  <c r="IO303" i="12"/>
  <c r="IP303" i="12"/>
  <c r="IQ303" i="12"/>
  <c r="IR303" i="12"/>
  <c r="IS303" i="12"/>
  <c r="IT303" i="12"/>
  <c r="IU303" i="12"/>
  <c r="IV303" i="12"/>
  <c r="F304" i="12"/>
  <c r="G304" i="12"/>
  <c r="H304" i="12"/>
  <c r="I304" i="12"/>
  <c r="J304" i="12"/>
  <c r="K304" i="12"/>
  <c r="L304" i="12"/>
  <c r="M304" i="12"/>
  <c r="N304" i="12"/>
  <c r="O304" i="12"/>
  <c r="P304" i="12"/>
  <c r="Q304" i="12"/>
  <c r="R304" i="12"/>
  <c r="S304" i="12"/>
  <c r="T304" i="12"/>
  <c r="U304" i="12"/>
  <c r="V304" i="12"/>
  <c r="W304" i="12"/>
  <c r="X304" i="12"/>
  <c r="Y304" i="12"/>
  <c r="Z304" i="12"/>
  <c r="AA304" i="12"/>
  <c r="AB304" i="12"/>
  <c r="AC304" i="12"/>
  <c r="AD304" i="12"/>
  <c r="AE304" i="12"/>
  <c r="AF304" i="12"/>
  <c r="AG304" i="12"/>
  <c r="AH304" i="12"/>
  <c r="AI304" i="12"/>
  <c r="AJ304" i="12"/>
  <c r="AK304" i="12"/>
  <c r="AL304" i="12"/>
  <c r="AM304" i="12"/>
  <c r="AN304" i="12"/>
  <c r="AO304" i="12"/>
  <c r="AP304" i="12"/>
  <c r="AQ304" i="12"/>
  <c r="AR304" i="12"/>
  <c r="AS304" i="12"/>
  <c r="AT304" i="12"/>
  <c r="AU304" i="12"/>
  <c r="AV304" i="12"/>
  <c r="AW304" i="12"/>
  <c r="AX304" i="12"/>
  <c r="AY304" i="12"/>
  <c r="AZ304" i="12"/>
  <c r="BA304" i="12"/>
  <c r="BB304" i="12"/>
  <c r="BC304" i="12"/>
  <c r="BD304" i="12"/>
  <c r="BE304" i="12"/>
  <c r="BF304" i="12"/>
  <c r="BG304" i="12"/>
  <c r="BH304" i="12"/>
  <c r="BI304" i="12"/>
  <c r="BJ304" i="12"/>
  <c r="BK304" i="12"/>
  <c r="BL304" i="12"/>
  <c r="BM304" i="12"/>
  <c r="BN304" i="12"/>
  <c r="BO304" i="12"/>
  <c r="BP304" i="12"/>
  <c r="BQ304" i="12"/>
  <c r="BR304" i="12"/>
  <c r="BS304" i="12"/>
  <c r="BT304" i="12"/>
  <c r="BU304" i="12"/>
  <c r="BV304" i="12"/>
  <c r="BW304" i="12"/>
  <c r="BX304" i="12"/>
  <c r="BY304" i="12"/>
  <c r="BZ304" i="12"/>
  <c r="CA304" i="12"/>
  <c r="CB304" i="12"/>
  <c r="CC304" i="12"/>
  <c r="CD304" i="12"/>
  <c r="CE304" i="12"/>
  <c r="CF304" i="12"/>
  <c r="CG304" i="12"/>
  <c r="CH304" i="12"/>
  <c r="CI304" i="12"/>
  <c r="CJ304" i="12"/>
  <c r="CK304" i="12"/>
  <c r="CL304" i="12"/>
  <c r="CM304" i="12"/>
  <c r="CN304" i="12"/>
  <c r="CO304" i="12"/>
  <c r="CP304" i="12"/>
  <c r="CQ304" i="12"/>
  <c r="CR304" i="12"/>
  <c r="CS304" i="12"/>
  <c r="CT304" i="12"/>
  <c r="CU304" i="12"/>
  <c r="CV304" i="12"/>
  <c r="CW304" i="12"/>
  <c r="CX304" i="12"/>
  <c r="CY304" i="12"/>
  <c r="CZ304" i="12"/>
  <c r="DA304" i="12"/>
  <c r="DB304" i="12"/>
  <c r="DC304" i="12"/>
  <c r="DD304" i="12"/>
  <c r="DE304" i="12"/>
  <c r="DF304" i="12"/>
  <c r="DG304" i="12"/>
  <c r="DH304" i="12"/>
  <c r="DI304" i="12"/>
  <c r="DJ304" i="12"/>
  <c r="DK304" i="12"/>
  <c r="DL304" i="12"/>
  <c r="DM304" i="12"/>
  <c r="DN304" i="12"/>
  <c r="DO304" i="12"/>
  <c r="DP304" i="12"/>
  <c r="DQ304" i="12"/>
  <c r="DR304" i="12"/>
  <c r="DS304" i="12"/>
  <c r="DT304" i="12"/>
  <c r="DU304" i="12"/>
  <c r="DV304" i="12"/>
  <c r="DW304" i="12"/>
  <c r="DX304" i="12"/>
  <c r="DY304" i="12"/>
  <c r="DZ304" i="12"/>
  <c r="EA304" i="12"/>
  <c r="EB304" i="12"/>
  <c r="EC304" i="12"/>
  <c r="ED304" i="12"/>
  <c r="EE304" i="12"/>
  <c r="EF304" i="12"/>
  <c r="EG304" i="12"/>
  <c r="EH304" i="12"/>
  <c r="EI304" i="12"/>
  <c r="EJ304" i="12"/>
  <c r="EK304" i="12"/>
  <c r="EL304" i="12"/>
  <c r="EM304" i="12"/>
  <c r="EN304" i="12"/>
  <c r="EO304" i="12"/>
  <c r="EP304" i="12"/>
  <c r="EQ304" i="12"/>
  <c r="ER304" i="12"/>
  <c r="ES304" i="12"/>
  <c r="ET304" i="12"/>
  <c r="EU304" i="12"/>
  <c r="EV304" i="12"/>
  <c r="EW304" i="12"/>
  <c r="EX304" i="12"/>
  <c r="EY304" i="12"/>
  <c r="EZ304" i="12"/>
  <c r="FA304" i="12"/>
  <c r="FB304" i="12"/>
  <c r="FC304" i="12"/>
  <c r="FD304" i="12"/>
  <c r="FE304" i="12"/>
  <c r="FF304" i="12"/>
  <c r="FG304" i="12"/>
  <c r="FH304" i="12"/>
  <c r="FI304" i="12"/>
  <c r="FJ304" i="12"/>
  <c r="FK304" i="12"/>
  <c r="FL304" i="12"/>
  <c r="FM304" i="12"/>
  <c r="FN304" i="12"/>
  <c r="FO304" i="12"/>
  <c r="FP304" i="12"/>
  <c r="FQ304" i="12"/>
  <c r="FR304" i="12"/>
  <c r="FS304" i="12"/>
  <c r="FT304" i="12"/>
  <c r="FU304" i="12"/>
  <c r="FV304" i="12"/>
  <c r="FW304" i="12"/>
  <c r="FX304" i="12"/>
  <c r="FY304" i="12"/>
  <c r="FZ304" i="12"/>
  <c r="GA304" i="12"/>
  <c r="GB304" i="12"/>
  <c r="GC304" i="12"/>
  <c r="GD304" i="12"/>
  <c r="GE304" i="12"/>
  <c r="GF304" i="12"/>
  <c r="GG304" i="12"/>
  <c r="GH304" i="12"/>
  <c r="GI304" i="12"/>
  <c r="GJ304" i="12"/>
  <c r="GK304" i="12"/>
  <c r="GL304" i="12"/>
  <c r="GM304" i="12"/>
  <c r="GN304" i="12"/>
  <c r="GO304" i="12"/>
  <c r="GP304" i="12"/>
  <c r="GQ304" i="12"/>
  <c r="GR304" i="12"/>
  <c r="GS304" i="12"/>
  <c r="GT304" i="12"/>
  <c r="GU304" i="12"/>
  <c r="GV304" i="12"/>
  <c r="GW304" i="12"/>
  <c r="GX304" i="12"/>
  <c r="GY304" i="12"/>
  <c r="GZ304" i="12"/>
  <c r="HA304" i="12"/>
  <c r="HB304" i="12"/>
  <c r="HC304" i="12"/>
  <c r="HD304" i="12"/>
  <c r="HE304" i="12"/>
  <c r="HF304" i="12"/>
  <c r="HG304" i="12"/>
  <c r="HH304" i="12"/>
  <c r="HI304" i="12"/>
  <c r="HJ304" i="12"/>
  <c r="HK304" i="12"/>
  <c r="HL304" i="12"/>
  <c r="HM304" i="12"/>
  <c r="HN304" i="12"/>
  <c r="HO304" i="12"/>
  <c r="HP304" i="12"/>
  <c r="HQ304" i="12"/>
  <c r="HR304" i="12"/>
  <c r="HS304" i="12"/>
  <c r="HT304" i="12"/>
  <c r="HU304" i="12"/>
  <c r="HV304" i="12"/>
  <c r="HW304" i="12"/>
  <c r="HX304" i="12"/>
  <c r="HY304" i="12"/>
  <c r="HZ304" i="12"/>
  <c r="IA304" i="12"/>
  <c r="IB304" i="12"/>
  <c r="IC304" i="12"/>
  <c r="ID304" i="12"/>
  <c r="IE304" i="12"/>
  <c r="IF304" i="12"/>
  <c r="IG304" i="12"/>
  <c r="IH304" i="12"/>
  <c r="II304" i="12"/>
  <c r="IJ304" i="12"/>
  <c r="IK304" i="12"/>
  <c r="IL304" i="12"/>
  <c r="IM304" i="12"/>
  <c r="IN304" i="12"/>
  <c r="IO304" i="12"/>
  <c r="IP304" i="12"/>
  <c r="IQ304" i="12"/>
  <c r="IR304" i="12"/>
  <c r="IS304" i="12"/>
  <c r="IT304" i="12"/>
  <c r="IU304" i="12"/>
  <c r="IV304" i="12"/>
  <c r="F305" i="12"/>
  <c r="G305" i="12"/>
  <c r="H305" i="12"/>
  <c r="I305" i="12"/>
  <c r="J305" i="12"/>
  <c r="K305" i="12"/>
  <c r="L305" i="12"/>
  <c r="M305" i="12"/>
  <c r="N305" i="12"/>
  <c r="O305" i="12"/>
  <c r="P305" i="12"/>
  <c r="Q305" i="12"/>
  <c r="R305" i="12"/>
  <c r="S305" i="12"/>
  <c r="T305" i="12"/>
  <c r="U305" i="12"/>
  <c r="V305" i="12"/>
  <c r="W305" i="12"/>
  <c r="X305" i="12"/>
  <c r="Y305" i="12"/>
  <c r="Z305" i="12"/>
  <c r="AA305" i="12"/>
  <c r="AB305" i="12"/>
  <c r="AC305" i="12"/>
  <c r="AD305" i="12"/>
  <c r="AE305" i="12"/>
  <c r="AF305" i="12"/>
  <c r="AG305" i="12"/>
  <c r="AH305" i="12"/>
  <c r="AI305" i="12"/>
  <c r="AJ305" i="12"/>
  <c r="AK305" i="12"/>
  <c r="AL305" i="12"/>
  <c r="AM305" i="12"/>
  <c r="AN305" i="12"/>
  <c r="AO305" i="12"/>
  <c r="AP305" i="12"/>
  <c r="AQ305" i="12"/>
  <c r="AR305" i="12"/>
  <c r="AS305" i="12"/>
  <c r="AT305" i="12"/>
  <c r="AU305" i="12"/>
  <c r="AV305" i="12"/>
  <c r="AW305" i="12"/>
  <c r="AX305" i="12"/>
  <c r="AY305" i="12"/>
  <c r="AZ305" i="12"/>
  <c r="BA305" i="12"/>
  <c r="BB305" i="12"/>
  <c r="BC305" i="12"/>
  <c r="BD305" i="12"/>
  <c r="BE305" i="12"/>
  <c r="BF305" i="12"/>
  <c r="BG305" i="12"/>
  <c r="BH305" i="12"/>
  <c r="BI305" i="12"/>
  <c r="BJ305" i="12"/>
  <c r="BK305" i="12"/>
  <c r="BL305" i="12"/>
  <c r="BM305" i="12"/>
  <c r="BN305" i="12"/>
  <c r="BO305" i="12"/>
  <c r="BP305" i="12"/>
  <c r="BQ305" i="12"/>
  <c r="BR305" i="12"/>
  <c r="BS305" i="12"/>
  <c r="BT305" i="12"/>
  <c r="BU305" i="12"/>
  <c r="BV305" i="12"/>
  <c r="BW305" i="12"/>
  <c r="BX305" i="12"/>
  <c r="BY305" i="12"/>
  <c r="BZ305" i="12"/>
  <c r="CA305" i="12"/>
  <c r="CB305" i="12"/>
  <c r="CC305" i="12"/>
  <c r="CD305" i="12"/>
  <c r="CE305" i="12"/>
  <c r="CF305" i="12"/>
  <c r="CG305" i="12"/>
  <c r="CH305" i="12"/>
  <c r="CI305" i="12"/>
  <c r="CJ305" i="12"/>
  <c r="CK305" i="12"/>
  <c r="CL305" i="12"/>
  <c r="CM305" i="12"/>
  <c r="CN305" i="12"/>
  <c r="CO305" i="12"/>
  <c r="CP305" i="12"/>
  <c r="CQ305" i="12"/>
  <c r="CR305" i="12"/>
  <c r="CS305" i="12"/>
  <c r="CT305" i="12"/>
  <c r="CU305" i="12"/>
  <c r="CV305" i="12"/>
  <c r="CW305" i="12"/>
  <c r="CX305" i="12"/>
  <c r="CY305" i="12"/>
  <c r="CZ305" i="12"/>
  <c r="DA305" i="12"/>
  <c r="DB305" i="12"/>
  <c r="DC305" i="12"/>
  <c r="DD305" i="12"/>
  <c r="DE305" i="12"/>
  <c r="DF305" i="12"/>
  <c r="DG305" i="12"/>
  <c r="DH305" i="12"/>
  <c r="DI305" i="12"/>
  <c r="DJ305" i="12"/>
  <c r="DK305" i="12"/>
  <c r="DL305" i="12"/>
  <c r="DM305" i="12"/>
  <c r="DN305" i="12"/>
  <c r="DO305" i="12"/>
  <c r="DP305" i="12"/>
  <c r="DQ305" i="12"/>
  <c r="DR305" i="12"/>
  <c r="DS305" i="12"/>
  <c r="DT305" i="12"/>
  <c r="DU305" i="12"/>
  <c r="DV305" i="12"/>
  <c r="DW305" i="12"/>
  <c r="DX305" i="12"/>
  <c r="DY305" i="12"/>
  <c r="DZ305" i="12"/>
  <c r="EA305" i="12"/>
  <c r="EB305" i="12"/>
  <c r="EC305" i="12"/>
  <c r="ED305" i="12"/>
  <c r="EE305" i="12"/>
  <c r="EF305" i="12"/>
  <c r="EG305" i="12"/>
  <c r="EH305" i="12"/>
  <c r="EI305" i="12"/>
  <c r="EJ305" i="12"/>
  <c r="EK305" i="12"/>
  <c r="EL305" i="12"/>
  <c r="EM305" i="12"/>
  <c r="EN305" i="12"/>
  <c r="EO305" i="12"/>
  <c r="EP305" i="12"/>
  <c r="EQ305" i="12"/>
  <c r="ER305" i="12"/>
  <c r="ES305" i="12"/>
  <c r="ET305" i="12"/>
  <c r="EU305" i="12"/>
  <c r="EV305" i="12"/>
  <c r="EW305" i="12"/>
  <c r="EX305" i="12"/>
  <c r="EY305" i="12"/>
  <c r="EZ305" i="12"/>
  <c r="FA305" i="12"/>
  <c r="FB305" i="12"/>
  <c r="FC305" i="12"/>
  <c r="FD305" i="12"/>
  <c r="FE305" i="12"/>
  <c r="FF305" i="12"/>
  <c r="FG305" i="12"/>
  <c r="FH305" i="12"/>
  <c r="FI305" i="12"/>
  <c r="FJ305" i="12"/>
  <c r="FK305" i="12"/>
  <c r="FL305" i="12"/>
  <c r="FM305" i="12"/>
  <c r="FN305" i="12"/>
  <c r="FO305" i="12"/>
  <c r="FP305" i="12"/>
  <c r="FQ305" i="12"/>
  <c r="FR305" i="12"/>
  <c r="FS305" i="12"/>
  <c r="FT305" i="12"/>
  <c r="FU305" i="12"/>
  <c r="FV305" i="12"/>
  <c r="FW305" i="12"/>
  <c r="FX305" i="12"/>
  <c r="FY305" i="12"/>
  <c r="FZ305" i="12"/>
  <c r="GA305" i="12"/>
  <c r="GB305" i="12"/>
  <c r="GC305" i="12"/>
  <c r="GD305" i="12"/>
  <c r="GE305" i="12"/>
  <c r="GF305" i="12"/>
  <c r="GG305" i="12"/>
  <c r="GH305" i="12"/>
  <c r="GI305" i="12"/>
  <c r="GJ305" i="12"/>
  <c r="GK305" i="12"/>
  <c r="GL305" i="12"/>
  <c r="GM305" i="12"/>
  <c r="GN305" i="12"/>
  <c r="GO305" i="12"/>
  <c r="GP305" i="12"/>
  <c r="GQ305" i="12"/>
  <c r="GR305" i="12"/>
  <c r="GS305" i="12"/>
  <c r="GT305" i="12"/>
  <c r="GU305" i="12"/>
  <c r="GV305" i="12"/>
  <c r="GW305" i="12"/>
  <c r="GX305" i="12"/>
  <c r="GY305" i="12"/>
  <c r="GZ305" i="12"/>
  <c r="HA305" i="12"/>
  <c r="HB305" i="12"/>
  <c r="HC305" i="12"/>
  <c r="HD305" i="12"/>
  <c r="HE305" i="12"/>
  <c r="HF305" i="12"/>
  <c r="HG305" i="12"/>
  <c r="HH305" i="12"/>
  <c r="HI305" i="12"/>
  <c r="HJ305" i="12"/>
  <c r="HK305" i="12"/>
  <c r="HL305" i="12"/>
  <c r="HM305" i="12"/>
  <c r="HN305" i="12"/>
  <c r="HO305" i="12"/>
  <c r="HP305" i="12"/>
  <c r="HQ305" i="12"/>
  <c r="HR305" i="12"/>
  <c r="HS305" i="12"/>
  <c r="HT305" i="12"/>
  <c r="HU305" i="12"/>
  <c r="HV305" i="12"/>
  <c r="HW305" i="12"/>
  <c r="HX305" i="12"/>
  <c r="HY305" i="12"/>
  <c r="HZ305" i="12"/>
  <c r="IA305" i="12"/>
  <c r="IB305" i="12"/>
  <c r="IC305" i="12"/>
  <c r="ID305" i="12"/>
  <c r="IE305" i="12"/>
  <c r="IF305" i="12"/>
  <c r="IG305" i="12"/>
  <c r="IH305" i="12"/>
  <c r="II305" i="12"/>
  <c r="IJ305" i="12"/>
  <c r="IK305" i="12"/>
  <c r="IL305" i="12"/>
  <c r="IM305" i="12"/>
  <c r="IN305" i="12"/>
  <c r="IO305" i="12"/>
  <c r="IP305" i="12"/>
  <c r="IQ305" i="12"/>
  <c r="IR305" i="12"/>
  <c r="IS305" i="12"/>
  <c r="IT305" i="12"/>
  <c r="IU305" i="12"/>
  <c r="IV305" i="12"/>
  <c r="F306" i="12"/>
  <c r="G306" i="12"/>
  <c r="H306" i="12"/>
  <c r="I306" i="12"/>
  <c r="J306" i="12"/>
  <c r="K306" i="12"/>
  <c r="L306" i="12"/>
  <c r="M306" i="12"/>
  <c r="N306" i="12"/>
  <c r="O306" i="12"/>
  <c r="P306" i="12"/>
  <c r="Q306" i="12"/>
  <c r="R306" i="12"/>
  <c r="S306" i="12"/>
  <c r="T306" i="12"/>
  <c r="U306" i="12"/>
  <c r="V306" i="12"/>
  <c r="W306" i="12"/>
  <c r="X306" i="12"/>
  <c r="Y306" i="12"/>
  <c r="Z306" i="12"/>
  <c r="AA306" i="12"/>
  <c r="AB306" i="12"/>
  <c r="AC306" i="12"/>
  <c r="AD306" i="12"/>
  <c r="AE306" i="12"/>
  <c r="AF306" i="12"/>
  <c r="AG306" i="12"/>
  <c r="AH306" i="12"/>
  <c r="AI306" i="12"/>
  <c r="AJ306" i="12"/>
  <c r="AK306" i="12"/>
  <c r="AL306" i="12"/>
  <c r="AM306" i="12"/>
  <c r="AN306" i="12"/>
  <c r="AO306" i="12"/>
  <c r="AP306" i="12"/>
  <c r="AQ306" i="12"/>
  <c r="AR306" i="12"/>
  <c r="AS306" i="12"/>
  <c r="AT306" i="12"/>
  <c r="AU306" i="12"/>
  <c r="AV306" i="12"/>
  <c r="AW306" i="12"/>
  <c r="AX306" i="12"/>
  <c r="AY306" i="12"/>
  <c r="AZ306" i="12"/>
  <c r="BA306" i="12"/>
  <c r="BB306" i="12"/>
  <c r="BC306" i="12"/>
  <c r="BD306" i="12"/>
  <c r="BE306" i="12"/>
  <c r="BF306" i="12"/>
  <c r="BG306" i="12"/>
  <c r="BH306" i="12"/>
  <c r="BI306" i="12"/>
  <c r="BJ306" i="12"/>
  <c r="BK306" i="12"/>
  <c r="BL306" i="12"/>
  <c r="BM306" i="12"/>
  <c r="BN306" i="12"/>
  <c r="BO306" i="12"/>
  <c r="BP306" i="12"/>
  <c r="BQ306" i="12"/>
  <c r="BR306" i="12"/>
  <c r="BS306" i="12"/>
  <c r="BT306" i="12"/>
  <c r="BU306" i="12"/>
  <c r="BV306" i="12"/>
  <c r="BW306" i="12"/>
  <c r="BX306" i="12"/>
  <c r="BY306" i="12"/>
  <c r="BZ306" i="12"/>
  <c r="CA306" i="12"/>
  <c r="CB306" i="12"/>
  <c r="CC306" i="12"/>
  <c r="CD306" i="12"/>
  <c r="CE306" i="12"/>
  <c r="CF306" i="12"/>
  <c r="CG306" i="12"/>
  <c r="CH306" i="12"/>
  <c r="CI306" i="12"/>
  <c r="CJ306" i="12"/>
  <c r="CK306" i="12"/>
  <c r="CL306" i="12"/>
  <c r="CM306" i="12"/>
  <c r="CN306" i="12"/>
  <c r="CO306" i="12"/>
  <c r="CP306" i="12"/>
  <c r="CQ306" i="12"/>
  <c r="CR306" i="12"/>
  <c r="CS306" i="12"/>
  <c r="CT306" i="12"/>
  <c r="CU306" i="12"/>
  <c r="CV306" i="12"/>
  <c r="CW306" i="12"/>
  <c r="CX306" i="12"/>
  <c r="CY306" i="12"/>
  <c r="CZ306" i="12"/>
  <c r="DA306" i="12"/>
  <c r="DB306" i="12"/>
  <c r="DC306" i="12"/>
  <c r="DD306" i="12"/>
  <c r="DE306" i="12"/>
  <c r="DF306" i="12"/>
  <c r="DG306" i="12"/>
  <c r="DH306" i="12"/>
  <c r="DI306" i="12"/>
  <c r="DJ306" i="12"/>
  <c r="DK306" i="12"/>
  <c r="DL306" i="12"/>
  <c r="DM306" i="12"/>
  <c r="DN306" i="12"/>
  <c r="DO306" i="12"/>
  <c r="DP306" i="12"/>
  <c r="DQ306" i="12"/>
  <c r="DR306" i="12"/>
  <c r="DS306" i="12"/>
  <c r="DT306" i="12"/>
  <c r="DU306" i="12"/>
  <c r="DV306" i="12"/>
  <c r="DW306" i="12"/>
  <c r="DX306" i="12"/>
  <c r="DY306" i="12"/>
  <c r="DZ306" i="12"/>
  <c r="EA306" i="12"/>
  <c r="EB306" i="12"/>
  <c r="EC306" i="12"/>
  <c r="ED306" i="12"/>
  <c r="EE306" i="12"/>
  <c r="EF306" i="12"/>
  <c r="EG306" i="12"/>
  <c r="EH306" i="12"/>
  <c r="EI306" i="12"/>
  <c r="EJ306" i="12"/>
  <c r="EK306" i="12"/>
  <c r="EL306" i="12"/>
  <c r="EM306" i="12"/>
  <c r="EN306" i="12"/>
  <c r="EO306" i="12"/>
  <c r="EP306" i="12"/>
  <c r="EQ306" i="12"/>
  <c r="ER306" i="12"/>
  <c r="ES306" i="12"/>
  <c r="ET306" i="12"/>
  <c r="EU306" i="12"/>
  <c r="EV306" i="12"/>
  <c r="EW306" i="12"/>
  <c r="EX306" i="12"/>
  <c r="EY306" i="12"/>
  <c r="EZ306" i="12"/>
  <c r="FA306" i="12"/>
  <c r="FB306" i="12"/>
  <c r="FC306" i="12"/>
  <c r="FD306" i="12"/>
  <c r="FE306" i="12"/>
  <c r="FF306" i="12"/>
  <c r="FG306" i="12"/>
  <c r="FH306" i="12"/>
  <c r="FI306" i="12"/>
  <c r="FJ306" i="12"/>
  <c r="FK306" i="12"/>
  <c r="FL306" i="12"/>
  <c r="FM306" i="12"/>
  <c r="FN306" i="12"/>
  <c r="FO306" i="12"/>
  <c r="FP306" i="12"/>
  <c r="FQ306" i="12"/>
  <c r="FR306" i="12"/>
  <c r="FS306" i="12"/>
  <c r="FT306" i="12"/>
  <c r="FU306" i="12"/>
  <c r="FV306" i="12"/>
  <c r="FW306" i="12"/>
  <c r="FX306" i="12"/>
  <c r="FY306" i="12"/>
  <c r="FZ306" i="12"/>
  <c r="GA306" i="12"/>
  <c r="GB306" i="12"/>
  <c r="GC306" i="12"/>
  <c r="GD306" i="12"/>
  <c r="GE306" i="12"/>
  <c r="GF306" i="12"/>
  <c r="GG306" i="12"/>
  <c r="GH306" i="12"/>
  <c r="GI306" i="12"/>
  <c r="GJ306" i="12"/>
  <c r="GK306" i="12"/>
  <c r="GL306" i="12"/>
  <c r="GM306" i="12"/>
  <c r="GN306" i="12"/>
  <c r="GO306" i="12"/>
  <c r="GP306" i="12"/>
  <c r="GQ306" i="12"/>
  <c r="GR306" i="12"/>
  <c r="GS306" i="12"/>
  <c r="GT306" i="12"/>
  <c r="GU306" i="12"/>
  <c r="GV306" i="12"/>
  <c r="GW306" i="12"/>
  <c r="GX306" i="12"/>
  <c r="GY306" i="12"/>
  <c r="GZ306" i="12"/>
  <c r="HA306" i="12"/>
  <c r="HB306" i="12"/>
  <c r="HC306" i="12"/>
  <c r="HD306" i="12"/>
  <c r="HE306" i="12"/>
  <c r="HF306" i="12"/>
  <c r="HG306" i="12"/>
  <c r="HH306" i="12"/>
  <c r="HI306" i="12"/>
  <c r="HJ306" i="12"/>
  <c r="HK306" i="12"/>
  <c r="HL306" i="12"/>
  <c r="HM306" i="12"/>
  <c r="HN306" i="12"/>
  <c r="HO306" i="12"/>
  <c r="HP306" i="12"/>
  <c r="HQ306" i="12"/>
  <c r="HR306" i="12"/>
  <c r="HS306" i="12"/>
  <c r="HT306" i="12"/>
  <c r="HU306" i="12"/>
  <c r="HV306" i="12"/>
  <c r="HW306" i="12"/>
  <c r="HX306" i="12"/>
  <c r="HY306" i="12"/>
  <c r="HZ306" i="12"/>
  <c r="IA306" i="12"/>
  <c r="IB306" i="12"/>
  <c r="IC306" i="12"/>
  <c r="ID306" i="12"/>
  <c r="IE306" i="12"/>
  <c r="IF306" i="12"/>
  <c r="IG306" i="12"/>
  <c r="IH306" i="12"/>
  <c r="II306" i="12"/>
  <c r="IJ306" i="12"/>
  <c r="IK306" i="12"/>
  <c r="IL306" i="12"/>
  <c r="IM306" i="12"/>
  <c r="IN306" i="12"/>
  <c r="IO306" i="12"/>
  <c r="IP306" i="12"/>
  <c r="IQ306" i="12"/>
  <c r="IR306" i="12"/>
  <c r="IS306" i="12"/>
  <c r="IT306" i="12"/>
  <c r="IU306" i="12"/>
  <c r="IV306" i="12"/>
  <c r="F307" i="12"/>
  <c r="G307" i="12"/>
  <c r="H307" i="12"/>
  <c r="I307" i="12"/>
  <c r="J307" i="12"/>
  <c r="K307" i="12"/>
  <c r="L307" i="12"/>
  <c r="M307" i="12"/>
  <c r="N307" i="12"/>
  <c r="O307" i="12"/>
  <c r="P307" i="12"/>
  <c r="Q307" i="12"/>
  <c r="R307" i="12"/>
  <c r="S307" i="12"/>
  <c r="T307" i="12"/>
  <c r="U307" i="12"/>
  <c r="V307" i="12"/>
  <c r="W307" i="12"/>
  <c r="X307" i="12"/>
  <c r="Y307" i="12"/>
  <c r="Z307" i="12"/>
  <c r="AA307" i="12"/>
  <c r="AB307" i="12"/>
  <c r="AC307" i="12"/>
  <c r="AD307" i="12"/>
  <c r="AE307" i="12"/>
  <c r="AF307" i="12"/>
  <c r="AG307" i="12"/>
  <c r="AH307" i="12"/>
  <c r="AI307" i="12"/>
  <c r="AJ307" i="12"/>
  <c r="AK307" i="12"/>
  <c r="AL307" i="12"/>
  <c r="AM307" i="12"/>
  <c r="AN307" i="12"/>
  <c r="AO307" i="12"/>
  <c r="AP307" i="12"/>
  <c r="AQ307" i="12"/>
  <c r="AR307" i="12"/>
  <c r="AS307" i="12"/>
  <c r="AT307" i="12"/>
  <c r="AU307" i="12"/>
  <c r="AV307" i="12"/>
  <c r="AW307" i="12"/>
  <c r="AX307" i="12"/>
  <c r="AY307" i="12"/>
  <c r="AZ307" i="12"/>
  <c r="BA307" i="12"/>
  <c r="BB307" i="12"/>
  <c r="BC307" i="12"/>
  <c r="BD307" i="12"/>
  <c r="BE307" i="12"/>
  <c r="BF307" i="12"/>
  <c r="BG307" i="12"/>
  <c r="BH307" i="12"/>
  <c r="BI307" i="12"/>
  <c r="BJ307" i="12"/>
  <c r="BK307" i="12"/>
  <c r="BL307" i="12"/>
  <c r="BM307" i="12"/>
  <c r="BN307" i="12"/>
  <c r="BO307" i="12"/>
  <c r="BP307" i="12"/>
  <c r="BQ307" i="12"/>
  <c r="BR307" i="12"/>
  <c r="BS307" i="12"/>
  <c r="BT307" i="12"/>
  <c r="BU307" i="12"/>
  <c r="BV307" i="12"/>
  <c r="BW307" i="12"/>
  <c r="BX307" i="12"/>
  <c r="BY307" i="12"/>
  <c r="BZ307" i="12"/>
  <c r="CA307" i="12"/>
  <c r="CB307" i="12"/>
  <c r="CC307" i="12"/>
  <c r="CD307" i="12"/>
  <c r="CE307" i="12"/>
  <c r="CF307" i="12"/>
  <c r="CG307" i="12"/>
  <c r="CH307" i="12"/>
  <c r="CI307" i="12"/>
  <c r="CJ307" i="12"/>
  <c r="CK307" i="12"/>
  <c r="CL307" i="12"/>
  <c r="CM307" i="12"/>
  <c r="CN307" i="12"/>
  <c r="CO307" i="12"/>
  <c r="CP307" i="12"/>
  <c r="CQ307" i="12"/>
  <c r="CR307" i="12"/>
  <c r="CS307" i="12"/>
  <c r="CT307" i="12"/>
  <c r="CU307" i="12"/>
  <c r="CV307" i="12"/>
  <c r="CW307" i="12"/>
  <c r="CX307" i="12"/>
  <c r="CY307" i="12"/>
  <c r="CZ307" i="12"/>
  <c r="DA307" i="12"/>
  <c r="DB307" i="12"/>
  <c r="DC307" i="12"/>
  <c r="DD307" i="12"/>
  <c r="DE307" i="12"/>
  <c r="DF307" i="12"/>
  <c r="DG307" i="12"/>
  <c r="DH307" i="12"/>
  <c r="DI307" i="12"/>
  <c r="DJ307" i="12"/>
  <c r="DK307" i="12"/>
  <c r="DL307" i="12"/>
  <c r="DM307" i="12"/>
  <c r="DN307" i="12"/>
  <c r="DO307" i="12"/>
  <c r="DP307" i="12"/>
  <c r="DQ307" i="12"/>
  <c r="DR307" i="12"/>
  <c r="DS307" i="12"/>
  <c r="DT307" i="12"/>
  <c r="DU307" i="12"/>
  <c r="DV307" i="12"/>
  <c r="DW307" i="12"/>
  <c r="DX307" i="12"/>
  <c r="DY307" i="12"/>
  <c r="DZ307" i="12"/>
  <c r="EA307" i="12"/>
  <c r="EB307" i="12"/>
  <c r="EC307" i="12"/>
  <c r="ED307" i="12"/>
  <c r="EE307" i="12"/>
  <c r="EF307" i="12"/>
  <c r="EG307" i="12"/>
  <c r="EH307" i="12"/>
  <c r="EI307" i="12"/>
  <c r="EJ307" i="12"/>
  <c r="EK307" i="12"/>
  <c r="EL307" i="12"/>
  <c r="EM307" i="12"/>
  <c r="EN307" i="12"/>
  <c r="EO307" i="12"/>
  <c r="EP307" i="12"/>
  <c r="EQ307" i="12"/>
  <c r="ER307" i="12"/>
  <c r="ES307" i="12"/>
  <c r="ET307" i="12"/>
  <c r="EU307" i="12"/>
  <c r="EV307" i="12"/>
  <c r="EW307" i="12"/>
  <c r="EX307" i="12"/>
  <c r="EY307" i="12"/>
  <c r="EZ307" i="12"/>
  <c r="FA307" i="12"/>
  <c r="FB307" i="12"/>
  <c r="FC307" i="12"/>
  <c r="FD307" i="12"/>
  <c r="FE307" i="12"/>
  <c r="FF307" i="12"/>
  <c r="FG307" i="12"/>
  <c r="FH307" i="12"/>
  <c r="FI307" i="12"/>
  <c r="FJ307" i="12"/>
  <c r="FK307" i="12"/>
  <c r="FL307" i="12"/>
  <c r="FM307" i="12"/>
  <c r="FN307" i="12"/>
  <c r="FO307" i="12"/>
  <c r="FP307" i="12"/>
  <c r="FQ307" i="12"/>
  <c r="FR307" i="12"/>
  <c r="FS307" i="12"/>
  <c r="FT307" i="12"/>
  <c r="FU307" i="12"/>
  <c r="FV307" i="12"/>
  <c r="FW307" i="12"/>
  <c r="FX307" i="12"/>
  <c r="FY307" i="12"/>
  <c r="FZ307" i="12"/>
  <c r="GA307" i="12"/>
  <c r="GB307" i="12"/>
  <c r="GC307" i="12"/>
  <c r="GD307" i="12"/>
  <c r="GE307" i="12"/>
  <c r="GF307" i="12"/>
  <c r="GG307" i="12"/>
  <c r="GH307" i="12"/>
  <c r="GI307" i="12"/>
  <c r="GJ307" i="12"/>
  <c r="GK307" i="12"/>
  <c r="GL307" i="12"/>
  <c r="GM307" i="12"/>
  <c r="GN307" i="12"/>
  <c r="GO307" i="12"/>
  <c r="GP307" i="12"/>
  <c r="GQ307" i="12"/>
  <c r="GR307" i="12"/>
  <c r="GS307" i="12"/>
  <c r="GT307" i="12"/>
  <c r="GU307" i="12"/>
  <c r="GV307" i="12"/>
  <c r="GW307" i="12"/>
  <c r="GX307" i="12"/>
  <c r="GY307" i="12"/>
  <c r="GZ307" i="12"/>
  <c r="HA307" i="12"/>
  <c r="HB307" i="12"/>
  <c r="HC307" i="12"/>
  <c r="HD307" i="12"/>
  <c r="HE307" i="12"/>
  <c r="HF307" i="12"/>
  <c r="HG307" i="12"/>
  <c r="HH307" i="12"/>
  <c r="HI307" i="12"/>
  <c r="HJ307" i="12"/>
  <c r="HK307" i="12"/>
  <c r="HL307" i="12"/>
  <c r="HM307" i="12"/>
  <c r="HN307" i="12"/>
  <c r="HO307" i="12"/>
  <c r="HP307" i="12"/>
  <c r="HQ307" i="12"/>
  <c r="HR307" i="12"/>
  <c r="HS307" i="12"/>
  <c r="HT307" i="12"/>
  <c r="HU307" i="12"/>
  <c r="HV307" i="12"/>
  <c r="HW307" i="12"/>
  <c r="HX307" i="12"/>
  <c r="HY307" i="12"/>
  <c r="HZ307" i="12"/>
  <c r="IA307" i="12"/>
  <c r="IB307" i="12"/>
  <c r="IC307" i="12"/>
  <c r="ID307" i="12"/>
  <c r="IE307" i="12"/>
  <c r="IF307" i="12"/>
  <c r="IG307" i="12"/>
  <c r="IH307" i="12"/>
  <c r="II307" i="12"/>
  <c r="IJ307" i="12"/>
  <c r="IK307" i="12"/>
  <c r="IL307" i="12"/>
  <c r="IM307" i="12"/>
  <c r="IN307" i="12"/>
  <c r="IO307" i="12"/>
  <c r="IP307" i="12"/>
  <c r="IQ307" i="12"/>
  <c r="IR307" i="12"/>
  <c r="IS307" i="12"/>
  <c r="IT307" i="12"/>
  <c r="IU307" i="12"/>
  <c r="IV307" i="12"/>
  <c r="F308" i="12"/>
  <c r="G308" i="12"/>
  <c r="H308" i="12"/>
  <c r="I308" i="12"/>
  <c r="J308" i="12"/>
  <c r="K308" i="12"/>
  <c r="L308" i="12"/>
  <c r="M308" i="12"/>
  <c r="N308" i="12"/>
  <c r="O308" i="12"/>
  <c r="P308" i="12"/>
  <c r="Q308" i="12"/>
  <c r="R308" i="12"/>
  <c r="S308" i="12"/>
  <c r="T308" i="12"/>
  <c r="U308" i="12"/>
  <c r="V308" i="12"/>
  <c r="W308" i="12"/>
  <c r="X308" i="12"/>
  <c r="Y308" i="12"/>
  <c r="Z308" i="12"/>
  <c r="AA308" i="12"/>
  <c r="AB308" i="12"/>
  <c r="AC308" i="12"/>
  <c r="AD308" i="12"/>
  <c r="AE308" i="12"/>
  <c r="AF308" i="12"/>
  <c r="AG308" i="12"/>
  <c r="AH308" i="12"/>
  <c r="AI308" i="12"/>
  <c r="AJ308" i="12"/>
  <c r="AK308" i="12"/>
  <c r="AL308" i="12"/>
  <c r="AM308" i="12"/>
  <c r="AN308" i="12"/>
  <c r="AO308" i="12"/>
  <c r="AP308" i="12"/>
  <c r="AQ308" i="12"/>
  <c r="AR308" i="12"/>
  <c r="AS308" i="12"/>
  <c r="AT308" i="12"/>
  <c r="AU308" i="12"/>
  <c r="AV308" i="12"/>
  <c r="AW308" i="12"/>
  <c r="AX308" i="12"/>
  <c r="AY308" i="12"/>
  <c r="AZ308" i="12"/>
  <c r="BA308" i="12"/>
  <c r="BB308" i="12"/>
  <c r="BC308" i="12"/>
  <c r="BD308" i="12"/>
  <c r="BE308" i="12"/>
  <c r="BF308" i="12"/>
  <c r="BG308" i="12"/>
  <c r="BH308" i="12"/>
  <c r="BI308" i="12"/>
  <c r="BJ308" i="12"/>
  <c r="BK308" i="12"/>
  <c r="BL308" i="12"/>
  <c r="BM308" i="12"/>
  <c r="BN308" i="12"/>
  <c r="BO308" i="12"/>
  <c r="BP308" i="12"/>
  <c r="BQ308" i="12"/>
  <c r="BR308" i="12"/>
  <c r="BS308" i="12"/>
  <c r="BT308" i="12"/>
  <c r="BU308" i="12"/>
  <c r="BV308" i="12"/>
  <c r="BW308" i="12"/>
  <c r="BX308" i="12"/>
  <c r="BY308" i="12"/>
  <c r="BZ308" i="12"/>
  <c r="CA308" i="12"/>
  <c r="CB308" i="12"/>
  <c r="CC308" i="12"/>
  <c r="CD308" i="12"/>
  <c r="CE308" i="12"/>
  <c r="CF308" i="12"/>
  <c r="CG308" i="12"/>
  <c r="CH308" i="12"/>
  <c r="CI308" i="12"/>
  <c r="CJ308" i="12"/>
  <c r="CK308" i="12"/>
  <c r="CL308" i="12"/>
  <c r="CM308" i="12"/>
  <c r="CN308" i="12"/>
  <c r="CO308" i="12"/>
  <c r="CP308" i="12"/>
  <c r="CQ308" i="12"/>
  <c r="CR308" i="12"/>
  <c r="CS308" i="12"/>
  <c r="CT308" i="12"/>
  <c r="CU308" i="12"/>
  <c r="CV308" i="12"/>
  <c r="CW308" i="12"/>
  <c r="CX308" i="12"/>
  <c r="CY308" i="12"/>
  <c r="CZ308" i="12"/>
  <c r="DA308" i="12"/>
  <c r="DB308" i="12"/>
  <c r="DC308" i="12"/>
  <c r="DD308" i="12"/>
  <c r="DE308" i="12"/>
  <c r="DF308" i="12"/>
  <c r="DG308" i="12"/>
  <c r="DH308" i="12"/>
  <c r="DI308" i="12"/>
  <c r="DJ308" i="12"/>
  <c r="DK308" i="12"/>
  <c r="DL308" i="12"/>
  <c r="DM308" i="12"/>
  <c r="DN308" i="12"/>
  <c r="DO308" i="12"/>
  <c r="DP308" i="12"/>
  <c r="DQ308" i="12"/>
  <c r="DR308" i="12"/>
  <c r="DS308" i="12"/>
  <c r="DT308" i="12"/>
  <c r="DU308" i="12"/>
  <c r="DV308" i="12"/>
  <c r="DW308" i="12"/>
  <c r="DX308" i="12"/>
  <c r="DY308" i="12"/>
  <c r="DZ308" i="12"/>
  <c r="EA308" i="12"/>
  <c r="EB308" i="12"/>
  <c r="EC308" i="12"/>
  <c r="ED308" i="12"/>
  <c r="EE308" i="12"/>
  <c r="EF308" i="12"/>
  <c r="EG308" i="12"/>
  <c r="EH308" i="12"/>
  <c r="EI308" i="12"/>
  <c r="EJ308" i="12"/>
  <c r="EK308" i="12"/>
  <c r="EL308" i="12"/>
  <c r="EM308" i="12"/>
  <c r="EN308" i="12"/>
  <c r="EO308" i="12"/>
  <c r="EP308" i="12"/>
  <c r="EQ308" i="12"/>
  <c r="ER308" i="12"/>
  <c r="ES308" i="12"/>
  <c r="ET308" i="12"/>
  <c r="EU308" i="12"/>
  <c r="EV308" i="12"/>
  <c r="EW308" i="12"/>
  <c r="EX308" i="12"/>
  <c r="EY308" i="12"/>
  <c r="EZ308" i="12"/>
  <c r="FA308" i="12"/>
  <c r="FB308" i="12"/>
  <c r="FC308" i="12"/>
  <c r="FD308" i="12"/>
  <c r="FE308" i="12"/>
  <c r="FF308" i="12"/>
  <c r="FG308" i="12"/>
  <c r="FH308" i="12"/>
  <c r="FI308" i="12"/>
  <c r="FJ308" i="12"/>
  <c r="FK308" i="12"/>
  <c r="FL308" i="12"/>
  <c r="FM308" i="12"/>
  <c r="FN308" i="12"/>
  <c r="FO308" i="12"/>
  <c r="FP308" i="12"/>
  <c r="FQ308" i="12"/>
  <c r="FR308" i="12"/>
  <c r="FS308" i="12"/>
  <c r="FT308" i="12"/>
  <c r="FU308" i="12"/>
  <c r="FV308" i="12"/>
  <c r="FW308" i="12"/>
  <c r="FX308" i="12"/>
  <c r="FY308" i="12"/>
  <c r="FZ308" i="12"/>
  <c r="GA308" i="12"/>
  <c r="GB308" i="12"/>
  <c r="GC308" i="12"/>
  <c r="GD308" i="12"/>
  <c r="GE308" i="12"/>
  <c r="GF308" i="12"/>
  <c r="GG308" i="12"/>
  <c r="GH308" i="12"/>
  <c r="GI308" i="12"/>
  <c r="GJ308" i="12"/>
  <c r="GK308" i="12"/>
  <c r="GL308" i="12"/>
  <c r="GM308" i="12"/>
  <c r="GN308" i="12"/>
  <c r="GO308" i="12"/>
  <c r="GP308" i="12"/>
  <c r="GQ308" i="12"/>
  <c r="GR308" i="12"/>
  <c r="GS308" i="12"/>
  <c r="GT308" i="12"/>
  <c r="GU308" i="12"/>
  <c r="GV308" i="12"/>
  <c r="GW308" i="12"/>
  <c r="GX308" i="12"/>
  <c r="GY308" i="12"/>
  <c r="GZ308" i="12"/>
  <c r="HA308" i="12"/>
  <c r="HB308" i="12"/>
  <c r="HC308" i="12"/>
  <c r="HD308" i="12"/>
  <c r="HE308" i="12"/>
  <c r="HF308" i="12"/>
  <c r="HG308" i="12"/>
  <c r="HH308" i="12"/>
  <c r="HI308" i="12"/>
  <c r="HJ308" i="12"/>
  <c r="HK308" i="12"/>
  <c r="HL308" i="12"/>
  <c r="HM308" i="12"/>
  <c r="HN308" i="12"/>
  <c r="HO308" i="12"/>
  <c r="HP308" i="12"/>
  <c r="HQ308" i="12"/>
  <c r="HR308" i="12"/>
  <c r="HS308" i="12"/>
  <c r="HT308" i="12"/>
  <c r="HU308" i="12"/>
  <c r="HV308" i="12"/>
  <c r="HW308" i="12"/>
  <c r="HX308" i="12"/>
  <c r="HY308" i="12"/>
  <c r="HZ308" i="12"/>
  <c r="IA308" i="12"/>
  <c r="IB308" i="12"/>
  <c r="IC308" i="12"/>
  <c r="ID308" i="12"/>
  <c r="IE308" i="12"/>
  <c r="IF308" i="12"/>
  <c r="IG308" i="12"/>
  <c r="IH308" i="12"/>
  <c r="II308" i="12"/>
  <c r="IJ308" i="12"/>
  <c r="IK308" i="12"/>
  <c r="IL308" i="12"/>
  <c r="IM308" i="12"/>
  <c r="IN308" i="12"/>
  <c r="IO308" i="12"/>
  <c r="IP308" i="12"/>
  <c r="IQ308" i="12"/>
  <c r="IR308" i="12"/>
  <c r="IS308" i="12"/>
  <c r="IT308" i="12"/>
  <c r="IU308" i="12"/>
  <c r="IV308" i="12"/>
  <c r="F309" i="12"/>
  <c r="G309" i="12"/>
  <c r="H309" i="12"/>
  <c r="I309" i="12"/>
  <c r="J309" i="12"/>
  <c r="K309" i="12"/>
  <c r="L309" i="12"/>
  <c r="M309" i="12"/>
  <c r="N309" i="12"/>
  <c r="O309" i="12"/>
  <c r="P309" i="12"/>
  <c r="Q309" i="12"/>
  <c r="R309" i="12"/>
  <c r="S309" i="12"/>
  <c r="T309" i="12"/>
  <c r="U309" i="12"/>
  <c r="V309" i="12"/>
  <c r="W309" i="12"/>
  <c r="X309" i="12"/>
  <c r="Y309" i="12"/>
  <c r="Z309" i="12"/>
  <c r="AA309" i="12"/>
  <c r="AB309" i="12"/>
  <c r="AC309" i="12"/>
  <c r="AD309" i="12"/>
  <c r="AE309" i="12"/>
  <c r="AF309" i="12"/>
  <c r="AG309" i="12"/>
  <c r="AH309" i="12"/>
  <c r="AI309" i="12"/>
  <c r="AJ309" i="12"/>
  <c r="AK309" i="12"/>
  <c r="AL309" i="12"/>
  <c r="AM309" i="12"/>
  <c r="AN309" i="12"/>
  <c r="AO309" i="12"/>
  <c r="AP309" i="12"/>
  <c r="AQ309" i="12"/>
  <c r="AR309" i="12"/>
  <c r="AS309" i="12"/>
  <c r="AT309" i="12"/>
  <c r="AU309" i="12"/>
  <c r="AV309" i="12"/>
  <c r="AW309" i="12"/>
  <c r="AX309" i="12"/>
  <c r="AY309" i="12"/>
  <c r="AZ309" i="12"/>
  <c r="BA309" i="12"/>
  <c r="BB309" i="12"/>
  <c r="BC309" i="12"/>
  <c r="BD309" i="12"/>
  <c r="BE309" i="12"/>
  <c r="BF309" i="12"/>
  <c r="BG309" i="12"/>
  <c r="BH309" i="12"/>
  <c r="BI309" i="12"/>
  <c r="BJ309" i="12"/>
  <c r="BK309" i="12"/>
  <c r="BL309" i="12"/>
  <c r="BM309" i="12"/>
  <c r="BN309" i="12"/>
  <c r="BO309" i="12"/>
  <c r="BP309" i="12"/>
  <c r="BQ309" i="12"/>
  <c r="BR309" i="12"/>
  <c r="BS309" i="12"/>
  <c r="BT309" i="12"/>
  <c r="BU309" i="12"/>
  <c r="BV309" i="12"/>
  <c r="BW309" i="12"/>
  <c r="BX309" i="12"/>
  <c r="BY309" i="12"/>
  <c r="BZ309" i="12"/>
  <c r="CA309" i="12"/>
  <c r="CB309" i="12"/>
  <c r="CC309" i="12"/>
  <c r="CD309" i="12"/>
  <c r="CE309" i="12"/>
  <c r="CF309" i="12"/>
  <c r="CG309" i="12"/>
  <c r="CH309" i="12"/>
  <c r="CI309" i="12"/>
  <c r="CJ309" i="12"/>
  <c r="CK309" i="12"/>
  <c r="CL309" i="12"/>
  <c r="CM309" i="12"/>
  <c r="CN309" i="12"/>
  <c r="CO309" i="12"/>
  <c r="CP309" i="12"/>
  <c r="CQ309" i="12"/>
  <c r="CR309" i="12"/>
  <c r="CS309" i="12"/>
  <c r="CT309" i="12"/>
  <c r="CU309" i="12"/>
  <c r="CV309" i="12"/>
  <c r="CW309" i="12"/>
  <c r="CX309" i="12"/>
  <c r="CY309" i="12"/>
  <c r="CZ309" i="12"/>
  <c r="DA309" i="12"/>
  <c r="DB309" i="12"/>
  <c r="DC309" i="12"/>
  <c r="DD309" i="12"/>
  <c r="DE309" i="12"/>
  <c r="DF309" i="12"/>
  <c r="DG309" i="12"/>
  <c r="DH309" i="12"/>
  <c r="DI309" i="12"/>
  <c r="DJ309" i="12"/>
  <c r="DK309" i="12"/>
  <c r="DL309" i="12"/>
  <c r="DM309" i="12"/>
  <c r="DN309" i="12"/>
  <c r="DO309" i="12"/>
  <c r="DP309" i="12"/>
  <c r="DQ309" i="12"/>
  <c r="DR309" i="12"/>
  <c r="DS309" i="12"/>
  <c r="DT309" i="12"/>
  <c r="DU309" i="12"/>
  <c r="DV309" i="12"/>
  <c r="DW309" i="12"/>
  <c r="DX309" i="12"/>
  <c r="DY309" i="12"/>
  <c r="DZ309" i="12"/>
  <c r="EA309" i="12"/>
  <c r="EB309" i="12"/>
  <c r="EC309" i="12"/>
  <c r="ED309" i="12"/>
  <c r="EE309" i="12"/>
  <c r="EF309" i="12"/>
  <c r="EG309" i="12"/>
  <c r="EH309" i="12"/>
  <c r="EI309" i="12"/>
  <c r="EJ309" i="12"/>
  <c r="EK309" i="12"/>
  <c r="EL309" i="12"/>
  <c r="EM309" i="12"/>
  <c r="EN309" i="12"/>
  <c r="EO309" i="12"/>
  <c r="EP309" i="12"/>
  <c r="EQ309" i="12"/>
  <c r="ER309" i="12"/>
  <c r="ES309" i="12"/>
  <c r="ET309" i="12"/>
  <c r="EU309" i="12"/>
  <c r="EV309" i="12"/>
  <c r="EW309" i="12"/>
  <c r="EX309" i="12"/>
  <c r="EY309" i="12"/>
  <c r="EZ309" i="12"/>
  <c r="FA309" i="12"/>
  <c r="FB309" i="12"/>
  <c r="FC309" i="12"/>
  <c r="FD309" i="12"/>
  <c r="FE309" i="12"/>
  <c r="FF309" i="12"/>
  <c r="FG309" i="12"/>
  <c r="FH309" i="12"/>
  <c r="FI309" i="12"/>
  <c r="FJ309" i="12"/>
  <c r="FK309" i="12"/>
  <c r="FL309" i="12"/>
  <c r="FM309" i="12"/>
  <c r="FN309" i="12"/>
  <c r="FO309" i="12"/>
  <c r="FP309" i="12"/>
  <c r="FQ309" i="12"/>
  <c r="FR309" i="12"/>
  <c r="FS309" i="12"/>
  <c r="FT309" i="12"/>
  <c r="FU309" i="12"/>
  <c r="FV309" i="12"/>
  <c r="FW309" i="12"/>
  <c r="FX309" i="12"/>
  <c r="FY309" i="12"/>
  <c r="FZ309" i="12"/>
  <c r="GA309" i="12"/>
  <c r="GB309" i="12"/>
  <c r="GC309" i="12"/>
  <c r="GD309" i="12"/>
  <c r="GE309" i="12"/>
  <c r="GF309" i="12"/>
  <c r="GG309" i="12"/>
  <c r="GH309" i="12"/>
  <c r="GI309" i="12"/>
  <c r="GJ309" i="12"/>
  <c r="GK309" i="12"/>
  <c r="GL309" i="12"/>
  <c r="GM309" i="12"/>
  <c r="GN309" i="12"/>
  <c r="GO309" i="12"/>
  <c r="GP309" i="12"/>
  <c r="GQ309" i="12"/>
  <c r="GR309" i="12"/>
  <c r="GS309" i="12"/>
  <c r="GT309" i="12"/>
  <c r="GU309" i="12"/>
  <c r="GV309" i="12"/>
  <c r="GW309" i="12"/>
  <c r="GX309" i="12"/>
  <c r="GY309" i="12"/>
  <c r="GZ309" i="12"/>
  <c r="HA309" i="12"/>
  <c r="HB309" i="12"/>
  <c r="HC309" i="12"/>
  <c r="HD309" i="12"/>
  <c r="HE309" i="12"/>
  <c r="HF309" i="12"/>
  <c r="HG309" i="12"/>
  <c r="HH309" i="12"/>
  <c r="HI309" i="12"/>
  <c r="HJ309" i="12"/>
  <c r="HK309" i="12"/>
  <c r="HL309" i="12"/>
  <c r="HM309" i="12"/>
  <c r="HN309" i="12"/>
  <c r="HO309" i="12"/>
  <c r="HP309" i="12"/>
  <c r="HQ309" i="12"/>
  <c r="HR309" i="12"/>
  <c r="HS309" i="12"/>
  <c r="HT309" i="12"/>
  <c r="HU309" i="12"/>
  <c r="HV309" i="12"/>
  <c r="HW309" i="12"/>
  <c r="HX309" i="12"/>
  <c r="HY309" i="12"/>
  <c r="HZ309" i="12"/>
  <c r="IA309" i="12"/>
  <c r="IB309" i="12"/>
  <c r="IC309" i="12"/>
  <c r="ID309" i="12"/>
  <c r="IE309" i="12"/>
  <c r="IF309" i="12"/>
  <c r="IG309" i="12"/>
  <c r="IH309" i="12"/>
  <c r="II309" i="12"/>
  <c r="IJ309" i="12"/>
  <c r="IK309" i="12"/>
  <c r="IL309" i="12"/>
  <c r="IM309" i="12"/>
  <c r="IN309" i="12"/>
  <c r="IO309" i="12"/>
  <c r="IP309" i="12"/>
  <c r="IQ309" i="12"/>
  <c r="IR309" i="12"/>
  <c r="IS309" i="12"/>
  <c r="IT309" i="12"/>
  <c r="IU309" i="12"/>
  <c r="IV309" i="12"/>
  <c r="F310" i="12"/>
  <c r="G310" i="12"/>
  <c r="H310" i="12"/>
  <c r="I310" i="12"/>
  <c r="J310" i="12"/>
  <c r="K310" i="12"/>
  <c r="L310" i="12"/>
  <c r="M310" i="12"/>
  <c r="N310" i="12"/>
  <c r="O310" i="12"/>
  <c r="P310" i="12"/>
  <c r="Q310" i="12"/>
  <c r="R310" i="12"/>
  <c r="S310" i="12"/>
  <c r="T310" i="12"/>
  <c r="U310" i="12"/>
  <c r="V310" i="12"/>
  <c r="W310" i="12"/>
  <c r="X310" i="12"/>
  <c r="Y310" i="12"/>
  <c r="Z310" i="12"/>
  <c r="AA310" i="12"/>
  <c r="AB310" i="12"/>
  <c r="AC310" i="12"/>
  <c r="AD310" i="12"/>
  <c r="AE310" i="12"/>
  <c r="AF310" i="12"/>
  <c r="AG310" i="12"/>
  <c r="AH310" i="12"/>
  <c r="AI310" i="12"/>
  <c r="AJ310" i="12"/>
  <c r="AK310" i="12"/>
  <c r="AL310" i="12"/>
  <c r="AM310" i="12"/>
  <c r="AN310" i="12"/>
  <c r="AO310" i="12"/>
  <c r="AP310" i="12"/>
  <c r="AQ310" i="12"/>
  <c r="AR310" i="12"/>
  <c r="AS310" i="12"/>
  <c r="AT310" i="12"/>
  <c r="AU310" i="12"/>
  <c r="AV310" i="12"/>
  <c r="AW310" i="12"/>
  <c r="AX310" i="12"/>
  <c r="AY310" i="12"/>
  <c r="AZ310" i="12"/>
  <c r="BA310" i="12"/>
  <c r="BB310" i="12"/>
  <c r="BC310" i="12"/>
  <c r="BD310" i="12"/>
  <c r="BE310" i="12"/>
  <c r="BF310" i="12"/>
  <c r="BG310" i="12"/>
  <c r="BH310" i="12"/>
  <c r="BI310" i="12"/>
  <c r="BJ310" i="12"/>
  <c r="BK310" i="12"/>
  <c r="BL310" i="12"/>
  <c r="BM310" i="12"/>
  <c r="BN310" i="12"/>
  <c r="BO310" i="12"/>
  <c r="BP310" i="12"/>
  <c r="BQ310" i="12"/>
  <c r="BR310" i="12"/>
  <c r="BS310" i="12"/>
  <c r="BT310" i="12"/>
  <c r="BU310" i="12"/>
  <c r="BV310" i="12"/>
  <c r="BW310" i="12"/>
  <c r="BX310" i="12"/>
  <c r="BY310" i="12"/>
  <c r="BZ310" i="12"/>
  <c r="CA310" i="12"/>
  <c r="CB310" i="12"/>
  <c r="CC310" i="12"/>
  <c r="CD310" i="12"/>
  <c r="CE310" i="12"/>
  <c r="CF310" i="12"/>
  <c r="CG310" i="12"/>
  <c r="CH310" i="12"/>
  <c r="CI310" i="12"/>
  <c r="CJ310" i="12"/>
  <c r="CK310" i="12"/>
  <c r="CL310" i="12"/>
  <c r="CM310" i="12"/>
  <c r="CN310" i="12"/>
  <c r="CO310" i="12"/>
  <c r="CP310" i="12"/>
  <c r="CQ310" i="12"/>
  <c r="CR310" i="12"/>
  <c r="CS310" i="12"/>
  <c r="CT310" i="12"/>
  <c r="CU310" i="12"/>
  <c r="CV310" i="12"/>
  <c r="CW310" i="12"/>
  <c r="CX310" i="12"/>
  <c r="CY310" i="12"/>
  <c r="CZ310" i="12"/>
  <c r="DA310" i="12"/>
  <c r="DB310" i="12"/>
  <c r="DC310" i="12"/>
  <c r="DD310" i="12"/>
  <c r="DE310" i="12"/>
  <c r="DF310" i="12"/>
  <c r="DG310" i="12"/>
  <c r="DH310" i="12"/>
  <c r="DI310" i="12"/>
  <c r="DJ310" i="12"/>
  <c r="DK310" i="12"/>
  <c r="DL310" i="12"/>
  <c r="DM310" i="12"/>
  <c r="DN310" i="12"/>
  <c r="DO310" i="12"/>
  <c r="DP310" i="12"/>
  <c r="DQ310" i="12"/>
  <c r="DR310" i="12"/>
  <c r="DS310" i="12"/>
  <c r="DT310" i="12"/>
  <c r="DU310" i="12"/>
  <c r="DV310" i="12"/>
  <c r="DW310" i="12"/>
  <c r="DX310" i="12"/>
  <c r="DY310" i="12"/>
  <c r="DZ310" i="12"/>
  <c r="EA310" i="12"/>
  <c r="EB310" i="12"/>
  <c r="EC310" i="12"/>
  <c r="ED310" i="12"/>
  <c r="EE310" i="12"/>
  <c r="EF310" i="12"/>
  <c r="EG310" i="12"/>
  <c r="EH310" i="12"/>
  <c r="EI310" i="12"/>
  <c r="EJ310" i="12"/>
  <c r="EK310" i="12"/>
  <c r="EL310" i="12"/>
  <c r="EM310" i="12"/>
  <c r="EN310" i="12"/>
  <c r="EO310" i="12"/>
  <c r="EP310" i="12"/>
  <c r="EQ310" i="12"/>
  <c r="ER310" i="12"/>
  <c r="ES310" i="12"/>
  <c r="ET310" i="12"/>
  <c r="EU310" i="12"/>
  <c r="EV310" i="12"/>
  <c r="EW310" i="12"/>
  <c r="EX310" i="12"/>
  <c r="EY310" i="12"/>
  <c r="EZ310" i="12"/>
  <c r="FA310" i="12"/>
  <c r="FB310" i="12"/>
  <c r="FC310" i="12"/>
  <c r="FD310" i="12"/>
  <c r="FE310" i="12"/>
  <c r="FF310" i="12"/>
  <c r="FG310" i="12"/>
  <c r="FH310" i="12"/>
  <c r="FI310" i="12"/>
  <c r="FJ310" i="12"/>
  <c r="FK310" i="12"/>
  <c r="FL310" i="12"/>
  <c r="FM310" i="12"/>
  <c r="FN310" i="12"/>
  <c r="FO310" i="12"/>
  <c r="FP310" i="12"/>
  <c r="FQ310" i="12"/>
  <c r="FR310" i="12"/>
  <c r="FS310" i="12"/>
  <c r="FT310" i="12"/>
  <c r="FU310" i="12"/>
  <c r="FV310" i="12"/>
  <c r="FW310" i="12"/>
  <c r="FX310" i="12"/>
  <c r="FY310" i="12"/>
  <c r="FZ310" i="12"/>
  <c r="GA310" i="12"/>
  <c r="GB310" i="12"/>
  <c r="GC310" i="12"/>
  <c r="GD310" i="12"/>
  <c r="GE310" i="12"/>
  <c r="GF310" i="12"/>
  <c r="GG310" i="12"/>
  <c r="GH310" i="12"/>
  <c r="GI310" i="12"/>
  <c r="GJ310" i="12"/>
  <c r="GK310" i="12"/>
  <c r="GL310" i="12"/>
  <c r="GM310" i="12"/>
  <c r="GN310" i="12"/>
  <c r="GO310" i="12"/>
  <c r="GP310" i="12"/>
  <c r="GQ310" i="12"/>
  <c r="GR310" i="12"/>
  <c r="GS310" i="12"/>
  <c r="GT310" i="12"/>
  <c r="GU310" i="12"/>
  <c r="GV310" i="12"/>
  <c r="GW310" i="12"/>
  <c r="GX310" i="12"/>
  <c r="GY310" i="12"/>
  <c r="GZ310" i="12"/>
  <c r="HA310" i="12"/>
  <c r="HB310" i="12"/>
  <c r="HC310" i="12"/>
  <c r="HD310" i="12"/>
  <c r="HE310" i="12"/>
  <c r="HF310" i="12"/>
  <c r="HG310" i="12"/>
  <c r="HH310" i="12"/>
  <c r="HI310" i="12"/>
  <c r="HJ310" i="12"/>
  <c r="HK310" i="12"/>
  <c r="HL310" i="12"/>
  <c r="HM310" i="12"/>
  <c r="HN310" i="12"/>
  <c r="HO310" i="12"/>
  <c r="HP310" i="12"/>
  <c r="HQ310" i="12"/>
  <c r="HR310" i="12"/>
  <c r="HS310" i="12"/>
  <c r="HT310" i="12"/>
  <c r="HU310" i="12"/>
  <c r="HV310" i="12"/>
  <c r="HW310" i="12"/>
  <c r="HX310" i="12"/>
  <c r="HY310" i="12"/>
  <c r="HZ310" i="12"/>
  <c r="IA310" i="12"/>
  <c r="IB310" i="12"/>
  <c r="IC310" i="12"/>
  <c r="ID310" i="12"/>
  <c r="IE310" i="12"/>
  <c r="IF310" i="12"/>
  <c r="IG310" i="12"/>
  <c r="IH310" i="12"/>
  <c r="II310" i="12"/>
  <c r="IJ310" i="12"/>
  <c r="IK310" i="12"/>
  <c r="IL310" i="12"/>
  <c r="IM310" i="12"/>
  <c r="IN310" i="12"/>
  <c r="IO310" i="12"/>
  <c r="IP310" i="12"/>
  <c r="IQ310" i="12"/>
  <c r="IR310" i="12"/>
  <c r="IS310" i="12"/>
  <c r="IT310" i="12"/>
  <c r="IU310" i="12"/>
  <c r="IV310" i="12"/>
  <c r="F311" i="12"/>
  <c r="G311" i="12"/>
  <c r="H311" i="12"/>
  <c r="I311" i="12"/>
  <c r="J311" i="12"/>
  <c r="K311" i="12"/>
  <c r="L311" i="12"/>
  <c r="M311" i="12"/>
  <c r="N311" i="12"/>
  <c r="O311" i="12"/>
  <c r="P311" i="12"/>
  <c r="Q311" i="12"/>
  <c r="R311" i="12"/>
  <c r="S311" i="12"/>
  <c r="T311" i="12"/>
  <c r="U311" i="12"/>
  <c r="V311" i="12"/>
  <c r="W311" i="12"/>
  <c r="X311" i="12"/>
  <c r="Y311" i="12"/>
  <c r="Z311" i="12"/>
  <c r="AA311" i="12"/>
  <c r="AB311" i="12"/>
  <c r="AC311" i="12"/>
  <c r="AD311" i="12"/>
  <c r="AE311" i="12"/>
  <c r="AF311" i="12"/>
  <c r="AG311" i="12"/>
  <c r="AH311" i="12"/>
  <c r="AI311" i="12"/>
  <c r="AJ311" i="12"/>
  <c r="AK311" i="12"/>
  <c r="AL311" i="12"/>
  <c r="AM311" i="12"/>
  <c r="AN311" i="12"/>
  <c r="AO311" i="12"/>
  <c r="AP311" i="12"/>
  <c r="AQ311" i="12"/>
  <c r="AR311" i="12"/>
  <c r="AS311" i="12"/>
  <c r="AT311" i="12"/>
  <c r="AU311" i="12"/>
  <c r="AV311" i="12"/>
  <c r="AW311" i="12"/>
  <c r="AX311" i="12"/>
  <c r="AY311" i="12"/>
  <c r="AZ311" i="12"/>
  <c r="BA311" i="12"/>
  <c r="BB311" i="12"/>
  <c r="BC311" i="12"/>
  <c r="BD311" i="12"/>
  <c r="BE311" i="12"/>
  <c r="BF311" i="12"/>
  <c r="BG311" i="12"/>
  <c r="BH311" i="12"/>
  <c r="BI311" i="12"/>
  <c r="BJ311" i="12"/>
  <c r="BK311" i="12"/>
  <c r="BL311" i="12"/>
  <c r="BM311" i="12"/>
  <c r="BN311" i="12"/>
  <c r="BO311" i="12"/>
  <c r="BP311" i="12"/>
  <c r="BQ311" i="12"/>
  <c r="BR311" i="12"/>
  <c r="BS311" i="12"/>
  <c r="BT311" i="12"/>
  <c r="BU311" i="12"/>
  <c r="BV311" i="12"/>
  <c r="BW311" i="12"/>
  <c r="BX311" i="12"/>
  <c r="BY311" i="12"/>
  <c r="BZ311" i="12"/>
  <c r="CA311" i="12"/>
  <c r="CB311" i="12"/>
  <c r="CC311" i="12"/>
  <c r="CD311" i="12"/>
  <c r="CE311" i="12"/>
  <c r="CF311" i="12"/>
  <c r="CG311" i="12"/>
  <c r="CH311" i="12"/>
  <c r="CI311" i="12"/>
  <c r="CJ311" i="12"/>
  <c r="CK311" i="12"/>
  <c r="CL311" i="12"/>
  <c r="CM311" i="12"/>
  <c r="CN311" i="12"/>
  <c r="CO311" i="12"/>
  <c r="CP311" i="12"/>
  <c r="CQ311" i="12"/>
  <c r="CR311" i="12"/>
  <c r="CS311" i="12"/>
  <c r="CT311" i="12"/>
  <c r="CU311" i="12"/>
  <c r="CV311" i="12"/>
  <c r="CW311" i="12"/>
  <c r="CX311" i="12"/>
  <c r="CY311" i="12"/>
  <c r="CZ311" i="12"/>
  <c r="DA311" i="12"/>
  <c r="DB311" i="12"/>
  <c r="DC311" i="12"/>
  <c r="DD311" i="12"/>
  <c r="DE311" i="12"/>
  <c r="DF311" i="12"/>
  <c r="DG311" i="12"/>
  <c r="DH311" i="12"/>
  <c r="DI311" i="12"/>
  <c r="DJ311" i="12"/>
  <c r="DK311" i="12"/>
  <c r="DL311" i="12"/>
  <c r="DM311" i="12"/>
  <c r="DN311" i="12"/>
  <c r="DO311" i="12"/>
  <c r="DP311" i="12"/>
  <c r="DQ311" i="12"/>
  <c r="DR311" i="12"/>
  <c r="DS311" i="12"/>
  <c r="DT311" i="12"/>
  <c r="DU311" i="12"/>
  <c r="DV311" i="12"/>
  <c r="DW311" i="12"/>
  <c r="DX311" i="12"/>
  <c r="DY311" i="12"/>
  <c r="DZ311" i="12"/>
  <c r="EA311" i="12"/>
  <c r="EB311" i="12"/>
  <c r="EC311" i="12"/>
  <c r="ED311" i="12"/>
  <c r="EE311" i="12"/>
  <c r="EF311" i="12"/>
  <c r="EG311" i="12"/>
  <c r="EH311" i="12"/>
  <c r="EI311" i="12"/>
  <c r="EJ311" i="12"/>
  <c r="EK311" i="12"/>
  <c r="EL311" i="12"/>
  <c r="EM311" i="12"/>
  <c r="EN311" i="12"/>
  <c r="EO311" i="12"/>
  <c r="EP311" i="12"/>
  <c r="EQ311" i="12"/>
  <c r="ER311" i="12"/>
  <c r="ES311" i="12"/>
  <c r="ET311" i="12"/>
  <c r="EU311" i="12"/>
  <c r="EV311" i="12"/>
  <c r="EW311" i="12"/>
  <c r="EX311" i="12"/>
  <c r="EY311" i="12"/>
  <c r="EZ311" i="12"/>
  <c r="FA311" i="12"/>
  <c r="FB311" i="12"/>
  <c r="FC311" i="12"/>
  <c r="FD311" i="12"/>
  <c r="FE311" i="12"/>
  <c r="FF311" i="12"/>
  <c r="FG311" i="12"/>
  <c r="FH311" i="12"/>
  <c r="FI311" i="12"/>
  <c r="FJ311" i="12"/>
  <c r="FK311" i="12"/>
  <c r="FL311" i="12"/>
  <c r="FM311" i="12"/>
  <c r="FN311" i="12"/>
  <c r="FO311" i="12"/>
  <c r="FP311" i="12"/>
  <c r="FQ311" i="12"/>
  <c r="FR311" i="12"/>
  <c r="FS311" i="12"/>
  <c r="FT311" i="12"/>
  <c r="FU311" i="12"/>
  <c r="FV311" i="12"/>
  <c r="FW311" i="12"/>
  <c r="FX311" i="12"/>
  <c r="FY311" i="12"/>
  <c r="FZ311" i="12"/>
  <c r="GA311" i="12"/>
  <c r="GB311" i="12"/>
  <c r="GC311" i="12"/>
  <c r="GD311" i="12"/>
  <c r="GE311" i="12"/>
  <c r="GF311" i="12"/>
  <c r="GG311" i="12"/>
  <c r="GH311" i="12"/>
  <c r="GI311" i="12"/>
  <c r="GJ311" i="12"/>
  <c r="GK311" i="12"/>
  <c r="GL311" i="12"/>
  <c r="GM311" i="12"/>
  <c r="GN311" i="12"/>
  <c r="GO311" i="12"/>
  <c r="GP311" i="12"/>
  <c r="GQ311" i="12"/>
  <c r="GR311" i="12"/>
  <c r="GS311" i="12"/>
  <c r="GT311" i="12"/>
  <c r="GU311" i="12"/>
  <c r="GV311" i="12"/>
  <c r="GW311" i="12"/>
  <c r="GX311" i="12"/>
  <c r="GY311" i="12"/>
  <c r="GZ311" i="12"/>
  <c r="HA311" i="12"/>
  <c r="HB311" i="12"/>
  <c r="HC311" i="12"/>
  <c r="HD311" i="12"/>
  <c r="HE311" i="12"/>
  <c r="HF311" i="12"/>
  <c r="HG311" i="12"/>
  <c r="HH311" i="12"/>
  <c r="HI311" i="12"/>
  <c r="HJ311" i="12"/>
  <c r="HK311" i="12"/>
  <c r="HL311" i="12"/>
  <c r="HM311" i="12"/>
  <c r="HN311" i="12"/>
  <c r="HO311" i="12"/>
  <c r="HP311" i="12"/>
  <c r="HQ311" i="12"/>
  <c r="HR311" i="12"/>
  <c r="HS311" i="12"/>
  <c r="HT311" i="12"/>
  <c r="HU311" i="12"/>
  <c r="HV311" i="12"/>
  <c r="HW311" i="12"/>
  <c r="HX311" i="12"/>
  <c r="HY311" i="12"/>
  <c r="HZ311" i="12"/>
  <c r="IA311" i="12"/>
  <c r="IB311" i="12"/>
  <c r="IC311" i="12"/>
  <c r="ID311" i="12"/>
  <c r="IE311" i="12"/>
  <c r="IF311" i="12"/>
  <c r="IG311" i="12"/>
  <c r="IH311" i="12"/>
  <c r="II311" i="12"/>
  <c r="IJ311" i="12"/>
  <c r="IK311" i="12"/>
  <c r="IL311" i="12"/>
  <c r="IM311" i="12"/>
  <c r="IN311" i="12"/>
  <c r="IO311" i="12"/>
  <c r="IP311" i="12"/>
  <c r="IQ311" i="12"/>
  <c r="IR311" i="12"/>
  <c r="IS311" i="12"/>
  <c r="IT311" i="12"/>
  <c r="IU311" i="12"/>
  <c r="IV311" i="12"/>
  <c r="F312" i="12"/>
  <c r="G312" i="12"/>
  <c r="H312" i="12"/>
  <c r="I312" i="12"/>
  <c r="J312" i="12"/>
  <c r="K312" i="12"/>
  <c r="L312" i="12"/>
  <c r="M312" i="12"/>
  <c r="N312" i="12"/>
  <c r="O312" i="12"/>
  <c r="P312" i="12"/>
  <c r="Q312" i="12"/>
  <c r="R312" i="12"/>
  <c r="S312" i="12"/>
  <c r="T312" i="12"/>
  <c r="U312" i="12"/>
  <c r="V312" i="12"/>
  <c r="W312" i="12"/>
  <c r="X312" i="12"/>
  <c r="Y312" i="12"/>
  <c r="Z312" i="12"/>
  <c r="AA312" i="12"/>
  <c r="AB312" i="12"/>
  <c r="AC312" i="12"/>
  <c r="AD312" i="12"/>
  <c r="AE312" i="12"/>
  <c r="AF312" i="12"/>
  <c r="AG312" i="12"/>
  <c r="AH312" i="12"/>
  <c r="AI312" i="12"/>
  <c r="AJ312" i="12"/>
  <c r="AK312" i="12"/>
  <c r="AL312" i="12"/>
  <c r="AM312" i="12"/>
  <c r="AN312" i="12"/>
  <c r="AO312" i="12"/>
  <c r="AP312" i="12"/>
  <c r="AQ312" i="12"/>
  <c r="AR312" i="12"/>
  <c r="AS312" i="12"/>
  <c r="AT312" i="12"/>
  <c r="AU312" i="12"/>
  <c r="AV312" i="12"/>
  <c r="AW312" i="12"/>
  <c r="AX312" i="12"/>
  <c r="AY312" i="12"/>
  <c r="AZ312" i="12"/>
  <c r="BA312" i="12"/>
  <c r="BB312" i="12"/>
  <c r="BC312" i="12"/>
  <c r="BD312" i="12"/>
  <c r="BE312" i="12"/>
  <c r="BF312" i="12"/>
  <c r="BG312" i="12"/>
  <c r="BH312" i="12"/>
  <c r="BI312" i="12"/>
  <c r="BJ312" i="12"/>
  <c r="BK312" i="12"/>
  <c r="BL312" i="12"/>
  <c r="BM312" i="12"/>
  <c r="BN312" i="12"/>
  <c r="BO312" i="12"/>
  <c r="BP312" i="12"/>
  <c r="BQ312" i="12"/>
  <c r="BR312" i="12"/>
  <c r="BS312" i="12"/>
  <c r="BT312" i="12"/>
  <c r="BU312" i="12"/>
  <c r="BV312" i="12"/>
  <c r="BW312" i="12"/>
  <c r="BX312" i="12"/>
  <c r="BY312" i="12"/>
  <c r="BZ312" i="12"/>
  <c r="CA312" i="12"/>
  <c r="CB312" i="12"/>
  <c r="CC312" i="12"/>
  <c r="CD312" i="12"/>
  <c r="CE312" i="12"/>
  <c r="CF312" i="12"/>
  <c r="CG312" i="12"/>
  <c r="CH312" i="12"/>
  <c r="CI312" i="12"/>
  <c r="CJ312" i="12"/>
  <c r="CK312" i="12"/>
  <c r="CL312" i="12"/>
  <c r="CM312" i="12"/>
  <c r="CN312" i="12"/>
  <c r="CO312" i="12"/>
  <c r="CP312" i="12"/>
  <c r="CQ312" i="12"/>
  <c r="CR312" i="12"/>
  <c r="CS312" i="12"/>
  <c r="CT312" i="12"/>
  <c r="CU312" i="12"/>
  <c r="CV312" i="12"/>
  <c r="CW312" i="12"/>
  <c r="CX312" i="12"/>
  <c r="CY312" i="12"/>
  <c r="CZ312" i="12"/>
  <c r="DA312" i="12"/>
  <c r="DB312" i="12"/>
  <c r="DC312" i="12"/>
  <c r="DD312" i="12"/>
  <c r="DE312" i="12"/>
  <c r="DF312" i="12"/>
  <c r="DG312" i="12"/>
  <c r="DH312" i="12"/>
  <c r="DI312" i="12"/>
  <c r="DJ312" i="12"/>
  <c r="DK312" i="12"/>
  <c r="DL312" i="12"/>
  <c r="DM312" i="12"/>
  <c r="DN312" i="12"/>
  <c r="DO312" i="12"/>
  <c r="DP312" i="12"/>
  <c r="DQ312" i="12"/>
  <c r="DR312" i="12"/>
  <c r="DS312" i="12"/>
  <c r="DT312" i="12"/>
  <c r="DU312" i="12"/>
  <c r="DV312" i="12"/>
  <c r="DW312" i="12"/>
  <c r="DX312" i="12"/>
  <c r="DY312" i="12"/>
  <c r="DZ312" i="12"/>
  <c r="EA312" i="12"/>
  <c r="EB312" i="12"/>
  <c r="EC312" i="12"/>
  <c r="ED312" i="12"/>
  <c r="EE312" i="12"/>
  <c r="EF312" i="12"/>
  <c r="EG312" i="12"/>
  <c r="EH312" i="12"/>
  <c r="EI312" i="12"/>
  <c r="EJ312" i="12"/>
  <c r="EK312" i="12"/>
  <c r="EL312" i="12"/>
  <c r="EM312" i="12"/>
  <c r="EN312" i="12"/>
  <c r="EO312" i="12"/>
  <c r="EP312" i="12"/>
  <c r="EQ312" i="12"/>
  <c r="ER312" i="12"/>
  <c r="ES312" i="12"/>
  <c r="ET312" i="12"/>
  <c r="EU312" i="12"/>
  <c r="EV312" i="12"/>
  <c r="EW312" i="12"/>
  <c r="EX312" i="12"/>
  <c r="EY312" i="12"/>
  <c r="EZ312" i="12"/>
  <c r="FA312" i="12"/>
  <c r="FB312" i="12"/>
  <c r="FC312" i="12"/>
  <c r="FD312" i="12"/>
  <c r="FE312" i="12"/>
  <c r="FF312" i="12"/>
  <c r="FG312" i="12"/>
  <c r="FH312" i="12"/>
  <c r="FI312" i="12"/>
  <c r="FJ312" i="12"/>
  <c r="FK312" i="12"/>
  <c r="FL312" i="12"/>
  <c r="FM312" i="12"/>
  <c r="FN312" i="12"/>
  <c r="FO312" i="12"/>
  <c r="FP312" i="12"/>
  <c r="FQ312" i="12"/>
  <c r="FR312" i="12"/>
  <c r="FS312" i="12"/>
  <c r="FT312" i="12"/>
  <c r="FU312" i="12"/>
  <c r="FV312" i="12"/>
  <c r="FW312" i="12"/>
  <c r="FX312" i="12"/>
  <c r="FY312" i="12"/>
  <c r="FZ312" i="12"/>
  <c r="GA312" i="12"/>
  <c r="GB312" i="12"/>
  <c r="GC312" i="12"/>
  <c r="GD312" i="12"/>
  <c r="GE312" i="12"/>
  <c r="GF312" i="12"/>
  <c r="GG312" i="12"/>
  <c r="GH312" i="12"/>
  <c r="GI312" i="12"/>
  <c r="GJ312" i="12"/>
  <c r="GK312" i="12"/>
  <c r="GL312" i="12"/>
  <c r="GM312" i="12"/>
  <c r="GN312" i="12"/>
  <c r="GO312" i="12"/>
  <c r="GP312" i="12"/>
  <c r="GQ312" i="12"/>
  <c r="GR312" i="12"/>
  <c r="GS312" i="12"/>
  <c r="GT312" i="12"/>
  <c r="GU312" i="12"/>
  <c r="GV312" i="12"/>
  <c r="GW312" i="12"/>
  <c r="GX312" i="12"/>
  <c r="GY312" i="12"/>
  <c r="GZ312" i="12"/>
  <c r="HA312" i="12"/>
  <c r="HB312" i="12"/>
  <c r="HC312" i="12"/>
  <c r="HD312" i="12"/>
  <c r="HE312" i="12"/>
  <c r="HF312" i="12"/>
  <c r="HG312" i="12"/>
  <c r="HH312" i="12"/>
  <c r="HI312" i="12"/>
  <c r="HJ312" i="12"/>
  <c r="HK312" i="12"/>
  <c r="HL312" i="12"/>
  <c r="HM312" i="12"/>
  <c r="HN312" i="12"/>
  <c r="HO312" i="12"/>
  <c r="HP312" i="12"/>
  <c r="HQ312" i="12"/>
  <c r="HR312" i="12"/>
  <c r="HS312" i="12"/>
  <c r="HT312" i="12"/>
  <c r="HU312" i="12"/>
  <c r="HV312" i="12"/>
  <c r="HW312" i="12"/>
  <c r="HX312" i="12"/>
  <c r="HY312" i="12"/>
  <c r="HZ312" i="12"/>
  <c r="IA312" i="12"/>
  <c r="IB312" i="12"/>
  <c r="IC312" i="12"/>
  <c r="ID312" i="12"/>
  <c r="IE312" i="12"/>
  <c r="IF312" i="12"/>
  <c r="IG312" i="12"/>
  <c r="IH312" i="12"/>
  <c r="II312" i="12"/>
  <c r="IJ312" i="12"/>
  <c r="IK312" i="12"/>
  <c r="IL312" i="12"/>
  <c r="IM312" i="12"/>
  <c r="IN312" i="12"/>
  <c r="IO312" i="12"/>
  <c r="IP312" i="12"/>
  <c r="IQ312" i="12"/>
  <c r="IR312" i="12"/>
  <c r="IS312" i="12"/>
  <c r="IT312" i="12"/>
  <c r="IU312" i="12"/>
  <c r="IV312" i="12"/>
  <c r="F313" i="12"/>
  <c r="G313" i="12"/>
  <c r="H313" i="12"/>
  <c r="I313" i="12"/>
  <c r="J313" i="12"/>
  <c r="K313" i="12"/>
  <c r="L313" i="12"/>
  <c r="M313" i="12"/>
  <c r="N313" i="12"/>
  <c r="O313" i="12"/>
  <c r="P313" i="12"/>
  <c r="Q313" i="12"/>
  <c r="R313" i="12"/>
  <c r="S313" i="12"/>
  <c r="T313" i="12"/>
  <c r="U313" i="12"/>
  <c r="V313" i="12"/>
  <c r="W313" i="12"/>
  <c r="X313" i="12"/>
  <c r="Y313" i="12"/>
  <c r="Z313" i="12"/>
  <c r="AA313" i="12"/>
  <c r="AB313" i="12"/>
  <c r="AC313" i="12"/>
  <c r="AD313" i="12"/>
  <c r="AE313" i="12"/>
  <c r="AF313" i="12"/>
  <c r="AG313" i="12"/>
  <c r="AH313" i="12"/>
  <c r="AI313" i="12"/>
  <c r="AJ313" i="12"/>
  <c r="AK313" i="12"/>
  <c r="AL313" i="12"/>
  <c r="AM313" i="12"/>
  <c r="AN313" i="12"/>
  <c r="AO313" i="12"/>
  <c r="AP313" i="12"/>
  <c r="AQ313" i="12"/>
  <c r="AR313" i="12"/>
  <c r="AS313" i="12"/>
  <c r="AT313" i="12"/>
  <c r="AU313" i="12"/>
  <c r="AV313" i="12"/>
  <c r="AW313" i="12"/>
  <c r="AX313" i="12"/>
  <c r="AY313" i="12"/>
  <c r="AZ313" i="12"/>
  <c r="BA313" i="12"/>
  <c r="BB313" i="12"/>
  <c r="BC313" i="12"/>
  <c r="BD313" i="12"/>
  <c r="BE313" i="12"/>
  <c r="BF313" i="12"/>
  <c r="BG313" i="12"/>
  <c r="BH313" i="12"/>
  <c r="BI313" i="12"/>
  <c r="BJ313" i="12"/>
  <c r="BK313" i="12"/>
  <c r="BL313" i="12"/>
  <c r="BM313" i="12"/>
  <c r="BN313" i="12"/>
  <c r="BO313" i="12"/>
  <c r="BP313" i="12"/>
  <c r="BQ313" i="12"/>
  <c r="BR313" i="12"/>
  <c r="BS313" i="12"/>
  <c r="BT313" i="12"/>
  <c r="BU313" i="12"/>
  <c r="BV313" i="12"/>
  <c r="BW313" i="12"/>
  <c r="BX313" i="12"/>
  <c r="BY313" i="12"/>
  <c r="BZ313" i="12"/>
  <c r="CA313" i="12"/>
  <c r="CB313" i="12"/>
  <c r="CC313" i="12"/>
  <c r="CD313" i="12"/>
  <c r="CE313" i="12"/>
  <c r="CF313" i="12"/>
  <c r="CG313" i="12"/>
  <c r="CH313" i="12"/>
  <c r="CI313" i="12"/>
  <c r="CJ313" i="12"/>
  <c r="CK313" i="12"/>
  <c r="CL313" i="12"/>
  <c r="CM313" i="12"/>
  <c r="CN313" i="12"/>
  <c r="CO313" i="12"/>
  <c r="CP313" i="12"/>
  <c r="CQ313" i="12"/>
  <c r="CR313" i="12"/>
  <c r="CS313" i="12"/>
  <c r="CT313" i="12"/>
  <c r="CU313" i="12"/>
  <c r="CV313" i="12"/>
  <c r="CW313" i="12"/>
  <c r="CX313" i="12"/>
  <c r="CY313" i="12"/>
  <c r="CZ313" i="12"/>
  <c r="DA313" i="12"/>
  <c r="DB313" i="12"/>
  <c r="DC313" i="12"/>
  <c r="DD313" i="12"/>
  <c r="DE313" i="12"/>
  <c r="DF313" i="12"/>
  <c r="DG313" i="12"/>
  <c r="DH313" i="12"/>
  <c r="DI313" i="12"/>
  <c r="DJ313" i="12"/>
  <c r="DK313" i="12"/>
  <c r="DL313" i="12"/>
  <c r="DM313" i="12"/>
  <c r="DN313" i="12"/>
  <c r="DO313" i="12"/>
  <c r="DP313" i="12"/>
  <c r="DQ313" i="12"/>
  <c r="DR313" i="12"/>
  <c r="DS313" i="12"/>
  <c r="DT313" i="12"/>
  <c r="DU313" i="12"/>
  <c r="DV313" i="12"/>
  <c r="DW313" i="12"/>
  <c r="DX313" i="12"/>
  <c r="DY313" i="12"/>
  <c r="DZ313" i="12"/>
  <c r="EA313" i="12"/>
  <c r="EB313" i="12"/>
  <c r="EC313" i="12"/>
  <c r="ED313" i="12"/>
  <c r="EE313" i="12"/>
  <c r="EF313" i="12"/>
  <c r="EG313" i="12"/>
  <c r="EH313" i="12"/>
  <c r="EI313" i="12"/>
  <c r="EJ313" i="12"/>
  <c r="EK313" i="12"/>
  <c r="EL313" i="12"/>
  <c r="EM313" i="12"/>
  <c r="EN313" i="12"/>
  <c r="EO313" i="12"/>
  <c r="EP313" i="12"/>
  <c r="EQ313" i="12"/>
  <c r="ER313" i="12"/>
  <c r="ES313" i="12"/>
  <c r="ET313" i="12"/>
  <c r="EU313" i="12"/>
  <c r="EV313" i="12"/>
  <c r="EW313" i="12"/>
  <c r="EX313" i="12"/>
  <c r="EY313" i="12"/>
  <c r="EZ313" i="12"/>
  <c r="FA313" i="12"/>
  <c r="FB313" i="12"/>
  <c r="FC313" i="12"/>
  <c r="FD313" i="12"/>
  <c r="FE313" i="12"/>
  <c r="FF313" i="12"/>
  <c r="FG313" i="12"/>
  <c r="FH313" i="12"/>
  <c r="FI313" i="12"/>
  <c r="FJ313" i="12"/>
  <c r="FK313" i="12"/>
  <c r="FL313" i="12"/>
  <c r="FM313" i="12"/>
  <c r="FN313" i="12"/>
  <c r="FO313" i="12"/>
  <c r="FP313" i="12"/>
  <c r="FQ313" i="12"/>
  <c r="FR313" i="12"/>
  <c r="FS313" i="12"/>
  <c r="FT313" i="12"/>
  <c r="FU313" i="12"/>
  <c r="FV313" i="12"/>
  <c r="FW313" i="12"/>
  <c r="FX313" i="12"/>
  <c r="FY313" i="12"/>
  <c r="FZ313" i="12"/>
  <c r="GA313" i="12"/>
  <c r="GB313" i="12"/>
  <c r="GC313" i="12"/>
  <c r="GD313" i="12"/>
  <c r="GE313" i="12"/>
  <c r="GF313" i="12"/>
  <c r="GG313" i="12"/>
  <c r="GH313" i="12"/>
  <c r="GI313" i="12"/>
  <c r="GJ313" i="12"/>
  <c r="GK313" i="12"/>
  <c r="GL313" i="12"/>
  <c r="GM313" i="12"/>
  <c r="GN313" i="12"/>
  <c r="GO313" i="12"/>
  <c r="GP313" i="12"/>
  <c r="GQ313" i="12"/>
  <c r="GR313" i="12"/>
  <c r="GS313" i="12"/>
  <c r="GT313" i="12"/>
  <c r="GU313" i="12"/>
  <c r="GV313" i="12"/>
  <c r="GW313" i="12"/>
  <c r="GX313" i="12"/>
  <c r="GY313" i="12"/>
  <c r="GZ313" i="12"/>
  <c r="HA313" i="12"/>
  <c r="HB313" i="12"/>
  <c r="HC313" i="12"/>
  <c r="HD313" i="12"/>
  <c r="HE313" i="12"/>
  <c r="HF313" i="12"/>
  <c r="HG313" i="12"/>
  <c r="HH313" i="12"/>
  <c r="HI313" i="12"/>
  <c r="HJ313" i="12"/>
  <c r="HK313" i="12"/>
  <c r="HL313" i="12"/>
  <c r="HM313" i="12"/>
  <c r="HN313" i="12"/>
  <c r="HO313" i="12"/>
  <c r="HP313" i="12"/>
  <c r="HQ313" i="12"/>
  <c r="HR313" i="12"/>
  <c r="HS313" i="12"/>
  <c r="HT313" i="12"/>
  <c r="HU313" i="12"/>
  <c r="HV313" i="12"/>
  <c r="HW313" i="12"/>
  <c r="HX313" i="12"/>
  <c r="HY313" i="12"/>
  <c r="HZ313" i="12"/>
  <c r="IA313" i="12"/>
  <c r="IB313" i="12"/>
  <c r="IC313" i="12"/>
  <c r="ID313" i="12"/>
  <c r="IE313" i="12"/>
  <c r="IF313" i="12"/>
  <c r="IG313" i="12"/>
  <c r="IH313" i="12"/>
  <c r="II313" i="12"/>
  <c r="IJ313" i="12"/>
  <c r="IK313" i="12"/>
  <c r="IL313" i="12"/>
  <c r="IM313" i="12"/>
  <c r="IN313" i="12"/>
  <c r="IO313" i="12"/>
  <c r="IP313" i="12"/>
  <c r="IQ313" i="12"/>
  <c r="IR313" i="12"/>
  <c r="IS313" i="12"/>
  <c r="IT313" i="12"/>
  <c r="IU313" i="12"/>
  <c r="IV313" i="12"/>
  <c r="F314" i="12"/>
  <c r="G314" i="12"/>
  <c r="H314" i="12"/>
  <c r="I314" i="12"/>
  <c r="J314" i="12"/>
  <c r="K314" i="12"/>
  <c r="L314" i="12"/>
  <c r="M314" i="12"/>
  <c r="N314" i="12"/>
  <c r="O314" i="12"/>
  <c r="P314" i="12"/>
  <c r="Q314" i="12"/>
  <c r="R314" i="12"/>
  <c r="S314" i="12"/>
  <c r="T314" i="12"/>
  <c r="U314" i="12"/>
  <c r="V314" i="12"/>
  <c r="W314" i="12"/>
  <c r="X314" i="12"/>
  <c r="Y314" i="12"/>
  <c r="Z314" i="12"/>
  <c r="AA314" i="12"/>
  <c r="AB314" i="12"/>
  <c r="AC314" i="12"/>
  <c r="AD314" i="12"/>
  <c r="AE314" i="12"/>
  <c r="AF314" i="12"/>
  <c r="AG314" i="12"/>
  <c r="AH314" i="12"/>
  <c r="AI314" i="12"/>
  <c r="AJ314" i="12"/>
  <c r="AK314" i="12"/>
  <c r="AL314" i="12"/>
  <c r="AM314" i="12"/>
  <c r="AN314" i="12"/>
  <c r="AO314" i="12"/>
  <c r="AP314" i="12"/>
  <c r="AQ314" i="12"/>
  <c r="AR314" i="12"/>
  <c r="AS314" i="12"/>
  <c r="AT314" i="12"/>
  <c r="AU314" i="12"/>
  <c r="AV314" i="12"/>
  <c r="AW314" i="12"/>
  <c r="AX314" i="12"/>
  <c r="AY314" i="12"/>
  <c r="AZ314" i="12"/>
  <c r="BA314" i="12"/>
  <c r="BB314" i="12"/>
  <c r="BC314" i="12"/>
  <c r="BD314" i="12"/>
  <c r="BE314" i="12"/>
  <c r="BF314" i="12"/>
  <c r="BG314" i="12"/>
  <c r="BH314" i="12"/>
  <c r="BI314" i="12"/>
  <c r="BJ314" i="12"/>
  <c r="BK314" i="12"/>
  <c r="BL314" i="12"/>
  <c r="BM314" i="12"/>
  <c r="BN314" i="12"/>
  <c r="BO314" i="12"/>
  <c r="BP314" i="12"/>
  <c r="BQ314" i="12"/>
  <c r="BR314" i="12"/>
  <c r="BS314" i="12"/>
  <c r="BT314" i="12"/>
  <c r="BU314" i="12"/>
  <c r="BV314" i="12"/>
  <c r="BW314" i="12"/>
  <c r="BX314" i="12"/>
  <c r="BY314" i="12"/>
  <c r="BZ314" i="12"/>
  <c r="CA314" i="12"/>
  <c r="CB314" i="12"/>
  <c r="CC314" i="12"/>
  <c r="CD314" i="12"/>
  <c r="CE314" i="12"/>
  <c r="CF314" i="12"/>
  <c r="CG314" i="12"/>
  <c r="CH314" i="12"/>
  <c r="CI314" i="12"/>
  <c r="CJ314" i="12"/>
  <c r="CK314" i="12"/>
  <c r="CL314" i="12"/>
  <c r="CM314" i="12"/>
  <c r="CN314" i="12"/>
  <c r="CO314" i="12"/>
  <c r="CP314" i="12"/>
  <c r="CQ314" i="12"/>
  <c r="CR314" i="12"/>
  <c r="CS314" i="12"/>
  <c r="CT314" i="12"/>
  <c r="CU314" i="12"/>
  <c r="CV314" i="12"/>
  <c r="CW314" i="12"/>
  <c r="CX314" i="12"/>
  <c r="CY314" i="12"/>
  <c r="CZ314" i="12"/>
  <c r="DA314" i="12"/>
  <c r="DB314" i="12"/>
  <c r="DC314" i="12"/>
  <c r="DD314" i="12"/>
  <c r="DE314" i="12"/>
  <c r="DF314" i="12"/>
  <c r="DG314" i="12"/>
  <c r="DH314" i="12"/>
  <c r="DI314" i="12"/>
  <c r="DJ314" i="12"/>
  <c r="DK314" i="12"/>
  <c r="DL314" i="12"/>
  <c r="DM314" i="12"/>
  <c r="DN314" i="12"/>
  <c r="DO314" i="12"/>
  <c r="DP314" i="12"/>
  <c r="DQ314" i="12"/>
  <c r="DR314" i="12"/>
  <c r="DS314" i="12"/>
  <c r="DT314" i="12"/>
  <c r="DU314" i="12"/>
  <c r="DV314" i="12"/>
  <c r="DW314" i="12"/>
  <c r="DX314" i="12"/>
  <c r="DY314" i="12"/>
  <c r="DZ314" i="12"/>
  <c r="EA314" i="12"/>
  <c r="EB314" i="12"/>
  <c r="EC314" i="12"/>
  <c r="ED314" i="12"/>
  <c r="EE314" i="12"/>
  <c r="EF314" i="12"/>
  <c r="EG314" i="12"/>
  <c r="EH314" i="12"/>
  <c r="EI314" i="12"/>
  <c r="EJ314" i="12"/>
  <c r="EK314" i="12"/>
  <c r="EL314" i="12"/>
  <c r="EM314" i="12"/>
  <c r="EN314" i="12"/>
  <c r="EO314" i="12"/>
  <c r="EP314" i="12"/>
  <c r="EQ314" i="12"/>
  <c r="ER314" i="12"/>
  <c r="ES314" i="12"/>
  <c r="ET314" i="12"/>
  <c r="EU314" i="12"/>
  <c r="EV314" i="12"/>
  <c r="EW314" i="12"/>
  <c r="EX314" i="12"/>
  <c r="EY314" i="12"/>
  <c r="EZ314" i="12"/>
  <c r="FA314" i="12"/>
  <c r="FB314" i="12"/>
  <c r="FC314" i="12"/>
  <c r="FD314" i="12"/>
  <c r="FE314" i="12"/>
  <c r="FF314" i="12"/>
  <c r="FG314" i="12"/>
  <c r="FH314" i="12"/>
  <c r="FI314" i="12"/>
  <c r="FJ314" i="12"/>
  <c r="FK314" i="12"/>
  <c r="FL314" i="12"/>
  <c r="FM314" i="12"/>
  <c r="FN314" i="12"/>
  <c r="FO314" i="12"/>
  <c r="FP314" i="12"/>
  <c r="FQ314" i="12"/>
  <c r="FR314" i="12"/>
  <c r="FS314" i="12"/>
  <c r="FT314" i="12"/>
  <c r="FU314" i="12"/>
  <c r="FV314" i="12"/>
  <c r="FW314" i="12"/>
  <c r="FX314" i="12"/>
  <c r="FY314" i="12"/>
  <c r="FZ314" i="12"/>
  <c r="GA314" i="12"/>
  <c r="GB314" i="12"/>
  <c r="GC314" i="12"/>
  <c r="GD314" i="12"/>
  <c r="GE314" i="12"/>
  <c r="GF314" i="12"/>
  <c r="GG314" i="12"/>
  <c r="GH314" i="12"/>
  <c r="GI314" i="12"/>
  <c r="GJ314" i="12"/>
  <c r="GK314" i="12"/>
  <c r="GL314" i="12"/>
  <c r="GM314" i="12"/>
  <c r="GN314" i="12"/>
  <c r="GO314" i="12"/>
  <c r="GP314" i="12"/>
  <c r="GQ314" i="12"/>
  <c r="GR314" i="12"/>
  <c r="GS314" i="12"/>
  <c r="GT314" i="12"/>
  <c r="GU314" i="12"/>
  <c r="GV314" i="12"/>
  <c r="GW314" i="12"/>
  <c r="GX314" i="12"/>
  <c r="GY314" i="12"/>
  <c r="GZ314" i="12"/>
  <c r="HA314" i="12"/>
  <c r="HB314" i="12"/>
  <c r="HC314" i="12"/>
  <c r="HD314" i="12"/>
  <c r="HE314" i="12"/>
  <c r="HF314" i="12"/>
  <c r="HG314" i="12"/>
  <c r="HH314" i="12"/>
  <c r="HI314" i="12"/>
  <c r="HJ314" i="12"/>
  <c r="HK314" i="12"/>
  <c r="HL314" i="12"/>
  <c r="HM314" i="12"/>
  <c r="HN314" i="12"/>
  <c r="HO314" i="12"/>
  <c r="HP314" i="12"/>
  <c r="HQ314" i="12"/>
  <c r="HR314" i="12"/>
  <c r="HS314" i="12"/>
  <c r="HT314" i="12"/>
  <c r="HU314" i="12"/>
  <c r="HV314" i="12"/>
  <c r="HW314" i="12"/>
  <c r="HX314" i="12"/>
  <c r="HY314" i="12"/>
  <c r="HZ314" i="12"/>
  <c r="IA314" i="12"/>
  <c r="IB314" i="12"/>
  <c r="IC314" i="12"/>
  <c r="ID314" i="12"/>
  <c r="IE314" i="12"/>
  <c r="IF314" i="12"/>
  <c r="IG314" i="12"/>
  <c r="IH314" i="12"/>
  <c r="II314" i="12"/>
  <c r="IJ314" i="12"/>
  <c r="IK314" i="12"/>
  <c r="IL314" i="12"/>
  <c r="IM314" i="12"/>
  <c r="IN314" i="12"/>
  <c r="IO314" i="12"/>
  <c r="IP314" i="12"/>
  <c r="IQ314" i="12"/>
  <c r="IR314" i="12"/>
  <c r="IS314" i="12"/>
  <c r="IT314" i="12"/>
  <c r="IU314" i="12"/>
  <c r="IV314" i="12"/>
  <c r="F315" i="12"/>
  <c r="G315" i="12"/>
  <c r="H315" i="12"/>
  <c r="I315" i="12"/>
  <c r="J315" i="12"/>
  <c r="K315" i="12"/>
  <c r="L315" i="12"/>
  <c r="M315" i="12"/>
  <c r="N315" i="12"/>
  <c r="O315" i="12"/>
  <c r="P315" i="12"/>
  <c r="Q315" i="12"/>
  <c r="R315" i="12"/>
  <c r="S315" i="12"/>
  <c r="T315" i="12"/>
  <c r="U315" i="12"/>
  <c r="V315" i="12"/>
  <c r="W315" i="12"/>
  <c r="X315" i="12"/>
  <c r="Y315" i="12"/>
  <c r="Z315" i="12"/>
  <c r="AA315" i="12"/>
  <c r="AB315" i="12"/>
  <c r="AC315" i="12"/>
  <c r="AD315" i="12"/>
  <c r="AE315" i="12"/>
  <c r="AF315" i="12"/>
  <c r="AG315" i="12"/>
  <c r="AH315" i="12"/>
  <c r="AI315" i="12"/>
  <c r="AJ315" i="12"/>
  <c r="AK315" i="12"/>
  <c r="AL315" i="12"/>
  <c r="AM315" i="12"/>
  <c r="AN315" i="12"/>
  <c r="AO315" i="12"/>
  <c r="AP315" i="12"/>
  <c r="AQ315" i="12"/>
  <c r="AR315" i="12"/>
  <c r="AS315" i="12"/>
  <c r="AT315" i="12"/>
  <c r="AU315" i="12"/>
  <c r="AV315" i="12"/>
  <c r="AW315" i="12"/>
  <c r="AX315" i="12"/>
  <c r="AY315" i="12"/>
  <c r="AZ315" i="12"/>
  <c r="BA315" i="12"/>
  <c r="BB315" i="12"/>
  <c r="BC315" i="12"/>
  <c r="BD315" i="12"/>
  <c r="BE315" i="12"/>
  <c r="BF315" i="12"/>
  <c r="BG315" i="12"/>
  <c r="BH315" i="12"/>
  <c r="BI315" i="12"/>
  <c r="BJ315" i="12"/>
  <c r="BK315" i="12"/>
  <c r="BL315" i="12"/>
  <c r="BM315" i="12"/>
  <c r="BN315" i="12"/>
  <c r="BO315" i="12"/>
  <c r="BP315" i="12"/>
  <c r="BQ315" i="12"/>
  <c r="BR315" i="12"/>
  <c r="BS315" i="12"/>
  <c r="BT315" i="12"/>
  <c r="BU315" i="12"/>
  <c r="BV315" i="12"/>
  <c r="BW315" i="12"/>
  <c r="BX315" i="12"/>
  <c r="BY315" i="12"/>
  <c r="BZ315" i="12"/>
  <c r="CA315" i="12"/>
  <c r="CB315" i="12"/>
  <c r="CC315" i="12"/>
  <c r="CD315" i="12"/>
  <c r="CE315" i="12"/>
  <c r="CF315" i="12"/>
  <c r="CG315" i="12"/>
  <c r="CH315" i="12"/>
  <c r="CI315" i="12"/>
  <c r="CJ315" i="12"/>
  <c r="CK315" i="12"/>
  <c r="CL315" i="12"/>
  <c r="CM315" i="12"/>
  <c r="CN315" i="12"/>
  <c r="CO315" i="12"/>
  <c r="CP315" i="12"/>
  <c r="CQ315" i="12"/>
  <c r="CR315" i="12"/>
  <c r="CS315" i="12"/>
  <c r="CT315" i="12"/>
  <c r="CU315" i="12"/>
  <c r="CV315" i="12"/>
  <c r="CW315" i="12"/>
  <c r="CX315" i="12"/>
  <c r="CY315" i="12"/>
  <c r="CZ315" i="12"/>
  <c r="DA315" i="12"/>
  <c r="DB315" i="12"/>
  <c r="DC315" i="12"/>
  <c r="DD315" i="12"/>
  <c r="DE315" i="12"/>
  <c r="DF315" i="12"/>
  <c r="DG315" i="12"/>
  <c r="DH315" i="12"/>
  <c r="DI315" i="12"/>
  <c r="DJ315" i="12"/>
  <c r="DK315" i="12"/>
  <c r="DL315" i="12"/>
  <c r="DM315" i="12"/>
  <c r="DN315" i="12"/>
  <c r="DO315" i="12"/>
  <c r="DP315" i="12"/>
  <c r="DQ315" i="12"/>
  <c r="DR315" i="12"/>
  <c r="DS315" i="12"/>
  <c r="DT315" i="12"/>
  <c r="DU315" i="12"/>
  <c r="DV315" i="12"/>
  <c r="DW315" i="12"/>
  <c r="DX315" i="12"/>
  <c r="DY315" i="12"/>
  <c r="DZ315" i="12"/>
  <c r="EA315" i="12"/>
  <c r="EB315" i="12"/>
  <c r="EC315" i="12"/>
  <c r="ED315" i="12"/>
  <c r="EE315" i="12"/>
  <c r="EF315" i="12"/>
  <c r="EG315" i="12"/>
  <c r="EH315" i="12"/>
  <c r="EI315" i="12"/>
  <c r="EJ315" i="12"/>
  <c r="EK315" i="12"/>
  <c r="EL315" i="12"/>
  <c r="EM315" i="12"/>
  <c r="EN315" i="12"/>
  <c r="EO315" i="12"/>
  <c r="EP315" i="12"/>
  <c r="EQ315" i="12"/>
  <c r="ER315" i="12"/>
  <c r="ES315" i="12"/>
  <c r="ET315" i="12"/>
  <c r="EU315" i="12"/>
  <c r="EV315" i="12"/>
  <c r="EW315" i="12"/>
  <c r="EX315" i="12"/>
  <c r="EY315" i="12"/>
  <c r="EZ315" i="12"/>
  <c r="FA315" i="12"/>
  <c r="FB315" i="12"/>
  <c r="FC315" i="12"/>
  <c r="FD315" i="12"/>
  <c r="FE315" i="12"/>
  <c r="FF315" i="12"/>
  <c r="FG315" i="12"/>
  <c r="FH315" i="12"/>
  <c r="FI315" i="12"/>
  <c r="FJ315" i="12"/>
  <c r="FK315" i="12"/>
  <c r="FL315" i="12"/>
  <c r="FM315" i="12"/>
  <c r="FN315" i="12"/>
  <c r="FO315" i="12"/>
  <c r="FP315" i="12"/>
  <c r="FQ315" i="12"/>
  <c r="FR315" i="12"/>
  <c r="FS315" i="12"/>
  <c r="FT315" i="12"/>
  <c r="FU315" i="12"/>
  <c r="FV315" i="12"/>
  <c r="FW315" i="12"/>
  <c r="FX315" i="12"/>
  <c r="FY315" i="12"/>
  <c r="FZ315" i="12"/>
  <c r="GA315" i="12"/>
  <c r="GB315" i="12"/>
  <c r="GC315" i="12"/>
  <c r="GD315" i="12"/>
  <c r="GE315" i="12"/>
  <c r="GF315" i="12"/>
  <c r="GG315" i="12"/>
  <c r="GH315" i="12"/>
  <c r="GI315" i="12"/>
  <c r="GJ315" i="12"/>
  <c r="GK315" i="12"/>
  <c r="GL315" i="12"/>
  <c r="GM315" i="12"/>
  <c r="GN315" i="12"/>
  <c r="GO315" i="12"/>
  <c r="GP315" i="12"/>
  <c r="GQ315" i="12"/>
  <c r="GR315" i="12"/>
  <c r="GS315" i="12"/>
  <c r="GT315" i="12"/>
  <c r="GU315" i="12"/>
  <c r="GV315" i="12"/>
  <c r="GW315" i="12"/>
  <c r="GX315" i="12"/>
  <c r="GY315" i="12"/>
  <c r="GZ315" i="12"/>
  <c r="HA315" i="12"/>
  <c r="HB315" i="12"/>
  <c r="HC315" i="12"/>
  <c r="HD315" i="12"/>
  <c r="HE315" i="12"/>
  <c r="HF315" i="12"/>
  <c r="HG315" i="12"/>
  <c r="HH315" i="12"/>
  <c r="HI315" i="12"/>
  <c r="HJ315" i="12"/>
  <c r="HK315" i="12"/>
  <c r="HL315" i="12"/>
  <c r="HM315" i="12"/>
  <c r="HN315" i="12"/>
  <c r="HO315" i="12"/>
  <c r="HP315" i="12"/>
  <c r="HQ315" i="12"/>
  <c r="HR315" i="12"/>
  <c r="HS315" i="12"/>
  <c r="HT315" i="12"/>
  <c r="HU315" i="12"/>
  <c r="HV315" i="12"/>
  <c r="HW315" i="12"/>
  <c r="HX315" i="12"/>
  <c r="HY315" i="12"/>
  <c r="HZ315" i="12"/>
  <c r="IA315" i="12"/>
  <c r="IB315" i="12"/>
  <c r="IC315" i="12"/>
  <c r="ID315" i="12"/>
  <c r="IE315" i="12"/>
  <c r="IF315" i="12"/>
  <c r="IG315" i="12"/>
  <c r="IH315" i="12"/>
  <c r="II315" i="12"/>
  <c r="IJ315" i="12"/>
  <c r="IK315" i="12"/>
  <c r="IL315" i="12"/>
  <c r="IM315" i="12"/>
  <c r="IN315" i="12"/>
  <c r="IO315" i="12"/>
  <c r="IP315" i="12"/>
  <c r="IQ315" i="12"/>
  <c r="IR315" i="12"/>
  <c r="IS315" i="12"/>
  <c r="IT315" i="12"/>
  <c r="IU315" i="12"/>
  <c r="IV315" i="12"/>
  <c r="F316" i="12"/>
  <c r="G316" i="12"/>
  <c r="H316" i="12"/>
  <c r="I316" i="12"/>
  <c r="J316" i="12"/>
  <c r="K316" i="12"/>
  <c r="L316" i="12"/>
  <c r="M316" i="12"/>
  <c r="N316" i="12"/>
  <c r="O316" i="12"/>
  <c r="P316" i="12"/>
  <c r="Q316" i="12"/>
  <c r="R316" i="12"/>
  <c r="S316" i="12"/>
  <c r="T316" i="12"/>
  <c r="U316" i="12"/>
  <c r="V316" i="12"/>
  <c r="W316" i="12"/>
  <c r="X316" i="12"/>
  <c r="Y316" i="12"/>
  <c r="Z316" i="12"/>
  <c r="AA316" i="12"/>
  <c r="AB316" i="12"/>
  <c r="AC316" i="12"/>
  <c r="AD316" i="12"/>
  <c r="AE316" i="12"/>
  <c r="AF316" i="12"/>
  <c r="AG316" i="12"/>
  <c r="AH316" i="12"/>
  <c r="AI316" i="12"/>
  <c r="AJ316" i="12"/>
  <c r="AK316" i="12"/>
  <c r="AL316" i="12"/>
  <c r="AM316" i="12"/>
  <c r="AN316" i="12"/>
  <c r="AO316" i="12"/>
  <c r="AP316" i="12"/>
  <c r="AQ316" i="12"/>
  <c r="AR316" i="12"/>
  <c r="AS316" i="12"/>
  <c r="AT316" i="12"/>
  <c r="AU316" i="12"/>
  <c r="AV316" i="12"/>
  <c r="AW316" i="12"/>
  <c r="AX316" i="12"/>
  <c r="AY316" i="12"/>
  <c r="AZ316" i="12"/>
  <c r="BA316" i="12"/>
  <c r="BB316" i="12"/>
  <c r="BC316" i="12"/>
  <c r="BD316" i="12"/>
  <c r="BE316" i="12"/>
  <c r="BF316" i="12"/>
  <c r="BG316" i="12"/>
  <c r="BH316" i="12"/>
  <c r="BI316" i="12"/>
  <c r="BJ316" i="12"/>
  <c r="BK316" i="12"/>
  <c r="BL316" i="12"/>
  <c r="BM316" i="12"/>
  <c r="BN316" i="12"/>
  <c r="BO316" i="12"/>
  <c r="BP316" i="12"/>
  <c r="BQ316" i="12"/>
  <c r="BR316" i="12"/>
  <c r="BS316" i="12"/>
  <c r="BT316" i="12"/>
  <c r="BU316" i="12"/>
  <c r="BV316" i="12"/>
  <c r="BW316" i="12"/>
  <c r="BX316" i="12"/>
  <c r="BY316" i="12"/>
  <c r="BZ316" i="12"/>
  <c r="CA316" i="12"/>
  <c r="CB316" i="12"/>
  <c r="CC316" i="12"/>
  <c r="CD316" i="12"/>
  <c r="CE316" i="12"/>
  <c r="CF316" i="12"/>
  <c r="CG316" i="12"/>
  <c r="CH316" i="12"/>
  <c r="CI316" i="12"/>
  <c r="CJ316" i="12"/>
  <c r="CK316" i="12"/>
  <c r="CL316" i="12"/>
  <c r="CM316" i="12"/>
  <c r="CN316" i="12"/>
  <c r="CO316" i="12"/>
  <c r="CP316" i="12"/>
  <c r="CQ316" i="12"/>
  <c r="CR316" i="12"/>
  <c r="CS316" i="12"/>
  <c r="CT316" i="12"/>
  <c r="CU316" i="12"/>
  <c r="CV316" i="12"/>
  <c r="CW316" i="12"/>
  <c r="CX316" i="12"/>
  <c r="CY316" i="12"/>
  <c r="CZ316" i="12"/>
  <c r="DA316" i="12"/>
  <c r="DB316" i="12"/>
  <c r="DC316" i="12"/>
  <c r="DD316" i="12"/>
  <c r="DE316" i="12"/>
  <c r="DF316" i="12"/>
  <c r="DG316" i="12"/>
  <c r="DH316" i="12"/>
  <c r="DI316" i="12"/>
  <c r="DJ316" i="12"/>
  <c r="DK316" i="12"/>
  <c r="DL316" i="12"/>
  <c r="DM316" i="12"/>
  <c r="DN316" i="12"/>
  <c r="DO316" i="12"/>
  <c r="DP316" i="12"/>
  <c r="DQ316" i="12"/>
  <c r="DR316" i="12"/>
  <c r="DS316" i="12"/>
  <c r="DT316" i="12"/>
  <c r="DU316" i="12"/>
  <c r="DV316" i="12"/>
  <c r="DW316" i="12"/>
  <c r="DX316" i="12"/>
  <c r="DY316" i="12"/>
  <c r="DZ316" i="12"/>
  <c r="EA316" i="12"/>
  <c r="EB316" i="12"/>
  <c r="EC316" i="12"/>
  <c r="ED316" i="12"/>
  <c r="EE316" i="12"/>
  <c r="EF316" i="12"/>
  <c r="EG316" i="12"/>
  <c r="EH316" i="12"/>
  <c r="EI316" i="12"/>
  <c r="EJ316" i="12"/>
  <c r="EK316" i="12"/>
  <c r="EL316" i="12"/>
  <c r="EM316" i="12"/>
  <c r="EN316" i="12"/>
  <c r="EO316" i="12"/>
  <c r="EP316" i="12"/>
  <c r="EQ316" i="12"/>
  <c r="ER316" i="12"/>
  <c r="ES316" i="12"/>
  <c r="ET316" i="12"/>
  <c r="EU316" i="12"/>
  <c r="EV316" i="12"/>
  <c r="EW316" i="12"/>
  <c r="EX316" i="12"/>
  <c r="EY316" i="12"/>
  <c r="EZ316" i="12"/>
  <c r="FA316" i="12"/>
  <c r="FB316" i="12"/>
  <c r="FC316" i="12"/>
  <c r="FD316" i="12"/>
  <c r="FE316" i="12"/>
  <c r="FF316" i="12"/>
  <c r="FG316" i="12"/>
  <c r="FH316" i="12"/>
  <c r="FI316" i="12"/>
  <c r="FJ316" i="12"/>
  <c r="FK316" i="12"/>
  <c r="FL316" i="12"/>
  <c r="FM316" i="12"/>
  <c r="FN316" i="12"/>
  <c r="FO316" i="12"/>
  <c r="FP316" i="12"/>
  <c r="FQ316" i="12"/>
  <c r="FR316" i="12"/>
  <c r="FS316" i="12"/>
  <c r="FT316" i="12"/>
  <c r="FU316" i="12"/>
  <c r="FV316" i="12"/>
  <c r="FW316" i="12"/>
  <c r="FX316" i="12"/>
  <c r="FY316" i="12"/>
  <c r="FZ316" i="12"/>
  <c r="GA316" i="12"/>
  <c r="GB316" i="12"/>
  <c r="GC316" i="12"/>
  <c r="GD316" i="12"/>
  <c r="GE316" i="12"/>
  <c r="GF316" i="12"/>
  <c r="GG316" i="12"/>
  <c r="GH316" i="12"/>
  <c r="GI316" i="12"/>
  <c r="GJ316" i="12"/>
  <c r="GK316" i="12"/>
  <c r="GL316" i="12"/>
  <c r="GM316" i="12"/>
  <c r="GN316" i="12"/>
  <c r="GO316" i="12"/>
  <c r="GP316" i="12"/>
  <c r="GQ316" i="12"/>
  <c r="GR316" i="12"/>
  <c r="GS316" i="12"/>
  <c r="GT316" i="12"/>
  <c r="GU316" i="12"/>
  <c r="GV316" i="12"/>
  <c r="GW316" i="12"/>
  <c r="GX316" i="12"/>
  <c r="GY316" i="12"/>
  <c r="GZ316" i="12"/>
  <c r="HA316" i="12"/>
  <c r="HB316" i="12"/>
  <c r="HC316" i="12"/>
  <c r="HD316" i="12"/>
  <c r="HE316" i="12"/>
  <c r="HF316" i="12"/>
  <c r="HG316" i="12"/>
  <c r="HH316" i="12"/>
  <c r="HI316" i="12"/>
  <c r="HJ316" i="12"/>
  <c r="HK316" i="12"/>
  <c r="HL316" i="12"/>
  <c r="HM316" i="12"/>
  <c r="HN316" i="12"/>
  <c r="HO316" i="12"/>
  <c r="HP316" i="12"/>
  <c r="HQ316" i="12"/>
  <c r="HR316" i="12"/>
  <c r="HS316" i="12"/>
  <c r="HT316" i="12"/>
  <c r="HU316" i="12"/>
  <c r="HV316" i="12"/>
  <c r="HW316" i="12"/>
  <c r="HX316" i="12"/>
  <c r="HY316" i="12"/>
  <c r="HZ316" i="12"/>
  <c r="IA316" i="12"/>
  <c r="IB316" i="12"/>
  <c r="IC316" i="12"/>
  <c r="ID316" i="12"/>
  <c r="IE316" i="12"/>
  <c r="IF316" i="12"/>
  <c r="IG316" i="12"/>
  <c r="IH316" i="12"/>
  <c r="II316" i="12"/>
  <c r="IJ316" i="12"/>
  <c r="IK316" i="12"/>
  <c r="IL316" i="12"/>
  <c r="IM316" i="12"/>
  <c r="IN316" i="12"/>
  <c r="IO316" i="12"/>
  <c r="IP316" i="12"/>
  <c r="IQ316" i="12"/>
  <c r="IR316" i="12"/>
  <c r="IS316" i="12"/>
  <c r="IT316" i="12"/>
  <c r="IU316" i="12"/>
  <c r="IV316" i="12"/>
  <c r="F317" i="12"/>
  <c r="G317" i="12"/>
  <c r="H317" i="12"/>
  <c r="I317" i="12"/>
  <c r="J317" i="12"/>
  <c r="K317" i="12"/>
  <c r="L317" i="12"/>
  <c r="M317" i="12"/>
  <c r="N317" i="12"/>
  <c r="O317" i="12"/>
  <c r="P317" i="12"/>
  <c r="Q317" i="12"/>
  <c r="R317" i="12"/>
  <c r="S317" i="12"/>
  <c r="T317" i="12"/>
  <c r="U317" i="12"/>
  <c r="V317" i="12"/>
  <c r="W317" i="12"/>
  <c r="X317" i="12"/>
  <c r="Y317" i="12"/>
  <c r="Z317" i="12"/>
  <c r="AA317" i="12"/>
  <c r="AB317" i="12"/>
  <c r="AC317" i="12"/>
  <c r="AD317" i="12"/>
  <c r="AE317" i="12"/>
  <c r="AF317" i="12"/>
  <c r="AG317" i="12"/>
  <c r="AH317" i="12"/>
  <c r="AI317" i="12"/>
  <c r="AJ317" i="12"/>
  <c r="AK317" i="12"/>
  <c r="AL317" i="12"/>
  <c r="AM317" i="12"/>
  <c r="AN317" i="12"/>
  <c r="AO317" i="12"/>
  <c r="AP317" i="12"/>
  <c r="AQ317" i="12"/>
  <c r="AR317" i="12"/>
  <c r="AS317" i="12"/>
  <c r="AT317" i="12"/>
  <c r="AU317" i="12"/>
  <c r="AV317" i="12"/>
  <c r="AW317" i="12"/>
  <c r="AX317" i="12"/>
  <c r="AY317" i="12"/>
  <c r="AZ317" i="12"/>
  <c r="BA317" i="12"/>
  <c r="BB317" i="12"/>
  <c r="BC317" i="12"/>
  <c r="BD317" i="12"/>
  <c r="BE317" i="12"/>
  <c r="BF317" i="12"/>
  <c r="BG317" i="12"/>
  <c r="BH317" i="12"/>
  <c r="BI317" i="12"/>
  <c r="BJ317" i="12"/>
  <c r="BK317" i="12"/>
  <c r="BL317" i="12"/>
  <c r="BM317" i="12"/>
  <c r="BN317" i="12"/>
  <c r="BO317" i="12"/>
  <c r="BP317" i="12"/>
  <c r="BQ317" i="12"/>
  <c r="BR317" i="12"/>
  <c r="BS317" i="12"/>
  <c r="BT317" i="12"/>
  <c r="BU317" i="12"/>
  <c r="BV317" i="12"/>
  <c r="BW317" i="12"/>
  <c r="BX317" i="12"/>
  <c r="BY317" i="12"/>
  <c r="BZ317" i="12"/>
  <c r="CA317" i="12"/>
  <c r="CB317" i="12"/>
  <c r="CC317" i="12"/>
  <c r="CD317" i="12"/>
  <c r="CE317" i="12"/>
  <c r="CF317" i="12"/>
  <c r="CG317" i="12"/>
  <c r="CH317" i="12"/>
  <c r="CI317" i="12"/>
  <c r="CJ317" i="12"/>
  <c r="CK317" i="12"/>
  <c r="CL317" i="12"/>
  <c r="CM317" i="12"/>
  <c r="CN317" i="12"/>
  <c r="CO317" i="12"/>
  <c r="CP317" i="12"/>
  <c r="CQ317" i="12"/>
  <c r="CR317" i="12"/>
  <c r="CS317" i="12"/>
  <c r="CT317" i="12"/>
  <c r="CU317" i="12"/>
  <c r="CV317" i="12"/>
  <c r="CW317" i="12"/>
  <c r="CX317" i="12"/>
  <c r="CY317" i="12"/>
  <c r="CZ317" i="12"/>
  <c r="DA317" i="12"/>
  <c r="DB317" i="12"/>
  <c r="DC317" i="12"/>
  <c r="DD317" i="12"/>
  <c r="DE317" i="12"/>
  <c r="DF317" i="12"/>
  <c r="DG317" i="12"/>
  <c r="DH317" i="12"/>
  <c r="DI317" i="12"/>
  <c r="DJ317" i="12"/>
  <c r="DK317" i="12"/>
  <c r="DL317" i="12"/>
  <c r="DM317" i="12"/>
  <c r="DN317" i="12"/>
  <c r="DO317" i="12"/>
  <c r="DP317" i="12"/>
  <c r="DQ317" i="12"/>
  <c r="DR317" i="12"/>
  <c r="DS317" i="12"/>
  <c r="DT317" i="12"/>
  <c r="DU317" i="12"/>
  <c r="DV317" i="12"/>
  <c r="DW317" i="12"/>
  <c r="DX317" i="12"/>
  <c r="DY317" i="12"/>
  <c r="DZ317" i="12"/>
  <c r="EA317" i="12"/>
  <c r="EB317" i="12"/>
  <c r="EC317" i="12"/>
  <c r="ED317" i="12"/>
  <c r="EE317" i="12"/>
  <c r="EF317" i="12"/>
  <c r="EG317" i="12"/>
  <c r="EH317" i="12"/>
  <c r="EI317" i="12"/>
  <c r="EJ317" i="12"/>
  <c r="EK317" i="12"/>
  <c r="EL317" i="12"/>
  <c r="EM317" i="12"/>
  <c r="EN317" i="12"/>
  <c r="EO317" i="12"/>
  <c r="EP317" i="12"/>
  <c r="EQ317" i="12"/>
  <c r="ER317" i="12"/>
  <c r="ES317" i="12"/>
  <c r="ET317" i="12"/>
  <c r="EU317" i="12"/>
  <c r="EV317" i="12"/>
  <c r="EW317" i="12"/>
  <c r="EX317" i="12"/>
  <c r="EY317" i="12"/>
  <c r="EZ317" i="12"/>
  <c r="FA317" i="12"/>
  <c r="FB317" i="12"/>
  <c r="FC317" i="12"/>
  <c r="FD317" i="12"/>
  <c r="FE317" i="12"/>
  <c r="FF317" i="12"/>
  <c r="FG317" i="12"/>
  <c r="FH317" i="12"/>
  <c r="FI317" i="12"/>
  <c r="FJ317" i="12"/>
  <c r="FK317" i="12"/>
  <c r="FL317" i="12"/>
  <c r="FM317" i="12"/>
  <c r="FN317" i="12"/>
  <c r="FO317" i="12"/>
  <c r="FP317" i="12"/>
  <c r="FQ317" i="12"/>
  <c r="FR317" i="12"/>
  <c r="FS317" i="12"/>
  <c r="FT317" i="12"/>
  <c r="FU317" i="12"/>
  <c r="FV317" i="12"/>
  <c r="FW317" i="12"/>
  <c r="FX317" i="12"/>
  <c r="FY317" i="12"/>
  <c r="FZ317" i="12"/>
  <c r="GA317" i="12"/>
  <c r="GB317" i="12"/>
  <c r="GC317" i="12"/>
  <c r="GD317" i="12"/>
  <c r="GE317" i="12"/>
  <c r="GF317" i="12"/>
  <c r="GG317" i="12"/>
  <c r="GH317" i="12"/>
  <c r="GI317" i="12"/>
  <c r="GJ317" i="12"/>
  <c r="GK317" i="12"/>
  <c r="GL317" i="12"/>
  <c r="GM317" i="12"/>
  <c r="GN317" i="12"/>
  <c r="GO317" i="12"/>
  <c r="GP317" i="12"/>
  <c r="GQ317" i="12"/>
  <c r="GR317" i="12"/>
  <c r="GS317" i="12"/>
  <c r="GT317" i="12"/>
  <c r="GU317" i="12"/>
  <c r="GV317" i="12"/>
  <c r="GW317" i="12"/>
  <c r="GX317" i="12"/>
  <c r="GY317" i="12"/>
  <c r="GZ317" i="12"/>
  <c r="HA317" i="12"/>
  <c r="HB317" i="12"/>
  <c r="HC317" i="12"/>
  <c r="HD317" i="12"/>
  <c r="HE317" i="12"/>
  <c r="HF317" i="12"/>
  <c r="HG317" i="12"/>
  <c r="HH317" i="12"/>
  <c r="HI317" i="12"/>
  <c r="HJ317" i="12"/>
  <c r="HK317" i="12"/>
  <c r="HL317" i="12"/>
  <c r="HM317" i="12"/>
  <c r="HN317" i="12"/>
  <c r="HO317" i="12"/>
  <c r="HP317" i="12"/>
  <c r="HQ317" i="12"/>
  <c r="HR317" i="12"/>
  <c r="HS317" i="12"/>
  <c r="HT317" i="12"/>
  <c r="HU317" i="12"/>
  <c r="HV317" i="12"/>
  <c r="HW317" i="12"/>
  <c r="HX317" i="12"/>
  <c r="HY317" i="12"/>
  <c r="HZ317" i="12"/>
  <c r="IA317" i="12"/>
  <c r="IB317" i="12"/>
  <c r="IC317" i="12"/>
  <c r="ID317" i="12"/>
  <c r="IE317" i="12"/>
  <c r="IF317" i="12"/>
  <c r="IG317" i="12"/>
  <c r="IH317" i="12"/>
  <c r="II317" i="12"/>
  <c r="IJ317" i="12"/>
  <c r="IK317" i="12"/>
  <c r="IL317" i="12"/>
  <c r="IM317" i="12"/>
  <c r="IN317" i="12"/>
  <c r="IO317" i="12"/>
  <c r="IP317" i="12"/>
  <c r="IQ317" i="12"/>
  <c r="IR317" i="12"/>
  <c r="IS317" i="12"/>
  <c r="IT317" i="12"/>
  <c r="IU317" i="12"/>
  <c r="IV317" i="12"/>
  <c r="F318" i="12"/>
  <c r="G318" i="12"/>
  <c r="H318" i="12"/>
  <c r="I318" i="12"/>
  <c r="J318" i="12"/>
  <c r="K318" i="12"/>
  <c r="L318" i="12"/>
  <c r="M318" i="12"/>
  <c r="N318" i="12"/>
  <c r="O318" i="12"/>
  <c r="P318" i="12"/>
  <c r="Q318" i="12"/>
  <c r="R318" i="12"/>
  <c r="S318" i="12"/>
  <c r="T318" i="12"/>
  <c r="U318" i="12"/>
  <c r="V318" i="12"/>
  <c r="W318" i="12"/>
  <c r="X318" i="12"/>
  <c r="Y318" i="12"/>
  <c r="Z318" i="12"/>
  <c r="AA318" i="12"/>
  <c r="AB318" i="12"/>
  <c r="AC318" i="12"/>
  <c r="AD318" i="12"/>
  <c r="AE318" i="12"/>
  <c r="AF318" i="12"/>
  <c r="AG318" i="12"/>
  <c r="AH318" i="12"/>
  <c r="AI318" i="12"/>
  <c r="AJ318" i="12"/>
  <c r="AK318" i="12"/>
  <c r="AL318" i="12"/>
  <c r="AM318" i="12"/>
  <c r="AN318" i="12"/>
  <c r="AO318" i="12"/>
  <c r="AP318" i="12"/>
  <c r="AQ318" i="12"/>
  <c r="AR318" i="12"/>
  <c r="AS318" i="12"/>
  <c r="AT318" i="12"/>
  <c r="AU318" i="12"/>
  <c r="AV318" i="12"/>
  <c r="AW318" i="12"/>
  <c r="AX318" i="12"/>
  <c r="AY318" i="12"/>
  <c r="AZ318" i="12"/>
  <c r="BA318" i="12"/>
  <c r="BB318" i="12"/>
  <c r="BC318" i="12"/>
  <c r="BD318" i="12"/>
  <c r="BE318" i="12"/>
  <c r="BF318" i="12"/>
  <c r="BG318" i="12"/>
  <c r="BH318" i="12"/>
  <c r="BI318" i="12"/>
  <c r="BJ318" i="12"/>
  <c r="BK318" i="12"/>
  <c r="BL318" i="12"/>
  <c r="BM318" i="12"/>
  <c r="BN318" i="12"/>
  <c r="BO318" i="12"/>
  <c r="BP318" i="12"/>
  <c r="BQ318" i="12"/>
  <c r="BR318" i="12"/>
  <c r="BS318" i="12"/>
  <c r="BT318" i="12"/>
  <c r="BU318" i="12"/>
  <c r="BV318" i="12"/>
  <c r="BW318" i="12"/>
  <c r="BX318" i="12"/>
  <c r="BY318" i="12"/>
  <c r="BZ318" i="12"/>
  <c r="CA318" i="12"/>
  <c r="CB318" i="12"/>
  <c r="CC318" i="12"/>
  <c r="CD318" i="12"/>
  <c r="CE318" i="12"/>
  <c r="CF318" i="12"/>
  <c r="CG318" i="12"/>
  <c r="CH318" i="12"/>
  <c r="CI318" i="12"/>
  <c r="CJ318" i="12"/>
  <c r="CK318" i="12"/>
  <c r="CL318" i="12"/>
  <c r="CM318" i="12"/>
  <c r="CN318" i="12"/>
  <c r="CO318" i="12"/>
  <c r="CP318" i="12"/>
  <c r="CQ318" i="12"/>
  <c r="CR318" i="12"/>
  <c r="CS318" i="12"/>
  <c r="CT318" i="12"/>
  <c r="CU318" i="12"/>
  <c r="CV318" i="12"/>
  <c r="CW318" i="12"/>
  <c r="CX318" i="12"/>
  <c r="CY318" i="12"/>
  <c r="CZ318" i="12"/>
  <c r="DA318" i="12"/>
  <c r="DB318" i="12"/>
  <c r="DC318" i="12"/>
  <c r="DD318" i="12"/>
  <c r="DE318" i="12"/>
  <c r="DF318" i="12"/>
  <c r="DG318" i="12"/>
  <c r="DH318" i="12"/>
  <c r="DI318" i="12"/>
  <c r="DJ318" i="12"/>
  <c r="DK318" i="12"/>
  <c r="DL318" i="12"/>
  <c r="DM318" i="12"/>
  <c r="DN318" i="12"/>
  <c r="DO318" i="12"/>
  <c r="DP318" i="12"/>
  <c r="DQ318" i="12"/>
  <c r="DR318" i="12"/>
  <c r="DS318" i="12"/>
  <c r="DT318" i="12"/>
  <c r="DU318" i="12"/>
  <c r="DV318" i="12"/>
  <c r="DW318" i="12"/>
  <c r="DX318" i="12"/>
  <c r="DY318" i="12"/>
  <c r="DZ318" i="12"/>
  <c r="EA318" i="12"/>
  <c r="EB318" i="12"/>
  <c r="EC318" i="12"/>
  <c r="ED318" i="12"/>
  <c r="EE318" i="12"/>
  <c r="EF318" i="12"/>
  <c r="EG318" i="12"/>
  <c r="EH318" i="12"/>
  <c r="EI318" i="12"/>
  <c r="EJ318" i="12"/>
  <c r="EK318" i="12"/>
  <c r="EL318" i="12"/>
  <c r="EM318" i="12"/>
  <c r="EN318" i="12"/>
  <c r="EO318" i="12"/>
  <c r="EP318" i="12"/>
  <c r="EQ318" i="12"/>
  <c r="ER318" i="12"/>
  <c r="ES318" i="12"/>
  <c r="ET318" i="12"/>
  <c r="EU318" i="12"/>
  <c r="EV318" i="12"/>
  <c r="EW318" i="12"/>
  <c r="EX318" i="12"/>
  <c r="EY318" i="12"/>
  <c r="EZ318" i="12"/>
  <c r="FA318" i="12"/>
  <c r="FB318" i="12"/>
  <c r="FC318" i="12"/>
  <c r="FD318" i="12"/>
  <c r="FE318" i="12"/>
  <c r="FF318" i="12"/>
  <c r="FG318" i="12"/>
  <c r="FH318" i="12"/>
  <c r="FI318" i="12"/>
  <c r="FJ318" i="12"/>
  <c r="FK318" i="12"/>
  <c r="FL318" i="12"/>
  <c r="FM318" i="12"/>
  <c r="FN318" i="12"/>
  <c r="FO318" i="12"/>
  <c r="FP318" i="12"/>
  <c r="FQ318" i="12"/>
  <c r="FR318" i="12"/>
  <c r="FS318" i="12"/>
  <c r="FT318" i="12"/>
  <c r="FU318" i="12"/>
  <c r="FV318" i="12"/>
  <c r="FW318" i="12"/>
  <c r="FX318" i="12"/>
  <c r="FY318" i="12"/>
  <c r="FZ318" i="12"/>
  <c r="GA318" i="12"/>
  <c r="GB318" i="12"/>
  <c r="GC318" i="12"/>
  <c r="GD318" i="12"/>
  <c r="GE318" i="12"/>
  <c r="GF318" i="12"/>
  <c r="GG318" i="12"/>
  <c r="GH318" i="12"/>
  <c r="GI318" i="12"/>
  <c r="GJ318" i="12"/>
  <c r="GK318" i="12"/>
  <c r="GL318" i="12"/>
  <c r="GM318" i="12"/>
  <c r="GN318" i="12"/>
  <c r="GO318" i="12"/>
  <c r="GP318" i="12"/>
  <c r="GQ318" i="12"/>
  <c r="GR318" i="12"/>
  <c r="GS318" i="12"/>
  <c r="GT318" i="12"/>
  <c r="GU318" i="12"/>
  <c r="GV318" i="12"/>
  <c r="GW318" i="12"/>
  <c r="GX318" i="12"/>
  <c r="GY318" i="12"/>
  <c r="GZ318" i="12"/>
  <c r="HA318" i="12"/>
  <c r="HB318" i="12"/>
  <c r="HC318" i="12"/>
  <c r="HD318" i="12"/>
  <c r="HE318" i="12"/>
  <c r="HF318" i="12"/>
  <c r="HG318" i="12"/>
  <c r="HH318" i="12"/>
  <c r="HI318" i="12"/>
  <c r="HJ318" i="12"/>
  <c r="HK318" i="12"/>
  <c r="HL318" i="12"/>
  <c r="HM318" i="12"/>
  <c r="HN318" i="12"/>
  <c r="HO318" i="12"/>
  <c r="HP318" i="12"/>
  <c r="HQ318" i="12"/>
  <c r="HR318" i="12"/>
  <c r="HS318" i="12"/>
  <c r="HT318" i="12"/>
  <c r="HU318" i="12"/>
  <c r="HV318" i="12"/>
  <c r="HW318" i="12"/>
  <c r="HX318" i="12"/>
  <c r="HY318" i="12"/>
  <c r="HZ318" i="12"/>
  <c r="IA318" i="12"/>
  <c r="IB318" i="12"/>
  <c r="IC318" i="12"/>
  <c r="ID318" i="12"/>
  <c r="IE318" i="12"/>
  <c r="IF318" i="12"/>
  <c r="IG318" i="12"/>
  <c r="IH318" i="12"/>
  <c r="II318" i="12"/>
  <c r="IJ318" i="12"/>
  <c r="IK318" i="12"/>
  <c r="IL318" i="12"/>
  <c r="IM318" i="12"/>
  <c r="IN318" i="12"/>
  <c r="IO318" i="12"/>
  <c r="IP318" i="12"/>
  <c r="IQ318" i="12"/>
  <c r="IR318" i="12"/>
  <c r="IS318" i="12"/>
  <c r="IT318" i="12"/>
  <c r="IU318" i="12"/>
  <c r="IV318" i="12"/>
  <c r="F319" i="12"/>
  <c r="G319" i="12"/>
  <c r="H319" i="12"/>
  <c r="I319" i="12"/>
  <c r="J319" i="12"/>
  <c r="K319" i="12"/>
  <c r="L319" i="12"/>
  <c r="M319" i="12"/>
  <c r="N319" i="12"/>
  <c r="O319" i="12"/>
  <c r="P319" i="12"/>
  <c r="Q319" i="12"/>
  <c r="R319" i="12"/>
  <c r="S319" i="12"/>
  <c r="T319" i="12"/>
  <c r="U319" i="12"/>
  <c r="V319" i="12"/>
  <c r="W319" i="12"/>
  <c r="X319" i="12"/>
  <c r="Y319" i="12"/>
  <c r="Z319" i="12"/>
  <c r="AA319" i="12"/>
  <c r="AB319" i="12"/>
  <c r="AC319" i="12"/>
  <c r="AD319" i="12"/>
  <c r="AE319" i="12"/>
  <c r="AF319" i="12"/>
  <c r="AG319" i="12"/>
  <c r="AH319" i="12"/>
  <c r="AI319" i="12"/>
  <c r="AJ319" i="12"/>
  <c r="AK319" i="12"/>
  <c r="AL319" i="12"/>
  <c r="AM319" i="12"/>
  <c r="AN319" i="12"/>
  <c r="AO319" i="12"/>
  <c r="AP319" i="12"/>
  <c r="AQ319" i="12"/>
  <c r="AR319" i="12"/>
  <c r="AS319" i="12"/>
  <c r="AT319" i="12"/>
  <c r="AU319" i="12"/>
  <c r="AV319" i="12"/>
  <c r="AW319" i="12"/>
  <c r="AX319" i="12"/>
  <c r="AY319" i="12"/>
  <c r="AZ319" i="12"/>
  <c r="BA319" i="12"/>
  <c r="BB319" i="12"/>
  <c r="BC319" i="12"/>
  <c r="BD319" i="12"/>
  <c r="BE319" i="12"/>
  <c r="BF319" i="12"/>
  <c r="BG319" i="12"/>
  <c r="BH319" i="12"/>
  <c r="BI319" i="12"/>
  <c r="BJ319" i="12"/>
  <c r="BK319" i="12"/>
  <c r="BL319" i="12"/>
  <c r="BM319" i="12"/>
  <c r="BN319" i="12"/>
  <c r="BO319" i="12"/>
  <c r="BP319" i="12"/>
  <c r="BQ319" i="12"/>
  <c r="BR319" i="12"/>
  <c r="BS319" i="12"/>
  <c r="BT319" i="12"/>
  <c r="BU319" i="12"/>
  <c r="BV319" i="12"/>
  <c r="BW319" i="12"/>
  <c r="BX319" i="12"/>
  <c r="BY319" i="12"/>
  <c r="BZ319" i="12"/>
  <c r="CA319" i="12"/>
  <c r="CB319" i="12"/>
  <c r="CC319" i="12"/>
  <c r="CD319" i="12"/>
  <c r="CE319" i="12"/>
  <c r="CF319" i="12"/>
  <c r="CG319" i="12"/>
  <c r="CH319" i="12"/>
  <c r="CI319" i="12"/>
  <c r="CJ319" i="12"/>
  <c r="CK319" i="12"/>
  <c r="CL319" i="12"/>
  <c r="CM319" i="12"/>
  <c r="CN319" i="12"/>
  <c r="CO319" i="12"/>
  <c r="CP319" i="12"/>
  <c r="CQ319" i="12"/>
  <c r="CR319" i="12"/>
  <c r="CS319" i="12"/>
  <c r="CT319" i="12"/>
  <c r="CU319" i="12"/>
  <c r="CV319" i="12"/>
  <c r="CW319" i="12"/>
  <c r="CX319" i="12"/>
  <c r="CY319" i="12"/>
  <c r="CZ319" i="12"/>
  <c r="DA319" i="12"/>
  <c r="DB319" i="12"/>
  <c r="DC319" i="12"/>
  <c r="DD319" i="12"/>
  <c r="DE319" i="12"/>
  <c r="DF319" i="12"/>
  <c r="DG319" i="12"/>
  <c r="DH319" i="12"/>
  <c r="DI319" i="12"/>
  <c r="DJ319" i="12"/>
  <c r="DK319" i="12"/>
  <c r="DL319" i="12"/>
  <c r="DM319" i="12"/>
  <c r="DN319" i="12"/>
  <c r="DO319" i="12"/>
  <c r="DP319" i="12"/>
  <c r="DQ319" i="12"/>
  <c r="DR319" i="12"/>
  <c r="DS319" i="12"/>
  <c r="DT319" i="12"/>
  <c r="DU319" i="12"/>
  <c r="DV319" i="12"/>
  <c r="DW319" i="12"/>
  <c r="DX319" i="12"/>
  <c r="DY319" i="12"/>
  <c r="DZ319" i="12"/>
  <c r="EA319" i="12"/>
  <c r="EB319" i="12"/>
  <c r="EC319" i="12"/>
  <c r="ED319" i="12"/>
  <c r="EE319" i="12"/>
  <c r="EF319" i="12"/>
  <c r="EG319" i="12"/>
  <c r="EH319" i="12"/>
  <c r="EI319" i="12"/>
  <c r="EJ319" i="12"/>
  <c r="EK319" i="12"/>
  <c r="EL319" i="12"/>
  <c r="EM319" i="12"/>
  <c r="EN319" i="12"/>
  <c r="EO319" i="12"/>
  <c r="EP319" i="12"/>
  <c r="EQ319" i="12"/>
  <c r="ER319" i="12"/>
  <c r="ES319" i="12"/>
  <c r="ET319" i="12"/>
  <c r="EU319" i="12"/>
  <c r="EV319" i="12"/>
  <c r="EW319" i="12"/>
  <c r="EX319" i="12"/>
  <c r="EY319" i="12"/>
  <c r="EZ319" i="12"/>
  <c r="FA319" i="12"/>
  <c r="FB319" i="12"/>
  <c r="FC319" i="12"/>
  <c r="FD319" i="12"/>
  <c r="FE319" i="12"/>
  <c r="FF319" i="12"/>
  <c r="FG319" i="12"/>
  <c r="FH319" i="12"/>
  <c r="FI319" i="12"/>
  <c r="FJ319" i="12"/>
  <c r="FK319" i="12"/>
  <c r="FL319" i="12"/>
  <c r="FM319" i="12"/>
  <c r="FN319" i="12"/>
  <c r="FO319" i="12"/>
  <c r="FP319" i="12"/>
  <c r="FQ319" i="12"/>
  <c r="FR319" i="12"/>
  <c r="FS319" i="12"/>
  <c r="FT319" i="12"/>
  <c r="FU319" i="12"/>
  <c r="FV319" i="12"/>
  <c r="FW319" i="12"/>
  <c r="FX319" i="12"/>
  <c r="FY319" i="12"/>
  <c r="FZ319" i="12"/>
  <c r="GA319" i="12"/>
  <c r="GB319" i="12"/>
  <c r="GC319" i="12"/>
  <c r="GD319" i="12"/>
  <c r="GE319" i="12"/>
  <c r="GF319" i="12"/>
  <c r="GG319" i="12"/>
  <c r="GH319" i="12"/>
  <c r="GI319" i="12"/>
  <c r="GJ319" i="12"/>
  <c r="GK319" i="12"/>
  <c r="GL319" i="12"/>
  <c r="GM319" i="12"/>
  <c r="GN319" i="12"/>
  <c r="GO319" i="12"/>
  <c r="GP319" i="12"/>
  <c r="GQ319" i="12"/>
  <c r="GR319" i="12"/>
  <c r="GS319" i="12"/>
  <c r="GT319" i="12"/>
  <c r="GU319" i="12"/>
  <c r="GV319" i="12"/>
  <c r="GW319" i="12"/>
  <c r="GX319" i="12"/>
  <c r="GY319" i="12"/>
  <c r="GZ319" i="12"/>
  <c r="HA319" i="12"/>
  <c r="HB319" i="12"/>
  <c r="HC319" i="12"/>
  <c r="HD319" i="12"/>
  <c r="HE319" i="12"/>
  <c r="HF319" i="12"/>
  <c r="HG319" i="12"/>
  <c r="HH319" i="12"/>
  <c r="HI319" i="12"/>
  <c r="HJ319" i="12"/>
  <c r="HK319" i="12"/>
  <c r="HL319" i="12"/>
  <c r="HM319" i="12"/>
  <c r="HN319" i="12"/>
  <c r="HO319" i="12"/>
  <c r="HP319" i="12"/>
  <c r="HQ319" i="12"/>
  <c r="HR319" i="12"/>
  <c r="HS319" i="12"/>
  <c r="HT319" i="12"/>
  <c r="HU319" i="12"/>
  <c r="HV319" i="12"/>
  <c r="HW319" i="12"/>
  <c r="HX319" i="12"/>
  <c r="HY319" i="12"/>
  <c r="HZ319" i="12"/>
  <c r="IA319" i="12"/>
  <c r="IB319" i="12"/>
  <c r="IC319" i="12"/>
  <c r="ID319" i="12"/>
  <c r="IE319" i="12"/>
  <c r="IF319" i="12"/>
  <c r="IG319" i="12"/>
  <c r="IH319" i="12"/>
  <c r="II319" i="12"/>
  <c r="IJ319" i="12"/>
  <c r="IK319" i="12"/>
  <c r="IL319" i="12"/>
  <c r="IM319" i="12"/>
  <c r="IN319" i="12"/>
  <c r="IO319" i="12"/>
  <c r="IP319" i="12"/>
  <c r="IQ319" i="12"/>
  <c r="IR319" i="12"/>
  <c r="IS319" i="12"/>
  <c r="IT319" i="12"/>
  <c r="IU319" i="12"/>
  <c r="IV319" i="12"/>
  <c r="F320" i="12"/>
  <c r="G320" i="12"/>
  <c r="H320" i="12"/>
  <c r="I320" i="12"/>
  <c r="J320" i="12"/>
  <c r="K320" i="12"/>
  <c r="L320" i="12"/>
  <c r="M320" i="12"/>
  <c r="N320" i="12"/>
  <c r="O320" i="12"/>
  <c r="P320" i="12"/>
  <c r="Q320" i="12"/>
  <c r="R320" i="12"/>
  <c r="S320" i="12"/>
  <c r="T320" i="12"/>
  <c r="U320" i="12"/>
  <c r="V320" i="12"/>
  <c r="W320" i="12"/>
  <c r="X320" i="12"/>
  <c r="Y320" i="12"/>
  <c r="Z320" i="12"/>
  <c r="AA320" i="12"/>
  <c r="AB320" i="12"/>
  <c r="AC320" i="12"/>
  <c r="AD320" i="12"/>
  <c r="AE320" i="12"/>
  <c r="AF320" i="12"/>
  <c r="AG320" i="12"/>
  <c r="AH320" i="12"/>
  <c r="AI320" i="12"/>
  <c r="AJ320" i="12"/>
  <c r="AK320" i="12"/>
  <c r="AL320" i="12"/>
  <c r="AM320" i="12"/>
  <c r="AN320" i="12"/>
  <c r="AO320" i="12"/>
  <c r="AP320" i="12"/>
  <c r="AQ320" i="12"/>
  <c r="AR320" i="12"/>
  <c r="AS320" i="12"/>
  <c r="AT320" i="12"/>
  <c r="AU320" i="12"/>
  <c r="AV320" i="12"/>
  <c r="AW320" i="12"/>
  <c r="AX320" i="12"/>
  <c r="AY320" i="12"/>
  <c r="AZ320" i="12"/>
  <c r="BA320" i="12"/>
  <c r="BB320" i="12"/>
  <c r="BC320" i="12"/>
  <c r="BD320" i="12"/>
  <c r="BE320" i="12"/>
  <c r="BF320" i="12"/>
  <c r="BG320" i="12"/>
  <c r="BH320" i="12"/>
  <c r="BI320" i="12"/>
  <c r="BJ320" i="12"/>
  <c r="BK320" i="12"/>
  <c r="BL320" i="12"/>
  <c r="BM320" i="12"/>
  <c r="BN320" i="12"/>
  <c r="BO320" i="12"/>
  <c r="BP320" i="12"/>
  <c r="BQ320" i="12"/>
  <c r="BR320" i="12"/>
  <c r="BS320" i="12"/>
  <c r="BT320" i="12"/>
  <c r="BU320" i="12"/>
  <c r="BV320" i="12"/>
  <c r="BW320" i="12"/>
  <c r="BX320" i="12"/>
  <c r="BY320" i="12"/>
  <c r="BZ320" i="12"/>
  <c r="CA320" i="12"/>
  <c r="CB320" i="12"/>
  <c r="CC320" i="12"/>
  <c r="CD320" i="12"/>
  <c r="CE320" i="12"/>
  <c r="CF320" i="12"/>
  <c r="CG320" i="12"/>
  <c r="CH320" i="12"/>
  <c r="CI320" i="12"/>
  <c r="CJ320" i="12"/>
  <c r="CK320" i="12"/>
  <c r="CL320" i="12"/>
  <c r="CM320" i="12"/>
  <c r="CN320" i="12"/>
  <c r="CO320" i="12"/>
  <c r="CP320" i="12"/>
  <c r="CQ320" i="12"/>
  <c r="CR320" i="12"/>
  <c r="CS320" i="12"/>
  <c r="CT320" i="12"/>
  <c r="CU320" i="12"/>
  <c r="CV320" i="12"/>
  <c r="CW320" i="12"/>
  <c r="CX320" i="12"/>
  <c r="CY320" i="12"/>
  <c r="CZ320" i="12"/>
  <c r="DA320" i="12"/>
  <c r="DB320" i="12"/>
  <c r="DC320" i="12"/>
  <c r="DD320" i="12"/>
  <c r="DE320" i="12"/>
  <c r="DF320" i="12"/>
  <c r="DG320" i="12"/>
  <c r="DH320" i="12"/>
  <c r="DI320" i="12"/>
  <c r="DJ320" i="12"/>
  <c r="DK320" i="12"/>
  <c r="DL320" i="12"/>
  <c r="DM320" i="12"/>
  <c r="DN320" i="12"/>
  <c r="DO320" i="12"/>
  <c r="DP320" i="12"/>
  <c r="DQ320" i="12"/>
  <c r="DR320" i="12"/>
  <c r="DS320" i="12"/>
  <c r="DT320" i="12"/>
  <c r="DU320" i="12"/>
  <c r="DV320" i="12"/>
  <c r="DW320" i="12"/>
  <c r="DX320" i="12"/>
  <c r="DY320" i="12"/>
  <c r="DZ320" i="12"/>
  <c r="EA320" i="12"/>
  <c r="EB320" i="12"/>
  <c r="EC320" i="12"/>
  <c r="ED320" i="12"/>
  <c r="EE320" i="12"/>
  <c r="EF320" i="12"/>
  <c r="EG320" i="12"/>
  <c r="EH320" i="12"/>
  <c r="EI320" i="12"/>
  <c r="EJ320" i="12"/>
  <c r="EK320" i="12"/>
  <c r="EL320" i="12"/>
  <c r="EM320" i="12"/>
  <c r="EN320" i="12"/>
  <c r="EO320" i="12"/>
  <c r="EP320" i="12"/>
  <c r="EQ320" i="12"/>
  <c r="ER320" i="12"/>
  <c r="ES320" i="12"/>
  <c r="ET320" i="12"/>
  <c r="EU320" i="12"/>
  <c r="EV320" i="12"/>
  <c r="EW320" i="12"/>
  <c r="EX320" i="12"/>
  <c r="EY320" i="12"/>
  <c r="EZ320" i="12"/>
  <c r="FA320" i="12"/>
  <c r="FB320" i="12"/>
  <c r="FC320" i="12"/>
  <c r="FD320" i="12"/>
  <c r="FE320" i="12"/>
  <c r="FF320" i="12"/>
  <c r="FG320" i="12"/>
  <c r="FH320" i="12"/>
  <c r="FI320" i="12"/>
  <c r="FJ320" i="12"/>
  <c r="FK320" i="12"/>
  <c r="FL320" i="12"/>
  <c r="FM320" i="12"/>
  <c r="FN320" i="12"/>
  <c r="FO320" i="12"/>
  <c r="FP320" i="12"/>
  <c r="FQ320" i="12"/>
  <c r="FR320" i="12"/>
  <c r="FS320" i="12"/>
  <c r="FT320" i="12"/>
  <c r="FU320" i="12"/>
  <c r="FV320" i="12"/>
  <c r="FW320" i="12"/>
  <c r="FX320" i="12"/>
  <c r="FY320" i="12"/>
  <c r="FZ320" i="12"/>
  <c r="GA320" i="12"/>
  <c r="GB320" i="12"/>
  <c r="GC320" i="12"/>
  <c r="GD320" i="12"/>
  <c r="GE320" i="12"/>
  <c r="GF320" i="12"/>
  <c r="GG320" i="12"/>
  <c r="GH320" i="12"/>
  <c r="GI320" i="12"/>
  <c r="GJ320" i="12"/>
  <c r="GK320" i="12"/>
  <c r="GL320" i="12"/>
  <c r="GM320" i="12"/>
  <c r="GN320" i="12"/>
  <c r="GO320" i="12"/>
  <c r="GP320" i="12"/>
  <c r="GQ320" i="12"/>
  <c r="GR320" i="12"/>
  <c r="GS320" i="12"/>
  <c r="GT320" i="12"/>
  <c r="GU320" i="12"/>
  <c r="GV320" i="12"/>
  <c r="GW320" i="12"/>
  <c r="GX320" i="12"/>
  <c r="GY320" i="12"/>
  <c r="GZ320" i="12"/>
  <c r="HA320" i="12"/>
  <c r="HB320" i="12"/>
  <c r="HC320" i="12"/>
  <c r="HD320" i="12"/>
  <c r="HE320" i="12"/>
  <c r="HF320" i="12"/>
  <c r="HG320" i="12"/>
  <c r="HH320" i="12"/>
  <c r="HI320" i="12"/>
  <c r="HJ320" i="12"/>
  <c r="HK320" i="12"/>
  <c r="HL320" i="12"/>
  <c r="HM320" i="12"/>
  <c r="HN320" i="12"/>
  <c r="HO320" i="12"/>
  <c r="HP320" i="12"/>
  <c r="HQ320" i="12"/>
  <c r="HR320" i="12"/>
  <c r="HS320" i="12"/>
  <c r="HT320" i="12"/>
  <c r="HU320" i="12"/>
  <c r="HV320" i="12"/>
  <c r="HW320" i="12"/>
  <c r="HX320" i="12"/>
  <c r="HY320" i="12"/>
  <c r="HZ320" i="12"/>
  <c r="IA320" i="12"/>
  <c r="IB320" i="12"/>
  <c r="IC320" i="12"/>
  <c r="ID320" i="12"/>
  <c r="IE320" i="12"/>
  <c r="IF320" i="12"/>
  <c r="IG320" i="12"/>
  <c r="IH320" i="12"/>
  <c r="II320" i="12"/>
  <c r="IJ320" i="12"/>
  <c r="IK320" i="12"/>
  <c r="IL320" i="12"/>
  <c r="IM320" i="12"/>
  <c r="IN320" i="12"/>
  <c r="IO320" i="12"/>
  <c r="IP320" i="12"/>
  <c r="IQ320" i="12"/>
  <c r="IR320" i="12"/>
  <c r="IS320" i="12"/>
  <c r="IT320" i="12"/>
  <c r="IU320" i="12"/>
  <c r="IV320" i="12"/>
  <c r="F321" i="12"/>
  <c r="G321" i="12"/>
  <c r="H321" i="12"/>
  <c r="I321" i="12"/>
  <c r="J321" i="12"/>
  <c r="K321" i="12"/>
  <c r="L321" i="12"/>
  <c r="M321" i="12"/>
  <c r="N321" i="12"/>
  <c r="O321" i="12"/>
  <c r="P321" i="12"/>
  <c r="Q321" i="12"/>
  <c r="R321" i="12"/>
  <c r="S321" i="12"/>
  <c r="T321" i="12"/>
  <c r="U321" i="12"/>
  <c r="V321" i="12"/>
  <c r="W321" i="12"/>
  <c r="X321" i="12"/>
  <c r="Y321" i="12"/>
  <c r="Z321" i="12"/>
  <c r="AA321" i="12"/>
  <c r="AB321" i="12"/>
  <c r="AC321" i="12"/>
  <c r="AD321" i="12"/>
  <c r="AE321" i="12"/>
  <c r="AF321" i="12"/>
  <c r="AG321" i="12"/>
  <c r="AH321" i="12"/>
  <c r="AI321" i="12"/>
  <c r="AJ321" i="12"/>
  <c r="AK321" i="12"/>
  <c r="AL321" i="12"/>
  <c r="AM321" i="12"/>
  <c r="AN321" i="12"/>
  <c r="AO321" i="12"/>
  <c r="AP321" i="12"/>
  <c r="AQ321" i="12"/>
  <c r="AR321" i="12"/>
  <c r="AS321" i="12"/>
  <c r="AT321" i="12"/>
  <c r="AU321" i="12"/>
  <c r="AV321" i="12"/>
  <c r="AW321" i="12"/>
  <c r="AX321" i="12"/>
  <c r="AY321" i="12"/>
  <c r="AZ321" i="12"/>
  <c r="BA321" i="12"/>
  <c r="BB321" i="12"/>
  <c r="BC321" i="12"/>
  <c r="BD321" i="12"/>
  <c r="BE321" i="12"/>
  <c r="BF321" i="12"/>
  <c r="BG321" i="12"/>
  <c r="BH321" i="12"/>
  <c r="BI321" i="12"/>
  <c r="BJ321" i="12"/>
  <c r="BK321" i="12"/>
  <c r="BL321" i="12"/>
  <c r="BM321" i="12"/>
  <c r="BN321" i="12"/>
  <c r="BO321" i="12"/>
  <c r="BP321" i="12"/>
  <c r="BQ321" i="12"/>
  <c r="BR321" i="12"/>
  <c r="BS321" i="12"/>
  <c r="BT321" i="12"/>
  <c r="BU321" i="12"/>
  <c r="BV321" i="12"/>
  <c r="BW321" i="12"/>
  <c r="BX321" i="12"/>
  <c r="BY321" i="12"/>
  <c r="BZ321" i="12"/>
  <c r="CA321" i="12"/>
  <c r="CB321" i="12"/>
  <c r="CC321" i="12"/>
  <c r="CD321" i="12"/>
  <c r="CE321" i="12"/>
  <c r="CF321" i="12"/>
  <c r="CG321" i="12"/>
  <c r="CH321" i="12"/>
  <c r="CI321" i="12"/>
  <c r="CJ321" i="12"/>
  <c r="CK321" i="12"/>
  <c r="CL321" i="12"/>
  <c r="CM321" i="12"/>
  <c r="CN321" i="12"/>
  <c r="CO321" i="12"/>
  <c r="CP321" i="12"/>
  <c r="CQ321" i="12"/>
  <c r="CR321" i="12"/>
  <c r="CS321" i="12"/>
  <c r="CT321" i="12"/>
  <c r="CU321" i="12"/>
  <c r="CV321" i="12"/>
  <c r="CW321" i="12"/>
  <c r="CX321" i="12"/>
  <c r="CY321" i="12"/>
  <c r="CZ321" i="12"/>
  <c r="DA321" i="12"/>
  <c r="DB321" i="12"/>
  <c r="DC321" i="12"/>
  <c r="DD321" i="12"/>
  <c r="DE321" i="12"/>
  <c r="DF321" i="12"/>
  <c r="DG321" i="12"/>
  <c r="DH321" i="12"/>
  <c r="DI321" i="12"/>
  <c r="DJ321" i="12"/>
  <c r="DK321" i="12"/>
  <c r="DL321" i="12"/>
  <c r="DM321" i="12"/>
  <c r="DN321" i="12"/>
  <c r="DO321" i="12"/>
  <c r="DP321" i="12"/>
  <c r="DQ321" i="12"/>
  <c r="DR321" i="12"/>
  <c r="DS321" i="12"/>
  <c r="DT321" i="12"/>
  <c r="DU321" i="12"/>
  <c r="DV321" i="12"/>
  <c r="DW321" i="12"/>
  <c r="DX321" i="12"/>
  <c r="DY321" i="12"/>
  <c r="DZ321" i="12"/>
  <c r="EA321" i="12"/>
  <c r="EB321" i="12"/>
  <c r="EC321" i="12"/>
  <c r="ED321" i="12"/>
  <c r="EE321" i="12"/>
  <c r="EF321" i="12"/>
  <c r="EG321" i="12"/>
  <c r="EH321" i="12"/>
  <c r="EI321" i="12"/>
  <c r="EJ321" i="12"/>
  <c r="EK321" i="12"/>
  <c r="EL321" i="12"/>
  <c r="EM321" i="12"/>
  <c r="EN321" i="12"/>
  <c r="EO321" i="12"/>
  <c r="EP321" i="12"/>
  <c r="EQ321" i="12"/>
  <c r="ER321" i="12"/>
  <c r="ES321" i="12"/>
  <c r="ET321" i="12"/>
  <c r="EU321" i="12"/>
  <c r="EV321" i="12"/>
  <c r="EW321" i="12"/>
  <c r="EX321" i="12"/>
  <c r="EY321" i="12"/>
  <c r="EZ321" i="12"/>
  <c r="FA321" i="12"/>
  <c r="FB321" i="12"/>
  <c r="FC321" i="12"/>
  <c r="FD321" i="12"/>
  <c r="FE321" i="12"/>
  <c r="FF321" i="12"/>
  <c r="FG321" i="12"/>
  <c r="FH321" i="12"/>
  <c r="FI321" i="12"/>
  <c r="FJ321" i="12"/>
  <c r="FK321" i="12"/>
  <c r="FL321" i="12"/>
  <c r="FM321" i="12"/>
  <c r="FN321" i="12"/>
  <c r="FO321" i="12"/>
  <c r="FP321" i="12"/>
  <c r="FQ321" i="12"/>
  <c r="FR321" i="12"/>
  <c r="FS321" i="12"/>
  <c r="FT321" i="12"/>
  <c r="FU321" i="12"/>
  <c r="FV321" i="12"/>
  <c r="FW321" i="12"/>
  <c r="FX321" i="12"/>
  <c r="FY321" i="12"/>
  <c r="FZ321" i="12"/>
  <c r="GA321" i="12"/>
  <c r="GB321" i="12"/>
  <c r="GC321" i="12"/>
  <c r="GD321" i="12"/>
  <c r="GE321" i="12"/>
  <c r="GF321" i="12"/>
  <c r="GG321" i="12"/>
  <c r="GH321" i="12"/>
  <c r="GI321" i="12"/>
  <c r="GJ321" i="12"/>
  <c r="GK321" i="12"/>
  <c r="GL321" i="12"/>
  <c r="GM321" i="12"/>
  <c r="GN321" i="12"/>
  <c r="GO321" i="12"/>
  <c r="GP321" i="12"/>
  <c r="GQ321" i="12"/>
  <c r="GR321" i="12"/>
  <c r="GS321" i="12"/>
  <c r="GT321" i="12"/>
  <c r="GU321" i="12"/>
  <c r="GV321" i="12"/>
  <c r="GW321" i="12"/>
  <c r="GX321" i="12"/>
  <c r="GY321" i="12"/>
  <c r="GZ321" i="12"/>
  <c r="HA321" i="12"/>
  <c r="HB321" i="12"/>
  <c r="HC321" i="12"/>
  <c r="HD321" i="12"/>
  <c r="HE321" i="12"/>
  <c r="HF321" i="12"/>
  <c r="HG321" i="12"/>
  <c r="HH321" i="12"/>
  <c r="HI321" i="12"/>
  <c r="HJ321" i="12"/>
  <c r="HK321" i="12"/>
  <c r="HL321" i="12"/>
  <c r="HM321" i="12"/>
  <c r="HN321" i="12"/>
  <c r="HO321" i="12"/>
  <c r="HP321" i="12"/>
  <c r="HQ321" i="12"/>
  <c r="HR321" i="12"/>
  <c r="HS321" i="12"/>
  <c r="HT321" i="12"/>
  <c r="HU321" i="12"/>
  <c r="HV321" i="12"/>
  <c r="HW321" i="12"/>
  <c r="HX321" i="12"/>
  <c r="HY321" i="12"/>
  <c r="HZ321" i="12"/>
  <c r="IA321" i="12"/>
  <c r="IB321" i="12"/>
  <c r="IC321" i="12"/>
  <c r="ID321" i="12"/>
  <c r="IE321" i="12"/>
  <c r="IF321" i="12"/>
  <c r="IG321" i="12"/>
  <c r="IH321" i="12"/>
  <c r="II321" i="12"/>
  <c r="IJ321" i="12"/>
  <c r="IK321" i="12"/>
  <c r="IL321" i="12"/>
  <c r="IM321" i="12"/>
  <c r="IN321" i="12"/>
  <c r="IO321" i="12"/>
  <c r="IP321" i="12"/>
  <c r="IQ321" i="12"/>
  <c r="IR321" i="12"/>
  <c r="IS321" i="12"/>
  <c r="IT321" i="12"/>
  <c r="IU321" i="12"/>
  <c r="IV321" i="12"/>
  <c r="F322" i="12"/>
  <c r="G322" i="12"/>
  <c r="H322" i="12"/>
  <c r="I322" i="12"/>
  <c r="J322" i="12"/>
  <c r="K322" i="12"/>
  <c r="L322" i="12"/>
  <c r="M322" i="12"/>
  <c r="N322" i="12"/>
  <c r="O322" i="12"/>
  <c r="P322" i="12"/>
  <c r="Q322" i="12"/>
  <c r="R322" i="12"/>
  <c r="S322" i="12"/>
  <c r="T322" i="12"/>
  <c r="U322" i="12"/>
  <c r="V322" i="12"/>
  <c r="W322" i="12"/>
  <c r="X322" i="12"/>
  <c r="Y322" i="12"/>
  <c r="Z322" i="12"/>
  <c r="AA322" i="12"/>
  <c r="AB322" i="12"/>
  <c r="AC322" i="12"/>
  <c r="AD322" i="12"/>
  <c r="AE322" i="12"/>
  <c r="AF322" i="12"/>
  <c r="AG322" i="12"/>
  <c r="AH322" i="12"/>
  <c r="AI322" i="12"/>
  <c r="AJ322" i="12"/>
  <c r="AK322" i="12"/>
  <c r="AL322" i="12"/>
  <c r="AM322" i="12"/>
  <c r="AN322" i="12"/>
  <c r="AO322" i="12"/>
  <c r="AP322" i="12"/>
  <c r="AQ322" i="12"/>
  <c r="AR322" i="12"/>
  <c r="AS322" i="12"/>
  <c r="AT322" i="12"/>
  <c r="AU322" i="12"/>
  <c r="AV322" i="12"/>
  <c r="AW322" i="12"/>
  <c r="AX322" i="12"/>
  <c r="AY322" i="12"/>
  <c r="AZ322" i="12"/>
  <c r="BA322" i="12"/>
  <c r="BB322" i="12"/>
  <c r="BC322" i="12"/>
  <c r="BD322" i="12"/>
  <c r="BE322" i="12"/>
  <c r="BF322" i="12"/>
  <c r="BG322" i="12"/>
  <c r="BH322" i="12"/>
  <c r="BI322" i="12"/>
  <c r="BJ322" i="12"/>
  <c r="BK322" i="12"/>
  <c r="BL322" i="12"/>
  <c r="BM322" i="12"/>
  <c r="BN322" i="12"/>
  <c r="BO322" i="12"/>
  <c r="BP322" i="12"/>
  <c r="BQ322" i="12"/>
  <c r="BR322" i="12"/>
  <c r="BS322" i="12"/>
  <c r="BT322" i="12"/>
  <c r="BU322" i="12"/>
  <c r="BV322" i="12"/>
  <c r="BW322" i="12"/>
  <c r="BX322" i="12"/>
  <c r="BY322" i="12"/>
  <c r="BZ322" i="12"/>
  <c r="CA322" i="12"/>
  <c r="CB322" i="12"/>
  <c r="CC322" i="12"/>
  <c r="CD322" i="12"/>
  <c r="CE322" i="12"/>
  <c r="CF322" i="12"/>
  <c r="CG322" i="12"/>
  <c r="CH322" i="12"/>
  <c r="CI322" i="12"/>
  <c r="CJ322" i="12"/>
  <c r="CK322" i="12"/>
  <c r="CL322" i="12"/>
  <c r="CM322" i="12"/>
  <c r="CN322" i="12"/>
  <c r="CO322" i="12"/>
  <c r="CP322" i="12"/>
  <c r="CQ322" i="12"/>
  <c r="CR322" i="12"/>
  <c r="CS322" i="12"/>
  <c r="CT322" i="12"/>
  <c r="CU322" i="12"/>
  <c r="CV322" i="12"/>
  <c r="CW322" i="12"/>
  <c r="CX322" i="12"/>
  <c r="CY322" i="12"/>
  <c r="CZ322" i="12"/>
  <c r="DA322" i="12"/>
  <c r="DB322" i="12"/>
  <c r="DC322" i="12"/>
  <c r="DD322" i="12"/>
  <c r="DE322" i="12"/>
  <c r="DF322" i="12"/>
  <c r="DG322" i="12"/>
  <c r="DH322" i="12"/>
  <c r="DI322" i="12"/>
  <c r="DJ322" i="12"/>
  <c r="DK322" i="12"/>
  <c r="DL322" i="12"/>
  <c r="DM322" i="12"/>
  <c r="DN322" i="12"/>
  <c r="DO322" i="12"/>
  <c r="DP322" i="12"/>
  <c r="DQ322" i="12"/>
  <c r="DR322" i="12"/>
  <c r="DS322" i="12"/>
  <c r="DT322" i="12"/>
  <c r="DU322" i="12"/>
  <c r="DV322" i="12"/>
  <c r="DW322" i="12"/>
  <c r="DX322" i="12"/>
  <c r="DY322" i="12"/>
  <c r="DZ322" i="12"/>
  <c r="EA322" i="12"/>
  <c r="EB322" i="12"/>
  <c r="EC322" i="12"/>
  <c r="ED322" i="12"/>
  <c r="EE322" i="12"/>
  <c r="EF322" i="12"/>
  <c r="EG322" i="12"/>
  <c r="EH322" i="12"/>
  <c r="EI322" i="12"/>
  <c r="EJ322" i="12"/>
  <c r="EK322" i="12"/>
  <c r="EL322" i="12"/>
  <c r="EM322" i="12"/>
  <c r="EN322" i="12"/>
  <c r="EO322" i="12"/>
  <c r="EP322" i="12"/>
  <c r="EQ322" i="12"/>
  <c r="ER322" i="12"/>
  <c r="ES322" i="12"/>
  <c r="ET322" i="12"/>
  <c r="EU322" i="12"/>
  <c r="EV322" i="12"/>
  <c r="EW322" i="12"/>
  <c r="EX322" i="12"/>
  <c r="EY322" i="12"/>
  <c r="EZ322" i="12"/>
  <c r="FA322" i="12"/>
  <c r="FB322" i="12"/>
  <c r="FC322" i="12"/>
  <c r="FD322" i="12"/>
  <c r="FE322" i="12"/>
  <c r="FF322" i="12"/>
  <c r="FG322" i="12"/>
  <c r="FH322" i="12"/>
  <c r="FI322" i="12"/>
  <c r="FJ322" i="12"/>
  <c r="FK322" i="12"/>
  <c r="FL322" i="12"/>
  <c r="FM322" i="12"/>
  <c r="FN322" i="12"/>
  <c r="FO322" i="12"/>
  <c r="FP322" i="12"/>
  <c r="FQ322" i="12"/>
  <c r="FR322" i="12"/>
  <c r="FS322" i="12"/>
  <c r="FT322" i="12"/>
  <c r="FU322" i="12"/>
  <c r="FV322" i="12"/>
  <c r="FW322" i="12"/>
  <c r="FX322" i="12"/>
  <c r="FY322" i="12"/>
  <c r="FZ322" i="12"/>
  <c r="GA322" i="12"/>
  <c r="GB322" i="12"/>
  <c r="GC322" i="12"/>
  <c r="GD322" i="12"/>
  <c r="GE322" i="12"/>
  <c r="GF322" i="12"/>
  <c r="GG322" i="12"/>
  <c r="GH322" i="12"/>
  <c r="GI322" i="12"/>
  <c r="GJ322" i="12"/>
  <c r="GK322" i="12"/>
  <c r="GL322" i="12"/>
  <c r="GM322" i="12"/>
  <c r="GN322" i="12"/>
  <c r="GO322" i="12"/>
  <c r="GP322" i="12"/>
  <c r="GQ322" i="12"/>
  <c r="GR322" i="12"/>
  <c r="GS322" i="12"/>
  <c r="GT322" i="12"/>
  <c r="GU322" i="12"/>
  <c r="GV322" i="12"/>
  <c r="GW322" i="12"/>
  <c r="GX322" i="12"/>
  <c r="GY322" i="12"/>
  <c r="GZ322" i="12"/>
  <c r="HA322" i="12"/>
  <c r="HB322" i="12"/>
  <c r="HC322" i="12"/>
  <c r="HD322" i="12"/>
  <c r="HE322" i="12"/>
  <c r="HF322" i="12"/>
  <c r="HG322" i="12"/>
  <c r="HH322" i="12"/>
  <c r="HI322" i="12"/>
  <c r="HJ322" i="12"/>
  <c r="HK322" i="12"/>
  <c r="HL322" i="12"/>
  <c r="HM322" i="12"/>
  <c r="HN322" i="12"/>
  <c r="HO322" i="12"/>
  <c r="HP322" i="12"/>
  <c r="HQ322" i="12"/>
  <c r="HR322" i="12"/>
  <c r="HS322" i="12"/>
  <c r="HT322" i="12"/>
  <c r="HU322" i="12"/>
  <c r="HV322" i="12"/>
  <c r="HW322" i="12"/>
  <c r="HX322" i="12"/>
  <c r="HY322" i="12"/>
  <c r="HZ322" i="12"/>
  <c r="IA322" i="12"/>
  <c r="IB322" i="12"/>
  <c r="IC322" i="12"/>
  <c r="ID322" i="12"/>
  <c r="IE322" i="12"/>
  <c r="IF322" i="12"/>
  <c r="IG322" i="12"/>
  <c r="IH322" i="12"/>
  <c r="II322" i="12"/>
  <c r="IJ322" i="12"/>
  <c r="IK322" i="12"/>
  <c r="IL322" i="12"/>
  <c r="IM322" i="12"/>
  <c r="IN322" i="12"/>
  <c r="IO322" i="12"/>
  <c r="IP322" i="12"/>
  <c r="IQ322" i="12"/>
  <c r="IR322" i="12"/>
  <c r="IS322" i="12"/>
  <c r="IT322" i="12"/>
  <c r="IU322" i="12"/>
  <c r="IV322" i="12"/>
  <c r="F323" i="12"/>
  <c r="G323" i="12"/>
  <c r="H323" i="12"/>
  <c r="I323" i="12"/>
  <c r="J323" i="12"/>
  <c r="K323" i="12"/>
  <c r="L323" i="12"/>
  <c r="M323" i="12"/>
  <c r="N323" i="12"/>
  <c r="O323" i="12"/>
  <c r="P323" i="12"/>
  <c r="Q323" i="12"/>
  <c r="R323" i="12"/>
  <c r="S323" i="12"/>
  <c r="T323" i="12"/>
  <c r="U323" i="12"/>
  <c r="V323" i="12"/>
  <c r="W323" i="12"/>
  <c r="X323" i="12"/>
  <c r="Y323" i="12"/>
  <c r="Z323" i="12"/>
  <c r="AA323" i="12"/>
  <c r="AB323" i="12"/>
  <c r="AC323" i="12"/>
  <c r="AD323" i="12"/>
  <c r="AE323" i="12"/>
  <c r="AF323" i="12"/>
  <c r="AG323" i="12"/>
  <c r="AH323" i="12"/>
  <c r="AI323" i="12"/>
  <c r="AJ323" i="12"/>
  <c r="AK323" i="12"/>
  <c r="AL323" i="12"/>
  <c r="AM323" i="12"/>
  <c r="AN323" i="12"/>
  <c r="AO323" i="12"/>
  <c r="AP323" i="12"/>
  <c r="AQ323" i="12"/>
  <c r="AR323" i="12"/>
  <c r="AS323" i="12"/>
  <c r="AT323" i="12"/>
  <c r="AU323" i="12"/>
  <c r="AV323" i="12"/>
  <c r="AW323" i="12"/>
  <c r="AX323" i="12"/>
  <c r="AY323" i="12"/>
  <c r="AZ323" i="12"/>
  <c r="BA323" i="12"/>
  <c r="BB323" i="12"/>
  <c r="BC323" i="12"/>
  <c r="BD323" i="12"/>
  <c r="BE323" i="12"/>
  <c r="BF323" i="12"/>
  <c r="BG323" i="12"/>
  <c r="BH323" i="12"/>
  <c r="BI323" i="12"/>
  <c r="BJ323" i="12"/>
  <c r="BK323" i="12"/>
  <c r="BL323" i="12"/>
  <c r="BM323" i="12"/>
  <c r="BN323" i="12"/>
  <c r="BO323" i="12"/>
  <c r="BP323" i="12"/>
  <c r="BQ323" i="12"/>
  <c r="BR323" i="12"/>
  <c r="BS323" i="12"/>
  <c r="BT323" i="12"/>
  <c r="BU323" i="12"/>
  <c r="BV323" i="12"/>
  <c r="BW323" i="12"/>
  <c r="BX323" i="12"/>
  <c r="BY323" i="12"/>
  <c r="BZ323" i="12"/>
  <c r="CA323" i="12"/>
  <c r="CB323" i="12"/>
  <c r="CC323" i="12"/>
  <c r="CD323" i="12"/>
  <c r="CE323" i="12"/>
  <c r="CF323" i="12"/>
  <c r="CG323" i="12"/>
  <c r="CH323" i="12"/>
  <c r="CI323" i="12"/>
  <c r="CJ323" i="12"/>
  <c r="CK323" i="12"/>
  <c r="CL323" i="12"/>
  <c r="CM323" i="12"/>
  <c r="CN323" i="12"/>
  <c r="CO323" i="12"/>
  <c r="CP323" i="12"/>
  <c r="CQ323" i="12"/>
  <c r="CR323" i="12"/>
  <c r="CS323" i="12"/>
  <c r="CT323" i="12"/>
  <c r="CU323" i="12"/>
  <c r="CV323" i="12"/>
  <c r="CW323" i="12"/>
  <c r="CX323" i="12"/>
  <c r="CY323" i="12"/>
  <c r="CZ323" i="12"/>
  <c r="DA323" i="12"/>
  <c r="DB323" i="12"/>
  <c r="DC323" i="12"/>
  <c r="DD323" i="12"/>
  <c r="DE323" i="12"/>
  <c r="DF323" i="12"/>
  <c r="DG323" i="12"/>
  <c r="DH323" i="12"/>
  <c r="DI323" i="12"/>
  <c r="DJ323" i="12"/>
  <c r="DK323" i="12"/>
  <c r="DL323" i="12"/>
  <c r="DM323" i="12"/>
  <c r="DN323" i="12"/>
  <c r="DO323" i="12"/>
  <c r="DP323" i="12"/>
  <c r="DQ323" i="12"/>
  <c r="DR323" i="12"/>
  <c r="DS323" i="12"/>
  <c r="DT323" i="12"/>
  <c r="DU323" i="12"/>
  <c r="DV323" i="12"/>
  <c r="DW323" i="12"/>
  <c r="DX323" i="12"/>
  <c r="DY323" i="12"/>
  <c r="DZ323" i="12"/>
  <c r="EA323" i="12"/>
  <c r="EB323" i="12"/>
  <c r="EC323" i="12"/>
  <c r="ED323" i="12"/>
  <c r="EE323" i="12"/>
  <c r="EF323" i="12"/>
  <c r="EG323" i="12"/>
  <c r="EH323" i="12"/>
  <c r="EI323" i="12"/>
  <c r="EJ323" i="12"/>
  <c r="EK323" i="12"/>
  <c r="EL323" i="12"/>
  <c r="EM323" i="12"/>
  <c r="EN323" i="12"/>
  <c r="EO323" i="12"/>
  <c r="EP323" i="12"/>
  <c r="EQ323" i="12"/>
  <c r="ER323" i="12"/>
  <c r="ES323" i="12"/>
  <c r="ET323" i="12"/>
  <c r="EU323" i="12"/>
  <c r="EV323" i="12"/>
  <c r="EW323" i="12"/>
  <c r="EX323" i="12"/>
  <c r="EY323" i="12"/>
  <c r="EZ323" i="12"/>
  <c r="FA323" i="12"/>
  <c r="FB323" i="12"/>
  <c r="FC323" i="12"/>
  <c r="FD323" i="12"/>
  <c r="FE323" i="12"/>
  <c r="FF323" i="12"/>
  <c r="FG323" i="12"/>
  <c r="FH323" i="12"/>
  <c r="FI323" i="12"/>
  <c r="FJ323" i="12"/>
  <c r="FK323" i="12"/>
  <c r="FL323" i="12"/>
  <c r="FM323" i="12"/>
  <c r="FN323" i="12"/>
  <c r="FO323" i="12"/>
  <c r="FP323" i="12"/>
  <c r="FQ323" i="12"/>
  <c r="FR323" i="12"/>
  <c r="FS323" i="12"/>
  <c r="FT323" i="12"/>
  <c r="FU323" i="12"/>
  <c r="FV323" i="12"/>
  <c r="FW323" i="12"/>
  <c r="FX323" i="12"/>
  <c r="FY323" i="12"/>
  <c r="FZ323" i="12"/>
  <c r="GA323" i="12"/>
  <c r="GB323" i="12"/>
  <c r="GC323" i="12"/>
  <c r="GD323" i="12"/>
  <c r="GE323" i="12"/>
  <c r="GF323" i="12"/>
  <c r="GG323" i="12"/>
  <c r="GH323" i="12"/>
  <c r="GI323" i="12"/>
  <c r="GJ323" i="12"/>
  <c r="GK323" i="12"/>
  <c r="GL323" i="12"/>
  <c r="GM323" i="12"/>
  <c r="GN323" i="12"/>
  <c r="GO323" i="12"/>
  <c r="GP323" i="12"/>
  <c r="GQ323" i="12"/>
  <c r="GR323" i="12"/>
  <c r="GS323" i="12"/>
  <c r="GT323" i="12"/>
  <c r="GU323" i="12"/>
  <c r="GV323" i="12"/>
  <c r="GW323" i="12"/>
  <c r="GX323" i="12"/>
  <c r="GY323" i="12"/>
  <c r="GZ323" i="12"/>
  <c r="HA323" i="12"/>
  <c r="HB323" i="12"/>
  <c r="HC323" i="12"/>
  <c r="HD323" i="12"/>
  <c r="HE323" i="12"/>
  <c r="HF323" i="12"/>
  <c r="HG323" i="12"/>
  <c r="HH323" i="12"/>
  <c r="HI323" i="12"/>
  <c r="HJ323" i="12"/>
  <c r="HK323" i="12"/>
  <c r="HL323" i="12"/>
  <c r="HM323" i="12"/>
  <c r="HN323" i="12"/>
  <c r="HO323" i="12"/>
  <c r="HP323" i="12"/>
  <c r="HQ323" i="12"/>
  <c r="HR323" i="12"/>
  <c r="HS323" i="12"/>
  <c r="HT323" i="12"/>
  <c r="HU323" i="12"/>
  <c r="HV323" i="12"/>
  <c r="HW323" i="12"/>
  <c r="HX323" i="12"/>
  <c r="HY323" i="12"/>
  <c r="HZ323" i="12"/>
  <c r="IA323" i="12"/>
  <c r="IB323" i="12"/>
  <c r="IC323" i="12"/>
  <c r="ID323" i="12"/>
  <c r="IE323" i="12"/>
  <c r="IF323" i="12"/>
  <c r="IG323" i="12"/>
  <c r="IH323" i="12"/>
  <c r="II323" i="12"/>
  <c r="IJ323" i="12"/>
  <c r="IK323" i="12"/>
  <c r="IL323" i="12"/>
  <c r="IM323" i="12"/>
  <c r="IN323" i="12"/>
  <c r="IO323" i="12"/>
  <c r="IP323" i="12"/>
  <c r="IQ323" i="12"/>
  <c r="IR323" i="12"/>
  <c r="IS323" i="12"/>
  <c r="IT323" i="12"/>
  <c r="IU323" i="12"/>
  <c r="IV323" i="12"/>
  <c r="F324" i="12"/>
  <c r="G324" i="12"/>
  <c r="H324" i="12"/>
  <c r="I324" i="12"/>
  <c r="J324" i="12"/>
  <c r="K324" i="12"/>
  <c r="L324" i="12"/>
  <c r="M324" i="12"/>
  <c r="N324" i="12"/>
  <c r="O324" i="12"/>
  <c r="P324" i="12"/>
  <c r="Q324" i="12"/>
  <c r="R324" i="12"/>
  <c r="S324" i="12"/>
  <c r="T324" i="12"/>
  <c r="U324" i="12"/>
  <c r="V324" i="12"/>
  <c r="W324" i="12"/>
  <c r="X324" i="12"/>
  <c r="Y324" i="12"/>
  <c r="Z324" i="12"/>
  <c r="AA324" i="12"/>
  <c r="AB324" i="12"/>
  <c r="AC324" i="12"/>
  <c r="AD324" i="12"/>
  <c r="AE324" i="12"/>
  <c r="AF324" i="12"/>
  <c r="AG324" i="12"/>
  <c r="AH324" i="12"/>
  <c r="AI324" i="12"/>
  <c r="AJ324" i="12"/>
  <c r="AK324" i="12"/>
  <c r="AL324" i="12"/>
  <c r="AM324" i="12"/>
  <c r="AN324" i="12"/>
  <c r="AO324" i="12"/>
  <c r="AP324" i="12"/>
  <c r="AQ324" i="12"/>
  <c r="AR324" i="12"/>
  <c r="AS324" i="12"/>
  <c r="AT324" i="12"/>
  <c r="AU324" i="12"/>
  <c r="AV324" i="12"/>
  <c r="AW324" i="12"/>
  <c r="AX324" i="12"/>
  <c r="AY324" i="12"/>
  <c r="AZ324" i="12"/>
  <c r="BA324" i="12"/>
  <c r="BB324" i="12"/>
  <c r="BC324" i="12"/>
  <c r="BD324" i="12"/>
  <c r="BE324" i="12"/>
  <c r="BF324" i="12"/>
  <c r="BG324" i="12"/>
  <c r="BH324" i="12"/>
  <c r="BI324" i="12"/>
  <c r="BJ324" i="12"/>
  <c r="BK324" i="12"/>
  <c r="BL324" i="12"/>
  <c r="BM324" i="12"/>
  <c r="BN324" i="12"/>
  <c r="BO324" i="12"/>
  <c r="BP324" i="12"/>
  <c r="BQ324" i="12"/>
  <c r="BR324" i="12"/>
  <c r="BS324" i="12"/>
  <c r="BT324" i="12"/>
  <c r="BU324" i="12"/>
  <c r="BV324" i="12"/>
  <c r="BW324" i="12"/>
  <c r="BX324" i="12"/>
  <c r="BY324" i="12"/>
  <c r="BZ324" i="12"/>
  <c r="CA324" i="12"/>
  <c r="CB324" i="12"/>
  <c r="CC324" i="12"/>
  <c r="CD324" i="12"/>
  <c r="CE324" i="12"/>
  <c r="CF324" i="12"/>
  <c r="CG324" i="12"/>
  <c r="CH324" i="12"/>
  <c r="CI324" i="12"/>
  <c r="CJ324" i="12"/>
  <c r="CK324" i="12"/>
  <c r="CL324" i="12"/>
  <c r="CM324" i="12"/>
  <c r="CN324" i="12"/>
  <c r="CO324" i="12"/>
  <c r="CP324" i="12"/>
  <c r="CQ324" i="12"/>
  <c r="CR324" i="12"/>
  <c r="CS324" i="12"/>
  <c r="CT324" i="12"/>
  <c r="CU324" i="12"/>
  <c r="CV324" i="12"/>
  <c r="CW324" i="12"/>
  <c r="CX324" i="12"/>
  <c r="CY324" i="12"/>
  <c r="CZ324" i="12"/>
  <c r="DA324" i="12"/>
  <c r="DB324" i="12"/>
  <c r="DC324" i="12"/>
  <c r="DD324" i="12"/>
  <c r="DE324" i="12"/>
  <c r="DF324" i="12"/>
  <c r="DG324" i="12"/>
  <c r="DH324" i="12"/>
  <c r="DI324" i="12"/>
  <c r="DJ324" i="12"/>
  <c r="DK324" i="12"/>
  <c r="DL324" i="12"/>
  <c r="DM324" i="12"/>
  <c r="DN324" i="12"/>
  <c r="DO324" i="12"/>
  <c r="DP324" i="12"/>
  <c r="DQ324" i="12"/>
  <c r="DR324" i="12"/>
  <c r="DS324" i="12"/>
  <c r="DT324" i="12"/>
  <c r="DU324" i="12"/>
  <c r="DV324" i="12"/>
  <c r="DW324" i="12"/>
  <c r="DX324" i="12"/>
  <c r="DY324" i="12"/>
  <c r="DZ324" i="12"/>
  <c r="EA324" i="12"/>
  <c r="EB324" i="12"/>
  <c r="EC324" i="12"/>
  <c r="ED324" i="12"/>
  <c r="EE324" i="12"/>
  <c r="EF324" i="12"/>
  <c r="EG324" i="12"/>
  <c r="EH324" i="12"/>
  <c r="EI324" i="12"/>
  <c r="EJ324" i="12"/>
  <c r="EK324" i="12"/>
  <c r="EL324" i="12"/>
  <c r="EM324" i="12"/>
  <c r="EN324" i="12"/>
  <c r="EO324" i="12"/>
  <c r="EP324" i="12"/>
  <c r="EQ324" i="12"/>
  <c r="ER324" i="12"/>
  <c r="ES324" i="12"/>
  <c r="ET324" i="12"/>
  <c r="EU324" i="12"/>
  <c r="EV324" i="12"/>
  <c r="EW324" i="12"/>
  <c r="EX324" i="12"/>
  <c r="EY324" i="12"/>
  <c r="EZ324" i="12"/>
  <c r="FA324" i="12"/>
  <c r="FB324" i="12"/>
  <c r="FC324" i="12"/>
  <c r="FD324" i="12"/>
  <c r="FE324" i="12"/>
  <c r="FF324" i="12"/>
  <c r="FG324" i="12"/>
  <c r="FH324" i="12"/>
  <c r="FI324" i="12"/>
  <c r="FJ324" i="12"/>
  <c r="FK324" i="12"/>
  <c r="FL324" i="12"/>
  <c r="FM324" i="12"/>
  <c r="FN324" i="12"/>
  <c r="FO324" i="12"/>
  <c r="FP324" i="12"/>
  <c r="FQ324" i="12"/>
  <c r="FR324" i="12"/>
  <c r="FS324" i="12"/>
  <c r="FT324" i="12"/>
  <c r="FU324" i="12"/>
  <c r="FV324" i="12"/>
  <c r="FW324" i="12"/>
  <c r="FX324" i="12"/>
  <c r="FY324" i="12"/>
  <c r="FZ324" i="12"/>
  <c r="GA324" i="12"/>
  <c r="GB324" i="12"/>
  <c r="GC324" i="12"/>
  <c r="GD324" i="12"/>
  <c r="GE324" i="12"/>
  <c r="GF324" i="12"/>
  <c r="GG324" i="12"/>
  <c r="GH324" i="12"/>
  <c r="GI324" i="12"/>
  <c r="GJ324" i="12"/>
  <c r="GK324" i="12"/>
  <c r="GL324" i="12"/>
  <c r="GM324" i="12"/>
  <c r="GN324" i="12"/>
  <c r="GO324" i="12"/>
  <c r="GP324" i="12"/>
  <c r="GQ324" i="12"/>
  <c r="GR324" i="12"/>
  <c r="GS324" i="12"/>
  <c r="GT324" i="12"/>
  <c r="GU324" i="12"/>
  <c r="GV324" i="12"/>
  <c r="GW324" i="12"/>
  <c r="GX324" i="12"/>
  <c r="GY324" i="12"/>
  <c r="GZ324" i="12"/>
  <c r="HA324" i="12"/>
  <c r="HB324" i="12"/>
  <c r="HC324" i="12"/>
  <c r="HD324" i="12"/>
  <c r="HE324" i="12"/>
  <c r="HF324" i="12"/>
  <c r="HG324" i="12"/>
  <c r="HH324" i="12"/>
  <c r="HI324" i="12"/>
  <c r="HJ324" i="12"/>
  <c r="HK324" i="12"/>
  <c r="HL324" i="12"/>
  <c r="HM324" i="12"/>
  <c r="HN324" i="12"/>
  <c r="HO324" i="12"/>
  <c r="HP324" i="12"/>
  <c r="HQ324" i="12"/>
  <c r="HR324" i="12"/>
  <c r="HS324" i="12"/>
  <c r="HT324" i="12"/>
  <c r="HU324" i="12"/>
  <c r="HV324" i="12"/>
  <c r="HW324" i="12"/>
  <c r="HX324" i="12"/>
  <c r="HY324" i="12"/>
  <c r="HZ324" i="12"/>
  <c r="IA324" i="12"/>
  <c r="IB324" i="12"/>
  <c r="IC324" i="12"/>
  <c r="ID324" i="12"/>
  <c r="IE324" i="12"/>
  <c r="IF324" i="12"/>
  <c r="IG324" i="12"/>
  <c r="IH324" i="12"/>
  <c r="II324" i="12"/>
  <c r="IJ324" i="12"/>
  <c r="IK324" i="12"/>
  <c r="IL324" i="12"/>
  <c r="IM324" i="12"/>
  <c r="IN324" i="12"/>
  <c r="IO324" i="12"/>
  <c r="IP324" i="12"/>
  <c r="IQ324" i="12"/>
  <c r="IR324" i="12"/>
  <c r="IS324" i="12"/>
  <c r="IT324" i="12"/>
  <c r="IU324" i="12"/>
  <c r="IV324" i="12"/>
  <c r="F325" i="12"/>
  <c r="G325" i="12"/>
  <c r="H325" i="12"/>
  <c r="I325" i="12"/>
  <c r="J325" i="12"/>
  <c r="K325" i="12"/>
  <c r="L325" i="12"/>
  <c r="M325" i="12"/>
  <c r="N325" i="12"/>
  <c r="O325" i="12"/>
  <c r="P325" i="12"/>
  <c r="Q325" i="12"/>
  <c r="R325" i="12"/>
  <c r="S325" i="12"/>
  <c r="T325" i="12"/>
  <c r="U325" i="12"/>
  <c r="V325" i="12"/>
  <c r="W325" i="12"/>
  <c r="X325" i="12"/>
  <c r="Y325" i="12"/>
  <c r="Z325" i="12"/>
  <c r="AA325" i="12"/>
  <c r="AB325" i="12"/>
  <c r="AC325" i="12"/>
  <c r="AD325" i="12"/>
  <c r="AE325" i="12"/>
  <c r="AF325" i="12"/>
  <c r="AG325" i="12"/>
  <c r="AH325" i="12"/>
  <c r="AI325" i="12"/>
  <c r="AJ325" i="12"/>
  <c r="AK325" i="12"/>
  <c r="AL325" i="12"/>
  <c r="AM325" i="12"/>
  <c r="AN325" i="12"/>
  <c r="AO325" i="12"/>
  <c r="AP325" i="12"/>
  <c r="AQ325" i="12"/>
  <c r="AR325" i="12"/>
  <c r="AS325" i="12"/>
  <c r="AT325" i="12"/>
  <c r="AU325" i="12"/>
  <c r="AV325" i="12"/>
  <c r="AW325" i="12"/>
  <c r="AX325" i="12"/>
  <c r="AY325" i="12"/>
  <c r="AZ325" i="12"/>
  <c r="BA325" i="12"/>
  <c r="BB325" i="12"/>
  <c r="BC325" i="12"/>
  <c r="BD325" i="12"/>
  <c r="BE325" i="12"/>
  <c r="BF325" i="12"/>
  <c r="BG325" i="12"/>
  <c r="BH325" i="12"/>
  <c r="BI325" i="12"/>
  <c r="BJ325" i="12"/>
  <c r="BK325" i="12"/>
  <c r="BL325" i="12"/>
  <c r="BM325" i="12"/>
  <c r="BN325" i="12"/>
  <c r="BO325" i="12"/>
  <c r="BP325" i="12"/>
  <c r="BQ325" i="12"/>
  <c r="BR325" i="12"/>
  <c r="BS325" i="12"/>
  <c r="BT325" i="12"/>
  <c r="BU325" i="12"/>
  <c r="BV325" i="12"/>
  <c r="BW325" i="12"/>
  <c r="BX325" i="12"/>
  <c r="BY325" i="12"/>
  <c r="BZ325" i="12"/>
  <c r="CA325" i="12"/>
  <c r="CB325" i="12"/>
  <c r="CC325" i="12"/>
  <c r="CD325" i="12"/>
  <c r="CE325" i="12"/>
  <c r="CF325" i="12"/>
  <c r="CG325" i="12"/>
  <c r="CH325" i="12"/>
  <c r="CI325" i="12"/>
  <c r="CJ325" i="12"/>
  <c r="CK325" i="12"/>
  <c r="CL325" i="12"/>
  <c r="CM325" i="12"/>
  <c r="CN325" i="12"/>
  <c r="CO325" i="12"/>
  <c r="CP325" i="12"/>
  <c r="CQ325" i="12"/>
  <c r="CR325" i="12"/>
  <c r="CS325" i="12"/>
  <c r="CT325" i="12"/>
  <c r="CU325" i="12"/>
  <c r="CV325" i="12"/>
  <c r="CW325" i="12"/>
  <c r="CX325" i="12"/>
  <c r="CY325" i="12"/>
  <c r="CZ325" i="12"/>
  <c r="DA325" i="12"/>
  <c r="DB325" i="12"/>
  <c r="DC325" i="12"/>
  <c r="DD325" i="12"/>
  <c r="DE325" i="12"/>
  <c r="DF325" i="12"/>
  <c r="DG325" i="12"/>
  <c r="DH325" i="12"/>
  <c r="DI325" i="12"/>
  <c r="DJ325" i="12"/>
  <c r="DK325" i="12"/>
  <c r="DL325" i="12"/>
  <c r="DM325" i="12"/>
  <c r="DN325" i="12"/>
  <c r="DO325" i="12"/>
  <c r="DP325" i="12"/>
  <c r="DQ325" i="12"/>
  <c r="DR325" i="12"/>
  <c r="DS325" i="12"/>
  <c r="DT325" i="12"/>
  <c r="DU325" i="12"/>
  <c r="DV325" i="12"/>
  <c r="DW325" i="12"/>
  <c r="DX325" i="12"/>
  <c r="DY325" i="12"/>
  <c r="DZ325" i="12"/>
  <c r="EA325" i="12"/>
  <c r="EB325" i="12"/>
  <c r="EC325" i="12"/>
  <c r="ED325" i="12"/>
  <c r="EE325" i="12"/>
  <c r="EF325" i="12"/>
  <c r="EG325" i="12"/>
  <c r="EH325" i="12"/>
  <c r="EI325" i="12"/>
  <c r="EJ325" i="12"/>
  <c r="EK325" i="12"/>
  <c r="EL325" i="12"/>
  <c r="EM325" i="12"/>
  <c r="EN325" i="12"/>
  <c r="EO325" i="12"/>
  <c r="EP325" i="12"/>
  <c r="EQ325" i="12"/>
  <c r="ER325" i="12"/>
  <c r="ES325" i="12"/>
  <c r="ET325" i="12"/>
  <c r="EU325" i="12"/>
  <c r="EV325" i="12"/>
  <c r="EW325" i="12"/>
  <c r="EX325" i="12"/>
  <c r="EY325" i="12"/>
  <c r="EZ325" i="12"/>
  <c r="FA325" i="12"/>
  <c r="FB325" i="12"/>
  <c r="FC325" i="12"/>
  <c r="FD325" i="12"/>
  <c r="FE325" i="12"/>
  <c r="FF325" i="12"/>
  <c r="FG325" i="12"/>
  <c r="FH325" i="12"/>
  <c r="FI325" i="12"/>
  <c r="FJ325" i="12"/>
  <c r="FK325" i="12"/>
  <c r="FL325" i="12"/>
  <c r="FM325" i="12"/>
  <c r="FN325" i="12"/>
  <c r="FO325" i="12"/>
  <c r="FP325" i="12"/>
  <c r="FQ325" i="12"/>
  <c r="FR325" i="12"/>
  <c r="FS325" i="12"/>
  <c r="FT325" i="12"/>
  <c r="FU325" i="12"/>
  <c r="FV325" i="12"/>
  <c r="FW325" i="12"/>
  <c r="FX325" i="12"/>
  <c r="FY325" i="12"/>
  <c r="FZ325" i="12"/>
  <c r="GA325" i="12"/>
  <c r="GB325" i="12"/>
  <c r="GC325" i="12"/>
  <c r="GD325" i="12"/>
  <c r="GE325" i="12"/>
  <c r="GF325" i="12"/>
  <c r="GG325" i="12"/>
  <c r="GH325" i="12"/>
  <c r="GI325" i="12"/>
  <c r="GJ325" i="12"/>
  <c r="GK325" i="12"/>
  <c r="GL325" i="12"/>
  <c r="GM325" i="12"/>
  <c r="GN325" i="12"/>
  <c r="GO325" i="12"/>
  <c r="GP325" i="12"/>
  <c r="GQ325" i="12"/>
  <c r="GR325" i="12"/>
  <c r="GS325" i="12"/>
  <c r="GT325" i="12"/>
  <c r="GU325" i="12"/>
  <c r="GV325" i="12"/>
  <c r="GW325" i="12"/>
  <c r="GX325" i="12"/>
  <c r="GY325" i="12"/>
  <c r="GZ325" i="12"/>
  <c r="HA325" i="12"/>
  <c r="HB325" i="12"/>
  <c r="HC325" i="12"/>
  <c r="HD325" i="12"/>
  <c r="HE325" i="12"/>
  <c r="HF325" i="12"/>
  <c r="HG325" i="12"/>
  <c r="HH325" i="12"/>
  <c r="HI325" i="12"/>
  <c r="HJ325" i="12"/>
  <c r="HK325" i="12"/>
  <c r="HL325" i="12"/>
  <c r="HM325" i="12"/>
  <c r="HN325" i="12"/>
  <c r="HO325" i="12"/>
  <c r="HP325" i="12"/>
  <c r="HQ325" i="12"/>
  <c r="HR325" i="12"/>
  <c r="HS325" i="12"/>
  <c r="HT325" i="12"/>
  <c r="HU325" i="12"/>
  <c r="HV325" i="12"/>
  <c r="HW325" i="12"/>
  <c r="HX325" i="12"/>
  <c r="HY325" i="12"/>
  <c r="HZ325" i="12"/>
  <c r="IA325" i="12"/>
  <c r="IB325" i="12"/>
  <c r="IC325" i="12"/>
  <c r="ID325" i="12"/>
  <c r="IE325" i="12"/>
  <c r="IF325" i="12"/>
  <c r="IG325" i="12"/>
  <c r="IH325" i="12"/>
  <c r="II325" i="12"/>
  <c r="IJ325" i="12"/>
  <c r="IK325" i="12"/>
  <c r="IL325" i="12"/>
  <c r="IM325" i="12"/>
  <c r="IN325" i="12"/>
  <c r="IO325" i="12"/>
  <c r="IP325" i="12"/>
  <c r="IQ325" i="12"/>
  <c r="IR325" i="12"/>
  <c r="IS325" i="12"/>
  <c r="IT325" i="12"/>
  <c r="IU325" i="12"/>
  <c r="IV325" i="12"/>
  <c r="F326" i="12"/>
  <c r="G326" i="12"/>
  <c r="H326" i="12"/>
  <c r="I326" i="12"/>
  <c r="J326" i="12"/>
  <c r="K326" i="12"/>
  <c r="L326" i="12"/>
  <c r="M326" i="12"/>
  <c r="N326" i="12"/>
  <c r="O326" i="12"/>
  <c r="P326" i="12"/>
  <c r="Q326" i="12"/>
  <c r="R326" i="12"/>
  <c r="S326" i="12"/>
  <c r="T326" i="12"/>
  <c r="U326" i="12"/>
  <c r="V326" i="12"/>
  <c r="W326" i="12"/>
  <c r="X326" i="12"/>
  <c r="Y326" i="12"/>
  <c r="Z326" i="12"/>
  <c r="AA326" i="12"/>
  <c r="AB326" i="12"/>
  <c r="AC326" i="12"/>
  <c r="AD326" i="12"/>
  <c r="AE326" i="12"/>
  <c r="AF326" i="12"/>
  <c r="AG326" i="12"/>
  <c r="AH326" i="12"/>
  <c r="AI326" i="12"/>
  <c r="AJ326" i="12"/>
  <c r="AK326" i="12"/>
  <c r="AL326" i="12"/>
  <c r="AM326" i="12"/>
  <c r="AN326" i="12"/>
  <c r="AO326" i="12"/>
  <c r="AP326" i="12"/>
  <c r="AQ326" i="12"/>
  <c r="AR326" i="12"/>
  <c r="AS326" i="12"/>
  <c r="AT326" i="12"/>
  <c r="AU326" i="12"/>
  <c r="AV326" i="12"/>
  <c r="AW326" i="12"/>
  <c r="AX326" i="12"/>
  <c r="AY326" i="12"/>
  <c r="AZ326" i="12"/>
  <c r="BA326" i="12"/>
  <c r="BB326" i="12"/>
  <c r="BC326" i="12"/>
  <c r="BD326" i="12"/>
  <c r="BE326" i="12"/>
  <c r="BF326" i="12"/>
  <c r="BG326" i="12"/>
  <c r="BH326" i="12"/>
  <c r="BI326" i="12"/>
  <c r="BJ326" i="12"/>
  <c r="BK326" i="12"/>
  <c r="BL326" i="12"/>
  <c r="BM326" i="12"/>
  <c r="BN326" i="12"/>
  <c r="BO326" i="12"/>
  <c r="BP326" i="12"/>
  <c r="BQ326" i="12"/>
  <c r="BR326" i="12"/>
  <c r="BS326" i="12"/>
  <c r="BT326" i="12"/>
  <c r="BU326" i="12"/>
  <c r="BV326" i="12"/>
  <c r="BW326" i="12"/>
  <c r="BX326" i="12"/>
  <c r="BY326" i="12"/>
  <c r="BZ326" i="12"/>
  <c r="CA326" i="12"/>
  <c r="CB326" i="12"/>
  <c r="CC326" i="12"/>
  <c r="CD326" i="12"/>
  <c r="CE326" i="12"/>
  <c r="CF326" i="12"/>
  <c r="CG326" i="12"/>
  <c r="CH326" i="12"/>
  <c r="CI326" i="12"/>
  <c r="CJ326" i="12"/>
  <c r="CK326" i="12"/>
  <c r="CL326" i="12"/>
  <c r="CM326" i="12"/>
  <c r="CN326" i="12"/>
  <c r="CO326" i="12"/>
  <c r="CP326" i="12"/>
  <c r="CQ326" i="12"/>
  <c r="CR326" i="12"/>
  <c r="CS326" i="12"/>
  <c r="CT326" i="12"/>
  <c r="CU326" i="12"/>
  <c r="CV326" i="12"/>
  <c r="CW326" i="12"/>
  <c r="CX326" i="12"/>
  <c r="CY326" i="12"/>
  <c r="CZ326" i="12"/>
  <c r="DA326" i="12"/>
  <c r="DB326" i="12"/>
  <c r="DC326" i="12"/>
  <c r="DD326" i="12"/>
  <c r="DE326" i="12"/>
  <c r="DF326" i="12"/>
  <c r="DG326" i="12"/>
  <c r="DH326" i="12"/>
  <c r="DI326" i="12"/>
  <c r="DJ326" i="12"/>
  <c r="DK326" i="12"/>
  <c r="DL326" i="12"/>
  <c r="DM326" i="12"/>
  <c r="DN326" i="12"/>
  <c r="DO326" i="12"/>
  <c r="DP326" i="12"/>
  <c r="DQ326" i="12"/>
  <c r="DR326" i="12"/>
  <c r="DS326" i="12"/>
  <c r="DT326" i="12"/>
  <c r="DU326" i="12"/>
  <c r="DV326" i="12"/>
  <c r="DW326" i="12"/>
  <c r="DX326" i="12"/>
  <c r="DY326" i="12"/>
  <c r="DZ326" i="12"/>
  <c r="EA326" i="12"/>
  <c r="EB326" i="12"/>
  <c r="EC326" i="12"/>
  <c r="ED326" i="12"/>
  <c r="EE326" i="12"/>
  <c r="EF326" i="12"/>
  <c r="EG326" i="12"/>
  <c r="EH326" i="12"/>
  <c r="EI326" i="12"/>
  <c r="EJ326" i="12"/>
  <c r="EK326" i="12"/>
  <c r="EL326" i="12"/>
  <c r="EM326" i="12"/>
  <c r="EN326" i="12"/>
  <c r="EO326" i="12"/>
  <c r="EP326" i="12"/>
  <c r="EQ326" i="12"/>
  <c r="ER326" i="12"/>
  <c r="ES326" i="12"/>
  <c r="ET326" i="12"/>
  <c r="EU326" i="12"/>
  <c r="EV326" i="12"/>
  <c r="EW326" i="12"/>
  <c r="EX326" i="12"/>
  <c r="EY326" i="12"/>
  <c r="EZ326" i="12"/>
  <c r="FA326" i="12"/>
  <c r="FB326" i="12"/>
  <c r="FC326" i="12"/>
  <c r="FD326" i="12"/>
  <c r="FE326" i="12"/>
  <c r="FF326" i="12"/>
  <c r="FG326" i="12"/>
  <c r="FH326" i="12"/>
  <c r="FI326" i="12"/>
  <c r="FJ326" i="12"/>
  <c r="FK326" i="12"/>
  <c r="FL326" i="12"/>
  <c r="FM326" i="12"/>
  <c r="FN326" i="12"/>
  <c r="FO326" i="12"/>
  <c r="FP326" i="12"/>
  <c r="FQ326" i="12"/>
  <c r="FR326" i="12"/>
  <c r="FS326" i="12"/>
  <c r="FT326" i="12"/>
  <c r="FU326" i="12"/>
  <c r="FV326" i="12"/>
  <c r="FW326" i="12"/>
  <c r="FX326" i="12"/>
  <c r="FY326" i="12"/>
  <c r="FZ326" i="12"/>
  <c r="GA326" i="12"/>
  <c r="GB326" i="12"/>
  <c r="GC326" i="12"/>
  <c r="GD326" i="12"/>
  <c r="GE326" i="12"/>
  <c r="GF326" i="12"/>
  <c r="GG326" i="12"/>
  <c r="GH326" i="12"/>
  <c r="GI326" i="12"/>
  <c r="GJ326" i="12"/>
  <c r="GK326" i="12"/>
  <c r="GL326" i="12"/>
  <c r="GM326" i="12"/>
  <c r="GN326" i="12"/>
  <c r="GO326" i="12"/>
  <c r="GP326" i="12"/>
  <c r="GQ326" i="12"/>
  <c r="GR326" i="12"/>
  <c r="GS326" i="12"/>
  <c r="GT326" i="12"/>
  <c r="GU326" i="12"/>
  <c r="GV326" i="12"/>
  <c r="GW326" i="12"/>
  <c r="GX326" i="12"/>
  <c r="GY326" i="12"/>
  <c r="GZ326" i="12"/>
  <c r="HA326" i="12"/>
  <c r="HB326" i="12"/>
  <c r="HC326" i="12"/>
  <c r="HD326" i="12"/>
  <c r="HE326" i="12"/>
  <c r="HF326" i="12"/>
  <c r="HG326" i="12"/>
  <c r="HH326" i="12"/>
  <c r="HI326" i="12"/>
  <c r="HJ326" i="12"/>
  <c r="HK326" i="12"/>
  <c r="HL326" i="12"/>
  <c r="HM326" i="12"/>
  <c r="HN326" i="12"/>
  <c r="HO326" i="12"/>
  <c r="HP326" i="12"/>
  <c r="HQ326" i="12"/>
  <c r="HR326" i="12"/>
  <c r="HS326" i="12"/>
  <c r="HT326" i="12"/>
  <c r="HU326" i="12"/>
  <c r="HV326" i="12"/>
  <c r="HW326" i="12"/>
  <c r="HX326" i="12"/>
  <c r="HY326" i="12"/>
  <c r="HZ326" i="12"/>
  <c r="IA326" i="12"/>
  <c r="IB326" i="12"/>
  <c r="IC326" i="12"/>
  <c r="ID326" i="12"/>
  <c r="IE326" i="12"/>
  <c r="IF326" i="12"/>
  <c r="IG326" i="12"/>
  <c r="IH326" i="12"/>
  <c r="II326" i="12"/>
  <c r="IJ326" i="12"/>
  <c r="IK326" i="12"/>
  <c r="IL326" i="12"/>
  <c r="IM326" i="12"/>
  <c r="IN326" i="12"/>
  <c r="IO326" i="12"/>
  <c r="IP326" i="12"/>
  <c r="IQ326" i="12"/>
  <c r="IR326" i="12"/>
  <c r="IS326" i="12"/>
  <c r="IT326" i="12"/>
  <c r="IU326" i="12"/>
  <c r="IV326" i="12"/>
  <c r="F327" i="12"/>
  <c r="G327" i="12"/>
  <c r="H327" i="12"/>
  <c r="I327" i="12"/>
  <c r="J327" i="12"/>
  <c r="K327" i="12"/>
  <c r="L327" i="12"/>
  <c r="M327" i="12"/>
  <c r="N327" i="12"/>
  <c r="O327" i="12"/>
  <c r="P327" i="12"/>
  <c r="Q327" i="12"/>
  <c r="R327" i="12"/>
  <c r="S327" i="12"/>
  <c r="T327" i="12"/>
  <c r="U327" i="12"/>
  <c r="V327" i="12"/>
  <c r="W327" i="12"/>
  <c r="X327" i="12"/>
  <c r="Y327" i="12"/>
  <c r="Z327" i="12"/>
  <c r="AA327" i="12"/>
  <c r="AB327" i="12"/>
  <c r="AC327" i="12"/>
  <c r="AD327" i="12"/>
  <c r="AE327" i="12"/>
  <c r="AF327" i="12"/>
  <c r="AG327" i="12"/>
  <c r="AH327" i="12"/>
  <c r="AI327" i="12"/>
  <c r="AJ327" i="12"/>
  <c r="AK327" i="12"/>
  <c r="AL327" i="12"/>
  <c r="AM327" i="12"/>
  <c r="AN327" i="12"/>
  <c r="AO327" i="12"/>
  <c r="AP327" i="12"/>
  <c r="AQ327" i="12"/>
  <c r="AR327" i="12"/>
  <c r="AS327" i="12"/>
  <c r="AT327" i="12"/>
  <c r="AU327" i="12"/>
  <c r="AV327" i="12"/>
  <c r="AW327" i="12"/>
  <c r="AX327" i="12"/>
  <c r="AY327" i="12"/>
  <c r="AZ327" i="12"/>
  <c r="BA327" i="12"/>
  <c r="BB327" i="12"/>
  <c r="BC327" i="12"/>
  <c r="BD327" i="12"/>
  <c r="BE327" i="12"/>
  <c r="BF327" i="12"/>
  <c r="BG327" i="12"/>
  <c r="BH327" i="12"/>
  <c r="BI327" i="12"/>
  <c r="BJ327" i="12"/>
  <c r="BK327" i="12"/>
  <c r="BL327" i="12"/>
  <c r="BM327" i="12"/>
  <c r="BN327" i="12"/>
  <c r="BO327" i="12"/>
  <c r="BP327" i="12"/>
  <c r="BQ327" i="12"/>
  <c r="BR327" i="12"/>
  <c r="BS327" i="12"/>
  <c r="BT327" i="12"/>
  <c r="BU327" i="12"/>
  <c r="BV327" i="12"/>
  <c r="BW327" i="12"/>
  <c r="BX327" i="12"/>
  <c r="BY327" i="12"/>
  <c r="BZ327" i="12"/>
  <c r="CA327" i="12"/>
  <c r="CB327" i="12"/>
  <c r="CC327" i="12"/>
  <c r="CD327" i="12"/>
  <c r="CE327" i="12"/>
  <c r="CF327" i="12"/>
  <c r="CG327" i="12"/>
  <c r="CH327" i="12"/>
  <c r="CI327" i="12"/>
  <c r="CJ327" i="12"/>
  <c r="CK327" i="12"/>
  <c r="CL327" i="12"/>
  <c r="CM327" i="12"/>
  <c r="CN327" i="12"/>
  <c r="CO327" i="12"/>
  <c r="CP327" i="12"/>
  <c r="CQ327" i="12"/>
  <c r="CR327" i="12"/>
  <c r="CS327" i="12"/>
  <c r="CT327" i="12"/>
  <c r="CU327" i="12"/>
  <c r="CV327" i="12"/>
  <c r="CW327" i="12"/>
  <c r="CX327" i="12"/>
  <c r="CY327" i="12"/>
  <c r="CZ327" i="12"/>
  <c r="DA327" i="12"/>
  <c r="DB327" i="12"/>
  <c r="DC327" i="12"/>
  <c r="DD327" i="12"/>
  <c r="DE327" i="12"/>
  <c r="DF327" i="12"/>
  <c r="DG327" i="12"/>
  <c r="DH327" i="12"/>
  <c r="DI327" i="12"/>
  <c r="DJ327" i="12"/>
  <c r="DK327" i="12"/>
  <c r="DL327" i="12"/>
  <c r="DM327" i="12"/>
  <c r="DN327" i="12"/>
  <c r="DO327" i="12"/>
  <c r="DP327" i="12"/>
  <c r="DQ327" i="12"/>
  <c r="DR327" i="12"/>
  <c r="DS327" i="12"/>
  <c r="DT327" i="12"/>
  <c r="DU327" i="12"/>
  <c r="DV327" i="12"/>
  <c r="DW327" i="12"/>
  <c r="DX327" i="12"/>
  <c r="DY327" i="12"/>
  <c r="DZ327" i="12"/>
  <c r="EA327" i="12"/>
  <c r="EB327" i="12"/>
  <c r="EC327" i="12"/>
  <c r="ED327" i="12"/>
  <c r="EE327" i="12"/>
  <c r="EF327" i="12"/>
  <c r="EG327" i="12"/>
  <c r="EH327" i="12"/>
  <c r="EI327" i="12"/>
  <c r="EJ327" i="12"/>
  <c r="EK327" i="12"/>
  <c r="EL327" i="12"/>
  <c r="EM327" i="12"/>
  <c r="EN327" i="12"/>
  <c r="EO327" i="12"/>
  <c r="EP327" i="12"/>
  <c r="EQ327" i="12"/>
  <c r="ER327" i="12"/>
  <c r="ES327" i="12"/>
  <c r="ET327" i="12"/>
  <c r="EU327" i="12"/>
  <c r="EV327" i="12"/>
  <c r="EW327" i="12"/>
  <c r="EX327" i="12"/>
  <c r="EY327" i="12"/>
  <c r="EZ327" i="12"/>
  <c r="FA327" i="12"/>
  <c r="FB327" i="12"/>
  <c r="FC327" i="12"/>
  <c r="FD327" i="12"/>
  <c r="FE327" i="12"/>
  <c r="FF327" i="12"/>
  <c r="FG327" i="12"/>
  <c r="FH327" i="12"/>
  <c r="FI327" i="12"/>
  <c r="FJ327" i="12"/>
  <c r="FK327" i="12"/>
  <c r="FL327" i="12"/>
  <c r="FM327" i="12"/>
  <c r="FN327" i="12"/>
  <c r="FO327" i="12"/>
  <c r="FP327" i="12"/>
  <c r="FQ327" i="12"/>
  <c r="FR327" i="12"/>
  <c r="FS327" i="12"/>
  <c r="FT327" i="12"/>
  <c r="FU327" i="12"/>
  <c r="FV327" i="12"/>
  <c r="FW327" i="12"/>
  <c r="FX327" i="12"/>
  <c r="FY327" i="12"/>
  <c r="FZ327" i="12"/>
  <c r="GA327" i="12"/>
  <c r="GB327" i="12"/>
  <c r="GC327" i="12"/>
  <c r="GD327" i="12"/>
  <c r="GE327" i="12"/>
  <c r="GF327" i="12"/>
  <c r="GG327" i="12"/>
  <c r="GH327" i="12"/>
  <c r="GI327" i="12"/>
  <c r="GJ327" i="12"/>
  <c r="GK327" i="12"/>
  <c r="GL327" i="12"/>
  <c r="GM327" i="12"/>
  <c r="GN327" i="12"/>
  <c r="GO327" i="12"/>
  <c r="GP327" i="12"/>
  <c r="GQ327" i="12"/>
  <c r="GR327" i="12"/>
  <c r="GS327" i="12"/>
  <c r="GT327" i="12"/>
  <c r="GU327" i="12"/>
  <c r="GV327" i="12"/>
  <c r="GW327" i="12"/>
  <c r="GX327" i="12"/>
  <c r="GY327" i="12"/>
  <c r="GZ327" i="12"/>
  <c r="HA327" i="12"/>
  <c r="HB327" i="12"/>
  <c r="HC327" i="12"/>
  <c r="HD327" i="12"/>
  <c r="HE327" i="12"/>
  <c r="HF327" i="12"/>
  <c r="HG327" i="12"/>
  <c r="HH327" i="12"/>
  <c r="HI327" i="12"/>
  <c r="HJ327" i="12"/>
  <c r="HK327" i="12"/>
  <c r="HL327" i="12"/>
  <c r="HM327" i="12"/>
  <c r="HN327" i="12"/>
  <c r="HO327" i="12"/>
  <c r="HP327" i="12"/>
  <c r="HQ327" i="12"/>
  <c r="HR327" i="12"/>
  <c r="HS327" i="12"/>
  <c r="HT327" i="12"/>
  <c r="HU327" i="12"/>
  <c r="HV327" i="12"/>
  <c r="HW327" i="12"/>
  <c r="HX327" i="12"/>
  <c r="HY327" i="12"/>
  <c r="HZ327" i="12"/>
  <c r="IA327" i="12"/>
  <c r="IB327" i="12"/>
  <c r="IC327" i="12"/>
  <c r="ID327" i="12"/>
  <c r="IE327" i="12"/>
  <c r="IF327" i="12"/>
  <c r="IG327" i="12"/>
  <c r="IH327" i="12"/>
  <c r="II327" i="12"/>
  <c r="IJ327" i="12"/>
  <c r="IK327" i="12"/>
  <c r="IL327" i="12"/>
  <c r="IM327" i="12"/>
  <c r="IN327" i="12"/>
  <c r="IO327" i="12"/>
  <c r="IP327" i="12"/>
  <c r="IQ327" i="12"/>
  <c r="IR327" i="12"/>
  <c r="IS327" i="12"/>
  <c r="IT327" i="12"/>
  <c r="IU327" i="12"/>
  <c r="IV327" i="12"/>
  <c r="F328" i="12"/>
  <c r="G328" i="12"/>
  <c r="H328" i="12"/>
  <c r="I328" i="12"/>
  <c r="J328" i="12"/>
  <c r="K328" i="12"/>
  <c r="L328" i="12"/>
  <c r="M328" i="12"/>
  <c r="N328" i="12"/>
  <c r="O328" i="12"/>
  <c r="P328" i="12"/>
  <c r="Q328" i="12"/>
  <c r="R328" i="12"/>
  <c r="S328" i="12"/>
  <c r="T328" i="12"/>
  <c r="U328" i="12"/>
  <c r="V328" i="12"/>
  <c r="W328" i="12"/>
  <c r="X328" i="12"/>
  <c r="Y328" i="12"/>
  <c r="Z328" i="12"/>
  <c r="AA328" i="12"/>
  <c r="AB328" i="12"/>
  <c r="AC328" i="12"/>
  <c r="AD328" i="12"/>
  <c r="AE328" i="12"/>
  <c r="AF328" i="12"/>
  <c r="AG328" i="12"/>
  <c r="AH328" i="12"/>
  <c r="AI328" i="12"/>
  <c r="AJ328" i="12"/>
  <c r="AK328" i="12"/>
  <c r="AL328" i="12"/>
  <c r="AM328" i="12"/>
  <c r="AN328" i="12"/>
  <c r="AO328" i="12"/>
  <c r="AP328" i="12"/>
  <c r="AQ328" i="12"/>
  <c r="AR328" i="12"/>
  <c r="AS328" i="12"/>
  <c r="AT328" i="12"/>
  <c r="AU328" i="12"/>
  <c r="AV328" i="12"/>
  <c r="AW328" i="12"/>
  <c r="AX328" i="12"/>
  <c r="AY328" i="12"/>
  <c r="AZ328" i="12"/>
  <c r="BA328" i="12"/>
  <c r="BB328" i="12"/>
  <c r="BC328" i="12"/>
  <c r="BD328" i="12"/>
  <c r="BE328" i="12"/>
  <c r="BF328" i="12"/>
  <c r="BG328" i="12"/>
  <c r="BH328" i="12"/>
  <c r="BI328" i="12"/>
  <c r="BJ328" i="12"/>
  <c r="BK328" i="12"/>
  <c r="BL328" i="12"/>
  <c r="BM328" i="12"/>
  <c r="BN328" i="12"/>
  <c r="BO328" i="12"/>
  <c r="BP328" i="12"/>
  <c r="BQ328" i="12"/>
  <c r="BR328" i="12"/>
  <c r="BS328" i="12"/>
  <c r="BT328" i="12"/>
  <c r="BU328" i="12"/>
  <c r="BV328" i="12"/>
  <c r="BW328" i="12"/>
  <c r="BX328" i="12"/>
  <c r="BY328" i="12"/>
  <c r="BZ328" i="12"/>
  <c r="CA328" i="12"/>
  <c r="CB328" i="12"/>
  <c r="CC328" i="12"/>
  <c r="CD328" i="12"/>
  <c r="CE328" i="12"/>
  <c r="CF328" i="12"/>
  <c r="CG328" i="12"/>
  <c r="CH328" i="12"/>
  <c r="CI328" i="12"/>
  <c r="CJ328" i="12"/>
  <c r="CK328" i="12"/>
  <c r="CL328" i="12"/>
  <c r="CM328" i="12"/>
  <c r="CN328" i="12"/>
  <c r="CO328" i="12"/>
  <c r="CP328" i="12"/>
  <c r="CQ328" i="12"/>
  <c r="CR328" i="12"/>
  <c r="CS328" i="12"/>
  <c r="CT328" i="12"/>
  <c r="CU328" i="12"/>
  <c r="CV328" i="12"/>
  <c r="CW328" i="12"/>
  <c r="CX328" i="12"/>
  <c r="CY328" i="12"/>
  <c r="CZ328" i="12"/>
  <c r="DA328" i="12"/>
  <c r="DB328" i="12"/>
  <c r="DC328" i="12"/>
  <c r="DD328" i="12"/>
  <c r="DE328" i="12"/>
  <c r="DF328" i="12"/>
  <c r="DG328" i="12"/>
  <c r="DH328" i="12"/>
  <c r="DI328" i="12"/>
  <c r="DJ328" i="12"/>
  <c r="DK328" i="12"/>
  <c r="DL328" i="12"/>
  <c r="DM328" i="12"/>
  <c r="DN328" i="12"/>
  <c r="DO328" i="12"/>
  <c r="DP328" i="12"/>
  <c r="DQ328" i="12"/>
  <c r="DR328" i="12"/>
  <c r="DS328" i="12"/>
  <c r="DT328" i="12"/>
  <c r="DU328" i="12"/>
  <c r="DV328" i="12"/>
  <c r="DW328" i="12"/>
  <c r="DX328" i="12"/>
  <c r="DY328" i="12"/>
  <c r="DZ328" i="12"/>
  <c r="EA328" i="12"/>
  <c r="EB328" i="12"/>
  <c r="EC328" i="12"/>
  <c r="ED328" i="12"/>
  <c r="EE328" i="12"/>
  <c r="EF328" i="12"/>
  <c r="EG328" i="12"/>
  <c r="EH328" i="12"/>
  <c r="EI328" i="12"/>
  <c r="EJ328" i="12"/>
  <c r="EK328" i="12"/>
  <c r="EL328" i="12"/>
  <c r="EM328" i="12"/>
  <c r="EN328" i="12"/>
  <c r="EO328" i="12"/>
  <c r="EP328" i="12"/>
  <c r="EQ328" i="12"/>
  <c r="ER328" i="12"/>
  <c r="ES328" i="12"/>
  <c r="ET328" i="12"/>
  <c r="EU328" i="12"/>
  <c r="EV328" i="12"/>
  <c r="EW328" i="12"/>
  <c r="EX328" i="12"/>
  <c r="EY328" i="12"/>
  <c r="EZ328" i="12"/>
  <c r="FA328" i="12"/>
  <c r="FB328" i="12"/>
  <c r="FC328" i="12"/>
  <c r="FD328" i="12"/>
  <c r="FE328" i="12"/>
  <c r="FF328" i="12"/>
  <c r="FG328" i="12"/>
  <c r="FH328" i="12"/>
  <c r="FI328" i="12"/>
  <c r="FJ328" i="12"/>
  <c r="FK328" i="12"/>
  <c r="FL328" i="12"/>
  <c r="FM328" i="12"/>
  <c r="FN328" i="12"/>
  <c r="FO328" i="12"/>
  <c r="FP328" i="12"/>
  <c r="FQ328" i="12"/>
  <c r="FR328" i="12"/>
  <c r="FS328" i="12"/>
  <c r="FT328" i="12"/>
  <c r="FU328" i="12"/>
  <c r="FV328" i="12"/>
  <c r="FW328" i="12"/>
  <c r="FX328" i="12"/>
  <c r="FY328" i="12"/>
  <c r="FZ328" i="12"/>
  <c r="GA328" i="12"/>
  <c r="GB328" i="12"/>
  <c r="GC328" i="12"/>
  <c r="GD328" i="12"/>
  <c r="GE328" i="12"/>
  <c r="GF328" i="12"/>
  <c r="GG328" i="12"/>
  <c r="GH328" i="12"/>
  <c r="GI328" i="12"/>
  <c r="GJ328" i="12"/>
  <c r="GK328" i="12"/>
  <c r="GL328" i="12"/>
  <c r="GM328" i="12"/>
  <c r="GN328" i="12"/>
  <c r="GO328" i="12"/>
  <c r="GP328" i="12"/>
  <c r="GQ328" i="12"/>
  <c r="GR328" i="12"/>
  <c r="GS328" i="12"/>
  <c r="GT328" i="12"/>
  <c r="GU328" i="12"/>
  <c r="GV328" i="12"/>
  <c r="GW328" i="12"/>
  <c r="GX328" i="12"/>
  <c r="GY328" i="12"/>
  <c r="GZ328" i="12"/>
  <c r="HA328" i="12"/>
  <c r="HB328" i="12"/>
  <c r="HC328" i="12"/>
  <c r="HD328" i="12"/>
  <c r="HE328" i="12"/>
  <c r="HF328" i="12"/>
  <c r="HG328" i="12"/>
  <c r="HH328" i="12"/>
  <c r="HI328" i="12"/>
  <c r="HJ328" i="12"/>
  <c r="HK328" i="12"/>
  <c r="HL328" i="12"/>
  <c r="HM328" i="12"/>
  <c r="HN328" i="12"/>
  <c r="HO328" i="12"/>
  <c r="HP328" i="12"/>
  <c r="HQ328" i="12"/>
  <c r="HR328" i="12"/>
  <c r="HS328" i="12"/>
  <c r="HT328" i="12"/>
  <c r="HU328" i="12"/>
  <c r="HV328" i="12"/>
  <c r="HW328" i="12"/>
  <c r="HX328" i="12"/>
  <c r="HY328" i="12"/>
  <c r="HZ328" i="12"/>
  <c r="IA328" i="12"/>
  <c r="IB328" i="12"/>
  <c r="IC328" i="12"/>
  <c r="ID328" i="12"/>
  <c r="IE328" i="12"/>
  <c r="IF328" i="12"/>
  <c r="IG328" i="12"/>
  <c r="IH328" i="12"/>
  <c r="II328" i="12"/>
  <c r="IJ328" i="12"/>
  <c r="IK328" i="12"/>
  <c r="IL328" i="12"/>
  <c r="IM328" i="12"/>
  <c r="IN328" i="12"/>
  <c r="IO328" i="12"/>
  <c r="IP328" i="12"/>
  <c r="IQ328" i="12"/>
  <c r="IR328" i="12"/>
  <c r="IS328" i="12"/>
  <c r="IT328" i="12"/>
  <c r="IU328" i="12"/>
  <c r="IV328" i="12"/>
  <c r="F329" i="12"/>
  <c r="G329" i="12"/>
  <c r="H329" i="12"/>
  <c r="I329" i="12"/>
  <c r="J329" i="12"/>
  <c r="K329" i="12"/>
  <c r="L329" i="12"/>
  <c r="M329" i="12"/>
  <c r="N329" i="12"/>
  <c r="O329" i="12"/>
  <c r="P329" i="12"/>
  <c r="Q329" i="12"/>
  <c r="R329" i="12"/>
  <c r="S329" i="12"/>
  <c r="T329" i="12"/>
  <c r="U329" i="12"/>
  <c r="V329" i="12"/>
  <c r="W329" i="12"/>
  <c r="X329" i="12"/>
  <c r="Y329" i="12"/>
  <c r="Z329" i="12"/>
  <c r="AA329" i="12"/>
  <c r="AB329" i="12"/>
  <c r="AC329" i="12"/>
  <c r="AD329" i="12"/>
  <c r="AE329" i="12"/>
  <c r="AF329" i="12"/>
  <c r="AG329" i="12"/>
  <c r="AH329" i="12"/>
  <c r="AI329" i="12"/>
  <c r="AJ329" i="12"/>
  <c r="AK329" i="12"/>
  <c r="AL329" i="12"/>
  <c r="AM329" i="12"/>
  <c r="AN329" i="12"/>
  <c r="AO329" i="12"/>
  <c r="AP329" i="12"/>
  <c r="AQ329" i="12"/>
  <c r="AR329" i="12"/>
  <c r="AS329" i="12"/>
  <c r="AT329" i="12"/>
  <c r="AU329" i="12"/>
  <c r="AV329" i="12"/>
  <c r="AW329" i="12"/>
  <c r="AX329" i="12"/>
  <c r="AY329" i="12"/>
  <c r="AZ329" i="12"/>
  <c r="BA329" i="12"/>
  <c r="BB329" i="12"/>
  <c r="BC329" i="12"/>
  <c r="BD329" i="12"/>
  <c r="BE329" i="12"/>
  <c r="BF329" i="12"/>
  <c r="BG329" i="12"/>
  <c r="BH329" i="12"/>
  <c r="BI329" i="12"/>
  <c r="BJ329" i="12"/>
  <c r="BK329" i="12"/>
  <c r="BL329" i="12"/>
  <c r="BM329" i="12"/>
  <c r="BN329" i="12"/>
  <c r="BO329" i="12"/>
  <c r="BP329" i="12"/>
  <c r="BQ329" i="12"/>
  <c r="BR329" i="12"/>
  <c r="BS329" i="12"/>
  <c r="BT329" i="12"/>
  <c r="BU329" i="12"/>
  <c r="BV329" i="12"/>
  <c r="BW329" i="12"/>
  <c r="BX329" i="12"/>
  <c r="BY329" i="12"/>
  <c r="BZ329" i="12"/>
  <c r="CA329" i="12"/>
  <c r="CB329" i="12"/>
  <c r="CC329" i="12"/>
  <c r="CD329" i="12"/>
  <c r="CE329" i="12"/>
  <c r="CF329" i="12"/>
  <c r="CG329" i="12"/>
  <c r="CH329" i="12"/>
  <c r="CI329" i="12"/>
  <c r="CJ329" i="12"/>
  <c r="CK329" i="12"/>
  <c r="CL329" i="12"/>
  <c r="CM329" i="12"/>
  <c r="CN329" i="12"/>
  <c r="CO329" i="12"/>
  <c r="CP329" i="12"/>
  <c r="CQ329" i="12"/>
  <c r="CR329" i="12"/>
  <c r="CS329" i="12"/>
  <c r="CT329" i="12"/>
  <c r="CU329" i="12"/>
  <c r="CV329" i="12"/>
  <c r="CW329" i="12"/>
  <c r="CX329" i="12"/>
  <c r="CY329" i="12"/>
  <c r="CZ329" i="12"/>
  <c r="DA329" i="12"/>
  <c r="DB329" i="12"/>
  <c r="DC329" i="12"/>
  <c r="DD329" i="12"/>
  <c r="DE329" i="12"/>
  <c r="DF329" i="12"/>
  <c r="DG329" i="12"/>
  <c r="DH329" i="12"/>
  <c r="DI329" i="12"/>
  <c r="DJ329" i="12"/>
  <c r="DK329" i="12"/>
  <c r="DL329" i="12"/>
  <c r="DM329" i="12"/>
  <c r="DN329" i="12"/>
  <c r="DO329" i="12"/>
  <c r="DP329" i="12"/>
  <c r="DQ329" i="12"/>
  <c r="DR329" i="12"/>
  <c r="DS329" i="12"/>
  <c r="DT329" i="12"/>
  <c r="DU329" i="12"/>
  <c r="DV329" i="12"/>
  <c r="DW329" i="12"/>
  <c r="DX329" i="12"/>
  <c r="DY329" i="12"/>
  <c r="DZ329" i="12"/>
  <c r="EA329" i="12"/>
  <c r="EB329" i="12"/>
  <c r="EC329" i="12"/>
  <c r="ED329" i="12"/>
  <c r="EE329" i="12"/>
  <c r="EF329" i="12"/>
  <c r="EG329" i="12"/>
  <c r="EH329" i="12"/>
  <c r="EI329" i="12"/>
  <c r="EJ329" i="12"/>
  <c r="EK329" i="12"/>
  <c r="EL329" i="12"/>
  <c r="EM329" i="12"/>
  <c r="EN329" i="12"/>
  <c r="EO329" i="12"/>
  <c r="EP329" i="12"/>
  <c r="EQ329" i="12"/>
  <c r="ER329" i="12"/>
  <c r="ES329" i="12"/>
  <c r="ET329" i="12"/>
  <c r="EU329" i="12"/>
  <c r="EV329" i="12"/>
  <c r="EW329" i="12"/>
  <c r="EX329" i="12"/>
  <c r="EY329" i="12"/>
  <c r="EZ329" i="12"/>
  <c r="FA329" i="12"/>
  <c r="FB329" i="12"/>
  <c r="FC329" i="12"/>
  <c r="FD329" i="12"/>
  <c r="FE329" i="12"/>
  <c r="FF329" i="12"/>
  <c r="FG329" i="12"/>
  <c r="FH329" i="12"/>
  <c r="FI329" i="12"/>
  <c r="FJ329" i="12"/>
  <c r="FK329" i="12"/>
  <c r="FL329" i="12"/>
  <c r="FM329" i="12"/>
  <c r="FN329" i="12"/>
  <c r="FO329" i="12"/>
  <c r="FP329" i="12"/>
  <c r="FQ329" i="12"/>
  <c r="FR329" i="12"/>
  <c r="FS329" i="12"/>
  <c r="FT329" i="12"/>
  <c r="FU329" i="12"/>
  <c r="FV329" i="12"/>
  <c r="FW329" i="12"/>
  <c r="FX329" i="12"/>
  <c r="FY329" i="12"/>
  <c r="FZ329" i="12"/>
  <c r="GA329" i="12"/>
  <c r="GB329" i="12"/>
  <c r="GC329" i="12"/>
  <c r="GD329" i="12"/>
  <c r="GE329" i="12"/>
  <c r="GF329" i="12"/>
  <c r="GG329" i="12"/>
  <c r="GH329" i="12"/>
  <c r="GI329" i="12"/>
  <c r="GJ329" i="12"/>
  <c r="GK329" i="12"/>
  <c r="GL329" i="12"/>
  <c r="GM329" i="12"/>
  <c r="GN329" i="12"/>
  <c r="GO329" i="12"/>
  <c r="GP329" i="12"/>
  <c r="GQ329" i="12"/>
  <c r="GR329" i="12"/>
  <c r="GS329" i="12"/>
  <c r="GT329" i="12"/>
  <c r="GU329" i="12"/>
  <c r="GV329" i="12"/>
  <c r="GW329" i="12"/>
  <c r="GX329" i="12"/>
  <c r="GY329" i="12"/>
  <c r="GZ329" i="12"/>
  <c r="HA329" i="12"/>
  <c r="HB329" i="12"/>
  <c r="HC329" i="12"/>
  <c r="HD329" i="12"/>
  <c r="HE329" i="12"/>
  <c r="HF329" i="12"/>
  <c r="HG329" i="12"/>
  <c r="HH329" i="12"/>
  <c r="HI329" i="12"/>
  <c r="HJ329" i="12"/>
  <c r="HK329" i="12"/>
  <c r="HL329" i="12"/>
  <c r="HM329" i="12"/>
  <c r="HN329" i="12"/>
  <c r="HO329" i="12"/>
  <c r="HP329" i="12"/>
  <c r="HQ329" i="12"/>
  <c r="HR329" i="12"/>
  <c r="HS329" i="12"/>
  <c r="HT329" i="12"/>
  <c r="HU329" i="12"/>
  <c r="HV329" i="12"/>
  <c r="HW329" i="12"/>
  <c r="HX329" i="12"/>
  <c r="HY329" i="12"/>
  <c r="HZ329" i="12"/>
  <c r="IA329" i="12"/>
  <c r="IB329" i="12"/>
  <c r="IC329" i="12"/>
  <c r="ID329" i="12"/>
  <c r="IE329" i="12"/>
  <c r="IF329" i="12"/>
  <c r="IG329" i="12"/>
  <c r="IH329" i="12"/>
  <c r="II329" i="12"/>
  <c r="IJ329" i="12"/>
  <c r="IK329" i="12"/>
  <c r="IL329" i="12"/>
  <c r="IM329" i="12"/>
  <c r="IN329" i="12"/>
  <c r="IO329" i="12"/>
  <c r="IP329" i="12"/>
  <c r="IQ329" i="12"/>
  <c r="IR329" i="12"/>
  <c r="IS329" i="12"/>
  <c r="IT329" i="12"/>
  <c r="IU329" i="12"/>
  <c r="IV329" i="12"/>
  <c r="F330" i="12"/>
  <c r="G330" i="12"/>
  <c r="H330" i="12"/>
  <c r="I330" i="12"/>
  <c r="J330" i="12"/>
  <c r="K330" i="12"/>
  <c r="L330" i="12"/>
  <c r="M330" i="12"/>
  <c r="N330" i="12"/>
  <c r="O330" i="12"/>
  <c r="P330" i="12"/>
  <c r="Q330" i="12"/>
  <c r="R330" i="12"/>
  <c r="S330" i="12"/>
  <c r="T330" i="12"/>
  <c r="U330" i="12"/>
  <c r="V330" i="12"/>
  <c r="W330" i="12"/>
  <c r="X330" i="12"/>
  <c r="Y330" i="12"/>
  <c r="Z330" i="12"/>
  <c r="AA330" i="12"/>
  <c r="AB330" i="12"/>
  <c r="AC330" i="12"/>
  <c r="AD330" i="12"/>
  <c r="AE330" i="12"/>
  <c r="AF330" i="12"/>
  <c r="AG330" i="12"/>
  <c r="AH330" i="12"/>
  <c r="AI330" i="12"/>
  <c r="AJ330" i="12"/>
  <c r="AK330" i="12"/>
  <c r="AL330" i="12"/>
  <c r="AM330" i="12"/>
  <c r="AN330" i="12"/>
  <c r="AO330" i="12"/>
  <c r="AP330" i="12"/>
  <c r="AQ330" i="12"/>
  <c r="AR330" i="12"/>
  <c r="AS330" i="12"/>
  <c r="AT330" i="12"/>
  <c r="AU330" i="12"/>
  <c r="AV330" i="12"/>
  <c r="AW330" i="12"/>
  <c r="AX330" i="12"/>
  <c r="AY330" i="12"/>
  <c r="AZ330" i="12"/>
  <c r="BA330" i="12"/>
  <c r="BB330" i="12"/>
  <c r="BC330" i="12"/>
  <c r="BD330" i="12"/>
  <c r="BE330" i="12"/>
  <c r="BF330" i="12"/>
  <c r="BG330" i="12"/>
  <c r="BH330" i="12"/>
  <c r="BI330" i="12"/>
  <c r="BJ330" i="12"/>
  <c r="BK330" i="12"/>
  <c r="BL330" i="12"/>
  <c r="BM330" i="12"/>
  <c r="BN330" i="12"/>
  <c r="BO330" i="12"/>
  <c r="BP330" i="12"/>
  <c r="BQ330" i="12"/>
  <c r="BR330" i="12"/>
  <c r="BS330" i="12"/>
  <c r="BT330" i="12"/>
  <c r="BU330" i="12"/>
  <c r="BV330" i="12"/>
  <c r="BW330" i="12"/>
  <c r="BX330" i="12"/>
  <c r="BY330" i="12"/>
  <c r="BZ330" i="12"/>
  <c r="CA330" i="12"/>
  <c r="CB330" i="12"/>
  <c r="CC330" i="12"/>
  <c r="CD330" i="12"/>
  <c r="CE330" i="12"/>
  <c r="CF330" i="12"/>
  <c r="CG330" i="12"/>
  <c r="CH330" i="12"/>
  <c r="CI330" i="12"/>
  <c r="CJ330" i="12"/>
  <c r="CK330" i="12"/>
  <c r="CL330" i="12"/>
  <c r="CM330" i="12"/>
  <c r="CN330" i="12"/>
  <c r="CO330" i="12"/>
  <c r="CP330" i="12"/>
  <c r="CQ330" i="12"/>
  <c r="CR330" i="12"/>
  <c r="CS330" i="12"/>
  <c r="CT330" i="12"/>
  <c r="CU330" i="12"/>
  <c r="CV330" i="12"/>
  <c r="CW330" i="12"/>
  <c r="CX330" i="12"/>
  <c r="CY330" i="12"/>
  <c r="CZ330" i="12"/>
  <c r="DA330" i="12"/>
  <c r="DB330" i="12"/>
  <c r="DC330" i="12"/>
  <c r="DD330" i="12"/>
  <c r="DE330" i="12"/>
  <c r="DF330" i="12"/>
  <c r="DG330" i="12"/>
  <c r="DH330" i="12"/>
  <c r="DI330" i="12"/>
  <c r="DJ330" i="12"/>
  <c r="DK330" i="12"/>
  <c r="DL330" i="12"/>
  <c r="DM330" i="12"/>
  <c r="DN330" i="12"/>
  <c r="DO330" i="12"/>
  <c r="DP330" i="12"/>
  <c r="DQ330" i="12"/>
  <c r="DR330" i="12"/>
  <c r="DS330" i="12"/>
  <c r="DT330" i="12"/>
  <c r="DU330" i="12"/>
  <c r="DV330" i="12"/>
  <c r="DW330" i="12"/>
  <c r="DX330" i="12"/>
  <c r="DY330" i="12"/>
  <c r="DZ330" i="12"/>
  <c r="EA330" i="12"/>
  <c r="EB330" i="12"/>
  <c r="EC330" i="12"/>
  <c r="ED330" i="12"/>
  <c r="EE330" i="12"/>
  <c r="EF330" i="12"/>
  <c r="EG330" i="12"/>
  <c r="EH330" i="12"/>
  <c r="EI330" i="12"/>
  <c r="EJ330" i="12"/>
  <c r="EK330" i="12"/>
  <c r="EL330" i="12"/>
  <c r="EM330" i="12"/>
  <c r="EN330" i="12"/>
  <c r="EO330" i="12"/>
  <c r="EP330" i="12"/>
  <c r="EQ330" i="12"/>
  <c r="ER330" i="12"/>
  <c r="ES330" i="12"/>
  <c r="ET330" i="12"/>
  <c r="EU330" i="12"/>
  <c r="EV330" i="12"/>
  <c r="EW330" i="12"/>
  <c r="EX330" i="12"/>
  <c r="EY330" i="12"/>
  <c r="EZ330" i="12"/>
  <c r="FA330" i="12"/>
  <c r="FB330" i="12"/>
  <c r="FC330" i="12"/>
  <c r="FD330" i="12"/>
  <c r="FE330" i="12"/>
  <c r="FF330" i="12"/>
  <c r="FG330" i="12"/>
  <c r="FH330" i="12"/>
  <c r="FI330" i="12"/>
  <c r="FJ330" i="12"/>
  <c r="FK330" i="12"/>
  <c r="FL330" i="12"/>
  <c r="FM330" i="12"/>
  <c r="FN330" i="12"/>
  <c r="FO330" i="12"/>
  <c r="FP330" i="12"/>
  <c r="FQ330" i="12"/>
  <c r="FR330" i="12"/>
  <c r="FS330" i="12"/>
  <c r="FT330" i="12"/>
  <c r="FU330" i="12"/>
  <c r="FV330" i="12"/>
  <c r="FW330" i="12"/>
  <c r="FX330" i="12"/>
  <c r="FY330" i="12"/>
  <c r="FZ330" i="12"/>
  <c r="GA330" i="12"/>
  <c r="GB330" i="12"/>
  <c r="GC330" i="12"/>
  <c r="GD330" i="12"/>
  <c r="GE330" i="12"/>
  <c r="GF330" i="12"/>
  <c r="GG330" i="12"/>
  <c r="GH330" i="12"/>
  <c r="GI330" i="12"/>
  <c r="GJ330" i="12"/>
  <c r="GK330" i="12"/>
  <c r="GL330" i="12"/>
  <c r="GM330" i="12"/>
  <c r="GN330" i="12"/>
  <c r="GO330" i="12"/>
  <c r="GP330" i="12"/>
  <c r="GQ330" i="12"/>
  <c r="GR330" i="12"/>
  <c r="GS330" i="12"/>
  <c r="GT330" i="12"/>
  <c r="GU330" i="12"/>
  <c r="GV330" i="12"/>
  <c r="GW330" i="12"/>
  <c r="GX330" i="12"/>
  <c r="GY330" i="12"/>
  <c r="GZ330" i="12"/>
  <c r="HA330" i="12"/>
  <c r="HB330" i="12"/>
  <c r="HC330" i="12"/>
  <c r="HD330" i="12"/>
  <c r="HE330" i="12"/>
  <c r="HF330" i="12"/>
  <c r="HG330" i="12"/>
  <c r="HH330" i="12"/>
  <c r="HI330" i="12"/>
  <c r="HJ330" i="12"/>
  <c r="HK330" i="12"/>
  <c r="HL330" i="12"/>
  <c r="HM330" i="12"/>
  <c r="HN330" i="12"/>
  <c r="HO330" i="12"/>
  <c r="HP330" i="12"/>
  <c r="HQ330" i="12"/>
  <c r="HR330" i="12"/>
  <c r="HS330" i="12"/>
  <c r="HT330" i="12"/>
  <c r="HU330" i="12"/>
  <c r="HV330" i="12"/>
  <c r="HW330" i="12"/>
  <c r="HX330" i="12"/>
  <c r="HY330" i="12"/>
  <c r="HZ330" i="12"/>
  <c r="IA330" i="12"/>
  <c r="IB330" i="12"/>
  <c r="IC330" i="12"/>
  <c r="ID330" i="12"/>
  <c r="IE330" i="12"/>
  <c r="IF330" i="12"/>
  <c r="IG330" i="12"/>
  <c r="IH330" i="12"/>
  <c r="II330" i="12"/>
  <c r="IJ330" i="12"/>
  <c r="IK330" i="12"/>
  <c r="IL330" i="12"/>
  <c r="IM330" i="12"/>
  <c r="IN330" i="12"/>
  <c r="IO330" i="12"/>
  <c r="IP330" i="12"/>
  <c r="IQ330" i="12"/>
  <c r="IR330" i="12"/>
  <c r="IS330" i="12"/>
  <c r="IT330" i="12"/>
  <c r="IU330" i="12"/>
  <c r="IV330" i="12"/>
  <c r="F331" i="12"/>
  <c r="G331" i="12"/>
  <c r="H331" i="12"/>
  <c r="I331" i="12"/>
  <c r="J331" i="12"/>
  <c r="K331" i="12"/>
  <c r="L331" i="12"/>
  <c r="M331" i="12"/>
  <c r="N331" i="12"/>
  <c r="O331" i="12"/>
  <c r="P331" i="12"/>
  <c r="Q331" i="12"/>
  <c r="R331" i="12"/>
  <c r="S331" i="12"/>
  <c r="T331" i="12"/>
  <c r="U331" i="12"/>
  <c r="V331" i="12"/>
  <c r="W331" i="12"/>
  <c r="X331" i="12"/>
  <c r="Y331" i="12"/>
  <c r="Z331" i="12"/>
  <c r="AA331" i="12"/>
  <c r="AB331" i="12"/>
  <c r="AC331" i="12"/>
  <c r="AD331" i="12"/>
  <c r="AE331" i="12"/>
  <c r="AF331" i="12"/>
  <c r="AG331" i="12"/>
  <c r="AH331" i="12"/>
  <c r="AI331" i="12"/>
  <c r="AJ331" i="12"/>
  <c r="AK331" i="12"/>
  <c r="AL331" i="12"/>
  <c r="AM331" i="12"/>
  <c r="AN331" i="12"/>
  <c r="AO331" i="12"/>
  <c r="AP331" i="12"/>
  <c r="AQ331" i="12"/>
  <c r="AR331" i="12"/>
  <c r="AS331" i="12"/>
  <c r="AT331" i="12"/>
  <c r="AU331" i="12"/>
  <c r="AV331" i="12"/>
  <c r="AW331" i="12"/>
  <c r="AX331" i="12"/>
  <c r="AY331" i="12"/>
  <c r="AZ331" i="12"/>
  <c r="BA331" i="12"/>
  <c r="BB331" i="12"/>
  <c r="BC331" i="12"/>
  <c r="BD331" i="12"/>
  <c r="BE331" i="12"/>
  <c r="BF331" i="12"/>
  <c r="BG331" i="12"/>
  <c r="BH331" i="12"/>
  <c r="BI331" i="12"/>
  <c r="BJ331" i="12"/>
  <c r="BK331" i="12"/>
  <c r="BL331" i="12"/>
  <c r="BM331" i="12"/>
  <c r="BN331" i="12"/>
  <c r="BO331" i="12"/>
  <c r="BP331" i="12"/>
  <c r="BQ331" i="12"/>
  <c r="BR331" i="12"/>
  <c r="BS331" i="12"/>
  <c r="BT331" i="12"/>
  <c r="BU331" i="12"/>
  <c r="BV331" i="12"/>
  <c r="BW331" i="12"/>
  <c r="BX331" i="12"/>
  <c r="BY331" i="12"/>
  <c r="BZ331" i="12"/>
  <c r="CA331" i="12"/>
  <c r="CB331" i="12"/>
  <c r="CC331" i="12"/>
  <c r="CD331" i="12"/>
  <c r="CE331" i="12"/>
  <c r="CF331" i="12"/>
  <c r="CG331" i="12"/>
  <c r="CH331" i="12"/>
  <c r="CI331" i="12"/>
  <c r="CJ331" i="12"/>
  <c r="CK331" i="12"/>
  <c r="CL331" i="12"/>
  <c r="CM331" i="12"/>
  <c r="CN331" i="12"/>
  <c r="CO331" i="12"/>
  <c r="CP331" i="12"/>
  <c r="CQ331" i="12"/>
  <c r="CR331" i="12"/>
  <c r="CS331" i="12"/>
  <c r="CT331" i="12"/>
  <c r="CU331" i="12"/>
  <c r="CV331" i="12"/>
  <c r="CW331" i="12"/>
  <c r="CX331" i="12"/>
  <c r="CY331" i="12"/>
  <c r="CZ331" i="12"/>
  <c r="DA331" i="12"/>
  <c r="DB331" i="12"/>
  <c r="DC331" i="12"/>
  <c r="DD331" i="12"/>
  <c r="DE331" i="12"/>
  <c r="DF331" i="12"/>
  <c r="DG331" i="12"/>
  <c r="DH331" i="12"/>
  <c r="DI331" i="12"/>
  <c r="DJ331" i="12"/>
  <c r="DK331" i="12"/>
  <c r="DL331" i="12"/>
  <c r="DM331" i="12"/>
  <c r="DN331" i="12"/>
  <c r="DO331" i="12"/>
  <c r="DP331" i="12"/>
  <c r="DQ331" i="12"/>
  <c r="DR331" i="12"/>
  <c r="DS331" i="12"/>
  <c r="DT331" i="12"/>
  <c r="DU331" i="12"/>
  <c r="DV331" i="12"/>
  <c r="DW331" i="12"/>
  <c r="DX331" i="12"/>
  <c r="DY331" i="12"/>
  <c r="DZ331" i="12"/>
  <c r="EA331" i="12"/>
  <c r="EB331" i="12"/>
  <c r="EC331" i="12"/>
  <c r="ED331" i="12"/>
  <c r="EE331" i="12"/>
  <c r="EF331" i="12"/>
  <c r="EG331" i="12"/>
  <c r="EH331" i="12"/>
  <c r="EI331" i="12"/>
  <c r="EJ331" i="12"/>
  <c r="EK331" i="12"/>
  <c r="EL331" i="12"/>
  <c r="EM331" i="12"/>
  <c r="EN331" i="12"/>
  <c r="EO331" i="12"/>
  <c r="EP331" i="12"/>
  <c r="EQ331" i="12"/>
  <c r="ER331" i="12"/>
  <c r="ES331" i="12"/>
  <c r="ET331" i="12"/>
  <c r="EU331" i="12"/>
  <c r="EV331" i="12"/>
  <c r="EW331" i="12"/>
  <c r="EX331" i="12"/>
  <c r="EY331" i="12"/>
  <c r="EZ331" i="12"/>
  <c r="FA331" i="12"/>
  <c r="FB331" i="12"/>
  <c r="FC331" i="12"/>
  <c r="FD331" i="12"/>
  <c r="FE331" i="12"/>
  <c r="FF331" i="12"/>
  <c r="FG331" i="12"/>
  <c r="FH331" i="12"/>
  <c r="FI331" i="12"/>
  <c r="FJ331" i="12"/>
  <c r="FK331" i="12"/>
  <c r="FL331" i="12"/>
  <c r="FM331" i="12"/>
  <c r="FN331" i="12"/>
  <c r="FO331" i="12"/>
  <c r="FP331" i="12"/>
  <c r="FQ331" i="12"/>
  <c r="FR331" i="12"/>
  <c r="FS331" i="12"/>
  <c r="FT331" i="12"/>
  <c r="FU331" i="12"/>
  <c r="FV331" i="12"/>
  <c r="FW331" i="12"/>
  <c r="FX331" i="12"/>
  <c r="FY331" i="12"/>
  <c r="FZ331" i="12"/>
  <c r="GA331" i="12"/>
  <c r="GB331" i="12"/>
  <c r="GC331" i="12"/>
  <c r="GD331" i="12"/>
  <c r="GE331" i="12"/>
  <c r="GF331" i="12"/>
  <c r="GG331" i="12"/>
  <c r="GH331" i="12"/>
  <c r="GI331" i="12"/>
  <c r="GJ331" i="12"/>
  <c r="GK331" i="12"/>
  <c r="GL331" i="12"/>
  <c r="GM331" i="12"/>
  <c r="GN331" i="12"/>
  <c r="GO331" i="12"/>
  <c r="GP331" i="12"/>
  <c r="GQ331" i="12"/>
  <c r="GR331" i="12"/>
  <c r="GS331" i="12"/>
  <c r="GT331" i="12"/>
  <c r="GU331" i="12"/>
  <c r="GV331" i="12"/>
  <c r="GW331" i="12"/>
  <c r="GX331" i="12"/>
  <c r="GY331" i="12"/>
  <c r="GZ331" i="12"/>
  <c r="HA331" i="12"/>
  <c r="HB331" i="12"/>
  <c r="HC331" i="12"/>
  <c r="HD331" i="12"/>
  <c r="HE331" i="12"/>
  <c r="HF331" i="12"/>
  <c r="HG331" i="12"/>
  <c r="HH331" i="12"/>
  <c r="HI331" i="12"/>
  <c r="HJ331" i="12"/>
  <c r="HK331" i="12"/>
  <c r="HL331" i="12"/>
  <c r="HM331" i="12"/>
  <c r="HN331" i="12"/>
  <c r="HO331" i="12"/>
  <c r="HP331" i="12"/>
  <c r="HQ331" i="12"/>
  <c r="HR331" i="12"/>
  <c r="HS331" i="12"/>
  <c r="HT331" i="12"/>
  <c r="HU331" i="12"/>
  <c r="HV331" i="12"/>
  <c r="HW331" i="12"/>
  <c r="HX331" i="12"/>
  <c r="HY331" i="12"/>
  <c r="HZ331" i="12"/>
  <c r="IA331" i="12"/>
  <c r="IB331" i="12"/>
  <c r="IC331" i="12"/>
  <c r="ID331" i="12"/>
  <c r="IE331" i="12"/>
  <c r="IF331" i="12"/>
  <c r="IG331" i="12"/>
  <c r="IH331" i="12"/>
  <c r="II331" i="12"/>
  <c r="IJ331" i="12"/>
  <c r="IK331" i="12"/>
  <c r="IL331" i="12"/>
  <c r="IM331" i="12"/>
  <c r="IN331" i="12"/>
  <c r="IO331" i="12"/>
  <c r="IP331" i="12"/>
  <c r="IQ331" i="12"/>
  <c r="IR331" i="12"/>
  <c r="IS331" i="12"/>
  <c r="IT331" i="12"/>
  <c r="IU331" i="12"/>
  <c r="IV331" i="12"/>
  <c r="F332" i="12"/>
  <c r="G332" i="12"/>
  <c r="H332" i="12"/>
  <c r="I332" i="12"/>
  <c r="J332" i="12"/>
  <c r="K332" i="12"/>
  <c r="L332" i="12"/>
  <c r="M332" i="12"/>
  <c r="N332" i="12"/>
  <c r="O332" i="12"/>
  <c r="P332" i="12"/>
  <c r="Q332" i="12"/>
  <c r="R332" i="12"/>
  <c r="S332" i="12"/>
  <c r="T332" i="12"/>
  <c r="U332" i="12"/>
  <c r="V332" i="12"/>
  <c r="W332" i="12"/>
  <c r="X332" i="12"/>
  <c r="Y332" i="12"/>
  <c r="Z332" i="12"/>
  <c r="AA332" i="12"/>
  <c r="AB332" i="12"/>
  <c r="AC332" i="12"/>
  <c r="AD332" i="12"/>
  <c r="AE332" i="12"/>
  <c r="AF332" i="12"/>
  <c r="AG332" i="12"/>
  <c r="AH332" i="12"/>
  <c r="AI332" i="12"/>
  <c r="AJ332" i="12"/>
  <c r="AK332" i="12"/>
  <c r="AL332" i="12"/>
  <c r="AM332" i="12"/>
  <c r="AN332" i="12"/>
  <c r="AO332" i="12"/>
  <c r="AP332" i="12"/>
  <c r="AQ332" i="12"/>
  <c r="AR332" i="12"/>
  <c r="AS332" i="12"/>
  <c r="AT332" i="12"/>
  <c r="AU332" i="12"/>
  <c r="AV332" i="12"/>
  <c r="AW332" i="12"/>
  <c r="AX332" i="12"/>
  <c r="AY332" i="12"/>
  <c r="AZ332" i="12"/>
  <c r="BA332" i="12"/>
  <c r="BB332" i="12"/>
  <c r="BC332" i="12"/>
  <c r="BD332" i="12"/>
  <c r="BE332" i="12"/>
  <c r="BF332" i="12"/>
  <c r="BG332" i="12"/>
  <c r="BH332" i="12"/>
  <c r="BI332" i="12"/>
  <c r="BJ332" i="12"/>
  <c r="BK332" i="12"/>
  <c r="BL332" i="12"/>
  <c r="BM332" i="12"/>
  <c r="BN332" i="12"/>
  <c r="BO332" i="12"/>
  <c r="BP332" i="12"/>
  <c r="BQ332" i="12"/>
  <c r="BR332" i="12"/>
  <c r="BS332" i="12"/>
  <c r="BT332" i="12"/>
  <c r="BU332" i="12"/>
  <c r="BV332" i="12"/>
  <c r="BW332" i="12"/>
  <c r="BX332" i="12"/>
  <c r="BY332" i="12"/>
  <c r="BZ332" i="12"/>
  <c r="CA332" i="12"/>
  <c r="CB332" i="12"/>
  <c r="CC332" i="12"/>
  <c r="CD332" i="12"/>
  <c r="CE332" i="12"/>
  <c r="CF332" i="12"/>
  <c r="CG332" i="12"/>
  <c r="CH332" i="12"/>
  <c r="CI332" i="12"/>
  <c r="CJ332" i="12"/>
  <c r="CK332" i="12"/>
  <c r="CL332" i="12"/>
  <c r="CM332" i="12"/>
  <c r="CN332" i="12"/>
  <c r="CO332" i="12"/>
  <c r="CP332" i="12"/>
  <c r="CQ332" i="12"/>
  <c r="CR332" i="12"/>
  <c r="CS332" i="12"/>
  <c r="CT332" i="12"/>
  <c r="CU332" i="12"/>
  <c r="CV332" i="12"/>
  <c r="CW332" i="12"/>
  <c r="CX332" i="12"/>
  <c r="CY332" i="12"/>
  <c r="CZ332" i="12"/>
  <c r="DA332" i="12"/>
  <c r="DB332" i="12"/>
  <c r="DC332" i="12"/>
  <c r="DD332" i="12"/>
  <c r="DE332" i="12"/>
  <c r="DF332" i="12"/>
  <c r="DG332" i="12"/>
  <c r="DH332" i="12"/>
  <c r="DI332" i="12"/>
  <c r="DJ332" i="12"/>
  <c r="DK332" i="12"/>
  <c r="DL332" i="12"/>
  <c r="DM332" i="12"/>
  <c r="DN332" i="12"/>
  <c r="DO332" i="12"/>
  <c r="DP332" i="12"/>
  <c r="DQ332" i="12"/>
  <c r="DR332" i="12"/>
  <c r="DS332" i="12"/>
  <c r="DT332" i="12"/>
  <c r="DU332" i="12"/>
  <c r="DV332" i="12"/>
  <c r="DW332" i="12"/>
  <c r="DX332" i="12"/>
  <c r="DY332" i="12"/>
  <c r="DZ332" i="12"/>
  <c r="EA332" i="12"/>
  <c r="EB332" i="12"/>
  <c r="EC332" i="12"/>
  <c r="ED332" i="12"/>
  <c r="EE332" i="12"/>
  <c r="EF332" i="12"/>
  <c r="EG332" i="12"/>
  <c r="EH332" i="12"/>
  <c r="EI332" i="12"/>
  <c r="EJ332" i="12"/>
  <c r="EK332" i="12"/>
  <c r="EL332" i="12"/>
  <c r="EM332" i="12"/>
  <c r="EN332" i="12"/>
  <c r="EO332" i="12"/>
  <c r="EP332" i="12"/>
  <c r="EQ332" i="12"/>
  <c r="ER332" i="12"/>
  <c r="ES332" i="12"/>
  <c r="ET332" i="12"/>
  <c r="EU332" i="12"/>
  <c r="EV332" i="12"/>
  <c r="EW332" i="12"/>
  <c r="EX332" i="12"/>
  <c r="EY332" i="12"/>
  <c r="EZ332" i="12"/>
  <c r="FA332" i="12"/>
  <c r="FB332" i="12"/>
  <c r="FC332" i="12"/>
  <c r="FD332" i="12"/>
  <c r="FE332" i="12"/>
  <c r="FF332" i="12"/>
  <c r="FG332" i="12"/>
  <c r="FH332" i="12"/>
  <c r="FI332" i="12"/>
  <c r="FJ332" i="12"/>
  <c r="FK332" i="12"/>
  <c r="FL332" i="12"/>
  <c r="FM332" i="12"/>
  <c r="FN332" i="12"/>
  <c r="FO332" i="12"/>
  <c r="FP332" i="12"/>
  <c r="FQ332" i="12"/>
  <c r="FR332" i="12"/>
  <c r="FS332" i="12"/>
  <c r="FT332" i="12"/>
  <c r="FU332" i="12"/>
  <c r="FV332" i="12"/>
  <c r="FW332" i="12"/>
  <c r="FX332" i="12"/>
  <c r="FY332" i="12"/>
  <c r="FZ332" i="12"/>
  <c r="GA332" i="12"/>
  <c r="GB332" i="12"/>
  <c r="GC332" i="12"/>
  <c r="GD332" i="12"/>
  <c r="GE332" i="12"/>
  <c r="GF332" i="12"/>
  <c r="GG332" i="12"/>
  <c r="GH332" i="12"/>
  <c r="GI332" i="12"/>
  <c r="GJ332" i="12"/>
  <c r="GK332" i="12"/>
  <c r="GL332" i="12"/>
  <c r="GM332" i="12"/>
  <c r="GN332" i="12"/>
  <c r="GO332" i="12"/>
  <c r="GP332" i="12"/>
  <c r="GQ332" i="12"/>
  <c r="GR332" i="12"/>
  <c r="GS332" i="12"/>
  <c r="GT332" i="12"/>
  <c r="GU332" i="12"/>
  <c r="GV332" i="12"/>
  <c r="GW332" i="12"/>
  <c r="GX332" i="12"/>
  <c r="GY332" i="12"/>
  <c r="GZ332" i="12"/>
  <c r="HA332" i="12"/>
  <c r="HB332" i="12"/>
  <c r="HC332" i="12"/>
  <c r="HD332" i="12"/>
  <c r="HE332" i="12"/>
  <c r="HF332" i="12"/>
  <c r="HG332" i="12"/>
  <c r="HH332" i="12"/>
  <c r="HI332" i="12"/>
  <c r="HJ332" i="12"/>
  <c r="HK332" i="12"/>
  <c r="HL332" i="12"/>
  <c r="HM332" i="12"/>
  <c r="HN332" i="12"/>
  <c r="HO332" i="12"/>
  <c r="HP332" i="12"/>
  <c r="HQ332" i="12"/>
  <c r="HR332" i="12"/>
  <c r="HS332" i="12"/>
  <c r="HT332" i="12"/>
  <c r="HU332" i="12"/>
  <c r="HV332" i="12"/>
  <c r="HW332" i="12"/>
  <c r="HX332" i="12"/>
  <c r="HY332" i="12"/>
  <c r="HZ332" i="12"/>
  <c r="IA332" i="12"/>
  <c r="IB332" i="12"/>
  <c r="IC332" i="12"/>
  <c r="ID332" i="12"/>
  <c r="IE332" i="12"/>
  <c r="IF332" i="12"/>
  <c r="IG332" i="12"/>
  <c r="IH332" i="12"/>
  <c r="II332" i="12"/>
  <c r="IJ332" i="12"/>
  <c r="IK332" i="12"/>
  <c r="IL332" i="12"/>
  <c r="IM332" i="12"/>
  <c r="IN332" i="12"/>
  <c r="IO332" i="12"/>
  <c r="IP332" i="12"/>
  <c r="IQ332" i="12"/>
  <c r="IR332" i="12"/>
  <c r="IS332" i="12"/>
  <c r="IT332" i="12"/>
  <c r="IU332" i="12"/>
  <c r="IV332" i="12"/>
  <c r="F333" i="12"/>
  <c r="G333" i="12"/>
  <c r="H333" i="12"/>
  <c r="I333" i="12"/>
  <c r="J333" i="12"/>
  <c r="K333" i="12"/>
  <c r="L333" i="12"/>
  <c r="M333" i="12"/>
  <c r="N333" i="12"/>
  <c r="O333" i="12"/>
  <c r="P333" i="12"/>
  <c r="Q333" i="12"/>
  <c r="R333" i="12"/>
  <c r="S333" i="12"/>
  <c r="T333" i="12"/>
  <c r="U333" i="12"/>
  <c r="V333" i="12"/>
  <c r="W333" i="12"/>
  <c r="X333" i="12"/>
  <c r="Y333" i="12"/>
  <c r="Z333" i="12"/>
  <c r="AA333" i="12"/>
  <c r="AB333" i="12"/>
  <c r="AC333" i="12"/>
  <c r="AD333" i="12"/>
  <c r="AE333" i="12"/>
  <c r="AF333" i="12"/>
  <c r="AG333" i="12"/>
  <c r="AH333" i="12"/>
  <c r="AI333" i="12"/>
  <c r="AJ333" i="12"/>
  <c r="AK333" i="12"/>
  <c r="AL333" i="12"/>
  <c r="AM333" i="12"/>
  <c r="AN333" i="12"/>
  <c r="AO333" i="12"/>
  <c r="AP333" i="12"/>
  <c r="AQ333" i="12"/>
  <c r="AR333" i="12"/>
  <c r="AS333" i="12"/>
  <c r="AT333" i="12"/>
  <c r="AU333" i="12"/>
  <c r="AV333" i="12"/>
  <c r="AW333" i="12"/>
  <c r="AX333" i="12"/>
  <c r="AY333" i="12"/>
  <c r="AZ333" i="12"/>
  <c r="BA333" i="12"/>
  <c r="BB333" i="12"/>
  <c r="BC333" i="12"/>
  <c r="BD333" i="12"/>
  <c r="BE333" i="12"/>
  <c r="BF333" i="12"/>
  <c r="BG333" i="12"/>
  <c r="BH333" i="12"/>
  <c r="BI333" i="12"/>
  <c r="BJ333" i="12"/>
  <c r="BK333" i="12"/>
  <c r="BL333" i="12"/>
  <c r="BM333" i="12"/>
  <c r="BN333" i="12"/>
  <c r="BO333" i="12"/>
  <c r="BP333" i="12"/>
  <c r="BQ333" i="12"/>
  <c r="BR333" i="12"/>
  <c r="BS333" i="12"/>
  <c r="BT333" i="12"/>
  <c r="BU333" i="12"/>
  <c r="BV333" i="12"/>
  <c r="BW333" i="12"/>
  <c r="BX333" i="12"/>
  <c r="BY333" i="12"/>
  <c r="BZ333" i="12"/>
  <c r="CA333" i="12"/>
  <c r="CB333" i="12"/>
  <c r="CC333" i="12"/>
  <c r="CD333" i="12"/>
  <c r="CE333" i="12"/>
  <c r="CF333" i="12"/>
  <c r="CG333" i="12"/>
  <c r="CH333" i="12"/>
  <c r="CI333" i="12"/>
  <c r="CJ333" i="12"/>
  <c r="CK333" i="12"/>
  <c r="CL333" i="12"/>
  <c r="CM333" i="12"/>
  <c r="CN333" i="12"/>
  <c r="CO333" i="12"/>
  <c r="CP333" i="12"/>
  <c r="CQ333" i="12"/>
  <c r="CR333" i="12"/>
  <c r="CS333" i="12"/>
  <c r="CT333" i="12"/>
  <c r="CU333" i="12"/>
  <c r="CV333" i="12"/>
  <c r="CW333" i="12"/>
  <c r="CX333" i="12"/>
  <c r="CY333" i="12"/>
  <c r="CZ333" i="12"/>
  <c r="DA333" i="12"/>
  <c r="DB333" i="12"/>
  <c r="DC333" i="12"/>
  <c r="DD333" i="12"/>
  <c r="DE333" i="12"/>
  <c r="DF333" i="12"/>
  <c r="DG333" i="12"/>
  <c r="DH333" i="12"/>
  <c r="DI333" i="12"/>
  <c r="DJ333" i="12"/>
  <c r="DK333" i="12"/>
  <c r="DL333" i="12"/>
  <c r="DM333" i="12"/>
  <c r="DN333" i="12"/>
  <c r="DO333" i="12"/>
  <c r="DP333" i="12"/>
  <c r="DQ333" i="12"/>
  <c r="DR333" i="12"/>
  <c r="DS333" i="12"/>
  <c r="DT333" i="12"/>
  <c r="DU333" i="12"/>
  <c r="DV333" i="12"/>
  <c r="DW333" i="12"/>
  <c r="DX333" i="12"/>
  <c r="DY333" i="12"/>
  <c r="DZ333" i="12"/>
  <c r="EA333" i="12"/>
  <c r="EB333" i="12"/>
  <c r="EC333" i="12"/>
  <c r="ED333" i="12"/>
  <c r="EE333" i="12"/>
  <c r="EF333" i="12"/>
  <c r="EG333" i="12"/>
  <c r="EH333" i="12"/>
  <c r="EI333" i="12"/>
  <c r="EJ333" i="12"/>
  <c r="EK333" i="12"/>
  <c r="EL333" i="12"/>
  <c r="EM333" i="12"/>
  <c r="EN333" i="12"/>
  <c r="EO333" i="12"/>
  <c r="EP333" i="12"/>
  <c r="EQ333" i="12"/>
  <c r="ER333" i="12"/>
  <c r="ES333" i="12"/>
  <c r="ET333" i="12"/>
  <c r="EU333" i="12"/>
  <c r="EV333" i="12"/>
  <c r="EW333" i="12"/>
  <c r="EX333" i="12"/>
  <c r="EY333" i="12"/>
  <c r="EZ333" i="12"/>
  <c r="FA333" i="12"/>
  <c r="FB333" i="12"/>
  <c r="FC333" i="12"/>
  <c r="FD333" i="12"/>
  <c r="FE333" i="12"/>
  <c r="FF333" i="12"/>
  <c r="FG333" i="12"/>
  <c r="FH333" i="12"/>
  <c r="FI333" i="12"/>
  <c r="FJ333" i="12"/>
  <c r="FK333" i="12"/>
  <c r="FL333" i="12"/>
  <c r="FM333" i="12"/>
  <c r="FN333" i="12"/>
  <c r="FO333" i="12"/>
  <c r="FP333" i="12"/>
  <c r="FQ333" i="12"/>
  <c r="FR333" i="12"/>
  <c r="FS333" i="12"/>
  <c r="FT333" i="12"/>
  <c r="FU333" i="12"/>
  <c r="FV333" i="12"/>
  <c r="FW333" i="12"/>
  <c r="FX333" i="12"/>
  <c r="FY333" i="12"/>
  <c r="FZ333" i="12"/>
  <c r="GA333" i="12"/>
  <c r="GB333" i="12"/>
  <c r="GC333" i="12"/>
  <c r="GD333" i="12"/>
  <c r="GE333" i="12"/>
  <c r="GF333" i="12"/>
  <c r="GG333" i="12"/>
  <c r="GH333" i="12"/>
  <c r="GI333" i="12"/>
  <c r="GJ333" i="12"/>
  <c r="GK333" i="12"/>
  <c r="GL333" i="12"/>
  <c r="GM333" i="12"/>
  <c r="GN333" i="12"/>
  <c r="GO333" i="12"/>
  <c r="GP333" i="12"/>
  <c r="GQ333" i="12"/>
  <c r="GR333" i="12"/>
  <c r="GS333" i="12"/>
  <c r="GT333" i="12"/>
  <c r="GU333" i="12"/>
  <c r="GV333" i="12"/>
  <c r="GW333" i="12"/>
  <c r="GX333" i="12"/>
  <c r="GY333" i="12"/>
  <c r="GZ333" i="12"/>
  <c r="HA333" i="12"/>
  <c r="HB333" i="12"/>
  <c r="HC333" i="12"/>
  <c r="HD333" i="12"/>
  <c r="HE333" i="12"/>
  <c r="HF333" i="12"/>
  <c r="HG333" i="12"/>
  <c r="HH333" i="12"/>
  <c r="HI333" i="12"/>
  <c r="HJ333" i="12"/>
  <c r="HK333" i="12"/>
  <c r="HL333" i="12"/>
  <c r="HM333" i="12"/>
  <c r="HN333" i="12"/>
  <c r="HO333" i="12"/>
  <c r="HP333" i="12"/>
  <c r="HQ333" i="12"/>
  <c r="HR333" i="12"/>
  <c r="HS333" i="12"/>
  <c r="HT333" i="12"/>
  <c r="HU333" i="12"/>
  <c r="HV333" i="12"/>
  <c r="HW333" i="12"/>
  <c r="HX333" i="12"/>
  <c r="HY333" i="12"/>
  <c r="HZ333" i="12"/>
  <c r="IA333" i="12"/>
  <c r="IB333" i="12"/>
  <c r="IC333" i="12"/>
  <c r="ID333" i="12"/>
  <c r="IE333" i="12"/>
  <c r="IF333" i="12"/>
  <c r="IG333" i="12"/>
  <c r="IH333" i="12"/>
  <c r="II333" i="12"/>
  <c r="IJ333" i="12"/>
  <c r="IK333" i="12"/>
  <c r="IL333" i="12"/>
  <c r="IM333" i="12"/>
  <c r="IN333" i="12"/>
  <c r="IO333" i="12"/>
  <c r="IP333" i="12"/>
  <c r="IQ333" i="12"/>
  <c r="IR333" i="12"/>
  <c r="IS333" i="12"/>
  <c r="IT333" i="12"/>
  <c r="IU333" i="12"/>
  <c r="IV333" i="12"/>
  <c r="F334" i="12"/>
  <c r="G334" i="12"/>
  <c r="H334" i="12"/>
  <c r="I334" i="12"/>
  <c r="J334" i="12"/>
  <c r="K334" i="12"/>
  <c r="L334" i="12"/>
  <c r="M334" i="12"/>
  <c r="N334" i="12"/>
  <c r="O334" i="12"/>
  <c r="P334" i="12"/>
  <c r="Q334" i="12"/>
  <c r="R334" i="12"/>
  <c r="S334" i="12"/>
  <c r="T334" i="12"/>
  <c r="U334" i="12"/>
  <c r="V334" i="12"/>
  <c r="W334" i="12"/>
  <c r="X334" i="12"/>
  <c r="Y334" i="12"/>
  <c r="Z334" i="12"/>
  <c r="AA334" i="12"/>
  <c r="AB334" i="12"/>
  <c r="AC334" i="12"/>
  <c r="AD334" i="12"/>
  <c r="AE334" i="12"/>
  <c r="AF334" i="12"/>
  <c r="AG334" i="12"/>
  <c r="AH334" i="12"/>
  <c r="AI334" i="12"/>
  <c r="AJ334" i="12"/>
  <c r="AK334" i="12"/>
  <c r="AL334" i="12"/>
  <c r="AM334" i="12"/>
  <c r="AN334" i="12"/>
  <c r="AO334" i="12"/>
  <c r="AP334" i="12"/>
  <c r="AQ334" i="12"/>
  <c r="AR334" i="12"/>
  <c r="AS334" i="12"/>
  <c r="AT334" i="12"/>
  <c r="AU334" i="12"/>
  <c r="AV334" i="12"/>
  <c r="AW334" i="12"/>
  <c r="AX334" i="12"/>
  <c r="AY334" i="12"/>
  <c r="AZ334" i="12"/>
  <c r="BA334" i="12"/>
  <c r="BB334" i="12"/>
  <c r="BC334" i="12"/>
  <c r="BD334" i="12"/>
  <c r="BE334" i="12"/>
  <c r="BF334" i="12"/>
  <c r="BG334" i="12"/>
  <c r="BH334" i="12"/>
  <c r="BI334" i="12"/>
  <c r="BJ334" i="12"/>
  <c r="BK334" i="12"/>
  <c r="BL334" i="12"/>
  <c r="BM334" i="12"/>
  <c r="BN334" i="12"/>
  <c r="BO334" i="12"/>
  <c r="BP334" i="12"/>
  <c r="BQ334" i="12"/>
  <c r="BR334" i="12"/>
  <c r="BS334" i="12"/>
  <c r="BT334" i="12"/>
  <c r="BU334" i="12"/>
  <c r="BV334" i="12"/>
  <c r="BW334" i="12"/>
  <c r="BX334" i="12"/>
  <c r="BY334" i="12"/>
  <c r="BZ334" i="12"/>
  <c r="CA334" i="12"/>
  <c r="CB334" i="12"/>
  <c r="CC334" i="12"/>
  <c r="CD334" i="12"/>
  <c r="CE334" i="12"/>
  <c r="CF334" i="12"/>
  <c r="CG334" i="12"/>
  <c r="CH334" i="12"/>
  <c r="CI334" i="12"/>
  <c r="CJ334" i="12"/>
  <c r="CK334" i="12"/>
  <c r="CL334" i="12"/>
  <c r="CM334" i="12"/>
  <c r="CN334" i="12"/>
  <c r="CO334" i="12"/>
  <c r="CP334" i="12"/>
  <c r="CQ334" i="12"/>
  <c r="CR334" i="12"/>
  <c r="CS334" i="12"/>
  <c r="CT334" i="12"/>
  <c r="CU334" i="12"/>
  <c r="CV334" i="12"/>
  <c r="CW334" i="12"/>
  <c r="CX334" i="12"/>
  <c r="CY334" i="12"/>
  <c r="CZ334" i="12"/>
  <c r="DA334" i="12"/>
  <c r="DB334" i="12"/>
  <c r="DC334" i="12"/>
  <c r="DD334" i="12"/>
  <c r="DE334" i="12"/>
  <c r="DF334" i="12"/>
  <c r="DG334" i="12"/>
  <c r="DH334" i="12"/>
  <c r="DI334" i="12"/>
  <c r="DJ334" i="12"/>
  <c r="DK334" i="12"/>
  <c r="DL334" i="12"/>
  <c r="DM334" i="12"/>
  <c r="DN334" i="12"/>
  <c r="DO334" i="12"/>
  <c r="DP334" i="12"/>
  <c r="DQ334" i="12"/>
  <c r="DR334" i="12"/>
  <c r="DS334" i="12"/>
  <c r="DT334" i="12"/>
  <c r="DU334" i="12"/>
  <c r="DV334" i="12"/>
  <c r="DW334" i="12"/>
  <c r="DX334" i="12"/>
  <c r="DY334" i="12"/>
  <c r="DZ334" i="12"/>
  <c r="EA334" i="12"/>
  <c r="EB334" i="12"/>
  <c r="EC334" i="12"/>
  <c r="ED334" i="12"/>
  <c r="EE334" i="12"/>
  <c r="EF334" i="12"/>
  <c r="EG334" i="12"/>
  <c r="EH334" i="12"/>
  <c r="EI334" i="12"/>
  <c r="EJ334" i="12"/>
  <c r="EK334" i="12"/>
  <c r="EL334" i="12"/>
  <c r="EM334" i="12"/>
  <c r="EN334" i="12"/>
  <c r="EO334" i="12"/>
  <c r="EP334" i="12"/>
  <c r="EQ334" i="12"/>
  <c r="ER334" i="12"/>
  <c r="ES334" i="12"/>
  <c r="ET334" i="12"/>
  <c r="EU334" i="12"/>
  <c r="EV334" i="12"/>
  <c r="EW334" i="12"/>
  <c r="EX334" i="12"/>
  <c r="EY334" i="12"/>
  <c r="EZ334" i="12"/>
  <c r="FA334" i="12"/>
  <c r="FB334" i="12"/>
  <c r="FC334" i="12"/>
  <c r="FD334" i="12"/>
  <c r="FE334" i="12"/>
  <c r="FF334" i="12"/>
  <c r="FG334" i="12"/>
  <c r="FH334" i="12"/>
  <c r="FI334" i="12"/>
  <c r="FJ334" i="12"/>
  <c r="FK334" i="12"/>
  <c r="FL334" i="12"/>
  <c r="FM334" i="12"/>
  <c r="FN334" i="12"/>
  <c r="FO334" i="12"/>
  <c r="FP334" i="12"/>
  <c r="FQ334" i="12"/>
  <c r="FR334" i="12"/>
  <c r="FS334" i="12"/>
  <c r="FT334" i="12"/>
  <c r="FU334" i="12"/>
  <c r="FV334" i="12"/>
  <c r="FW334" i="12"/>
  <c r="FX334" i="12"/>
  <c r="FY334" i="12"/>
  <c r="FZ334" i="12"/>
  <c r="GA334" i="12"/>
  <c r="GB334" i="12"/>
  <c r="GC334" i="12"/>
  <c r="GD334" i="12"/>
  <c r="GE334" i="12"/>
  <c r="GF334" i="12"/>
  <c r="GG334" i="12"/>
  <c r="GH334" i="12"/>
  <c r="GI334" i="12"/>
  <c r="GJ334" i="12"/>
  <c r="GK334" i="12"/>
  <c r="GL334" i="12"/>
  <c r="GM334" i="12"/>
  <c r="GN334" i="12"/>
  <c r="GO334" i="12"/>
  <c r="GP334" i="12"/>
  <c r="GQ334" i="12"/>
  <c r="GR334" i="12"/>
  <c r="GS334" i="12"/>
  <c r="GT334" i="12"/>
  <c r="GU334" i="12"/>
  <c r="GV334" i="12"/>
  <c r="GW334" i="12"/>
  <c r="GX334" i="12"/>
  <c r="GY334" i="12"/>
  <c r="GZ334" i="12"/>
  <c r="HA334" i="12"/>
  <c r="HB334" i="12"/>
  <c r="HC334" i="12"/>
  <c r="HD334" i="12"/>
  <c r="HE334" i="12"/>
  <c r="HF334" i="12"/>
  <c r="HG334" i="12"/>
  <c r="HH334" i="12"/>
  <c r="HI334" i="12"/>
  <c r="HJ334" i="12"/>
  <c r="HK334" i="12"/>
  <c r="HL334" i="12"/>
  <c r="HM334" i="12"/>
  <c r="HN334" i="12"/>
  <c r="HO334" i="12"/>
  <c r="HP334" i="12"/>
  <c r="HQ334" i="12"/>
  <c r="HR334" i="12"/>
  <c r="HS334" i="12"/>
  <c r="HT334" i="12"/>
  <c r="HU334" i="12"/>
  <c r="HV334" i="12"/>
  <c r="HW334" i="12"/>
  <c r="HX334" i="12"/>
  <c r="HY334" i="12"/>
  <c r="HZ334" i="12"/>
  <c r="IA334" i="12"/>
  <c r="IB334" i="12"/>
  <c r="IC334" i="12"/>
  <c r="ID334" i="12"/>
  <c r="IE334" i="12"/>
  <c r="IF334" i="12"/>
  <c r="IG334" i="12"/>
  <c r="IH334" i="12"/>
  <c r="II334" i="12"/>
  <c r="IJ334" i="12"/>
  <c r="IK334" i="12"/>
  <c r="IL334" i="12"/>
  <c r="IM334" i="12"/>
  <c r="IN334" i="12"/>
  <c r="IO334" i="12"/>
  <c r="IP334" i="12"/>
  <c r="IQ334" i="12"/>
  <c r="IR334" i="12"/>
  <c r="IS334" i="12"/>
  <c r="IT334" i="12"/>
  <c r="IU334" i="12"/>
  <c r="IV334" i="12"/>
  <c r="F335" i="12"/>
  <c r="G335" i="12"/>
  <c r="H335" i="12"/>
  <c r="I335" i="12"/>
  <c r="J335" i="12"/>
  <c r="K335" i="12"/>
  <c r="L335" i="12"/>
  <c r="M335" i="12"/>
  <c r="N335" i="12"/>
  <c r="O335" i="12"/>
  <c r="P335" i="12"/>
  <c r="Q335" i="12"/>
  <c r="R335" i="12"/>
  <c r="S335" i="12"/>
  <c r="T335" i="12"/>
  <c r="U335" i="12"/>
  <c r="V335" i="12"/>
  <c r="W335" i="12"/>
  <c r="X335" i="12"/>
  <c r="Y335" i="12"/>
  <c r="Z335" i="12"/>
  <c r="AA335" i="12"/>
  <c r="AB335" i="12"/>
  <c r="AC335" i="12"/>
  <c r="AD335" i="12"/>
  <c r="AE335" i="12"/>
  <c r="AF335" i="12"/>
  <c r="AG335" i="12"/>
  <c r="AH335" i="12"/>
  <c r="AI335" i="12"/>
  <c r="AJ335" i="12"/>
  <c r="AK335" i="12"/>
  <c r="AL335" i="12"/>
  <c r="AM335" i="12"/>
  <c r="AN335" i="12"/>
  <c r="AO335" i="12"/>
  <c r="AP335" i="12"/>
  <c r="AQ335" i="12"/>
  <c r="AR335" i="12"/>
  <c r="AS335" i="12"/>
  <c r="AT335" i="12"/>
  <c r="AU335" i="12"/>
  <c r="AV335" i="12"/>
  <c r="AW335" i="12"/>
  <c r="AX335" i="12"/>
  <c r="AY335" i="12"/>
  <c r="AZ335" i="12"/>
  <c r="BA335" i="12"/>
  <c r="BB335" i="12"/>
  <c r="BC335" i="12"/>
  <c r="BD335" i="12"/>
  <c r="BE335" i="12"/>
  <c r="BF335" i="12"/>
  <c r="BG335" i="12"/>
  <c r="BH335" i="12"/>
  <c r="BI335" i="12"/>
  <c r="BJ335" i="12"/>
  <c r="BK335" i="12"/>
  <c r="BL335" i="12"/>
  <c r="BM335" i="12"/>
  <c r="BN335" i="12"/>
  <c r="BO335" i="12"/>
  <c r="BP335" i="12"/>
  <c r="BQ335" i="12"/>
  <c r="BR335" i="12"/>
  <c r="BS335" i="12"/>
  <c r="BT335" i="12"/>
  <c r="BU335" i="12"/>
  <c r="BV335" i="12"/>
  <c r="BW335" i="12"/>
  <c r="BX335" i="12"/>
  <c r="BY335" i="12"/>
  <c r="BZ335" i="12"/>
  <c r="CA335" i="12"/>
  <c r="CB335" i="12"/>
  <c r="CC335" i="12"/>
  <c r="CD335" i="12"/>
  <c r="CE335" i="12"/>
  <c r="CF335" i="12"/>
  <c r="CG335" i="12"/>
  <c r="CH335" i="12"/>
  <c r="CI335" i="12"/>
  <c r="CJ335" i="12"/>
  <c r="CK335" i="12"/>
  <c r="CL335" i="12"/>
  <c r="CM335" i="12"/>
  <c r="CN335" i="12"/>
  <c r="CO335" i="12"/>
  <c r="CP335" i="12"/>
  <c r="CQ335" i="12"/>
  <c r="CR335" i="12"/>
  <c r="CS335" i="12"/>
  <c r="CT335" i="12"/>
  <c r="CU335" i="12"/>
  <c r="CV335" i="12"/>
  <c r="CW335" i="12"/>
  <c r="CX335" i="12"/>
  <c r="CY335" i="12"/>
  <c r="CZ335" i="12"/>
  <c r="DA335" i="12"/>
  <c r="DB335" i="12"/>
  <c r="DC335" i="12"/>
  <c r="DD335" i="12"/>
  <c r="DE335" i="12"/>
  <c r="DF335" i="12"/>
  <c r="DG335" i="12"/>
  <c r="DH335" i="12"/>
  <c r="DI335" i="12"/>
  <c r="DJ335" i="12"/>
  <c r="DK335" i="12"/>
  <c r="DL335" i="12"/>
  <c r="DM335" i="12"/>
  <c r="DN335" i="12"/>
  <c r="DO335" i="12"/>
  <c r="DP335" i="12"/>
  <c r="DQ335" i="12"/>
  <c r="DR335" i="12"/>
  <c r="DS335" i="12"/>
  <c r="DT335" i="12"/>
  <c r="DU335" i="12"/>
  <c r="DV335" i="12"/>
  <c r="DW335" i="12"/>
  <c r="DX335" i="12"/>
  <c r="DY335" i="12"/>
  <c r="DZ335" i="12"/>
  <c r="EA335" i="12"/>
  <c r="EB335" i="12"/>
  <c r="EC335" i="12"/>
  <c r="ED335" i="12"/>
  <c r="EE335" i="12"/>
  <c r="EF335" i="12"/>
  <c r="EG335" i="12"/>
  <c r="EH335" i="12"/>
  <c r="EI335" i="12"/>
  <c r="EJ335" i="12"/>
  <c r="EK335" i="12"/>
  <c r="EL335" i="12"/>
  <c r="EM335" i="12"/>
  <c r="EN335" i="12"/>
  <c r="EO335" i="12"/>
  <c r="EP335" i="12"/>
  <c r="EQ335" i="12"/>
  <c r="ER335" i="12"/>
  <c r="ES335" i="12"/>
  <c r="ET335" i="12"/>
  <c r="EU335" i="12"/>
  <c r="EV335" i="12"/>
  <c r="EW335" i="12"/>
  <c r="EX335" i="12"/>
  <c r="EY335" i="12"/>
  <c r="EZ335" i="12"/>
  <c r="FA335" i="12"/>
  <c r="FB335" i="12"/>
  <c r="FC335" i="12"/>
  <c r="FD335" i="12"/>
  <c r="FE335" i="12"/>
  <c r="FF335" i="12"/>
  <c r="FG335" i="12"/>
  <c r="FH335" i="12"/>
  <c r="FI335" i="12"/>
  <c r="FJ335" i="12"/>
  <c r="FK335" i="12"/>
  <c r="FL335" i="12"/>
  <c r="FM335" i="12"/>
  <c r="FN335" i="12"/>
  <c r="FO335" i="12"/>
  <c r="FP335" i="12"/>
  <c r="FQ335" i="12"/>
  <c r="FR335" i="12"/>
  <c r="FS335" i="12"/>
  <c r="FT335" i="12"/>
  <c r="FU335" i="12"/>
  <c r="FV335" i="12"/>
  <c r="FW335" i="12"/>
  <c r="FX335" i="12"/>
  <c r="FY335" i="12"/>
  <c r="FZ335" i="12"/>
  <c r="GA335" i="12"/>
  <c r="GB335" i="12"/>
  <c r="GC335" i="12"/>
  <c r="GD335" i="12"/>
  <c r="GE335" i="12"/>
  <c r="GF335" i="12"/>
  <c r="GG335" i="12"/>
  <c r="GH335" i="12"/>
  <c r="GI335" i="12"/>
  <c r="GJ335" i="12"/>
  <c r="GK335" i="12"/>
  <c r="GL335" i="12"/>
  <c r="GM335" i="12"/>
  <c r="GN335" i="12"/>
  <c r="GO335" i="12"/>
  <c r="GP335" i="12"/>
  <c r="GQ335" i="12"/>
  <c r="GR335" i="12"/>
  <c r="GS335" i="12"/>
  <c r="GT335" i="12"/>
  <c r="GU335" i="12"/>
  <c r="GV335" i="12"/>
  <c r="GW335" i="12"/>
  <c r="GX335" i="12"/>
  <c r="GY335" i="12"/>
  <c r="GZ335" i="12"/>
  <c r="HA335" i="12"/>
  <c r="HB335" i="12"/>
  <c r="HC335" i="12"/>
  <c r="HD335" i="12"/>
  <c r="HE335" i="12"/>
  <c r="HF335" i="12"/>
  <c r="HG335" i="12"/>
  <c r="HH335" i="12"/>
  <c r="HI335" i="12"/>
  <c r="HJ335" i="12"/>
  <c r="HK335" i="12"/>
  <c r="HL335" i="12"/>
  <c r="HM335" i="12"/>
  <c r="HN335" i="12"/>
  <c r="HO335" i="12"/>
  <c r="HP335" i="12"/>
  <c r="HQ335" i="12"/>
  <c r="HR335" i="12"/>
  <c r="HS335" i="12"/>
  <c r="HT335" i="12"/>
  <c r="HU335" i="12"/>
  <c r="HV335" i="12"/>
  <c r="HW335" i="12"/>
  <c r="HX335" i="12"/>
  <c r="HY335" i="12"/>
  <c r="HZ335" i="12"/>
  <c r="IA335" i="12"/>
  <c r="IB335" i="12"/>
  <c r="IC335" i="12"/>
  <c r="ID335" i="12"/>
  <c r="IE335" i="12"/>
  <c r="IF335" i="12"/>
  <c r="IG335" i="12"/>
  <c r="IH335" i="12"/>
  <c r="II335" i="12"/>
  <c r="IJ335" i="12"/>
  <c r="IK335" i="12"/>
  <c r="IL335" i="12"/>
  <c r="IM335" i="12"/>
  <c r="IN335" i="12"/>
  <c r="IO335" i="12"/>
  <c r="IP335" i="12"/>
  <c r="IQ335" i="12"/>
  <c r="IR335" i="12"/>
  <c r="IS335" i="12"/>
  <c r="IT335" i="12"/>
  <c r="IU335" i="12"/>
  <c r="IV335" i="12"/>
  <c r="F336" i="12"/>
  <c r="G336" i="12"/>
  <c r="H336" i="12"/>
  <c r="I336" i="12"/>
  <c r="J336" i="12"/>
  <c r="K336" i="12"/>
  <c r="L336" i="12"/>
  <c r="M336" i="12"/>
  <c r="N336" i="12"/>
  <c r="O336" i="12"/>
  <c r="P336" i="12"/>
  <c r="Q336" i="12"/>
  <c r="R336" i="12"/>
  <c r="S336" i="12"/>
  <c r="T336" i="12"/>
  <c r="U336" i="12"/>
  <c r="V336" i="12"/>
  <c r="W336" i="12"/>
  <c r="X336" i="12"/>
  <c r="Y336" i="12"/>
  <c r="Z336" i="12"/>
  <c r="AA336" i="12"/>
  <c r="AB336" i="12"/>
  <c r="AC336" i="12"/>
  <c r="AD336" i="12"/>
  <c r="AE336" i="12"/>
  <c r="AF336" i="12"/>
  <c r="AG336" i="12"/>
  <c r="AH336" i="12"/>
  <c r="AI336" i="12"/>
  <c r="AJ336" i="12"/>
  <c r="AK336" i="12"/>
  <c r="AL336" i="12"/>
  <c r="AM336" i="12"/>
  <c r="AN336" i="12"/>
  <c r="AO336" i="12"/>
  <c r="AP336" i="12"/>
  <c r="AQ336" i="12"/>
  <c r="AR336" i="12"/>
  <c r="AS336" i="12"/>
  <c r="AT336" i="12"/>
  <c r="AU336" i="12"/>
  <c r="AV336" i="12"/>
  <c r="AW336" i="12"/>
  <c r="AX336" i="12"/>
  <c r="AY336" i="12"/>
  <c r="AZ336" i="12"/>
  <c r="BA336" i="12"/>
  <c r="BB336" i="12"/>
  <c r="BC336" i="12"/>
  <c r="BD336" i="12"/>
  <c r="BE336" i="12"/>
  <c r="BF336" i="12"/>
  <c r="BG336" i="12"/>
  <c r="BH336" i="12"/>
  <c r="BI336" i="12"/>
  <c r="BJ336" i="12"/>
  <c r="BK336" i="12"/>
  <c r="BL336" i="12"/>
  <c r="BM336" i="12"/>
  <c r="BN336" i="12"/>
  <c r="BO336" i="12"/>
  <c r="BP336" i="12"/>
  <c r="BQ336" i="12"/>
  <c r="BR336" i="12"/>
  <c r="BS336" i="12"/>
  <c r="BT336" i="12"/>
  <c r="BU336" i="12"/>
  <c r="BV336" i="12"/>
  <c r="BW336" i="12"/>
  <c r="BX336" i="12"/>
  <c r="BY336" i="12"/>
  <c r="BZ336" i="12"/>
  <c r="CA336" i="12"/>
  <c r="CB336" i="12"/>
  <c r="CC336" i="12"/>
  <c r="CD336" i="12"/>
  <c r="CE336" i="12"/>
  <c r="CF336" i="12"/>
  <c r="CG336" i="12"/>
  <c r="CH336" i="12"/>
  <c r="CI336" i="12"/>
  <c r="CJ336" i="12"/>
  <c r="CK336" i="12"/>
  <c r="CL336" i="12"/>
  <c r="CM336" i="12"/>
  <c r="CN336" i="12"/>
  <c r="CO336" i="12"/>
  <c r="CP336" i="12"/>
  <c r="CQ336" i="12"/>
  <c r="CR336" i="12"/>
  <c r="CS336" i="12"/>
  <c r="CT336" i="12"/>
  <c r="CU336" i="12"/>
  <c r="CV336" i="12"/>
  <c r="CW336" i="12"/>
  <c r="CX336" i="12"/>
  <c r="CY336" i="12"/>
  <c r="CZ336" i="12"/>
  <c r="DA336" i="12"/>
  <c r="DB336" i="12"/>
  <c r="DC336" i="12"/>
  <c r="DD336" i="12"/>
  <c r="DE336" i="12"/>
  <c r="DF336" i="12"/>
  <c r="DG336" i="12"/>
  <c r="DH336" i="12"/>
  <c r="DI336" i="12"/>
  <c r="DJ336" i="12"/>
  <c r="DK336" i="12"/>
  <c r="DL336" i="12"/>
  <c r="DM336" i="12"/>
  <c r="DN336" i="12"/>
  <c r="DO336" i="12"/>
  <c r="DP336" i="12"/>
  <c r="DQ336" i="12"/>
  <c r="DR336" i="12"/>
  <c r="DS336" i="12"/>
  <c r="DT336" i="12"/>
  <c r="DU336" i="12"/>
  <c r="DV336" i="12"/>
  <c r="DW336" i="12"/>
  <c r="DX336" i="12"/>
  <c r="DY336" i="12"/>
  <c r="DZ336" i="12"/>
  <c r="EA336" i="12"/>
  <c r="EB336" i="12"/>
  <c r="EC336" i="12"/>
  <c r="ED336" i="12"/>
  <c r="EE336" i="12"/>
  <c r="EF336" i="12"/>
  <c r="EG336" i="12"/>
  <c r="EH336" i="12"/>
  <c r="EI336" i="12"/>
  <c r="EJ336" i="12"/>
  <c r="EK336" i="12"/>
  <c r="EL336" i="12"/>
  <c r="EM336" i="12"/>
  <c r="EN336" i="12"/>
  <c r="EO336" i="12"/>
  <c r="EP336" i="12"/>
  <c r="EQ336" i="12"/>
  <c r="ER336" i="12"/>
  <c r="ES336" i="12"/>
  <c r="ET336" i="12"/>
  <c r="EU336" i="12"/>
  <c r="EV336" i="12"/>
  <c r="EW336" i="12"/>
  <c r="EX336" i="12"/>
  <c r="EY336" i="12"/>
  <c r="EZ336" i="12"/>
  <c r="FA336" i="12"/>
  <c r="FB336" i="12"/>
  <c r="FC336" i="12"/>
  <c r="FD336" i="12"/>
  <c r="FE336" i="12"/>
  <c r="FF336" i="12"/>
  <c r="FG336" i="12"/>
  <c r="FH336" i="12"/>
  <c r="FI336" i="12"/>
  <c r="FJ336" i="12"/>
  <c r="FK336" i="12"/>
  <c r="FL336" i="12"/>
  <c r="FM336" i="12"/>
  <c r="FN336" i="12"/>
  <c r="FO336" i="12"/>
  <c r="FP336" i="12"/>
  <c r="FQ336" i="12"/>
  <c r="FR336" i="12"/>
  <c r="FS336" i="12"/>
  <c r="FT336" i="12"/>
  <c r="FU336" i="12"/>
  <c r="FV336" i="12"/>
  <c r="FW336" i="12"/>
  <c r="FX336" i="12"/>
  <c r="FY336" i="12"/>
  <c r="FZ336" i="12"/>
  <c r="GA336" i="12"/>
  <c r="GB336" i="12"/>
  <c r="GC336" i="12"/>
  <c r="GD336" i="12"/>
  <c r="GE336" i="12"/>
  <c r="GF336" i="12"/>
  <c r="GG336" i="12"/>
  <c r="GH336" i="12"/>
  <c r="GI336" i="12"/>
  <c r="GJ336" i="12"/>
  <c r="GK336" i="12"/>
  <c r="GL336" i="12"/>
  <c r="GM336" i="12"/>
  <c r="GN336" i="12"/>
  <c r="GO336" i="12"/>
  <c r="GP336" i="12"/>
  <c r="GQ336" i="12"/>
  <c r="GR336" i="12"/>
  <c r="GS336" i="12"/>
  <c r="GT336" i="12"/>
  <c r="GU336" i="12"/>
  <c r="GV336" i="12"/>
  <c r="GW336" i="12"/>
  <c r="GX336" i="12"/>
  <c r="GY336" i="12"/>
  <c r="GZ336" i="12"/>
  <c r="HA336" i="12"/>
  <c r="HB336" i="12"/>
  <c r="HC336" i="12"/>
  <c r="HD336" i="12"/>
  <c r="HE336" i="12"/>
  <c r="HF336" i="12"/>
  <c r="HG336" i="12"/>
  <c r="HH336" i="12"/>
  <c r="HI336" i="12"/>
  <c r="HJ336" i="12"/>
  <c r="HK336" i="12"/>
  <c r="HL336" i="12"/>
  <c r="HM336" i="12"/>
  <c r="HN336" i="12"/>
  <c r="HO336" i="12"/>
  <c r="HP336" i="12"/>
  <c r="HQ336" i="12"/>
  <c r="HR336" i="12"/>
  <c r="HS336" i="12"/>
  <c r="HT336" i="12"/>
  <c r="HU336" i="12"/>
  <c r="HV336" i="12"/>
  <c r="HW336" i="12"/>
  <c r="HX336" i="12"/>
  <c r="HY336" i="12"/>
  <c r="HZ336" i="12"/>
  <c r="IA336" i="12"/>
  <c r="IB336" i="12"/>
  <c r="IC336" i="12"/>
  <c r="ID336" i="12"/>
  <c r="IE336" i="12"/>
  <c r="IF336" i="12"/>
  <c r="IG336" i="12"/>
  <c r="IH336" i="12"/>
  <c r="II336" i="12"/>
  <c r="IJ336" i="12"/>
  <c r="IK336" i="12"/>
  <c r="IL336" i="12"/>
  <c r="IM336" i="12"/>
  <c r="IN336" i="12"/>
  <c r="IO336" i="12"/>
  <c r="IP336" i="12"/>
  <c r="IQ336" i="12"/>
  <c r="IR336" i="12"/>
  <c r="IS336" i="12"/>
  <c r="IT336" i="12"/>
  <c r="IU336" i="12"/>
  <c r="IV336" i="12"/>
  <c r="F337" i="12"/>
  <c r="G337" i="12"/>
  <c r="H337" i="12"/>
  <c r="I337" i="12"/>
  <c r="J337" i="12"/>
  <c r="K337" i="12"/>
  <c r="L337" i="12"/>
  <c r="M337" i="12"/>
  <c r="N337" i="12"/>
  <c r="O337" i="12"/>
  <c r="P337" i="12"/>
  <c r="Q337" i="12"/>
  <c r="R337" i="12"/>
  <c r="S337" i="12"/>
  <c r="T337" i="12"/>
  <c r="U337" i="12"/>
  <c r="V337" i="12"/>
  <c r="W337" i="12"/>
  <c r="X337" i="12"/>
  <c r="Y337" i="12"/>
  <c r="Z337" i="12"/>
  <c r="AA337" i="12"/>
  <c r="AB337" i="12"/>
  <c r="AC337" i="12"/>
  <c r="AD337" i="12"/>
  <c r="AE337" i="12"/>
  <c r="AF337" i="12"/>
  <c r="AG337" i="12"/>
  <c r="AH337" i="12"/>
  <c r="AI337" i="12"/>
  <c r="AJ337" i="12"/>
  <c r="AK337" i="12"/>
  <c r="AL337" i="12"/>
  <c r="AM337" i="12"/>
  <c r="AN337" i="12"/>
  <c r="AO337" i="12"/>
  <c r="AP337" i="12"/>
  <c r="AQ337" i="12"/>
  <c r="AR337" i="12"/>
  <c r="AS337" i="12"/>
  <c r="AT337" i="12"/>
  <c r="AU337" i="12"/>
  <c r="AV337" i="12"/>
  <c r="AW337" i="12"/>
  <c r="AX337" i="12"/>
  <c r="AY337" i="12"/>
  <c r="AZ337" i="12"/>
  <c r="BA337" i="12"/>
  <c r="BB337" i="12"/>
  <c r="BC337" i="12"/>
  <c r="BD337" i="12"/>
  <c r="BE337" i="12"/>
  <c r="BF337" i="12"/>
  <c r="BG337" i="12"/>
  <c r="BH337" i="12"/>
  <c r="BI337" i="12"/>
  <c r="BJ337" i="12"/>
  <c r="BK337" i="12"/>
  <c r="BL337" i="12"/>
  <c r="BM337" i="12"/>
  <c r="BN337" i="12"/>
  <c r="BO337" i="12"/>
  <c r="BP337" i="12"/>
  <c r="BQ337" i="12"/>
  <c r="BR337" i="12"/>
  <c r="BS337" i="12"/>
  <c r="BT337" i="12"/>
  <c r="BU337" i="12"/>
  <c r="BV337" i="12"/>
  <c r="BW337" i="12"/>
  <c r="BX337" i="12"/>
  <c r="BY337" i="12"/>
  <c r="BZ337" i="12"/>
  <c r="CA337" i="12"/>
  <c r="CB337" i="12"/>
  <c r="CC337" i="12"/>
  <c r="CD337" i="12"/>
  <c r="CE337" i="12"/>
  <c r="CF337" i="12"/>
  <c r="CG337" i="12"/>
  <c r="CH337" i="12"/>
  <c r="CI337" i="12"/>
  <c r="CJ337" i="12"/>
  <c r="CK337" i="12"/>
  <c r="CL337" i="12"/>
  <c r="CM337" i="12"/>
  <c r="CN337" i="12"/>
  <c r="CO337" i="12"/>
  <c r="CP337" i="12"/>
  <c r="CQ337" i="12"/>
  <c r="CR337" i="12"/>
  <c r="CS337" i="12"/>
  <c r="CT337" i="12"/>
  <c r="CU337" i="12"/>
  <c r="CV337" i="12"/>
  <c r="CW337" i="12"/>
  <c r="CX337" i="12"/>
  <c r="CY337" i="12"/>
  <c r="CZ337" i="12"/>
  <c r="DA337" i="12"/>
  <c r="DB337" i="12"/>
  <c r="DC337" i="12"/>
  <c r="DD337" i="12"/>
  <c r="DE337" i="12"/>
  <c r="DF337" i="12"/>
  <c r="DG337" i="12"/>
  <c r="DH337" i="12"/>
  <c r="DI337" i="12"/>
  <c r="DJ337" i="12"/>
  <c r="DK337" i="12"/>
  <c r="DL337" i="12"/>
  <c r="DM337" i="12"/>
  <c r="DN337" i="12"/>
  <c r="DO337" i="12"/>
  <c r="DP337" i="12"/>
  <c r="DQ337" i="12"/>
  <c r="DR337" i="12"/>
  <c r="DS337" i="12"/>
  <c r="DT337" i="12"/>
  <c r="DU337" i="12"/>
  <c r="DV337" i="12"/>
  <c r="DW337" i="12"/>
  <c r="DX337" i="12"/>
  <c r="DY337" i="12"/>
  <c r="DZ337" i="12"/>
  <c r="EA337" i="12"/>
  <c r="EB337" i="12"/>
  <c r="EC337" i="12"/>
  <c r="ED337" i="12"/>
  <c r="EE337" i="12"/>
  <c r="EF337" i="12"/>
  <c r="EG337" i="12"/>
  <c r="EH337" i="12"/>
  <c r="EI337" i="12"/>
  <c r="EJ337" i="12"/>
  <c r="EK337" i="12"/>
  <c r="EL337" i="12"/>
  <c r="EM337" i="12"/>
  <c r="EN337" i="12"/>
  <c r="EO337" i="12"/>
  <c r="EP337" i="12"/>
  <c r="EQ337" i="12"/>
  <c r="ER337" i="12"/>
  <c r="ES337" i="12"/>
  <c r="ET337" i="12"/>
  <c r="EU337" i="12"/>
  <c r="EV337" i="12"/>
  <c r="EW337" i="12"/>
  <c r="EX337" i="12"/>
  <c r="EY337" i="12"/>
  <c r="EZ337" i="12"/>
  <c r="FA337" i="12"/>
  <c r="FB337" i="12"/>
  <c r="FC337" i="12"/>
  <c r="FD337" i="12"/>
  <c r="FE337" i="12"/>
  <c r="FF337" i="12"/>
  <c r="FG337" i="12"/>
  <c r="FH337" i="12"/>
  <c r="FI337" i="12"/>
  <c r="FJ337" i="12"/>
  <c r="FK337" i="12"/>
  <c r="FL337" i="12"/>
  <c r="FM337" i="12"/>
  <c r="FN337" i="12"/>
  <c r="FO337" i="12"/>
  <c r="FP337" i="12"/>
  <c r="FQ337" i="12"/>
  <c r="FR337" i="12"/>
  <c r="FS337" i="12"/>
  <c r="FT337" i="12"/>
  <c r="FU337" i="12"/>
  <c r="FV337" i="12"/>
  <c r="FW337" i="12"/>
  <c r="FX337" i="12"/>
  <c r="FY337" i="12"/>
  <c r="FZ337" i="12"/>
  <c r="GA337" i="12"/>
  <c r="GB337" i="12"/>
  <c r="GC337" i="12"/>
  <c r="GD337" i="12"/>
  <c r="GE337" i="12"/>
  <c r="GF337" i="12"/>
  <c r="GG337" i="12"/>
  <c r="GH337" i="12"/>
  <c r="GI337" i="12"/>
  <c r="GJ337" i="12"/>
  <c r="GK337" i="12"/>
  <c r="GL337" i="12"/>
  <c r="GM337" i="12"/>
  <c r="GN337" i="12"/>
  <c r="GO337" i="12"/>
  <c r="GP337" i="12"/>
  <c r="GQ337" i="12"/>
  <c r="GR337" i="12"/>
  <c r="GS337" i="12"/>
  <c r="GT337" i="12"/>
  <c r="GU337" i="12"/>
  <c r="GV337" i="12"/>
  <c r="GW337" i="12"/>
  <c r="GX337" i="12"/>
  <c r="GY337" i="12"/>
  <c r="GZ337" i="12"/>
  <c r="HA337" i="12"/>
  <c r="HB337" i="12"/>
  <c r="HC337" i="12"/>
  <c r="HD337" i="12"/>
  <c r="HE337" i="12"/>
  <c r="HF337" i="12"/>
  <c r="HG337" i="12"/>
  <c r="HH337" i="12"/>
  <c r="HI337" i="12"/>
  <c r="HJ337" i="12"/>
  <c r="HK337" i="12"/>
  <c r="HL337" i="12"/>
  <c r="HM337" i="12"/>
  <c r="HN337" i="12"/>
  <c r="HO337" i="12"/>
  <c r="HP337" i="12"/>
  <c r="HQ337" i="12"/>
  <c r="HR337" i="12"/>
  <c r="HS337" i="12"/>
  <c r="HT337" i="12"/>
  <c r="HU337" i="12"/>
  <c r="HV337" i="12"/>
  <c r="HW337" i="12"/>
  <c r="HX337" i="12"/>
  <c r="HY337" i="12"/>
  <c r="HZ337" i="12"/>
  <c r="IA337" i="12"/>
  <c r="IB337" i="12"/>
  <c r="IC337" i="12"/>
  <c r="ID337" i="12"/>
  <c r="IE337" i="12"/>
  <c r="IF337" i="12"/>
  <c r="IG337" i="12"/>
  <c r="IH337" i="12"/>
  <c r="II337" i="12"/>
  <c r="IJ337" i="12"/>
  <c r="IK337" i="12"/>
  <c r="IL337" i="12"/>
  <c r="IM337" i="12"/>
  <c r="IN337" i="12"/>
  <c r="IO337" i="12"/>
  <c r="IP337" i="12"/>
  <c r="IQ337" i="12"/>
  <c r="IR337" i="12"/>
  <c r="IS337" i="12"/>
  <c r="IT337" i="12"/>
  <c r="IU337" i="12"/>
  <c r="IV337" i="12"/>
  <c r="F338" i="12"/>
  <c r="G338" i="12"/>
  <c r="H338" i="12"/>
  <c r="I338" i="12"/>
  <c r="J338" i="12"/>
  <c r="K338" i="12"/>
  <c r="L338" i="12"/>
  <c r="M338" i="12"/>
  <c r="N338" i="12"/>
  <c r="O338" i="12"/>
  <c r="P338" i="12"/>
  <c r="Q338" i="12"/>
  <c r="R338" i="12"/>
  <c r="S338" i="12"/>
  <c r="T338" i="12"/>
  <c r="U338" i="12"/>
  <c r="V338" i="12"/>
  <c r="W338" i="12"/>
  <c r="X338" i="12"/>
  <c r="Y338" i="12"/>
  <c r="Z338" i="12"/>
  <c r="AA338" i="12"/>
  <c r="AB338" i="12"/>
  <c r="AC338" i="12"/>
  <c r="AD338" i="12"/>
  <c r="AE338" i="12"/>
  <c r="AF338" i="12"/>
  <c r="AG338" i="12"/>
  <c r="AH338" i="12"/>
  <c r="AI338" i="12"/>
  <c r="AJ338" i="12"/>
  <c r="AK338" i="12"/>
  <c r="AL338" i="12"/>
  <c r="AM338" i="12"/>
  <c r="AN338" i="12"/>
  <c r="AO338" i="12"/>
  <c r="AP338" i="12"/>
  <c r="AQ338" i="12"/>
  <c r="AR338" i="12"/>
  <c r="AS338" i="12"/>
  <c r="AT338" i="12"/>
  <c r="AU338" i="12"/>
  <c r="AV338" i="12"/>
  <c r="AW338" i="12"/>
  <c r="AX338" i="12"/>
  <c r="AY338" i="12"/>
  <c r="AZ338" i="12"/>
  <c r="BA338" i="12"/>
  <c r="BB338" i="12"/>
  <c r="BC338" i="12"/>
  <c r="BD338" i="12"/>
  <c r="BE338" i="12"/>
  <c r="BF338" i="12"/>
  <c r="BG338" i="12"/>
  <c r="BH338" i="12"/>
  <c r="BI338" i="12"/>
  <c r="BJ338" i="12"/>
  <c r="BK338" i="12"/>
  <c r="BL338" i="12"/>
  <c r="BM338" i="12"/>
  <c r="BN338" i="12"/>
  <c r="BO338" i="12"/>
  <c r="BP338" i="12"/>
  <c r="BQ338" i="12"/>
  <c r="BR338" i="12"/>
  <c r="BS338" i="12"/>
  <c r="BT338" i="12"/>
  <c r="BU338" i="12"/>
  <c r="BV338" i="12"/>
  <c r="BW338" i="12"/>
  <c r="BX338" i="12"/>
  <c r="BY338" i="12"/>
  <c r="BZ338" i="12"/>
  <c r="CA338" i="12"/>
  <c r="CB338" i="12"/>
  <c r="CC338" i="12"/>
  <c r="CD338" i="12"/>
  <c r="CE338" i="12"/>
  <c r="CF338" i="12"/>
  <c r="CG338" i="12"/>
  <c r="CH338" i="12"/>
  <c r="CI338" i="12"/>
  <c r="CJ338" i="12"/>
  <c r="CK338" i="12"/>
  <c r="CL338" i="12"/>
  <c r="CM338" i="12"/>
  <c r="CN338" i="12"/>
  <c r="CO338" i="12"/>
  <c r="CP338" i="12"/>
  <c r="CQ338" i="12"/>
  <c r="CR338" i="12"/>
  <c r="CS338" i="12"/>
  <c r="CT338" i="12"/>
  <c r="CU338" i="12"/>
  <c r="CV338" i="12"/>
  <c r="CW338" i="12"/>
  <c r="CX338" i="12"/>
  <c r="CY338" i="12"/>
  <c r="CZ338" i="12"/>
  <c r="DA338" i="12"/>
  <c r="DB338" i="12"/>
  <c r="DC338" i="12"/>
  <c r="DD338" i="12"/>
  <c r="DE338" i="12"/>
  <c r="DF338" i="12"/>
  <c r="DG338" i="12"/>
  <c r="DH338" i="12"/>
  <c r="DI338" i="12"/>
  <c r="DJ338" i="12"/>
  <c r="DK338" i="12"/>
  <c r="DL338" i="12"/>
  <c r="DM338" i="12"/>
  <c r="DN338" i="12"/>
  <c r="DO338" i="12"/>
  <c r="DP338" i="12"/>
  <c r="DQ338" i="12"/>
  <c r="DR338" i="12"/>
  <c r="DS338" i="12"/>
  <c r="DT338" i="12"/>
  <c r="DU338" i="12"/>
  <c r="DV338" i="12"/>
  <c r="DW338" i="12"/>
  <c r="DX338" i="12"/>
  <c r="DY338" i="12"/>
  <c r="DZ338" i="12"/>
  <c r="EA338" i="12"/>
  <c r="EB338" i="12"/>
  <c r="EC338" i="12"/>
  <c r="ED338" i="12"/>
  <c r="EE338" i="12"/>
  <c r="EF338" i="12"/>
  <c r="EG338" i="12"/>
  <c r="EH338" i="12"/>
  <c r="EI338" i="12"/>
  <c r="EJ338" i="12"/>
  <c r="EK338" i="12"/>
  <c r="EL338" i="12"/>
  <c r="EM338" i="12"/>
  <c r="EN338" i="12"/>
  <c r="EO338" i="12"/>
  <c r="EP338" i="12"/>
  <c r="EQ338" i="12"/>
  <c r="ER338" i="12"/>
  <c r="ES338" i="12"/>
  <c r="ET338" i="12"/>
  <c r="EU338" i="12"/>
  <c r="EV338" i="12"/>
  <c r="EW338" i="12"/>
  <c r="EX338" i="12"/>
  <c r="EY338" i="12"/>
  <c r="EZ338" i="12"/>
  <c r="FA338" i="12"/>
  <c r="FB338" i="12"/>
  <c r="FC338" i="12"/>
  <c r="FD338" i="12"/>
  <c r="FE338" i="12"/>
  <c r="FF338" i="12"/>
  <c r="FG338" i="12"/>
  <c r="FH338" i="12"/>
  <c r="FI338" i="12"/>
  <c r="FJ338" i="12"/>
  <c r="FK338" i="12"/>
  <c r="FL338" i="12"/>
  <c r="FM338" i="12"/>
  <c r="FN338" i="12"/>
  <c r="FO338" i="12"/>
  <c r="FP338" i="12"/>
  <c r="FQ338" i="12"/>
  <c r="FR338" i="12"/>
  <c r="FS338" i="12"/>
  <c r="FT338" i="12"/>
  <c r="FU338" i="12"/>
  <c r="FV338" i="12"/>
  <c r="FW338" i="12"/>
  <c r="FX338" i="12"/>
  <c r="FY338" i="12"/>
  <c r="FZ338" i="12"/>
  <c r="GA338" i="12"/>
  <c r="GB338" i="12"/>
  <c r="GC338" i="12"/>
  <c r="GD338" i="12"/>
  <c r="GE338" i="12"/>
  <c r="GF338" i="12"/>
  <c r="GG338" i="12"/>
  <c r="GH338" i="12"/>
  <c r="GI338" i="12"/>
  <c r="GJ338" i="12"/>
  <c r="GK338" i="12"/>
  <c r="GL338" i="12"/>
  <c r="GM338" i="12"/>
  <c r="GN338" i="12"/>
  <c r="GO338" i="12"/>
  <c r="GP338" i="12"/>
  <c r="GQ338" i="12"/>
  <c r="GR338" i="12"/>
  <c r="GS338" i="12"/>
  <c r="GT338" i="12"/>
  <c r="GU338" i="12"/>
  <c r="GV338" i="12"/>
  <c r="GW338" i="12"/>
  <c r="GX338" i="12"/>
  <c r="GY338" i="12"/>
  <c r="GZ338" i="12"/>
  <c r="HA338" i="12"/>
  <c r="HB338" i="12"/>
  <c r="HC338" i="12"/>
  <c r="HD338" i="12"/>
  <c r="HE338" i="12"/>
  <c r="HF338" i="12"/>
  <c r="HG338" i="12"/>
  <c r="HH338" i="12"/>
  <c r="HI338" i="12"/>
  <c r="HJ338" i="12"/>
  <c r="HK338" i="12"/>
  <c r="HL338" i="12"/>
  <c r="HM338" i="12"/>
  <c r="HN338" i="12"/>
  <c r="HO338" i="12"/>
  <c r="HP338" i="12"/>
  <c r="HQ338" i="12"/>
  <c r="HR338" i="12"/>
  <c r="HS338" i="12"/>
  <c r="HT338" i="12"/>
  <c r="HU338" i="12"/>
  <c r="HV338" i="12"/>
  <c r="HW338" i="12"/>
  <c r="HX338" i="12"/>
  <c r="HY338" i="12"/>
  <c r="HZ338" i="12"/>
  <c r="IA338" i="12"/>
  <c r="IB338" i="12"/>
  <c r="IC338" i="12"/>
  <c r="ID338" i="12"/>
  <c r="IE338" i="12"/>
  <c r="IF338" i="12"/>
  <c r="IG338" i="12"/>
  <c r="IH338" i="12"/>
  <c r="II338" i="12"/>
  <c r="IJ338" i="12"/>
  <c r="IK338" i="12"/>
  <c r="IL338" i="12"/>
  <c r="IM338" i="12"/>
  <c r="IN338" i="12"/>
  <c r="IO338" i="12"/>
  <c r="IP338" i="12"/>
  <c r="IQ338" i="12"/>
  <c r="IR338" i="12"/>
  <c r="IS338" i="12"/>
  <c r="IT338" i="12"/>
  <c r="IU338" i="12"/>
  <c r="IV338" i="12"/>
  <c r="F339" i="12"/>
  <c r="G339" i="12"/>
  <c r="H339" i="12"/>
  <c r="I339" i="12"/>
  <c r="J339" i="12"/>
  <c r="K339" i="12"/>
  <c r="L339" i="12"/>
  <c r="M339" i="12"/>
  <c r="N339" i="12"/>
  <c r="O339" i="12"/>
  <c r="P339" i="12"/>
  <c r="Q339" i="12"/>
  <c r="R339" i="12"/>
  <c r="S339" i="12"/>
  <c r="T339" i="12"/>
  <c r="U339" i="12"/>
  <c r="V339" i="12"/>
  <c r="W339" i="12"/>
  <c r="X339" i="12"/>
  <c r="Y339" i="12"/>
  <c r="Z339" i="12"/>
  <c r="AA339" i="12"/>
  <c r="AB339" i="12"/>
  <c r="AC339" i="12"/>
  <c r="AD339" i="12"/>
  <c r="AE339" i="12"/>
  <c r="AF339" i="12"/>
  <c r="AG339" i="12"/>
  <c r="AH339" i="12"/>
  <c r="AI339" i="12"/>
  <c r="AJ339" i="12"/>
  <c r="AK339" i="12"/>
  <c r="AL339" i="12"/>
  <c r="AM339" i="12"/>
  <c r="AN339" i="12"/>
  <c r="AO339" i="12"/>
  <c r="AP339" i="12"/>
  <c r="AQ339" i="12"/>
  <c r="AR339" i="12"/>
  <c r="AS339" i="12"/>
  <c r="AT339" i="12"/>
  <c r="AU339" i="12"/>
  <c r="AV339" i="12"/>
  <c r="AW339" i="12"/>
  <c r="AX339" i="12"/>
  <c r="AY339" i="12"/>
  <c r="AZ339" i="12"/>
  <c r="BA339" i="12"/>
  <c r="BB339" i="12"/>
  <c r="BC339" i="12"/>
  <c r="BD339" i="12"/>
  <c r="BE339" i="12"/>
  <c r="BF339" i="12"/>
  <c r="BG339" i="12"/>
  <c r="BH339" i="12"/>
  <c r="BI339" i="12"/>
  <c r="BJ339" i="12"/>
  <c r="BK339" i="12"/>
  <c r="BL339" i="12"/>
  <c r="BM339" i="12"/>
  <c r="BN339" i="12"/>
  <c r="BO339" i="12"/>
  <c r="BP339" i="12"/>
  <c r="BQ339" i="12"/>
  <c r="BR339" i="12"/>
  <c r="BS339" i="12"/>
  <c r="BT339" i="12"/>
  <c r="BU339" i="12"/>
  <c r="BV339" i="12"/>
  <c r="BW339" i="12"/>
  <c r="BX339" i="12"/>
  <c r="BY339" i="12"/>
  <c r="BZ339" i="12"/>
  <c r="CA339" i="12"/>
  <c r="CB339" i="12"/>
  <c r="CC339" i="12"/>
  <c r="CD339" i="12"/>
  <c r="CE339" i="12"/>
  <c r="CF339" i="12"/>
  <c r="CG339" i="12"/>
  <c r="CH339" i="12"/>
  <c r="CI339" i="12"/>
  <c r="CJ339" i="12"/>
  <c r="CK339" i="12"/>
  <c r="CL339" i="12"/>
  <c r="CM339" i="12"/>
  <c r="CN339" i="12"/>
  <c r="CO339" i="12"/>
  <c r="CP339" i="12"/>
  <c r="CQ339" i="12"/>
  <c r="CR339" i="12"/>
  <c r="CS339" i="12"/>
  <c r="CT339" i="12"/>
  <c r="CU339" i="12"/>
  <c r="CV339" i="12"/>
  <c r="CW339" i="12"/>
  <c r="CX339" i="12"/>
  <c r="CY339" i="12"/>
  <c r="CZ339" i="12"/>
  <c r="DA339" i="12"/>
  <c r="DB339" i="12"/>
  <c r="DC339" i="12"/>
  <c r="DD339" i="12"/>
  <c r="DE339" i="12"/>
  <c r="DF339" i="12"/>
  <c r="DG339" i="12"/>
  <c r="DH339" i="12"/>
  <c r="DI339" i="12"/>
  <c r="DJ339" i="12"/>
  <c r="DK339" i="12"/>
  <c r="DL339" i="12"/>
  <c r="DM339" i="12"/>
  <c r="DN339" i="12"/>
  <c r="DO339" i="12"/>
  <c r="DP339" i="12"/>
  <c r="DQ339" i="12"/>
  <c r="DR339" i="12"/>
  <c r="DS339" i="12"/>
  <c r="DT339" i="12"/>
  <c r="DU339" i="12"/>
  <c r="DV339" i="12"/>
  <c r="DW339" i="12"/>
  <c r="DX339" i="12"/>
  <c r="DY339" i="12"/>
  <c r="DZ339" i="12"/>
  <c r="EA339" i="12"/>
  <c r="EB339" i="12"/>
  <c r="EC339" i="12"/>
  <c r="ED339" i="12"/>
  <c r="EE339" i="12"/>
  <c r="EF339" i="12"/>
  <c r="EG339" i="12"/>
  <c r="EH339" i="12"/>
  <c r="EI339" i="12"/>
  <c r="EJ339" i="12"/>
  <c r="EK339" i="12"/>
  <c r="EL339" i="12"/>
  <c r="EM339" i="12"/>
  <c r="EN339" i="12"/>
  <c r="EO339" i="12"/>
  <c r="EP339" i="12"/>
  <c r="EQ339" i="12"/>
  <c r="ER339" i="12"/>
  <c r="ES339" i="12"/>
  <c r="ET339" i="12"/>
  <c r="EU339" i="12"/>
  <c r="EV339" i="12"/>
  <c r="EW339" i="12"/>
  <c r="EX339" i="12"/>
  <c r="EY339" i="12"/>
  <c r="EZ339" i="12"/>
  <c r="FA339" i="12"/>
  <c r="FB339" i="12"/>
  <c r="FC339" i="12"/>
  <c r="FD339" i="12"/>
  <c r="FE339" i="12"/>
  <c r="FF339" i="12"/>
  <c r="FG339" i="12"/>
  <c r="FH339" i="12"/>
  <c r="FI339" i="12"/>
  <c r="FJ339" i="12"/>
  <c r="FK339" i="12"/>
  <c r="FL339" i="12"/>
  <c r="FM339" i="12"/>
  <c r="FN339" i="12"/>
  <c r="FO339" i="12"/>
  <c r="FP339" i="12"/>
  <c r="FQ339" i="12"/>
  <c r="FR339" i="12"/>
  <c r="FS339" i="12"/>
  <c r="FT339" i="12"/>
  <c r="FU339" i="12"/>
  <c r="FV339" i="12"/>
  <c r="FW339" i="12"/>
  <c r="FX339" i="12"/>
  <c r="FY339" i="12"/>
  <c r="FZ339" i="12"/>
  <c r="GA339" i="12"/>
  <c r="GB339" i="12"/>
  <c r="GC339" i="12"/>
  <c r="GD339" i="12"/>
  <c r="GE339" i="12"/>
  <c r="GF339" i="12"/>
  <c r="GG339" i="12"/>
  <c r="GH339" i="12"/>
  <c r="GI339" i="12"/>
  <c r="GJ339" i="12"/>
  <c r="GK339" i="12"/>
  <c r="GL339" i="12"/>
  <c r="GM339" i="12"/>
  <c r="GN339" i="12"/>
  <c r="GO339" i="12"/>
  <c r="GP339" i="12"/>
  <c r="GQ339" i="12"/>
  <c r="GR339" i="12"/>
  <c r="GS339" i="12"/>
  <c r="GT339" i="12"/>
  <c r="GU339" i="12"/>
  <c r="GV339" i="12"/>
  <c r="GW339" i="12"/>
  <c r="GX339" i="12"/>
  <c r="GY339" i="12"/>
  <c r="GZ339" i="12"/>
  <c r="HA339" i="12"/>
  <c r="HB339" i="12"/>
  <c r="HC339" i="12"/>
  <c r="HD339" i="12"/>
  <c r="HE339" i="12"/>
  <c r="HF339" i="12"/>
  <c r="HG339" i="12"/>
  <c r="HH339" i="12"/>
  <c r="HI339" i="12"/>
  <c r="HJ339" i="12"/>
  <c r="HK339" i="12"/>
  <c r="HL339" i="12"/>
  <c r="HM339" i="12"/>
  <c r="HN339" i="12"/>
  <c r="HO339" i="12"/>
  <c r="HP339" i="12"/>
  <c r="HQ339" i="12"/>
  <c r="HR339" i="12"/>
  <c r="HS339" i="12"/>
  <c r="HT339" i="12"/>
  <c r="HU339" i="12"/>
  <c r="HV339" i="12"/>
  <c r="HW339" i="12"/>
  <c r="HX339" i="12"/>
  <c r="HY339" i="12"/>
  <c r="HZ339" i="12"/>
  <c r="IA339" i="12"/>
  <c r="IB339" i="12"/>
  <c r="IC339" i="12"/>
  <c r="ID339" i="12"/>
  <c r="IE339" i="12"/>
  <c r="IF339" i="12"/>
  <c r="IG339" i="12"/>
  <c r="IH339" i="12"/>
  <c r="II339" i="12"/>
  <c r="IJ339" i="12"/>
  <c r="IK339" i="12"/>
  <c r="IL339" i="12"/>
  <c r="IM339" i="12"/>
  <c r="IN339" i="12"/>
  <c r="IO339" i="12"/>
  <c r="IP339" i="12"/>
  <c r="IQ339" i="12"/>
  <c r="IR339" i="12"/>
  <c r="IS339" i="12"/>
  <c r="IT339" i="12"/>
  <c r="IU339" i="12"/>
  <c r="IV339" i="12"/>
  <c r="F340" i="12"/>
  <c r="G340" i="12"/>
  <c r="H340" i="12"/>
  <c r="I340" i="12"/>
  <c r="J340" i="12"/>
  <c r="K340" i="12"/>
  <c r="L340" i="12"/>
  <c r="M340" i="12"/>
  <c r="N340" i="12"/>
  <c r="O340" i="12"/>
  <c r="P340" i="12"/>
  <c r="Q340" i="12"/>
  <c r="R340" i="12"/>
  <c r="S340" i="12"/>
  <c r="T340" i="12"/>
  <c r="U340" i="12"/>
  <c r="V340" i="12"/>
  <c r="W340" i="12"/>
  <c r="X340" i="12"/>
  <c r="Y340" i="12"/>
  <c r="Z340" i="12"/>
  <c r="AA340" i="12"/>
  <c r="AB340" i="12"/>
  <c r="AC340" i="12"/>
  <c r="AD340" i="12"/>
  <c r="AE340" i="12"/>
  <c r="AF340" i="12"/>
  <c r="AG340" i="12"/>
  <c r="AH340" i="12"/>
  <c r="AI340" i="12"/>
  <c r="AJ340" i="12"/>
  <c r="AK340" i="12"/>
  <c r="AL340" i="12"/>
  <c r="AM340" i="12"/>
  <c r="AN340" i="12"/>
  <c r="AO340" i="12"/>
  <c r="AP340" i="12"/>
  <c r="AQ340" i="12"/>
  <c r="AR340" i="12"/>
  <c r="AS340" i="12"/>
  <c r="AT340" i="12"/>
  <c r="AU340" i="12"/>
  <c r="AV340" i="12"/>
  <c r="AW340" i="12"/>
  <c r="AX340" i="12"/>
  <c r="AY340" i="12"/>
  <c r="AZ340" i="12"/>
  <c r="BA340" i="12"/>
  <c r="BB340" i="12"/>
  <c r="BC340" i="12"/>
  <c r="BD340" i="12"/>
  <c r="BE340" i="12"/>
  <c r="BF340" i="12"/>
  <c r="BG340" i="12"/>
  <c r="BH340" i="12"/>
  <c r="BI340" i="12"/>
  <c r="BJ340" i="12"/>
  <c r="BK340" i="12"/>
  <c r="BL340" i="12"/>
  <c r="BM340" i="12"/>
  <c r="BN340" i="12"/>
  <c r="BO340" i="12"/>
  <c r="BP340" i="12"/>
  <c r="BQ340" i="12"/>
  <c r="BR340" i="12"/>
  <c r="BS340" i="12"/>
  <c r="BT340" i="12"/>
  <c r="BU340" i="12"/>
  <c r="BV340" i="12"/>
  <c r="BW340" i="12"/>
  <c r="BX340" i="12"/>
  <c r="BY340" i="12"/>
  <c r="BZ340" i="12"/>
  <c r="CA340" i="12"/>
  <c r="CB340" i="12"/>
  <c r="CC340" i="12"/>
  <c r="CD340" i="12"/>
  <c r="CE340" i="12"/>
  <c r="CF340" i="12"/>
  <c r="CG340" i="12"/>
  <c r="CH340" i="12"/>
  <c r="CI340" i="12"/>
  <c r="CJ340" i="12"/>
  <c r="CK340" i="12"/>
  <c r="CL340" i="12"/>
  <c r="CM340" i="12"/>
  <c r="CN340" i="12"/>
  <c r="CO340" i="12"/>
  <c r="CP340" i="12"/>
  <c r="CQ340" i="12"/>
  <c r="CR340" i="12"/>
  <c r="CS340" i="12"/>
  <c r="CT340" i="12"/>
  <c r="CU340" i="12"/>
  <c r="CV340" i="12"/>
  <c r="CW340" i="12"/>
  <c r="CX340" i="12"/>
  <c r="CY340" i="12"/>
  <c r="CZ340" i="12"/>
  <c r="DA340" i="12"/>
  <c r="DB340" i="12"/>
  <c r="DC340" i="12"/>
  <c r="DD340" i="12"/>
  <c r="DE340" i="12"/>
  <c r="DF340" i="12"/>
  <c r="DG340" i="12"/>
  <c r="DH340" i="12"/>
  <c r="DI340" i="12"/>
  <c r="DJ340" i="12"/>
  <c r="DK340" i="12"/>
  <c r="DL340" i="12"/>
  <c r="DM340" i="12"/>
  <c r="DN340" i="12"/>
  <c r="DO340" i="12"/>
  <c r="DP340" i="12"/>
  <c r="DQ340" i="12"/>
  <c r="DR340" i="12"/>
  <c r="DS340" i="12"/>
  <c r="DT340" i="12"/>
  <c r="DU340" i="12"/>
  <c r="DV340" i="12"/>
  <c r="DW340" i="12"/>
  <c r="DX340" i="12"/>
  <c r="DY340" i="12"/>
  <c r="DZ340" i="12"/>
  <c r="EA340" i="12"/>
  <c r="EB340" i="12"/>
  <c r="EC340" i="12"/>
  <c r="ED340" i="12"/>
  <c r="EE340" i="12"/>
  <c r="EF340" i="12"/>
  <c r="EG340" i="12"/>
  <c r="EH340" i="12"/>
  <c r="EI340" i="12"/>
  <c r="EJ340" i="12"/>
  <c r="EK340" i="12"/>
  <c r="EL340" i="12"/>
  <c r="EM340" i="12"/>
  <c r="EN340" i="12"/>
  <c r="EO340" i="12"/>
  <c r="EP340" i="12"/>
  <c r="EQ340" i="12"/>
  <c r="ER340" i="12"/>
  <c r="ES340" i="12"/>
  <c r="ET340" i="12"/>
  <c r="EU340" i="12"/>
  <c r="EV340" i="12"/>
  <c r="EW340" i="12"/>
  <c r="EX340" i="12"/>
  <c r="EY340" i="12"/>
  <c r="EZ340" i="12"/>
  <c r="FA340" i="12"/>
  <c r="FB340" i="12"/>
  <c r="FC340" i="12"/>
  <c r="FD340" i="12"/>
  <c r="FE340" i="12"/>
  <c r="FF340" i="12"/>
  <c r="FG340" i="12"/>
  <c r="FH340" i="12"/>
  <c r="FI340" i="12"/>
  <c r="FJ340" i="12"/>
  <c r="FK340" i="12"/>
  <c r="FL340" i="12"/>
  <c r="FM340" i="12"/>
  <c r="FN340" i="12"/>
  <c r="FO340" i="12"/>
  <c r="FP340" i="12"/>
  <c r="FQ340" i="12"/>
  <c r="FR340" i="12"/>
  <c r="FS340" i="12"/>
  <c r="FT340" i="12"/>
  <c r="FU340" i="12"/>
  <c r="FV340" i="12"/>
  <c r="FW340" i="12"/>
  <c r="FX340" i="12"/>
  <c r="FY340" i="12"/>
  <c r="FZ340" i="12"/>
  <c r="GA340" i="12"/>
  <c r="GB340" i="12"/>
  <c r="GC340" i="12"/>
  <c r="GD340" i="12"/>
  <c r="GE340" i="12"/>
  <c r="GF340" i="12"/>
  <c r="GG340" i="12"/>
  <c r="GH340" i="12"/>
  <c r="GI340" i="12"/>
  <c r="GJ340" i="12"/>
  <c r="GK340" i="12"/>
  <c r="GL340" i="12"/>
  <c r="GM340" i="12"/>
  <c r="GN340" i="12"/>
  <c r="GO340" i="12"/>
  <c r="GP340" i="12"/>
  <c r="GQ340" i="12"/>
  <c r="GR340" i="12"/>
  <c r="GS340" i="12"/>
  <c r="GT340" i="12"/>
  <c r="GU340" i="12"/>
  <c r="GV340" i="12"/>
  <c r="GW340" i="12"/>
  <c r="GX340" i="12"/>
  <c r="GY340" i="12"/>
  <c r="GZ340" i="12"/>
  <c r="HA340" i="12"/>
  <c r="HB340" i="12"/>
  <c r="HC340" i="12"/>
  <c r="HD340" i="12"/>
  <c r="HE340" i="12"/>
  <c r="HF340" i="12"/>
  <c r="HG340" i="12"/>
  <c r="HH340" i="12"/>
  <c r="HI340" i="12"/>
  <c r="HJ340" i="12"/>
  <c r="HK340" i="12"/>
  <c r="HL340" i="12"/>
  <c r="HM340" i="12"/>
  <c r="HN340" i="12"/>
  <c r="HO340" i="12"/>
  <c r="HP340" i="12"/>
  <c r="HQ340" i="12"/>
  <c r="HR340" i="12"/>
  <c r="HS340" i="12"/>
  <c r="HT340" i="12"/>
  <c r="HU340" i="12"/>
  <c r="HV340" i="12"/>
  <c r="HW340" i="12"/>
  <c r="HX340" i="12"/>
  <c r="HY340" i="12"/>
  <c r="HZ340" i="12"/>
  <c r="IA340" i="12"/>
  <c r="IB340" i="12"/>
  <c r="IC340" i="12"/>
  <c r="ID340" i="12"/>
  <c r="IE340" i="12"/>
  <c r="IF340" i="12"/>
  <c r="IG340" i="12"/>
  <c r="IH340" i="12"/>
  <c r="II340" i="12"/>
  <c r="IJ340" i="12"/>
  <c r="IK340" i="12"/>
  <c r="IL340" i="12"/>
  <c r="IM340" i="12"/>
  <c r="IN340" i="12"/>
  <c r="IO340" i="12"/>
  <c r="IP340" i="12"/>
  <c r="IQ340" i="12"/>
  <c r="IR340" i="12"/>
  <c r="IS340" i="12"/>
  <c r="IT340" i="12"/>
  <c r="IU340" i="12"/>
  <c r="IV340" i="12"/>
  <c r="F341" i="12"/>
  <c r="G341" i="12"/>
  <c r="H341" i="12"/>
  <c r="I341" i="12"/>
  <c r="J341" i="12"/>
  <c r="K341" i="12"/>
  <c r="L341" i="12"/>
  <c r="M341" i="12"/>
  <c r="N341" i="12"/>
  <c r="O341" i="12"/>
  <c r="P341" i="12"/>
  <c r="Q341" i="12"/>
  <c r="R341" i="12"/>
  <c r="S341" i="12"/>
  <c r="T341" i="12"/>
  <c r="U341" i="12"/>
  <c r="V341" i="12"/>
  <c r="W341" i="12"/>
  <c r="X341" i="12"/>
  <c r="Y341" i="12"/>
  <c r="Z341" i="12"/>
  <c r="AA341" i="12"/>
  <c r="AB341" i="12"/>
  <c r="AC341" i="12"/>
  <c r="AD341" i="12"/>
  <c r="AE341" i="12"/>
  <c r="AF341" i="12"/>
  <c r="AG341" i="12"/>
  <c r="AH341" i="12"/>
  <c r="AI341" i="12"/>
  <c r="AJ341" i="12"/>
  <c r="AK341" i="12"/>
  <c r="AL341" i="12"/>
  <c r="AM341" i="12"/>
  <c r="AN341" i="12"/>
  <c r="AO341" i="12"/>
  <c r="AP341" i="12"/>
  <c r="AQ341" i="12"/>
  <c r="AR341" i="12"/>
  <c r="AS341" i="12"/>
  <c r="AT341" i="12"/>
  <c r="AU341" i="12"/>
  <c r="AV341" i="12"/>
  <c r="AW341" i="12"/>
  <c r="AX341" i="12"/>
  <c r="AY341" i="12"/>
  <c r="AZ341" i="12"/>
  <c r="BA341" i="12"/>
  <c r="BB341" i="12"/>
  <c r="BC341" i="12"/>
  <c r="BD341" i="12"/>
  <c r="BE341" i="12"/>
  <c r="BF341" i="12"/>
  <c r="BG341" i="12"/>
  <c r="BH341" i="12"/>
  <c r="BI341" i="12"/>
  <c r="BJ341" i="12"/>
  <c r="BK341" i="12"/>
  <c r="BL341" i="12"/>
  <c r="BM341" i="12"/>
  <c r="BN341" i="12"/>
  <c r="BO341" i="12"/>
  <c r="BP341" i="12"/>
  <c r="BQ341" i="12"/>
  <c r="BR341" i="12"/>
  <c r="BS341" i="12"/>
  <c r="BT341" i="12"/>
  <c r="BU341" i="12"/>
  <c r="BV341" i="12"/>
  <c r="BW341" i="12"/>
  <c r="BX341" i="12"/>
  <c r="BY341" i="12"/>
  <c r="BZ341" i="12"/>
  <c r="CA341" i="12"/>
  <c r="CB341" i="12"/>
  <c r="CC341" i="12"/>
  <c r="CD341" i="12"/>
  <c r="CE341" i="12"/>
  <c r="CF341" i="12"/>
  <c r="CG341" i="12"/>
  <c r="CH341" i="12"/>
  <c r="CI341" i="12"/>
  <c r="CJ341" i="12"/>
  <c r="CK341" i="12"/>
  <c r="CL341" i="12"/>
  <c r="CM341" i="12"/>
  <c r="CN341" i="12"/>
  <c r="CO341" i="12"/>
  <c r="CP341" i="12"/>
  <c r="CQ341" i="12"/>
  <c r="CR341" i="12"/>
  <c r="CS341" i="12"/>
  <c r="CT341" i="12"/>
  <c r="CU341" i="12"/>
  <c r="CV341" i="12"/>
  <c r="CW341" i="12"/>
  <c r="CX341" i="12"/>
  <c r="CY341" i="12"/>
  <c r="CZ341" i="12"/>
  <c r="DA341" i="12"/>
  <c r="DB341" i="12"/>
  <c r="DC341" i="12"/>
  <c r="DD341" i="12"/>
  <c r="DE341" i="12"/>
  <c r="DF341" i="12"/>
  <c r="DG341" i="12"/>
  <c r="DH341" i="12"/>
  <c r="DI341" i="12"/>
  <c r="DJ341" i="12"/>
  <c r="DK341" i="12"/>
  <c r="DL341" i="12"/>
  <c r="DM341" i="12"/>
  <c r="DN341" i="12"/>
  <c r="DO341" i="12"/>
  <c r="DP341" i="12"/>
  <c r="DQ341" i="12"/>
  <c r="DR341" i="12"/>
  <c r="DS341" i="12"/>
  <c r="DT341" i="12"/>
  <c r="DU341" i="12"/>
  <c r="DV341" i="12"/>
  <c r="DW341" i="12"/>
  <c r="DX341" i="12"/>
  <c r="DY341" i="12"/>
  <c r="DZ341" i="12"/>
  <c r="EA341" i="12"/>
  <c r="EB341" i="12"/>
  <c r="EC341" i="12"/>
  <c r="ED341" i="12"/>
  <c r="EE341" i="12"/>
  <c r="EF341" i="12"/>
  <c r="EG341" i="12"/>
  <c r="EH341" i="12"/>
  <c r="EI341" i="12"/>
  <c r="EJ341" i="12"/>
  <c r="EK341" i="12"/>
  <c r="EL341" i="12"/>
  <c r="EM341" i="12"/>
  <c r="EN341" i="12"/>
  <c r="EO341" i="12"/>
  <c r="EP341" i="12"/>
  <c r="EQ341" i="12"/>
  <c r="ER341" i="12"/>
  <c r="ES341" i="12"/>
  <c r="ET341" i="12"/>
  <c r="EU341" i="12"/>
  <c r="EV341" i="12"/>
  <c r="EW341" i="12"/>
  <c r="EX341" i="12"/>
  <c r="EY341" i="12"/>
  <c r="EZ341" i="12"/>
  <c r="FA341" i="12"/>
  <c r="FB341" i="12"/>
  <c r="FC341" i="12"/>
  <c r="FD341" i="12"/>
  <c r="FE341" i="12"/>
  <c r="FF341" i="12"/>
  <c r="FG341" i="12"/>
  <c r="FH341" i="12"/>
  <c r="FI341" i="12"/>
  <c r="FJ341" i="12"/>
  <c r="FK341" i="12"/>
  <c r="FL341" i="12"/>
  <c r="FM341" i="12"/>
  <c r="FN341" i="12"/>
  <c r="FO341" i="12"/>
  <c r="FP341" i="12"/>
  <c r="FQ341" i="12"/>
  <c r="FR341" i="12"/>
  <c r="FS341" i="12"/>
  <c r="FT341" i="12"/>
  <c r="FU341" i="12"/>
  <c r="FV341" i="12"/>
  <c r="FW341" i="12"/>
  <c r="FX341" i="12"/>
  <c r="FY341" i="12"/>
  <c r="FZ341" i="12"/>
  <c r="GA341" i="12"/>
  <c r="GB341" i="12"/>
  <c r="GC341" i="12"/>
  <c r="GD341" i="12"/>
  <c r="GE341" i="12"/>
  <c r="GF341" i="12"/>
  <c r="GG341" i="12"/>
  <c r="GH341" i="12"/>
  <c r="GI341" i="12"/>
  <c r="GJ341" i="12"/>
  <c r="GK341" i="12"/>
  <c r="GL341" i="12"/>
  <c r="GM341" i="12"/>
  <c r="GN341" i="12"/>
  <c r="GO341" i="12"/>
  <c r="GP341" i="12"/>
  <c r="GQ341" i="12"/>
  <c r="GR341" i="12"/>
  <c r="GS341" i="12"/>
  <c r="GT341" i="12"/>
  <c r="GU341" i="12"/>
  <c r="GV341" i="12"/>
  <c r="GW341" i="12"/>
  <c r="GX341" i="12"/>
  <c r="GY341" i="12"/>
  <c r="GZ341" i="12"/>
  <c r="HA341" i="12"/>
  <c r="HB341" i="12"/>
  <c r="HC341" i="12"/>
  <c r="HD341" i="12"/>
  <c r="HE341" i="12"/>
  <c r="HF341" i="12"/>
  <c r="HG341" i="12"/>
  <c r="HH341" i="12"/>
  <c r="HI341" i="12"/>
  <c r="HJ341" i="12"/>
  <c r="HK341" i="12"/>
  <c r="HL341" i="12"/>
  <c r="HM341" i="12"/>
  <c r="HN341" i="12"/>
  <c r="HO341" i="12"/>
  <c r="HP341" i="12"/>
  <c r="HQ341" i="12"/>
  <c r="HR341" i="12"/>
  <c r="HS341" i="12"/>
  <c r="HT341" i="12"/>
  <c r="HU341" i="12"/>
  <c r="HV341" i="12"/>
  <c r="HW341" i="12"/>
  <c r="HX341" i="12"/>
  <c r="HY341" i="12"/>
  <c r="HZ341" i="12"/>
  <c r="IA341" i="12"/>
  <c r="IB341" i="12"/>
  <c r="IC341" i="12"/>
  <c r="ID341" i="12"/>
  <c r="IE341" i="12"/>
  <c r="IF341" i="12"/>
  <c r="IG341" i="12"/>
  <c r="IH341" i="12"/>
  <c r="II341" i="12"/>
  <c r="IJ341" i="12"/>
  <c r="IK341" i="12"/>
  <c r="IL341" i="12"/>
  <c r="IM341" i="12"/>
  <c r="IN341" i="12"/>
  <c r="IO341" i="12"/>
  <c r="IP341" i="12"/>
  <c r="IQ341" i="12"/>
  <c r="IR341" i="12"/>
  <c r="IS341" i="12"/>
  <c r="IT341" i="12"/>
  <c r="IU341" i="12"/>
  <c r="IV341" i="12"/>
  <c r="F342" i="12"/>
  <c r="G342" i="12"/>
  <c r="H342" i="12"/>
  <c r="I342" i="12"/>
  <c r="J342" i="12"/>
  <c r="K342" i="12"/>
  <c r="L342" i="12"/>
  <c r="M342" i="12"/>
  <c r="N342" i="12"/>
  <c r="O342" i="12"/>
  <c r="P342" i="12"/>
  <c r="Q342" i="12"/>
  <c r="R342" i="12"/>
  <c r="S342" i="12"/>
  <c r="T342" i="12"/>
  <c r="U342" i="12"/>
  <c r="V342" i="12"/>
  <c r="W342" i="12"/>
  <c r="X342" i="12"/>
  <c r="Y342" i="12"/>
  <c r="Z342" i="12"/>
  <c r="AA342" i="12"/>
  <c r="AB342" i="12"/>
  <c r="AC342" i="12"/>
  <c r="AD342" i="12"/>
  <c r="AE342" i="12"/>
  <c r="AF342" i="12"/>
  <c r="AG342" i="12"/>
  <c r="AH342" i="12"/>
  <c r="AI342" i="12"/>
  <c r="AJ342" i="12"/>
  <c r="AK342" i="12"/>
  <c r="AL342" i="12"/>
  <c r="AM342" i="12"/>
  <c r="AN342" i="12"/>
  <c r="AO342" i="12"/>
  <c r="AP342" i="12"/>
  <c r="AQ342" i="12"/>
  <c r="AR342" i="12"/>
  <c r="AS342" i="12"/>
  <c r="AT342" i="12"/>
  <c r="AU342" i="12"/>
  <c r="AV342" i="12"/>
  <c r="AW342" i="12"/>
  <c r="AX342" i="12"/>
  <c r="AY342" i="12"/>
  <c r="AZ342" i="12"/>
  <c r="BA342" i="12"/>
  <c r="BB342" i="12"/>
  <c r="BC342" i="12"/>
  <c r="BD342" i="12"/>
  <c r="BE342" i="12"/>
  <c r="BF342" i="12"/>
  <c r="BG342" i="12"/>
  <c r="BH342" i="12"/>
  <c r="BI342" i="12"/>
  <c r="BJ342" i="12"/>
  <c r="BK342" i="12"/>
  <c r="BL342" i="12"/>
  <c r="BM342" i="12"/>
  <c r="BN342" i="12"/>
  <c r="BO342" i="12"/>
  <c r="BP342" i="12"/>
  <c r="BQ342" i="12"/>
  <c r="BR342" i="12"/>
  <c r="BS342" i="12"/>
  <c r="BT342" i="12"/>
  <c r="BU342" i="12"/>
  <c r="BV342" i="12"/>
  <c r="BW342" i="12"/>
  <c r="BX342" i="12"/>
  <c r="BY342" i="12"/>
  <c r="BZ342" i="12"/>
  <c r="CA342" i="12"/>
  <c r="CB342" i="12"/>
  <c r="CC342" i="12"/>
  <c r="CD342" i="12"/>
  <c r="CE342" i="12"/>
  <c r="CF342" i="12"/>
  <c r="CG342" i="12"/>
  <c r="CH342" i="12"/>
  <c r="CI342" i="12"/>
  <c r="CJ342" i="12"/>
  <c r="CK342" i="12"/>
  <c r="CL342" i="12"/>
  <c r="CM342" i="12"/>
  <c r="CN342" i="12"/>
  <c r="CO342" i="12"/>
  <c r="CP342" i="12"/>
  <c r="CQ342" i="12"/>
  <c r="CR342" i="12"/>
  <c r="CS342" i="12"/>
  <c r="CT342" i="12"/>
  <c r="CU342" i="12"/>
  <c r="CV342" i="12"/>
  <c r="CW342" i="12"/>
  <c r="CX342" i="12"/>
  <c r="CY342" i="12"/>
  <c r="CZ342" i="12"/>
  <c r="DA342" i="12"/>
  <c r="DB342" i="12"/>
  <c r="DC342" i="12"/>
  <c r="DD342" i="12"/>
  <c r="DE342" i="12"/>
  <c r="DF342" i="12"/>
  <c r="DG342" i="12"/>
  <c r="DH342" i="12"/>
  <c r="DI342" i="12"/>
  <c r="DJ342" i="12"/>
  <c r="DK342" i="12"/>
  <c r="DL342" i="12"/>
  <c r="DM342" i="12"/>
  <c r="DN342" i="12"/>
  <c r="DO342" i="12"/>
  <c r="DP342" i="12"/>
  <c r="DQ342" i="12"/>
  <c r="DR342" i="12"/>
  <c r="DS342" i="12"/>
  <c r="DT342" i="12"/>
  <c r="DU342" i="12"/>
  <c r="DV342" i="12"/>
  <c r="DW342" i="12"/>
  <c r="DX342" i="12"/>
  <c r="DY342" i="12"/>
  <c r="DZ342" i="12"/>
  <c r="EA342" i="12"/>
  <c r="EB342" i="12"/>
  <c r="EC342" i="12"/>
  <c r="ED342" i="12"/>
  <c r="EE342" i="12"/>
  <c r="EF342" i="12"/>
  <c r="EG342" i="12"/>
  <c r="EH342" i="12"/>
  <c r="EI342" i="12"/>
  <c r="EJ342" i="12"/>
  <c r="EK342" i="12"/>
  <c r="EL342" i="12"/>
  <c r="EM342" i="12"/>
  <c r="EN342" i="12"/>
  <c r="EO342" i="12"/>
  <c r="EP342" i="12"/>
  <c r="EQ342" i="12"/>
  <c r="ER342" i="12"/>
  <c r="ES342" i="12"/>
  <c r="ET342" i="12"/>
  <c r="EU342" i="12"/>
  <c r="EV342" i="12"/>
  <c r="EW342" i="12"/>
  <c r="EX342" i="12"/>
  <c r="EY342" i="12"/>
  <c r="EZ342" i="12"/>
  <c r="FA342" i="12"/>
  <c r="FB342" i="12"/>
  <c r="FC342" i="12"/>
  <c r="FD342" i="12"/>
  <c r="FE342" i="12"/>
  <c r="FF342" i="12"/>
  <c r="FG342" i="12"/>
  <c r="FH342" i="12"/>
  <c r="FI342" i="12"/>
  <c r="FJ342" i="12"/>
  <c r="FK342" i="12"/>
  <c r="FL342" i="12"/>
  <c r="FM342" i="12"/>
  <c r="FN342" i="12"/>
  <c r="FO342" i="12"/>
  <c r="FP342" i="12"/>
  <c r="FQ342" i="12"/>
  <c r="FR342" i="12"/>
  <c r="FS342" i="12"/>
  <c r="FT342" i="12"/>
  <c r="FU342" i="12"/>
  <c r="FV342" i="12"/>
  <c r="FW342" i="12"/>
  <c r="FX342" i="12"/>
  <c r="FY342" i="12"/>
  <c r="FZ342" i="12"/>
  <c r="GA342" i="12"/>
  <c r="GB342" i="12"/>
  <c r="GC342" i="12"/>
  <c r="GD342" i="12"/>
  <c r="GE342" i="12"/>
  <c r="GF342" i="12"/>
  <c r="GG342" i="12"/>
  <c r="GH342" i="12"/>
  <c r="GI342" i="12"/>
  <c r="GJ342" i="12"/>
  <c r="GK342" i="12"/>
  <c r="GL342" i="12"/>
  <c r="GM342" i="12"/>
  <c r="GN342" i="12"/>
  <c r="GO342" i="12"/>
  <c r="GP342" i="12"/>
  <c r="GQ342" i="12"/>
  <c r="GR342" i="12"/>
  <c r="GS342" i="12"/>
  <c r="GT342" i="12"/>
  <c r="GU342" i="12"/>
  <c r="GV342" i="12"/>
  <c r="GW342" i="12"/>
  <c r="GX342" i="12"/>
  <c r="GY342" i="12"/>
  <c r="GZ342" i="12"/>
  <c r="HA342" i="12"/>
  <c r="HB342" i="12"/>
  <c r="HC342" i="12"/>
  <c r="HD342" i="12"/>
  <c r="HE342" i="12"/>
  <c r="HF342" i="12"/>
  <c r="HG342" i="12"/>
  <c r="HH342" i="12"/>
  <c r="HI342" i="12"/>
  <c r="HJ342" i="12"/>
  <c r="HK342" i="12"/>
  <c r="HL342" i="12"/>
  <c r="HM342" i="12"/>
  <c r="HN342" i="12"/>
  <c r="HO342" i="12"/>
  <c r="HP342" i="12"/>
  <c r="HQ342" i="12"/>
  <c r="HR342" i="12"/>
  <c r="HS342" i="12"/>
  <c r="HT342" i="12"/>
  <c r="HU342" i="12"/>
  <c r="HV342" i="12"/>
  <c r="HW342" i="12"/>
  <c r="HX342" i="12"/>
  <c r="HY342" i="12"/>
  <c r="HZ342" i="12"/>
  <c r="IA342" i="12"/>
  <c r="IB342" i="12"/>
  <c r="IC342" i="12"/>
  <c r="ID342" i="12"/>
  <c r="IE342" i="12"/>
  <c r="IF342" i="12"/>
  <c r="IG342" i="12"/>
  <c r="IH342" i="12"/>
  <c r="II342" i="12"/>
  <c r="IJ342" i="12"/>
  <c r="IK342" i="12"/>
  <c r="IL342" i="12"/>
  <c r="IM342" i="12"/>
  <c r="IN342" i="12"/>
  <c r="IO342" i="12"/>
  <c r="IP342" i="12"/>
  <c r="IQ342" i="12"/>
  <c r="IR342" i="12"/>
  <c r="IS342" i="12"/>
  <c r="IT342" i="12"/>
  <c r="IU342" i="12"/>
  <c r="IV342" i="12"/>
  <c r="F343" i="12"/>
  <c r="G343" i="12"/>
  <c r="H343" i="12"/>
  <c r="I343" i="12"/>
  <c r="J343" i="12"/>
  <c r="K343" i="12"/>
  <c r="L343" i="12"/>
  <c r="M343" i="12"/>
  <c r="N343" i="12"/>
  <c r="O343" i="12"/>
  <c r="P343" i="12"/>
  <c r="Q343" i="12"/>
  <c r="R343" i="12"/>
  <c r="S343" i="12"/>
  <c r="T343" i="12"/>
  <c r="U343" i="12"/>
  <c r="V343" i="12"/>
  <c r="W343" i="12"/>
  <c r="X343" i="12"/>
  <c r="Y343" i="12"/>
  <c r="Z343" i="12"/>
  <c r="AA343" i="12"/>
  <c r="AB343" i="12"/>
  <c r="AC343" i="12"/>
  <c r="AD343" i="12"/>
  <c r="AE343" i="12"/>
  <c r="AF343" i="12"/>
  <c r="AG343" i="12"/>
  <c r="AH343" i="12"/>
  <c r="AI343" i="12"/>
  <c r="AJ343" i="12"/>
  <c r="AK343" i="12"/>
  <c r="AL343" i="12"/>
  <c r="AM343" i="12"/>
  <c r="AN343" i="12"/>
  <c r="AO343" i="12"/>
  <c r="AP343" i="12"/>
  <c r="AQ343" i="12"/>
  <c r="AR343" i="12"/>
  <c r="AS343" i="12"/>
  <c r="AT343" i="12"/>
  <c r="AU343" i="12"/>
  <c r="AV343" i="12"/>
  <c r="AW343" i="12"/>
  <c r="AX343" i="12"/>
  <c r="AY343" i="12"/>
  <c r="AZ343" i="12"/>
  <c r="BA343" i="12"/>
  <c r="BB343" i="12"/>
  <c r="BC343" i="12"/>
  <c r="BD343" i="12"/>
  <c r="BE343" i="12"/>
  <c r="BF343" i="12"/>
  <c r="BG343" i="12"/>
  <c r="BH343" i="12"/>
  <c r="BI343" i="12"/>
  <c r="BJ343" i="12"/>
  <c r="BK343" i="12"/>
  <c r="BL343" i="12"/>
  <c r="BM343" i="12"/>
  <c r="BN343" i="12"/>
  <c r="BO343" i="12"/>
  <c r="BP343" i="12"/>
  <c r="BQ343" i="12"/>
  <c r="BR343" i="12"/>
  <c r="BS343" i="12"/>
  <c r="BT343" i="12"/>
  <c r="BU343" i="12"/>
  <c r="BV343" i="12"/>
  <c r="BW343" i="12"/>
  <c r="BX343" i="12"/>
  <c r="BY343" i="12"/>
  <c r="BZ343" i="12"/>
  <c r="CA343" i="12"/>
  <c r="CB343" i="12"/>
  <c r="CC343" i="12"/>
  <c r="CD343" i="12"/>
  <c r="CE343" i="12"/>
  <c r="CF343" i="12"/>
  <c r="CG343" i="12"/>
  <c r="CH343" i="12"/>
  <c r="CI343" i="12"/>
  <c r="CJ343" i="12"/>
  <c r="CK343" i="12"/>
  <c r="CL343" i="12"/>
  <c r="CM343" i="12"/>
  <c r="CN343" i="12"/>
  <c r="CO343" i="12"/>
  <c r="CP343" i="12"/>
  <c r="CQ343" i="12"/>
  <c r="CR343" i="12"/>
  <c r="CS343" i="12"/>
  <c r="CT343" i="12"/>
  <c r="CU343" i="12"/>
  <c r="CV343" i="12"/>
  <c r="CW343" i="12"/>
  <c r="CX343" i="12"/>
  <c r="CY343" i="12"/>
  <c r="CZ343" i="12"/>
  <c r="DA343" i="12"/>
  <c r="DB343" i="12"/>
  <c r="DC343" i="12"/>
  <c r="DD343" i="12"/>
  <c r="DE343" i="12"/>
  <c r="DF343" i="12"/>
  <c r="DG343" i="12"/>
  <c r="DH343" i="12"/>
  <c r="DI343" i="12"/>
  <c r="DJ343" i="12"/>
  <c r="DK343" i="12"/>
  <c r="DL343" i="12"/>
  <c r="DM343" i="12"/>
  <c r="DN343" i="12"/>
  <c r="DO343" i="12"/>
  <c r="DP343" i="12"/>
  <c r="DQ343" i="12"/>
  <c r="DR343" i="12"/>
  <c r="DS343" i="12"/>
  <c r="DT343" i="12"/>
  <c r="DU343" i="12"/>
  <c r="DV343" i="12"/>
  <c r="DW343" i="12"/>
  <c r="DX343" i="12"/>
  <c r="DY343" i="12"/>
  <c r="DZ343" i="12"/>
  <c r="EA343" i="12"/>
  <c r="EB343" i="12"/>
  <c r="EC343" i="12"/>
  <c r="ED343" i="12"/>
  <c r="EE343" i="12"/>
  <c r="EF343" i="12"/>
  <c r="EG343" i="12"/>
  <c r="EH343" i="12"/>
  <c r="EI343" i="12"/>
  <c r="EJ343" i="12"/>
  <c r="EK343" i="12"/>
  <c r="EL343" i="12"/>
  <c r="EM343" i="12"/>
  <c r="EN343" i="12"/>
  <c r="EO343" i="12"/>
  <c r="EP343" i="12"/>
  <c r="EQ343" i="12"/>
  <c r="ER343" i="12"/>
  <c r="ES343" i="12"/>
  <c r="ET343" i="12"/>
  <c r="EU343" i="12"/>
  <c r="EV343" i="12"/>
  <c r="EW343" i="12"/>
  <c r="EX343" i="12"/>
  <c r="EY343" i="12"/>
  <c r="EZ343" i="12"/>
  <c r="FA343" i="12"/>
  <c r="FB343" i="12"/>
  <c r="FC343" i="12"/>
  <c r="FD343" i="12"/>
  <c r="FE343" i="12"/>
  <c r="FF343" i="12"/>
  <c r="FG343" i="12"/>
  <c r="FH343" i="12"/>
  <c r="FI343" i="12"/>
  <c r="FJ343" i="12"/>
  <c r="FK343" i="12"/>
  <c r="FL343" i="12"/>
  <c r="FM343" i="12"/>
  <c r="FN343" i="12"/>
  <c r="FO343" i="12"/>
  <c r="FP343" i="12"/>
  <c r="FQ343" i="12"/>
  <c r="FR343" i="12"/>
  <c r="FS343" i="12"/>
  <c r="FT343" i="12"/>
  <c r="FU343" i="12"/>
  <c r="FV343" i="12"/>
  <c r="FW343" i="12"/>
  <c r="FX343" i="12"/>
  <c r="FY343" i="12"/>
  <c r="FZ343" i="12"/>
  <c r="GA343" i="12"/>
  <c r="GB343" i="12"/>
  <c r="GC343" i="12"/>
  <c r="GD343" i="12"/>
  <c r="GE343" i="12"/>
  <c r="GF343" i="12"/>
  <c r="GG343" i="12"/>
  <c r="GH343" i="12"/>
  <c r="GI343" i="12"/>
  <c r="GJ343" i="12"/>
  <c r="GK343" i="12"/>
  <c r="GL343" i="12"/>
  <c r="GM343" i="12"/>
  <c r="GN343" i="12"/>
  <c r="GO343" i="12"/>
  <c r="GP343" i="12"/>
  <c r="GQ343" i="12"/>
  <c r="GR343" i="12"/>
  <c r="GS343" i="12"/>
  <c r="GT343" i="12"/>
  <c r="GU343" i="12"/>
  <c r="GV343" i="12"/>
  <c r="GW343" i="12"/>
  <c r="GX343" i="12"/>
  <c r="GY343" i="12"/>
  <c r="GZ343" i="12"/>
  <c r="HA343" i="12"/>
  <c r="HB343" i="12"/>
  <c r="HC343" i="12"/>
  <c r="HD343" i="12"/>
  <c r="HE343" i="12"/>
  <c r="HF343" i="12"/>
  <c r="HG343" i="12"/>
  <c r="HH343" i="12"/>
  <c r="HI343" i="12"/>
  <c r="HJ343" i="12"/>
  <c r="HK343" i="12"/>
  <c r="HL343" i="12"/>
  <c r="HM343" i="12"/>
  <c r="HN343" i="12"/>
  <c r="HO343" i="12"/>
  <c r="HP343" i="12"/>
  <c r="HQ343" i="12"/>
  <c r="HR343" i="12"/>
  <c r="HS343" i="12"/>
  <c r="HT343" i="12"/>
  <c r="HU343" i="12"/>
  <c r="HV343" i="12"/>
  <c r="HW343" i="12"/>
  <c r="HX343" i="12"/>
  <c r="HY343" i="12"/>
  <c r="HZ343" i="12"/>
  <c r="IA343" i="12"/>
  <c r="IB343" i="12"/>
  <c r="IC343" i="12"/>
  <c r="ID343" i="12"/>
  <c r="IE343" i="12"/>
  <c r="IF343" i="12"/>
  <c r="IG343" i="12"/>
  <c r="IH343" i="12"/>
  <c r="II343" i="12"/>
  <c r="IJ343" i="12"/>
  <c r="IK343" i="12"/>
  <c r="IL343" i="12"/>
  <c r="IM343" i="12"/>
  <c r="IN343" i="12"/>
  <c r="IO343" i="12"/>
  <c r="IP343" i="12"/>
  <c r="IQ343" i="12"/>
  <c r="IR343" i="12"/>
  <c r="IS343" i="12"/>
  <c r="IT343" i="12"/>
  <c r="IU343" i="12"/>
  <c r="IV343" i="12"/>
  <c r="F344" i="12"/>
  <c r="G344" i="12"/>
  <c r="H344" i="12"/>
  <c r="I344" i="12"/>
  <c r="J344" i="12"/>
  <c r="K344" i="12"/>
  <c r="L344" i="12"/>
  <c r="M344" i="12"/>
  <c r="N344" i="12"/>
  <c r="O344" i="12"/>
  <c r="P344" i="12"/>
  <c r="Q344" i="12"/>
  <c r="R344" i="12"/>
  <c r="S344" i="12"/>
  <c r="T344" i="12"/>
  <c r="U344" i="12"/>
  <c r="V344" i="12"/>
  <c r="W344" i="12"/>
  <c r="X344" i="12"/>
  <c r="Y344" i="12"/>
  <c r="Z344" i="12"/>
  <c r="AA344" i="12"/>
  <c r="AB344" i="12"/>
  <c r="AC344" i="12"/>
  <c r="AD344" i="12"/>
  <c r="AE344" i="12"/>
  <c r="AF344" i="12"/>
  <c r="AG344" i="12"/>
  <c r="AH344" i="12"/>
  <c r="AI344" i="12"/>
  <c r="AJ344" i="12"/>
  <c r="AK344" i="12"/>
  <c r="AL344" i="12"/>
  <c r="AM344" i="12"/>
  <c r="AN344" i="12"/>
  <c r="AO344" i="12"/>
  <c r="AP344" i="12"/>
  <c r="AQ344" i="12"/>
  <c r="AR344" i="12"/>
  <c r="AS344" i="12"/>
  <c r="AT344" i="12"/>
  <c r="AU344" i="12"/>
  <c r="AV344" i="12"/>
  <c r="AW344" i="12"/>
  <c r="AX344" i="12"/>
  <c r="AY344" i="12"/>
  <c r="AZ344" i="12"/>
  <c r="BA344" i="12"/>
  <c r="BB344" i="12"/>
  <c r="BC344" i="12"/>
  <c r="BD344" i="12"/>
  <c r="BE344" i="12"/>
  <c r="BF344" i="12"/>
  <c r="BG344" i="12"/>
  <c r="BH344" i="12"/>
  <c r="BI344" i="12"/>
  <c r="BJ344" i="12"/>
  <c r="BK344" i="12"/>
  <c r="BL344" i="12"/>
  <c r="BM344" i="12"/>
  <c r="BN344" i="12"/>
  <c r="BO344" i="12"/>
  <c r="BP344" i="12"/>
  <c r="BQ344" i="12"/>
  <c r="BR344" i="12"/>
  <c r="BS344" i="12"/>
  <c r="BT344" i="12"/>
  <c r="BU344" i="12"/>
  <c r="BV344" i="12"/>
  <c r="BW344" i="12"/>
  <c r="BX344" i="12"/>
  <c r="BY344" i="12"/>
  <c r="BZ344" i="12"/>
  <c r="CA344" i="12"/>
  <c r="CB344" i="12"/>
  <c r="CC344" i="12"/>
  <c r="CD344" i="12"/>
  <c r="CE344" i="12"/>
  <c r="CF344" i="12"/>
  <c r="CG344" i="12"/>
  <c r="CH344" i="12"/>
  <c r="CI344" i="12"/>
  <c r="CJ344" i="12"/>
  <c r="CK344" i="12"/>
  <c r="CL344" i="12"/>
  <c r="CM344" i="12"/>
  <c r="CN344" i="12"/>
  <c r="CO344" i="12"/>
  <c r="CP344" i="12"/>
  <c r="CQ344" i="12"/>
  <c r="CR344" i="12"/>
  <c r="CS344" i="12"/>
  <c r="CT344" i="12"/>
  <c r="CU344" i="12"/>
  <c r="CV344" i="12"/>
  <c r="CW344" i="12"/>
  <c r="CX344" i="12"/>
  <c r="CY344" i="12"/>
  <c r="CZ344" i="12"/>
  <c r="DA344" i="12"/>
  <c r="DB344" i="12"/>
  <c r="DC344" i="12"/>
  <c r="DD344" i="12"/>
  <c r="DE344" i="12"/>
  <c r="DF344" i="12"/>
  <c r="DG344" i="12"/>
  <c r="DH344" i="12"/>
  <c r="DI344" i="12"/>
  <c r="DJ344" i="12"/>
  <c r="DK344" i="12"/>
  <c r="DL344" i="12"/>
  <c r="DM344" i="12"/>
  <c r="DN344" i="12"/>
  <c r="DO344" i="12"/>
  <c r="DP344" i="12"/>
  <c r="DQ344" i="12"/>
  <c r="DR344" i="12"/>
  <c r="DS344" i="12"/>
  <c r="DT344" i="12"/>
  <c r="DU344" i="12"/>
  <c r="DV344" i="12"/>
  <c r="DW344" i="12"/>
  <c r="DX344" i="12"/>
  <c r="DY344" i="12"/>
  <c r="DZ344" i="12"/>
  <c r="EA344" i="12"/>
  <c r="EB344" i="12"/>
  <c r="EC344" i="12"/>
  <c r="ED344" i="12"/>
  <c r="EE344" i="12"/>
  <c r="EF344" i="12"/>
  <c r="EG344" i="12"/>
  <c r="EH344" i="12"/>
  <c r="EI344" i="12"/>
  <c r="EJ344" i="12"/>
  <c r="EK344" i="12"/>
  <c r="EL344" i="12"/>
  <c r="EM344" i="12"/>
  <c r="EN344" i="12"/>
  <c r="EO344" i="12"/>
  <c r="EP344" i="12"/>
  <c r="EQ344" i="12"/>
  <c r="ER344" i="12"/>
  <c r="ES344" i="12"/>
  <c r="ET344" i="12"/>
  <c r="EU344" i="12"/>
  <c r="EV344" i="12"/>
  <c r="EW344" i="12"/>
  <c r="EX344" i="12"/>
  <c r="EY344" i="12"/>
  <c r="EZ344" i="12"/>
  <c r="FA344" i="12"/>
  <c r="FB344" i="12"/>
  <c r="FC344" i="12"/>
  <c r="FD344" i="12"/>
  <c r="FE344" i="12"/>
  <c r="FF344" i="12"/>
  <c r="FG344" i="12"/>
  <c r="FH344" i="12"/>
  <c r="FI344" i="12"/>
  <c r="FJ344" i="12"/>
  <c r="FK344" i="12"/>
  <c r="FL344" i="12"/>
  <c r="FM344" i="12"/>
  <c r="FN344" i="12"/>
  <c r="FO344" i="12"/>
  <c r="FP344" i="12"/>
  <c r="FQ344" i="12"/>
  <c r="FR344" i="12"/>
  <c r="FS344" i="12"/>
  <c r="FT344" i="12"/>
  <c r="FU344" i="12"/>
  <c r="FV344" i="12"/>
  <c r="FW344" i="12"/>
  <c r="FX344" i="12"/>
  <c r="FY344" i="12"/>
  <c r="FZ344" i="12"/>
  <c r="GA344" i="12"/>
  <c r="GB344" i="12"/>
  <c r="GC344" i="12"/>
  <c r="GD344" i="12"/>
  <c r="GE344" i="12"/>
  <c r="GF344" i="12"/>
  <c r="GG344" i="12"/>
  <c r="GH344" i="12"/>
  <c r="GI344" i="12"/>
  <c r="GJ344" i="12"/>
  <c r="GK344" i="12"/>
  <c r="GL344" i="12"/>
  <c r="GM344" i="12"/>
  <c r="GN344" i="12"/>
  <c r="GO344" i="12"/>
  <c r="GP344" i="12"/>
  <c r="GQ344" i="12"/>
  <c r="GR344" i="12"/>
  <c r="GS344" i="12"/>
  <c r="GT344" i="12"/>
  <c r="GU344" i="12"/>
  <c r="GV344" i="12"/>
  <c r="GW344" i="12"/>
  <c r="GX344" i="12"/>
  <c r="GY344" i="12"/>
  <c r="GZ344" i="12"/>
  <c r="HA344" i="12"/>
  <c r="HB344" i="12"/>
  <c r="HC344" i="12"/>
  <c r="HD344" i="12"/>
  <c r="HE344" i="12"/>
  <c r="HF344" i="12"/>
  <c r="HG344" i="12"/>
  <c r="HH344" i="12"/>
  <c r="HI344" i="12"/>
  <c r="HJ344" i="12"/>
  <c r="HK344" i="12"/>
  <c r="HL344" i="12"/>
  <c r="HM344" i="12"/>
  <c r="HN344" i="12"/>
  <c r="HO344" i="12"/>
  <c r="HP344" i="12"/>
  <c r="HQ344" i="12"/>
  <c r="HR344" i="12"/>
  <c r="HS344" i="12"/>
  <c r="HT344" i="12"/>
  <c r="HU344" i="12"/>
  <c r="HV344" i="12"/>
  <c r="HW344" i="12"/>
  <c r="HX344" i="12"/>
  <c r="HY344" i="12"/>
  <c r="HZ344" i="12"/>
  <c r="IA344" i="12"/>
  <c r="IB344" i="12"/>
  <c r="IC344" i="12"/>
  <c r="ID344" i="12"/>
  <c r="IE344" i="12"/>
  <c r="IF344" i="12"/>
  <c r="IG344" i="12"/>
  <c r="IH344" i="12"/>
  <c r="II344" i="12"/>
  <c r="IJ344" i="12"/>
  <c r="IK344" i="12"/>
  <c r="IL344" i="12"/>
  <c r="IM344" i="12"/>
  <c r="IN344" i="12"/>
  <c r="IO344" i="12"/>
  <c r="IP344" i="12"/>
  <c r="IQ344" i="12"/>
  <c r="IR344" i="12"/>
  <c r="IS344" i="12"/>
  <c r="IT344" i="12"/>
  <c r="IU344" i="12"/>
  <c r="IV344" i="12"/>
  <c r="F345" i="12"/>
  <c r="G345" i="12"/>
  <c r="H345" i="12"/>
  <c r="I345" i="12"/>
  <c r="J345" i="12"/>
  <c r="K345" i="12"/>
  <c r="L345" i="12"/>
  <c r="M345" i="12"/>
  <c r="N345" i="12"/>
  <c r="O345" i="12"/>
  <c r="P345" i="12"/>
  <c r="Q345" i="12"/>
  <c r="R345" i="12"/>
  <c r="S345" i="12"/>
  <c r="T345" i="12"/>
  <c r="U345" i="12"/>
  <c r="V345" i="12"/>
  <c r="W345" i="12"/>
  <c r="X345" i="12"/>
  <c r="Y345" i="12"/>
  <c r="Z345" i="12"/>
  <c r="AA345" i="12"/>
  <c r="AB345" i="12"/>
  <c r="AC345" i="12"/>
  <c r="AD345" i="12"/>
  <c r="AE345" i="12"/>
  <c r="AF345" i="12"/>
  <c r="AG345" i="12"/>
  <c r="AH345" i="12"/>
  <c r="AI345" i="12"/>
  <c r="AJ345" i="12"/>
  <c r="AK345" i="12"/>
  <c r="AL345" i="12"/>
  <c r="AM345" i="12"/>
  <c r="AN345" i="12"/>
  <c r="AO345" i="12"/>
  <c r="AP345" i="12"/>
  <c r="AQ345" i="12"/>
  <c r="AR345" i="12"/>
  <c r="AS345" i="12"/>
  <c r="AT345" i="12"/>
  <c r="AU345" i="12"/>
  <c r="AV345" i="12"/>
  <c r="AW345" i="12"/>
  <c r="AX345" i="12"/>
  <c r="AY345" i="12"/>
  <c r="AZ345" i="12"/>
  <c r="BA345" i="12"/>
  <c r="BB345" i="12"/>
  <c r="BC345" i="12"/>
  <c r="BD345" i="12"/>
  <c r="BE345" i="12"/>
  <c r="BF345" i="12"/>
  <c r="BG345" i="12"/>
  <c r="BH345" i="12"/>
  <c r="BI345" i="12"/>
  <c r="BJ345" i="12"/>
  <c r="BK345" i="12"/>
  <c r="BL345" i="12"/>
  <c r="BM345" i="12"/>
  <c r="BN345" i="12"/>
  <c r="BO345" i="12"/>
  <c r="BP345" i="12"/>
  <c r="BQ345" i="12"/>
  <c r="BR345" i="12"/>
  <c r="BS345" i="12"/>
  <c r="BT345" i="12"/>
  <c r="BU345" i="12"/>
  <c r="BV345" i="12"/>
  <c r="BW345" i="12"/>
  <c r="BX345" i="12"/>
  <c r="BY345" i="12"/>
  <c r="BZ345" i="12"/>
  <c r="CA345" i="12"/>
  <c r="CB345" i="12"/>
  <c r="CC345" i="12"/>
  <c r="CD345" i="12"/>
  <c r="CE345" i="12"/>
  <c r="CF345" i="12"/>
  <c r="CG345" i="12"/>
  <c r="CH345" i="12"/>
  <c r="CI345" i="12"/>
  <c r="CJ345" i="12"/>
  <c r="CK345" i="12"/>
  <c r="CL345" i="12"/>
  <c r="CM345" i="12"/>
  <c r="CN345" i="12"/>
  <c r="CO345" i="12"/>
  <c r="CP345" i="12"/>
  <c r="CQ345" i="12"/>
  <c r="CR345" i="12"/>
  <c r="CS345" i="12"/>
  <c r="CT345" i="12"/>
  <c r="CU345" i="12"/>
  <c r="CV345" i="12"/>
  <c r="CW345" i="12"/>
  <c r="CX345" i="12"/>
  <c r="CY345" i="12"/>
  <c r="CZ345" i="12"/>
  <c r="DA345" i="12"/>
  <c r="DB345" i="12"/>
  <c r="DC345" i="12"/>
  <c r="DD345" i="12"/>
  <c r="DE345" i="12"/>
  <c r="DF345" i="12"/>
  <c r="DG345" i="12"/>
  <c r="DH345" i="12"/>
  <c r="DI345" i="12"/>
  <c r="DJ345" i="12"/>
  <c r="DK345" i="12"/>
  <c r="DL345" i="12"/>
  <c r="DM345" i="12"/>
  <c r="DN345" i="12"/>
  <c r="DO345" i="12"/>
  <c r="DP345" i="12"/>
  <c r="DQ345" i="12"/>
  <c r="DR345" i="12"/>
  <c r="DS345" i="12"/>
  <c r="DT345" i="12"/>
  <c r="DU345" i="12"/>
  <c r="DV345" i="12"/>
  <c r="DW345" i="12"/>
  <c r="DX345" i="12"/>
  <c r="DY345" i="12"/>
  <c r="DZ345" i="12"/>
  <c r="EA345" i="12"/>
  <c r="EB345" i="12"/>
  <c r="EC345" i="12"/>
  <c r="ED345" i="12"/>
  <c r="EE345" i="12"/>
  <c r="EF345" i="12"/>
  <c r="EG345" i="12"/>
  <c r="EH345" i="12"/>
  <c r="EI345" i="12"/>
  <c r="EJ345" i="12"/>
  <c r="EK345" i="12"/>
  <c r="EL345" i="12"/>
  <c r="EM345" i="12"/>
  <c r="EN345" i="12"/>
  <c r="EO345" i="12"/>
  <c r="EP345" i="12"/>
  <c r="EQ345" i="12"/>
  <c r="ER345" i="12"/>
  <c r="ES345" i="12"/>
  <c r="ET345" i="12"/>
  <c r="EU345" i="12"/>
  <c r="EV345" i="12"/>
  <c r="EW345" i="12"/>
  <c r="EX345" i="12"/>
  <c r="EY345" i="12"/>
  <c r="EZ345" i="12"/>
  <c r="FA345" i="12"/>
  <c r="FB345" i="12"/>
  <c r="FC345" i="12"/>
  <c r="FD345" i="12"/>
  <c r="FE345" i="12"/>
  <c r="FF345" i="12"/>
  <c r="FG345" i="12"/>
  <c r="FH345" i="12"/>
  <c r="FI345" i="12"/>
  <c r="FJ345" i="12"/>
  <c r="FK345" i="12"/>
  <c r="FL345" i="12"/>
  <c r="FM345" i="12"/>
  <c r="FN345" i="12"/>
  <c r="FO345" i="12"/>
  <c r="FP345" i="12"/>
  <c r="FQ345" i="12"/>
  <c r="FR345" i="12"/>
  <c r="FS345" i="12"/>
  <c r="FT345" i="12"/>
  <c r="FU345" i="12"/>
  <c r="FV345" i="12"/>
  <c r="FW345" i="12"/>
  <c r="FX345" i="12"/>
  <c r="FY345" i="12"/>
  <c r="FZ345" i="12"/>
  <c r="GA345" i="12"/>
  <c r="GB345" i="12"/>
  <c r="GC345" i="12"/>
  <c r="GD345" i="12"/>
  <c r="GE345" i="12"/>
  <c r="GF345" i="12"/>
  <c r="GG345" i="12"/>
  <c r="GH345" i="12"/>
  <c r="GI345" i="12"/>
  <c r="GJ345" i="12"/>
  <c r="GK345" i="12"/>
  <c r="GL345" i="12"/>
  <c r="GM345" i="12"/>
  <c r="GN345" i="12"/>
  <c r="GO345" i="12"/>
  <c r="GP345" i="12"/>
  <c r="GQ345" i="12"/>
  <c r="GR345" i="12"/>
  <c r="GS345" i="12"/>
  <c r="GT345" i="12"/>
  <c r="GU345" i="12"/>
  <c r="GV345" i="12"/>
  <c r="GW345" i="12"/>
  <c r="GX345" i="12"/>
  <c r="GY345" i="12"/>
  <c r="GZ345" i="12"/>
  <c r="HA345" i="12"/>
  <c r="HB345" i="12"/>
  <c r="HC345" i="12"/>
  <c r="HD345" i="12"/>
  <c r="HE345" i="12"/>
  <c r="HF345" i="12"/>
  <c r="HG345" i="12"/>
  <c r="HH345" i="12"/>
  <c r="HI345" i="12"/>
  <c r="HJ345" i="12"/>
  <c r="HK345" i="12"/>
  <c r="HL345" i="12"/>
  <c r="HM345" i="12"/>
  <c r="HN345" i="12"/>
  <c r="HO345" i="12"/>
  <c r="HP345" i="12"/>
  <c r="HQ345" i="12"/>
  <c r="HR345" i="12"/>
  <c r="HS345" i="12"/>
  <c r="HT345" i="12"/>
  <c r="HU345" i="12"/>
  <c r="HV345" i="12"/>
  <c r="HW345" i="12"/>
  <c r="HX345" i="12"/>
  <c r="HY345" i="12"/>
  <c r="HZ345" i="12"/>
  <c r="IA345" i="12"/>
  <c r="IB345" i="12"/>
  <c r="IC345" i="12"/>
  <c r="ID345" i="12"/>
  <c r="IE345" i="12"/>
  <c r="IF345" i="12"/>
  <c r="IG345" i="12"/>
  <c r="IH345" i="12"/>
  <c r="II345" i="12"/>
  <c r="IJ345" i="12"/>
  <c r="IK345" i="12"/>
  <c r="IL345" i="12"/>
  <c r="IM345" i="12"/>
  <c r="IN345" i="12"/>
  <c r="IO345" i="12"/>
  <c r="IP345" i="12"/>
  <c r="IQ345" i="12"/>
  <c r="IR345" i="12"/>
  <c r="IS345" i="12"/>
  <c r="IT345" i="12"/>
  <c r="IU345" i="12"/>
  <c r="IV345" i="12"/>
  <c r="F346" i="12"/>
  <c r="G346" i="12"/>
  <c r="H346" i="12"/>
  <c r="I346" i="12"/>
  <c r="J346" i="12"/>
  <c r="K346" i="12"/>
  <c r="L346" i="12"/>
  <c r="M346" i="12"/>
  <c r="N346" i="12"/>
  <c r="O346" i="12"/>
  <c r="P346" i="12"/>
  <c r="Q346" i="12"/>
  <c r="R346" i="12"/>
  <c r="S346" i="12"/>
  <c r="T346" i="12"/>
  <c r="U346" i="12"/>
  <c r="V346" i="12"/>
  <c r="W346" i="12"/>
  <c r="X346" i="12"/>
  <c r="Y346" i="12"/>
  <c r="Z346" i="12"/>
  <c r="AA346" i="12"/>
  <c r="AB346" i="12"/>
  <c r="AC346" i="12"/>
  <c r="AD346" i="12"/>
  <c r="AE346" i="12"/>
  <c r="AF346" i="12"/>
  <c r="AG346" i="12"/>
  <c r="AH346" i="12"/>
  <c r="AI346" i="12"/>
  <c r="AJ346" i="12"/>
  <c r="AK346" i="12"/>
  <c r="AL346" i="12"/>
  <c r="AM346" i="12"/>
  <c r="AN346" i="12"/>
  <c r="AO346" i="12"/>
  <c r="AP346" i="12"/>
  <c r="AQ346" i="12"/>
  <c r="AR346" i="12"/>
  <c r="AS346" i="12"/>
  <c r="AT346" i="12"/>
  <c r="AU346" i="12"/>
  <c r="AV346" i="12"/>
  <c r="AW346" i="12"/>
  <c r="AX346" i="12"/>
  <c r="AY346" i="12"/>
  <c r="AZ346" i="12"/>
  <c r="BA346" i="12"/>
  <c r="BB346" i="12"/>
  <c r="BC346" i="12"/>
  <c r="BD346" i="12"/>
  <c r="BE346" i="12"/>
  <c r="BF346" i="12"/>
  <c r="BG346" i="12"/>
  <c r="BH346" i="12"/>
  <c r="BI346" i="12"/>
  <c r="BJ346" i="12"/>
  <c r="BK346" i="12"/>
  <c r="BL346" i="12"/>
  <c r="BM346" i="12"/>
  <c r="BN346" i="12"/>
  <c r="BO346" i="12"/>
  <c r="BP346" i="12"/>
  <c r="BQ346" i="12"/>
  <c r="BR346" i="12"/>
  <c r="BS346" i="12"/>
  <c r="BT346" i="12"/>
  <c r="BU346" i="12"/>
  <c r="BV346" i="12"/>
  <c r="BW346" i="12"/>
  <c r="BX346" i="12"/>
  <c r="BY346" i="12"/>
  <c r="BZ346" i="12"/>
  <c r="CA346" i="12"/>
  <c r="CB346" i="12"/>
  <c r="CC346" i="12"/>
  <c r="CD346" i="12"/>
  <c r="CE346" i="12"/>
  <c r="CF346" i="12"/>
  <c r="CG346" i="12"/>
  <c r="CH346" i="12"/>
  <c r="CI346" i="12"/>
  <c r="CJ346" i="12"/>
  <c r="CK346" i="12"/>
  <c r="CL346" i="12"/>
  <c r="CM346" i="12"/>
  <c r="CN346" i="12"/>
  <c r="CO346" i="12"/>
  <c r="CP346" i="12"/>
  <c r="CQ346" i="12"/>
  <c r="CR346" i="12"/>
  <c r="CS346" i="12"/>
  <c r="CT346" i="12"/>
  <c r="CU346" i="12"/>
  <c r="CV346" i="12"/>
  <c r="CW346" i="12"/>
  <c r="CX346" i="12"/>
  <c r="CY346" i="12"/>
  <c r="CZ346" i="12"/>
  <c r="DA346" i="12"/>
  <c r="DB346" i="12"/>
  <c r="DC346" i="12"/>
  <c r="DD346" i="12"/>
  <c r="DE346" i="12"/>
  <c r="DF346" i="12"/>
  <c r="DG346" i="12"/>
  <c r="DH346" i="12"/>
  <c r="DI346" i="12"/>
  <c r="DJ346" i="12"/>
  <c r="DK346" i="12"/>
  <c r="DL346" i="12"/>
  <c r="DM346" i="12"/>
  <c r="DN346" i="12"/>
  <c r="DO346" i="12"/>
  <c r="DP346" i="12"/>
  <c r="DQ346" i="12"/>
  <c r="DR346" i="12"/>
  <c r="DS346" i="12"/>
  <c r="DT346" i="12"/>
  <c r="DU346" i="12"/>
  <c r="DV346" i="12"/>
  <c r="DW346" i="12"/>
  <c r="DX346" i="12"/>
  <c r="DY346" i="12"/>
  <c r="DZ346" i="12"/>
  <c r="EA346" i="12"/>
  <c r="EB346" i="12"/>
  <c r="EC346" i="12"/>
  <c r="ED346" i="12"/>
  <c r="EE346" i="12"/>
  <c r="EF346" i="12"/>
  <c r="EG346" i="12"/>
  <c r="EH346" i="12"/>
  <c r="EI346" i="12"/>
  <c r="EJ346" i="12"/>
  <c r="EK346" i="12"/>
  <c r="EL346" i="12"/>
  <c r="EM346" i="12"/>
  <c r="EN346" i="12"/>
  <c r="EO346" i="12"/>
  <c r="EP346" i="12"/>
  <c r="EQ346" i="12"/>
  <c r="ER346" i="12"/>
  <c r="ES346" i="12"/>
  <c r="ET346" i="12"/>
  <c r="EU346" i="12"/>
  <c r="EV346" i="12"/>
  <c r="EW346" i="12"/>
  <c r="EX346" i="12"/>
  <c r="EY346" i="12"/>
  <c r="EZ346" i="12"/>
  <c r="FA346" i="12"/>
  <c r="FB346" i="12"/>
  <c r="FC346" i="12"/>
  <c r="FD346" i="12"/>
  <c r="FE346" i="12"/>
  <c r="FF346" i="12"/>
  <c r="FG346" i="12"/>
  <c r="FH346" i="12"/>
  <c r="FI346" i="12"/>
  <c r="FJ346" i="12"/>
  <c r="FK346" i="12"/>
  <c r="FL346" i="12"/>
  <c r="FM346" i="12"/>
  <c r="FN346" i="12"/>
  <c r="FO346" i="12"/>
  <c r="FP346" i="12"/>
  <c r="FQ346" i="12"/>
  <c r="FR346" i="12"/>
  <c r="FS346" i="12"/>
  <c r="FT346" i="12"/>
  <c r="FU346" i="12"/>
  <c r="FV346" i="12"/>
  <c r="FW346" i="12"/>
  <c r="FX346" i="12"/>
  <c r="FY346" i="12"/>
  <c r="FZ346" i="12"/>
  <c r="GA346" i="12"/>
  <c r="GB346" i="12"/>
  <c r="GC346" i="12"/>
  <c r="GD346" i="12"/>
  <c r="GE346" i="12"/>
  <c r="GF346" i="12"/>
  <c r="GG346" i="12"/>
  <c r="GH346" i="12"/>
  <c r="GI346" i="12"/>
  <c r="GJ346" i="12"/>
  <c r="GK346" i="12"/>
  <c r="GL346" i="12"/>
  <c r="GM346" i="12"/>
  <c r="GN346" i="12"/>
  <c r="GO346" i="12"/>
  <c r="GP346" i="12"/>
  <c r="GQ346" i="12"/>
  <c r="GR346" i="12"/>
  <c r="GS346" i="12"/>
  <c r="GT346" i="12"/>
  <c r="GU346" i="12"/>
  <c r="GV346" i="12"/>
  <c r="GW346" i="12"/>
  <c r="GX346" i="12"/>
  <c r="GY346" i="12"/>
  <c r="GZ346" i="12"/>
  <c r="HA346" i="12"/>
  <c r="HB346" i="12"/>
  <c r="HC346" i="12"/>
  <c r="HD346" i="12"/>
  <c r="HE346" i="12"/>
  <c r="HF346" i="12"/>
  <c r="HG346" i="12"/>
  <c r="HH346" i="12"/>
  <c r="HI346" i="12"/>
  <c r="HJ346" i="12"/>
  <c r="HK346" i="12"/>
  <c r="HL346" i="12"/>
  <c r="HM346" i="12"/>
  <c r="HN346" i="12"/>
  <c r="HO346" i="12"/>
  <c r="HP346" i="12"/>
  <c r="HQ346" i="12"/>
  <c r="HR346" i="12"/>
  <c r="HS346" i="12"/>
  <c r="HT346" i="12"/>
  <c r="HU346" i="12"/>
  <c r="HV346" i="12"/>
  <c r="HW346" i="12"/>
  <c r="HX346" i="12"/>
  <c r="HY346" i="12"/>
  <c r="HZ346" i="12"/>
  <c r="IA346" i="12"/>
  <c r="IB346" i="12"/>
  <c r="IC346" i="12"/>
  <c r="ID346" i="12"/>
  <c r="IE346" i="12"/>
  <c r="IF346" i="12"/>
  <c r="IG346" i="12"/>
  <c r="IH346" i="12"/>
  <c r="II346" i="12"/>
  <c r="IJ346" i="12"/>
  <c r="IK346" i="12"/>
  <c r="IL346" i="12"/>
  <c r="IM346" i="12"/>
  <c r="IN346" i="12"/>
  <c r="IO346" i="12"/>
  <c r="IP346" i="12"/>
  <c r="IQ346" i="12"/>
  <c r="IR346" i="12"/>
  <c r="IS346" i="12"/>
  <c r="IT346" i="12"/>
  <c r="IU346" i="12"/>
  <c r="IV346" i="12"/>
  <c r="F347" i="12"/>
  <c r="G347" i="12"/>
  <c r="H347" i="12"/>
  <c r="I347" i="12"/>
  <c r="J347" i="12"/>
  <c r="K347" i="12"/>
  <c r="L347" i="12"/>
  <c r="M347" i="12"/>
  <c r="N347" i="12"/>
  <c r="O347" i="12"/>
  <c r="P347" i="12"/>
  <c r="Q347" i="12"/>
  <c r="R347" i="12"/>
  <c r="S347" i="12"/>
  <c r="T347" i="12"/>
  <c r="U347" i="12"/>
  <c r="V347" i="12"/>
  <c r="W347" i="12"/>
  <c r="X347" i="12"/>
  <c r="Y347" i="12"/>
  <c r="Z347" i="12"/>
  <c r="AA347" i="12"/>
  <c r="AB347" i="12"/>
  <c r="AC347" i="12"/>
  <c r="AD347" i="12"/>
  <c r="AE347" i="12"/>
  <c r="AF347" i="12"/>
  <c r="AG347" i="12"/>
  <c r="AH347" i="12"/>
  <c r="AI347" i="12"/>
  <c r="AJ347" i="12"/>
  <c r="AK347" i="12"/>
  <c r="AL347" i="12"/>
  <c r="AM347" i="12"/>
  <c r="AN347" i="12"/>
  <c r="AO347" i="12"/>
  <c r="AP347" i="12"/>
  <c r="AQ347" i="12"/>
  <c r="AR347" i="12"/>
  <c r="AS347" i="12"/>
  <c r="AT347" i="12"/>
  <c r="AU347" i="12"/>
  <c r="AV347" i="12"/>
  <c r="AW347" i="12"/>
  <c r="AX347" i="12"/>
  <c r="AY347" i="12"/>
  <c r="AZ347" i="12"/>
  <c r="BA347" i="12"/>
  <c r="BB347" i="12"/>
  <c r="BC347" i="12"/>
  <c r="BD347" i="12"/>
  <c r="BE347" i="12"/>
  <c r="BF347" i="12"/>
  <c r="BG347" i="12"/>
  <c r="BH347" i="12"/>
  <c r="BI347" i="12"/>
  <c r="BJ347" i="12"/>
  <c r="BK347" i="12"/>
  <c r="BL347" i="12"/>
  <c r="BM347" i="12"/>
  <c r="BN347" i="12"/>
  <c r="BO347" i="12"/>
  <c r="BP347" i="12"/>
  <c r="BQ347" i="12"/>
  <c r="BR347" i="12"/>
  <c r="BS347" i="12"/>
  <c r="BT347" i="12"/>
  <c r="BU347" i="12"/>
  <c r="BV347" i="12"/>
  <c r="BW347" i="12"/>
  <c r="BX347" i="12"/>
  <c r="BY347" i="12"/>
  <c r="BZ347" i="12"/>
  <c r="CA347" i="12"/>
  <c r="CB347" i="12"/>
  <c r="CC347" i="12"/>
  <c r="CD347" i="12"/>
  <c r="CE347" i="12"/>
  <c r="CF347" i="12"/>
  <c r="CG347" i="12"/>
  <c r="CH347" i="12"/>
  <c r="CI347" i="12"/>
  <c r="CJ347" i="12"/>
  <c r="CK347" i="12"/>
  <c r="CL347" i="12"/>
  <c r="CM347" i="12"/>
  <c r="CN347" i="12"/>
  <c r="CO347" i="12"/>
  <c r="CP347" i="12"/>
  <c r="CQ347" i="12"/>
  <c r="CR347" i="12"/>
  <c r="CS347" i="12"/>
  <c r="CT347" i="12"/>
  <c r="CU347" i="12"/>
  <c r="CV347" i="12"/>
  <c r="CW347" i="12"/>
  <c r="CX347" i="12"/>
  <c r="CY347" i="12"/>
  <c r="CZ347" i="12"/>
  <c r="DA347" i="12"/>
  <c r="DB347" i="12"/>
  <c r="DC347" i="12"/>
  <c r="DD347" i="12"/>
  <c r="DE347" i="12"/>
  <c r="DF347" i="12"/>
  <c r="DG347" i="12"/>
  <c r="DH347" i="12"/>
  <c r="DI347" i="12"/>
  <c r="DJ347" i="12"/>
  <c r="DK347" i="12"/>
  <c r="DL347" i="12"/>
  <c r="DM347" i="12"/>
  <c r="DN347" i="12"/>
  <c r="DO347" i="12"/>
  <c r="DP347" i="12"/>
  <c r="DQ347" i="12"/>
  <c r="DR347" i="12"/>
  <c r="DS347" i="12"/>
  <c r="DT347" i="12"/>
  <c r="DU347" i="12"/>
  <c r="DV347" i="12"/>
  <c r="DW347" i="12"/>
  <c r="DX347" i="12"/>
  <c r="DY347" i="12"/>
  <c r="DZ347" i="12"/>
  <c r="EA347" i="12"/>
  <c r="EB347" i="12"/>
  <c r="EC347" i="12"/>
  <c r="ED347" i="12"/>
  <c r="EE347" i="12"/>
  <c r="EF347" i="12"/>
  <c r="EG347" i="12"/>
  <c r="EH347" i="12"/>
  <c r="EI347" i="12"/>
  <c r="EJ347" i="12"/>
  <c r="EK347" i="12"/>
  <c r="EL347" i="12"/>
  <c r="EM347" i="12"/>
  <c r="EN347" i="12"/>
  <c r="EO347" i="12"/>
  <c r="EP347" i="12"/>
  <c r="EQ347" i="12"/>
  <c r="ER347" i="12"/>
  <c r="ES347" i="12"/>
  <c r="ET347" i="12"/>
  <c r="EU347" i="12"/>
  <c r="EV347" i="12"/>
  <c r="EW347" i="12"/>
  <c r="EX347" i="12"/>
  <c r="EY347" i="12"/>
  <c r="EZ347" i="12"/>
  <c r="FA347" i="12"/>
  <c r="FB347" i="12"/>
  <c r="FC347" i="12"/>
  <c r="FD347" i="12"/>
  <c r="FE347" i="12"/>
  <c r="FF347" i="12"/>
  <c r="FG347" i="12"/>
  <c r="FH347" i="12"/>
  <c r="FI347" i="12"/>
  <c r="FJ347" i="12"/>
  <c r="FK347" i="12"/>
  <c r="FL347" i="12"/>
  <c r="FM347" i="12"/>
  <c r="FN347" i="12"/>
  <c r="FO347" i="12"/>
  <c r="FP347" i="12"/>
  <c r="FQ347" i="12"/>
  <c r="FR347" i="12"/>
  <c r="FS347" i="12"/>
  <c r="FT347" i="12"/>
  <c r="FU347" i="12"/>
  <c r="FV347" i="12"/>
  <c r="FW347" i="12"/>
  <c r="FX347" i="12"/>
  <c r="FY347" i="12"/>
  <c r="FZ347" i="12"/>
  <c r="GA347" i="12"/>
  <c r="GB347" i="12"/>
  <c r="GC347" i="12"/>
  <c r="GD347" i="12"/>
  <c r="GE347" i="12"/>
  <c r="GF347" i="12"/>
  <c r="GG347" i="12"/>
  <c r="GH347" i="12"/>
  <c r="GI347" i="12"/>
  <c r="GJ347" i="12"/>
  <c r="GK347" i="12"/>
  <c r="GL347" i="12"/>
  <c r="GM347" i="12"/>
  <c r="GN347" i="12"/>
  <c r="GO347" i="12"/>
  <c r="GP347" i="12"/>
  <c r="GQ347" i="12"/>
  <c r="GR347" i="12"/>
  <c r="GS347" i="12"/>
  <c r="GT347" i="12"/>
  <c r="GU347" i="12"/>
  <c r="GV347" i="12"/>
  <c r="GW347" i="12"/>
  <c r="GX347" i="12"/>
  <c r="GY347" i="12"/>
  <c r="GZ347" i="12"/>
  <c r="HA347" i="12"/>
  <c r="HB347" i="12"/>
  <c r="HC347" i="12"/>
  <c r="HD347" i="12"/>
  <c r="HE347" i="12"/>
  <c r="HF347" i="12"/>
  <c r="HG347" i="12"/>
  <c r="HH347" i="12"/>
  <c r="HI347" i="12"/>
  <c r="HJ347" i="12"/>
  <c r="HK347" i="12"/>
  <c r="HL347" i="12"/>
  <c r="HM347" i="12"/>
  <c r="HN347" i="12"/>
  <c r="HO347" i="12"/>
  <c r="HP347" i="12"/>
  <c r="HQ347" i="12"/>
  <c r="HR347" i="12"/>
  <c r="HS347" i="12"/>
  <c r="HT347" i="12"/>
  <c r="HU347" i="12"/>
  <c r="HV347" i="12"/>
  <c r="HW347" i="12"/>
  <c r="HX347" i="12"/>
  <c r="HY347" i="12"/>
  <c r="HZ347" i="12"/>
  <c r="IA347" i="12"/>
  <c r="IB347" i="12"/>
  <c r="IC347" i="12"/>
  <c r="ID347" i="12"/>
  <c r="IE347" i="12"/>
  <c r="IF347" i="12"/>
  <c r="IG347" i="12"/>
  <c r="IH347" i="12"/>
  <c r="II347" i="12"/>
  <c r="IJ347" i="12"/>
  <c r="IK347" i="12"/>
  <c r="IL347" i="12"/>
  <c r="IM347" i="12"/>
  <c r="IN347" i="12"/>
  <c r="IO347" i="12"/>
  <c r="IP347" i="12"/>
  <c r="IQ347" i="12"/>
  <c r="IR347" i="12"/>
  <c r="IS347" i="12"/>
  <c r="IT347" i="12"/>
  <c r="IU347" i="12"/>
  <c r="IV347" i="12"/>
  <c r="F348" i="12"/>
  <c r="G348" i="12"/>
  <c r="H348" i="12"/>
  <c r="I348" i="12"/>
  <c r="J348" i="12"/>
  <c r="K348" i="12"/>
  <c r="L348" i="12"/>
  <c r="M348" i="12"/>
  <c r="N348" i="12"/>
  <c r="O348" i="12"/>
  <c r="P348" i="12"/>
  <c r="Q348" i="12"/>
  <c r="R348" i="12"/>
  <c r="S348" i="12"/>
  <c r="T348" i="12"/>
  <c r="U348" i="12"/>
  <c r="V348" i="12"/>
  <c r="W348" i="12"/>
  <c r="X348" i="12"/>
  <c r="Y348" i="12"/>
  <c r="Z348" i="12"/>
  <c r="AA348" i="12"/>
  <c r="AB348" i="12"/>
  <c r="AC348" i="12"/>
  <c r="AD348" i="12"/>
  <c r="AE348" i="12"/>
  <c r="AF348" i="12"/>
  <c r="AG348" i="12"/>
  <c r="AH348" i="12"/>
  <c r="AI348" i="12"/>
  <c r="AJ348" i="12"/>
  <c r="AK348" i="12"/>
  <c r="AL348" i="12"/>
  <c r="AM348" i="12"/>
  <c r="AN348" i="12"/>
  <c r="AO348" i="12"/>
  <c r="AP348" i="12"/>
  <c r="AQ348" i="12"/>
  <c r="AR348" i="12"/>
  <c r="AS348" i="12"/>
  <c r="AT348" i="12"/>
  <c r="AU348" i="12"/>
  <c r="AV348" i="12"/>
  <c r="AW348" i="12"/>
  <c r="AX348" i="12"/>
  <c r="AY348" i="12"/>
  <c r="AZ348" i="12"/>
  <c r="BA348" i="12"/>
  <c r="BB348" i="12"/>
  <c r="BC348" i="12"/>
  <c r="BD348" i="12"/>
  <c r="BE348" i="12"/>
  <c r="BF348" i="12"/>
  <c r="BG348" i="12"/>
  <c r="BH348" i="12"/>
  <c r="BI348" i="12"/>
  <c r="BJ348" i="12"/>
  <c r="BK348" i="12"/>
  <c r="BL348" i="12"/>
  <c r="BM348" i="12"/>
  <c r="BN348" i="12"/>
  <c r="BO348" i="12"/>
  <c r="BP348" i="12"/>
  <c r="BQ348" i="12"/>
  <c r="BR348" i="12"/>
  <c r="BS348" i="12"/>
  <c r="BT348" i="12"/>
  <c r="BU348" i="12"/>
  <c r="BV348" i="12"/>
  <c r="BW348" i="12"/>
  <c r="BX348" i="12"/>
  <c r="BY348" i="12"/>
  <c r="BZ348" i="12"/>
  <c r="CA348" i="12"/>
  <c r="CB348" i="12"/>
  <c r="CC348" i="12"/>
  <c r="CD348" i="12"/>
  <c r="CE348" i="12"/>
  <c r="CF348" i="12"/>
  <c r="CG348" i="12"/>
  <c r="CH348" i="12"/>
  <c r="CI348" i="12"/>
  <c r="CJ348" i="12"/>
  <c r="CK348" i="12"/>
  <c r="CL348" i="12"/>
  <c r="CM348" i="12"/>
  <c r="CN348" i="12"/>
  <c r="CO348" i="12"/>
  <c r="CP348" i="12"/>
  <c r="CQ348" i="12"/>
  <c r="CR348" i="12"/>
  <c r="CS348" i="12"/>
  <c r="CT348" i="12"/>
  <c r="CU348" i="12"/>
  <c r="CV348" i="12"/>
  <c r="CW348" i="12"/>
  <c r="CX348" i="12"/>
  <c r="CY348" i="12"/>
  <c r="CZ348" i="12"/>
  <c r="DA348" i="12"/>
  <c r="DB348" i="12"/>
  <c r="DC348" i="12"/>
  <c r="DD348" i="12"/>
  <c r="DE348" i="12"/>
  <c r="DF348" i="12"/>
  <c r="DG348" i="12"/>
  <c r="DH348" i="12"/>
  <c r="DI348" i="12"/>
  <c r="DJ348" i="12"/>
  <c r="DK348" i="12"/>
  <c r="DL348" i="12"/>
  <c r="DM348" i="12"/>
  <c r="DN348" i="12"/>
  <c r="DO348" i="12"/>
  <c r="DP348" i="12"/>
  <c r="DQ348" i="12"/>
  <c r="DR348" i="12"/>
  <c r="DS348" i="12"/>
  <c r="DT348" i="12"/>
  <c r="DU348" i="12"/>
  <c r="DV348" i="12"/>
  <c r="DW348" i="12"/>
  <c r="DX348" i="12"/>
  <c r="DY348" i="12"/>
  <c r="DZ348" i="12"/>
  <c r="EA348" i="12"/>
  <c r="EB348" i="12"/>
  <c r="EC348" i="12"/>
  <c r="ED348" i="12"/>
  <c r="EE348" i="12"/>
  <c r="EF348" i="12"/>
  <c r="EG348" i="12"/>
  <c r="EH348" i="12"/>
  <c r="EI348" i="12"/>
  <c r="EJ348" i="12"/>
  <c r="EK348" i="12"/>
  <c r="EL348" i="12"/>
  <c r="EM348" i="12"/>
  <c r="EN348" i="12"/>
  <c r="EO348" i="12"/>
  <c r="EP348" i="12"/>
  <c r="EQ348" i="12"/>
  <c r="ER348" i="12"/>
  <c r="ES348" i="12"/>
  <c r="ET348" i="12"/>
  <c r="EU348" i="12"/>
  <c r="EV348" i="12"/>
  <c r="EW348" i="12"/>
  <c r="EX348" i="12"/>
  <c r="EY348" i="12"/>
  <c r="EZ348" i="12"/>
  <c r="FA348" i="12"/>
  <c r="FB348" i="12"/>
  <c r="FC348" i="12"/>
  <c r="FD348" i="12"/>
  <c r="FE348" i="12"/>
  <c r="FF348" i="12"/>
  <c r="FG348" i="12"/>
  <c r="FH348" i="12"/>
  <c r="FI348" i="12"/>
  <c r="FJ348" i="12"/>
  <c r="FK348" i="12"/>
  <c r="FL348" i="12"/>
  <c r="FM348" i="12"/>
  <c r="FN348" i="12"/>
  <c r="FO348" i="12"/>
  <c r="FP348" i="12"/>
  <c r="FQ348" i="12"/>
  <c r="FR348" i="12"/>
  <c r="FS348" i="12"/>
  <c r="FT348" i="12"/>
  <c r="FU348" i="12"/>
  <c r="FV348" i="12"/>
  <c r="FW348" i="12"/>
  <c r="FX348" i="12"/>
  <c r="FY348" i="12"/>
  <c r="FZ348" i="12"/>
  <c r="GA348" i="12"/>
  <c r="GB348" i="12"/>
  <c r="GC348" i="12"/>
  <c r="GD348" i="12"/>
  <c r="GE348" i="12"/>
  <c r="GF348" i="12"/>
  <c r="GG348" i="12"/>
  <c r="GH348" i="12"/>
  <c r="GI348" i="12"/>
  <c r="GJ348" i="12"/>
  <c r="GK348" i="12"/>
  <c r="GL348" i="12"/>
  <c r="GM348" i="12"/>
  <c r="GN348" i="12"/>
  <c r="GO348" i="12"/>
  <c r="GP348" i="12"/>
  <c r="GQ348" i="12"/>
  <c r="GR348" i="12"/>
  <c r="GS348" i="12"/>
  <c r="GT348" i="12"/>
  <c r="GU348" i="12"/>
  <c r="GV348" i="12"/>
  <c r="GW348" i="12"/>
  <c r="GX348" i="12"/>
  <c r="GY348" i="12"/>
  <c r="GZ348" i="12"/>
  <c r="HA348" i="12"/>
  <c r="HB348" i="12"/>
  <c r="HC348" i="12"/>
  <c r="HD348" i="12"/>
  <c r="HE348" i="12"/>
  <c r="HF348" i="12"/>
  <c r="HG348" i="12"/>
  <c r="HH348" i="12"/>
  <c r="HI348" i="12"/>
  <c r="HJ348" i="12"/>
  <c r="HK348" i="12"/>
  <c r="HL348" i="12"/>
  <c r="HM348" i="12"/>
  <c r="HN348" i="12"/>
  <c r="HO348" i="12"/>
  <c r="HP348" i="12"/>
  <c r="HQ348" i="12"/>
  <c r="HR348" i="12"/>
  <c r="HS348" i="12"/>
  <c r="HT348" i="12"/>
  <c r="HU348" i="12"/>
  <c r="HV348" i="12"/>
  <c r="HW348" i="12"/>
  <c r="HX348" i="12"/>
  <c r="HY348" i="12"/>
  <c r="HZ348" i="12"/>
  <c r="IA348" i="12"/>
  <c r="IB348" i="12"/>
  <c r="IC348" i="12"/>
  <c r="ID348" i="12"/>
  <c r="IE348" i="12"/>
  <c r="IF348" i="12"/>
  <c r="IG348" i="12"/>
  <c r="IH348" i="12"/>
  <c r="II348" i="12"/>
  <c r="IJ348" i="12"/>
  <c r="IK348" i="12"/>
  <c r="IL348" i="12"/>
  <c r="IM348" i="12"/>
  <c r="IN348" i="12"/>
  <c r="IO348" i="12"/>
  <c r="IP348" i="12"/>
  <c r="IQ348" i="12"/>
  <c r="IR348" i="12"/>
  <c r="IS348" i="12"/>
  <c r="IT348" i="12"/>
  <c r="IU348" i="12"/>
  <c r="IV348" i="12"/>
  <c r="F349" i="12"/>
  <c r="G349" i="12"/>
  <c r="H349" i="12"/>
  <c r="I349" i="12"/>
  <c r="J349" i="12"/>
  <c r="K349" i="12"/>
  <c r="L349" i="12"/>
  <c r="M349" i="12"/>
  <c r="N349" i="12"/>
  <c r="O349" i="12"/>
  <c r="P349" i="12"/>
  <c r="Q349" i="12"/>
  <c r="R349" i="12"/>
  <c r="S349" i="12"/>
  <c r="T349" i="12"/>
  <c r="U349" i="12"/>
  <c r="V349" i="12"/>
  <c r="W349" i="12"/>
  <c r="X349" i="12"/>
  <c r="Y349" i="12"/>
  <c r="Z349" i="12"/>
  <c r="AA349" i="12"/>
  <c r="AB349" i="12"/>
  <c r="AC349" i="12"/>
  <c r="AD349" i="12"/>
  <c r="AE349" i="12"/>
  <c r="AF349" i="12"/>
  <c r="AG349" i="12"/>
  <c r="AH349" i="12"/>
  <c r="AI349" i="12"/>
  <c r="AJ349" i="12"/>
  <c r="AK349" i="12"/>
  <c r="AL349" i="12"/>
  <c r="AM349" i="12"/>
  <c r="AN349" i="12"/>
  <c r="AO349" i="12"/>
  <c r="AP349" i="12"/>
  <c r="AQ349" i="12"/>
  <c r="AR349" i="12"/>
  <c r="AS349" i="12"/>
  <c r="AT349" i="12"/>
  <c r="AU349" i="12"/>
  <c r="AV349" i="12"/>
  <c r="AW349" i="12"/>
  <c r="AX349" i="12"/>
  <c r="AY349" i="12"/>
  <c r="AZ349" i="12"/>
  <c r="BA349" i="12"/>
  <c r="BB349" i="12"/>
  <c r="BC349" i="12"/>
  <c r="BD349" i="12"/>
  <c r="BE349" i="12"/>
  <c r="BF349" i="12"/>
  <c r="BG349" i="12"/>
  <c r="BH349" i="12"/>
  <c r="BI349" i="12"/>
  <c r="BJ349" i="12"/>
  <c r="BK349" i="12"/>
  <c r="BL349" i="12"/>
  <c r="BM349" i="12"/>
  <c r="BN349" i="12"/>
  <c r="BO349" i="12"/>
  <c r="BP349" i="12"/>
  <c r="BQ349" i="12"/>
  <c r="BR349" i="12"/>
  <c r="BS349" i="12"/>
  <c r="BT349" i="12"/>
  <c r="BU349" i="12"/>
  <c r="BV349" i="12"/>
  <c r="BW349" i="12"/>
  <c r="BX349" i="12"/>
  <c r="BY349" i="12"/>
  <c r="BZ349" i="12"/>
  <c r="CA349" i="12"/>
  <c r="CB349" i="12"/>
  <c r="CC349" i="12"/>
  <c r="CD349" i="12"/>
  <c r="CE349" i="12"/>
  <c r="CF349" i="12"/>
  <c r="CG349" i="12"/>
  <c r="CH349" i="12"/>
  <c r="CI349" i="12"/>
  <c r="CJ349" i="12"/>
  <c r="CK349" i="12"/>
  <c r="CL349" i="12"/>
  <c r="CM349" i="12"/>
  <c r="CN349" i="12"/>
  <c r="CO349" i="12"/>
  <c r="CP349" i="12"/>
  <c r="CQ349" i="12"/>
  <c r="CR349" i="12"/>
  <c r="CS349" i="12"/>
  <c r="CT349" i="12"/>
  <c r="CU349" i="12"/>
  <c r="CV349" i="12"/>
  <c r="CW349" i="12"/>
  <c r="CX349" i="12"/>
  <c r="CY349" i="12"/>
  <c r="CZ349" i="12"/>
  <c r="DA349" i="12"/>
  <c r="DB349" i="12"/>
  <c r="DC349" i="12"/>
  <c r="DD349" i="12"/>
  <c r="DE349" i="12"/>
  <c r="DF349" i="12"/>
  <c r="DG349" i="12"/>
  <c r="DH349" i="12"/>
  <c r="DI349" i="12"/>
  <c r="DJ349" i="12"/>
  <c r="DK349" i="12"/>
  <c r="DL349" i="12"/>
  <c r="DM349" i="12"/>
  <c r="DN349" i="12"/>
  <c r="DO349" i="12"/>
  <c r="DP349" i="12"/>
  <c r="DQ349" i="12"/>
  <c r="DR349" i="12"/>
  <c r="DS349" i="12"/>
  <c r="DT349" i="12"/>
  <c r="DU349" i="12"/>
  <c r="DV349" i="12"/>
  <c r="DW349" i="12"/>
  <c r="DX349" i="12"/>
  <c r="DY349" i="12"/>
  <c r="DZ349" i="12"/>
  <c r="EA349" i="12"/>
  <c r="EB349" i="12"/>
  <c r="EC349" i="12"/>
  <c r="ED349" i="12"/>
  <c r="EE349" i="12"/>
  <c r="EF349" i="12"/>
  <c r="EG349" i="12"/>
  <c r="EH349" i="12"/>
  <c r="EI349" i="12"/>
  <c r="EJ349" i="12"/>
  <c r="EK349" i="12"/>
  <c r="EL349" i="12"/>
  <c r="EM349" i="12"/>
  <c r="EN349" i="12"/>
  <c r="EO349" i="12"/>
  <c r="EP349" i="12"/>
  <c r="EQ349" i="12"/>
  <c r="ER349" i="12"/>
  <c r="ES349" i="12"/>
  <c r="ET349" i="12"/>
  <c r="EU349" i="12"/>
  <c r="EV349" i="12"/>
  <c r="EW349" i="12"/>
  <c r="EX349" i="12"/>
  <c r="EY349" i="12"/>
  <c r="EZ349" i="12"/>
  <c r="FA349" i="12"/>
  <c r="FB349" i="12"/>
  <c r="FC349" i="12"/>
  <c r="FD349" i="12"/>
  <c r="FE349" i="12"/>
  <c r="FF349" i="12"/>
  <c r="FG349" i="12"/>
  <c r="FH349" i="12"/>
  <c r="FI349" i="12"/>
  <c r="FJ349" i="12"/>
  <c r="FK349" i="12"/>
  <c r="FL349" i="12"/>
  <c r="FM349" i="12"/>
  <c r="FN349" i="12"/>
  <c r="FO349" i="12"/>
  <c r="FP349" i="12"/>
  <c r="FQ349" i="12"/>
  <c r="FR349" i="12"/>
  <c r="FS349" i="12"/>
  <c r="FT349" i="12"/>
  <c r="FU349" i="12"/>
  <c r="FV349" i="12"/>
  <c r="FW349" i="12"/>
  <c r="FX349" i="12"/>
  <c r="FY349" i="12"/>
  <c r="FZ349" i="12"/>
  <c r="GA349" i="12"/>
  <c r="GB349" i="12"/>
  <c r="GC349" i="12"/>
  <c r="GD349" i="12"/>
  <c r="GE349" i="12"/>
  <c r="GF349" i="12"/>
  <c r="GG349" i="12"/>
  <c r="GH349" i="12"/>
  <c r="GI349" i="12"/>
  <c r="GJ349" i="12"/>
  <c r="GK349" i="12"/>
  <c r="GL349" i="12"/>
  <c r="GM349" i="12"/>
  <c r="GN349" i="12"/>
  <c r="GO349" i="12"/>
  <c r="GP349" i="12"/>
  <c r="GQ349" i="12"/>
  <c r="GR349" i="12"/>
  <c r="GS349" i="12"/>
  <c r="GT349" i="12"/>
  <c r="GU349" i="12"/>
  <c r="GV349" i="12"/>
  <c r="GW349" i="12"/>
  <c r="GX349" i="12"/>
  <c r="GY349" i="12"/>
  <c r="GZ349" i="12"/>
  <c r="HA349" i="12"/>
  <c r="HB349" i="12"/>
  <c r="HC349" i="12"/>
  <c r="HD349" i="12"/>
  <c r="HE349" i="12"/>
  <c r="HF349" i="12"/>
  <c r="HG349" i="12"/>
  <c r="HH349" i="12"/>
  <c r="HI349" i="12"/>
  <c r="HJ349" i="12"/>
  <c r="HK349" i="12"/>
  <c r="HL349" i="12"/>
  <c r="HM349" i="12"/>
  <c r="HN349" i="12"/>
  <c r="HO349" i="12"/>
  <c r="HP349" i="12"/>
  <c r="HQ349" i="12"/>
  <c r="HR349" i="12"/>
  <c r="HS349" i="12"/>
  <c r="HT349" i="12"/>
  <c r="HU349" i="12"/>
  <c r="HV349" i="12"/>
  <c r="HW349" i="12"/>
  <c r="HX349" i="12"/>
  <c r="HY349" i="12"/>
  <c r="HZ349" i="12"/>
  <c r="IA349" i="12"/>
  <c r="IB349" i="12"/>
  <c r="IC349" i="12"/>
  <c r="ID349" i="12"/>
  <c r="IE349" i="12"/>
  <c r="IF349" i="12"/>
  <c r="IG349" i="12"/>
  <c r="IH349" i="12"/>
  <c r="II349" i="12"/>
  <c r="IJ349" i="12"/>
  <c r="IK349" i="12"/>
  <c r="IL349" i="12"/>
  <c r="IM349" i="12"/>
  <c r="IN349" i="12"/>
  <c r="IO349" i="12"/>
  <c r="IP349" i="12"/>
  <c r="IQ349" i="12"/>
  <c r="IR349" i="12"/>
  <c r="IS349" i="12"/>
  <c r="IT349" i="12"/>
  <c r="IU349" i="12"/>
  <c r="IV349" i="12"/>
  <c r="F350" i="12"/>
  <c r="G350" i="12"/>
  <c r="H350" i="12"/>
  <c r="I350" i="12"/>
  <c r="J350" i="12"/>
  <c r="K350" i="12"/>
  <c r="L350" i="12"/>
  <c r="M350" i="12"/>
  <c r="N350" i="12"/>
  <c r="O350" i="12"/>
  <c r="P350" i="12"/>
  <c r="Q350" i="12"/>
  <c r="R350" i="12"/>
  <c r="S350" i="12"/>
  <c r="T350" i="12"/>
  <c r="U350" i="12"/>
  <c r="V350" i="12"/>
  <c r="W350" i="12"/>
  <c r="X350" i="12"/>
  <c r="Y350" i="12"/>
  <c r="Z350" i="12"/>
  <c r="AA350" i="12"/>
  <c r="AB350" i="12"/>
  <c r="AC350" i="12"/>
  <c r="AD350" i="12"/>
  <c r="AE350" i="12"/>
  <c r="AF350" i="12"/>
  <c r="AG350" i="12"/>
  <c r="AH350" i="12"/>
  <c r="AI350" i="12"/>
  <c r="AJ350" i="12"/>
  <c r="AK350" i="12"/>
  <c r="AL350" i="12"/>
  <c r="AM350" i="12"/>
  <c r="AN350" i="12"/>
  <c r="AO350" i="12"/>
  <c r="AP350" i="12"/>
  <c r="AQ350" i="12"/>
  <c r="AR350" i="12"/>
  <c r="AS350" i="12"/>
  <c r="AT350" i="12"/>
  <c r="AU350" i="12"/>
  <c r="AV350" i="12"/>
  <c r="AW350" i="12"/>
  <c r="AX350" i="12"/>
  <c r="AY350" i="12"/>
  <c r="AZ350" i="12"/>
  <c r="BA350" i="12"/>
  <c r="BB350" i="12"/>
  <c r="BC350" i="12"/>
  <c r="BD350" i="12"/>
  <c r="BE350" i="12"/>
  <c r="BF350" i="12"/>
  <c r="BG350" i="12"/>
  <c r="BH350" i="12"/>
  <c r="BI350" i="12"/>
  <c r="BJ350" i="12"/>
  <c r="BK350" i="12"/>
  <c r="BL350" i="12"/>
  <c r="BM350" i="12"/>
  <c r="BN350" i="12"/>
  <c r="BO350" i="12"/>
  <c r="BP350" i="12"/>
  <c r="BQ350" i="12"/>
  <c r="BR350" i="12"/>
  <c r="BS350" i="12"/>
  <c r="BT350" i="12"/>
  <c r="BU350" i="12"/>
  <c r="BV350" i="12"/>
  <c r="BW350" i="12"/>
  <c r="BX350" i="12"/>
  <c r="BY350" i="12"/>
  <c r="BZ350" i="12"/>
  <c r="CA350" i="12"/>
  <c r="CB350" i="12"/>
  <c r="CC350" i="12"/>
  <c r="CD350" i="12"/>
  <c r="CE350" i="12"/>
  <c r="CF350" i="12"/>
  <c r="CG350" i="12"/>
  <c r="CH350" i="12"/>
  <c r="CI350" i="12"/>
  <c r="CJ350" i="12"/>
  <c r="CK350" i="12"/>
  <c r="CL350" i="12"/>
  <c r="CM350" i="12"/>
  <c r="CN350" i="12"/>
  <c r="CO350" i="12"/>
  <c r="CP350" i="12"/>
  <c r="CQ350" i="12"/>
  <c r="CR350" i="12"/>
  <c r="CS350" i="12"/>
  <c r="CT350" i="12"/>
  <c r="CU350" i="12"/>
  <c r="CV350" i="12"/>
  <c r="CW350" i="12"/>
  <c r="CX350" i="12"/>
  <c r="CY350" i="12"/>
  <c r="CZ350" i="12"/>
  <c r="DA350" i="12"/>
  <c r="DB350" i="12"/>
  <c r="DC350" i="12"/>
  <c r="DD350" i="12"/>
  <c r="DE350" i="12"/>
  <c r="DF350" i="12"/>
  <c r="DG350" i="12"/>
  <c r="DH350" i="12"/>
  <c r="DI350" i="12"/>
  <c r="DJ350" i="12"/>
  <c r="DK350" i="12"/>
  <c r="DL350" i="12"/>
  <c r="DM350" i="12"/>
  <c r="DN350" i="12"/>
  <c r="DO350" i="12"/>
  <c r="DP350" i="12"/>
  <c r="DQ350" i="12"/>
  <c r="DR350" i="12"/>
  <c r="DS350" i="12"/>
  <c r="DT350" i="12"/>
  <c r="DU350" i="12"/>
  <c r="DV350" i="12"/>
  <c r="DW350" i="12"/>
  <c r="DX350" i="12"/>
  <c r="DY350" i="12"/>
  <c r="DZ350" i="12"/>
  <c r="EA350" i="12"/>
  <c r="EB350" i="12"/>
  <c r="EC350" i="12"/>
  <c r="ED350" i="12"/>
  <c r="EE350" i="12"/>
  <c r="EF350" i="12"/>
  <c r="EG350" i="12"/>
  <c r="EH350" i="12"/>
  <c r="EI350" i="12"/>
  <c r="EJ350" i="12"/>
  <c r="EK350" i="12"/>
  <c r="EL350" i="12"/>
  <c r="EM350" i="12"/>
  <c r="EN350" i="12"/>
  <c r="EO350" i="12"/>
  <c r="EP350" i="12"/>
  <c r="EQ350" i="12"/>
  <c r="ER350" i="12"/>
  <c r="ES350" i="12"/>
  <c r="ET350" i="12"/>
  <c r="EU350" i="12"/>
  <c r="EV350" i="12"/>
  <c r="EW350" i="12"/>
  <c r="EX350" i="12"/>
  <c r="EY350" i="12"/>
  <c r="EZ350" i="12"/>
  <c r="FA350" i="12"/>
  <c r="FB350" i="12"/>
  <c r="FC350" i="12"/>
  <c r="FD350" i="12"/>
  <c r="FE350" i="12"/>
  <c r="FF350" i="12"/>
  <c r="FG350" i="12"/>
  <c r="FH350" i="12"/>
  <c r="FI350" i="12"/>
  <c r="FJ350" i="12"/>
  <c r="FK350" i="12"/>
  <c r="FL350" i="12"/>
  <c r="FM350" i="12"/>
  <c r="FN350" i="12"/>
  <c r="FO350" i="12"/>
  <c r="FP350" i="12"/>
  <c r="FQ350" i="12"/>
  <c r="FR350" i="12"/>
  <c r="FS350" i="12"/>
  <c r="FT350" i="12"/>
  <c r="FU350" i="12"/>
  <c r="FV350" i="12"/>
  <c r="FW350" i="12"/>
  <c r="FX350" i="12"/>
  <c r="FY350" i="12"/>
  <c r="FZ350" i="12"/>
  <c r="GA350" i="12"/>
  <c r="GB350" i="12"/>
  <c r="GC350" i="12"/>
  <c r="GD350" i="12"/>
  <c r="GE350" i="12"/>
  <c r="GF350" i="12"/>
  <c r="GG350" i="12"/>
  <c r="GH350" i="12"/>
  <c r="GI350" i="12"/>
  <c r="GJ350" i="12"/>
  <c r="GK350" i="12"/>
  <c r="GL350" i="12"/>
  <c r="GM350" i="12"/>
  <c r="GN350" i="12"/>
  <c r="GO350" i="12"/>
  <c r="GP350" i="12"/>
  <c r="GQ350" i="12"/>
  <c r="GR350" i="12"/>
  <c r="GS350" i="12"/>
  <c r="GT350" i="12"/>
  <c r="GU350" i="12"/>
  <c r="GV350" i="12"/>
  <c r="GW350" i="12"/>
  <c r="GX350" i="12"/>
  <c r="GY350" i="12"/>
  <c r="GZ350" i="12"/>
  <c r="HA350" i="12"/>
  <c r="HB350" i="12"/>
  <c r="HC350" i="12"/>
  <c r="HD350" i="12"/>
  <c r="HE350" i="12"/>
  <c r="HF350" i="12"/>
  <c r="HG350" i="12"/>
  <c r="HH350" i="12"/>
  <c r="HI350" i="12"/>
  <c r="HJ350" i="12"/>
  <c r="HK350" i="12"/>
  <c r="HL350" i="12"/>
  <c r="HM350" i="12"/>
  <c r="HN350" i="12"/>
  <c r="HO350" i="12"/>
  <c r="HP350" i="12"/>
  <c r="HQ350" i="12"/>
  <c r="HR350" i="12"/>
  <c r="HS350" i="12"/>
  <c r="HT350" i="12"/>
  <c r="HU350" i="12"/>
  <c r="HV350" i="12"/>
  <c r="HW350" i="12"/>
  <c r="HX350" i="12"/>
  <c r="HY350" i="12"/>
  <c r="HZ350" i="12"/>
  <c r="IA350" i="12"/>
  <c r="IB350" i="12"/>
  <c r="IC350" i="12"/>
  <c r="ID350" i="12"/>
  <c r="IE350" i="12"/>
  <c r="IF350" i="12"/>
  <c r="IG350" i="12"/>
  <c r="IH350" i="12"/>
  <c r="II350" i="12"/>
  <c r="IJ350" i="12"/>
  <c r="IK350" i="12"/>
  <c r="IL350" i="12"/>
  <c r="IM350" i="12"/>
  <c r="IN350" i="12"/>
  <c r="IO350" i="12"/>
  <c r="IP350" i="12"/>
  <c r="IQ350" i="12"/>
  <c r="IR350" i="12"/>
  <c r="IS350" i="12"/>
  <c r="IT350" i="12"/>
  <c r="IU350" i="12"/>
  <c r="IV350" i="12"/>
  <c r="F351" i="12"/>
  <c r="G351" i="12"/>
  <c r="H351" i="12"/>
  <c r="I351" i="12"/>
  <c r="J351" i="12"/>
  <c r="K351" i="12"/>
  <c r="L351" i="12"/>
  <c r="M351" i="12"/>
  <c r="N351" i="12"/>
  <c r="O351" i="12"/>
  <c r="P351" i="12"/>
  <c r="Q351" i="12"/>
  <c r="R351" i="12"/>
  <c r="S351" i="12"/>
  <c r="T351" i="12"/>
  <c r="U351" i="12"/>
  <c r="V351" i="12"/>
  <c r="W351" i="12"/>
  <c r="X351" i="12"/>
  <c r="Y351" i="12"/>
  <c r="Z351" i="12"/>
  <c r="AA351" i="12"/>
  <c r="AB351" i="12"/>
  <c r="AC351" i="12"/>
  <c r="AD351" i="12"/>
  <c r="AE351" i="12"/>
  <c r="AF351" i="12"/>
  <c r="AG351" i="12"/>
  <c r="AH351" i="12"/>
  <c r="AI351" i="12"/>
  <c r="AJ351" i="12"/>
  <c r="AK351" i="12"/>
  <c r="AL351" i="12"/>
  <c r="AM351" i="12"/>
  <c r="AN351" i="12"/>
  <c r="AO351" i="12"/>
  <c r="AP351" i="12"/>
  <c r="AQ351" i="12"/>
  <c r="AR351" i="12"/>
  <c r="AS351" i="12"/>
  <c r="AT351" i="12"/>
  <c r="AU351" i="12"/>
  <c r="AV351" i="12"/>
  <c r="AW351" i="12"/>
  <c r="AX351" i="12"/>
  <c r="AY351" i="12"/>
  <c r="AZ351" i="12"/>
  <c r="BA351" i="12"/>
  <c r="BB351" i="12"/>
  <c r="BC351" i="12"/>
  <c r="BD351" i="12"/>
  <c r="BE351" i="12"/>
  <c r="BF351" i="12"/>
  <c r="BG351" i="12"/>
  <c r="BH351" i="12"/>
  <c r="BI351" i="12"/>
  <c r="BJ351" i="12"/>
  <c r="BK351" i="12"/>
  <c r="BL351" i="12"/>
  <c r="BM351" i="12"/>
  <c r="BN351" i="12"/>
  <c r="BO351" i="12"/>
  <c r="BP351" i="12"/>
  <c r="BQ351" i="12"/>
  <c r="BR351" i="12"/>
  <c r="BS351" i="12"/>
  <c r="BT351" i="12"/>
  <c r="BU351" i="12"/>
  <c r="BV351" i="12"/>
  <c r="BW351" i="12"/>
  <c r="BX351" i="12"/>
  <c r="BY351" i="12"/>
  <c r="BZ351" i="12"/>
  <c r="CA351" i="12"/>
  <c r="CB351" i="12"/>
  <c r="CC351" i="12"/>
  <c r="CD351" i="12"/>
  <c r="CE351" i="12"/>
  <c r="CF351" i="12"/>
  <c r="CG351" i="12"/>
  <c r="CH351" i="12"/>
  <c r="CI351" i="12"/>
  <c r="CJ351" i="12"/>
  <c r="CK351" i="12"/>
  <c r="CL351" i="12"/>
  <c r="CM351" i="12"/>
  <c r="CN351" i="12"/>
  <c r="CO351" i="12"/>
  <c r="CP351" i="12"/>
  <c r="CQ351" i="12"/>
  <c r="CR351" i="12"/>
  <c r="CS351" i="12"/>
  <c r="CT351" i="12"/>
  <c r="CU351" i="12"/>
  <c r="CV351" i="12"/>
  <c r="CW351" i="12"/>
  <c r="CX351" i="12"/>
  <c r="CY351" i="12"/>
  <c r="CZ351" i="12"/>
  <c r="DA351" i="12"/>
  <c r="DB351" i="12"/>
  <c r="DC351" i="12"/>
  <c r="DD351" i="12"/>
  <c r="DE351" i="12"/>
  <c r="DF351" i="12"/>
  <c r="DG351" i="12"/>
  <c r="DH351" i="12"/>
  <c r="DI351" i="12"/>
  <c r="DJ351" i="12"/>
  <c r="DK351" i="12"/>
  <c r="DL351" i="12"/>
  <c r="DM351" i="12"/>
  <c r="DN351" i="12"/>
  <c r="DO351" i="12"/>
  <c r="DP351" i="12"/>
  <c r="DQ351" i="12"/>
  <c r="DR351" i="12"/>
  <c r="DS351" i="12"/>
  <c r="DT351" i="12"/>
  <c r="DU351" i="12"/>
  <c r="DV351" i="12"/>
  <c r="DW351" i="12"/>
  <c r="DX351" i="12"/>
  <c r="DY351" i="12"/>
  <c r="DZ351" i="12"/>
  <c r="EA351" i="12"/>
  <c r="EB351" i="12"/>
  <c r="EC351" i="12"/>
  <c r="ED351" i="12"/>
  <c r="EE351" i="12"/>
  <c r="EF351" i="12"/>
  <c r="EG351" i="12"/>
  <c r="EH351" i="12"/>
  <c r="EI351" i="12"/>
  <c r="EJ351" i="12"/>
  <c r="EK351" i="12"/>
  <c r="EL351" i="12"/>
  <c r="EM351" i="12"/>
  <c r="EN351" i="12"/>
  <c r="EO351" i="12"/>
  <c r="EP351" i="12"/>
  <c r="EQ351" i="12"/>
  <c r="ER351" i="12"/>
  <c r="ES351" i="12"/>
  <c r="ET351" i="12"/>
  <c r="EU351" i="12"/>
  <c r="EV351" i="12"/>
  <c r="EW351" i="12"/>
  <c r="EX351" i="12"/>
  <c r="EY351" i="12"/>
  <c r="EZ351" i="12"/>
  <c r="FA351" i="12"/>
  <c r="FB351" i="12"/>
  <c r="FC351" i="12"/>
  <c r="FD351" i="12"/>
  <c r="FE351" i="12"/>
  <c r="FF351" i="12"/>
  <c r="FG351" i="12"/>
  <c r="FH351" i="12"/>
  <c r="FI351" i="12"/>
  <c r="FJ351" i="12"/>
  <c r="FK351" i="12"/>
  <c r="FL351" i="12"/>
  <c r="FM351" i="12"/>
  <c r="FN351" i="12"/>
  <c r="FO351" i="12"/>
  <c r="FP351" i="12"/>
  <c r="FQ351" i="12"/>
  <c r="FR351" i="12"/>
  <c r="FS351" i="12"/>
  <c r="FT351" i="12"/>
  <c r="FU351" i="12"/>
  <c r="FV351" i="12"/>
  <c r="FW351" i="12"/>
  <c r="FX351" i="12"/>
  <c r="FY351" i="12"/>
  <c r="FZ351" i="12"/>
  <c r="GA351" i="12"/>
  <c r="GB351" i="12"/>
  <c r="GC351" i="12"/>
  <c r="GD351" i="12"/>
  <c r="GE351" i="12"/>
  <c r="GF351" i="12"/>
  <c r="GG351" i="12"/>
  <c r="GH351" i="12"/>
  <c r="GI351" i="12"/>
  <c r="GJ351" i="12"/>
  <c r="GK351" i="12"/>
  <c r="GL351" i="12"/>
  <c r="GM351" i="12"/>
  <c r="GN351" i="12"/>
  <c r="GO351" i="12"/>
  <c r="GP351" i="12"/>
  <c r="GQ351" i="12"/>
  <c r="GR351" i="12"/>
  <c r="GS351" i="12"/>
  <c r="GT351" i="12"/>
  <c r="GU351" i="12"/>
  <c r="GV351" i="12"/>
  <c r="GW351" i="12"/>
  <c r="GX351" i="12"/>
  <c r="GY351" i="12"/>
  <c r="GZ351" i="12"/>
  <c r="HA351" i="12"/>
  <c r="HB351" i="12"/>
  <c r="HC351" i="12"/>
  <c r="HD351" i="12"/>
  <c r="HE351" i="12"/>
  <c r="HF351" i="12"/>
  <c r="HG351" i="12"/>
  <c r="HH351" i="12"/>
  <c r="HI351" i="12"/>
  <c r="HJ351" i="12"/>
  <c r="HK351" i="12"/>
  <c r="HL351" i="12"/>
  <c r="HM351" i="12"/>
  <c r="HN351" i="12"/>
  <c r="HO351" i="12"/>
  <c r="HP351" i="12"/>
  <c r="HQ351" i="12"/>
  <c r="HR351" i="12"/>
  <c r="HS351" i="12"/>
  <c r="HT351" i="12"/>
  <c r="HU351" i="12"/>
  <c r="HV351" i="12"/>
  <c r="HW351" i="12"/>
  <c r="HX351" i="12"/>
  <c r="HY351" i="12"/>
  <c r="HZ351" i="12"/>
  <c r="IA351" i="12"/>
  <c r="IB351" i="12"/>
  <c r="IC351" i="12"/>
  <c r="ID351" i="12"/>
  <c r="IE351" i="12"/>
  <c r="IF351" i="12"/>
  <c r="IG351" i="12"/>
  <c r="IH351" i="12"/>
  <c r="II351" i="12"/>
  <c r="IJ351" i="12"/>
  <c r="IK351" i="12"/>
  <c r="IL351" i="12"/>
  <c r="IM351" i="12"/>
  <c r="IN351" i="12"/>
  <c r="IO351" i="12"/>
  <c r="IP351" i="12"/>
  <c r="IQ351" i="12"/>
  <c r="IR351" i="12"/>
  <c r="IS351" i="12"/>
  <c r="IT351" i="12"/>
  <c r="IU351" i="12"/>
  <c r="IV351" i="12"/>
  <c r="F352" i="12"/>
  <c r="G352" i="12"/>
  <c r="H352" i="12"/>
  <c r="I352" i="12"/>
  <c r="J352" i="12"/>
  <c r="K352" i="12"/>
  <c r="L352" i="12"/>
  <c r="M352" i="12"/>
  <c r="N352" i="12"/>
  <c r="O352" i="12"/>
  <c r="P352" i="12"/>
  <c r="Q352" i="12"/>
  <c r="R352" i="12"/>
  <c r="S352" i="12"/>
  <c r="T352" i="12"/>
  <c r="U352" i="12"/>
  <c r="V352" i="12"/>
  <c r="W352" i="12"/>
  <c r="X352" i="12"/>
  <c r="Y352" i="12"/>
  <c r="Z352" i="12"/>
  <c r="AA352" i="12"/>
  <c r="AB352" i="12"/>
  <c r="AC352" i="12"/>
  <c r="AD352" i="12"/>
  <c r="AE352" i="12"/>
  <c r="AF352" i="12"/>
  <c r="AG352" i="12"/>
  <c r="AH352" i="12"/>
  <c r="AI352" i="12"/>
  <c r="AJ352" i="12"/>
  <c r="AK352" i="12"/>
  <c r="AL352" i="12"/>
  <c r="AM352" i="12"/>
  <c r="AN352" i="12"/>
  <c r="AO352" i="12"/>
  <c r="AP352" i="12"/>
  <c r="AQ352" i="12"/>
  <c r="AR352" i="12"/>
  <c r="AS352" i="12"/>
  <c r="AT352" i="12"/>
  <c r="AU352" i="12"/>
  <c r="AV352" i="12"/>
  <c r="AW352" i="12"/>
  <c r="AX352" i="12"/>
  <c r="AY352" i="12"/>
  <c r="AZ352" i="12"/>
  <c r="BA352" i="12"/>
  <c r="BB352" i="12"/>
  <c r="BC352" i="12"/>
  <c r="BD352" i="12"/>
  <c r="BE352" i="12"/>
  <c r="BF352" i="12"/>
  <c r="BG352" i="12"/>
  <c r="BH352" i="12"/>
  <c r="BI352" i="12"/>
  <c r="BJ352" i="12"/>
  <c r="BK352" i="12"/>
  <c r="BL352" i="12"/>
  <c r="BM352" i="12"/>
  <c r="BN352" i="12"/>
  <c r="BO352" i="12"/>
  <c r="BP352" i="12"/>
  <c r="BQ352" i="12"/>
  <c r="BR352" i="12"/>
  <c r="BS352" i="12"/>
  <c r="BT352" i="12"/>
  <c r="BU352" i="12"/>
  <c r="BV352" i="12"/>
  <c r="BW352" i="12"/>
  <c r="BX352" i="12"/>
  <c r="BY352" i="12"/>
  <c r="BZ352" i="12"/>
  <c r="CA352" i="12"/>
  <c r="CB352" i="12"/>
  <c r="CC352" i="12"/>
  <c r="CD352" i="12"/>
  <c r="CE352" i="12"/>
  <c r="CF352" i="12"/>
  <c r="CG352" i="12"/>
  <c r="CH352" i="12"/>
  <c r="CI352" i="12"/>
  <c r="CJ352" i="12"/>
  <c r="CK352" i="12"/>
  <c r="CL352" i="12"/>
  <c r="CM352" i="12"/>
  <c r="CN352" i="12"/>
  <c r="CO352" i="12"/>
  <c r="CP352" i="12"/>
  <c r="CQ352" i="12"/>
  <c r="CR352" i="12"/>
  <c r="CS352" i="12"/>
  <c r="CT352" i="12"/>
  <c r="CU352" i="12"/>
  <c r="CV352" i="12"/>
  <c r="CW352" i="12"/>
  <c r="CX352" i="12"/>
  <c r="CY352" i="12"/>
  <c r="CZ352" i="12"/>
  <c r="DA352" i="12"/>
  <c r="DB352" i="12"/>
  <c r="DC352" i="12"/>
  <c r="DD352" i="12"/>
  <c r="DE352" i="12"/>
  <c r="DF352" i="12"/>
  <c r="DG352" i="12"/>
  <c r="DH352" i="12"/>
  <c r="DI352" i="12"/>
  <c r="DJ352" i="12"/>
  <c r="DK352" i="12"/>
  <c r="DL352" i="12"/>
  <c r="DM352" i="12"/>
  <c r="DN352" i="12"/>
  <c r="DO352" i="12"/>
  <c r="DP352" i="12"/>
  <c r="DQ352" i="12"/>
  <c r="DR352" i="12"/>
  <c r="DS352" i="12"/>
  <c r="DT352" i="12"/>
  <c r="DU352" i="12"/>
  <c r="DV352" i="12"/>
  <c r="DW352" i="12"/>
  <c r="DX352" i="12"/>
  <c r="DY352" i="12"/>
  <c r="DZ352" i="12"/>
  <c r="EA352" i="12"/>
  <c r="EB352" i="12"/>
  <c r="EC352" i="12"/>
  <c r="ED352" i="12"/>
  <c r="EE352" i="12"/>
  <c r="EF352" i="12"/>
  <c r="EG352" i="12"/>
  <c r="EH352" i="12"/>
  <c r="EI352" i="12"/>
  <c r="EJ352" i="12"/>
  <c r="EK352" i="12"/>
  <c r="EL352" i="12"/>
  <c r="EM352" i="12"/>
  <c r="EN352" i="12"/>
  <c r="EO352" i="12"/>
  <c r="EP352" i="12"/>
  <c r="EQ352" i="12"/>
  <c r="ER352" i="12"/>
  <c r="ES352" i="12"/>
  <c r="ET352" i="12"/>
  <c r="EU352" i="12"/>
  <c r="EV352" i="12"/>
  <c r="EW352" i="12"/>
  <c r="EX352" i="12"/>
  <c r="EY352" i="12"/>
  <c r="EZ352" i="12"/>
  <c r="FA352" i="12"/>
  <c r="FB352" i="12"/>
  <c r="FC352" i="12"/>
  <c r="FD352" i="12"/>
  <c r="FE352" i="12"/>
  <c r="FF352" i="12"/>
  <c r="FG352" i="12"/>
  <c r="FH352" i="12"/>
  <c r="FI352" i="12"/>
  <c r="FJ352" i="12"/>
  <c r="FK352" i="12"/>
  <c r="FL352" i="12"/>
  <c r="FM352" i="12"/>
  <c r="FN352" i="12"/>
  <c r="FO352" i="12"/>
  <c r="FP352" i="12"/>
  <c r="FQ352" i="12"/>
  <c r="FR352" i="12"/>
  <c r="FS352" i="12"/>
  <c r="FT352" i="12"/>
  <c r="FU352" i="12"/>
  <c r="FV352" i="12"/>
  <c r="FW352" i="12"/>
  <c r="FX352" i="12"/>
  <c r="FY352" i="12"/>
  <c r="FZ352" i="12"/>
  <c r="GA352" i="12"/>
  <c r="GB352" i="12"/>
  <c r="GC352" i="12"/>
  <c r="GD352" i="12"/>
  <c r="GE352" i="12"/>
  <c r="GF352" i="12"/>
  <c r="GG352" i="12"/>
  <c r="GH352" i="12"/>
  <c r="GI352" i="12"/>
  <c r="GJ352" i="12"/>
  <c r="GK352" i="12"/>
  <c r="GL352" i="12"/>
  <c r="GM352" i="12"/>
  <c r="GN352" i="12"/>
  <c r="GO352" i="12"/>
  <c r="GP352" i="12"/>
  <c r="GQ352" i="12"/>
  <c r="GR352" i="12"/>
  <c r="GS352" i="12"/>
  <c r="GT352" i="12"/>
  <c r="GU352" i="12"/>
  <c r="GV352" i="12"/>
  <c r="GW352" i="12"/>
  <c r="GX352" i="12"/>
  <c r="GY352" i="12"/>
  <c r="GZ352" i="12"/>
  <c r="HA352" i="12"/>
  <c r="HB352" i="12"/>
  <c r="HC352" i="12"/>
  <c r="HD352" i="12"/>
  <c r="HE352" i="12"/>
  <c r="HF352" i="12"/>
  <c r="HG352" i="12"/>
  <c r="HH352" i="12"/>
  <c r="HI352" i="12"/>
  <c r="HJ352" i="12"/>
  <c r="HK352" i="12"/>
  <c r="HL352" i="12"/>
  <c r="HM352" i="12"/>
  <c r="HN352" i="12"/>
  <c r="HO352" i="12"/>
  <c r="HP352" i="12"/>
  <c r="HQ352" i="12"/>
  <c r="HR352" i="12"/>
  <c r="HS352" i="12"/>
  <c r="HT352" i="12"/>
  <c r="HU352" i="12"/>
  <c r="HV352" i="12"/>
  <c r="HW352" i="12"/>
  <c r="HX352" i="12"/>
  <c r="HY352" i="12"/>
  <c r="HZ352" i="12"/>
  <c r="IA352" i="12"/>
  <c r="IB352" i="12"/>
  <c r="IC352" i="12"/>
  <c r="ID352" i="12"/>
  <c r="IE352" i="12"/>
  <c r="IF352" i="12"/>
  <c r="IG352" i="12"/>
  <c r="IH352" i="12"/>
  <c r="II352" i="12"/>
  <c r="IJ352" i="12"/>
  <c r="IK352" i="12"/>
  <c r="IL352" i="12"/>
  <c r="IM352" i="12"/>
  <c r="IN352" i="12"/>
  <c r="IO352" i="12"/>
  <c r="IP352" i="12"/>
  <c r="IQ352" i="12"/>
  <c r="IR352" i="12"/>
  <c r="IS352" i="12"/>
  <c r="IT352" i="12"/>
  <c r="IU352" i="12"/>
  <c r="IV352" i="12"/>
  <c r="F353" i="12"/>
  <c r="G353" i="12"/>
  <c r="H353" i="12"/>
  <c r="I353" i="12"/>
  <c r="J353" i="12"/>
  <c r="K353" i="12"/>
  <c r="L353" i="12"/>
  <c r="M353" i="12"/>
  <c r="N353" i="12"/>
  <c r="O353" i="12"/>
  <c r="P353" i="12"/>
  <c r="Q353" i="12"/>
  <c r="R353" i="12"/>
  <c r="S353" i="12"/>
  <c r="T353" i="12"/>
  <c r="U353" i="12"/>
  <c r="V353" i="12"/>
  <c r="W353" i="12"/>
  <c r="X353" i="12"/>
  <c r="Y353" i="12"/>
  <c r="Z353" i="12"/>
  <c r="AA353" i="12"/>
  <c r="AB353" i="12"/>
  <c r="AC353" i="12"/>
  <c r="AD353" i="12"/>
  <c r="AE353" i="12"/>
  <c r="AF353" i="12"/>
  <c r="AG353" i="12"/>
  <c r="AH353" i="12"/>
  <c r="AI353" i="12"/>
  <c r="AJ353" i="12"/>
  <c r="AK353" i="12"/>
  <c r="AL353" i="12"/>
  <c r="AM353" i="12"/>
  <c r="AN353" i="12"/>
  <c r="AO353" i="12"/>
  <c r="AP353" i="12"/>
  <c r="AQ353" i="12"/>
  <c r="AR353" i="12"/>
  <c r="AS353" i="12"/>
  <c r="AT353" i="12"/>
  <c r="AU353" i="12"/>
  <c r="AV353" i="12"/>
  <c r="AW353" i="12"/>
  <c r="AX353" i="12"/>
  <c r="AY353" i="12"/>
  <c r="AZ353" i="12"/>
  <c r="BA353" i="12"/>
  <c r="BB353" i="12"/>
  <c r="BC353" i="12"/>
  <c r="BD353" i="12"/>
  <c r="BE353" i="12"/>
  <c r="BF353" i="12"/>
  <c r="BG353" i="12"/>
  <c r="BH353" i="12"/>
  <c r="BI353" i="12"/>
  <c r="BJ353" i="12"/>
  <c r="BK353" i="12"/>
  <c r="BL353" i="12"/>
  <c r="BM353" i="12"/>
  <c r="BN353" i="12"/>
  <c r="BO353" i="12"/>
  <c r="BP353" i="12"/>
  <c r="BQ353" i="12"/>
  <c r="BR353" i="12"/>
  <c r="BS353" i="12"/>
  <c r="BT353" i="12"/>
  <c r="BU353" i="12"/>
  <c r="BV353" i="12"/>
  <c r="BW353" i="12"/>
  <c r="BX353" i="12"/>
  <c r="BY353" i="12"/>
  <c r="BZ353" i="12"/>
  <c r="CA353" i="12"/>
  <c r="CB353" i="12"/>
  <c r="CC353" i="12"/>
  <c r="CD353" i="12"/>
  <c r="CE353" i="12"/>
  <c r="CF353" i="12"/>
  <c r="CG353" i="12"/>
  <c r="CH353" i="12"/>
  <c r="CI353" i="12"/>
  <c r="CJ353" i="12"/>
  <c r="CK353" i="12"/>
  <c r="CL353" i="12"/>
  <c r="CM353" i="12"/>
  <c r="CN353" i="12"/>
  <c r="CO353" i="12"/>
  <c r="CP353" i="12"/>
  <c r="CQ353" i="12"/>
  <c r="CR353" i="12"/>
  <c r="CS353" i="12"/>
  <c r="CT353" i="12"/>
  <c r="CU353" i="12"/>
  <c r="CV353" i="12"/>
  <c r="CW353" i="12"/>
  <c r="CX353" i="12"/>
  <c r="CY353" i="12"/>
  <c r="CZ353" i="12"/>
  <c r="DA353" i="12"/>
  <c r="DB353" i="12"/>
  <c r="DC353" i="12"/>
  <c r="DD353" i="12"/>
  <c r="DE353" i="12"/>
  <c r="DF353" i="12"/>
  <c r="DG353" i="12"/>
  <c r="DH353" i="12"/>
  <c r="DI353" i="12"/>
  <c r="DJ353" i="12"/>
  <c r="DK353" i="12"/>
  <c r="DL353" i="12"/>
  <c r="DM353" i="12"/>
  <c r="DN353" i="12"/>
  <c r="DO353" i="12"/>
  <c r="DP353" i="12"/>
  <c r="DQ353" i="12"/>
  <c r="DR353" i="12"/>
  <c r="DS353" i="12"/>
  <c r="DT353" i="12"/>
  <c r="DU353" i="12"/>
  <c r="DV353" i="12"/>
  <c r="DW353" i="12"/>
  <c r="DX353" i="12"/>
  <c r="DY353" i="12"/>
  <c r="DZ353" i="12"/>
  <c r="EA353" i="12"/>
  <c r="EB353" i="12"/>
  <c r="EC353" i="12"/>
  <c r="ED353" i="12"/>
  <c r="EE353" i="12"/>
  <c r="EF353" i="12"/>
  <c r="EG353" i="12"/>
  <c r="EH353" i="12"/>
  <c r="EI353" i="12"/>
  <c r="EJ353" i="12"/>
  <c r="EK353" i="12"/>
  <c r="EL353" i="12"/>
  <c r="EM353" i="12"/>
  <c r="EN353" i="12"/>
  <c r="EO353" i="12"/>
  <c r="EP353" i="12"/>
  <c r="EQ353" i="12"/>
  <c r="ER353" i="12"/>
  <c r="ES353" i="12"/>
  <c r="ET353" i="12"/>
  <c r="EU353" i="12"/>
  <c r="EV353" i="12"/>
  <c r="EW353" i="12"/>
  <c r="EX353" i="12"/>
  <c r="EY353" i="12"/>
  <c r="EZ353" i="12"/>
  <c r="FA353" i="12"/>
  <c r="FB353" i="12"/>
  <c r="FC353" i="12"/>
  <c r="FD353" i="12"/>
  <c r="FE353" i="12"/>
  <c r="FF353" i="12"/>
  <c r="FG353" i="12"/>
  <c r="FH353" i="12"/>
  <c r="FI353" i="12"/>
  <c r="FJ353" i="12"/>
  <c r="FK353" i="12"/>
  <c r="FL353" i="12"/>
  <c r="FM353" i="12"/>
  <c r="FN353" i="12"/>
  <c r="FO353" i="12"/>
  <c r="FP353" i="12"/>
  <c r="FQ353" i="12"/>
  <c r="FR353" i="12"/>
  <c r="FS353" i="12"/>
  <c r="FT353" i="12"/>
  <c r="FU353" i="12"/>
  <c r="FV353" i="12"/>
  <c r="FW353" i="12"/>
  <c r="FX353" i="12"/>
  <c r="FY353" i="12"/>
  <c r="FZ353" i="12"/>
  <c r="GA353" i="12"/>
  <c r="GB353" i="12"/>
  <c r="GC353" i="12"/>
  <c r="GD353" i="12"/>
  <c r="GE353" i="12"/>
  <c r="GF353" i="12"/>
  <c r="GG353" i="12"/>
  <c r="GH353" i="12"/>
  <c r="GI353" i="12"/>
  <c r="GJ353" i="12"/>
  <c r="GK353" i="12"/>
  <c r="GL353" i="12"/>
  <c r="GM353" i="12"/>
  <c r="GN353" i="12"/>
  <c r="GO353" i="12"/>
  <c r="GP353" i="12"/>
  <c r="GQ353" i="12"/>
  <c r="GR353" i="12"/>
  <c r="GS353" i="12"/>
  <c r="GT353" i="12"/>
  <c r="GU353" i="12"/>
  <c r="GV353" i="12"/>
  <c r="GW353" i="12"/>
  <c r="GX353" i="12"/>
  <c r="GY353" i="12"/>
  <c r="GZ353" i="12"/>
  <c r="HA353" i="12"/>
  <c r="HB353" i="12"/>
  <c r="HC353" i="12"/>
  <c r="HD353" i="12"/>
  <c r="HE353" i="12"/>
  <c r="HF353" i="12"/>
  <c r="HG353" i="12"/>
  <c r="HH353" i="12"/>
  <c r="HI353" i="12"/>
  <c r="HJ353" i="12"/>
  <c r="HK353" i="12"/>
  <c r="HL353" i="12"/>
  <c r="HM353" i="12"/>
  <c r="HN353" i="12"/>
  <c r="HO353" i="12"/>
  <c r="HP353" i="12"/>
  <c r="HQ353" i="12"/>
  <c r="HR353" i="12"/>
  <c r="HS353" i="12"/>
  <c r="HT353" i="12"/>
  <c r="HU353" i="12"/>
  <c r="HV353" i="12"/>
  <c r="HW353" i="12"/>
  <c r="HX353" i="12"/>
  <c r="HY353" i="12"/>
  <c r="HZ353" i="12"/>
  <c r="IA353" i="12"/>
  <c r="IB353" i="12"/>
  <c r="IC353" i="12"/>
  <c r="ID353" i="12"/>
  <c r="IE353" i="12"/>
  <c r="IF353" i="12"/>
  <c r="IG353" i="12"/>
  <c r="IH353" i="12"/>
  <c r="II353" i="12"/>
  <c r="IJ353" i="12"/>
  <c r="IK353" i="12"/>
  <c r="IL353" i="12"/>
  <c r="IM353" i="12"/>
  <c r="IN353" i="12"/>
  <c r="IO353" i="12"/>
  <c r="IP353" i="12"/>
  <c r="IQ353" i="12"/>
  <c r="IR353" i="12"/>
  <c r="IS353" i="12"/>
  <c r="IT353" i="12"/>
  <c r="IU353" i="12"/>
  <c r="IV353" i="12"/>
  <c r="F354" i="12"/>
  <c r="G354" i="12"/>
  <c r="H354" i="12"/>
  <c r="I354" i="12"/>
  <c r="J354" i="12"/>
  <c r="K354" i="12"/>
  <c r="L354" i="12"/>
  <c r="M354" i="12"/>
  <c r="N354" i="12"/>
  <c r="O354" i="12"/>
  <c r="P354" i="12"/>
  <c r="Q354" i="12"/>
  <c r="R354" i="12"/>
  <c r="S354" i="12"/>
  <c r="T354" i="12"/>
  <c r="U354" i="12"/>
  <c r="V354" i="12"/>
  <c r="W354" i="12"/>
  <c r="X354" i="12"/>
  <c r="Y354" i="12"/>
  <c r="Z354" i="12"/>
  <c r="AA354" i="12"/>
  <c r="AB354" i="12"/>
  <c r="AC354" i="12"/>
  <c r="AD354" i="12"/>
  <c r="AE354" i="12"/>
  <c r="AF354" i="12"/>
  <c r="AG354" i="12"/>
  <c r="AH354" i="12"/>
  <c r="AI354" i="12"/>
  <c r="AJ354" i="12"/>
  <c r="AK354" i="12"/>
  <c r="AL354" i="12"/>
  <c r="AM354" i="12"/>
  <c r="AN354" i="12"/>
  <c r="AO354" i="12"/>
  <c r="AP354" i="12"/>
  <c r="AQ354" i="12"/>
  <c r="AR354" i="12"/>
  <c r="AS354" i="12"/>
  <c r="AT354" i="12"/>
  <c r="AU354" i="12"/>
  <c r="AV354" i="12"/>
  <c r="AW354" i="12"/>
  <c r="AX354" i="12"/>
  <c r="AY354" i="12"/>
  <c r="AZ354" i="12"/>
  <c r="BA354" i="12"/>
  <c r="BB354" i="12"/>
  <c r="BC354" i="12"/>
  <c r="BD354" i="12"/>
  <c r="BE354" i="12"/>
  <c r="BF354" i="12"/>
  <c r="BG354" i="12"/>
  <c r="BH354" i="12"/>
  <c r="BI354" i="12"/>
  <c r="BJ354" i="12"/>
  <c r="BK354" i="12"/>
  <c r="BL354" i="12"/>
  <c r="BM354" i="12"/>
  <c r="BN354" i="12"/>
  <c r="BO354" i="12"/>
  <c r="BP354" i="12"/>
  <c r="BQ354" i="12"/>
  <c r="BR354" i="12"/>
  <c r="BS354" i="12"/>
  <c r="BT354" i="12"/>
  <c r="BU354" i="12"/>
  <c r="BV354" i="12"/>
  <c r="BW354" i="12"/>
  <c r="BX354" i="12"/>
  <c r="BY354" i="12"/>
  <c r="BZ354" i="12"/>
  <c r="CA354" i="12"/>
  <c r="CB354" i="12"/>
  <c r="CC354" i="12"/>
  <c r="CD354" i="12"/>
  <c r="CE354" i="12"/>
  <c r="CF354" i="12"/>
  <c r="CG354" i="12"/>
  <c r="CH354" i="12"/>
  <c r="CI354" i="12"/>
  <c r="CJ354" i="12"/>
  <c r="CK354" i="12"/>
  <c r="CL354" i="12"/>
  <c r="CM354" i="12"/>
  <c r="CN354" i="12"/>
  <c r="CO354" i="12"/>
  <c r="CP354" i="12"/>
  <c r="CQ354" i="12"/>
  <c r="CR354" i="12"/>
  <c r="CS354" i="12"/>
  <c r="CT354" i="12"/>
  <c r="CU354" i="12"/>
  <c r="CV354" i="12"/>
  <c r="CW354" i="12"/>
  <c r="CX354" i="12"/>
  <c r="CY354" i="12"/>
  <c r="CZ354" i="12"/>
  <c r="DA354" i="12"/>
  <c r="DB354" i="12"/>
  <c r="DC354" i="12"/>
  <c r="DD354" i="12"/>
  <c r="DE354" i="12"/>
  <c r="DF354" i="12"/>
  <c r="DG354" i="12"/>
  <c r="DH354" i="12"/>
  <c r="DI354" i="12"/>
  <c r="DJ354" i="12"/>
  <c r="DK354" i="12"/>
  <c r="DL354" i="12"/>
  <c r="DM354" i="12"/>
  <c r="DN354" i="12"/>
  <c r="DO354" i="12"/>
  <c r="DP354" i="12"/>
  <c r="DQ354" i="12"/>
  <c r="DR354" i="12"/>
  <c r="DS354" i="12"/>
  <c r="DT354" i="12"/>
  <c r="DU354" i="12"/>
  <c r="DV354" i="12"/>
  <c r="DW354" i="12"/>
  <c r="DX354" i="12"/>
  <c r="DY354" i="12"/>
  <c r="DZ354" i="12"/>
  <c r="EA354" i="12"/>
  <c r="EB354" i="12"/>
  <c r="EC354" i="12"/>
  <c r="ED354" i="12"/>
  <c r="EE354" i="12"/>
  <c r="EF354" i="12"/>
  <c r="EG354" i="12"/>
  <c r="EH354" i="12"/>
  <c r="EI354" i="12"/>
  <c r="EJ354" i="12"/>
  <c r="EK354" i="12"/>
  <c r="EL354" i="12"/>
  <c r="EM354" i="12"/>
  <c r="EN354" i="12"/>
  <c r="EO354" i="12"/>
  <c r="EP354" i="12"/>
  <c r="EQ354" i="12"/>
  <c r="ER354" i="12"/>
  <c r="ES354" i="12"/>
  <c r="ET354" i="12"/>
  <c r="EU354" i="12"/>
  <c r="EV354" i="12"/>
  <c r="EW354" i="12"/>
  <c r="EX354" i="12"/>
  <c r="EY354" i="12"/>
  <c r="EZ354" i="12"/>
  <c r="FA354" i="12"/>
  <c r="FB354" i="12"/>
  <c r="FC354" i="12"/>
  <c r="FD354" i="12"/>
  <c r="FE354" i="12"/>
  <c r="FF354" i="12"/>
  <c r="FG354" i="12"/>
  <c r="FH354" i="12"/>
  <c r="FI354" i="12"/>
  <c r="FJ354" i="12"/>
  <c r="FK354" i="12"/>
  <c r="FL354" i="12"/>
  <c r="FM354" i="12"/>
  <c r="FN354" i="12"/>
  <c r="FO354" i="12"/>
  <c r="FP354" i="12"/>
  <c r="FQ354" i="12"/>
  <c r="FR354" i="12"/>
  <c r="FS354" i="12"/>
  <c r="FT354" i="12"/>
  <c r="FU354" i="12"/>
  <c r="FV354" i="12"/>
  <c r="FW354" i="12"/>
  <c r="FX354" i="12"/>
  <c r="FY354" i="12"/>
  <c r="FZ354" i="12"/>
  <c r="GA354" i="12"/>
  <c r="GB354" i="12"/>
  <c r="GC354" i="12"/>
  <c r="GD354" i="12"/>
  <c r="GE354" i="12"/>
  <c r="GF354" i="12"/>
  <c r="GG354" i="12"/>
  <c r="GH354" i="12"/>
  <c r="GI354" i="12"/>
  <c r="GJ354" i="12"/>
  <c r="GK354" i="12"/>
  <c r="GL354" i="12"/>
  <c r="GM354" i="12"/>
  <c r="GN354" i="12"/>
  <c r="GO354" i="12"/>
  <c r="GP354" i="12"/>
  <c r="GQ354" i="12"/>
  <c r="GR354" i="12"/>
  <c r="GS354" i="12"/>
  <c r="GT354" i="12"/>
  <c r="GU354" i="12"/>
  <c r="GV354" i="12"/>
  <c r="GW354" i="12"/>
  <c r="GX354" i="12"/>
  <c r="GY354" i="12"/>
  <c r="GZ354" i="12"/>
  <c r="HA354" i="12"/>
  <c r="HB354" i="12"/>
  <c r="HC354" i="12"/>
  <c r="HD354" i="12"/>
  <c r="HE354" i="12"/>
  <c r="HF354" i="12"/>
  <c r="HG354" i="12"/>
  <c r="HH354" i="12"/>
  <c r="HI354" i="12"/>
  <c r="HJ354" i="12"/>
  <c r="HK354" i="12"/>
  <c r="HL354" i="12"/>
  <c r="HM354" i="12"/>
  <c r="HN354" i="12"/>
  <c r="HO354" i="12"/>
  <c r="HP354" i="12"/>
  <c r="HQ354" i="12"/>
  <c r="HR354" i="12"/>
  <c r="HS354" i="12"/>
  <c r="HT354" i="12"/>
  <c r="HU354" i="12"/>
  <c r="HV354" i="12"/>
  <c r="HW354" i="12"/>
  <c r="HX354" i="12"/>
  <c r="HY354" i="12"/>
  <c r="HZ354" i="12"/>
  <c r="IA354" i="12"/>
  <c r="IB354" i="12"/>
  <c r="IC354" i="12"/>
  <c r="ID354" i="12"/>
  <c r="IE354" i="12"/>
  <c r="IF354" i="12"/>
  <c r="IG354" i="12"/>
  <c r="IH354" i="12"/>
  <c r="II354" i="12"/>
  <c r="IJ354" i="12"/>
  <c r="IK354" i="12"/>
  <c r="IL354" i="12"/>
  <c r="IM354" i="12"/>
  <c r="IN354" i="12"/>
  <c r="IO354" i="12"/>
  <c r="IP354" i="12"/>
  <c r="IQ354" i="12"/>
  <c r="IR354" i="12"/>
  <c r="IS354" i="12"/>
  <c r="IT354" i="12"/>
  <c r="IU354" i="12"/>
  <c r="IV354" i="12"/>
  <c r="F355" i="12"/>
  <c r="G355" i="12"/>
  <c r="H355" i="12"/>
  <c r="I355" i="12"/>
  <c r="J355" i="12"/>
  <c r="K355" i="12"/>
  <c r="L355" i="12"/>
  <c r="M355" i="12"/>
  <c r="N355" i="12"/>
  <c r="O355" i="12"/>
  <c r="P355" i="12"/>
  <c r="Q355" i="12"/>
  <c r="R355" i="12"/>
  <c r="S355" i="12"/>
  <c r="T355" i="12"/>
  <c r="U355" i="12"/>
  <c r="V355" i="12"/>
  <c r="W355" i="12"/>
  <c r="X355" i="12"/>
  <c r="Y355" i="12"/>
  <c r="Z355" i="12"/>
  <c r="AA355" i="12"/>
  <c r="AB355" i="12"/>
  <c r="AC355" i="12"/>
  <c r="AD355" i="12"/>
  <c r="AE355" i="12"/>
  <c r="AF355" i="12"/>
  <c r="AG355" i="12"/>
  <c r="AH355" i="12"/>
  <c r="AI355" i="12"/>
  <c r="AJ355" i="12"/>
  <c r="AK355" i="12"/>
  <c r="AL355" i="12"/>
  <c r="AM355" i="12"/>
  <c r="AN355" i="12"/>
  <c r="AO355" i="12"/>
  <c r="AP355" i="12"/>
  <c r="AQ355" i="12"/>
  <c r="AR355" i="12"/>
  <c r="AS355" i="12"/>
  <c r="AT355" i="12"/>
  <c r="AU355" i="12"/>
  <c r="AV355" i="12"/>
  <c r="AW355" i="12"/>
  <c r="AX355" i="12"/>
  <c r="AY355" i="12"/>
  <c r="AZ355" i="12"/>
  <c r="BA355" i="12"/>
  <c r="BB355" i="12"/>
  <c r="BC355" i="12"/>
  <c r="BD355" i="12"/>
  <c r="BE355" i="12"/>
  <c r="BF355" i="12"/>
  <c r="BG355" i="12"/>
  <c r="BH355" i="12"/>
  <c r="BI355" i="12"/>
  <c r="BJ355" i="12"/>
  <c r="BK355" i="12"/>
  <c r="BL355" i="12"/>
  <c r="BM355" i="12"/>
  <c r="BN355" i="12"/>
  <c r="BO355" i="12"/>
  <c r="BP355" i="12"/>
  <c r="BQ355" i="12"/>
  <c r="BR355" i="12"/>
  <c r="BS355" i="12"/>
  <c r="BT355" i="12"/>
  <c r="BU355" i="12"/>
  <c r="BV355" i="12"/>
  <c r="BW355" i="12"/>
  <c r="BX355" i="12"/>
  <c r="BY355" i="12"/>
  <c r="BZ355" i="12"/>
  <c r="CA355" i="12"/>
  <c r="CB355" i="12"/>
  <c r="CC355" i="12"/>
  <c r="CD355" i="12"/>
  <c r="CE355" i="12"/>
  <c r="CF355" i="12"/>
  <c r="CG355" i="12"/>
  <c r="CH355" i="12"/>
  <c r="CI355" i="12"/>
  <c r="CJ355" i="12"/>
  <c r="CK355" i="12"/>
  <c r="CL355" i="12"/>
  <c r="CM355" i="12"/>
  <c r="CN355" i="12"/>
  <c r="CO355" i="12"/>
  <c r="CP355" i="12"/>
  <c r="CQ355" i="12"/>
  <c r="CR355" i="12"/>
  <c r="CS355" i="12"/>
  <c r="CT355" i="12"/>
  <c r="CU355" i="12"/>
  <c r="CV355" i="12"/>
  <c r="CW355" i="12"/>
  <c r="CX355" i="12"/>
  <c r="CY355" i="12"/>
  <c r="CZ355" i="12"/>
  <c r="DA355" i="12"/>
  <c r="DB355" i="12"/>
  <c r="DC355" i="12"/>
  <c r="DD355" i="12"/>
  <c r="DE355" i="12"/>
  <c r="DF355" i="12"/>
  <c r="DG355" i="12"/>
  <c r="DH355" i="12"/>
  <c r="DI355" i="12"/>
  <c r="DJ355" i="12"/>
  <c r="DK355" i="12"/>
  <c r="DL355" i="12"/>
  <c r="DM355" i="12"/>
  <c r="DN355" i="12"/>
  <c r="DO355" i="12"/>
  <c r="DP355" i="12"/>
  <c r="DQ355" i="12"/>
  <c r="DR355" i="12"/>
  <c r="DS355" i="12"/>
  <c r="DT355" i="12"/>
  <c r="DU355" i="12"/>
  <c r="DV355" i="12"/>
  <c r="DW355" i="12"/>
  <c r="DX355" i="12"/>
  <c r="DY355" i="12"/>
  <c r="DZ355" i="12"/>
  <c r="EA355" i="12"/>
  <c r="EB355" i="12"/>
  <c r="EC355" i="12"/>
  <c r="ED355" i="12"/>
  <c r="EE355" i="12"/>
  <c r="EF355" i="12"/>
  <c r="EG355" i="12"/>
  <c r="EH355" i="12"/>
  <c r="EI355" i="12"/>
  <c r="EJ355" i="12"/>
  <c r="EK355" i="12"/>
  <c r="EL355" i="12"/>
  <c r="EM355" i="12"/>
  <c r="EN355" i="12"/>
  <c r="EO355" i="12"/>
  <c r="EP355" i="12"/>
  <c r="EQ355" i="12"/>
  <c r="ER355" i="12"/>
  <c r="ES355" i="12"/>
  <c r="ET355" i="12"/>
  <c r="EU355" i="12"/>
  <c r="EV355" i="12"/>
  <c r="EW355" i="12"/>
  <c r="EX355" i="12"/>
  <c r="EY355" i="12"/>
  <c r="EZ355" i="12"/>
  <c r="FA355" i="12"/>
  <c r="FB355" i="12"/>
  <c r="FC355" i="12"/>
  <c r="FD355" i="12"/>
  <c r="FE355" i="12"/>
  <c r="FF355" i="12"/>
  <c r="FG355" i="12"/>
  <c r="FH355" i="12"/>
  <c r="FI355" i="12"/>
  <c r="FJ355" i="12"/>
  <c r="FK355" i="12"/>
  <c r="FL355" i="12"/>
  <c r="FM355" i="12"/>
  <c r="FN355" i="12"/>
  <c r="FO355" i="12"/>
  <c r="FP355" i="12"/>
  <c r="FQ355" i="12"/>
  <c r="FR355" i="12"/>
  <c r="FS355" i="12"/>
  <c r="FT355" i="12"/>
  <c r="FU355" i="12"/>
  <c r="FV355" i="12"/>
  <c r="FW355" i="12"/>
  <c r="FX355" i="12"/>
  <c r="FY355" i="12"/>
  <c r="FZ355" i="12"/>
  <c r="GA355" i="12"/>
  <c r="GB355" i="12"/>
  <c r="GC355" i="12"/>
  <c r="GD355" i="12"/>
  <c r="GE355" i="12"/>
  <c r="GF355" i="12"/>
  <c r="GG355" i="12"/>
  <c r="GH355" i="12"/>
  <c r="GI355" i="12"/>
  <c r="GJ355" i="12"/>
  <c r="GK355" i="12"/>
  <c r="GL355" i="12"/>
  <c r="GM355" i="12"/>
  <c r="GN355" i="12"/>
  <c r="GO355" i="12"/>
  <c r="GP355" i="12"/>
  <c r="GQ355" i="12"/>
  <c r="GR355" i="12"/>
  <c r="GS355" i="12"/>
  <c r="GT355" i="12"/>
  <c r="GU355" i="12"/>
  <c r="GV355" i="12"/>
  <c r="GW355" i="12"/>
  <c r="GX355" i="12"/>
  <c r="GY355" i="12"/>
  <c r="GZ355" i="12"/>
  <c r="HA355" i="12"/>
  <c r="HB355" i="12"/>
  <c r="HC355" i="12"/>
  <c r="HD355" i="12"/>
  <c r="HE355" i="12"/>
  <c r="HF355" i="12"/>
  <c r="HG355" i="12"/>
  <c r="HH355" i="12"/>
  <c r="HI355" i="12"/>
  <c r="HJ355" i="12"/>
  <c r="HK355" i="12"/>
  <c r="HL355" i="12"/>
  <c r="HM355" i="12"/>
  <c r="HN355" i="12"/>
  <c r="HO355" i="12"/>
  <c r="HP355" i="12"/>
  <c r="HQ355" i="12"/>
  <c r="HR355" i="12"/>
  <c r="HS355" i="12"/>
  <c r="HT355" i="12"/>
  <c r="HU355" i="12"/>
  <c r="HV355" i="12"/>
  <c r="HW355" i="12"/>
  <c r="HX355" i="12"/>
  <c r="HY355" i="12"/>
  <c r="HZ355" i="12"/>
  <c r="IA355" i="12"/>
  <c r="IB355" i="12"/>
  <c r="IC355" i="12"/>
  <c r="ID355" i="12"/>
  <c r="IE355" i="12"/>
  <c r="IF355" i="12"/>
  <c r="IG355" i="12"/>
  <c r="IH355" i="12"/>
  <c r="II355" i="12"/>
  <c r="IJ355" i="12"/>
  <c r="IK355" i="12"/>
  <c r="IL355" i="12"/>
  <c r="IM355" i="12"/>
  <c r="IN355" i="12"/>
  <c r="IO355" i="12"/>
  <c r="IP355" i="12"/>
  <c r="IQ355" i="12"/>
  <c r="IR355" i="12"/>
  <c r="IS355" i="12"/>
  <c r="IT355" i="12"/>
  <c r="IU355" i="12"/>
  <c r="IV355" i="12"/>
  <c r="F356" i="12"/>
  <c r="G356" i="12"/>
  <c r="H356" i="12"/>
  <c r="I356" i="12"/>
  <c r="J356" i="12"/>
  <c r="K356" i="12"/>
  <c r="L356" i="12"/>
  <c r="M356" i="12"/>
  <c r="N356" i="12"/>
  <c r="O356" i="12"/>
  <c r="P356" i="12"/>
  <c r="Q356" i="12"/>
  <c r="R356" i="12"/>
  <c r="S356" i="12"/>
  <c r="T356" i="12"/>
  <c r="U356" i="12"/>
  <c r="V356" i="12"/>
  <c r="W356" i="12"/>
  <c r="X356" i="12"/>
  <c r="Y356" i="12"/>
  <c r="Z356" i="12"/>
  <c r="AA356" i="12"/>
  <c r="AB356" i="12"/>
  <c r="AC356" i="12"/>
  <c r="AD356" i="12"/>
  <c r="AE356" i="12"/>
  <c r="AF356" i="12"/>
  <c r="AG356" i="12"/>
  <c r="AH356" i="12"/>
  <c r="AI356" i="12"/>
  <c r="AJ356" i="12"/>
  <c r="AK356" i="12"/>
  <c r="AL356" i="12"/>
  <c r="AM356" i="12"/>
  <c r="AN356" i="12"/>
  <c r="AO356" i="12"/>
  <c r="AP356" i="12"/>
  <c r="AQ356" i="12"/>
  <c r="AR356" i="12"/>
  <c r="AS356" i="12"/>
  <c r="AT356" i="12"/>
  <c r="AU356" i="12"/>
  <c r="AV356" i="12"/>
  <c r="AW356" i="12"/>
  <c r="AX356" i="12"/>
  <c r="AY356" i="12"/>
  <c r="AZ356" i="12"/>
  <c r="BA356" i="12"/>
  <c r="BB356" i="12"/>
  <c r="BC356" i="12"/>
  <c r="BD356" i="12"/>
  <c r="BE356" i="12"/>
  <c r="BF356" i="12"/>
  <c r="BG356" i="12"/>
  <c r="BH356" i="12"/>
  <c r="BI356" i="12"/>
  <c r="BJ356" i="12"/>
  <c r="BK356" i="12"/>
  <c r="BL356" i="12"/>
  <c r="BM356" i="12"/>
  <c r="BN356" i="12"/>
  <c r="BO356" i="12"/>
  <c r="BP356" i="12"/>
  <c r="BQ356" i="12"/>
  <c r="BR356" i="12"/>
  <c r="BS356" i="12"/>
  <c r="BT356" i="12"/>
  <c r="BU356" i="12"/>
  <c r="BV356" i="12"/>
  <c r="BW356" i="12"/>
  <c r="BX356" i="12"/>
  <c r="BY356" i="12"/>
  <c r="BZ356" i="12"/>
  <c r="CA356" i="12"/>
  <c r="CB356" i="12"/>
  <c r="CC356" i="12"/>
  <c r="CD356" i="12"/>
  <c r="CE356" i="12"/>
  <c r="CF356" i="12"/>
  <c r="CG356" i="12"/>
  <c r="CH356" i="12"/>
  <c r="CI356" i="12"/>
  <c r="CJ356" i="12"/>
  <c r="CK356" i="12"/>
  <c r="CL356" i="12"/>
  <c r="CM356" i="12"/>
  <c r="CN356" i="12"/>
  <c r="CO356" i="12"/>
  <c r="CP356" i="12"/>
  <c r="CQ356" i="12"/>
  <c r="CR356" i="12"/>
  <c r="CS356" i="12"/>
  <c r="CT356" i="12"/>
  <c r="CU356" i="12"/>
  <c r="CV356" i="12"/>
  <c r="CW356" i="12"/>
  <c r="CX356" i="12"/>
  <c r="CY356" i="12"/>
  <c r="CZ356" i="12"/>
  <c r="DA356" i="12"/>
  <c r="DB356" i="12"/>
  <c r="DC356" i="12"/>
  <c r="DD356" i="12"/>
  <c r="DE356" i="12"/>
  <c r="DF356" i="12"/>
  <c r="DG356" i="12"/>
  <c r="DH356" i="12"/>
  <c r="DI356" i="12"/>
  <c r="DJ356" i="12"/>
  <c r="DK356" i="12"/>
  <c r="DL356" i="12"/>
  <c r="DM356" i="12"/>
  <c r="DN356" i="12"/>
  <c r="DO356" i="12"/>
  <c r="DP356" i="12"/>
  <c r="DQ356" i="12"/>
  <c r="DR356" i="12"/>
  <c r="DS356" i="12"/>
  <c r="DT356" i="12"/>
  <c r="DU356" i="12"/>
  <c r="DV356" i="12"/>
  <c r="DW356" i="12"/>
  <c r="DX356" i="12"/>
  <c r="DY356" i="12"/>
  <c r="DZ356" i="12"/>
  <c r="EA356" i="12"/>
  <c r="EB356" i="12"/>
  <c r="EC356" i="12"/>
  <c r="ED356" i="12"/>
  <c r="EE356" i="12"/>
  <c r="EF356" i="12"/>
  <c r="EG356" i="12"/>
  <c r="EH356" i="12"/>
  <c r="EI356" i="12"/>
  <c r="EJ356" i="12"/>
  <c r="EK356" i="12"/>
  <c r="EL356" i="12"/>
  <c r="EM356" i="12"/>
  <c r="EN356" i="12"/>
  <c r="EO356" i="12"/>
  <c r="EP356" i="12"/>
  <c r="EQ356" i="12"/>
  <c r="ER356" i="12"/>
  <c r="ES356" i="12"/>
  <c r="ET356" i="12"/>
  <c r="EU356" i="12"/>
  <c r="EV356" i="12"/>
  <c r="EW356" i="12"/>
  <c r="EX356" i="12"/>
  <c r="EY356" i="12"/>
  <c r="EZ356" i="12"/>
  <c r="FA356" i="12"/>
  <c r="FB356" i="12"/>
  <c r="FC356" i="12"/>
  <c r="FD356" i="12"/>
  <c r="FE356" i="12"/>
  <c r="FF356" i="12"/>
  <c r="FG356" i="12"/>
  <c r="FH356" i="12"/>
  <c r="FI356" i="12"/>
  <c r="FJ356" i="12"/>
  <c r="FK356" i="12"/>
  <c r="FL356" i="12"/>
  <c r="FM356" i="12"/>
  <c r="FN356" i="12"/>
  <c r="FO356" i="12"/>
  <c r="FP356" i="12"/>
  <c r="FQ356" i="12"/>
  <c r="FR356" i="12"/>
  <c r="FS356" i="12"/>
  <c r="FT356" i="12"/>
  <c r="FU356" i="12"/>
  <c r="FV356" i="12"/>
  <c r="FW356" i="12"/>
  <c r="FX356" i="12"/>
  <c r="FY356" i="12"/>
  <c r="FZ356" i="12"/>
  <c r="GA356" i="12"/>
  <c r="GB356" i="12"/>
  <c r="GC356" i="12"/>
  <c r="GD356" i="12"/>
  <c r="GE356" i="12"/>
  <c r="GF356" i="12"/>
  <c r="GG356" i="12"/>
  <c r="GH356" i="12"/>
  <c r="GI356" i="12"/>
  <c r="GJ356" i="12"/>
  <c r="GK356" i="12"/>
  <c r="GL356" i="12"/>
  <c r="GM356" i="12"/>
  <c r="GN356" i="12"/>
  <c r="GO356" i="12"/>
  <c r="GP356" i="12"/>
  <c r="GQ356" i="12"/>
  <c r="GR356" i="12"/>
  <c r="GS356" i="12"/>
  <c r="GT356" i="12"/>
  <c r="GU356" i="12"/>
  <c r="GV356" i="12"/>
  <c r="GW356" i="12"/>
  <c r="GX356" i="12"/>
  <c r="GY356" i="12"/>
  <c r="GZ356" i="12"/>
  <c r="HA356" i="12"/>
  <c r="HB356" i="12"/>
  <c r="HC356" i="12"/>
  <c r="HD356" i="12"/>
  <c r="HE356" i="12"/>
  <c r="HF356" i="12"/>
  <c r="HG356" i="12"/>
  <c r="HH356" i="12"/>
  <c r="HI356" i="12"/>
  <c r="HJ356" i="12"/>
  <c r="HK356" i="12"/>
  <c r="HL356" i="12"/>
  <c r="HM356" i="12"/>
  <c r="HN356" i="12"/>
  <c r="HO356" i="12"/>
  <c r="HP356" i="12"/>
  <c r="HQ356" i="12"/>
  <c r="HR356" i="12"/>
  <c r="HS356" i="12"/>
  <c r="HT356" i="12"/>
  <c r="HU356" i="12"/>
  <c r="HV356" i="12"/>
  <c r="HW356" i="12"/>
  <c r="HX356" i="12"/>
  <c r="HY356" i="12"/>
  <c r="HZ356" i="12"/>
  <c r="IA356" i="12"/>
  <c r="IB356" i="12"/>
  <c r="IC356" i="12"/>
  <c r="ID356" i="12"/>
  <c r="IE356" i="12"/>
  <c r="IF356" i="12"/>
  <c r="IG356" i="12"/>
  <c r="IH356" i="12"/>
  <c r="II356" i="12"/>
  <c r="IJ356" i="12"/>
  <c r="IK356" i="12"/>
  <c r="IL356" i="12"/>
  <c r="IM356" i="12"/>
  <c r="IN356" i="12"/>
  <c r="IO356" i="12"/>
  <c r="IP356" i="12"/>
  <c r="IQ356" i="12"/>
  <c r="IR356" i="12"/>
  <c r="IS356" i="12"/>
  <c r="IT356" i="12"/>
  <c r="IU356" i="12"/>
  <c r="IV356" i="12"/>
  <c r="F357" i="12"/>
  <c r="G357" i="12"/>
  <c r="H357" i="12"/>
  <c r="I357" i="12"/>
  <c r="J357" i="12"/>
  <c r="K357" i="12"/>
  <c r="L357" i="12"/>
  <c r="M357" i="12"/>
  <c r="N357" i="12"/>
  <c r="O357" i="12"/>
  <c r="P357" i="12"/>
  <c r="Q357" i="12"/>
  <c r="R357" i="12"/>
  <c r="S357" i="12"/>
  <c r="T357" i="12"/>
  <c r="U357" i="12"/>
  <c r="V357" i="12"/>
  <c r="W357" i="12"/>
  <c r="X357" i="12"/>
  <c r="Y357" i="12"/>
  <c r="Z357" i="12"/>
  <c r="AA357" i="12"/>
  <c r="AB357" i="12"/>
  <c r="AC357" i="12"/>
  <c r="AD357" i="12"/>
  <c r="AE357" i="12"/>
  <c r="AF357" i="12"/>
  <c r="AG357" i="12"/>
  <c r="AH357" i="12"/>
  <c r="AI357" i="12"/>
  <c r="AJ357" i="12"/>
  <c r="AK357" i="12"/>
  <c r="AL357" i="12"/>
  <c r="AM357" i="12"/>
  <c r="AN357" i="12"/>
  <c r="AO357" i="12"/>
  <c r="AP357" i="12"/>
  <c r="AQ357" i="12"/>
  <c r="AR357" i="12"/>
  <c r="AS357" i="12"/>
  <c r="AT357" i="12"/>
  <c r="AU357" i="12"/>
  <c r="AV357" i="12"/>
  <c r="AW357" i="12"/>
  <c r="AX357" i="12"/>
  <c r="AY357" i="12"/>
  <c r="AZ357" i="12"/>
  <c r="BA357" i="12"/>
  <c r="BB357" i="12"/>
  <c r="BC357" i="12"/>
  <c r="BD357" i="12"/>
  <c r="BE357" i="12"/>
  <c r="BF357" i="12"/>
  <c r="BG357" i="12"/>
  <c r="BH357" i="12"/>
  <c r="BI357" i="12"/>
  <c r="BJ357" i="12"/>
  <c r="BK357" i="12"/>
  <c r="BL357" i="12"/>
  <c r="BM357" i="12"/>
  <c r="BN357" i="12"/>
  <c r="BO357" i="12"/>
  <c r="BP357" i="12"/>
  <c r="BQ357" i="12"/>
  <c r="BR357" i="12"/>
  <c r="BS357" i="12"/>
  <c r="BT357" i="12"/>
  <c r="BU357" i="12"/>
  <c r="BV357" i="12"/>
  <c r="BW357" i="12"/>
  <c r="BX357" i="12"/>
  <c r="BY357" i="12"/>
  <c r="BZ357" i="12"/>
  <c r="CA357" i="12"/>
  <c r="CB357" i="12"/>
  <c r="CC357" i="12"/>
  <c r="CD357" i="12"/>
  <c r="CE357" i="12"/>
  <c r="CF357" i="12"/>
  <c r="CG357" i="12"/>
  <c r="CH357" i="12"/>
  <c r="CI357" i="12"/>
  <c r="CJ357" i="12"/>
  <c r="CK357" i="12"/>
  <c r="CL357" i="12"/>
  <c r="CM357" i="12"/>
  <c r="CN357" i="12"/>
  <c r="CO357" i="12"/>
  <c r="CP357" i="12"/>
  <c r="CQ357" i="12"/>
  <c r="CR357" i="12"/>
  <c r="CS357" i="12"/>
  <c r="CT357" i="12"/>
  <c r="CU357" i="12"/>
  <c r="CV357" i="12"/>
  <c r="CW357" i="12"/>
  <c r="CX357" i="12"/>
  <c r="CY357" i="12"/>
  <c r="CZ357" i="12"/>
  <c r="DA357" i="12"/>
  <c r="DB357" i="12"/>
  <c r="DC357" i="12"/>
  <c r="DD357" i="12"/>
  <c r="DE357" i="12"/>
  <c r="DF357" i="12"/>
  <c r="DG357" i="12"/>
  <c r="DH357" i="12"/>
  <c r="DI357" i="12"/>
  <c r="DJ357" i="12"/>
  <c r="DK357" i="12"/>
  <c r="DL357" i="12"/>
  <c r="DM357" i="12"/>
  <c r="DN357" i="12"/>
  <c r="DO357" i="12"/>
  <c r="DP357" i="12"/>
  <c r="DQ357" i="12"/>
  <c r="DR357" i="12"/>
  <c r="DS357" i="12"/>
  <c r="DT357" i="12"/>
  <c r="DU357" i="12"/>
  <c r="DV357" i="12"/>
  <c r="DW357" i="12"/>
  <c r="DX357" i="12"/>
  <c r="DY357" i="12"/>
  <c r="DZ357" i="12"/>
  <c r="EA357" i="12"/>
  <c r="EB357" i="12"/>
  <c r="EC357" i="12"/>
  <c r="ED357" i="12"/>
  <c r="EE357" i="12"/>
  <c r="EF357" i="12"/>
  <c r="EG357" i="12"/>
  <c r="EH357" i="12"/>
  <c r="EI357" i="12"/>
  <c r="EJ357" i="12"/>
  <c r="EK357" i="12"/>
  <c r="EL357" i="12"/>
  <c r="EM357" i="12"/>
  <c r="EN357" i="12"/>
  <c r="EO357" i="12"/>
  <c r="EP357" i="12"/>
  <c r="EQ357" i="12"/>
  <c r="ER357" i="12"/>
  <c r="ES357" i="12"/>
  <c r="ET357" i="12"/>
  <c r="EU357" i="12"/>
  <c r="EV357" i="12"/>
  <c r="EW357" i="12"/>
  <c r="EX357" i="12"/>
  <c r="EY357" i="12"/>
  <c r="EZ357" i="12"/>
  <c r="FA357" i="12"/>
  <c r="FB357" i="12"/>
  <c r="FC357" i="12"/>
  <c r="FD357" i="12"/>
  <c r="FE357" i="12"/>
  <c r="FF357" i="12"/>
  <c r="FG357" i="12"/>
  <c r="FH357" i="12"/>
  <c r="FI357" i="12"/>
  <c r="FJ357" i="12"/>
  <c r="FK357" i="12"/>
  <c r="FL357" i="12"/>
  <c r="FM357" i="12"/>
  <c r="FN357" i="12"/>
  <c r="FO357" i="12"/>
  <c r="FP357" i="12"/>
  <c r="FQ357" i="12"/>
  <c r="FR357" i="12"/>
  <c r="FS357" i="12"/>
  <c r="FT357" i="12"/>
  <c r="FU357" i="12"/>
  <c r="FV357" i="12"/>
  <c r="FW357" i="12"/>
  <c r="FX357" i="12"/>
  <c r="FY357" i="12"/>
  <c r="FZ357" i="12"/>
  <c r="GA357" i="12"/>
  <c r="GB357" i="12"/>
  <c r="GC357" i="12"/>
  <c r="GD357" i="12"/>
  <c r="GE357" i="12"/>
  <c r="GF357" i="12"/>
  <c r="GG357" i="12"/>
  <c r="GH357" i="12"/>
  <c r="GI357" i="12"/>
  <c r="GJ357" i="12"/>
  <c r="GK357" i="12"/>
  <c r="GL357" i="12"/>
  <c r="GM357" i="12"/>
  <c r="GN357" i="12"/>
  <c r="GO357" i="12"/>
  <c r="GP357" i="12"/>
  <c r="GQ357" i="12"/>
  <c r="GR357" i="12"/>
  <c r="GS357" i="12"/>
  <c r="GT357" i="12"/>
  <c r="GU357" i="12"/>
  <c r="GV357" i="12"/>
  <c r="GW357" i="12"/>
  <c r="GX357" i="12"/>
  <c r="GY357" i="12"/>
  <c r="GZ357" i="12"/>
  <c r="HA357" i="12"/>
  <c r="HB357" i="12"/>
  <c r="HC357" i="12"/>
  <c r="HD357" i="12"/>
  <c r="HE357" i="12"/>
  <c r="HF357" i="12"/>
  <c r="HG357" i="12"/>
  <c r="HH357" i="12"/>
  <c r="HI357" i="12"/>
  <c r="HJ357" i="12"/>
  <c r="HK357" i="12"/>
  <c r="HL357" i="12"/>
  <c r="HM357" i="12"/>
  <c r="HN357" i="12"/>
  <c r="HO357" i="12"/>
  <c r="HP357" i="12"/>
  <c r="HQ357" i="12"/>
  <c r="HR357" i="12"/>
  <c r="HS357" i="12"/>
  <c r="HT357" i="12"/>
  <c r="HU357" i="12"/>
  <c r="HV357" i="12"/>
  <c r="HW357" i="12"/>
  <c r="HX357" i="12"/>
  <c r="HY357" i="12"/>
  <c r="HZ357" i="12"/>
  <c r="IA357" i="12"/>
  <c r="IB357" i="12"/>
  <c r="IC357" i="12"/>
  <c r="ID357" i="12"/>
  <c r="IE357" i="12"/>
  <c r="IF357" i="12"/>
  <c r="IG357" i="12"/>
  <c r="IH357" i="12"/>
  <c r="II357" i="12"/>
  <c r="IJ357" i="12"/>
  <c r="IK357" i="12"/>
  <c r="IL357" i="12"/>
  <c r="IM357" i="12"/>
  <c r="IN357" i="12"/>
  <c r="IO357" i="12"/>
  <c r="IP357" i="12"/>
  <c r="IQ357" i="12"/>
  <c r="IR357" i="12"/>
  <c r="IS357" i="12"/>
  <c r="IT357" i="12"/>
  <c r="IU357" i="12"/>
  <c r="IV357" i="12"/>
  <c r="F358" i="12"/>
  <c r="G358" i="12"/>
  <c r="H358" i="12"/>
  <c r="I358" i="12"/>
  <c r="J358" i="12"/>
  <c r="K358" i="12"/>
  <c r="L358" i="12"/>
  <c r="M358" i="12"/>
  <c r="N358" i="12"/>
  <c r="O358" i="12"/>
  <c r="P358" i="12"/>
  <c r="Q358" i="12"/>
  <c r="R358" i="12"/>
  <c r="S358" i="12"/>
  <c r="T358" i="12"/>
  <c r="U358" i="12"/>
  <c r="V358" i="12"/>
  <c r="W358" i="12"/>
  <c r="X358" i="12"/>
  <c r="Y358" i="12"/>
  <c r="Z358" i="12"/>
  <c r="AA358" i="12"/>
  <c r="AB358" i="12"/>
  <c r="AC358" i="12"/>
  <c r="AD358" i="12"/>
  <c r="AE358" i="12"/>
  <c r="AF358" i="12"/>
  <c r="AG358" i="12"/>
  <c r="AH358" i="12"/>
  <c r="AI358" i="12"/>
  <c r="AJ358" i="12"/>
  <c r="AK358" i="12"/>
  <c r="AL358" i="12"/>
  <c r="AM358" i="12"/>
  <c r="AN358" i="12"/>
  <c r="AO358" i="12"/>
  <c r="AP358" i="12"/>
  <c r="AQ358" i="12"/>
  <c r="AR358" i="12"/>
  <c r="AS358" i="12"/>
  <c r="AT358" i="12"/>
  <c r="AU358" i="12"/>
  <c r="AV358" i="12"/>
  <c r="AW358" i="12"/>
  <c r="AX358" i="12"/>
  <c r="AY358" i="12"/>
  <c r="AZ358" i="12"/>
  <c r="BA358" i="12"/>
  <c r="BB358" i="12"/>
  <c r="BC358" i="12"/>
  <c r="BD358" i="12"/>
  <c r="BE358" i="12"/>
  <c r="BF358" i="12"/>
  <c r="BG358" i="12"/>
  <c r="BH358" i="12"/>
  <c r="BI358" i="12"/>
  <c r="BJ358" i="12"/>
  <c r="BK358" i="12"/>
  <c r="BL358" i="12"/>
  <c r="BM358" i="12"/>
  <c r="BN358" i="12"/>
  <c r="BO358" i="12"/>
  <c r="BP358" i="12"/>
  <c r="BQ358" i="12"/>
  <c r="BR358" i="12"/>
  <c r="BS358" i="12"/>
  <c r="BT358" i="12"/>
  <c r="BU358" i="12"/>
  <c r="BV358" i="12"/>
  <c r="BW358" i="12"/>
  <c r="BX358" i="12"/>
  <c r="BY358" i="12"/>
  <c r="BZ358" i="12"/>
  <c r="CA358" i="12"/>
  <c r="CB358" i="12"/>
  <c r="CC358" i="12"/>
  <c r="CD358" i="12"/>
  <c r="CE358" i="12"/>
  <c r="CF358" i="12"/>
  <c r="CG358" i="12"/>
  <c r="CH358" i="12"/>
  <c r="CI358" i="12"/>
  <c r="CJ358" i="12"/>
  <c r="CK358" i="12"/>
  <c r="CL358" i="12"/>
  <c r="CM358" i="12"/>
  <c r="CN358" i="12"/>
  <c r="CO358" i="12"/>
  <c r="CP358" i="12"/>
  <c r="CQ358" i="12"/>
  <c r="CR358" i="12"/>
  <c r="CS358" i="12"/>
  <c r="CT358" i="12"/>
  <c r="CU358" i="12"/>
  <c r="CV358" i="12"/>
  <c r="CW358" i="12"/>
  <c r="CX358" i="12"/>
  <c r="CY358" i="12"/>
  <c r="CZ358" i="12"/>
  <c r="DA358" i="12"/>
  <c r="DB358" i="12"/>
  <c r="DC358" i="12"/>
  <c r="DD358" i="12"/>
  <c r="DE358" i="12"/>
  <c r="DF358" i="12"/>
  <c r="DG358" i="12"/>
  <c r="DH358" i="12"/>
  <c r="DI358" i="12"/>
  <c r="DJ358" i="12"/>
  <c r="DK358" i="12"/>
  <c r="DL358" i="12"/>
  <c r="DM358" i="12"/>
  <c r="DN358" i="12"/>
  <c r="DO358" i="12"/>
  <c r="DP358" i="12"/>
  <c r="DQ358" i="12"/>
  <c r="DR358" i="12"/>
  <c r="DS358" i="12"/>
  <c r="DT358" i="12"/>
  <c r="DU358" i="12"/>
  <c r="DV358" i="12"/>
  <c r="DW358" i="12"/>
  <c r="DX358" i="12"/>
  <c r="DY358" i="12"/>
  <c r="DZ358" i="12"/>
  <c r="EA358" i="12"/>
  <c r="EB358" i="12"/>
  <c r="EC358" i="12"/>
  <c r="ED358" i="12"/>
  <c r="EE358" i="12"/>
  <c r="EF358" i="12"/>
  <c r="EG358" i="12"/>
  <c r="EH358" i="12"/>
  <c r="EI358" i="12"/>
  <c r="EJ358" i="12"/>
  <c r="EK358" i="12"/>
  <c r="EL358" i="12"/>
  <c r="EM358" i="12"/>
  <c r="EN358" i="12"/>
  <c r="EO358" i="12"/>
  <c r="EP358" i="12"/>
  <c r="EQ358" i="12"/>
  <c r="ER358" i="12"/>
  <c r="ES358" i="12"/>
  <c r="ET358" i="12"/>
  <c r="EU358" i="12"/>
  <c r="EV358" i="12"/>
  <c r="EW358" i="12"/>
  <c r="EX358" i="12"/>
  <c r="EY358" i="12"/>
  <c r="EZ358" i="12"/>
  <c r="FA358" i="12"/>
  <c r="FB358" i="12"/>
  <c r="FC358" i="12"/>
  <c r="FD358" i="12"/>
  <c r="FE358" i="12"/>
  <c r="FF358" i="12"/>
  <c r="FG358" i="12"/>
  <c r="FH358" i="12"/>
  <c r="FI358" i="12"/>
  <c r="FJ358" i="12"/>
  <c r="FK358" i="12"/>
  <c r="FL358" i="12"/>
  <c r="FM358" i="12"/>
  <c r="FN358" i="12"/>
  <c r="FO358" i="12"/>
  <c r="FP358" i="12"/>
  <c r="FQ358" i="12"/>
  <c r="FR358" i="12"/>
  <c r="FS358" i="12"/>
  <c r="FT358" i="12"/>
  <c r="FU358" i="12"/>
  <c r="FV358" i="12"/>
  <c r="FW358" i="12"/>
  <c r="FX358" i="12"/>
  <c r="FY358" i="12"/>
  <c r="FZ358" i="12"/>
  <c r="GA358" i="12"/>
  <c r="GB358" i="12"/>
  <c r="GC358" i="12"/>
  <c r="GD358" i="12"/>
  <c r="GE358" i="12"/>
  <c r="GF358" i="12"/>
  <c r="GG358" i="12"/>
  <c r="GH358" i="12"/>
  <c r="GI358" i="12"/>
  <c r="GJ358" i="12"/>
  <c r="GK358" i="12"/>
  <c r="GL358" i="12"/>
  <c r="GM358" i="12"/>
  <c r="GN358" i="12"/>
  <c r="GO358" i="12"/>
  <c r="GP358" i="12"/>
  <c r="GQ358" i="12"/>
  <c r="GR358" i="12"/>
  <c r="GS358" i="12"/>
  <c r="GT358" i="12"/>
  <c r="GU358" i="12"/>
  <c r="GV358" i="12"/>
  <c r="GW358" i="12"/>
  <c r="GX358" i="12"/>
  <c r="GY358" i="12"/>
  <c r="GZ358" i="12"/>
  <c r="HA358" i="12"/>
  <c r="HB358" i="12"/>
  <c r="HC358" i="12"/>
  <c r="HD358" i="12"/>
  <c r="HE358" i="12"/>
  <c r="HF358" i="12"/>
  <c r="HG358" i="12"/>
  <c r="HH358" i="12"/>
  <c r="HI358" i="12"/>
  <c r="HJ358" i="12"/>
  <c r="HK358" i="12"/>
  <c r="HL358" i="12"/>
  <c r="HM358" i="12"/>
  <c r="HN358" i="12"/>
  <c r="HO358" i="12"/>
  <c r="HP358" i="12"/>
  <c r="HQ358" i="12"/>
  <c r="HR358" i="12"/>
  <c r="HS358" i="12"/>
  <c r="HT358" i="12"/>
  <c r="HU358" i="12"/>
  <c r="HV358" i="12"/>
  <c r="HW358" i="12"/>
  <c r="HX358" i="12"/>
  <c r="HY358" i="12"/>
  <c r="HZ358" i="12"/>
  <c r="IA358" i="12"/>
  <c r="IB358" i="12"/>
  <c r="IC358" i="12"/>
  <c r="ID358" i="12"/>
  <c r="IE358" i="12"/>
  <c r="IF358" i="12"/>
  <c r="IG358" i="12"/>
  <c r="IH358" i="12"/>
  <c r="II358" i="12"/>
  <c r="IJ358" i="12"/>
  <c r="IK358" i="12"/>
  <c r="IL358" i="12"/>
  <c r="IM358" i="12"/>
  <c r="IN358" i="12"/>
  <c r="IO358" i="12"/>
  <c r="IP358" i="12"/>
  <c r="IQ358" i="12"/>
  <c r="IR358" i="12"/>
  <c r="IS358" i="12"/>
  <c r="IT358" i="12"/>
  <c r="IU358" i="12"/>
  <c r="IV358" i="12"/>
  <c r="F359" i="12"/>
  <c r="G359" i="12"/>
  <c r="H359" i="12"/>
  <c r="I359" i="12"/>
  <c r="J359" i="12"/>
  <c r="K359" i="12"/>
  <c r="L359" i="12"/>
  <c r="M359" i="12"/>
  <c r="N359" i="12"/>
  <c r="O359" i="12"/>
  <c r="P359" i="12"/>
  <c r="Q359" i="12"/>
  <c r="R359" i="12"/>
  <c r="S359" i="12"/>
  <c r="T359" i="12"/>
  <c r="U359" i="12"/>
  <c r="V359" i="12"/>
  <c r="W359" i="12"/>
  <c r="X359" i="12"/>
  <c r="Y359" i="12"/>
  <c r="Z359" i="12"/>
  <c r="AA359" i="12"/>
  <c r="AB359" i="12"/>
  <c r="AC359" i="12"/>
  <c r="AD359" i="12"/>
  <c r="AE359" i="12"/>
  <c r="AF359" i="12"/>
  <c r="AG359" i="12"/>
  <c r="AH359" i="12"/>
  <c r="AI359" i="12"/>
  <c r="AJ359" i="12"/>
  <c r="AK359" i="12"/>
  <c r="AL359" i="12"/>
  <c r="AM359" i="12"/>
  <c r="AN359" i="12"/>
  <c r="AO359" i="12"/>
  <c r="AP359" i="12"/>
  <c r="AQ359" i="12"/>
  <c r="AR359" i="12"/>
  <c r="AS359" i="12"/>
  <c r="AT359" i="12"/>
  <c r="AU359" i="12"/>
  <c r="AV359" i="12"/>
  <c r="AW359" i="12"/>
  <c r="AX359" i="12"/>
  <c r="AY359" i="12"/>
  <c r="AZ359" i="12"/>
  <c r="BA359" i="12"/>
  <c r="BB359" i="12"/>
  <c r="BC359" i="12"/>
  <c r="BD359" i="12"/>
  <c r="BE359" i="12"/>
  <c r="BF359" i="12"/>
  <c r="BG359" i="12"/>
  <c r="BH359" i="12"/>
  <c r="BI359" i="12"/>
  <c r="BJ359" i="12"/>
  <c r="BK359" i="12"/>
  <c r="BL359" i="12"/>
  <c r="BM359" i="12"/>
  <c r="BN359" i="12"/>
  <c r="BO359" i="12"/>
  <c r="BP359" i="12"/>
  <c r="BQ359" i="12"/>
  <c r="BR359" i="12"/>
  <c r="BS359" i="12"/>
  <c r="BT359" i="12"/>
  <c r="BU359" i="12"/>
  <c r="BV359" i="12"/>
  <c r="BW359" i="12"/>
  <c r="BX359" i="12"/>
  <c r="BY359" i="12"/>
  <c r="BZ359" i="12"/>
  <c r="CA359" i="12"/>
  <c r="CB359" i="12"/>
  <c r="CC359" i="12"/>
  <c r="CD359" i="12"/>
  <c r="CE359" i="12"/>
  <c r="CF359" i="12"/>
  <c r="CG359" i="12"/>
  <c r="CH359" i="12"/>
  <c r="CI359" i="12"/>
  <c r="CJ359" i="12"/>
  <c r="CK359" i="12"/>
  <c r="CL359" i="12"/>
  <c r="CM359" i="12"/>
  <c r="CN359" i="12"/>
  <c r="CO359" i="12"/>
  <c r="CP359" i="12"/>
  <c r="CQ359" i="12"/>
  <c r="CR359" i="12"/>
  <c r="CS359" i="12"/>
  <c r="CT359" i="12"/>
  <c r="CU359" i="12"/>
  <c r="CV359" i="12"/>
  <c r="CW359" i="12"/>
  <c r="CX359" i="12"/>
  <c r="CY359" i="12"/>
  <c r="CZ359" i="12"/>
  <c r="DA359" i="12"/>
  <c r="DB359" i="12"/>
  <c r="DC359" i="12"/>
  <c r="DD359" i="12"/>
  <c r="DE359" i="12"/>
  <c r="DF359" i="12"/>
  <c r="DG359" i="12"/>
  <c r="DH359" i="12"/>
  <c r="DI359" i="12"/>
  <c r="DJ359" i="12"/>
  <c r="DK359" i="12"/>
  <c r="DL359" i="12"/>
  <c r="DM359" i="12"/>
  <c r="DN359" i="12"/>
  <c r="DO359" i="12"/>
  <c r="DP359" i="12"/>
  <c r="DQ359" i="12"/>
  <c r="DR359" i="12"/>
  <c r="DS359" i="12"/>
  <c r="DT359" i="12"/>
  <c r="DU359" i="12"/>
  <c r="DV359" i="12"/>
  <c r="DW359" i="12"/>
  <c r="DX359" i="12"/>
  <c r="DY359" i="12"/>
  <c r="DZ359" i="12"/>
  <c r="EA359" i="12"/>
  <c r="EB359" i="12"/>
  <c r="EC359" i="12"/>
  <c r="ED359" i="12"/>
  <c r="EE359" i="12"/>
  <c r="EF359" i="12"/>
  <c r="EG359" i="12"/>
  <c r="EH359" i="12"/>
  <c r="EI359" i="12"/>
  <c r="EJ359" i="12"/>
  <c r="EK359" i="12"/>
  <c r="EL359" i="12"/>
  <c r="EM359" i="12"/>
  <c r="EN359" i="12"/>
  <c r="EO359" i="12"/>
  <c r="EP359" i="12"/>
  <c r="EQ359" i="12"/>
  <c r="ER359" i="12"/>
  <c r="ES359" i="12"/>
  <c r="ET359" i="12"/>
  <c r="EU359" i="12"/>
  <c r="EV359" i="12"/>
  <c r="EW359" i="12"/>
  <c r="EX359" i="12"/>
  <c r="EY359" i="12"/>
  <c r="EZ359" i="12"/>
  <c r="FA359" i="12"/>
  <c r="FB359" i="12"/>
  <c r="FC359" i="12"/>
  <c r="FD359" i="12"/>
  <c r="FE359" i="12"/>
  <c r="FF359" i="12"/>
  <c r="FG359" i="12"/>
  <c r="FH359" i="12"/>
  <c r="FI359" i="12"/>
  <c r="FJ359" i="12"/>
  <c r="FK359" i="12"/>
  <c r="FL359" i="12"/>
  <c r="FM359" i="12"/>
  <c r="FN359" i="12"/>
  <c r="FO359" i="12"/>
  <c r="FP359" i="12"/>
  <c r="FQ359" i="12"/>
  <c r="FR359" i="12"/>
  <c r="FS359" i="12"/>
  <c r="FT359" i="12"/>
  <c r="FU359" i="12"/>
  <c r="FV359" i="12"/>
  <c r="FW359" i="12"/>
  <c r="FX359" i="12"/>
  <c r="FY359" i="12"/>
  <c r="FZ359" i="12"/>
  <c r="GA359" i="12"/>
  <c r="GB359" i="12"/>
  <c r="GC359" i="12"/>
  <c r="GD359" i="12"/>
  <c r="GE359" i="12"/>
  <c r="GF359" i="12"/>
  <c r="GG359" i="12"/>
  <c r="GH359" i="12"/>
  <c r="GI359" i="12"/>
  <c r="GJ359" i="12"/>
  <c r="GK359" i="12"/>
  <c r="GL359" i="12"/>
  <c r="GM359" i="12"/>
  <c r="GN359" i="12"/>
  <c r="GO359" i="12"/>
  <c r="GP359" i="12"/>
  <c r="GQ359" i="12"/>
  <c r="GR359" i="12"/>
  <c r="GS359" i="12"/>
  <c r="GT359" i="12"/>
  <c r="GU359" i="12"/>
  <c r="GV359" i="12"/>
  <c r="GW359" i="12"/>
  <c r="GX359" i="12"/>
  <c r="GY359" i="12"/>
  <c r="GZ359" i="12"/>
  <c r="HA359" i="12"/>
  <c r="HB359" i="12"/>
  <c r="HC359" i="12"/>
  <c r="HD359" i="12"/>
  <c r="HE359" i="12"/>
  <c r="HF359" i="12"/>
  <c r="HG359" i="12"/>
  <c r="HH359" i="12"/>
  <c r="HI359" i="12"/>
  <c r="HJ359" i="12"/>
  <c r="HK359" i="12"/>
  <c r="HL359" i="12"/>
  <c r="HM359" i="12"/>
  <c r="HN359" i="12"/>
  <c r="HO359" i="12"/>
  <c r="HP359" i="12"/>
  <c r="HQ359" i="12"/>
  <c r="HR359" i="12"/>
  <c r="HS359" i="12"/>
  <c r="HT359" i="12"/>
  <c r="HU359" i="12"/>
  <c r="HV359" i="12"/>
  <c r="HW359" i="12"/>
  <c r="HX359" i="12"/>
  <c r="HY359" i="12"/>
  <c r="HZ359" i="12"/>
  <c r="IA359" i="12"/>
  <c r="IB359" i="12"/>
  <c r="IC359" i="12"/>
  <c r="ID359" i="12"/>
  <c r="IE359" i="12"/>
  <c r="IF359" i="12"/>
  <c r="IG359" i="12"/>
  <c r="IH359" i="12"/>
  <c r="II359" i="12"/>
  <c r="IJ359" i="12"/>
  <c r="IK359" i="12"/>
  <c r="IL359" i="12"/>
  <c r="IM359" i="12"/>
  <c r="IN359" i="12"/>
  <c r="IO359" i="12"/>
  <c r="IP359" i="12"/>
  <c r="IQ359" i="12"/>
  <c r="IR359" i="12"/>
  <c r="IS359" i="12"/>
  <c r="IT359" i="12"/>
  <c r="IU359" i="12"/>
  <c r="IV359" i="12"/>
  <c r="F360" i="12"/>
  <c r="G360" i="12"/>
  <c r="H360" i="12"/>
  <c r="I360" i="12"/>
  <c r="J360" i="12"/>
  <c r="K360" i="12"/>
  <c r="L360" i="12"/>
  <c r="M360" i="12"/>
  <c r="N360" i="12"/>
  <c r="O360" i="12"/>
  <c r="P360" i="12"/>
  <c r="Q360" i="12"/>
  <c r="R360" i="12"/>
  <c r="S360" i="12"/>
  <c r="T360" i="12"/>
  <c r="U360" i="12"/>
  <c r="V360" i="12"/>
  <c r="W360" i="12"/>
  <c r="X360" i="12"/>
  <c r="Y360" i="12"/>
  <c r="Z360" i="12"/>
  <c r="AA360" i="12"/>
  <c r="AB360" i="12"/>
  <c r="AC360" i="12"/>
  <c r="AD360" i="12"/>
  <c r="AE360" i="12"/>
  <c r="AF360" i="12"/>
  <c r="AG360" i="12"/>
  <c r="AH360" i="12"/>
  <c r="AI360" i="12"/>
  <c r="AJ360" i="12"/>
  <c r="AK360" i="12"/>
  <c r="AL360" i="12"/>
  <c r="AM360" i="12"/>
  <c r="AN360" i="12"/>
  <c r="AO360" i="12"/>
  <c r="AP360" i="12"/>
  <c r="AQ360" i="12"/>
  <c r="AR360" i="12"/>
  <c r="AS360" i="12"/>
  <c r="AT360" i="12"/>
  <c r="AU360" i="12"/>
  <c r="AV360" i="12"/>
  <c r="AW360" i="12"/>
  <c r="AX360" i="12"/>
  <c r="AY360" i="12"/>
  <c r="AZ360" i="12"/>
  <c r="BA360" i="12"/>
  <c r="BB360" i="12"/>
  <c r="BC360" i="12"/>
  <c r="BD360" i="12"/>
  <c r="BE360" i="12"/>
  <c r="BF360" i="12"/>
  <c r="BG360" i="12"/>
  <c r="BH360" i="12"/>
  <c r="BI360" i="12"/>
  <c r="BJ360" i="12"/>
  <c r="BK360" i="12"/>
  <c r="BL360" i="12"/>
  <c r="BM360" i="12"/>
  <c r="BN360" i="12"/>
  <c r="BO360" i="12"/>
  <c r="BP360" i="12"/>
  <c r="BQ360" i="12"/>
  <c r="BR360" i="12"/>
  <c r="BS360" i="12"/>
  <c r="BT360" i="12"/>
  <c r="BU360" i="12"/>
  <c r="BV360" i="12"/>
  <c r="BW360" i="12"/>
  <c r="BX360" i="12"/>
  <c r="BY360" i="12"/>
  <c r="BZ360" i="12"/>
  <c r="CA360" i="12"/>
  <c r="CB360" i="12"/>
  <c r="CC360" i="12"/>
  <c r="CD360" i="12"/>
  <c r="CE360" i="12"/>
  <c r="CF360" i="12"/>
  <c r="CG360" i="12"/>
  <c r="CH360" i="12"/>
  <c r="CI360" i="12"/>
  <c r="CJ360" i="12"/>
  <c r="CK360" i="12"/>
  <c r="CL360" i="12"/>
  <c r="CM360" i="12"/>
  <c r="CN360" i="12"/>
  <c r="CO360" i="12"/>
  <c r="CP360" i="12"/>
  <c r="CQ360" i="12"/>
  <c r="CR360" i="12"/>
  <c r="CS360" i="12"/>
  <c r="CT360" i="12"/>
  <c r="CU360" i="12"/>
  <c r="CV360" i="12"/>
  <c r="CW360" i="12"/>
  <c r="CX360" i="12"/>
  <c r="CY360" i="12"/>
  <c r="CZ360" i="12"/>
  <c r="DA360" i="12"/>
  <c r="DB360" i="12"/>
  <c r="DC360" i="12"/>
  <c r="DD360" i="12"/>
  <c r="DE360" i="12"/>
  <c r="DF360" i="12"/>
  <c r="DG360" i="12"/>
  <c r="DH360" i="12"/>
  <c r="DI360" i="12"/>
  <c r="DJ360" i="12"/>
  <c r="DK360" i="12"/>
  <c r="DL360" i="12"/>
  <c r="DM360" i="12"/>
  <c r="DN360" i="12"/>
  <c r="DO360" i="12"/>
  <c r="DP360" i="12"/>
  <c r="DQ360" i="12"/>
  <c r="DR360" i="12"/>
  <c r="DS360" i="12"/>
  <c r="DT360" i="12"/>
  <c r="DU360" i="12"/>
  <c r="DV360" i="12"/>
  <c r="DW360" i="12"/>
  <c r="DX360" i="12"/>
  <c r="DY360" i="12"/>
  <c r="DZ360" i="12"/>
  <c r="EA360" i="12"/>
  <c r="EB360" i="12"/>
  <c r="EC360" i="12"/>
  <c r="ED360" i="12"/>
  <c r="EE360" i="12"/>
  <c r="EF360" i="12"/>
  <c r="EG360" i="12"/>
  <c r="EH360" i="12"/>
  <c r="EI360" i="12"/>
  <c r="EJ360" i="12"/>
  <c r="EK360" i="12"/>
  <c r="EL360" i="12"/>
  <c r="EM360" i="12"/>
  <c r="EN360" i="12"/>
  <c r="EO360" i="12"/>
  <c r="EP360" i="12"/>
  <c r="EQ360" i="12"/>
  <c r="ER360" i="12"/>
  <c r="ES360" i="12"/>
  <c r="ET360" i="12"/>
  <c r="EU360" i="12"/>
  <c r="EV360" i="12"/>
  <c r="EW360" i="12"/>
  <c r="EX360" i="12"/>
  <c r="EY360" i="12"/>
  <c r="EZ360" i="12"/>
  <c r="FA360" i="12"/>
  <c r="FB360" i="12"/>
  <c r="FC360" i="12"/>
  <c r="FD360" i="12"/>
  <c r="FE360" i="12"/>
  <c r="FF360" i="12"/>
  <c r="FG360" i="12"/>
  <c r="FH360" i="12"/>
  <c r="FI360" i="12"/>
  <c r="FJ360" i="12"/>
  <c r="FK360" i="12"/>
  <c r="FL360" i="12"/>
  <c r="FM360" i="12"/>
  <c r="FN360" i="12"/>
  <c r="FO360" i="12"/>
  <c r="FP360" i="12"/>
  <c r="FQ360" i="12"/>
  <c r="FR360" i="12"/>
  <c r="FS360" i="12"/>
  <c r="FT360" i="12"/>
  <c r="FU360" i="12"/>
  <c r="FV360" i="12"/>
  <c r="FW360" i="12"/>
  <c r="FX360" i="12"/>
  <c r="FY360" i="12"/>
  <c r="FZ360" i="12"/>
  <c r="GA360" i="12"/>
  <c r="GB360" i="12"/>
  <c r="GC360" i="12"/>
  <c r="GD360" i="12"/>
  <c r="GE360" i="12"/>
  <c r="GF360" i="12"/>
  <c r="GG360" i="12"/>
  <c r="GH360" i="12"/>
  <c r="GI360" i="12"/>
  <c r="GJ360" i="12"/>
  <c r="GK360" i="12"/>
  <c r="GL360" i="12"/>
  <c r="GM360" i="12"/>
  <c r="GN360" i="12"/>
  <c r="GO360" i="12"/>
  <c r="GP360" i="12"/>
  <c r="GQ360" i="12"/>
  <c r="GR360" i="12"/>
  <c r="GS360" i="12"/>
  <c r="GT360" i="12"/>
  <c r="GU360" i="12"/>
  <c r="GV360" i="12"/>
  <c r="GW360" i="12"/>
  <c r="GX360" i="12"/>
  <c r="GY360" i="12"/>
  <c r="GZ360" i="12"/>
  <c r="HA360" i="12"/>
  <c r="HB360" i="12"/>
  <c r="HC360" i="12"/>
  <c r="HD360" i="12"/>
  <c r="HE360" i="12"/>
  <c r="HF360" i="12"/>
  <c r="HG360" i="12"/>
  <c r="HH360" i="12"/>
  <c r="HI360" i="12"/>
  <c r="HJ360" i="12"/>
  <c r="HK360" i="12"/>
  <c r="HL360" i="12"/>
  <c r="HM360" i="12"/>
  <c r="HN360" i="12"/>
  <c r="HO360" i="12"/>
  <c r="HP360" i="12"/>
  <c r="HQ360" i="12"/>
  <c r="HR360" i="12"/>
  <c r="HS360" i="12"/>
  <c r="HT360" i="12"/>
  <c r="HU360" i="12"/>
  <c r="HV360" i="12"/>
  <c r="HW360" i="12"/>
  <c r="HX360" i="12"/>
  <c r="HY360" i="12"/>
  <c r="HZ360" i="12"/>
  <c r="IA360" i="12"/>
  <c r="IB360" i="12"/>
  <c r="IC360" i="12"/>
  <c r="ID360" i="12"/>
  <c r="IE360" i="12"/>
  <c r="IF360" i="12"/>
  <c r="IG360" i="12"/>
  <c r="IH360" i="12"/>
  <c r="II360" i="12"/>
  <c r="IJ360" i="12"/>
  <c r="IK360" i="12"/>
  <c r="IL360" i="12"/>
  <c r="IM360" i="12"/>
  <c r="IN360" i="12"/>
  <c r="IO360" i="12"/>
  <c r="IP360" i="12"/>
  <c r="IQ360" i="12"/>
  <c r="IR360" i="12"/>
  <c r="IS360" i="12"/>
  <c r="IT360" i="12"/>
  <c r="IU360" i="12"/>
  <c r="IV360" i="12"/>
  <c r="F361" i="12"/>
  <c r="G361" i="12"/>
  <c r="H361" i="12"/>
  <c r="I361" i="12"/>
  <c r="J361" i="12"/>
  <c r="K361" i="12"/>
  <c r="L361" i="12"/>
  <c r="M361" i="12"/>
  <c r="N361" i="12"/>
  <c r="O361" i="12"/>
  <c r="P361" i="12"/>
  <c r="Q361" i="12"/>
  <c r="R361" i="12"/>
  <c r="S361" i="12"/>
  <c r="T361" i="12"/>
  <c r="U361" i="12"/>
  <c r="V361" i="12"/>
  <c r="W361" i="12"/>
  <c r="X361" i="12"/>
  <c r="Y361" i="12"/>
  <c r="Z361" i="12"/>
  <c r="AA361" i="12"/>
  <c r="AB361" i="12"/>
  <c r="AC361" i="12"/>
  <c r="AD361" i="12"/>
  <c r="AE361" i="12"/>
  <c r="AF361" i="12"/>
  <c r="AG361" i="12"/>
  <c r="AH361" i="12"/>
  <c r="AI361" i="12"/>
  <c r="AJ361" i="12"/>
  <c r="AK361" i="12"/>
  <c r="AL361" i="12"/>
  <c r="AM361" i="12"/>
  <c r="AN361" i="12"/>
  <c r="AO361" i="12"/>
  <c r="AP361" i="12"/>
  <c r="AQ361" i="12"/>
  <c r="AR361" i="12"/>
  <c r="AS361" i="12"/>
  <c r="AT361" i="12"/>
  <c r="AU361" i="12"/>
  <c r="AV361" i="12"/>
  <c r="AW361" i="12"/>
  <c r="AX361" i="12"/>
  <c r="AY361" i="12"/>
  <c r="AZ361" i="12"/>
  <c r="BA361" i="12"/>
  <c r="BB361" i="12"/>
  <c r="BC361" i="12"/>
  <c r="BD361" i="12"/>
  <c r="BE361" i="12"/>
  <c r="BF361" i="12"/>
  <c r="BG361" i="12"/>
  <c r="BH361" i="12"/>
  <c r="BI361" i="12"/>
  <c r="BJ361" i="12"/>
  <c r="BK361" i="12"/>
  <c r="BL361" i="12"/>
  <c r="BM361" i="12"/>
  <c r="BN361" i="12"/>
  <c r="BO361" i="12"/>
  <c r="BP361" i="12"/>
  <c r="BQ361" i="12"/>
  <c r="BR361" i="12"/>
  <c r="BS361" i="12"/>
  <c r="BT361" i="12"/>
  <c r="BU361" i="12"/>
  <c r="BV361" i="12"/>
  <c r="BW361" i="12"/>
  <c r="BX361" i="12"/>
  <c r="BY361" i="12"/>
  <c r="BZ361" i="12"/>
  <c r="CA361" i="12"/>
  <c r="CB361" i="12"/>
  <c r="CC361" i="12"/>
  <c r="CD361" i="12"/>
  <c r="CE361" i="12"/>
  <c r="CF361" i="12"/>
  <c r="CG361" i="12"/>
  <c r="CH361" i="12"/>
  <c r="CI361" i="12"/>
  <c r="CJ361" i="12"/>
  <c r="CK361" i="12"/>
  <c r="CL361" i="12"/>
  <c r="CM361" i="12"/>
  <c r="CN361" i="12"/>
  <c r="CO361" i="12"/>
  <c r="CP361" i="12"/>
  <c r="CQ361" i="12"/>
  <c r="CR361" i="12"/>
  <c r="CS361" i="12"/>
  <c r="CT361" i="12"/>
  <c r="CU361" i="12"/>
  <c r="CV361" i="12"/>
  <c r="CW361" i="12"/>
  <c r="CX361" i="12"/>
  <c r="CY361" i="12"/>
  <c r="CZ361" i="12"/>
  <c r="DA361" i="12"/>
  <c r="DB361" i="12"/>
  <c r="DC361" i="12"/>
  <c r="DD361" i="12"/>
  <c r="DE361" i="12"/>
  <c r="DF361" i="12"/>
  <c r="DG361" i="12"/>
  <c r="DH361" i="12"/>
  <c r="DI361" i="12"/>
  <c r="DJ361" i="12"/>
  <c r="DK361" i="12"/>
  <c r="DL361" i="12"/>
  <c r="DM361" i="12"/>
  <c r="DN361" i="12"/>
  <c r="DO361" i="12"/>
  <c r="DP361" i="12"/>
  <c r="DQ361" i="12"/>
  <c r="DR361" i="12"/>
  <c r="DS361" i="12"/>
  <c r="DT361" i="12"/>
  <c r="DU361" i="12"/>
  <c r="DV361" i="12"/>
  <c r="DW361" i="12"/>
  <c r="DX361" i="12"/>
  <c r="DY361" i="12"/>
  <c r="DZ361" i="12"/>
  <c r="EA361" i="12"/>
  <c r="EB361" i="12"/>
  <c r="EC361" i="12"/>
  <c r="ED361" i="12"/>
  <c r="EE361" i="12"/>
  <c r="EF361" i="12"/>
  <c r="EG361" i="12"/>
  <c r="EH361" i="12"/>
  <c r="EI361" i="12"/>
  <c r="EJ361" i="12"/>
  <c r="EK361" i="12"/>
  <c r="EL361" i="12"/>
  <c r="EM361" i="12"/>
  <c r="EN361" i="12"/>
  <c r="EO361" i="12"/>
  <c r="EP361" i="12"/>
  <c r="EQ361" i="12"/>
  <c r="ER361" i="12"/>
  <c r="ES361" i="12"/>
  <c r="ET361" i="12"/>
  <c r="EU361" i="12"/>
  <c r="EV361" i="12"/>
  <c r="EW361" i="12"/>
  <c r="EX361" i="12"/>
  <c r="EY361" i="12"/>
  <c r="EZ361" i="12"/>
  <c r="FA361" i="12"/>
  <c r="FB361" i="12"/>
  <c r="FC361" i="12"/>
  <c r="FD361" i="12"/>
  <c r="FE361" i="12"/>
  <c r="FF361" i="12"/>
  <c r="FG361" i="12"/>
  <c r="FH361" i="12"/>
  <c r="FI361" i="12"/>
  <c r="FJ361" i="12"/>
  <c r="FK361" i="12"/>
  <c r="FL361" i="12"/>
  <c r="FM361" i="12"/>
  <c r="FN361" i="12"/>
  <c r="FO361" i="12"/>
  <c r="FP361" i="12"/>
  <c r="FQ361" i="12"/>
  <c r="FR361" i="12"/>
  <c r="FS361" i="12"/>
  <c r="FT361" i="12"/>
  <c r="FU361" i="12"/>
  <c r="FV361" i="12"/>
  <c r="FW361" i="12"/>
  <c r="FX361" i="12"/>
  <c r="FY361" i="12"/>
  <c r="FZ361" i="12"/>
  <c r="GA361" i="12"/>
  <c r="GB361" i="12"/>
  <c r="GC361" i="12"/>
  <c r="GD361" i="12"/>
  <c r="GE361" i="12"/>
  <c r="GF361" i="12"/>
  <c r="GG361" i="12"/>
  <c r="GH361" i="12"/>
  <c r="GI361" i="12"/>
  <c r="GJ361" i="12"/>
  <c r="GK361" i="12"/>
  <c r="GL361" i="12"/>
  <c r="GM361" i="12"/>
  <c r="GN361" i="12"/>
  <c r="GO361" i="12"/>
  <c r="GP361" i="12"/>
  <c r="GQ361" i="12"/>
  <c r="GR361" i="12"/>
  <c r="GS361" i="12"/>
  <c r="GT361" i="12"/>
  <c r="GU361" i="12"/>
  <c r="GV361" i="12"/>
  <c r="GW361" i="12"/>
  <c r="GX361" i="12"/>
  <c r="GY361" i="12"/>
  <c r="GZ361" i="12"/>
  <c r="HA361" i="12"/>
  <c r="HB361" i="12"/>
  <c r="HC361" i="12"/>
  <c r="HD361" i="12"/>
  <c r="HE361" i="12"/>
  <c r="HF361" i="12"/>
  <c r="HG361" i="12"/>
  <c r="HH361" i="12"/>
  <c r="HI361" i="12"/>
  <c r="HJ361" i="12"/>
  <c r="HK361" i="12"/>
  <c r="HL361" i="12"/>
  <c r="HM361" i="12"/>
  <c r="HN361" i="12"/>
  <c r="HO361" i="12"/>
  <c r="HP361" i="12"/>
  <c r="HQ361" i="12"/>
  <c r="HR361" i="12"/>
  <c r="HS361" i="12"/>
  <c r="HT361" i="12"/>
  <c r="HU361" i="12"/>
  <c r="HV361" i="12"/>
  <c r="HW361" i="12"/>
  <c r="HX361" i="12"/>
  <c r="HY361" i="12"/>
  <c r="HZ361" i="12"/>
  <c r="IA361" i="12"/>
  <c r="IB361" i="12"/>
  <c r="IC361" i="12"/>
  <c r="ID361" i="12"/>
  <c r="IE361" i="12"/>
  <c r="IF361" i="12"/>
  <c r="IG361" i="12"/>
  <c r="IH361" i="12"/>
  <c r="II361" i="12"/>
  <c r="IJ361" i="12"/>
  <c r="IK361" i="12"/>
  <c r="IL361" i="12"/>
  <c r="IM361" i="12"/>
  <c r="IN361" i="12"/>
  <c r="IO361" i="12"/>
  <c r="IP361" i="12"/>
  <c r="IQ361" i="12"/>
  <c r="IR361" i="12"/>
  <c r="IS361" i="12"/>
  <c r="IT361" i="12"/>
  <c r="IU361" i="12"/>
  <c r="IV361" i="12"/>
  <c r="F362" i="12"/>
  <c r="G362" i="12"/>
  <c r="H362" i="12"/>
  <c r="I362" i="12"/>
  <c r="J362" i="12"/>
  <c r="K362" i="12"/>
  <c r="L362" i="12"/>
  <c r="M362" i="12"/>
  <c r="N362" i="12"/>
  <c r="O362" i="12"/>
  <c r="P362" i="12"/>
  <c r="Q362" i="12"/>
  <c r="R362" i="12"/>
  <c r="S362" i="12"/>
  <c r="T362" i="12"/>
  <c r="U362" i="12"/>
  <c r="V362" i="12"/>
  <c r="W362" i="12"/>
  <c r="X362" i="12"/>
  <c r="Y362" i="12"/>
  <c r="Z362" i="12"/>
  <c r="AA362" i="12"/>
  <c r="AB362" i="12"/>
  <c r="AC362" i="12"/>
  <c r="AD362" i="12"/>
  <c r="AE362" i="12"/>
  <c r="AF362" i="12"/>
  <c r="AG362" i="12"/>
  <c r="AH362" i="12"/>
  <c r="AI362" i="12"/>
  <c r="AJ362" i="12"/>
  <c r="AK362" i="12"/>
  <c r="AL362" i="12"/>
  <c r="AM362" i="12"/>
  <c r="AN362" i="12"/>
  <c r="AO362" i="12"/>
  <c r="AP362" i="12"/>
  <c r="AQ362" i="12"/>
  <c r="AR362" i="12"/>
  <c r="AS362" i="12"/>
  <c r="AT362" i="12"/>
  <c r="AU362" i="12"/>
  <c r="AV362" i="12"/>
  <c r="AW362" i="12"/>
  <c r="AX362" i="12"/>
  <c r="AY362" i="12"/>
  <c r="AZ362" i="12"/>
  <c r="BA362" i="12"/>
  <c r="BB362" i="12"/>
  <c r="BC362" i="12"/>
  <c r="BD362" i="12"/>
  <c r="BE362" i="12"/>
  <c r="BF362" i="12"/>
  <c r="BG362" i="12"/>
  <c r="BH362" i="12"/>
  <c r="BI362" i="12"/>
  <c r="BJ362" i="12"/>
  <c r="BK362" i="12"/>
  <c r="BL362" i="12"/>
  <c r="BM362" i="12"/>
  <c r="BN362" i="12"/>
  <c r="BO362" i="12"/>
  <c r="BP362" i="12"/>
  <c r="BQ362" i="12"/>
  <c r="BR362" i="12"/>
  <c r="BS362" i="12"/>
  <c r="BT362" i="12"/>
  <c r="BU362" i="12"/>
  <c r="BV362" i="12"/>
  <c r="BW362" i="12"/>
  <c r="BX362" i="12"/>
  <c r="BY362" i="12"/>
  <c r="BZ362" i="12"/>
  <c r="CA362" i="12"/>
  <c r="CB362" i="12"/>
  <c r="CC362" i="12"/>
  <c r="CD362" i="12"/>
  <c r="CE362" i="12"/>
  <c r="CF362" i="12"/>
  <c r="CG362" i="12"/>
  <c r="CH362" i="12"/>
  <c r="CI362" i="12"/>
  <c r="CJ362" i="12"/>
  <c r="CK362" i="12"/>
  <c r="CL362" i="12"/>
  <c r="CM362" i="12"/>
  <c r="CN362" i="12"/>
  <c r="CO362" i="12"/>
  <c r="CP362" i="12"/>
  <c r="CQ362" i="12"/>
  <c r="CR362" i="12"/>
  <c r="CS362" i="12"/>
  <c r="CT362" i="12"/>
  <c r="CU362" i="12"/>
  <c r="CV362" i="12"/>
  <c r="CW362" i="12"/>
  <c r="CX362" i="12"/>
  <c r="CY362" i="12"/>
  <c r="CZ362" i="12"/>
  <c r="DA362" i="12"/>
  <c r="DB362" i="12"/>
  <c r="DC362" i="12"/>
  <c r="DD362" i="12"/>
  <c r="DE362" i="12"/>
  <c r="DF362" i="12"/>
  <c r="DG362" i="12"/>
  <c r="DH362" i="12"/>
  <c r="DI362" i="12"/>
  <c r="DJ362" i="12"/>
  <c r="DK362" i="12"/>
  <c r="DL362" i="12"/>
  <c r="DM362" i="12"/>
  <c r="DN362" i="12"/>
  <c r="DO362" i="12"/>
  <c r="DP362" i="12"/>
  <c r="DQ362" i="12"/>
  <c r="DR362" i="12"/>
  <c r="DS362" i="12"/>
  <c r="DT362" i="12"/>
  <c r="DU362" i="12"/>
  <c r="DV362" i="12"/>
  <c r="DW362" i="12"/>
  <c r="DX362" i="12"/>
  <c r="DY362" i="12"/>
  <c r="DZ362" i="12"/>
  <c r="EA362" i="12"/>
  <c r="EB362" i="12"/>
  <c r="EC362" i="12"/>
  <c r="ED362" i="12"/>
  <c r="EE362" i="12"/>
  <c r="EF362" i="12"/>
  <c r="EG362" i="12"/>
  <c r="EH362" i="12"/>
  <c r="EI362" i="12"/>
  <c r="EJ362" i="12"/>
  <c r="EK362" i="12"/>
  <c r="EL362" i="12"/>
  <c r="EM362" i="12"/>
  <c r="EN362" i="12"/>
  <c r="EO362" i="12"/>
  <c r="EP362" i="12"/>
  <c r="EQ362" i="12"/>
  <c r="ER362" i="12"/>
  <c r="ES362" i="12"/>
  <c r="ET362" i="12"/>
  <c r="EU362" i="12"/>
  <c r="EV362" i="12"/>
  <c r="EW362" i="12"/>
  <c r="EX362" i="12"/>
  <c r="EY362" i="12"/>
  <c r="EZ362" i="12"/>
  <c r="FA362" i="12"/>
  <c r="FB362" i="12"/>
  <c r="FC362" i="12"/>
  <c r="FD362" i="12"/>
  <c r="FE362" i="12"/>
  <c r="FF362" i="12"/>
  <c r="FG362" i="12"/>
  <c r="FH362" i="12"/>
  <c r="FI362" i="12"/>
  <c r="FJ362" i="12"/>
  <c r="FK362" i="12"/>
  <c r="FL362" i="12"/>
  <c r="FM362" i="12"/>
  <c r="FN362" i="12"/>
  <c r="FO362" i="12"/>
  <c r="FP362" i="12"/>
  <c r="FQ362" i="12"/>
  <c r="FR362" i="12"/>
  <c r="FS362" i="12"/>
  <c r="FT362" i="12"/>
  <c r="FU362" i="12"/>
  <c r="FV362" i="12"/>
  <c r="FW362" i="12"/>
  <c r="FX362" i="12"/>
  <c r="FY362" i="12"/>
  <c r="FZ362" i="12"/>
  <c r="GA362" i="12"/>
  <c r="GB362" i="12"/>
  <c r="GC362" i="12"/>
  <c r="GD362" i="12"/>
  <c r="GE362" i="12"/>
  <c r="GF362" i="12"/>
  <c r="GG362" i="12"/>
  <c r="GH362" i="12"/>
  <c r="GI362" i="12"/>
  <c r="GJ362" i="12"/>
  <c r="GK362" i="12"/>
  <c r="GL362" i="12"/>
  <c r="GM362" i="12"/>
  <c r="GN362" i="12"/>
  <c r="GO362" i="12"/>
  <c r="GP362" i="12"/>
  <c r="GQ362" i="12"/>
  <c r="GR362" i="12"/>
  <c r="GS362" i="12"/>
  <c r="GT362" i="12"/>
  <c r="GU362" i="12"/>
  <c r="GV362" i="12"/>
  <c r="GW362" i="12"/>
  <c r="GX362" i="12"/>
  <c r="GY362" i="12"/>
  <c r="GZ362" i="12"/>
  <c r="HA362" i="12"/>
  <c r="HB362" i="12"/>
  <c r="HC362" i="12"/>
  <c r="HD362" i="12"/>
  <c r="HE362" i="12"/>
  <c r="HF362" i="12"/>
  <c r="HG362" i="12"/>
  <c r="HH362" i="12"/>
  <c r="HI362" i="12"/>
  <c r="HJ362" i="12"/>
  <c r="HK362" i="12"/>
  <c r="HL362" i="12"/>
  <c r="HM362" i="12"/>
  <c r="HN362" i="12"/>
  <c r="HO362" i="12"/>
  <c r="HP362" i="12"/>
  <c r="HQ362" i="12"/>
  <c r="HR362" i="12"/>
  <c r="HS362" i="12"/>
  <c r="HT362" i="12"/>
  <c r="HU362" i="12"/>
  <c r="HV362" i="12"/>
  <c r="HW362" i="12"/>
  <c r="HX362" i="12"/>
  <c r="HY362" i="12"/>
  <c r="HZ362" i="12"/>
  <c r="IA362" i="12"/>
  <c r="IB362" i="12"/>
  <c r="IC362" i="12"/>
  <c r="ID362" i="12"/>
  <c r="IE362" i="12"/>
  <c r="IF362" i="12"/>
  <c r="IG362" i="12"/>
  <c r="IH362" i="12"/>
  <c r="II362" i="12"/>
  <c r="IJ362" i="12"/>
  <c r="IK362" i="12"/>
  <c r="IL362" i="12"/>
  <c r="IM362" i="12"/>
  <c r="IN362" i="12"/>
  <c r="IO362" i="12"/>
  <c r="IP362" i="12"/>
  <c r="IQ362" i="12"/>
  <c r="IR362" i="12"/>
  <c r="IS362" i="12"/>
  <c r="IT362" i="12"/>
  <c r="IU362" i="12"/>
  <c r="IV362" i="12"/>
  <c r="F363" i="12"/>
  <c r="G363" i="12"/>
  <c r="H363" i="12"/>
  <c r="I363" i="12"/>
  <c r="J363" i="12"/>
  <c r="K363" i="12"/>
  <c r="L363" i="12"/>
  <c r="M363" i="12"/>
  <c r="N363" i="12"/>
  <c r="O363" i="12"/>
  <c r="P363" i="12"/>
  <c r="Q363" i="12"/>
  <c r="R363" i="12"/>
  <c r="S363" i="12"/>
  <c r="T363" i="12"/>
  <c r="U363" i="12"/>
  <c r="V363" i="12"/>
  <c r="W363" i="12"/>
  <c r="X363" i="12"/>
  <c r="Y363" i="12"/>
  <c r="Z363" i="12"/>
  <c r="AA363" i="12"/>
  <c r="AB363" i="12"/>
  <c r="AC363" i="12"/>
  <c r="AD363" i="12"/>
  <c r="AE363" i="12"/>
  <c r="AF363" i="12"/>
  <c r="AG363" i="12"/>
  <c r="AH363" i="12"/>
  <c r="AI363" i="12"/>
  <c r="AJ363" i="12"/>
  <c r="AK363" i="12"/>
  <c r="AL363" i="12"/>
  <c r="AM363" i="12"/>
  <c r="AN363" i="12"/>
  <c r="AO363" i="12"/>
  <c r="AP363" i="12"/>
  <c r="AQ363" i="12"/>
  <c r="AR363" i="12"/>
  <c r="AS363" i="12"/>
  <c r="AT363" i="12"/>
  <c r="AU363" i="12"/>
  <c r="AV363" i="12"/>
  <c r="AW363" i="12"/>
  <c r="AX363" i="12"/>
  <c r="AY363" i="12"/>
  <c r="AZ363" i="12"/>
  <c r="BA363" i="12"/>
  <c r="BB363" i="12"/>
  <c r="BC363" i="12"/>
  <c r="BD363" i="12"/>
  <c r="BE363" i="12"/>
  <c r="BF363" i="12"/>
  <c r="BG363" i="12"/>
  <c r="BH363" i="12"/>
  <c r="BI363" i="12"/>
  <c r="BJ363" i="12"/>
  <c r="BK363" i="12"/>
  <c r="BL363" i="12"/>
  <c r="BM363" i="12"/>
  <c r="BN363" i="12"/>
  <c r="BO363" i="12"/>
  <c r="BP363" i="12"/>
  <c r="BQ363" i="12"/>
  <c r="BR363" i="12"/>
  <c r="BS363" i="12"/>
  <c r="BT363" i="12"/>
  <c r="BU363" i="12"/>
  <c r="BV363" i="12"/>
  <c r="BW363" i="12"/>
  <c r="BX363" i="12"/>
  <c r="BY363" i="12"/>
  <c r="BZ363" i="12"/>
  <c r="CA363" i="12"/>
  <c r="CB363" i="12"/>
  <c r="CC363" i="12"/>
  <c r="CD363" i="12"/>
  <c r="CE363" i="12"/>
  <c r="CF363" i="12"/>
  <c r="CG363" i="12"/>
  <c r="CH363" i="12"/>
  <c r="CI363" i="12"/>
  <c r="CJ363" i="12"/>
  <c r="CK363" i="12"/>
  <c r="CL363" i="12"/>
  <c r="CM363" i="12"/>
  <c r="CN363" i="12"/>
  <c r="CO363" i="12"/>
  <c r="CP363" i="12"/>
  <c r="CQ363" i="12"/>
  <c r="CR363" i="12"/>
  <c r="CS363" i="12"/>
  <c r="CT363" i="12"/>
  <c r="CU363" i="12"/>
  <c r="CV363" i="12"/>
  <c r="CW363" i="12"/>
  <c r="CX363" i="12"/>
  <c r="CY363" i="12"/>
  <c r="CZ363" i="12"/>
  <c r="DA363" i="12"/>
  <c r="DB363" i="12"/>
  <c r="DC363" i="12"/>
  <c r="DD363" i="12"/>
  <c r="DE363" i="12"/>
  <c r="DF363" i="12"/>
  <c r="DG363" i="12"/>
  <c r="DH363" i="12"/>
  <c r="DI363" i="12"/>
  <c r="DJ363" i="12"/>
  <c r="DK363" i="12"/>
  <c r="DL363" i="12"/>
  <c r="DM363" i="12"/>
  <c r="DN363" i="12"/>
  <c r="DO363" i="12"/>
  <c r="DP363" i="12"/>
  <c r="DQ363" i="12"/>
  <c r="DR363" i="12"/>
  <c r="DS363" i="12"/>
  <c r="DT363" i="12"/>
  <c r="DU363" i="12"/>
  <c r="DV363" i="12"/>
  <c r="DW363" i="12"/>
  <c r="DX363" i="12"/>
  <c r="DY363" i="12"/>
  <c r="DZ363" i="12"/>
  <c r="EA363" i="12"/>
  <c r="EB363" i="12"/>
  <c r="EC363" i="12"/>
  <c r="ED363" i="12"/>
  <c r="EE363" i="12"/>
  <c r="EF363" i="12"/>
  <c r="EG363" i="12"/>
  <c r="EH363" i="12"/>
  <c r="EI363" i="12"/>
  <c r="EJ363" i="12"/>
  <c r="EK363" i="12"/>
  <c r="EL363" i="12"/>
  <c r="EM363" i="12"/>
  <c r="EN363" i="12"/>
  <c r="EO363" i="12"/>
  <c r="EP363" i="12"/>
  <c r="EQ363" i="12"/>
  <c r="ER363" i="12"/>
  <c r="ES363" i="12"/>
  <c r="ET363" i="12"/>
  <c r="EU363" i="12"/>
  <c r="EV363" i="12"/>
  <c r="EW363" i="12"/>
  <c r="EX363" i="12"/>
  <c r="EY363" i="12"/>
  <c r="EZ363" i="12"/>
  <c r="FA363" i="12"/>
  <c r="FB363" i="12"/>
  <c r="FC363" i="12"/>
  <c r="FD363" i="12"/>
  <c r="FE363" i="12"/>
  <c r="FF363" i="12"/>
  <c r="FG363" i="12"/>
  <c r="FH363" i="12"/>
  <c r="FI363" i="12"/>
  <c r="FJ363" i="12"/>
  <c r="FK363" i="12"/>
  <c r="FL363" i="12"/>
  <c r="FM363" i="12"/>
  <c r="FN363" i="12"/>
  <c r="FO363" i="12"/>
  <c r="FP363" i="12"/>
  <c r="FQ363" i="12"/>
  <c r="FR363" i="12"/>
  <c r="FS363" i="12"/>
  <c r="FT363" i="12"/>
  <c r="FU363" i="12"/>
  <c r="FV363" i="12"/>
  <c r="FW363" i="12"/>
  <c r="FX363" i="12"/>
  <c r="FY363" i="12"/>
  <c r="FZ363" i="12"/>
  <c r="GA363" i="12"/>
  <c r="GB363" i="12"/>
  <c r="GC363" i="12"/>
  <c r="GD363" i="12"/>
  <c r="GE363" i="12"/>
  <c r="GF363" i="12"/>
  <c r="GG363" i="12"/>
  <c r="GH363" i="12"/>
  <c r="GI363" i="12"/>
  <c r="GJ363" i="12"/>
  <c r="GK363" i="12"/>
  <c r="GL363" i="12"/>
  <c r="GM363" i="12"/>
  <c r="GN363" i="12"/>
  <c r="GO363" i="12"/>
  <c r="GP363" i="12"/>
  <c r="GQ363" i="12"/>
  <c r="GR363" i="12"/>
  <c r="GS363" i="12"/>
  <c r="GT363" i="12"/>
  <c r="GU363" i="12"/>
  <c r="GV363" i="12"/>
  <c r="GW363" i="12"/>
  <c r="GX363" i="12"/>
  <c r="GY363" i="12"/>
  <c r="GZ363" i="12"/>
  <c r="HA363" i="12"/>
  <c r="HB363" i="12"/>
  <c r="HC363" i="12"/>
  <c r="HD363" i="12"/>
  <c r="HE363" i="12"/>
  <c r="HF363" i="12"/>
  <c r="HG363" i="12"/>
  <c r="HH363" i="12"/>
  <c r="HI363" i="12"/>
  <c r="HJ363" i="12"/>
  <c r="HK363" i="12"/>
  <c r="HL363" i="12"/>
  <c r="HM363" i="12"/>
  <c r="HN363" i="12"/>
  <c r="HO363" i="12"/>
  <c r="HP363" i="12"/>
  <c r="HQ363" i="12"/>
  <c r="HR363" i="12"/>
  <c r="HS363" i="12"/>
  <c r="HT363" i="12"/>
  <c r="HU363" i="12"/>
  <c r="HV363" i="12"/>
  <c r="HW363" i="12"/>
  <c r="HX363" i="12"/>
  <c r="HY363" i="12"/>
  <c r="HZ363" i="12"/>
  <c r="IA363" i="12"/>
  <c r="IB363" i="12"/>
  <c r="IC363" i="12"/>
  <c r="ID363" i="12"/>
  <c r="IE363" i="12"/>
  <c r="IF363" i="12"/>
  <c r="IG363" i="12"/>
  <c r="IH363" i="12"/>
  <c r="II363" i="12"/>
  <c r="IJ363" i="12"/>
  <c r="IK363" i="12"/>
  <c r="IL363" i="12"/>
  <c r="IM363" i="12"/>
  <c r="IN363" i="12"/>
  <c r="IO363" i="12"/>
  <c r="IP363" i="12"/>
  <c r="IQ363" i="12"/>
  <c r="IR363" i="12"/>
  <c r="IS363" i="12"/>
  <c r="IT363" i="12"/>
  <c r="IU363" i="12"/>
  <c r="IV363" i="12"/>
  <c r="F364" i="12"/>
  <c r="G364" i="12"/>
  <c r="H364" i="12"/>
  <c r="I364" i="12"/>
  <c r="J364" i="12"/>
  <c r="K364" i="12"/>
  <c r="L364" i="12"/>
  <c r="M364" i="12"/>
  <c r="N364" i="12"/>
  <c r="O364" i="12"/>
  <c r="P364" i="12"/>
  <c r="Q364" i="12"/>
  <c r="R364" i="12"/>
  <c r="S364" i="12"/>
  <c r="T364" i="12"/>
  <c r="U364" i="12"/>
  <c r="V364" i="12"/>
  <c r="W364" i="12"/>
  <c r="X364" i="12"/>
  <c r="Y364" i="12"/>
  <c r="Z364" i="12"/>
  <c r="AA364" i="12"/>
  <c r="AB364" i="12"/>
  <c r="AC364" i="12"/>
  <c r="AD364" i="12"/>
  <c r="AE364" i="12"/>
  <c r="AF364" i="12"/>
  <c r="AG364" i="12"/>
  <c r="AH364" i="12"/>
  <c r="AI364" i="12"/>
  <c r="AJ364" i="12"/>
  <c r="AK364" i="12"/>
  <c r="AL364" i="12"/>
  <c r="AM364" i="12"/>
  <c r="AN364" i="12"/>
  <c r="AO364" i="12"/>
  <c r="AP364" i="12"/>
  <c r="AQ364" i="12"/>
  <c r="AR364" i="12"/>
  <c r="AS364" i="12"/>
  <c r="AT364" i="12"/>
  <c r="AU364" i="12"/>
  <c r="AV364" i="12"/>
  <c r="AW364" i="12"/>
  <c r="AX364" i="12"/>
  <c r="AY364" i="12"/>
  <c r="AZ364" i="12"/>
  <c r="BA364" i="12"/>
  <c r="BB364" i="12"/>
  <c r="BC364" i="12"/>
  <c r="BD364" i="12"/>
  <c r="BE364" i="12"/>
  <c r="BF364" i="12"/>
  <c r="BG364" i="12"/>
  <c r="BH364" i="12"/>
  <c r="BI364" i="12"/>
  <c r="BJ364" i="12"/>
  <c r="BK364" i="12"/>
  <c r="BL364" i="12"/>
  <c r="BM364" i="12"/>
  <c r="BN364" i="12"/>
  <c r="BO364" i="12"/>
  <c r="BP364" i="12"/>
  <c r="BQ364" i="12"/>
  <c r="BR364" i="12"/>
  <c r="BS364" i="12"/>
  <c r="BT364" i="12"/>
  <c r="BU364" i="12"/>
  <c r="BV364" i="12"/>
  <c r="BW364" i="12"/>
  <c r="BX364" i="12"/>
  <c r="BY364" i="12"/>
  <c r="BZ364" i="12"/>
  <c r="CA364" i="12"/>
  <c r="CB364" i="12"/>
  <c r="CC364" i="12"/>
  <c r="CD364" i="12"/>
  <c r="CE364" i="12"/>
  <c r="CF364" i="12"/>
  <c r="CG364" i="12"/>
  <c r="CH364" i="12"/>
  <c r="CI364" i="12"/>
  <c r="CJ364" i="12"/>
  <c r="CK364" i="12"/>
  <c r="CL364" i="12"/>
  <c r="CM364" i="12"/>
  <c r="CN364" i="12"/>
  <c r="CO364" i="12"/>
  <c r="CP364" i="12"/>
  <c r="CQ364" i="12"/>
  <c r="CR364" i="12"/>
  <c r="CS364" i="12"/>
  <c r="CT364" i="12"/>
  <c r="CU364" i="12"/>
  <c r="CV364" i="12"/>
  <c r="CW364" i="12"/>
  <c r="CX364" i="12"/>
  <c r="CY364" i="12"/>
  <c r="CZ364" i="12"/>
  <c r="DA364" i="12"/>
  <c r="DB364" i="12"/>
  <c r="DC364" i="12"/>
  <c r="DD364" i="12"/>
  <c r="DE364" i="12"/>
  <c r="DF364" i="12"/>
  <c r="DG364" i="12"/>
  <c r="DH364" i="12"/>
  <c r="DI364" i="12"/>
  <c r="DJ364" i="12"/>
  <c r="DK364" i="12"/>
  <c r="DL364" i="12"/>
  <c r="DM364" i="12"/>
  <c r="DN364" i="12"/>
  <c r="DO364" i="12"/>
  <c r="DP364" i="12"/>
  <c r="DQ364" i="12"/>
  <c r="DR364" i="12"/>
  <c r="DS364" i="12"/>
  <c r="DT364" i="12"/>
  <c r="DU364" i="12"/>
  <c r="DV364" i="12"/>
  <c r="DW364" i="12"/>
  <c r="DX364" i="12"/>
  <c r="DY364" i="12"/>
  <c r="DZ364" i="12"/>
  <c r="EA364" i="12"/>
  <c r="EB364" i="12"/>
  <c r="EC364" i="12"/>
  <c r="ED364" i="12"/>
  <c r="EE364" i="12"/>
  <c r="EF364" i="12"/>
  <c r="EG364" i="12"/>
  <c r="EH364" i="12"/>
  <c r="EI364" i="12"/>
  <c r="EJ364" i="12"/>
  <c r="EK364" i="12"/>
  <c r="EL364" i="12"/>
  <c r="EM364" i="12"/>
  <c r="EN364" i="12"/>
  <c r="EO364" i="12"/>
  <c r="EP364" i="12"/>
  <c r="EQ364" i="12"/>
  <c r="ER364" i="12"/>
  <c r="ES364" i="12"/>
  <c r="ET364" i="12"/>
  <c r="EU364" i="12"/>
  <c r="EV364" i="12"/>
  <c r="EW364" i="12"/>
  <c r="EX364" i="12"/>
  <c r="EY364" i="12"/>
  <c r="EZ364" i="12"/>
  <c r="FA364" i="12"/>
  <c r="FB364" i="12"/>
  <c r="FC364" i="12"/>
  <c r="FD364" i="12"/>
  <c r="FE364" i="12"/>
  <c r="FF364" i="12"/>
  <c r="FG364" i="12"/>
  <c r="FH364" i="12"/>
  <c r="FI364" i="12"/>
  <c r="FJ364" i="12"/>
  <c r="FK364" i="12"/>
  <c r="FL364" i="12"/>
  <c r="FM364" i="12"/>
  <c r="FN364" i="12"/>
  <c r="FO364" i="12"/>
  <c r="FP364" i="12"/>
  <c r="FQ364" i="12"/>
  <c r="FR364" i="12"/>
  <c r="FS364" i="12"/>
  <c r="FT364" i="12"/>
  <c r="FU364" i="12"/>
  <c r="FV364" i="12"/>
  <c r="FW364" i="12"/>
  <c r="FX364" i="12"/>
  <c r="FY364" i="12"/>
  <c r="FZ364" i="12"/>
  <c r="GA364" i="12"/>
  <c r="GB364" i="12"/>
  <c r="GC364" i="12"/>
  <c r="GD364" i="12"/>
  <c r="GE364" i="12"/>
  <c r="GF364" i="12"/>
  <c r="GG364" i="12"/>
  <c r="GH364" i="12"/>
  <c r="GI364" i="12"/>
  <c r="GJ364" i="12"/>
  <c r="GK364" i="12"/>
  <c r="GL364" i="12"/>
  <c r="GM364" i="12"/>
  <c r="GN364" i="12"/>
  <c r="GO364" i="12"/>
  <c r="GP364" i="12"/>
  <c r="GQ364" i="12"/>
  <c r="GR364" i="12"/>
  <c r="GS364" i="12"/>
  <c r="GT364" i="12"/>
  <c r="GU364" i="12"/>
  <c r="GV364" i="12"/>
  <c r="GW364" i="12"/>
  <c r="GX364" i="12"/>
  <c r="GY364" i="12"/>
  <c r="GZ364" i="12"/>
  <c r="HA364" i="12"/>
  <c r="HB364" i="12"/>
  <c r="HC364" i="12"/>
  <c r="HD364" i="12"/>
  <c r="HE364" i="12"/>
  <c r="HF364" i="12"/>
  <c r="HG364" i="12"/>
  <c r="HH364" i="12"/>
  <c r="HI364" i="12"/>
  <c r="HJ364" i="12"/>
  <c r="HK364" i="12"/>
  <c r="HL364" i="12"/>
  <c r="HM364" i="12"/>
  <c r="HN364" i="12"/>
  <c r="HO364" i="12"/>
  <c r="HP364" i="12"/>
  <c r="HQ364" i="12"/>
  <c r="HR364" i="12"/>
  <c r="HS364" i="12"/>
  <c r="HT364" i="12"/>
  <c r="HU364" i="12"/>
  <c r="HV364" i="12"/>
  <c r="HW364" i="12"/>
  <c r="HX364" i="12"/>
  <c r="HY364" i="12"/>
  <c r="HZ364" i="12"/>
  <c r="IA364" i="12"/>
  <c r="IB364" i="12"/>
  <c r="IC364" i="12"/>
  <c r="ID364" i="12"/>
  <c r="IE364" i="12"/>
  <c r="IF364" i="12"/>
  <c r="IG364" i="12"/>
  <c r="IH364" i="12"/>
  <c r="II364" i="12"/>
  <c r="IJ364" i="12"/>
  <c r="IK364" i="12"/>
  <c r="IL364" i="12"/>
  <c r="IM364" i="12"/>
  <c r="IN364" i="12"/>
  <c r="IO364" i="12"/>
  <c r="IP364" i="12"/>
  <c r="IQ364" i="12"/>
  <c r="IR364" i="12"/>
  <c r="IS364" i="12"/>
  <c r="IT364" i="12"/>
  <c r="IU364" i="12"/>
  <c r="IV364" i="12"/>
  <c r="F365" i="12"/>
  <c r="G365" i="12"/>
  <c r="H365" i="12"/>
  <c r="I365" i="12"/>
  <c r="J365" i="12"/>
  <c r="K365" i="12"/>
  <c r="L365" i="12"/>
  <c r="M365" i="12"/>
  <c r="N365" i="12"/>
  <c r="O365" i="12"/>
  <c r="P365" i="12"/>
  <c r="Q365" i="12"/>
  <c r="R365" i="12"/>
  <c r="S365" i="12"/>
  <c r="T365" i="12"/>
  <c r="U365" i="12"/>
  <c r="V365" i="12"/>
  <c r="W365" i="12"/>
  <c r="X365" i="12"/>
  <c r="Y365" i="12"/>
  <c r="Z365" i="12"/>
  <c r="AA365" i="12"/>
  <c r="AB365" i="12"/>
  <c r="AC365" i="12"/>
  <c r="AD365" i="12"/>
  <c r="AE365" i="12"/>
  <c r="AF365" i="12"/>
  <c r="AG365" i="12"/>
  <c r="AH365" i="12"/>
  <c r="AI365" i="12"/>
  <c r="AJ365" i="12"/>
  <c r="AK365" i="12"/>
  <c r="AL365" i="12"/>
  <c r="AM365" i="12"/>
  <c r="AN365" i="12"/>
  <c r="AO365" i="12"/>
  <c r="AP365" i="12"/>
  <c r="AQ365" i="12"/>
  <c r="AR365" i="12"/>
  <c r="AS365" i="12"/>
  <c r="AT365" i="12"/>
  <c r="AU365" i="12"/>
  <c r="AV365" i="12"/>
  <c r="AW365" i="12"/>
  <c r="AX365" i="12"/>
  <c r="AY365" i="12"/>
  <c r="AZ365" i="12"/>
  <c r="BA365" i="12"/>
  <c r="BB365" i="12"/>
  <c r="BC365" i="12"/>
  <c r="BD365" i="12"/>
  <c r="BE365" i="12"/>
  <c r="BF365" i="12"/>
  <c r="BG365" i="12"/>
  <c r="BH365" i="12"/>
  <c r="BI365" i="12"/>
  <c r="BJ365" i="12"/>
  <c r="BK365" i="12"/>
  <c r="BL365" i="12"/>
  <c r="BM365" i="12"/>
  <c r="BN365" i="12"/>
  <c r="BO365" i="12"/>
  <c r="BP365" i="12"/>
  <c r="BQ365" i="12"/>
  <c r="BR365" i="12"/>
  <c r="BS365" i="12"/>
  <c r="BT365" i="12"/>
  <c r="BU365" i="12"/>
  <c r="BV365" i="12"/>
  <c r="BW365" i="12"/>
  <c r="BX365" i="12"/>
  <c r="BY365" i="12"/>
  <c r="BZ365" i="12"/>
  <c r="CA365" i="12"/>
  <c r="CB365" i="12"/>
  <c r="CC365" i="12"/>
  <c r="CD365" i="12"/>
  <c r="CE365" i="12"/>
  <c r="CF365" i="12"/>
  <c r="CG365" i="12"/>
  <c r="CH365" i="12"/>
  <c r="CI365" i="12"/>
  <c r="CJ365" i="12"/>
  <c r="CK365" i="12"/>
  <c r="CL365" i="12"/>
  <c r="CM365" i="12"/>
  <c r="CN365" i="12"/>
  <c r="CO365" i="12"/>
  <c r="CP365" i="12"/>
  <c r="CQ365" i="12"/>
  <c r="CR365" i="12"/>
  <c r="CS365" i="12"/>
  <c r="CT365" i="12"/>
  <c r="CU365" i="12"/>
  <c r="CV365" i="12"/>
  <c r="CW365" i="12"/>
  <c r="CX365" i="12"/>
  <c r="CY365" i="12"/>
  <c r="CZ365" i="12"/>
  <c r="DA365" i="12"/>
  <c r="DB365" i="12"/>
  <c r="DC365" i="12"/>
  <c r="DD365" i="12"/>
  <c r="DE365" i="12"/>
  <c r="DF365" i="12"/>
  <c r="DG365" i="12"/>
  <c r="DH365" i="12"/>
  <c r="DI365" i="12"/>
  <c r="DJ365" i="12"/>
  <c r="DK365" i="12"/>
  <c r="DL365" i="12"/>
  <c r="DM365" i="12"/>
  <c r="DN365" i="12"/>
  <c r="DO365" i="12"/>
  <c r="DP365" i="12"/>
  <c r="DQ365" i="12"/>
  <c r="DR365" i="12"/>
  <c r="DS365" i="12"/>
  <c r="DT365" i="12"/>
  <c r="DU365" i="12"/>
  <c r="DV365" i="12"/>
  <c r="DW365" i="12"/>
  <c r="DX365" i="12"/>
  <c r="DY365" i="12"/>
  <c r="DZ365" i="12"/>
  <c r="EA365" i="12"/>
  <c r="EB365" i="12"/>
  <c r="EC365" i="12"/>
  <c r="ED365" i="12"/>
  <c r="EE365" i="12"/>
  <c r="EF365" i="12"/>
  <c r="EG365" i="12"/>
  <c r="EH365" i="12"/>
  <c r="EI365" i="12"/>
  <c r="EJ365" i="12"/>
  <c r="EK365" i="12"/>
  <c r="EL365" i="12"/>
  <c r="EM365" i="12"/>
  <c r="EN365" i="12"/>
  <c r="EO365" i="12"/>
  <c r="EP365" i="12"/>
  <c r="EQ365" i="12"/>
  <c r="ER365" i="12"/>
  <c r="ES365" i="12"/>
  <c r="ET365" i="12"/>
  <c r="EU365" i="12"/>
  <c r="EV365" i="12"/>
  <c r="EW365" i="12"/>
  <c r="EX365" i="12"/>
  <c r="EY365" i="12"/>
  <c r="EZ365" i="12"/>
  <c r="FA365" i="12"/>
  <c r="FB365" i="12"/>
  <c r="FC365" i="12"/>
  <c r="FD365" i="12"/>
  <c r="FE365" i="12"/>
  <c r="FF365" i="12"/>
  <c r="FG365" i="12"/>
  <c r="FH365" i="12"/>
  <c r="FI365" i="12"/>
  <c r="FJ365" i="12"/>
  <c r="FK365" i="12"/>
  <c r="FL365" i="12"/>
  <c r="FM365" i="12"/>
  <c r="FN365" i="12"/>
  <c r="FO365" i="12"/>
  <c r="FP365" i="12"/>
  <c r="FQ365" i="12"/>
  <c r="FR365" i="12"/>
  <c r="FS365" i="12"/>
  <c r="FT365" i="12"/>
  <c r="FU365" i="12"/>
  <c r="FV365" i="12"/>
  <c r="FW365" i="12"/>
  <c r="FX365" i="12"/>
  <c r="FY365" i="12"/>
  <c r="FZ365" i="12"/>
  <c r="GA365" i="12"/>
  <c r="GB365" i="12"/>
  <c r="GC365" i="12"/>
  <c r="GD365" i="12"/>
  <c r="GE365" i="12"/>
  <c r="GF365" i="12"/>
  <c r="GG365" i="12"/>
  <c r="GH365" i="12"/>
  <c r="GI365" i="12"/>
  <c r="GJ365" i="12"/>
  <c r="GK365" i="12"/>
  <c r="GL365" i="12"/>
  <c r="GM365" i="12"/>
  <c r="GN365" i="12"/>
  <c r="GO365" i="12"/>
  <c r="GP365" i="12"/>
  <c r="GQ365" i="12"/>
  <c r="GR365" i="12"/>
  <c r="GS365" i="12"/>
  <c r="GT365" i="12"/>
  <c r="GU365" i="12"/>
  <c r="GV365" i="12"/>
  <c r="GW365" i="12"/>
  <c r="GX365" i="12"/>
  <c r="GY365" i="12"/>
  <c r="GZ365" i="12"/>
  <c r="HA365" i="12"/>
  <c r="HB365" i="12"/>
  <c r="HC365" i="12"/>
  <c r="HD365" i="12"/>
  <c r="HE365" i="12"/>
  <c r="HF365" i="12"/>
  <c r="HG365" i="12"/>
  <c r="HH365" i="12"/>
  <c r="HI365" i="12"/>
  <c r="HJ365" i="12"/>
  <c r="HK365" i="12"/>
  <c r="HL365" i="12"/>
  <c r="HM365" i="12"/>
  <c r="HN365" i="12"/>
  <c r="HO365" i="12"/>
  <c r="HP365" i="12"/>
  <c r="HQ365" i="12"/>
  <c r="HR365" i="12"/>
  <c r="HS365" i="12"/>
  <c r="HT365" i="12"/>
  <c r="HU365" i="12"/>
  <c r="HV365" i="12"/>
  <c r="HW365" i="12"/>
  <c r="HX365" i="12"/>
  <c r="HY365" i="12"/>
  <c r="HZ365" i="12"/>
  <c r="IA365" i="12"/>
  <c r="IB365" i="12"/>
  <c r="IC365" i="12"/>
  <c r="ID365" i="12"/>
  <c r="IE365" i="12"/>
  <c r="IF365" i="12"/>
  <c r="IG365" i="12"/>
  <c r="IH365" i="12"/>
  <c r="II365" i="12"/>
  <c r="IJ365" i="12"/>
  <c r="IK365" i="12"/>
  <c r="IL365" i="12"/>
  <c r="IM365" i="12"/>
  <c r="IN365" i="12"/>
  <c r="IO365" i="12"/>
  <c r="IP365" i="12"/>
  <c r="IQ365" i="12"/>
  <c r="IR365" i="12"/>
  <c r="IS365" i="12"/>
  <c r="IT365" i="12"/>
  <c r="IU365" i="12"/>
  <c r="IV365" i="12"/>
  <c r="F366" i="12"/>
  <c r="G366" i="12"/>
  <c r="H366" i="12"/>
  <c r="I366" i="12"/>
  <c r="J366" i="12"/>
  <c r="K366" i="12"/>
  <c r="L366" i="12"/>
  <c r="M366" i="12"/>
  <c r="N366" i="12"/>
  <c r="O366" i="12"/>
  <c r="P366" i="12"/>
  <c r="Q366" i="12"/>
  <c r="R366" i="12"/>
  <c r="S366" i="12"/>
  <c r="T366" i="12"/>
  <c r="U366" i="12"/>
  <c r="V366" i="12"/>
  <c r="W366" i="12"/>
  <c r="X366" i="12"/>
  <c r="Y366" i="12"/>
  <c r="Z366" i="12"/>
  <c r="AA366" i="12"/>
  <c r="AB366" i="12"/>
  <c r="AC366" i="12"/>
  <c r="AD366" i="12"/>
  <c r="AE366" i="12"/>
  <c r="AF366" i="12"/>
  <c r="AG366" i="12"/>
  <c r="AH366" i="12"/>
  <c r="AI366" i="12"/>
  <c r="AJ366" i="12"/>
  <c r="AK366" i="12"/>
  <c r="AL366" i="12"/>
  <c r="AM366" i="12"/>
  <c r="AN366" i="12"/>
  <c r="AO366" i="12"/>
  <c r="AP366" i="12"/>
  <c r="AQ366" i="12"/>
  <c r="AR366" i="12"/>
  <c r="AS366" i="12"/>
  <c r="AT366" i="12"/>
  <c r="AU366" i="12"/>
  <c r="AV366" i="12"/>
  <c r="AW366" i="12"/>
  <c r="AX366" i="12"/>
  <c r="AY366" i="12"/>
  <c r="AZ366" i="12"/>
  <c r="BA366" i="12"/>
  <c r="BB366" i="12"/>
  <c r="BC366" i="12"/>
  <c r="BD366" i="12"/>
  <c r="BE366" i="12"/>
  <c r="BF366" i="12"/>
  <c r="BG366" i="12"/>
  <c r="BH366" i="12"/>
  <c r="BI366" i="12"/>
  <c r="BJ366" i="12"/>
  <c r="BK366" i="12"/>
  <c r="BL366" i="12"/>
  <c r="BM366" i="12"/>
  <c r="BN366" i="12"/>
  <c r="BO366" i="12"/>
  <c r="BP366" i="12"/>
  <c r="BQ366" i="12"/>
  <c r="BR366" i="12"/>
  <c r="BS366" i="12"/>
  <c r="BT366" i="12"/>
  <c r="BU366" i="12"/>
  <c r="BV366" i="12"/>
  <c r="BW366" i="12"/>
  <c r="BX366" i="12"/>
  <c r="BY366" i="12"/>
  <c r="BZ366" i="12"/>
  <c r="CA366" i="12"/>
  <c r="CB366" i="12"/>
  <c r="CC366" i="12"/>
  <c r="CD366" i="12"/>
  <c r="CE366" i="12"/>
  <c r="CF366" i="12"/>
  <c r="CG366" i="12"/>
  <c r="CH366" i="12"/>
  <c r="CI366" i="12"/>
  <c r="CJ366" i="12"/>
  <c r="CK366" i="12"/>
  <c r="CL366" i="12"/>
  <c r="CM366" i="12"/>
  <c r="CN366" i="12"/>
  <c r="CO366" i="12"/>
  <c r="CP366" i="12"/>
  <c r="CQ366" i="12"/>
  <c r="CR366" i="12"/>
  <c r="CS366" i="12"/>
  <c r="CT366" i="12"/>
  <c r="CU366" i="12"/>
  <c r="CV366" i="12"/>
  <c r="CW366" i="12"/>
  <c r="CX366" i="12"/>
  <c r="CY366" i="12"/>
  <c r="CZ366" i="12"/>
  <c r="DA366" i="12"/>
  <c r="DB366" i="12"/>
  <c r="DC366" i="12"/>
  <c r="DD366" i="12"/>
  <c r="DE366" i="12"/>
  <c r="DF366" i="12"/>
  <c r="DG366" i="12"/>
  <c r="DH366" i="12"/>
  <c r="DI366" i="12"/>
  <c r="DJ366" i="12"/>
  <c r="DK366" i="12"/>
  <c r="DL366" i="12"/>
  <c r="DM366" i="12"/>
  <c r="DN366" i="12"/>
  <c r="DO366" i="12"/>
  <c r="DP366" i="12"/>
  <c r="DQ366" i="12"/>
  <c r="DR366" i="12"/>
  <c r="DS366" i="12"/>
  <c r="DT366" i="12"/>
  <c r="DU366" i="12"/>
  <c r="DV366" i="12"/>
  <c r="DW366" i="12"/>
  <c r="DX366" i="12"/>
  <c r="DY366" i="12"/>
  <c r="DZ366" i="12"/>
  <c r="EA366" i="12"/>
  <c r="EB366" i="12"/>
  <c r="EC366" i="12"/>
  <c r="ED366" i="12"/>
  <c r="EE366" i="12"/>
  <c r="EF366" i="12"/>
  <c r="EG366" i="12"/>
  <c r="EH366" i="12"/>
  <c r="EI366" i="12"/>
  <c r="EJ366" i="12"/>
  <c r="EK366" i="12"/>
  <c r="EL366" i="12"/>
  <c r="EM366" i="12"/>
  <c r="EN366" i="12"/>
  <c r="EO366" i="12"/>
  <c r="EP366" i="12"/>
  <c r="EQ366" i="12"/>
  <c r="ER366" i="12"/>
  <c r="ES366" i="12"/>
  <c r="ET366" i="12"/>
  <c r="EU366" i="12"/>
  <c r="EV366" i="12"/>
  <c r="EW366" i="12"/>
  <c r="EX366" i="12"/>
  <c r="EY366" i="12"/>
  <c r="EZ366" i="12"/>
  <c r="FA366" i="12"/>
  <c r="FB366" i="12"/>
  <c r="FC366" i="12"/>
  <c r="FD366" i="12"/>
  <c r="FE366" i="12"/>
  <c r="FF366" i="12"/>
  <c r="FG366" i="12"/>
  <c r="FH366" i="12"/>
  <c r="FI366" i="12"/>
  <c r="FJ366" i="12"/>
  <c r="FK366" i="12"/>
  <c r="FL366" i="12"/>
  <c r="FM366" i="12"/>
  <c r="FN366" i="12"/>
  <c r="FO366" i="12"/>
  <c r="FP366" i="12"/>
  <c r="FQ366" i="12"/>
  <c r="FR366" i="12"/>
  <c r="FS366" i="12"/>
  <c r="FT366" i="12"/>
  <c r="FU366" i="12"/>
  <c r="FV366" i="12"/>
  <c r="FW366" i="12"/>
  <c r="FX366" i="12"/>
  <c r="FY366" i="12"/>
  <c r="FZ366" i="12"/>
  <c r="GA366" i="12"/>
  <c r="GB366" i="12"/>
  <c r="GC366" i="12"/>
  <c r="GD366" i="12"/>
  <c r="GE366" i="12"/>
  <c r="GF366" i="12"/>
  <c r="GG366" i="12"/>
  <c r="GH366" i="12"/>
  <c r="GI366" i="12"/>
  <c r="GJ366" i="12"/>
  <c r="GK366" i="12"/>
  <c r="GL366" i="12"/>
  <c r="GM366" i="12"/>
  <c r="GN366" i="12"/>
  <c r="GO366" i="12"/>
  <c r="GP366" i="12"/>
  <c r="GQ366" i="12"/>
  <c r="GR366" i="12"/>
  <c r="GS366" i="12"/>
  <c r="GT366" i="12"/>
  <c r="GU366" i="12"/>
  <c r="GV366" i="12"/>
  <c r="GW366" i="12"/>
  <c r="GX366" i="12"/>
  <c r="GY366" i="12"/>
  <c r="GZ366" i="12"/>
  <c r="HA366" i="12"/>
  <c r="HB366" i="12"/>
  <c r="HC366" i="12"/>
  <c r="HD366" i="12"/>
  <c r="HE366" i="12"/>
  <c r="HF366" i="12"/>
  <c r="HG366" i="12"/>
  <c r="HH366" i="12"/>
  <c r="HI366" i="12"/>
  <c r="HJ366" i="12"/>
  <c r="HK366" i="12"/>
  <c r="HL366" i="12"/>
  <c r="HM366" i="12"/>
  <c r="HN366" i="12"/>
  <c r="HO366" i="12"/>
  <c r="HP366" i="12"/>
  <c r="HQ366" i="12"/>
  <c r="HR366" i="12"/>
  <c r="HS366" i="12"/>
  <c r="HT366" i="12"/>
  <c r="HU366" i="12"/>
  <c r="HV366" i="12"/>
  <c r="HW366" i="12"/>
  <c r="HX366" i="12"/>
  <c r="HY366" i="12"/>
  <c r="HZ366" i="12"/>
  <c r="IA366" i="12"/>
  <c r="IB366" i="12"/>
  <c r="IC366" i="12"/>
  <c r="ID366" i="12"/>
  <c r="IE366" i="12"/>
  <c r="IF366" i="12"/>
  <c r="IG366" i="12"/>
  <c r="IH366" i="12"/>
  <c r="II366" i="12"/>
  <c r="IJ366" i="12"/>
  <c r="IK366" i="12"/>
  <c r="IL366" i="12"/>
  <c r="IM366" i="12"/>
  <c r="IN366" i="12"/>
  <c r="IO366" i="12"/>
  <c r="IP366" i="12"/>
  <c r="IQ366" i="12"/>
  <c r="IR366" i="12"/>
  <c r="IS366" i="12"/>
  <c r="IT366" i="12"/>
  <c r="IU366" i="12"/>
  <c r="IV366" i="12"/>
  <c r="F367" i="12"/>
  <c r="G367" i="12"/>
  <c r="H367" i="12"/>
  <c r="I367" i="12"/>
  <c r="J367" i="12"/>
  <c r="K367" i="12"/>
  <c r="L367" i="12"/>
  <c r="M367" i="12"/>
  <c r="N367" i="12"/>
  <c r="O367" i="12"/>
  <c r="P367" i="12"/>
  <c r="Q367" i="12"/>
  <c r="R367" i="12"/>
  <c r="S367" i="12"/>
  <c r="T367" i="12"/>
  <c r="U367" i="12"/>
  <c r="V367" i="12"/>
  <c r="W367" i="12"/>
  <c r="X367" i="12"/>
  <c r="Y367" i="12"/>
  <c r="Z367" i="12"/>
  <c r="AA367" i="12"/>
  <c r="AB367" i="12"/>
  <c r="AC367" i="12"/>
  <c r="AD367" i="12"/>
  <c r="AE367" i="12"/>
  <c r="AF367" i="12"/>
  <c r="AG367" i="12"/>
  <c r="AH367" i="12"/>
  <c r="AI367" i="12"/>
  <c r="AJ367" i="12"/>
  <c r="AK367" i="12"/>
  <c r="AL367" i="12"/>
  <c r="AM367" i="12"/>
  <c r="AN367" i="12"/>
  <c r="AO367" i="12"/>
  <c r="AP367" i="12"/>
  <c r="AQ367" i="12"/>
  <c r="AR367" i="12"/>
  <c r="AS367" i="12"/>
  <c r="AT367" i="12"/>
  <c r="AU367" i="12"/>
  <c r="AV367" i="12"/>
  <c r="AW367" i="12"/>
  <c r="AX367" i="12"/>
  <c r="AY367" i="12"/>
  <c r="AZ367" i="12"/>
  <c r="BA367" i="12"/>
  <c r="BB367" i="12"/>
  <c r="BC367" i="12"/>
  <c r="BD367" i="12"/>
  <c r="BE367" i="12"/>
  <c r="BF367" i="12"/>
  <c r="BG367" i="12"/>
  <c r="BH367" i="12"/>
  <c r="BI367" i="12"/>
  <c r="BJ367" i="12"/>
  <c r="BK367" i="12"/>
  <c r="BL367" i="12"/>
  <c r="BM367" i="12"/>
  <c r="BN367" i="12"/>
  <c r="BO367" i="12"/>
  <c r="BP367" i="12"/>
  <c r="BQ367" i="12"/>
  <c r="BR367" i="12"/>
  <c r="BS367" i="12"/>
  <c r="BT367" i="12"/>
  <c r="BU367" i="12"/>
  <c r="BV367" i="12"/>
  <c r="BW367" i="12"/>
  <c r="BX367" i="12"/>
  <c r="BY367" i="12"/>
  <c r="BZ367" i="12"/>
  <c r="CA367" i="12"/>
  <c r="CB367" i="12"/>
  <c r="CC367" i="12"/>
  <c r="CD367" i="12"/>
  <c r="CE367" i="12"/>
  <c r="CF367" i="12"/>
  <c r="CG367" i="12"/>
  <c r="CH367" i="12"/>
  <c r="CI367" i="12"/>
  <c r="CJ367" i="12"/>
  <c r="CK367" i="12"/>
  <c r="CL367" i="12"/>
  <c r="CM367" i="12"/>
  <c r="CN367" i="12"/>
  <c r="CO367" i="12"/>
  <c r="CP367" i="12"/>
  <c r="CQ367" i="12"/>
  <c r="CR367" i="12"/>
  <c r="CS367" i="12"/>
  <c r="CT367" i="12"/>
  <c r="CU367" i="12"/>
  <c r="CV367" i="12"/>
  <c r="CW367" i="12"/>
  <c r="CX367" i="12"/>
  <c r="CY367" i="12"/>
  <c r="CZ367" i="12"/>
  <c r="DA367" i="12"/>
  <c r="DB367" i="12"/>
  <c r="DC367" i="12"/>
  <c r="DD367" i="12"/>
  <c r="DE367" i="12"/>
  <c r="DF367" i="12"/>
  <c r="DG367" i="12"/>
  <c r="DH367" i="12"/>
  <c r="DI367" i="12"/>
  <c r="DJ367" i="12"/>
  <c r="DK367" i="12"/>
  <c r="DL367" i="12"/>
  <c r="DM367" i="12"/>
  <c r="DN367" i="12"/>
  <c r="DO367" i="12"/>
  <c r="DP367" i="12"/>
  <c r="DQ367" i="12"/>
  <c r="DR367" i="12"/>
  <c r="DS367" i="12"/>
  <c r="DT367" i="12"/>
  <c r="DU367" i="12"/>
  <c r="DV367" i="12"/>
  <c r="DW367" i="12"/>
  <c r="DX367" i="12"/>
  <c r="DY367" i="12"/>
  <c r="DZ367" i="12"/>
  <c r="EA367" i="12"/>
  <c r="EB367" i="12"/>
  <c r="EC367" i="12"/>
  <c r="ED367" i="12"/>
  <c r="EE367" i="12"/>
  <c r="EF367" i="12"/>
  <c r="EG367" i="12"/>
  <c r="EH367" i="12"/>
  <c r="EI367" i="12"/>
  <c r="EJ367" i="12"/>
  <c r="EK367" i="12"/>
  <c r="EL367" i="12"/>
  <c r="EM367" i="12"/>
  <c r="EN367" i="12"/>
  <c r="EO367" i="12"/>
  <c r="EP367" i="12"/>
  <c r="EQ367" i="12"/>
  <c r="ER367" i="12"/>
  <c r="ES367" i="12"/>
  <c r="ET367" i="12"/>
  <c r="EU367" i="12"/>
  <c r="EV367" i="12"/>
  <c r="EW367" i="12"/>
  <c r="EX367" i="12"/>
  <c r="EY367" i="12"/>
  <c r="EZ367" i="12"/>
  <c r="FA367" i="12"/>
  <c r="FB367" i="12"/>
  <c r="FC367" i="12"/>
  <c r="FD367" i="12"/>
  <c r="FE367" i="12"/>
  <c r="FF367" i="12"/>
  <c r="FG367" i="12"/>
  <c r="FH367" i="12"/>
  <c r="FI367" i="12"/>
  <c r="FJ367" i="12"/>
  <c r="FK367" i="12"/>
  <c r="FL367" i="12"/>
  <c r="FM367" i="12"/>
  <c r="FN367" i="12"/>
  <c r="FO367" i="12"/>
  <c r="FP367" i="12"/>
  <c r="FQ367" i="12"/>
  <c r="FR367" i="12"/>
  <c r="FS367" i="12"/>
  <c r="FT367" i="12"/>
  <c r="FU367" i="12"/>
  <c r="FV367" i="12"/>
  <c r="FW367" i="12"/>
  <c r="FX367" i="12"/>
  <c r="FY367" i="12"/>
  <c r="FZ367" i="12"/>
  <c r="GA367" i="12"/>
  <c r="GB367" i="12"/>
  <c r="GC367" i="12"/>
  <c r="GD367" i="12"/>
  <c r="GE367" i="12"/>
  <c r="GF367" i="12"/>
  <c r="GG367" i="12"/>
  <c r="GH367" i="12"/>
  <c r="GI367" i="12"/>
  <c r="GJ367" i="12"/>
  <c r="GK367" i="12"/>
  <c r="GL367" i="12"/>
  <c r="GM367" i="12"/>
  <c r="GN367" i="12"/>
  <c r="GO367" i="12"/>
  <c r="GP367" i="12"/>
  <c r="GQ367" i="12"/>
  <c r="GR367" i="12"/>
  <c r="GS367" i="12"/>
  <c r="GT367" i="12"/>
  <c r="GU367" i="12"/>
  <c r="GV367" i="12"/>
  <c r="GW367" i="12"/>
  <c r="GX367" i="12"/>
  <c r="GY367" i="12"/>
  <c r="GZ367" i="12"/>
  <c r="HA367" i="12"/>
  <c r="HB367" i="12"/>
  <c r="HC367" i="12"/>
  <c r="HD367" i="12"/>
  <c r="HE367" i="12"/>
  <c r="HF367" i="12"/>
  <c r="HG367" i="12"/>
  <c r="HH367" i="12"/>
  <c r="HI367" i="12"/>
  <c r="HJ367" i="12"/>
  <c r="HK367" i="12"/>
  <c r="HL367" i="12"/>
  <c r="HM367" i="12"/>
  <c r="HN367" i="12"/>
  <c r="HO367" i="12"/>
  <c r="HP367" i="12"/>
  <c r="HQ367" i="12"/>
  <c r="HR367" i="12"/>
  <c r="HS367" i="12"/>
  <c r="HT367" i="12"/>
  <c r="HU367" i="12"/>
  <c r="HV367" i="12"/>
  <c r="HW367" i="12"/>
  <c r="HX367" i="12"/>
  <c r="HY367" i="12"/>
  <c r="HZ367" i="12"/>
  <c r="IA367" i="12"/>
  <c r="IB367" i="12"/>
  <c r="IC367" i="12"/>
  <c r="ID367" i="12"/>
  <c r="IE367" i="12"/>
  <c r="IF367" i="12"/>
  <c r="IG367" i="12"/>
  <c r="IH367" i="12"/>
  <c r="II367" i="12"/>
  <c r="IJ367" i="12"/>
  <c r="IK367" i="12"/>
  <c r="IL367" i="12"/>
  <c r="IM367" i="12"/>
  <c r="IN367" i="12"/>
  <c r="IO367" i="12"/>
  <c r="IP367" i="12"/>
  <c r="IQ367" i="12"/>
  <c r="IR367" i="12"/>
  <c r="IS367" i="12"/>
  <c r="IT367" i="12"/>
  <c r="IU367" i="12"/>
  <c r="IV367" i="12"/>
  <c r="F368" i="12"/>
  <c r="G368" i="12"/>
  <c r="H368" i="12"/>
  <c r="I368" i="12"/>
  <c r="J368" i="12"/>
  <c r="K368" i="12"/>
  <c r="L368" i="12"/>
  <c r="M368" i="12"/>
  <c r="N368" i="12"/>
  <c r="O368" i="12"/>
  <c r="P368" i="12"/>
  <c r="Q368" i="12"/>
  <c r="R368" i="12"/>
  <c r="S368" i="12"/>
  <c r="T368" i="12"/>
  <c r="U368" i="12"/>
  <c r="V368" i="12"/>
  <c r="W368" i="12"/>
  <c r="X368" i="12"/>
  <c r="Y368" i="12"/>
  <c r="Z368" i="12"/>
  <c r="AA368" i="12"/>
  <c r="AB368" i="12"/>
  <c r="AC368" i="12"/>
  <c r="AD368" i="12"/>
  <c r="AE368" i="12"/>
  <c r="AF368" i="12"/>
  <c r="AG368" i="12"/>
  <c r="AH368" i="12"/>
  <c r="AI368" i="12"/>
  <c r="AJ368" i="12"/>
  <c r="AK368" i="12"/>
  <c r="AL368" i="12"/>
  <c r="AM368" i="12"/>
  <c r="AN368" i="12"/>
  <c r="AO368" i="12"/>
  <c r="AP368" i="12"/>
  <c r="AQ368" i="12"/>
  <c r="AR368" i="12"/>
  <c r="AS368" i="12"/>
  <c r="AT368" i="12"/>
  <c r="AU368" i="12"/>
  <c r="AV368" i="12"/>
  <c r="AW368" i="12"/>
  <c r="AX368" i="12"/>
  <c r="AY368" i="12"/>
  <c r="AZ368" i="12"/>
  <c r="BA368" i="12"/>
  <c r="BB368" i="12"/>
  <c r="BC368" i="12"/>
  <c r="BD368" i="12"/>
  <c r="BE368" i="12"/>
  <c r="BF368" i="12"/>
  <c r="BG368" i="12"/>
  <c r="BH368" i="12"/>
  <c r="BI368" i="12"/>
  <c r="BJ368" i="12"/>
  <c r="BK368" i="12"/>
  <c r="BL368" i="12"/>
  <c r="BM368" i="12"/>
  <c r="BN368" i="12"/>
  <c r="BO368" i="12"/>
  <c r="BP368" i="12"/>
  <c r="BQ368" i="12"/>
  <c r="BR368" i="12"/>
  <c r="BS368" i="12"/>
  <c r="BT368" i="12"/>
  <c r="BU368" i="12"/>
  <c r="BV368" i="12"/>
  <c r="BW368" i="12"/>
  <c r="BX368" i="12"/>
  <c r="BY368" i="12"/>
  <c r="BZ368" i="12"/>
  <c r="CA368" i="12"/>
  <c r="CB368" i="12"/>
  <c r="CC368" i="12"/>
  <c r="CD368" i="12"/>
  <c r="CE368" i="12"/>
  <c r="CF368" i="12"/>
  <c r="CG368" i="12"/>
  <c r="CH368" i="12"/>
  <c r="CI368" i="12"/>
  <c r="CJ368" i="12"/>
  <c r="CK368" i="12"/>
  <c r="CL368" i="12"/>
  <c r="CM368" i="12"/>
  <c r="CN368" i="12"/>
  <c r="CO368" i="12"/>
  <c r="CP368" i="12"/>
  <c r="CQ368" i="12"/>
  <c r="CR368" i="12"/>
  <c r="CS368" i="12"/>
  <c r="CT368" i="12"/>
  <c r="CU368" i="12"/>
  <c r="CV368" i="12"/>
  <c r="CW368" i="12"/>
  <c r="CX368" i="12"/>
  <c r="CY368" i="12"/>
  <c r="CZ368" i="12"/>
  <c r="DA368" i="12"/>
  <c r="DB368" i="12"/>
  <c r="DC368" i="12"/>
  <c r="DD368" i="12"/>
  <c r="DE368" i="12"/>
  <c r="DF368" i="12"/>
  <c r="DG368" i="12"/>
  <c r="DH368" i="12"/>
  <c r="DI368" i="12"/>
  <c r="DJ368" i="12"/>
  <c r="DK368" i="12"/>
  <c r="DL368" i="12"/>
  <c r="DM368" i="12"/>
  <c r="DN368" i="12"/>
  <c r="DO368" i="12"/>
  <c r="DP368" i="12"/>
  <c r="DQ368" i="12"/>
  <c r="DR368" i="12"/>
  <c r="DS368" i="12"/>
  <c r="DT368" i="12"/>
  <c r="DU368" i="12"/>
  <c r="DV368" i="12"/>
  <c r="DW368" i="12"/>
  <c r="DX368" i="12"/>
  <c r="DY368" i="12"/>
  <c r="DZ368" i="12"/>
  <c r="EA368" i="12"/>
  <c r="EB368" i="12"/>
  <c r="EC368" i="12"/>
  <c r="ED368" i="12"/>
  <c r="EE368" i="12"/>
  <c r="EF368" i="12"/>
  <c r="EG368" i="12"/>
  <c r="EH368" i="12"/>
  <c r="EI368" i="12"/>
  <c r="EJ368" i="12"/>
  <c r="EK368" i="12"/>
  <c r="EL368" i="12"/>
  <c r="EM368" i="12"/>
  <c r="EN368" i="12"/>
  <c r="EO368" i="12"/>
  <c r="EP368" i="12"/>
  <c r="EQ368" i="12"/>
  <c r="ER368" i="12"/>
  <c r="ES368" i="12"/>
  <c r="ET368" i="12"/>
  <c r="EU368" i="12"/>
  <c r="EV368" i="12"/>
  <c r="EW368" i="12"/>
  <c r="EX368" i="12"/>
  <c r="EY368" i="12"/>
  <c r="EZ368" i="12"/>
  <c r="FA368" i="12"/>
  <c r="FB368" i="12"/>
  <c r="FC368" i="12"/>
  <c r="FD368" i="12"/>
  <c r="FE368" i="12"/>
  <c r="FF368" i="12"/>
  <c r="FG368" i="12"/>
  <c r="FH368" i="12"/>
  <c r="FI368" i="12"/>
  <c r="FJ368" i="12"/>
  <c r="FK368" i="12"/>
  <c r="FL368" i="12"/>
  <c r="FM368" i="12"/>
  <c r="FN368" i="12"/>
  <c r="FO368" i="12"/>
  <c r="FP368" i="12"/>
  <c r="FQ368" i="12"/>
  <c r="FR368" i="12"/>
  <c r="FS368" i="12"/>
  <c r="FT368" i="12"/>
  <c r="FU368" i="12"/>
  <c r="FV368" i="12"/>
  <c r="FW368" i="12"/>
  <c r="FX368" i="12"/>
  <c r="FY368" i="12"/>
  <c r="FZ368" i="12"/>
  <c r="GA368" i="12"/>
  <c r="GB368" i="12"/>
  <c r="GC368" i="12"/>
  <c r="GD368" i="12"/>
  <c r="GE368" i="12"/>
  <c r="GF368" i="12"/>
  <c r="GG368" i="12"/>
  <c r="GH368" i="12"/>
  <c r="GI368" i="12"/>
  <c r="GJ368" i="12"/>
  <c r="GK368" i="12"/>
  <c r="GL368" i="12"/>
  <c r="GM368" i="12"/>
  <c r="GN368" i="12"/>
  <c r="GO368" i="12"/>
  <c r="GP368" i="12"/>
  <c r="GQ368" i="12"/>
  <c r="GR368" i="12"/>
  <c r="GS368" i="12"/>
  <c r="GT368" i="12"/>
  <c r="GU368" i="12"/>
  <c r="GV368" i="12"/>
  <c r="GW368" i="12"/>
  <c r="GX368" i="12"/>
  <c r="GY368" i="12"/>
  <c r="GZ368" i="12"/>
  <c r="HA368" i="12"/>
  <c r="HB368" i="12"/>
  <c r="HC368" i="12"/>
  <c r="HD368" i="12"/>
  <c r="HE368" i="12"/>
  <c r="HF368" i="12"/>
  <c r="HG368" i="12"/>
  <c r="HH368" i="12"/>
  <c r="HI368" i="12"/>
  <c r="HJ368" i="12"/>
  <c r="HK368" i="12"/>
  <c r="HL368" i="12"/>
  <c r="HM368" i="12"/>
  <c r="HN368" i="12"/>
  <c r="HO368" i="12"/>
  <c r="HP368" i="12"/>
  <c r="HQ368" i="12"/>
  <c r="HR368" i="12"/>
  <c r="HS368" i="12"/>
  <c r="HT368" i="12"/>
  <c r="HU368" i="12"/>
  <c r="HV368" i="12"/>
  <c r="HW368" i="12"/>
  <c r="HX368" i="12"/>
  <c r="HY368" i="12"/>
  <c r="HZ368" i="12"/>
  <c r="IA368" i="12"/>
  <c r="IB368" i="12"/>
  <c r="IC368" i="12"/>
  <c r="ID368" i="12"/>
  <c r="IE368" i="12"/>
  <c r="IF368" i="12"/>
  <c r="IG368" i="12"/>
  <c r="IH368" i="12"/>
  <c r="II368" i="12"/>
  <c r="IJ368" i="12"/>
  <c r="IK368" i="12"/>
  <c r="IL368" i="12"/>
  <c r="IM368" i="12"/>
  <c r="IN368" i="12"/>
  <c r="IO368" i="12"/>
  <c r="IP368" i="12"/>
  <c r="IQ368" i="12"/>
  <c r="IR368" i="12"/>
  <c r="IS368" i="12"/>
  <c r="IT368" i="12"/>
  <c r="IU368" i="12"/>
  <c r="IV368" i="12"/>
  <c r="F369" i="12"/>
  <c r="G369" i="12"/>
  <c r="H369" i="12"/>
  <c r="I369" i="12"/>
  <c r="J369" i="12"/>
  <c r="K369" i="12"/>
  <c r="L369" i="12"/>
  <c r="M369" i="12"/>
  <c r="N369" i="12"/>
  <c r="O369" i="12"/>
  <c r="P369" i="12"/>
  <c r="Q369" i="12"/>
  <c r="R369" i="12"/>
  <c r="S369" i="12"/>
  <c r="T369" i="12"/>
  <c r="U369" i="12"/>
  <c r="V369" i="12"/>
  <c r="W369" i="12"/>
  <c r="X369" i="12"/>
  <c r="Y369" i="12"/>
  <c r="Z369" i="12"/>
  <c r="AA369" i="12"/>
  <c r="AB369" i="12"/>
  <c r="AC369" i="12"/>
  <c r="AD369" i="12"/>
  <c r="AE369" i="12"/>
  <c r="AF369" i="12"/>
  <c r="AG369" i="12"/>
  <c r="AH369" i="12"/>
  <c r="AI369" i="12"/>
  <c r="AJ369" i="12"/>
  <c r="AK369" i="12"/>
  <c r="AL369" i="12"/>
  <c r="AM369" i="12"/>
  <c r="AN369" i="12"/>
  <c r="AO369" i="12"/>
  <c r="AP369" i="12"/>
  <c r="AQ369" i="12"/>
  <c r="AR369" i="12"/>
  <c r="AS369" i="12"/>
  <c r="AT369" i="12"/>
  <c r="AU369" i="12"/>
  <c r="AV369" i="12"/>
  <c r="AW369" i="12"/>
  <c r="AX369" i="12"/>
  <c r="AY369" i="12"/>
  <c r="AZ369" i="12"/>
  <c r="BA369" i="12"/>
  <c r="BB369" i="12"/>
  <c r="BC369" i="12"/>
  <c r="BD369" i="12"/>
  <c r="BE369" i="12"/>
  <c r="BF369" i="12"/>
  <c r="BG369" i="12"/>
  <c r="BH369" i="12"/>
  <c r="BI369" i="12"/>
  <c r="BJ369" i="12"/>
  <c r="BK369" i="12"/>
  <c r="BL369" i="12"/>
  <c r="BM369" i="12"/>
  <c r="BN369" i="12"/>
  <c r="BO369" i="12"/>
  <c r="BP369" i="12"/>
  <c r="BQ369" i="12"/>
  <c r="BR369" i="12"/>
  <c r="BS369" i="12"/>
  <c r="BT369" i="12"/>
  <c r="BU369" i="12"/>
  <c r="BV369" i="12"/>
  <c r="BW369" i="12"/>
  <c r="BX369" i="12"/>
  <c r="BY369" i="12"/>
  <c r="BZ369" i="12"/>
  <c r="CA369" i="12"/>
  <c r="CB369" i="12"/>
  <c r="CC369" i="12"/>
  <c r="CD369" i="12"/>
  <c r="CE369" i="12"/>
  <c r="CF369" i="12"/>
  <c r="CG369" i="12"/>
  <c r="CH369" i="12"/>
  <c r="CI369" i="12"/>
  <c r="CJ369" i="12"/>
  <c r="CK369" i="12"/>
  <c r="CL369" i="12"/>
  <c r="CM369" i="12"/>
  <c r="CN369" i="12"/>
  <c r="CO369" i="12"/>
  <c r="CP369" i="12"/>
  <c r="CQ369" i="12"/>
  <c r="CR369" i="12"/>
  <c r="CS369" i="12"/>
  <c r="CT369" i="12"/>
  <c r="CU369" i="12"/>
  <c r="CV369" i="12"/>
  <c r="CW369" i="12"/>
  <c r="CX369" i="12"/>
  <c r="CY369" i="12"/>
  <c r="CZ369" i="12"/>
  <c r="DA369" i="12"/>
  <c r="DB369" i="12"/>
  <c r="DC369" i="12"/>
  <c r="DD369" i="12"/>
  <c r="DE369" i="12"/>
  <c r="DF369" i="12"/>
  <c r="DG369" i="12"/>
  <c r="DH369" i="12"/>
  <c r="DI369" i="12"/>
  <c r="DJ369" i="12"/>
  <c r="DK369" i="12"/>
  <c r="DL369" i="12"/>
  <c r="DM369" i="12"/>
  <c r="DN369" i="12"/>
  <c r="DO369" i="12"/>
  <c r="DP369" i="12"/>
  <c r="DQ369" i="12"/>
  <c r="DR369" i="12"/>
  <c r="DS369" i="12"/>
  <c r="DT369" i="12"/>
  <c r="DU369" i="12"/>
  <c r="DV369" i="12"/>
  <c r="DW369" i="12"/>
  <c r="DX369" i="12"/>
  <c r="DY369" i="12"/>
  <c r="DZ369" i="12"/>
  <c r="EA369" i="12"/>
  <c r="EB369" i="12"/>
  <c r="EC369" i="12"/>
  <c r="ED369" i="12"/>
  <c r="EE369" i="12"/>
  <c r="EF369" i="12"/>
  <c r="EG369" i="12"/>
  <c r="EH369" i="12"/>
  <c r="EI369" i="12"/>
  <c r="EJ369" i="12"/>
  <c r="EK369" i="12"/>
  <c r="EL369" i="12"/>
  <c r="EM369" i="12"/>
  <c r="EN369" i="12"/>
  <c r="EO369" i="12"/>
  <c r="EP369" i="12"/>
  <c r="EQ369" i="12"/>
  <c r="ER369" i="12"/>
  <c r="ES369" i="12"/>
  <c r="ET369" i="12"/>
  <c r="EU369" i="12"/>
  <c r="EV369" i="12"/>
  <c r="EW369" i="12"/>
  <c r="EX369" i="12"/>
  <c r="EY369" i="12"/>
  <c r="EZ369" i="12"/>
  <c r="FA369" i="12"/>
  <c r="FB369" i="12"/>
  <c r="FC369" i="12"/>
  <c r="FD369" i="12"/>
  <c r="FE369" i="12"/>
  <c r="FF369" i="12"/>
  <c r="FG369" i="12"/>
  <c r="FH369" i="12"/>
  <c r="FI369" i="12"/>
  <c r="FJ369" i="12"/>
  <c r="FK369" i="12"/>
  <c r="FL369" i="12"/>
  <c r="FM369" i="12"/>
  <c r="FN369" i="12"/>
  <c r="FO369" i="12"/>
  <c r="FP369" i="12"/>
  <c r="FQ369" i="12"/>
  <c r="FR369" i="12"/>
  <c r="FS369" i="12"/>
  <c r="FT369" i="12"/>
  <c r="FU369" i="12"/>
  <c r="FV369" i="12"/>
  <c r="FW369" i="12"/>
  <c r="FX369" i="12"/>
  <c r="FY369" i="12"/>
  <c r="FZ369" i="12"/>
  <c r="GA369" i="12"/>
  <c r="GB369" i="12"/>
  <c r="GC369" i="12"/>
  <c r="GD369" i="12"/>
  <c r="GE369" i="12"/>
  <c r="GF369" i="12"/>
  <c r="GG369" i="12"/>
  <c r="GH369" i="12"/>
  <c r="GI369" i="12"/>
  <c r="GJ369" i="12"/>
  <c r="GK369" i="12"/>
  <c r="GL369" i="12"/>
  <c r="GM369" i="12"/>
  <c r="GN369" i="12"/>
  <c r="GO369" i="12"/>
  <c r="GP369" i="12"/>
  <c r="GQ369" i="12"/>
  <c r="GR369" i="12"/>
  <c r="GS369" i="12"/>
  <c r="GT369" i="12"/>
  <c r="GU369" i="12"/>
  <c r="GV369" i="12"/>
  <c r="GW369" i="12"/>
  <c r="GX369" i="12"/>
  <c r="GY369" i="12"/>
  <c r="GZ369" i="12"/>
  <c r="HA369" i="12"/>
  <c r="HB369" i="12"/>
  <c r="HC369" i="12"/>
  <c r="HD369" i="12"/>
  <c r="HE369" i="12"/>
  <c r="HF369" i="12"/>
  <c r="HG369" i="12"/>
  <c r="HH369" i="12"/>
  <c r="HI369" i="12"/>
  <c r="HJ369" i="12"/>
  <c r="HK369" i="12"/>
  <c r="HL369" i="12"/>
  <c r="HM369" i="12"/>
  <c r="HN369" i="12"/>
  <c r="HO369" i="12"/>
  <c r="HP369" i="12"/>
  <c r="HQ369" i="12"/>
  <c r="HR369" i="12"/>
  <c r="HS369" i="12"/>
  <c r="HT369" i="12"/>
  <c r="HU369" i="12"/>
  <c r="HV369" i="12"/>
  <c r="HW369" i="12"/>
  <c r="HX369" i="12"/>
  <c r="HY369" i="12"/>
  <c r="HZ369" i="12"/>
  <c r="IA369" i="12"/>
  <c r="IB369" i="12"/>
  <c r="IC369" i="12"/>
  <c r="ID369" i="12"/>
  <c r="IE369" i="12"/>
  <c r="IF369" i="12"/>
  <c r="IG369" i="12"/>
  <c r="IH369" i="12"/>
  <c r="II369" i="12"/>
  <c r="IJ369" i="12"/>
  <c r="IK369" i="12"/>
  <c r="IL369" i="12"/>
  <c r="IM369" i="12"/>
  <c r="IN369" i="12"/>
  <c r="IO369" i="12"/>
  <c r="IP369" i="12"/>
  <c r="IQ369" i="12"/>
  <c r="IR369" i="12"/>
  <c r="IS369" i="12"/>
  <c r="IT369" i="12"/>
  <c r="IU369" i="12"/>
  <c r="IV369" i="12"/>
  <c r="F370" i="12"/>
  <c r="G370" i="12"/>
  <c r="H370" i="12"/>
  <c r="I370" i="12"/>
  <c r="J370" i="12"/>
  <c r="K370" i="12"/>
  <c r="L370" i="12"/>
  <c r="M370" i="12"/>
  <c r="N370" i="12"/>
  <c r="O370" i="12"/>
  <c r="P370" i="12"/>
  <c r="Q370" i="12"/>
  <c r="R370" i="12"/>
  <c r="S370" i="12"/>
  <c r="T370" i="12"/>
  <c r="U370" i="12"/>
  <c r="V370" i="12"/>
  <c r="W370" i="12"/>
  <c r="X370" i="12"/>
  <c r="Y370" i="12"/>
  <c r="Z370" i="12"/>
  <c r="AA370" i="12"/>
  <c r="AB370" i="12"/>
  <c r="AC370" i="12"/>
  <c r="AD370" i="12"/>
  <c r="AE370" i="12"/>
  <c r="AF370" i="12"/>
  <c r="AG370" i="12"/>
  <c r="AH370" i="12"/>
  <c r="AI370" i="12"/>
  <c r="AJ370" i="12"/>
  <c r="AK370" i="12"/>
  <c r="AL370" i="12"/>
  <c r="AM370" i="12"/>
  <c r="AN370" i="12"/>
  <c r="AO370" i="12"/>
  <c r="AP370" i="12"/>
  <c r="AQ370" i="12"/>
  <c r="AR370" i="12"/>
  <c r="AS370" i="12"/>
  <c r="AT370" i="12"/>
  <c r="AU370" i="12"/>
  <c r="AV370" i="12"/>
  <c r="AW370" i="12"/>
  <c r="AX370" i="12"/>
  <c r="AY370" i="12"/>
  <c r="AZ370" i="12"/>
  <c r="BA370" i="12"/>
  <c r="BB370" i="12"/>
  <c r="BC370" i="12"/>
  <c r="BD370" i="12"/>
  <c r="BE370" i="12"/>
  <c r="BF370" i="12"/>
  <c r="BG370" i="12"/>
  <c r="BH370" i="12"/>
  <c r="BI370" i="12"/>
  <c r="BJ370" i="12"/>
  <c r="BK370" i="12"/>
  <c r="BL370" i="12"/>
  <c r="BM370" i="12"/>
  <c r="BN370" i="12"/>
  <c r="BO370" i="12"/>
  <c r="BP370" i="12"/>
  <c r="BQ370" i="12"/>
  <c r="BR370" i="12"/>
  <c r="BS370" i="12"/>
  <c r="BT370" i="12"/>
  <c r="BU370" i="12"/>
  <c r="BV370" i="12"/>
  <c r="BW370" i="12"/>
  <c r="BX370" i="12"/>
  <c r="BY370" i="12"/>
  <c r="BZ370" i="12"/>
  <c r="CA370" i="12"/>
  <c r="CB370" i="12"/>
  <c r="CC370" i="12"/>
  <c r="CD370" i="12"/>
  <c r="CE370" i="12"/>
  <c r="CF370" i="12"/>
  <c r="CG370" i="12"/>
  <c r="CH370" i="12"/>
  <c r="CI370" i="12"/>
  <c r="CJ370" i="12"/>
  <c r="CK370" i="12"/>
  <c r="CL370" i="12"/>
  <c r="CM370" i="12"/>
  <c r="CN370" i="12"/>
  <c r="CO370" i="12"/>
  <c r="CP370" i="12"/>
  <c r="CQ370" i="12"/>
  <c r="CR370" i="12"/>
  <c r="CS370" i="12"/>
  <c r="CT370" i="12"/>
  <c r="CU370" i="12"/>
  <c r="CV370" i="12"/>
  <c r="CW370" i="12"/>
  <c r="CX370" i="12"/>
  <c r="CY370" i="12"/>
  <c r="CZ370" i="12"/>
  <c r="DA370" i="12"/>
  <c r="DB370" i="12"/>
  <c r="DC370" i="12"/>
  <c r="DD370" i="12"/>
  <c r="DE370" i="12"/>
  <c r="DF370" i="12"/>
  <c r="DG370" i="12"/>
  <c r="DH370" i="12"/>
  <c r="DI370" i="12"/>
  <c r="DJ370" i="12"/>
  <c r="DK370" i="12"/>
  <c r="DL370" i="12"/>
  <c r="DM370" i="12"/>
  <c r="DN370" i="12"/>
  <c r="DO370" i="12"/>
  <c r="DP370" i="12"/>
  <c r="DQ370" i="12"/>
  <c r="DR370" i="12"/>
  <c r="DS370" i="12"/>
  <c r="DT370" i="12"/>
  <c r="DU370" i="12"/>
  <c r="DV370" i="12"/>
  <c r="DW370" i="12"/>
  <c r="DX370" i="12"/>
  <c r="DY370" i="12"/>
  <c r="DZ370" i="12"/>
  <c r="EA370" i="12"/>
  <c r="EB370" i="12"/>
  <c r="EC370" i="12"/>
  <c r="ED370" i="12"/>
  <c r="EE370" i="12"/>
  <c r="EF370" i="12"/>
  <c r="EG370" i="12"/>
  <c r="EH370" i="12"/>
  <c r="EI370" i="12"/>
  <c r="EJ370" i="12"/>
  <c r="EK370" i="12"/>
  <c r="EL370" i="12"/>
  <c r="EM370" i="12"/>
  <c r="EN370" i="12"/>
  <c r="EO370" i="12"/>
  <c r="EP370" i="12"/>
  <c r="EQ370" i="12"/>
  <c r="ER370" i="12"/>
  <c r="ES370" i="12"/>
  <c r="ET370" i="12"/>
  <c r="EU370" i="12"/>
  <c r="EV370" i="12"/>
  <c r="EW370" i="12"/>
  <c r="EX370" i="12"/>
  <c r="EY370" i="12"/>
  <c r="EZ370" i="12"/>
  <c r="FA370" i="12"/>
  <c r="FB370" i="12"/>
  <c r="FC370" i="12"/>
  <c r="FD370" i="12"/>
  <c r="FE370" i="12"/>
  <c r="FF370" i="12"/>
  <c r="FG370" i="12"/>
  <c r="FH370" i="12"/>
  <c r="FI370" i="12"/>
  <c r="FJ370" i="12"/>
  <c r="FK370" i="12"/>
  <c r="FL370" i="12"/>
  <c r="FM370" i="12"/>
  <c r="FN370" i="12"/>
  <c r="FO370" i="12"/>
  <c r="FP370" i="12"/>
  <c r="FQ370" i="12"/>
  <c r="FR370" i="12"/>
  <c r="FS370" i="12"/>
  <c r="FT370" i="12"/>
  <c r="FU370" i="12"/>
  <c r="FV370" i="12"/>
  <c r="FW370" i="12"/>
  <c r="FX370" i="12"/>
  <c r="FY370" i="12"/>
  <c r="FZ370" i="12"/>
  <c r="GA370" i="12"/>
  <c r="GB370" i="12"/>
  <c r="GC370" i="12"/>
  <c r="GD370" i="12"/>
  <c r="GE370" i="12"/>
  <c r="GF370" i="12"/>
  <c r="GG370" i="12"/>
  <c r="GH370" i="12"/>
  <c r="GI370" i="12"/>
  <c r="GJ370" i="12"/>
  <c r="GK370" i="12"/>
  <c r="GL370" i="12"/>
  <c r="GM370" i="12"/>
  <c r="GN370" i="12"/>
  <c r="GO370" i="12"/>
  <c r="GP370" i="12"/>
  <c r="GQ370" i="12"/>
  <c r="GR370" i="12"/>
  <c r="GS370" i="12"/>
  <c r="GT370" i="12"/>
  <c r="GU370" i="12"/>
  <c r="GV370" i="12"/>
  <c r="GW370" i="12"/>
  <c r="GX370" i="12"/>
  <c r="GY370" i="12"/>
  <c r="GZ370" i="12"/>
  <c r="HA370" i="12"/>
  <c r="HB370" i="12"/>
  <c r="HC370" i="12"/>
  <c r="HD370" i="12"/>
  <c r="HE370" i="12"/>
  <c r="HF370" i="12"/>
  <c r="HG370" i="12"/>
  <c r="HH370" i="12"/>
  <c r="HI370" i="12"/>
  <c r="HJ370" i="12"/>
  <c r="HK370" i="12"/>
  <c r="HL370" i="12"/>
  <c r="HM370" i="12"/>
  <c r="HN370" i="12"/>
  <c r="HO370" i="12"/>
  <c r="HP370" i="12"/>
  <c r="HQ370" i="12"/>
  <c r="HR370" i="12"/>
  <c r="HS370" i="12"/>
  <c r="HT370" i="12"/>
  <c r="HU370" i="12"/>
  <c r="HV370" i="12"/>
  <c r="HW370" i="12"/>
  <c r="HX370" i="12"/>
  <c r="HY370" i="12"/>
  <c r="HZ370" i="12"/>
  <c r="IA370" i="12"/>
  <c r="IB370" i="12"/>
  <c r="IC370" i="12"/>
  <c r="ID370" i="12"/>
  <c r="IE370" i="12"/>
  <c r="IF370" i="12"/>
  <c r="IG370" i="12"/>
  <c r="IH370" i="12"/>
  <c r="II370" i="12"/>
  <c r="IJ370" i="12"/>
  <c r="IK370" i="12"/>
  <c r="IL370" i="12"/>
  <c r="IM370" i="12"/>
  <c r="IN370" i="12"/>
  <c r="IO370" i="12"/>
  <c r="IP370" i="12"/>
  <c r="IQ370" i="12"/>
  <c r="IR370" i="12"/>
  <c r="IS370" i="12"/>
  <c r="IT370" i="12"/>
  <c r="IU370" i="12"/>
  <c r="IV370" i="12"/>
  <c r="F371" i="12"/>
  <c r="G371" i="12"/>
  <c r="H371" i="12"/>
  <c r="I371" i="12"/>
  <c r="J371" i="12"/>
  <c r="K371" i="12"/>
  <c r="L371" i="12"/>
  <c r="M371" i="12"/>
  <c r="N371" i="12"/>
  <c r="O371" i="12"/>
  <c r="P371" i="12"/>
  <c r="Q371" i="12"/>
  <c r="R371" i="12"/>
  <c r="S371" i="12"/>
  <c r="T371" i="12"/>
  <c r="U371" i="12"/>
  <c r="V371" i="12"/>
  <c r="W371" i="12"/>
  <c r="X371" i="12"/>
  <c r="Y371" i="12"/>
  <c r="Z371" i="12"/>
  <c r="AA371" i="12"/>
  <c r="AB371" i="12"/>
  <c r="AC371" i="12"/>
  <c r="AD371" i="12"/>
  <c r="AE371" i="12"/>
  <c r="AF371" i="12"/>
  <c r="AG371" i="12"/>
  <c r="AH371" i="12"/>
  <c r="AI371" i="12"/>
  <c r="AJ371" i="12"/>
  <c r="AK371" i="12"/>
  <c r="AL371" i="12"/>
  <c r="AM371" i="12"/>
  <c r="AN371" i="12"/>
  <c r="AO371" i="12"/>
  <c r="AP371" i="12"/>
  <c r="AQ371" i="12"/>
  <c r="AR371" i="12"/>
  <c r="AS371" i="12"/>
  <c r="AT371" i="12"/>
  <c r="AU371" i="12"/>
  <c r="AV371" i="12"/>
  <c r="AW371" i="12"/>
  <c r="AX371" i="12"/>
  <c r="AY371" i="12"/>
  <c r="AZ371" i="12"/>
  <c r="BA371" i="12"/>
  <c r="BB371" i="12"/>
  <c r="BC371" i="12"/>
  <c r="BD371" i="12"/>
  <c r="BE371" i="12"/>
  <c r="BF371" i="12"/>
  <c r="BG371" i="12"/>
  <c r="BH371" i="12"/>
  <c r="BI371" i="12"/>
  <c r="BJ371" i="12"/>
  <c r="BK371" i="12"/>
  <c r="BL371" i="12"/>
  <c r="BM371" i="12"/>
  <c r="BN371" i="12"/>
  <c r="BO371" i="12"/>
  <c r="BP371" i="12"/>
  <c r="BQ371" i="12"/>
  <c r="BR371" i="12"/>
  <c r="BS371" i="12"/>
  <c r="BT371" i="12"/>
  <c r="BU371" i="12"/>
  <c r="BV371" i="12"/>
  <c r="BW371" i="12"/>
  <c r="BX371" i="12"/>
  <c r="BY371" i="12"/>
  <c r="BZ371" i="12"/>
  <c r="CA371" i="12"/>
  <c r="CB371" i="12"/>
  <c r="CC371" i="12"/>
  <c r="CD371" i="12"/>
  <c r="CE371" i="12"/>
  <c r="CF371" i="12"/>
  <c r="CG371" i="12"/>
  <c r="CH371" i="12"/>
  <c r="CI371" i="12"/>
  <c r="CJ371" i="12"/>
  <c r="CK371" i="12"/>
  <c r="CL371" i="12"/>
  <c r="CM371" i="12"/>
  <c r="CN371" i="12"/>
  <c r="CO371" i="12"/>
  <c r="CP371" i="12"/>
  <c r="CQ371" i="12"/>
  <c r="CR371" i="12"/>
  <c r="CS371" i="12"/>
  <c r="CT371" i="12"/>
  <c r="CU371" i="12"/>
  <c r="CV371" i="12"/>
  <c r="CW371" i="12"/>
  <c r="CX371" i="12"/>
  <c r="CY371" i="12"/>
  <c r="CZ371" i="12"/>
  <c r="DA371" i="12"/>
  <c r="DB371" i="12"/>
  <c r="DC371" i="12"/>
  <c r="DD371" i="12"/>
  <c r="DE371" i="12"/>
  <c r="DF371" i="12"/>
  <c r="DG371" i="12"/>
  <c r="DH371" i="12"/>
  <c r="DI371" i="12"/>
  <c r="DJ371" i="12"/>
  <c r="DK371" i="12"/>
  <c r="DL371" i="12"/>
  <c r="DM371" i="12"/>
  <c r="DN371" i="12"/>
  <c r="DO371" i="12"/>
  <c r="DP371" i="12"/>
  <c r="DQ371" i="12"/>
  <c r="DR371" i="12"/>
  <c r="DS371" i="12"/>
  <c r="DT371" i="12"/>
  <c r="DU371" i="12"/>
  <c r="DV371" i="12"/>
  <c r="DW371" i="12"/>
  <c r="DX371" i="12"/>
  <c r="DY371" i="12"/>
  <c r="DZ371" i="12"/>
  <c r="EA371" i="12"/>
  <c r="EB371" i="12"/>
  <c r="EC371" i="12"/>
  <c r="ED371" i="12"/>
  <c r="EE371" i="12"/>
  <c r="EF371" i="12"/>
  <c r="EG371" i="12"/>
  <c r="EH371" i="12"/>
  <c r="EI371" i="12"/>
  <c r="EJ371" i="12"/>
  <c r="EK371" i="12"/>
  <c r="EL371" i="12"/>
  <c r="EM371" i="12"/>
  <c r="EN371" i="12"/>
  <c r="EO371" i="12"/>
  <c r="EP371" i="12"/>
  <c r="EQ371" i="12"/>
  <c r="ER371" i="12"/>
  <c r="ES371" i="12"/>
  <c r="ET371" i="12"/>
  <c r="EU371" i="12"/>
  <c r="EV371" i="12"/>
  <c r="EW371" i="12"/>
  <c r="EX371" i="12"/>
  <c r="EY371" i="12"/>
  <c r="EZ371" i="12"/>
  <c r="FA371" i="12"/>
  <c r="FB371" i="12"/>
  <c r="FC371" i="12"/>
  <c r="FD371" i="12"/>
  <c r="FE371" i="12"/>
  <c r="FF371" i="12"/>
  <c r="FG371" i="12"/>
  <c r="FH371" i="12"/>
  <c r="FI371" i="12"/>
  <c r="FJ371" i="12"/>
  <c r="FK371" i="12"/>
  <c r="FL371" i="12"/>
  <c r="FM371" i="12"/>
  <c r="FN371" i="12"/>
  <c r="FO371" i="12"/>
  <c r="FP371" i="12"/>
  <c r="FQ371" i="12"/>
  <c r="FR371" i="12"/>
  <c r="FS371" i="12"/>
  <c r="FT371" i="12"/>
  <c r="FU371" i="12"/>
  <c r="FV371" i="12"/>
  <c r="FW371" i="12"/>
  <c r="FX371" i="12"/>
  <c r="FY371" i="12"/>
  <c r="FZ371" i="12"/>
  <c r="GA371" i="12"/>
  <c r="GB371" i="12"/>
  <c r="GC371" i="12"/>
  <c r="GD371" i="12"/>
  <c r="GE371" i="12"/>
  <c r="GF371" i="12"/>
  <c r="GG371" i="12"/>
  <c r="GH371" i="12"/>
  <c r="GI371" i="12"/>
  <c r="GJ371" i="12"/>
  <c r="GK371" i="12"/>
  <c r="GL371" i="12"/>
  <c r="GM371" i="12"/>
  <c r="GN371" i="12"/>
  <c r="GO371" i="12"/>
  <c r="GP371" i="12"/>
  <c r="GQ371" i="12"/>
  <c r="GR371" i="12"/>
  <c r="GS371" i="12"/>
  <c r="GT371" i="12"/>
  <c r="GU371" i="12"/>
  <c r="GV371" i="12"/>
  <c r="GW371" i="12"/>
  <c r="GX371" i="12"/>
  <c r="GY371" i="12"/>
  <c r="GZ371" i="12"/>
  <c r="HA371" i="12"/>
  <c r="HB371" i="12"/>
  <c r="HC371" i="12"/>
  <c r="HD371" i="12"/>
  <c r="HE371" i="12"/>
  <c r="HF371" i="12"/>
  <c r="HG371" i="12"/>
  <c r="HH371" i="12"/>
  <c r="HI371" i="12"/>
  <c r="HJ371" i="12"/>
  <c r="HK371" i="12"/>
  <c r="HL371" i="12"/>
  <c r="HM371" i="12"/>
  <c r="HN371" i="12"/>
  <c r="HO371" i="12"/>
  <c r="HP371" i="12"/>
  <c r="HQ371" i="12"/>
  <c r="HR371" i="12"/>
  <c r="HS371" i="12"/>
  <c r="HT371" i="12"/>
  <c r="HU371" i="12"/>
  <c r="HV371" i="12"/>
  <c r="HW371" i="12"/>
  <c r="HX371" i="12"/>
  <c r="HY371" i="12"/>
  <c r="HZ371" i="12"/>
  <c r="IA371" i="12"/>
  <c r="IB371" i="12"/>
  <c r="IC371" i="12"/>
  <c r="ID371" i="12"/>
  <c r="IE371" i="12"/>
  <c r="IF371" i="12"/>
  <c r="IG371" i="12"/>
  <c r="IH371" i="12"/>
  <c r="II371" i="12"/>
  <c r="IJ371" i="12"/>
  <c r="IK371" i="12"/>
  <c r="IL371" i="12"/>
  <c r="IM371" i="12"/>
  <c r="IN371" i="12"/>
  <c r="IO371" i="12"/>
  <c r="IP371" i="12"/>
  <c r="IQ371" i="12"/>
  <c r="IR371" i="12"/>
  <c r="IS371" i="12"/>
  <c r="IT371" i="12"/>
  <c r="IU371" i="12"/>
  <c r="IV371" i="12"/>
  <c r="F372" i="12"/>
  <c r="G372" i="12"/>
  <c r="H372" i="12"/>
  <c r="I372" i="12"/>
  <c r="J372" i="12"/>
  <c r="K372" i="12"/>
  <c r="L372" i="12"/>
  <c r="M372" i="12"/>
  <c r="N372" i="12"/>
  <c r="O372" i="12"/>
  <c r="P372" i="12"/>
  <c r="Q372" i="12"/>
  <c r="R372" i="12"/>
  <c r="S372" i="12"/>
  <c r="T372" i="12"/>
  <c r="U372" i="12"/>
  <c r="V372" i="12"/>
  <c r="W372" i="12"/>
  <c r="X372" i="12"/>
  <c r="Y372" i="12"/>
  <c r="Z372" i="12"/>
  <c r="AA372" i="12"/>
  <c r="AB372" i="12"/>
  <c r="AC372" i="12"/>
  <c r="AD372" i="12"/>
  <c r="AE372" i="12"/>
  <c r="AF372" i="12"/>
  <c r="AG372" i="12"/>
  <c r="AH372" i="12"/>
  <c r="AI372" i="12"/>
  <c r="AJ372" i="12"/>
  <c r="AK372" i="12"/>
  <c r="AL372" i="12"/>
  <c r="AM372" i="12"/>
  <c r="AN372" i="12"/>
  <c r="AO372" i="12"/>
  <c r="AP372" i="12"/>
  <c r="AQ372" i="12"/>
  <c r="AR372" i="12"/>
  <c r="AS372" i="12"/>
  <c r="AT372" i="12"/>
  <c r="AU372" i="12"/>
  <c r="AV372" i="12"/>
  <c r="AW372" i="12"/>
  <c r="AX372" i="12"/>
  <c r="AY372" i="12"/>
  <c r="AZ372" i="12"/>
  <c r="BA372" i="12"/>
  <c r="BB372" i="12"/>
  <c r="BC372" i="12"/>
  <c r="BD372" i="12"/>
  <c r="BE372" i="12"/>
  <c r="BF372" i="12"/>
  <c r="BG372" i="12"/>
  <c r="BH372" i="12"/>
  <c r="BI372" i="12"/>
  <c r="BJ372" i="12"/>
  <c r="BK372" i="12"/>
  <c r="BL372" i="12"/>
  <c r="BM372" i="12"/>
  <c r="BN372" i="12"/>
  <c r="BO372" i="12"/>
  <c r="BP372" i="12"/>
  <c r="BQ372" i="12"/>
  <c r="BR372" i="12"/>
  <c r="BS372" i="12"/>
  <c r="BT372" i="12"/>
  <c r="BU372" i="12"/>
  <c r="BV372" i="12"/>
  <c r="BW372" i="12"/>
  <c r="BX372" i="12"/>
  <c r="BY372" i="12"/>
  <c r="BZ372" i="12"/>
  <c r="CA372" i="12"/>
  <c r="CB372" i="12"/>
  <c r="CC372" i="12"/>
  <c r="CD372" i="12"/>
  <c r="CE372" i="12"/>
  <c r="CF372" i="12"/>
  <c r="CG372" i="12"/>
  <c r="CH372" i="12"/>
  <c r="CI372" i="12"/>
  <c r="CJ372" i="12"/>
  <c r="CK372" i="12"/>
  <c r="CL372" i="12"/>
  <c r="CM372" i="12"/>
  <c r="CN372" i="12"/>
  <c r="CO372" i="12"/>
  <c r="CP372" i="12"/>
  <c r="CQ372" i="12"/>
  <c r="CR372" i="12"/>
  <c r="CS372" i="12"/>
  <c r="CT372" i="12"/>
  <c r="CU372" i="12"/>
  <c r="CV372" i="12"/>
  <c r="CW372" i="12"/>
  <c r="CX372" i="12"/>
  <c r="CY372" i="12"/>
  <c r="CZ372" i="12"/>
  <c r="DA372" i="12"/>
  <c r="DB372" i="12"/>
  <c r="DC372" i="12"/>
  <c r="DD372" i="12"/>
  <c r="DE372" i="12"/>
  <c r="DF372" i="12"/>
  <c r="DG372" i="12"/>
  <c r="DH372" i="12"/>
  <c r="DI372" i="12"/>
  <c r="DJ372" i="12"/>
  <c r="DK372" i="12"/>
  <c r="DL372" i="12"/>
  <c r="DM372" i="12"/>
  <c r="DN372" i="12"/>
  <c r="DO372" i="12"/>
  <c r="DP372" i="12"/>
  <c r="DQ372" i="12"/>
  <c r="DR372" i="12"/>
  <c r="DS372" i="12"/>
  <c r="DT372" i="12"/>
  <c r="DU372" i="12"/>
  <c r="DV372" i="12"/>
  <c r="DW372" i="12"/>
  <c r="DX372" i="12"/>
  <c r="DY372" i="12"/>
  <c r="DZ372" i="12"/>
  <c r="EA372" i="12"/>
  <c r="EB372" i="12"/>
  <c r="EC372" i="12"/>
  <c r="ED372" i="12"/>
  <c r="EE372" i="12"/>
  <c r="EF372" i="12"/>
  <c r="EG372" i="12"/>
  <c r="EH372" i="12"/>
  <c r="EI372" i="12"/>
  <c r="EJ372" i="12"/>
  <c r="EK372" i="12"/>
  <c r="EL372" i="12"/>
  <c r="EM372" i="12"/>
  <c r="EN372" i="12"/>
  <c r="EO372" i="12"/>
  <c r="EP372" i="12"/>
  <c r="EQ372" i="12"/>
  <c r="ER372" i="12"/>
  <c r="ES372" i="12"/>
  <c r="ET372" i="12"/>
  <c r="EU372" i="12"/>
  <c r="EV372" i="12"/>
  <c r="EW372" i="12"/>
  <c r="EX372" i="12"/>
  <c r="EY372" i="12"/>
  <c r="EZ372" i="12"/>
  <c r="FA372" i="12"/>
  <c r="FB372" i="12"/>
  <c r="FC372" i="12"/>
  <c r="FD372" i="12"/>
  <c r="FE372" i="12"/>
  <c r="FF372" i="12"/>
  <c r="FG372" i="12"/>
  <c r="FH372" i="12"/>
  <c r="FI372" i="12"/>
  <c r="FJ372" i="12"/>
  <c r="FK372" i="12"/>
  <c r="FL372" i="12"/>
  <c r="FM372" i="12"/>
  <c r="FN372" i="12"/>
  <c r="FO372" i="12"/>
  <c r="FP372" i="12"/>
  <c r="FQ372" i="12"/>
  <c r="FR372" i="12"/>
  <c r="FS372" i="12"/>
  <c r="FT372" i="12"/>
  <c r="FU372" i="12"/>
  <c r="FV372" i="12"/>
  <c r="FW372" i="12"/>
  <c r="FX372" i="12"/>
  <c r="FY372" i="12"/>
  <c r="FZ372" i="12"/>
  <c r="GA372" i="12"/>
  <c r="GB372" i="12"/>
  <c r="GC372" i="12"/>
  <c r="GD372" i="12"/>
  <c r="GE372" i="12"/>
  <c r="GF372" i="12"/>
  <c r="GG372" i="12"/>
  <c r="GH372" i="12"/>
  <c r="GI372" i="12"/>
  <c r="GJ372" i="12"/>
  <c r="GK372" i="12"/>
  <c r="GL372" i="12"/>
  <c r="GM372" i="12"/>
  <c r="GN372" i="12"/>
  <c r="GO372" i="12"/>
  <c r="GP372" i="12"/>
  <c r="GQ372" i="12"/>
  <c r="GR372" i="12"/>
  <c r="GS372" i="12"/>
  <c r="GT372" i="12"/>
  <c r="GU372" i="12"/>
  <c r="GV372" i="12"/>
  <c r="GW372" i="12"/>
  <c r="GX372" i="12"/>
  <c r="GY372" i="12"/>
  <c r="GZ372" i="12"/>
  <c r="HA372" i="12"/>
  <c r="HB372" i="12"/>
  <c r="HC372" i="12"/>
  <c r="HD372" i="12"/>
  <c r="HE372" i="12"/>
  <c r="HF372" i="12"/>
  <c r="HG372" i="12"/>
  <c r="HH372" i="12"/>
  <c r="HI372" i="12"/>
  <c r="HJ372" i="12"/>
  <c r="HK372" i="12"/>
  <c r="HL372" i="12"/>
  <c r="HM372" i="12"/>
  <c r="HN372" i="12"/>
  <c r="HO372" i="12"/>
  <c r="HP372" i="12"/>
  <c r="HQ372" i="12"/>
  <c r="HR372" i="12"/>
  <c r="HS372" i="12"/>
  <c r="HT372" i="12"/>
  <c r="HU372" i="12"/>
  <c r="HV372" i="12"/>
  <c r="HW372" i="12"/>
  <c r="HX372" i="12"/>
  <c r="HY372" i="12"/>
  <c r="HZ372" i="12"/>
  <c r="IA372" i="12"/>
  <c r="IB372" i="12"/>
  <c r="IC372" i="12"/>
  <c r="ID372" i="12"/>
  <c r="IE372" i="12"/>
  <c r="IF372" i="12"/>
  <c r="IG372" i="12"/>
  <c r="IH372" i="12"/>
  <c r="II372" i="12"/>
  <c r="IJ372" i="12"/>
  <c r="IK372" i="12"/>
  <c r="IL372" i="12"/>
  <c r="IM372" i="12"/>
  <c r="IN372" i="12"/>
  <c r="IO372" i="12"/>
  <c r="IP372" i="12"/>
  <c r="IQ372" i="12"/>
  <c r="IR372" i="12"/>
  <c r="IS372" i="12"/>
  <c r="IT372" i="12"/>
  <c r="IU372" i="12"/>
  <c r="IV372" i="12"/>
  <c r="F373" i="12"/>
  <c r="G373" i="12"/>
  <c r="H373" i="12"/>
  <c r="I373" i="12"/>
  <c r="J373" i="12"/>
  <c r="K373" i="12"/>
  <c r="L373" i="12"/>
  <c r="M373" i="12"/>
  <c r="N373" i="12"/>
  <c r="O373" i="12"/>
  <c r="P373" i="12"/>
  <c r="Q373" i="12"/>
  <c r="R373" i="12"/>
  <c r="S373" i="12"/>
  <c r="T373" i="12"/>
  <c r="U373" i="12"/>
  <c r="V373" i="12"/>
  <c r="W373" i="12"/>
  <c r="X373" i="12"/>
  <c r="Y373" i="12"/>
  <c r="Z373" i="12"/>
  <c r="AA373" i="12"/>
  <c r="AB373" i="12"/>
  <c r="AC373" i="12"/>
  <c r="AD373" i="12"/>
  <c r="AE373" i="12"/>
  <c r="AF373" i="12"/>
  <c r="AG373" i="12"/>
  <c r="AH373" i="12"/>
  <c r="AI373" i="12"/>
  <c r="AJ373" i="12"/>
  <c r="AK373" i="12"/>
  <c r="AL373" i="12"/>
  <c r="AM373" i="12"/>
  <c r="AN373" i="12"/>
  <c r="AO373" i="12"/>
  <c r="AP373" i="12"/>
  <c r="AQ373" i="12"/>
  <c r="AR373" i="12"/>
  <c r="AS373" i="12"/>
  <c r="AT373" i="12"/>
  <c r="AU373" i="12"/>
  <c r="AV373" i="12"/>
  <c r="AW373" i="12"/>
  <c r="AX373" i="12"/>
  <c r="AY373" i="12"/>
  <c r="AZ373" i="12"/>
  <c r="BA373" i="12"/>
  <c r="BB373" i="12"/>
  <c r="BC373" i="12"/>
  <c r="BD373" i="12"/>
  <c r="BE373" i="12"/>
  <c r="BF373" i="12"/>
  <c r="BG373" i="12"/>
  <c r="BH373" i="12"/>
  <c r="BI373" i="12"/>
  <c r="BJ373" i="12"/>
  <c r="BK373" i="12"/>
  <c r="BL373" i="12"/>
  <c r="BM373" i="12"/>
  <c r="BN373" i="12"/>
  <c r="BO373" i="12"/>
  <c r="BP373" i="12"/>
  <c r="BQ373" i="12"/>
  <c r="BR373" i="12"/>
  <c r="BS373" i="12"/>
  <c r="BT373" i="12"/>
  <c r="BU373" i="12"/>
  <c r="BV373" i="12"/>
  <c r="BW373" i="12"/>
  <c r="BX373" i="12"/>
  <c r="BY373" i="12"/>
  <c r="BZ373" i="12"/>
  <c r="CA373" i="12"/>
  <c r="CB373" i="12"/>
  <c r="CC373" i="12"/>
  <c r="CD373" i="12"/>
  <c r="CE373" i="12"/>
  <c r="CF373" i="12"/>
  <c r="CG373" i="12"/>
  <c r="CH373" i="12"/>
  <c r="CI373" i="12"/>
  <c r="CJ373" i="12"/>
  <c r="CK373" i="12"/>
  <c r="CL373" i="12"/>
  <c r="CM373" i="12"/>
  <c r="CN373" i="12"/>
  <c r="CO373" i="12"/>
  <c r="CP373" i="12"/>
  <c r="CQ373" i="12"/>
  <c r="CR373" i="12"/>
  <c r="CS373" i="12"/>
  <c r="CT373" i="12"/>
  <c r="CU373" i="12"/>
  <c r="CV373" i="12"/>
  <c r="CW373" i="12"/>
  <c r="CX373" i="12"/>
  <c r="CY373" i="12"/>
  <c r="CZ373" i="12"/>
  <c r="DA373" i="12"/>
  <c r="DB373" i="12"/>
  <c r="DC373" i="12"/>
  <c r="DD373" i="12"/>
  <c r="DE373" i="12"/>
  <c r="DF373" i="12"/>
  <c r="DG373" i="12"/>
  <c r="DH373" i="12"/>
  <c r="DI373" i="12"/>
  <c r="DJ373" i="12"/>
  <c r="DK373" i="12"/>
  <c r="DL373" i="12"/>
  <c r="DM373" i="12"/>
  <c r="DN373" i="12"/>
  <c r="DO373" i="12"/>
  <c r="DP373" i="12"/>
  <c r="DQ373" i="12"/>
  <c r="DR373" i="12"/>
  <c r="DS373" i="12"/>
  <c r="DT373" i="12"/>
  <c r="DU373" i="12"/>
  <c r="DV373" i="12"/>
  <c r="DW373" i="12"/>
  <c r="DX373" i="12"/>
  <c r="DY373" i="12"/>
  <c r="DZ373" i="12"/>
  <c r="EA373" i="12"/>
  <c r="EB373" i="12"/>
  <c r="EC373" i="12"/>
  <c r="ED373" i="12"/>
  <c r="EE373" i="12"/>
  <c r="EF373" i="12"/>
  <c r="EG373" i="12"/>
  <c r="EH373" i="12"/>
  <c r="EI373" i="12"/>
  <c r="EJ373" i="12"/>
  <c r="EK373" i="12"/>
  <c r="EL373" i="12"/>
  <c r="EM373" i="12"/>
  <c r="EN373" i="12"/>
  <c r="EO373" i="12"/>
  <c r="EP373" i="12"/>
  <c r="EQ373" i="12"/>
  <c r="ER373" i="12"/>
  <c r="ES373" i="12"/>
  <c r="ET373" i="12"/>
  <c r="EU373" i="12"/>
  <c r="EV373" i="12"/>
  <c r="EW373" i="12"/>
  <c r="EX373" i="12"/>
  <c r="EY373" i="12"/>
  <c r="EZ373" i="12"/>
  <c r="FA373" i="12"/>
  <c r="FB373" i="12"/>
  <c r="FC373" i="12"/>
  <c r="FD373" i="12"/>
  <c r="FE373" i="12"/>
  <c r="FF373" i="12"/>
  <c r="FG373" i="12"/>
  <c r="FH373" i="12"/>
  <c r="FI373" i="12"/>
  <c r="FJ373" i="12"/>
  <c r="FK373" i="12"/>
  <c r="FL373" i="12"/>
  <c r="FM373" i="12"/>
  <c r="FN373" i="12"/>
  <c r="FO373" i="12"/>
  <c r="FP373" i="12"/>
  <c r="FQ373" i="12"/>
  <c r="FR373" i="12"/>
  <c r="FS373" i="12"/>
  <c r="FT373" i="12"/>
  <c r="FU373" i="12"/>
  <c r="FV373" i="12"/>
  <c r="FW373" i="12"/>
  <c r="FX373" i="12"/>
  <c r="FY373" i="12"/>
  <c r="FZ373" i="12"/>
  <c r="GA373" i="12"/>
  <c r="GB373" i="12"/>
  <c r="GC373" i="12"/>
  <c r="GD373" i="12"/>
  <c r="GE373" i="12"/>
  <c r="GF373" i="12"/>
  <c r="GG373" i="12"/>
  <c r="GH373" i="12"/>
  <c r="GI373" i="12"/>
  <c r="GJ373" i="12"/>
  <c r="GK373" i="12"/>
  <c r="GL373" i="12"/>
  <c r="GM373" i="12"/>
  <c r="GN373" i="12"/>
  <c r="GO373" i="12"/>
  <c r="GP373" i="12"/>
  <c r="GQ373" i="12"/>
  <c r="GR373" i="12"/>
  <c r="GS373" i="12"/>
  <c r="GT373" i="12"/>
  <c r="GU373" i="12"/>
  <c r="GV373" i="12"/>
  <c r="GW373" i="12"/>
  <c r="GX373" i="12"/>
  <c r="GY373" i="12"/>
  <c r="GZ373" i="12"/>
  <c r="HA373" i="12"/>
  <c r="HB373" i="12"/>
  <c r="HC373" i="12"/>
  <c r="HD373" i="12"/>
  <c r="HE373" i="12"/>
  <c r="HF373" i="12"/>
  <c r="HG373" i="12"/>
  <c r="HH373" i="12"/>
  <c r="HI373" i="12"/>
  <c r="HJ373" i="12"/>
  <c r="HK373" i="12"/>
  <c r="HL373" i="12"/>
  <c r="HM373" i="12"/>
  <c r="HN373" i="12"/>
  <c r="HO373" i="12"/>
  <c r="HP373" i="12"/>
  <c r="HQ373" i="12"/>
  <c r="HR373" i="12"/>
  <c r="HS373" i="12"/>
  <c r="HT373" i="12"/>
  <c r="HU373" i="12"/>
  <c r="HV373" i="12"/>
  <c r="HW373" i="12"/>
  <c r="HX373" i="12"/>
  <c r="HY373" i="12"/>
  <c r="HZ373" i="12"/>
  <c r="IA373" i="12"/>
  <c r="IB373" i="12"/>
  <c r="IC373" i="12"/>
  <c r="ID373" i="12"/>
  <c r="IE373" i="12"/>
  <c r="IF373" i="12"/>
  <c r="IG373" i="12"/>
  <c r="IH373" i="12"/>
  <c r="II373" i="12"/>
  <c r="IJ373" i="12"/>
  <c r="IK373" i="12"/>
  <c r="IL373" i="12"/>
  <c r="IM373" i="12"/>
  <c r="IN373" i="12"/>
  <c r="IO373" i="12"/>
  <c r="IP373" i="12"/>
  <c r="IQ373" i="12"/>
  <c r="IR373" i="12"/>
  <c r="IS373" i="12"/>
  <c r="IT373" i="12"/>
  <c r="IU373" i="12"/>
  <c r="IV373" i="12"/>
  <c r="F374" i="12"/>
  <c r="G374" i="12"/>
  <c r="H374" i="12"/>
  <c r="I374" i="12"/>
  <c r="J374" i="12"/>
  <c r="K374" i="12"/>
  <c r="L374" i="12"/>
  <c r="M374" i="12"/>
  <c r="N374" i="12"/>
  <c r="O374" i="12"/>
  <c r="P374" i="12"/>
  <c r="Q374" i="12"/>
  <c r="R374" i="12"/>
  <c r="S374" i="12"/>
  <c r="T374" i="12"/>
  <c r="U374" i="12"/>
  <c r="V374" i="12"/>
  <c r="W374" i="12"/>
  <c r="X374" i="12"/>
  <c r="Y374" i="12"/>
  <c r="Z374" i="12"/>
  <c r="AA374" i="12"/>
  <c r="AB374" i="12"/>
  <c r="AC374" i="12"/>
  <c r="AD374" i="12"/>
  <c r="AE374" i="12"/>
  <c r="AF374" i="12"/>
  <c r="AG374" i="12"/>
  <c r="AH374" i="12"/>
  <c r="AI374" i="12"/>
  <c r="AJ374" i="12"/>
  <c r="AK374" i="12"/>
  <c r="AL374" i="12"/>
  <c r="AM374" i="12"/>
  <c r="AN374" i="12"/>
  <c r="AO374" i="12"/>
  <c r="AP374" i="12"/>
  <c r="AQ374" i="12"/>
  <c r="AR374" i="12"/>
  <c r="AS374" i="12"/>
  <c r="AT374" i="12"/>
  <c r="AU374" i="12"/>
  <c r="AV374" i="12"/>
  <c r="AW374" i="12"/>
  <c r="AX374" i="12"/>
  <c r="AY374" i="12"/>
  <c r="AZ374" i="12"/>
  <c r="BA374" i="12"/>
  <c r="BB374" i="12"/>
  <c r="BC374" i="12"/>
  <c r="BD374" i="12"/>
  <c r="BE374" i="12"/>
  <c r="BF374" i="12"/>
  <c r="BG374" i="12"/>
  <c r="BH374" i="12"/>
  <c r="BI374" i="12"/>
  <c r="BJ374" i="12"/>
  <c r="BK374" i="12"/>
  <c r="BL374" i="12"/>
  <c r="BM374" i="12"/>
  <c r="BN374" i="12"/>
  <c r="BO374" i="12"/>
  <c r="BP374" i="12"/>
  <c r="BQ374" i="12"/>
  <c r="BR374" i="12"/>
  <c r="BS374" i="12"/>
  <c r="BT374" i="12"/>
  <c r="BU374" i="12"/>
  <c r="BV374" i="12"/>
  <c r="BW374" i="12"/>
  <c r="BX374" i="12"/>
  <c r="BY374" i="12"/>
  <c r="BZ374" i="12"/>
  <c r="CA374" i="12"/>
  <c r="CB374" i="12"/>
  <c r="CC374" i="12"/>
  <c r="CD374" i="12"/>
  <c r="CE374" i="12"/>
  <c r="CF374" i="12"/>
  <c r="CG374" i="12"/>
  <c r="CH374" i="12"/>
  <c r="CI374" i="12"/>
  <c r="CJ374" i="12"/>
  <c r="CK374" i="12"/>
  <c r="CL374" i="12"/>
  <c r="CM374" i="12"/>
  <c r="CN374" i="12"/>
  <c r="CO374" i="12"/>
  <c r="CP374" i="12"/>
  <c r="CQ374" i="12"/>
  <c r="CR374" i="12"/>
  <c r="CS374" i="12"/>
  <c r="CT374" i="12"/>
  <c r="CU374" i="12"/>
  <c r="CV374" i="12"/>
  <c r="CW374" i="12"/>
  <c r="CX374" i="12"/>
  <c r="CY374" i="12"/>
  <c r="CZ374" i="12"/>
  <c r="DA374" i="12"/>
  <c r="DB374" i="12"/>
  <c r="DC374" i="12"/>
  <c r="DD374" i="12"/>
  <c r="DE374" i="12"/>
  <c r="DF374" i="12"/>
  <c r="DG374" i="12"/>
  <c r="DH374" i="12"/>
  <c r="DI374" i="12"/>
  <c r="DJ374" i="12"/>
  <c r="DK374" i="12"/>
  <c r="DL374" i="12"/>
  <c r="DM374" i="12"/>
  <c r="DN374" i="12"/>
  <c r="DO374" i="12"/>
  <c r="DP374" i="12"/>
  <c r="DQ374" i="12"/>
  <c r="DR374" i="12"/>
  <c r="DS374" i="12"/>
  <c r="DT374" i="12"/>
  <c r="DU374" i="12"/>
  <c r="DV374" i="12"/>
  <c r="DW374" i="12"/>
  <c r="DX374" i="12"/>
  <c r="DY374" i="12"/>
  <c r="DZ374" i="12"/>
  <c r="EA374" i="12"/>
  <c r="EB374" i="12"/>
  <c r="EC374" i="12"/>
  <c r="ED374" i="12"/>
  <c r="EE374" i="12"/>
  <c r="EF374" i="12"/>
  <c r="EG374" i="12"/>
  <c r="EH374" i="12"/>
  <c r="EI374" i="12"/>
  <c r="EJ374" i="12"/>
  <c r="EK374" i="12"/>
  <c r="EL374" i="12"/>
  <c r="EM374" i="12"/>
  <c r="EN374" i="12"/>
  <c r="EO374" i="12"/>
  <c r="EP374" i="12"/>
  <c r="EQ374" i="12"/>
  <c r="ER374" i="12"/>
  <c r="ES374" i="12"/>
  <c r="ET374" i="12"/>
  <c r="EU374" i="12"/>
  <c r="EV374" i="12"/>
  <c r="EW374" i="12"/>
  <c r="EX374" i="12"/>
  <c r="EY374" i="12"/>
  <c r="EZ374" i="12"/>
  <c r="FA374" i="12"/>
  <c r="FB374" i="12"/>
  <c r="FC374" i="12"/>
  <c r="FD374" i="12"/>
  <c r="FE374" i="12"/>
  <c r="FF374" i="12"/>
  <c r="FG374" i="12"/>
  <c r="FH374" i="12"/>
  <c r="FI374" i="12"/>
  <c r="FJ374" i="12"/>
  <c r="FK374" i="12"/>
  <c r="FL374" i="12"/>
  <c r="FM374" i="12"/>
  <c r="FN374" i="12"/>
  <c r="FO374" i="12"/>
  <c r="FP374" i="12"/>
  <c r="FQ374" i="12"/>
  <c r="FR374" i="12"/>
  <c r="FS374" i="12"/>
  <c r="FT374" i="12"/>
  <c r="FU374" i="12"/>
  <c r="FV374" i="12"/>
  <c r="FW374" i="12"/>
  <c r="FX374" i="12"/>
  <c r="FY374" i="12"/>
  <c r="FZ374" i="12"/>
  <c r="GA374" i="12"/>
  <c r="GB374" i="12"/>
  <c r="GC374" i="12"/>
  <c r="GD374" i="12"/>
  <c r="GE374" i="12"/>
  <c r="GF374" i="12"/>
  <c r="GG374" i="12"/>
  <c r="GH374" i="12"/>
  <c r="GI374" i="12"/>
  <c r="GJ374" i="12"/>
  <c r="GK374" i="12"/>
  <c r="GL374" i="12"/>
  <c r="GM374" i="12"/>
  <c r="GN374" i="12"/>
  <c r="GO374" i="12"/>
  <c r="GP374" i="12"/>
  <c r="GQ374" i="12"/>
  <c r="GR374" i="12"/>
  <c r="GS374" i="12"/>
  <c r="GT374" i="12"/>
  <c r="GU374" i="12"/>
  <c r="GV374" i="12"/>
  <c r="GW374" i="12"/>
  <c r="GX374" i="12"/>
  <c r="GY374" i="12"/>
  <c r="GZ374" i="12"/>
  <c r="HA374" i="12"/>
  <c r="HB374" i="12"/>
  <c r="HC374" i="12"/>
  <c r="HD374" i="12"/>
  <c r="HE374" i="12"/>
  <c r="HF374" i="12"/>
  <c r="HG374" i="12"/>
  <c r="HH374" i="12"/>
  <c r="HI374" i="12"/>
  <c r="HJ374" i="12"/>
  <c r="HK374" i="12"/>
  <c r="HL374" i="12"/>
  <c r="HM374" i="12"/>
  <c r="HN374" i="12"/>
  <c r="HO374" i="12"/>
  <c r="HP374" i="12"/>
  <c r="HQ374" i="12"/>
  <c r="HR374" i="12"/>
  <c r="HS374" i="12"/>
  <c r="HT374" i="12"/>
  <c r="HU374" i="12"/>
  <c r="HV374" i="12"/>
  <c r="HW374" i="12"/>
  <c r="HX374" i="12"/>
  <c r="HY374" i="12"/>
  <c r="HZ374" i="12"/>
  <c r="IA374" i="12"/>
  <c r="IB374" i="12"/>
  <c r="IC374" i="12"/>
  <c r="ID374" i="12"/>
  <c r="IE374" i="12"/>
  <c r="IF374" i="12"/>
  <c r="IG374" i="12"/>
  <c r="IH374" i="12"/>
  <c r="II374" i="12"/>
  <c r="IJ374" i="12"/>
  <c r="IK374" i="12"/>
  <c r="IL374" i="12"/>
  <c r="IM374" i="12"/>
  <c r="IN374" i="12"/>
  <c r="IO374" i="12"/>
  <c r="IP374" i="12"/>
  <c r="IQ374" i="12"/>
  <c r="IR374" i="12"/>
  <c r="IS374" i="12"/>
  <c r="IT374" i="12"/>
  <c r="IU374" i="12"/>
  <c r="IV374" i="12"/>
  <c r="F375" i="12"/>
  <c r="G375" i="12"/>
  <c r="H375" i="12"/>
  <c r="I375" i="12"/>
  <c r="J375" i="12"/>
  <c r="K375" i="12"/>
  <c r="L375" i="12"/>
  <c r="M375" i="12"/>
  <c r="N375" i="12"/>
  <c r="O375" i="12"/>
  <c r="P375" i="12"/>
  <c r="Q375" i="12"/>
  <c r="R375" i="12"/>
  <c r="S375" i="12"/>
  <c r="T375" i="12"/>
  <c r="U375" i="12"/>
  <c r="V375" i="12"/>
  <c r="W375" i="12"/>
  <c r="X375" i="12"/>
  <c r="Y375" i="12"/>
  <c r="Z375" i="12"/>
  <c r="AA375" i="12"/>
  <c r="AB375" i="12"/>
  <c r="AC375" i="12"/>
  <c r="AD375" i="12"/>
  <c r="AE375" i="12"/>
  <c r="AF375" i="12"/>
  <c r="AG375" i="12"/>
  <c r="AH375" i="12"/>
  <c r="AI375" i="12"/>
  <c r="AJ375" i="12"/>
  <c r="AK375" i="12"/>
  <c r="AL375" i="12"/>
  <c r="AM375" i="12"/>
  <c r="AN375" i="12"/>
  <c r="AO375" i="12"/>
  <c r="AP375" i="12"/>
  <c r="AQ375" i="12"/>
  <c r="AR375" i="12"/>
  <c r="AS375" i="12"/>
  <c r="AT375" i="12"/>
  <c r="AU375" i="12"/>
  <c r="AV375" i="12"/>
  <c r="AW375" i="12"/>
  <c r="AX375" i="12"/>
  <c r="AY375" i="12"/>
  <c r="AZ375" i="12"/>
  <c r="BA375" i="12"/>
  <c r="BB375" i="12"/>
  <c r="BC375" i="12"/>
  <c r="BD375" i="12"/>
  <c r="BE375" i="12"/>
  <c r="BF375" i="12"/>
  <c r="BG375" i="12"/>
  <c r="BH375" i="12"/>
  <c r="BI375" i="12"/>
  <c r="BJ375" i="12"/>
  <c r="BK375" i="12"/>
  <c r="BL375" i="12"/>
  <c r="BM375" i="12"/>
  <c r="BN375" i="12"/>
  <c r="BO375" i="12"/>
  <c r="BP375" i="12"/>
  <c r="BQ375" i="12"/>
  <c r="BR375" i="12"/>
  <c r="BS375" i="12"/>
  <c r="BT375" i="12"/>
  <c r="BU375" i="12"/>
  <c r="BV375" i="12"/>
  <c r="BW375" i="12"/>
  <c r="BX375" i="12"/>
  <c r="BY375" i="12"/>
  <c r="BZ375" i="12"/>
  <c r="CA375" i="12"/>
  <c r="CB375" i="12"/>
  <c r="CC375" i="12"/>
  <c r="CD375" i="12"/>
  <c r="CE375" i="12"/>
  <c r="CF375" i="12"/>
  <c r="CG375" i="12"/>
  <c r="CH375" i="12"/>
  <c r="CI375" i="12"/>
  <c r="CJ375" i="12"/>
  <c r="CK375" i="12"/>
  <c r="CL375" i="12"/>
  <c r="CM375" i="12"/>
  <c r="CN375" i="12"/>
  <c r="CO375" i="12"/>
  <c r="CP375" i="12"/>
  <c r="CQ375" i="12"/>
  <c r="CR375" i="12"/>
  <c r="CS375" i="12"/>
  <c r="CT375" i="12"/>
  <c r="CU375" i="12"/>
  <c r="CV375" i="12"/>
  <c r="CW375" i="12"/>
  <c r="CX375" i="12"/>
  <c r="CY375" i="12"/>
  <c r="CZ375" i="12"/>
  <c r="DA375" i="12"/>
  <c r="DB375" i="12"/>
  <c r="DC375" i="12"/>
  <c r="DD375" i="12"/>
  <c r="DE375" i="12"/>
  <c r="DF375" i="12"/>
  <c r="DG375" i="12"/>
  <c r="DH375" i="12"/>
  <c r="DI375" i="12"/>
  <c r="DJ375" i="12"/>
  <c r="DK375" i="12"/>
  <c r="DL375" i="12"/>
  <c r="DM375" i="12"/>
  <c r="DN375" i="12"/>
  <c r="DO375" i="12"/>
  <c r="DP375" i="12"/>
  <c r="DQ375" i="12"/>
  <c r="DR375" i="12"/>
  <c r="DS375" i="12"/>
  <c r="DT375" i="12"/>
  <c r="DU375" i="12"/>
  <c r="DV375" i="12"/>
  <c r="DW375" i="12"/>
  <c r="DX375" i="12"/>
  <c r="DY375" i="12"/>
  <c r="DZ375" i="12"/>
  <c r="EA375" i="12"/>
  <c r="EB375" i="12"/>
  <c r="EC375" i="12"/>
  <c r="ED375" i="12"/>
  <c r="EE375" i="12"/>
  <c r="EF375" i="12"/>
  <c r="EG375" i="12"/>
  <c r="EH375" i="12"/>
  <c r="EI375" i="12"/>
  <c r="EJ375" i="12"/>
  <c r="EK375" i="12"/>
  <c r="EL375" i="12"/>
  <c r="EM375" i="12"/>
  <c r="EN375" i="12"/>
  <c r="EO375" i="12"/>
  <c r="EP375" i="12"/>
  <c r="EQ375" i="12"/>
  <c r="ER375" i="12"/>
  <c r="ES375" i="12"/>
  <c r="ET375" i="12"/>
  <c r="EU375" i="12"/>
  <c r="EV375" i="12"/>
  <c r="EW375" i="12"/>
  <c r="EX375" i="12"/>
  <c r="EY375" i="12"/>
  <c r="EZ375" i="12"/>
  <c r="FA375" i="12"/>
  <c r="FB375" i="12"/>
  <c r="FC375" i="12"/>
  <c r="FD375" i="12"/>
  <c r="FE375" i="12"/>
  <c r="FF375" i="12"/>
  <c r="FG375" i="12"/>
  <c r="FH375" i="12"/>
  <c r="FI375" i="12"/>
  <c r="FJ375" i="12"/>
  <c r="FK375" i="12"/>
  <c r="FL375" i="12"/>
  <c r="FM375" i="12"/>
  <c r="FN375" i="12"/>
  <c r="FO375" i="12"/>
  <c r="FP375" i="12"/>
  <c r="FQ375" i="12"/>
  <c r="FR375" i="12"/>
  <c r="FS375" i="12"/>
  <c r="FT375" i="12"/>
  <c r="FU375" i="12"/>
  <c r="FV375" i="12"/>
  <c r="FW375" i="12"/>
  <c r="FX375" i="12"/>
  <c r="FY375" i="12"/>
  <c r="FZ375" i="12"/>
  <c r="GA375" i="12"/>
  <c r="GB375" i="12"/>
  <c r="GC375" i="12"/>
  <c r="GD375" i="12"/>
  <c r="GE375" i="12"/>
  <c r="GF375" i="12"/>
  <c r="GG375" i="12"/>
  <c r="GH375" i="12"/>
  <c r="GI375" i="12"/>
  <c r="GJ375" i="12"/>
  <c r="GK375" i="12"/>
  <c r="GL375" i="12"/>
  <c r="GM375" i="12"/>
  <c r="GN375" i="12"/>
  <c r="GO375" i="12"/>
  <c r="GP375" i="12"/>
  <c r="GQ375" i="12"/>
  <c r="GR375" i="12"/>
  <c r="GS375" i="12"/>
  <c r="GT375" i="12"/>
  <c r="GU375" i="12"/>
  <c r="GV375" i="12"/>
  <c r="GW375" i="12"/>
  <c r="GX375" i="12"/>
  <c r="GY375" i="12"/>
  <c r="GZ375" i="12"/>
  <c r="HA375" i="12"/>
  <c r="HB375" i="12"/>
  <c r="HC375" i="12"/>
  <c r="HD375" i="12"/>
  <c r="HE375" i="12"/>
  <c r="HF375" i="12"/>
  <c r="HG375" i="12"/>
  <c r="HH375" i="12"/>
  <c r="HI375" i="12"/>
  <c r="HJ375" i="12"/>
  <c r="HK375" i="12"/>
  <c r="HL375" i="12"/>
  <c r="HM375" i="12"/>
  <c r="HN375" i="12"/>
  <c r="HO375" i="12"/>
  <c r="HP375" i="12"/>
  <c r="HQ375" i="12"/>
  <c r="HR375" i="12"/>
  <c r="HS375" i="12"/>
  <c r="HT375" i="12"/>
  <c r="HU375" i="12"/>
  <c r="HV375" i="12"/>
  <c r="HW375" i="12"/>
  <c r="HX375" i="12"/>
  <c r="HY375" i="12"/>
  <c r="HZ375" i="12"/>
  <c r="IA375" i="12"/>
  <c r="IB375" i="12"/>
  <c r="IC375" i="12"/>
  <c r="ID375" i="12"/>
  <c r="IE375" i="12"/>
  <c r="IF375" i="12"/>
  <c r="IG375" i="12"/>
  <c r="IH375" i="12"/>
  <c r="II375" i="12"/>
  <c r="IJ375" i="12"/>
  <c r="IK375" i="12"/>
  <c r="IL375" i="12"/>
  <c r="IM375" i="12"/>
  <c r="IN375" i="12"/>
  <c r="IO375" i="12"/>
  <c r="IP375" i="12"/>
  <c r="IQ375" i="12"/>
  <c r="IR375" i="12"/>
  <c r="IS375" i="12"/>
  <c r="IT375" i="12"/>
  <c r="IU375" i="12"/>
  <c r="IV375" i="12"/>
  <c r="F376" i="12"/>
  <c r="G376" i="12"/>
  <c r="H376" i="12"/>
  <c r="I376" i="12"/>
  <c r="J376" i="12"/>
  <c r="K376" i="12"/>
  <c r="L376" i="12"/>
  <c r="M376" i="12"/>
  <c r="N376" i="12"/>
  <c r="O376" i="12"/>
  <c r="P376" i="12"/>
  <c r="Q376" i="12"/>
  <c r="R376" i="12"/>
  <c r="S376" i="12"/>
  <c r="T376" i="12"/>
  <c r="U376" i="12"/>
  <c r="V376" i="12"/>
  <c r="W376" i="12"/>
  <c r="X376" i="12"/>
  <c r="Y376" i="12"/>
  <c r="Z376" i="12"/>
  <c r="AA376" i="12"/>
  <c r="AB376" i="12"/>
  <c r="AC376" i="12"/>
  <c r="AD376" i="12"/>
  <c r="AE376" i="12"/>
  <c r="AF376" i="12"/>
  <c r="AG376" i="12"/>
  <c r="AH376" i="12"/>
  <c r="AI376" i="12"/>
  <c r="AJ376" i="12"/>
  <c r="AK376" i="12"/>
  <c r="AL376" i="12"/>
  <c r="AM376" i="12"/>
  <c r="AN376" i="12"/>
  <c r="AO376" i="12"/>
  <c r="AP376" i="12"/>
  <c r="AQ376" i="12"/>
  <c r="AR376" i="12"/>
  <c r="AS376" i="12"/>
  <c r="AT376" i="12"/>
  <c r="AU376" i="12"/>
  <c r="AV376" i="12"/>
  <c r="AW376" i="12"/>
  <c r="AX376" i="12"/>
  <c r="AY376" i="12"/>
  <c r="AZ376" i="12"/>
  <c r="BA376" i="12"/>
  <c r="BB376" i="12"/>
  <c r="BC376" i="12"/>
  <c r="BD376" i="12"/>
  <c r="BE376" i="12"/>
  <c r="BF376" i="12"/>
  <c r="BG376" i="12"/>
  <c r="BH376" i="12"/>
  <c r="BI376" i="12"/>
  <c r="BJ376" i="12"/>
  <c r="BK376" i="12"/>
  <c r="BL376" i="12"/>
  <c r="BM376" i="12"/>
  <c r="BN376" i="12"/>
  <c r="BO376" i="12"/>
  <c r="BP376" i="12"/>
  <c r="BQ376" i="12"/>
  <c r="BR376" i="12"/>
  <c r="BS376" i="12"/>
  <c r="BT376" i="12"/>
  <c r="BU376" i="12"/>
  <c r="BV376" i="12"/>
  <c r="BW376" i="12"/>
  <c r="BX376" i="12"/>
  <c r="BY376" i="12"/>
  <c r="BZ376" i="12"/>
  <c r="CA376" i="12"/>
  <c r="CB376" i="12"/>
  <c r="CC376" i="12"/>
  <c r="CD376" i="12"/>
  <c r="CE376" i="12"/>
  <c r="CF376" i="12"/>
  <c r="CG376" i="12"/>
  <c r="CH376" i="12"/>
  <c r="CI376" i="12"/>
  <c r="CJ376" i="12"/>
  <c r="CK376" i="12"/>
  <c r="CL376" i="12"/>
  <c r="CM376" i="12"/>
  <c r="CN376" i="12"/>
  <c r="CO376" i="12"/>
  <c r="CP376" i="12"/>
  <c r="CQ376" i="12"/>
  <c r="CR376" i="12"/>
  <c r="CS376" i="12"/>
  <c r="CT376" i="12"/>
  <c r="CU376" i="12"/>
  <c r="CV376" i="12"/>
  <c r="CW376" i="12"/>
  <c r="CX376" i="12"/>
  <c r="CY376" i="12"/>
  <c r="CZ376" i="12"/>
  <c r="DA376" i="12"/>
  <c r="DB376" i="12"/>
  <c r="DC376" i="12"/>
  <c r="DD376" i="12"/>
  <c r="DE376" i="12"/>
  <c r="DF376" i="12"/>
  <c r="DG376" i="12"/>
  <c r="DH376" i="12"/>
  <c r="DI376" i="12"/>
  <c r="DJ376" i="12"/>
  <c r="DK376" i="12"/>
  <c r="DL376" i="12"/>
  <c r="DM376" i="12"/>
  <c r="DN376" i="12"/>
  <c r="DO376" i="12"/>
  <c r="DP376" i="12"/>
  <c r="DQ376" i="12"/>
  <c r="DR376" i="12"/>
  <c r="DS376" i="12"/>
  <c r="DT376" i="12"/>
  <c r="DU376" i="12"/>
  <c r="DV376" i="12"/>
  <c r="DW376" i="12"/>
  <c r="DX376" i="12"/>
  <c r="DY376" i="12"/>
  <c r="DZ376" i="12"/>
  <c r="EA376" i="12"/>
  <c r="EB376" i="12"/>
  <c r="EC376" i="12"/>
  <c r="ED376" i="12"/>
  <c r="EE376" i="12"/>
  <c r="EF376" i="12"/>
  <c r="EG376" i="12"/>
  <c r="EH376" i="12"/>
  <c r="EI376" i="12"/>
  <c r="EJ376" i="12"/>
  <c r="EK376" i="12"/>
  <c r="EL376" i="12"/>
  <c r="EM376" i="12"/>
  <c r="EN376" i="12"/>
  <c r="EO376" i="12"/>
  <c r="EP376" i="12"/>
  <c r="EQ376" i="12"/>
  <c r="ER376" i="12"/>
  <c r="ES376" i="12"/>
  <c r="ET376" i="12"/>
  <c r="EU376" i="12"/>
  <c r="EV376" i="12"/>
  <c r="EW376" i="12"/>
  <c r="EX376" i="12"/>
  <c r="EY376" i="12"/>
  <c r="EZ376" i="12"/>
  <c r="FA376" i="12"/>
  <c r="FB376" i="12"/>
  <c r="FC376" i="12"/>
  <c r="FD376" i="12"/>
  <c r="FE376" i="12"/>
  <c r="FF376" i="12"/>
  <c r="FG376" i="12"/>
  <c r="FH376" i="12"/>
  <c r="FI376" i="12"/>
  <c r="FJ376" i="12"/>
  <c r="FK376" i="12"/>
  <c r="FL376" i="12"/>
  <c r="FM376" i="12"/>
  <c r="FN376" i="12"/>
  <c r="FO376" i="12"/>
  <c r="FP376" i="12"/>
  <c r="FQ376" i="12"/>
  <c r="FR376" i="12"/>
  <c r="FS376" i="12"/>
  <c r="FT376" i="12"/>
  <c r="FU376" i="12"/>
  <c r="FV376" i="12"/>
  <c r="FW376" i="12"/>
  <c r="FX376" i="12"/>
  <c r="FY376" i="12"/>
  <c r="FZ376" i="12"/>
  <c r="GA376" i="12"/>
  <c r="GB376" i="12"/>
  <c r="GC376" i="12"/>
  <c r="GD376" i="12"/>
  <c r="GE376" i="12"/>
  <c r="GF376" i="12"/>
  <c r="GG376" i="12"/>
  <c r="GH376" i="12"/>
  <c r="GI376" i="12"/>
  <c r="GJ376" i="12"/>
  <c r="GK376" i="12"/>
  <c r="GL376" i="12"/>
  <c r="GM376" i="12"/>
  <c r="GN376" i="12"/>
  <c r="GO376" i="12"/>
  <c r="GP376" i="12"/>
  <c r="GQ376" i="12"/>
  <c r="GR376" i="12"/>
  <c r="GS376" i="12"/>
  <c r="GT376" i="12"/>
  <c r="GU376" i="12"/>
  <c r="GV376" i="12"/>
  <c r="GW376" i="12"/>
  <c r="GX376" i="12"/>
  <c r="GY376" i="12"/>
  <c r="GZ376" i="12"/>
  <c r="HA376" i="12"/>
  <c r="HB376" i="12"/>
  <c r="HC376" i="12"/>
  <c r="HD376" i="12"/>
  <c r="HE376" i="12"/>
  <c r="HF376" i="12"/>
  <c r="HG376" i="12"/>
  <c r="HH376" i="12"/>
  <c r="HI376" i="12"/>
  <c r="HJ376" i="12"/>
  <c r="HK376" i="12"/>
  <c r="HL376" i="12"/>
  <c r="HM376" i="12"/>
  <c r="HN376" i="12"/>
  <c r="HO376" i="12"/>
  <c r="HP376" i="12"/>
  <c r="HQ376" i="12"/>
  <c r="HR376" i="12"/>
  <c r="HS376" i="12"/>
  <c r="HT376" i="12"/>
  <c r="HU376" i="12"/>
  <c r="HV376" i="12"/>
  <c r="HW376" i="12"/>
  <c r="HX376" i="12"/>
  <c r="HY376" i="12"/>
  <c r="HZ376" i="12"/>
  <c r="IA376" i="12"/>
  <c r="IB376" i="12"/>
  <c r="IC376" i="12"/>
  <c r="ID376" i="12"/>
  <c r="IE376" i="12"/>
  <c r="IF376" i="12"/>
  <c r="IG376" i="12"/>
  <c r="IH376" i="12"/>
  <c r="II376" i="12"/>
  <c r="IJ376" i="12"/>
  <c r="IK376" i="12"/>
  <c r="IL376" i="12"/>
  <c r="IM376" i="12"/>
  <c r="IN376" i="12"/>
  <c r="IO376" i="12"/>
  <c r="IP376" i="12"/>
  <c r="IQ376" i="12"/>
  <c r="IR376" i="12"/>
  <c r="IS376" i="12"/>
  <c r="IT376" i="12"/>
  <c r="IU376" i="12"/>
  <c r="IV376" i="12"/>
  <c r="F377" i="12"/>
  <c r="G377" i="12"/>
  <c r="H377" i="12"/>
  <c r="I377" i="12"/>
  <c r="J377" i="12"/>
  <c r="K377" i="12"/>
  <c r="L377" i="12"/>
  <c r="M377" i="12"/>
  <c r="N377" i="12"/>
  <c r="O377" i="12"/>
  <c r="P377" i="12"/>
  <c r="Q377" i="12"/>
  <c r="R377" i="12"/>
  <c r="S377" i="12"/>
  <c r="T377" i="12"/>
  <c r="U377" i="12"/>
  <c r="V377" i="12"/>
  <c r="W377" i="12"/>
  <c r="X377" i="12"/>
  <c r="Y377" i="12"/>
  <c r="Z377" i="12"/>
  <c r="AA377" i="12"/>
  <c r="AB377" i="12"/>
  <c r="AC377" i="12"/>
  <c r="AD377" i="12"/>
  <c r="AE377" i="12"/>
  <c r="AF377" i="12"/>
  <c r="AG377" i="12"/>
  <c r="AH377" i="12"/>
  <c r="AI377" i="12"/>
  <c r="AJ377" i="12"/>
  <c r="AK377" i="12"/>
  <c r="AL377" i="12"/>
  <c r="AM377" i="12"/>
  <c r="AN377" i="12"/>
  <c r="AO377" i="12"/>
  <c r="AP377" i="12"/>
  <c r="AQ377" i="12"/>
  <c r="AR377" i="12"/>
  <c r="AS377" i="12"/>
  <c r="AT377" i="12"/>
  <c r="AU377" i="12"/>
  <c r="AV377" i="12"/>
  <c r="AW377" i="12"/>
  <c r="AX377" i="12"/>
  <c r="AY377" i="12"/>
  <c r="AZ377" i="12"/>
  <c r="BA377" i="12"/>
  <c r="BB377" i="12"/>
  <c r="BC377" i="12"/>
  <c r="BD377" i="12"/>
  <c r="BE377" i="12"/>
  <c r="BF377" i="12"/>
  <c r="BG377" i="12"/>
  <c r="BH377" i="12"/>
  <c r="BI377" i="12"/>
  <c r="BJ377" i="12"/>
  <c r="BK377" i="12"/>
  <c r="BL377" i="12"/>
  <c r="BM377" i="12"/>
  <c r="BN377" i="12"/>
  <c r="BO377" i="12"/>
  <c r="BP377" i="12"/>
  <c r="BQ377" i="12"/>
  <c r="BR377" i="12"/>
  <c r="BS377" i="12"/>
  <c r="BT377" i="12"/>
  <c r="BU377" i="12"/>
  <c r="BV377" i="12"/>
  <c r="BW377" i="12"/>
  <c r="BX377" i="12"/>
  <c r="BY377" i="12"/>
  <c r="BZ377" i="12"/>
  <c r="CA377" i="12"/>
  <c r="CB377" i="12"/>
  <c r="CC377" i="12"/>
  <c r="CD377" i="12"/>
  <c r="CE377" i="12"/>
  <c r="CF377" i="12"/>
  <c r="CG377" i="12"/>
  <c r="CH377" i="12"/>
  <c r="CI377" i="12"/>
  <c r="CJ377" i="12"/>
  <c r="CK377" i="12"/>
  <c r="CL377" i="12"/>
  <c r="CM377" i="12"/>
  <c r="CN377" i="12"/>
  <c r="CO377" i="12"/>
  <c r="CP377" i="12"/>
  <c r="CQ377" i="12"/>
  <c r="CR377" i="12"/>
  <c r="CS377" i="12"/>
  <c r="CT377" i="12"/>
  <c r="CU377" i="12"/>
  <c r="CV377" i="12"/>
  <c r="CW377" i="12"/>
  <c r="CX377" i="12"/>
  <c r="CY377" i="12"/>
  <c r="CZ377" i="12"/>
  <c r="DA377" i="12"/>
  <c r="DB377" i="12"/>
  <c r="DC377" i="12"/>
  <c r="DD377" i="12"/>
  <c r="DE377" i="12"/>
  <c r="DF377" i="12"/>
  <c r="DG377" i="12"/>
  <c r="DH377" i="12"/>
  <c r="DI377" i="12"/>
  <c r="DJ377" i="12"/>
  <c r="DK377" i="12"/>
  <c r="DL377" i="12"/>
  <c r="DM377" i="12"/>
  <c r="DN377" i="12"/>
  <c r="DO377" i="12"/>
  <c r="DP377" i="12"/>
  <c r="DQ377" i="12"/>
  <c r="DR377" i="12"/>
  <c r="DS377" i="12"/>
  <c r="DT377" i="12"/>
  <c r="DU377" i="12"/>
  <c r="DV377" i="12"/>
  <c r="DW377" i="12"/>
  <c r="DX377" i="12"/>
  <c r="DY377" i="12"/>
  <c r="DZ377" i="12"/>
  <c r="EA377" i="12"/>
  <c r="EB377" i="12"/>
  <c r="EC377" i="12"/>
  <c r="ED377" i="12"/>
  <c r="EE377" i="12"/>
  <c r="EF377" i="12"/>
  <c r="EG377" i="12"/>
  <c r="EH377" i="12"/>
  <c r="EI377" i="12"/>
  <c r="EJ377" i="12"/>
  <c r="EK377" i="12"/>
  <c r="EL377" i="12"/>
  <c r="EM377" i="12"/>
  <c r="EN377" i="12"/>
  <c r="EO377" i="12"/>
  <c r="EP377" i="12"/>
  <c r="EQ377" i="12"/>
  <c r="ER377" i="12"/>
  <c r="ES377" i="12"/>
  <c r="ET377" i="12"/>
  <c r="EU377" i="12"/>
  <c r="EV377" i="12"/>
  <c r="EW377" i="12"/>
  <c r="EX377" i="12"/>
  <c r="EY377" i="12"/>
  <c r="EZ377" i="12"/>
  <c r="FA377" i="12"/>
  <c r="FB377" i="12"/>
  <c r="FC377" i="12"/>
  <c r="FD377" i="12"/>
  <c r="FE377" i="12"/>
  <c r="FF377" i="12"/>
  <c r="FG377" i="12"/>
  <c r="FH377" i="12"/>
  <c r="FI377" i="12"/>
  <c r="FJ377" i="12"/>
  <c r="FK377" i="12"/>
  <c r="FL377" i="12"/>
  <c r="FM377" i="12"/>
  <c r="FN377" i="12"/>
  <c r="FO377" i="12"/>
  <c r="FP377" i="12"/>
  <c r="FQ377" i="12"/>
  <c r="FR377" i="12"/>
  <c r="FS377" i="12"/>
  <c r="FT377" i="12"/>
  <c r="FU377" i="12"/>
  <c r="FV377" i="12"/>
  <c r="FW377" i="12"/>
  <c r="FX377" i="12"/>
  <c r="FY377" i="12"/>
  <c r="FZ377" i="12"/>
  <c r="GA377" i="12"/>
  <c r="GB377" i="12"/>
  <c r="GC377" i="12"/>
  <c r="GD377" i="12"/>
  <c r="GE377" i="12"/>
  <c r="GF377" i="12"/>
  <c r="GG377" i="12"/>
  <c r="GH377" i="12"/>
  <c r="GI377" i="12"/>
  <c r="GJ377" i="12"/>
  <c r="GK377" i="12"/>
  <c r="GL377" i="12"/>
  <c r="GM377" i="12"/>
  <c r="GN377" i="12"/>
  <c r="GO377" i="12"/>
  <c r="GP377" i="12"/>
  <c r="GQ377" i="12"/>
  <c r="GR377" i="12"/>
  <c r="GS377" i="12"/>
  <c r="GT377" i="12"/>
  <c r="GU377" i="12"/>
  <c r="GV377" i="12"/>
  <c r="GW377" i="12"/>
  <c r="GX377" i="12"/>
  <c r="GY377" i="12"/>
  <c r="GZ377" i="12"/>
  <c r="HA377" i="12"/>
  <c r="HB377" i="12"/>
  <c r="HC377" i="12"/>
  <c r="HD377" i="12"/>
  <c r="HE377" i="12"/>
  <c r="HF377" i="12"/>
  <c r="HG377" i="12"/>
  <c r="HH377" i="12"/>
  <c r="HI377" i="12"/>
  <c r="HJ377" i="12"/>
  <c r="HK377" i="12"/>
  <c r="HL377" i="12"/>
  <c r="HM377" i="12"/>
  <c r="HN377" i="12"/>
  <c r="HO377" i="12"/>
  <c r="HP377" i="12"/>
  <c r="HQ377" i="12"/>
  <c r="HR377" i="12"/>
  <c r="HS377" i="12"/>
  <c r="HT377" i="12"/>
  <c r="HU377" i="12"/>
  <c r="HV377" i="12"/>
  <c r="HW377" i="12"/>
  <c r="HX377" i="12"/>
  <c r="HY377" i="12"/>
  <c r="HZ377" i="12"/>
  <c r="IA377" i="12"/>
  <c r="IB377" i="12"/>
  <c r="IC377" i="12"/>
  <c r="ID377" i="12"/>
  <c r="IE377" i="12"/>
  <c r="IF377" i="12"/>
  <c r="IG377" i="12"/>
  <c r="IH377" i="12"/>
  <c r="II377" i="12"/>
  <c r="IJ377" i="12"/>
  <c r="IK377" i="12"/>
  <c r="IL377" i="12"/>
  <c r="IM377" i="12"/>
  <c r="IN377" i="12"/>
  <c r="IO377" i="12"/>
  <c r="IP377" i="12"/>
  <c r="IQ377" i="12"/>
  <c r="IR377" i="12"/>
  <c r="IS377" i="12"/>
  <c r="IT377" i="12"/>
  <c r="IU377" i="12"/>
  <c r="IV377" i="12"/>
  <c r="F378" i="12"/>
  <c r="G378" i="12"/>
  <c r="H378" i="12"/>
  <c r="I378" i="12"/>
  <c r="J378" i="12"/>
  <c r="K378" i="12"/>
  <c r="L378" i="12"/>
  <c r="M378" i="12"/>
  <c r="N378" i="12"/>
  <c r="O378" i="12"/>
  <c r="P378" i="12"/>
  <c r="Q378" i="12"/>
  <c r="R378" i="12"/>
  <c r="S378" i="12"/>
  <c r="T378" i="12"/>
  <c r="U378" i="12"/>
  <c r="V378" i="12"/>
  <c r="W378" i="12"/>
  <c r="X378" i="12"/>
  <c r="Y378" i="12"/>
  <c r="Z378" i="12"/>
  <c r="AA378" i="12"/>
  <c r="AB378" i="12"/>
  <c r="AC378" i="12"/>
  <c r="AD378" i="12"/>
  <c r="AE378" i="12"/>
  <c r="AF378" i="12"/>
  <c r="AG378" i="12"/>
  <c r="AH378" i="12"/>
  <c r="AI378" i="12"/>
  <c r="AJ378" i="12"/>
  <c r="AK378" i="12"/>
  <c r="AL378" i="12"/>
  <c r="AM378" i="12"/>
  <c r="AN378" i="12"/>
  <c r="AO378" i="12"/>
  <c r="AP378" i="12"/>
  <c r="AQ378" i="12"/>
  <c r="AR378" i="12"/>
  <c r="AS378" i="12"/>
  <c r="AT378" i="12"/>
  <c r="AU378" i="12"/>
  <c r="AV378" i="12"/>
  <c r="AW378" i="12"/>
  <c r="AX378" i="12"/>
  <c r="AY378" i="12"/>
  <c r="AZ378" i="12"/>
  <c r="BA378" i="12"/>
  <c r="BB378" i="12"/>
  <c r="BC378" i="12"/>
  <c r="BD378" i="12"/>
  <c r="BE378" i="12"/>
  <c r="BF378" i="12"/>
  <c r="BG378" i="12"/>
  <c r="BH378" i="12"/>
  <c r="BI378" i="12"/>
  <c r="BJ378" i="12"/>
  <c r="BK378" i="12"/>
  <c r="BL378" i="12"/>
  <c r="BM378" i="12"/>
  <c r="BN378" i="12"/>
  <c r="BO378" i="12"/>
  <c r="BP378" i="12"/>
  <c r="BQ378" i="12"/>
  <c r="BR378" i="12"/>
  <c r="BS378" i="12"/>
  <c r="BT378" i="12"/>
  <c r="BU378" i="12"/>
  <c r="BV378" i="12"/>
  <c r="BW378" i="12"/>
  <c r="BX378" i="12"/>
  <c r="BY378" i="12"/>
  <c r="BZ378" i="12"/>
  <c r="CA378" i="12"/>
  <c r="CB378" i="12"/>
  <c r="CC378" i="12"/>
  <c r="CD378" i="12"/>
  <c r="CE378" i="12"/>
  <c r="CF378" i="12"/>
  <c r="CG378" i="12"/>
  <c r="CH378" i="12"/>
  <c r="CI378" i="12"/>
  <c r="CJ378" i="12"/>
  <c r="CK378" i="12"/>
  <c r="CL378" i="12"/>
  <c r="CM378" i="12"/>
  <c r="CN378" i="12"/>
  <c r="CO378" i="12"/>
  <c r="CP378" i="12"/>
  <c r="CQ378" i="12"/>
  <c r="CR378" i="12"/>
  <c r="CS378" i="12"/>
  <c r="CT378" i="12"/>
  <c r="CU378" i="12"/>
  <c r="CV378" i="12"/>
  <c r="CW378" i="12"/>
  <c r="CX378" i="12"/>
  <c r="CY378" i="12"/>
  <c r="CZ378" i="12"/>
  <c r="DA378" i="12"/>
  <c r="DB378" i="12"/>
  <c r="DC378" i="12"/>
  <c r="DD378" i="12"/>
  <c r="DE378" i="12"/>
  <c r="DF378" i="12"/>
  <c r="DG378" i="12"/>
  <c r="DH378" i="12"/>
  <c r="DI378" i="12"/>
  <c r="DJ378" i="12"/>
  <c r="DK378" i="12"/>
  <c r="DL378" i="12"/>
  <c r="DM378" i="12"/>
  <c r="DN378" i="12"/>
  <c r="DO378" i="12"/>
  <c r="DP378" i="12"/>
  <c r="DQ378" i="12"/>
  <c r="DR378" i="12"/>
  <c r="DS378" i="12"/>
  <c r="DT378" i="12"/>
  <c r="DU378" i="12"/>
  <c r="DV378" i="12"/>
  <c r="DW378" i="12"/>
  <c r="DX378" i="12"/>
  <c r="DY378" i="12"/>
  <c r="DZ378" i="12"/>
  <c r="EA378" i="12"/>
  <c r="EB378" i="12"/>
  <c r="EC378" i="12"/>
  <c r="ED378" i="12"/>
  <c r="EE378" i="12"/>
  <c r="EF378" i="12"/>
  <c r="EG378" i="12"/>
  <c r="EH378" i="12"/>
  <c r="EI378" i="12"/>
  <c r="EJ378" i="12"/>
  <c r="EK378" i="12"/>
  <c r="EL378" i="12"/>
  <c r="EM378" i="12"/>
  <c r="EN378" i="12"/>
  <c r="EO378" i="12"/>
  <c r="EP378" i="12"/>
  <c r="EQ378" i="12"/>
  <c r="ER378" i="12"/>
  <c r="ES378" i="12"/>
  <c r="ET378" i="12"/>
  <c r="EU378" i="12"/>
  <c r="EV378" i="12"/>
  <c r="EW378" i="12"/>
  <c r="EX378" i="12"/>
  <c r="EY378" i="12"/>
  <c r="EZ378" i="12"/>
  <c r="FA378" i="12"/>
  <c r="FB378" i="12"/>
  <c r="FC378" i="12"/>
  <c r="FD378" i="12"/>
  <c r="FE378" i="12"/>
  <c r="FF378" i="12"/>
  <c r="FG378" i="12"/>
  <c r="FH378" i="12"/>
  <c r="FI378" i="12"/>
  <c r="FJ378" i="12"/>
  <c r="FK378" i="12"/>
  <c r="FL378" i="12"/>
  <c r="FM378" i="12"/>
  <c r="FN378" i="12"/>
  <c r="FO378" i="12"/>
  <c r="FP378" i="12"/>
  <c r="FQ378" i="12"/>
  <c r="FR378" i="12"/>
  <c r="FS378" i="12"/>
  <c r="FT378" i="12"/>
  <c r="FU378" i="12"/>
  <c r="FV378" i="12"/>
  <c r="FW378" i="12"/>
  <c r="FX378" i="12"/>
  <c r="FY378" i="12"/>
  <c r="FZ378" i="12"/>
  <c r="GA378" i="12"/>
  <c r="GB378" i="12"/>
  <c r="GC378" i="12"/>
  <c r="GD378" i="12"/>
  <c r="GE378" i="12"/>
  <c r="GF378" i="12"/>
  <c r="GG378" i="12"/>
  <c r="GH378" i="12"/>
  <c r="GI378" i="12"/>
  <c r="GJ378" i="12"/>
  <c r="GK378" i="12"/>
  <c r="GL378" i="12"/>
  <c r="GM378" i="12"/>
  <c r="GN378" i="12"/>
  <c r="GO378" i="12"/>
  <c r="GP378" i="12"/>
  <c r="GQ378" i="12"/>
  <c r="GR378" i="12"/>
  <c r="GS378" i="12"/>
  <c r="GT378" i="12"/>
  <c r="GU378" i="12"/>
  <c r="GV378" i="12"/>
  <c r="GW378" i="12"/>
  <c r="GX378" i="12"/>
  <c r="GY378" i="12"/>
  <c r="GZ378" i="12"/>
  <c r="HA378" i="12"/>
  <c r="HB378" i="12"/>
  <c r="HC378" i="12"/>
  <c r="HD378" i="12"/>
  <c r="HE378" i="12"/>
  <c r="HF378" i="12"/>
  <c r="HG378" i="12"/>
  <c r="HH378" i="12"/>
  <c r="HI378" i="12"/>
  <c r="HJ378" i="12"/>
  <c r="HK378" i="12"/>
  <c r="HL378" i="12"/>
  <c r="HM378" i="12"/>
  <c r="HN378" i="12"/>
  <c r="HO378" i="12"/>
  <c r="HP378" i="12"/>
  <c r="HQ378" i="12"/>
  <c r="HR378" i="12"/>
  <c r="HS378" i="12"/>
  <c r="HT378" i="12"/>
  <c r="HU378" i="12"/>
  <c r="HV378" i="12"/>
  <c r="HW378" i="12"/>
  <c r="HX378" i="12"/>
  <c r="HY378" i="12"/>
  <c r="HZ378" i="12"/>
  <c r="IA378" i="12"/>
  <c r="IB378" i="12"/>
  <c r="IC378" i="12"/>
  <c r="ID378" i="12"/>
  <c r="IE378" i="12"/>
  <c r="IF378" i="12"/>
  <c r="IG378" i="12"/>
  <c r="IH378" i="12"/>
  <c r="II378" i="12"/>
  <c r="IJ378" i="12"/>
  <c r="IK378" i="12"/>
  <c r="IL378" i="12"/>
  <c r="IM378" i="12"/>
  <c r="IN378" i="12"/>
  <c r="IO378" i="12"/>
  <c r="IP378" i="12"/>
  <c r="IQ378" i="12"/>
  <c r="IR378" i="12"/>
  <c r="IS378" i="12"/>
  <c r="IT378" i="12"/>
  <c r="IU378" i="12"/>
  <c r="IV378" i="12"/>
  <c r="F379" i="12"/>
  <c r="G379" i="12"/>
  <c r="H379" i="12"/>
  <c r="I379" i="12"/>
  <c r="J379" i="12"/>
  <c r="K379" i="12"/>
  <c r="L379" i="12"/>
  <c r="M379" i="12"/>
  <c r="N379" i="12"/>
  <c r="O379" i="12"/>
  <c r="P379" i="12"/>
  <c r="Q379" i="12"/>
  <c r="R379" i="12"/>
  <c r="S379" i="12"/>
  <c r="T379" i="12"/>
  <c r="U379" i="12"/>
  <c r="V379" i="12"/>
  <c r="W379" i="12"/>
  <c r="X379" i="12"/>
  <c r="Y379" i="12"/>
  <c r="Z379" i="12"/>
  <c r="AA379" i="12"/>
  <c r="AB379" i="12"/>
  <c r="AC379" i="12"/>
  <c r="AD379" i="12"/>
  <c r="AE379" i="12"/>
  <c r="AF379" i="12"/>
  <c r="AG379" i="12"/>
  <c r="AH379" i="12"/>
  <c r="AI379" i="12"/>
  <c r="AJ379" i="12"/>
  <c r="AK379" i="12"/>
  <c r="AL379" i="12"/>
  <c r="AM379" i="12"/>
  <c r="AN379" i="12"/>
  <c r="AO379" i="12"/>
  <c r="AP379" i="12"/>
  <c r="AQ379" i="12"/>
  <c r="AR379" i="12"/>
  <c r="AS379" i="12"/>
  <c r="AT379" i="12"/>
  <c r="AU379" i="12"/>
  <c r="AV379" i="12"/>
  <c r="AW379" i="12"/>
  <c r="AX379" i="12"/>
  <c r="AY379" i="12"/>
  <c r="AZ379" i="12"/>
  <c r="BA379" i="12"/>
  <c r="BB379" i="12"/>
  <c r="BC379" i="12"/>
  <c r="BD379" i="12"/>
  <c r="BE379" i="12"/>
  <c r="BF379" i="12"/>
  <c r="BG379" i="12"/>
  <c r="BH379" i="12"/>
  <c r="BI379" i="12"/>
  <c r="BJ379" i="12"/>
  <c r="BK379" i="12"/>
  <c r="BL379" i="12"/>
  <c r="BM379" i="12"/>
  <c r="BN379" i="12"/>
  <c r="BO379" i="12"/>
  <c r="BP379" i="12"/>
  <c r="BQ379" i="12"/>
  <c r="BR379" i="12"/>
  <c r="BS379" i="12"/>
  <c r="BT379" i="12"/>
  <c r="BU379" i="12"/>
  <c r="BV379" i="12"/>
  <c r="BW379" i="12"/>
  <c r="BX379" i="12"/>
  <c r="BY379" i="12"/>
  <c r="BZ379" i="12"/>
  <c r="CA379" i="12"/>
  <c r="CB379" i="12"/>
  <c r="CC379" i="12"/>
  <c r="CD379" i="12"/>
  <c r="CE379" i="12"/>
  <c r="CF379" i="12"/>
  <c r="CG379" i="12"/>
  <c r="CH379" i="12"/>
  <c r="CI379" i="12"/>
  <c r="CJ379" i="12"/>
  <c r="CK379" i="12"/>
  <c r="CL379" i="12"/>
  <c r="CM379" i="12"/>
  <c r="CN379" i="12"/>
  <c r="CO379" i="12"/>
  <c r="CP379" i="12"/>
  <c r="CQ379" i="12"/>
  <c r="CR379" i="12"/>
  <c r="CS379" i="12"/>
  <c r="CT379" i="12"/>
  <c r="CU379" i="12"/>
  <c r="CV379" i="12"/>
  <c r="CW379" i="12"/>
  <c r="CX379" i="12"/>
  <c r="CY379" i="12"/>
  <c r="CZ379" i="12"/>
  <c r="DA379" i="12"/>
  <c r="DB379" i="12"/>
  <c r="DC379" i="12"/>
  <c r="DD379" i="12"/>
  <c r="DE379" i="12"/>
  <c r="DF379" i="12"/>
  <c r="DG379" i="12"/>
  <c r="DH379" i="12"/>
  <c r="DI379" i="12"/>
  <c r="DJ379" i="12"/>
  <c r="DK379" i="12"/>
  <c r="DL379" i="12"/>
  <c r="DM379" i="12"/>
  <c r="DN379" i="12"/>
  <c r="DO379" i="12"/>
  <c r="DP379" i="12"/>
  <c r="DQ379" i="12"/>
  <c r="DR379" i="12"/>
  <c r="DS379" i="12"/>
  <c r="DT379" i="12"/>
  <c r="DU379" i="12"/>
  <c r="DV379" i="12"/>
  <c r="DW379" i="12"/>
  <c r="DX379" i="12"/>
  <c r="DY379" i="12"/>
  <c r="DZ379" i="12"/>
  <c r="EA379" i="12"/>
  <c r="EB379" i="12"/>
  <c r="EC379" i="12"/>
  <c r="ED379" i="12"/>
  <c r="EE379" i="12"/>
  <c r="EF379" i="12"/>
  <c r="EG379" i="12"/>
  <c r="EH379" i="12"/>
  <c r="EI379" i="12"/>
  <c r="EJ379" i="12"/>
  <c r="EK379" i="12"/>
  <c r="EL379" i="12"/>
  <c r="EM379" i="12"/>
  <c r="EN379" i="12"/>
  <c r="EO379" i="12"/>
  <c r="EP379" i="12"/>
  <c r="EQ379" i="12"/>
  <c r="ER379" i="12"/>
  <c r="ES379" i="12"/>
  <c r="ET379" i="12"/>
  <c r="EU379" i="12"/>
  <c r="EV379" i="12"/>
  <c r="EW379" i="12"/>
  <c r="EX379" i="12"/>
  <c r="EY379" i="12"/>
  <c r="EZ379" i="12"/>
  <c r="FA379" i="12"/>
  <c r="FB379" i="12"/>
  <c r="FC379" i="12"/>
  <c r="FD379" i="12"/>
  <c r="FE379" i="12"/>
  <c r="FF379" i="12"/>
  <c r="FG379" i="12"/>
  <c r="FH379" i="12"/>
  <c r="FI379" i="12"/>
  <c r="FJ379" i="12"/>
  <c r="FK379" i="12"/>
  <c r="FL379" i="12"/>
  <c r="FM379" i="12"/>
  <c r="FN379" i="12"/>
  <c r="FO379" i="12"/>
  <c r="FP379" i="12"/>
  <c r="FQ379" i="12"/>
  <c r="FR379" i="12"/>
  <c r="FS379" i="12"/>
  <c r="FT379" i="12"/>
  <c r="FU379" i="12"/>
  <c r="FV379" i="12"/>
  <c r="FW379" i="12"/>
  <c r="FX379" i="12"/>
  <c r="FY379" i="12"/>
  <c r="FZ379" i="12"/>
  <c r="GA379" i="12"/>
  <c r="GB379" i="12"/>
  <c r="GC379" i="12"/>
  <c r="GD379" i="12"/>
  <c r="GE379" i="12"/>
  <c r="GF379" i="12"/>
  <c r="GG379" i="12"/>
  <c r="GH379" i="12"/>
  <c r="GI379" i="12"/>
  <c r="GJ379" i="12"/>
  <c r="GK379" i="12"/>
  <c r="GL379" i="12"/>
  <c r="GM379" i="12"/>
  <c r="GN379" i="12"/>
  <c r="GO379" i="12"/>
  <c r="GP379" i="12"/>
  <c r="GQ379" i="12"/>
  <c r="GR379" i="12"/>
  <c r="GS379" i="12"/>
  <c r="GT379" i="12"/>
  <c r="GU379" i="12"/>
  <c r="GV379" i="12"/>
  <c r="GW379" i="12"/>
  <c r="GX379" i="12"/>
  <c r="GY379" i="12"/>
  <c r="GZ379" i="12"/>
  <c r="HA379" i="12"/>
  <c r="HB379" i="12"/>
  <c r="HC379" i="12"/>
  <c r="HD379" i="12"/>
  <c r="HE379" i="12"/>
  <c r="HF379" i="12"/>
  <c r="HG379" i="12"/>
  <c r="HH379" i="12"/>
  <c r="HI379" i="12"/>
  <c r="HJ379" i="12"/>
  <c r="HK379" i="12"/>
  <c r="HL379" i="12"/>
  <c r="HM379" i="12"/>
  <c r="HN379" i="12"/>
  <c r="HO379" i="12"/>
  <c r="HP379" i="12"/>
  <c r="HQ379" i="12"/>
  <c r="HR379" i="12"/>
  <c r="HS379" i="12"/>
  <c r="HT379" i="12"/>
  <c r="HU379" i="12"/>
  <c r="HV379" i="12"/>
  <c r="HW379" i="12"/>
  <c r="HX379" i="12"/>
  <c r="HY379" i="12"/>
  <c r="HZ379" i="12"/>
  <c r="IA379" i="12"/>
  <c r="IB379" i="12"/>
  <c r="IC379" i="12"/>
  <c r="ID379" i="12"/>
  <c r="IE379" i="12"/>
  <c r="IF379" i="12"/>
  <c r="IG379" i="12"/>
  <c r="IH379" i="12"/>
  <c r="II379" i="12"/>
  <c r="IJ379" i="12"/>
  <c r="IK379" i="12"/>
  <c r="IL379" i="12"/>
  <c r="IM379" i="12"/>
  <c r="IN379" i="12"/>
  <c r="IO379" i="12"/>
  <c r="IP379" i="12"/>
  <c r="IQ379" i="12"/>
  <c r="IR379" i="12"/>
  <c r="IS379" i="12"/>
  <c r="IT379" i="12"/>
  <c r="IU379" i="12"/>
  <c r="IV379" i="12"/>
  <c r="F380" i="12"/>
  <c r="G380" i="12"/>
  <c r="H380" i="12"/>
  <c r="I380" i="12"/>
  <c r="J380" i="12"/>
  <c r="K380" i="12"/>
  <c r="L380" i="12"/>
  <c r="M380" i="12"/>
  <c r="N380" i="12"/>
  <c r="O380" i="12"/>
  <c r="P380" i="12"/>
  <c r="Q380" i="12"/>
  <c r="R380" i="12"/>
  <c r="S380" i="12"/>
  <c r="T380" i="12"/>
  <c r="U380" i="12"/>
  <c r="V380" i="12"/>
  <c r="W380" i="12"/>
  <c r="X380" i="12"/>
  <c r="Y380" i="12"/>
  <c r="Z380" i="12"/>
  <c r="AA380" i="12"/>
  <c r="AB380" i="12"/>
  <c r="AC380" i="12"/>
  <c r="AD380" i="12"/>
  <c r="AE380" i="12"/>
  <c r="AF380" i="12"/>
  <c r="AG380" i="12"/>
  <c r="AH380" i="12"/>
  <c r="AI380" i="12"/>
  <c r="AJ380" i="12"/>
  <c r="AK380" i="12"/>
  <c r="AL380" i="12"/>
  <c r="AM380" i="12"/>
  <c r="AN380" i="12"/>
  <c r="AO380" i="12"/>
  <c r="AP380" i="12"/>
  <c r="AQ380" i="12"/>
  <c r="AR380" i="12"/>
  <c r="AS380" i="12"/>
  <c r="AT380" i="12"/>
  <c r="AU380" i="12"/>
  <c r="AV380" i="12"/>
  <c r="AW380" i="12"/>
  <c r="AX380" i="12"/>
  <c r="AY380" i="12"/>
  <c r="AZ380" i="12"/>
  <c r="BA380" i="12"/>
  <c r="BB380" i="12"/>
  <c r="BC380" i="12"/>
  <c r="BD380" i="12"/>
  <c r="BE380" i="12"/>
  <c r="BF380" i="12"/>
  <c r="BG380" i="12"/>
  <c r="BH380" i="12"/>
  <c r="BI380" i="12"/>
  <c r="BJ380" i="12"/>
  <c r="BK380" i="12"/>
  <c r="BL380" i="12"/>
  <c r="BM380" i="12"/>
  <c r="BN380" i="12"/>
  <c r="BO380" i="12"/>
  <c r="BP380" i="12"/>
  <c r="BQ380" i="12"/>
  <c r="BR380" i="12"/>
  <c r="BS380" i="12"/>
  <c r="BT380" i="12"/>
  <c r="BU380" i="12"/>
  <c r="BV380" i="12"/>
  <c r="BW380" i="12"/>
  <c r="BX380" i="12"/>
  <c r="BY380" i="12"/>
  <c r="BZ380" i="12"/>
  <c r="CA380" i="12"/>
  <c r="CB380" i="12"/>
  <c r="CC380" i="12"/>
  <c r="CD380" i="12"/>
  <c r="CE380" i="12"/>
  <c r="CF380" i="12"/>
  <c r="CG380" i="12"/>
  <c r="CH380" i="12"/>
  <c r="CI380" i="12"/>
  <c r="CJ380" i="12"/>
  <c r="CK380" i="12"/>
  <c r="CL380" i="12"/>
  <c r="CM380" i="12"/>
  <c r="CN380" i="12"/>
  <c r="CO380" i="12"/>
  <c r="CP380" i="12"/>
  <c r="CQ380" i="12"/>
  <c r="CR380" i="12"/>
  <c r="CS380" i="12"/>
  <c r="CT380" i="12"/>
  <c r="CU380" i="12"/>
  <c r="CV380" i="12"/>
  <c r="CW380" i="12"/>
  <c r="CX380" i="12"/>
  <c r="CY380" i="12"/>
  <c r="CZ380" i="12"/>
  <c r="DA380" i="12"/>
  <c r="DB380" i="12"/>
  <c r="DC380" i="12"/>
  <c r="DD380" i="12"/>
  <c r="DE380" i="12"/>
  <c r="DF380" i="12"/>
  <c r="DG380" i="12"/>
  <c r="DH380" i="12"/>
  <c r="DI380" i="12"/>
  <c r="DJ380" i="12"/>
  <c r="DK380" i="12"/>
  <c r="DL380" i="12"/>
  <c r="DM380" i="12"/>
  <c r="DN380" i="12"/>
  <c r="DO380" i="12"/>
  <c r="DP380" i="12"/>
  <c r="DQ380" i="12"/>
  <c r="DR380" i="12"/>
  <c r="DS380" i="12"/>
  <c r="DT380" i="12"/>
  <c r="DU380" i="12"/>
  <c r="DV380" i="12"/>
  <c r="DW380" i="12"/>
  <c r="DX380" i="12"/>
  <c r="DY380" i="12"/>
  <c r="DZ380" i="12"/>
  <c r="EA380" i="12"/>
  <c r="EB380" i="12"/>
  <c r="EC380" i="12"/>
  <c r="ED380" i="12"/>
  <c r="EE380" i="12"/>
  <c r="EF380" i="12"/>
  <c r="EG380" i="12"/>
  <c r="EH380" i="12"/>
  <c r="EI380" i="12"/>
  <c r="EJ380" i="12"/>
  <c r="EK380" i="12"/>
  <c r="EL380" i="12"/>
  <c r="EM380" i="12"/>
  <c r="EN380" i="12"/>
  <c r="EO380" i="12"/>
  <c r="EP380" i="12"/>
  <c r="EQ380" i="12"/>
  <c r="ER380" i="12"/>
  <c r="ES380" i="12"/>
  <c r="ET380" i="12"/>
  <c r="EU380" i="12"/>
  <c r="EV380" i="12"/>
  <c r="EW380" i="12"/>
  <c r="EX380" i="12"/>
  <c r="EY380" i="12"/>
  <c r="EZ380" i="12"/>
  <c r="FA380" i="12"/>
  <c r="FB380" i="12"/>
  <c r="FC380" i="12"/>
  <c r="FD380" i="12"/>
  <c r="FE380" i="12"/>
  <c r="FF380" i="12"/>
  <c r="FG380" i="12"/>
  <c r="FH380" i="12"/>
  <c r="FI380" i="12"/>
  <c r="FJ380" i="12"/>
  <c r="FK380" i="12"/>
  <c r="FL380" i="12"/>
  <c r="FM380" i="12"/>
  <c r="FN380" i="12"/>
  <c r="FO380" i="12"/>
  <c r="FP380" i="12"/>
  <c r="FQ380" i="12"/>
  <c r="FR380" i="12"/>
  <c r="FS380" i="12"/>
  <c r="FT380" i="12"/>
  <c r="FU380" i="12"/>
  <c r="FV380" i="12"/>
  <c r="FW380" i="12"/>
  <c r="FX380" i="12"/>
  <c r="FY380" i="12"/>
  <c r="FZ380" i="12"/>
  <c r="GA380" i="12"/>
  <c r="GB380" i="12"/>
  <c r="GC380" i="12"/>
  <c r="GD380" i="12"/>
  <c r="GE380" i="12"/>
  <c r="GF380" i="12"/>
  <c r="GG380" i="12"/>
  <c r="GH380" i="12"/>
  <c r="GI380" i="12"/>
  <c r="GJ380" i="12"/>
  <c r="GK380" i="12"/>
  <c r="GL380" i="12"/>
  <c r="GM380" i="12"/>
  <c r="GN380" i="12"/>
  <c r="GO380" i="12"/>
  <c r="GP380" i="12"/>
  <c r="GQ380" i="12"/>
  <c r="GR380" i="12"/>
  <c r="GS380" i="12"/>
  <c r="GT380" i="12"/>
  <c r="GU380" i="12"/>
  <c r="GV380" i="12"/>
  <c r="GW380" i="12"/>
  <c r="GX380" i="12"/>
  <c r="GY380" i="12"/>
  <c r="GZ380" i="12"/>
  <c r="HA380" i="12"/>
  <c r="HB380" i="12"/>
  <c r="HC380" i="12"/>
  <c r="HD380" i="12"/>
  <c r="HE380" i="12"/>
  <c r="HF380" i="12"/>
  <c r="HG380" i="12"/>
  <c r="HH380" i="12"/>
  <c r="HI380" i="12"/>
  <c r="HJ380" i="12"/>
  <c r="HK380" i="12"/>
  <c r="HL380" i="12"/>
  <c r="HM380" i="12"/>
  <c r="HN380" i="12"/>
  <c r="HO380" i="12"/>
  <c r="HP380" i="12"/>
  <c r="HQ380" i="12"/>
  <c r="HR380" i="12"/>
  <c r="HS380" i="12"/>
  <c r="HT380" i="12"/>
  <c r="HU380" i="12"/>
  <c r="HV380" i="12"/>
  <c r="HW380" i="12"/>
  <c r="HX380" i="12"/>
  <c r="HY380" i="12"/>
  <c r="HZ380" i="12"/>
  <c r="IA380" i="12"/>
  <c r="IB380" i="12"/>
  <c r="IC380" i="12"/>
  <c r="ID380" i="12"/>
  <c r="IE380" i="12"/>
  <c r="IF380" i="12"/>
  <c r="IG380" i="12"/>
  <c r="IH380" i="12"/>
  <c r="II380" i="12"/>
  <c r="IJ380" i="12"/>
  <c r="IK380" i="12"/>
  <c r="IL380" i="12"/>
  <c r="IM380" i="12"/>
  <c r="IN380" i="12"/>
  <c r="IO380" i="12"/>
  <c r="IP380" i="12"/>
  <c r="IQ380" i="12"/>
  <c r="IR380" i="12"/>
  <c r="IS380" i="12"/>
  <c r="IT380" i="12"/>
  <c r="IU380" i="12"/>
  <c r="IV380" i="12"/>
  <c r="F381" i="12"/>
  <c r="G381" i="12"/>
  <c r="H381" i="12"/>
  <c r="I381" i="12"/>
  <c r="J381" i="12"/>
  <c r="K381" i="12"/>
  <c r="L381" i="12"/>
  <c r="M381" i="12"/>
  <c r="N381" i="12"/>
  <c r="O381" i="12"/>
  <c r="P381" i="12"/>
  <c r="Q381" i="12"/>
  <c r="R381" i="12"/>
  <c r="S381" i="12"/>
  <c r="T381" i="12"/>
  <c r="U381" i="12"/>
  <c r="V381" i="12"/>
  <c r="W381" i="12"/>
  <c r="X381" i="12"/>
  <c r="Y381" i="12"/>
  <c r="Z381" i="12"/>
  <c r="AA381" i="12"/>
  <c r="AB381" i="12"/>
  <c r="AC381" i="12"/>
  <c r="AD381" i="12"/>
  <c r="AE381" i="12"/>
  <c r="AF381" i="12"/>
  <c r="AG381" i="12"/>
  <c r="AH381" i="12"/>
  <c r="AI381" i="12"/>
  <c r="AJ381" i="12"/>
  <c r="AK381" i="12"/>
  <c r="AL381" i="12"/>
  <c r="AM381" i="12"/>
  <c r="AN381" i="12"/>
  <c r="AO381" i="12"/>
  <c r="AP381" i="12"/>
  <c r="AQ381" i="12"/>
  <c r="AR381" i="12"/>
  <c r="AS381" i="12"/>
  <c r="AT381" i="12"/>
  <c r="AU381" i="12"/>
  <c r="AV381" i="12"/>
  <c r="AW381" i="12"/>
  <c r="AX381" i="12"/>
  <c r="AY381" i="12"/>
  <c r="AZ381" i="12"/>
  <c r="BA381" i="12"/>
  <c r="BB381" i="12"/>
  <c r="BC381" i="12"/>
  <c r="BD381" i="12"/>
  <c r="BE381" i="12"/>
  <c r="BF381" i="12"/>
  <c r="BG381" i="12"/>
  <c r="BH381" i="12"/>
  <c r="BI381" i="12"/>
  <c r="BJ381" i="12"/>
  <c r="BK381" i="12"/>
  <c r="BL381" i="12"/>
  <c r="BM381" i="12"/>
  <c r="BN381" i="12"/>
  <c r="BO381" i="12"/>
  <c r="BP381" i="12"/>
  <c r="BQ381" i="12"/>
  <c r="BR381" i="12"/>
  <c r="BS381" i="12"/>
  <c r="BT381" i="12"/>
  <c r="BU381" i="12"/>
  <c r="BV381" i="12"/>
  <c r="BW381" i="12"/>
  <c r="BX381" i="12"/>
  <c r="BY381" i="12"/>
  <c r="BZ381" i="12"/>
  <c r="CA381" i="12"/>
  <c r="CB381" i="12"/>
  <c r="CC381" i="12"/>
  <c r="CD381" i="12"/>
  <c r="CE381" i="12"/>
  <c r="CF381" i="12"/>
  <c r="CG381" i="12"/>
  <c r="CH381" i="12"/>
  <c r="CI381" i="12"/>
  <c r="CJ381" i="12"/>
  <c r="CK381" i="12"/>
  <c r="CL381" i="12"/>
  <c r="CM381" i="12"/>
  <c r="CN381" i="12"/>
  <c r="CO381" i="12"/>
  <c r="CP381" i="12"/>
  <c r="CQ381" i="12"/>
  <c r="CR381" i="12"/>
  <c r="CS381" i="12"/>
  <c r="CT381" i="12"/>
  <c r="CU381" i="12"/>
  <c r="CV381" i="12"/>
  <c r="CW381" i="12"/>
  <c r="CX381" i="12"/>
  <c r="CY381" i="12"/>
  <c r="CZ381" i="12"/>
  <c r="DA381" i="12"/>
  <c r="DB381" i="12"/>
  <c r="DC381" i="12"/>
  <c r="DD381" i="12"/>
  <c r="DE381" i="12"/>
  <c r="DF381" i="12"/>
  <c r="DG381" i="12"/>
  <c r="DH381" i="12"/>
  <c r="DI381" i="12"/>
  <c r="DJ381" i="12"/>
  <c r="DK381" i="12"/>
  <c r="DL381" i="12"/>
  <c r="DM381" i="12"/>
  <c r="DN381" i="12"/>
  <c r="DO381" i="12"/>
  <c r="DP381" i="12"/>
  <c r="DQ381" i="12"/>
  <c r="DR381" i="12"/>
  <c r="DS381" i="12"/>
  <c r="DT381" i="12"/>
  <c r="DU381" i="12"/>
  <c r="DV381" i="12"/>
  <c r="DW381" i="12"/>
  <c r="DX381" i="12"/>
  <c r="DY381" i="12"/>
  <c r="DZ381" i="12"/>
  <c r="EA381" i="12"/>
  <c r="EB381" i="12"/>
  <c r="EC381" i="12"/>
  <c r="ED381" i="12"/>
  <c r="EE381" i="12"/>
  <c r="EF381" i="12"/>
  <c r="EG381" i="12"/>
  <c r="EH381" i="12"/>
  <c r="EI381" i="12"/>
  <c r="EJ381" i="12"/>
  <c r="EK381" i="12"/>
  <c r="EL381" i="12"/>
  <c r="EM381" i="12"/>
  <c r="EN381" i="12"/>
  <c r="EO381" i="12"/>
  <c r="EP381" i="12"/>
  <c r="EQ381" i="12"/>
  <c r="ER381" i="12"/>
  <c r="ES381" i="12"/>
  <c r="ET381" i="12"/>
  <c r="EU381" i="12"/>
  <c r="EV381" i="12"/>
  <c r="EW381" i="12"/>
  <c r="EX381" i="12"/>
  <c r="EY381" i="12"/>
  <c r="EZ381" i="12"/>
  <c r="FA381" i="12"/>
  <c r="FB381" i="12"/>
  <c r="FC381" i="12"/>
  <c r="FD381" i="12"/>
  <c r="FE381" i="12"/>
  <c r="FF381" i="12"/>
  <c r="FG381" i="12"/>
  <c r="FH381" i="12"/>
  <c r="FI381" i="12"/>
  <c r="FJ381" i="12"/>
  <c r="FK381" i="12"/>
  <c r="FL381" i="12"/>
  <c r="FM381" i="12"/>
  <c r="FN381" i="12"/>
  <c r="FO381" i="12"/>
  <c r="FP381" i="12"/>
  <c r="FQ381" i="12"/>
  <c r="FR381" i="12"/>
  <c r="FS381" i="12"/>
  <c r="FT381" i="12"/>
  <c r="FU381" i="12"/>
  <c r="FV381" i="12"/>
  <c r="FW381" i="12"/>
  <c r="FX381" i="12"/>
  <c r="FY381" i="12"/>
  <c r="FZ381" i="12"/>
  <c r="GA381" i="12"/>
  <c r="GB381" i="12"/>
  <c r="GC381" i="12"/>
  <c r="GD381" i="12"/>
  <c r="GE381" i="12"/>
  <c r="GF381" i="12"/>
  <c r="GG381" i="12"/>
  <c r="GH381" i="12"/>
  <c r="GI381" i="12"/>
  <c r="GJ381" i="12"/>
  <c r="GK381" i="12"/>
  <c r="GL381" i="12"/>
  <c r="GM381" i="12"/>
  <c r="GN381" i="12"/>
  <c r="GO381" i="12"/>
  <c r="GP381" i="12"/>
  <c r="GQ381" i="12"/>
  <c r="GR381" i="12"/>
  <c r="GS381" i="12"/>
  <c r="GT381" i="12"/>
  <c r="GU381" i="12"/>
  <c r="GV381" i="12"/>
  <c r="GW381" i="12"/>
  <c r="GX381" i="12"/>
  <c r="GY381" i="12"/>
  <c r="GZ381" i="12"/>
  <c r="HA381" i="12"/>
  <c r="HB381" i="12"/>
  <c r="HC381" i="12"/>
  <c r="HD381" i="12"/>
  <c r="HE381" i="12"/>
  <c r="HF381" i="12"/>
  <c r="HG381" i="12"/>
  <c r="HH381" i="12"/>
  <c r="HI381" i="12"/>
  <c r="HJ381" i="12"/>
  <c r="HK381" i="12"/>
  <c r="HL381" i="12"/>
  <c r="HM381" i="12"/>
  <c r="HN381" i="12"/>
  <c r="HO381" i="12"/>
  <c r="HP381" i="12"/>
  <c r="HQ381" i="12"/>
  <c r="HR381" i="12"/>
  <c r="HS381" i="12"/>
  <c r="HT381" i="12"/>
  <c r="HU381" i="12"/>
  <c r="HV381" i="12"/>
  <c r="HW381" i="12"/>
  <c r="HX381" i="12"/>
  <c r="HY381" i="12"/>
  <c r="HZ381" i="12"/>
  <c r="IA381" i="12"/>
  <c r="IB381" i="12"/>
  <c r="IC381" i="12"/>
  <c r="ID381" i="12"/>
  <c r="IE381" i="12"/>
  <c r="IF381" i="12"/>
  <c r="IG381" i="12"/>
  <c r="IH381" i="12"/>
  <c r="II381" i="12"/>
  <c r="IJ381" i="12"/>
  <c r="IK381" i="12"/>
  <c r="IL381" i="12"/>
  <c r="IM381" i="12"/>
  <c r="IN381" i="12"/>
  <c r="IO381" i="12"/>
  <c r="IP381" i="12"/>
  <c r="IQ381" i="12"/>
  <c r="IR381" i="12"/>
  <c r="IS381" i="12"/>
  <c r="IT381" i="12"/>
  <c r="IU381" i="12"/>
  <c r="IV381" i="12"/>
  <c r="F382" i="12"/>
  <c r="G382" i="12"/>
  <c r="H382" i="12"/>
  <c r="I382" i="12"/>
  <c r="J382" i="12"/>
  <c r="K382" i="12"/>
  <c r="L382" i="12"/>
  <c r="M382" i="12"/>
  <c r="N382" i="12"/>
  <c r="O382" i="12"/>
  <c r="P382" i="12"/>
  <c r="Q382" i="12"/>
  <c r="R382" i="12"/>
  <c r="S382" i="12"/>
  <c r="T382" i="12"/>
  <c r="U382" i="12"/>
  <c r="V382" i="12"/>
  <c r="W382" i="12"/>
  <c r="X382" i="12"/>
  <c r="Y382" i="12"/>
  <c r="Z382" i="12"/>
  <c r="AA382" i="12"/>
  <c r="AB382" i="12"/>
  <c r="AC382" i="12"/>
  <c r="AD382" i="12"/>
  <c r="AE382" i="12"/>
  <c r="AF382" i="12"/>
  <c r="AG382" i="12"/>
  <c r="AH382" i="12"/>
  <c r="AI382" i="12"/>
  <c r="AJ382" i="12"/>
  <c r="AK382" i="12"/>
  <c r="AL382" i="12"/>
  <c r="AM382" i="12"/>
  <c r="AN382" i="12"/>
  <c r="AO382" i="12"/>
  <c r="AP382" i="12"/>
  <c r="AQ382" i="12"/>
  <c r="AR382" i="12"/>
  <c r="AS382" i="12"/>
  <c r="AT382" i="12"/>
  <c r="AU382" i="12"/>
  <c r="AV382" i="12"/>
  <c r="AW382" i="12"/>
  <c r="AX382" i="12"/>
  <c r="AY382" i="12"/>
  <c r="AZ382" i="12"/>
  <c r="BA382" i="12"/>
  <c r="BB382" i="12"/>
  <c r="BC382" i="12"/>
  <c r="BD382" i="12"/>
  <c r="BE382" i="12"/>
  <c r="BF382" i="12"/>
  <c r="BG382" i="12"/>
  <c r="BH382" i="12"/>
  <c r="BI382" i="12"/>
  <c r="BJ382" i="12"/>
  <c r="BK382" i="12"/>
  <c r="BL382" i="12"/>
  <c r="BM382" i="12"/>
  <c r="BN382" i="12"/>
  <c r="BO382" i="12"/>
  <c r="BP382" i="12"/>
  <c r="BQ382" i="12"/>
  <c r="BR382" i="12"/>
  <c r="BS382" i="12"/>
  <c r="BT382" i="12"/>
  <c r="BU382" i="12"/>
  <c r="BV382" i="12"/>
  <c r="BW382" i="12"/>
  <c r="BX382" i="12"/>
  <c r="BY382" i="12"/>
  <c r="BZ382" i="12"/>
  <c r="CA382" i="12"/>
  <c r="CB382" i="12"/>
  <c r="CC382" i="12"/>
  <c r="CD382" i="12"/>
  <c r="CE382" i="12"/>
  <c r="CF382" i="12"/>
  <c r="CG382" i="12"/>
  <c r="CH382" i="12"/>
  <c r="CI382" i="12"/>
  <c r="CJ382" i="12"/>
  <c r="CK382" i="12"/>
  <c r="CL382" i="12"/>
  <c r="CM382" i="12"/>
  <c r="CN382" i="12"/>
  <c r="CO382" i="12"/>
  <c r="CP382" i="12"/>
  <c r="CQ382" i="12"/>
  <c r="CR382" i="12"/>
  <c r="CS382" i="12"/>
  <c r="CT382" i="12"/>
  <c r="CU382" i="12"/>
  <c r="CV382" i="12"/>
  <c r="CW382" i="12"/>
  <c r="CX382" i="12"/>
  <c r="CY382" i="12"/>
  <c r="CZ382" i="12"/>
  <c r="DA382" i="12"/>
  <c r="DB382" i="12"/>
  <c r="DC382" i="12"/>
  <c r="DD382" i="12"/>
  <c r="DE382" i="12"/>
  <c r="DF382" i="12"/>
  <c r="DG382" i="12"/>
  <c r="DH382" i="12"/>
  <c r="DI382" i="12"/>
  <c r="DJ382" i="12"/>
  <c r="DK382" i="12"/>
  <c r="DL382" i="12"/>
  <c r="DM382" i="12"/>
  <c r="DN382" i="12"/>
  <c r="DO382" i="12"/>
  <c r="DP382" i="12"/>
  <c r="DQ382" i="12"/>
  <c r="DR382" i="12"/>
  <c r="DS382" i="12"/>
  <c r="DT382" i="12"/>
  <c r="DU382" i="12"/>
  <c r="DV382" i="12"/>
  <c r="DW382" i="12"/>
  <c r="DX382" i="12"/>
  <c r="DY382" i="12"/>
  <c r="DZ382" i="12"/>
  <c r="EA382" i="12"/>
  <c r="EB382" i="12"/>
  <c r="EC382" i="12"/>
  <c r="ED382" i="12"/>
  <c r="EE382" i="12"/>
  <c r="EF382" i="12"/>
  <c r="EG382" i="12"/>
  <c r="EH382" i="12"/>
  <c r="EI382" i="12"/>
  <c r="EJ382" i="12"/>
  <c r="EK382" i="12"/>
  <c r="EL382" i="12"/>
  <c r="EM382" i="12"/>
  <c r="EN382" i="12"/>
  <c r="EO382" i="12"/>
  <c r="EP382" i="12"/>
  <c r="EQ382" i="12"/>
  <c r="ER382" i="12"/>
  <c r="ES382" i="12"/>
  <c r="ET382" i="12"/>
  <c r="EU382" i="12"/>
  <c r="EV382" i="12"/>
  <c r="EW382" i="12"/>
  <c r="EX382" i="12"/>
  <c r="EY382" i="12"/>
  <c r="EZ382" i="12"/>
  <c r="FA382" i="12"/>
  <c r="FB382" i="12"/>
  <c r="FC382" i="12"/>
  <c r="FD382" i="12"/>
  <c r="FE382" i="12"/>
  <c r="FF382" i="12"/>
  <c r="FG382" i="12"/>
  <c r="FH382" i="12"/>
  <c r="FI382" i="12"/>
  <c r="FJ382" i="12"/>
  <c r="FK382" i="12"/>
  <c r="FL382" i="12"/>
  <c r="FM382" i="12"/>
  <c r="FN382" i="12"/>
  <c r="FO382" i="12"/>
  <c r="FP382" i="12"/>
  <c r="FQ382" i="12"/>
  <c r="FR382" i="12"/>
  <c r="FS382" i="12"/>
  <c r="FT382" i="12"/>
  <c r="FU382" i="12"/>
  <c r="FV382" i="12"/>
  <c r="FW382" i="12"/>
  <c r="FX382" i="12"/>
  <c r="FY382" i="12"/>
  <c r="FZ382" i="12"/>
  <c r="GA382" i="12"/>
  <c r="GB382" i="12"/>
  <c r="GC382" i="12"/>
  <c r="GD382" i="12"/>
  <c r="GE382" i="12"/>
  <c r="GF382" i="12"/>
  <c r="GG382" i="12"/>
  <c r="GH382" i="12"/>
  <c r="GI382" i="12"/>
  <c r="GJ382" i="12"/>
  <c r="GK382" i="12"/>
  <c r="GL382" i="12"/>
  <c r="GM382" i="12"/>
  <c r="GN382" i="12"/>
  <c r="GO382" i="12"/>
  <c r="GP382" i="12"/>
  <c r="GQ382" i="12"/>
  <c r="GR382" i="12"/>
  <c r="GS382" i="12"/>
  <c r="GT382" i="12"/>
  <c r="GU382" i="12"/>
  <c r="GV382" i="12"/>
  <c r="GW382" i="12"/>
  <c r="GX382" i="12"/>
  <c r="GY382" i="12"/>
  <c r="GZ382" i="12"/>
  <c r="HA382" i="12"/>
  <c r="HB382" i="12"/>
  <c r="HC382" i="12"/>
  <c r="HD382" i="12"/>
  <c r="HE382" i="12"/>
  <c r="HF382" i="12"/>
  <c r="HG382" i="12"/>
  <c r="HH382" i="12"/>
  <c r="HI382" i="12"/>
  <c r="HJ382" i="12"/>
  <c r="HK382" i="12"/>
  <c r="HL382" i="12"/>
  <c r="HM382" i="12"/>
  <c r="HN382" i="12"/>
  <c r="HO382" i="12"/>
  <c r="HP382" i="12"/>
  <c r="HQ382" i="12"/>
  <c r="HR382" i="12"/>
  <c r="HS382" i="12"/>
  <c r="HT382" i="12"/>
  <c r="HU382" i="12"/>
  <c r="HV382" i="12"/>
  <c r="HW382" i="12"/>
  <c r="HX382" i="12"/>
  <c r="HY382" i="12"/>
  <c r="HZ382" i="12"/>
  <c r="IA382" i="12"/>
  <c r="IB382" i="12"/>
  <c r="IC382" i="12"/>
  <c r="ID382" i="12"/>
  <c r="IE382" i="12"/>
  <c r="IF382" i="12"/>
  <c r="IG382" i="12"/>
  <c r="IH382" i="12"/>
  <c r="II382" i="12"/>
  <c r="IJ382" i="12"/>
  <c r="IK382" i="12"/>
  <c r="IL382" i="12"/>
  <c r="IM382" i="12"/>
  <c r="IN382" i="12"/>
  <c r="IO382" i="12"/>
  <c r="IP382" i="12"/>
  <c r="IQ382" i="12"/>
  <c r="IR382" i="12"/>
  <c r="IS382" i="12"/>
  <c r="IT382" i="12"/>
  <c r="IU382" i="12"/>
  <c r="IV382" i="12"/>
  <c r="F383" i="12"/>
  <c r="G383" i="12"/>
  <c r="H383" i="12"/>
  <c r="I383" i="12"/>
  <c r="J383" i="12"/>
  <c r="K383" i="12"/>
  <c r="L383" i="12"/>
  <c r="M383" i="12"/>
  <c r="N383" i="12"/>
  <c r="O383" i="12"/>
  <c r="P383" i="12"/>
  <c r="Q383" i="12"/>
  <c r="R383" i="12"/>
  <c r="S383" i="12"/>
  <c r="T383" i="12"/>
  <c r="U383" i="12"/>
  <c r="V383" i="12"/>
  <c r="W383" i="12"/>
  <c r="X383" i="12"/>
  <c r="Y383" i="12"/>
  <c r="Z383" i="12"/>
  <c r="AA383" i="12"/>
  <c r="AB383" i="12"/>
  <c r="AC383" i="12"/>
  <c r="AD383" i="12"/>
  <c r="AE383" i="12"/>
  <c r="AF383" i="12"/>
  <c r="AG383" i="12"/>
  <c r="AH383" i="12"/>
  <c r="AI383" i="12"/>
  <c r="AJ383" i="12"/>
  <c r="AK383" i="12"/>
  <c r="AL383" i="12"/>
  <c r="AM383" i="12"/>
  <c r="AN383" i="12"/>
  <c r="AO383" i="12"/>
  <c r="AP383" i="12"/>
  <c r="AQ383" i="12"/>
  <c r="AR383" i="12"/>
  <c r="AS383" i="12"/>
  <c r="AT383" i="12"/>
  <c r="AU383" i="12"/>
  <c r="AV383" i="12"/>
  <c r="AW383" i="12"/>
  <c r="AX383" i="12"/>
  <c r="AY383" i="12"/>
  <c r="AZ383" i="12"/>
  <c r="BA383" i="12"/>
  <c r="BB383" i="12"/>
  <c r="BC383" i="12"/>
  <c r="BD383" i="12"/>
  <c r="BE383" i="12"/>
  <c r="BF383" i="12"/>
  <c r="BG383" i="12"/>
  <c r="BH383" i="12"/>
  <c r="BI383" i="12"/>
  <c r="BJ383" i="12"/>
  <c r="BK383" i="12"/>
  <c r="BL383" i="12"/>
  <c r="BM383" i="12"/>
  <c r="BN383" i="12"/>
  <c r="BO383" i="12"/>
  <c r="BP383" i="12"/>
  <c r="BQ383" i="12"/>
  <c r="BR383" i="12"/>
  <c r="BS383" i="12"/>
  <c r="BT383" i="12"/>
  <c r="BU383" i="12"/>
  <c r="BV383" i="12"/>
  <c r="BW383" i="12"/>
  <c r="BX383" i="12"/>
  <c r="BY383" i="12"/>
  <c r="BZ383" i="12"/>
  <c r="CA383" i="12"/>
  <c r="CB383" i="12"/>
  <c r="CC383" i="12"/>
  <c r="CD383" i="12"/>
  <c r="CE383" i="12"/>
  <c r="CF383" i="12"/>
  <c r="CG383" i="12"/>
  <c r="CH383" i="12"/>
  <c r="CI383" i="12"/>
  <c r="CJ383" i="12"/>
  <c r="CK383" i="12"/>
  <c r="CL383" i="12"/>
  <c r="CM383" i="12"/>
  <c r="CN383" i="12"/>
  <c r="CO383" i="12"/>
  <c r="CP383" i="12"/>
  <c r="CQ383" i="12"/>
  <c r="CR383" i="12"/>
  <c r="CS383" i="12"/>
  <c r="CT383" i="12"/>
  <c r="CU383" i="12"/>
  <c r="CV383" i="12"/>
  <c r="CW383" i="12"/>
  <c r="CX383" i="12"/>
  <c r="CY383" i="12"/>
  <c r="CZ383" i="12"/>
  <c r="DA383" i="12"/>
  <c r="DB383" i="12"/>
  <c r="DC383" i="12"/>
  <c r="DD383" i="12"/>
  <c r="DE383" i="12"/>
  <c r="DF383" i="12"/>
  <c r="DG383" i="12"/>
  <c r="DH383" i="12"/>
  <c r="DI383" i="12"/>
  <c r="DJ383" i="12"/>
  <c r="DK383" i="12"/>
  <c r="DL383" i="12"/>
  <c r="DM383" i="12"/>
  <c r="DN383" i="12"/>
  <c r="DO383" i="12"/>
  <c r="DP383" i="12"/>
  <c r="DQ383" i="12"/>
  <c r="DR383" i="12"/>
  <c r="DS383" i="12"/>
  <c r="DT383" i="12"/>
  <c r="DU383" i="12"/>
  <c r="DV383" i="12"/>
  <c r="DW383" i="12"/>
  <c r="DX383" i="12"/>
  <c r="DY383" i="12"/>
  <c r="DZ383" i="12"/>
  <c r="EA383" i="12"/>
  <c r="EB383" i="12"/>
  <c r="EC383" i="12"/>
  <c r="ED383" i="12"/>
  <c r="EE383" i="12"/>
  <c r="EF383" i="12"/>
  <c r="EG383" i="12"/>
  <c r="EH383" i="12"/>
  <c r="EI383" i="12"/>
  <c r="EJ383" i="12"/>
  <c r="EK383" i="12"/>
  <c r="EL383" i="12"/>
  <c r="EM383" i="12"/>
  <c r="EN383" i="12"/>
  <c r="EO383" i="12"/>
  <c r="EP383" i="12"/>
  <c r="EQ383" i="12"/>
  <c r="ER383" i="12"/>
  <c r="ES383" i="12"/>
  <c r="ET383" i="12"/>
  <c r="EU383" i="12"/>
  <c r="EV383" i="12"/>
  <c r="EW383" i="12"/>
  <c r="EX383" i="12"/>
  <c r="EY383" i="12"/>
  <c r="EZ383" i="12"/>
  <c r="FA383" i="12"/>
  <c r="FB383" i="12"/>
  <c r="FC383" i="12"/>
  <c r="FD383" i="12"/>
  <c r="FE383" i="12"/>
  <c r="FF383" i="12"/>
  <c r="FG383" i="12"/>
  <c r="FH383" i="12"/>
  <c r="FI383" i="12"/>
  <c r="FJ383" i="12"/>
  <c r="FK383" i="12"/>
  <c r="FL383" i="12"/>
  <c r="FM383" i="12"/>
  <c r="FN383" i="12"/>
  <c r="FO383" i="12"/>
  <c r="FP383" i="12"/>
  <c r="FQ383" i="12"/>
  <c r="FR383" i="12"/>
  <c r="FS383" i="12"/>
  <c r="FT383" i="12"/>
  <c r="FU383" i="12"/>
  <c r="FV383" i="12"/>
  <c r="FW383" i="12"/>
  <c r="FX383" i="12"/>
  <c r="FY383" i="12"/>
  <c r="FZ383" i="12"/>
  <c r="GA383" i="12"/>
  <c r="GB383" i="12"/>
  <c r="GC383" i="12"/>
  <c r="GD383" i="12"/>
  <c r="GE383" i="12"/>
  <c r="GF383" i="12"/>
  <c r="GG383" i="12"/>
  <c r="GH383" i="12"/>
  <c r="GI383" i="12"/>
  <c r="GJ383" i="12"/>
  <c r="GK383" i="12"/>
  <c r="GL383" i="12"/>
  <c r="GM383" i="12"/>
  <c r="GN383" i="12"/>
  <c r="GO383" i="12"/>
  <c r="GP383" i="12"/>
  <c r="GQ383" i="12"/>
  <c r="GR383" i="12"/>
  <c r="GS383" i="12"/>
  <c r="GT383" i="12"/>
  <c r="GU383" i="12"/>
  <c r="GV383" i="12"/>
  <c r="GW383" i="12"/>
  <c r="GX383" i="12"/>
  <c r="GY383" i="12"/>
  <c r="GZ383" i="12"/>
  <c r="HA383" i="12"/>
  <c r="HB383" i="12"/>
  <c r="HC383" i="12"/>
  <c r="HD383" i="12"/>
  <c r="HE383" i="12"/>
  <c r="HF383" i="12"/>
  <c r="HG383" i="12"/>
  <c r="HH383" i="12"/>
  <c r="HI383" i="12"/>
  <c r="HJ383" i="12"/>
  <c r="HK383" i="12"/>
  <c r="HL383" i="12"/>
  <c r="HM383" i="12"/>
  <c r="HN383" i="12"/>
  <c r="HO383" i="12"/>
  <c r="HP383" i="12"/>
  <c r="HQ383" i="12"/>
  <c r="HR383" i="12"/>
  <c r="HS383" i="12"/>
  <c r="HT383" i="12"/>
  <c r="HU383" i="12"/>
  <c r="HV383" i="12"/>
  <c r="HW383" i="12"/>
  <c r="HX383" i="12"/>
  <c r="HY383" i="12"/>
  <c r="HZ383" i="12"/>
  <c r="IA383" i="12"/>
  <c r="IB383" i="12"/>
  <c r="IC383" i="12"/>
  <c r="ID383" i="12"/>
  <c r="IE383" i="12"/>
  <c r="IF383" i="12"/>
  <c r="IG383" i="12"/>
  <c r="IH383" i="12"/>
  <c r="II383" i="12"/>
  <c r="IJ383" i="12"/>
  <c r="IK383" i="12"/>
  <c r="IL383" i="12"/>
  <c r="IM383" i="12"/>
  <c r="IN383" i="12"/>
  <c r="IO383" i="12"/>
  <c r="IP383" i="12"/>
  <c r="IQ383" i="12"/>
  <c r="IR383" i="12"/>
  <c r="IS383" i="12"/>
  <c r="IT383" i="12"/>
  <c r="IU383" i="12"/>
  <c r="IV383" i="12"/>
  <c r="F384" i="12"/>
  <c r="G384" i="12"/>
  <c r="H384" i="12"/>
  <c r="I384" i="12"/>
  <c r="J384" i="12"/>
  <c r="K384" i="12"/>
  <c r="L384" i="12"/>
  <c r="M384" i="12"/>
  <c r="N384" i="12"/>
  <c r="O384" i="12"/>
  <c r="P384" i="12"/>
  <c r="Q384" i="12"/>
  <c r="R384" i="12"/>
  <c r="S384" i="12"/>
  <c r="T384" i="12"/>
  <c r="U384" i="12"/>
  <c r="V384" i="12"/>
  <c r="W384" i="12"/>
  <c r="X384" i="12"/>
  <c r="Y384" i="12"/>
  <c r="Z384" i="12"/>
  <c r="AA384" i="12"/>
  <c r="AB384" i="12"/>
  <c r="AC384" i="12"/>
  <c r="AD384" i="12"/>
  <c r="AE384" i="12"/>
  <c r="AF384" i="12"/>
  <c r="AG384" i="12"/>
  <c r="AH384" i="12"/>
  <c r="AI384" i="12"/>
  <c r="AJ384" i="12"/>
  <c r="AK384" i="12"/>
  <c r="AL384" i="12"/>
  <c r="AM384" i="12"/>
  <c r="AN384" i="12"/>
  <c r="AO384" i="12"/>
  <c r="AP384" i="12"/>
  <c r="AQ384" i="12"/>
  <c r="AR384" i="12"/>
  <c r="AS384" i="12"/>
  <c r="AT384" i="12"/>
  <c r="AU384" i="12"/>
  <c r="AV384" i="12"/>
  <c r="AW384" i="12"/>
  <c r="AX384" i="12"/>
  <c r="AY384" i="12"/>
  <c r="AZ384" i="12"/>
  <c r="BA384" i="12"/>
  <c r="BB384" i="12"/>
  <c r="BC384" i="12"/>
  <c r="BD384" i="12"/>
  <c r="BE384" i="12"/>
  <c r="BF384" i="12"/>
  <c r="BG384" i="12"/>
  <c r="BH384" i="12"/>
  <c r="BI384" i="12"/>
  <c r="BJ384" i="12"/>
  <c r="BK384" i="12"/>
  <c r="BL384" i="12"/>
  <c r="BM384" i="12"/>
  <c r="BN384" i="12"/>
  <c r="BO384" i="12"/>
  <c r="BP384" i="12"/>
  <c r="BQ384" i="12"/>
  <c r="BR384" i="12"/>
  <c r="BS384" i="12"/>
  <c r="BT384" i="12"/>
  <c r="BU384" i="12"/>
  <c r="BV384" i="12"/>
  <c r="BW384" i="12"/>
  <c r="BX384" i="12"/>
  <c r="BY384" i="12"/>
  <c r="BZ384" i="12"/>
  <c r="CA384" i="12"/>
  <c r="CB384" i="12"/>
  <c r="CC384" i="12"/>
  <c r="CD384" i="12"/>
  <c r="CE384" i="12"/>
  <c r="CF384" i="12"/>
  <c r="CG384" i="12"/>
  <c r="CH384" i="12"/>
  <c r="CI384" i="12"/>
  <c r="CJ384" i="12"/>
  <c r="CK384" i="12"/>
  <c r="CL384" i="12"/>
  <c r="CM384" i="12"/>
  <c r="CN384" i="12"/>
  <c r="CO384" i="12"/>
  <c r="CP384" i="12"/>
  <c r="CQ384" i="12"/>
  <c r="CR384" i="12"/>
  <c r="CS384" i="12"/>
  <c r="CT384" i="12"/>
  <c r="CU384" i="12"/>
  <c r="CV384" i="12"/>
  <c r="CW384" i="12"/>
  <c r="CX384" i="12"/>
  <c r="CY384" i="12"/>
  <c r="CZ384" i="12"/>
  <c r="DA384" i="12"/>
  <c r="DB384" i="12"/>
  <c r="DC384" i="12"/>
  <c r="DD384" i="12"/>
  <c r="DE384" i="12"/>
  <c r="DF384" i="12"/>
  <c r="DG384" i="12"/>
  <c r="DH384" i="12"/>
  <c r="DI384" i="12"/>
  <c r="DJ384" i="12"/>
  <c r="DK384" i="12"/>
  <c r="DL384" i="12"/>
  <c r="DM384" i="12"/>
  <c r="DN384" i="12"/>
  <c r="DO384" i="12"/>
  <c r="DP384" i="12"/>
  <c r="DQ384" i="12"/>
  <c r="DR384" i="12"/>
  <c r="DS384" i="12"/>
  <c r="DT384" i="12"/>
  <c r="DU384" i="12"/>
  <c r="DV384" i="12"/>
  <c r="DW384" i="12"/>
  <c r="DX384" i="12"/>
  <c r="DY384" i="12"/>
  <c r="DZ384" i="12"/>
  <c r="EA384" i="12"/>
  <c r="EB384" i="12"/>
  <c r="EC384" i="12"/>
  <c r="ED384" i="12"/>
  <c r="EE384" i="12"/>
  <c r="EF384" i="12"/>
  <c r="EG384" i="12"/>
  <c r="EH384" i="12"/>
  <c r="EI384" i="12"/>
  <c r="EJ384" i="12"/>
  <c r="EK384" i="12"/>
  <c r="EL384" i="12"/>
  <c r="EM384" i="12"/>
  <c r="EN384" i="12"/>
  <c r="EO384" i="12"/>
  <c r="EP384" i="12"/>
  <c r="EQ384" i="12"/>
  <c r="ER384" i="12"/>
  <c r="ES384" i="12"/>
  <c r="ET384" i="12"/>
  <c r="EU384" i="12"/>
  <c r="EV384" i="12"/>
  <c r="EW384" i="12"/>
  <c r="EX384" i="12"/>
  <c r="EY384" i="12"/>
  <c r="EZ384" i="12"/>
  <c r="FA384" i="12"/>
  <c r="FB384" i="12"/>
  <c r="FC384" i="12"/>
  <c r="FD384" i="12"/>
  <c r="FE384" i="12"/>
  <c r="FF384" i="12"/>
  <c r="FG384" i="12"/>
  <c r="FH384" i="12"/>
  <c r="FI384" i="12"/>
  <c r="FJ384" i="12"/>
  <c r="FK384" i="12"/>
  <c r="FL384" i="12"/>
  <c r="FM384" i="12"/>
  <c r="FN384" i="12"/>
  <c r="FO384" i="12"/>
  <c r="FP384" i="12"/>
  <c r="FQ384" i="12"/>
  <c r="FR384" i="12"/>
  <c r="FS384" i="12"/>
  <c r="FT384" i="12"/>
  <c r="FU384" i="12"/>
  <c r="FV384" i="12"/>
  <c r="FW384" i="12"/>
  <c r="FX384" i="12"/>
  <c r="FY384" i="12"/>
  <c r="FZ384" i="12"/>
  <c r="GA384" i="12"/>
  <c r="GB384" i="12"/>
  <c r="GC384" i="12"/>
  <c r="GD384" i="12"/>
  <c r="GE384" i="12"/>
  <c r="GF384" i="12"/>
  <c r="GG384" i="12"/>
  <c r="GH384" i="12"/>
  <c r="GI384" i="12"/>
  <c r="GJ384" i="12"/>
  <c r="GK384" i="12"/>
  <c r="GL384" i="12"/>
  <c r="GM384" i="12"/>
  <c r="GN384" i="12"/>
  <c r="GO384" i="12"/>
  <c r="GP384" i="12"/>
  <c r="GQ384" i="12"/>
  <c r="GR384" i="12"/>
  <c r="GS384" i="12"/>
  <c r="GT384" i="12"/>
  <c r="GU384" i="12"/>
  <c r="GV384" i="12"/>
  <c r="GW384" i="12"/>
  <c r="GX384" i="12"/>
  <c r="GY384" i="12"/>
  <c r="GZ384" i="12"/>
  <c r="HA384" i="12"/>
  <c r="HB384" i="12"/>
  <c r="HC384" i="12"/>
  <c r="HD384" i="12"/>
  <c r="HE384" i="12"/>
  <c r="HF384" i="12"/>
  <c r="HG384" i="12"/>
  <c r="HH384" i="12"/>
  <c r="HI384" i="12"/>
  <c r="HJ384" i="12"/>
  <c r="HK384" i="12"/>
  <c r="HL384" i="12"/>
  <c r="HM384" i="12"/>
  <c r="HN384" i="12"/>
  <c r="HO384" i="12"/>
  <c r="HP384" i="12"/>
  <c r="HQ384" i="12"/>
  <c r="HR384" i="12"/>
  <c r="HS384" i="12"/>
  <c r="HT384" i="12"/>
  <c r="HU384" i="12"/>
  <c r="HV384" i="12"/>
  <c r="HW384" i="12"/>
  <c r="HX384" i="12"/>
  <c r="HY384" i="12"/>
  <c r="HZ384" i="12"/>
  <c r="IA384" i="12"/>
  <c r="IB384" i="12"/>
  <c r="IC384" i="12"/>
  <c r="ID384" i="12"/>
  <c r="IE384" i="12"/>
  <c r="IF384" i="12"/>
  <c r="IG384" i="12"/>
  <c r="IH384" i="12"/>
  <c r="II384" i="12"/>
  <c r="IJ384" i="12"/>
  <c r="IK384" i="12"/>
  <c r="IL384" i="12"/>
  <c r="IM384" i="12"/>
  <c r="IN384" i="12"/>
  <c r="IO384" i="12"/>
  <c r="IP384" i="12"/>
  <c r="IQ384" i="12"/>
  <c r="IR384" i="12"/>
  <c r="IS384" i="12"/>
  <c r="IT384" i="12"/>
  <c r="IU384" i="12"/>
  <c r="IV384" i="12"/>
  <c r="F385" i="12"/>
  <c r="G385" i="12"/>
  <c r="H385" i="12"/>
  <c r="I385" i="12"/>
  <c r="J385" i="12"/>
  <c r="K385" i="12"/>
  <c r="L385" i="12"/>
  <c r="M385" i="12"/>
  <c r="N385" i="12"/>
  <c r="O385" i="12"/>
  <c r="P385" i="12"/>
  <c r="Q385" i="12"/>
  <c r="R385" i="12"/>
  <c r="S385" i="12"/>
  <c r="T385" i="12"/>
  <c r="U385" i="12"/>
  <c r="V385" i="12"/>
  <c r="W385" i="12"/>
  <c r="X385" i="12"/>
  <c r="Y385" i="12"/>
  <c r="Z385" i="12"/>
  <c r="AA385" i="12"/>
  <c r="AB385" i="12"/>
  <c r="AC385" i="12"/>
  <c r="AD385" i="12"/>
  <c r="AE385" i="12"/>
  <c r="AF385" i="12"/>
  <c r="AG385" i="12"/>
  <c r="AH385" i="12"/>
  <c r="AI385" i="12"/>
  <c r="AJ385" i="12"/>
  <c r="AK385" i="12"/>
  <c r="AL385" i="12"/>
  <c r="AM385" i="12"/>
  <c r="AN385" i="12"/>
  <c r="AO385" i="12"/>
  <c r="AP385" i="12"/>
  <c r="AQ385" i="12"/>
  <c r="AR385" i="12"/>
  <c r="AS385" i="12"/>
  <c r="AT385" i="12"/>
  <c r="AU385" i="12"/>
  <c r="AV385" i="12"/>
  <c r="AW385" i="12"/>
  <c r="AX385" i="12"/>
  <c r="AY385" i="12"/>
  <c r="AZ385" i="12"/>
  <c r="BA385" i="12"/>
  <c r="BB385" i="12"/>
  <c r="BC385" i="12"/>
  <c r="BD385" i="12"/>
  <c r="BE385" i="12"/>
  <c r="BF385" i="12"/>
  <c r="BG385" i="12"/>
  <c r="BH385" i="12"/>
  <c r="BI385" i="12"/>
  <c r="BJ385" i="12"/>
  <c r="BK385" i="12"/>
  <c r="BL385" i="12"/>
  <c r="BM385" i="12"/>
  <c r="BN385" i="12"/>
  <c r="BO385" i="12"/>
  <c r="BP385" i="12"/>
  <c r="BQ385" i="12"/>
  <c r="BR385" i="12"/>
  <c r="BS385" i="12"/>
  <c r="BT385" i="12"/>
  <c r="BU385" i="12"/>
  <c r="BV385" i="12"/>
  <c r="BW385" i="12"/>
  <c r="BX385" i="12"/>
  <c r="BY385" i="12"/>
  <c r="BZ385" i="12"/>
  <c r="CA385" i="12"/>
  <c r="CB385" i="12"/>
  <c r="CC385" i="12"/>
  <c r="CD385" i="12"/>
  <c r="CE385" i="12"/>
  <c r="CF385" i="12"/>
  <c r="CG385" i="12"/>
  <c r="CH385" i="12"/>
  <c r="CI385" i="12"/>
  <c r="CJ385" i="12"/>
  <c r="CK385" i="12"/>
  <c r="CL385" i="12"/>
  <c r="CM385" i="12"/>
  <c r="CN385" i="12"/>
  <c r="CO385" i="12"/>
  <c r="CP385" i="12"/>
  <c r="CQ385" i="12"/>
  <c r="CR385" i="12"/>
  <c r="CS385" i="12"/>
  <c r="CT385" i="12"/>
  <c r="CU385" i="12"/>
  <c r="CV385" i="12"/>
  <c r="CW385" i="12"/>
  <c r="CX385" i="12"/>
  <c r="CY385" i="12"/>
  <c r="CZ385" i="12"/>
  <c r="DA385" i="12"/>
  <c r="DB385" i="12"/>
  <c r="DC385" i="12"/>
  <c r="DD385" i="12"/>
  <c r="DE385" i="12"/>
  <c r="DF385" i="12"/>
  <c r="DG385" i="12"/>
  <c r="DH385" i="12"/>
  <c r="DI385" i="12"/>
  <c r="DJ385" i="12"/>
  <c r="DK385" i="12"/>
  <c r="DL385" i="12"/>
  <c r="DM385" i="12"/>
  <c r="DN385" i="12"/>
  <c r="DO385" i="12"/>
  <c r="DP385" i="12"/>
  <c r="DQ385" i="12"/>
  <c r="DR385" i="12"/>
  <c r="DS385" i="12"/>
  <c r="DT385" i="12"/>
  <c r="DU385" i="12"/>
  <c r="DV385" i="12"/>
  <c r="DW385" i="12"/>
  <c r="DX385" i="12"/>
  <c r="DY385" i="12"/>
  <c r="DZ385" i="12"/>
  <c r="EA385" i="12"/>
  <c r="EB385" i="12"/>
  <c r="EC385" i="12"/>
  <c r="ED385" i="12"/>
  <c r="EE385" i="12"/>
  <c r="EF385" i="12"/>
  <c r="EG385" i="12"/>
  <c r="EH385" i="12"/>
  <c r="EI385" i="12"/>
  <c r="EJ385" i="12"/>
  <c r="EK385" i="12"/>
  <c r="EL385" i="12"/>
  <c r="EM385" i="12"/>
  <c r="EN385" i="12"/>
  <c r="EO385" i="12"/>
  <c r="EP385" i="12"/>
  <c r="EQ385" i="12"/>
  <c r="ER385" i="12"/>
  <c r="ES385" i="12"/>
  <c r="ET385" i="12"/>
  <c r="EU385" i="12"/>
  <c r="EV385" i="12"/>
  <c r="EW385" i="12"/>
  <c r="EX385" i="12"/>
  <c r="EY385" i="12"/>
  <c r="EZ385" i="12"/>
  <c r="FA385" i="12"/>
  <c r="FB385" i="12"/>
  <c r="FC385" i="12"/>
  <c r="FD385" i="12"/>
  <c r="FE385" i="12"/>
  <c r="FF385" i="12"/>
  <c r="FG385" i="12"/>
  <c r="FH385" i="12"/>
  <c r="FI385" i="12"/>
  <c r="FJ385" i="12"/>
  <c r="FK385" i="12"/>
  <c r="FL385" i="12"/>
  <c r="FM385" i="12"/>
  <c r="FN385" i="12"/>
  <c r="FO385" i="12"/>
  <c r="FP385" i="12"/>
  <c r="FQ385" i="12"/>
  <c r="FR385" i="12"/>
  <c r="FS385" i="12"/>
  <c r="FT385" i="12"/>
  <c r="FU385" i="12"/>
  <c r="FV385" i="12"/>
  <c r="FW385" i="12"/>
  <c r="FX385" i="12"/>
  <c r="FY385" i="12"/>
  <c r="FZ385" i="12"/>
  <c r="GA385" i="12"/>
  <c r="GB385" i="12"/>
  <c r="GC385" i="12"/>
  <c r="GD385" i="12"/>
  <c r="GE385" i="12"/>
  <c r="GF385" i="12"/>
  <c r="GG385" i="12"/>
  <c r="GH385" i="12"/>
  <c r="GI385" i="12"/>
  <c r="GJ385" i="12"/>
  <c r="GK385" i="12"/>
  <c r="GL385" i="12"/>
  <c r="GM385" i="12"/>
  <c r="GN385" i="12"/>
  <c r="GO385" i="12"/>
  <c r="GP385" i="12"/>
  <c r="GQ385" i="12"/>
  <c r="GR385" i="12"/>
  <c r="GS385" i="12"/>
  <c r="GT385" i="12"/>
  <c r="GU385" i="12"/>
  <c r="GV385" i="12"/>
  <c r="GW385" i="12"/>
  <c r="GX385" i="12"/>
  <c r="GY385" i="12"/>
  <c r="GZ385" i="12"/>
  <c r="HA385" i="12"/>
  <c r="HB385" i="12"/>
  <c r="HC385" i="12"/>
  <c r="HD385" i="12"/>
  <c r="HE385" i="12"/>
  <c r="HF385" i="12"/>
  <c r="HG385" i="12"/>
  <c r="HH385" i="12"/>
  <c r="HI385" i="12"/>
  <c r="HJ385" i="12"/>
  <c r="HK385" i="12"/>
  <c r="HL385" i="12"/>
  <c r="HM385" i="12"/>
  <c r="HN385" i="12"/>
  <c r="HO385" i="12"/>
  <c r="HP385" i="12"/>
  <c r="HQ385" i="12"/>
  <c r="HR385" i="12"/>
  <c r="HS385" i="12"/>
  <c r="HT385" i="12"/>
  <c r="HU385" i="12"/>
  <c r="HV385" i="12"/>
  <c r="HW385" i="12"/>
  <c r="HX385" i="12"/>
  <c r="HY385" i="12"/>
  <c r="HZ385" i="12"/>
  <c r="IA385" i="12"/>
  <c r="IB385" i="12"/>
  <c r="IC385" i="12"/>
  <c r="ID385" i="12"/>
  <c r="IE385" i="12"/>
  <c r="IF385" i="12"/>
  <c r="IG385" i="12"/>
  <c r="IH385" i="12"/>
  <c r="II385" i="12"/>
  <c r="IJ385" i="12"/>
  <c r="IK385" i="12"/>
  <c r="IL385" i="12"/>
  <c r="IM385" i="12"/>
  <c r="IN385" i="12"/>
  <c r="IO385" i="12"/>
  <c r="IP385" i="12"/>
  <c r="IQ385" i="12"/>
  <c r="IR385" i="12"/>
  <c r="IS385" i="12"/>
  <c r="IT385" i="12"/>
  <c r="IU385" i="12"/>
  <c r="IV385" i="12"/>
  <c r="F386" i="12"/>
  <c r="G386" i="12"/>
  <c r="H386" i="12"/>
  <c r="I386" i="12"/>
  <c r="J386" i="12"/>
  <c r="K386" i="12"/>
  <c r="L386" i="12"/>
  <c r="M386" i="12"/>
  <c r="N386" i="12"/>
  <c r="O386" i="12"/>
  <c r="P386" i="12"/>
  <c r="Q386" i="12"/>
  <c r="R386" i="12"/>
  <c r="S386" i="12"/>
  <c r="T386" i="12"/>
  <c r="U386" i="12"/>
  <c r="V386" i="12"/>
  <c r="W386" i="12"/>
  <c r="X386" i="12"/>
  <c r="Y386" i="12"/>
  <c r="Z386" i="12"/>
  <c r="AA386" i="12"/>
  <c r="AB386" i="12"/>
  <c r="AC386" i="12"/>
  <c r="AD386" i="12"/>
  <c r="AE386" i="12"/>
  <c r="AF386" i="12"/>
  <c r="AG386" i="12"/>
  <c r="AH386" i="12"/>
  <c r="AI386" i="12"/>
  <c r="AJ386" i="12"/>
  <c r="AK386" i="12"/>
  <c r="AL386" i="12"/>
  <c r="AM386" i="12"/>
  <c r="AN386" i="12"/>
  <c r="AO386" i="12"/>
  <c r="AP386" i="12"/>
  <c r="AQ386" i="12"/>
  <c r="AR386" i="12"/>
  <c r="AS386" i="12"/>
  <c r="AT386" i="12"/>
  <c r="AU386" i="12"/>
  <c r="AV386" i="12"/>
  <c r="AW386" i="12"/>
  <c r="AX386" i="12"/>
  <c r="AY386" i="12"/>
  <c r="AZ386" i="12"/>
  <c r="BA386" i="12"/>
  <c r="BB386" i="12"/>
  <c r="BC386" i="12"/>
  <c r="BD386" i="12"/>
  <c r="BE386" i="12"/>
  <c r="BF386" i="12"/>
  <c r="BG386" i="12"/>
  <c r="BH386" i="12"/>
  <c r="BI386" i="12"/>
  <c r="BJ386" i="12"/>
  <c r="BK386" i="12"/>
  <c r="BL386" i="12"/>
  <c r="BM386" i="12"/>
  <c r="BN386" i="12"/>
  <c r="BO386" i="12"/>
  <c r="BP386" i="12"/>
  <c r="BQ386" i="12"/>
  <c r="BR386" i="12"/>
  <c r="BS386" i="12"/>
  <c r="BT386" i="12"/>
  <c r="BU386" i="12"/>
  <c r="BV386" i="12"/>
  <c r="BW386" i="12"/>
  <c r="BX386" i="12"/>
  <c r="BY386" i="12"/>
  <c r="BZ386" i="12"/>
  <c r="CA386" i="12"/>
  <c r="CB386" i="12"/>
  <c r="CC386" i="12"/>
  <c r="CD386" i="12"/>
  <c r="CE386" i="12"/>
  <c r="CF386" i="12"/>
  <c r="CG386" i="12"/>
  <c r="CH386" i="12"/>
  <c r="CI386" i="12"/>
  <c r="CJ386" i="12"/>
  <c r="CK386" i="12"/>
  <c r="CL386" i="12"/>
  <c r="CM386" i="12"/>
  <c r="CN386" i="12"/>
  <c r="CO386" i="12"/>
  <c r="CP386" i="12"/>
  <c r="CQ386" i="12"/>
  <c r="CR386" i="12"/>
  <c r="CS386" i="12"/>
  <c r="CT386" i="12"/>
  <c r="CU386" i="12"/>
  <c r="CV386" i="12"/>
  <c r="CW386" i="12"/>
  <c r="CX386" i="12"/>
  <c r="CY386" i="12"/>
  <c r="CZ386" i="12"/>
  <c r="DA386" i="12"/>
  <c r="DB386" i="12"/>
  <c r="DC386" i="12"/>
  <c r="DD386" i="12"/>
  <c r="DE386" i="12"/>
  <c r="DF386" i="12"/>
  <c r="DG386" i="12"/>
  <c r="DH386" i="12"/>
  <c r="DI386" i="12"/>
  <c r="DJ386" i="12"/>
  <c r="DK386" i="12"/>
  <c r="DL386" i="12"/>
  <c r="DM386" i="12"/>
  <c r="DN386" i="12"/>
  <c r="DO386" i="12"/>
  <c r="DP386" i="12"/>
  <c r="DQ386" i="12"/>
  <c r="DR386" i="12"/>
  <c r="DS386" i="12"/>
  <c r="DT386" i="12"/>
  <c r="DU386" i="12"/>
  <c r="DV386" i="12"/>
  <c r="DW386" i="12"/>
  <c r="DX386" i="12"/>
  <c r="DY386" i="12"/>
  <c r="DZ386" i="12"/>
  <c r="EA386" i="12"/>
  <c r="EB386" i="12"/>
  <c r="EC386" i="12"/>
  <c r="ED386" i="12"/>
  <c r="EE386" i="12"/>
  <c r="EF386" i="12"/>
  <c r="EG386" i="12"/>
  <c r="EH386" i="12"/>
  <c r="EI386" i="12"/>
  <c r="EJ386" i="12"/>
  <c r="EK386" i="12"/>
  <c r="EL386" i="12"/>
  <c r="EM386" i="12"/>
  <c r="EN386" i="12"/>
  <c r="EO386" i="12"/>
  <c r="EP386" i="12"/>
  <c r="EQ386" i="12"/>
  <c r="ER386" i="12"/>
  <c r="ES386" i="12"/>
  <c r="ET386" i="12"/>
  <c r="EU386" i="12"/>
  <c r="EV386" i="12"/>
  <c r="EW386" i="12"/>
  <c r="EX386" i="12"/>
  <c r="EY386" i="12"/>
  <c r="EZ386" i="12"/>
  <c r="FA386" i="12"/>
  <c r="FB386" i="12"/>
  <c r="FC386" i="12"/>
  <c r="FD386" i="12"/>
  <c r="FE386" i="12"/>
  <c r="FF386" i="12"/>
  <c r="FG386" i="12"/>
  <c r="FH386" i="12"/>
  <c r="FI386" i="12"/>
  <c r="FJ386" i="12"/>
  <c r="FK386" i="12"/>
  <c r="FL386" i="12"/>
  <c r="FM386" i="12"/>
  <c r="FN386" i="12"/>
  <c r="FO386" i="12"/>
  <c r="FP386" i="12"/>
  <c r="FQ386" i="12"/>
  <c r="FR386" i="12"/>
  <c r="FS386" i="12"/>
  <c r="FT386" i="12"/>
  <c r="FU386" i="12"/>
  <c r="FV386" i="12"/>
  <c r="FW386" i="12"/>
  <c r="FX386" i="12"/>
  <c r="FY386" i="12"/>
  <c r="FZ386" i="12"/>
  <c r="GA386" i="12"/>
  <c r="GB386" i="12"/>
  <c r="GC386" i="12"/>
  <c r="GD386" i="12"/>
  <c r="GE386" i="12"/>
  <c r="GF386" i="12"/>
  <c r="GG386" i="12"/>
  <c r="GH386" i="12"/>
  <c r="GI386" i="12"/>
  <c r="GJ386" i="12"/>
  <c r="GK386" i="12"/>
  <c r="GL386" i="12"/>
  <c r="GM386" i="12"/>
  <c r="GN386" i="12"/>
  <c r="GO386" i="12"/>
  <c r="GP386" i="12"/>
  <c r="GQ386" i="12"/>
  <c r="GR386" i="12"/>
  <c r="GS386" i="12"/>
  <c r="GT386" i="12"/>
  <c r="GU386" i="12"/>
  <c r="GV386" i="12"/>
  <c r="GW386" i="12"/>
  <c r="GX386" i="12"/>
  <c r="GY386" i="12"/>
  <c r="GZ386" i="12"/>
  <c r="HA386" i="12"/>
  <c r="HB386" i="12"/>
  <c r="HC386" i="12"/>
  <c r="HD386" i="12"/>
  <c r="HE386" i="12"/>
  <c r="HF386" i="12"/>
  <c r="HG386" i="12"/>
  <c r="HH386" i="12"/>
  <c r="HI386" i="12"/>
  <c r="HJ386" i="12"/>
  <c r="HK386" i="12"/>
  <c r="HL386" i="12"/>
  <c r="HM386" i="12"/>
  <c r="HN386" i="12"/>
  <c r="HO386" i="12"/>
  <c r="HP386" i="12"/>
  <c r="HQ386" i="12"/>
  <c r="HR386" i="12"/>
  <c r="HS386" i="12"/>
  <c r="HT386" i="12"/>
  <c r="HU386" i="12"/>
  <c r="HV386" i="12"/>
  <c r="HW386" i="12"/>
  <c r="HX386" i="12"/>
  <c r="HY386" i="12"/>
  <c r="HZ386" i="12"/>
  <c r="IA386" i="12"/>
  <c r="IB386" i="12"/>
  <c r="IC386" i="12"/>
  <c r="ID386" i="12"/>
  <c r="IE386" i="12"/>
  <c r="IF386" i="12"/>
  <c r="IG386" i="12"/>
  <c r="IH386" i="12"/>
  <c r="II386" i="12"/>
  <c r="IJ386" i="12"/>
  <c r="IK386" i="12"/>
  <c r="IL386" i="12"/>
  <c r="IM386" i="12"/>
  <c r="IN386" i="12"/>
  <c r="IO386" i="12"/>
  <c r="IP386" i="12"/>
  <c r="IQ386" i="12"/>
  <c r="IR386" i="12"/>
  <c r="IS386" i="12"/>
  <c r="IT386" i="12"/>
  <c r="IU386" i="12"/>
  <c r="IV386" i="12"/>
  <c r="F387" i="12"/>
  <c r="G387" i="12"/>
  <c r="H387" i="12"/>
  <c r="I387" i="12"/>
  <c r="J387" i="12"/>
  <c r="K387" i="12"/>
  <c r="L387" i="12"/>
  <c r="M387" i="12"/>
  <c r="N387" i="12"/>
  <c r="O387" i="12"/>
  <c r="P387" i="12"/>
  <c r="Q387" i="12"/>
  <c r="R387" i="12"/>
  <c r="S387" i="12"/>
  <c r="T387" i="12"/>
  <c r="U387" i="12"/>
  <c r="V387" i="12"/>
  <c r="W387" i="12"/>
  <c r="X387" i="12"/>
  <c r="Y387" i="12"/>
  <c r="Z387" i="12"/>
  <c r="AA387" i="12"/>
  <c r="AB387" i="12"/>
  <c r="AC387" i="12"/>
  <c r="AD387" i="12"/>
  <c r="AE387" i="12"/>
  <c r="AF387" i="12"/>
  <c r="AG387" i="12"/>
  <c r="AH387" i="12"/>
  <c r="AI387" i="12"/>
  <c r="AJ387" i="12"/>
  <c r="AK387" i="12"/>
  <c r="AL387" i="12"/>
  <c r="AM387" i="12"/>
  <c r="AN387" i="12"/>
  <c r="AO387" i="12"/>
  <c r="AP387" i="12"/>
  <c r="AQ387" i="12"/>
  <c r="AR387" i="12"/>
  <c r="AS387" i="12"/>
  <c r="AT387" i="12"/>
  <c r="AU387" i="12"/>
  <c r="AV387" i="12"/>
  <c r="AW387" i="12"/>
  <c r="AX387" i="12"/>
  <c r="AY387" i="12"/>
  <c r="AZ387" i="12"/>
  <c r="BA387" i="12"/>
  <c r="BB387" i="12"/>
  <c r="BC387" i="12"/>
  <c r="BD387" i="12"/>
  <c r="BE387" i="12"/>
  <c r="BF387" i="12"/>
  <c r="BG387" i="12"/>
  <c r="BH387" i="12"/>
  <c r="BI387" i="12"/>
  <c r="BJ387" i="12"/>
  <c r="BK387" i="12"/>
  <c r="BL387" i="12"/>
  <c r="BM387" i="12"/>
  <c r="BN387" i="12"/>
  <c r="BO387" i="12"/>
  <c r="BP387" i="12"/>
  <c r="BQ387" i="12"/>
  <c r="BR387" i="12"/>
  <c r="BS387" i="12"/>
  <c r="BT387" i="12"/>
  <c r="BU387" i="12"/>
  <c r="BV387" i="12"/>
  <c r="BW387" i="12"/>
  <c r="BX387" i="12"/>
  <c r="BY387" i="12"/>
  <c r="BZ387" i="12"/>
  <c r="CA387" i="12"/>
  <c r="CB387" i="12"/>
  <c r="CC387" i="12"/>
  <c r="CD387" i="12"/>
  <c r="CE387" i="12"/>
  <c r="CF387" i="12"/>
  <c r="CG387" i="12"/>
  <c r="CH387" i="12"/>
  <c r="CI387" i="12"/>
  <c r="CJ387" i="12"/>
  <c r="CK387" i="12"/>
  <c r="CL387" i="12"/>
  <c r="CM387" i="12"/>
  <c r="CN387" i="12"/>
  <c r="CO387" i="12"/>
  <c r="CP387" i="12"/>
  <c r="CQ387" i="12"/>
  <c r="CR387" i="12"/>
  <c r="CS387" i="12"/>
  <c r="CT387" i="12"/>
  <c r="CU387" i="12"/>
  <c r="CV387" i="12"/>
  <c r="CW387" i="12"/>
  <c r="CX387" i="12"/>
  <c r="CY387" i="12"/>
  <c r="CZ387" i="12"/>
  <c r="DA387" i="12"/>
  <c r="DB387" i="12"/>
  <c r="DC387" i="12"/>
  <c r="DD387" i="12"/>
  <c r="DE387" i="12"/>
  <c r="DF387" i="12"/>
  <c r="DG387" i="12"/>
  <c r="DH387" i="12"/>
  <c r="DI387" i="12"/>
  <c r="DJ387" i="12"/>
  <c r="DK387" i="12"/>
  <c r="DL387" i="12"/>
  <c r="DM387" i="12"/>
  <c r="DN387" i="12"/>
  <c r="DO387" i="12"/>
  <c r="DP387" i="12"/>
  <c r="DQ387" i="12"/>
  <c r="DR387" i="12"/>
  <c r="DS387" i="12"/>
  <c r="DT387" i="12"/>
  <c r="DU387" i="12"/>
  <c r="DV387" i="12"/>
  <c r="DW387" i="12"/>
  <c r="DX387" i="12"/>
  <c r="DY387" i="12"/>
  <c r="DZ387" i="12"/>
  <c r="EA387" i="12"/>
  <c r="EB387" i="12"/>
  <c r="EC387" i="12"/>
  <c r="ED387" i="12"/>
  <c r="EE387" i="12"/>
  <c r="EF387" i="12"/>
  <c r="EG387" i="12"/>
  <c r="EH387" i="12"/>
  <c r="EI387" i="12"/>
  <c r="EJ387" i="12"/>
  <c r="EK387" i="12"/>
  <c r="EL387" i="12"/>
  <c r="EM387" i="12"/>
  <c r="EN387" i="12"/>
  <c r="EO387" i="12"/>
  <c r="EP387" i="12"/>
  <c r="EQ387" i="12"/>
  <c r="ER387" i="12"/>
  <c r="ES387" i="12"/>
  <c r="ET387" i="12"/>
  <c r="EU387" i="12"/>
  <c r="EV387" i="12"/>
  <c r="EW387" i="12"/>
  <c r="EX387" i="12"/>
  <c r="EY387" i="12"/>
  <c r="EZ387" i="12"/>
  <c r="FA387" i="12"/>
  <c r="FB387" i="12"/>
  <c r="FC387" i="12"/>
  <c r="FD387" i="12"/>
  <c r="FE387" i="12"/>
  <c r="FF387" i="12"/>
  <c r="FG387" i="12"/>
  <c r="FH387" i="12"/>
  <c r="FI387" i="12"/>
  <c r="FJ387" i="12"/>
  <c r="FK387" i="12"/>
  <c r="FL387" i="12"/>
  <c r="FM387" i="12"/>
  <c r="FN387" i="12"/>
  <c r="FO387" i="12"/>
  <c r="FP387" i="12"/>
  <c r="FQ387" i="12"/>
  <c r="FR387" i="12"/>
  <c r="FS387" i="12"/>
  <c r="FT387" i="12"/>
  <c r="FU387" i="12"/>
  <c r="FV387" i="12"/>
  <c r="FW387" i="12"/>
  <c r="FX387" i="12"/>
  <c r="FY387" i="12"/>
  <c r="FZ387" i="12"/>
  <c r="GA387" i="12"/>
  <c r="GB387" i="12"/>
  <c r="GC387" i="12"/>
  <c r="GD387" i="12"/>
  <c r="GE387" i="12"/>
  <c r="GF387" i="12"/>
  <c r="GG387" i="12"/>
  <c r="GH387" i="12"/>
  <c r="GI387" i="12"/>
  <c r="GJ387" i="12"/>
  <c r="GK387" i="12"/>
  <c r="GL387" i="12"/>
  <c r="GM387" i="12"/>
  <c r="GN387" i="12"/>
  <c r="GO387" i="12"/>
  <c r="GP387" i="12"/>
  <c r="GQ387" i="12"/>
  <c r="GR387" i="12"/>
  <c r="GS387" i="12"/>
  <c r="GT387" i="12"/>
  <c r="GU387" i="12"/>
  <c r="GV387" i="12"/>
  <c r="GW387" i="12"/>
  <c r="GX387" i="12"/>
  <c r="GY387" i="12"/>
  <c r="GZ387" i="12"/>
  <c r="HA387" i="12"/>
  <c r="HB387" i="12"/>
  <c r="HC387" i="12"/>
  <c r="HD387" i="12"/>
  <c r="HE387" i="12"/>
  <c r="HF387" i="12"/>
  <c r="HG387" i="12"/>
  <c r="HH387" i="12"/>
  <c r="HI387" i="12"/>
  <c r="HJ387" i="12"/>
  <c r="HK387" i="12"/>
  <c r="HL387" i="12"/>
  <c r="HM387" i="12"/>
  <c r="HN387" i="12"/>
  <c r="HO387" i="12"/>
  <c r="HP387" i="12"/>
  <c r="HQ387" i="12"/>
  <c r="HR387" i="12"/>
  <c r="HS387" i="12"/>
  <c r="HT387" i="12"/>
  <c r="HU387" i="12"/>
  <c r="HV387" i="12"/>
  <c r="HW387" i="12"/>
  <c r="HX387" i="12"/>
  <c r="HY387" i="12"/>
  <c r="HZ387" i="12"/>
  <c r="IA387" i="12"/>
  <c r="IB387" i="12"/>
  <c r="IC387" i="12"/>
  <c r="ID387" i="12"/>
  <c r="IE387" i="12"/>
  <c r="IF387" i="12"/>
  <c r="IG387" i="12"/>
  <c r="IH387" i="12"/>
  <c r="II387" i="12"/>
  <c r="IJ387" i="12"/>
  <c r="IK387" i="12"/>
  <c r="IL387" i="12"/>
  <c r="IM387" i="12"/>
  <c r="IN387" i="12"/>
  <c r="IO387" i="12"/>
  <c r="IP387" i="12"/>
  <c r="IQ387" i="12"/>
  <c r="IR387" i="12"/>
  <c r="IS387" i="12"/>
  <c r="IT387" i="12"/>
  <c r="IU387" i="12"/>
  <c r="IV387" i="12"/>
  <c r="F388" i="12"/>
  <c r="G388" i="12"/>
  <c r="H388" i="12"/>
  <c r="I388" i="12"/>
  <c r="J388" i="12"/>
  <c r="K388" i="12"/>
  <c r="L388" i="12"/>
  <c r="M388" i="12"/>
  <c r="N388" i="12"/>
  <c r="O388" i="12"/>
  <c r="P388" i="12"/>
  <c r="Q388" i="12"/>
  <c r="R388" i="12"/>
  <c r="S388" i="12"/>
  <c r="T388" i="12"/>
  <c r="U388" i="12"/>
  <c r="V388" i="12"/>
  <c r="W388" i="12"/>
  <c r="X388" i="12"/>
  <c r="Y388" i="12"/>
  <c r="Z388" i="12"/>
  <c r="AA388" i="12"/>
  <c r="AB388" i="12"/>
  <c r="AC388" i="12"/>
  <c r="AD388" i="12"/>
  <c r="AE388" i="12"/>
  <c r="AF388" i="12"/>
  <c r="AG388" i="12"/>
  <c r="AH388" i="12"/>
  <c r="AI388" i="12"/>
  <c r="AJ388" i="12"/>
  <c r="AK388" i="12"/>
  <c r="AL388" i="12"/>
  <c r="AM388" i="12"/>
  <c r="AN388" i="12"/>
  <c r="AO388" i="12"/>
  <c r="AP388" i="12"/>
  <c r="AQ388" i="12"/>
  <c r="AR388" i="12"/>
  <c r="AS388" i="12"/>
  <c r="AT388" i="12"/>
  <c r="AU388" i="12"/>
  <c r="AV388" i="12"/>
  <c r="AW388" i="12"/>
  <c r="AX388" i="12"/>
  <c r="AY388" i="12"/>
  <c r="AZ388" i="12"/>
  <c r="BA388" i="12"/>
  <c r="BB388" i="12"/>
  <c r="BC388" i="12"/>
  <c r="BD388" i="12"/>
  <c r="BE388" i="12"/>
  <c r="BF388" i="12"/>
  <c r="BG388" i="12"/>
  <c r="BH388" i="12"/>
  <c r="BI388" i="12"/>
  <c r="BJ388" i="12"/>
  <c r="BK388" i="12"/>
  <c r="BL388" i="12"/>
  <c r="BM388" i="12"/>
  <c r="BN388" i="12"/>
  <c r="BO388" i="12"/>
  <c r="BP388" i="12"/>
  <c r="BQ388" i="12"/>
  <c r="BR388" i="12"/>
  <c r="BS388" i="12"/>
  <c r="BT388" i="12"/>
  <c r="BU388" i="12"/>
  <c r="BV388" i="12"/>
  <c r="BW388" i="12"/>
  <c r="BX388" i="12"/>
  <c r="BY388" i="12"/>
  <c r="BZ388" i="12"/>
  <c r="CA388" i="12"/>
  <c r="CB388" i="12"/>
  <c r="CC388" i="12"/>
  <c r="CD388" i="12"/>
  <c r="CE388" i="12"/>
  <c r="CF388" i="12"/>
  <c r="CG388" i="12"/>
  <c r="CH388" i="12"/>
  <c r="CI388" i="12"/>
  <c r="CJ388" i="12"/>
  <c r="CK388" i="12"/>
  <c r="CL388" i="12"/>
  <c r="CM388" i="12"/>
  <c r="CN388" i="12"/>
  <c r="CO388" i="12"/>
  <c r="CP388" i="12"/>
  <c r="CQ388" i="12"/>
  <c r="CR388" i="12"/>
  <c r="CS388" i="12"/>
  <c r="CT388" i="12"/>
  <c r="CU388" i="12"/>
  <c r="CV388" i="12"/>
  <c r="CW388" i="12"/>
  <c r="CX388" i="12"/>
  <c r="CY388" i="12"/>
  <c r="CZ388" i="12"/>
  <c r="DA388" i="12"/>
  <c r="DB388" i="12"/>
  <c r="DC388" i="12"/>
  <c r="DD388" i="12"/>
  <c r="DE388" i="12"/>
  <c r="DF388" i="12"/>
  <c r="DG388" i="12"/>
  <c r="DH388" i="12"/>
  <c r="DI388" i="12"/>
  <c r="DJ388" i="12"/>
  <c r="DK388" i="12"/>
  <c r="DL388" i="12"/>
  <c r="DM388" i="12"/>
  <c r="DN388" i="12"/>
  <c r="DO388" i="12"/>
  <c r="DP388" i="12"/>
  <c r="DQ388" i="12"/>
  <c r="DR388" i="12"/>
  <c r="DS388" i="12"/>
  <c r="DT388" i="12"/>
  <c r="DU388" i="12"/>
  <c r="DV388" i="12"/>
  <c r="DW388" i="12"/>
  <c r="DX388" i="12"/>
  <c r="DY388" i="12"/>
  <c r="DZ388" i="12"/>
  <c r="EA388" i="12"/>
  <c r="EB388" i="12"/>
  <c r="EC388" i="12"/>
  <c r="ED388" i="12"/>
  <c r="EE388" i="12"/>
  <c r="EF388" i="12"/>
  <c r="EG388" i="12"/>
  <c r="EH388" i="12"/>
  <c r="EI388" i="12"/>
  <c r="EJ388" i="12"/>
  <c r="EK388" i="12"/>
  <c r="EL388" i="12"/>
  <c r="EM388" i="12"/>
  <c r="EN388" i="12"/>
  <c r="EO388" i="12"/>
  <c r="EP388" i="12"/>
  <c r="EQ388" i="12"/>
  <c r="ER388" i="12"/>
  <c r="ES388" i="12"/>
  <c r="ET388" i="12"/>
  <c r="EU388" i="12"/>
  <c r="EV388" i="12"/>
  <c r="EW388" i="12"/>
  <c r="EX388" i="12"/>
  <c r="EY388" i="12"/>
  <c r="EZ388" i="12"/>
  <c r="FA388" i="12"/>
  <c r="FB388" i="12"/>
  <c r="FC388" i="12"/>
  <c r="FD388" i="12"/>
  <c r="FE388" i="12"/>
  <c r="FF388" i="12"/>
  <c r="FG388" i="12"/>
  <c r="FH388" i="12"/>
  <c r="FI388" i="12"/>
  <c r="FJ388" i="12"/>
  <c r="FK388" i="12"/>
  <c r="FL388" i="12"/>
  <c r="FM388" i="12"/>
  <c r="FN388" i="12"/>
  <c r="FO388" i="12"/>
  <c r="FP388" i="12"/>
  <c r="FQ388" i="12"/>
  <c r="FR388" i="12"/>
  <c r="FS388" i="12"/>
  <c r="FT388" i="12"/>
  <c r="FU388" i="12"/>
  <c r="FV388" i="12"/>
  <c r="FW388" i="12"/>
  <c r="FX388" i="12"/>
  <c r="FY388" i="12"/>
  <c r="FZ388" i="12"/>
  <c r="GA388" i="12"/>
  <c r="GB388" i="12"/>
  <c r="GC388" i="12"/>
  <c r="GD388" i="12"/>
  <c r="GE388" i="12"/>
  <c r="GF388" i="12"/>
  <c r="GG388" i="12"/>
  <c r="GH388" i="12"/>
  <c r="GI388" i="12"/>
  <c r="GJ388" i="12"/>
  <c r="GK388" i="12"/>
  <c r="GL388" i="12"/>
  <c r="GM388" i="12"/>
  <c r="GN388" i="12"/>
  <c r="GO388" i="12"/>
  <c r="GP388" i="12"/>
  <c r="GQ388" i="12"/>
  <c r="GR388" i="12"/>
  <c r="GS388" i="12"/>
  <c r="GT388" i="12"/>
  <c r="GU388" i="12"/>
  <c r="GV388" i="12"/>
  <c r="GW388" i="12"/>
  <c r="GX388" i="12"/>
  <c r="GY388" i="12"/>
  <c r="GZ388" i="12"/>
  <c r="HA388" i="12"/>
  <c r="HB388" i="12"/>
  <c r="HC388" i="12"/>
  <c r="HD388" i="12"/>
  <c r="HE388" i="12"/>
  <c r="HF388" i="12"/>
  <c r="HG388" i="12"/>
  <c r="HH388" i="12"/>
  <c r="HI388" i="12"/>
  <c r="HJ388" i="12"/>
  <c r="HK388" i="12"/>
  <c r="HL388" i="12"/>
  <c r="HM388" i="12"/>
  <c r="HN388" i="12"/>
  <c r="HO388" i="12"/>
  <c r="HP388" i="12"/>
  <c r="HQ388" i="12"/>
  <c r="HR388" i="12"/>
  <c r="HS388" i="12"/>
  <c r="HT388" i="12"/>
  <c r="HU388" i="12"/>
  <c r="HV388" i="12"/>
  <c r="HW388" i="12"/>
  <c r="HX388" i="12"/>
  <c r="HY388" i="12"/>
  <c r="HZ388" i="12"/>
  <c r="IA388" i="12"/>
  <c r="IB388" i="12"/>
  <c r="IC388" i="12"/>
  <c r="ID388" i="12"/>
  <c r="IE388" i="12"/>
  <c r="IF388" i="12"/>
  <c r="IG388" i="12"/>
  <c r="IH388" i="12"/>
  <c r="II388" i="12"/>
  <c r="IJ388" i="12"/>
  <c r="IK388" i="12"/>
  <c r="IL388" i="12"/>
  <c r="IM388" i="12"/>
  <c r="IN388" i="12"/>
  <c r="IO388" i="12"/>
  <c r="IP388" i="12"/>
  <c r="IQ388" i="12"/>
  <c r="IR388" i="12"/>
  <c r="IS388" i="12"/>
  <c r="IT388" i="12"/>
  <c r="IU388" i="12"/>
  <c r="IV388" i="12"/>
  <c r="F389" i="12"/>
  <c r="G389" i="12"/>
  <c r="H389" i="12"/>
  <c r="I389" i="12"/>
  <c r="J389" i="12"/>
  <c r="K389" i="12"/>
  <c r="L389" i="12"/>
  <c r="M389" i="12"/>
  <c r="N389" i="12"/>
  <c r="O389" i="12"/>
  <c r="P389" i="12"/>
  <c r="Q389" i="12"/>
  <c r="R389" i="12"/>
  <c r="S389" i="12"/>
  <c r="T389" i="12"/>
  <c r="U389" i="12"/>
  <c r="V389" i="12"/>
  <c r="W389" i="12"/>
  <c r="X389" i="12"/>
  <c r="Y389" i="12"/>
  <c r="Z389" i="12"/>
  <c r="AA389" i="12"/>
  <c r="AB389" i="12"/>
  <c r="AC389" i="12"/>
  <c r="AD389" i="12"/>
  <c r="AE389" i="12"/>
  <c r="AF389" i="12"/>
  <c r="AG389" i="12"/>
  <c r="AH389" i="12"/>
  <c r="AI389" i="12"/>
  <c r="AJ389" i="12"/>
  <c r="AK389" i="12"/>
  <c r="AL389" i="12"/>
  <c r="AM389" i="12"/>
  <c r="AN389" i="12"/>
  <c r="AO389" i="12"/>
  <c r="AP389" i="12"/>
  <c r="AQ389" i="12"/>
  <c r="AR389" i="12"/>
  <c r="AS389" i="12"/>
  <c r="AT389" i="12"/>
  <c r="AU389" i="12"/>
  <c r="AV389" i="12"/>
  <c r="AW389" i="12"/>
  <c r="AX389" i="12"/>
  <c r="AY389" i="12"/>
  <c r="AZ389" i="12"/>
  <c r="BA389" i="12"/>
  <c r="BB389" i="12"/>
  <c r="BC389" i="12"/>
  <c r="BD389" i="12"/>
  <c r="BE389" i="12"/>
  <c r="BF389" i="12"/>
  <c r="BG389" i="12"/>
  <c r="BH389" i="12"/>
  <c r="BI389" i="12"/>
  <c r="BJ389" i="12"/>
  <c r="BK389" i="12"/>
  <c r="BL389" i="12"/>
  <c r="BM389" i="12"/>
  <c r="BN389" i="12"/>
  <c r="BO389" i="12"/>
  <c r="BP389" i="12"/>
  <c r="BQ389" i="12"/>
  <c r="BR389" i="12"/>
  <c r="BS389" i="12"/>
  <c r="BT389" i="12"/>
  <c r="BU389" i="12"/>
  <c r="BV389" i="12"/>
  <c r="BW389" i="12"/>
  <c r="BX389" i="12"/>
  <c r="BY389" i="12"/>
  <c r="BZ389" i="12"/>
  <c r="CA389" i="12"/>
  <c r="CB389" i="12"/>
  <c r="CC389" i="12"/>
  <c r="CD389" i="12"/>
  <c r="CE389" i="12"/>
  <c r="CF389" i="12"/>
  <c r="CG389" i="12"/>
  <c r="CH389" i="12"/>
  <c r="CI389" i="12"/>
  <c r="CJ389" i="12"/>
  <c r="CK389" i="12"/>
  <c r="CL389" i="12"/>
  <c r="CM389" i="12"/>
  <c r="CN389" i="12"/>
  <c r="CO389" i="12"/>
  <c r="CP389" i="12"/>
  <c r="CQ389" i="12"/>
  <c r="CR389" i="12"/>
  <c r="CS389" i="12"/>
  <c r="CT389" i="12"/>
  <c r="CU389" i="12"/>
  <c r="CV389" i="12"/>
  <c r="CW389" i="12"/>
  <c r="CX389" i="12"/>
  <c r="CY389" i="12"/>
  <c r="CZ389" i="12"/>
  <c r="DA389" i="12"/>
  <c r="DB389" i="12"/>
  <c r="DC389" i="12"/>
  <c r="DD389" i="12"/>
  <c r="DE389" i="12"/>
  <c r="DF389" i="12"/>
  <c r="DG389" i="12"/>
  <c r="DH389" i="12"/>
  <c r="DI389" i="12"/>
  <c r="DJ389" i="12"/>
  <c r="DK389" i="12"/>
  <c r="DL389" i="12"/>
  <c r="DM389" i="12"/>
  <c r="DN389" i="12"/>
  <c r="DO389" i="12"/>
  <c r="DP389" i="12"/>
  <c r="DQ389" i="12"/>
  <c r="DR389" i="12"/>
  <c r="DS389" i="12"/>
  <c r="DT389" i="12"/>
  <c r="DU389" i="12"/>
  <c r="DV389" i="12"/>
  <c r="DW389" i="12"/>
  <c r="DX389" i="12"/>
  <c r="DY389" i="12"/>
  <c r="DZ389" i="12"/>
  <c r="EA389" i="12"/>
  <c r="EB389" i="12"/>
  <c r="EC389" i="12"/>
  <c r="ED389" i="12"/>
  <c r="EE389" i="12"/>
  <c r="EF389" i="12"/>
  <c r="EG389" i="12"/>
  <c r="EH389" i="12"/>
  <c r="EI389" i="12"/>
  <c r="EJ389" i="12"/>
  <c r="EK389" i="12"/>
  <c r="EL389" i="12"/>
  <c r="EM389" i="12"/>
  <c r="EN389" i="12"/>
  <c r="EO389" i="12"/>
  <c r="EP389" i="12"/>
  <c r="EQ389" i="12"/>
  <c r="ER389" i="12"/>
  <c r="ES389" i="12"/>
  <c r="ET389" i="12"/>
  <c r="EU389" i="12"/>
  <c r="EV389" i="12"/>
  <c r="EW389" i="12"/>
  <c r="EX389" i="12"/>
  <c r="EY389" i="12"/>
  <c r="EZ389" i="12"/>
  <c r="FA389" i="12"/>
  <c r="FB389" i="12"/>
  <c r="FC389" i="12"/>
  <c r="FD389" i="12"/>
  <c r="FE389" i="12"/>
  <c r="FF389" i="12"/>
  <c r="FG389" i="12"/>
  <c r="FH389" i="12"/>
  <c r="FI389" i="12"/>
  <c r="FJ389" i="12"/>
  <c r="FK389" i="12"/>
  <c r="FL389" i="12"/>
  <c r="FM389" i="12"/>
  <c r="FN389" i="12"/>
  <c r="FO389" i="12"/>
  <c r="FP389" i="12"/>
  <c r="FQ389" i="12"/>
  <c r="FR389" i="12"/>
  <c r="FS389" i="12"/>
  <c r="FT389" i="12"/>
  <c r="FU389" i="12"/>
  <c r="FV389" i="12"/>
  <c r="FW389" i="12"/>
  <c r="FX389" i="12"/>
  <c r="FY389" i="12"/>
  <c r="FZ389" i="12"/>
  <c r="GA389" i="12"/>
  <c r="GB389" i="12"/>
  <c r="GC389" i="12"/>
  <c r="GD389" i="12"/>
  <c r="GE389" i="12"/>
  <c r="GF389" i="12"/>
  <c r="GG389" i="12"/>
  <c r="GH389" i="12"/>
  <c r="GI389" i="12"/>
  <c r="GJ389" i="12"/>
  <c r="GK389" i="12"/>
  <c r="GL389" i="12"/>
  <c r="GM389" i="12"/>
  <c r="GN389" i="12"/>
  <c r="GO389" i="12"/>
  <c r="GP389" i="12"/>
  <c r="GQ389" i="12"/>
  <c r="GR389" i="12"/>
  <c r="GS389" i="12"/>
  <c r="GT389" i="12"/>
  <c r="GU389" i="12"/>
  <c r="GV389" i="12"/>
  <c r="GW389" i="12"/>
  <c r="GX389" i="12"/>
  <c r="GY389" i="12"/>
  <c r="GZ389" i="12"/>
  <c r="HA389" i="12"/>
  <c r="HB389" i="12"/>
  <c r="HC389" i="12"/>
  <c r="HD389" i="12"/>
  <c r="HE389" i="12"/>
  <c r="HF389" i="12"/>
  <c r="HG389" i="12"/>
  <c r="HH389" i="12"/>
  <c r="HI389" i="12"/>
  <c r="HJ389" i="12"/>
  <c r="HK389" i="12"/>
  <c r="HL389" i="12"/>
  <c r="HM389" i="12"/>
  <c r="HN389" i="12"/>
  <c r="HO389" i="12"/>
  <c r="HP389" i="12"/>
  <c r="HQ389" i="12"/>
  <c r="HR389" i="12"/>
  <c r="HS389" i="12"/>
  <c r="HT389" i="12"/>
  <c r="HU389" i="12"/>
  <c r="HV389" i="12"/>
  <c r="HW389" i="12"/>
  <c r="HX389" i="12"/>
  <c r="HY389" i="12"/>
  <c r="HZ389" i="12"/>
  <c r="IA389" i="12"/>
  <c r="IB389" i="12"/>
  <c r="IC389" i="12"/>
  <c r="ID389" i="12"/>
  <c r="IE389" i="12"/>
  <c r="IF389" i="12"/>
  <c r="IG389" i="12"/>
  <c r="IH389" i="12"/>
  <c r="II389" i="12"/>
  <c r="IJ389" i="12"/>
  <c r="IK389" i="12"/>
  <c r="IL389" i="12"/>
  <c r="IM389" i="12"/>
  <c r="IN389" i="12"/>
  <c r="IO389" i="12"/>
  <c r="IP389" i="12"/>
  <c r="IQ389" i="12"/>
  <c r="IR389" i="12"/>
  <c r="IS389" i="12"/>
  <c r="IT389" i="12"/>
  <c r="IU389" i="12"/>
  <c r="IV389" i="12"/>
  <c r="F390" i="12"/>
  <c r="G390" i="12"/>
  <c r="H390" i="12"/>
  <c r="I390" i="12"/>
  <c r="J390" i="12"/>
  <c r="K390" i="12"/>
  <c r="L390" i="12"/>
  <c r="M390" i="12"/>
  <c r="N390" i="12"/>
  <c r="O390" i="12"/>
  <c r="P390" i="12"/>
  <c r="Q390" i="12"/>
  <c r="R390" i="12"/>
  <c r="S390" i="12"/>
  <c r="T390" i="12"/>
  <c r="U390" i="12"/>
  <c r="V390" i="12"/>
  <c r="W390" i="12"/>
  <c r="X390" i="12"/>
  <c r="Y390" i="12"/>
  <c r="Z390" i="12"/>
  <c r="AA390" i="12"/>
  <c r="AB390" i="12"/>
  <c r="AC390" i="12"/>
  <c r="AD390" i="12"/>
  <c r="AE390" i="12"/>
  <c r="AF390" i="12"/>
  <c r="AG390" i="12"/>
  <c r="AH390" i="12"/>
  <c r="AI390" i="12"/>
  <c r="AJ390" i="12"/>
  <c r="AK390" i="12"/>
  <c r="AL390" i="12"/>
  <c r="AM390" i="12"/>
  <c r="AN390" i="12"/>
  <c r="AO390" i="12"/>
  <c r="AP390" i="12"/>
  <c r="AQ390" i="12"/>
  <c r="AR390" i="12"/>
  <c r="AS390" i="12"/>
  <c r="AT390" i="12"/>
  <c r="AU390" i="12"/>
  <c r="AV390" i="12"/>
  <c r="AW390" i="12"/>
  <c r="AX390" i="12"/>
  <c r="AY390" i="12"/>
  <c r="AZ390" i="12"/>
  <c r="BA390" i="12"/>
  <c r="BB390" i="12"/>
  <c r="BC390" i="12"/>
  <c r="BD390" i="12"/>
  <c r="BE390" i="12"/>
  <c r="BF390" i="12"/>
  <c r="BG390" i="12"/>
  <c r="BH390" i="12"/>
  <c r="BI390" i="12"/>
  <c r="BJ390" i="12"/>
  <c r="BK390" i="12"/>
  <c r="BL390" i="12"/>
  <c r="BM390" i="12"/>
  <c r="BN390" i="12"/>
  <c r="BO390" i="12"/>
  <c r="BP390" i="12"/>
  <c r="BQ390" i="12"/>
  <c r="BR390" i="12"/>
  <c r="BS390" i="12"/>
  <c r="BT390" i="12"/>
  <c r="BU390" i="12"/>
  <c r="BV390" i="12"/>
  <c r="BW390" i="12"/>
  <c r="BX390" i="12"/>
  <c r="BY390" i="12"/>
  <c r="BZ390" i="12"/>
  <c r="CA390" i="12"/>
  <c r="CB390" i="12"/>
  <c r="CC390" i="12"/>
  <c r="CD390" i="12"/>
  <c r="CE390" i="12"/>
  <c r="CF390" i="12"/>
  <c r="CG390" i="12"/>
  <c r="CH390" i="12"/>
  <c r="CI390" i="12"/>
  <c r="CJ390" i="12"/>
  <c r="CK390" i="12"/>
  <c r="CL390" i="12"/>
  <c r="CM390" i="12"/>
  <c r="CN390" i="12"/>
  <c r="CO390" i="12"/>
  <c r="CP390" i="12"/>
  <c r="CQ390" i="12"/>
  <c r="CR390" i="12"/>
  <c r="CS390" i="12"/>
  <c r="CT390" i="12"/>
  <c r="CU390" i="12"/>
  <c r="CV390" i="12"/>
  <c r="CW390" i="12"/>
  <c r="CX390" i="12"/>
  <c r="CY390" i="12"/>
  <c r="CZ390" i="12"/>
  <c r="DA390" i="12"/>
  <c r="DB390" i="12"/>
  <c r="DC390" i="12"/>
  <c r="DD390" i="12"/>
  <c r="DE390" i="12"/>
  <c r="DF390" i="12"/>
  <c r="DG390" i="12"/>
  <c r="DH390" i="12"/>
  <c r="DI390" i="12"/>
  <c r="DJ390" i="12"/>
  <c r="DK390" i="12"/>
  <c r="DL390" i="12"/>
  <c r="DM390" i="12"/>
  <c r="DN390" i="12"/>
  <c r="DO390" i="12"/>
  <c r="DP390" i="12"/>
  <c r="DQ390" i="12"/>
  <c r="DR390" i="12"/>
  <c r="DS390" i="12"/>
  <c r="DT390" i="12"/>
  <c r="DU390" i="12"/>
  <c r="DV390" i="12"/>
  <c r="DW390" i="12"/>
  <c r="DX390" i="12"/>
  <c r="DY390" i="12"/>
  <c r="DZ390" i="12"/>
  <c r="EA390" i="12"/>
  <c r="EB390" i="12"/>
  <c r="EC390" i="12"/>
  <c r="ED390" i="12"/>
  <c r="EE390" i="12"/>
  <c r="EF390" i="12"/>
  <c r="EG390" i="12"/>
  <c r="EH390" i="12"/>
  <c r="EI390" i="12"/>
  <c r="EJ390" i="12"/>
  <c r="EK390" i="12"/>
  <c r="EL390" i="12"/>
  <c r="EM390" i="12"/>
  <c r="EN390" i="12"/>
  <c r="EO390" i="12"/>
  <c r="EP390" i="12"/>
  <c r="EQ390" i="12"/>
  <c r="ER390" i="12"/>
  <c r="ES390" i="12"/>
  <c r="ET390" i="12"/>
  <c r="EU390" i="12"/>
  <c r="EV390" i="12"/>
  <c r="EW390" i="12"/>
  <c r="EX390" i="12"/>
  <c r="EY390" i="12"/>
  <c r="EZ390" i="12"/>
  <c r="FA390" i="12"/>
  <c r="FB390" i="12"/>
  <c r="FC390" i="12"/>
  <c r="FD390" i="12"/>
  <c r="FE390" i="12"/>
  <c r="FF390" i="12"/>
  <c r="FG390" i="12"/>
  <c r="FH390" i="12"/>
  <c r="FI390" i="12"/>
  <c r="FJ390" i="12"/>
  <c r="FK390" i="12"/>
  <c r="FL390" i="12"/>
  <c r="FM390" i="12"/>
  <c r="FN390" i="12"/>
  <c r="FO390" i="12"/>
  <c r="FP390" i="12"/>
  <c r="FQ390" i="12"/>
  <c r="FR390" i="12"/>
  <c r="FS390" i="12"/>
  <c r="FT390" i="12"/>
  <c r="FU390" i="12"/>
  <c r="FV390" i="12"/>
  <c r="FW390" i="12"/>
  <c r="FX390" i="12"/>
  <c r="FY390" i="12"/>
  <c r="FZ390" i="12"/>
  <c r="GA390" i="12"/>
  <c r="GB390" i="12"/>
  <c r="GC390" i="12"/>
  <c r="GD390" i="12"/>
  <c r="GE390" i="12"/>
  <c r="GF390" i="12"/>
  <c r="GG390" i="12"/>
  <c r="GH390" i="12"/>
  <c r="GI390" i="12"/>
  <c r="GJ390" i="12"/>
  <c r="GK390" i="12"/>
  <c r="GL390" i="12"/>
  <c r="GM390" i="12"/>
  <c r="GN390" i="12"/>
  <c r="GO390" i="12"/>
  <c r="GP390" i="12"/>
  <c r="GQ390" i="12"/>
  <c r="GR390" i="12"/>
  <c r="GS390" i="12"/>
  <c r="GT390" i="12"/>
  <c r="GU390" i="12"/>
  <c r="GV390" i="12"/>
  <c r="GW390" i="12"/>
  <c r="GX390" i="12"/>
  <c r="GY390" i="12"/>
  <c r="GZ390" i="12"/>
  <c r="HA390" i="12"/>
  <c r="HB390" i="12"/>
  <c r="HC390" i="12"/>
  <c r="HD390" i="12"/>
  <c r="HE390" i="12"/>
  <c r="HF390" i="12"/>
  <c r="HG390" i="12"/>
  <c r="HH390" i="12"/>
  <c r="HI390" i="12"/>
  <c r="HJ390" i="12"/>
  <c r="HK390" i="12"/>
  <c r="HL390" i="12"/>
  <c r="HM390" i="12"/>
  <c r="HN390" i="12"/>
  <c r="HO390" i="12"/>
  <c r="HP390" i="12"/>
  <c r="HQ390" i="12"/>
  <c r="HR390" i="12"/>
  <c r="HS390" i="12"/>
  <c r="HT390" i="12"/>
  <c r="HU390" i="12"/>
  <c r="HV390" i="12"/>
  <c r="HW390" i="12"/>
  <c r="HX390" i="12"/>
  <c r="HY390" i="12"/>
  <c r="HZ390" i="12"/>
  <c r="IA390" i="12"/>
  <c r="IB390" i="12"/>
  <c r="IC390" i="12"/>
  <c r="ID390" i="12"/>
  <c r="IE390" i="12"/>
  <c r="IF390" i="12"/>
  <c r="IG390" i="12"/>
  <c r="IH390" i="12"/>
  <c r="II390" i="12"/>
  <c r="IJ390" i="12"/>
  <c r="IK390" i="12"/>
  <c r="IL390" i="12"/>
  <c r="IM390" i="12"/>
  <c r="IN390" i="12"/>
  <c r="IO390" i="12"/>
  <c r="IP390" i="12"/>
  <c r="IQ390" i="12"/>
  <c r="IR390" i="12"/>
  <c r="IS390" i="12"/>
  <c r="IT390" i="12"/>
  <c r="IU390" i="12"/>
  <c r="IV390" i="12"/>
  <c r="F391" i="12"/>
  <c r="G391" i="12"/>
  <c r="H391" i="12"/>
  <c r="I391" i="12"/>
  <c r="J391" i="12"/>
  <c r="K391" i="12"/>
  <c r="L391" i="12"/>
  <c r="M391" i="12"/>
  <c r="N391" i="12"/>
  <c r="O391" i="12"/>
  <c r="P391" i="12"/>
  <c r="Q391" i="12"/>
  <c r="R391" i="12"/>
  <c r="S391" i="12"/>
  <c r="T391" i="12"/>
  <c r="U391" i="12"/>
  <c r="V391" i="12"/>
  <c r="W391" i="12"/>
  <c r="X391" i="12"/>
  <c r="Y391" i="12"/>
  <c r="Z391" i="12"/>
  <c r="AA391" i="12"/>
  <c r="AB391" i="12"/>
  <c r="AC391" i="12"/>
  <c r="AD391" i="12"/>
  <c r="AE391" i="12"/>
  <c r="AF391" i="12"/>
  <c r="AG391" i="12"/>
  <c r="AH391" i="12"/>
  <c r="AI391" i="12"/>
  <c r="AJ391" i="12"/>
  <c r="AK391" i="12"/>
  <c r="AL391" i="12"/>
  <c r="AM391" i="12"/>
  <c r="AN391" i="12"/>
  <c r="AO391" i="12"/>
  <c r="AP391" i="12"/>
  <c r="AQ391" i="12"/>
  <c r="AR391" i="12"/>
  <c r="AS391" i="12"/>
  <c r="AT391" i="12"/>
  <c r="AU391" i="12"/>
  <c r="AV391" i="12"/>
  <c r="AW391" i="12"/>
  <c r="AX391" i="12"/>
  <c r="AY391" i="12"/>
  <c r="AZ391" i="12"/>
  <c r="BA391" i="12"/>
  <c r="BB391" i="12"/>
  <c r="BC391" i="12"/>
  <c r="BD391" i="12"/>
  <c r="BE391" i="12"/>
  <c r="BF391" i="12"/>
  <c r="BG391" i="12"/>
  <c r="BH391" i="12"/>
  <c r="BI391" i="12"/>
  <c r="BJ391" i="12"/>
  <c r="BK391" i="12"/>
  <c r="BL391" i="12"/>
  <c r="BM391" i="12"/>
  <c r="BN391" i="12"/>
  <c r="BO391" i="12"/>
  <c r="BP391" i="12"/>
  <c r="BQ391" i="12"/>
  <c r="BR391" i="12"/>
  <c r="BS391" i="12"/>
  <c r="BT391" i="12"/>
  <c r="BU391" i="12"/>
  <c r="BV391" i="12"/>
  <c r="BW391" i="12"/>
  <c r="BX391" i="12"/>
  <c r="BY391" i="12"/>
  <c r="BZ391" i="12"/>
  <c r="CA391" i="12"/>
  <c r="CB391" i="12"/>
  <c r="CC391" i="12"/>
  <c r="CD391" i="12"/>
  <c r="CE391" i="12"/>
  <c r="CF391" i="12"/>
  <c r="CG391" i="12"/>
  <c r="CH391" i="12"/>
  <c r="CI391" i="12"/>
  <c r="CJ391" i="12"/>
  <c r="CK391" i="12"/>
  <c r="CL391" i="12"/>
  <c r="CM391" i="12"/>
  <c r="CN391" i="12"/>
  <c r="CO391" i="12"/>
  <c r="CP391" i="12"/>
  <c r="CQ391" i="12"/>
  <c r="CR391" i="12"/>
  <c r="CS391" i="12"/>
  <c r="CT391" i="12"/>
  <c r="CU391" i="12"/>
  <c r="CV391" i="12"/>
  <c r="CW391" i="12"/>
  <c r="CX391" i="12"/>
  <c r="CY391" i="12"/>
  <c r="CZ391" i="12"/>
  <c r="DA391" i="12"/>
  <c r="DB391" i="12"/>
  <c r="DC391" i="12"/>
  <c r="DD391" i="12"/>
  <c r="DE391" i="12"/>
  <c r="DF391" i="12"/>
  <c r="DG391" i="12"/>
  <c r="DH391" i="12"/>
  <c r="DI391" i="12"/>
  <c r="DJ391" i="12"/>
  <c r="DK391" i="12"/>
  <c r="DL391" i="12"/>
  <c r="DM391" i="12"/>
  <c r="DN391" i="12"/>
  <c r="DO391" i="12"/>
  <c r="DP391" i="12"/>
  <c r="DQ391" i="12"/>
  <c r="DR391" i="12"/>
  <c r="DS391" i="12"/>
  <c r="DT391" i="12"/>
  <c r="DU391" i="12"/>
  <c r="DV391" i="12"/>
  <c r="DW391" i="12"/>
  <c r="DX391" i="12"/>
  <c r="DY391" i="12"/>
  <c r="DZ391" i="12"/>
  <c r="EA391" i="12"/>
  <c r="EB391" i="12"/>
  <c r="EC391" i="12"/>
  <c r="ED391" i="12"/>
  <c r="EE391" i="12"/>
  <c r="EF391" i="12"/>
  <c r="EG391" i="12"/>
  <c r="EH391" i="12"/>
  <c r="EI391" i="12"/>
  <c r="EJ391" i="12"/>
  <c r="EK391" i="12"/>
  <c r="EL391" i="12"/>
  <c r="EM391" i="12"/>
  <c r="EN391" i="12"/>
  <c r="EO391" i="12"/>
  <c r="EP391" i="12"/>
  <c r="EQ391" i="12"/>
  <c r="ER391" i="12"/>
  <c r="ES391" i="12"/>
  <c r="ET391" i="12"/>
  <c r="EU391" i="12"/>
  <c r="EV391" i="12"/>
  <c r="EW391" i="12"/>
  <c r="EX391" i="12"/>
  <c r="EY391" i="12"/>
  <c r="EZ391" i="12"/>
  <c r="FA391" i="12"/>
  <c r="FB391" i="12"/>
  <c r="FC391" i="12"/>
  <c r="FD391" i="12"/>
  <c r="FE391" i="12"/>
  <c r="FF391" i="12"/>
  <c r="FG391" i="12"/>
  <c r="FH391" i="12"/>
  <c r="FI391" i="12"/>
  <c r="FJ391" i="12"/>
  <c r="FK391" i="12"/>
  <c r="FL391" i="12"/>
  <c r="FM391" i="12"/>
  <c r="FN391" i="12"/>
  <c r="FO391" i="12"/>
  <c r="FP391" i="12"/>
  <c r="FQ391" i="12"/>
  <c r="FR391" i="12"/>
  <c r="FS391" i="12"/>
  <c r="FT391" i="12"/>
  <c r="FU391" i="12"/>
  <c r="FV391" i="12"/>
  <c r="FW391" i="12"/>
  <c r="FX391" i="12"/>
  <c r="FY391" i="12"/>
  <c r="FZ391" i="12"/>
  <c r="GA391" i="12"/>
  <c r="GB391" i="12"/>
  <c r="GC391" i="12"/>
  <c r="GD391" i="12"/>
  <c r="GE391" i="12"/>
  <c r="GF391" i="12"/>
  <c r="GG391" i="12"/>
  <c r="GH391" i="12"/>
  <c r="GI391" i="12"/>
  <c r="GJ391" i="12"/>
  <c r="GK391" i="12"/>
  <c r="GL391" i="12"/>
  <c r="GM391" i="12"/>
  <c r="GN391" i="12"/>
  <c r="GO391" i="12"/>
  <c r="GP391" i="12"/>
  <c r="GQ391" i="12"/>
  <c r="GR391" i="12"/>
  <c r="GS391" i="12"/>
  <c r="GT391" i="12"/>
  <c r="GU391" i="12"/>
  <c r="GV391" i="12"/>
  <c r="GW391" i="12"/>
  <c r="GX391" i="12"/>
  <c r="GY391" i="12"/>
  <c r="GZ391" i="12"/>
  <c r="HA391" i="12"/>
  <c r="HB391" i="12"/>
  <c r="HC391" i="12"/>
  <c r="HD391" i="12"/>
  <c r="HE391" i="12"/>
  <c r="HF391" i="12"/>
  <c r="HG391" i="12"/>
  <c r="HH391" i="12"/>
  <c r="HI391" i="12"/>
  <c r="HJ391" i="12"/>
  <c r="HK391" i="12"/>
  <c r="HL391" i="12"/>
  <c r="HM391" i="12"/>
  <c r="HN391" i="12"/>
  <c r="HO391" i="12"/>
  <c r="HP391" i="12"/>
  <c r="HQ391" i="12"/>
  <c r="HR391" i="12"/>
  <c r="HS391" i="12"/>
  <c r="HT391" i="12"/>
  <c r="HU391" i="12"/>
  <c r="HV391" i="12"/>
  <c r="HW391" i="12"/>
  <c r="HX391" i="12"/>
  <c r="HY391" i="12"/>
  <c r="HZ391" i="12"/>
  <c r="IA391" i="12"/>
  <c r="IB391" i="12"/>
  <c r="IC391" i="12"/>
  <c r="ID391" i="12"/>
  <c r="IE391" i="12"/>
  <c r="IF391" i="12"/>
  <c r="IG391" i="12"/>
  <c r="IH391" i="12"/>
  <c r="II391" i="12"/>
  <c r="IJ391" i="12"/>
  <c r="IK391" i="12"/>
  <c r="IL391" i="12"/>
  <c r="IM391" i="12"/>
  <c r="IN391" i="12"/>
  <c r="IO391" i="12"/>
  <c r="IP391" i="12"/>
  <c r="IQ391" i="12"/>
  <c r="IR391" i="12"/>
  <c r="IS391" i="12"/>
  <c r="IT391" i="12"/>
  <c r="IU391" i="12"/>
  <c r="IV391" i="12"/>
  <c r="F392" i="12"/>
  <c r="G392" i="12"/>
  <c r="H392" i="12"/>
  <c r="I392" i="12"/>
  <c r="J392" i="12"/>
  <c r="K392" i="12"/>
  <c r="L392" i="12"/>
  <c r="M392" i="12"/>
  <c r="N392" i="12"/>
  <c r="O392" i="12"/>
  <c r="P392" i="12"/>
  <c r="Q392" i="12"/>
  <c r="R392" i="12"/>
  <c r="S392" i="12"/>
  <c r="T392" i="12"/>
  <c r="U392" i="12"/>
  <c r="V392" i="12"/>
  <c r="W392" i="12"/>
  <c r="X392" i="12"/>
  <c r="Y392" i="12"/>
  <c r="Z392" i="12"/>
  <c r="AA392" i="12"/>
  <c r="AB392" i="12"/>
  <c r="AC392" i="12"/>
  <c r="AD392" i="12"/>
  <c r="AE392" i="12"/>
  <c r="AF392" i="12"/>
  <c r="AG392" i="12"/>
  <c r="AH392" i="12"/>
  <c r="AI392" i="12"/>
  <c r="AJ392" i="12"/>
  <c r="AK392" i="12"/>
  <c r="AL392" i="12"/>
  <c r="AM392" i="12"/>
  <c r="AN392" i="12"/>
  <c r="AO392" i="12"/>
  <c r="AP392" i="12"/>
  <c r="AQ392" i="12"/>
  <c r="AR392" i="12"/>
  <c r="AS392" i="12"/>
  <c r="AT392" i="12"/>
  <c r="AU392" i="12"/>
  <c r="AV392" i="12"/>
  <c r="AW392" i="12"/>
  <c r="AX392" i="12"/>
  <c r="AY392" i="12"/>
  <c r="AZ392" i="12"/>
  <c r="BA392" i="12"/>
  <c r="BB392" i="12"/>
  <c r="BC392" i="12"/>
  <c r="BD392" i="12"/>
  <c r="BE392" i="12"/>
  <c r="BF392" i="12"/>
  <c r="BG392" i="12"/>
  <c r="BH392" i="12"/>
  <c r="BI392" i="12"/>
  <c r="BJ392" i="12"/>
  <c r="BK392" i="12"/>
  <c r="BL392" i="12"/>
  <c r="BM392" i="12"/>
  <c r="BN392" i="12"/>
  <c r="BO392" i="12"/>
  <c r="BP392" i="12"/>
  <c r="BQ392" i="12"/>
  <c r="BR392" i="12"/>
  <c r="BS392" i="12"/>
  <c r="BT392" i="12"/>
  <c r="BU392" i="12"/>
  <c r="BV392" i="12"/>
  <c r="BW392" i="12"/>
  <c r="BX392" i="12"/>
  <c r="BY392" i="12"/>
  <c r="BZ392" i="12"/>
  <c r="CA392" i="12"/>
  <c r="CB392" i="12"/>
  <c r="CC392" i="12"/>
  <c r="CD392" i="12"/>
  <c r="CE392" i="12"/>
  <c r="CF392" i="12"/>
  <c r="CG392" i="12"/>
  <c r="CH392" i="12"/>
  <c r="CI392" i="12"/>
  <c r="CJ392" i="12"/>
  <c r="CK392" i="12"/>
  <c r="CL392" i="12"/>
  <c r="CM392" i="12"/>
  <c r="CN392" i="12"/>
  <c r="CO392" i="12"/>
  <c r="CP392" i="12"/>
  <c r="CQ392" i="12"/>
  <c r="CR392" i="12"/>
  <c r="CS392" i="12"/>
  <c r="CT392" i="12"/>
  <c r="CU392" i="12"/>
  <c r="CV392" i="12"/>
  <c r="CW392" i="12"/>
  <c r="CX392" i="12"/>
  <c r="CY392" i="12"/>
  <c r="CZ392" i="12"/>
  <c r="DA392" i="12"/>
  <c r="DB392" i="12"/>
  <c r="DC392" i="12"/>
  <c r="DD392" i="12"/>
  <c r="DE392" i="12"/>
  <c r="DF392" i="12"/>
  <c r="DG392" i="12"/>
  <c r="DH392" i="12"/>
  <c r="DI392" i="12"/>
  <c r="DJ392" i="12"/>
  <c r="DK392" i="12"/>
  <c r="DL392" i="12"/>
  <c r="DM392" i="12"/>
  <c r="DN392" i="12"/>
  <c r="DO392" i="12"/>
  <c r="DP392" i="12"/>
  <c r="DQ392" i="12"/>
  <c r="DR392" i="12"/>
  <c r="DS392" i="12"/>
  <c r="DT392" i="12"/>
  <c r="DU392" i="12"/>
  <c r="DV392" i="12"/>
  <c r="DW392" i="12"/>
  <c r="DX392" i="12"/>
  <c r="DY392" i="12"/>
  <c r="DZ392" i="12"/>
  <c r="EA392" i="12"/>
  <c r="EB392" i="12"/>
  <c r="EC392" i="12"/>
  <c r="ED392" i="12"/>
  <c r="EE392" i="12"/>
  <c r="EF392" i="12"/>
  <c r="EG392" i="12"/>
  <c r="EH392" i="12"/>
  <c r="EI392" i="12"/>
  <c r="EJ392" i="12"/>
  <c r="EK392" i="12"/>
  <c r="EL392" i="12"/>
  <c r="EM392" i="12"/>
  <c r="EN392" i="12"/>
  <c r="EO392" i="12"/>
  <c r="EP392" i="12"/>
  <c r="EQ392" i="12"/>
  <c r="ER392" i="12"/>
  <c r="ES392" i="12"/>
  <c r="ET392" i="12"/>
  <c r="EU392" i="12"/>
  <c r="EV392" i="12"/>
  <c r="EW392" i="12"/>
  <c r="EX392" i="12"/>
  <c r="EY392" i="12"/>
  <c r="EZ392" i="12"/>
  <c r="FA392" i="12"/>
  <c r="FB392" i="12"/>
  <c r="FC392" i="12"/>
  <c r="FD392" i="12"/>
  <c r="FE392" i="12"/>
  <c r="FF392" i="12"/>
  <c r="FG392" i="12"/>
  <c r="FH392" i="12"/>
  <c r="FI392" i="12"/>
  <c r="FJ392" i="12"/>
  <c r="FK392" i="12"/>
  <c r="FL392" i="12"/>
  <c r="FM392" i="12"/>
  <c r="FN392" i="12"/>
  <c r="FO392" i="12"/>
  <c r="FP392" i="12"/>
  <c r="FQ392" i="12"/>
  <c r="FR392" i="12"/>
  <c r="FS392" i="12"/>
  <c r="FT392" i="12"/>
  <c r="FU392" i="12"/>
  <c r="FV392" i="12"/>
  <c r="FW392" i="12"/>
  <c r="FX392" i="12"/>
  <c r="FY392" i="12"/>
  <c r="FZ392" i="12"/>
  <c r="GA392" i="12"/>
  <c r="GB392" i="12"/>
  <c r="GC392" i="12"/>
  <c r="GD392" i="12"/>
  <c r="GE392" i="12"/>
  <c r="GF392" i="12"/>
  <c r="GG392" i="12"/>
  <c r="GH392" i="12"/>
  <c r="GI392" i="12"/>
  <c r="GJ392" i="12"/>
  <c r="GK392" i="12"/>
  <c r="GL392" i="12"/>
  <c r="GM392" i="12"/>
  <c r="GN392" i="12"/>
  <c r="GO392" i="12"/>
  <c r="GP392" i="12"/>
  <c r="GQ392" i="12"/>
  <c r="GR392" i="12"/>
  <c r="GS392" i="12"/>
  <c r="GT392" i="12"/>
  <c r="GU392" i="12"/>
  <c r="GV392" i="12"/>
  <c r="GW392" i="12"/>
  <c r="GX392" i="12"/>
  <c r="GY392" i="12"/>
  <c r="GZ392" i="12"/>
  <c r="HA392" i="12"/>
  <c r="HB392" i="12"/>
  <c r="HC392" i="12"/>
  <c r="HD392" i="12"/>
  <c r="HE392" i="12"/>
  <c r="HF392" i="12"/>
  <c r="HG392" i="12"/>
  <c r="HH392" i="12"/>
  <c r="HI392" i="12"/>
  <c r="HJ392" i="12"/>
  <c r="HK392" i="12"/>
  <c r="HL392" i="12"/>
  <c r="HM392" i="12"/>
  <c r="HN392" i="12"/>
  <c r="HO392" i="12"/>
  <c r="HP392" i="12"/>
  <c r="HQ392" i="12"/>
  <c r="HR392" i="12"/>
  <c r="HS392" i="12"/>
  <c r="HT392" i="12"/>
  <c r="HU392" i="12"/>
  <c r="HV392" i="12"/>
  <c r="HW392" i="12"/>
  <c r="HX392" i="12"/>
  <c r="HY392" i="12"/>
  <c r="HZ392" i="12"/>
  <c r="IA392" i="12"/>
  <c r="IB392" i="12"/>
  <c r="IC392" i="12"/>
  <c r="ID392" i="12"/>
  <c r="IE392" i="12"/>
  <c r="IF392" i="12"/>
  <c r="IG392" i="12"/>
  <c r="IH392" i="12"/>
  <c r="II392" i="12"/>
  <c r="IJ392" i="12"/>
  <c r="IK392" i="12"/>
  <c r="IL392" i="12"/>
  <c r="IM392" i="12"/>
  <c r="IN392" i="12"/>
  <c r="IO392" i="12"/>
  <c r="IP392" i="12"/>
  <c r="IQ392" i="12"/>
  <c r="IR392" i="12"/>
  <c r="IS392" i="12"/>
  <c r="IT392" i="12"/>
  <c r="IU392" i="12"/>
  <c r="IV392" i="12"/>
  <c r="F393" i="12"/>
  <c r="G393" i="12"/>
  <c r="H393" i="12"/>
  <c r="I393" i="12"/>
  <c r="J393" i="12"/>
  <c r="K393" i="12"/>
  <c r="L393" i="12"/>
  <c r="M393" i="12"/>
  <c r="N393" i="12"/>
  <c r="O393" i="12"/>
  <c r="P393" i="12"/>
  <c r="Q393" i="12"/>
  <c r="R393" i="12"/>
  <c r="S393" i="12"/>
  <c r="T393" i="12"/>
  <c r="U393" i="12"/>
  <c r="V393" i="12"/>
  <c r="W393" i="12"/>
  <c r="X393" i="12"/>
  <c r="Y393" i="12"/>
  <c r="Z393" i="12"/>
  <c r="AA393" i="12"/>
  <c r="AB393" i="12"/>
  <c r="AC393" i="12"/>
  <c r="AD393" i="12"/>
  <c r="AE393" i="12"/>
  <c r="AF393" i="12"/>
  <c r="AG393" i="12"/>
  <c r="AH393" i="12"/>
  <c r="AI393" i="12"/>
  <c r="AJ393" i="12"/>
  <c r="AK393" i="12"/>
  <c r="AL393" i="12"/>
  <c r="AM393" i="12"/>
  <c r="AN393" i="12"/>
  <c r="AO393" i="12"/>
  <c r="AP393" i="12"/>
  <c r="AQ393" i="12"/>
  <c r="AR393" i="12"/>
  <c r="AS393" i="12"/>
  <c r="AT393" i="12"/>
  <c r="AU393" i="12"/>
  <c r="AV393" i="12"/>
  <c r="AW393" i="12"/>
  <c r="AX393" i="12"/>
  <c r="AY393" i="12"/>
  <c r="AZ393" i="12"/>
  <c r="BA393" i="12"/>
  <c r="BB393" i="12"/>
  <c r="BC393" i="12"/>
  <c r="BD393" i="12"/>
  <c r="BE393" i="12"/>
  <c r="BF393" i="12"/>
  <c r="BG393" i="12"/>
  <c r="BH393" i="12"/>
  <c r="BI393" i="12"/>
  <c r="BJ393" i="12"/>
  <c r="BK393" i="12"/>
  <c r="BL393" i="12"/>
  <c r="BM393" i="12"/>
  <c r="BN393" i="12"/>
  <c r="BO393" i="12"/>
  <c r="BP393" i="12"/>
  <c r="BQ393" i="12"/>
  <c r="BR393" i="12"/>
  <c r="BS393" i="12"/>
  <c r="BT393" i="12"/>
  <c r="BU393" i="12"/>
  <c r="BV393" i="12"/>
  <c r="BW393" i="12"/>
  <c r="BX393" i="12"/>
  <c r="BY393" i="12"/>
  <c r="BZ393" i="12"/>
  <c r="CA393" i="12"/>
  <c r="CB393" i="12"/>
  <c r="CC393" i="12"/>
  <c r="CD393" i="12"/>
  <c r="CE393" i="12"/>
  <c r="CF393" i="12"/>
  <c r="CG393" i="12"/>
  <c r="CH393" i="12"/>
  <c r="CI393" i="12"/>
  <c r="CJ393" i="12"/>
  <c r="CK393" i="12"/>
  <c r="CL393" i="12"/>
  <c r="CM393" i="12"/>
  <c r="CN393" i="12"/>
  <c r="CO393" i="12"/>
  <c r="CP393" i="12"/>
  <c r="CQ393" i="12"/>
  <c r="CR393" i="12"/>
  <c r="CS393" i="12"/>
  <c r="CT393" i="12"/>
  <c r="CU393" i="12"/>
  <c r="CV393" i="12"/>
  <c r="CW393" i="12"/>
  <c r="CX393" i="12"/>
  <c r="CY393" i="12"/>
  <c r="CZ393" i="12"/>
  <c r="DA393" i="12"/>
  <c r="DB393" i="12"/>
  <c r="DC393" i="12"/>
  <c r="DD393" i="12"/>
  <c r="DE393" i="12"/>
  <c r="DF393" i="12"/>
  <c r="DG393" i="12"/>
  <c r="DH393" i="12"/>
  <c r="DI393" i="12"/>
  <c r="DJ393" i="12"/>
  <c r="DK393" i="12"/>
  <c r="DL393" i="12"/>
  <c r="DM393" i="12"/>
  <c r="DN393" i="12"/>
  <c r="DO393" i="12"/>
  <c r="DP393" i="12"/>
  <c r="DQ393" i="12"/>
  <c r="DR393" i="12"/>
  <c r="DS393" i="12"/>
  <c r="DT393" i="12"/>
  <c r="DU393" i="12"/>
  <c r="DV393" i="12"/>
  <c r="DW393" i="12"/>
  <c r="DX393" i="12"/>
  <c r="DY393" i="12"/>
  <c r="DZ393" i="12"/>
  <c r="EA393" i="12"/>
  <c r="EB393" i="12"/>
  <c r="EC393" i="12"/>
  <c r="ED393" i="12"/>
  <c r="EE393" i="12"/>
  <c r="EF393" i="12"/>
  <c r="EG393" i="12"/>
  <c r="EH393" i="12"/>
  <c r="EI393" i="12"/>
  <c r="EJ393" i="12"/>
  <c r="EK393" i="12"/>
  <c r="EL393" i="12"/>
  <c r="EM393" i="12"/>
  <c r="EN393" i="12"/>
  <c r="EO393" i="12"/>
  <c r="EP393" i="12"/>
  <c r="EQ393" i="12"/>
  <c r="ER393" i="12"/>
  <c r="ES393" i="12"/>
  <c r="ET393" i="12"/>
  <c r="EU393" i="12"/>
  <c r="EV393" i="12"/>
  <c r="EW393" i="12"/>
  <c r="EX393" i="12"/>
  <c r="EY393" i="12"/>
  <c r="EZ393" i="12"/>
  <c r="FA393" i="12"/>
  <c r="FB393" i="12"/>
  <c r="FC393" i="12"/>
  <c r="FD393" i="12"/>
  <c r="FE393" i="12"/>
  <c r="FF393" i="12"/>
  <c r="FG393" i="12"/>
  <c r="FH393" i="12"/>
  <c r="FI393" i="12"/>
  <c r="FJ393" i="12"/>
  <c r="FK393" i="12"/>
  <c r="FL393" i="12"/>
  <c r="FM393" i="12"/>
  <c r="FN393" i="12"/>
  <c r="FO393" i="12"/>
  <c r="FP393" i="12"/>
  <c r="FQ393" i="12"/>
  <c r="FR393" i="12"/>
  <c r="FS393" i="12"/>
  <c r="FT393" i="12"/>
  <c r="FU393" i="12"/>
  <c r="FV393" i="12"/>
  <c r="FW393" i="12"/>
  <c r="FX393" i="12"/>
  <c r="FY393" i="12"/>
  <c r="FZ393" i="12"/>
  <c r="GA393" i="12"/>
  <c r="GB393" i="12"/>
  <c r="GC393" i="12"/>
  <c r="GD393" i="12"/>
  <c r="GE393" i="12"/>
  <c r="GF393" i="12"/>
  <c r="GG393" i="12"/>
  <c r="GH393" i="12"/>
  <c r="GI393" i="12"/>
  <c r="GJ393" i="12"/>
  <c r="GK393" i="12"/>
  <c r="GL393" i="12"/>
  <c r="GM393" i="12"/>
  <c r="GN393" i="12"/>
  <c r="GO393" i="12"/>
  <c r="GP393" i="12"/>
  <c r="GQ393" i="12"/>
  <c r="GR393" i="12"/>
  <c r="GS393" i="12"/>
  <c r="GT393" i="12"/>
  <c r="GU393" i="12"/>
  <c r="GV393" i="12"/>
  <c r="GW393" i="12"/>
  <c r="GX393" i="12"/>
  <c r="GY393" i="12"/>
  <c r="GZ393" i="12"/>
  <c r="HA393" i="12"/>
  <c r="HB393" i="12"/>
  <c r="HC393" i="12"/>
  <c r="HD393" i="12"/>
  <c r="HE393" i="12"/>
  <c r="HF393" i="12"/>
  <c r="HG393" i="12"/>
  <c r="HH393" i="12"/>
  <c r="HI393" i="12"/>
  <c r="HJ393" i="12"/>
  <c r="HK393" i="12"/>
  <c r="HL393" i="12"/>
  <c r="HM393" i="12"/>
  <c r="HN393" i="12"/>
  <c r="HO393" i="12"/>
  <c r="HP393" i="12"/>
  <c r="HQ393" i="12"/>
  <c r="HR393" i="12"/>
  <c r="HS393" i="12"/>
  <c r="HT393" i="12"/>
  <c r="HU393" i="12"/>
  <c r="HV393" i="12"/>
  <c r="HW393" i="12"/>
  <c r="HX393" i="12"/>
  <c r="HY393" i="12"/>
  <c r="HZ393" i="12"/>
  <c r="IA393" i="12"/>
  <c r="IB393" i="12"/>
  <c r="IC393" i="12"/>
  <c r="ID393" i="12"/>
  <c r="IE393" i="12"/>
  <c r="IF393" i="12"/>
  <c r="IG393" i="12"/>
  <c r="IH393" i="12"/>
  <c r="II393" i="12"/>
  <c r="IJ393" i="12"/>
  <c r="IK393" i="12"/>
  <c r="IL393" i="12"/>
  <c r="IM393" i="12"/>
  <c r="IN393" i="12"/>
  <c r="IO393" i="12"/>
  <c r="IP393" i="12"/>
  <c r="IQ393" i="12"/>
  <c r="IR393" i="12"/>
  <c r="IS393" i="12"/>
  <c r="IT393" i="12"/>
  <c r="IU393" i="12"/>
  <c r="IV393" i="12"/>
  <c r="F394" i="12"/>
  <c r="G394" i="12"/>
  <c r="H394" i="12"/>
  <c r="I394" i="12"/>
  <c r="J394" i="12"/>
  <c r="K394" i="12"/>
  <c r="L394" i="12"/>
  <c r="M394" i="12"/>
  <c r="N394" i="12"/>
  <c r="O394" i="12"/>
  <c r="P394" i="12"/>
  <c r="Q394" i="12"/>
  <c r="R394" i="12"/>
  <c r="S394" i="12"/>
  <c r="T394" i="12"/>
  <c r="U394" i="12"/>
  <c r="V394" i="12"/>
  <c r="W394" i="12"/>
  <c r="X394" i="12"/>
  <c r="Y394" i="12"/>
  <c r="Z394" i="12"/>
  <c r="AA394" i="12"/>
  <c r="AB394" i="12"/>
  <c r="AC394" i="12"/>
  <c r="AD394" i="12"/>
  <c r="AE394" i="12"/>
  <c r="AF394" i="12"/>
  <c r="AG394" i="12"/>
  <c r="AH394" i="12"/>
  <c r="AI394" i="12"/>
  <c r="AJ394" i="12"/>
  <c r="AK394" i="12"/>
  <c r="AL394" i="12"/>
  <c r="AM394" i="12"/>
  <c r="AN394" i="12"/>
  <c r="AO394" i="12"/>
  <c r="AP394" i="12"/>
  <c r="AQ394" i="12"/>
  <c r="AR394" i="12"/>
  <c r="AS394" i="12"/>
  <c r="AT394" i="12"/>
  <c r="AU394" i="12"/>
  <c r="AV394" i="12"/>
  <c r="AW394" i="12"/>
  <c r="AX394" i="12"/>
  <c r="AY394" i="12"/>
  <c r="AZ394" i="12"/>
  <c r="BA394" i="12"/>
  <c r="BB394" i="12"/>
  <c r="BC394" i="12"/>
  <c r="BD394" i="12"/>
  <c r="BE394" i="12"/>
  <c r="BF394" i="12"/>
  <c r="BG394" i="12"/>
  <c r="BH394" i="12"/>
  <c r="BI394" i="12"/>
  <c r="BJ394" i="12"/>
  <c r="BK394" i="12"/>
  <c r="BL394" i="12"/>
  <c r="BM394" i="12"/>
  <c r="BN394" i="12"/>
  <c r="BO394" i="12"/>
  <c r="BP394" i="12"/>
  <c r="BQ394" i="12"/>
  <c r="BR394" i="12"/>
  <c r="BS394" i="12"/>
  <c r="BT394" i="12"/>
  <c r="BU394" i="12"/>
  <c r="BV394" i="12"/>
  <c r="BW394" i="12"/>
  <c r="BX394" i="12"/>
  <c r="BY394" i="12"/>
  <c r="BZ394" i="12"/>
  <c r="CA394" i="12"/>
  <c r="CB394" i="12"/>
  <c r="CC394" i="12"/>
  <c r="CD394" i="12"/>
  <c r="CE394" i="12"/>
  <c r="CF394" i="12"/>
  <c r="CG394" i="12"/>
  <c r="CH394" i="12"/>
  <c r="CI394" i="12"/>
  <c r="CJ394" i="12"/>
  <c r="CK394" i="12"/>
  <c r="CL394" i="12"/>
  <c r="CM394" i="12"/>
  <c r="CN394" i="12"/>
  <c r="CO394" i="12"/>
  <c r="CP394" i="12"/>
  <c r="CQ394" i="12"/>
  <c r="CR394" i="12"/>
  <c r="CS394" i="12"/>
  <c r="CT394" i="12"/>
  <c r="CU394" i="12"/>
  <c r="CV394" i="12"/>
  <c r="CW394" i="12"/>
  <c r="CX394" i="12"/>
  <c r="CY394" i="12"/>
  <c r="CZ394" i="12"/>
  <c r="DA394" i="12"/>
  <c r="DB394" i="12"/>
  <c r="DC394" i="12"/>
  <c r="DD394" i="12"/>
  <c r="DE394" i="12"/>
  <c r="DF394" i="12"/>
  <c r="DG394" i="12"/>
  <c r="DH394" i="12"/>
  <c r="DI394" i="12"/>
  <c r="DJ394" i="12"/>
  <c r="DK394" i="12"/>
  <c r="DL394" i="12"/>
  <c r="DM394" i="12"/>
  <c r="DN394" i="12"/>
  <c r="DO394" i="12"/>
  <c r="DP394" i="12"/>
  <c r="DQ394" i="12"/>
  <c r="DR394" i="12"/>
  <c r="DS394" i="12"/>
  <c r="DT394" i="12"/>
  <c r="DU394" i="12"/>
  <c r="DV394" i="12"/>
  <c r="DW394" i="12"/>
  <c r="DX394" i="12"/>
  <c r="DY394" i="12"/>
  <c r="DZ394" i="12"/>
  <c r="EA394" i="12"/>
  <c r="EB394" i="12"/>
  <c r="EC394" i="12"/>
  <c r="ED394" i="12"/>
  <c r="EE394" i="12"/>
  <c r="EF394" i="12"/>
  <c r="EG394" i="12"/>
  <c r="EH394" i="12"/>
  <c r="EI394" i="12"/>
  <c r="EJ394" i="12"/>
  <c r="EK394" i="12"/>
  <c r="EL394" i="12"/>
  <c r="EM394" i="12"/>
  <c r="EN394" i="12"/>
  <c r="EO394" i="12"/>
  <c r="EP394" i="12"/>
  <c r="EQ394" i="12"/>
  <c r="ER394" i="12"/>
  <c r="ES394" i="12"/>
  <c r="ET394" i="12"/>
  <c r="EU394" i="12"/>
  <c r="EV394" i="12"/>
  <c r="EW394" i="12"/>
  <c r="EX394" i="12"/>
  <c r="EY394" i="12"/>
  <c r="EZ394" i="12"/>
  <c r="FA394" i="12"/>
  <c r="FB394" i="12"/>
  <c r="FC394" i="12"/>
  <c r="FD394" i="12"/>
  <c r="FE394" i="12"/>
  <c r="FF394" i="12"/>
  <c r="FG394" i="12"/>
  <c r="FH394" i="12"/>
  <c r="FI394" i="12"/>
  <c r="FJ394" i="12"/>
  <c r="FK394" i="12"/>
  <c r="FL394" i="12"/>
  <c r="FM394" i="12"/>
  <c r="FN394" i="12"/>
  <c r="FO394" i="12"/>
  <c r="FP394" i="12"/>
  <c r="FQ394" i="12"/>
  <c r="FR394" i="12"/>
  <c r="FS394" i="12"/>
  <c r="FT394" i="12"/>
  <c r="FU394" i="12"/>
  <c r="FV394" i="12"/>
  <c r="FW394" i="12"/>
  <c r="FX394" i="12"/>
  <c r="FY394" i="12"/>
  <c r="FZ394" i="12"/>
  <c r="GA394" i="12"/>
  <c r="GB394" i="12"/>
  <c r="GC394" i="12"/>
  <c r="GD394" i="12"/>
  <c r="GE394" i="12"/>
  <c r="GF394" i="12"/>
  <c r="GG394" i="12"/>
  <c r="GH394" i="12"/>
  <c r="GI394" i="12"/>
  <c r="GJ394" i="12"/>
  <c r="GK394" i="12"/>
  <c r="GL394" i="12"/>
  <c r="GM394" i="12"/>
  <c r="GN394" i="12"/>
  <c r="GO394" i="12"/>
  <c r="GP394" i="12"/>
  <c r="GQ394" i="12"/>
  <c r="GR394" i="12"/>
  <c r="GS394" i="12"/>
  <c r="GT394" i="12"/>
  <c r="GU394" i="12"/>
  <c r="GV394" i="12"/>
  <c r="GW394" i="12"/>
  <c r="GX394" i="12"/>
  <c r="GY394" i="12"/>
  <c r="GZ394" i="12"/>
  <c r="HA394" i="12"/>
  <c r="HB394" i="12"/>
  <c r="HC394" i="12"/>
  <c r="HD394" i="12"/>
  <c r="HE394" i="12"/>
  <c r="HF394" i="12"/>
  <c r="HG394" i="12"/>
  <c r="HH394" i="12"/>
  <c r="HI394" i="12"/>
  <c r="HJ394" i="12"/>
  <c r="HK394" i="12"/>
  <c r="HL394" i="12"/>
  <c r="HM394" i="12"/>
  <c r="HN394" i="12"/>
  <c r="HO394" i="12"/>
  <c r="HP394" i="12"/>
  <c r="HQ394" i="12"/>
  <c r="HR394" i="12"/>
  <c r="HS394" i="12"/>
  <c r="HT394" i="12"/>
  <c r="HU394" i="12"/>
  <c r="HV394" i="12"/>
  <c r="HW394" i="12"/>
  <c r="HX394" i="12"/>
  <c r="HY394" i="12"/>
  <c r="HZ394" i="12"/>
  <c r="IA394" i="12"/>
  <c r="IB394" i="12"/>
  <c r="IC394" i="12"/>
  <c r="ID394" i="12"/>
  <c r="IE394" i="12"/>
  <c r="IF394" i="12"/>
  <c r="IG394" i="12"/>
  <c r="IH394" i="12"/>
  <c r="II394" i="12"/>
  <c r="IJ394" i="12"/>
  <c r="IK394" i="12"/>
  <c r="IL394" i="12"/>
  <c r="IM394" i="12"/>
  <c r="IN394" i="12"/>
  <c r="IO394" i="12"/>
  <c r="IP394" i="12"/>
  <c r="IQ394" i="12"/>
  <c r="IR394" i="12"/>
  <c r="IS394" i="12"/>
  <c r="IT394" i="12"/>
  <c r="IU394" i="12"/>
  <c r="IV394" i="12"/>
  <c r="F395" i="12"/>
  <c r="G395" i="12"/>
  <c r="H395" i="12"/>
  <c r="I395" i="12"/>
  <c r="J395" i="12"/>
  <c r="K395" i="12"/>
  <c r="L395" i="12"/>
  <c r="M395" i="12"/>
  <c r="N395" i="12"/>
  <c r="O395" i="12"/>
  <c r="P395" i="12"/>
  <c r="Q395" i="12"/>
  <c r="R395" i="12"/>
  <c r="S395" i="12"/>
  <c r="T395" i="12"/>
  <c r="U395" i="12"/>
  <c r="V395" i="12"/>
  <c r="W395" i="12"/>
  <c r="X395" i="12"/>
  <c r="Y395" i="12"/>
  <c r="Z395" i="12"/>
  <c r="AA395" i="12"/>
  <c r="AB395" i="12"/>
  <c r="AC395" i="12"/>
  <c r="AD395" i="12"/>
  <c r="AE395" i="12"/>
  <c r="AF395" i="12"/>
  <c r="AG395" i="12"/>
  <c r="AH395" i="12"/>
  <c r="AI395" i="12"/>
  <c r="AJ395" i="12"/>
  <c r="AK395" i="12"/>
  <c r="AL395" i="12"/>
  <c r="AM395" i="12"/>
  <c r="AN395" i="12"/>
  <c r="AO395" i="12"/>
  <c r="AP395" i="12"/>
  <c r="AQ395" i="12"/>
  <c r="AR395" i="12"/>
  <c r="AS395" i="12"/>
  <c r="AT395" i="12"/>
  <c r="AU395" i="12"/>
  <c r="AV395" i="12"/>
  <c r="AW395" i="12"/>
  <c r="AX395" i="12"/>
  <c r="AY395" i="12"/>
  <c r="AZ395" i="12"/>
  <c r="BA395" i="12"/>
  <c r="BB395" i="12"/>
  <c r="BC395" i="12"/>
  <c r="BD395" i="12"/>
  <c r="BE395" i="12"/>
  <c r="BF395" i="12"/>
  <c r="BG395" i="12"/>
  <c r="BH395" i="12"/>
  <c r="BI395" i="12"/>
  <c r="BJ395" i="12"/>
  <c r="BK395" i="12"/>
  <c r="BL395" i="12"/>
  <c r="BM395" i="12"/>
  <c r="BN395" i="12"/>
  <c r="BO395" i="12"/>
  <c r="BP395" i="12"/>
  <c r="BQ395" i="12"/>
  <c r="BR395" i="12"/>
  <c r="BS395" i="12"/>
  <c r="BT395" i="12"/>
  <c r="BU395" i="12"/>
  <c r="BV395" i="12"/>
  <c r="BW395" i="12"/>
  <c r="BX395" i="12"/>
  <c r="BY395" i="12"/>
  <c r="BZ395" i="12"/>
  <c r="CA395" i="12"/>
  <c r="CB395" i="12"/>
  <c r="CC395" i="12"/>
  <c r="CD395" i="12"/>
  <c r="CE395" i="12"/>
  <c r="CF395" i="12"/>
  <c r="CG395" i="12"/>
  <c r="CH395" i="12"/>
  <c r="CI395" i="12"/>
  <c r="CJ395" i="12"/>
  <c r="CK395" i="12"/>
  <c r="CL395" i="12"/>
  <c r="CM395" i="12"/>
  <c r="CN395" i="12"/>
  <c r="CO395" i="12"/>
  <c r="CP395" i="12"/>
  <c r="CQ395" i="12"/>
  <c r="CR395" i="12"/>
  <c r="CS395" i="12"/>
  <c r="CT395" i="12"/>
  <c r="CU395" i="12"/>
  <c r="CV395" i="12"/>
  <c r="CW395" i="12"/>
  <c r="CX395" i="12"/>
  <c r="CY395" i="12"/>
  <c r="CZ395" i="12"/>
  <c r="DA395" i="12"/>
  <c r="DB395" i="12"/>
  <c r="DC395" i="12"/>
  <c r="DD395" i="12"/>
  <c r="DE395" i="12"/>
  <c r="DF395" i="12"/>
  <c r="DG395" i="12"/>
  <c r="DH395" i="12"/>
  <c r="DI395" i="12"/>
  <c r="DJ395" i="12"/>
  <c r="DK395" i="12"/>
  <c r="DL395" i="12"/>
  <c r="DM395" i="12"/>
  <c r="DN395" i="12"/>
  <c r="DO395" i="12"/>
  <c r="DP395" i="12"/>
  <c r="DQ395" i="12"/>
  <c r="DR395" i="12"/>
  <c r="DS395" i="12"/>
  <c r="DT395" i="12"/>
  <c r="DU395" i="12"/>
  <c r="DV395" i="12"/>
  <c r="DW395" i="12"/>
  <c r="DX395" i="12"/>
  <c r="DY395" i="12"/>
  <c r="DZ395" i="12"/>
  <c r="EA395" i="12"/>
  <c r="EB395" i="12"/>
  <c r="EC395" i="12"/>
  <c r="ED395" i="12"/>
  <c r="EE395" i="12"/>
  <c r="EF395" i="12"/>
  <c r="EG395" i="12"/>
  <c r="EH395" i="12"/>
  <c r="EI395" i="12"/>
  <c r="EJ395" i="12"/>
  <c r="EK395" i="12"/>
  <c r="EL395" i="12"/>
  <c r="EM395" i="12"/>
  <c r="EN395" i="12"/>
  <c r="EO395" i="12"/>
  <c r="EP395" i="12"/>
  <c r="EQ395" i="12"/>
  <c r="ER395" i="12"/>
  <c r="ES395" i="12"/>
  <c r="ET395" i="12"/>
  <c r="EU395" i="12"/>
  <c r="EV395" i="12"/>
  <c r="EW395" i="12"/>
  <c r="EX395" i="12"/>
  <c r="EY395" i="12"/>
  <c r="EZ395" i="12"/>
  <c r="FA395" i="12"/>
  <c r="FB395" i="12"/>
  <c r="FC395" i="12"/>
  <c r="FD395" i="12"/>
  <c r="FE395" i="12"/>
  <c r="FF395" i="12"/>
  <c r="FG395" i="12"/>
  <c r="FH395" i="12"/>
  <c r="FI395" i="12"/>
  <c r="FJ395" i="12"/>
  <c r="FK395" i="12"/>
  <c r="FL395" i="12"/>
  <c r="FM395" i="12"/>
  <c r="FN395" i="12"/>
  <c r="FO395" i="12"/>
  <c r="FP395" i="12"/>
  <c r="FQ395" i="12"/>
  <c r="FR395" i="12"/>
  <c r="FS395" i="12"/>
  <c r="FT395" i="12"/>
  <c r="FU395" i="12"/>
  <c r="FV395" i="12"/>
  <c r="FW395" i="12"/>
  <c r="FX395" i="12"/>
  <c r="FY395" i="12"/>
  <c r="FZ395" i="12"/>
  <c r="GA395" i="12"/>
  <c r="GB395" i="12"/>
  <c r="GC395" i="12"/>
  <c r="GD395" i="12"/>
  <c r="GE395" i="12"/>
  <c r="GF395" i="12"/>
  <c r="GG395" i="12"/>
  <c r="GH395" i="12"/>
  <c r="GI395" i="12"/>
  <c r="GJ395" i="12"/>
  <c r="GK395" i="12"/>
  <c r="GL395" i="12"/>
  <c r="GM395" i="12"/>
  <c r="GN395" i="12"/>
  <c r="GO395" i="12"/>
  <c r="GP395" i="12"/>
  <c r="GQ395" i="12"/>
  <c r="GR395" i="12"/>
  <c r="GS395" i="12"/>
  <c r="GT395" i="12"/>
  <c r="GU395" i="12"/>
  <c r="GV395" i="12"/>
  <c r="GW395" i="12"/>
  <c r="GX395" i="12"/>
  <c r="GY395" i="12"/>
  <c r="GZ395" i="12"/>
  <c r="HA395" i="12"/>
  <c r="HB395" i="12"/>
  <c r="HC395" i="12"/>
  <c r="HD395" i="12"/>
  <c r="HE395" i="12"/>
  <c r="HF395" i="12"/>
  <c r="HG395" i="12"/>
  <c r="HH395" i="12"/>
  <c r="HI395" i="12"/>
  <c r="HJ395" i="12"/>
  <c r="HK395" i="12"/>
  <c r="HL395" i="12"/>
  <c r="HM395" i="12"/>
  <c r="HN395" i="12"/>
  <c r="HO395" i="12"/>
  <c r="HP395" i="12"/>
  <c r="HQ395" i="12"/>
  <c r="HR395" i="12"/>
  <c r="HS395" i="12"/>
  <c r="HT395" i="12"/>
  <c r="HU395" i="12"/>
  <c r="HV395" i="12"/>
  <c r="HW395" i="12"/>
  <c r="HX395" i="12"/>
  <c r="HY395" i="12"/>
  <c r="HZ395" i="12"/>
  <c r="IA395" i="12"/>
  <c r="IB395" i="12"/>
  <c r="IC395" i="12"/>
  <c r="ID395" i="12"/>
  <c r="IE395" i="12"/>
  <c r="IF395" i="12"/>
  <c r="IG395" i="12"/>
  <c r="IH395" i="12"/>
  <c r="II395" i="12"/>
  <c r="IJ395" i="12"/>
  <c r="IK395" i="12"/>
  <c r="IL395" i="12"/>
  <c r="IM395" i="12"/>
  <c r="IN395" i="12"/>
  <c r="IO395" i="12"/>
  <c r="IP395" i="12"/>
  <c r="IQ395" i="12"/>
  <c r="IR395" i="12"/>
  <c r="IS395" i="12"/>
  <c r="IT395" i="12"/>
  <c r="IU395" i="12"/>
  <c r="IV395" i="12"/>
  <c r="F396" i="12"/>
  <c r="G396" i="12"/>
  <c r="H396" i="12"/>
  <c r="I396" i="12"/>
  <c r="J396" i="12"/>
  <c r="K396" i="12"/>
  <c r="L396" i="12"/>
  <c r="M396" i="12"/>
  <c r="N396" i="12"/>
  <c r="O396" i="12"/>
  <c r="P396" i="12"/>
  <c r="Q396" i="12"/>
  <c r="R396" i="12"/>
  <c r="S396" i="12"/>
  <c r="T396" i="12"/>
  <c r="U396" i="12"/>
  <c r="V396" i="12"/>
  <c r="W396" i="12"/>
  <c r="X396" i="12"/>
  <c r="Y396" i="12"/>
  <c r="Z396" i="12"/>
  <c r="AA396" i="12"/>
  <c r="AB396" i="12"/>
  <c r="AC396" i="12"/>
  <c r="AD396" i="12"/>
  <c r="AE396" i="12"/>
  <c r="AF396" i="12"/>
  <c r="AG396" i="12"/>
  <c r="AH396" i="12"/>
  <c r="AI396" i="12"/>
  <c r="AJ396" i="12"/>
  <c r="AK396" i="12"/>
  <c r="AL396" i="12"/>
  <c r="AM396" i="12"/>
  <c r="AN396" i="12"/>
  <c r="AO396" i="12"/>
  <c r="AP396" i="12"/>
  <c r="AQ396" i="12"/>
  <c r="AR396" i="12"/>
  <c r="AS396" i="12"/>
  <c r="AT396" i="12"/>
  <c r="AU396" i="12"/>
  <c r="AV396" i="12"/>
  <c r="AW396" i="12"/>
  <c r="AX396" i="12"/>
  <c r="AY396" i="12"/>
  <c r="AZ396" i="12"/>
  <c r="BA396" i="12"/>
  <c r="BB396" i="12"/>
  <c r="BC396" i="12"/>
  <c r="BD396" i="12"/>
  <c r="BE396" i="12"/>
  <c r="BF396" i="12"/>
  <c r="BG396" i="12"/>
  <c r="BH396" i="12"/>
  <c r="BI396" i="12"/>
  <c r="BJ396" i="12"/>
  <c r="BK396" i="12"/>
  <c r="BL396" i="12"/>
  <c r="BM396" i="12"/>
  <c r="BN396" i="12"/>
  <c r="BO396" i="12"/>
  <c r="BP396" i="12"/>
  <c r="BQ396" i="12"/>
  <c r="BR396" i="12"/>
  <c r="BS396" i="12"/>
  <c r="BT396" i="12"/>
  <c r="BU396" i="12"/>
  <c r="BV396" i="12"/>
  <c r="BW396" i="12"/>
  <c r="BX396" i="12"/>
  <c r="BY396" i="12"/>
  <c r="BZ396" i="12"/>
  <c r="CA396" i="12"/>
  <c r="CB396" i="12"/>
  <c r="CC396" i="12"/>
  <c r="CD396" i="12"/>
  <c r="CE396" i="12"/>
  <c r="CF396" i="12"/>
  <c r="CG396" i="12"/>
  <c r="CH396" i="12"/>
  <c r="CI396" i="12"/>
  <c r="CJ396" i="12"/>
  <c r="CK396" i="12"/>
  <c r="CL396" i="12"/>
  <c r="CM396" i="12"/>
  <c r="CN396" i="12"/>
  <c r="CO396" i="12"/>
  <c r="CP396" i="12"/>
  <c r="CQ396" i="12"/>
  <c r="CR396" i="12"/>
  <c r="CS396" i="12"/>
  <c r="CT396" i="12"/>
  <c r="CU396" i="12"/>
  <c r="CV396" i="12"/>
  <c r="CW396" i="12"/>
  <c r="CX396" i="12"/>
  <c r="CY396" i="12"/>
  <c r="CZ396" i="12"/>
  <c r="DA396" i="12"/>
  <c r="DB396" i="12"/>
  <c r="DC396" i="12"/>
  <c r="DD396" i="12"/>
  <c r="DE396" i="12"/>
  <c r="DF396" i="12"/>
  <c r="DG396" i="12"/>
  <c r="DH396" i="12"/>
  <c r="DI396" i="12"/>
  <c r="DJ396" i="12"/>
  <c r="DK396" i="12"/>
  <c r="DL396" i="12"/>
  <c r="DM396" i="12"/>
  <c r="DN396" i="12"/>
  <c r="DO396" i="12"/>
  <c r="DP396" i="12"/>
  <c r="DQ396" i="12"/>
  <c r="DR396" i="12"/>
  <c r="DS396" i="12"/>
  <c r="DT396" i="12"/>
  <c r="DU396" i="12"/>
  <c r="DV396" i="12"/>
  <c r="DW396" i="12"/>
  <c r="DX396" i="12"/>
  <c r="DY396" i="12"/>
  <c r="DZ396" i="12"/>
  <c r="EA396" i="12"/>
  <c r="EB396" i="12"/>
  <c r="EC396" i="12"/>
  <c r="ED396" i="12"/>
  <c r="EE396" i="12"/>
  <c r="EF396" i="12"/>
  <c r="EG396" i="12"/>
  <c r="EH396" i="12"/>
  <c r="EI396" i="12"/>
  <c r="EJ396" i="12"/>
  <c r="EK396" i="12"/>
  <c r="EL396" i="12"/>
  <c r="EM396" i="12"/>
  <c r="EN396" i="12"/>
  <c r="EO396" i="12"/>
  <c r="EP396" i="12"/>
  <c r="EQ396" i="12"/>
  <c r="ER396" i="12"/>
  <c r="ES396" i="12"/>
  <c r="ET396" i="12"/>
  <c r="EU396" i="12"/>
  <c r="EV396" i="12"/>
  <c r="EW396" i="12"/>
  <c r="EX396" i="12"/>
  <c r="EY396" i="12"/>
  <c r="EZ396" i="12"/>
  <c r="FA396" i="12"/>
  <c r="FB396" i="12"/>
  <c r="FC396" i="12"/>
  <c r="FD396" i="12"/>
  <c r="FE396" i="12"/>
  <c r="FF396" i="12"/>
  <c r="FG396" i="12"/>
  <c r="FH396" i="12"/>
  <c r="FI396" i="12"/>
  <c r="FJ396" i="12"/>
  <c r="FK396" i="12"/>
  <c r="FL396" i="12"/>
  <c r="FM396" i="12"/>
  <c r="FN396" i="12"/>
  <c r="FO396" i="12"/>
  <c r="FP396" i="12"/>
  <c r="FQ396" i="12"/>
  <c r="FR396" i="12"/>
  <c r="FS396" i="12"/>
  <c r="FT396" i="12"/>
  <c r="FU396" i="12"/>
  <c r="FV396" i="12"/>
  <c r="FW396" i="12"/>
  <c r="FX396" i="12"/>
  <c r="FY396" i="12"/>
  <c r="FZ396" i="12"/>
  <c r="GA396" i="12"/>
  <c r="GB396" i="12"/>
  <c r="GC396" i="12"/>
  <c r="GD396" i="12"/>
  <c r="GE396" i="12"/>
  <c r="GF396" i="12"/>
  <c r="GG396" i="12"/>
  <c r="GH396" i="12"/>
  <c r="GI396" i="12"/>
  <c r="GJ396" i="12"/>
  <c r="GK396" i="12"/>
  <c r="GL396" i="12"/>
  <c r="GM396" i="12"/>
  <c r="GN396" i="12"/>
  <c r="GO396" i="12"/>
  <c r="GP396" i="12"/>
  <c r="GQ396" i="12"/>
  <c r="GR396" i="12"/>
  <c r="GS396" i="12"/>
  <c r="GT396" i="12"/>
  <c r="GU396" i="12"/>
  <c r="GV396" i="12"/>
  <c r="GW396" i="12"/>
  <c r="GX396" i="12"/>
  <c r="GY396" i="12"/>
  <c r="GZ396" i="12"/>
  <c r="HA396" i="12"/>
  <c r="HB396" i="12"/>
  <c r="HC396" i="12"/>
  <c r="HD396" i="12"/>
  <c r="HE396" i="12"/>
  <c r="HF396" i="12"/>
  <c r="HG396" i="12"/>
  <c r="HH396" i="12"/>
  <c r="HI396" i="12"/>
  <c r="HJ396" i="12"/>
  <c r="HK396" i="12"/>
  <c r="HL396" i="12"/>
  <c r="HM396" i="12"/>
  <c r="HN396" i="12"/>
  <c r="HO396" i="12"/>
  <c r="HP396" i="12"/>
  <c r="HQ396" i="12"/>
  <c r="HR396" i="12"/>
  <c r="HS396" i="12"/>
  <c r="HT396" i="12"/>
  <c r="HU396" i="12"/>
  <c r="HV396" i="12"/>
  <c r="HW396" i="12"/>
  <c r="HX396" i="12"/>
  <c r="HY396" i="12"/>
  <c r="HZ396" i="12"/>
  <c r="IA396" i="12"/>
  <c r="IB396" i="12"/>
  <c r="IC396" i="12"/>
  <c r="ID396" i="12"/>
  <c r="IE396" i="12"/>
  <c r="IF396" i="12"/>
  <c r="IG396" i="12"/>
  <c r="IH396" i="12"/>
  <c r="II396" i="12"/>
  <c r="IJ396" i="12"/>
  <c r="IK396" i="12"/>
  <c r="IL396" i="12"/>
  <c r="IM396" i="12"/>
  <c r="IN396" i="12"/>
  <c r="IO396" i="12"/>
  <c r="IP396" i="12"/>
  <c r="IQ396" i="12"/>
  <c r="IR396" i="12"/>
  <c r="IS396" i="12"/>
  <c r="IT396" i="12"/>
  <c r="IU396" i="12"/>
  <c r="IV396" i="12"/>
  <c r="F397" i="12"/>
  <c r="G397" i="12"/>
  <c r="H397" i="12"/>
  <c r="I397" i="12"/>
  <c r="J397" i="12"/>
  <c r="K397" i="12"/>
  <c r="L397" i="12"/>
  <c r="M397" i="12"/>
  <c r="N397" i="12"/>
  <c r="O397" i="12"/>
  <c r="P397" i="12"/>
  <c r="Q397" i="12"/>
  <c r="R397" i="12"/>
  <c r="S397" i="12"/>
  <c r="T397" i="12"/>
  <c r="U397" i="12"/>
  <c r="V397" i="12"/>
  <c r="W397" i="12"/>
  <c r="X397" i="12"/>
  <c r="Y397" i="12"/>
  <c r="Z397" i="12"/>
  <c r="AA397" i="12"/>
  <c r="AB397" i="12"/>
  <c r="AC397" i="12"/>
  <c r="AD397" i="12"/>
  <c r="AE397" i="12"/>
  <c r="AF397" i="12"/>
  <c r="AG397" i="12"/>
  <c r="AH397" i="12"/>
  <c r="AI397" i="12"/>
  <c r="AJ397" i="12"/>
  <c r="AK397" i="12"/>
  <c r="AL397" i="12"/>
  <c r="AM397" i="12"/>
  <c r="AN397" i="12"/>
  <c r="AO397" i="12"/>
  <c r="AP397" i="12"/>
  <c r="AQ397" i="12"/>
  <c r="AR397" i="12"/>
  <c r="AS397" i="12"/>
  <c r="AT397" i="12"/>
  <c r="AU397" i="12"/>
  <c r="AV397" i="12"/>
  <c r="AW397" i="12"/>
  <c r="AX397" i="12"/>
  <c r="AY397" i="12"/>
  <c r="AZ397" i="12"/>
  <c r="BA397" i="12"/>
  <c r="BB397" i="12"/>
  <c r="BC397" i="12"/>
  <c r="BD397" i="12"/>
  <c r="BE397" i="12"/>
  <c r="BF397" i="12"/>
  <c r="BG397" i="12"/>
  <c r="BH397" i="12"/>
  <c r="BI397" i="12"/>
  <c r="BJ397" i="12"/>
  <c r="BK397" i="12"/>
  <c r="BL397" i="12"/>
  <c r="BM397" i="12"/>
  <c r="BN397" i="12"/>
  <c r="BO397" i="12"/>
  <c r="BP397" i="12"/>
  <c r="BQ397" i="12"/>
  <c r="BR397" i="12"/>
  <c r="BS397" i="12"/>
  <c r="BT397" i="12"/>
  <c r="BU397" i="12"/>
  <c r="BV397" i="12"/>
  <c r="BW397" i="12"/>
  <c r="BX397" i="12"/>
  <c r="BY397" i="12"/>
  <c r="BZ397" i="12"/>
  <c r="CA397" i="12"/>
  <c r="CB397" i="12"/>
  <c r="CC397" i="12"/>
  <c r="CD397" i="12"/>
  <c r="CE397" i="12"/>
  <c r="CF397" i="12"/>
  <c r="CG397" i="12"/>
  <c r="CH397" i="12"/>
  <c r="CI397" i="12"/>
  <c r="CJ397" i="12"/>
  <c r="CK397" i="12"/>
  <c r="CL397" i="12"/>
  <c r="CM397" i="12"/>
  <c r="CN397" i="12"/>
  <c r="CO397" i="12"/>
  <c r="CP397" i="12"/>
  <c r="CQ397" i="12"/>
  <c r="CR397" i="12"/>
  <c r="CS397" i="12"/>
  <c r="CT397" i="12"/>
  <c r="CU397" i="12"/>
  <c r="CV397" i="12"/>
  <c r="CW397" i="12"/>
  <c r="CX397" i="12"/>
  <c r="CY397" i="12"/>
  <c r="CZ397" i="12"/>
  <c r="DA397" i="12"/>
  <c r="DB397" i="12"/>
  <c r="DC397" i="12"/>
  <c r="DD397" i="12"/>
  <c r="DE397" i="12"/>
  <c r="DF397" i="12"/>
  <c r="DG397" i="12"/>
  <c r="DH397" i="12"/>
  <c r="DI397" i="12"/>
  <c r="DJ397" i="12"/>
  <c r="DK397" i="12"/>
  <c r="DL397" i="12"/>
  <c r="DM397" i="12"/>
  <c r="DN397" i="12"/>
  <c r="DO397" i="12"/>
  <c r="DP397" i="12"/>
  <c r="DQ397" i="12"/>
  <c r="DR397" i="12"/>
  <c r="DS397" i="12"/>
  <c r="DT397" i="12"/>
  <c r="DU397" i="12"/>
  <c r="DV397" i="12"/>
  <c r="DW397" i="12"/>
  <c r="DX397" i="12"/>
  <c r="DY397" i="12"/>
  <c r="DZ397" i="12"/>
  <c r="EA397" i="12"/>
  <c r="EB397" i="12"/>
  <c r="EC397" i="12"/>
  <c r="ED397" i="12"/>
  <c r="EE397" i="12"/>
  <c r="EF397" i="12"/>
  <c r="EG397" i="12"/>
  <c r="EH397" i="12"/>
  <c r="EI397" i="12"/>
  <c r="EJ397" i="12"/>
  <c r="EK397" i="12"/>
  <c r="EL397" i="12"/>
  <c r="EM397" i="12"/>
  <c r="EN397" i="12"/>
  <c r="EO397" i="12"/>
  <c r="EP397" i="12"/>
  <c r="EQ397" i="12"/>
  <c r="ER397" i="12"/>
  <c r="ES397" i="12"/>
  <c r="ET397" i="12"/>
  <c r="EU397" i="12"/>
  <c r="EV397" i="12"/>
  <c r="EW397" i="12"/>
  <c r="EX397" i="12"/>
  <c r="EY397" i="12"/>
  <c r="EZ397" i="12"/>
  <c r="FA397" i="12"/>
  <c r="FB397" i="12"/>
  <c r="FC397" i="12"/>
  <c r="FD397" i="12"/>
  <c r="FE397" i="12"/>
  <c r="FF397" i="12"/>
  <c r="FG397" i="12"/>
  <c r="FH397" i="12"/>
  <c r="FI397" i="12"/>
  <c r="FJ397" i="12"/>
  <c r="FK397" i="12"/>
  <c r="FL397" i="12"/>
  <c r="FM397" i="12"/>
  <c r="FN397" i="12"/>
  <c r="FO397" i="12"/>
  <c r="FP397" i="12"/>
  <c r="FQ397" i="12"/>
  <c r="FR397" i="12"/>
  <c r="FS397" i="12"/>
  <c r="FT397" i="12"/>
  <c r="FU397" i="12"/>
  <c r="FV397" i="12"/>
  <c r="FW397" i="12"/>
  <c r="FX397" i="12"/>
  <c r="FY397" i="12"/>
  <c r="FZ397" i="12"/>
  <c r="GA397" i="12"/>
  <c r="GB397" i="12"/>
  <c r="GC397" i="12"/>
  <c r="GD397" i="12"/>
  <c r="GE397" i="12"/>
  <c r="GF397" i="12"/>
  <c r="GG397" i="12"/>
  <c r="GH397" i="12"/>
  <c r="GI397" i="12"/>
  <c r="GJ397" i="12"/>
  <c r="GK397" i="12"/>
  <c r="GL397" i="12"/>
  <c r="GM397" i="12"/>
  <c r="GN397" i="12"/>
  <c r="GO397" i="12"/>
  <c r="GP397" i="12"/>
  <c r="GQ397" i="12"/>
  <c r="GR397" i="12"/>
  <c r="GS397" i="12"/>
  <c r="GT397" i="12"/>
  <c r="GU397" i="12"/>
  <c r="GV397" i="12"/>
  <c r="GW397" i="12"/>
  <c r="GX397" i="12"/>
  <c r="GY397" i="12"/>
  <c r="GZ397" i="12"/>
  <c r="HA397" i="12"/>
  <c r="HB397" i="12"/>
  <c r="HC397" i="12"/>
  <c r="HD397" i="12"/>
  <c r="HE397" i="12"/>
  <c r="HF397" i="12"/>
  <c r="HG397" i="12"/>
  <c r="HH397" i="12"/>
  <c r="HI397" i="12"/>
  <c r="HJ397" i="12"/>
  <c r="HK397" i="12"/>
  <c r="HL397" i="12"/>
  <c r="HM397" i="12"/>
  <c r="HN397" i="12"/>
  <c r="HO397" i="12"/>
  <c r="HP397" i="12"/>
  <c r="HQ397" i="12"/>
  <c r="HR397" i="12"/>
  <c r="HS397" i="12"/>
  <c r="HT397" i="12"/>
  <c r="HU397" i="12"/>
  <c r="HV397" i="12"/>
  <c r="HW397" i="12"/>
  <c r="HX397" i="12"/>
  <c r="HY397" i="12"/>
  <c r="HZ397" i="12"/>
  <c r="IA397" i="12"/>
  <c r="IB397" i="12"/>
  <c r="IC397" i="12"/>
  <c r="ID397" i="12"/>
  <c r="IE397" i="12"/>
  <c r="IF397" i="12"/>
  <c r="IG397" i="12"/>
  <c r="IH397" i="12"/>
  <c r="II397" i="12"/>
  <c r="IJ397" i="12"/>
  <c r="IK397" i="12"/>
  <c r="IL397" i="12"/>
  <c r="IM397" i="12"/>
  <c r="IN397" i="12"/>
  <c r="IO397" i="12"/>
  <c r="IP397" i="12"/>
  <c r="IQ397" i="12"/>
  <c r="IR397" i="12"/>
  <c r="IS397" i="12"/>
  <c r="IT397" i="12"/>
  <c r="IU397" i="12"/>
  <c r="IV397" i="12"/>
  <c r="F398" i="12"/>
  <c r="G398" i="12"/>
  <c r="H398" i="12"/>
  <c r="I398" i="12"/>
  <c r="J398" i="12"/>
  <c r="K398" i="12"/>
  <c r="L398" i="12"/>
  <c r="M398" i="12"/>
  <c r="N398" i="12"/>
  <c r="O398" i="12"/>
  <c r="P398" i="12"/>
  <c r="Q398" i="12"/>
  <c r="R398" i="12"/>
  <c r="S398" i="12"/>
  <c r="T398" i="12"/>
  <c r="U398" i="12"/>
  <c r="V398" i="12"/>
  <c r="W398" i="12"/>
  <c r="X398" i="12"/>
  <c r="Y398" i="12"/>
  <c r="Z398" i="12"/>
  <c r="AA398" i="12"/>
  <c r="AB398" i="12"/>
  <c r="AC398" i="12"/>
  <c r="AD398" i="12"/>
  <c r="AE398" i="12"/>
  <c r="AF398" i="12"/>
  <c r="AG398" i="12"/>
  <c r="AH398" i="12"/>
  <c r="AI398" i="12"/>
  <c r="AJ398" i="12"/>
  <c r="AK398" i="12"/>
  <c r="AL398" i="12"/>
  <c r="AM398" i="12"/>
  <c r="AN398" i="12"/>
  <c r="AO398" i="12"/>
  <c r="AP398" i="12"/>
  <c r="AQ398" i="12"/>
  <c r="AR398" i="12"/>
  <c r="AS398" i="12"/>
  <c r="AT398" i="12"/>
  <c r="AU398" i="12"/>
  <c r="AV398" i="12"/>
  <c r="AW398" i="12"/>
  <c r="AX398" i="12"/>
  <c r="AY398" i="12"/>
  <c r="AZ398" i="12"/>
  <c r="BA398" i="12"/>
  <c r="BB398" i="12"/>
  <c r="BC398" i="12"/>
  <c r="BD398" i="12"/>
  <c r="BE398" i="12"/>
  <c r="BF398" i="12"/>
  <c r="BG398" i="12"/>
  <c r="BH398" i="12"/>
  <c r="BI398" i="12"/>
  <c r="BJ398" i="12"/>
  <c r="BK398" i="12"/>
  <c r="BL398" i="12"/>
  <c r="BM398" i="12"/>
  <c r="BN398" i="12"/>
  <c r="BO398" i="12"/>
  <c r="BP398" i="12"/>
  <c r="BQ398" i="12"/>
  <c r="BR398" i="12"/>
  <c r="BS398" i="12"/>
  <c r="BT398" i="12"/>
  <c r="BU398" i="12"/>
  <c r="BV398" i="12"/>
  <c r="BW398" i="12"/>
  <c r="BX398" i="12"/>
  <c r="BY398" i="12"/>
  <c r="BZ398" i="12"/>
  <c r="CA398" i="12"/>
  <c r="CB398" i="12"/>
  <c r="CC398" i="12"/>
  <c r="CD398" i="12"/>
  <c r="CE398" i="12"/>
  <c r="CF398" i="12"/>
  <c r="CG398" i="12"/>
  <c r="CH398" i="12"/>
  <c r="CI398" i="12"/>
  <c r="CJ398" i="12"/>
  <c r="CK398" i="12"/>
  <c r="CL398" i="12"/>
  <c r="CM398" i="12"/>
  <c r="CN398" i="12"/>
  <c r="CO398" i="12"/>
  <c r="CP398" i="12"/>
  <c r="CQ398" i="12"/>
  <c r="CR398" i="12"/>
  <c r="CS398" i="12"/>
  <c r="CT398" i="12"/>
  <c r="CU398" i="12"/>
  <c r="CV398" i="12"/>
  <c r="CW398" i="12"/>
  <c r="CX398" i="12"/>
  <c r="CY398" i="12"/>
  <c r="CZ398" i="12"/>
  <c r="DA398" i="12"/>
  <c r="DB398" i="12"/>
  <c r="DC398" i="12"/>
  <c r="DD398" i="12"/>
  <c r="DE398" i="12"/>
  <c r="DF398" i="12"/>
  <c r="DG398" i="12"/>
  <c r="DH398" i="12"/>
  <c r="DI398" i="12"/>
  <c r="DJ398" i="12"/>
  <c r="DK398" i="12"/>
  <c r="DL398" i="12"/>
  <c r="DM398" i="12"/>
  <c r="DN398" i="12"/>
  <c r="DO398" i="12"/>
  <c r="DP398" i="12"/>
  <c r="DQ398" i="12"/>
  <c r="DR398" i="12"/>
  <c r="DS398" i="12"/>
  <c r="DT398" i="12"/>
  <c r="DU398" i="12"/>
  <c r="DV398" i="12"/>
  <c r="DW398" i="12"/>
  <c r="DX398" i="12"/>
  <c r="DY398" i="12"/>
  <c r="DZ398" i="12"/>
  <c r="EA398" i="12"/>
  <c r="EB398" i="12"/>
  <c r="EC398" i="12"/>
  <c r="ED398" i="12"/>
  <c r="EE398" i="12"/>
  <c r="EF398" i="12"/>
  <c r="EG398" i="12"/>
  <c r="EH398" i="12"/>
  <c r="EI398" i="12"/>
  <c r="EJ398" i="12"/>
  <c r="EK398" i="12"/>
  <c r="EL398" i="12"/>
  <c r="EM398" i="12"/>
  <c r="EN398" i="12"/>
  <c r="EO398" i="12"/>
  <c r="EP398" i="12"/>
  <c r="EQ398" i="12"/>
  <c r="ER398" i="12"/>
  <c r="ES398" i="12"/>
  <c r="ET398" i="12"/>
  <c r="EU398" i="12"/>
  <c r="EV398" i="12"/>
  <c r="EW398" i="12"/>
  <c r="EX398" i="12"/>
  <c r="EY398" i="12"/>
  <c r="EZ398" i="12"/>
  <c r="FA398" i="12"/>
  <c r="FB398" i="12"/>
  <c r="FC398" i="12"/>
  <c r="FD398" i="12"/>
  <c r="FE398" i="12"/>
  <c r="FF398" i="12"/>
  <c r="FG398" i="12"/>
  <c r="FH398" i="12"/>
  <c r="FI398" i="12"/>
  <c r="FJ398" i="12"/>
  <c r="FK398" i="12"/>
  <c r="FL398" i="12"/>
  <c r="FM398" i="12"/>
  <c r="FN398" i="12"/>
  <c r="FO398" i="12"/>
  <c r="FP398" i="12"/>
  <c r="FQ398" i="12"/>
  <c r="FR398" i="12"/>
  <c r="FS398" i="12"/>
  <c r="FT398" i="12"/>
  <c r="FU398" i="12"/>
  <c r="FV398" i="12"/>
  <c r="FW398" i="12"/>
  <c r="FX398" i="12"/>
  <c r="FY398" i="12"/>
  <c r="FZ398" i="12"/>
  <c r="GA398" i="12"/>
  <c r="GB398" i="12"/>
  <c r="GC398" i="12"/>
  <c r="GD398" i="12"/>
  <c r="GE398" i="12"/>
  <c r="GF398" i="12"/>
  <c r="GG398" i="12"/>
  <c r="GH398" i="12"/>
  <c r="GI398" i="12"/>
  <c r="GJ398" i="12"/>
  <c r="GK398" i="12"/>
  <c r="GL398" i="12"/>
  <c r="GM398" i="12"/>
  <c r="GN398" i="12"/>
  <c r="GO398" i="12"/>
  <c r="GP398" i="12"/>
  <c r="GQ398" i="12"/>
  <c r="GR398" i="12"/>
  <c r="GS398" i="12"/>
  <c r="GT398" i="12"/>
  <c r="GU398" i="12"/>
  <c r="GV398" i="12"/>
  <c r="GW398" i="12"/>
  <c r="GX398" i="12"/>
  <c r="GY398" i="12"/>
  <c r="GZ398" i="12"/>
  <c r="HA398" i="12"/>
  <c r="HB398" i="12"/>
  <c r="HC398" i="12"/>
  <c r="HD398" i="12"/>
  <c r="HE398" i="12"/>
  <c r="HF398" i="12"/>
  <c r="HG398" i="12"/>
  <c r="HH398" i="12"/>
  <c r="HI398" i="12"/>
  <c r="HJ398" i="12"/>
  <c r="HK398" i="12"/>
  <c r="HL398" i="12"/>
  <c r="HM398" i="12"/>
  <c r="HN398" i="12"/>
  <c r="HO398" i="12"/>
  <c r="HP398" i="12"/>
  <c r="HQ398" i="12"/>
  <c r="HR398" i="12"/>
  <c r="HS398" i="12"/>
  <c r="HT398" i="12"/>
  <c r="HU398" i="12"/>
  <c r="HV398" i="12"/>
  <c r="HW398" i="12"/>
  <c r="HX398" i="12"/>
  <c r="HY398" i="12"/>
  <c r="HZ398" i="12"/>
  <c r="IA398" i="12"/>
  <c r="IB398" i="12"/>
  <c r="IC398" i="12"/>
  <c r="ID398" i="12"/>
  <c r="IE398" i="12"/>
  <c r="IF398" i="12"/>
  <c r="IG398" i="12"/>
  <c r="IH398" i="12"/>
  <c r="II398" i="12"/>
  <c r="IJ398" i="12"/>
  <c r="IK398" i="12"/>
  <c r="IL398" i="12"/>
  <c r="IM398" i="12"/>
  <c r="IN398" i="12"/>
  <c r="IO398" i="12"/>
  <c r="IP398" i="12"/>
  <c r="IQ398" i="12"/>
  <c r="IR398" i="12"/>
  <c r="IS398" i="12"/>
  <c r="IT398" i="12"/>
  <c r="IU398" i="12"/>
  <c r="IV398" i="12"/>
  <c r="F399" i="12"/>
  <c r="G399" i="12"/>
  <c r="H399" i="12"/>
  <c r="I399" i="12"/>
  <c r="J399" i="12"/>
  <c r="K399" i="12"/>
  <c r="L399" i="12"/>
  <c r="M399" i="12"/>
  <c r="N399" i="12"/>
  <c r="O399" i="12"/>
  <c r="P399" i="12"/>
  <c r="Q399" i="12"/>
  <c r="R399" i="12"/>
  <c r="S399" i="12"/>
  <c r="T399" i="12"/>
  <c r="U399" i="12"/>
  <c r="V399" i="12"/>
  <c r="W399" i="12"/>
  <c r="X399" i="12"/>
  <c r="Y399" i="12"/>
  <c r="Z399" i="12"/>
  <c r="AA399" i="12"/>
  <c r="AB399" i="12"/>
  <c r="AC399" i="12"/>
  <c r="AD399" i="12"/>
  <c r="AE399" i="12"/>
  <c r="AF399" i="12"/>
  <c r="AG399" i="12"/>
  <c r="AH399" i="12"/>
  <c r="AI399" i="12"/>
  <c r="AJ399" i="12"/>
  <c r="AK399" i="12"/>
  <c r="AL399" i="12"/>
  <c r="AM399" i="12"/>
  <c r="AN399" i="12"/>
  <c r="AO399" i="12"/>
  <c r="AP399" i="12"/>
  <c r="AQ399" i="12"/>
  <c r="AR399" i="12"/>
  <c r="AS399" i="12"/>
  <c r="AT399" i="12"/>
  <c r="AU399" i="12"/>
  <c r="AV399" i="12"/>
  <c r="AW399" i="12"/>
  <c r="AX399" i="12"/>
  <c r="AY399" i="12"/>
  <c r="AZ399" i="12"/>
  <c r="BA399" i="12"/>
  <c r="BB399" i="12"/>
  <c r="BC399" i="12"/>
  <c r="BD399" i="12"/>
  <c r="BE399" i="12"/>
  <c r="BF399" i="12"/>
  <c r="BG399" i="12"/>
  <c r="BH399" i="12"/>
  <c r="BI399" i="12"/>
  <c r="BJ399" i="12"/>
  <c r="BK399" i="12"/>
  <c r="BL399" i="12"/>
  <c r="BM399" i="12"/>
  <c r="BN399" i="12"/>
  <c r="BO399" i="12"/>
  <c r="BP399" i="12"/>
  <c r="BQ399" i="12"/>
  <c r="BR399" i="12"/>
  <c r="BS399" i="12"/>
  <c r="BT399" i="12"/>
  <c r="BU399" i="12"/>
  <c r="BV399" i="12"/>
  <c r="BW399" i="12"/>
  <c r="BX399" i="12"/>
  <c r="BY399" i="12"/>
  <c r="BZ399" i="12"/>
  <c r="CA399" i="12"/>
  <c r="CB399" i="12"/>
  <c r="CC399" i="12"/>
  <c r="CD399" i="12"/>
  <c r="CE399" i="12"/>
  <c r="CF399" i="12"/>
  <c r="CG399" i="12"/>
  <c r="CH399" i="12"/>
  <c r="CI399" i="12"/>
  <c r="CJ399" i="12"/>
  <c r="CK399" i="12"/>
  <c r="CL399" i="12"/>
  <c r="CM399" i="12"/>
  <c r="CN399" i="12"/>
  <c r="CO399" i="12"/>
  <c r="CP399" i="12"/>
  <c r="CQ399" i="12"/>
  <c r="CR399" i="12"/>
  <c r="CS399" i="12"/>
  <c r="CT399" i="12"/>
  <c r="CU399" i="12"/>
  <c r="CV399" i="12"/>
  <c r="CW399" i="12"/>
  <c r="CX399" i="12"/>
  <c r="CY399" i="12"/>
  <c r="CZ399" i="12"/>
  <c r="DA399" i="12"/>
  <c r="DB399" i="12"/>
  <c r="DC399" i="12"/>
  <c r="DD399" i="12"/>
  <c r="DE399" i="12"/>
  <c r="DF399" i="12"/>
  <c r="DG399" i="12"/>
  <c r="DH399" i="12"/>
  <c r="DI399" i="12"/>
  <c r="DJ399" i="12"/>
  <c r="DK399" i="12"/>
  <c r="DL399" i="12"/>
  <c r="DM399" i="12"/>
  <c r="DN399" i="12"/>
  <c r="DO399" i="12"/>
  <c r="DP399" i="12"/>
  <c r="DQ399" i="12"/>
  <c r="DR399" i="12"/>
  <c r="DS399" i="12"/>
  <c r="DT399" i="12"/>
  <c r="DU399" i="12"/>
  <c r="DV399" i="12"/>
  <c r="DW399" i="12"/>
  <c r="DX399" i="12"/>
  <c r="DY399" i="12"/>
  <c r="DZ399" i="12"/>
  <c r="EA399" i="12"/>
  <c r="EB399" i="12"/>
  <c r="EC399" i="12"/>
  <c r="ED399" i="12"/>
  <c r="EE399" i="12"/>
  <c r="EF399" i="12"/>
  <c r="EG399" i="12"/>
  <c r="EH399" i="12"/>
  <c r="EI399" i="12"/>
  <c r="EJ399" i="12"/>
  <c r="EK399" i="12"/>
  <c r="EL399" i="12"/>
  <c r="EM399" i="12"/>
  <c r="EN399" i="12"/>
  <c r="EO399" i="12"/>
  <c r="EP399" i="12"/>
  <c r="EQ399" i="12"/>
  <c r="ER399" i="12"/>
  <c r="ES399" i="12"/>
  <c r="ET399" i="12"/>
  <c r="EU399" i="12"/>
  <c r="EV399" i="12"/>
  <c r="EW399" i="12"/>
  <c r="EX399" i="12"/>
  <c r="EY399" i="12"/>
  <c r="EZ399" i="12"/>
  <c r="FA399" i="12"/>
  <c r="FB399" i="12"/>
  <c r="FC399" i="12"/>
  <c r="FD399" i="12"/>
  <c r="FE399" i="12"/>
  <c r="FF399" i="12"/>
  <c r="FG399" i="12"/>
  <c r="FH399" i="12"/>
  <c r="FI399" i="12"/>
  <c r="FJ399" i="12"/>
  <c r="FK399" i="12"/>
  <c r="FL399" i="12"/>
  <c r="FM399" i="12"/>
  <c r="FN399" i="12"/>
  <c r="FO399" i="12"/>
  <c r="FP399" i="12"/>
  <c r="FQ399" i="12"/>
  <c r="FR399" i="12"/>
  <c r="FS399" i="12"/>
  <c r="FT399" i="12"/>
  <c r="FU399" i="12"/>
  <c r="FV399" i="12"/>
  <c r="FW399" i="12"/>
  <c r="FX399" i="12"/>
  <c r="FY399" i="12"/>
  <c r="FZ399" i="12"/>
  <c r="GA399" i="12"/>
  <c r="GB399" i="12"/>
  <c r="GC399" i="12"/>
  <c r="GD399" i="12"/>
  <c r="GE399" i="12"/>
  <c r="GF399" i="12"/>
  <c r="GG399" i="12"/>
  <c r="GH399" i="12"/>
  <c r="GI399" i="12"/>
  <c r="GJ399" i="12"/>
  <c r="GK399" i="12"/>
  <c r="GL399" i="12"/>
  <c r="GM399" i="12"/>
  <c r="GN399" i="12"/>
  <c r="GO399" i="12"/>
  <c r="GP399" i="12"/>
  <c r="GQ399" i="12"/>
  <c r="GR399" i="12"/>
  <c r="GS399" i="12"/>
  <c r="GT399" i="12"/>
  <c r="GU399" i="12"/>
  <c r="GV399" i="12"/>
  <c r="GW399" i="12"/>
  <c r="GX399" i="12"/>
  <c r="GY399" i="12"/>
  <c r="GZ399" i="12"/>
  <c r="HA399" i="12"/>
  <c r="HB399" i="12"/>
  <c r="HC399" i="12"/>
  <c r="HD399" i="12"/>
  <c r="HE399" i="12"/>
  <c r="HF399" i="12"/>
  <c r="HG399" i="12"/>
  <c r="HH399" i="12"/>
  <c r="HI399" i="12"/>
  <c r="HJ399" i="12"/>
  <c r="HK399" i="12"/>
  <c r="HL399" i="12"/>
  <c r="HM399" i="12"/>
  <c r="HN399" i="12"/>
  <c r="HO399" i="12"/>
  <c r="HP399" i="12"/>
  <c r="HQ399" i="12"/>
  <c r="HR399" i="12"/>
  <c r="HS399" i="12"/>
  <c r="HT399" i="12"/>
  <c r="HU399" i="12"/>
  <c r="HV399" i="12"/>
  <c r="HW399" i="12"/>
  <c r="HX399" i="12"/>
  <c r="HY399" i="12"/>
  <c r="HZ399" i="12"/>
  <c r="IA399" i="12"/>
  <c r="IB399" i="12"/>
  <c r="IC399" i="12"/>
  <c r="ID399" i="12"/>
  <c r="IE399" i="12"/>
  <c r="IF399" i="12"/>
  <c r="IG399" i="12"/>
  <c r="IH399" i="12"/>
  <c r="II399" i="12"/>
  <c r="IJ399" i="12"/>
  <c r="IK399" i="12"/>
  <c r="IL399" i="12"/>
  <c r="IM399" i="12"/>
  <c r="IN399" i="12"/>
  <c r="IO399" i="12"/>
  <c r="IP399" i="12"/>
  <c r="IQ399" i="12"/>
  <c r="IR399" i="12"/>
  <c r="IS399" i="12"/>
  <c r="IT399" i="12"/>
  <c r="IU399" i="12"/>
  <c r="IV399" i="12"/>
  <c r="F400" i="12"/>
  <c r="G400" i="12"/>
  <c r="H400" i="12"/>
  <c r="I400" i="12"/>
  <c r="J400" i="12"/>
  <c r="K400" i="12"/>
  <c r="L400" i="12"/>
  <c r="M400" i="12"/>
  <c r="N400" i="12"/>
  <c r="O400" i="12"/>
  <c r="P400" i="12"/>
  <c r="Q400" i="12"/>
  <c r="R400" i="12"/>
  <c r="S400" i="12"/>
  <c r="T400" i="12"/>
  <c r="U400" i="12"/>
  <c r="V400" i="12"/>
  <c r="W400" i="12"/>
  <c r="X400" i="12"/>
  <c r="Y400" i="12"/>
  <c r="Z400" i="12"/>
  <c r="AA400" i="12"/>
  <c r="AB400" i="12"/>
  <c r="AC400" i="12"/>
  <c r="AD400" i="12"/>
  <c r="AE400" i="12"/>
  <c r="AF400" i="12"/>
  <c r="AG400" i="12"/>
  <c r="AH400" i="12"/>
  <c r="AI400" i="12"/>
  <c r="AJ400" i="12"/>
  <c r="AK400" i="12"/>
  <c r="AL400" i="12"/>
  <c r="AM400" i="12"/>
  <c r="AN400" i="12"/>
  <c r="AO400" i="12"/>
  <c r="AP400" i="12"/>
  <c r="AQ400" i="12"/>
  <c r="AR400" i="12"/>
  <c r="AS400" i="12"/>
  <c r="AT400" i="12"/>
  <c r="AU400" i="12"/>
  <c r="AV400" i="12"/>
  <c r="AW400" i="12"/>
  <c r="AX400" i="12"/>
  <c r="AY400" i="12"/>
  <c r="AZ400" i="12"/>
  <c r="BA400" i="12"/>
  <c r="BB400" i="12"/>
  <c r="BC400" i="12"/>
  <c r="BD400" i="12"/>
  <c r="BE400" i="12"/>
  <c r="BF400" i="12"/>
  <c r="BG400" i="12"/>
  <c r="BH400" i="12"/>
  <c r="BI400" i="12"/>
  <c r="BJ400" i="12"/>
  <c r="BK400" i="12"/>
  <c r="BL400" i="12"/>
  <c r="BM400" i="12"/>
  <c r="BN400" i="12"/>
  <c r="BO400" i="12"/>
  <c r="BP400" i="12"/>
  <c r="BQ400" i="12"/>
  <c r="BR400" i="12"/>
  <c r="BS400" i="12"/>
  <c r="BT400" i="12"/>
  <c r="BU400" i="12"/>
  <c r="BV400" i="12"/>
  <c r="BW400" i="12"/>
  <c r="BX400" i="12"/>
  <c r="BY400" i="12"/>
  <c r="BZ400" i="12"/>
  <c r="CA400" i="12"/>
  <c r="CB400" i="12"/>
  <c r="CC400" i="12"/>
  <c r="CD400" i="12"/>
  <c r="CE400" i="12"/>
  <c r="CF400" i="12"/>
  <c r="CG400" i="12"/>
  <c r="CH400" i="12"/>
  <c r="CI400" i="12"/>
  <c r="CJ400" i="12"/>
  <c r="CK400" i="12"/>
  <c r="CL400" i="12"/>
  <c r="CM400" i="12"/>
  <c r="CN400" i="12"/>
  <c r="CO400" i="12"/>
  <c r="CP400" i="12"/>
  <c r="CQ400" i="12"/>
  <c r="CR400" i="12"/>
  <c r="CS400" i="12"/>
  <c r="CT400" i="12"/>
  <c r="CU400" i="12"/>
  <c r="CV400" i="12"/>
  <c r="CW400" i="12"/>
  <c r="CX400" i="12"/>
  <c r="CY400" i="12"/>
  <c r="CZ400" i="12"/>
  <c r="DA400" i="12"/>
  <c r="DB400" i="12"/>
  <c r="DC400" i="12"/>
  <c r="DD400" i="12"/>
  <c r="DE400" i="12"/>
  <c r="DF400" i="12"/>
  <c r="DG400" i="12"/>
  <c r="DH400" i="12"/>
  <c r="DI400" i="12"/>
  <c r="DJ400" i="12"/>
  <c r="DK400" i="12"/>
  <c r="DL400" i="12"/>
  <c r="DM400" i="12"/>
  <c r="DN400" i="12"/>
  <c r="DO400" i="12"/>
  <c r="DP400" i="12"/>
  <c r="DQ400" i="12"/>
  <c r="DR400" i="12"/>
  <c r="DS400" i="12"/>
  <c r="DT400" i="12"/>
  <c r="DU400" i="12"/>
  <c r="DV400" i="12"/>
  <c r="DW400" i="12"/>
  <c r="DX400" i="12"/>
  <c r="DY400" i="12"/>
  <c r="DZ400" i="12"/>
  <c r="EA400" i="12"/>
  <c r="EB400" i="12"/>
  <c r="EC400" i="12"/>
  <c r="ED400" i="12"/>
  <c r="EE400" i="12"/>
  <c r="EF400" i="12"/>
  <c r="EG400" i="12"/>
  <c r="EH400" i="12"/>
  <c r="EI400" i="12"/>
  <c r="EJ400" i="12"/>
  <c r="EK400" i="12"/>
  <c r="EL400" i="12"/>
  <c r="EM400" i="12"/>
  <c r="EN400" i="12"/>
  <c r="EO400" i="12"/>
  <c r="EP400" i="12"/>
  <c r="EQ400" i="12"/>
  <c r="ER400" i="12"/>
  <c r="ES400" i="12"/>
  <c r="ET400" i="12"/>
  <c r="EU400" i="12"/>
  <c r="EV400" i="12"/>
  <c r="EW400" i="12"/>
  <c r="EX400" i="12"/>
  <c r="EY400" i="12"/>
  <c r="EZ400" i="12"/>
  <c r="FA400" i="12"/>
  <c r="FB400" i="12"/>
  <c r="FC400" i="12"/>
  <c r="FD400" i="12"/>
  <c r="FE400" i="12"/>
  <c r="FF400" i="12"/>
  <c r="FG400" i="12"/>
  <c r="FH400" i="12"/>
  <c r="FI400" i="12"/>
  <c r="FJ400" i="12"/>
  <c r="FK400" i="12"/>
  <c r="FL400" i="12"/>
  <c r="FM400" i="12"/>
  <c r="FN400" i="12"/>
  <c r="FO400" i="12"/>
  <c r="FP400" i="12"/>
  <c r="FQ400" i="12"/>
  <c r="FR400" i="12"/>
  <c r="FS400" i="12"/>
  <c r="FT400" i="12"/>
  <c r="FU400" i="12"/>
  <c r="FV400" i="12"/>
  <c r="FW400" i="12"/>
  <c r="FX400" i="12"/>
  <c r="FY400" i="12"/>
  <c r="FZ400" i="12"/>
  <c r="GA400" i="12"/>
  <c r="GB400" i="12"/>
  <c r="GC400" i="12"/>
  <c r="GD400" i="12"/>
  <c r="GE400" i="12"/>
  <c r="GF400" i="12"/>
  <c r="GG400" i="12"/>
  <c r="GH400" i="12"/>
  <c r="GI400" i="12"/>
  <c r="GJ400" i="12"/>
  <c r="GK400" i="12"/>
  <c r="GL400" i="12"/>
  <c r="GM400" i="12"/>
  <c r="GN400" i="12"/>
  <c r="GO400" i="12"/>
  <c r="GP400" i="12"/>
  <c r="GQ400" i="12"/>
  <c r="GR400" i="12"/>
  <c r="GS400" i="12"/>
  <c r="GT400" i="12"/>
  <c r="GU400" i="12"/>
  <c r="GV400" i="12"/>
  <c r="GW400" i="12"/>
  <c r="GX400" i="12"/>
  <c r="GY400" i="12"/>
  <c r="GZ400" i="12"/>
  <c r="HA400" i="12"/>
  <c r="HB400" i="12"/>
  <c r="HC400" i="12"/>
  <c r="HD400" i="12"/>
  <c r="HE400" i="12"/>
  <c r="HF400" i="12"/>
  <c r="HG400" i="12"/>
  <c r="HH400" i="12"/>
  <c r="HI400" i="12"/>
  <c r="HJ400" i="12"/>
  <c r="HK400" i="12"/>
  <c r="HL400" i="12"/>
  <c r="HM400" i="12"/>
  <c r="HN400" i="12"/>
  <c r="HO400" i="12"/>
  <c r="HP400" i="12"/>
  <c r="HQ400" i="12"/>
  <c r="HR400" i="12"/>
  <c r="HS400" i="12"/>
  <c r="HT400" i="12"/>
  <c r="HU400" i="12"/>
  <c r="HV400" i="12"/>
  <c r="HW400" i="12"/>
  <c r="HX400" i="12"/>
  <c r="HY400" i="12"/>
  <c r="HZ400" i="12"/>
  <c r="IA400" i="12"/>
  <c r="IB400" i="12"/>
  <c r="IC400" i="12"/>
  <c r="ID400" i="12"/>
  <c r="IE400" i="12"/>
  <c r="IF400" i="12"/>
  <c r="IG400" i="12"/>
  <c r="IH400" i="12"/>
  <c r="II400" i="12"/>
  <c r="IJ400" i="12"/>
  <c r="IK400" i="12"/>
  <c r="IL400" i="12"/>
  <c r="IM400" i="12"/>
  <c r="IN400" i="12"/>
  <c r="IO400" i="12"/>
  <c r="IP400" i="12"/>
  <c r="IQ400" i="12"/>
  <c r="IR400" i="12"/>
  <c r="IS400" i="12"/>
  <c r="IT400" i="12"/>
  <c r="IU400" i="12"/>
  <c r="IV400" i="12"/>
  <c r="F401" i="12"/>
  <c r="G401" i="12"/>
  <c r="H401" i="12"/>
  <c r="I401" i="12"/>
  <c r="J401" i="12"/>
  <c r="K401" i="12"/>
  <c r="L401" i="12"/>
  <c r="M401" i="12"/>
  <c r="N401" i="12"/>
  <c r="O401" i="12"/>
  <c r="P401" i="12"/>
  <c r="Q401" i="12"/>
  <c r="R401" i="12"/>
  <c r="S401" i="12"/>
  <c r="T401" i="12"/>
  <c r="U401" i="12"/>
  <c r="V401" i="12"/>
  <c r="W401" i="12"/>
  <c r="X401" i="12"/>
  <c r="Y401" i="12"/>
  <c r="Z401" i="12"/>
  <c r="AA401" i="12"/>
  <c r="AB401" i="12"/>
  <c r="AC401" i="12"/>
  <c r="AD401" i="12"/>
  <c r="AE401" i="12"/>
  <c r="AF401" i="12"/>
  <c r="AG401" i="12"/>
  <c r="AH401" i="12"/>
  <c r="AI401" i="12"/>
  <c r="AJ401" i="12"/>
  <c r="AK401" i="12"/>
  <c r="AL401" i="12"/>
  <c r="AM401" i="12"/>
  <c r="AN401" i="12"/>
  <c r="AO401" i="12"/>
  <c r="AP401" i="12"/>
  <c r="AQ401" i="12"/>
  <c r="AR401" i="12"/>
  <c r="AS401" i="12"/>
  <c r="AT401" i="12"/>
  <c r="AU401" i="12"/>
  <c r="AV401" i="12"/>
  <c r="AW401" i="12"/>
  <c r="AX401" i="12"/>
  <c r="AY401" i="12"/>
  <c r="AZ401" i="12"/>
  <c r="BA401" i="12"/>
  <c r="BB401" i="12"/>
  <c r="BC401" i="12"/>
  <c r="BD401" i="12"/>
  <c r="BE401" i="12"/>
  <c r="BF401" i="12"/>
  <c r="BG401" i="12"/>
  <c r="BH401" i="12"/>
  <c r="BI401" i="12"/>
  <c r="BJ401" i="12"/>
  <c r="BK401" i="12"/>
  <c r="BL401" i="12"/>
  <c r="BM401" i="12"/>
  <c r="BN401" i="12"/>
  <c r="BO401" i="12"/>
  <c r="BP401" i="12"/>
  <c r="BQ401" i="12"/>
  <c r="BR401" i="12"/>
  <c r="BS401" i="12"/>
  <c r="BT401" i="12"/>
  <c r="BU401" i="12"/>
  <c r="BV401" i="12"/>
  <c r="BW401" i="12"/>
  <c r="BX401" i="12"/>
  <c r="BY401" i="12"/>
  <c r="BZ401" i="12"/>
  <c r="CA401" i="12"/>
  <c r="CB401" i="12"/>
  <c r="CC401" i="12"/>
  <c r="CD401" i="12"/>
  <c r="CE401" i="12"/>
  <c r="CF401" i="12"/>
  <c r="CG401" i="12"/>
  <c r="CH401" i="12"/>
  <c r="CI401" i="12"/>
  <c r="CJ401" i="12"/>
  <c r="CK401" i="12"/>
  <c r="CL401" i="12"/>
  <c r="CM401" i="12"/>
  <c r="CN401" i="12"/>
  <c r="CO401" i="12"/>
  <c r="CP401" i="12"/>
  <c r="CQ401" i="12"/>
  <c r="CR401" i="12"/>
  <c r="CS401" i="12"/>
  <c r="CT401" i="12"/>
  <c r="CU401" i="12"/>
  <c r="CV401" i="12"/>
  <c r="CW401" i="12"/>
  <c r="CX401" i="12"/>
  <c r="CY401" i="12"/>
  <c r="CZ401" i="12"/>
  <c r="DA401" i="12"/>
  <c r="DB401" i="12"/>
  <c r="DC401" i="12"/>
  <c r="DD401" i="12"/>
  <c r="DE401" i="12"/>
  <c r="DF401" i="12"/>
  <c r="DG401" i="12"/>
  <c r="DH401" i="12"/>
  <c r="DI401" i="12"/>
  <c r="DJ401" i="12"/>
  <c r="DK401" i="12"/>
  <c r="DL401" i="12"/>
  <c r="DM401" i="12"/>
  <c r="DN401" i="12"/>
  <c r="DO401" i="12"/>
  <c r="DP401" i="12"/>
  <c r="DQ401" i="12"/>
  <c r="DR401" i="12"/>
  <c r="DS401" i="12"/>
  <c r="DT401" i="12"/>
  <c r="DU401" i="12"/>
  <c r="DV401" i="12"/>
  <c r="DW401" i="12"/>
  <c r="DX401" i="12"/>
  <c r="DY401" i="12"/>
  <c r="DZ401" i="12"/>
  <c r="EA401" i="12"/>
  <c r="EB401" i="12"/>
  <c r="EC401" i="12"/>
  <c r="ED401" i="12"/>
  <c r="EE401" i="12"/>
  <c r="EF401" i="12"/>
  <c r="EG401" i="12"/>
  <c r="EH401" i="12"/>
  <c r="EI401" i="12"/>
  <c r="EJ401" i="12"/>
  <c r="EK401" i="12"/>
  <c r="EL401" i="12"/>
  <c r="EM401" i="12"/>
  <c r="EN401" i="12"/>
  <c r="EO401" i="12"/>
  <c r="EP401" i="12"/>
  <c r="EQ401" i="12"/>
  <c r="ER401" i="12"/>
  <c r="ES401" i="12"/>
  <c r="ET401" i="12"/>
  <c r="EU401" i="12"/>
  <c r="EV401" i="12"/>
  <c r="EW401" i="12"/>
  <c r="EX401" i="12"/>
  <c r="EY401" i="12"/>
  <c r="EZ401" i="12"/>
  <c r="FA401" i="12"/>
  <c r="FB401" i="12"/>
  <c r="FC401" i="12"/>
  <c r="FD401" i="12"/>
  <c r="FE401" i="12"/>
  <c r="FF401" i="12"/>
  <c r="FG401" i="12"/>
  <c r="FH401" i="12"/>
  <c r="FI401" i="12"/>
  <c r="FJ401" i="12"/>
  <c r="FK401" i="12"/>
  <c r="FL401" i="12"/>
  <c r="FM401" i="12"/>
  <c r="FN401" i="12"/>
  <c r="FO401" i="12"/>
  <c r="FP401" i="12"/>
  <c r="FQ401" i="12"/>
  <c r="FR401" i="12"/>
  <c r="FS401" i="12"/>
  <c r="FT401" i="12"/>
  <c r="FU401" i="12"/>
  <c r="FV401" i="12"/>
  <c r="FW401" i="12"/>
  <c r="FX401" i="12"/>
  <c r="FY401" i="12"/>
  <c r="FZ401" i="12"/>
  <c r="GA401" i="12"/>
  <c r="GB401" i="12"/>
  <c r="GC401" i="12"/>
  <c r="GD401" i="12"/>
  <c r="GE401" i="12"/>
  <c r="GF401" i="12"/>
  <c r="GG401" i="12"/>
  <c r="GH401" i="12"/>
  <c r="GI401" i="12"/>
  <c r="GJ401" i="12"/>
  <c r="GK401" i="12"/>
  <c r="GL401" i="12"/>
  <c r="GM401" i="12"/>
  <c r="GN401" i="12"/>
  <c r="GO401" i="12"/>
  <c r="GP401" i="12"/>
  <c r="GQ401" i="12"/>
  <c r="GR401" i="12"/>
  <c r="GS401" i="12"/>
  <c r="GT401" i="12"/>
  <c r="GU401" i="12"/>
  <c r="GV401" i="12"/>
  <c r="GW401" i="12"/>
  <c r="GX401" i="12"/>
  <c r="GY401" i="12"/>
  <c r="GZ401" i="12"/>
  <c r="HA401" i="12"/>
  <c r="HB401" i="12"/>
  <c r="HC401" i="12"/>
  <c r="HD401" i="12"/>
  <c r="HE401" i="12"/>
  <c r="HF401" i="12"/>
  <c r="HG401" i="12"/>
  <c r="HH401" i="12"/>
  <c r="HI401" i="12"/>
  <c r="HJ401" i="12"/>
  <c r="HK401" i="12"/>
  <c r="HL401" i="12"/>
  <c r="HM401" i="12"/>
  <c r="HN401" i="12"/>
  <c r="HO401" i="12"/>
  <c r="HP401" i="12"/>
  <c r="HQ401" i="12"/>
  <c r="HR401" i="12"/>
  <c r="HS401" i="12"/>
  <c r="HT401" i="12"/>
  <c r="HU401" i="12"/>
  <c r="HV401" i="12"/>
  <c r="HW401" i="12"/>
  <c r="HX401" i="12"/>
  <c r="HY401" i="12"/>
  <c r="HZ401" i="12"/>
  <c r="IA401" i="12"/>
  <c r="IB401" i="12"/>
  <c r="IC401" i="12"/>
  <c r="ID401" i="12"/>
  <c r="IE401" i="12"/>
  <c r="IF401" i="12"/>
  <c r="IG401" i="12"/>
  <c r="IH401" i="12"/>
  <c r="II401" i="12"/>
  <c r="IJ401" i="12"/>
  <c r="IK401" i="12"/>
  <c r="IL401" i="12"/>
  <c r="IM401" i="12"/>
  <c r="IN401" i="12"/>
  <c r="IO401" i="12"/>
  <c r="IP401" i="12"/>
  <c r="IQ401" i="12"/>
  <c r="IR401" i="12"/>
  <c r="IS401" i="12"/>
  <c r="IT401" i="12"/>
  <c r="IU401" i="12"/>
  <c r="IV401" i="12"/>
  <c r="F402" i="12"/>
  <c r="G402" i="12"/>
  <c r="H402" i="12"/>
  <c r="I402" i="12"/>
  <c r="J402" i="12"/>
  <c r="K402" i="12"/>
  <c r="L402" i="12"/>
  <c r="M402" i="12"/>
  <c r="N402" i="12"/>
  <c r="O402" i="12"/>
  <c r="P402" i="12"/>
  <c r="Q402" i="12"/>
  <c r="R402" i="12"/>
  <c r="S402" i="12"/>
  <c r="T402" i="12"/>
  <c r="U402" i="12"/>
  <c r="V402" i="12"/>
  <c r="W402" i="12"/>
  <c r="X402" i="12"/>
  <c r="Y402" i="12"/>
  <c r="Z402" i="12"/>
  <c r="AA402" i="12"/>
  <c r="AB402" i="12"/>
  <c r="AC402" i="12"/>
  <c r="AD402" i="12"/>
  <c r="AE402" i="12"/>
  <c r="AF402" i="12"/>
  <c r="AG402" i="12"/>
  <c r="AH402" i="12"/>
  <c r="AI402" i="12"/>
  <c r="AJ402" i="12"/>
  <c r="AK402" i="12"/>
  <c r="AL402" i="12"/>
  <c r="AM402" i="12"/>
  <c r="AN402" i="12"/>
  <c r="AO402" i="12"/>
  <c r="AP402" i="12"/>
  <c r="AQ402" i="12"/>
  <c r="AR402" i="12"/>
  <c r="AS402" i="12"/>
  <c r="AT402" i="12"/>
  <c r="AU402" i="12"/>
  <c r="AV402" i="12"/>
  <c r="AW402" i="12"/>
  <c r="AX402" i="12"/>
  <c r="AY402" i="12"/>
  <c r="AZ402" i="12"/>
  <c r="BA402" i="12"/>
  <c r="BB402" i="12"/>
  <c r="BC402" i="12"/>
  <c r="BD402" i="12"/>
  <c r="BE402" i="12"/>
  <c r="BF402" i="12"/>
  <c r="BG402" i="12"/>
  <c r="BH402" i="12"/>
  <c r="BI402" i="12"/>
  <c r="BJ402" i="12"/>
  <c r="BK402" i="12"/>
  <c r="BL402" i="12"/>
  <c r="BM402" i="12"/>
  <c r="BN402" i="12"/>
  <c r="BO402" i="12"/>
  <c r="BP402" i="12"/>
  <c r="BQ402" i="12"/>
  <c r="BR402" i="12"/>
  <c r="BS402" i="12"/>
  <c r="BT402" i="12"/>
  <c r="BU402" i="12"/>
  <c r="BV402" i="12"/>
  <c r="BW402" i="12"/>
  <c r="BX402" i="12"/>
  <c r="BY402" i="12"/>
  <c r="BZ402" i="12"/>
  <c r="CA402" i="12"/>
  <c r="CB402" i="12"/>
  <c r="CC402" i="12"/>
  <c r="CD402" i="12"/>
  <c r="CE402" i="12"/>
  <c r="CF402" i="12"/>
  <c r="CG402" i="12"/>
  <c r="CH402" i="12"/>
  <c r="CI402" i="12"/>
  <c r="CJ402" i="12"/>
  <c r="CK402" i="12"/>
  <c r="CL402" i="12"/>
  <c r="CM402" i="12"/>
  <c r="CN402" i="12"/>
  <c r="CO402" i="12"/>
  <c r="CP402" i="12"/>
  <c r="CQ402" i="12"/>
  <c r="CR402" i="12"/>
  <c r="CS402" i="12"/>
  <c r="CT402" i="12"/>
  <c r="CU402" i="12"/>
  <c r="CV402" i="12"/>
  <c r="CW402" i="12"/>
  <c r="CX402" i="12"/>
  <c r="CY402" i="12"/>
  <c r="CZ402" i="12"/>
  <c r="DA402" i="12"/>
  <c r="DB402" i="12"/>
  <c r="DC402" i="12"/>
  <c r="DD402" i="12"/>
  <c r="DE402" i="12"/>
  <c r="DF402" i="12"/>
  <c r="DG402" i="12"/>
  <c r="DH402" i="12"/>
  <c r="DI402" i="12"/>
  <c r="DJ402" i="12"/>
  <c r="DK402" i="12"/>
  <c r="DL402" i="12"/>
  <c r="DM402" i="12"/>
  <c r="DN402" i="12"/>
  <c r="DO402" i="12"/>
  <c r="DP402" i="12"/>
  <c r="DQ402" i="12"/>
  <c r="DR402" i="12"/>
  <c r="DS402" i="12"/>
  <c r="DT402" i="12"/>
  <c r="DU402" i="12"/>
  <c r="DV402" i="12"/>
  <c r="DW402" i="12"/>
  <c r="DX402" i="12"/>
  <c r="DY402" i="12"/>
  <c r="DZ402" i="12"/>
  <c r="EA402" i="12"/>
  <c r="EB402" i="12"/>
  <c r="EC402" i="12"/>
  <c r="ED402" i="12"/>
  <c r="EE402" i="12"/>
  <c r="EF402" i="12"/>
  <c r="EG402" i="12"/>
  <c r="EH402" i="12"/>
  <c r="EI402" i="12"/>
  <c r="EJ402" i="12"/>
  <c r="EK402" i="12"/>
  <c r="EL402" i="12"/>
  <c r="EM402" i="12"/>
  <c r="EN402" i="12"/>
  <c r="EO402" i="12"/>
  <c r="EP402" i="12"/>
  <c r="EQ402" i="12"/>
  <c r="ER402" i="12"/>
  <c r="ES402" i="12"/>
  <c r="ET402" i="12"/>
  <c r="EU402" i="12"/>
  <c r="EV402" i="12"/>
  <c r="EW402" i="12"/>
  <c r="EX402" i="12"/>
  <c r="EY402" i="12"/>
  <c r="EZ402" i="12"/>
  <c r="FA402" i="12"/>
  <c r="FB402" i="12"/>
  <c r="FC402" i="12"/>
  <c r="FD402" i="12"/>
  <c r="FE402" i="12"/>
  <c r="FF402" i="12"/>
  <c r="FG402" i="12"/>
  <c r="FH402" i="12"/>
  <c r="FI402" i="12"/>
  <c r="FJ402" i="12"/>
  <c r="FK402" i="12"/>
  <c r="FL402" i="12"/>
  <c r="FM402" i="12"/>
  <c r="FN402" i="12"/>
  <c r="FO402" i="12"/>
  <c r="FP402" i="12"/>
  <c r="FQ402" i="12"/>
  <c r="FR402" i="12"/>
  <c r="FS402" i="12"/>
  <c r="FT402" i="12"/>
  <c r="FU402" i="12"/>
  <c r="FV402" i="12"/>
  <c r="FW402" i="12"/>
  <c r="FX402" i="12"/>
  <c r="FY402" i="12"/>
  <c r="FZ402" i="12"/>
  <c r="GA402" i="12"/>
  <c r="GB402" i="12"/>
  <c r="GC402" i="12"/>
  <c r="GD402" i="12"/>
  <c r="GE402" i="12"/>
  <c r="GF402" i="12"/>
  <c r="GG402" i="12"/>
  <c r="GH402" i="12"/>
  <c r="GI402" i="12"/>
  <c r="GJ402" i="12"/>
  <c r="GK402" i="12"/>
  <c r="GL402" i="12"/>
  <c r="GM402" i="12"/>
  <c r="GN402" i="12"/>
  <c r="GO402" i="12"/>
  <c r="GP402" i="12"/>
  <c r="GQ402" i="12"/>
  <c r="GR402" i="12"/>
  <c r="GS402" i="12"/>
  <c r="GT402" i="12"/>
  <c r="GU402" i="12"/>
  <c r="GV402" i="12"/>
  <c r="GW402" i="12"/>
  <c r="GX402" i="12"/>
  <c r="GY402" i="12"/>
  <c r="GZ402" i="12"/>
  <c r="HA402" i="12"/>
  <c r="HB402" i="12"/>
  <c r="HC402" i="12"/>
  <c r="HD402" i="12"/>
  <c r="HE402" i="12"/>
  <c r="HF402" i="12"/>
  <c r="HG402" i="12"/>
  <c r="HH402" i="12"/>
  <c r="HI402" i="12"/>
  <c r="HJ402" i="12"/>
  <c r="HK402" i="12"/>
  <c r="HL402" i="12"/>
  <c r="HM402" i="12"/>
  <c r="HN402" i="12"/>
  <c r="HO402" i="12"/>
  <c r="HP402" i="12"/>
  <c r="HQ402" i="12"/>
  <c r="HR402" i="12"/>
  <c r="HS402" i="12"/>
  <c r="HT402" i="12"/>
  <c r="HU402" i="12"/>
  <c r="HV402" i="12"/>
  <c r="HW402" i="12"/>
  <c r="HX402" i="12"/>
  <c r="HY402" i="12"/>
  <c r="HZ402" i="12"/>
  <c r="IA402" i="12"/>
  <c r="IB402" i="12"/>
  <c r="IC402" i="12"/>
  <c r="ID402" i="12"/>
  <c r="IE402" i="12"/>
  <c r="IF402" i="12"/>
  <c r="IG402" i="12"/>
  <c r="IH402" i="12"/>
  <c r="II402" i="12"/>
  <c r="IJ402" i="12"/>
  <c r="IK402" i="12"/>
  <c r="IL402" i="12"/>
  <c r="IM402" i="12"/>
  <c r="IN402" i="12"/>
  <c r="IO402" i="12"/>
  <c r="IP402" i="12"/>
  <c r="IQ402" i="12"/>
  <c r="IR402" i="12"/>
  <c r="IS402" i="12"/>
  <c r="IT402" i="12"/>
  <c r="IU402" i="12"/>
  <c r="IV402" i="12"/>
  <c r="F403" i="12"/>
  <c r="G403" i="12"/>
  <c r="H403" i="12"/>
  <c r="I403" i="12"/>
  <c r="J403" i="12"/>
  <c r="K403" i="12"/>
  <c r="L403" i="12"/>
  <c r="M403" i="12"/>
  <c r="N403" i="12"/>
  <c r="O403" i="12"/>
  <c r="P403" i="12"/>
  <c r="Q403" i="12"/>
  <c r="R403" i="12"/>
  <c r="S403" i="12"/>
  <c r="T403" i="12"/>
  <c r="U403" i="12"/>
  <c r="V403" i="12"/>
  <c r="W403" i="12"/>
  <c r="X403" i="12"/>
  <c r="Y403" i="12"/>
  <c r="Z403" i="12"/>
  <c r="AA403" i="12"/>
  <c r="AB403" i="12"/>
  <c r="AC403" i="12"/>
  <c r="AD403" i="12"/>
  <c r="AE403" i="12"/>
  <c r="AF403" i="12"/>
  <c r="AG403" i="12"/>
  <c r="AH403" i="12"/>
  <c r="AI403" i="12"/>
  <c r="AJ403" i="12"/>
  <c r="AK403" i="12"/>
  <c r="AL403" i="12"/>
  <c r="AM403" i="12"/>
  <c r="AN403" i="12"/>
  <c r="AO403" i="12"/>
  <c r="AP403" i="12"/>
  <c r="AQ403" i="12"/>
  <c r="AR403" i="12"/>
  <c r="AS403" i="12"/>
  <c r="AT403" i="12"/>
  <c r="AU403" i="12"/>
  <c r="AV403" i="12"/>
  <c r="AW403" i="12"/>
  <c r="AX403" i="12"/>
  <c r="AY403" i="12"/>
  <c r="AZ403" i="12"/>
  <c r="BA403" i="12"/>
  <c r="BB403" i="12"/>
  <c r="BC403" i="12"/>
  <c r="BD403" i="12"/>
  <c r="BE403" i="12"/>
  <c r="BF403" i="12"/>
  <c r="BG403" i="12"/>
  <c r="BH403" i="12"/>
  <c r="BI403" i="12"/>
  <c r="BJ403" i="12"/>
  <c r="BK403" i="12"/>
  <c r="BL403" i="12"/>
  <c r="BM403" i="12"/>
  <c r="BN403" i="12"/>
  <c r="BO403" i="12"/>
  <c r="BP403" i="12"/>
  <c r="BQ403" i="12"/>
  <c r="BR403" i="12"/>
  <c r="BS403" i="12"/>
  <c r="BT403" i="12"/>
  <c r="BU403" i="12"/>
  <c r="BV403" i="12"/>
  <c r="BW403" i="12"/>
  <c r="BX403" i="12"/>
  <c r="BY403" i="12"/>
  <c r="BZ403" i="12"/>
  <c r="CA403" i="12"/>
  <c r="CB403" i="12"/>
  <c r="CC403" i="12"/>
  <c r="CD403" i="12"/>
  <c r="CE403" i="12"/>
  <c r="CF403" i="12"/>
  <c r="CG403" i="12"/>
  <c r="CH403" i="12"/>
  <c r="CI403" i="12"/>
  <c r="CJ403" i="12"/>
  <c r="CK403" i="12"/>
  <c r="CL403" i="12"/>
  <c r="CM403" i="12"/>
  <c r="CN403" i="12"/>
  <c r="CO403" i="12"/>
  <c r="CP403" i="12"/>
  <c r="CQ403" i="12"/>
  <c r="CR403" i="12"/>
  <c r="CS403" i="12"/>
  <c r="CT403" i="12"/>
  <c r="CU403" i="12"/>
  <c r="CV403" i="12"/>
  <c r="CW403" i="12"/>
  <c r="CX403" i="12"/>
  <c r="CY403" i="12"/>
  <c r="CZ403" i="12"/>
  <c r="DA403" i="12"/>
  <c r="DB403" i="12"/>
  <c r="DC403" i="12"/>
  <c r="DD403" i="12"/>
  <c r="DE403" i="12"/>
  <c r="DF403" i="12"/>
  <c r="DG403" i="12"/>
  <c r="DH403" i="12"/>
  <c r="DI403" i="12"/>
  <c r="DJ403" i="12"/>
  <c r="DK403" i="12"/>
  <c r="DL403" i="12"/>
  <c r="DM403" i="12"/>
  <c r="DN403" i="12"/>
  <c r="DO403" i="12"/>
  <c r="DP403" i="12"/>
  <c r="DQ403" i="12"/>
  <c r="DR403" i="12"/>
  <c r="DS403" i="12"/>
  <c r="DT403" i="12"/>
  <c r="DU403" i="12"/>
  <c r="DV403" i="12"/>
  <c r="DW403" i="12"/>
  <c r="DX403" i="12"/>
  <c r="DY403" i="12"/>
  <c r="DZ403" i="12"/>
  <c r="EA403" i="12"/>
  <c r="EB403" i="12"/>
  <c r="EC403" i="12"/>
  <c r="ED403" i="12"/>
  <c r="EE403" i="12"/>
  <c r="EF403" i="12"/>
  <c r="EG403" i="12"/>
  <c r="EH403" i="12"/>
  <c r="EI403" i="12"/>
  <c r="EJ403" i="12"/>
  <c r="EK403" i="12"/>
  <c r="EL403" i="12"/>
  <c r="EM403" i="12"/>
  <c r="EN403" i="12"/>
  <c r="EO403" i="12"/>
  <c r="EP403" i="12"/>
  <c r="EQ403" i="12"/>
  <c r="ER403" i="12"/>
  <c r="ES403" i="12"/>
  <c r="ET403" i="12"/>
  <c r="EU403" i="12"/>
  <c r="EV403" i="12"/>
  <c r="EW403" i="12"/>
  <c r="EX403" i="12"/>
  <c r="EY403" i="12"/>
  <c r="EZ403" i="12"/>
  <c r="FA403" i="12"/>
  <c r="FB403" i="12"/>
  <c r="FC403" i="12"/>
  <c r="FD403" i="12"/>
  <c r="FE403" i="12"/>
  <c r="FF403" i="12"/>
  <c r="FG403" i="12"/>
  <c r="FH403" i="12"/>
  <c r="FI403" i="12"/>
  <c r="FJ403" i="12"/>
  <c r="FK403" i="12"/>
  <c r="FL403" i="12"/>
  <c r="FM403" i="12"/>
  <c r="FN403" i="12"/>
  <c r="FO403" i="12"/>
  <c r="FP403" i="12"/>
  <c r="FQ403" i="12"/>
  <c r="FR403" i="12"/>
  <c r="FS403" i="12"/>
  <c r="FT403" i="12"/>
  <c r="FU403" i="12"/>
  <c r="FV403" i="12"/>
  <c r="FW403" i="12"/>
  <c r="FX403" i="12"/>
  <c r="FY403" i="12"/>
  <c r="FZ403" i="12"/>
  <c r="GA403" i="12"/>
  <c r="GB403" i="12"/>
  <c r="GC403" i="12"/>
  <c r="GD403" i="12"/>
  <c r="GE403" i="12"/>
  <c r="GF403" i="12"/>
  <c r="GG403" i="12"/>
  <c r="GH403" i="12"/>
  <c r="GI403" i="12"/>
  <c r="GJ403" i="12"/>
  <c r="GK403" i="12"/>
  <c r="GL403" i="12"/>
  <c r="GM403" i="12"/>
  <c r="GN403" i="12"/>
  <c r="GO403" i="12"/>
  <c r="GP403" i="12"/>
  <c r="GQ403" i="12"/>
  <c r="GR403" i="12"/>
  <c r="GS403" i="12"/>
  <c r="GT403" i="12"/>
  <c r="GU403" i="12"/>
  <c r="GV403" i="12"/>
  <c r="GW403" i="12"/>
  <c r="GX403" i="12"/>
  <c r="GY403" i="12"/>
  <c r="GZ403" i="12"/>
  <c r="HA403" i="12"/>
  <c r="HB403" i="12"/>
  <c r="HC403" i="12"/>
  <c r="HD403" i="12"/>
  <c r="HE403" i="12"/>
  <c r="HF403" i="12"/>
  <c r="HG403" i="12"/>
  <c r="HH403" i="12"/>
  <c r="HI403" i="12"/>
  <c r="HJ403" i="12"/>
  <c r="HK403" i="12"/>
  <c r="HL403" i="12"/>
  <c r="HM403" i="12"/>
  <c r="HN403" i="12"/>
  <c r="HO403" i="12"/>
  <c r="HP403" i="12"/>
  <c r="HQ403" i="12"/>
  <c r="HR403" i="12"/>
  <c r="HS403" i="12"/>
  <c r="HT403" i="12"/>
  <c r="HU403" i="12"/>
  <c r="HV403" i="12"/>
  <c r="HW403" i="12"/>
  <c r="HX403" i="12"/>
  <c r="HY403" i="12"/>
  <c r="HZ403" i="12"/>
  <c r="IA403" i="12"/>
  <c r="IB403" i="12"/>
  <c r="IC403" i="12"/>
  <c r="ID403" i="12"/>
  <c r="IE403" i="12"/>
  <c r="IF403" i="12"/>
  <c r="IG403" i="12"/>
  <c r="IH403" i="12"/>
  <c r="II403" i="12"/>
  <c r="IJ403" i="12"/>
  <c r="IK403" i="12"/>
  <c r="IL403" i="12"/>
  <c r="IM403" i="12"/>
  <c r="IN403" i="12"/>
  <c r="IO403" i="12"/>
  <c r="IP403" i="12"/>
  <c r="IQ403" i="12"/>
  <c r="IR403" i="12"/>
  <c r="IS403" i="12"/>
  <c r="IT403" i="12"/>
  <c r="IU403" i="12"/>
  <c r="IV403" i="12"/>
  <c r="F404" i="12"/>
  <c r="G404" i="12"/>
  <c r="H404" i="12"/>
  <c r="I404" i="12"/>
  <c r="J404" i="12"/>
  <c r="K404" i="12"/>
  <c r="L404" i="12"/>
  <c r="M404" i="12"/>
  <c r="N404" i="12"/>
  <c r="O404" i="12"/>
  <c r="P404" i="12"/>
  <c r="Q404" i="12"/>
  <c r="R404" i="12"/>
  <c r="S404" i="12"/>
  <c r="T404" i="12"/>
  <c r="U404" i="12"/>
  <c r="V404" i="12"/>
  <c r="W404" i="12"/>
  <c r="X404" i="12"/>
  <c r="Y404" i="12"/>
  <c r="Z404" i="12"/>
  <c r="AA404" i="12"/>
  <c r="AB404" i="12"/>
  <c r="AC404" i="12"/>
  <c r="AD404" i="12"/>
  <c r="AE404" i="12"/>
  <c r="AF404" i="12"/>
  <c r="AG404" i="12"/>
  <c r="AH404" i="12"/>
  <c r="AI404" i="12"/>
  <c r="AJ404" i="12"/>
  <c r="AK404" i="12"/>
  <c r="AL404" i="12"/>
  <c r="AM404" i="12"/>
  <c r="AN404" i="12"/>
  <c r="AO404" i="12"/>
  <c r="AP404" i="12"/>
  <c r="AQ404" i="12"/>
  <c r="AR404" i="12"/>
  <c r="AS404" i="12"/>
  <c r="AT404" i="12"/>
  <c r="AU404" i="12"/>
  <c r="AV404" i="12"/>
  <c r="AW404" i="12"/>
  <c r="AX404" i="12"/>
  <c r="AY404" i="12"/>
  <c r="AZ404" i="12"/>
  <c r="BA404" i="12"/>
  <c r="BB404" i="12"/>
  <c r="BC404" i="12"/>
  <c r="BD404" i="12"/>
  <c r="BE404" i="12"/>
  <c r="BF404" i="12"/>
  <c r="BG404" i="12"/>
  <c r="BH404" i="12"/>
  <c r="BI404" i="12"/>
  <c r="BJ404" i="12"/>
  <c r="BK404" i="12"/>
  <c r="BL404" i="12"/>
  <c r="BM404" i="12"/>
  <c r="BN404" i="12"/>
  <c r="BO404" i="12"/>
  <c r="BP404" i="12"/>
  <c r="BQ404" i="12"/>
  <c r="BR404" i="12"/>
  <c r="BS404" i="12"/>
  <c r="BT404" i="12"/>
  <c r="BU404" i="12"/>
  <c r="BV404" i="12"/>
  <c r="BW404" i="12"/>
  <c r="BX404" i="12"/>
  <c r="BY404" i="12"/>
  <c r="BZ404" i="12"/>
  <c r="CA404" i="12"/>
  <c r="CB404" i="12"/>
  <c r="CC404" i="12"/>
  <c r="CD404" i="12"/>
  <c r="CE404" i="12"/>
  <c r="CF404" i="12"/>
  <c r="CG404" i="12"/>
  <c r="CH404" i="12"/>
  <c r="CI404" i="12"/>
  <c r="CJ404" i="12"/>
  <c r="CK404" i="12"/>
  <c r="CL404" i="12"/>
  <c r="CM404" i="12"/>
  <c r="CN404" i="12"/>
  <c r="CO404" i="12"/>
  <c r="CP404" i="12"/>
  <c r="CQ404" i="12"/>
  <c r="CR404" i="12"/>
  <c r="CS404" i="12"/>
  <c r="CT404" i="12"/>
  <c r="CU404" i="12"/>
  <c r="CV404" i="12"/>
  <c r="CW404" i="12"/>
  <c r="CX404" i="12"/>
  <c r="CY404" i="12"/>
  <c r="CZ404" i="12"/>
  <c r="DA404" i="12"/>
  <c r="DB404" i="12"/>
  <c r="DC404" i="12"/>
  <c r="DD404" i="12"/>
  <c r="DE404" i="12"/>
  <c r="DF404" i="12"/>
  <c r="DG404" i="12"/>
  <c r="DH404" i="12"/>
  <c r="DI404" i="12"/>
  <c r="DJ404" i="12"/>
  <c r="DK404" i="12"/>
  <c r="DL404" i="12"/>
  <c r="DM404" i="12"/>
  <c r="DN404" i="12"/>
  <c r="DO404" i="12"/>
  <c r="DP404" i="12"/>
  <c r="DQ404" i="12"/>
  <c r="DR404" i="12"/>
  <c r="DS404" i="12"/>
  <c r="DT404" i="12"/>
  <c r="DU404" i="12"/>
  <c r="DV404" i="12"/>
  <c r="DW404" i="12"/>
  <c r="DX404" i="12"/>
  <c r="DY404" i="12"/>
  <c r="DZ404" i="12"/>
  <c r="EA404" i="12"/>
  <c r="EB404" i="12"/>
  <c r="EC404" i="12"/>
  <c r="ED404" i="12"/>
  <c r="EE404" i="12"/>
  <c r="EF404" i="12"/>
  <c r="EG404" i="12"/>
  <c r="EH404" i="12"/>
  <c r="EI404" i="12"/>
  <c r="EJ404" i="12"/>
  <c r="EK404" i="12"/>
  <c r="EL404" i="12"/>
  <c r="EM404" i="12"/>
  <c r="EN404" i="12"/>
  <c r="EO404" i="12"/>
  <c r="EP404" i="12"/>
  <c r="EQ404" i="12"/>
  <c r="ER404" i="12"/>
  <c r="ES404" i="12"/>
  <c r="ET404" i="12"/>
  <c r="EU404" i="12"/>
  <c r="EV404" i="12"/>
  <c r="EW404" i="12"/>
  <c r="EX404" i="12"/>
  <c r="EY404" i="12"/>
  <c r="EZ404" i="12"/>
  <c r="FA404" i="12"/>
  <c r="FB404" i="12"/>
  <c r="FC404" i="12"/>
  <c r="FD404" i="12"/>
  <c r="FE404" i="12"/>
  <c r="FF404" i="12"/>
  <c r="FG404" i="12"/>
  <c r="FH404" i="12"/>
  <c r="FI404" i="12"/>
  <c r="FJ404" i="12"/>
  <c r="FK404" i="12"/>
  <c r="FL404" i="12"/>
  <c r="FM404" i="12"/>
  <c r="FN404" i="12"/>
  <c r="FO404" i="12"/>
  <c r="FP404" i="12"/>
  <c r="FQ404" i="12"/>
  <c r="FR404" i="12"/>
  <c r="FS404" i="12"/>
  <c r="FT404" i="12"/>
  <c r="FU404" i="12"/>
  <c r="FV404" i="12"/>
  <c r="FW404" i="12"/>
  <c r="FX404" i="12"/>
  <c r="FY404" i="12"/>
  <c r="FZ404" i="12"/>
  <c r="GA404" i="12"/>
  <c r="GB404" i="12"/>
  <c r="GC404" i="12"/>
  <c r="GD404" i="12"/>
  <c r="GE404" i="12"/>
  <c r="GF404" i="12"/>
  <c r="GG404" i="12"/>
  <c r="GH404" i="12"/>
  <c r="GI404" i="12"/>
  <c r="GJ404" i="12"/>
  <c r="GK404" i="12"/>
  <c r="GL404" i="12"/>
  <c r="GM404" i="12"/>
  <c r="GN404" i="12"/>
  <c r="GO404" i="12"/>
  <c r="GP404" i="12"/>
  <c r="GQ404" i="12"/>
  <c r="GR404" i="12"/>
  <c r="GS404" i="12"/>
  <c r="GT404" i="12"/>
  <c r="GU404" i="12"/>
  <c r="GV404" i="12"/>
  <c r="GW404" i="12"/>
  <c r="GX404" i="12"/>
  <c r="GY404" i="12"/>
  <c r="GZ404" i="12"/>
  <c r="HA404" i="12"/>
  <c r="HB404" i="12"/>
  <c r="HC404" i="12"/>
  <c r="HD404" i="12"/>
  <c r="HE404" i="12"/>
  <c r="HF404" i="12"/>
  <c r="HG404" i="12"/>
  <c r="HH404" i="12"/>
  <c r="HI404" i="12"/>
  <c r="HJ404" i="12"/>
  <c r="HK404" i="12"/>
  <c r="HL404" i="12"/>
  <c r="HM404" i="12"/>
  <c r="HN404" i="12"/>
  <c r="HO404" i="12"/>
  <c r="HP404" i="12"/>
  <c r="HQ404" i="12"/>
  <c r="HR404" i="12"/>
  <c r="HS404" i="12"/>
  <c r="HT404" i="12"/>
  <c r="HU404" i="12"/>
  <c r="HV404" i="12"/>
  <c r="HW404" i="12"/>
  <c r="HX404" i="12"/>
  <c r="HY404" i="12"/>
  <c r="HZ404" i="12"/>
  <c r="IA404" i="12"/>
  <c r="IB404" i="12"/>
  <c r="IC404" i="12"/>
  <c r="ID404" i="12"/>
  <c r="IE404" i="12"/>
  <c r="IF404" i="12"/>
  <c r="IG404" i="12"/>
  <c r="IH404" i="12"/>
  <c r="II404" i="12"/>
  <c r="IJ404" i="12"/>
  <c r="IK404" i="12"/>
  <c r="IL404" i="12"/>
  <c r="IM404" i="12"/>
  <c r="IN404" i="12"/>
  <c r="IO404" i="12"/>
  <c r="IP404" i="12"/>
  <c r="IQ404" i="12"/>
  <c r="IR404" i="12"/>
  <c r="IS404" i="12"/>
  <c r="IT404" i="12"/>
  <c r="IU404" i="12"/>
  <c r="IV404" i="12"/>
  <c r="F405" i="12"/>
  <c r="G405" i="12"/>
  <c r="H405" i="12"/>
  <c r="I405" i="12"/>
  <c r="J405" i="12"/>
  <c r="K405" i="12"/>
  <c r="L405" i="12"/>
  <c r="M405" i="12"/>
  <c r="N405" i="12"/>
  <c r="O405" i="12"/>
  <c r="P405" i="12"/>
  <c r="Q405" i="12"/>
  <c r="R405" i="12"/>
  <c r="S405" i="12"/>
  <c r="T405" i="12"/>
  <c r="U405" i="12"/>
  <c r="V405" i="12"/>
  <c r="W405" i="12"/>
  <c r="X405" i="12"/>
  <c r="Y405" i="12"/>
  <c r="Z405" i="12"/>
  <c r="AA405" i="12"/>
  <c r="AB405" i="12"/>
  <c r="AC405" i="12"/>
  <c r="AD405" i="12"/>
  <c r="AE405" i="12"/>
  <c r="AF405" i="12"/>
  <c r="AG405" i="12"/>
  <c r="AH405" i="12"/>
  <c r="AI405" i="12"/>
  <c r="AJ405" i="12"/>
  <c r="AK405" i="12"/>
  <c r="AL405" i="12"/>
  <c r="AM405" i="12"/>
  <c r="AN405" i="12"/>
  <c r="AO405" i="12"/>
  <c r="AP405" i="12"/>
  <c r="AQ405" i="12"/>
  <c r="AR405" i="12"/>
  <c r="AS405" i="12"/>
  <c r="AT405" i="12"/>
  <c r="AU405" i="12"/>
  <c r="AV405" i="12"/>
  <c r="AW405" i="12"/>
  <c r="AX405" i="12"/>
  <c r="AY405" i="12"/>
  <c r="AZ405" i="12"/>
  <c r="BA405" i="12"/>
  <c r="BB405" i="12"/>
  <c r="BC405" i="12"/>
  <c r="BD405" i="12"/>
  <c r="BE405" i="12"/>
  <c r="BF405" i="12"/>
  <c r="BG405" i="12"/>
  <c r="BH405" i="12"/>
  <c r="BI405" i="12"/>
  <c r="BJ405" i="12"/>
  <c r="BK405" i="12"/>
  <c r="BL405" i="12"/>
  <c r="BM405" i="12"/>
  <c r="BN405" i="12"/>
  <c r="BO405" i="12"/>
  <c r="BP405" i="12"/>
  <c r="BQ405" i="12"/>
  <c r="BR405" i="12"/>
  <c r="BS405" i="12"/>
  <c r="BT405" i="12"/>
  <c r="BU405" i="12"/>
  <c r="BV405" i="12"/>
  <c r="BW405" i="12"/>
  <c r="BX405" i="12"/>
  <c r="BY405" i="12"/>
  <c r="BZ405" i="12"/>
  <c r="CA405" i="12"/>
  <c r="CB405" i="12"/>
  <c r="CC405" i="12"/>
  <c r="CD405" i="12"/>
  <c r="CE405" i="12"/>
  <c r="CF405" i="12"/>
  <c r="CG405" i="12"/>
  <c r="CH405" i="12"/>
  <c r="CI405" i="12"/>
  <c r="CJ405" i="12"/>
  <c r="CK405" i="12"/>
  <c r="CL405" i="12"/>
  <c r="CM405" i="12"/>
  <c r="CN405" i="12"/>
  <c r="CO405" i="12"/>
  <c r="CP405" i="12"/>
  <c r="CQ405" i="12"/>
  <c r="CR405" i="12"/>
  <c r="CS405" i="12"/>
  <c r="CT405" i="12"/>
  <c r="CU405" i="12"/>
  <c r="CV405" i="12"/>
  <c r="CW405" i="12"/>
  <c r="CX405" i="12"/>
  <c r="CY405" i="12"/>
  <c r="CZ405" i="12"/>
  <c r="DA405" i="12"/>
  <c r="DB405" i="12"/>
  <c r="DC405" i="12"/>
  <c r="DD405" i="12"/>
  <c r="DE405" i="12"/>
  <c r="DF405" i="12"/>
  <c r="DG405" i="12"/>
  <c r="DH405" i="12"/>
  <c r="DI405" i="12"/>
  <c r="DJ405" i="12"/>
  <c r="DK405" i="12"/>
  <c r="DL405" i="12"/>
  <c r="DM405" i="12"/>
  <c r="DN405" i="12"/>
  <c r="DO405" i="12"/>
  <c r="DP405" i="12"/>
  <c r="DQ405" i="12"/>
  <c r="DR405" i="12"/>
  <c r="DS405" i="12"/>
  <c r="DT405" i="12"/>
  <c r="DU405" i="12"/>
  <c r="DV405" i="12"/>
  <c r="DW405" i="12"/>
  <c r="DX405" i="12"/>
  <c r="DY405" i="12"/>
  <c r="DZ405" i="12"/>
  <c r="EA405" i="12"/>
  <c r="EB405" i="12"/>
  <c r="EC405" i="12"/>
  <c r="ED405" i="12"/>
  <c r="EE405" i="12"/>
  <c r="EF405" i="12"/>
  <c r="EG405" i="12"/>
  <c r="EH405" i="12"/>
  <c r="EI405" i="12"/>
  <c r="EJ405" i="12"/>
  <c r="EK405" i="12"/>
  <c r="EL405" i="12"/>
  <c r="EM405" i="12"/>
  <c r="EN405" i="12"/>
  <c r="EO405" i="12"/>
  <c r="EP405" i="12"/>
  <c r="EQ405" i="12"/>
  <c r="ER405" i="12"/>
  <c r="ES405" i="12"/>
  <c r="ET405" i="12"/>
  <c r="EU405" i="12"/>
  <c r="EV405" i="12"/>
  <c r="EW405" i="12"/>
  <c r="EX405" i="12"/>
  <c r="EY405" i="12"/>
  <c r="EZ405" i="12"/>
  <c r="FA405" i="12"/>
  <c r="FB405" i="12"/>
  <c r="FC405" i="12"/>
  <c r="FD405" i="12"/>
  <c r="FE405" i="12"/>
  <c r="FF405" i="12"/>
  <c r="FG405" i="12"/>
  <c r="FH405" i="12"/>
  <c r="FI405" i="12"/>
  <c r="FJ405" i="12"/>
  <c r="FK405" i="12"/>
  <c r="FL405" i="12"/>
  <c r="FM405" i="12"/>
  <c r="FN405" i="12"/>
  <c r="FO405" i="12"/>
  <c r="FP405" i="12"/>
  <c r="FQ405" i="12"/>
  <c r="FR405" i="12"/>
  <c r="FS405" i="12"/>
  <c r="FT405" i="12"/>
  <c r="FU405" i="12"/>
  <c r="FV405" i="12"/>
  <c r="FW405" i="12"/>
  <c r="FX405" i="12"/>
  <c r="FY405" i="12"/>
  <c r="FZ405" i="12"/>
  <c r="GA405" i="12"/>
  <c r="GB405" i="12"/>
  <c r="GC405" i="12"/>
  <c r="GD405" i="12"/>
  <c r="GE405" i="12"/>
  <c r="GF405" i="12"/>
  <c r="GG405" i="12"/>
  <c r="GH405" i="12"/>
  <c r="GI405" i="12"/>
  <c r="GJ405" i="12"/>
  <c r="GK405" i="12"/>
  <c r="GL405" i="12"/>
  <c r="GM405" i="12"/>
  <c r="GN405" i="12"/>
  <c r="GO405" i="12"/>
  <c r="GP405" i="12"/>
  <c r="GQ405" i="12"/>
  <c r="GR405" i="12"/>
  <c r="GS405" i="12"/>
  <c r="GT405" i="12"/>
  <c r="GU405" i="12"/>
  <c r="GV405" i="12"/>
  <c r="GW405" i="12"/>
  <c r="GX405" i="12"/>
  <c r="GY405" i="12"/>
  <c r="GZ405" i="12"/>
  <c r="HA405" i="12"/>
  <c r="HB405" i="12"/>
  <c r="HC405" i="12"/>
  <c r="HD405" i="12"/>
  <c r="HE405" i="12"/>
  <c r="HF405" i="12"/>
  <c r="HG405" i="12"/>
  <c r="HH405" i="12"/>
  <c r="HI405" i="12"/>
  <c r="HJ405" i="12"/>
  <c r="HK405" i="12"/>
  <c r="HL405" i="12"/>
  <c r="HM405" i="12"/>
  <c r="HN405" i="12"/>
  <c r="HO405" i="12"/>
  <c r="HP405" i="12"/>
  <c r="HQ405" i="12"/>
  <c r="HR405" i="12"/>
  <c r="HS405" i="12"/>
  <c r="HT405" i="12"/>
  <c r="HU405" i="12"/>
  <c r="HV405" i="12"/>
  <c r="HW405" i="12"/>
  <c r="HX405" i="12"/>
  <c r="HY405" i="12"/>
  <c r="HZ405" i="12"/>
  <c r="IA405" i="12"/>
  <c r="IB405" i="12"/>
  <c r="IC405" i="12"/>
  <c r="ID405" i="12"/>
  <c r="IE405" i="12"/>
  <c r="IF405" i="12"/>
  <c r="IG405" i="12"/>
  <c r="IH405" i="12"/>
  <c r="II405" i="12"/>
  <c r="IJ405" i="12"/>
  <c r="IK405" i="12"/>
  <c r="IL405" i="12"/>
  <c r="IM405" i="12"/>
  <c r="IN405" i="12"/>
  <c r="IO405" i="12"/>
  <c r="IP405" i="12"/>
  <c r="IQ405" i="12"/>
  <c r="IR405" i="12"/>
  <c r="IS405" i="12"/>
  <c r="IT405" i="12"/>
  <c r="IU405" i="12"/>
  <c r="IV405" i="12"/>
  <c r="F406" i="12"/>
  <c r="G406" i="12"/>
  <c r="H406" i="12"/>
  <c r="I406" i="12"/>
  <c r="J406" i="12"/>
  <c r="K406" i="12"/>
  <c r="L406" i="12"/>
  <c r="M406" i="12"/>
  <c r="N406" i="12"/>
  <c r="O406" i="12"/>
  <c r="P406" i="12"/>
  <c r="Q406" i="12"/>
  <c r="R406" i="12"/>
  <c r="S406" i="12"/>
  <c r="T406" i="12"/>
  <c r="U406" i="12"/>
  <c r="V406" i="12"/>
  <c r="W406" i="12"/>
  <c r="X406" i="12"/>
  <c r="Y406" i="12"/>
  <c r="Z406" i="12"/>
  <c r="AA406" i="12"/>
  <c r="AB406" i="12"/>
  <c r="AC406" i="12"/>
  <c r="AD406" i="12"/>
  <c r="AE406" i="12"/>
  <c r="AF406" i="12"/>
  <c r="AG406" i="12"/>
  <c r="AH406" i="12"/>
  <c r="AI406" i="12"/>
  <c r="AJ406" i="12"/>
  <c r="AK406" i="12"/>
  <c r="AL406" i="12"/>
  <c r="AM406" i="12"/>
  <c r="AN406" i="12"/>
  <c r="AO406" i="12"/>
  <c r="AP406" i="12"/>
  <c r="AQ406" i="12"/>
  <c r="AR406" i="12"/>
  <c r="AS406" i="12"/>
  <c r="AT406" i="12"/>
  <c r="AU406" i="12"/>
  <c r="AV406" i="12"/>
  <c r="AW406" i="12"/>
  <c r="AX406" i="12"/>
  <c r="AY406" i="12"/>
  <c r="AZ406" i="12"/>
  <c r="BA406" i="12"/>
  <c r="BB406" i="12"/>
  <c r="BC406" i="12"/>
  <c r="BD406" i="12"/>
  <c r="BE406" i="12"/>
  <c r="BF406" i="12"/>
  <c r="BG406" i="12"/>
  <c r="BH406" i="12"/>
  <c r="BI406" i="12"/>
  <c r="BJ406" i="12"/>
  <c r="BK406" i="12"/>
  <c r="BL406" i="12"/>
  <c r="BM406" i="12"/>
  <c r="BN406" i="12"/>
  <c r="BO406" i="12"/>
  <c r="BP406" i="12"/>
  <c r="BQ406" i="12"/>
  <c r="BR406" i="12"/>
  <c r="BS406" i="12"/>
  <c r="BT406" i="12"/>
  <c r="BU406" i="12"/>
  <c r="BV406" i="12"/>
  <c r="BW406" i="12"/>
  <c r="BX406" i="12"/>
  <c r="BY406" i="12"/>
  <c r="BZ406" i="12"/>
  <c r="CA406" i="12"/>
  <c r="CB406" i="12"/>
  <c r="CC406" i="12"/>
  <c r="CD406" i="12"/>
  <c r="CE406" i="12"/>
  <c r="CF406" i="12"/>
  <c r="CG406" i="12"/>
  <c r="CH406" i="12"/>
  <c r="CI406" i="12"/>
  <c r="CJ406" i="12"/>
  <c r="CK406" i="12"/>
  <c r="CL406" i="12"/>
  <c r="CM406" i="12"/>
  <c r="CN406" i="12"/>
  <c r="CO406" i="12"/>
  <c r="CP406" i="12"/>
  <c r="CQ406" i="12"/>
  <c r="CR406" i="12"/>
  <c r="CS406" i="12"/>
  <c r="CT406" i="12"/>
  <c r="CU406" i="12"/>
  <c r="CV406" i="12"/>
  <c r="CW406" i="12"/>
  <c r="CX406" i="12"/>
  <c r="CY406" i="12"/>
  <c r="CZ406" i="12"/>
  <c r="DA406" i="12"/>
  <c r="DB406" i="12"/>
  <c r="DC406" i="12"/>
  <c r="DD406" i="12"/>
  <c r="DE406" i="12"/>
  <c r="DF406" i="12"/>
  <c r="DG406" i="12"/>
  <c r="DH406" i="12"/>
  <c r="DI406" i="12"/>
  <c r="DJ406" i="12"/>
  <c r="DK406" i="12"/>
  <c r="DL406" i="12"/>
  <c r="DM406" i="12"/>
  <c r="DN406" i="12"/>
  <c r="DO406" i="12"/>
  <c r="DP406" i="12"/>
  <c r="DQ406" i="12"/>
  <c r="DR406" i="12"/>
  <c r="DS406" i="12"/>
  <c r="DT406" i="12"/>
  <c r="DU406" i="12"/>
  <c r="DV406" i="12"/>
  <c r="DW406" i="12"/>
  <c r="DX406" i="12"/>
  <c r="DY406" i="12"/>
  <c r="DZ406" i="12"/>
  <c r="EA406" i="12"/>
  <c r="EB406" i="12"/>
  <c r="EC406" i="12"/>
  <c r="ED406" i="12"/>
  <c r="EE406" i="12"/>
  <c r="EF406" i="12"/>
  <c r="EG406" i="12"/>
  <c r="EH406" i="12"/>
  <c r="EI406" i="12"/>
  <c r="EJ406" i="12"/>
  <c r="EK406" i="12"/>
  <c r="EL406" i="12"/>
  <c r="EM406" i="12"/>
  <c r="EN406" i="12"/>
  <c r="EO406" i="12"/>
  <c r="EP406" i="12"/>
  <c r="EQ406" i="12"/>
  <c r="ER406" i="12"/>
  <c r="ES406" i="12"/>
  <c r="ET406" i="12"/>
  <c r="EU406" i="12"/>
  <c r="EV406" i="12"/>
  <c r="EW406" i="12"/>
  <c r="EX406" i="12"/>
  <c r="EY406" i="12"/>
  <c r="EZ406" i="12"/>
  <c r="FA406" i="12"/>
  <c r="FB406" i="12"/>
  <c r="FC406" i="12"/>
  <c r="FD406" i="12"/>
  <c r="FE406" i="12"/>
  <c r="FF406" i="12"/>
  <c r="FG406" i="12"/>
  <c r="FH406" i="12"/>
  <c r="FI406" i="12"/>
  <c r="FJ406" i="12"/>
  <c r="FK406" i="12"/>
  <c r="FL406" i="12"/>
  <c r="FM406" i="12"/>
  <c r="FN406" i="12"/>
  <c r="FO406" i="12"/>
  <c r="FP406" i="12"/>
  <c r="FQ406" i="12"/>
  <c r="FR406" i="12"/>
  <c r="FS406" i="12"/>
  <c r="FT406" i="12"/>
  <c r="FU406" i="12"/>
  <c r="FV406" i="12"/>
  <c r="FW406" i="12"/>
  <c r="FX406" i="12"/>
  <c r="FY406" i="12"/>
  <c r="FZ406" i="12"/>
  <c r="GA406" i="12"/>
  <c r="GB406" i="12"/>
  <c r="GC406" i="12"/>
  <c r="GD406" i="12"/>
  <c r="GE406" i="12"/>
  <c r="GF406" i="12"/>
  <c r="GG406" i="12"/>
  <c r="GH406" i="12"/>
  <c r="GI406" i="12"/>
  <c r="GJ406" i="12"/>
  <c r="GK406" i="12"/>
  <c r="GL406" i="12"/>
  <c r="GM406" i="12"/>
  <c r="GN406" i="12"/>
  <c r="GO406" i="12"/>
  <c r="GP406" i="12"/>
  <c r="GQ406" i="12"/>
  <c r="GR406" i="12"/>
  <c r="GS406" i="12"/>
  <c r="GT406" i="12"/>
  <c r="GU406" i="12"/>
  <c r="GV406" i="12"/>
  <c r="GW406" i="12"/>
  <c r="GX406" i="12"/>
  <c r="GY406" i="12"/>
  <c r="GZ406" i="12"/>
  <c r="HA406" i="12"/>
  <c r="HB406" i="12"/>
  <c r="HC406" i="12"/>
  <c r="HD406" i="12"/>
  <c r="HE406" i="12"/>
  <c r="HF406" i="12"/>
  <c r="HG406" i="12"/>
  <c r="HH406" i="12"/>
  <c r="HI406" i="12"/>
  <c r="HJ406" i="12"/>
  <c r="HK406" i="12"/>
  <c r="HL406" i="12"/>
  <c r="HM406" i="12"/>
  <c r="HN406" i="12"/>
  <c r="HO406" i="12"/>
  <c r="HP406" i="12"/>
  <c r="HQ406" i="12"/>
  <c r="HR406" i="12"/>
  <c r="HS406" i="12"/>
  <c r="HT406" i="12"/>
  <c r="HU406" i="12"/>
  <c r="HV406" i="12"/>
  <c r="HW406" i="12"/>
  <c r="HX406" i="12"/>
  <c r="HY406" i="12"/>
  <c r="HZ406" i="12"/>
  <c r="IA406" i="12"/>
  <c r="IB406" i="12"/>
  <c r="IC406" i="12"/>
  <c r="ID406" i="12"/>
  <c r="IE406" i="12"/>
  <c r="IF406" i="12"/>
  <c r="IG406" i="12"/>
  <c r="IH406" i="12"/>
  <c r="II406" i="12"/>
  <c r="IJ406" i="12"/>
  <c r="IK406" i="12"/>
  <c r="IL406" i="12"/>
  <c r="IM406" i="12"/>
  <c r="IN406" i="12"/>
  <c r="IO406" i="12"/>
  <c r="IP406" i="12"/>
  <c r="IQ406" i="12"/>
  <c r="IR406" i="12"/>
  <c r="IS406" i="12"/>
  <c r="IT406" i="12"/>
  <c r="IU406" i="12"/>
  <c r="IV406" i="12"/>
  <c r="F407" i="12"/>
  <c r="G407" i="12"/>
  <c r="H407" i="12"/>
  <c r="I407" i="12"/>
  <c r="J407" i="12"/>
  <c r="K407" i="12"/>
  <c r="L407" i="12"/>
  <c r="M407" i="12"/>
  <c r="N407" i="12"/>
  <c r="O407" i="12"/>
  <c r="P407" i="12"/>
  <c r="Q407" i="12"/>
  <c r="R407" i="12"/>
  <c r="S407" i="12"/>
  <c r="T407" i="12"/>
  <c r="U407" i="12"/>
  <c r="V407" i="12"/>
  <c r="W407" i="12"/>
  <c r="X407" i="12"/>
  <c r="Y407" i="12"/>
  <c r="Z407" i="12"/>
  <c r="AA407" i="12"/>
  <c r="AB407" i="12"/>
  <c r="AC407" i="12"/>
  <c r="AD407" i="12"/>
  <c r="AE407" i="12"/>
  <c r="AF407" i="12"/>
  <c r="AG407" i="12"/>
  <c r="AH407" i="12"/>
  <c r="AI407" i="12"/>
  <c r="AJ407" i="12"/>
  <c r="AK407" i="12"/>
  <c r="AL407" i="12"/>
  <c r="AM407" i="12"/>
  <c r="AN407" i="12"/>
  <c r="AO407" i="12"/>
  <c r="AP407" i="12"/>
  <c r="AQ407" i="12"/>
  <c r="AR407" i="12"/>
  <c r="AS407" i="12"/>
  <c r="AT407" i="12"/>
  <c r="AU407" i="12"/>
  <c r="AV407" i="12"/>
  <c r="AW407" i="12"/>
  <c r="AX407" i="12"/>
  <c r="AY407" i="12"/>
  <c r="AZ407" i="12"/>
  <c r="BA407" i="12"/>
  <c r="BB407" i="12"/>
  <c r="BC407" i="12"/>
  <c r="BD407" i="12"/>
  <c r="BE407" i="12"/>
  <c r="BF407" i="12"/>
  <c r="BG407" i="12"/>
  <c r="BH407" i="12"/>
  <c r="BI407" i="12"/>
  <c r="BJ407" i="12"/>
  <c r="BK407" i="12"/>
  <c r="BL407" i="12"/>
  <c r="BM407" i="12"/>
  <c r="BN407" i="12"/>
  <c r="BO407" i="12"/>
  <c r="BP407" i="12"/>
  <c r="BQ407" i="12"/>
  <c r="BR407" i="12"/>
  <c r="BS407" i="12"/>
  <c r="BT407" i="12"/>
  <c r="BU407" i="12"/>
  <c r="BV407" i="12"/>
  <c r="BW407" i="12"/>
  <c r="BX407" i="12"/>
  <c r="BY407" i="12"/>
  <c r="BZ407" i="12"/>
  <c r="CA407" i="12"/>
  <c r="CB407" i="12"/>
  <c r="CC407" i="12"/>
  <c r="CD407" i="12"/>
  <c r="CE407" i="12"/>
  <c r="CF407" i="12"/>
  <c r="CG407" i="12"/>
  <c r="CH407" i="12"/>
  <c r="CI407" i="12"/>
  <c r="CJ407" i="12"/>
  <c r="CK407" i="12"/>
  <c r="CL407" i="12"/>
  <c r="CM407" i="12"/>
  <c r="CN407" i="12"/>
  <c r="CO407" i="12"/>
  <c r="CP407" i="12"/>
  <c r="CQ407" i="12"/>
  <c r="CR407" i="12"/>
  <c r="CS407" i="12"/>
  <c r="CT407" i="12"/>
  <c r="CU407" i="12"/>
  <c r="CV407" i="12"/>
  <c r="CW407" i="12"/>
  <c r="CX407" i="12"/>
  <c r="CY407" i="12"/>
  <c r="CZ407" i="12"/>
  <c r="DA407" i="12"/>
  <c r="DB407" i="12"/>
  <c r="DC407" i="12"/>
  <c r="DD407" i="12"/>
  <c r="DE407" i="12"/>
  <c r="DF407" i="12"/>
  <c r="DG407" i="12"/>
  <c r="DH407" i="12"/>
  <c r="DI407" i="12"/>
  <c r="DJ407" i="12"/>
  <c r="DK407" i="12"/>
  <c r="DL407" i="12"/>
  <c r="DM407" i="12"/>
  <c r="DN407" i="12"/>
  <c r="DO407" i="12"/>
  <c r="DP407" i="12"/>
  <c r="DQ407" i="12"/>
  <c r="DR407" i="12"/>
  <c r="DS407" i="12"/>
  <c r="DT407" i="12"/>
  <c r="DU407" i="12"/>
  <c r="DV407" i="12"/>
  <c r="DW407" i="12"/>
  <c r="DX407" i="12"/>
  <c r="DY407" i="12"/>
  <c r="DZ407" i="12"/>
  <c r="EA407" i="12"/>
  <c r="EB407" i="12"/>
  <c r="EC407" i="12"/>
  <c r="ED407" i="12"/>
  <c r="EE407" i="12"/>
  <c r="EF407" i="12"/>
  <c r="EG407" i="12"/>
  <c r="EH407" i="12"/>
  <c r="EI407" i="12"/>
  <c r="EJ407" i="12"/>
  <c r="EK407" i="12"/>
  <c r="EL407" i="12"/>
  <c r="EM407" i="12"/>
  <c r="EN407" i="12"/>
  <c r="EO407" i="12"/>
  <c r="EP407" i="12"/>
  <c r="EQ407" i="12"/>
  <c r="ER407" i="12"/>
  <c r="ES407" i="12"/>
  <c r="ET407" i="12"/>
  <c r="EU407" i="12"/>
  <c r="EV407" i="12"/>
  <c r="EW407" i="12"/>
  <c r="EX407" i="12"/>
  <c r="EY407" i="12"/>
  <c r="EZ407" i="12"/>
  <c r="FA407" i="12"/>
  <c r="FB407" i="12"/>
  <c r="FC407" i="12"/>
  <c r="FD407" i="12"/>
  <c r="FE407" i="12"/>
  <c r="FF407" i="12"/>
  <c r="FG407" i="12"/>
  <c r="FH407" i="12"/>
  <c r="FI407" i="12"/>
  <c r="FJ407" i="12"/>
  <c r="FK407" i="12"/>
  <c r="FL407" i="12"/>
  <c r="FM407" i="12"/>
  <c r="FN407" i="12"/>
  <c r="FO407" i="12"/>
  <c r="FP407" i="12"/>
  <c r="FQ407" i="12"/>
  <c r="FR407" i="12"/>
  <c r="FS407" i="12"/>
  <c r="FT407" i="12"/>
  <c r="FU407" i="12"/>
  <c r="FV407" i="12"/>
  <c r="FW407" i="12"/>
  <c r="FX407" i="12"/>
  <c r="FY407" i="12"/>
  <c r="FZ407" i="12"/>
  <c r="GA407" i="12"/>
  <c r="GB407" i="12"/>
  <c r="GC407" i="12"/>
  <c r="GD407" i="12"/>
  <c r="GE407" i="12"/>
  <c r="GF407" i="12"/>
  <c r="GG407" i="12"/>
  <c r="GH407" i="12"/>
  <c r="GI407" i="12"/>
  <c r="GJ407" i="12"/>
  <c r="GK407" i="12"/>
  <c r="GL407" i="12"/>
  <c r="GM407" i="12"/>
  <c r="GN407" i="12"/>
  <c r="GO407" i="12"/>
  <c r="GP407" i="12"/>
  <c r="GQ407" i="12"/>
  <c r="GR407" i="12"/>
  <c r="GS407" i="12"/>
  <c r="GT407" i="12"/>
  <c r="GU407" i="12"/>
  <c r="GV407" i="12"/>
  <c r="GW407" i="12"/>
  <c r="GX407" i="12"/>
  <c r="GY407" i="12"/>
  <c r="GZ407" i="12"/>
  <c r="HA407" i="12"/>
  <c r="HB407" i="12"/>
  <c r="HC407" i="12"/>
  <c r="HD407" i="12"/>
  <c r="HE407" i="12"/>
  <c r="HF407" i="12"/>
  <c r="HG407" i="12"/>
  <c r="HH407" i="12"/>
  <c r="HI407" i="12"/>
  <c r="HJ407" i="12"/>
  <c r="HK407" i="12"/>
  <c r="HL407" i="12"/>
  <c r="HM407" i="12"/>
  <c r="HN407" i="12"/>
  <c r="HO407" i="12"/>
  <c r="HP407" i="12"/>
  <c r="HQ407" i="12"/>
  <c r="HR407" i="12"/>
  <c r="HS407" i="12"/>
  <c r="HT407" i="12"/>
  <c r="HU407" i="12"/>
  <c r="HV407" i="12"/>
  <c r="HW407" i="12"/>
  <c r="HX407" i="12"/>
  <c r="HY407" i="12"/>
  <c r="HZ407" i="12"/>
  <c r="IA407" i="12"/>
  <c r="IB407" i="12"/>
  <c r="IC407" i="12"/>
  <c r="ID407" i="12"/>
  <c r="IE407" i="12"/>
  <c r="IF407" i="12"/>
  <c r="IG407" i="12"/>
  <c r="IH407" i="12"/>
  <c r="II407" i="12"/>
  <c r="IJ407" i="12"/>
  <c r="IK407" i="12"/>
  <c r="IL407" i="12"/>
  <c r="IM407" i="12"/>
  <c r="IN407" i="12"/>
  <c r="IO407" i="12"/>
  <c r="IP407" i="12"/>
  <c r="IQ407" i="12"/>
  <c r="IR407" i="12"/>
  <c r="IS407" i="12"/>
  <c r="IT407" i="12"/>
  <c r="IU407" i="12"/>
  <c r="IV407" i="12"/>
  <c r="F408" i="12"/>
  <c r="G408" i="12"/>
  <c r="H408" i="12"/>
  <c r="I408" i="12"/>
  <c r="J408" i="12"/>
  <c r="K408" i="12"/>
  <c r="L408" i="12"/>
  <c r="M408" i="12"/>
  <c r="N408" i="12"/>
  <c r="O408" i="12"/>
  <c r="P408" i="12"/>
  <c r="Q408" i="12"/>
  <c r="R408" i="12"/>
  <c r="S408" i="12"/>
  <c r="T408" i="12"/>
  <c r="U408" i="12"/>
  <c r="V408" i="12"/>
  <c r="W408" i="12"/>
  <c r="X408" i="12"/>
  <c r="Y408" i="12"/>
  <c r="Z408" i="12"/>
  <c r="AA408" i="12"/>
  <c r="AB408" i="12"/>
  <c r="AC408" i="12"/>
  <c r="AD408" i="12"/>
  <c r="AE408" i="12"/>
  <c r="AF408" i="12"/>
  <c r="AG408" i="12"/>
  <c r="AH408" i="12"/>
  <c r="AI408" i="12"/>
  <c r="AJ408" i="12"/>
  <c r="AK408" i="12"/>
  <c r="AL408" i="12"/>
  <c r="AM408" i="12"/>
  <c r="AN408" i="12"/>
  <c r="AO408" i="12"/>
  <c r="AP408" i="12"/>
  <c r="AQ408" i="12"/>
  <c r="AR408" i="12"/>
  <c r="AS408" i="12"/>
  <c r="AT408" i="12"/>
  <c r="AU408" i="12"/>
  <c r="AV408" i="12"/>
  <c r="AW408" i="12"/>
  <c r="AX408" i="12"/>
  <c r="AY408" i="12"/>
  <c r="AZ408" i="12"/>
  <c r="BA408" i="12"/>
  <c r="BB408" i="12"/>
  <c r="BC408" i="12"/>
  <c r="BD408" i="12"/>
  <c r="BE408" i="12"/>
  <c r="BF408" i="12"/>
  <c r="BG408" i="12"/>
  <c r="BH408" i="12"/>
  <c r="BI408" i="12"/>
  <c r="BJ408" i="12"/>
  <c r="BK408" i="12"/>
  <c r="BL408" i="12"/>
  <c r="BM408" i="12"/>
  <c r="BN408" i="12"/>
  <c r="BO408" i="12"/>
  <c r="BP408" i="12"/>
  <c r="BQ408" i="12"/>
  <c r="BR408" i="12"/>
  <c r="BS408" i="12"/>
  <c r="BT408" i="12"/>
  <c r="BU408" i="12"/>
  <c r="BV408" i="12"/>
  <c r="BW408" i="12"/>
  <c r="BX408" i="12"/>
  <c r="BY408" i="12"/>
  <c r="BZ408" i="12"/>
  <c r="CA408" i="12"/>
  <c r="CB408" i="12"/>
  <c r="CC408" i="12"/>
  <c r="CD408" i="12"/>
  <c r="CE408" i="12"/>
  <c r="CF408" i="12"/>
  <c r="CG408" i="12"/>
  <c r="CH408" i="12"/>
  <c r="CI408" i="12"/>
  <c r="CJ408" i="12"/>
  <c r="CK408" i="12"/>
  <c r="CL408" i="12"/>
  <c r="CM408" i="12"/>
  <c r="CN408" i="12"/>
  <c r="CO408" i="12"/>
  <c r="CP408" i="12"/>
  <c r="CQ408" i="12"/>
  <c r="CR408" i="12"/>
  <c r="CS408" i="12"/>
  <c r="CT408" i="12"/>
  <c r="CU408" i="12"/>
  <c r="CV408" i="12"/>
  <c r="CW408" i="12"/>
  <c r="CX408" i="12"/>
  <c r="CY408" i="12"/>
  <c r="CZ408" i="12"/>
  <c r="DA408" i="12"/>
  <c r="DB408" i="12"/>
  <c r="DC408" i="12"/>
  <c r="DD408" i="12"/>
  <c r="DE408" i="12"/>
  <c r="DF408" i="12"/>
  <c r="DG408" i="12"/>
  <c r="DH408" i="12"/>
  <c r="DI408" i="12"/>
  <c r="DJ408" i="12"/>
  <c r="DK408" i="12"/>
  <c r="DL408" i="12"/>
  <c r="DM408" i="12"/>
  <c r="DN408" i="12"/>
  <c r="DO408" i="12"/>
  <c r="DP408" i="12"/>
  <c r="DQ408" i="12"/>
  <c r="DR408" i="12"/>
  <c r="DS408" i="12"/>
  <c r="DT408" i="12"/>
  <c r="DU408" i="12"/>
  <c r="DV408" i="12"/>
  <c r="DW408" i="12"/>
  <c r="DX408" i="12"/>
  <c r="DY408" i="12"/>
  <c r="DZ408" i="12"/>
  <c r="EA408" i="12"/>
  <c r="EB408" i="12"/>
  <c r="EC408" i="12"/>
  <c r="ED408" i="12"/>
  <c r="EE408" i="12"/>
  <c r="EF408" i="12"/>
  <c r="EG408" i="12"/>
  <c r="EH408" i="12"/>
  <c r="EI408" i="12"/>
  <c r="EJ408" i="12"/>
  <c r="EK408" i="12"/>
  <c r="EL408" i="12"/>
  <c r="EM408" i="12"/>
  <c r="EN408" i="12"/>
  <c r="EO408" i="12"/>
  <c r="EP408" i="12"/>
  <c r="EQ408" i="12"/>
  <c r="ER408" i="12"/>
  <c r="ES408" i="12"/>
  <c r="ET408" i="12"/>
  <c r="EU408" i="12"/>
  <c r="EV408" i="12"/>
  <c r="EW408" i="12"/>
  <c r="EX408" i="12"/>
  <c r="EY408" i="12"/>
  <c r="EZ408" i="12"/>
  <c r="FA408" i="12"/>
  <c r="FB408" i="12"/>
  <c r="FC408" i="12"/>
  <c r="FD408" i="12"/>
  <c r="FE408" i="12"/>
  <c r="FF408" i="12"/>
  <c r="FG408" i="12"/>
  <c r="FH408" i="12"/>
  <c r="FI408" i="12"/>
  <c r="FJ408" i="12"/>
  <c r="FK408" i="12"/>
  <c r="FL408" i="12"/>
  <c r="FM408" i="12"/>
  <c r="FN408" i="12"/>
  <c r="FO408" i="12"/>
  <c r="FP408" i="12"/>
  <c r="FQ408" i="12"/>
  <c r="FR408" i="12"/>
  <c r="FS408" i="12"/>
  <c r="FT408" i="12"/>
  <c r="FU408" i="12"/>
  <c r="FV408" i="12"/>
  <c r="FW408" i="12"/>
  <c r="FX408" i="12"/>
  <c r="FY408" i="12"/>
  <c r="FZ408" i="12"/>
  <c r="GA408" i="12"/>
  <c r="GB408" i="12"/>
  <c r="GC408" i="12"/>
  <c r="GD408" i="12"/>
  <c r="GE408" i="12"/>
  <c r="GF408" i="12"/>
  <c r="GG408" i="12"/>
  <c r="GH408" i="12"/>
  <c r="GI408" i="12"/>
  <c r="GJ408" i="12"/>
  <c r="GK408" i="12"/>
  <c r="GL408" i="12"/>
  <c r="GM408" i="12"/>
  <c r="GN408" i="12"/>
  <c r="GO408" i="12"/>
  <c r="GP408" i="12"/>
  <c r="GQ408" i="12"/>
  <c r="GR408" i="12"/>
  <c r="GS408" i="12"/>
  <c r="GT408" i="12"/>
  <c r="GU408" i="12"/>
  <c r="GV408" i="12"/>
  <c r="GW408" i="12"/>
  <c r="GX408" i="12"/>
  <c r="GY408" i="12"/>
  <c r="GZ408" i="12"/>
  <c r="HA408" i="12"/>
  <c r="HB408" i="12"/>
  <c r="HC408" i="12"/>
  <c r="HD408" i="12"/>
  <c r="HE408" i="12"/>
  <c r="HF408" i="12"/>
  <c r="HG408" i="12"/>
  <c r="HH408" i="12"/>
  <c r="HI408" i="12"/>
  <c r="HJ408" i="12"/>
  <c r="HK408" i="12"/>
  <c r="HL408" i="12"/>
  <c r="HM408" i="12"/>
  <c r="HN408" i="12"/>
  <c r="HO408" i="12"/>
  <c r="HP408" i="12"/>
  <c r="HQ408" i="12"/>
  <c r="HR408" i="12"/>
  <c r="HS408" i="12"/>
  <c r="HT408" i="12"/>
  <c r="HU408" i="12"/>
  <c r="HV408" i="12"/>
  <c r="HW408" i="12"/>
  <c r="HX408" i="12"/>
  <c r="HY408" i="12"/>
  <c r="HZ408" i="12"/>
  <c r="IA408" i="12"/>
  <c r="IB408" i="12"/>
  <c r="IC408" i="12"/>
  <c r="ID408" i="12"/>
  <c r="IE408" i="12"/>
  <c r="IF408" i="12"/>
  <c r="IG408" i="12"/>
  <c r="IH408" i="12"/>
  <c r="II408" i="12"/>
  <c r="IJ408" i="12"/>
  <c r="IK408" i="12"/>
  <c r="IL408" i="12"/>
  <c r="IM408" i="12"/>
  <c r="IN408" i="12"/>
  <c r="IO408" i="12"/>
  <c r="IP408" i="12"/>
  <c r="IQ408" i="12"/>
  <c r="IR408" i="12"/>
  <c r="IS408" i="12"/>
  <c r="IT408" i="12"/>
  <c r="IU408" i="12"/>
  <c r="IV408" i="12"/>
  <c r="F409" i="12"/>
  <c r="G409" i="12"/>
  <c r="H409" i="12"/>
  <c r="I409" i="12"/>
  <c r="J409" i="12"/>
  <c r="K409" i="12"/>
  <c r="L409" i="12"/>
  <c r="M409" i="12"/>
  <c r="N409" i="12"/>
  <c r="O409" i="12"/>
  <c r="P409" i="12"/>
  <c r="Q409" i="12"/>
  <c r="R409" i="12"/>
  <c r="S409" i="12"/>
  <c r="T409" i="12"/>
  <c r="U409" i="12"/>
  <c r="V409" i="12"/>
  <c r="W409" i="12"/>
  <c r="X409" i="12"/>
  <c r="Y409" i="12"/>
  <c r="Z409" i="12"/>
  <c r="AA409" i="12"/>
  <c r="AB409" i="12"/>
  <c r="AC409" i="12"/>
  <c r="AD409" i="12"/>
  <c r="AE409" i="12"/>
  <c r="AF409" i="12"/>
  <c r="AG409" i="12"/>
  <c r="AH409" i="12"/>
  <c r="AI409" i="12"/>
  <c r="AJ409" i="12"/>
  <c r="AK409" i="12"/>
  <c r="AL409" i="12"/>
  <c r="AM409" i="12"/>
  <c r="AN409" i="12"/>
  <c r="AO409" i="12"/>
  <c r="AP409" i="12"/>
  <c r="AQ409" i="12"/>
  <c r="AR409" i="12"/>
  <c r="AS409" i="12"/>
  <c r="AT409" i="12"/>
  <c r="AU409" i="12"/>
  <c r="AV409" i="12"/>
  <c r="AW409" i="12"/>
  <c r="AX409" i="12"/>
  <c r="AY409" i="12"/>
  <c r="AZ409" i="12"/>
  <c r="BA409" i="12"/>
  <c r="BB409" i="12"/>
  <c r="BC409" i="12"/>
  <c r="BD409" i="12"/>
  <c r="BE409" i="12"/>
  <c r="BF409" i="12"/>
  <c r="BG409" i="12"/>
  <c r="BH409" i="12"/>
  <c r="BI409" i="12"/>
  <c r="BJ409" i="12"/>
  <c r="BK409" i="12"/>
  <c r="BL409" i="12"/>
  <c r="BM409" i="12"/>
  <c r="BN409" i="12"/>
  <c r="BO409" i="12"/>
  <c r="BP409" i="12"/>
  <c r="BQ409" i="12"/>
  <c r="BR409" i="12"/>
  <c r="BS409" i="12"/>
  <c r="BT409" i="12"/>
  <c r="BU409" i="12"/>
  <c r="BV409" i="12"/>
  <c r="BW409" i="12"/>
  <c r="BX409" i="12"/>
  <c r="BY409" i="12"/>
  <c r="BZ409" i="12"/>
  <c r="CA409" i="12"/>
  <c r="CB409" i="12"/>
  <c r="CC409" i="12"/>
  <c r="CD409" i="12"/>
  <c r="CE409" i="12"/>
  <c r="CF409" i="12"/>
  <c r="CG409" i="12"/>
  <c r="CH409" i="12"/>
  <c r="CI409" i="12"/>
  <c r="CJ409" i="12"/>
  <c r="CK409" i="12"/>
  <c r="CL409" i="12"/>
  <c r="CM409" i="12"/>
  <c r="CN409" i="12"/>
  <c r="CO409" i="12"/>
  <c r="CP409" i="12"/>
  <c r="CQ409" i="12"/>
  <c r="CR409" i="12"/>
  <c r="CS409" i="12"/>
  <c r="CT409" i="12"/>
  <c r="CU409" i="12"/>
  <c r="CV409" i="12"/>
  <c r="CW409" i="12"/>
  <c r="CX409" i="12"/>
  <c r="CY409" i="12"/>
  <c r="CZ409" i="12"/>
  <c r="DA409" i="12"/>
  <c r="DB409" i="12"/>
  <c r="DC409" i="12"/>
  <c r="DD409" i="12"/>
  <c r="DE409" i="12"/>
  <c r="DF409" i="12"/>
  <c r="DG409" i="12"/>
  <c r="DH409" i="12"/>
  <c r="DI409" i="12"/>
  <c r="DJ409" i="12"/>
  <c r="DK409" i="12"/>
  <c r="DL409" i="12"/>
  <c r="DM409" i="12"/>
  <c r="DN409" i="12"/>
  <c r="DO409" i="12"/>
  <c r="DP409" i="12"/>
  <c r="DQ409" i="12"/>
  <c r="DR409" i="12"/>
  <c r="DS409" i="12"/>
  <c r="DT409" i="12"/>
  <c r="DU409" i="12"/>
  <c r="DV409" i="12"/>
  <c r="DW409" i="12"/>
  <c r="DX409" i="12"/>
  <c r="DY409" i="12"/>
  <c r="DZ409" i="12"/>
  <c r="EA409" i="12"/>
  <c r="EB409" i="12"/>
  <c r="EC409" i="12"/>
  <c r="ED409" i="12"/>
  <c r="EE409" i="12"/>
  <c r="EF409" i="12"/>
  <c r="EG409" i="12"/>
  <c r="EH409" i="12"/>
  <c r="EI409" i="12"/>
  <c r="EJ409" i="12"/>
  <c r="EK409" i="12"/>
  <c r="EL409" i="12"/>
  <c r="EM409" i="12"/>
  <c r="EN409" i="12"/>
  <c r="EO409" i="12"/>
  <c r="EP409" i="12"/>
  <c r="EQ409" i="12"/>
  <c r="ER409" i="12"/>
  <c r="ES409" i="12"/>
  <c r="ET409" i="12"/>
  <c r="EU409" i="12"/>
  <c r="EV409" i="12"/>
  <c r="EW409" i="12"/>
  <c r="EX409" i="12"/>
  <c r="EY409" i="12"/>
  <c r="EZ409" i="12"/>
  <c r="FA409" i="12"/>
  <c r="FB409" i="12"/>
  <c r="FC409" i="12"/>
  <c r="FD409" i="12"/>
  <c r="FE409" i="12"/>
  <c r="FF409" i="12"/>
  <c r="FG409" i="12"/>
  <c r="FH409" i="12"/>
  <c r="FI409" i="12"/>
  <c r="FJ409" i="12"/>
  <c r="FK409" i="12"/>
  <c r="FL409" i="12"/>
  <c r="FM409" i="12"/>
  <c r="FN409" i="12"/>
  <c r="FO409" i="12"/>
  <c r="FP409" i="12"/>
  <c r="FQ409" i="12"/>
  <c r="FR409" i="12"/>
  <c r="FS409" i="12"/>
  <c r="FT409" i="12"/>
  <c r="FU409" i="12"/>
  <c r="FV409" i="12"/>
  <c r="FW409" i="12"/>
  <c r="FX409" i="12"/>
  <c r="FY409" i="12"/>
  <c r="FZ409" i="12"/>
  <c r="GA409" i="12"/>
  <c r="GB409" i="12"/>
  <c r="GC409" i="12"/>
  <c r="GD409" i="12"/>
  <c r="GE409" i="12"/>
  <c r="GF409" i="12"/>
  <c r="GG409" i="12"/>
  <c r="GH409" i="12"/>
  <c r="GI409" i="12"/>
  <c r="GJ409" i="12"/>
  <c r="GK409" i="12"/>
  <c r="GL409" i="12"/>
  <c r="GM409" i="12"/>
  <c r="GN409" i="12"/>
  <c r="GO409" i="12"/>
  <c r="GP409" i="12"/>
  <c r="GQ409" i="12"/>
  <c r="GR409" i="12"/>
  <c r="GS409" i="12"/>
  <c r="GT409" i="12"/>
  <c r="GU409" i="12"/>
  <c r="GV409" i="12"/>
  <c r="GW409" i="12"/>
  <c r="GX409" i="12"/>
  <c r="GY409" i="12"/>
  <c r="GZ409" i="12"/>
  <c r="HA409" i="12"/>
  <c r="HB409" i="12"/>
  <c r="HC409" i="12"/>
  <c r="HD409" i="12"/>
  <c r="HE409" i="12"/>
  <c r="HF409" i="12"/>
  <c r="HG409" i="12"/>
  <c r="HH409" i="12"/>
  <c r="HI409" i="12"/>
  <c r="HJ409" i="12"/>
  <c r="HK409" i="12"/>
  <c r="HL409" i="12"/>
  <c r="HM409" i="12"/>
  <c r="HN409" i="12"/>
  <c r="HO409" i="12"/>
  <c r="HP409" i="12"/>
  <c r="HQ409" i="12"/>
  <c r="HR409" i="12"/>
  <c r="HS409" i="12"/>
  <c r="HT409" i="12"/>
  <c r="HU409" i="12"/>
  <c r="HV409" i="12"/>
  <c r="HW409" i="12"/>
  <c r="HX409" i="12"/>
  <c r="HY409" i="12"/>
  <c r="HZ409" i="12"/>
  <c r="IA409" i="12"/>
  <c r="IB409" i="12"/>
  <c r="IC409" i="12"/>
  <c r="ID409" i="12"/>
  <c r="IE409" i="12"/>
  <c r="IF409" i="12"/>
  <c r="IG409" i="12"/>
  <c r="IH409" i="12"/>
  <c r="II409" i="12"/>
  <c r="IJ409" i="12"/>
  <c r="IK409" i="12"/>
  <c r="IL409" i="12"/>
  <c r="IM409" i="12"/>
  <c r="IN409" i="12"/>
  <c r="IO409" i="12"/>
  <c r="IP409" i="12"/>
  <c r="IQ409" i="12"/>
  <c r="IR409" i="12"/>
  <c r="IS409" i="12"/>
  <c r="IT409" i="12"/>
  <c r="IU409" i="12"/>
  <c r="IV409" i="12"/>
  <c r="F410" i="12"/>
  <c r="G410" i="12"/>
  <c r="H410" i="12"/>
  <c r="I410" i="12"/>
  <c r="J410" i="12"/>
  <c r="K410" i="12"/>
  <c r="L410" i="12"/>
  <c r="M410" i="12"/>
  <c r="N410" i="12"/>
  <c r="O410" i="12"/>
  <c r="P410" i="12"/>
  <c r="Q410" i="12"/>
  <c r="R410" i="12"/>
  <c r="S410" i="12"/>
  <c r="T410" i="12"/>
  <c r="U410" i="12"/>
  <c r="V410" i="12"/>
  <c r="W410" i="12"/>
  <c r="X410" i="12"/>
  <c r="Y410" i="12"/>
  <c r="Z410" i="12"/>
  <c r="AA410" i="12"/>
  <c r="AB410" i="12"/>
  <c r="AC410" i="12"/>
  <c r="AD410" i="12"/>
  <c r="AE410" i="12"/>
  <c r="AF410" i="12"/>
  <c r="AG410" i="12"/>
  <c r="AH410" i="12"/>
  <c r="AI410" i="12"/>
  <c r="AJ410" i="12"/>
  <c r="AK410" i="12"/>
  <c r="AL410" i="12"/>
  <c r="AM410" i="12"/>
  <c r="AN410" i="12"/>
  <c r="AO410" i="12"/>
  <c r="AP410" i="12"/>
  <c r="AQ410" i="12"/>
  <c r="AR410" i="12"/>
  <c r="AS410" i="12"/>
  <c r="AT410" i="12"/>
  <c r="AU410" i="12"/>
  <c r="AV410" i="12"/>
  <c r="AW410" i="12"/>
  <c r="AX410" i="12"/>
  <c r="AY410" i="12"/>
  <c r="AZ410" i="12"/>
  <c r="BA410" i="12"/>
  <c r="BB410" i="12"/>
  <c r="BC410" i="12"/>
  <c r="BD410" i="12"/>
  <c r="BE410" i="12"/>
  <c r="BF410" i="12"/>
  <c r="BG410" i="12"/>
  <c r="BH410" i="12"/>
  <c r="BI410" i="12"/>
  <c r="BJ410" i="12"/>
  <c r="BK410" i="12"/>
  <c r="BL410" i="12"/>
  <c r="BM410" i="12"/>
  <c r="BN410" i="12"/>
  <c r="BO410" i="12"/>
  <c r="BP410" i="12"/>
  <c r="BQ410" i="12"/>
  <c r="BR410" i="12"/>
  <c r="BS410" i="12"/>
  <c r="BT410" i="12"/>
  <c r="BU410" i="12"/>
  <c r="BV410" i="12"/>
  <c r="BW410" i="12"/>
  <c r="BX410" i="12"/>
  <c r="BY410" i="12"/>
  <c r="BZ410" i="12"/>
  <c r="CA410" i="12"/>
  <c r="CB410" i="12"/>
  <c r="CC410" i="12"/>
  <c r="CD410" i="12"/>
  <c r="CE410" i="12"/>
  <c r="CF410" i="12"/>
  <c r="CG410" i="12"/>
  <c r="CH410" i="12"/>
  <c r="CI410" i="12"/>
  <c r="CJ410" i="12"/>
  <c r="CK410" i="12"/>
  <c r="CL410" i="12"/>
  <c r="CM410" i="12"/>
  <c r="CN410" i="12"/>
  <c r="CO410" i="12"/>
  <c r="CP410" i="12"/>
  <c r="CQ410" i="12"/>
  <c r="CR410" i="12"/>
  <c r="CS410" i="12"/>
  <c r="CT410" i="12"/>
  <c r="CU410" i="12"/>
  <c r="CV410" i="12"/>
  <c r="CW410" i="12"/>
  <c r="CX410" i="12"/>
  <c r="CY410" i="12"/>
  <c r="CZ410" i="12"/>
  <c r="DA410" i="12"/>
  <c r="DB410" i="12"/>
  <c r="DC410" i="12"/>
  <c r="DD410" i="12"/>
  <c r="DE410" i="12"/>
  <c r="DF410" i="12"/>
  <c r="DG410" i="12"/>
  <c r="DH410" i="12"/>
  <c r="DI410" i="12"/>
  <c r="DJ410" i="12"/>
  <c r="DK410" i="12"/>
  <c r="DL410" i="12"/>
  <c r="DM410" i="12"/>
  <c r="DN410" i="12"/>
  <c r="DO410" i="12"/>
  <c r="DP410" i="12"/>
  <c r="DQ410" i="12"/>
  <c r="DR410" i="12"/>
  <c r="DS410" i="12"/>
  <c r="DT410" i="12"/>
  <c r="DU410" i="12"/>
  <c r="DV410" i="12"/>
  <c r="DW410" i="12"/>
  <c r="DX410" i="12"/>
  <c r="DY410" i="12"/>
  <c r="DZ410" i="12"/>
  <c r="EA410" i="12"/>
  <c r="EB410" i="12"/>
  <c r="EC410" i="12"/>
  <c r="ED410" i="12"/>
  <c r="EE410" i="12"/>
  <c r="EF410" i="12"/>
  <c r="EG410" i="12"/>
  <c r="EH410" i="12"/>
  <c r="EI410" i="12"/>
  <c r="EJ410" i="12"/>
  <c r="EK410" i="12"/>
  <c r="EL410" i="12"/>
  <c r="EM410" i="12"/>
  <c r="EN410" i="12"/>
  <c r="EO410" i="12"/>
  <c r="EP410" i="12"/>
  <c r="EQ410" i="12"/>
  <c r="ER410" i="12"/>
  <c r="ES410" i="12"/>
  <c r="ET410" i="12"/>
  <c r="EU410" i="12"/>
  <c r="EV410" i="12"/>
  <c r="EW410" i="12"/>
  <c r="EX410" i="12"/>
  <c r="EY410" i="12"/>
  <c r="EZ410" i="12"/>
  <c r="FA410" i="12"/>
  <c r="FB410" i="12"/>
  <c r="FC410" i="12"/>
  <c r="FD410" i="12"/>
  <c r="FE410" i="12"/>
  <c r="FF410" i="12"/>
  <c r="FG410" i="12"/>
  <c r="FH410" i="12"/>
  <c r="FI410" i="12"/>
  <c r="FJ410" i="12"/>
  <c r="FK410" i="12"/>
  <c r="FL410" i="12"/>
  <c r="FM410" i="12"/>
  <c r="FN410" i="12"/>
  <c r="FO410" i="12"/>
  <c r="FP410" i="12"/>
  <c r="FQ410" i="12"/>
  <c r="FR410" i="12"/>
  <c r="FS410" i="12"/>
  <c r="FT410" i="12"/>
  <c r="FU410" i="12"/>
  <c r="FV410" i="12"/>
  <c r="FW410" i="12"/>
  <c r="FX410" i="12"/>
  <c r="FY410" i="12"/>
  <c r="FZ410" i="12"/>
  <c r="GA410" i="12"/>
  <c r="GB410" i="12"/>
  <c r="GC410" i="12"/>
  <c r="GD410" i="12"/>
  <c r="GE410" i="12"/>
  <c r="GF410" i="12"/>
  <c r="GG410" i="12"/>
  <c r="GH410" i="12"/>
  <c r="GI410" i="12"/>
  <c r="GJ410" i="12"/>
  <c r="GK410" i="12"/>
  <c r="GL410" i="12"/>
  <c r="GM410" i="12"/>
  <c r="GN410" i="12"/>
  <c r="GO410" i="12"/>
  <c r="GP410" i="12"/>
  <c r="GQ410" i="12"/>
  <c r="GR410" i="12"/>
  <c r="GS410" i="12"/>
  <c r="GT410" i="12"/>
  <c r="GU410" i="12"/>
  <c r="GV410" i="12"/>
  <c r="GW410" i="12"/>
  <c r="GX410" i="12"/>
  <c r="GY410" i="12"/>
  <c r="GZ410" i="12"/>
  <c r="HA410" i="12"/>
  <c r="HB410" i="12"/>
  <c r="HC410" i="12"/>
  <c r="HD410" i="12"/>
  <c r="HE410" i="12"/>
  <c r="HF410" i="12"/>
  <c r="HG410" i="12"/>
  <c r="HH410" i="12"/>
  <c r="HI410" i="12"/>
  <c r="HJ410" i="12"/>
  <c r="HK410" i="12"/>
  <c r="HL410" i="12"/>
  <c r="HM410" i="12"/>
  <c r="HN410" i="12"/>
  <c r="HO410" i="12"/>
  <c r="HP410" i="12"/>
  <c r="HQ410" i="12"/>
  <c r="HR410" i="12"/>
  <c r="HS410" i="12"/>
  <c r="HT410" i="12"/>
  <c r="HU410" i="12"/>
  <c r="HV410" i="12"/>
  <c r="HW410" i="12"/>
  <c r="HX410" i="12"/>
  <c r="HY410" i="12"/>
  <c r="HZ410" i="12"/>
  <c r="IA410" i="12"/>
  <c r="IB410" i="12"/>
  <c r="IC410" i="12"/>
  <c r="ID410" i="12"/>
  <c r="IE410" i="12"/>
  <c r="IF410" i="12"/>
  <c r="IG410" i="12"/>
  <c r="IH410" i="12"/>
  <c r="II410" i="12"/>
  <c r="IJ410" i="12"/>
  <c r="IK410" i="12"/>
  <c r="IL410" i="12"/>
  <c r="IM410" i="12"/>
  <c r="IN410" i="12"/>
  <c r="IO410" i="12"/>
  <c r="IP410" i="12"/>
  <c r="IQ410" i="12"/>
  <c r="IR410" i="12"/>
  <c r="IS410" i="12"/>
  <c r="IT410" i="12"/>
  <c r="IU410" i="12"/>
  <c r="IV410" i="12"/>
  <c r="F411" i="12"/>
  <c r="G411" i="12"/>
  <c r="H411" i="12"/>
  <c r="I411" i="12"/>
  <c r="J411" i="12"/>
  <c r="K411" i="12"/>
  <c r="L411" i="12"/>
  <c r="M411" i="12"/>
  <c r="N411" i="12"/>
  <c r="O411" i="12"/>
  <c r="P411" i="12"/>
  <c r="Q411" i="12"/>
  <c r="R411" i="12"/>
  <c r="S411" i="12"/>
  <c r="T411" i="12"/>
  <c r="U411" i="12"/>
  <c r="V411" i="12"/>
  <c r="W411" i="12"/>
  <c r="X411" i="12"/>
  <c r="Y411" i="12"/>
  <c r="Z411" i="12"/>
  <c r="AA411" i="12"/>
  <c r="AB411" i="12"/>
  <c r="AC411" i="12"/>
  <c r="AD411" i="12"/>
  <c r="AE411" i="12"/>
  <c r="AF411" i="12"/>
  <c r="AG411" i="12"/>
  <c r="AH411" i="12"/>
  <c r="AI411" i="12"/>
  <c r="AJ411" i="12"/>
  <c r="AK411" i="12"/>
  <c r="AL411" i="12"/>
  <c r="AM411" i="12"/>
  <c r="AN411" i="12"/>
  <c r="AO411" i="12"/>
  <c r="AP411" i="12"/>
  <c r="AQ411" i="12"/>
  <c r="AR411" i="12"/>
  <c r="AS411" i="12"/>
  <c r="AT411" i="12"/>
  <c r="AU411" i="12"/>
  <c r="AV411" i="12"/>
  <c r="AW411" i="12"/>
  <c r="AX411" i="12"/>
  <c r="AY411" i="12"/>
  <c r="AZ411" i="12"/>
  <c r="BA411" i="12"/>
  <c r="BB411" i="12"/>
  <c r="BC411" i="12"/>
  <c r="BD411" i="12"/>
  <c r="BE411" i="12"/>
  <c r="BF411" i="12"/>
  <c r="BG411" i="12"/>
  <c r="BH411" i="12"/>
  <c r="BI411" i="12"/>
  <c r="BJ411" i="12"/>
  <c r="BK411" i="12"/>
  <c r="BL411" i="12"/>
  <c r="BM411" i="12"/>
  <c r="BN411" i="12"/>
  <c r="BO411" i="12"/>
  <c r="BP411" i="12"/>
  <c r="BQ411" i="12"/>
  <c r="BR411" i="12"/>
  <c r="BS411" i="12"/>
  <c r="BT411" i="12"/>
  <c r="BU411" i="12"/>
  <c r="BV411" i="12"/>
  <c r="BW411" i="12"/>
  <c r="BX411" i="12"/>
  <c r="BY411" i="12"/>
  <c r="BZ411" i="12"/>
  <c r="CA411" i="12"/>
  <c r="CB411" i="12"/>
  <c r="CC411" i="12"/>
  <c r="CD411" i="12"/>
  <c r="CE411" i="12"/>
  <c r="CF411" i="12"/>
  <c r="CG411" i="12"/>
  <c r="CH411" i="12"/>
  <c r="CI411" i="12"/>
  <c r="CJ411" i="12"/>
  <c r="CK411" i="12"/>
  <c r="CL411" i="12"/>
  <c r="CM411" i="12"/>
  <c r="CN411" i="12"/>
  <c r="CO411" i="12"/>
  <c r="CP411" i="12"/>
  <c r="CQ411" i="12"/>
  <c r="CR411" i="12"/>
  <c r="CS411" i="12"/>
  <c r="CT411" i="12"/>
  <c r="CU411" i="12"/>
  <c r="CV411" i="12"/>
  <c r="CW411" i="12"/>
  <c r="CX411" i="12"/>
  <c r="CY411" i="12"/>
  <c r="CZ411" i="12"/>
  <c r="DA411" i="12"/>
  <c r="DB411" i="12"/>
  <c r="DC411" i="12"/>
  <c r="DD411" i="12"/>
  <c r="DE411" i="12"/>
  <c r="DF411" i="12"/>
  <c r="DG411" i="12"/>
  <c r="DH411" i="12"/>
  <c r="DI411" i="12"/>
  <c r="DJ411" i="12"/>
  <c r="DK411" i="12"/>
  <c r="DL411" i="12"/>
  <c r="DM411" i="12"/>
  <c r="DN411" i="12"/>
  <c r="DO411" i="12"/>
  <c r="DP411" i="12"/>
  <c r="DQ411" i="12"/>
  <c r="DR411" i="12"/>
  <c r="DS411" i="12"/>
  <c r="DT411" i="12"/>
  <c r="DU411" i="12"/>
  <c r="DV411" i="12"/>
  <c r="DW411" i="12"/>
  <c r="DX411" i="12"/>
  <c r="DY411" i="12"/>
  <c r="DZ411" i="12"/>
  <c r="EA411" i="12"/>
  <c r="EB411" i="12"/>
  <c r="EC411" i="12"/>
  <c r="ED411" i="12"/>
  <c r="EE411" i="12"/>
  <c r="EF411" i="12"/>
  <c r="EG411" i="12"/>
  <c r="EH411" i="12"/>
  <c r="EI411" i="12"/>
  <c r="EJ411" i="12"/>
  <c r="EK411" i="12"/>
  <c r="EL411" i="12"/>
  <c r="EM411" i="12"/>
  <c r="EN411" i="12"/>
  <c r="EO411" i="12"/>
  <c r="EP411" i="12"/>
  <c r="EQ411" i="12"/>
  <c r="ER411" i="12"/>
  <c r="ES411" i="12"/>
  <c r="ET411" i="12"/>
  <c r="EU411" i="12"/>
  <c r="EV411" i="12"/>
  <c r="EW411" i="12"/>
  <c r="EX411" i="12"/>
  <c r="EY411" i="12"/>
  <c r="EZ411" i="12"/>
  <c r="FA411" i="12"/>
  <c r="FB411" i="12"/>
  <c r="FC411" i="12"/>
  <c r="FD411" i="12"/>
  <c r="FE411" i="12"/>
  <c r="FF411" i="12"/>
  <c r="FG411" i="12"/>
  <c r="FH411" i="12"/>
  <c r="FI411" i="12"/>
  <c r="FJ411" i="12"/>
  <c r="FK411" i="12"/>
  <c r="FL411" i="12"/>
  <c r="FM411" i="12"/>
  <c r="FN411" i="12"/>
  <c r="FO411" i="12"/>
  <c r="FP411" i="12"/>
  <c r="FQ411" i="12"/>
  <c r="FR411" i="12"/>
  <c r="FS411" i="12"/>
  <c r="FT411" i="12"/>
  <c r="FU411" i="12"/>
  <c r="FV411" i="12"/>
  <c r="FW411" i="12"/>
  <c r="FX411" i="12"/>
  <c r="FY411" i="12"/>
  <c r="FZ411" i="12"/>
  <c r="GA411" i="12"/>
  <c r="GB411" i="12"/>
  <c r="GC411" i="12"/>
  <c r="GD411" i="12"/>
  <c r="GE411" i="12"/>
  <c r="GF411" i="12"/>
  <c r="GG411" i="12"/>
  <c r="GH411" i="12"/>
  <c r="GI411" i="12"/>
  <c r="GJ411" i="12"/>
  <c r="GK411" i="12"/>
  <c r="GL411" i="12"/>
  <c r="GM411" i="12"/>
  <c r="GN411" i="12"/>
  <c r="GO411" i="12"/>
  <c r="GP411" i="12"/>
  <c r="GQ411" i="12"/>
  <c r="GR411" i="12"/>
  <c r="GS411" i="12"/>
  <c r="GT411" i="12"/>
  <c r="GU411" i="12"/>
  <c r="GV411" i="12"/>
  <c r="GW411" i="12"/>
  <c r="GX411" i="12"/>
  <c r="GY411" i="12"/>
  <c r="GZ411" i="12"/>
  <c r="HA411" i="12"/>
  <c r="HB411" i="12"/>
  <c r="HC411" i="12"/>
  <c r="HD411" i="12"/>
  <c r="HE411" i="12"/>
  <c r="HF411" i="12"/>
  <c r="HG411" i="12"/>
  <c r="HH411" i="12"/>
  <c r="HI411" i="12"/>
  <c r="HJ411" i="12"/>
  <c r="HK411" i="12"/>
  <c r="HL411" i="12"/>
  <c r="HM411" i="12"/>
  <c r="HN411" i="12"/>
  <c r="HO411" i="12"/>
  <c r="HP411" i="12"/>
  <c r="HQ411" i="12"/>
  <c r="HR411" i="12"/>
  <c r="HS411" i="12"/>
  <c r="HT411" i="12"/>
  <c r="HU411" i="12"/>
  <c r="HV411" i="12"/>
  <c r="HW411" i="12"/>
  <c r="HX411" i="12"/>
  <c r="HY411" i="12"/>
  <c r="HZ411" i="12"/>
  <c r="IA411" i="12"/>
  <c r="IB411" i="12"/>
  <c r="IC411" i="12"/>
  <c r="ID411" i="12"/>
  <c r="IE411" i="12"/>
  <c r="IF411" i="12"/>
  <c r="IG411" i="12"/>
  <c r="IH411" i="12"/>
  <c r="II411" i="12"/>
  <c r="IJ411" i="12"/>
  <c r="IK411" i="12"/>
  <c r="IL411" i="12"/>
  <c r="IM411" i="12"/>
  <c r="IN411" i="12"/>
  <c r="IO411" i="12"/>
  <c r="IP411" i="12"/>
  <c r="IQ411" i="12"/>
  <c r="IR411" i="12"/>
  <c r="IS411" i="12"/>
  <c r="IT411" i="12"/>
  <c r="IU411" i="12"/>
  <c r="IV411" i="12"/>
  <c r="F412" i="12"/>
  <c r="G412" i="12"/>
  <c r="H412" i="12"/>
  <c r="I412" i="12"/>
  <c r="J412" i="12"/>
  <c r="K412" i="12"/>
  <c r="L412" i="12"/>
  <c r="M412" i="12"/>
  <c r="N412" i="12"/>
  <c r="O412" i="12"/>
  <c r="P412" i="12"/>
  <c r="Q412" i="12"/>
  <c r="R412" i="12"/>
  <c r="S412" i="12"/>
  <c r="T412" i="12"/>
  <c r="U412" i="12"/>
  <c r="V412" i="12"/>
  <c r="W412" i="12"/>
  <c r="X412" i="12"/>
  <c r="Y412" i="12"/>
  <c r="Z412" i="12"/>
  <c r="AA412" i="12"/>
  <c r="AB412" i="12"/>
  <c r="AC412" i="12"/>
  <c r="AD412" i="12"/>
  <c r="AE412" i="12"/>
  <c r="AF412" i="12"/>
  <c r="AG412" i="12"/>
  <c r="AH412" i="12"/>
  <c r="AI412" i="12"/>
  <c r="AJ412" i="12"/>
  <c r="AK412" i="12"/>
  <c r="AL412" i="12"/>
  <c r="AM412" i="12"/>
  <c r="AN412" i="12"/>
  <c r="AO412" i="12"/>
  <c r="AP412" i="12"/>
  <c r="AQ412" i="12"/>
  <c r="AR412" i="12"/>
  <c r="AS412" i="12"/>
  <c r="AT412" i="12"/>
  <c r="AU412" i="12"/>
  <c r="AV412" i="12"/>
  <c r="AW412" i="12"/>
  <c r="AX412" i="12"/>
  <c r="AY412" i="12"/>
  <c r="AZ412" i="12"/>
  <c r="BA412" i="12"/>
  <c r="BB412" i="12"/>
  <c r="BC412" i="12"/>
  <c r="BD412" i="12"/>
  <c r="BE412" i="12"/>
  <c r="BF412" i="12"/>
  <c r="BG412" i="12"/>
  <c r="BH412" i="12"/>
  <c r="BI412" i="12"/>
  <c r="BJ412" i="12"/>
  <c r="BK412" i="12"/>
  <c r="BL412" i="12"/>
  <c r="BM412" i="12"/>
  <c r="BN412" i="12"/>
  <c r="BO412" i="12"/>
  <c r="BP412" i="12"/>
  <c r="BQ412" i="12"/>
  <c r="BR412" i="12"/>
  <c r="BS412" i="12"/>
  <c r="BT412" i="12"/>
  <c r="BU412" i="12"/>
  <c r="BV412" i="12"/>
  <c r="BW412" i="12"/>
  <c r="BX412" i="12"/>
  <c r="BY412" i="12"/>
  <c r="BZ412" i="12"/>
  <c r="CA412" i="12"/>
  <c r="CB412" i="12"/>
  <c r="CC412" i="12"/>
  <c r="CD412" i="12"/>
  <c r="CE412" i="12"/>
  <c r="CF412" i="12"/>
  <c r="CG412" i="12"/>
  <c r="CH412" i="12"/>
  <c r="CI412" i="12"/>
  <c r="CJ412" i="12"/>
  <c r="CK412" i="12"/>
  <c r="CL412" i="12"/>
  <c r="CM412" i="12"/>
  <c r="CN412" i="12"/>
  <c r="CO412" i="12"/>
  <c r="CP412" i="12"/>
  <c r="CQ412" i="12"/>
  <c r="CR412" i="12"/>
  <c r="CS412" i="12"/>
  <c r="CT412" i="12"/>
  <c r="CU412" i="12"/>
  <c r="CV412" i="12"/>
  <c r="CW412" i="12"/>
  <c r="CX412" i="12"/>
  <c r="CY412" i="12"/>
  <c r="CZ412" i="12"/>
  <c r="DA412" i="12"/>
  <c r="DB412" i="12"/>
  <c r="DC412" i="12"/>
  <c r="DD412" i="12"/>
  <c r="DE412" i="12"/>
  <c r="DF412" i="12"/>
  <c r="DG412" i="12"/>
  <c r="DH412" i="12"/>
  <c r="DI412" i="12"/>
  <c r="DJ412" i="12"/>
  <c r="DK412" i="12"/>
  <c r="DL412" i="12"/>
  <c r="DM412" i="12"/>
  <c r="DN412" i="12"/>
  <c r="DO412" i="12"/>
  <c r="DP412" i="12"/>
  <c r="DQ412" i="12"/>
  <c r="DR412" i="12"/>
  <c r="DS412" i="12"/>
  <c r="DT412" i="12"/>
  <c r="DU412" i="12"/>
  <c r="DV412" i="12"/>
  <c r="DW412" i="12"/>
  <c r="DX412" i="12"/>
  <c r="DY412" i="12"/>
  <c r="DZ412" i="12"/>
  <c r="EA412" i="12"/>
  <c r="EB412" i="12"/>
  <c r="EC412" i="12"/>
  <c r="ED412" i="12"/>
  <c r="EE412" i="12"/>
  <c r="EF412" i="12"/>
  <c r="EG412" i="12"/>
  <c r="EH412" i="12"/>
  <c r="EI412" i="12"/>
  <c r="EJ412" i="12"/>
  <c r="EK412" i="12"/>
  <c r="EL412" i="12"/>
  <c r="EM412" i="12"/>
  <c r="EN412" i="12"/>
  <c r="EO412" i="12"/>
  <c r="EP412" i="12"/>
  <c r="EQ412" i="12"/>
  <c r="ER412" i="12"/>
  <c r="ES412" i="12"/>
  <c r="ET412" i="12"/>
  <c r="EU412" i="12"/>
  <c r="EV412" i="12"/>
  <c r="EW412" i="12"/>
  <c r="EX412" i="12"/>
  <c r="EY412" i="12"/>
  <c r="EZ412" i="12"/>
  <c r="FA412" i="12"/>
  <c r="FB412" i="12"/>
  <c r="FC412" i="12"/>
  <c r="FD412" i="12"/>
  <c r="FE412" i="12"/>
  <c r="FF412" i="12"/>
  <c r="FG412" i="12"/>
  <c r="FH412" i="12"/>
  <c r="FI412" i="12"/>
  <c r="FJ412" i="12"/>
  <c r="FK412" i="12"/>
  <c r="FL412" i="12"/>
  <c r="FM412" i="12"/>
  <c r="FN412" i="12"/>
  <c r="FO412" i="12"/>
  <c r="FP412" i="12"/>
  <c r="FQ412" i="12"/>
  <c r="FR412" i="12"/>
  <c r="FS412" i="12"/>
  <c r="FT412" i="12"/>
  <c r="FU412" i="12"/>
  <c r="FV412" i="12"/>
  <c r="FW412" i="12"/>
  <c r="FX412" i="12"/>
  <c r="FY412" i="12"/>
  <c r="FZ412" i="12"/>
  <c r="GA412" i="12"/>
  <c r="GB412" i="12"/>
  <c r="GC412" i="12"/>
  <c r="GD412" i="12"/>
  <c r="GE412" i="12"/>
  <c r="GF412" i="12"/>
  <c r="GG412" i="12"/>
  <c r="GH412" i="12"/>
  <c r="GI412" i="12"/>
  <c r="GJ412" i="12"/>
  <c r="GK412" i="12"/>
  <c r="GL412" i="12"/>
  <c r="GM412" i="12"/>
  <c r="GN412" i="12"/>
  <c r="GO412" i="12"/>
  <c r="GP412" i="12"/>
  <c r="GQ412" i="12"/>
  <c r="GR412" i="12"/>
  <c r="GS412" i="12"/>
  <c r="GT412" i="12"/>
  <c r="GU412" i="12"/>
  <c r="GV412" i="12"/>
  <c r="GW412" i="12"/>
  <c r="GX412" i="12"/>
  <c r="GY412" i="12"/>
  <c r="GZ412" i="12"/>
  <c r="HA412" i="12"/>
  <c r="HB412" i="12"/>
  <c r="HC412" i="12"/>
  <c r="HD412" i="12"/>
  <c r="HE412" i="12"/>
  <c r="HF412" i="12"/>
  <c r="HG412" i="12"/>
  <c r="HH412" i="12"/>
  <c r="HI412" i="12"/>
  <c r="HJ412" i="12"/>
  <c r="HK412" i="12"/>
  <c r="HL412" i="12"/>
  <c r="HM412" i="12"/>
  <c r="HN412" i="12"/>
  <c r="HO412" i="12"/>
  <c r="HP412" i="12"/>
  <c r="HQ412" i="12"/>
  <c r="HR412" i="12"/>
  <c r="HS412" i="12"/>
  <c r="HT412" i="12"/>
  <c r="HU412" i="12"/>
  <c r="HV412" i="12"/>
  <c r="HW412" i="12"/>
  <c r="HX412" i="12"/>
  <c r="HY412" i="12"/>
  <c r="HZ412" i="12"/>
  <c r="IA412" i="12"/>
  <c r="IB412" i="12"/>
  <c r="IC412" i="12"/>
  <c r="ID412" i="12"/>
  <c r="IE412" i="12"/>
  <c r="IF412" i="12"/>
  <c r="IG412" i="12"/>
  <c r="IH412" i="12"/>
  <c r="II412" i="12"/>
  <c r="IJ412" i="12"/>
  <c r="IK412" i="12"/>
  <c r="IL412" i="12"/>
  <c r="IM412" i="12"/>
  <c r="IN412" i="12"/>
  <c r="IO412" i="12"/>
  <c r="IP412" i="12"/>
  <c r="IQ412" i="12"/>
  <c r="IR412" i="12"/>
  <c r="IS412" i="12"/>
  <c r="IT412" i="12"/>
  <c r="IU412" i="12"/>
  <c r="IV412" i="12"/>
  <c r="F413" i="12"/>
  <c r="G413" i="12"/>
  <c r="H413" i="12"/>
  <c r="I413" i="12"/>
  <c r="J413" i="12"/>
  <c r="K413" i="12"/>
  <c r="L413" i="12"/>
  <c r="M413" i="12"/>
  <c r="N413" i="12"/>
  <c r="O413" i="12"/>
  <c r="P413" i="12"/>
  <c r="Q413" i="12"/>
  <c r="R413" i="12"/>
  <c r="S413" i="12"/>
  <c r="T413" i="12"/>
  <c r="U413" i="12"/>
  <c r="V413" i="12"/>
  <c r="W413" i="12"/>
  <c r="X413" i="12"/>
  <c r="Y413" i="12"/>
  <c r="Z413" i="12"/>
  <c r="AA413" i="12"/>
  <c r="AB413" i="12"/>
  <c r="AC413" i="12"/>
  <c r="AD413" i="12"/>
  <c r="AE413" i="12"/>
  <c r="AF413" i="12"/>
  <c r="AG413" i="12"/>
  <c r="AH413" i="12"/>
  <c r="AI413" i="12"/>
  <c r="AJ413" i="12"/>
  <c r="AK413" i="12"/>
  <c r="AL413" i="12"/>
  <c r="AM413" i="12"/>
  <c r="AN413" i="12"/>
  <c r="AO413" i="12"/>
  <c r="AP413" i="12"/>
  <c r="AQ413" i="12"/>
  <c r="AR413" i="12"/>
  <c r="AS413" i="12"/>
  <c r="AT413" i="12"/>
  <c r="AU413" i="12"/>
  <c r="AV413" i="12"/>
  <c r="AW413" i="12"/>
  <c r="AX413" i="12"/>
  <c r="AY413" i="12"/>
  <c r="AZ413" i="12"/>
  <c r="BA413" i="12"/>
  <c r="BB413" i="12"/>
  <c r="BC413" i="12"/>
  <c r="BD413" i="12"/>
  <c r="BE413" i="12"/>
  <c r="BF413" i="12"/>
  <c r="BG413" i="12"/>
  <c r="BH413" i="12"/>
  <c r="BI413" i="12"/>
  <c r="BJ413" i="12"/>
  <c r="BK413" i="12"/>
  <c r="BL413" i="12"/>
  <c r="BM413" i="12"/>
  <c r="BN413" i="12"/>
  <c r="BO413" i="12"/>
  <c r="BP413" i="12"/>
  <c r="BQ413" i="12"/>
  <c r="BR413" i="12"/>
  <c r="BS413" i="12"/>
  <c r="BT413" i="12"/>
  <c r="BU413" i="12"/>
  <c r="BV413" i="12"/>
  <c r="BW413" i="12"/>
  <c r="BX413" i="12"/>
  <c r="BY413" i="12"/>
  <c r="BZ413" i="12"/>
  <c r="CA413" i="12"/>
  <c r="CB413" i="12"/>
  <c r="CC413" i="12"/>
  <c r="CD413" i="12"/>
  <c r="CE413" i="12"/>
  <c r="CF413" i="12"/>
  <c r="CG413" i="12"/>
  <c r="CH413" i="12"/>
  <c r="CI413" i="12"/>
  <c r="CJ413" i="12"/>
  <c r="CK413" i="12"/>
  <c r="CL413" i="12"/>
  <c r="CM413" i="12"/>
  <c r="CN413" i="12"/>
  <c r="CO413" i="12"/>
  <c r="CP413" i="12"/>
  <c r="CQ413" i="12"/>
  <c r="CR413" i="12"/>
  <c r="CS413" i="12"/>
  <c r="CT413" i="12"/>
  <c r="CU413" i="12"/>
  <c r="CV413" i="12"/>
  <c r="CW413" i="12"/>
  <c r="CX413" i="12"/>
  <c r="CY413" i="12"/>
  <c r="CZ413" i="12"/>
  <c r="DA413" i="12"/>
  <c r="DB413" i="12"/>
  <c r="DC413" i="12"/>
  <c r="DD413" i="12"/>
  <c r="DE413" i="12"/>
  <c r="DF413" i="12"/>
  <c r="DG413" i="12"/>
  <c r="DH413" i="12"/>
  <c r="DI413" i="12"/>
  <c r="DJ413" i="12"/>
  <c r="DK413" i="12"/>
  <c r="DL413" i="12"/>
  <c r="DM413" i="12"/>
  <c r="DN413" i="12"/>
  <c r="DO413" i="12"/>
  <c r="DP413" i="12"/>
  <c r="DQ413" i="12"/>
  <c r="DR413" i="12"/>
  <c r="DS413" i="12"/>
  <c r="DT413" i="12"/>
  <c r="DU413" i="12"/>
  <c r="DV413" i="12"/>
  <c r="DW413" i="12"/>
  <c r="DX413" i="12"/>
  <c r="DY413" i="12"/>
  <c r="DZ413" i="12"/>
  <c r="EA413" i="12"/>
  <c r="EB413" i="12"/>
  <c r="EC413" i="12"/>
  <c r="ED413" i="12"/>
  <c r="EE413" i="12"/>
  <c r="EF413" i="12"/>
  <c r="EG413" i="12"/>
  <c r="EH413" i="12"/>
  <c r="EI413" i="12"/>
  <c r="EJ413" i="12"/>
  <c r="EK413" i="12"/>
  <c r="EL413" i="12"/>
  <c r="EM413" i="12"/>
  <c r="EN413" i="12"/>
  <c r="EO413" i="12"/>
  <c r="EP413" i="12"/>
  <c r="EQ413" i="12"/>
  <c r="ER413" i="12"/>
  <c r="ES413" i="12"/>
  <c r="ET413" i="12"/>
  <c r="EU413" i="12"/>
  <c r="EV413" i="12"/>
  <c r="EW413" i="12"/>
  <c r="EX413" i="12"/>
  <c r="EY413" i="12"/>
  <c r="EZ413" i="12"/>
  <c r="FA413" i="12"/>
  <c r="FB413" i="12"/>
  <c r="FC413" i="12"/>
  <c r="FD413" i="12"/>
  <c r="FE413" i="12"/>
  <c r="FF413" i="12"/>
  <c r="FG413" i="12"/>
  <c r="FH413" i="12"/>
  <c r="FI413" i="12"/>
  <c r="FJ413" i="12"/>
  <c r="FK413" i="12"/>
  <c r="FL413" i="12"/>
  <c r="FM413" i="12"/>
  <c r="FN413" i="12"/>
  <c r="FO413" i="12"/>
  <c r="FP413" i="12"/>
  <c r="FQ413" i="12"/>
  <c r="FR413" i="12"/>
  <c r="FS413" i="12"/>
  <c r="FT413" i="12"/>
  <c r="FU413" i="12"/>
  <c r="FV413" i="12"/>
  <c r="FW413" i="12"/>
  <c r="FX413" i="12"/>
  <c r="FY413" i="12"/>
  <c r="FZ413" i="12"/>
  <c r="GA413" i="12"/>
  <c r="GB413" i="12"/>
  <c r="GC413" i="12"/>
  <c r="GD413" i="12"/>
  <c r="GE413" i="12"/>
  <c r="GF413" i="12"/>
  <c r="GG413" i="12"/>
  <c r="GH413" i="12"/>
  <c r="GI413" i="12"/>
  <c r="GJ413" i="12"/>
  <c r="GK413" i="12"/>
  <c r="GL413" i="12"/>
  <c r="GM413" i="12"/>
  <c r="GN413" i="12"/>
  <c r="GO413" i="12"/>
  <c r="GP413" i="12"/>
  <c r="GQ413" i="12"/>
  <c r="GR413" i="12"/>
  <c r="GS413" i="12"/>
  <c r="GT413" i="12"/>
  <c r="GU413" i="12"/>
  <c r="GV413" i="12"/>
  <c r="GW413" i="12"/>
  <c r="GX413" i="12"/>
  <c r="GY413" i="12"/>
  <c r="GZ413" i="12"/>
  <c r="HA413" i="12"/>
  <c r="HB413" i="12"/>
  <c r="HC413" i="12"/>
  <c r="HD413" i="12"/>
  <c r="HE413" i="12"/>
  <c r="HF413" i="12"/>
  <c r="HG413" i="12"/>
  <c r="HH413" i="12"/>
  <c r="HI413" i="12"/>
  <c r="HJ413" i="12"/>
  <c r="HK413" i="12"/>
  <c r="HL413" i="12"/>
  <c r="HM413" i="12"/>
  <c r="HN413" i="12"/>
  <c r="HO413" i="12"/>
  <c r="HP413" i="12"/>
  <c r="HQ413" i="12"/>
  <c r="HR413" i="12"/>
  <c r="HS413" i="12"/>
  <c r="HT413" i="12"/>
  <c r="HU413" i="12"/>
  <c r="HV413" i="12"/>
  <c r="HW413" i="12"/>
  <c r="HX413" i="12"/>
  <c r="HY413" i="12"/>
  <c r="HZ413" i="12"/>
  <c r="IA413" i="12"/>
  <c r="IB413" i="12"/>
  <c r="IC413" i="12"/>
  <c r="ID413" i="12"/>
  <c r="IE413" i="12"/>
  <c r="IF413" i="12"/>
  <c r="IG413" i="12"/>
  <c r="IH413" i="12"/>
  <c r="II413" i="12"/>
  <c r="IJ413" i="12"/>
  <c r="IK413" i="12"/>
  <c r="IL413" i="12"/>
  <c r="IM413" i="12"/>
  <c r="IN413" i="12"/>
  <c r="IO413" i="12"/>
  <c r="IP413" i="12"/>
  <c r="IQ413" i="12"/>
  <c r="IR413" i="12"/>
  <c r="IS413" i="12"/>
  <c r="IT413" i="12"/>
  <c r="IU413" i="12"/>
  <c r="IV413" i="12"/>
  <c r="F414" i="12"/>
  <c r="G414" i="12"/>
  <c r="H414" i="12"/>
  <c r="I414" i="12"/>
  <c r="J414" i="12"/>
  <c r="K414" i="12"/>
  <c r="L414" i="12"/>
  <c r="M414" i="12"/>
  <c r="N414" i="12"/>
  <c r="O414" i="12"/>
  <c r="P414" i="12"/>
  <c r="Q414" i="12"/>
  <c r="R414" i="12"/>
  <c r="S414" i="12"/>
  <c r="T414" i="12"/>
  <c r="U414" i="12"/>
  <c r="V414" i="12"/>
  <c r="W414" i="12"/>
  <c r="X414" i="12"/>
  <c r="Y414" i="12"/>
  <c r="Z414" i="12"/>
  <c r="AA414" i="12"/>
  <c r="AB414" i="12"/>
  <c r="AC414" i="12"/>
  <c r="AD414" i="12"/>
  <c r="AE414" i="12"/>
  <c r="AF414" i="12"/>
  <c r="AG414" i="12"/>
  <c r="AH414" i="12"/>
  <c r="AI414" i="12"/>
  <c r="AJ414" i="12"/>
  <c r="AK414" i="12"/>
  <c r="AL414" i="12"/>
  <c r="AM414" i="12"/>
  <c r="AN414" i="12"/>
  <c r="AO414" i="12"/>
  <c r="AP414" i="12"/>
  <c r="AQ414" i="12"/>
  <c r="AR414" i="12"/>
  <c r="AS414" i="12"/>
  <c r="AT414" i="12"/>
  <c r="AU414" i="12"/>
  <c r="AV414" i="12"/>
  <c r="AW414" i="12"/>
  <c r="AX414" i="12"/>
  <c r="AY414" i="12"/>
  <c r="AZ414" i="12"/>
  <c r="BA414" i="12"/>
  <c r="BB414" i="12"/>
  <c r="BC414" i="12"/>
  <c r="BD414" i="12"/>
  <c r="BE414" i="12"/>
  <c r="BF414" i="12"/>
  <c r="BG414" i="12"/>
  <c r="BH414" i="12"/>
  <c r="BI414" i="12"/>
  <c r="BJ414" i="12"/>
  <c r="BK414" i="12"/>
  <c r="BL414" i="12"/>
  <c r="BM414" i="12"/>
  <c r="BN414" i="12"/>
  <c r="BO414" i="12"/>
  <c r="BP414" i="12"/>
  <c r="BQ414" i="12"/>
  <c r="BR414" i="12"/>
  <c r="BS414" i="12"/>
  <c r="BT414" i="12"/>
  <c r="BU414" i="12"/>
  <c r="BV414" i="12"/>
  <c r="BW414" i="12"/>
  <c r="BX414" i="12"/>
  <c r="BY414" i="12"/>
  <c r="BZ414" i="12"/>
  <c r="CA414" i="12"/>
  <c r="CB414" i="12"/>
  <c r="CC414" i="12"/>
  <c r="CD414" i="12"/>
  <c r="CE414" i="12"/>
  <c r="CF414" i="12"/>
  <c r="CG414" i="12"/>
  <c r="CH414" i="12"/>
  <c r="CI414" i="12"/>
  <c r="CJ414" i="12"/>
  <c r="CK414" i="12"/>
  <c r="CL414" i="12"/>
  <c r="CM414" i="12"/>
  <c r="CN414" i="12"/>
  <c r="CO414" i="12"/>
  <c r="CP414" i="12"/>
  <c r="CQ414" i="12"/>
  <c r="CR414" i="12"/>
  <c r="CS414" i="12"/>
  <c r="CT414" i="12"/>
  <c r="CU414" i="12"/>
  <c r="CV414" i="12"/>
  <c r="CW414" i="12"/>
  <c r="CX414" i="12"/>
  <c r="CY414" i="12"/>
  <c r="CZ414" i="12"/>
  <c r="DA414" i="12"/>
  <c r="DB414" i="12"/>
  <c r="DC414" i="12"/>
  <c r="DD414" i="12"/>
  <c r="DE414" i="12"/>
  <c r="DF414" i="12"/>
  <c r="DG414" i="12"/>
  <c r="DH414" i="12"/>
  <c r="DI414" i="12"/>
  <c r="DJ414" i="12"/>
  <c r="DK414" i="12"/>
  <c r="DL414" i="12"/>
  <c r="DM414" i="12"/>
  <c r="DN414" i="12"/>
  <c r="DO414" i="12"/>
  <c r="DP414" i="12"/>
  <c r="DQ414" i="12"/>
  <c r="DR414" i="12"/>
  <c r="DS414" i="12"/>
  <c r="DT414" i="12"/>
  <c r="DU414" i="12"/>
  <c r="DV414" i="12"/>
  <c r="DW414" i="12"/>
  <c r="DX414" i="12"/>
  <c r="DY414" i="12"/>
  <c r="DZ414" i="12"/>
  <c r="EA414" i="12"/>
  <c r="EB414" i="12"/>
  <c r="EC414" i="12"/>
  <c r="ED414" i="12"/>
  <c r="EE414" i="12"/>
  <c r="EF414" i="12"/>
  <c r="EG414" i="12"/>
  <c r="EH414" i="12"/>
  <c r="EI414" i="12"/>
  <c r="EJ414" i="12"/>
  <c r="EK414" i="12"/>
  <c r="EL414" i="12"/>
  <c r="EM414" i="12"/>
  <c r="EN414" i="12"/>
  <c r="EO414" i="12"/>
  <c r="EP414" i="12"/>
  <c r="EQ414" i="12"/>
  <c r="ER414" i="12"/>
  <c r="ES414" i="12"/>
  <c r="ET414" i="12"/>
  <c r="EU414" i="12"/>
  <c r="EV414" i="12"/>
  <c r="EW414" i="12"/>
  <c r="EX414" i="12"/>
  <c r="EY414" i="12"/>
  <c r="EZ414" i="12"/>
  <c r="FA414" i="12"/>
  <c r="FB414" i="12"/>
  <c r="FC414" i="12"/>
  <c r="FD414" i="12"/>
  <c r="FE414" i="12"/>
  <c r="FF414" i="12"/>
  <c r="FG414" i="12"/>
  <c r="FH414" i="12"/>
  <c r="FI414" i="12"/>
  <c r="FJ414" i="12"/>
  <c r="FK414" i="12"/>
  <c r="FL414" i="12"/>
  <c r="FM414" i="12"/>
  <c r="FN414" i="12"/>
  <c r="FO414" i="12"/>
  <c r="FP414" i="12"/>
  <c r="FQ414" i="12"/>
  <c r="FR414" i="12"/>
  <c r="FS414" i="12"/>
  <c r="FT414" i="12"/>
  <c r="FU414" i="12"/>
  <c r="FV414" i="12"/>
  <c r="FW414" i="12"/>
  <c r="FX414" i="12"/>
  <c r="FY414" i="12"/>
  <c r="FZ414" i="12"/>
  <c r="GA414" i="12"/>
  <c r="GB414" i="12"/>
  <c r="GC414" i="12"/>
  <c r="GD414" i="12"/>
  <c r="GE414" i="12"/>
  <c r="GF414" i="12"/>
  <c r="GG414" i="12"/>
  <c r="GH414" i="12"/>
  <c r="GI414" i="12"/>
  <c r="GJ414" i="12"/>
  <c r="GK414" i="12"/>
  <c r="GL414" i="12"/>
  <c r="GM414" i="12"/>
  <c r="GN414" i="12"/>
  <c r="GO414" i="12"/>
  <c r="GP414" i="12"/>
  <c r="GQ414" i="12"/>
  <c r="GR414" i="12"/>
  <c r="GS414" i="12"/>
  <c r="GT414" i="12"/>
  <c r="GU414" i="12"/>
  <c r="GV414" i="12"/>
  <c r="GW414" i="12"/>
  <c r="GX414" i="12"/>
  <c r="GY414" i="12"/>
  <c r="GZ414" i="12"/>
  <c r="HA414" i="12"/>
  <c r="HB414" i="12"/>
  <c r="HC414" i="12"/>
  <c r="HD414" i="12"/>
  <c r="HE414" i="12"/>
  <c r="HF414" i="12"/>
  <c r="HG414" i="12"/>
  <c r="HH414" i="12"/>
  <c r="HI414" i="12"/>
  <c r="HJ414" i="12"/>
  <c r="HK414" i="12"/>
  <c r="HL414" i="12"/>
  <c r="HM414" i="12"/>
  <c r="HN414" i="12"/>
  <c r="HO414" i="12"/>
  <c r="HP414" i="12"/>
  <c r="HQ414" i="12"/>
  <c r="HR414" i="12"/>
  <c r="HS414" i="12"/>
  <c r="HT414" i="12"/>
  <c r="HU414" i="12"/>
  <c r="HV414" i="12"/>
  <c r="HW414" i="12"/>
  <c r="HX414" i="12"/>
  <c r="HY414" i="12"/>
  <c r="HZ414" i="12"/>
  <c r="IA414" i="12"/>
  <c r="IB414" i="12"/>
  <c r="IC414" i="12"/>
  <c r="ID414" i="12"/>
  <c r="IE414" i="12"/>
  <c r="IF414" i="12"/>
  <c r="IG414" i="12"/>
  <c r="IH414" i="12"/>
  <c r="II414" i="12"/>
  <c r="IJ414" i="12"/>
  <c r="IK414" i="12"/>
  <c r="IL414" i="12"/>
  <c r="IM414" i="12"/>
  <c r="IN414" i="12"/>
  <c r="IO414" i="12"/>
  <c r="IP414" i="12"/>
  <c r="IQ414" i="12"/>
  <c r="IR414" i="12"/>
  <c r="IS414" i="12"/>
  <c r="IT414" i="12"/>
  <c r="IU414" i="12"/>
  <c r="IV414" i="12"/>
  <c r="F415" i="12"/>
  <c r="G415" i="12"/>
  <c r="H415" i="12"/>
  <c r="I415" i="12"/>
  <c r="J415" i="12"/>
  <c r="K415" i="12"/>
  <c r="L415" i="12"/>
  <c r="M415" i="12"/>
  <c r="N415" i="12"/>
  <c r="O415" i="12"/>
  <c r="P415" i="12"/>
  <c r="Q415" i="12"/>
  <c r="R415" i="12"/>
  <c r="S415" i="12"/>
  <c r="T415" i="12"/>
  <c r="U415" i="12"/>
  <c r="V415" i="12"/>
  <c r="W415" i="12"/>
  <c r="X415" i="12"/>
  <c r="Y415" i="12"/>
  <c r="Z415" i="12"/>
  <c r="AA415" i="12"/>
  <c r="AB415" i="12"/>
  <c r="AC415" i="12"/>
  <c r="AD415" i="12"/>
  <c r="AE415" i="12"/>
  <c r="AF415" i="12"/>
  <c r="AG415" i="12"/>
  <c r="AH415" i="12"/>
  <c r="AI415" i="12"/>
  <c r="AJ415" i="12"/>
  <c r="AK415" i="12"/>
  <c r="AL415" i="12"/>
  <c r="AM415" i="12"/>
  <c r="AN415" i="12"/>
  <c r="AO415" i="12"/>
  <c r="AP415" i="12"/>
  <c r="AQ415" i="12"/>
  <c r="AR415" i="12"/>
  <c r="AS415" i="12"/>
  <c r="AT415" i="12"/>
  <c r="AU415" i="12"/>
  <c r="AV415" i="12"/>
  <c r="AW415" i="12"/>
  <c r="AX415" i="12"/>
  <c r="AY415" i="12"/>
  <c r="AZ415" i="12"/>
  <c r="BA415" i="12"/>
  <c r="BB415" i="12"/>
  <c r="BC415" i="12"/>
  <c r="BD415" i="12"/>
  <c r="BE415" i="12"/>
  <c r="BF415" i="12"/>
  <c r="BG415" i="12"/>
  <c r="BH415" i="12"/>
  <c r="BI415" i="12"/>
  <c r="BJ415" i="12"/>
  <c r="BK415" i="12"/>
  <c r="BL415" i="12"/>
  <c r="BM415" i="12"/>
  <c r="BN415" i="12"/>
  <c r="BO415" i="12"/>
  <c r="BP415" i="12"/>
  <c r="BQ415" i="12"/>
  <c r="BR415" i="12"/>
  <c r="BS415" i="12"/>
  <c r="BT415" i="12"/>
  <c r="BU415" i="12"/>
  <c r="BV415" i="12"/>
  <c r="BW415" i="12"/>
  <c r="BX415" i="12"/>
  <c r="BY415" i="12"/>
  <c r="BZ415" i="12"/>
  <c r="CA415" i="12"/>
  <c r="CB415" i="12"/>
  <c r="CC415" i="12"/>
  <c r="CD415" i="12"/>
  <c r="CE415" i="12"/>
  <c r="CF415" i="12"/>
  <c r="CG415" i="12"/>
  <c r="CH415" i="12"/>
  <c r="CI415" i="12"/>
  <c r="CJ415" i="12"/>
  <c r="CK415" i="12"/>
  <c r="CL415" i="12"/>
  <c r="CM415" i="12"/>
  <c r="CN415" i="12"/>
  <c r="CO415" i="12"/>
  <c r="CP415" i="12"/>
  <c r="CQ415" i="12"/>
  <c r="CR415" i="12"/>
  <c r="CS415" i="12"/>
  <c r="CT415" i="12"/>
  <c r="CU415" i="12"/>
  <c r="CV415" i="12"/>
  <c r="CW415" i="12"/>
  <c r="CX415" i="12"/>
  <c r="CY415" i="12"/>
  <c r="CZ415" i="12"/>
  <c r="DA415" i="12"/>
  <c r="DB415" i="12"/>
  <c r="DC415" i="12"/>
  <c r="DD415" i="12"/>
  <c r="DE415" i="12"/>
  <c r="DF415" i="12"/>
  <c r="DG415" i="12"/>
  <c r="DH415" i="12"/>
  <c r="DI415" i="12"/>
  <c r="DJ415" i="12"/>
  <c r="DK415" i="12"/>
  <c r="DL415" i="12"/>
  <c r="DM415" i="12"/>
  <c r="DN415" i="12"/>
  <c r="DO415" i="12"/>
  <c r="DP415" i="12"/>
  <c r="DQ415" i="12"/>
  <c r="DR415" i="12"/>
  <c r="DS415" i="12"/>
  <c r="DT415" i="12"/>
  <c r="DU415" i="12"/>
  <c r="DV415" i="12"/>
  <c r="DW415" i="12"/>
  <c r="DX415" i="12"/>
  <c r="DY415" i="12"/>
  <c r="DZ415" i="12"/>
  <c r="EA415" i="12"/>
  <c r="EB415" i="12"/>
  <c r="EC415" i="12"/>
  <c r="ED415" i="12"/>
  <c r="EE415" i="12"/>
  <c r="EF415" i="12"/>
  <c r="EG415" i="12"/>
  <c r="EH415" i="12"/>
  <c r="EI415" i="12"/>
  <c r="EJ415" i="12"/>
  <c r="EK415" i="12"/>
  <c r="EL415" i="12"/>
  <c r="EM415" i="12"/>
  <c r="EN415" i="12"/>
  <c r="EO415" i="12"/>
  <c r="EP415" i="12"/>
  <c r="EQ415" i="12"/>
  <c r="ER415" i="12"/>
  <c r="ES415" i="12"/>
  <c r="ET415" i="12"/>
  <c r="EU415" i="12"/>
  <c r="EV415" i="12"/>
  <c r="EW415" i="12"/>
  <c r="EX415" i="12"/>
  <c r="EY415" i="12"/>
  <c r="EZ415" i="12"/>
  <c r="FA415" i="12"/>
  <c r="FB415" i="12"/>
  <c r="FC415" i="12"/>
  <c r="FD415" i="12"/>
  <c r="FE415" i="12"/>
  <c r="FF415" i="12"/>
  <c r="FG415" i="12"/>
  <c r="FH415" i="12"/>
  <c r="FI415" i="12"/>
  <c r="FJ415" i="12"/>
  <c r="FK415" i="12"/>
  <c r="FL415" i="12"/>
  <c r="FM415" i="12"/>
  <c r="FN415" i="12"/>
  <c r="FO415" i="12"/>
  <c r="FP415" i="12"/>
  <c r="FQ415" i="12"/>
  <c r="FR415" i="12"/>
  <c r="FS415" i="12"/>
  <c r="FT415" i="12"/>
  <c r="FU415" i="12"/>
  <c r="FV415" i="12"/>
  <c r="FW415" i="12"/>
  <c r="FX415" i="12"/>
  <c r="FY415" i="12"/>
  <c r="FZ415" i="12"/>
  <c r="GA415" i="12"/>
  <c r="GB415" i="12"/>
  <c r="GC415" i="12"/>
  <c r="GD415" i="12"/>
  <c r="GE415" i="12"/>
  <c r="GF415" i="12"/>
  <c r="GG415" i="12"/>
  <c r="GH415" i="12"/>
  <c r="GI415" i="12"/>
  <c r="GJ415" i="12"/>
  <c r="GK415" i="12"/>
  <c r="GL415" i="12"/>
  <c r="GM415" i="12"/>
  <c r="GN415" i="12"/>
  <c r="GO415" i="12"/>
  <c r="GP415" i="12"/>
  <c r="GQ415" i="12"/>
  <c r="GR415" i="12"/>
  <c r="GS415" i="12"/>
  <c r="GT415" i="12"/>
  <c r="GU415" i="12"/>
  <c r="GV415" i="12"/>
  <c r="GW415" i="12"/>
  <c r="GX415" i="12"/>
  <c r="GY415" i="12"/>
  <c r="GZ415" i="12"/>
  <c r="HA415" i="12"/>
  <c r="HB415" i="12"/>
  <c r="HC415" i="12"/>
  <c r="HD415" i="12"/>
  <c r="HE415" i="12"/>
  <c r="HF415" i="12"/>
  <c r="HG415" i="12"/>
  <c r="HH415" i="12"/>
  <c r="HI415" i="12"/>
  <c r="HJ415" i="12"/>
  <c r="HK415" i="12"/>
  <c r="HL415" i="12"/>
  <c r="HM415" i="12"/>
  <c r="HN415" i="12"/>
  <c r="HO415" i="12"/>
  <c r="HP415" i="12"/>
  <c r="HQ415" i="12"/>
  <c r="HR415" i="12"/>
  <c r="HS415" i="12"/>
  <c r="HT415" i="12"/>
  <c r="HU415" i="12"/>
  <c r="HV415" i="12"/>
  <c r="HW415" i="12"/>
  <c r="HX415" i="12"/>
  <c r="HY415" i="12"/>
  <c r="HZ415" i="12"/>
  <c r="IA415" i="12"/>
  <c r="IB415" i="12"/>
  <c r="IC415" i="12"/>
  <c r="ID415" i="12"/>
  <c r="IE415" i="12"/>
  <c r="IF415" i="12"/>
  <c r="IG415" i="12"/>
  <c r="IH415" i="12"/>
  <c r="II415" i="12"/>
  <c r="IJ415" i="12"/>
  <c r="IK415" i="12"/>
  <c r="IL415" i="12"/>
  <c r="IM415" i="12"/>
  <c r="IN415" i="12"/>
  <c r="IO415" i="12"/>
  <c r="IP415" i="12"/>
  <c r="IQ415" i="12"/>
  <c r="IR415" i="12"/>
  <c r="IS415" i="12"/>
  <c r="IT415" i="12"/>
  <c r="IU415" i="12"/>
  <c r="IV415" i="12"/>
  <c r="F416" i="12"/>
  <c r="G416" i="12"/>
  <c r="H416" i="12"/>
  <c r="I416" i="12"/>
  <c r="J416" i="12"/>
  <c r="K416" i="12"/>
  <c r="L416" i="12"/>
  <c r="M416" i="12"/>
  <c r="N416" i="12"/>
  <c r="O416" i="12"/>
  <c r="P416" i="12"/>
  <c r="Q416" i="12"/>
  <c r="R416" i="12"/>
  <c r="S416" i="12"/>
  <c r="T416" i="12"/>
  <c r="U416" i="12"/>
  <c r="V416" i="12"/>
  <c r="W416" i="12"/>
  <c r="X416" i="12"/>
  <c r="Y416" i="12"/>
  <c r="Z416" i="12"/>
  <c r="AA416" i="12"/>
  <c r="AB416" i="12"/>
  <c r="AC416" i="12"/>
  <c r="AD416" i="12"/>
  <c r="AE416" i="12"/>
  <c r="AF416" i="12"/>
  <c r="AG416" i="12"/>
  <c r="AH416" i="12"/>
  <c r="AI416" i="12"/>
  <c r="AJ416" i="12"/>
  <c r="AK416" i="12"/>
  <c r="AL416" i="12"/>
  <c r="AM416" i="12"/>
  <c r="AN416" i="12"/>
  <c r="AO416" i="12"/>
  <c r="AP416" i="12"/>
  <c r="AQ416" i="12"/>
  <c r="AR416" i="12"/>
  <c r="AS416" i="12"/>
  <c r="AT416" i="12"/>
  <c r="AU416" i="12"/>
  <c r="AV416" i="12"/>
  <c r="AW416" i="12"/>
  <c r="AX416" i="12"/>
  <c r="AY416" i="12"/>
  <c r="AZ416" i="12"/>
  <c r="BA416" i="12"/>
  <c r="BB416" i="12"/>
  <c r="BC416" i="12"/>
  <c r="BD416" i="12"/>
  <c r="BE416" i="12"/>
  <c r="BF416" i="12"/>
  <c r="BG416" i="12"/>
  <c r="BH416" i="12"/>
  <c r="BI416" i="12"/>
  <c r="BJ416" i="12"/>
  <c r="BK416" i="12"/>
  <c r="BL416" i="12"/>
  <c r="BM416" i="12"/>
  <c r="BN416" i="12"/>
  <c r="BO416" i="12"/>
  <c r="BP416" i="12"/>
  <c r="BQ416" i="12"/>
  <c r="BR416" i="12"/>
  <c r="BS416" i="12"/>
  <c r="BT416" i="12"/>
  <c r="BU416" i="12"/>
  <c r="BV416" i="12"/>
  <c r="BW416" i="12"/>
  <c r="BX416" i="12"/>
  <c r="BY416" i="12"/>
  <c r="BZ416" i="12"/>
  <c r="CA416" i="12"/>
  <c r="CB416" i="12"/>
  <c r="CC416" i="12"/>
  <c r="CD416" i="12"/>
  <c r="CE416" i="12"/>
  <c r="CF416" i="12"/>
  <c r="CG416" i="12"/>
  <c r="CH416" i="12"/>
  <c r="CI416" i="12"/>
  <c r="CJ416" i="12"/>
  <c r="CK416" i="12"/>
  <c r="CL416" i="12"/>
  <c r="CM416" i="12"/>
  <c r="CN416" i="12"/>
  <c r="CO416" i="12"/>
  <c r="CP416" i="12"/>
  <c r="CQ416" i="12"/>
  <c r="CR416" i="12"/>
  <c r="CS416" i="12"/>
  <c r="CT416" i="12"/>
  <c r="CU416" i="12"/>
  <c r="CV416" i="12"/>
  <c r="CW416" i="12"/>
  <c r="CX416" i="12"/>
  <c r="CY416" i="12"/>
  <c r="CZ416" i="12"/>
  <c r="DA416" i="12"/>
  <c r="DB416" i="12"/>
  <c r="DC416" i="12"/>
  <c r="DD416" i="12"/>
  <c r="DE416" i="12"/>
  <c r="DF416" i="12"/>
  <c r="DG416" i="12"/>
  <c r="DH416" i="12"/>
  <c r="DI416" i="12"/>
  <c r="DJ416" i="12"/>
  <c r="DK416" i="12"/>
  <c r="DL416" i="12"/>
  <c r="DM416" i="12"/>
  <c r="DN416" i="12"/>
  <c r="DO416" i="12"/>
  <c r="DP416" i="12"/>
  <c r="DQ416" i="12"/>
  <c r="DR416" i="12"/>
  <c r="DS416" i="12"/>
  <c r="DT416" i="12"/>
  <c r="DU416" i="12"/>
  <c r="DV416" i="12"/>
  <c r="DW416" i="12"/>
  <c r="DX416" i="12"/>
  <c r="DY416" i="12"/>
  <c r="DZ416" i="12"/>
  <c r="EA416" i="12"/>
  <c r="EB416" i="12"/>
  <c r="EC416" i="12"/>
  <c r="ED416" i="12"/>
  <c r="EE416" i="12"/>
  <c r="EF416" i="12"/>
  <c r="EG416" i="12"/>
  <c r="EH416" i="12"/>
  <c r="EI416" i="12"/>
  <c r="EJ416" i="12"/>
  <c r="EK416" i="12"/>
  <c r="EL416" i="12"/>
  <c r="EM416" i="12"/>
  <c r="EN416" i="12"/>
  <c r="EO416" i="12"/>
  <c r="EP416" i="12"/>
  <c r="EQ416" i="12"/>
  <c r="ER416" i="12"/>
  <c r="ES416" i="12"/>
  <c r="ET416" i="12"/>
  <c r="EU416" i="12"/>
  <c r="EV416" i="12"/>
  <c r="EW416" i="12"/>
  <c r="EX416" i="12"/>
  <c r="EY416" i="12"/>
  <c r="EZ416" i="12"/>
  <c r="FA416" i="12"/>
  <c r="FB416" i="12"/>
  <c r="FC416" i="12"/>
  <c r="FD416" i="12"/>
  <c r="FE416" i="12"/>
  <c r="FF416" i="12"/>
  <c r="FG416" i="12"/>
  <c r="FH416" i="12"/>
  <c r="FI416" i="12"/>
  <c r="FJ416" i="12"/>
  <c r="FK416" i="12"/>
  <c r="FL416" i="12"/>
  <c r="FM416" i="12"/>
  <c r="FN416" i="12"/>
  <c r="FO416" i="12"/>
  <c r="FP416" i="12"/>
  <c r="FQ416" i="12"/>
  <c r="FR416" i="12"/>
  <c r="FS416" i="12"/>
  <c r="FT416" i="12"/>
  <c r="FU416" i="12"/>
  <c r="FV416" i="12"/>
  <c r="FW416" i="12"/>
  <c r="FX416" i="12"/>
  <c r="FY416" i="12"/>
  <c r="FZ416" i="12"/>
  <c r="GA416" i="12"/>
  <c r="GB416" i="12"/>
  <c r="GC416" i="12"/>
  <c r="GD416" i="12"/>
  <c r="GE416" i="12"/>
  <c r="GF416" i="12"/>
  <c r="GG416" i="12"/>
  <c r="GH416" i="12"/>
  <c r="GI416" i="12"/>
  <c r="GJ416" i="12"/>
  <c r="GK416" i="12"/>
  <c r="GL416" i="12"/>
  <c r="GM416" i="12"/>
  <c r="GN416" i="12"/>
  <c r="GO416" i="12"/>
  <c r="GP416" i="12"/>
  <c r="GQ416" i="12"/>
  <c r="GR416" i="12"/>
  <c r="GS416" i="12"/>
  <c r="GT416" i="12"/>
  <c r="GU416" i="12"/>
  <c r="GV416" i="12"/>
  <c r="GW416" i="12"/>
  <c r="GX416" i="12"/>
  <c r="GY416" i="12"/>
  <c r="GZ416" i="12"/>
  <c r="HA416" i="12"/>
  <c r="HB416" i="12"/>
  <c r="HC416" i="12"/>
  <c r="HD416" i="12"/>
  <c r="HE416" i="12"/>
  <c r="HF416" i="12"/>
  <c r="HG416" i="12"/>
  <c r="HH416" i="12"/>
  <c r="HI416" i="12"/>
  <c r="HJ416" i="12"/>
  <c r="HK416" i="12"/>
  <c r="HL416" i="12"/>
  <c r="HM416" i="12"/>
  <c r="HN416" i="12"/>
  <c r="HO416" i="12"/>
  <c r="HP416" i="12"/>
  <c r="HQ416" i="12"/>
  <c r="HR416" i="12"/>
  <c r="HS416" i="12"/>
  <c r="HT416" i="12"/>
  <c r="HU416" i="12"/>
  <c r="HV416" i="12"/>
  <c r="HW416" i="12"/>
  <c r="HX416" i="12"/>
  <c r="HY416" i="12"/>
  <c r="HZ416" i="12"/>
  <c r="IA416" i="12"/>
  <c r="IB416" i="12"/>
  <c r="IC416" i="12"/>
  <c r="ID416" i="12"/>
  <c r="IE416" i="12"/>
  <c r="IF416" i="12"/>
  <c r="IG416" i="12"/>
  <c r="IH416" i="12"/>
  <c r="II416" i="12"/>
  <c r="IJ416" i="12"/>
  <c r="IK416" i="12"/>
  <c r="IL416" i="12"/>
  <c r="IM416" i="12"/>
  <c r="IN416" i="12"/>
  <c r="IO416" i="12"/>
  <c r="IP416" i="12"/>
  <c r="IQ416" i="12"/>
  <c r="IR416" i="12"/>
  <c r="IS416" i="12"/>
  <c r="IT416" i="12"/>
  <c r="IU416" i="12"/>
  <c r="IV416" i="12"/>
  <c r="F417" i="12"/>
  <c r="G417" i="12"/>
  <c r="H417" i="12"/>
  <c r="I417" i="12"/>
  <c r="J417" i="12"/>
  <c r="K417" i="12"/>
  <c r="L417" i="12"/>
  <c r="M417" i="12"/>
  <c r="N417" i="12"/>
  <c r="O417" i="12"/>
  <c r="P417" i="12"/>
  <c r="Q417" i="12"/>
  <c r="R417" i="12"/>
  <c r="S417" i="12"/>
  <c r="T417" i="12"/>
  <c r="U417" i="12"/>
  <c r="V417" i="12"/>
  <c r="W417" i="12"/>
  <c r="X417" i="12"/>
  <c r="Y417" i="12"/>
  <c r="Z417" i="12"/>
  <c r="AA417" i="12"/>
  <c r="AB417" i="12"/>
  <c r="AC417" i="12"/>
  <c r="AD417" i="12"/>
  <c r="AE417" i="12"/>
  <c r="AF417" i="12"/>
  <c r="AG417" i="12"/>
  <c r="AH417" i="12"/>
  <c r="AI417" i="12"/>
  <c r="AJ417" i="12"/>
  <c r="AK417" i="12"/>
  <c r="AL417" i="12"/>
  <c r="AM417" i="12"/>
  <c r="AN417" i="12"/>
  <c r="AO417" i="12"/>
  <c r="AP417" i="12"/>
  <c r="AQ417" i="12"/>
  <c r="AR417" i="12"/>
  <c r="AS417" i="12"/>
  <c r="AT417" i="12"/>
  <c r="AU417" i="12"/>
  <c r="AV417" i="12"/>
  <c r="AW417" i="12"/>
  <c r="AX417" i="12"/>
  <c r="AY417" i="12"/>
  <c r="AZ417" i="12"/>
  <c r="BA417" i="12"/>
  <c r="BB417" i="12"/>
  <c r="BC417" i="12"/>
  <c r="BD417" i="12"/>
  <c r="BE417" i="12"/>
  <c r="BF417" i="12"/>
  <c r="BG417" i="12"/>
  <c r="BH417" i="12"/>
  <c r="BI417" i="12"/>
  <c r="BJ417" i="12"/>
  <c r="BK417" i="12"/>
  <c r="BL417" i="12"/>
  <c r="BM417" i="12"/>
  <c r="BN417" i="12"/>
  <c r="BO417" i="12"/>
  <c r="BP417" i="12"/>
  <c r="BQ417" i="12"/>
  <c r="BR417" i="12"/>
  <c r="BS417" i="12"/>
  <c r="BT417" i="12"/>
  <c r="BU417" i="12"/>
  <c r="BV417" i="12"/>
  <c r="BW417" i="12"/>
  <c r="BX417" i="12"/>
  <c r="BY417" i="12"/>
  <c r="BZ417" i="12"/>
  <c r="CA417" i="12"/>
  <c r="CB417" i="12"/>
  <c r="CC417" i="12"/>
  <c r="CD417" i="12"/>
  <c r="CE417" i="12"/>
  <c r="CF417" i="12"/>
  <c r="CG417" i="12"/>
  <c r="CH417" i="12"/>
  <c r="CI417" i="12"/>
  <c r="CJ417" i="12"/>
  <c r="CK417" i="12"/>
  <c r="CL417" i="12"/>
  <c r="CM417" i="12"/>
  <c r="CN417" i="12"/>
  <c r="CO417" i="12"/>
  <c r="CP417" i="12"/>
  <c r="CQ417" i="12"/>
  <c r="CR417" i="12"/>
  <c r="CS417" i="12"/>
  <c r="CT417" i="12"/>
  <c r="CU417" i="12"/>
  <c r="CV417" i="12"/>
  <c r="CW417" i="12"/>
  <c r="CX417" i="12"/>
  <c r="CY417" i="12"/>
  <c r="CZ417" i="12"/>
  <c r="DA417" i="12"/>
  <c r="DB417" i="12"/>
  <c r="DC417" i="12"/>
  <c r="DD417" i="12"/>
  <c r="DE417" i="12"/>
  <c r="DF417" i="12"/>
  <c r="DG417" i="12"/>
  <c r="DH417" i="12"/>
  <c r="DI417" i="12"/>
  <c r="DJ417" i="12"/>
  <c r="DK417" i="12"/>
  <c r="DL417" i="12"/>
  <c r="DM417" i="12"/>
  <c r="DN417" i="12"/>
  <c r="DO417" i="12"/>
  <c r="DP417" i="12"/>
  <c r="DQ417" i="12"/>
  <c r="DR417" i="12"/>
  <c r="DS417" i="12"/>
  <c r="DT417" i="12"/>
  <c r="DU417" i="12"/>
  <c r="DV417" i="12"/>
  <c r="DW417" i="12"/>
  <c r="DX417" i="12"/>
  <c r="DY417" i="12"/>
  <c r="DZ417" i="12"/>
  <c r="EA417" i="12"/>
  <c r="EB417" i="12"/>
  <c r="EC417" i="12"/>
  <c r="ED417" i="12"/>
  <c r="EE417" i="12"/>
  <c r="EF417" i="12"/>
  <c r="EG417" i="12"/>
  <c r="EH417" i="12"/>
  <c r="EI417" i="12"/>
  <c r="EJ417" i="12"/>
  <c r="EK417" i="12"/>
  <c r="EL417" i="12"/>
  <c r="EM417" i="12"/>
  <c r="EN417" i="12"/>
  <c r="EO417" i="12"/>
  <c r="EP417" i="12"/>
  <c r="EQ417" i="12"/>
  <c r="ER417" i="12"/>
  <c r="ES417" i="12"/>
  <c r="ET417" i="12"/>
  <c r="EU417" i="12"/>
  <c r="EV417" i="12"/>
  <c r="EW417" i="12"/>
  <c r="EX417" i="12"/>
  <c r="EY417" i="12"/>
  <c r="EZ417" i="12"/>
  <c r="FA417" i="12"/>
  <c r="FB417" i="12"/>
  <c r="FC417" i="12"/>
  <c r="FD417" i="12"/>
  <c r="FE417" i="12"/>
  <c r="FF417" i="12"/>
  <c r="FG417" i="12"/>
  <c r="FH417" i="12"/>
  <c r="FI417" i="12"/>
  <c r="FJ417" i="12"/>
  <c r="FK417" i="12"/>
  <c r="FL417" i="12"/>
  <c r="FM417" i="12"/>
  <c r="FN417" i="12"/>
  <c r="FO417" i="12"/>
  <c r="FP417" i="12"/>
  <c r="FQ417" i="12"/>
  <c r="FR417" i="12"/>
  <c r="FS417" i="12"/>
  <c r="FT417" i="12"/>
  <c r="FU417" i="12"/>
  <c r="FV417" i="12"/>
  <c r="FW417" i="12"/>
  <c r="FX417" i="12"/>
  <c r="FY417" i="12"/>
  <c r="FZ417" i="12"/>
  <c r="GA417" i="12"/>
  <c r="GB417" i="12"/>
  <c r="GC417" i="12"/>
  <c r="GD417" i="12"/>
  <c r="GE417" i="12"/>
  <c r="GF417" i="12"/>
  <c r="GG417" i="12"/>
  <c r="GH417" i="12"/>
  <c r="GI417" i="12"/>
  <c r="GJ417" i="12"/>
  <c r="GK417" i="12"/>
  <c r="GL417" i="12"/>
  <c r="GM417" i="12"/>
  <c r="GN417" i="12"/>
  <c r="GO417" i="12"/>
  <c r="GP417" i="12"/>
  <c r="GQ417" i="12"/>
  <c r="GR417" i="12"/>
  <c r="GS417" i="12"/>
  <c r="GT417" i="12"/>
  <c r="GU417" i="12"/>
  <c r="GV417" i="12"/>
  <c r="GW417" i="12"/>
  <c r="GX417" i="12"/>
  <c r="GY417" i="12"/>
  <c r="GZ417" i="12"/>
  <c r="HA417" i="12"/>
  <c r="HB417" i="12"/>
  <c r="HC417" i="12"/>
  <c r="HD417" i="12"/>
  <c r="HE417" i="12"/>
  <c r="HF417" i="12"/>
  <c r="HG417" i="12"/>
  <c r="HH417" i="12"/>
  <c r="HI417" i="12"/>
  <c r="HJ417" i="12"/>
  <c r="HK417" i="12"/>
  <c r="HL417" i="12"/>
  <c r="HM417" i="12"/>
  <c r="HN417" i="12"/>
  <c r="HO417" i="12"/>
  <c r="HP417" i="12"/>
  <c r="HQ417" i="12"/>
  <c r="HR417" i="12"/>
  <c r="HS417" i="12"/>
  <c r="HT417" i="12"/>
  <c r="HU417" i="12"/>
  <c r="HV417" i="12"/>
  <c r="HW417" i="12"/>
  <c r="HX417" i="12"/>
  <c r="HY417" i="12"/>
  <c r="HZ417" i="12"/>
  <c r="IA417" i="12"/>
  <c r="IB417" i="12"/>
  <c r="IC417" i="12"/>
  <c r="ID417" i="12"/>
  <c r="IE417" i="12"/>
  <c r="IF417" i="12"/>
  <c r="IG417" i="12"/>
  <c r="IH417" i="12"/>
  <c r="II417" i="12"/>
  <c r="IJ417" i="12"/>
  <c r="IK417" i="12"/>
  <c r="IL417" i="12"/>
  <c r="IM417" i="12"/>
  <c r="IN417" i="12"/>
  <c r="IO417" i="12"/>
  <c r="IP417" i="12"/>
  <c r="IQ417" i="12"/>
  <c r="IR417" i="12"/>
  <c r="IS417" i="12"/>
  <c r="IT417" i="12"/>
  <c r="IU417" i="12"/>
  <c r="IV417" i="12"/>
  <c r="F418" i="12"/>
  <c r="G418" i="12"/>
  <c r="H418" i="12"/>
  <c r="I418" i="12"/>
  <c r="J418" i="12"/>
  <c r="K418" i="12"/>
  <c r="L418" i="12"/>
  <c r="M418" i="12"/>
  <c r="N418" i="12"/>
  <c r="O418" i="12"/>
  <c r="P418" i="12"/>
  <c r="Q418" i="12"/>
  <c r="R418" i="12"/>
  <c r="S418" i="12"/>
  <c r="T418" i="12"/>
  <c r="U418" i="12"/>
  <c r="V418" i="12"/>
  <c r="W418" i="12"/>
  <c r="X418" i="12"/>
  <c r="Y418" i="12"/>
  <c r="Z418" i="12"/>
  <c r="AA418" i="12"/>
  <c r="AB418" i="12"/>
  <c r="AC418" i="12"/>
  <c r="AD418" i="12"/>
  <c r="AE418" i="12"/>
  <c r="AF418" i="12"/>
  <c r="AG418" i="12"/>
  <c r="AH418" i="12"/>
  <c r="AI418" i="12"/>
  <c r="AJ418" i="12"/>
  <c r="AK418" i="12"/>
  <c r="AL418" i="12"/>
  <c r="AM418" i="12"/>
  <c r="AN418" i="12"/>
  <c r="AO418" i="12"/>
  <c r="AP418" i="12"/>
  <c r="AQ418" i="12"/>
  <c r="AR418" i="12"/>
  <c r="AS418" i="12"/>
  <c r="AT418" i="12"/>
  <c r="AU418" i="12"/>
  <c r="AV418" i="12"/>
  <c r="AW418" i="12"/>
  <c r="AX418" i="12"/>
  <c r="AY418" i="12"/>
  <c r="AZ418" i="12"/>
  <c r="BA418" i="12"/>
  <c r="BB418" i="12"/>
  <c r="BC418" i="12"/>
  <c r="BD418" i="12"/>
  <c r="BE418" i="12"/>
  <c r="BF418" i="12"/>
  <c r="BG418" i="12"/>
  <c r="BH418" i="12"/>
  <c r="BI418" i="12"/>
  <c r="BJ418" i="12"/>
  <c r="BK418" i="12"/>
  <c r="BL418" i="12"/>
  <c r="BM418" i="12"/>
  <c r="BN418" i="12"/>
  <c r="BO418" i="12"/>
  <c r="BP418" i="12"/>
  <c r="BQ418" i="12"/>
  <c r="BR418" i="12"/>
  <c r="BS418" i="12"/>
  <c r="BT418" i="12"/>
  <c r="BU418" i="12"/>
  <c r="BV418" i="12"/>
  <c r="BW418" i="12"/>
  <c r="BX418" i="12"/>
  <c r="BY418" i="12"/>
  <c r="BZ418" i="12"/>
  <c r="CA418" i="12"/>
  <c r="CB418" i="12"/>
  <c r="CC418" i="12"/>
  <c r="CD418" i="12"/>
  <c r="CE418" i="12"/>
  <c r="CF418" i="12"/>
  <c r="CG418" i="12"/>
  <c r="CH418" i="12"/>
  <c r="CI418" i="12"/>
  <c r="CJ418" i="12"/>
  <c r="CK418" i="12"/>
  <c r="CL418" i="12"/>
  <c r="CM418" i="12"/>
  <c r="CN418" i="12"/>
  <c r="CO418" i="12"/>
  <c r="CP418" i="12"/>
  <c r="CQ418" i="12"/>
  <c r="CR418" i="12"/>
  <c r="CS418" i="12"/>
  <c r="CT418" i="12"/>
  <c r="CU418" i="12"/>
  <c r="CV418" i="12"/>
  <c r="CW418" i="12"/>
  <c r="CX418" i="12"/>
  <c r="CY418" i="12"/>
  <c r="CZ418" i="12"/>
  <c r="DA418" i="12"/>
  <c r="DB418" i="12"/>
  <c r="DC418" i="12"/>
  <c r="DD418" i="12"/>
  <c r="DE418" i="12"/>
  <c r="DF418" i="12"/>
  <c r="DG418" i="12"/>
  <c r="DH418" i="12"/>
  <c r="DI418" i="12"/>
  <c r="DJ418" i="12"/>
  <c r="DK418" i="12"/>
  <c r="DL418" i="12"/>
  <c r="DM418" i="12"/>
  <c r="DN418" i="12"/>
  <c r="DO418" i="12"/>
  <c r="DP418" i="12"/>
  <c r="DQ418" i="12"/>
  <c r="DR418" i="12"/>
  <c r="DS418" i="12"/>
  <c r="DT418" i="12"/>
  <c r="DU418" i="12"/>
  <c r="DV418" i="12"/>
  <c r="DW418" i="12"/>
  <c r="DX418" i="12"/>
  <c r="DY418" i="12"/>
  <c r="DZ418" i="12"/>
  <c r="EA418" i="12"/>
  <c r="EB418" i="12"/>
  <c r="EC418" i="12"/>
  <c r="ED418" i="12"/>
  <c r="EE418" i="12"/>
  <c r="EF418" i="12"/>
  <c r="EG418" i="12"/>
  <c r="EH418" i="12"/>
  <c r="EI418" i="12"/>
  <c r="EJ418" i="12"/>
  <c r="EK418" i="12"/>
  <c r="EL418" i="12"/>
  <c r="EM418" i="12"/>
  <c r="EN418" i="12"/>
  <c r="EO418" i="12"/>
  <c r="EP418" i="12"/>
  <c r="EQ418" i="12"/>
  <c r="ER418" i="12"/>
  <c r="ES418" i="12"/>
  <c r="ET418" i="12"/>
  <c r="EU418" i="12"/>
  <c r="EV418" i="12"/>
  <c r="EW418" i="12"/>
  <c r="EX418" i="12"/>
  <c r="EY418" i="12"/>
  <c r="EZ418" i="12"/>
  <c r="FA418" i="12"/>
  <c r="FB418" i="12"/>
  <c r="FC418" i="12"/>
  <c r="FD418" i="12"/>
  <c r="FE418" i="12"/>
  <c r="FF418" i="12"/>
  <c r="FG418" i="12"/>
  <c r="FH418" i="12"/>
  <c r="FI418" i="12"/>
  <c r="FJ418" i="12"/>
  <c r="FK418" i="12"/>
  <c r="FL418" i="12"/>
  <c r="FM418" i="12"/>
  <c r="FN418" i="12"/>
  <c r="FO418" i="12"/>
  <c r="FP418" i="12"/>
  <c r="FQ418" i="12"/>
  <c r="FR418" i="12"/>
  <c r="FS418" i="12"/>
  <c r="FT418" i="12"/>
  <c r="FU418" i="12"/>
  <c r="FV418" i="12"/>
  <c r="FW418" i="12"/>
  <c r="FX418" i="12"/>
  <c r="FY418" i="12"/>
  <c r="FZ418" i="12"/>
  <c r="GA418" i="12"/>
  <c r="GB418" i="12"/>
  <c r="GC418" i="12"/>
  <c r="GD418" i="12"/>
  <c r="GE418" i="12"/>
  <c r="GF418" i="12"/>
  <c r="GG418" i="12"/>
  <c r="GH418" i="12"/>
  <c r="GI418" i="12"/>
  <c r="GJ418" i="12"/>
  <c r="GK418" i="12"/>
  <c r="GL418" i="12"/>
  <c r="GM418" i="12"/>
  <c r="GN418" i="12"/>
  <c r="GO418" i="12"/>
  <c r="GP418" i="12"/>
  <c r="GQ418" i="12"/>
  <c r="GR418" i="12"/>
  <c r="GS418" i="12"/>
  <c r="GT418" i="12"/>
  <c r="GU418" i="12"/>
  <c r="GV418" i="12"/>
  <c r="GW418" i="12"/>
  <c r="GX418" i="12"/>
  <c r="GY418" i="12"/>
  <c r="GZ418" i="12"/>
  <c r="HA418" i="12"/>
  <c r="HB418" i="12"/>
  <c r="HC418" i="12"/>
  <c r="HD418" i="12"/>
  <c r="HE418" i="12"/>
  <c r="HF418" i="12"/>
  <c r="HG418" i="12"/>
  <c r="HH418" i="12"/>
  <c r="HI418" i="12"/>
  <c r="HJ418" i="12"/>
  <c r="HK418" i="12"/>
  <c r="HL418" i="12"/>
  <c r="HM418" i="12"/>
  <c r="HN418" i="12"/>
  <c r="HO418" i="12"/>
  <c r="HP418" i="12"/>
  <c r="HQ418" i="12"/>
  <c r="HR418" i="12"/>
  <c r="HS418" i="12"/>
  <c r="HT418" i="12"/>
  <c r="HU418" i="12"/>
  <c r="HV418" i="12"/>
  <c r="HW418" i="12"/>
  <c r="HX418" i="12"/>
  <c r="HY418" i="12"/>
  <c r="HZ418" i="12"/>
  <c r="IA418" i="12"/>
  <c r="IB418" i="12"/>
  <c r="IC418" i="12"/>
  <c r="ID418" i="12"/>
  <c r="IE418" i="12"/>
  <c r="IF418" i="12"/>
  <c r="IG418" i="12"/>
  <c r="IH418" i="12"/>
  <c r="II418" i="12"/>
  <c r="IJ418" i="12"/>
  <c r="IK418" i="12"/>
  <c r="IL418" i="12"/>
  <c r="IM418" i="12"/>
  <c r="IN418" i="12"/>
  <c r="IO418" i="12"/>
  <c r="IP418" i="12"/>
  <c r="IQ418" i="12"/>
  <c r="IR418" i="12"/>
  <c r="IS418" i="12"/>
  <c r="IT418" i="12"/>
  <c r="IU418" i="12"/>
  <c r="IV418" i="12"/>
  <c r="F419" i="12"/>
  <c r="G419" i="12"/>
  <c r="H419" i="12"/>
  <c r="I419" i="12"/>
  <c r="J419" i="12"/>
  <c r="K419" i="12"/>
  <c r="L419" i="12"/>
  <c r="M419" i="12"/>
  <c r="N419" i="12"/>
  <c r="O419" i="12"/>
  <c r="P419" i="12"/>
  <c r="Q419" i="12"/>
  <c r="R419" i="12"/>
  <c r="S419" i="12"/>
  <c r="T419" i="12"/>
  <c r="U419" i="12"/>
  <c r="V419" i="12"/>
  <c r="W419" i="12"/>
  <c r="X419" i="12"/>
  <c r="Y419" i="12"/>
  <c r="Z419" i="12"/>
  <c r="AA419" i="12"/>
  <c r="AB419" i="12"/>
  <c r="AC419" i="12"/>
  <c r="AD419" i="12"/>
  <c r="AE419" i="12"/>
  <c r="AF419" i="12"/>
  <c r="AG419" i="12"/>
  <c r="AH419" i="12"/>
  <c r="AI419" i="12"/>
  <c r="AJ419" i="12"/>
  <c r="AK419" i="12"/>
  <c r="AL419" i="12"/>
  <c r="AM419" i="12"/>
  <c r="AN419" i="12"/>
  <c r="AO419" i="12"/>
  <c r="AP419" i="12"/>
  <c r="AQ419" i="12"/>
  <c r="AR419" i="12"/>
  <c r="AS419" i="12"/>
  <c r="AT419" i="12"/>
  <c r="AU419" i="12"/>
  <c r="AV419" i="12"/>
  <c r="AW419" i="12"/>
  <c r="AX419" i="12"/>
  <c r="AY419" i="12"/>
  <c r="AZ419" i="12"/>
  <c r="BA419" i="12"/>
  <c r="BB419" i="12"/>
  <c r="BC419" i="12"/>
  <c r="BD419" i="12"/>
  <c r="BE419" i="12"/>
  <c r="BF419" i="12"/>
  <c r="BG419" i="12"/>
  <c r="BH419" i="12"/>
  <c r="BI419" i="12"/>
  <c r="BJ419" i="12"/>
  <c r="BK419" i="12"/>
  <c r="BL419" i="12"/>
  <c r="BM419" i="12"/>
  <c r="BN419" i="12"/>
  <c r="BO419" i="12"/>
  <c r="BP419" i="12"/>
  <c r="BQ419" i="12"/>
  <c r="BR419" i="12"/>
  <c r="BS419" i="12"/>
  <c r="BT419" i="12"/>
  <c r="BU419" i="12"/>
  <c r="BV419" i="12"/>
  <c r="BW419" i="12"/>
  <c r="BX419" i="12"/>
  <c r="BY419" i="12"/>
  <c r="BZ419" i="12"/>
  <c r="CA419" i="12"/>
  <c r="CB419" i="12"/>
  <c r="CC419" i="12"/>
  <c r="CD419" i="12"/>
  <c r="CE419" i="12"/>
  <c r="CF419" i="12"/>
  <c r="CG419" i="12"/>
  <c r="CH419" i="12"/>
  <c r="CI419" i="12"/>
  <c r="CJ419" i="12"/>
  <c r="CK419" i="12"/>
  <c r="CL419" i="12"/>
  <c r="CM419" i="12"/>
  <c r="CN419" i="12"/>
  <c r="CO419" i="12"/>
  <c r="CP419" i="12"/>
  <c r="CQ419" i="12"/>
  <c r="CR419" i="12"/>
  <c r="CS419" i="12"/>
  <c r="CT419" i="12"/>
  <c r="CU419" i="12"/>
  <c r="CV419" i="12"/>
  <c r="CW419" i="12"/>
  <c r="CX419" i="12"/>
  <c r="CY419" i="12"/>
  <c r="CZ419" i="12"/>
  <c r="DA419" i="12"/>
  <c r="DB419" i="12"/>
  <c r="DC419" i="12"/>
  <c r="DD419" i="12"/>
  <c r="DE419" i="12"/>
  <c r="DF419" i="12"/>
  <c r="DG419" i="12"/>
  <c r="DH419" i="12"/>
  <c r="DI419" i="12"/>
  <c r="DJ419" i="12"/>
  <c r="DK419" i="12"/>
  <c r="DL419" i="12"/>
  <c r="DM419" i="12"/>
  <c r="DN419" i="12"/>
  <c r="DO419" i="12"/>
  <c r="DP419" i="12"/>
  <c r="DQ419" i="12"/>
  <c r="DR419" i="12"/>
  <c r="DS419" i="12"/>
  <c r="DT419" i="12"/>
  <c r="DU419" i="12"/>
  <c r="DV419" i="12"/>
  <c r="DW419" i="12"/>
  <c r="DX419" i="12"/>
  <c r="DY419" i="12"/>
  <c r="DZ419" i="12"/>
  <c r="EA419" i="12"/>
  <c r="EB419" i="12"/>
  <c r="EC419" i="12"/>
  <c r="ED419" i="12"/>
  <c r="EE419" i="12"/>
  <c r="EF419" i="12"/>
  <c r="EG419" i="12"/>
  <c r="EH419" i="12"/>
  <c r="EI419" i="12"/>
  <c r="EJ419" i="12"/>
  <c r="EK419" i="12"/>
  <c r="EL419" i="12"/>
  <c r="EM419" i="12"/>
  <c r="EN419" i="12"/>
  <c r="EO419" i="12"/>
  <c r="EP419" i="12"/>
  <c r="EQ419" i="12"/>
  <c r="ER419" i="12"/>
  <c r="ES419" i="12"/>
  <c r="ET419" i="12"/>
  <c r="EU419" i="12"/>
  <c r="EV419" i="12"/>
  <c r="EW419" i="12"/>
  <c r="EX419" i="12"/>
  <c r="EY419" i="12"/>
  <c r="EZ419" i="12"/>
  <c r="FA419" i="12"/>
  <c r="FB419" i="12"/>
  <c r="FC419" i="12"/>
  <c r="FD419" i="12"/>
  <c r="FE419" i="12"/>
  <c r="FF419" i="12"/>
  <c r="FG419" i="12"/>
  <c r="FH419" i="12"/>
  <c r="FI419" i="12"/>
  <c r="FJ419" i="12"/>
  <c r="FK419" i="12"/>
  <c r="FL419" i="12"/>
  <c r="FM419" i="12"/>
  <c r="FN419" i="12"/>
  <c r="FO419" i="12"/>
  <c r="FP419" i="12"/>
  <c r="FQ419" i="12"/>
  <c r="FR419" i="12"/>
  <c r="FS419" i="12"/>
  <c r="FT419" i="12"/>
  <c r="FU419" i="12"/>
  <c r="FV419" i="12"/>
  <c r="FW419" i="12"/>
  <c r="FX419" i="12"/>
  <c r="FY419" i="12"/>
  <c r="FZ419" i="12"/>
  <c r="GA419" i="12"/>
  <c r="GB419" i="12"/>
  <c r="GC419" i="12"/>
  <c r="GD419" i="12"/>
  <c r="GE419" i="12"/>
  <c r="GF419" i="12"/>
  <c r="GG419" i="12"/>
  <c r="GH419" i="12"/>
  <c r="GI419" i="12"/>
  <c r="GJ419" i="12"/>
  <c r="GK419" i="12"/>
  <c r="GL419" i="12"/>
  <c r="GM419" i="12"/>
  <c r="GN419" i="12"/>
  <c r="GO419" i="12"/>
  <c r="GP419" i="12"/>
  <c r="GQ419" i="12"/>
  <c r="GR419" i="12"/>
  <c r="GS419" i="12"/>
  <c r="GT419" i="12"/>
  <c r="GU419" i="12"/>
  <c r="GV419" i="12"/>
  <c r="GW419" i="12"/>
  <c r="GX419" i="12"/>
  <c r="GY419" i="12"/>
  <c r="GZ419" i="12"/>
  <c r="HA419" i="12"/>
  <c r="HB419" i="12"/>
  <c r="HC419" i="12"/>
  <c r="HD419" i="12"/>
  <c r="HE419" i="12"/>
  <c r="HF419" i="12"/>
  <c r="HG419" i="12"/>
  <c r="HH419" i="12"/>
  <c r="HI419" i="12"/>
  <c r="HJ419" i="12"/>
  <c r="HK419" i="12"/>
  <c r="HL419" i="12"/>
  <c r="HM419" i="12"/>
  <c r="HN419" i="12"/>
  <c r="HO419" i="12"/>
  <c r="HP419" i="12"/>
  <c r="HQ419" i="12"/>
  <c r="HR419" i="12"/>
  <c r="HS419" i="12"/>
  <c r="HT419" i="12"/>
  <c r="HU419" i="12"/>
  <c r="HV419" i="12"/>
  <c r="HW419" i="12"/>
  <c r="HX419" i="12"/>
  <c r="HY419" i="12"/>
  <c r="HZ419" i="12"/>
  <c r="IA419" i="12"/>
  <c r="IB419" i="12"/>
  <c r="IC419" i="12"/>
  <c r="ID419" i="12"/>
  <c r="IE419" i="12"/>
  <c r="IF419" i="12"/>
  <c r="IG419" i="12"/>
  <c r="IH419" i="12"/>
  <c r="II419" i="12"/>
  <c r="IJ419" i="12"/>
  <c r="IK419" i="12"/>
  <c r="IL419" i="12"/>
  <c r="IM419" i="12"/>
  <c r="IN419" i="12"/>
  <c r="IO419" i="12"/>
  <c r="IP419" i="12"/>
  <c r="IQ419" i="12"/>
  <c r="IR419" i="12"/>
  <c r="IS419" i="12"/>
  <c r="IT419" i="12"/>
  <c r="IU419" i="12"/>
  <c r="IV419" i="12"/>
  <c r="F420" i="12"/>
  <c r="G420" i="12"/>
  <c r="H420" i="12"/>
  <c r="I420" i="12"/>
  <c r="J420" i="12"/>
  <c r="K420" i="12"/>
  <c r="L420" i="12"/>
  <c r="M420" i="12"/>
  <c r="N420" i="12"/>
  <c r="O420" i="12"/>
  <c r="P420" i="12"/>
  <c r="Q420" i="12"/>
  <c r="R420" i="12"/>
  <c r="S420" i="12"/>
  <c r="T420" i="12"/>
  <c r="U420" i="12"/>
  <c r="V420" i="12"/>
  <c r="W420" i="12"/>
  <c r="X420" i="12"/>
  <c r="Y420" i="12"/>
  <c r="Z420" i="12"/>
  <c r="AA420" i="12"/>
  <c r="AB420" i="12"/>
  <c r="AC420" i="12"/>
  <c r="AD420" i="12"/>
  <c r="AE420" i="12"/>
  <c r="AF420" i="12"/>
  <c r="AG420" i="12"/>
  <c r="AH420" i="12"/>
  <c r="AI420" i="12"/>
  <c r="AJ420" i="12"/>
  <c r="AK420" i="12"/>
  <c r="AL420" i="12"/>
  <c r="AM420" i="12"/>
  <c r="AN420" i="12"/>
  <c r="AO420" i="12"/>
  <c r="AP420" i="12"/>
  <c r="AQ420" i="12"/>
  <c r="AR420" i="12"/>
  <c r="AS420" i="12"/>
  <c r="AT420" i="12"/>
  <c r="AU420" i="12"/>
  <c r="AV420" i="12"/>
  <c r="AW420" i="12"/>
  <c r="AX420" i="12"/>
  <c r="AY420" i="12"/>
  <c r="AZ420" i="12"/>
  <c r="BA420" i="12"/>
  <c r="BB420" i="12"/>
  <c r="BC420" i="12"/>
  <c r="BD420" i="12"/>
  <c r="BE420" i="12"/>
  <c r="BF420" i="12"/>
  <c r="BG420" i="12"/>
  <c r="BH420" i="12"/>
  <c r="BI420" i="12"/>
  <c r="BJ420" i="12"/>
  <c r="BK420" i="12"/>
  <c r="BL420" i="12"/>
  <c r="BM420" i="12"/>
  <c r="BN420" i="12"/>
  <c r="BO420" i="12"/>
  <c r="BP420" i="12"/>
  <c r="BQ420" i="12"/>
  <c r="BR420" i="12"/>
  <c r="BS420" i="12"/>
  <c r="BT420" i="12"/>
  <c r="BU420" i="12"/>
  <c r="BV420" i="12"/>
  <c r="BW420" i="12"/>
  <c r="BX420" i="12"/>
  <c r="BY420" i="12"/>
  <c r="BZ420" i="12"/>
  <c r="CA420" i="12"/>
  <c r="CB420" i="12"/>
  <c r="CC420" i="12"/>
  <c r="CD420" i="12"/>
  <c r="CE420" i="12"/>
  <c r="CF420" i="12"/>
  <c r="CG420" i="12"/>
  <c r="CH420" i="12"/>
  <c r="CI420" i="12"/>
  <c r="CJ420" i="12"/>
  <c r="CK420" i="12"/>
  <c r="CL420" i="12"/>
  <c r="CM420" i="12"/>
  <c r="CN420" i="12"/>
  <c r="CO420" i="12"/>
  <c r="CP420" i="12"/>
  <c r="CQ420" i="12"/>
  <c r="CR420" i="12"/>
  <c r="CS420" i="12"/>
  <c r="CT420" i="12"/>
  <c r="CU420" i="12"/>
  <c r="CV420" i="12"/>
  <c r="CW420" i="12"/>
  <c r="CX420" i="12"/>
  <c r="CY420" i="12"/>
  <c r="CZ420" i="12"/>
  <c r="DA420" i="12"/>
  <c r="DB420" i="12"/>
  <c r="DC420" i="12"/>
  <c r="DD420" i="12"/>
  <c r="DE420" i="12"/>
  <c r="DF420" i="12"/>
  <c r="DG420" i="12"/>
  <c r="DH420" i="12"/>
  <c r="DI420" i="12"/>
  <c r="DJ420" i="12"/>
  <c r="DK420" i="12"/>
  <c r="DL420" i="12"/>
  <c r="DM420" i="12"/>
  <c r="DN420" i="12"/>
  <c r="DO420" i="12"/>
  <c r="DP420" i="12"/>
  <c r="DQ420" i="12"/>
  <c r="DR420" i="12"/>
  <c r="DS420" i="12"/>
  <c r="DT420" i="12"/>
  <c r="DU420" i="12"/>
  <c r="DV420" i="12"/>
  <c r="DW420" i="12"/>
  <c r="DX420" i="12"/>
  <c r="DY420" i="12"/>
  <c r="DZ420" i="12"/>
  <c r="EA420" i="12"/>
  <c r="EB420" i="12"/>
  <c r="EC420" i="12"/>
  <c r="ED420" i="12"/>
  <c r="EE420" i="12"/>
  <c r="EF420" i="12"/>
  <c r="EG420" i="12"/>
  <c r="EH420" i="12"/>
  <c r="EI420" i="12"/>
  <c r="EJ420" i="12"/>
  <c r="EK420" i="12"/>
  <c r="EL420" i="12"/>
  <c r="EM420" i="12"/>
  <c r="EN420" i="12"/>
  <c r="EO420" i="12"/>
  <c r="EP420" i="12"/>
  <c r="EQ420" i="12"/>
  <c r="ER420" i="12"/>
  <c r="ES420" i="12"/>
  <c r="ET420" i="12"/>
  <c r="EU420" i="12"/>
  <c r="EV420" i="12"/>
  <c r="EW420" i="12"/>
  <c r="EX420" i="12"/>
  <c r="EY420" i="12"/>
  <c r="EZ420" i="12"/>
  <c r="FA420" i="12"/>
  <c r="FB420" i="12"/>
  <c r="FC420" i="12"/>
  <c r="FD420" i="12"/>
  <c r="FE420" i="12"/>
  <c r="FF420" i="12"/>
  <c r="FG420" i="12"/>
  <c r="FH420" i="12"/>
  <c r="FI420" i="12"/>
  <c r="FJ420" i="12"/>
  <c r="FK420" i="12"/>
  <c r="FL420" i="12"/>
  <c r="FM420" i="12"/>
  <c r="FN420" i="12"/>
  <c r="FO420" i="12"/>
  <c r="FP420" i="12"/>
  <c r="FQ420" i="12"/>
  <c r="FR420" i="12"/>
  <c r="FS420" i="12"/>
  <c r="FT420" i="12"/>
  <c r="FU420" i="12"/>
  <c r="FV420" i="12"/>
  <c r="FW420" i="12"/>
  <c r="FX420" i="12"/>
  <c r="FY420" i="12"/>
  <c r="FZ420" i="12"/>
  <c r="GA420" i="12"/>
  <c r="GB420" i="12"/>
  <c r="GC420" i="12"/>
  <c r="GD420" i="12"/>
  <c r="GE420" i="12"/>
  <c r="GF420" i="12"/>
  <c r="GG420" i="12"/>
  <c r="GH420" i="12"/>
  <c r="GI420" i="12"/>
  <c r="GJ420" i="12"/>
  <c r="GK420" i="12"/>
  <c r="GL420" i="12"/>
  <c r="GM420" i="12"/>
  <c r="GN420" i="12"/>
  <c r="GO420" i="12"/>
  <c r="GP420" i="12"/>
  <c r="GQ420" i="12"/>
  <c r="GR420" i="12"/>
  <c r="GS420" i="12"/>
  <c r="GT420" i="12"/>
  <c r="GU420" i="12"/>
  <c r="GV420" i="12"/>
  <c r="GW420" i="12"/>
  <c r="GX420" i="12"/>
  <c r="GY420" i="12"/>
  <c r="GZ420" i="12"/>
  <c r="HA420" i="12"/>
  <c r="HB420" i="12"/>
  <c r="HC420" i="12"/>
  <c r="HD420" i="12"/>
  <c r="HE420" i="12"/>
  <c r="HF420" i="12"/>
  <c r="HG420" i="12"/>
  <c r="HH420" i="12"/>
  <c r="HI420" i="12"/>
  <c r="HJ420" i="12"/>
  <c r="HK420" i="12"/>
  <c r="HL420" i="12"/>
  <c r="HM420" i="12"/>
  <c r="HN420" i="12"/>
  <c r="HO420" i="12"/>
  <c r="HP420" i="12"/>
  <c r="HQ420" i="12"/>
  <c r="HR420" i="12"/>
  <c r="HS420" i="12"/>
  <c r="HT420" i="12"/>
  <c r="HU420" i="12"/>
  <c r="HV420" i="12"/>
  <c r="HW420" i="12"/>
  <c r="HX420" i="12"/>
  <c r="HY420" i="12"/>
  <c r="HZ420" i="12"/>
  <c r="IA420" i="12"/>
  <c r="IB420" i="12"/>
  <c r="IC420" i="12"/>
  <c r="ID420" i="12"/>
  <c r="IE420" i="12"/>
  <c r="IF420" i="12"/>
  <c r="IG420" i="12"/>
  <c r="IH420" i="12"/>
  <c r="II420" i="12"/>
  <c r="IJ420" i="12"/>
  <c r="IK420" i="12"/>
  <c r="IL420" i="12"/>
  <c r="IM420" i="12"/>
  <c r="IN420" i="12"/>
  <c r="IO420" i="12"/>
  <c r="IP420" i="12"/>
  <c r="IQ420" i="12"/>
  <c r="IR420" i="12"/>
  <c r="IS420" i="12"/>
  <c r="IT420" i="12"/>
  <c r="IU420" i="12"/>
  <c r="IV420" i="12"/>
  <c r="F421" i="12"/>
  <c r="G421" i="12"/>
  <c r="H421" i="12"/>
  <c r="I421" i="12"/>
  <c r="J421" i="12"/>
  <c r="K421" i="12"/>
  <c r="L421" i="12"/>
  <c r="M421" i="12"/>
  <c r="N421" i="12"/>
  <c r="O421" i="12"/>
  <c r="P421" i="12"/>
  <c r="Q421" i="12"/>
  <c r="R421" i="12"/>
  <c r="S421" i="12"/>
  <c r="T421" i="12"/>
  <c r="U421" i="12"/>
  <c r="V421" i="12"/>
  <c r="W421" i="12"/>
  <c r="X421" i="12"/>
  <c r="Y421" i="12"/>
  <c r="Z421" i="12"/>
  <c r="AA421" i="12"/>
  <c r="AB421" i="12"/>
  <c r="AC421" i="12"/>
  <c r="AD421" i="12"/>
  <c r="AE421" i="12"/>
  <c r="AF421" i="12"/>
  <c r="AG421" i="12"/>
  <c r="AH421" i="12"/>
  <c r="AI421" i="12"/>
  <c r="AJ421" i="12"/>
  <c r="AK421" i="12"/>
  <c r="AL421" i="12"/>
  <c r="AM421" i="12"/>
  <c r="AN421" i="12"/>
  <c r="AO421" i="12"/>
  <c r="AP421" i="12"/>
  <c r="AQ421" i="12"/>
  <c r="AR421" i="12"/>
  <c r="AS421" i="12"/>
  <c r="AT421" i="12"/>
  <c r="AU421" i="12"/>
  <c r="AV421" i="12"/>
  <c r="AW421" i="12"/>
  <c r="AX421" i="12"/>
  <c r="AY421" i="12"/>
  <c r="AZ421" i="12"/>
  <c r="BA421" i="12"/>
  <c r="BB421" i="12"/>
  <c r="BC421" i="12"/>
  <c r="BD421" i="12"/>
  <c r="BE421" i="12"/>
  <c r="BF421" i="12"/>
  <c r="BG421" i="12"/>
  <c r="BH421" i="12"/>
  <c r="BI421" i="12"/>
  <c r="BJ421" i="12"/>
  <c r="BK421" i="12"/>
  <c r="BL421" i="12"/>
  <c r="BM421" i="12"/>
  <c r="BN421" i="12"/>
  <c r="BO421" i="12"/>
  <c r="BP421" i="12"/>
  <c r="BQ421" i="12"/>
  <c r="BR421" i="12"/>
  <c r="BS421" i="12"/>
  <c r="BT421" i="12"/>
  <c r="BU421" i="12"/>
  <c r="BV421" i="12"/>
  <c r="BW421" i="12"/>
  <c r="BX421" i="12"/>
  <c r="BY421" i="12"/>
  <c r="BZ421" i="12"/>
  <c r="CA421" i="12"/>
  <c r="CB421" i="12"/>
  <c r="CC421" i="12"/>
  <c r="CD421" i="12"/>
  <c r="CE421" i="12"/>
  <c r="CF421" i="12"/>
  <c r="CG421" i="12"/>
  <c r="CH421" i="12"/>
  <c r="CI421" i="12"/>
  <c r="CJ421" i="12"/>
  <c r="CK421" i="12"/>
  <c r="CL421" i="12"/>
  <c r="CM421" i="12"/>
  <c r="CN421" i="12"/>
  <c r="CO421" i="12"/>
  <c r="CP421" i="12"/>
  <c r="CQ421" i="12"/>
  <c r="CR421" i="12"/>
  <c r="CS421" i="12"/>
  <c r="CT421" i="12"/>
  <c r="CU421" i="12"/>
  <c r="CV421" i="12"/>
  <c r="CW421" i="12"/>
  <c r="CX421" i="12"/>
  <c r="CY421" i="12"/>
  <c r="CZ421" i="12"/>
  <c r="DA421" i="12"/>
  <c r="DB421" i="12"/>
  <c r="DC421" i="12"/>
  <c r="DD421" i="12"/>
  <c r="DE421" i="12"/>
  <c r="DF421" i="12"/>
  <c r="DG421" i="12"/>
  <c r="DH421" i="12"/>
  <c r="DI421" i="12"/>
  <c r="DJ421" i="12"/>
  <c r="DK421" i="12"/>
  <c r="DL421" i="12"/>
  <c r="DM421" i="12"/>
  <c r="DN421" i="12"/>
  <c r="DO421" i="12"/>
  <c r="DP421" i="12"/>
  <c r="DQ421" i="12"/>
  <c r="DR421" i="12"/>
  <c r="DS421" i="12"/>
  <c r="DT421" i="12"/>
  <c r="DU421" i="12"/>
  <c r="DV421" i="12"/>
  <c r="DW421" i="12"/>
  <c r="DX421" i="12"/>
  <c r="DY421" i="12"/>
  <c r="DZ421" i="12"/>
  <c r="EA421" i="12"/>
  <c r="EB421" i="12"/>
  <c r="EC421" i="12"/>
  <c r="ED421" i="12"/>
  <c r="EE421" i="12"/>
  <c r="EF421" i="12"/>
  <c r="EG421" i="12"/>
  <c r="EH421" i="12"/>
  <c r="EI421" i="12"/>
  <c r="EJ421" i="12"/>
  <c r="EK421" i="12"/>
  <c r="EL421" i="12"/>
  <c r="EM421" i="12"/>
  <c r="EN421" i="12"/>
  <c r="EO421" i="12"/>
  <c r="EP421" i="12"/>
  <c r="EQ421" i="12"/>
  <c r="ER421" i="12"/>
  <c r="ES421" i="12"/>
  <c r="ET421" i="12"/>
  <c r="EU421" i="12"/>
  <c r="EV421" i="12"/>
  <c r="EW421" i="12"/>
  <c r="EX421" i="12"/>
  <c r="EY421" i="12"/>
  <c r="EZ421" i="12"/>
  <c r="FA421" i="12"/>
  <c r="FB421" i="12"/>
  <c r="FC421" i="12"/>
  <c r="FD421" i="12"/>
  <c r="FE421" i="12"/>
  <c r="FF421" i="12"/>
  <c r="FG421" i="12"/>
  <c r="FH421" i="12"/>
  <c r="FI421" i="12"/>
  <c r="FJ421" i="12"/>
  <c r="FK421" i="12"/>
  <c r="FL421" i="12"/>
  <c r="FM421" i="12"/>
  <c r="FN421" i="12"/>
  <c r="FO421" i="12"/>
  <c r="FP421" i="12"/>
  <c r="FQ421" i="12"/>
  <c r="FR421" i="12"/>
  <c r="FS421" i="12"/>
  <c r="FT421" i="12"/>
  <c r="FU421" i="12"/>
  <c r="FV421" i="12"/>
  <c r="FW421" i="12"/>
  <c r="FX421" i="12"/>
  <c r="FY421" i="12"/>
  <c r="FZ421" i="12"/>
  <c r="GA421" i="12"/>
  <c r="GB421" i="12"/>
  <c r="GC421" i="12"/>
  <c r="GD421" i="12"/>
  <c r="GE421" i="12"/>
  <c r="GF421" i="12"/>
  <c r="GG421" i="12"/>
  <c r="GH421" i="12"/>
  <c r="GI421" i="12"/>
  <c r="GJ421" i="12"/>
  <c r="GK421" i="12"/>
  <c r="GL421" i="12"/>
  <c r="GM421" i="12"/>
  <c r="GN421" i="12"/>
  <c r="GO421" i="12"/>
  <c r="GP421" i="12"/>
  <c r="GQ421" i="12"/>
  <c r="GR421" i="12"/>
  <c r="GS421" i="12"/>
  <c r="GT421" i="12"/>
  <c r="GU421" i="12"/>
  <c r="GV421" i="12"/>
  <c r="GW421" i="12"/>
  <c r="GX421" i="12"/>
  <c r="GY421" i="12"/>
  <c r="GZ421" i="12"/>
  <c r="HA421" i="12"/>
  <c r="HB421" i="12"/>
  <c r="HC421" i="12"/>
  <c r="HD421" i="12"/>
  <c r="HE421" i="12"/>
  <c r="HF421" i="12"/>
  <c r="HG421" i="12"/>
  <c r="HH421" i="12"/>
  <c r="HI421" i="12"/>
  <c r="HJ421" i="12"/>
  <c r="HK421" i="12"/>
  <c r="HL421" i="12"/>
  <c r="HM421" i="12"/>
  <c r="HN421" i="12"/>
  <c r="HO421" i="12"/>
  <c r="HP421" i="12"/>
  <c r="HQ421" i="12"/>
  <c r="HR421" i="12"/>
  <c r="HS421" i="12"/>
  <c r="HT421" i="12"/>
  <c r="HU421" i="12"/>
  <c r="HV421" i="12"/>
  <c r="HW421" i="12"/>
  <c r="HX421" i="12"/>
  <c r="HY421" i="12"/>
  <c r="HZ421" i="12"/>
  <c r="IA421" i="12"/>
  <c r="IB421" i="12"/>
  <c r="IC421" i="12"/>
  <c r="ID421" i="12"/>
  <c r="IE421" i="12"/>
  <c r="IF421" i="12"/>
  <c r="IG421" i="12"/>
  <c r="IH421" i="12"/>
  <c r="II421" i="12"/>
  <c r="IJ421" i="12"/>
  <c r="IK421" i="12"/>
  <c r="IL421" i="12"/>
  <c r="IM421" i="12"/>
  <c r="IN421" i="12"/>
  <c r="IO421" i="12"/>
  <c r="IP421" i="12"/>
  <c r="IQ421" i="12"/>
  <c r="IR421" i="12"/>
  <c r="IS421" i="12"/>
  <c r="IT421" i="12"/>
  <c r="IU421" i="12"/>
  <c r="IV421" i="12"/>
  <c r="F422" i="12"/>
  <c r="G422" i="12"/>
  <c r="H422" i="12"/>
  <c r="I422" i="12"/>
  <c r="J422" i="12"/>
  <c r="K422" i="12"/>
  <c r="L422" i="12"/>
  <c r="M422" i="12"/>
  <c r="N422" i="12"/>
  <c r="O422" i="12"/>
  <c r="P422" i="12"/>
  <c r="Q422" i="12"/>
  <c r="R422" i="12"/>
  <c r="S422" i="12"/>
  <c r="T422" i="12"/>
  <c r="U422" i="12"/>
  <c r="V422" i="12"/>
  <c r="W422" i="12"/>
  <c r="X422" i="12"/>
  <c r="Y422" i="12"/>
  <c r="Z422" i="12"/>
  <c r="AA422" i="12"/>
  <c r="AB422" i="12"/>
  <c r="AC422" i="12"/>
  <c r="AD422" i="12"/>
  <c r="AE422" i="12"/>
  <c r="AF422" i="12"/>
  <c r="AG422" i="12"/>
  <c r="AH422" i="12"/>
  <c r="AI422" i="12"/>
  <c r="AJ422" i="12"/>
  <c r="AK422" i="12"/>
  <c r="AL422" i="12"/>
  <c r="AM422" i="12"/>
  <c r="AN422" i="12"/>
  <c r="AO422" i="12"/>
  <c r="AP422" i="12"/>
  <c r="AQ422" i="12"/>
  <c r="AR422" i="12"/>
  <c r="AS422" i="12"/>
  <c r="AT422" i="12"/>
  <c r="AU422" i="12"/>
  <c r="AV422" i="12"/>
  <c r="AW422" i="12"/>
  <c r="AX422" i="12"/>
  <c r="AY422" i="12"/>
  <c r="AZ422" i="12"/>
  <c r="BA422" i="12"/>
  <c r="BB422" i="12"/>
  <c r="BC422" i="12"/>
  <c r="BD422" i="12"/>
  <c r="BE422" i="12"/>
  <c r="BF422" i="12"/>
  <c r="BG422" i="12"/>
  <c r="BH422" i="12"/>
  <c r="BI422" i="12"/>
  <c r="BJ422" i="12"/>
  <c r="BK422" i="12"/>
  <c r="BL422" i="12"/>
  <c r="BM422" i="12"/>
  <c r="BN422" i="12"/>
  <c r="BO422" i="12"/>
  <c r="BP422" i="12"/>
  <c r="BQ422" i="12"/>
  <c r="BR422" i="12"/>
  <c r="BS422" i="12"/>
  <c r="BT422" i="12"/>
  <c r="BU422" i="12"/>
  <c r="BV422" i="12"/>
  <c r="BW422" i="12"/>
  <c r="BX422" i="12"/>
  <c r="BY422" i="12"/>
  <c r="BZ422" i="12"/>
  <c r="CA422" i="12"/>
  <c r="CB422" i="12"/>
  <c r="CC422" i="12"/>
  <c r="CD422" i="12"/>
  <c r="CE422" i="12"/>
  <c r="CF422" i="12"/>
  <c r="CG422" i="12"/>
  <c r="CH422" i="12"/>
  <c r="CI422" i="12"/>
  <c r="CJ422" i="12"/>
  <c r="CK422" i="12"/>
  <c r="CL422" i="12"/>
  <c r="CM422" i="12"/>
  <c r="CN422" i="12"/>
  <c r="CO422" i="12"/>
  <c r="CP422" i="12"/>
  <c r="CQ422" i="12"/>
  <c r="CR422" i="12"/>
  <c r="CS422" i="12"/>
  <c r="CT422" i="12"/>
  <c r="CU422" i="12"/>
  <c r="CV422" i="12"/>
  <c r="CW422" i="12"/>
  <c r="CX422" i="12"/>
  <c r="CY422" i="12"/>
  <c r="CZ422" i="12"/>
  <c r="DA422" i="12"/>
  <c r="DB422" i="12"/>
  <c r="DC422" i="12"/>
  <c r="DD422" i="12"/>
  <c r="DE422" i="12"/>
  <c r="DF422" i="12"/>
  <c r="DG422" i="12"/>
  <c r="DH422" i="12"/>
  <c r="DI422" i="12"/>
  <c r="DJ422" i="12"/>
  <c r="DK422" i="12"/>
  <c r="DL422" i="12"/>
  <c r="DM422" i="12"/>
  <c r="DN422" i="12"/>
  <c r="DO422" i="12"/>
  <c r="DP422" i="12"/>
  <c r="DQ422" i="12"/>
  <c r="DR422" i="12"/>
  <c r="DS422" i="12"/>
  <c r="DT422" i="12"/>
  <c r="DU422" i="12"/>
  <c r="DV422" i="12"/>
  <c r="DW422" i="12"/>
  <c r="DX422" i="12"/>
  <c r="DY422" i="12"/>
  <c r="DZ422" i="12"/>
  <c r="EA422" i="12"/>
  <c r="EB422" i="12"/>
  <c r="EC422" i="12"/>
  <c r="ED422" i="12"/>
  <c r="EE422" i="12"/>
  <c r="EF422" i="12"/>
  <c r="EG422" i="12"/>
  <c r="EH422" i="12"/>
  <c r="EI422" i="12"/>
  <c r="EJ422" i="12"/>
  <c r="EK422" i="12"/>
  <c r="EL422" i="12"/>
  <c r="EM422" i="12"/>
  <c r="EN422" i="12"/>
  <c r="EO422" i="12"/>
  <c r="EP422" i="12"/>
  <c r="EQ422" i="12"/>
  <c r="ER422" i="12"/>
  <c r="ES422" i="12"/>
  <c r="ET422" i="12"/>
  <c r="EU422" i="12"/>
  <c r="EV422" i="12"/>
  <c r="EW422" i="12"/>
  <c r="EX422" i="12"/>
  <c r="EY422" i="12"/>
  <c r="EZ422" i="12"/>
  <c r="FA422" i="12"/>
  <c r="FB422" i="12"/>
  <c r="FC422" i="12"/>
  <c r="FD422" i="12"/>
  <c r="FE422" i="12"/>
  <c r="FF422" i="12"/>
  <c r="FG422" i="12"/>
  <c r="FH422" i="12"/>
  <c r="FI422" i="12"/>
  <c r="FJ422" i="12"/>
  <c r="FK422" i="12"/>
  <c r="FL422" i="12"/>
  <c r="FM422" i="12"/>
  <c r="FN422" i="12"/>
  <c r="FO422" i="12"/>
  <c r="FP422" i="12"/>
  <c r="FQ422" i="12"/>
  <c r="FR422" i="12"/>
  <c r="FS422" i="12"/>
  <c r="FT422" i="12"/>
  <c r="FU422" i="12"/>
  <c r="FV422" i="12"/>
  <c r="FW422" i="12"/>
  <c r="FX422" i="12"/>
  <c r="FY422" i="12"/>
  <c r="FZ422" i="12"/>
  <c r="GA422" i="12"/>
  <c r="GB422" i="12"/>
  <c r="GC422" i="12"/>
  <c r="GD422" i="12"/>
  <c r="GE422" i="12"/>
  <c r="GF422" i="12"/>
  <c r="GG422" i="12"/>
  <c r="GH422" i="12"/>
  <c r="GI422" i="12"/>
  <c r="GJ422" i="12"/>
  <c r="GK422" i="12"/>
  <c r="GL422" i="12"/>
  <c r="GM422" i="12"/>
  <c r="GN422" i="12"/>
  <c r="GO422" i="12"/>
  <c r="GP422" i="12"/>
  <c r="GQ422" i="12"/>
  <c r="GR422" i="12"/>
  <c r="GS422" i="12"/>
  <c r="GT422" i="12"/>
  <c r="GU422" i="12"/>
  <c r="GV422" i="12"/>
  <c r="GW422" i="12"/>
  <c r="GX422" i="12"/>
  <c r="GY422" i="12"/>
  <c r="GZ422" i="12"/>
  <c r="HA422" i="12"/>
  <c r="HB422" i="12"/>
  <c r="HC422" i="12"/>
  <c r="HD422" i="12"/>
  <c r="HE422" i="12"/>
  <c r="HF422" i="12"/>
  <c r="HG422" i="12"/>
  <c r="HH422" i="12"/>
  <c r="HI422" i="12"/>
  <c r="HJ422" i="12"/>
  <c r="HK422" i="12"/>
  <c r="HL422" i="12"/>
  <c r="HM422" i="12"/>
  <c r="HN422" i="12"/>
  <c r="HO422" i="12"/>
  <c r="HP422" i="12"/>
  <c r="HQ422" i="12"/>
  <c r="HR422" i="12"/>
  <c r="HS422" i="12"/>
  <c r="HT422" i="12"/>
  <c r="HU422" i="12"/>
  <c r="HV422" i="12"/>
  <c r="HW422" i="12"/>
  <c r="HX422" i="12"/>
  <c r="HY422" i="12"/>
  <c r="HZ422" i="12"/>
  <c r="IA422" i="12"/>
  <c r="IB422" i="12"/>
  <c r="IC422" i="12"/>
  <c r="ID422" i="12"/>
  <c r="IE422" i="12"/>
  <c r="IF422" i="12"/>
  <c r="IG422" i="12"/>
  <c r="IH422" i="12"/>
  <c r="II422" i="12"/>
  <c r="IJ422" i="12"/>
  <c r="IK422" i="12"/>
  <c r="IL422" i="12"/>
  <c r="IM422" i="12"/>
  <c r="IN422" i="12"/>
  <c r="IO422" i="12"/>
  <c r="IP422" i="12"/>
  <c r="IQ422" i="12"/>
  <c r="IR422" i="12"/>
  <c r="IS422" i="12"/>
  <c r="IT422" i="12"/>
  <c r="IU422" i="12"/>
  <c r="IV422" i="12"/>
  <c r="F423" i="12"/>
  <c r="G423" i="12"/>
  <c r="H423" i="12"/>
  <c r="I423" i="12"/>
  <c r="J423" i="12"/>
  <c r="K423" i="12"/>
  <c r="L423" i="12"/>
  <c r="M423" i="12"/>
  <c r="N423" i="12"/>
  <c r="O423" i="12"/>
  <c r="P423" i="12"/>
  <c r="Q423" i="12"/>
  <c r="R423" i="12"/>
  <c r="S423" i="12"/>
  <c r="T423" i="12"/>
  <c r="U423" i="12"/>
  <c r="V423" i="12"/>
  <c r="W423" i="12"/>
  <c r="X423" i="12"/>
  <c r="Y423" i="12"/>
  <c r="Z423" i="12"/>
  <c r="AA423" i="12"/>
  <c r="AB423" i="12"/>
  <c r="AC423" i="12"/>
  <c r="AD423" i="12"/>
  <c r="AE423" i="12"/>
  <c r="AF423" i="12"/>
  <c r="AG423" i="12"/>
  <c r="AH423" i="12"/>
  <c r="AI423" i="12"/>
  <c r="AJ423" i="12"/>
  <c r="AK423" i="12"/>
  <c r="AL423" i="12"/>
  <c r="AM423" i="12"/>
  <c r="AN423" i="12"/>
  <c r="AO423" i="12"/>
  <c r="AP423" i="12"/>
  <c r="AQ423" i="12"/>
  <c r="AR423" i="12"/>
  <c r="AS423" i="12"/>
  <c r="AT423" i="12"/>
  <c r="AU423" i="12"/>
  <c r="AV423" i="12"/>
  <c r="AW423" i="12"/>
  <c r="AX423" i="12"/>
  <c r="AY423" i="12"/>
  <c r="AZ423" i="12"/>
  <c r="BA423" i="12"/>
  <c r="BB423" i="12"/>
  <c r="BC423" i="12"/>
  <c r="BD423" i="12"/>
  <c r="BE423" i="12"/>
  <c r="BF423" i="12"/>
  <c r="BG423" i="12"/>
  <c r="BH423" i="12"/>
  <c r="BI423" i="12"/>
  <c r="BJ423" i="12"/>
  <c r="BK423" i="12"/>
  <c r="BL423" i="12"/>
  <c r="BM423" i="12"/>
  <c r="BN423" i="12"/>
  <c r="BO423" i="12"/>
  <c r="BP423" i="12"/>
  <c r="BQ423" i="12"/>
  <c r="BR423" i="12"/>
  <c r="BS423" i="12"/>
  <c r="BT423" i="12"/>
  <c r="BU423" i="12"/>
  <c r="BV423" i="12"/>
  <c r="BW423" i="12"/>
  <c r="BX423" i="12"/>
  <c r="BY423" i="12"/>
  <c r="BZ423" i="12"/>
  <c r="CA423" i="12"/>
  <c r="CB423" i="12"/>
  <c r="CC423" i="12"/>
  <c r="CD423" i="12"/>
  <c r="CE423" i="12"/>
  <c r="CF423" i="12"/>
  <c r="CG423" i="12"/>
  <c r="CH423" i="12"/>
  <c r="CI423" i="12"/>
  <c r="CJ423" i="12"/>
  <c r="CK423" i="12"/>
  <c r="CL423" i="12"/>
  <c r="CM423" i="12"/>
  <c r="CN423" i="12"/>
  <c r="CO423" i="12"/>
  <c r="CP423" i="12"/>
  <c r="CQ423" i="12"/>
  <c r="CR423" i="12"/>
  <c r="CS423" i="12"/>
  <c r="CT423" i="12"/>
  <c r="CU423" i="12"/>
  <c r="CV423" i="12"/>
  <c r="CW423" i="12"/>
  <c r="CX423" i="12"/>
  <c r="CY423" i="12"/>
  <c r="CZ423" i="12"/>
  <c r="DA423" i="12"/>
  <c r="DB423" i="12"/>
  <c r="DC423" i="12"/>
  <c r="DD423" i="12"/>
  <c r="DE423" i="12"/>
  <c r="DF423" i="12"/>
  <c r="DG423" i="12"/>
  <c r="DH423" i="12"/>
  <c r="DI423" i="12"/>
  <c r="DJ423" i="12"/>
  <c r="DK423" i="12"/>
  <c r="DL423" i="12"/>
  <c r="DM423" i="12"/>
  <c r="DN423" i="12"/>
  <c r="DO423" i="12"/>
  <c r="DP423" i="12"/>
  <c r="DQ423" i="12"/>
  <c r="DR423" i="12"/>
  <c r="DS423" i="12"/>
  <c r="DT423" i="12"/>
  <c r="DU423" i="12"/>
  <c r="DV423" i="12"/>
  <c r="DW423" i="12"/>
  <c r="DX423" i="12"/>
  <c r="DY423" i="12"/>
  <c r="DZ423" i="12"/>
  <c r="EA423" i="12"/>
  <c r="EB423" i="12"/>
  <c r="EC423" i="12"/>
  <c r="ED423" i="12"/>
  <c r="EE423" i="12"/>
  <c r="EF423" i="12"/>
  <c r="EG423" i="12"/>
  <c r="EH423" i="12"/>
  <c r="EI423" i="12"/>
  <c r="EJ423" i="12"/>
  <c r="EK423" i="12"/>
  <c r="EL423" i="12"/>
  <c r="EM423" i="12"/>
  <c r="EN423" i="12"/>
  <c r="EO423" i="12"/>
  <c r="EP423" i="12"/>
  <c r="EQ423" i="12"/>
  <c r="ER423" i="12"/>
  <c r="ES423" i="12"/>
  <c r="ET423" i="12"/>
  <c r="EU423" i="12"/>
  <c r="EV423" i="12"/>
  <c r="EW423" i="12"/>
  <c r="EX423" i="12"/>
  <c r="EY423" i="12"/>
  <c r="EZ423" i="12"/>
  <c r="FA423" i="12"/>
  <c r="FB423" i="12"/>
  <c r="FC423" i="12"/>
  <c r="FD423" i="12"/>
  <c r="FE423" i="12"/>
  <c r="FF423" i="12"/>
  <c r="FG423" i="12"/>
  <c r="FH423" i="12"/>
  <c r="FI423" i="12"/>
  <c r="FJ423" i="12"/>
  <c r="FK423" i="12"/>
  <c r="FL423" i="12"/>
  <c r="FM423" i="12"/>
  <c r="FN423" i="12"/>
  <c r="FO423" i="12"/>
  <c r="FP423" i="12"/>
  <c r="FQ423" i="12"/>
  <c r="FR423" i="12"/>
  <c r="FS423" i="12"/>
  <c r="FT423" i="12"/>
  <c r="FU423" i="12"/>
  <c r="FV423" i="12"/>
  <c r="FW423" i="12"/>
  <c r="FX423" i="12"/>
  <c r="FY423" i="12"/>
  <c r="FZ423" i="12"/>
  <c r="GA423" i="12"/>
  <c r="GB423" i="12"/>
  <c r="GC423" i="12"/>
  <c r="GD423" i="12"/>
  <c r="GE423" i="12"/>
  <c r="GF423" i="12"/>
  <c r="GG423" i="12"/>
  <c r="GH423" i="12"/>
  <c r="GI423" i="12"/>
  <c r="GJ423" i="12"/>
  <c r="GK423" i="12"/>
  <c r="GL423" i="12"/>
  <c r="GM423" i="12"/>
  <c r="GN423" i="12"/>
  <c r="GO423" i="12"/>
  <c r="GP423" i="12"/>
  <c r="GQ423" i="12"/>
  <c r="GR423" i="12"/>
  <c r="GS423" i="12"/>
  <c r="GT423" i="12"/>
  <c r="GU423" i="12"/>
  <c r="GV423" i="12"/>
  <c r="GW423" i="12"/>
  <c r="GX423" i="12"/>
  <c r="GY423" i="12"/>
  <c r="GZ423" i="12"/>
  <c r="HA423" i="12"/>
  <c r="HB423" i="12"/>
  <c r="HC423" i="12"/>
  <c r="HD423" i="12"/>
  <c r="HE423" i="12"/>
  <c r="HF423" i="12"/>
  <c r="HG423" i="12"/>
  <c r="HH423" i="12"/>
  <c r="HI423" i="12"/>
  <c r="HJ423" i="12"/>
  <c r="HK423" i="12"/>
  <c r="HL423" i="12"/>
  <c r="HM423" i="12"/>
  <c r="HN423" i="12"/>
  <c r="HO423" i="12"/>
  <c r="HP423" i="12"/>
  <c r="HQ423" i="12"/>
  <c r="HR423" i="12"/>
  <c r="HS423" i="12"/>
  <c r="HT423" i="12"/>
  <c r="HU423" i="12"/>
  <c r="HV423" i="12"/>
  <c r="HW423" i="12"/>
  <c r="HX423" i="12"/>
  <c r="HY423" i="12"/>
  <c r="HZ423" i="12"/>
  <c r="IA423" i="12"/>
  <c r="IB423" i="12"/>
  <c r="IC423" i="12"/>
  <c r="ID423" i="12"/>
  <c r="IE423" i="12"/>
  <c r="IF423" i="12"/>
  <c r="IG423" i="12"/>
  <c r="IH423" i="12"/>
  <c r="II423" i="12"/>
  <c r="IJ423" i="12"/>
  <c r="IK423" i="12"/>
  <c r="IL423" i="12"/>
  <c r="IM423" i="12"/>
  <c r="IN423" i="12"/>
  <c r="IO423" i="12"/>
  <c r="IP423" i="12"/>
  <c r="IQ423" i="12"/>
  <c r="IR423" i="12"/>
  <c r="IS423" i="12"/>
  <c r="IT423" i="12"/>
  <c r="IU423" i="12"/>
  <c r="IV423" i="12"/>
  <c r="F424" i="12"/>
  <c r="G424" i="12"/>
  <c r="H424" i="12"/>
  <c r="I424" i="12"/>
  <c r="J424" i="12"/>
  <c r="K424" i="12"/>
  <c r="L424" i="12"/>
  <c r="M424" i="12"/>
  <c r="N424" i="12"/>
  <c r="O424" i="12"/>
  <c r="P424" i="12"/>
  <c r="Q424" i="12"/>
  <c r="R424" i="12"/>
  <c r="S424" i="12"/>
  <c r="T424" i="12"/>
  <c r="U424" i="12"/>
  <c r="V424" i="12"/>
  <c r="W424" i="12"/>
  <c r="X424" i="12"/>
  <c r="Y424" i="12"/>
  <c r="Z424" i="12"/>
  <c r="AA424" i="12"/>
  <c r="AB424" i="12"/>
  <c r="AC424" i="12"/>
  <c r="AD424" i="12"/>
  <c r="AE424" i="12"/>
  <c r="AF424" i="12"/>
  <c r="AG424" i="12"/>
  <c r="AH424" i="12"/>
  <c r="AI424" i="12"/>
  <c r="AJ424" i="12"/>
  <c r="AK424" i="12"/>
  <c r="AL424" i="12"/>
  <c r="AM424" i="12"/>
  <c r="AN424" i="12"/>
  <c r="AO424" i="12"/>
  <c r="AP424" i="12"/>
  <c r="AQ424" i="12"/>
  <c r="AR424" i="12"/>
  <c r="AS424" i="12"/>
  <c r="AT424" i="12"/>
  <c r="AU424" i="12"/>
  <c r="AV424" i="12"/>
  <c r="AW424" i="12"/>
  <c r="AX424" i="12"/>
  <c r="AY424" i="12"/>
  <c r="AZ424" i="12"/>
  <c r="BA424" i="12"/>
  <c r="BB424" i="12"/>
  <c r="BC424" i="12"/>
  <c r="BD424" i="12"/>
  <c r="BE424" i="12"/>
  <c r="BF424" i="12"/>
  <c r="BG424" i="12"/>
  <c r="BH424" i="12"/>
  <c r="BI424" i="12"/>
  <c r="BJ424" i="12"/>
  <c r="BK424" i="12"/>
  <c r="BL424" i="12"/>
  <c r="BM424" i="12"/>
  <c r="BN424" i="12"/>
  <c r="BO424" i="12"/>
  <c r="BP424" i="12"/>
  <c r="BQ424" i="12"/>
  <c r="BR424" i="12"/>
  <c r="BS424" i="12"/>
  <c r="BT424" i="12"/>
  <c r="BU424" i="12"/>
  <c r="BV424" i="12"/>
  <c r="BW424" i="12"/>
  <c r="BX424" i="12"/>
  <c r="BY424" i="12"/>
  <c r="BZ424" i="12"/>
  <c r="CA424" i="12"/>
  <c r="CB424" i="12"/>
  <c r="CC424" i="12"/>
  <c r="CD424" i="12"/>
  <c r="CE424" i="12"/>
  <c r="CF424" i="12"/>
  <c r="CG424" i="12"/>
  <c r="CH424" i="12"/>
  <c r="CI424" i="12"/>
  <c r="CJ424" i="12"/>
  <c r="CK424" i="12"/>
  <c r="CL424" i="12"/>
  <c r="CM424" i="12"/>
  <c r="CN424" i="12"/>
  <c r="CO424" i="12"/>
  <c r="CP424" i="12"/>
  <c r="CQ424" i="12"/>
  <c r="CR424" i="12"/>
  <c r="CS424" i="12"/>
  <c r="CT424" i="12"/>
  <c r="CU424" i="12"/>
  <c r="CV424" i="12"/>
  <c r="CW424" i="12"/>
  <c r="CX424" i="12"/>
  <c r="CY424" i="12"/>
  <c r="CZ424" i="12"/>
  <c r="DA424" i="12"/>
  <c r="DB424" i="12"/>
  <c r="DC424" i="12"/>
  <c r="DD424" i="12"/>
  <c r="DE424" i="12"/>
  <c r="DF424" i="12"/>
  <c r="DG424" i="12"/>
  <c r="DH424" i="12"/>
  <c r="DI424" i="12"/>
  <c r="DJ424" i="12"/>
  <c r="DK424" i="12"/>
  <c r="DL424" i="12"/>
  <c r="DM424" i="12"/>
  <c r="DN424" i="12"/>
  <c r="DO424" i="12"/>
  <c r="DP424" i="12"/>
  <c r="DQ424" i="12"/>
  <c r="DR424" i="12"/>
  <c r="DS424" i="12"/>
  <c r="DT424" i="12"/>
  <c r="DU424" i="12"/>
  <c r="DV424" i="12"/>
  <c r="DW424" i="12"/>
  <c r="DX424" i="12"/>
  <c r="DY424" i="12"/>
  <c r="DZ424" i="12"/>
  <c r="EA424" i="12"/>
  <c r="EB424" i="12"/>
  <c r="EC424" i="12"/>
  <c r="ED424" i="12"/>
  <c r="EE424" i="12"/>
  <c r="EF424" i="12"/>
  <c r="EG424" i="12"/>
  <c r="EH424" i="12"/>
  <c r="EI424" i="12"/>
  <c r="EJ424" i="12"/>
  <c r="EK424" i="12"/>
  <c r="EL424" i="12"/>
  <c r="EM424" i="12"/>
  <c r="EN424" i="12"/>
  <c r="EO424" i="12"/>
  <c r="EP424" i="12"/>
  <c r="EQ424" i="12"/>
  <c r="ER424" i="12"/>
  <c r="ES424" i="12"/>
  <c r="ET424" i="12"/>
  <c r="EU424" i="12"/>
  <c r="EV424" i="12"/>
  <c r="EW424" i="12"/>
  <c r="EX424" i="12"/>
  <c r="EY424" i="12"/>
  <c r="EZ424" i="12"/>
  <c r="FA424" i="12"/>
  <c r="FB424" i="12"/>
  <c r="FC424" i="12"/>
  <c r="FD424" i="12"/>
  <c r="FE424" i="12"/>
  <c r="FF424" i="12"/>
  <c r="FG424" i="12"/>
  <c r="FH424" i="12"/>
  <c r="FI424" i="12"/>
  <c r="FJ424" i="12"/>
  <c r="FK424" i="12"/>
  <c r="FL424" i="12"/>
  <c r="FM424" i="12"/>
  <c r="FN424" i="12"/>
  <c r="FO424" i="12"/>
  <c r="FP424" i="12"/>
  <c r="FQ424" i="12"/>
  <c r="FR424" i="12"/>
  <c r="FS424" i="12"/>
  <c r="FT424" i="12"/>
  <c r="FU424" i="12"/>
  <c r="FV424" i="12"/>
  <c r="FW424" i="12"/>
  <c r="FX424" i="12"/>
  <c r="FY424" i="12"/>
  <c r="FZ424" i="12"/>
  <c r="GA424" i="12"/>
  <c r="GB424" i="12"/>
  <c r="GC424" i="12"/>
  <c r="GD424" i="12"/>
  <c r="GE424" i="12"/>
  <c r="GF424" i="12"/>
  <c r="GG424" i="12"/>
  <c r="GH424" i="12"/>
  <c r="GI424" i="12"/>
  <c r="GJ424" i="12"/>
  <c r="GK424" i="12"/>
  <c r="GL424" i="12"/>
  <c r="GM424" i="12"/>
  <c r="GN424" i="12"/>
  <c r="GO424" i="12"/>
  <c r="GP424" i="12"/>
  <c r="GQ424" i="12"/>
  <c r="GR424" i="12"/>
  <c r="GS424" i="12"/>
  <c r="GT424" i="12"/>
  <c r="GU424" i="12"/>
  <c r="GV424" i="12"/>
  <c r="GW424" i="12"/>
  <c r="GX424" i="12"/>
  <c r="GY424" i="12"/>
  <c r="GZ424" i="12"/>
  <c r="HA424" i="12"/>
  <c r="HB424" i="12"/>
  <c r="HC424" i="12"/>
  <c r="HD424" i="12"/>
  <c r="HE424" i="12"/>
  <c r="HF424" i="12"/>
  <c r="HG424" i="12"/>
  <c r="HH424" i="12"/>
  <c r="HI424" i="12"/>
  <c r="HJ424" i="12"/>
  <c r="HK424" i="12"/>
  <c r="HL424" i="12"/>
  <c r="HM424" i="12"/>
  <c r="HN424" i="12"/>
  <c r="HO424" i="12"/>
  <c r="HP424" i="12"/>
  <c r="HQ424" i="12"/>
  <c r="HR424" i="12"/>
  <c r="HS424" i="12"/>
  <c r="HT424" i="12"/>
  <c r="HU424" i="12"/>
  <c r="HV424" i="12"/>
  <c r="HW424" i="12"/>
  <c r="HX424" i="12"/>
  <c r="HY424" i="12"/>
  <c r="HZ424" i="12"/>
  <c r="IA424" i="12"/>
  <c r="IB424" i="12"/>
  <c r="IC424" i="12"/>
  <c r="ID424" i="12"/>
  <c r="IE424" i="12"/>
  <c r="IF424" i="12"/>
  <c r="IG424" i="12"/>
  <c r="IH424" i="12"/>
  <c r="II424" i="12"/>
  <c r="IJ424" i="12"/>
  <c r="IK424" i="12"/>
  <c r="IL424" i="12"/>
  <c r="IM424" i="12"/>
  <c r="IN424" i="12"/>
  <c r="IO424" i="12"/>
  <c r="IP424" i="12"/>
  <c r="IQ424" i="12"/>
  <c r="IR424" i="12"/>
  <c r="IS424" i="12"/>
  <c r="IT424" i="12"/>
  <c r="IU424" i="12"/>
  <c r="IV424" i="12"/>
  <c r="F425" i="12"/>
  <c r="G425" i="12"/>
  <c r="H425" i="12"/>
  <c r="I425" i="12"/>
  <c r="J425" i="12"/>
  <c r="K425" i="12"/>
  <c r="L425" i="12"/>
  <c r="M425" i="12"/>
  <c r="N425" i="12"/>
  <c r="O425" i="12"/>
  <c r="P425" i="12"/>
  <c r="Q425" i="12"/>
  <c r="R425" i="12"/>
  <c r="S425" i="12"/>
  <c r="T425" i="12"/>
  <c r="U425" i="12"/>
  <c r="V425" i="12"/>
  <c r="W425" i="12"/>
  <c r="X425" i="12"/>
  <c r="Y425" i="12"/>
  <c r="Z425" i="12"/>
  <c r="AA425" i="12"/>
  <c r="AB425" i="12"/>
  <c r="AC425" i="12"/>
  <c r="AD425" i="12"/>
  <c r="AE425" i="12"/>
  <c r="AF425" i="12"/>
  <c r="AG425" i="12"/>
  <c r="AH425" i="12"/>
  <c r="AI425" i="12"/>
  <c r="AJ425" i="12"/>
  <c r="AK425" i="12"/>
  <c r="AL425" i="12"/>
  <c r="AM425" i="12"/>
  <c r="AN425" i="12"/>
  <c r="AO425" i="12"/>
  <c r="AP425" i="12"/>
  <c r="AQ425" i="12"/>
  <c r="AR425" i="12"/>
  <c r="AS425" i="12"/>
  <c r="AT425" i="12"/>
  <c r="AU425" i="12"/>
  <c r="AV425" i="12"/>
  <c r="AW425" i="12"/>
  <c r="AX425" i="12"/>
  <c r="AY425" i="12"/>
  <c r="AZ425" i="12"/>
  <c r="BA425" i="12"/>
  <c r="BB425" i="12"/>
  <c r="BC425" i="12"/>
  <c r="BD425" i="12"/>
  <c r="BE425" i="12"/>
  <c r="BF425" i="12"/>
  <c r="BG425" i="12"/>
  <c r="BH425" i="12"/>
  <c r="BI425" i="12"/>
  <c r="BJ425" i="12"/>
  <c r="BK425" i="12"/>
  <c r="BL425" i="12"/>
  <c r="BM425" i="12"/>
  <c r="BN425" i="12"/>
  <c r="BO425" i="12"/>
  <c r="BP425" i="12"/>
  <c r="BQ425" i="12"/>
  <c r="BR425" i="12"/>
  <c r="BS425" i="12"/>
  <c r="BT425" i="12"/>
  <c r="BU425" i="12"/>
  <c r="BV425" i="12"/>
  <c r="BW425" i="12"/>
  <c r="BX425" i="12"/>
  <c r="BY425" i="12"/>
  <c r="BZ425" i="12"/>
  <c r="CA425" i="12"/>
  <c r="CB425" i="12"/>
  <c r="CC425" i="12"/>
  <c r="CD425" i="12"/>
  <c r="CE425" i="12"/>
  <c r="CF425" i="12"/>
  <c r="CG425" i="12"/>
  <c r="CH425" i="12"/>
  <c r="CI425" i="12"/>
  <c r="CJ425" i="12"/>
  <c r="CK425" i="12"/>
  <c r="CL425" i="12"/>
  <c r="CM425" i="12"/>
  <c r="CN425" i="12"/>
  <c r="CO425" i="12"/>
  <c r="CP425" i="12"/>
  <c r="CQ425" i="12"/>
  <c r="CR425" i="12"/>
  <c r="CS425" i="12"/>
  <c r="CT425" i="12"/>
  <c r="CU425" i="12"/>
  <c r="CV425" i="12"/>
  <c r="CW425" i="12"/>
  <c r="CX425" i="12"/>
  <c r="CY425" i="12"/>
  <c r="CZ425" i="12"/>
  <c r="DA425" i="12"/>
  <c r="DB425" i="12"/>
  <c r="DC425" i="12"/>
  <c r="DD425" i="12"/>
  <c r="DE425" i="12"/>
  <c r="DF425" i="12"/>
  <c r="DG425" i="12"/>
  <c r="DH425" i="12"/>
  <c r="DI425" i="12"/>
  <c r="DJ425" i="12"/>
  <c r="DK425" i="12"/>
  <c r="DL425" i="12"/>
  <c r="DM425" i="12"/>
  <c r="DN425" i="12"/>
  <c r="DO425" i="12"/>
  <c r="DP425" i="12"/>
  <c r="DQ425" i="12"/>
  <c r="DR425" i="12"/>
  <c r="DS425" i="12"/>
  <c r="DT425" i="12"/>
  <c r="DU425" i="12"/>
  <c r="DV425" i="12"/>
  <c r="DW425" i="12"/>
  <c r="DX425" i="12"/>
  <c r="DY425" i="12"/>
  <c r="DZ425" i="12"/>
  <c r="EA425" i="12"/>
  <c r="EB425" i="12"/>
  <c r="EC425" i="12"/>
  <c r="ED425" i="12"/>
  <c r="EE425" i="12"/>
  <c r="EF425" i="12"/>
  <c r="EG425" i="12"/>
  <c r="EH425" i="12"/>
  <c r="EI425" i="12"/>
  <c r="EJ425" i="12"/>
  <c r="EK425" i="12"/>
  <c r="EL425" i="12"/>
  <c r="EM425" i="12"/>
  <c r="EN425" i="12"/>
  <c r="EO425" i="12"/>
  <c r="EP425" i="12"/>
  <c r="EQ425" i="12"/>
  <c r="ER425" i="12"/>
  <c r="ES425" i="12"/>
  <c r="ET425" i="12"/>
  <c r="EU425" i="12"/>
  <c r="EV425" i="12"/>
  <c r="EW425" i="12"/>
  <c r="EX425" i="12"/>
  <c r="EY425" i="12"/>
  <c r="EZ425" i="12"/>
  <c r="FA425" i="12"/>
  <c r="FB425" i="12"/>
  <c r="FC425" i="12"/>
  <c r="FD425" i="12"/>
  <c r="FE425" i="12"/>
  <c r="FF425" i="12"/>
  <c r="FG425" i="12"/>
  <c r="FH425" i="12"/>
  <c r="FI425" i="12"/>
  <c r="FJ425" i="12"/>
  <c r="FK425" i="12"/>
  <c r="FL425" i="12"/>
  <c r="FM425" i="12"/>
  <c r="FN425" i="12"/>
  <c r="FO425" i="12"/>
  <c r="FP425" i="12"/>
  <c r="FQ425" i="12"/>
  <c r="FR425" i="12"/>
  <c r="FS425" i="12"/>
  <c r="FT425" i="12"/>
  <c r="FU425" i="12"/>
  <c r="FV425" i="12"/>
  <c r="FW425" i="12"/>
  <c r="FX425" i="12"/>
  <c r="FY425" i="12"/>
  <c r="FZ425" i="12"/>
  <c r="GA425" i="12"/>
  <c r="GB425" i="12"/>
  <c r="GC425" i="12"/>
  <c r="GD425" i="12"/>
  <c r="GE425" i="12"/>
  <c r="GF425" i="12"/>
  <c r="GG425" i="12"/>
  <c r="GH425" i="12"/>
  <c r="GI425" i="12"/>
  <c r="GJ425" i="12"/>
  <c r="GK425" i="12"/>
  <c r="GL425" i="12"/>
  <c r="GM425" i="12"/>
  <c r="GN425" i="12"/>
  <c r="GO425" i="12"/>
  <c r="GP425" i="12"/>
  <c r="GQ425" i="12"/>
  <c r="GR425" i="12"/>
  <c r="GS425" i="12"/>
  <c r="GT425" i="12"/>
  <c r="GU425" i="12"/>
  <c r="GV425" i="12"/>
  <c r="GW425" i="12"/>
  <c r="GX425" i="12"/>
  <c r="GY425" i="12"/>
  <c r="GZ425" i="12"/>
  <c r="HA425" i="12"/>
  <c r="HB425" i="12"/>
  <c r="HC425" i="12"/>
  <c r="HD425" i="12"/>
  <c r="HE425" i="12"/>
  <c r="HF425" i="12"/>
  <c r="HG425" i="12"/>
  <c r="HH425" i="12"/>
  <c r="HI425" i="12"/>
  <c r="HJ425" i="12"/>
  <c r="HK425" i="12"/>
  <c r="HL425" i="12"/>
  <c r="HM425" i="12"/>
  <c r="HN425" i="12"/>
  <c r="HO425" i="12"/>
  <c r="HP425" i="12"/>
  <c r="HQ425" i="12"/>
  <c r="HR425" i="12"/>
  <c r="HS425" i="12"/>
  <c r="HT425" i="12"/>
  <c r="HU425" i="12"/>
  <c r="HV425" i="12"/>
  <c r="HW425" i="12"/>
  <c r="HX425" i="12"/>
  <c r="HY425" i="12"/>
  <c r="HZ425" i="12"/>
  <c r="IA425" i="12"/>
  <c r="IB425" i="12"/>
  <c r="IC425" i="12"/>
  <c r="ID425" i="12"/>
  <c r="IE425" i="12"/>
  <c r="IF425" i="12"/>
  <c r="IG425" i="12"/>
  <c r="IH425" i="12"/>
  <c r="II425" i="12"/>
  <c r="IJ425" i="12"/>
  <c r="IK425" i="12"/>
  <c r="IL425" i="12"/>
  <c r="IM425" i="12"/>
  <c r="IN425" i="12"/>
  <c r="IO425" i="12"/>
  <c r="IP425" i="12"/>
  <c r="IQ425" i="12"/>
  <c r="IR425" i="12"/>
  <c r="IS425" i="12"/>
  <c r="IT425" i="12"/>
  <c r="IU425" i="12"/>
  <c r="IV425" i="12"/>
  <c r="F426" i="12"/>
  <c r="G426" i="12"/>
  <c r="H426" i="12"/>
  <c r="I426" i="12"/>
  <c r="J426" i="12"/>
  <c r="K426" i="12"/>
  <c r="L426" i="12"/>
  <c r="M426" i="12"/>
  <c r="N426" i="12"/>
  <c r="O426" i="12"/>
  <c r="P426" i="12"/>
  <c r="Q426" i="12"/>
  <c r="R426" i="12"/>
  <c r="S426" i="12"/>
  <c r="T426" i="12"/>
  <c r="U426" i="12"/>
  <c r="V426" i="12"/>
  <c r="W426" i="12"/>
  <c r="X426" i="12"/>
  <c r="Y426" i="12"/>
  <c r="Z426" i="12"/>
  <c r="AA426" i="12"/>
  <c r="AB426" i="12"/>
  <c r="AC426" i="12"/>
  <c r="AD426" i="12"/>
  <c r="AE426" i="12"/>
  <c r="AF426" i="12"/>
  <c r="AG426" i="12"/>
  <c r="AH426" i="12"/>
  <c r="AI426" i="12"/>
  <c r="AJ426" i="12"/>
  <c r="AK426" i="12"/>
  <c r="AL426" i="12"/>
  <c r="AM426" i="12"/>
  <c r="AN426" i="12"/>
  <c r="AO426" i="12"/>
  <c r="AP426" i="12"/>
  <c r="AQ426" i="12"/>
  <c r="AR426" i="12"/>
  <c r="AS426" i="12"/>
  <c r="AT426" i="12"/>
  <c r="AU426" i="12"/>
  <c r="AV426" i="12"/>
  <c r="AW426" i="12"/>
  <c r="AX426" i="12"/>
  <c r="AY426" i="12"/>
  <c r="AZ426" i="12"/>
  <c r="BA426" i="12"/>
  <c r="BB426" i="12"/>
  <c r="BC426" i="12"/>
  <c r="BD426" i="12"/>
  <c r="BE426" i="12"/>
  <c r="BF426" i="12"/>
  <c r="BG426" i="12"/>
  <c r="BH426" i="12"/>
  <c r="BI426" i="12"/>
  <c r="BJ426" i="12"/>
  <c r="BK426" i="12"/>
  <c r="BL426" i="12"/>
  <c r="BM426" i="12"/>
  <c r="BN426" i="12"/>
  <c r="BO426" i="12"/>
  <c r="BP426" i="12"/>
  <c r="BQ426" i="12"/>
  <c r="BR426" i="12"/>
  <c r="BS426" i="12"/>
  <c r="BT426" i="12"/>
  <c r="BU426" i="12"/>
  <c r="BV426" i="12"/>
  <c r="BW426" i="12"/>
  <c r="BX426" i="12"/>
  <c r="BY426" i="12"/>
  <c r="BZ426" i="12"/>
  <c r="CA426" i="12"/>
  <c r="CB426" i="12"/>
  <c r="CC426" i="12"/>
  <c r="CD426" i="12"/>
  <c r="CE426" i="12"/>
  <c r="CF426" i="12"/>
  <c r="CG426" i="12"/>
  <c r="CH426" i="12"/>
  <c r="CI426" i="12"/>
  <c r="CJ426" i="12"/>
  <c r="CK426" i="12"/>
  <c r="CL426" i="12"/>
  <c r="CM426" i="12"/>
  <c r="CN426" i="12"/>
  <c r="CO426" i="12"/>
  <c r="CP426" i="12"/>
  <c r="CQ426" i="12"/>
  <c r="CR426" i="12"/>
  <c r="CS426" i="12"/>
  <c r="CT426" i="12"/>
  <c r="CU426" i="12"/>
  <c r="CV426" i="12"/>
  <c r="CW426" i="12"/>
  <c r="CX426" i="12"/>
  <c r="CY426" i="12"/>
  <c r="CZ426" i="12"/>
  <c r="DA426" i="12"/>
  <c r="DB426" i="12"/>
  <c r="DC426" i="12"/>
  <c r="DD426" i="12"/>
  <c r="DE426" i="12"/>
  <c r="DF426" i="12"/>
  <c r="DG426" i="12"/>
  <c r="DH426" i="12"/>
  <c r="DI426" i="12"/>
  <c r="DJ426" i="12"/>
  <c r="DK426" i="12"/>
  <c r="DL426" i="12"/>
  <c r="DM426" i="12"/>
  <c r="DN426" i="12"/>
  <c r="DO426" i="12"/>
  <c r="DP426" i="12"/>
  <c r="DQ426" i="12"/>
  <c r="DR426" i="12"/>
  <c r="DS426" i="12"/>
  <c r="DT426" i="12"/>
  <c r="DU426" i="12"/>
  <c r="DV426" i="12"/>
  <c r="DW426" i="12"/>
  <c r="DX426" i="12"/>
  <c r="DY426" i="12"/>
  <c r="DZ426" i="12"/>
  <c r="EA426" i="12"/>
  <c r="EB426" i="12"/>
  <c r="EC426" i="12"/>
  <c r="ED426" i="12"/>
  <c r="EE426" i="12"/>
  <c r="EF426" i="12"/>
  <c r="EG426" i="12"/>
  <c r="EH426" i="12"/>
  <c r="EI426" i="12"/>
  <c r="EJ426" i="12"/>
  <c r="EK426" i="12"/>
  <c r="EL426" i="12"/>
  <c r="EM426" i="12"/>
  <c r="EN426" i="12"/>
  <c r="EO426" i="12"/>
  <c r="EP426" i="12"/>
  <c r="EQ426" i="12"/>
  <c r="ER426" i="12"/>
  <c r="ES426" i="12"/>
  <c r="ET426" i="12"/>
  <c r="EU426" i="12"/>
  <c r="EV426" i="12"/>
  <c r="EW426" i="12"/>
  <c r="EX426" i="12"/>
  <c r="EY426" i="12"/>
  <c r="EZ426" i="12"/>
  <c r="FA426" i="12"/>
  <c r="FB426" i="12"/>
  <c r="FC426" i="12"/>
  <c r="FD426" i="12"/>
  <c r="FE426" i="12"/>
  <c r="FF426" i="12"/>
  <c r="FG426" i="12"/>
  <c r="FH426" i="12"/>
  <c r="FI426" i="12"/>
  <c r="FJ426" i="12"/>
  <c r="FK426" i="12"/>
  <c r="FL426" i="12"/>
  <c r="FM426" i="12"/>
  <c r="FN426" i="12"/>
  <c r="FO426" i="12"/>
  <c r="FP426" i="12"/>
  <c r="FQ426" i="12"/>
  <c r="FR426" i="12"/>
  <c r="FS426" i="12"/>
  <c r="FT426" i="12"/>
  <c r="FU426" i="12"/>
  <c r="FV426" i="12"/>
  <c r="FW426" i="12"/>
  <c r="FX426" i="12"/>
  <c r="FY426" i="12"/>
  <c r="FZ426" i="12"/>
  <c r="GA426" i="12"/>
  <c r="GB426" i="12"/>
  <c r="GC426" i="12"/>
  <c r="GD426" i="12"/>
  <c r="GE426" i="12"/>
  <c r="GF426" i="12"/>
  <c r="GG426" i="12"/>
  <c r="GH426" i="12"/>
  <c r="GI426" i="12"/>
  <c r="GJ426" i="12"/>
  <c r="GK426" i="12"/>
  <c r="GL426" i="12"/>
  <c r="GM426" i="12"/>
  <c r="GN426" i="12"/>
  <c r="GO426" i="12"/>
  <c r="GP426" i="12"/>
  <c r="GQ426" i="12"/>
  <c r="GR426" i="12"/>
  <c r="GS426" i="12"/>
  <c r="GT426" i="12"/>
  <c r="GU426" i="12"/>
  <c r="GV426" i="12"/>
  <c r="GW426" i="12"/>
  <c r="GX426" i="12"/>
  <c r="GY426" i="12"/>
  <c r="GZ426" i="12"/>
  <c r="HA426" i="12"/>
  <c r="HB426" i="12"/>
  <c r="HC426" i="12"/>
  <c r="HD426" i="12"/>
  <c r="HE426" i="12"/>
  <c r="HF426" i="12"/>
  <c r="HG426" i="12"/>
  <c r="HH426" i="12"/>
  <c r="HI426" i="12"/>
  <c r="HJ426" i="12"/>
  <c r="HK426" i="12"/>
  <c r="HL426" i="12"/>
  <c r="HM426" i="12"/>
  <c r="HN426" i="12"/>
  <c r="HO426" i="12"/>
  <c r="HP426" i="12"/>
  <c r="HQ426" i="12"/>
  <c r="HR426" i="12"/>
  <c r="HS426" i="12"/>
  <c r="HT426" i="12"/>
  <c r="HU426" i="12"/>
  <c r="HV426" i="12"/>
  <c r="HW426" i="12"/>
  <c r="HX426" i="12"/>
  <c r="HY426" i="12"/>
  <c r="HZ426" i="12"/>
  <c r="IA426" i="12"/>
  <c r="IB426" i="12"/>
  <c r="IC426" i="12"/>
  <c r="ID426" i="12"/>
  <c r="IE426" i="12"/>
  <c r="IF426" i="12"/>
  <c r="IG426" i="12"/>
  <c r="IH426" i="12"/>
  <c r="II426" i="12"/>
  <c r="IJ426" i="12"/>
  <c r="IK426" i="12"/>
  <c r="IL426" i="12"/>
  <c r="IM426" i="12"/>
  <c r="IN426" i="12"/>
  <c r="IO426" i="12"/>
  <c r="IP426" i="12"/>
  <c r="IQ426" i="12"/>
  <c r="IR426" i="12"/>
  <c r="IS426" i="12"/>
  <c r="IT426" i="12"/>
  <c r="IU426" i="12"/>
  <c r="IV426" i="12"/>
  <c r="F427" i="12"/>
  <c r="G427" i="12"/>
  <c r="H427" i="12"/>
  <c r="I427" i="12"/>
  <c r="J427" i="12"/>
  <c r="K427" i="12"/>
  <c r="L427" i="12"/>
  <c r="M427" i="12"/>
  <c r="N427" i="12"/>
  <c r="O427" i="12"/>
  <c r="P427" i="12"/>
  <c r="Q427" i="12"/>
  <c r="R427" i="12"/>
  <c r="S427" i="12"/>
  <c r="T427" i="12"/>
  <c r="U427" i="12"/>
  <c r="V427" i="12"/>
  <c r="W427" i="12"/>
  <c r="X427" i="12"/>
  <c r="Y427" i="12"/>
  <c r="Z427" i="12"/>
  <c r="AA427" i="12"/>
  <c r="AB427" i="12"/>
  <c r="AC427" i="12"/>
  <c r="AD427" i="12"/>
  <c r="AE427" i="12"/>
  <c r="AF427" i="12"/>
  <c r="AG427" i="12"/>
  <c r="AH427" i="12"/>
  <c r="AI427" i="12"/>
  <c r="AJ427" i="12"/>
  <c r="AK427" i="12"/>
  <c r="AL427" i="12"/>
  <c r="AM427" i="12"/>
  <c r="AN427" i="12"/>
  <c r="AO427" i="12"/>
  <c r="AP427" i="12"/>
  <c r="AQ427" i="12"/>
  <c r="AR427" i="12"/>
  <c r="AS427" i="12"/>
  <c r="AT427" i="12"/>
  <c r="AU427" i="12"/>
  <c r="AV427" i="12"/>
  <c r="AW427" i="12"/>
  <c r="AX427" i="12"/>
  <c r="AY427" i="12"/>
  <c r="AZ427" i="12"/>
  <c r="BA427" i="12"/>
  <c r="BB427" i="12"/>
  <c r="BC427" i="12"/>
  <c r="BD427" i="12"/>
  <c r="BE427" i="12"/>
  <c r="BF427" i="12"/>
  <c r="BG427" i="12"/>
  <c r="BH427" i="12"/>
  <c r="BI427" i="12"/>
  <c r="BJ427" i="12"/>
  <c r="BK427" i="12"/>
  <c r="BL427" i="12"/>
  <c r="BM427" i="12"/>
  <c r="BN427" i="12"/>
  <c r="BO427" i="12"/>
  <c r="BP427" i="12"/>
  <c r="BQ427" i="12"/>
  <c r="BR427" i="12"/>
  <c r="BS427" i="12"/>
  <c r="BT427" i="12"/>
  <c r="BU427" i="12"/>
  <c r="BV427" i="12"/>
  <c r="BW427" i="12"/>
  <c r="BX427" i="12"/>
  <c r="BY427" i="12"/>
  <c r="BZ427" i="12"/>
  <c r="CA427" i="12"/>
  <c r="CB427" i="12"/>
  <c r="CC427" i="12"/>
  <c r="CD427" i="12"/>
  <c r="CE427" i="12"/>
  <c r="CF427" i="12"/>
  <c r="CG427" i="12"/>
  <c r="CH427" i="12"/>
  <c r="CI427" i="12"/>
  <c r="CJ427" i="12"/>
  <c r="CK427" i="12"/>
  <c r="CL427" i="12"/>
  <c r="CM427" i="12"/>
  <c r="CN427" i="12"/>
  <c r="CO427" i="12"/>
  <c r="CP427" i="12"/>
  <c r="CQ427" i="12"/>
  <c r="CR427" i="12"/>
  <c r="CS427" i="12"/>
  <c r="CT427" i="12"/>
  <c r="CU427" i="12"/>
  <c r="CV427" i="12"/>
  <c r="CW427" i="12"/>
  <c r="CX427" i="12"/>
  <c r="CY427" i="12"/>
  <c r="CZ427" i="12"/>
  <c r="DA427" i="12"/>
  <c r="DB427" i="12"/>
  <c r="DC427" i="12"/>
  <c r="DD427" i="12"/>
  <c r="DE427" i="12"/>
  <c r="DF427" i="12"/>
  <c r="DG427" i="12"/>
  <c r="DH427" i="12"/>
  <c r="DI427" i="12"/>
  <c r="DJ427" i="12"/>
  <c r="DK427" i="12"/>
  <c r="DL427" i="12"/>
  <c r="DM427" i="12"/>
  <c r="DN427" i="12"/>
  <c r="DO427" i="12"/>
  <c r="DP427" i="12"/>
  <c r="DQ427" i="12"/>
  <c r="DR427" i="12"/>
  <c r="DS427" i="12"/>
  <c r="DT427" i="12"/>
  <c r="DU427" i="12"/>
  <c r="DV427" i="12"/>
  <c r="DW427" i="12"/>
  <c r="DX427" i="12"/>
  <c r="DY427" i="12"/>
  <c r="DZ427" i="12"/>
  <c r="EA427" i="12"/>
  <c r="EB427" i="12"/>
  <c r="EC427" i="12"/>
  <c r="ED427" i="12"/>
  <c r="EE427" i="12"/>
  <c r="EF427" i="12"/>
  <c r="EG427" i="12"/>
  <c r="EH427" i="12"/>
  <c r="EI427" i="12"/>
  <c r="EJ427" i="12"/>
  <c r="EK427" i="12"/>
  <c r="EL427" i="12"/>
  <c r="EM427" i="12"/>
  <c r="EN427" i="12"/>
  <c r="EO427" i="12"/>
  <c r="EP427" i="12"/>
  <c r="EQ427" i="12"/>
  <c r="ER427" i="12"/>
  <c r="ES427" i="12"/>
  <c r="ET427" i="12"/>
  <c r="EU427" i="12"/>
  <c r="EV427" i="12"/>
  <c r="EW427" i="12"/>
  <c r="EX427" i="12"/>
  <c r="EY427" i="12"/>
  <c r="EZ427" i="12"/>
  <c r="FA427" i="12"/>
  <c r="FB427" i="12"/>
  <c r="FC427" i="12"/>
  <c r="FD427" i="12"/>
  <c r="FE427" i="12"/>
  <c r="FF427" i="12"/>
  <c r="FG427" i="12"/>
  <c r="FH427" i="12"/>
  <c r="FI427" i="12"/>
  <c r="FJ427" i="12"/>
  <c r="FK427" i="12"/>
  <c r="FL427" i="12"/>
  <c r="FM427" i="12"/>
  <c r="FN427" i="12"/>
  <c r="FO427" i="12"/>
  <c r="FP427" i="12"/>
  <c r="FQ427" i="12"/>
  <c r="FR427" i="12"/>
  <c r="FS427" i="12"/>
  <c r="FT427" i="12"/>
  <c r="FU427" i="12"/>
  <c r="FV427" i="12"/>
  <c r="FW427" i="12"/>
  <c r="FX427" i="12"/>
  <c r="FY427" i="12"/>
  <c r="FZ427" i="12"/>
  <c r="GA427" i="12"/>
  <c r="GB427" i="12"/>
  <c r="GC427" i="12"/>
  <c r="GD427" i="12"/>
  <c r="GE427" i="12"/>
  <c r="GF427" i="12"/>
  <c r="GG427" i="12"/>
  <c r="GH427" i="12"/>
  <c r="GI427" i="12"/>
  <c r="GJ427" i="12"/>
  <c r="GK427" i="12"/>
  <c r="GL427" i="12"/>
  <c r="GM427" i="12"/>
  <c r="GN427" i="12"/>
  <c r="GO427" i="12"/>
  <c r="GP427" i="12"/>
  <c r="GQ427" i="12"/>
  <c r="GR427" i="12"/>
  <c r="GS427" i="12"/>
  <c r="GT427" i="12"/>
  <c r="GU427" i="12"/>
  <c r="GV427" i="12"/>
  <c r="GW427" i="12"/>
  <c r="GX427" i="12"/>
  <c r="GY427" i="12"/>
  <c r="GZ427" i="12"/>
  <c r="HA427" i="12"/>
  <c r="HB427" i="12"/>
  <c r="HC427" i="12"/>
  <c r="HD427" i="12"/>
  <c r="HE427" i="12"/>
  <c r="HF427" i="12"/>
  <c r="HG427" i="12"/>
  <c r="HH427" i="12"/>
  <c r="HI427" i="12"/>
  <c r="HJ427" i="12"/>
  <c r="HK427" i="12"/>
  <c r="HL427" i="12"/>
  <c r="HM427" i="12"/>
  <c r="HN427" i="12"/>
  <c r="HO427" i="12"/>
  <c r="HP427" i="12"/>
  <c r="HQ427" i="12"/>
  <c r="HR427" i="12"/>
  <c r="HS427" i="12"/>
  <c r="HT427" i="12"/>
  <c r="HU427" i="12"/>
  <c r="HV427" i="12"/>
  <c r="HW427" i="12"/>
  <c r="HX427" i="12"/>
  <c r="HY427" i="12"/>
  <c r="HZ427" i="12"/>
  <c r="IA427" i="12"/>
  <c r="IB427" i="12"/>
  <c r="IC427" i="12"/>
  <c r="ID427" i="12"/>
  <c r="IE427" i="12"/>
  <c r="IF427" i="12"/>
  <c r="IG427" i="12"/>
  <c r="IH427" i="12"/>
  <c r="II427" i="12"/>
  <c r="IJ427" i="12"/>
  <c r="IK427" i="12"/>
  <c r="IL427" i="12"/>
  <c r="IM427" i="12"/>
  <c r="IN427" i="12"/>
  <c r="IO427" i="12"/>
  <c r="IP427" i="12"/>
  <c r="IQ427" i="12"/>
  <c r="IR427" i="12"/>
  <c r="IS427" i="12"/>
  <c r="IT427" i="12"/>
  <c r="IU427" i="12"/>
  <c r="IV427" i="12"/>
  <c r="F428" i="12"/>
  <c r="G428" i="12"/>
  <c r="H428" i="12"/>
  <c r="I428" i="12"/>
  <c r="J428" i="12"/>
  <c r="K428" i="12"/>
  <c r="L428" i="12"/>
  <c r="M428" i="12"/>
  <c r="N428" i="12"/>
  <c r="O428" i="12"/>
  <c r="P428" i="12"/>
  <c r="Q428" i="12"/>
  <c r="R428" i="12"/>
  <c r="S428" i="12"/>
  <c r="T428" i="12"/>
  <c r="U428" i="12"/>
  <c r="V428" i="12"/>
  <c r="W428" i="12"/>
  <c r="X428" i="12"/>
  <c r="Y428" i="12"/>
  <c r="Z428" i="12"/>
  <c r="AA428" i="12"/>
  <c r="AB428" i="12"/>
  <c r="AC428" i="12"/>
  <c r="AD428" i="12"/>
  <c r="AE428" i="12"/>
  <c r="AF428" i="12"/>
  <c r="AG428" i="12"/>
  <c r="AH428" i="12"/>
  <c r="AI428" i="12"/>
  <c r="AJ428" i="12"/>
  <c r="AK428" i="12"/>
  <c r="AL428" i="12"/>
  <c r="AM428" i="12"/>
  <c r="AN428" i="12"/>
  <c r="AO428" i="12"/>
  <c r="AP428" i="12"/>
  <c r="AQ428" i="12"/>
  <c r="AR428" i="12"/>
  <c r="AS428" i="12"/>
  <c r="AT428" i="12"/>
  <c r="AU428" i="12"/>
  <c r="AV428" i="12"/>
  <c r="AW428" i="12"/>
  <c r="AX428" i="12"/>
  <c r="AY428" i="12"/>
  <c r="AZ428" i="12"/>
  <c r="BA428" i="12"/>
  <c r="BB428" i="12"/>
  <c r="BC428" i="12"/>
  <c r="BD428" i="12"/>
  <c r="BE428" i="12"/>
  <c r="BF428" i="12"/>
  <c r="BG428" i="12"/>
  <c r="BH428" i="12"/>
  <c r="BI428" i="12"/>
  <c r="BJ428" i="12"/>
  <c r="BK428" i="12"/>
  <c r="BL428" i="12"/>
  <c r="BM428" i="12"/>
  <c r="BN428" i="12"/>
  <c r="BO428" i="12"/>
  <c r="BP428" i="12"/>
  <c r="BQ428" i="12"/>
  <c r="BR428" i="12"/>
  <c r="BS428" i="12"/>
  <c r="BT428" i="12"/>
  <c r="BU428" i="12"/>
  <c r="BV428" i="12"/>
  <c r="BW428" i="12"/>
  <c r="BX428" i="12"/>
  <c r="BY428" i="12"/>
  <c r="BZ428" i="12"/>
  <c r="CA428" i="12"/>
  <c r="CB428" i="12"/>
  <c r="CC428" i="12"/>
  <c r="CD428" i="12"/>
  <c r="CE428" i="12"/>
  <c r="CF428" i="12"/>
  <c r="CG428" i="12"/>
  <c r="CH428" i="12"/>
  <c r="CI428" i="12"/>
  <c r="CJ428" i="12"/>
  <c r="CK428" i="12"/>
  <c r="CL428" i="12"/>
  <c r="CM428" i="12"/>
  <c r="CN428" i="12"/>
  <c r="CO428" i="12"/>
  <c r="CP428" i="12"/>
  <c r="CQ428" i="12"/>
  <c r="CR428" i="12"/>
  <c r="CS428" i="12"/>
  <c r="CT428" i="12"/>
  <c r="CU428" i="12"/>
  <c r="CV428" i="12"/>
  <c r="CW428" i="12"/>
  <c r="CX428" i="12"/>
  <c r="CY428" i="12"/>
  <c r="CZ428" i="12"/>
  <c r="DA428" i="12"/>
  <c r="DB428" i="12"/>
  <c r="DC428" i="12"/>
  <c r="DD428" i="12"/>
  <c r="DE428" i="12"/>
  <c r="DF428" i="12"/>
  <c r="DG428" i="12"/>
  <c r="DH428" i="12"/>
  <c r="DI428" i="12"/>
  <c r="DJ428" i="12"/>
  <c r="DK428" i="12"/>
  <c r="DL428" i="12"/>
  <c r="DM428" i="12"/>
  <c r="DN428" i="12"/>
  <c r="DO428" i="12"/>
  <c r="DP428" i="12"/>
  <c r="DQ428" i="12"/>
  <c r="DR428" i="12"/>
  <c r="DS428" i="12"/>
  <c r="DT428" i="12"/>
  <c r="DU428" i="12"/>
  <c r="DV428" i="12"/>
  <c r="DW428" i="12"/>
  <c r="DX428" i="12"/>
  <c r="DY428" i="12"/>
  <c r="DZ428" i="12"/>
  <c r="EA428" i="12"/>
  <c r="EB428" i="12"/>
  <c r="EC428" i="12"/>
  <c r="ED428" i="12"/>
  <c r="EE428" i="12"/>
  <c r="EF428" i="12"/>
  <c r="EG428" i="12"/>
  <c r="EH428" i="12"/>
  <c r="EI428" i="12"/>
  <c r="EJ428" i="12"/>
  <c r="EK428" i="12"/>
  <c r="EL428" i="12"/>
  <c r="EM428" i="12"/>
  <c r="EN428" i="12"/>
  <c r="EO428" i="12"/>
  <c r="EP428" i="12"/>
  <c r="EQ428" i="12"/>
  <c r="ER428" i="12"/>
  <c r="ES428" i="12"/>
  <c r="ET428" i="12"/>
  <c r="EU428" i="12"/>
  <c r="EV428" i="12"/>
  <c r="EW428" i="12"/>
  <c r="EX428" i="12"/>
  <c r="EY428" i="12"/>
  <c r="EZ428" i="12"/>
  <c r="FA428" i="12"/>
  <c r="FB428" i="12"/>
  <c r="FC428" i="12"/>
  <c r="FD428" i="12"/>
  <c r="FE428" i="12"/>
  <c r="FF428" i="12"/>
  <c r="FG428" i="12"/>
  <c r="FH428" i="12"/>
  <c r="FI428" i="12"/>
  <c r="FJ428" i="12"/>
  <c r="FK428" i="12"/>
  <c r="FL428" i="12"/>
  <c r="FM428" i="12"/>
  <c r="FN428" i="12"/>
  <c r="FO428" i="12"/>
  <c r="FP428" i="12"/>
  <c r="FQ428" i="12"/>
  <c r="FR428" i="12"/>
  <c r="FS428" i="12"/>
  <c r="FT428" i="12"/>
  <c r="FU428" i="12"/>
  <c r="FV428" i="12"/>
  <c r="FW428" i="12"/>
  <c r="FX428" i="12"/>
  <c r="FY428" i="12"/>
  <c r="FZ428" i="12"/>
  <c r="GA428" i="12"/>
  <c r="GB428" i="12"/>
  <c r="GC428" i="12"/>
  <c r="GD428" i="12"/>
  <c r="GE428" i="12"/>
  <c r="GF428" i="12"/>
  <c r="GG428" i="12"/>
  <c r="GH428" i="12"/>
  <c r="GI428" i="12"/>
  <c r="GJ428" i="12"/>
  <c r="GK428" i="12"/>
  <c r="GL428" i="12"/>
  <c r="GM428" i="12"/>
  <c r="GN428" i="12"/>
  <c r="GO428" i="12"/>
  <c r="GP428" i="12"/>
  <c r="GQ428" i="12"/>
  <c r="GR428" i="12"/>
  <c r="GS428" i="12"/>
  <c r="GT428" i="12"/>
  <c r="GU428" i="12"/>
  <c r="GV428" i="12"/>
  <c r="GW428" i="12"/>
  <c r="GX428" i="12"/>
  <c r="GY428" i="12"/>
  <c r="GZ428" i="12"/>
  <c r="HA428" i="12"/>
  <c r="HB428" i="12"/>
  <c r="HC428" i="12"/>
  <c r="HD428" i="12"/>
  <c r="HE428" i="12"/>
  <c r="HF428" i="12"/>
  <c r="HG428" i="12"/>
  <c r="HH428" i="12"/>
  <c r="HI428" i="12"/>
  <c r="HJ428" i="12"/>
  <c r="HK428" i="12"/>
  <c r="HL428" i="12"/>
  <c r="HM428" i="12"/>
  <c r="HN428" i="12"/>
  <c r="HO428" i="12"/>
  <c r="HP428" i="12"/>
  <c r="HQ428" i="12"/>
  <c r="HR428" i="12"/>
  <c r="HS428" i="12"/>
  <c r="HT428" i="12"/>
  <c r="HU428" i="12"/>
  <c r="HV428" i="12"/>
  <c r="HW428" i="12"/>
  <c r="HX428" i="12"/>
  <c r="HY428" i="12"/>
  <c r="HZ428" i="12"/>
  <c r="IA428" i="12"/>
  <c r="IB428" i="12"/>
  <c r="IC428" i="12"/>
  <c r="ID428" i="12"/>
  <c r="IE428" i="12"/>
  <c r="IF428" i="12"/>
  <c r="IG428" i="12"/>
  <c r="IH428" i="12"/>
  <c r="II428" i="12"/>
  <c r="IJ428" i="12"/>
  <c r="IK428" i="12"/>
  <c r="IL428" i="12"/>
  <c r="IM428" i="12"/>
  <c r="IN428" i="12"/>
  <c r="IO428" i="12"/>
  <c r="IP428" i="12"/>
  <c r="IQ428" i="12"/>
  <c r="IR428" i="12"/>
  <c r="IS428" i="12"/>
  <c r="IT428" i="12"/>
  <c r="IU428" i="12"/>
  <c r="IV428" i="12"/>
  <c r="F429" i="12"/>
  <c r="G429" i="12"/>
  <c r="H429" i="12"/>
  <c r="I429" i="12"/>
  <c r="J429" i="12"/>
  <c r="K429" i="12"/>
  <c r="L429" i="12"/>
  <c r="M429" i="12"/>
  <c r="N429" i="12"/>
  <c r="O429" i="12"/>
  <c r="P429" i="12"/>
  <c r="Q429" i="12"/>
  <c r="R429" i="12"/>
  <c r="S429" i="12"/>
  <c r="T429" i="12"/>
  <c r="U429" i="12"/>
  <c r="V429" i="12"/>
  <c r="W429" i="12"/>
  <c r="X429" i="12"/>
  <c r="Y429" i="12"/>
  <c r="Z429" i="12"/>
  <c r="AA429" i="12"/>
  <c r="AB429" i="12"/>
  <c r="AC429" i="12"/>
  <c r="AD429" i="12"/>
  <c r="AE429" i="12"/>
  <c r="AF429" i="12"/>
  <c r="AG429" i="12"/>
  <c r="AH429" i="12"/>
  <c r="AI429" i="12"/>
  <c r="AJ429" i="12"/>
  <c r="AK429" i="12"/>
  <c r="AL429" i="12"/>
  <c r="AM429" i="12"/>
  <c r="AN429" i="12"/>
  <c r="AO429" i="12"/>
  <c r="AP429" i="12"/>
  <c r="AQ429" i="12"/>
  <c r="AR429" i="12"/>
  <c r="AS429" i="12"/>
  <c r="AT429" i="12"/>
  <c r="AU429" i="12"/>
  <c r="AV429" i="12"/>
  <c r="AW429" i="12"/>
  <c r="AX429" i="12"/>
  <c r="AY429" i="12"/>
  <c r="AZ429" i="12"/>
  <c r="BA429" i="12"/>
  <c r="BB429" i="12"/>
  <c r="BC429" i="12"/>
  <c r="BD429" i="12"/>
  <c r="BE429" i="12"/>
  <c r="BF429" i="12"/>
  <c r="BG429" i="12"/>
  <c r="BH429" i="12"/>
  <c r="BI429" i="12"/>
  <c r="BJ429" i="12"/>
  <c r="BK429" i="12"/>
  <c r="BL429" i="12"/>
  <c r="BM429" i="12"/>
  <c r="BN429" i="12"/>
  <c r="BO429" i="12"/>
  <c r="BP429" i="12"/>
  <c r="BQ429" i="12"/>
  <c r="BR429" i="12"/>
  <c r="BS429" i="12"/>
  <c r="BT429" i="12"/>
  <c r="BU429" i="12"/>
  <c r="BV429" i="12"/>
  <c r="BW429" i="12"/>
  <c r="BX429" i="12"/>
  <c r="BY429" i="12"/>
  <c r="BZ429" i="12"/>
  <c r="CA429" i="12"/>
  <c r="CB429" i="12"/>
  <c r="CC429" i="12"/>
  <c r="CD429" i="12"/>
  <c r="CE429" i="12"/>
  <c r="CF429" i="12"/>
  <c r="CG429" i="12"/>
  <c r="CH429" i="12"/>
  <c r="CI429" i="12"/>
  <c r="CJ429" i="12"/>
  <c r="CK429" i="12"/>
  <c r="CL429" i="12"/>
  <c r="CM429" i="12"/>
  <c r="CN429" i="12"/>
  <c r="CO429" i="12"/>
  <c r="CP429" i="12"/>
  <c r="CQ429" i="12"/>
  <c r="CR429" i="12"/>
  <c r="CS429" i="12"/>
  <c r="CT429" i="12"/>
  <c r="CU429" i="12"/>
  <c r="CV429" i="12"/>
  <c r="CW429" i="12"/>
  <c r="CX429" i="12"/>
  <c r="CY429" i="12"/>
  <c r="CZ429" i="12"/>
  <c r="DA429" i="12"/>
  <c r="DB429" i="12"/>
  <c r="DC429" i="12"/>
  <c r="DD429" i="12"/>
  <c r="DE429" i="12"/>
  <c r="DF429" i="12"/>
  <c r="DG429" i="12"/>
  <c r="DH429" i="12"/>
  <c r="DI429" i="12"/>
  <c r="DJ429" i="12"/>
  <c r="DK429" i="12"/>
  <c r="DL429" i="12"/>
  <c r="DM429" i="12"/>
  <c r="DN429" i="12"/>
  <c r="DO429" i="12"/>
  <c r="DP429" i="12"/>
  <c r="DQ429" i="12"/>
  <c r="DR429" i="12"/>
  <c r="DS429" i="12"/>
  <c r="DT429" i="12"/>
  <c r="DU429" i="12"/>
  <c r="DV429" i="12"/>
  <c r="DW429" i="12"/>
  <c r="DX429" i="12"/>
  <c r="DY429" i="12"/>
  <c r="DZ429" i="12"/>
  <c r="EA429" i="12"/>
  <c r="EB429" i="12"/>
  <c r="EC429" i="12"/>
  <c r="ED429" i="12"/>
  <c r="EE429" i="12"/>
  <c r="EF429" i="12"/>
  <c r="EG429" i="12"/>
  <c r="EH429" i="12"/>
  <c r="EI429" i="12"/>
  <c r="EJ429" i="12"/>
  <c r="EK429" i="12"/>
  <c r="EL429" i="12"/>
  <c r="EM429" i="12"/>
  <c r="EN429" i="12"/>
  <c r="EO429" i="12"/>
  <c r="EP429" i="12"/>
  <c r="EQ429" i="12"/>
  <c r="ER429" i="12"/>
  <c r="ES429" i="12"/>
  <c r="ET429" i="12"/>
  <c r="EU429" i="12"/>
  <c r="EV429" i="12"/>
  <c r="EW429" i="12"/>
  <c r="EX429" i="12"/>
  <c r="EY429" i="12"/>
  <c r="EZ429" i="12"/>
  <c r="FA429" i="12"/>
  <c r="FB429" i="12"/>
  <c r="FC429" i="12"/>
  <c r="FD429" i="12"/>
  <c r="FE429" i="12"/>
  <c r="FF429" i="12"/>
  <c r="FG429" i="12"/>
  <c r="FH429" i="12"/>
  <c r="FI429" i="12"/>
  <c r="FJ429" i="12"/>
  <c r="FK429" i="12"/>
  <c r="FL429" i="12"/>
  <c r="FM429" i="12"/>
  <c r="FN429" i="12"/>
  <c r="FO429" i="12"/>
  <c r="FP429" i="12"/>
  <c r="FQ429" i="12"/>
  <c r="FR429" i="12"/>
  <c r="FS429" i="12"/>
  <c r="FT429" i="12"/>
  <c r="FU429" i="12"/>
  <c r="FV429" i="12"/>
  <c r="FW429" i="12"/>
  <c r="FX429" i="12"/>
  <c r="FY429" i="12"/>
  <c r="FZ429" i="12"/>
  <c r="GA429" i="12"/>
  <c r="GB429" i="12"/>
  <c r="GC429" i="12"/>
  <c r="GD429" i="12"/>
  <c r="GE429" i="12"/>
  <c r="GF429" i="12"/>
  <c r="GG429" i="12"/>
  <c r="GH429" i="12"/>
  <c r="GI429" i="12"/>
  <c r="GJ429" i="12"/>
  <c r="GK429" i="12"/>
  <c r="GL429" i="12"/>
  <c r="GM429" i="12"/>
  <c r="GN429" i="12"/>
  <c r="GO429" i="12"/>
  <c r="GP429" i="12"/>
  <c r="GQ429" i="12"/>
  <c r="GR429" i="12"/>
  <c r="GS429" i="12"/>
  <c r="GT429" i="12"/>
  <c r="GU429" i="12"/>
  <c r="GV429" i="12"/>
  <c r="GW429" i="12"/>
  <c r="GX429" i="12"/>
  <c r="GY429" i="12"/>
  <c r="GZ429" i="12"/>
  <c r="HA429" i="12"/>
  <c r="HB429" i="12"/>
  <c r="HC429" i="12"/>
  <c r="HD429" i="12"/>
  <c r="HE429" i="12"/>
  <c r="HF429" i="12"/>
  <c r="HG429" i="12"/>
  <c r="HH429" i="12"/>
  <c r="HI429" i="12"/>
  <c r="HJ429" i="12"/>
  <c r="HK429" i="12"/>
  <c r="HL429" i="12"/>
  <c r="HM429" i="12"/>
  <c r="HN429" i="12"/>
  <c r="HO429" i="12"/>
  <c r="HP429" i="12"/>
  <c r="HQ429" i="12"/>
  <c r="HR429" i="12"/>
  <c r="HS429" i="12"/>
  <c r="HT429" i="12"/>
  <c r="HU429" i="12"/>
  <c r="HV429" i="12"/>
  <c r="HW429" i="12"/>
  <c r="HX429" i="12"/>
  <c r="HY429" i="12"/>
  <c r="HZ429" i="12"/>
  <c r="IA429" i="12"/>
  <c r="IB429" i="12"/>
  <c r="IC429" i="12"/>
  <c r="ID429" i="12"/>
  <c r="IE429" i="12"/>
  <c r="IF429" i="12"/>
  <c r="IG429" i="12"/>
  <c r="IH429" i="12"/>
  <c r="II429" i="12"/>
  <c r="IJ429" i="12"/>
  <c r="IK429" i="12"/>
  <c r="IL429" i="12"/>
  <c r="IM429" i="12"/>
  <c r="IN429" i="12"/>
  <c r="IO429" i="12"/>
  <c r="IP429" i="12"/>
  <c r="IQ429" i="12"/>
  <c r="IR429" i="12"/>
  <c r="IS429" i="12"/>
  <c r="IT429" i="12"/>
  <c r="IU429" i="12"/>
  <c r="IV429" i="12"/>
  <c r="F430" i="12"/>
  <c r="G430" i="12"/>
  <c r="H430" i="12"/>
  <c r="I430" i="12"/>
  <c r="J430" i="12"/>
  <c r="K430" i="12"/>
  <c r="L430" i="12"/>
  <c r="M430" i="12"/>
  <c r="N430" i="12"/>
  <c r="O430" i="12"/>
  <c r="P430" i="12"/>
  <c r="Q430" i="12"/>
  <c r="R430" i="12"/>
  <c r="S430" i="12"/>
  <c r="T430" i="12"/>
  <c r="U430" i="12"/>
  <c r="V430" i="12"/>
  <c r="W430" i="12"/>
  <c r="X430" i="12"/>
  <c r="Y430" i="12"/>
  <c r="Z430" i="12"/>
  <c r="AA430" i="12"/>
  <c r="AB430" i="12"/>
  <c r="AC430" i="12"/>
  <c r="AD430" i="12"/>
  <c r="AE430" i="12"/>
  <c r="AF430" i="12"/>
  <c r="AG430" i="12"/>
  <c r="AH430" i="12"/>
  <c r="AI430" i="12"/>
  <c r="AJ430" i="12"/>
  <c r="AK430" i="12"/>
  <c r="AL430" i="12"/>
  <c r="AM430" i="12"/>
  <c r="AN430" i="12"/>
  <c r="AO430" i="12"/>
  <c r="AP430" i="12"/>
  <c r="AQ430" i="12"/>
  <c r="AR430" i="12"/>
  <c r="AS430" i="12"/>
  <c r="AT430" i="12"/>
  <c r="AU430" i="12"/>
  <c r="AV430" i="12"/>
  <c r="AW430" i="12"/>
  <c r="AX430" i="12"/>
  <c r="AY430" i="12"/>
  <c r="AZ430" i="12"/>
  <c r="BA430" i="12"/>
  <c r="BB430" i="12"/>
  <c r="BC430" i="12"/>
  <c r="BD430" i="12"/>
  <c r="BE430" i="12"/>
  <c r="BF430" i="12"/>
  <c r="BG430" i="12"/>
  <c r="BH430" i="12"/>
  <c r="BI430" i="12"/>
  <c r="BJ430" i="12"/>
  <c r="BK430" i="12"/>
  <c r="BL430" i="12"/>
  <c r="BM430" i="12"/>
  <c r="BN430" i="12"/>
  <c r="BO430" i="12"/>
  <c r="BP430" i="12"/>
  <c r="BQ430" i="12"/>
  <c r="BR430" i="12"/>
  <c r="BS430" i="12"/>
  <c r="BT430" i="12"/>
  <c r="BU430" i="12"/>
  <c r="BV430" i="12"/>
  <c r="BW430" i="12"/>
  <c r="BX430" i="12"/>
  <c r="BY430" i="12"/>
  <c r="BZ430" i="12"/>
  <c r="CA430" i="12"/>
  <c r="CB430" i="12"/>
  <c r="CC430" i="12"/>
  <c r="CD430" i="12"/>
  <c r="CE430" i="12"/>
  <c r="CF430" i="12"/>
  <c r="CG430" i="12"/>
  <c r="CH430" i="12"/>
  <c r="CI430" i="12"/>
  <c r="CJ430" i="12"/>
  <c r="CK430" i="12"/>
  <c r="CL430" i="12"/>
  <c r="CM430" i="12"/>
  <c r="CN430" i="12"/>
  <c r="CO430" i="12"/>
  <c r="CP430" i="12"/>
  <c r="CQ430" i="12"/>
  <c r="CR430" i="12"/>
  <c r="CS430" i="12"/>
  <c r="CT430" i="12"/>
  <c r="CU430" i="12"/>
  <c r="CV430" i="12"/>
  <c r="CW430" i="12"/>
  <c r="CX430" i="12"/>
  <c r="CY430" i="12"/>
  <c r="CZ430" i="12"/>
  <c r="DA430" i="12"/>
  <c r="DB430" i="12"/>
  <c r="DC430" i="12"/>
  <c r="DD430" i="12"/>
  <c r="DE430" i="12"/>
  <c r="DF430" i="12"/>
  <c r="DG430" i="12"/>
  <c r="DH430" i="12"/>
  <c r="DI430" i="12"/>
  <c r="DJ430" i="12"/>
  <c r="DK430" i="12"/>
  <c r="DL430" i="12"/>
  <c r="DM430" i="12"/>
  <c r="DN430" i="12"/>
  <c r="DO430" i="12"/>
  <c r="DP430" i="12"/>
  <c r="DQ430" i="12"/>
  <c r="DR430" i="12"/>
  <c r="DS430" i="12"/>
  <c r="DT430" i="12"/>
  <c r="DU430" i="12"/>
  <c r="DV430" i="12"/>
  <c r="DW430" i="12"/>
  <c r="DX430" i="12"/>
  <c r="DY430" i="12"/>
  <c r="DZ430" i="12"/>
  <c r="EA430" i="12"/>
  <c r="EB430" i="12"/>
  <c r="EC430" i="12"/>
  <c r="ED430" i="12"/>
  <c r="EE430" i="12"/>
  <c r="EF430" i="12"/>
  <c r="EG430" i="12"/>
  <c r="EH430" i="12"/>
  <c r="EI430" i="12"/>
  <c r="EJ430" i="12"/>
  <c r="EK430" i="12"/>
  <c r="EL430" i="12"/>
  <c r="EM430" i="12"/>
  <c r="EN430" i="12"/>
  <c r="EO430" i="12"/>
  <c r="EP430" i="12"/>
  <c r="EQ430" i="12"/>
  <c r="ER430" i="12"/>
  <c r="ES430" i="12"/>
  <c r="ET430" i="12"/>
  <c r="EU430" i="12"/>
  <c r="EV430" i="12"/>
  <c r="EW430" i="12"/>
  <c r="EX430" i="12"/>
  <c r="EY430" i="12"/>
  <c r="EZ430" i="12"/>
  <c r="FA430" i="12"/>
  <c r="FB430" i="12"/>
  <c r="FC430" i="12"/>
  <c r="FD430" i="12"/>
  <c r="FE430" i="12"/>
  <c r="FF430" i="12"/>
  <c r="FG430" i="12"/>
  <c r="FH430" i="12"/>
  <c r="FI430" i="12"/>
  <c r="FJ430" i="12"/>
  <c r="FK430" i="12"/>
  <c r="FL430" i="12"/>
  <c r="FM430" i="12"/>
  <c r="FN430" i="12"/>
  <c r="FO430" i="12"/>
  <c r="FP430" i="12"/>
  <c r="FQ430" i="12"/>
  <c r="FR430" i="12"/>
  <c r="FS430" i="12"/>
  <c r="FT430" i="12"/>
  <c r="FU430" i="12"/>
  <c r="FV430" i="12"/>
  <c r="FW430" i="12"/>
  <c r="FX430" i="12"/>
  <c r="FY430" i="12"/>
  <c r="FZ430" i="12"/>
  <c r="GA430" i="12"/>
  <c r="GB430" i="12"/>
  <c r="GC430" i="12"/>
  <c r="GD430" i="12"/>
  <c r="GE430" i="12"/>
  <c r="GF430" i="12"/>
  <c r="GG430" i="12"/>
  <c r="GH430" i="12"/>
  <c r="GI430" i="12"/>
  <c r="GJ430" i="12"/>
  <c r="GK430" i="12"/>
  <c r="GL430" i="12"/>
  <c r="GM430" i="12"/>
  <c r="GN430" i="12"/>
  <c r="GO430" i="12"/>
  <c r="GP430" i="12"/>
  <c r="GQ430" i="12"/>
  <c r="GR430" i="12"/>
  <c r="GS430" i="12"/>
  <c r="GT430" i="12"/>
  <c r="GU430" i="12"/>
  <c r="GV430" i="12"/>
  <c r="GW430" i="12"/>
  <c r="GX430" i="12"/>
  <c r="GY430" i="12"/>
  <c r="GZ430" i="12"/>
  <c r="HA430" i="12"/>
  <c r="HB430" i="12"/>
  <c r="HC430" i="12"/>
  <c r="HD430" i="12"/>
  <c r="HE430" i="12"/>
  <c r="HF430" i="12"/>
  <c r="HG430" i="12"/>
  <c r="HH430" i="12"/>
  <c r="HI430" i="12"/>
  <c r="HJ430" i="12"/>
  <c r="HK430" i="12"/>
  <c r="HL430" i="12"/>
  <c r="HM430" i="12"/>
  <c r="HN430" i="12"/>
  <c r="HO430" i="12"/>
  <c r="HP430" i="12"/>
  <c r="HQ430" i="12"/>
  <c r="HR430" i="12"/>
  <c r="HS430" i="12"/>
  <c r="HT430" i="12"/>
  <c r="HU430" i="12"/>
  <c r="HV430" i="12"/>
  <c r="HW430" i="12"/>
  <c r="HX430" i="12"/>
  <c r="HY430" i="12"/>
  <c r="HZ430" i="12"/>
  <c r="IA430" i="12"/>
  <c r="IB430" i="12"/>
  <c r="IC430" i="12"/>
  <c r="ID430" i="12"/>
  <c r="IE430" i="12"/>
  <c r="IF430" i="12"/>
  <c r="IG430" i="12"/>
  <c r="IH430" i="12"/>
  <c r="II430" i="12"/>
  <c r="IJ430" i="12"/>
  <c r="IK430" i="12"/>
  <c r="IL430" i="12"/>
  <c r="IM430" i="12"/>
  <c r="IN430" i="12"/>
  <c r="IO430" i="12"/>
  <c r="IP430" i="12"/>
  <c r="IQ430" i="12"/>
  <c r="IR430" i="12"/>
  <c r="IS430" i="12"/>
  <c r="IT430" i="12"/>
  <c r="IU430" i="12"/>
  <c r="IV430" i="12"/>
  <c r="F431" i="12"/>
  <c r="G431" i="12"/>
  <c r="H431" i="12"/>
  <c r="I431" i="12"/>
  <c r="J431" i="12"/>
  <c r="K431" i="12"/>
  <c r="L431" i="12"/>
  <c r="M431" i="12"/>
  <c r="N431" i="12"/>
  <c r="O431" i="12"/>
  <c r="P431" i="12"/>
  <c r="Q431" i="12"/>
  <c r="R431" i="12"/>
  <c r="S431" i="12"/>
  <c r="T431" i="12"/>
  <c r="U431" i="12"/>
  <c r="V431" i="12"/>
  <c r="W431" i="12"/>
  <c r="X431" i="12"/>
  <c r="Y431" i="12"/>
  <c r="Z431" i="12"/>
  <c r="AA431" i="12"/>
  <c r="AB431" i="12"/>
  <c r="AC431" i="12"/>
  <c r="AD431" i="12"/>
  <c r="AE431" i="12"/>
  <c r="AF431" i="12"/>
  <c r="AG431" i="12"/>
  <c r="AH431" i="12"/>
  <c r="AI431" i="12"/>
  <c r="AJ431" i="12"/>
  <c r="AK431" i="12"/>
  <c r="AL431" i="12"/>
  <c r="AM431" i="12"/>
  <c r="AN431" i="12"/>
  <c r="AO431" i="12"/>
  <c r="AP431" i="12"/>
  <c r="AQ431" i="12"/>
  <c r="AR431" i="12"/>
  <c r="AS431" i="12"/>
  <c r="AT431" i="12"/>
  <c r="AU431" i="12"/>
  <c r="AV431" i="12"/>
  <c r="AW431" i="12"/>
  <c r="AX431" i="12"/>
  <c r="AY431" i="12"/>
  <c r="AZ431" i="12"/>
  <c r="BA431" i="12"/>
  <c r="BB431" i="12"/>
  <c r="BC431" i="12"/>
  <c r="BD431" i="12"/>
  <c r="BE431" i="12"/>
  <c r="BF431" i="12"/>
  <c r="BG431" i="12"/>
  <c r="BH431" i="12"/>
  <c r="BI431" i="12"/>
  <c r="BJ431" i="12"/>
  <c r="BK431" i="12"/>
  <c r="BL431" i="12"/>
  <c r="BM431" i="12"/>
  <c r="BN431" i="12"/>
  <c r="BO431" i="12"/>
  <c r="BP431" i="12"/>
  <c r="BQ431" i="12"/>
  <c r="BR431" i="12"/>
  <c r="BS431" i="12"/>
  <c r="BT431" i="12"/>
  <c r="BU431" i="12"/>
  <c r="BV431" i="12"/>
  <c r="BW431" i="12"/>
  <c r="BX431" i="12"/>
  <c r="BY431" i="12"/>
  <c r="BZ431" i="12"/>
  <c r="CA431" i="12"/>
  <c r="CB431" i="12"/>
  <c r="CC431" i="12"/>
  <c r="CD431" i="12"/>
  <c r="CE431" i="12"/>
  <c r="CF431" i="12"/>
  <c r="CG431" i="12"/>
  <c r="CH431" i="12"/>
  <c r="CI431" i="12"/>
  <c r="CJ431" i="12"/>
  <c r="CK431" i="12"/>
  <c r="CL431" i="12"/>
  <c r="CM431" i="12"/>
  <c r="CN431" i="12"/>
  <c r="CO431" i="12"/>
  <c r="CP431" i="12"/>
  <c r="CQ431" i="12"/>
  <c r="CR431" i="12"/>
  <c r="CS431" i="12"/>
  <c r="CT431" i="12"/>
  <c r="CU431" i="12"/>
  <c r="CV431" i="12"/>
  <c r="CW431" i="12"/>
  <c r="CX431" i="12"/>
  <c r="CY431" i="12"/>
  <c r="CZ431" i="12"/>
  <c r="DA431" i="12"/>
  <c r="DB431" i="12"/>
  <c r="DC431" i="12"/>
  <c r="DD431" i="12"/>
  <c r="DE431" i="12"/>
  <c r="DF431" i="12"/>
  <c r="DG431" i="12"/>
  <c r="DH431" i="12"/>
  <c r="DI431" i="12"/>
  <c r="DJ431" i="12"/>
  <c r="DK431" i="12"/>
  <c r="DL431" i="12"/>
  <c r="DM431" i="12"/>
  <c r="DN431" i="12"/>
  <c r="DO431" i="12"/>
  <c r="DP431" i="12"/>
  <c r="DQ431" i="12"/>
  <c r="DR431" i="12"/>
  <c r="DS431" i="12"/>
  <c r="DT431" i="12"/>
  <c r="DU431" i="12"/>
  <c r="DV431" i="12"/>
  <c r="DW431" i="12"/>
  <c r="DX431" i="12"/>
  <c r="DY431" i="12"/>
  <c r="DZ431" i="12"/>
  <c r="EA431" i="12"/>
  <c r="EB431" i="12"/>
  <c r="EC431" i="12"/>
  <c r="ED431" i="12"/>
  <c r="EE431" i="12"/>
  <c r="EF431" i="12"/>
  <c r="EG431" i="12"/>
  <c r="EH431" i="12"/>
  <c r="EI431" i="12"/>
  <c r="EJ431" i="12"/>
  <c r="EK431" i="12"/>
  <c r="EL431" i="12"/>
  <c r="EM431" i="12"/>
  <c r="EN431" i="12"/>
  <c r="EO431" i="12"/>
  <c r="EP431" i="12"/>
  <c r="EQ431" i="12"/>
  <c r="ER431" i="12"/>
  <c r="ES431" i="12"/>
  <c r="ET431" i="12"/>
  <c r="EU431" i="12"/>
  <c r="EV431" i="12"/>
  <c r="EW431" i="12"/>
  <c r="EX431" i="12"/>
  <c r="EY431" i="12"/>
  <c r="EZ431" i="12"/>
  <c r="FA431" i="12"/>
  <c r="FB431" i="12"/>
  <c r="FC431" i="12"/>
  <c r="FD431" i="12"/>
  <c r="FE431" i="12"/>
  <c r="FF431" i="12"/>
  <c r="FG431" i="12"/>
  <c r="FH431" i="12"/>
  <c r="FI431" i="12"/>
  <c r="FJ431" i="12"/>
  <c r="FK431" i="12"/>
  <c r="FL431" i="12"/>
  <c r="FM431" i="12"/>
  <c r="FN431" i="12"/>
  <c r="FO431" i="12"/>
  <c r="FP431" i="12"/>
  <c r="FQ431" i="12"/>
  <c r="FR431" i="12"/>
  <c r="FS431" i="12"/>
  <c r="FT431" i="12"/>
  <c r="FU431" i="12"/>
  <c r="FV431" i="12"/>
  <c r="FW431" i="12"/>
  <c r="FX431" i="12"/>
  <c r="FY431" i="12"/>
  <c r="FZ431" i="12"/>
  <c r="GA431" i="12"/>
  <c r="GB431" i="12"/>
  <c r="GC431" i="12"/>
  <c r="GD431" i="12"/>
  <c r="GE431" i="12"/>
  <c r="GF431" i="12"/>
  <c r="GG431" i="12"/>
  <c r="GH431" i="12"/>
  <c r="GI431" i="12"/>
  <c r="GJ431" i="12"/>
  <c r="GK431" i="12"/>
  <c r="GL431" i="12"/>
  <c r="GM431" i="12"/>
  <c r="GN431" i="12"/>
  <c r="GO431" i="12"/>
  <c r="GP431" i="12"/>
  <c r="GQ431" i="12"/>
  <c r="GR431" i="12"/>
  <c r="GS431" i="12"/>
  <c r="GT431" i="12"/>
  <c r="GU431" i="12"/>
  <c r="GV431" i="12"/>
  <c r="GW431" i="12"/>
  <c r="GX431" i="12"/>
  <c r="GY431" i="12"/>
  <c r="GZ431" i="12"/>
  <c r="HA431" i="12"/>
  <c r="HB431" i="12"/>
  <c r="HC431" i="12"/>
  <c r="HD431" i="12"/>
  <c r="HE431" i="12"/>
  <c r="HF431" i="12"/>
  <c r="HG431" i="12"/>
  <c r="HH431" i="12"/>
  <c r="HI431" i="12"/>
  <c r="HJ431" i="12"/>
  <c r="HK431" i="12"/>
  <c r="HL431" i="12"/>
  <c r="HM431" i="12"/>
  <c r="HN431" i="12"/>
  <c r="HO431" i="12"/>
  <c r="HP431" i="12"/>
  <c r="HQ431" i="12"/>
  <c r="HR431" i="12"/>
  <c r="HS431" i="12"/>
  <c r="HT431" i="12"/>
  <c r="HU431" i="12"/>
  <c r="HV431" i="12"/>
  <c r="HW431" i="12"/>
  <c r="HX431" i="12"/>
  <c r="HY431" i="12"/>
  <c r="HZ431" i="12"/>
  <c r="IA431" i="12"/>
  <c r="IB431" i="12"/>
  <c r="IC431" i="12"/>
  <c r="ID431" i="12"/>
  <c r="IE431" i="12"/>
  <c r="IF431" i="12"/>
  <c r="IG431" i="12"/>
  <c r="IH431" i="12"/>
  <c r="II431" i="12"/>
  <c r="IJ431" i="12"/>
  <c r="IK431" i="12"/>
  <c r="IL431" i="12"/>
  <c r="IM431" i="12"/>
  <c r="IN431" i="12"/>
  <c r="IO431" i="12"/>
  <c r="IP431" i="12"/>
  <c r="IQ431" i="12"/>
  <c r="IR431" i="12"/>
  <c r="IS431" i="12"/>
  <c r="IT431" i="12"/>
  <c r="IU431" i="12"/>
  <c r="IV431" i="12"/>
  <c r="F432" i="12"/>
  <c r="G432" i="12"/>
  <c r="H432" i="12"/>
  <c r="I432" i="12"/>
  <c r="J432" i="12"/>
  <c r="K432" i="12"/>
  <c r="L432" i="12"/>
  <c r="M432" i="12"/>
  <c r="N432" i="12"/>
  <c r="O432" i="12"/>
  <c r="P432" i="12"/>
  <c r="Q432" i="12"/>
  <c r="R432" i="12"/>
  <c r="S432" i="12"/>
  <c r="T432" i="12"/>
  <c r="U432" i="12"/>
  <c r="V432" i="12"/>
  <c r="W432" i="12"/>
  <c r="X432" i="12"/>
  <c r="Y432" i="12"/>
  <c r="Z432" i="12"/>
  <c r="AA432" i="12"/>
  <c r="AB432" i="12"/>
  <c r="AC432" i="12"/>
  <c r="AD432" i="12"/>
  <c r="AE432" i="12"/>
  <c r="AF432" i="12"/>
  <c r="AG432" i="12"/>
  <c r="AH432" i="12"/>
  <c r="AI432" i="12"/>
  <c r="AJ432" i="12"/>
  <c r="AK432" i="12"/>
  <c r="AL432" i="12"/>
  <c r="AM432" i="12"/>
  <c r="AN432" i="12"/>
  <c r="AO432" i="12"/>
  <c r="AP432" i="12"/>
  <c r="AQ432" i="12"/>
  <c r="AR432" i="12"/>
  <c r="AS432" i="12"/>
  <c r="AT432" i="12"/>
  <c r="AU432" i="12"/>
  <c r="AV432" i="12"/>
  <c r="AW432" i="12"/>
  <c r="AX432" i="12"/>
  <c r="AY432" i="12"/>
  <c r="AZ432" i="12"/>
  <c r="BA432" i="12"/>
  <c r="BB432" i="12"/>
  <c r="BC432" i="12"/>
  <c r="BD432" i="12"/>
  <c r="BE432" i="12"/>
  <c r="BF432" i="12"/>
  <c r="BG432" i="12"/>
  <c r="BH432" i="12"/>
  <c r="BI432" i="12"/>
  <c r="BJ432" i="12"/>
  <c r="BK432" i="12"/>
  <c r="BL432" i="12"/>
  <c r="BM432" i="12"/>
  <c r="BN432" i="12"/>
  <c r="BO432" i="12"/>
  <c r="BP432" i="12"/>
  <c r="BQ432" i="12"/>
  <c r="BR432" i="12"/>
  <c r="BS432" i="12"/>
  <c r="BT432" i="12"/>
  <c r="BU432" i="12"/>
  <c r="BV432" i="12"/>
  <c r="BW432" i="12"/>
  <c r="BX432" i="12"/>
  <c r="BY432" i="12"/>
  <c r="BZ432" i="12"/>
  <c r="CA432" i="12"/>
  <c r="CB432" i="12"/>
  <c r="CC432" i="12"/>
  <c r="CD432" i="12"/>
  <c r="CE432" i="12"/>
  <c r="CF432" i="12"/>
  <c r="CG432" i="12"/>
  <c r="CH432" i="12"/>
  <c r="CI432" i="12"/>
  <c r="CJ432" i="12"/>
  <c r="CK432" i="12"/>
  <c r="CL432" i="12"/>
  <c r="CM432" i="12"/>
  <c r="CN432" i="12"/>
  <c r="CO432" i="12"/>
  <c r="CP432" i="12"/>
  <c r="CQ432" i="12"/>
  <c r="CR432" i="12"/>
  <c r="CS432" i="12"/>
  <c r="CT432" i="12"/>
  <c r="CU432" i="12"/>
  <c r="CV432" i="12"/>
  <c r="CW432" i="12"/>
  <c r="CX432" i="12"/>
  <c r="CY432" i="12"/>
  <c r="CZ432" i="12"/>
  <c r="DA432" i="12"/>
  <c r="DB432" i="12"/>
  <c r="DC432" i="12"/>
  <c r="DD432" i="12"/>
  <c r="DE432" i="12"/>
  <c r="DF432" i="12"/>
  <c r="DG432" i="12"/>
  <c r="DH432" i="12"/>
  <c r="DI432" i="12"/>
  <c r="DJ432" i="12"/>
  <c r="DK432" i="12"/>
  <c r="DL432" i="12"/>
  <c r="DM432" i="12"/>
  <c r="DN432" i="12"/>
  <c r="DO432" i="12"/>
  <c r="DP432" i="12"/>
  <c r="DQ432" i="12"/>
  <c r="DR432" i="12"/>
  <c r="DS432" i="12"/>
  <c r="DT432" i="12"/>
  <c r="DU432" i="12"/>
  <c r="DV432" i="12"/>
  <c r="DW432" i="12"/>
  <c r="DX432" i="12"/>
  <c r="DY432" i="12"/>
  <c r="DZ432" i="12"/>
  <c r="EA432" i="12"/>
  <c r="EB432" i="12"/>
  <c r="EC432" i="12"/>
  <c r="ED432" i="12"/>
  <c r="EE432" i="12"/>
  <c r="EF432" i="12"/>
  <c r="EG432" i="12"/>
  <c r="EH432" i="12"/>
  <c r="EI432" i="12"/>
  <c r="EJ432" i="12"/>
  <c r="EK432" i="12"/>
  <c r="EL432" i="12"/>
  <c r="EM432" i="12"/>
  <c r="EN432" i="12"/>
  <c r="EO432" i="12"/>
  <c r="EP432" i="12"/>
  <c r="EQ432" i="12"/>
  <c r="ER432" i="12"/>
  <c r="ES432" i="12"/>
  <c r="ET432" i="12"/>
  <c r="EU432" i="12"/>
  <c r="EV432" i="12"/>
  <c r="EW432" i="12"/>
  <c r="EX432" i="12"/>
  <c r="EY432" i="12"/>
  <c r="EZ432" i="12"/>
  <c r="FA432" i="12"/>
  <c r="FB432" i="12"/>
  <c r="FC432" i="12"/>
  <c r="FD432" i="12"/>
  <c r="FE432" i="12"/>
  <c r="FF432" i="12"/>
  <c r="FG432" i="12"/>
  <c r="FH432" i="12"/>
  <c r="FI432" i="12"/>
  <c r="FJ432" i="12"/>
  <c r="FK432" i="12"/>
  <c r="FL432" i="12"/>
  <c r="FM432" i="12"/>
  <c r="FN432" i="12"/>
  <c r="FO432" i="12"/>
  <c r="FP432" i="12"/>
  <c r="FQ432" i="12"/>
  <c r="FR432" i="12"/>
  <c r="FS432" i="12"/>
  <c r="FT432" i="12"/>
  <c r="FU432" i="12"/>
  <c r="FV432" i="12"/>
  <c r="FW432" i="12"/>
  <c r="FX432" i="12"/>
  <c r="FY432" i="12"/>
  <c r="FZ432" i="12"/>
  <c r="GA432" i="12"/>
  <c r="GB432" i="12"/>
  <c r="GC432" i="12"/>
  <c r="GD432" i="12"/>
  <c r="GE432" i="12"/>
  <c r="GF432" i="12"/>
  <c r="GG432" i="12"/>
  <c r="GH432" i="12"/>
  <c r="GI432" i="12"/>
  <c r="GJ432" i="12"/>
  <c r="GK432" i="12"/>
  <c r="GL432" i="12"/>
  <c r="GM432" i="12"/>
  <c r="GN432" i="12"/>
  <c r="GO432" i="12"/>
  <c r="GP432" i="12"/>
  <c r="GQ432" i="12"/>
  <c r="GR432" i="12"/>
  <c r="GS432" i="12"/>
  <c r="GT432" i="12"/>
  <c r="GU432" i="12"/>
  <c r="GV432" i="12"/>
  <c r="GW432" i="12"/>
  <c r="GX432" i="12"/>
  <c r="GY432" i="12"/>
  <c r="GZ432" i="12"/>
  <c r="HA432" i="12"/>
  <c r="HB432" i="12"/>
  <c r="HC432" i="12"/>
  <c r="HD432" i="12"/>
  <c r="HE432" i="12"/>
  <c r="HF432" i="12"/>
  <c r="HG432" i="12"/>
  <c r="HH432" i="12"/>
  <c r="HI432" i="12"/>
  <c r="HJ432" i="12"/>
  <c r="HK432" i="12"/>
  <c r="HL432" i="12"/>
  <c r="HM432" i="12"/>
  <c r="HN432" i="12"/>
  <c r="HO432" i="12"/>
  <c r="HP432" i="12"/>
  <c r="HQ432" i="12"/>
  <c r="HR432" i="12"/>
  <c r="HS432" i="12"/>
  <c r="HT432" i="12"/>
  <c r="HU432" i="12"/>
  <c r="HV432" i="12"/>
  <c r="HW432" i="12"/>
  <c r="HX432" i="12"/>
  <c r="HY432" i="12"/>
  <c r="HZ432" i="12"/>
  <c r="IA432" i="12"/>
  <c r="IB432" i="12"/>
  <c r="IC432" i="12"/>
  <c r="ID432" i="12"/>
  <c r="IE432" i="12"/>
  <c r="IF432" i="12"/>
  <c r="IG432" i="12"/>
  <c r="IH432" i="12"/>
  <c r="II432" i="12"/>
  <c r="IJ432" i="12"/>
  <c r="IK432" i="12"/>
  <c r="IL432" i="12"/>
  <c r="IM432" i="12"/>
  <c r="IN432" i="12"/>
  <c r="IO432" i="12"/>
  <c r="IP432" i="12"/>
  <c r="IQ432" i="12"/>
  <c r="IR432" i="12"/>
  <c r="IS432" i="12"/>
  <c r="IT432" i="12"/>
  <c r="IU432" i="12"/>
  <c r="IV432" i="12"/>
  <c r="F433" i="12"/>
  <c r="G433" i="12"/>
  <c r="H433" i="12"/>
  <c r="I433" i="12"/>
  <c r="J433" i="12"/>
  <c r="K433" i="12"/>
  <c r="L433" i="12"/>
  <c r="M433" i="12"/>
  <c r="N433" i="12"/>
  <c r="O433" i="12"/>
  <c r="P433" i="12"/>
  <c r="Q433" i="12"/>
  <c r="R433" i="12"/>
  <c r="S433" i="12"/>
  <c r="T433" i="12"/>
  <c r="U433" i="12"/>
  <c r="V433" i="12"/>
  <c r="W433" i="12"/>
  <c r="X433" i="12"/>
  <c r="Y433" i="12"/>
  <c r="Z433" i="12"/>
  <c r="AA433" i="12"/>
  <c r="AB433" i="12"/>
  <c r="AC433" i="12"/>
  <c r="AD433" i="12"/>
  <c r="AE433" i="12"/>
  <c r="AF433" i="12"/>
  <c r="AG433" i="12"/>
  <c r="AH433" i="12"/>
  <c r="AI433" i="12"/>
  <c r="AJ433" i="12"/>
  <c r="AK433" i="12"/>
  <c r="AL433" i="12"/>
  <c r="AM433" i="12"/>
  <c r="AN433" i="12"/>
  <c r="AO433" i="12"/>
  <c r="AP433" i="12"/>
  <c r="AQ433" i="12"/>
  <c r="AR433" i="12"/>
  <c r="AS433" i="12"/>
  <c r="AT433" i="12"/>
  <c r="AU433" i="12"/>
  <c r="AV433" i="12"/>
  <c r="AW433" i="12"/>
  <c r="AX433" i="12"/>
  <c r="AY433" i="12"/>
  <c r="AZ433" i="12"/>
  <c r="BA433" i="12"/>
  <c r="BB433" i="12"/>
  <c r="BC433" i="12"/>
  <c r="BD433" i="12"/>
  <c r="BE433" i="12"/>
  <c r="BF433" i="12"/>
  <c r="BG433" i="12"/>
  <c r="BH433" i="12"/>
  <c r="BI433" i="12"/>
  <c r="BJ433" i="12"/>
  <c r="BK433" i="12"/>
  <c r="BL433" i="12"/>
  <c r="BM433" i="12"/>
  <c r="BN433" i="12"/>
  <c r="BO433" i="12"/>
  <c r="BP433" i="12"/>
  <c r="BQ433" i="12"/>
  <c r="BR433" i="12"/>
  <c r="BS433" i="12"/>
  <c r="BT433" i="12"/>
  <c r="BU433" i="12"/>
  <c r="BV433" i="12"/>
  <c r="BW433" i="12"/>
  <c r="BX433" i="12"/>
  <c r="BY433" i="12"/>
  <c r="BZ433" i="12"/>
  <c r="CA433" i="12"/>
  <c r="CB433" i="12"/>
  <c r="CC433" i="12"/>
  <c r="CD433" i="12"/>
  <c r="CE433" i="12"/>
  <c r="CF433" i="12"/>
  <c r="CG433" i="12"/>
  <c r="CH433" i="12"/>
  <c r="CI433" i="12"/>
  <c r="CJ433" i="12"/>
  <c r="CK433" i="12"/>
  <c r="CL433" i="12"/>
  <c r="CM433" i="12"/>
  <c r="CN433" i="12"/>
  <c r="CO433" i="12"/>
  <c r="CP433" i="12"/>
  <c r="CQ433" i="12"/>
  <c r="CR433" i="12"/>
  <c r="CS433" i="12"/>
  <c r="CT433" i="12"/>
  <c r="CU433" i="12"/>
  <c r="CV433" i="12"/>
  <c r="CW433" i="12"/>
  <c r="CX433" i="12"/>
  <c r="CY433" i="12"/>
  <c r="CZ433" i="12"/>
  <c r="DA433" i="12"/>
  <c r="DB433" i="12"/>
  <c r="DC433" i="12"/>
  <c r="DD433" i="12"/>
  <c r="DE433" i="12"/>
  <c r="DF433" i="12"/>
  <c r="DG433" i="12"/>
  <c r="DH433" i="12"/>
  <c r="DI433" i="12"/>
  <c r="DJ433" i="12"/>
  <c r="DK433" i="12"/>
  <c r="DL433" i="12"/>
  <c r="DM433" i="12"/>
  <c r="DN433" i="12"/>
  <c r="DO433" i="12"/>
  <c r="DP433" i="12"/>
  <c r="DQ433" i="12"/>
  <c r="DR433" i="12"/>
  <c r="DS433" i="12"/>
  <c r="DT433" i="12"/>
  <c r="DU433" i="12"/>
  <c r="DV433" i="12"/>
  <c r="DW433" i="12"/>
  <c r="DX433" i="12"/>
  <c r="DY433" i="12"/>
  <c r="DZ433" i="12"/>
  <c r="EA433" i="12"/>
  <c r="EB433" i="12"/>
  <c r="EC433" i="12"/>
  <c r="ED433" i="12"/>
  <c r="EE433" i="12"/>
  <c r="EF433" i="12"/>
  <c r="EG433" i="12"/>
  <c r="EH433" i="12"/>
  <c r="EI433" i="12"/>
  <c r="EJ433" i="12"/>
  <c r="EK433" i="12"/>
  <c r="EL433" i="12"/>
  <c r="EM433" i="12"/>
  <c r="EN433" i="12"/>
  <c r="EO433" i="12"/>
  <c r="EP433" i="12"/>
  <c r="EQ433" i="12"/>
  <c r="ER433" i="12"/>
  <c r="ES433" i="12"/>
  <c r="ET433" i="12"/>
  <c r="EU433" i="12"/>
  <c r="EV433" i="12"/>
  <c r="EW433" i="12"/>
  <c r="EX433" i="12"/>
  <c r="EY433" i="12"/>
  <c r="EZ433" i="12"/>
  <c r="FA433" i="12"/>
  <c r="FB433" i="12"/>
  <c r="FC433" i="12"/>
  <c r="FD433" i="12"/>
  <c r="FE433" i="12"/>
  <c r="FF433" i="12"/>
  <c r="FG433" i="12"/>
  <c r="FH433" i="12"/>
  <c r="FI433" i="12"/>
  <c r="FJ433" i="12"/>
  <c r="FK433" i="12"/>
  <c r="FL433" i="12"/>
  <c r="FM433" i="12"/>
  <c r="FN433" i="12"/>
  <c r="FO433" i="12"/>
  <c r="FP433" i="12"/>
  <c r="FQ433" i="12"/>
  <c r="FR433" i="12"/>
  <c r="FS433" i="12"/>
  <c r="FT433" i="12"/>
  <c r="FU433" i="12"/>
  <c r="FV433" i="12"/>
  <c r="FW433" i="12"/>
  <c r="FX433" i="12"/>
  <c r="FY433" i="12"/>
  <c r="FZ433" i="12"/>
  <c r="GA433" i="12"/>
  <c r="GB433" i="12"/>
  <c r="GC433" i="12"/>
  <c r="GD433" i="12"/>
  <c r="GE433" i="12"/>
  <c r="GF433" i="12"/>
  <c r="GG433" i="12"/>
  <c r="GH433" i="12"/>
  <c r="GI433" i="12"/>
  <c r="GJ433" i="12"/>
  <c r="GK433" i="12"/>
  <c r="GL433" i="12"/>
  <c r="GM433" i="12"/>
  <c r="GN433" i="12"/>
  <c r="GO433" i="12"/>
  <c r="GP433" i="12"/>
  <c r="GQ433" i="12"/>
  <c r="GR433" i="12"/>
  <c r="GS433" i="12"/>
  <c r="GT433" i="12"/>
  <c r="GU433" i="12"/>
  <c r="GV433" i="12"/>
  <c r="GW433" i="12"/>
  <c r="GX433" i="12"/>
  <c r="GY433" i="12"/>
  <c r="GZ433" i="12"/>
  <c r="HA433" i="12"/>
  <c r="HB433" i="12"/>
  <c r="HC433" i="12"/>
  <c r="HD433" i="12"/>
  <c r="HE433" i="12"/>
  <c r="HF433" i="12"/>
  <c r="HG433" i="12"/>
  <c r="HH433" i="12"/>
  <c r="HI433" i="12"/>
  <c r="HJ433" i="12"/>
  <c r="HK433" i="12"/>
  <c r="HL433" i="12"/>
  <c r="HM433" i="12"/>
  <c r="HN433" i="12"/>
  <c r="HO433" i="12"/>
  <c r="HP433" i="12"/>
  <c r="HQ433" i="12"/>
  <c r="HR433" i="12"/>
  <c r="HS433" i="12"/>
  <c r="HT433" i="12"/>
  <c r="HU433" i="12"/>
  <c r="HV433" i="12"/>
  <c r="HW433" i="12"/>
  <c r="HX433" i="12"/>
  <c r="HY433" i="12"/>
  <c r="HZ433" i="12"/>
  <c r="IA433" i="12"/>
  <c r="IB433" i="12"/>
  <c r="IC433" i="12"/>
  <c r="ID433" i="12"/>
  <c r="IE433" i="12"/>
  <c r="IF433" i="12"/>
  <c r="IG433" i="12"/>
  <c r="IH433" i="12"/>
  <c r="II433" i="12"/>
  <c r="IJ433" i="12"/>
  <c r="IK433" i="12"/>
  <c r="IL433" i="12"/>
  <c r="IM433" i="12"/>
  <c r="IN433" i="12"/>
  <c r="IO433" i="12"/>
  <c r="IP433" i="12"/>
  <c r="IQ433" i="12"/>
  <c r="IR433" i="12"/>
  <c r="IS433" i="12"/>
  <c r="IT433" i="12"/>
  <c r="IU433" i="12"/>
  <c r="IV433" i="12"/>
  <c r="F434" i="12"/>
  <c r="G434" i="12"/>
  <c r="H434" i="12"/>
  <c r="I434" i="12"/>
  <c r="J434" i="12"/>
  <c r="K434" i="12"/>
  <c r="L434" i="12"/>
  <c r="M434" i="12"/>
  <c r="N434" i="12"/>
  <c r="O434" i="12"/>
  <c r="P434" i="12"/>
  <c r="Q434" i="12"/>
  <c r="R434" i="12"/>
  <c r="S434" i="12"/>
  <c r="T434" i="12"/>
  <c r="U434" i="12"/>
  <c r="V434" i="12"/>
  <c r="W434" i="12"/>
  <c r="X434" i="12"/>
  <c r="Y434" i="12"/>
  <c r="Z434" i="12"/>
  <c r="AA434" i="12"/>
  <c r="AB434" i="12"/>
  <c r="AC434" i="12"/>
  <c r="AD434" i="12"/>
  <c r="AE434" i="12"/>
  <c r="AF434" i="12"/>
  <c r="AG434" i="12"/>
  <c r="AH434" i="12"/>
  <c r="AI434" i="12"/>
  <c r="AJ434" i="12"/>
  <c r="AK434" i="12"/>
  <c r="AL434" i="12"/>
  <c r="AM434" i="12"/>
  <c r="AN434" i="12"/>
  <c r="AO434" i="12"/>
  <c r="AP434" i="12"/>
  <c r="AQ434" i="12"/>
  <c r="AR434" i="12"/>
  <c r="AS434" i="12"/>
  <c r="AT434" i="12"/>
  <c r="AU434" i="12"/>
  <c r="AV434" i="12"/>
  <c r="AW434" i="12"/>
  <c r="AX434" i="12"/>
  <c r="AY434" i="12"/>
  <c r="AZ434" i="12"/>
  <c r="BA434" i="12"/>
  <c r="BB434" i="12"/>
  <c r="BC434" i="12"/>
  <c r="BD434" i="12"/>
  <c r="BE434" i="12"/>
  <c r="BF434" i="12"/>
  <c r="BG434" i="12"/>
  <c r="BH434" i="12"/>
  <c r="BI434" i="12"/>
  <c r="BJ434" i="12"/>
  <c r="BK434" i="12"/>
  <c r="BL434" i="12"/>
  <c r="BM434" i="12"/>
  <c r="BN434" i="12"/>
  <c r="BO434" i="12"/>
  <c r="BP434" i="12"/>
  <c r="BQ434" i="12"/>
  <c r="BR434" i="12"/>
  <c r="BS434" i="12"/>
  <c r="BT434" i="12"/>
  <c r="BU434" i="12"/>
  <c r="BV434" i="12"/>
  <c r="BW434" i="12"/>
  <c r="BX434" i="12"/>
  <c r="BY434" i="12"/>
  <c r="BZ434" i="12"/>
  <c r="CA434" i="12"/>
  <c r="CB434" i="12"/>
  <c r="CC434" i="12"/>
  <c r="CD434" i="12"/>
  <c r="CE434" i="12"/>
  <c r="CF434" i="12"/>
  <c r="CG434" i="12"/>
  <c r="CH434" i="12"/>
  <c r="CI434" i="12"/>
  <c r="CJ434" i="12"/>
  <c r="CK434" i="12"/>
  <c r="CL434" i="12"/>
  <c r="CM434" i="12"/>
  <c r="CN434" i="12"/>
  <c r="CO434" i="12"/>
  <c r="CP434" i="12"/>
  <c r="CQ434" i="12"/>
  <c r="CR434" i="12"/>
  <c r="CS434" i="12"/>
  <c r="CT434" i="12"/>
  <c r="CU434" i="12"/>
  <c r="CV434" i="12"/>
  <c r="CW434" i="12"/>
  <c r="CX434" i="12"/>
  <c r="CY434" i="12"/>
  <c r="CZ434" i="12"/>
  <c r="DA434" i="12"/>
  <c r="DB434" i="12"/>
  <c r="DC434" i="12"/>
  <c r="DD434" i="12"/>
  <c r="DE434" i="12"/>
  <c r="DF434" i="12"/>
  <c r="DG434" i="12"/>
  <c r="DH434" i="12"/>
  <c r="DI434" i="12"/>
  <c r="DJ434" i="12"/>
  <c r="DK434" i="12"/>
  <c r="DL434" i="12"/>
  <c r="DM434" i="12"/>
  <c r="DN434" i="12"/>
  <c r="DO434" i="12"/>
  <c r="DP434" i="12"/>
  <c r="DQ434" i="12"/>
  <c r="DR434" i="12"/>
  <c r="DS434" i="12"/>
  <c r="DT434" i="12"/>
  <c r="DU434" i="12"/>
  <c r="DV434" i="12"/>
  <c r="DW434" i="12"/>
  <c r="DX434" i="12"/>
  <c r="DY434" i="12"/>
  <c r="DZ434" i="12"/>
  <c r="EA434" i="12"/>
  <c r="EB434" i="12"/>
  <c r="EC434" i="12"/>
  <c r="ED434" i="12"/>
  <c r="EE434" i="12"/>
  <c r="EF434" i="12"/>
  <c r="EG434" i="12"/>
  <c r="EH434" i="12"/>
  <c r="EI434" i="12"/>
  <c r="EJ434" i="12"/>
  <c r="EK434" i="12"/>
  <c r="EL434" i="12"/>
  <c r="EM434" i="12"/>
  <c r="EN434" i="12"/>
  <c r="EO434" i="12"/>
  <c r="EP434" i="12"/>
  <c r="EQ434" i="12"/>
  <c r="ER434" i="12"/>
  <c r="ES434" i="12"/>
  <c r="ET434" i="12"/>
  <c r="EU434" i="12"/>
  <c r="EV434" i="12"/>
  <c r="EW434" i="12"/>
  <c r="EX434" i="12"/>
  <c r="EY434" i="12"/>
  <c r="EZ434" i="12"/>
  <c r="FA434" i="12"/>
  <c r="FB434" i="12"/>
  <c r="FC434" i="12"/>
  <c r="FD434" i="12"/>
  <c r="FE434" i="12"/>
  <c r="FF434" i="12"/>
  <c r="FG434" i="12"/>
  <c r="FH434" i="12"/>
  <c r="FI434" i="12"/>
  <c r="FJ434" i="12"/>
  <c r="FK434" i="12"/>
  <c r="FL434" i="12"/>
  <c r="FM434" i="12"/>
  <c r="FN434" i="12"/>
  <c r="FO434" i="12"/>
  <c r="FP434" i="12"/>
  <c r="FQ434" i="12"/>
  <c r="FR434" i="12"/>
  <c r="FS434" i="12"/>
  <c r="FT434" i="12"/>
  <c r="FU434" i="12"/>
  <c r="FV434" i="12"/>
  <c r="FW434" i="12"/>
  <c r="FX434" i="12"/>
  <c r="FY434" i="12"/>
  <c r="FZ434" i="12"/>
  <c r="GA434" i="12"/>
  <c r="GB434" i="12"/>
  <c r="GC434" i="12"/>
  <c r="GD434" i="12"/>
  <c r="GE434" i="12"/>
  <c r="GF434" i="12"/>
  <c r="GG434" i="12"/>
  <c r="GH434" i="12"/>
  <c r="GI434" i="12"/>
  <c r="GJ434" i="12"/>
  <c r="GK434" i="12"/>
  <c r="GL434" i="12"/>
  <c r="GM434" i="12"/>
  <c r="GN434" i="12"/>
  <c r="GO434" i="12"/>
  <c r="GP434" i="12"/>
  <c r="GQ434" i="12"/>
  <c r="GR434" i="12"/>
  <c r="GS434" i="12"/>
  <c r="GT434" i="12"/>
  <c r="GU434" i="12"/>
  <c r="GV434" i="12"/>
  <c r="GW434" i="12"/>
  <c r="GX434" i="12"/>
  <c r="GY434" i="12"/>
  <c r="GZ434" i="12"/>
  <c r="HA434" i="12"/>
  <c r="HB434" i="12"/>
  <c r="HC434" i="12"/>
  <c r="HD434" i="12"/>
  <c r="HE434" i="12"/>
  <c r="HF434" i="12"/>
  <c r="HG434" i="12"/>
  <c r="HH434" i="12"/>
  <c r="HI434" i="12"/>
  <c r="HJ434" i="12"/>
  <c r="HK434" i="12"/>
  <c r="HL434" i="12"/>
  <c r="HM434" i="12"/>
  <c r="HN434" i="12"/>
  <c r="HO434" i="12"/>
  <c r="HP434" i="12"/>
  <c r="HQ434" i="12"/>
  <c r="HR434" i="12"/>
  <c r="HS434" i="12"/>
  <c r="HT434" i="12"/>
  <c r="HU434" i="12"/>
  <c r="HV434" i="12"/>
  <c r="HW434" i="12"/>
  <c r="HX434" i="12"/>
  <c r="HY434" i="12"/>
  <c r="HZ434" i="12"/>
  <c r="IA434" i="12"/>
  <c r="IB434" i="12"/>
  <c r="IC434" i="12"/>
  <c r="ID434" i="12"/>
  <c r="IE434" i="12"/>
  <c r="IF434" i="12"/>
  <c r="IG434" i="12"/>
  <c r="IH434" i="12"/>
  <c r="II434" i="12"/>
  <c r="IJ434" i="12"/>
  <c r="IK434" i="12"/>
  <c r="IL434" i="12"/>
  <c r="IM434" i="12"/>
  <c r="IN434" i="12"/>
  <c r="IO434" i="12"/>
  <c r="IP434" i="12"/>
  <c r="IQ434" i="12"/>
  <c r="IR434" i="12"/>
  <c r="IS434" i="12"/>
  <c r="IT434" i="12"/>
  <c r="IU434" i="12"/>
  <c r="IV434" i="12"/>
  <c r="F435" i="12"/>
  <c r="G435" i="12"/>
  <c r="H435" i="12"/>
  <c r="I435" i="12"/>
  <c r="J435" i="12"/>
  <c r="K435" i="12"/>
  <c r="L435" i="12"/>
  <c r="M435" i="12"/>
  <c r="N435" i="12"/>
  <c r="O435" i="12"/>
  <c r="P435" i="12"/>
  <c r="Q435" i="12"/>
  <c r="R435" i="12"/>
  <c r="S435" i="12"/>
  <c r="T435" i="12"/>
  <c r="U435" i="12"/>
  <c r="V435" i="12"/>
  <c r="W435" i="12"/>
  <c r="X435" i="12"/>
  <c r="Y435" i="12"/>
  <c r="Z435" i="12"/>
  <c r="AA435" i="12"/>
  <c r="AB435" i="12"/>
  <c r="AC435" i="12"/>
  <c r="AD435" i="12"/>
  <c r="AE435" i="12"/>
  <c r="AF435" i="12"/>
  <c r="AG435" i="12"/>
  <c r="AH435" i="12"/>
  <c r="AI435" i="12"/>
  <c r="AJ435" i="12"/>
  <c r="AK435" i="12"/>
  <c r="AL435" i="12"/>
  <c r="AM435" i="12"/>
  <c r="AN435" i="12"/>
  <c r="AO435" i="12"/>
  <c r="AP435" i="12"/>
  <c r="AQ435" i="12"/>
  <c r="AR435" i="12"/>
  <c r="AS435" i="12"/>
  <c r="AT435" i="12"/>
  <c r="AU435" i="12"/>
  <c r="AV435" i="12"/>
  <c r="AW435" i="12"/>
  <c r="AX435" i="12"/>
  <c r="AY435" i="12"/>
  <c r="AZ435" i="12"/>
  <c r="BA435" i="12"/>
  <c r="BB435" i="12"/>
  <c r="BC435" i="12"/>
  <c r="BD435" i="12"/>
  <c r="BE435" i="12"/>
  <c r="BF435" i="12"/>
  <c r="BG435" i="12"/>
  <c r="BH435" i="12"/>
  <c r="BI435" i="12"/>
  <c r="BJ435" i="12"/>
  <c r="BK435" i="12"/>
  <c r="BL435" i="12"/>
  <c r="BM435" i="12"/>
  <c r="BN435" i="12"/>
  <c r="BO435" i="12"/>
  <c r="BP435" i="12"/>
  <c r="BQ435" i="12"/>
  <c r="BR435" i="12"/>
  <c r="BS435" i="12"/>
  <c r="BT435" i="12"/>
  <c r="BU435" i="12"/>
  <c r="BV435" i="12"/>
  <c r="BW435" i="12"/>
  <c r="BX435" i="12"/>
  <c r="BY435" i="12"/>
  <c r="BZ435" i="12"/>
  <c r="CA435" i="12"/>
  <c r="CB435" i="12"/>
  <c r="CC435" i="12"/>
  <c r="CD435" i="12"/>
  <c r="CE435" i="12"/>
  <c r="CF435" i="12"/>
  <c r="CG435" i="12"/>
  <c r="CH435" i="12"/>
  <c r="CI435" i="12"/>
  <c r="CJ435" i="12"/>
  <c r="CK435" i="12"/>
  <c r="CL435" i="12"/>
  <c r="CM435" i="12"/>
  <c r="CN435" i="12"/>
  <c r="CO435" i="12"/>
  <c r="CP435" i="12"/>
  <c r="CQ435" i="12"/>
  <c r="CR435" i="12"/>
  <c r="CS435" i="12"/>
  <c r="CT435" i="12"/>
  <c r="CU435" i="12"/>
  <c r="CV435" i="12"/>
  <c r="CW435" i="12"/>
  <c r="CX435" i="12"/>
  <c r="CY435" i="12"/>
  <c r="CZ435" i="12"/>
  <c r="DA435" i="12"/>
  <c r="DB435" i="12"/>
  <c r="DC435" i="12"/>
  <c r="DD435" i="12"/>
  <c r="DE435" i="12"/>
  <c r="DF435" i="12"/>
  <c r="DG435" i="12"/>
  <c r="DH435" i="12"/>
  <c r="DI435" i="12"/>
  <c r="DJ435" i="12"/>
  <c r="DK435" i="12"/>
  <c r="DL435" i="12"/>
  <c r="DM435" i="12"/>
  <c r="DN435" i="12"/>
  <c r="DO435" i="12"/>
  <c r="DP435" i="12"/>
  <c r="DQ435" i="12"/>
  <c r="DR435" i="12"/>
  <c r="DS435" i="12"/>
  <c r="DT435" i="12"/>
  <c r="DU435" i="12"/>
  <c r="DV435" i="12"/>
  <c r="DW435" i="12"/>
  <c r="DX435" i="12"/>
  <c r="DY435" i="12"/>
  <c r="DZ435" i="12"/>
  <c r="EA435" i="12"/>
  <c r="EB435" i="12"/>
  <c r="EC435" i="12"/>
  <c r="ED435" i="12"/>
  <c r="EE435" i="12"/>
  <c r="EF435" i="12"/>
  <c r="EG435" i="12"/>
  <c r="EH435" i="12"/>
  <c r="EI435" i="12"/>
  <c r="EJ435" i="12"/>
  <c r="EK435" i="12"/>
  <c r="EL435" i="12"/>
  <c r="EM435" i="12"/>
  <c r="EN435" i="12"/>
  <c r="EO435" i="12"/>
  <c r="EP435" i="12"/>
  <c r="EQ435" i="12"/>
  <c r="ER435" i="12"/>
  <c r="ES435" i="12"/>
  <c r="ET435" i="12"/>
  <c r="EU435" i="12"/>
  <c r="EV435" i="12"/>
  <c r="EW435" i="12"/>
  <c r="EX435" i="12"/>
  <c r="EY435" i="12"/>
  <c r="EZ435" i="12"/>
  <c r="FA435" i="12"/>
  <c r="FB435" i="12"/>
  <c r="FC435" i="12"/>
  <c r="FD435" i="12"/>
  <c r="FE435" i="12"/>
  <c r="FF435" i="12"/>
  <c r="FG435" i="12"/>
  <c r="FH435" i="12"/>
  <c r="FI435" i="12"/>
  <c r="FJ435" i="12"/>
  <c r="FK435" i="12"/>
  <c r="FL435" i="12"/>
  <c r="FM435" i="12"/>
  <c r="FN435" i="12"/>
  <c r="FO435" i="12"/>
  <c r="FP435" i="12"/>
  <c r="FQ435" i="12"/>
  <c r="FR435" i="12"/>
  <c r="FS435" i="12"/>
  <c r="FT435" i="12"/>
  <c r="FU435" i="12"/>
  <c r="FV435" i="12"/>
  <c r="FW435" i="12"/>
  <c r="FX435" i="12"/>
  <c r="FY435" i="12"/>
  <c r="FZ435" i="12"/>
  <c r="GA435" i="12"/>
  <c r="GB435" i="12"/>
  <c r="GC435" i="12"/>
  <c r="GD435" i="12"/>
  <c r="GE435" i="12"/>
  <c r="GF435" i="12"/>
  <c r="GG435" i="12"/>
  <c r="GH435" i="12"/>
  <c r="GI435" i="12"/>
  <c r="GJ435" i="12"/>
  <c r="GK435" i="12"/>
  <c r="GL435" i="12"/>
  <c r="GM435" i="12"/>
  <c r="GN435" i="12"/>
  <c r="GO435" i="12"/>
  <c r="GP435" i="12"/>
  <c r="GQ435" i="12"/>
  <c r="GR435" i="12"/>
  <c r="GS435" i="12"/>
  <c r="GT435" i="12"/>
  <c r="GU435" i="12"/>
  <c r="GV435" i="12"/>
  <c r="GW435" i="12"/>
  <c r="GX435" i="12"/>
  <c r="GY435" i="12"/>
  <c r="GZ435" i="12"/>
  <c r="HA435" i="12"/>
  <c r="HB435" i="12"/>
  <c r="HC435" i="12"/>
  <c r="HD435" i="12"/>
  <c r="HE435" i="12"/>
  <c r="HF435" i="12"/>
  <c r="HG435" i="12"/>
  <c r="HH435" i="12"/>
  <c r="HI435" i="12"/>
  <c r="HJ435" i="12"/>
  <c r="HK435" i="12"/>
  <c r="HL435" i="12"/>
  <c r="HM435" i="12"/>
  <c r="HN435" i="12"/>
  <c r="HO435" i="12"/>
  <c r="HP435" i="12"/>
  <c r="HQ435" i="12"/>
  <c r="HR435" i="12"/>
  <c r="HS435" i="12"/>
  <c r="HT435" i="12"/>
  <c r="HU435" i="12"/>
  <c r="HV435" i="12"/>
  <c r="HW435" i="12"/>
  <c r="HX435" i="12"/>
  <c r="HY435" i="12"/>
  <c r="HZ435" i="12"/>
  <c r="IA435" i="12"/>
  <c r="IB435" i="12"/>
  <c r="IC435" i="12"/>
  <c r="ID435" i="12"/>
  <c r="IE435" i="12"/>
  <c r="IF435" i="12"/>
  <c r="IG435" i="12"/>
  <c r="IH435" i="12"/>
  <c r="II435" i="12"/>
  <c r="IJ435" i="12"/>
  <c r="IK435" i="12"/>
  <c r="IL435" i="12"/>
  <c r="IM435" i="12"/>
  <c r="IN435" i="12"/>
  <c r="IO435" i="12"/>
  <c r="IP435" i="12"/>
  <c r="IQ435" i="12"/>
  <c r="IR435" i="12"/>
  <c r="IS435" i="12"/>
  <c r="IT435" i="12"/>
  <c r="IU435" i="12"/>
  <c r="IV435" i="12"/>
  <c r="F436" i="12"/>
  <c r="G436" i="12"/>
  <c r="H436" i="12"/>
  <c r="I436" i="12"/>
  <c r="J436" i="12"/>
  <c r="K436" i="12"/>
  <c r="L436" i="12"/>
  <c r="M436" i="12"/>
  <c r="N436" i="12"/>
  <c r="O436" i="12"/>
  <c r="P436" i="12"/>
  <c r="Q436" i="12"/>
  <c r="R436" i="12"/>
  <c r="S436" i="12"/>
  <c r="T436" i="12"/>
  <c r="U436" i="12"/>
  <c r="V436" i="12"/>
  <c r="W436" i="12"/>
  <c r="X436" i="12"/>
  <c r="Y436" i="12"/>
  <c r="Z436" i="12"/>
  <c r="AA436" i="12"/>
  <c r="AB436" i="12"/>
  <c r="AC436" i="12"/>
  <c r="AD436" i="12"/>
  <c r="AE436" i="12"/>
  <c r="AF436" i="12"/>
  <c r="AG436" i="12"/>
  <c r="AH436" i="12"/>
  <c r="AI436" i="12"/>
  <c r="AJ436" i="12"/>
  <c r="AK436" i="12"/>
  <c r="AL436" i="12"/>
  <c r="AM436" i="12"/>
  <c r="AN436" i="12"/>
  <c r="AO436" i="12"/>
  <c r="AP436" i="12"/>
  <c r="AQ436" i="12"/>
  <c r="AR436" i="12"/>
  <c r="AS436" i="12"/>
  <c r="AT436" i="12"/>
  <c r="AU436" i="12"/>
  <c r="AV436" i="12"/>
  <c r="AW436" i="12"/>
  <c r="AX436" i="12"/>
  <c r="AY436" i="12"/>
  <c r="AZ436" i="12"/>
  <c r="BA436" i="12"/>
  <c r="BB436" i="12"/>
  <c r="BC436" i="12"/>
  <c r="BD436" i="12"/>
  <c r="BE436" i="12"/>
  <c r="BF436" i="12"/>
  <c r="BG436" i="12"/>
  <c r="BH436" i="12"/>
  <c r="BI436" i="12"/>
  <c r="BJ436" i="12"/>
  <c r="BK436" i="12"/>
  <c r="BL436" i="12"/>
  <c r="BM436" i="12"/>
  <c r="BN436" i="12"/>
  <c r="BO436" i="12"/>
  <c r="BP436" i="12"/>
  <c r="BQ436" i="12"/>
  <c r="BR436" i="12"/>
  <c r="BS436" i="12"/>
  <c r="BT436" i="12"/>
  <c r="BU436" i="12"/>
  <c r="BV436" i="12"/>
  <c r="BW436" i="12"/>
  <c r="BX436" i="12"/>
  <c r="BY436" i="12"/>
  <c r="BZ436" i="12"/>
  <c r="CA436" i="12"/>
  <c r="CB436" i="12"/>
  <c r="CC436" i="12"/>
  <c r="CD436" i="12"/>
  <c r="CE436" i="12"/>
  <c r="CF436" i="12"/>
  <c r="CG436" i="12"/>
  <c r="CH436" i="12"/>
  <c r="CI436" i="12"/>
  <c r="CJ436" i="12"/>
  <c r="CK436" i="12"/>
  <c r="CL436" i="12"/>
  <c r="CM436" i="12"/>
  <c r="CN436" i="12"/>
  <c r="CO436" i="12"/>
  <c r="CP436" i="12"/>
  <c r="CQ436" i="12"/>
  <c r="CR436" i="12"/>
  <c r="CS436" i="12"/>
  <c r="CT436" i="12"/>
  <c r="CU436" i="12"/>
  <c r="CV436" i="12"/>
  <c r="CW436" i="12"/>
  <c r="CX436" i="12"/>
  <c r="CY436" i="12"/>
  <c r="CZ436" i="12"/>
  <c r="DA436" i="12"/>
  <c r="DB436" i="12"/>
  <c r="DC436" i="12"/>
  <c r="DD436" i="12"/>
  <c r="DE436" i="12"/>
  <c r="DF436" i="12"/>
  <c r="DG436" i="12"/>
  <c r="DH436" i="12"/>
  <c r="DI436" i="12"/>
  <c r="DJ436" i="12"/>
  <c r="DK436" i="12"/>
  <c r="DL436" i="12"/>
  <c r="DM436" i="12"/>
  <c r="DN436" i="12"/>
  <c r="DO436" i="12"/>
  <c r="DP436" i="12"/>
  <c r="DQ436" i="12"/>
  <c r="DR436" i="12"/>
  <c r="DS436" i="12"/>
  <c r="DT436" i="12"/>
  <c r="DU436" i="12"/>
  <c r="DV436" i="12"/>
  <c r="DW436" i="12"/>
  <c r="DX436" i="12"/>
  <c r="DY436" i="12"/>
  <c r="DZ436" i="12"/>
  <c r="EA436" i="12"/>
  <c r="EB436" i="12"/>
  <c r="EC436" i="12"/>
  <c r="ED436" i="12"/>
  <c r="EE436" i="12"/>
  <c r="EF436" i="12"/>
  <c r="EG436" i="12"/>
  <c r="EH436" i="12"/>
  <c r="EI436" i="12"/>
  <c r="EJ436" i="12"/>
  <c r="EK436" i="12"/>
  <c r="EL436" i="12"/>
  <c r="EM436" i="12"/>
  <c r="EN436" i="12"/>
  <c r="EO436" i="12"/>
  <c r="EP436" i="12"/>
  <c r="EQ436" i="12"/>
  <c r="ER436" i="12"/>
  <c r="ES436" i="12"/>
  <c r="ET436" i="12"/>
  <c r="EU436" i="12"/>
  <c r="EV436" i="12"/>
  <c r="EW436" i="12"/>
  <c r="EX436" i="12"/>
  <c r="EY436" i="12"/>
  <c r="EZ436" i="12"/>
  <c r="FA436" i="12"/>
  <c r="FB436" i="12"/>
  <c r="FC436" i="12"/>
  <c r="FD436" i="12"/>
  <c r="FE436" i="12"/>
  <c r="FF436" i="12"/>
  <c r="FG436" i="12"/>
  <c r="FH436" i="12"/>
  <c r="FI436" i="12"/>
  <c r="FJ436" i="12"/>
  <c r="FK436" i="12"/>
  <c r="FL436" i="12"/>
  <c r="FM436" i="12"/>
  <c r="FN436" i="12"/>
  <c r="FO436" i="12"/>
  <c r="FP436" i="12"/>
  <c r="FQ436" i="12"/>
  <c r="FR436" i="12"/>
  <c r="FS436" i="12"/>
  <c r="FT436" i="12"/>
  <c r="FU436" i="12"/>
  <c r="FV436" i="12"/>
  <c r="FW436" i="12"/>
  <c r="FX436" i="12"/>
  <c r="FY436" i="12"/>
  <c r="FZ436" i="12"/>
  <c r="GA436" i="12"/>
  <c r="GB436" i="12"/>
  <c r="GC436" i="12"/>
  <c r="GD436" i="12"/>
  <c r="GE436" i="12"/>
  <c r="GF436" i="12"/>
  <c r="GG436" i="12"/>
  <c r="GH436" i="12"/>
  <c r="GI436" i="12"/>
  <c r="GJ436" i="12"/>
  <c r="GK436" i="12"/>
  <c r="GL436" i="12"/>
  <c r="GM436" i="12"/>
  <c r="GN436" i="12"/>
  <c r="GO436" i="12"/>
  <c r="GP436" i="12"/>
  <c r="GQ436" i="12"/>
  <c r="GR436" i="12"/>
  <c r="GS436" i="12"/>
  <c r="GT436" i="12"/>
  <c r="GU436" i="12"/>
  <c r="GV436" i="12"/>
  <c r="GW436" i="12"/>
  <c r="GX436" i="12"/>
  <c r="GY436" i="12"/>
  <c r="GZ436" i="12"/>
  <c r="HA436" i="12"/>
  <c r="HB436" i="12"/>
  <c r="HC436" i="12"/>
  <c r="HD436" i="12"/>
  <c r="HE436" i="12"/>
  <c r="HF436" i="12"/>
  <c r="HG436" i="12"/>
  <c r="HH436" i="12"/>
  <c r="HI436" i="12"/>
  <c r="HJ436" i="12"/>
  <c r="HK436" i="12"/>
  <c r="HL436" i="12"/>
  <c r="HM436" i="12"/>
  <c r="HN436" i="12"/>
  <c r="HO436" i="12"/>
  <c r="HP436" i="12"/>
  <c r="HQ436" i="12"/>
  <c r="HR436" i="12"/>
  <c r="HS436" i="12"/>
  <c r="HT436" i="12"/>
  <c r="HU436" i="12"/>
  <c r="HV436" i="12"/>
  <c r="HW436" i="12"/>
  <c r="HX436" i="12"/>
  <c r="HY436" i="12"/>
  <c r="HZ436" i="12"/>
  <c r="IA436" i="12"/>
  <c r="IB436" i="12"/>
  <c r="IC436" i="12"/>
  <c r="ID436" i="12"/>
  <c r="IE436" i="12"/>
  <c r="IF436" i="12"/>
  <c r="IG436" i="12"/>
  <c r="IH436" i="12"/>
  <c r="II436" i="12"/>
  <c r="IJ436" i="12"/>
  <c r="IK436" i="12"/>
  <c r="IL436" i="12"/>
  <c r="IM436" i="12"/>
  <c r="IN436" i="12"/>
  <c r="IO436" i="12"/>
  <c r="IP436" i="12"/>
  <c r="IQ436" i="12"/>
  <c r="IR436" i="12"/>
  <c r="IS436" i="12"/>
  <c r="IT436" i="12"/>
  <c r="IU436" i="12"/>
  <c r="IV436" i="12"/>
  <c r="F437" i="12"/>
  <c r="G437" i="12"/>
  <c r="H437" i="12"/>
  <c r="I437" i="12"/>
  <c r="J437" i="12"/>
  <c r="K437" i="12"/>
  <c r="L437" i="12"/>
  <c r="M437" i="12"/>
  <c r="N437" i="12"/>
  <c r="O437" i="12"/>
  <c r="P437" i="12"/>
  <c r="Q437" i="12"/>
  <c r="R437" i="12"/>
  <c r="S437" i="12"/>
  <c r="T437" i="12"/>
  <c r="U437" i="12"/>
  <c r="V437" i="12"/>
  <c r="W437" i="12"/>
  <c r="X437" i="12"/>
  <c r="Y437" i="12"/>
  <c r="Z437" i="12"/>
  <c r="AA437" i="12"/>
  <c r="AB437" i="12"/>
  <c r="AC437" i="12"/>
  <c r="AD437" i="12"/>
  <c r="AE437" i="12"/>
  <c r="AF437" i="12"/>
  <c r="AG437" i="12"/>
  <c r="AH437" i="12"/>
  <c r="AI437" i="12"/>
  <c r="AJ437" i="12"/>
  <c r="AK437" i="12"/>
  <c r="AL437" i="12"/>
  <c r="AM437" i="12"/>
  <c r="AN437" i="12"/>
  <c r="AO437" i="12"/>
  <c r="AP437" i="12"/>
  <c r="AQ437" i="12"/>
  <c r="AR437" i="12"/>
  <c r="AS437" i="12"/>
  <c r="AT437" i="12"/>
  <c r="AU437" i="12"/>
  <c r="AV437" i="12"/>
  <c r="AW437" i="12"/>
  <c r="AX437" i="12"/>
  <c r="AY437" i="12"/>
  <c r="AZ437" i="12"/>
  <c r="BA437" i="12"/>
  <c r="BB437" i="12"/>
  <c r="BC437" i="12"/>
  <c r="BD437" i="12"/>
  <c r="BE437" i="12"/>
  <c r="BF437" i="12"/>
  <c r="BG437" i="12"/>
  <c r="BH437" i="12"/>
  <c r="BI437" i="12"/>
  <c r="BJ437" i="12"/>
  <c r="BK437" i="12"/>
  <c r="BL437" i="12"/>
  <c r="BM437" i="12"/>
  <c r="BN437" i="12"/>
  <c r="BO437" i="12"/>
  <c r="BP437" i="12"/>
  <c r="BQ437" i="12"/>
  <c r="BR437" i="12"/>
  <c r="BS437" i="12"/>
  <c r="BT437" i="12"/>
  <c r="BU437" i="12"/>
  <c r="BV437" i="12"/>
  <c r="BW437" i="12"/>
  <c r="BX437" i="12"/>
  <c r="BY437" i="12"/>
  <c r="BZ437" i="12"/>
  <c r="CA437" i="12"/>
  <c r="CB437" i="12"/>
  <c r="CC437" i="12"/>
  <c r="CD437" i="12"/>
  <c r="CE437" i="12"/>
  <c r="CF437" i="12"/>
  <c r="CG437" i="12"/>
  <c r="CH437" i="12"/>
  <c r="CI437" i="12"/>
  <c r="CJ437" i="12"/>
  <c r="CK437" i="12"/>
  <c r="CL437" i="12"/>
  <c r="CM437" i="12"/>
  <c r="CN437" i="12"/>
  <c r="CO437" i="12"/>
  <c r="CP437" i="12"/>
  <c r="CQ437" i="12"/>
  <c r="CR437" i="12"/>
  <c r="CS437" i="12"/>
  <c r="CT437" i="12"/>
  <c r="CU437" i="12"/>
  <c r="CV437" i="12"/>
  <c r="CW437" i="12"/>
  <c r="CX437" i="12"/>
  <c r="CY437" i="12"/>
  <c r="CZ437" i="12"/>
  <c r="DA437" i="12"/>
  <c r="DB437" i="12"/>
  <c r="DC437" i="12"/>
  <c r="DD437" i="12"/>
  <c r="DE437" i="12"/>
  <c r="DF437" i="12"/>
  <c r="DG437" i="12"/>
  <c r="DH437" i="12"/>
  <c r="DI437" i="12"/>
  <c r="DJ437" i="12"/>
  <c r="DK437" i="12"/>
  <c r="DL437" i="12"/>
  <c r="DM437" i="12"/>
  <c r="DN437" i="12"/>
  <c r="DO437" i="12"/>
  <c r="DP437" i="12"/>
  <c r="DQ437" i="12"/>
  <c r="DR437" i="12"/>
  <c r="DS437" i="12"/>
  <c r="DT437" i="12"/>
  <c r="DU437" i="12"/>
  <c r="DV437" i="12"/>
  <c r="DW437" i="12"/>
  <c r="DX437" i="12"/>
  <c r="DY437" i="12"/>
  <c r="DZ437" i="12"/>
  <c r="EA437" i="12"/>
  <c r="EB437" i="12"/>
  <c r="EC437" i="12"/>
  <c r="ED437" i="12"/>
  <c r="EE437" i="12"/>
  <c r="EF437" i="12"/>
  <c r="EG437" i="12"/>
  <c r="EH437" i="12"/>
  <c r="EI437" i="12"/>
  <c r="EJ437" i="12"/>
  <c r="EK437" i="12"/>
  <c r="EL437" i="12"/>
  <c r="EM437" i="12"/>
  <c r="EN437" i="12"/>
  <c r="EO437" i="12"/>
  <c r="EP437" i="12"/>
  <c r="EQ437" i="12"/>
  <c r="ER437" i="12"/>
  <c r="ES437" i="12"/>
  <c r="ET437" i="12"/>
  <c r="EU437" i="12"/>
  <c r="EV437" i="12"/>
  <c r="EW437" i="12"/>
  <c r="EX437" i="12"/>
  <c r="EY437" i="12"/>
  <c r="EZ437" i="12"/>
  <c r="FA437" i="12"/>
  <c r="FB437" i="12"/>
  <c r="FC437" i="12"/>
  <c r="FD437" i="12"/>
  <c r="FE437" i="12"/>
  <c r="FF437" i="12"/>
  <c r="FG437" i="12"/>
  <c r="FH437" i="12"/>
  <c r="FI437" i="12"/>
  <c r="FJ437" i="12"/>
  <c r="FK437" i="12"/>
  <c r="FL437" i="12"/>
  <c r="FM437" i="12"/>
  <c r="FN437" i="12"/>
  <c r="FO437" i="12"/>
  <c r="FP437" i="12"/>
  <c r="FQ437" i="12"/>
  <c r="FR437" i="12"/>
  <c r="FS437" i="12"/>
  <c r="FT437" i="12"/>
  <c r="FU437" i="12"/>
  <c r="FV437" i="12"/>
  <c r="FW437" i="12"/>
  <c r="FX437" i="12"/>
  <c r="FY437" i="12"/>
  <c r="FZ437" i="12"/>
  <c r="GA437" i="12"/>
  <c r="GB437" i="12"/>
  <c r="GC437" i="12"/>
  <c r="GD437" i="12"/>
  <c r="GE437" i="12"/>
  <c r="GF437" i="12"/>
  <c r="GG437" i="12"/>
  <c r="GH437" i="12"/>
  <c r="GI437" i="12"/>
  <c r="GJ437" i="12"/>
  <c r="GK437" i="12"/>
  <c r="GL437" i="12"/>
  <c r="GM437" i="12"/>
  <c r="GN437" i="12"/>
  <c r="GO437" i="12"/>
  <c r="GP437" i="12"/>
  <c r="GQ437" i="12"/>
  <c r="GR437" i="12"/>
  <c r="GS437" i="12"/>
  <c r="GT437" i="12"/>
  <c r="GU437" i="12"/>
  <c r="GV437" i="12"/>
  <c r="GW437" i="12"/>
  <c r="GX437" i="12"/>
  <c r="GY437" i="12"/>
  <c r="GZ437" i="12"/>
  <c r="HA437" i="12"/>
  <c r="HB437" i="12"/>
  <c r="HC437" i="12"/>
  <c r="HD437" i="12"/>
  <c r="HE437" i="12"/>
  <c r="HF437" i="12"/>
  <c r="HG437" i="12"/>
  <c r="HH437" i="12"/>
  <c r="HI437" i="12"/>
  <c r="HJ437" i="12"/>
  <c r="HK437" i="12"/>
  <c r="HL437" i="12"/>
  <c r="HM437" i="12"/>
  <c r="HN437" i="12"/>
  <c r="HO437" i="12"/>
  <c r="HP437" i="12"/>
  <c r="HQ437" i="12"/>
  <c r="HR437" i="12"/>
  <c r="HS437" i="12"/>
  <c r="HT437" i="12"/>
  <c r="HU437" i="12"/>
  <c r="HV437" i="12"/>
  <c r="HW437" i="12"/>
  <c r="HX437" i="12"/>
  <c r="HY437" i="12"/>
  <c r="HZ437" i="12"/>
  <c r="IA437" i="12"/>
  <c r="IB437" i="12"/>
  <c r="IC437" i="12"/>
  <c r="ID437" i="12"/>
  <c r="IE437" i="12"/>
  <c r="IF437" i="12"/>
  <c r="IG437" i="12"/>
  <c r="IH437" i="12"/>
  <c r="II437" i="12"/>
  <c r="IJ437" i="12"/>
  <c r="IK437" i="12"/>
  <c r="IL437" i="12"/>
  <c r="IM437" i="12"/>
  <c r="IN437" i="12"/>
  <c r="IO437" i="12"/>
  <c r="IP437" i="12"/>
  <c r="IQ437" i="12"/>
  <c r="IR437" i="12"/>
  <c r="IS437" i="12"/>
  <c r="IT437" i="12"/>
  <c r="IU437" i="12"/>
  <c r="IV437" i="12"/>
  <c r="F438" i="12"/>
  <c r="G438" i="12"/>
  <c r="H438" i="12"/>
  <c r="I438" i="12"/>
  <c r="J438" i="12"/>
  <c r="K438" i="12"/>
  <c r="L438" i="12"/>
  <c r="M438" i="12"/>
  <c r="N438" i="12"/>
  <c r="O438" i="12"/>
  <c r="P438" i="12"/>
  <c r="Q438" i="12"/>
  <c r="R438" i="12"/>
  <c r="S438" i="12"/>
  <c r="T438" i="12"/>
  <c r="U438" i="12"/>
  <c r="V438" i="12"/>
  <c r="W438" i="12"/>
  <c r="X438" i="12"/>
  <c r="Y438" i="12"/>
  <c r="Z438" i="12"/>
  <c r="AA438" i="12"/>
  <c r="AB438" i="12"/>
  <c r="AC438" i="12"/>
  <c r="AD438" i="12"/>
  <c r="AE438" i="12"/>
  <c r="AF438" i="12"/>
  <c r="AG438" i="12"/>
  <c r="AH438" i="12"/>
  <c r="AI438" i="12"/>
  <c r="AJ438" i="12"/>
  <c r="AK438" i="12"/>
  <c r="AL438" i="12"/>
  <c r="AM438" i="12"/>
  <c r="AN438" i="12"/>
  <c r="AO438" i="12"/>
  <c r="AP438" i="12"/>
  <c r="AQ438" i="12"/>
  <c r="AR438" i="12"/>
  <c r="AS438" i="12"/>
  <c r="AT438" i="12"/>
  <c r="AU438" i="12"/>
  <c r="AV438" i="12"/>
  <c r="AW438" i="12"/>
  <c r="AX438" i="12"/>
  <c r="AY438" i="12"/>
  <c r="AZ438" i="12"/>
  <c r="BA438" i="12"/>
  <c r="BB438" i="12"/>
  <c r="BC438" i="12"/>
  <c r="BD438" i="12"/>
  <c r="BE438" i="12"/>
  <c r="BF438" i="12"/>
  <c r="BG438" i="12"/>
  <c r="BH438" i="12"/>
  <c r="BI438" i="12"/>
  <c r="BJ438" i="12"/>
  <c r="BK438" i="12"/>
  <c r="BL438" i="12"/>
  <c r="BM438" i="12"/>
  <c r="BN438" i="12"/>
  <c r="BO438" i="12"/>
  <c r="BP438" i="12"/>
  <c r="BQ438" i="12"/>
  <c r="BR438" i="12"/>
  <c r="BS438" i="12"/>
  <c r="BT438" i="12"/>
  <c r="BU438" i="12"/>
  <c r="BV438" i="12"/>
  <c r="BW438" i="12"/>
  <c r="BX438" i="12"/>
  <c r="BY438" i="12"/>
  <c r="BZ438" i="12"/>
  <c r="CA438" i="12"/>
  <c r="CB438" i="12"/>
  <c r="CC438" i="12"/>
  <c r="CD438" i="12"/>
  <c r="CE438" i="12"/>
  <c r="CF438" i="12"/>
  <c r="CG438" i="12"/>
  <c r="CH438" i="12"/>
  <c r="CI438" i="12"/>
  <c r="CJ438" i="12"/>
  <c r="CK438" i="12"/>
  <c r="CL438" i="12"/>
  <c r="CM438" i="12"/>
  <c r="CN438" i="12"/>
  <c r="CO438" i="12"/>
  <c r="CP438" i="12"/>
  <c r="CQ438" i="12"/>
  <c r="CR438" i="12"/>
  <c r="CS438" i="12"/>
  <c r="CT438" i="12"/>
  <c r="CU438" i="12"/>
  <c r="CV438" i="12"/>
  <c r="CW438" i="12"/>
  <c r="CX438" i="12"/>
  <c r="CY438" i="12"/>
  <c r="CZ438" i="12"/>
  <c r="DA438" i="12"/>
  <c r="DB438" i="12"/>
  <c r="DC438" i="12"/>
  <c r="DD438" i="12"/>
  <c r="DE438" i="12"/>
  <c r="DF438" i="12"/>
  <c r="DG438" i="12"/>
  <c r="DH438" i="12"/>
  <c r="DI438" i="12"/>
  <c r="DJ438" i="12"/>
  <c r="DK438" i="12"/>
  <c r="DL438" i="12"/>
  <c r="DM438" i="12"/>
  <c r="DN438" i="12"/>
  <c r="DO438" i="12"/>
  <c r="DP438" i="12"/>
  <c r="DQ438" i="12"/>
  <c r="DR438" i="12"/>
  <c r="DS438" i="12"/>
  <c r="DT438" i="12"/>
  <c r="DU438" i="12"/>
  <c r="DV438" i="12"/>
  <c r="DW438" i="12"/>
  <c r="DX438" i="12"/>
  <c r="DY438" i="12"/>
  <c r="DZ438" i="12"/>
  <c r="EA438" i="12"/>
  <c r="EB438" i="12"/>
  <c r="EC438" i="12"/>
  <c r="ED438" i="12"/>
  <c r="EE438" i="12"/>
  <c r="EF438" i="12"/>
  <c r="EG438" i="12"/>
  <c r="EH438" i="12"/>
  <c r="EI438" i="12"/>
  <c r="EJ438" i="12"/>
  <c r="EK438" i="12"/>
  <c r="EL438" i="12"/>
  <c r="EM438" i="12"/>
  <c r="EN438" i="12"/>
  <c r="EO438" i="12"/>
  <c r="EP438" i="12"/>
  <c r="EQ438" i="12"/>
  <c r="ER438" i="12"/>
  <c r="ES438" i="12"/>
  <c r="ET438" i="12"/>
  <c r="EU438" i="12"/>
  <c r="EV438" i="12"/>
  <c r="EW438" i="12"/>
  <c r="EX438" i="12"/>
  <c r="EY438" i="12"/>
  <c r="EZ438" i="12"/>
  <c r="FA438" i="12"/>
  <c r="FB438" i="12"/>
  <c r="FC438" i="12"/>
  <c r="FD438" i="12"/>
  <c r="FE438" i="12"/>
  <c r="FF438" i="12"/>
  <c r="FG438" i="12"/>
  <c r="FH438" i="12"/>
  <c r="FI438" i="12"/>
  <c r="FJ438" i="12"/>
  <c r="FK438" i="12"/>
  <c r="FL438" i="12"/>
  <c r="FM438" i="12"/>
  <c r="FN438" i="12"/>
  <c r="FO438" i="12"/>
  <c r="FP438" i="12"/>
  <c r="FQ438" i="12"/>
  <c r="FR438" i="12"/>
  <c r="FS438" i="12"/>
  <c r="FT438" i="12"/>
  <c r="FU438" i="12"/>
  <c r="FV438" i="12"/>
  <c r="FW438" i="12"/>
  <c r="FX438" i="12"/>
  <c r="FY438" i="12"/>
  <c r="FZ438" i="12"/>
  <c r="GA438" i="12"/>
  <c r="GB438" i="12"/>
  <c r="GC438" i="12"/>
  <c r="GD438" i="12"/>
  <c r="GE438" i="12"/>
  <c r="GF438" i="12"/>
  <c r="GG438" i="12"/>
  <c r="GH438" i="12"/>
  <c r="GI438" i="12"/>
  <c r="GJ438" i="12"/>
  <c r="GK438" i="12"/>
  <c r="GL438" i="12"/>
  <c r="GM438" i="12"/>
  <c r="GN438" i="12"/>
  <c r="GO438" i="12"/>
  <c r="GP438" i="12"/>
  <c r="GQ438" i="12"/>
  <c r="GR438" i="12"/>
  <c r="GS438" i="12"/>
  <c r="GT438" i="12"/>
  <c r="GU438" i="12"/>
  <c r="GV438" i="12"/>
  <c r="GW438" i="12"/>
  <c r="GX438" i="12"/>
  <c r="GY438" i="12"/>
  <c r="GZ438" i="12"/>
  <c r="HA438" i="12"/>
  <c r="HB438" i="12"/>
  <c r="HC438" i="12"/>
  <c r="HD438" i="12"/>
  <c r="HE438" i="12"/>
  <c r="HF438" i="12"/>
  <c r="HG438" i="12"/>
  <c r="HH438" i="12"/>
  <c r="HI438" i="12"/>
  <c r="HJ438" i="12"/>
  <c r="HK438" i="12"/>
  <c r="HL438" i="12"/>
  <c r="HM438" i="12"/>
  <c r="HN438" i="12"/>
  <c r="HO438" i="12"/>
  <c r="HP438" i="12"/>
  <c r="HQ438" i="12"/>
  <c r="HR438" i="12"/>
  <c r="HS438" i="12"/>
  <c r="HT438" i="12"/>
  <c r="HU438" i="12"/>
  <c r="HV438" i="12"/>
  <c r="HW438" i="12"/>
  <c r="HX438" i="12"/>
  <c r="HY438" i="12"/>
  <c r="HZ438" i="12"/>
  <c r="IA438" i="12"/>
  <c r="IB438" i="12"/>
  <c r="IC438" i="12"/>
  <c r="ID438" i="12"/>
  <c r="IE438" i="12"/>
  <c r="IF438" i="12"/>
  <c r="IG438" i="12"/>
  <c r="IH438" i="12"/>
  <c r="II438" i="12"/>
  <c r="IJ438" i="12"/>
  <c r="IK438" i="12"/>
  <c r="IL438" i="12"/>
  <c r="IM438" i="12"/>
  <c r="IN438" i="12"/>
  <c r="IO438" i="12"/>
  <c r="IP438" i="12"/>
  <c r="IQ438" i="12"/>
  <c r="IR438" i="12"/>
  <c r="IS438" i="12"/>
  <c r="IT438" i="12"/>
  <c r="IU438" i="12"/>
  <c r="IV438" i="12"/>
  <c r="F439" i="12"/>
  <c r="G439" i="12"/>
  <c r="H439" i="12"/>
  <c r="I439" i="12"/>
  <c r="J439" i="12"/>
  <c r="K439" i="12"/>
  <c r="L439" i="12"/>
  <c r="M439" i="12"/>
  <c r="N439" i="12"/>
  <c r="O439" i="12"/>
  <c r="P439" i="12"/>
  <c r="Q439" i="12"/>
  <c r="R439" i="12"/>
  <c r="S439" i="12"/>
  <c r="T439" i="12"/>
  <c r="U439" i="12"/>
  <c r="V439" i="12"/>
  <c r="W439" i="12"/>
  <c r="X439" i="12"/>
  <c r="Y439" i="12"/>
  <c r="Z439" i="12"/>
  <c r="AA439" i="12"/>
  <c r="AB439" i="12"/>
  <c r="AC439" i="12"/>
  <c r="AD439" i="12"/>
  <c r="AE439" i="12"/>
  <c r="AF439" i="12"/>
  <c r="AG439" i="12"/>
  <c r="AH439" i="12"/>
  <c r="AI439" i="12"/>
  <c r="AJ439" i="12"/>
  <c r="AK439" i="12"/>
  <c r="AL439" i="12"/>
  <c r="AM439" i="12"/>
  <c r="AN439" i="12"/>
  <c r="AO439" i="12"/>
  <c r="AP439" i="12"/>
  <c r="AQ439" i="12"/>
  <c r="AR439" i="12"/>
  <c r="AS439" i="12"/>
  <c r="AT439" i="12"/>
  <c r="AU439" i="12"/>
  <c r="AV439" i="12"/>
  <c r="AW439" i="12"/>
  <c r="AX439" i="12"/>
  <c r="AY439" i="12"/>
  <c r="AZ439" i="12"/>
  <c r="BA439" i="12"/>
  <c r="BB439" i="12"/>
  <c r="BC439" i="12"/>
  <c r="BD439" i="12"/>
  <c r="BE439" i="12"/>
  <c r="BF439" i="12"/>
  <c r="BG439" i="12"/>
  <c r="BH439" i="12"/>
  <c r="BI439" i="12"/>
  <c r="BJ439" i="12"/>
  <c r="BK439" i="12"/>
  <c r="BL439" i="12"/>
  <c r="BM439" i="12"/>
  <c r="BN439" i="12"/>
  <c r="BO439" i="12"/>
  <c r="BP439" i="12"/>
  <c r="BQ439" i="12"/>
  <c r="BR439" i="12"/>
  <c r="BS439" i="12"/>
  <c r="BT439" i="12"/>
  <c r="BU439" i="12"/>
  <c r="BV439" i="12"/>
  <c r="BW439" i="12"/>
  <c r="BX439" i="12"/>
  <c r="BY439" i="12"/>
  <c r="BZ439" i="12"/>
  <c r="CA439" i="12"/>
  <c r="CB439" i="12"/>
  <c r="CC439" i="12"/>
  <c r="CD439" i="12"/>
  <c r="CE439" i="12"/>
  <c r="CF439" i="12"/>
  <c r="CG439" i="12"/>
  <c r="CH439" i="12"/>
  <c r="CI439" i="12"/>
  <c r="CJ439" i="12"/>
  <c r="CK439" i="12"/>
  <c r="CL439" i="12"/>
  <c r="CM439" i="12"/>
  <c r="CN439" i="12"/>
  <c r="CO439" i="12"/>
  <c r="CP439" i="12"/>
  <c r="CQ439" i="12"/>
  <c r="CR439" i="12"/>
  <c r="CS439" i="12"/>
  <c r="CT439" i="12"/>
  <c r="CU439" i="12"/>
  <c r="CV439" i="12"/>
  <c r="CW439" i="12"/>
  <c r="CX439" i="12"/>
  <c r="CY439" i="12"/>
  <c r="CZ439" i="12"/>
  <c r="DA439" i="12"/>
  <c r="DB439" i="12"/>
  <c r="DC439" i="12"/>
  <c r="DD439" i="12"/>
  <c r="DE439" i="12"/>
  <c r="DF439" i="12"/>
  <c r="DG439" i="12"/>
  <c r="DH439" i="12"/>
  <c r="DI439" i="12"/>
  <c r="DJ439" i="12"/>
  <c r="DK439" i="12"/>
  <c r="DL439" i="12"/>
  <c r="DM439" i="12"/>
  <c r="DN439" i="12"/>
  <c r="DO439" i="12"/>
  <c r="DP439" i="12"/>
  <c r="DQ439" i="12"/>
  <c r="DR439" i="12"/>
  <c r="DS439" i="12"/>
  <c r="DT439" i="12"/>
  <c r="DU439" i="12"/>
  <c r="DV439" i="12"/>
  <c r="DW439" i="12"/>
  <c r="DX439" i="12"/>
  <c r="DY439" i="12"/>
  <c r="DZ439" i="12"/>
  <c r="EA439" i="12"/>
  <c r="EB439" i="12"/>
  <c r="EC439" i="12"/>
  <c r="ED439" i="12"/>
  <c r="EE439" i="12"/>
  <c r="EF439" i="12"/>
  <c r="EG439" i="12"/>
  <c r="EH439" i="12"/>
  <c r="EI439" i="12"/>
  <c r="EJ439" i="12"/>
  <c r="EK439" i="12"/>
  <c r="EL439" i="12"/>
  <c r="EM439" i="12"/>
  <c r="EN439" i="12"/>
  <c r="EO439" i="12"/>
  <c r="EP439" i="12"/>
  <c r="EQ439" i="12"/>
  <c r="ER439" i="12"/>
  <c r="ES439" i="12"/>
  <c r="ET439" i="12"/>
  <c r="EU439" i="12"/>
  <c r="EV439" i="12"/>
  <c r="EW439" i="12"/>
  <c r="EX439" i="12"/>
  <c r="EY439" i="12"/>
  <c r="EZ439" i="12"/>
  <c r="FA439" i="12"/>
  <c r="FB439" i="12"/>
  <c r="FC439" i="12"/>
  <c r="FD439" i="12"/>
  <c r="FE439" i="12"/>
  <c r="FF439" i="12"/>
  <c r="FG439" i="12"/>
  <c r="FH439" i="12"/>
  <c r="FI439" i="12"/>
  <c r="FJ439" i="12"/>
  <c r="FK439" i="12"/>
  <c r="FL439" i="12"/>
  <c r="FM439" i="12"/>
  <c r="FN439" i="12"/>
  <c r="FO439" i="12"/>
  <c r="FP439" i="12"/>
  <c r="FQ439" i="12"/>
  <c r="FR439" i="12"/>
  <c r="FS439" i="12"/>
  <c r="FT439" i="12"/>
  <c r="FU439" i="12"/>
  <c r="FV439" i="12"/>
  <c r="FW439" i="12"/>
  <c r="FX439" i="12"/>
  <c r="FY439" i="12"/>
  <c r="FZ439" i="12"/>
  <c r="GA439" i="12"/>
  <c r="GB439" i="12"/>
  <c r="GC439" i="12"/>
  <c r="GD439" i="12"/>
  <c r="GE439" i="12"/>
  <c r="GF439" i="12"/>
  <c r="GG439" i="12"/>
  <c r="GH439" i="12"/>
  <c r="GI439" i="12"/>
  <c r="GJ439" i="12"/>
  <c r="GK439" i="12"/>
  <c r="GL439" i="12"/>
  <c r="GM439" i="12"/>
  <c r="GN439" i="12"/>
  <c r="GO439" i="12"/>
  <c r="GP439" i="12"/>
  <c r="GQ439" i="12"/>
  <c r="GR439" i="12"/>
  <c r="GS439" i="12"/>
  <c r="GT439" i="12"/>
  <c r="GU439" i="12"/>
  <c r="GV439" i="12"/>
  <c r="GW439" i="12"/>
  <c r="GX439" i="12"/>
  <c r="GY439" i="12"/>
  <c r="GZ439" i="12"/>
  <c r="HA439" i="12"/>
  <c r="HB439" i="12"/>
  <c r="HC439" i="12"/>
  <c r="HD439" i="12"/>
  <c r="HE439" i="12"/>
  <c r="HF439" i="12"/>
  <c r="HG439" i="12"/>
  <c r="HH439" i="12"/>
  <c r="HI439" i="12"/>
  <c r="HJ439" i="12"/>
  <c r="HK439" i="12"/>
  <c r="HL439" i="12"/>
  <c r="HM439" i="12"/>
  <c r="HN439" i="12"/>
  <c r="HO439" i="12"/>
  <c r="HP439" i="12"/>
  <c r="HQ439" i="12"/>
  <c r="HR439" i="12"/>
  <c r="HS439" i="12"/>
  <c r="HT439" i="12"/>
  <c r="HU439" i="12"/>
  <c r="HV439" i="12"/>
  <c r="HW439" i="12"/>
  <c r="HX439" i="12"/>
  <c r="HY439" i="12"/>
  <c r="HZ439" i="12"/>
  <c r="IA439" i="12"/>
  <c r="IB439" i="12"/>
  <c r="IC439" i="12"/>
  <c r="ID439" i="12"/>
  <c r="IE439" i="12"/>
  <c r="IF439" i="12"/>
  <c r="IG439" i="12"/>
  <c r="IH439" i="12"/>
  <c r="II439" i="12"/>
  <c r="IJ439" i="12"/>
  <c r="IK439" i="12"/>
  <c r="IL439" i="12"/>
  <c r="IM439" i="12"/>
  <c r="IN439" i="12"/>
  <c r="IO439" i="12"/>
  <c r="IP439" i="12"/>
  <c r="IQ439" i="12"/>
  <c r="IR439" i="12"/>
  <c r="IS439" i="12"/>
  <c r="IT439" i="12"/>
  <c r="IU439" i="12"/>
  <c r="IV439" i="12"/>
  <c r="F440" i="12"/>
  <c r="G440" i="12"/>
  <c r="H440" i="12"/>
  <c r="I440" i="12"/>
  <c r="J440" i="12"/>
  <c r="K440" i="12"/>
  <c r="L440" i="12"/>
  <c r="M440" i="12"/>
  <c r="N440" i="12"/>
  <c r="O440" i="12"/>
  <c r="P440" i="12"/>
  <c r="Q440" i="12"/>
  <c r="R440" i="12"/>
  <c r="S440" i="12"/>
  <c r="T440" i="12"/>
  <c r="U440" i="12"/>
  <c r="V440" i="12"/>
  <c r="W440" i="12"/>
  <c r="X440" i="12"/>
  <c r="Y440" i="12"/>
  <c r="Z440" i="12"/>
  <c r="AA440" i="12"/>
  <c r="AB440" i="12"/>
  <c r="AC440" i="12"/>
  <c r="AD440" i="12"/>
  <c r="AE440" i="12"/>
  <c r="AF440" i="12"/>
  <c r="AG440" i="12"/>
  <c r="AH440" i="12"/>
  <c r="AI440" i="12"/>
  <c r="AJ440" i="12"/>
  <c r="AK440" i="12"/>
  <c r="AL440" i="12"/>
  <c r="AM440" i="12"/>
  <c r="AN440" i="12"/>
  <c r="AO440" i="12"/>
  <c r="AP440" i="12"/>
  <c r="AQ440" i="12"/>
  <c r="AR440" i="12"/>
  <c r="AS440" i="12"/>
  <c r="AT440" i="12"/>
  <c r="AU440" i="12"/>
  <c r="AV440" i="12"/>
  <c r="AW440" i="12"/>
  <c r="AX440" i="12"/>
  <c r="AY440" i="12"/>
  <c r="AZ440" i="12"/>
  <c r="BA440" i="12"/>
  <c r="BB440" i="12"/>
  <c r="BC440" i="12"/>
  <c r="BD440" i="12"/>
  <c r="BE440" i="12"/>
  <c r="BF440" i="12"/>
  <c r="BG440" i="12"/>
  <c r="BH440" i="12"/>
  <c r="BI440" i="12"/>
  <c r="BJ440" i="12"/>
  <c r="BK440" i="12"/>
  <c r="BL440" i="12"/>
  <c r="BM440" i="12"/>
  <c r="BN440" i="12"/>
  <c r="BO440" i="12"/>
  <c r="BP440" i="12"/>
  <c r="BQ440" i="12"/>
  <c r="BR440" i="12"/>
  <c r="BS440" i="12"/>
  <c r="BT440" i="12"/>
  <c r="BU440" i="12"/>
  <c r="BV440" i="12"/>
  <c r="BW440" i="12"/>
  <c r="BX440" i="12"/>
  <c r="BY440" i="12"/>
  <c r="BZ440" i="12"/>
  <c r="CA440" i="12"/>
  <c r="CB440" i="12"/>
  <c r="CC440" i="12"/>
  <c r="CD440" i="12"/>
  <c r="CE440" i="12"/>
  <c r="CF440" i="12"/>
  <c r="CG440" i="12"/>
  <c r="CH440" i="12"/>
  <c r="CI440" i="12"/>
  <c r="CJ440" i="12"/>
  <c r="CK440" i="12"/>
  <c r="CL440" i="12"/>
  <c r="CM440" i="12"/>
  <c r="CN440" i="12"/>
  <c r="CO440" i="12"/>
  <c r="CP440" i="12"/>
  <c r="CQ440" i="12"/>
  <c r="CR440" i="12"/>
  <c r="CS440" i="12"/>
  <c r="CT440" i="12"/>
  <c r="CU440" i="12"/>
  <c r="CV440" i="12"/>
  <c r="CW440" i="12"/>
  <c r="CX440" i="12"/>
  <c r="CY440" i="12"/>
  <c r="CZ440" i="12"/>
  <c r="DA440" i="12"/>
  <c r="DB440" i="12"/>
  <c r="DC440" i="12"/>
  <c r="DD440" i="12"/>
  <c r="DE440" i="12"/>
  <c r="DF440" i="12"/>
  <c r="DG440" i="12"/>
  <c r="DH440" i="12"/>
  <c r="DI440" i="12"/>
  <c r="DJ440" i="12"/>
  <c r="DK440" i="12"/>
  <c r="DL440" i="12"/>
  <c r="DM440" i="12"/>
  <c r="DN440" i="12"/>
  <c r="DO440" i="12"/>
  <c r="DP440" i="12"/>
  <c r="DQ440" i="12"/>
  <c r="DR440" i="12"/>
  <c r="DS440" i="12"/>
  <c r="DT440" i="12"/>
  <c r="DU440" i="12"/>
  <c r="DV440" i="12"/>
  <c r="DW440" i="12"/>
  <c r="DX440" i="12"/>
  <c r="DY440" i="12"/>
  <c r="DZ440" i="12"/>
  <c r="EA440" i="12"/>
  <c r="EB440" i="12"/>
  <c r="EC440" i="12"/>
  <c r="ED440" i="12"/>
  <c r="EE440" i="12"/>
  <c r="EF440" i="12"/>
  <c r="EG440" i="12"/>
  <c r="EH440" i="12"/>
  <c r="EI440" i="12"/>
  <c r="EJ440" i="12"/>
  <c r="EK440" i="12"/>
  <c r="EL440" i="12"/>
  <c r="EM440" i="12"/>
  <c r="EN440" i="12"/>
  <c r="EO440" i="12"/>
  <c r="EP440" i="12"/>
  <c r="EQ440" i="12"/>
  <c r="ER440" i="12"/>
  <c r="ES440" i="12"/>
  <c r="ET440" i="12"/>
  <c r="EU440" i="12"/>
  <c r="EV440" i="12"/>
  <c r="EW440" i="12"/>
  <c r="EX440" i="12"/>
  <c r="EY440" i="12"/>
  <c r="EZ440" i="12"/>
  <c r="FA440" i="12"/>
  <c r="FB440" i="12"/>
  <c r="FC440" i="12"/>
  <c r="FD440" i="12"/>
  <c r="FE440" i="12"/>
  <c r="FF440" i="12"/>
  <c r="FG440" i="12"/>
  <c r="FH440" i="12"/>
  <c r="FI440" i="12"/>
  <c r="FJ440" i="12"/>
  <c r="FK440" i="12"/>
  <c r="FL440" i="12"/>
  <c r="FM440" i="12"/>
  <c r="FN440" i="12"/>
  <c r="FO440" i="12"/>
  <c r="FP440" i="12"/>
  <c r="FQ440" i="12"/>
  <c r="FR440" i="12"/>
  <c r="FS440" i="12"/>
  <c r="FT440" i="12"/>
  <c r="FU440" i="12"/>
  <c r="FV440" i="12"/>
  <c r="FW440" i="12"/>
  <c r="FX440" i="12"/>
  <c r="FY440" i="12"/>
  <c r="FZ440" i="12"/>
  <c r="GA440" i="12"/>
  <c r="GB440" i="12"/>
  <c r="GC440" i="12"/>
  <c r="GD440" i="12"/>
  <c r="GE440" i="12"/>
  <c r="GF440" i="12"/>
  <c r="GG440" i="12"/>
  <c r="GH440" i="12"/>
  <c r="GI440" i="12"/>
  <c r="GJ440" i="12"/>
  <c r="GK440" i="12"/>
  <c r="GL440" i="12"/>
  <c r="GM440" i="12"/>
  <c r="GN440" i="12"/>
  <c r="GO440" i="12"/>
  <c r="GP440" i="12"/>
  <c r="GQ440" i="12"/>
  <c r="GR440" i="12"/>
  <c r="GS440" i="12"/>
  <c r="GT440" i="12"/>
  <c r="GU440" i="12"/>
  <c r="GV440" i="12"/>
  <c r="GW440" i="12"/>
  <c r="GX440" i="12"/>
  <c r="GY440" i="12"/>
  <c r="GZ440" i="12"/>
  <c r="HA440" i="12"/>
  <c r="HB440" i="12"/>
  <c r="HC440" i="12"/>
  <c r="HD440" i="12"/>
  <c r="HE440" i="12"/>
  <c r="HF440" i="12"/>
  <c r="HG440" i="12"/>
  <c r="HH440" i="12"/>
  <c r="HI440" i="12"/>
  <c r="HJ440" i="12"/>
  <c r="HK440" i="12"/>
  <c r="HL440" i="12"/>
  <c r="HM440" i="12"/>
  <c r="HN440" i="12"/>
  <c r="HO440" i="12"/>
  <c r="HP440" i="12"/>
  <c r="HQ440" i="12"/>
  <c r="HR440" i="12"/>
  <c r="HS440" i="12"/>
  <c r="HT440" i="12"/>
  <c r="HU440" i="12"/>
  <c r="HV440" i="12"/>
  <c r="HW440" i="12"/>
  <c r="HX440" i="12"/>
  <c r="HY440" i="12"/>
  <c r="HZ440" i="12"/>
  <c r="IA440" i="12"/>
  <c r="IB440" i="12"/>
  <c r="IC440" i="12"/>
  <c r="ID440" i="12"/>
  <c r="IE440" i="12"/>
  <c r="IF440" i="12"/>
  <c r="IG440" i="12"/>
  <c r="IH440" i="12"/>
  <c r="II440" i="12"/>
  <c r="IJ440" i="12"/>
  <c r="IK440" i="12"/>
  <c r="IL440" i="12"/>
  <c r="IM440" i="12"/>
  <c r="IN440" i="12"/>
  <c r="IO440" i="12"/>
  <c r="IP440" i="12"/>
  <c r="IQ440" i="12"/>
  <c r="IR440" i="12"/>
  <c r="IS440" i="12"/>
  <c r="IT440" i="12"/>
  <c r="IU440" i="12"/>
  <c r="IV440" i="12"/>
  <c r="F441" i="12"/>
  <c r="G441" i="12"/>
  <c r="H441" i="12"/>
  <c r="I441" i="12"/>
  <c r="J441" i="12"/>
  <c r="K441" i="12"/>
  <c r="L441" i="12"/>
  <c r="M441" i="12"/>
  <c r="N441" i="12"/>
  <c r="O441" i="12"/>
  <c r="P441" i="12"/>
  <c r="Q441" i="12"/>
  <c r="R441" i="12"/>
  <c r="S441" i="12"/>
  <c r="T441" i="12"/>
  <c r="U441" i="12"/>
  <c r="V441" i="12"/>
  <c r="W441" i="12"/>
  <c r="X441" i="12"/>
  <c r="Y441" i="12"/>
  <c r="Z441" i="12"/>
  <c r="AA441" i="12"/>
  <c r="AB441" i="12"/>
  <c r="AC441" i="12"/>
  <c r="AD441" i="12"/>
  <c r="AE441" i="12"/>
  <c r="AF441" i="12"/>
  <c r="AG441" i="12"/>
  <c r="AH441" i="12"/>
  <c r="AI441" i="12"/>
  <c r="AJ441" i="12"/>
  <c r="AK441" i="12"/>
  <c r="AL441" i="12"/>
  <c r="AM441" i="12"/>
  <c r="AN441" i="12"/>
  <c r="AO441" i="12"/>
  <c r="AP441" i="12"/>
  <c r="AQ441" i="12"/>
  <c r="AR441" i="12"/>
  <c r="AS441" i="12"/>
  <c r="AT441" i="12"/>
  <c r="AU441" i="12"/>
  <c r="AV441" i="12"/>
  <c r="AW441" i="12"/>
  <c r="AX441" i="12"/>
  <c r="AY441" i="12"/>
  <c r="AZ441" i="12"/>
  <c r="BA441" i="12"/>
  <c r="BB441" i="12"/>
  <c r="BC441" i="12"/>
  <c r="BD441" i="12"/>
  <c r="BE441" i="12"/>
  <c r="BF441" i="12"/>
  <c r="BG441" i="12"/>
  <c r="BH441" i="12"/>
  <c r="BI441" i="12"/>
  <c r="BJ441" i="12"/>
  <c r="BK441" i="12"/>
  <c r="BL441" i="12"/>
  <c r="BM441" i="12"/>
  <c r="BN441" i="12"/>
  <c r="BO441" i="12"/>
  <c r="BP441" i="12"/>
  <c r="BQ441" i="12"/>
  <c r="BR441" i="12"/>
  <c r="BS441" i="12"/>
  <c r="BT441" i="12"/>
  <c r="BU441" i="12"/>
  <c r="BV441" i="12"/>
  <c r="BW441" i="12"/>
  <c r="BX441" i="12"/>
  <c r="BY441" i="12"/>
  <c r="BZ441" i="12"/>
  <c r="CA441" i="12"/>
  <c r="CB441" i="12"/>
  <c r="CC441" i="12"/>
  <c r="CD441" i="12"/>
  <c r="CE441" i="12"/>
  <c r="CF441" i="12"/>
  <c r="CG441" i="12"/>
  <c r="CH441" i="12"/>
  <c r="CI441" i="12"/>
  <c r="CJ441" i="12"/>
  <c r="CK441" i="12"/>
  <c r="CL441" i="12"/>
  <c r="CM441" i="12"/>
  <c r="CN441" i="12"/>
  <c r="CO441" i="12"/>
  <c r="CP441" i="12"/>
  <c r="CQ441" i="12"/>
  <c r="CR441" i="12"/>
  <c r="CS441" i="12"/>
  <c r="CT441" i="12"/>
  <c r="CU441" i="12"/>
  <c r="CV441" i="12"/>
  <c r="CW441" i="12"/>
  <c r="CX441" i="12"/>
  <c r="CY441" i="12"/>
  <c r="CZ441" i="12"/>
  <c r="DA441" i="12"/>
  <c r="DB441" i="12"/>
  <c r="DC441" i="12"/>
  <c r="DD441" i="12"/>
  <c r="DE441" i="12"/>
  <c r="DF441" i="12"/>
  <c r="DG441" i="12"/>
  <c r="DH441" i="12"/>
  <c r="DI441" i="12"/>
  <c r="DJ441" i="12"/>
  <c r="DK441" i="12"/>
  <c r="DL441" i="12"/>
  <c r="DM441" i="12"/>
  <c r="DN441" i="12"/>
  <c r="DO441" i="12"/>
  <c r="DP441" i="12"/>
  <c r="DQ441" i="12"/>
  <c r="DR441" i="12"/>
  <c r="DS441" i="12"/>
  <c r="DT441" i="12"/>
  <c r="DU441" i="12"/>
  <c r="DV441" i="12"/>
  <c r="DW441" i="12"/>
  <c r="DX441" i="12"/>
  <c r="DY441" i="12"/>
  <c r="DZ441" i="12"/>
  <c r="EA441" i="12"/>
  <c r="EB441" i="12"/>
  <c r="EC441" i="12"/>
  <c r="ED441" i="12"/>
  <c r="EE441" i="12"/>
  <c r="EF441" i="12"/>
  <c r="EG441" i="12"/>
  <c r="EH441" i="12"/>
  <c r="EI441" i="12"/>
  <c r="EJ441" i="12"/>
  <c r="EK441" i="12"/>
  <c r="EL441" i="12"/>
  <c r="EM441" i="12"/>
  <c r="EN441" i="12"/>
  <c r="EO441" i="12"/>
  <c r="EP441" i="12"/>
  <c r="EQ441" i="12"/>
  <c r="ER441" i="12"/>
  <c r="ES441" i="12"/>
  <c r="ET441" i="12"/>
  <c r="EU441" i="12"/>
  <c r="EV441" i="12"/>
  <c r="EW441" i="12"/>
  <c r="EX441" i="12"/>
  <c r="EY441" i="12"/>
  <c r="EZ441" i="12"/>
  <c r="FA441" i="12"/>
  <c r="FB441" i="12"/>
  <c r="FC441" i="12"/>
  <c r="FD441" i="12"/>
  <c r="FE441" i="12"/>
  <c r="FF441" i="12"/>
  <c r="FG441" i="12"/>
  <c r="FH441" i="12"/>
  <c r="FI441" i="12"/>
  <c r="FJ441" i="12"/>
  <c r="FK441" i="12"/>
  <c r="FL441" i="12"/>
  <c r="FM441" i="12"/>
  <c r="FN441" i="12"/>
  <c r="FO441" i="12"/>
  <c r="FP441" i="12"/>
  <c r="FQ441" i="12"/>
  <c r="FR441" i="12"/>
  <c r="FS441" i="12"/>
  <c r="FT441" i="12"/>
  <c r="FU441" i="12"/>
  <c r="FV441" i="12"/>
  <c r="FW441" i="12"/>
  <c r="FX441" i="12"/>
  <c r="FY441" i="12"/>
  <c r="FZ441" i="12"/>
  <c r="GA441" i="12"/>
  <c r="GB441" i="12"/>
  <c r="GC441" i="12"/>
  <c r="GD441" i="12"/>
  <c r="GE441" i="12"/>
  <c r="GF441" i="12"/>
  <c r="GG441" i="12"/>
  <c r="GH441" i="12"/>
  <c r="GI441" i="12"/>
  <c r="GJ441" i="12"/>
  <c r="GK441" i="12"/>
  <c r="GL441" i="12"/>
  <c r="GM441" i="12"/>
  <c r="GN441" i="12"/>
  <c r="GO441" i="12"/>
  <c r="GP441" i="12"/>
  <c r="GQ441" i="12"/>
  <c r="GR441" i="12"/>
  <c r="GS441" i="12"/>
  <c r="GT441" i="12"/>
  <c r="GU441" i="12"/>
  <c r="GV441" i="12"/>
  <c r="GW441" i="12"/>
  <c r="GX441" i="12"/>
  <c r="GY441" i="12"/>
  <c r="GZ441" i="12"/>
  <c r="HA441" i="12"/>
  <c r="HB441" i="12"/>
  <c r="HC441" i="12"/>
  <c r="HD441" i="12"/>
  <c r="HE441" i="12"/>
  <c r="HF441" i="12"/>
  <c r="HG441" i="12"/>
  <c r="HH441" i="12"/>
  <c r="HI441" i="12"/>
  <c r="HJ441" i="12"/>
  <c r="HK441" i="12"/>
  <c r="HL441" i="12"/>
  <c r="HM441" i="12"/>
  <c r="HN441" i="12"/>
  <c r="HO441" i="12"/>
  <c r="HP441" i="12"/>
  <c r="HQ441" i="12"/>
  <c r="HR441" i="12"/>
  <c r="HS441" i="12"/>
  <c r="HT441" i="12"/>
  <c r="HU441" i="12"/>
  <c r="HV441" i="12"/>
  <c r="HW441" i="12"/>
  <c r="HX441" i="12"/>
  <c r="HY441" i="12"/>
  <c r="HZ441" i="12"/>
  <c r="IA441" i="12"/>
  <c r="IB441" i="12"/>
  <c r="IC441" i="12"/>
  <c r="ID441" i="12"/>
  <c r="IE441" i="12"/>
  <c r="IF441" i="12"/>
  <c r="IG441" i="12"/>
  <c r="IH441" i="12"/>
  <c r="II441" i="12"/>
  <c r="IJ441" i="12"/>
  <c r="IK441" i="12"/>
  <c r="IL441" i="12"/>
  <c r="IM441" i="12"/>
  <c r="IN441" i="12"/>
  <c r="IO441" i="12"/>
  <c r="IP441" i="12"/>
  <c r="IQ441" i="12"/>
  <c r="IR441" i="12"/>
  <c r="IS441" i="12"/>
  <c r="IT441" i="12"/>
  <c r="IU441" i="12"/>
  <c r="IV441" i="12"/>
  <c r="F442" i="12"/>
  <c r="G442" i="12"/>
  <c r="H442" i="12"/>
  <c r="I442" i="12"/>
  <c r="J442" i="12"/>
  <c r="K442" i="12"/>
  <c r="L442" i="12"/>
  <c r="M442" i="12"/>
  <c r="N442" i="12"/>
  <c r="O442" i="12"/>
  <c r="P442" i="12"/>
  <c r="Q442" i="12"/>
  <c r="R442" i="12"/>
  <c r="S442" i="12"/>
  <c r="T442" i="12"/>
  <c r="U442" i="12"/>
  <c r="V442" i="12"/>
  <c r="W442" i="12"/>
  <c r="X442" i="12"/>
  <c r="Y442" i="12"/>
  <c r="Z442" i="12"/>
  <c r="AA442" i="12"/>
  <c r="AB442" i="12"/>
  <c r="AC442" i="12"/>
  <c r="AD442" i="12"/>
  <c r="AE442" i="12"/>
  <c r="AF442" i="12"/>
  <c r="AG442" i="12"/>
  <c r="AH442" i="12"/>
  <c r="AI442" i="12"/>
  <c r="AJ442" i="12"/>
  <c r="AK442" i="12"/>
  <c r="AL442" i="12"/>
  <c r="AM442" i="12"/>
  <c r="AN442" i="12"/>
  <c r="AO442" i="12"/>
  <c r="AP442" i="12"/>
  <c r="AQ442" i="12"/>
  <c r="AR442" i="12"/>
  <c r="AS442" i="12"/>
  <c r="AT442" i="12"/>
  <c r="AU442" i="12"/>
  <c r="AV442" i="12"/>
  <c r="AW442" i="12"/>
  <c r="AX442" i="12"/>
  <c r="AY442" i="12"/>
  <c r="AZ442" i="12"/>
  <c r="BA442" i="12"/>
  <c r="BB442" i="12"/>
  <c r="BC442" i="12"/>
  <c r="BD442" i="12"/>
  <c r="BE442" i="12"/>
  <c r="BF442" i="12"/>
  <c r="BG442" i="12"/>
  <c r="BH442" i="12"/>
  <c r="BI442" i="12"/>
  <c r="BJ442" i="12"/>
  <c r="BK442" i="12"/>
  <c r="BL442" i="12"/>
  <c r="BM442" i="12"/>
  <c r="BN442" i="12"/>
  <c r="BO442" i="12"/>
  <c r="BP442" i="12"/>
  <c r="BQ442" i="12"/>
  <c r="BR442" i="12"/>
  <c r="BS442" i="12"/>
  <c r="BT442" i="12"/>
  <c r="BU442" i="12"/>
  <c r="BV442" i="12"/>
  <c r="BW442" i="12"/>
  <c r="BX442" i="12"/>
  <c r="BY442" i="12"/>
  <c r="BZ442" i="12"/>
  <c r="CA442" i="12"/>
  <c r="CB442" i="12"/>
  <c r="CC442" i="12"/>
  <c r="CD442" i="12"/>
  <c r="CE442" i="12"/>
  <c r="CF442" i="12"/>
  <c r="CG442" i="12"/>
  <c r="CH442" i="12"/>
  <c r="CI442" i="12"/>
  <c r="CJ442" i="12"/>
  <c r="CK442" i="12"/>
  <c r="CL442" i="12"/>
  <c r="CM442" i="12"/>
  <c r="CN442" i="12"/>
  <c r="CO442" i="12"/>
  <c r="CP442" i="12"/>
  <c r="CQ442" i="12"/>
  <c r="CR442" i="12"/>
  <c r="CS442" i="12"/>
  <c r="CT442" i="12"/>
  <c r="CU442" i="12"/>
  <c r="CV442" i="12"/>
  <c r="CW442" i="12"/>
  <c r="CX442" i="12"/>
  <c r="CY442" i="12"/>
  <c r="CZ442" i="12"/>
  <c r="DA442" i="12"/>
  <c r="DB442" i="12"/>
  <c r="DC442" i="12"/>
  <c r="DD442" i="12"/>
  <c r="DE442" i="12"/>
  <c r="DF442" i="12"/>
  <c r="DG442" i="12"/>
  <c r="DH442" i="12"/>
  <c r="DI442" i="12"/>
  <c r="DJ442" i="12"/>
  <c r="DK442" i="12"/>
  <c r="DL442" i="12"/>
  <c r="DM442" i="12"/>
  <c r="DN442" i="12"/>
  <c r="DO442" i="12"/>
  <c r="DP442" i="12"/>
  <c r="DQ442" i="12"/>
  <c r="DR442" i="12"/>
  <c r="DS442" i="12"/>
  <c r="DT442" i="12"/>
  <c r="DU442" i="12"/>
  <c r="DV442" i="12"/>
  <c r="DW442" i="12"/>
  <c r="DX442" i="12"/>
  <c r="DY442" i="12"/>
  <c r="DZ442" i="12"/>
  <c r="EA442" i="12"/>
  <c r="EB442" i="12"/>
  <c r="EC442" i="12"/>
  <c r="ED442" i="12"/>
  <c r="EE442" i="12"/>
  <c r="EF442" i="12"/>
  <c r="EG442" i="12"/>
  <c r="EH442" i="12"/>
  <c r="EI442" i="12"/>
  <c r="EJ442" i="12"/>
  <c r="EK442" i="12"/>
  <c r="EL442" i="12"/>
  <c r="EM442" i="12"/>
  <c r="EN442" i="12"/>
  <c r="EO442" i="12"/>
  <c r="EP442" i="12"/>
  <c r="EQ442" i="12"/>
  <c r="ER442" i="12"/>
  <c r="ES442" i="12"/>
  <c r="ET442" i="12"/>
  <c r="EU442" i="12"/>
  <c r="EV442" i="12"/>
  <c r="EW442" i="12"/>
  <c r="EX442" i="12"/>
  <c r="EY442" i="12"/>
  <c r="EZ442" i="12"/>
  <c r="FA442" i="12"/>
  <c r="FB442" i="12"/>
  <c r="FC442" i="12"/>
  <c r="FD442" i="12"/>
  <c r="FE442" i="12"/>
  <c r="FF442" i="12"/>
  <c r="FG442" i="12"/>
  <c r="FH442" i="12"/>
  <c r="FI442" i="12"/>
  <c r="FJ442" i="12"/>
  <c r="FK442" i="12"/>
  <c r="FL442" i="12"/>
  <c r="FM442" i="12"/>
  <c r="FN442" i="12"/>
  <c r="FO442" i="12"/>
  <c r="FP442" i="12"/>
  <c r="FQ442" i="12"/>
  <c r="FR442" i="12"/>
  <c r="FS442" i="12"/>
  <c r="FT442" i="12"/>
  <c r="FU442" i="12"/>
  <c r="FV442" i="12"/>
  <c r="FW442" i="12"/>
  <c r="FX442" i="12"/>
  <c r="FY442" i="12"/>
  <c r="FZ442" i="12"/>
  <c r="GA442" i="12"/>
  <c r="GB442" i="12"/>
  <c r="GC442" i="12"/>
  <c r="GD442" i="12"/>
  <c r="GE442" i="12"/>
  <c r="GF442" i="12"/>
  <c r="GG442" i="12"/>
  <c r="GH442" i="12"/>
  <c r="GI442" i="12"/>
  <c r="GJ442" i="12"/>
  <c r="GK442" i="12"/>
  <c r="GL442" i="12"/>
  <c r="GM442" i="12"/>
  <c r="GN442" i="12"/>
  <c r="GO442" i="12"/>
  <c r="GP442" i="12"/>
  <c r="GQ442" i="12"/>
  <c r="GR442" i="12"/>
  <c r="GS442" i="12"/>
  <c r="GT442" i="12"/>
  <c r="GU442" i="12"/>
  <c r="GV442" i="12"/>
  <c r="GW442" i="12"/>
  <c r="GX442" i="12"/>
  <c r="GY442" i="12"/>
  <c r="GZ442" i="12"/>
  <c r="HA442" i="12"/>
  <c r="HB442" i="12"/>
  <c r="HC442" i="12"/>
  <c r="HD442" i="12"/>
  <c r="HE442" i="12"/>
  <c r="HF442" i="12"/>
  <c r="HG442" i="12"/>
  <c r="HH442" i="12"/>
  <c r="HI442" i="12"/>
  <c r="HJ442" i="12"/>
  <c r="HK442" i="12"/>
  <c r="HL442" i="12"/>
  <c r="HM442" i="12"/>
  <c r="HN442" i="12"/>
  <c r="HO442" i="12"/>
  <c r="HP442" i="12"/>
  <c r="HQ442" i="12"/>
  <c r="HR442" i="12"/>
  <c r="HS442" i="12"/>
  <c r="HT442" i="12"/>
  <c r="HU442" i="12"/>
  <c r="HV442" i="12"/>
  <c r="HW442" i="12"/>
  <c r="HX442" i="12"/>
  <c r="HY442" i="12"/>
  <c r="HZ442" i="12"/>
  <c r="IA442" i="12"/>
  <c r="IB442" i="12"/>
  <c r="IC442" i="12"/>
  <c r="ID442" i="12"/>
  <c r="IE442" i="12"/>
  <c r="IF442" i="12"/>
  <c r="IG442" i="12"/>
  <c r="IH442" i="12"/>
  <c r="II442" i="12"/>
  <c r="IJ442" i="12"/>
  <c r="IK442" i="12"/>
  <c r="IL442" i="12"/>
  <c r="IM442" i="12"/>
  <c r="IN442" i="12"/>
  <c r="IO442" i="12"/>
  <c r="IP442" i="12"/>
  <c r="IQ442" i="12"/>
  <c r="IR442" i="12"/>
  <c r="IS442" i="12"/>
  <c r="IT442" i="12"/>
  <c r="IU442" i="12"/>
  <c r="IV442" i="12"/>
  <c r="F443" i="12"/>
  <c r="G443" i="12"/>
  <c r="H443" i="12"/>
  <c r="I443" i="12"/>
  <c r="J443" i="12"/>
  <c r="K443" i="12"/>
  <c r="L443" i="12"/>
  <c r="M443" i="12"/>
  <c r="N443" i="12"/>
  <c r="O443" i="12"/>
  <c r="P443" i="12"/>
  <c r="Q443" i="12"/>
  <c r="R443" i="12"/>
  <c r="S443" i="12"/>
  <c r="T443" i="12"/>
  <c r="U443" i="12"/>
  <c r="V443" i="12"/>
  <c r="W443" i="12"/>
  <c r="X443" i="12"/>
  <c r="Y443" i="12"/>
  <c r="Z443" i="12"/>
  <c r="AA443" i="12"/>
  <c r="AB443" i="12"/>
  <c r="AC443" i="12"/>
  <c r="AD443" i="12"/>
  <c r="AE443" i="12"/>
  <c r="AF443" i="12"/>
  <c r="AG443" i="12"/>
  <c r="AH443" i="12"/>
  <c r="AI443" i="12"/>
  <c r="AJ443" i="12"/>
  <c r="AK443" i="12"/>
  <c r="AL443" i="12"/>
  <c r="AM443" i="12"/>
  <c r="AN443" i="12"/>
  <c r="AO443" i="12"/>
  <c r="AP443" i="12"/>
  <c r="AQ443" i="12"/>
  <c r="AR443" i="12"/>
  <c r="AS443" i="12"/>
  <c r="AT443" i="12"/>
  <c r="AU443" i="12"/>
  <c r="AV443" i="12"/>
  <c r="AW443" i="12"/>
  <c r="AX443" i="12"/>
  <c r="AY443" i="12"/>
  <c r="AZ443" i="12"/>
  <c r="BA443" i="12"/>
  <c r="BB443" i="12"/>
  <c r="BC443" i="12"/>
  <c r="BD443" i="12"/>
  <c r="BE443" i="12"/>
  <c r="BF443" i="12"/>
  <c r="BG443" i="12"/>
  <c r="BH443" i="12"/>
  <c r="BI443" i="12"/>
  <c r="BJ443" i="12"/>
  <c r="BK443" i="12"/>
  <c r="BL443" i="12"/>
  <c r="BM443" i="12"/>
  <c r="BN443" i="12"/>
  <c r="BO443" i="12"/>
  <c r="BP443" i="12"/>
  <c r="BQ443" i="12"/>
  <c r="BR443" i="12"/>
  <c r="BS443" i="12"/>
  <c r="BT443" i="12"/>
  <c r="BU443" i="12"/>
  <c r="BV443" i="12"/>
  <c r="BW443" i="12"/>
  <c r="BX443" i="12"/>
  <c r="BY443" i="12"/>
  <c r="BZ443" i="12"/>
  <c r="CA443" i="12"/>
  <c r="CB443" i="12"/>
  <c r="CC443" i="12"/>
  <c r="CD443" i="12"/>
  <c r="CE443" i="12"/>
  <c r="CF443" i="12"/>
  <c r="CG443" i="12"/>
  <c r="CH443" i="12"/>
  <c r="CI443" i="12"/>
  <c r="CJ443" i="12"/>
  <c r="CK443" i="12"/>
  <c r="CL443" i="12"/>
  <c r="CM443" i="12"/>
  <c r="CN443" i="12"/>
  <c r="CO443" i="12"/>
  <c r="CP443" i="12"/>
  <c r="CQ443" i="12"/>
  <c r="CR443" i="12"/>
  <c r="CS443" i="12"/>
  <c r="CT443" i="12"/>
  <c r="CU443" i="12"/>
  <c r="CV443" i="12"/>
  <c r="CW443" i="12"/>
  <c r="CX443" i="12"/>
  <c r="CY443" i="12"/>
  <c r="CZ443" i="12"/>
  <c r="DA443" i="12"/>
  <c r="DB443" i="12"/>
  <c r="DC443" i="12"/>
  <c r="DD443" i="12"/>
  <c r="DE443" i="12"/>
  <c r="DF443" i="12"/>
  <c r="DG443" i="12"/>
  <c r="DH443" i="12"/>
  <c r="DI443" i="12"/>
  <c r="DJ443" i="12"/>
  <c r="DK443" i="12"/>
  <c r="DL443" i="12"/>
  <c r="DM443" i="12"/>
  <c r="DN443" i="12"/>
  <c r="DO443" i="12"/>
  <c r="DP443" i="12"/>
  <c r="DQ443" i="12"/>
  <c r="DR443" i="12"/>
  <c r="DS443" i="12"/>
  <c r="DT443" i="12"/>
  <c r="DU443" i="12"/>
  <c r="DV443" i="12"/>
  <c r="DW443" i="12"/>
  <c r="DX443" i="12"/>
  <c r="DY443" i="12"/>
  <c r="DZ443" i="12"/>
  <c r="EA443" i="12"/>
  <c r="EB443" i="12"/>
  <c r="EC443" i="12"/>
  <c r="ED443" i="12"/>
  <c r="EE443" i="12"/>
  <c r="EF443" i="12"/>
  <c r="EG443" i="12"/>
  <c r="EH443" i="12"/>
  <c r="EI443" i="12"/>
  <c r="EJ443" i="12"/>
  <c r="EK443" i="12"/>
  <c r="EL443" i="12"/>
  <c r="EM443" i="12"/>
  <c r="EN443" i="12"/>
  <c r="EO443" i="12"/>
  <c r="EP443" i="12"/>
  <c r="EQ443" i="12"/>
  <c r="ER443" i="12"/>
  <c r="ES443" i="12"/>
  <c r="ET443" i="12"/>
  <c r="EU443" i="12"/>
  <c r="EV443" i="12"/>
  <c r="EW443" i="12"/>
  <c r="EX443" i="12"/>
  <c r="EY443" i="12"/>
  <c r="EZ443" i="12"/>
  <c r="FA443" i="12"/>
  <c r="FB443" i="12"/>
  <c r="FC443" i="12"/>
  <c r="FD443" i="12"/>
  <c r="FE443" i="12"/>
  <c r="FF443" i="12"/>
  <c r="FG443" i="12"/>
  <c r="FH443" i="12"/>
  <c r="FI443" i="12"/>
  <c r="FJ443" i="12"/>
  <c r="FK443" i="12"/>
  <c r="FL443" i="12"/>
  <c r="FM443" i="12"/>
  <c r="FN443" i="12"/>
  <c r="FO443" i="12"/>
  <c r="FP443" i="12"/>
  <c r="FQ443" i="12"/>
  <c r="FR443" i="12"/>
  <c r="FS443" i="12"/>
  <c r="FT443" i="12"/>
  <c r="FU443" i="12"/>
  <c r="FV443" i="12"/>
  <c r="FW443" i="12"/>
  <c r="FX443" i="12"/>
  <c r="FY443" i="12"/>
  <c r="FZ443" i="12"/>
  <c r="GA443" i="12"/>
  <c r="GB443" i="12"/>
  <c r="GC443" i="12"/>
  <c r="GD443" i="12"/>
  <c r="GE443" i="12"/>
  <c r="GF443" i="12"/>
  <c r="GG443" i="12"/>
  <c r="GH443" i="12"/>
  <c r="GI443" i="12"/>
  <c r="GJ443" i="12"/>
  <c r="GK443" i="12"/>
  <c r="GL443" i="12"/>
  <c r="GM443" i="12"/>
  <c r="GN443" i="12"/>
  <c r="GO443" i="12"/>
  <c r="GP443" i="12"/>
  <c r="GQ443" i="12"/>
  <c r="GR443" i="12"/>
  <c r="GS443" i="12"/>
  <c r="GT443" i="12"/>
  <c r="GU443" i="12"/>
  <c r="GV443" i="12"/>
  <c r="GW443" i="12"/>
  <c r="GX443" i="12"/>
  <c r="GY443" i="12"/>
  <c r="GZ443" i="12"/>
  <c r="HA443" i="12"/>
  <c r="HB443" i="12"/>
  <c r="HC443" i="12"/>
  <c r="HD443" i="12"/>
  <c r="HE443" i="12"/>
  <c r="HF443" i="12"/>
  <c r="HG443" i="12"/>
  <c r="HH443" i="12"/>
  <c r="HI443" i="12"/>
  <c r="HJ443" i="12"/>
  <c r="HK443" i="12"/>
  <c r="HL443" i="12"/>
  <c r="HM443" i="12"/>
  <c r="HN443" i="12"/>
  <c r="HO443" i="12"/>
  <c r="HP443" i="12"/>
  <c r="HQ443" i="12"/>
  <c r="HR443" i="12"/>
  <c r="HS443" i="12"/>
  <c r="HT443" i="12"/>
  <c r="HU443" i="12"/>
  <c r="HV443" i="12"/>
  <c r="HW443" i="12"/>
  <c r="HX443" i="12"/>
  <c r="HY443" i="12"/>
  <c r="HZ443" i="12"/>
  <c r="IA443" i="12"/>
  <c r="IB443" i="12"/>
  <c r="IC443" i="12"/>
  <c r="ID443" i="12"/>
  <c r="IE443" i="12"/>
  <c r="IF443" i="12"/>
  <c r="IG443" i="12"/>
  <c r="IH443" i="12"/>
  <c r="II443" i="12"/>
  <c r="IJ443" i="12"/>
  <c r="IK443" i="12"/>
  <c r="IL443" i="12"/>
  <c r="IM443" i="12"/>
  <c r="IN443" i="12"/>
  <c r="IO443" i="12"/>
  <c r="IP443" i="12"/>
  <c r="IQ443" i="12"/>
  <c r="IR443" i="12"/>
  <c r="IS443" i="12"/>
  <c r="IT443" i="12"/>
  <c r="IU443" i="12"/>
  <c r="IV443" i="12"/>
  <c r="F444" i="12"/>
  <c r="G444" i="12"/>
  <c r="H444" i="12"/>
  <c r="I444" i="12"/>
  <c r="J444" i="12"/>
  <c r="K444" i="12"/>
  <c r="L444" i="12"/>
  <c r="M444" i="12"/>
  <c r="N444" i="12"/>
  <c r="O444" i="12"/>
  <c r="P444" i="12"/>
  <c r="Q444" i="12"/>
  <c r="R444" i="12"/>
  <c r="S444" i="12"/>
  <c r="T444" i="12"/>
  <c r="U444" i="12"/>
  <c r="V444" i="12"/>
  <c r="W444" i="12"/>
  <c r="X444" i="12"/>
  <c r="Y444" i="12"/>
  <c r="Z444" i="12"/>
  <c r="AA444" i="12"/>
  <c r="AB444" i="12"/>
  <c r="AC444" i="12"/>
  <c r="AD444" i="12"/>
  <c r="AE444" i="12"/>
  <c r="AF444" i="12"/>
  <c r="AG444" i="12"/>
  <c r="AH444" i="12"/>
  <c r="AI444" i="12"/>
  <c r="AJ444" i="12"/>
  <c r="AK444" i="12"/>
  <c r="AL444" i="12"/>
  <c r="AM444" i="12"/>
  <c r="AN444" i="12"/>
  <c r="AO444" i="12"/>
  <c r="AP444" i="12"/>
  <c r="AQ444" i="12"/>
  <c r="AR444" i="12"/>
  <c r="AS444" i="12"/>
  <c r="AT444" i="12"/>
  <c r="AU444" i="12"/>
  <c r="AV444" i="12"/>
  <c r="AW444" i="12"/>
  <c r="AX444" i="12"/>
  <c r="AY444" i="12"/>
  <c r="AZ444" i="12"/>
  <c r="BA444" i="12"/>
  <c r="BB444" i="12"/>
  <c r="BC444" i="12"/>
  <c r="BD444" i="12"/>
  <c r="BE444" i="12"/>
  <c r="BF444" i="12"/>
  <c r="BG444" i="12"/>
  <c r="BH444" i="12"/>
  <c r="BI444" i="12"/>
  <c r="BJ444" i="12"/>
  <c r="BK444" i="12"/>
  <c r="BL444" i="12"/>
  <c r="BM444" i="12"/>
  <c r="BN444" i="12"/>
  <c r="BO444" i="12"/>
  <c r="BP444" i="12"/>
  <c r="BQ444" i="12"/>
  <c r="BR444" i="12"/>
  <c r="BS444" i="12"/>
  <c r="BT444" i="12"/>
  <c r="BU444" i="12"/>
  <c r="BV444" i="12"/>
  <c r="BW444" i="12"/>
  <c r="BX444" i="12"/>
  <c r="BY444" i="12"/>
  <c r="BZ444" i="12"/>
  <c r="CA444" i="12"/>
  <c r="CB444" i="12"/>
  <c r="CC444" i="12"/>
  <c r="CD444" i="12"/>
  <c r="CE444" i="12"/>
  <c r="CF444" i="12"/>
  <c r="CG444" i="12"/>
  <c r="CH444" i="12"/>
  <c r="CI444" i="12"/>
  <c r="CJ444" i="12"/>
  <c r="CK444" i="12"/>
  <c r="CL444" i="12"/>
  <c r="CM444" i="12"/>
  <c r="CN444" i="12"/>
  <c r="CO444" i="12"/>
  <c r="CP444" i="12"/>
  <c r="CQ444" i="12"/>
  <c r="CR444" i="12"/>
  <c r="CS444" i="12"/>
  <c r="CT444" i="12"/>
  <c r="CU444" i="12"/>
  <c r="CV444" i="12"/>
  <c r="CW444" i="12"/>
  <c r="CX444" i="12"/>
  <c r="CY444" i="12"/>
  <c r="CZ444" i="12"/>
  <c r="DA444" i="12"/>
  <c r="DB444" i="12"/>
  <c r="DC444" i="12"/>
  <c r="DD444" i="12"/>
  <c r="DE444" i="12"/>
  <c r="DF444" i="12"/>
  <c r="DG444" i="12"/>
  <c r="DH444" i="12"/>
  <c r="DI444" i="12"/>
  <c r="DJ444" i="12"/>
  <c r="DK444" i="12"/>
  <c r="DL444" i="12"/>
  <c r="DM444" i="12"/>
  <c r="DN444" i="12"/>
  <c r="DO444" i="12"/>
  <c r="DP444" i="12"/>
  <c r="DQ444" i="12"/>
  <c r="DR444" i="12"/>
  <c r="DS444" i="12"/>
  <c r="DT444" i="12"/>
  <c r="DU444" i="12"/>
  <c r="DV444" i="12"/>
  <c r="DW444" i="12"/>
  <c r="DX444" i="12"/>
  <c r="DY444" i="12"/>
  <c r="DZ444" i="12"/>
  <c r="EA444" i="12"/>
  <c r="EB444" i="12"/>
  <c r="EC444" i="12"/>
  <c r="ED444" i="12"/>
  <c r="EE444" i="12"/>
  <c r="EF444" i="12"/>
  <c r="EG444" i="12"/>
  <c r="EH444" i="12"/>
  <c r="EI444" i="12"/>
  <c r="EJ444" i="12"/>
  <c r="EK444" i="12"/>
  <c r="EL444" i="12"/>
  <c r="EM444" i="12"/>
  <c r="EN444" i="12"/>
  <c r="EO444" i="12"/>
  <c r="EP444" i="12"/>
  <c r="EQ444" i="12"/>
  <c r="ER444" i="12"/>
  <c r="ES444" i="12"/>
  <c r="ET444" i="12"/>
  <c r="EU444" i="12"/>
  <c r="EV444" i="12"/>
  <c r="EW444" i="12"/>
  <c r="EX444" i="12"/>
  <c r="EY444" i="12"/>
  <c r="EZ444" i="12"/>
  <c r="FA444" i="12"/>
  <c r="FB444" i="12"/>
  <c r="FC444" i="12"/>
  <c r="FD444" i="12"/>
  <c r="FE444" i="12"/>
  <c r="FF444" i="12"/>
  <c r="FG444" i="12"/>
  <c r="FH444" i="12"/>
  <c r="FI444" i="12"/>
  <c r="FJ444" i="12"/>
  <c r="FK444" i="12"/>
  <c r="FL444" i="12"/>
  <c r="FM444" i="12"/>
  <c r="FN444" i="12"/>
  <c r="FO444" i="12"/>
  <c r="FP444" i="12"/>
  <c r="FQ444" i="12"/>
  <c r="FR444" i="12"/>
  <c r="FS444" i="12"/>
  <c r="FT444" i="12"/>
  <c r="FU444" i="12"/>
  <c r="FV444" i="12"/>
  <c r="FW444" i="12"/>
  <c r="FX444" i="12"/>
  <c r="FY444" i="12"/>
  <c r="FZ444" i="12"/>
  <c r="GA444" i="12"/>
  <c r="GB444" i="12"/>
  <c r="GC444" i="12"/>
  <c r="GD444" i="12"/>
  <c r="GE444" i="12"/>
  <c r="GF444" i="12"/>
  <c r="GG444" i="12"/>
  <c r="GH444" i="12"/>
  <c r="GI444" i="12"/>
  <c r="GJ444" i="12"/>
  <c r="GK444" i="12"/>
  <c r="GL444" i="12"/>
  <c r="GM444" i="12"/>
  <c r="GN444" i="12"/>
  <c r="GO444" i="12"/>
  <c r="GP444" i="12"/>
  <c r="GQ444" i="12"/>
  <c r="GR444" i="12"/>
  <c r="GS444" i="12"/>
  <c r="GT444" i="12"/>
  <c r="GU444" i="12"/>
  <c r="GV444" i="12"/>
  <c r="GW444" i="12"/>
  <c r="GX444" i="12"/>
  <c r="GY444" i="12"/>
  <c r="GZ444" i="12"/>
  <c r="HA444" i="12"/>
  <c r="HB444" i="12"/>
  <c r="HC444" i="12"/>
  <c r="HD444" i="12"/>
  <c r="HE444" i="12"/>
  <c r="HF444" i="12"/>
  <c r="HG444" i="12"/>
  <c r="HH444" i="12"/>
  <c r="HI444" i="12"/>
  <c r="HJ444" i="12"/>
  <c r="HK444" i="12"/>
  <c r="HL444" i="12"/>
  <c r="HM444" i="12"/>
  <c r="HN444" i="12"/>
  <c r="HO444" i="12"/>
  <c r="HP444" i="12"/>
  <c r="HQ444" i="12"/>
  <c r="HR444" i="12"/>
  <c r="HS444" i="12"/>
  <c r="HT444" i="12"/>
  <c r="HU444" i="12"/>
  <c r="HV444" i="12"/>
  <c r="HW444" i="12"/>
  <c r="HX444" i="12"/>
  <c r="HY444" i="12"/>
  <c r="HZ444" i="12"/>
  <c r="IA444" i="12"/>
  <c r="IB444" i="12"/>
  <c r="IC444" i="12"/>
  <c r="ID444" i="12"/>
  <c r="IE444" i="12"/>
  <c r="IF444" i="12"/>
  <c r="IG444" i="12"/>
  <c r="IH444" i="12"/>
  <c r="II444" i="12"/>
  <c r="IJ444" i="12"/>
  <c r="IK444" i="12"/>
  <c r="IL444" i="12"/>
  <c r="IM444" i="12"/>
  <c r="IN444" i="12"/>
  <c r="IO444" i="12"/>
  <c r="IP444" i="12"/>
  <c r="IQ444" i="12"/>
  <c r="IR444" i="12"/>
  <c r="IS444" i="12"/>
  <c r="IT444" i="12"/>
  <c r="IU444" i="12"/>
  <c r="IV444" i="12"/>
  <c r="F445" i="12"/>
  <c r="G445" i="12"/>
  <c r="H445" i="12"/>
  <c r="I445" i="12"/>
  <c r="J445" i="12"/>
  <c r="K445" i="12"/>
  <c r="L445" i="12"/>
  <c r="M445" i="12"/>
  <c r="N445" i="12"/>
  <c r="O445" i="12"/>
  <c r="P445" i="12"/>
  <c r="Q445" i="12"/>
  <c r="R445" i="12"/>
  <c r="S445" i="12"/>
  <c r="T445" i="12"/>
  <c r="U445" i="12"/>
  <c r="V445" i="12"/>
  <c r="W445" i="12"/>
  <c r="X445" i="12"/>
  <c r="Y445" i="12"/>
  <c r="Z445" i="12"/>
  <c r="AA445" i="12"/>
  <c r="AB445" i="12"/>
  <c r="AC445" i="12"/>
  <c r="AD445" i="12"/>
  <c r="AE445" i="12"/>
  <c r="AF445" i="12"/>
  <c r="AG445" i="12"/>
  <c r="AH445" i="12"/>
  <c r="AI445" i="12"/>
  <c r="AJ445" i="12"/>
  <c r="AK445" i="12"/>
  <c r="AL445" i="12"/>
  <c r="AM445" i="12"/>
  <c r="AN445" i="12"/>
  <c r="AO445" i="12"/>
  <c r="AP445" i="12"/>
  <c r="AQ445" i="12"/>
  <c r="AR445" i="12"/>
  <c r="AS445" i="12"/>
  <c r="AT445" i="12"/>
  <c r="AU445" i="12"/>
  <c r="AV445" i="12"/>
  <c r="AW445" i="12"/>
  <c r="AX445" i="12"/>
  <c r="AY445" i="12"/>
  <c r="AZ445" i="12"/>
  <c r="BA445" i="12"/>
  <c r="BB445" i="12"/>
  <c r="BC445" i="12"/>
  <c r="BD445" i="12"/>
  <c r="BE445" i="12"/>
  <c r="BF445" i="12"/>
  <c r="BG445" i="12"/>
  <c r="BH445" i="12"/>
  <c r="BI445" i="12"/>
  <c r="BJ445" i="12"/>
  <c r="BK445" i="12"/>
  <c r="BL445" i="12"/>
  <c r="BM445" i="12"/>
  <c r="BN445" i="12"/>
  <c r="BO445" i="12"/>
  <c r="BP445" i="12"/>
  <c r="BQ445" i="12"/>
  <c r="BR445" i="12"/>
  <c r="BS445" i="12"/>
  <c r="BT445" i="12"/>
  <c r="BU445" i="12"/>
  <c r="BV445" i="12"/>
  <c r="BW445" i="12"/>
  <c r="BX445" i="12"/>
  <c r="BY445" i="12"/>
  <c r="BZ445" i="12"/>
  <c r="CA445" i="12"/>
  <c r="CB445" i="12"/>
  <c r="CC445" i="12"/>
  <c r="CD445" i="12"/>
  <c r="CE445" i="12"/>
  <c r="CF445" i="12"/>
  <c r="CG445" i="12"/>
  <c r="CH445" i="12"/>
  <c r="CI445" i="12"/>
  <c r="CJ445" i="12"/>
  <c r="CK445" i="12"/>
  <c r="CL445" i="12"/>
  <c r="CM445" i="12"/>
  <c r="CN445" i="12"/>
  <c r="CO445" i="12"/>
  <c r="CP445" i="12"/>
  <c r="CQ445" i="12"/>
  <c r="CR445" i="12"/>
  <c r="CS445" i="12"/>
  <c r="CT445" i="12"/>
  <c r="CU445" i="12"/>
  <c r="CV445" i="12"/>
  <c r="CW445" i="12"/>
  <c r="CX445" i="12"/>
  <c r="CY445" i="12"/>
  <c r="CZ445" i="12"/>
  <c r="DA445" i="12"/>
  <c r="DB445" i="12"/>
  <c r="DC445" i="12"/>
  <c r="DD445" i="12"/>
  <c r="DE445" i="12"/>
  <c r="DF445" i="12"/>
  <c r="DG445" i="12"/>
  <c r="DH445" i="12"/>
  <c r="DI445" i="12"/>
  <c r="DJ445" i="12"/>
  <c r="DK445" i="12"/>
  <c r="DL445" i="12"/>
  <c r="DM445" i="12"/>
  <c r="DN445" i="12"/>
  <c r="DO445" i="12"/>
  <c r="DP445" i="12"/>
  <c r="DQ445" i="12"/>
  <c r="DR445" i="12"/>
  <c r="DS445" i="12"/>
  <c r="DT445" i="12"/>
  <c r="DU445" i="12"/>
  <c r="DV445" i="12"/>
  <c r="DW445" i="12"/>
  <c r="DX445" i="12"/>
  <c r="DY445" i="12"/>
  <c r="DZ445" i="12"/>
  <c r="EA445" i="12"/>
  <c r="EB445" i="12"/>
  <c r="EC445" i="12"/>
  <c r="ED445" i="12"/>
  <c r="EE445" i="12"/>
  <c r="EF445" i="12"/>
  <c r="EG445" i="12"/>
  <c r="EH445" i="12"/>
  <c r="EI445" i="12"/>
  <c r="EJ445" i="12"/>
  <c r="EK445" i="12"/>
  <c r="EL445" i="12"/>
  <c r="EM445" i="12"/>
  <c r="EN445" i="12"/>
  <c r="EO445" i="12"/>
  <c r="EP445" i="12"/>
  <c r="EQ445" i="12"/>
  <c r="ER445" i="12"/>
  <c r="ES445" i="12"/>
  <c r="ET445" i="12"/>
  <c r="EU445" i="12"/>
  <c r="EV445" i="12"/>
  <c r="EW445" i="12"/>
  <c r="EX445" i="12"/>
  <c r="EY445" i="12"/>
  <c r="EZ445" i="12"/>
  <c r="FA445" i="12"/>
  <c r="FB445" i="12"/>
  <c r="FC445" i="12"/>
  <c r="FD445" i="12"/>
  <c r="FE445" i="12"/>
  <c r="FF445" i="12"/>
  <c r="FG445" i="12"/>
  <c r="FH445" i="12"/>
  <c r="FI445" i="12"/>
  <c r="FJ445" i="12"/>
  <c r="FK445" i="12"/>
  <c r="FL445" i="12"/>
  <c r="FM445" i="12"/>
  <c r="FN445" i="12"/>
  <c r="FO445" i="12"/>
  <c r="FP445" i="12"/>
  <c r="FQ445" i="12"/>
  <c r="FR445" i="12"/>
  <c r="FS445" i="12"/>
  <c r="FT445" i="12"/>
  <c r="FU445" i="12"/>
  <c r="FV445" i="12"/>
  <c r="FW445" i="12"/>
  <c r="FX445" i="12"/>
  <c r="FY445" i="12"/>
  <c r="FZ445" i="12"/>
  <c r="GA445" i="12"/>
  <c r="GB445" i="12"/>
  <c r="GC445" i="12"/>
  <c r="GD445" i="12"/>
  <c r="GE445" i="12"/>
  <c r="GF445" i="12"/>
  <c r="GG445" i="12"/>
  <c r="GH445" i="12"/>
  <c r="GI445" i="12"/>
  <c r="GJ445" i="12"/>
  <c r="GK445" i="12"/>
  <c r="GL445" i="12"/>
  <c r="GM445" i="12"/>
  <c r="GN445" i="12"/>
  <c r="GO445" i="12"/>
  <c r="GP445" i="12"/>
  <c r="GQ445" i="12"/>
  <c r="GR445" i="12"/>
  <c r="GS445" i="12"/>
  <c r="GT445" i="12"/>
  <c r="GU445" i="12"/>
  <c r="GV445" i="12"/>
  <c r="GW445" i="12"/>
  <c r="GX445" i="12"/>
  <c r="GY445" i="12"/>
  <c r="GZ445" i="12"/>
  <c r="HA445" i="12"/>
  <c r="HB445" i="12"/>
  <c r="HC445" i="12"/>
  <c r="HD445" i="12"/>
  <c r="HE445" i="12"/>
  <c r="HF445" i="12"/>
  <c r="HG445" i="12"/>
  <c r="HH445" i="12"/>
  <c r="HI445" i="12"/>
  <c r="HJ445" i="12"/>
  <c r="HK445" i="12"/>
  <c r="HL445" i="12"/>
  <c r="HM445" i="12"/>
  <c r="HN445" i="12"/>
  <c r="HO445" i="12"/>
  <c r="HP445" i="12"/>
  <c r="HQ445" i="12"/>
  <c r="HR445" i="12"/>
  <c r="HS445" i="12"/>
  <c r="HT445" i="12"/>
  <c r="HU445" i="12"/>
  <c r="HV445" i="12"/>
  <c r="HW445" i="12"/>
  <c r="HX445" i="12"/>
  <c r="HY445" i="12"/>
  <c r="HZ445" i="12"/>
  <c r="IA445" i="12"/>
  <c r="IB445" i="12"/>
  <c r="IC445" i="12"/>
  <c r="ID445" i="12"/>
  <c r="IE445" i="12"/>
  <c r="IF445" i="12"/>
  <c r="IG445" i="12"/>
  <c r="IH445" i="12"/>
  <c r="II445" i="12"/>
  <c r="IJ445" i="12"/>
  <c r="IK445" i="12"/>
  <c r="IL445" i="12"/>
  <c r="IM445" i="12"/>
  <c r="IN445" i="12"/>
  <c r="IO445" i="12"/>
  <c r="IP445" i="12"/>
  <c r="IQ445" i="12"/>
  <c r="IR445" i="12"/>
  <c r="IS445" i="12"/>
  <c r="IT445" i="12"/>
  <c r="IU445" i="12"/>
  <c r="IV445" i="12"/>
  <c r="F446" i="12"/>
  <c r="G446" i="12"/>
  <c r="H446" i="12"/>
  <c r="I446" i="12"/>
  <c r="J446" i="12"/>
  <c r="K446" i="12"/>
  <c r="L446" i="12"/>
  <c r="M446" i="12"/>
  <c r="N446" i="12"/>
  <c r="O446" i="12"/>
  <c r="P446" i="12"/>
  <c r="Q446" i="12"/>
  <c r="R446" i="12"/>
  <c r="S446" i="12"/>
  <c r="T446" i="12"/>
  <c r="U446" i="12"/>
  <c r="V446" i="12"/>
  <c r="W446" i="12"/>
  <c r="X446" i="12"/>
  <c r="Y446" i="12"/>
  <c r="Z446" i="12"/>
  <c r="AA446" i="12"/>
  <c r="AB446" i="12"/>
  <c r="AC446" i="12"/>
  <c r="AD446" i="12"/>
  <c r="AE446" i="12"/>
  <c r="AF446" i="12"/>
  <c r="AG446" i="12"/>
  <c r="AH446" i="12"/>
  <c r="AI446" i="12"/>
  <c r="AJ446" i="12"/>
  <c r="AK446" i="12"/>
  <c r="AL446" i="12"/>
  <c r="AM446" i="12"/>
  <c r="AN446" i="12"/>
  <c r="AO446" i="12"/>
  <c r="AP446" i="12"/>
  <c r="AQ446" i="12"/>
  <c r="AR446" i="12"/>
  <c r="AS446" i="12"/>
  <c r="AT446" i="12"/>
  <c r="AU446" i="12"/>
  <c r="AV446" i="12"/>
  <c r="AW446" i="12"/>
  <c r="AX446" i="12"/>
  <c r="AY446" i="12"/>
  <c r="AZ446" i="12"/>
  <c r="BA446" i="12"/>
  <c r="BB446" i="12"/>
  <c r="BC446" i="12"/>
  <c r="BD446" i="12"/>
  <c r="BE446" i="12"/>
  <c r="BF446" i="12"/>
  <c r="BG446" i="12"/>
  <c r="BH446" i="12"/>
  <c r="BI446" i="12"/>
  <c r="BJ446" i="12"/>
  <c r="BK446" i="12"/>
  <c r="BL446" i="12"/>
  <c r="BM446" i="12"/>
  <c r="BN446" i="12"/>
  <c r="BO446" i="12"/>
  <c r="BP446" i="12"/>
  <c r="BQ446" i="12"/>
  <c r="BR446" i="12"/>
  <c r="BS446" i="12"/>
  <c r="BT446" i="12"/>
  <c r="BU446" i="12"/>
  <c r="BV446" i="12"/>
  <c r="BW446" i="12"/>
  <c r="BX446" i="12"/>
  <c r="BY446" i="12"/>
  <c r="BZ446" i="12"/>
  <c r="CA446" i="12"/>
  <c r="CB446" i="12"/>
  <c r="CC446" i="12"/>
  <c r="CD446" i="12"/>
  <c r="CE446" i="12"/>
  <c r="CF446" i="12"/>
  <c r="CG446" i="12"/>
  <c r="CH446" i="12"/>
  <c r="CI446" i="12"/>
  <c r="CJ446" i="12"/>
  <c r="CK446" i="12"/>
  <c r="CL446" i="12"/>
  <c r="CM446" i="12"/>
  <c r="CN446" i="12"/>
  <c r="CO446" i="12"/>
  <c r="CP446" i="12"/>
  <c r="CQ446" i="12"/>
  <c r="CR446" i="12"/>
  <c r="CS446" i="12"/>
  <c r="CT446" i="12"/>
  <c r="CU446" i="12"/>
  <c r="CV446" i="12"/>
  <c r="CW446" i="12"/>
  <c r="CX446" i="12"/>
  <c r="CY446" i="12"/>
  <c r="CZ446" i="12"/>
  <c r="DA446" i="12"/>
  <c r="DB446" i="12"/>
  <c r="DC446" i="12"/>
  <c r="DD446" i="12"/>
  <c r="DE446" i="12"/>
  <c r="DF446" i="12"/>
  <c r="DG446" i="12"/>
  <c r="DH446" i="12"/>
  <c r="DI446" i="12"/>
  <c r="DJ446" i="12"/>
  <c r="DK446" i="12"/>
  <c r="DL446" i="12"/>
  <c r="DM446" i="12"/>
  <c r="DN446" i="12"/>
  <c r="DO446" i="12"/>
  <c r="DP446" i="12"/>
  <c r="DQ446" i="12"/>
  <c r="DR446" i="12"/>
  <c r="DS446" i="12"/>
  <c r="DT446" i="12"/>
  <c r="DU446" i="12"/>
  <c r="DV446" i="12"/>
  <c r="DW446" i="12"/>
  <c r="DX446" i="12"/>
  <c r="DY446" i="12"/>
  <c r="DZ446" i="12"/>
  <c r="EA446" i="12"/>
  <c r="EB446" i="12"/>
  <c r="EC446" i="12"/>
  <c r="ED446" i="12"/>
  <c r="EE446" i="12"/>
  <c r="EF446" i="12"/>
  <c r="EG446" i="12"/>
  <c r="EH446" i="12"/>
  <c r="EI446" i="12"/>
  <c r="EJ446" i="12"/>
  <c r="EK446" i="12"/>
  <c r="EL446" i="12"/>
  <c r="EM446" i="12"/>
  <c r="EN446" i="12"/>
  <c r="EO446" i="12"/>
  <c r="EP446" i="12"/>
  <c r="EQ446" i="12"/>
  <c r="ER446" i="12"/>
  <c r="ES446" i="12"/>
  <c r="ET446" i="12"/>
  <c r="EU446" i="12"/>
  <c r="EV446" i="12"/>
  <c r="EW446" i="12"/>
  <c r="EX446" i="12"/>
  <c r="EY446" i="12"/>
  <c r="EZ446" i="12"/>
  <c r="FA446" i="12"/>
  <c r="FB446" i="12"/>
  <c r="FC446" i="12"/>
  <c r="FD446" i="12"/>
  <c r="FE446" i="12"/>
  <c r="FF446" i="12"/>
  <c r="FG446" i="12"/>
  <c r="FH446" i="12"/>
  <c r="FI446" i="12"/>
  <c r="FJ446" i="12"/>
  <c r="FK446" i="12"/>
  <c r="FL446" i="12"/>
  <c r="FM446" i="12"/>
  <c r="FN446" i="12"/>
  <c r="FO446" i="12"/>
  <c r="FP446" i="12"/>
  <c r="FQ446" i="12"/>
  <c r="FR446" i="12"/>
  <c r="FS446" i="12"/>
  <c r="FT446" i="12"/>
  <c r="FU446" i="12"/>
  <c r="FV446" i="12"/>
  <c r="FW446" i="12"/>
  <c r="FX446" i="12"/>
  <c r="FY446" i="12"/>
  <c r="FZ446" i="12"/>
  <c r="GA446" i="12"/>
  <c r="GB446" i="12"/>
  <c r="GC446" i="12"/>
  <c r="GD446" i="12"/>
  <c r="GE446" i="12"/>
  <c r="GF446" i="12"/>
  <c r="GG446" i="12"/>
  <c r="GH446" i="12"/>
  <c r="GI446" i="12"/>
  <c r="GJ446" i="12"/>
  <c r="GK446" i="12"/>
  <c r="GL446" i="12"/>
  <c r="GM446" i="12"/>
  <c r="GN446" i="12"/>
  <c r="GO446" i="12"/>
  <c r="GP446" i="12"/>
  <c r="GQ446" i="12"/>
  <c r="GR446" i="12"/>
  <c r="GS446" i="12"/>
  <c r="GT446" i="12"/>
  <c r="GU446" i="12"/>
  <c r="GV446" i="12"/>
  <c r="GW446" i="12"/>
  <c r="GX446" i="12"/>
  <c r="GY446" i="12"/>
  <c r="GZ446" i="12"/>
  <c r="HA446" i="12"/>
  <c r="HB446" i="12"/>
  <c r="HC446" i="12"/>
  <c r="HD446" i="12"/>
  <c r="HE446" i="12"/>
  <c r="HF446" i="12"/>
  <c r="HG446" i="12"/>
  <c r="HH446" i="12"/>
  <c r="HI446" i="12"/>
  <c r="HJ446" i="12"/>
  <c r="HK446" i="12"/>
  <c r="HL446" i="12"/>
  <c r="HM446" i="12"/>
  <c r="HN446" i="12"/>
  <c r="HO446" i="12"/>
  <c r="HP446" i="12"/>
  <c r="HQ446" i="12"/>
  <c r="HR446" i="12"/>
  <c r="HS446" i="12"/>
  <c r="HT446" i="12"/>
  <c r="HU446" i="12"/>
  <c r="HV446" i="12"/>
  <c r="HW446" i="12"/>
  <c r="HX446" i="12"/>
  <c r="HY446" i="12"/>
  <c r="HZ446" i="12"/>
  <c r="IA446" i="12"/>
  <c r="IB446" i="12"/>
  <c r="IC446" i="12"/>
  <c r="ID446" i="12"/>
  <c r="IE446" i="12"/>
  <c r="IF446" i="12"/>
  <c r="IG446" i="12"/>
  <c r="IH446" i="12"/>
  <c r="II446" i="12"/>
  <c r="IJ446" i="12"/>
  <c r="IK446" i="12"/>
  <c r="IL446" i="12"/>
  <c r="IM446" i="12"/>
  <c r="IN446" i="12"/>
  <c r="IO446" i="12"/>
  <c r="IP446" i="12"/>
  <c r="IQ446" i="12"/>
  <c r="IR446" i="12"/>
  <c r="IS446" i="12"/>
  <c r="IT446" i="12"/>
  <c r="IU446" i="12"/>
  <c r="IV446" i="12"/>
  <c r="F447" i="12"/>
  <c r="G447" i="12"/>
  <c r="H447" i="12"/>
  <c r="I447" i="12"/>
  <c r="J447" i="12"/>
  <c r="K447" i="12"/>
  <c r="L447" i="12"/>
  <c r="M447" i="12"/>
  <c r="N447" i="12"/>
  <c r="O447" i="12"/>
  <c r="P447" i="12"/>
  <c r="Q447" i="12"/>
  <c r="R447" i="12"/>
  <c r="S447" i="12"/>
  <c r="T447" i="12"/>
  <c r="U447" i="12"/>
  <c r="V447" i="12"/>
  <c r="W447" i="12"/>
  <c r="X447" i="12"/>
  <c r="Y447" i="12"/>
  <c r="Z447" i="12"/>
  <c r="AA447" i="12"/>
  <c r="AB447" i="12"/>
  <c r="AC447" i="12"/>
  <c r="AD447" i="12"/>
  <c r="AE447" i="12"/>
  <c r="AF447" i="12"/>
  <c r="AG447" i="12"/>
  <c r="AH447" i="12"/>
  <c r="AI447" i="12"/>
  <c r="AJ447" i="12"/>
  <c r="AK447" i="12"/>
  <c r="AL447" i="12"/>
  <c r="AM447" i="12"/>
  <c r="AN447" i="12"/>
  <c r="AO447" i="12"/>
  <c r="AP447" i="12"/>
  <c r="AQ447" i="12"/>
  <c r="AR447" i="12"/>
  <c r="AS447" i="12"/>
  <c r="AT447" i="12"/>
  <c r="AU447" i="12"/>
  <c r="AV447" i="12"/>
  <c r="AW447" i="12"/>
  <c r="AX447" i="12"/>
  <c r="AY447" i="12"/>
  <c r="AZ447" i="12"/>
  <c r="BA447" i="12"/>
  <c r="BB447" i="12"/>
  <c r="BC447" i="12"/>
  <c r="BD447" i="12"/>
  <c r="BE447" i="12"/>
  <c r="BF447" i="12"/>
  <c r="BG447" i="12"/>
  <c r="BH447" i="12"/>
  <c r="BI447" i="12"/>
  <c r="BJ447" i="12"/>
  <c r="BK447" i="12"/>
  <c r="BL447" i="12"/>
  <c r="BM447" i="12"/>
  <c r="BN447" i="12"/>
  <c r="BO447" i="12"/>
  <c r="BP447" i="12"/>
  <c r="BQ447" i="12"/>
  <c r="BR447" i="12"/>
  <c r="BS447" i="12"/>
  <c r="BT447" i="12"/>
  <c r="BU447" i="12"/>
  <c r="BV447" i="12"/>
  <c r="BW447" i="12"/>
  <c r="BX447" i="12"/>
  <c r="BY447" i="12"/>
  <c r="BZ447" i="12"/>
  <c r="CA447" i="12"/>
  <c r="CB447" i="12"/>
  <c r="CC447" i="12"/>
  <c r="CD447" i="12"/>
  <c r="CE447" i="12"/>
  <c r="CF447" i="12"/>
  <c r="CG447" i="12"/>
  <c r="CH447" i="12"/>
  <c r="CI447" i="12"/>
  <c r="CJ447" i="12"/>
  <c r="CK447" i="12"/>
  <c r="CL447" i="12"/>
  <c r="CM447" i="12"/>
  <c r="CN447" i="12"/>
  <c r="CO447" i="12"/>
  <c r="CP447" i="12"/>
  <c r="CQ447" i="12"/>
  <c r="CR447" i="12"/>
  <c r="CS447" i="12"/>
  <c r="CT447" i="12"/>
  <c r="CU447" i="12"/>
  <c r="CV447" i="12"/>
  <c r="CW447" i="12"/>
  <c r="CX447" i="12"/>
  <c r="CY447" i="12"/>
  <c r="CZ447" i="12"/>
  <c r="DA447" i="12"/>
  <c r="DB447" i="12"/>
  <c r="DC447" i="12"/>
  <c r="DD447" i="12"/>
  <c r="DE447" i="12"/>
  <c r="DF447" i="12"/>
  <c r="DG447" i="12"/>
  <c r="DH447" i="12"/>
  <c r="DI447" i="12"/>
  <c r="DJ447" i="12"/>
  <c r="DK447" i="12"/>
  <c r="DL447" i="12"/>
  <c r="DM447" i="12"/>
  <c r="DN447" i="12"/>
  <c r="DO447" i="12"/>
  <c r="DP447" i="12"/>
  <c r="DQ447" i="12"/>
  <c r="DR447" i="12"/>
  <c r="DS447" i="12"/>
  <c r="DT447" i="12"/>
  <c r="DU447" i="12"/>
  <c r="DV447" i="12"/>
  <c r="DW447" i="12"/>
  <c r="DX447" i="12"/>
  <c r="DY447" i="12"/>
  <c r="DZ447" i="12"/>
  <c r="EA447" i="12"/>
  <c r="EB447" i="12"/>
  <c r="EC447" i="12"/>
  <c r="ED447" i="12"/>
  <c r="EE447" i="12"/>
  <c r="EF447" i="12"/>
  <c r="EG447" i="12"/>
  <c r="EH447" i="12"/>
  <c r="EI447" i="12"/>
  <c r="EJ447" i="12"/>
  <c r="EK447" i="12"/>
  <c r="EL447" i="12"/>
  <c r="EM447" i="12"/>
  <c r="EN447" i="12"/>
  <c r="EO447" i="12"/>
  <c r="EP447" i="12"/>
  <c r="EQ447" i="12"/>
  <c r="ER447" i="12"/>
  <c r="ES447" i="12"/>
  <c r="ET447" i="12"/>
  <c r="EU447" i="12"/>
  <c r="EV447" i="12"/>
  <c r="EW447" i="12"/>
  <c r="EX447" i="12"/>
  <c r="EY447" i="12"/>
  <c r="EZ447" i="12"/>
  <c r="FA447" i="12"/>
  <c r="FB447" i="12"/>
  <c r="FC447" i="12"/>
  <c r="FD447" i="12"/>
  <c r="FE447" i="12"/>
  <c r="FF447" i="12"/>
  <c r="FG447" i="12"/>
  <c r="FH447" i="12"/>
  <c r="FI447" i="12"/>
  <c r="FJ447" i="12"/>
  <c r="FK447" i="12"/>
  <c r="FL447" i="12"/>
  <c r="FM447" i="12"/>
  <c r="FN447" i="12"/>
  <c r="FO447" i="12"/>
  <c r="FP447" i="12"/>
  <c r="FQ447" i="12"/>
  <c r="FR447" i="12"/>
  <c r="FS447" i="12"/>
  <c r="FT447" i="12"/>
  <c r="FU447" i="12"/>
  <c r="FV447" i="12"/>
  <c r="FW447" i="12"/>
  <c r="FX447" i="12"/>
  <c r="FY447" i="12"/>
  <c r="FZ447" i="12"/>
  <c r="GA447" i="12"/>
  <c r="GB447" i="12"/>
  <c r="GC447" i="12"/>
  <c r="GD447" i="12"/>
  <c r="GE447" i="12"/>
  <c r="GF447" i="12"/>
  <c r="GG447" i="12"/>
  <c r="GH447" i="12"/>
  <c r="GI447" i="12"/>
  <c r="GJ447" i="12"/>
  <c r="GK447" i="12"/>
  <c r="GL447" i="12"/>
  <c r="GM447" i="12"/>
  <c r="GN447" i="12"/>
  <c r="GO447" i="12"/>
  <c r="GP447" i="12"/>
  <c r="GQ447" i="12"/>
  <c r="GR447" i="12"/>
  <c r="GS447" i="12"/>
  <c r="GT447" i="12"/>
  <c r="GU447" i="12"/>
  <c r="GV447" i="12"/>
  <c r="GW447" i="12"/>
  <c r="GX447" i="12"/>
  <c r="GY447" i="12"/>
  <c r="GZ447" i="12"/>
  <c r="HA447" i="12"/>
  <c r="HB447" i="12"/>
  <c r="HC447" i="12"/>
  <c r="HD447" i="12"/>
  <c r="HE447" i="12"/>
  <c r="HF447" i="12"/>
  <c r="HG447" i="12"/>
  <c r="HH447" i="12"/>
  <c r="HI447" i="12"/>
  <c r="HJ447" i="12"/>
  <c r="HK447" i="12"/>
  <c r="HL447" i="12"/>
  <c r="HM447" i="12"/>
  <c r="HN447" i="12"/>
  <c r="HO447" i="12"/>
  <c r="HP447" i="12"/>
  <c r="HQ447" i="12"/>
  <c r="HR447" i="12"/>
  <c r="HS447" i="12"/>
  <c r="HT447" i="12"/>
  <c r="HU447" i="12"/>
  <c r="HV447" i="12"/>
  <c r="HW447" i="12"/>
  <c r="HX447" i="12"/>
  <c r="HY447" i="12"/>
  <c r="HZ447" i="12"/>
  <c r="IA447" i="12"/>
  <c r="IB447" i="12"/>
  <c r="IC447" i="12"/>
  <c r="ID447" i="12"/>
  <c r="IE447" i="12"/>
  <c r="IF447" i="12"/>
  <c r="IG447" i="12"/>
  <c r="IH447" i="12"/>
  <c r="II447" i="12"/>
  <c r="IJ447" i="12"/>
  <c r="IK447" i="12"/>
  <c r="IL447" i="12"/>
  <c r="IM447" i="12"/>
  <c r="IN447" i="12"/>
  <c r="IO447" i="12"/>
  <c r="IP447" i="12"/>
  <c r="IQ447" i="12"/>
  <c r="IR447" i="12"/>
  <c r="IS447" i="12"/>
  <c r="IT447" i="12"/>
  <c r="IU447" i="12"/>
  <c r="IV447" i="12"/>
  <c r="F448" i="12"/>
  <c r="G448" i="12"/>
  <c r="H448" i="12"/>
  <c r="I448" i="12"/>
  <c r="J448" i="12"/>
  <c r="K448" i="12"/>
  <c r="L448" i="12"/>
  <c r="M448" i="12"/>
  <c r="N448" i="12"/>
  <c r="O448" i="12"/>
  <c r="P448" i="12"/>
  <c r="Q448" i="12"/>
  <c r="R448" i="12"/>
  <c r="S448" i="12"/>
  <c r="T448" i="12"/>
  <c r="U448" i="12"/>
  <c r="V448" i="12"/>
  <c r="W448" i="12"/>
  <c r="X448" i="12"/>
  <c r="Y448" i="12"/>
  <c r="Z448" i="12"/>
  <c r="AA448" i="12"/>
  <c r="AB448" i="12"/>
  <c r="AC448" i="12"/>
  <c r="AD448" i="12"/>
  <c r="AE448" i="12"/>
  <c r="AF448" i="12"/>
  <c r="AG448" i="12"/>
  <c r="AH448" i="12"/>
  <c r="AI448" i="12"/>
  <c r="AJ448" i="12"/>
  <c r="AK448" i="12"/>
  <c r="AL448" i="12"/>
  <c r="AM448" i="12"/>
  <c r="AN448" i="12"/>
  <c r="AO448" i="12"/>
  <c r="AP448" i="12"/>
  <c r="AQ448" i="12"/>
  <c r="AR448" i="12"/>
  <c r="AS448" i="12"/>
  <c r="AT448" i="12"/>
  <c r="AU448" i="12"/>
  <c r="AV448" i="12"/>
  <c r="AW448" i="12"/>
  <c r="AX448" i="12"/>
  <c r="AY448" i="12"/>
  <c r="AZ448" i="12"/>
  <c r="BA448" i="12"/>
  <c r="BB448" i="12"/>
  <c r="BC448" i="12"/>
  <c r="BD448" i="12"/>
  <c r="BE448" i="12"/>
  <c r="BF448" i="12"/>
  <c r="BG448" i="12"/>
  <c r="BH448" i="12"/>
  <c r="BI448" i="12"/>
  <c r="BJ448" i="12"/>
  <c r="BK448" i="12"/>
  <c r="BL448" i="12"/>
  <c r="BM448" i="12"/>
  <c r="BN448" i="12"/>
  <c r="BO448" i="12"/>
  <c r="BP448" i="12"/>
  <c r="BQ448" i="12"/>
  <c r="BR448" i="12"/>
  <c r="BS448" i="12"/>
  <c r="BT448" i="12"/>
  <c r="BU448" i="12"/>
  <c r="BV448" i="12"/>
  <c r="BW448" i="12"/>
  <c r="BX448" i="12"/>
  <c r="BY448" i="12"/>
  <c r="BZ448" i="12"/>
  <c r="CA448" i="12"/>
  <c r="CB448" i="12"/>
  <c r="CC448" i="12"/>
  <c r="CD448" i="12"/>
  <c r="CE448" i="12"/>
  <c r="CF448" i="12"/>
  <c r="CG448" i="12"/>
  <c r="CH448" i="12"/>
  <c r="CI448" i="12"/>
  <c r="CJ448" i="12"/>
  <c r="CK448" i="12"/>
  <c r="CL448" i="12"/>
  <c r="CM448" i="12"/>
  <c r="CN448" i="12"/>
  <c r="CO448" i="12"/>
  <c r="CP448" i="12"/>
  <c r="CQ448" i="12"/>
  <c r="CR448" i="12"/>
  <c r="CS448" i="12"/>
  <c r="CT448" i="12"/>
  <c r="CU448" i="12"/>
  <c r="CV448" i="12"/>
  <c r="CW448" i="12"/>
  <c r="CX448" i="12"/>
  <c r="CY448" i="12"/>
  <c r="CZ448" i="12"/>
  <c r="DA448" i="12"/>
  <c r="DB448" i="12"/>
  <c r="DC448" i="12"/>
  <c r="DD448" i="12"/>
  <c r="DE448" i="12"/>
  <c r="DF448" i="12"/>
  <c r="DG448" i="12"/>
  <c r="DH448" i="12"/>
  <c r="DI448" i="12"/>
  <c r="DJ448" i="12"/>
  <c r="DK448" i="12"/>
  <c r="DL448" i="12"/>
  <c r="DM448" i="12"/>
  <c r="DN448" i="12"/>
  <c r="DO448" i="12"/>
  <c r="DP448" i="12"/>
  <c r="DQ448" i="12"/>
  <c r="DR448" i="12"/>
  <c r="DS448" i="12"/>
  <c r="DT448" i="12"/>
  <c r="DU448" i="12"/>
  <c r="DV448" i="12"/>
  <c r="DW448" i="12"/>
  <c r="DX448" i="12"/>
  <c r="DY448" i="12"/>
  <c r="DZ448" i="12"/>
  <c r="EA448" i="12"/>
  <c r="EB448" i="12"/>
  <c r="EC448" i="12"/>
  <c r="ED448" i="12"/>
  <c r="EE448" i="12"/>
  <c r="EF448" i="12"/>
  <c r="EG448" i="12"/>
  <c r="EH448" i="12"/>
  <c r="EI448" i="12"/>
  <c r="EJ448" i="12"/>
  <c r="EK448" i="12"/>
  <c r="EL448" i="12"/>
  <c r="EM448" i="12"/>
  <c r="EN448" i="12"/>
  <c r="EO448" i="12"/>
  <c r="EP448" i="12"/>
  <c r="EQ448" i="12"/>
  <c r="ER448" i="12"/>
  <c r="ES448" i="12"/>
  <c r="ET448" i="12"/>
  <c r="EU448" i="12"/>
  <c r="EV448" i="12"/>
  <c r="EW448" i="12"/>
  <c r="EX448" i="12"/>
  <c r="EY448" i="12"/>
  <c r="EZ448" i="12"/>
  <c r="FA448" i="12"/>
  <c r="FB448" i="12"/>
  <c r="FC448" i="12"/>
  <c r="FD448" i="12"/>
  <c r="FE448" i="12"/>
  <c r="FF448" i="12"/>
  <c r="FG448" i="12"/>
  <c r="FH448" i="12"/>
  <c r="FI448" i="12"/>
  <c r="FJ448" i="12"/>
  <c r="FK448" i="12"/>
  <c r="FL448" i="12"/>
  <c r="FM448" i="12"/>
  <c r="FN448" i="12"/>
  <c r="FO448" i="12"/>
  <c r="FP448" i="12"/>
  <c r="FQ448" i="12"/>
  <c r="FR448" i="12"/>
  <c r="FS448" i="12"/>
  <c r="FT448" i="12"/>
  <c r="FU448" i="12"/>
  <c r="FV448" i="12"/>
  <c r="FW448" i="12"/>
  <c r="FX448" i="12"/>
  <c r="FY448" i="12"/>
  <c r="FZ448" i="12"/>
  <c r="GA448" i="12"/>
  <c r="GB448" i="12"/>
  <c r="GC448" i="12"/>
  <c r="GD448" i="12"/>
  <c r="GE448" i="12"/>
  <c r="GF448" i="12"/>
  <c r="GG448" i="12"/>
  <c r="GH448" i="12"/>
  <c r="GI448" i="12"/>
  <c r="GJ448" i="12"/>
  <c r="GK448" i="12"/>
  <c r="GL448" i="12"/>
  <c r="GM448" i="12"/>
  <c r="GN448" i="12"/>
  <c r="GO448" i="12"/>
  <c r="GP448" i="12"/>
  <c r="GQ448" i="12"/>
  <c r="GR448" i="12"/>
  <c r="GS448" i="12"/>
  <c r="GT448" i="12"/>
  <c r="GU448" i="12"/>
  <c r="GV448" i="12"/>
  <c r="GW448" i="12"/>
  <c r="GX448" i="12"/>
  <c r="GY448" i="12"/>
  <c r="GZ448" i="12"/>
  <c r="HA448" i="12"/>
  <c r="HB448" i="12"/>
  <c r="HC448" i="12"/>
  <c r="HD448" i="12"/>
  <c r="HE448" i="12"/>
  <c r="HF448" i="12"/>
  <c r="HG448" i="12"/>
  <c r="HH448" i="12"/>
  <c r="HI448" i="12"/>
  <c r="HJ448" i="12"/>
  <c r="HK448" i="12"/>
  <c r="HL448" i="12"/>
  <c r="HM448" i="12"/>
  <c r="HN448" i="12"/>
  <c r="HO448" i="12"/>
  <c r="HP448" i="12"/>
  <c r="HQ448" i="12"/>
  <c r="HR448" i="12"/>
  <c r="HS448" i="12"/>
  <c r="HT448" i="12"/>
  <c r="HU448" i="12"/>
  <c r="HV448" i="12"/>
  <c r="HW448" i="12"/>
  <c r="HX448" i="12"/>
  <c r="HY448" i="12"/>
  <c r="HZ448" i="12"/>
  <c r="IA448" i="12"/>
  <c r="IB448" i="12"/>
  <c r="IC448" i="12"/>
  <c r="ID448" i="12"/>
  <c r="IE448" i="12"/>
  <c r="IF448" i="12"/>
  <c r="IG448" i="12"/>
  <c r="IH448" i="12"/>
  <c r="II448" i="12"/>
  <c r="IJ448" i="12"/>
  <c r="IK448" i="12"/>
  <c r="IL448" i="12"/>
  <c r="IM448" i="12"/>
  <c r="IN448" i="12"/>
  <c r="IO448" i="12"/>
  <c r="IP448" i="12"/>
  <c r="IQ448" i="12"/>
  <c r="IR448" i="12"/>
  <c r="IS448" i="12"/>
  <c r="IT448" i="12"/>
  <c r="IU448" i="12"/>
  <c r="IV448" i="12"/>
  <c r="F449" i="12"/>
  <c r="G449" i="12"/>
  <c r="H449" i="12"/>
  <c r="I449" i="12"/>
  <c r="J449" i="12"/>
  <c r="K449" i="12"/>
  <c r="L449" i="12"/>
  <c r="M449" i="12"/>
  <c r="N449" i="12"/>
  <c r="O449" i="12"/>
  <c r="P449" i="12"/>
  <c r="Q449" i="12"/>
  <c r="R449" i="12"/>
  <c r="S449" i="12"/>
  <c r="T449" i="12"/>
  <c r="U449" i="12"/>
  <c r="V449" i="12"/>
  <c r="W449" i="12"/>
  <c r="X449" i="12"/>
  <c r="Y449" i="12"/>
  <c r="Z449" i="12"/>
  <c r="AA449" i="12"/>
  <c r="AB449" i="12"/>
  <c r="AC449" i="12"/>
  <c r="AD449" i="12"/>
  <c r="AE449" i="12"/>
  <c r="AF449" i="12"/>
  <c r="AG449" i="12"/>
  <c r="AH449" i="12"/>
  <c r="AI449" i="12"/>
  <c r="AJ449" i="12"/>
  <c r="AK449" i="12"/>
  <c r="AL449" i="12"/>
  <c r="AM449" i="12"/>
  <c r="AN449" i="12"/>
  <c r="AO449" i="12"/>
  <c r="AP449" i="12"/>
  <c r="AQ449" i="12"/>
  <c r="AR449" i="12"/>
  <c r="AS449" i="12"/>
  <c r="AT449" i="12"/>
  <c r="AU449" i="12"/>
  <c r="AV449" i="12"/>
  <c r="AW449" i="12"/>
  <c r="AX449" i="12"/>
  <c r="AY449" i="12"/>
  <c r="AZ449" i="12"/>
  <c r="BA449" i="12"/>
  <c r="BB449" i="12"/>
  <c r="BC449" i="12"/>
  <c r="BD449" i="12"/>
  <c r="BE449" i="12"/>
  <c r="BF449" i="12"/>
  <c r="BG449" i="12"/>
  <c r="BH449" i="12"/>
  <c r="BI449" i="12"/>
  <c r="BJ449" i="12"/>
  <c r="BK449" i="12"/>
  <c r="BL449" i="12"/>
  <c r="BM449" i="12"/>
  <c r="BN449" i="12"/>
  <c r="BO449" i="12"/>
  <c r="BP449" i="12"/>
  <c r="BQ449" i="12"/>
  <c r="BR449" i="12"/>
  <c r="BS449" i="12"/>
  <c r="BT449" i="12"/>
  <c r="BU449" i="12"/>
  <c r="BV449" i="12"/>
  <c r="BW449" i="12"/>
  <c r="BX449" i="12"/>
  <c r="BY449" i="12"/>
  <c r="BZ449" i="12"/>
  <c r="CA449" i="12"/>
  <c r="CB449" i="12"/>
  <c r="CC449" i="12"/>
  <c r="CD449" i="12"/>
  <c r="CE449" i="12"/>
  <c r="CF449" i="12"/>
  <c r="CG449" i="12"/>
  <c r="CH449" i="12"/>
  <c r="CI449" i="12"/>
  <c r="CJ449" i="12"/>
  <c r="CK449" i="12"/>
  <c r="CL449" i="12"/>
  <c r="CM449" i="12"/>
  <c r="CN449" i="12"/>
  <c r="CO449" i="12"/>
  <c r="CP449" i="12"/>
  <c r="CQ449" i="12"/>
  <c r="CR449" i="12"/>
  <c r="CS449" i="12"/>
  <c r="CT449" i="12"/>
  <c r="CU449" i="12"/>
  <c r="CV449" i="12"/>
  <c r="CW449" i="12"/>
  <c r="CX449" i="12"/>
  <c r="CY449" i="12"/>
  <c r="CZ449" i="12"/>
  <c r="DA449" i="12"/>
  <c r="DB449" i="12"/>
  <c r="DC449" i="12"/>
  <c r="DD449" i="12"/>
  <c r="DE449" i="12"/>
  <c r="DF449" i="12"/>
  <c r="DG449" i="12"/>
  <c r="DH449" i="12"/>
  <c r="DI449" i="12"/>
  <c r="DJ449" i="12"/>
  <c r="DK449" i="12"/>
  <c r="DL449" i="12"/>
  <c r="DM449" i="12"/>
  <c r="DN449" i="12"/>
  <c r="DO449" i="12"/>
  <c r="DP449" i="12"/>
  <c r="DQ449" i="12"/>
  <c r="DR449" i="12"/>
  <c r="DS449" i="12"/>
  <c r="DT449" i="12"/>
  <c r="DU449" i="12"/>
  <c r="DV449" i="12"/>
  <c r="DW449" i="12"/>
  <c r="DX449" i="12"/>
  <c r="DY449" i="12"/>
  <c r="DZ449" i="12"/>
  <c r="EA449" i="12"/>
  <c r="EB449" i="12"/>
  <c r="EC449" i="12"/>
  <c r="ED449" i="12"/>
  <c r="EE449" i="12"/>
  <c r="EF449" i="12"/>
  <c r="EG449" i="12"/>
  <c r="EH449" i="12"/>
  <c r="EI449" i="12"/>
  <c r="EJ449" i="12"/>
  <c r="EK449" i="12"/>
  <c r="EL449" i="12"/>
  <c r="EM449" i="12"/>
  <c r="EN449" i="12"/>
  <c r="EO449" i="12"/>
  <c r="EP449" i="12"/>
  <c r="EQ449" i="12"/>
  <c r="ER449" i="12"/>
  <c r="ES449" i="12"/>
  <c r="ET449" i="12"/>
  <c r="EU449" i="12"/>
  <c r="EV449" i="12"/>
  <c r="EW449" i="12"/>
  <c r="EX449" i="12"/>
  <c r="EY449" i="12"/>
  <c r="EZ449" i="12"/>
  <c r="FA449" i="12"/>
  <c r="FB449" i="12"/>
  <c r="FC449" i="12"/>
  <c r="FD449" i="12"/>
  <c r="FE449" i="12"/>
  <c r="FF449" i="12"/>
  <c r="FG449" i="12"/>
  <c r="FH449" i="12"/>
  <c r="FI449" i="12"/>
  <c r="FJ449" i="12"/>
  <c r="FK449" i="12"/>
  <c r="FL449" i="12"/>
  <c r="FM449" i="12"/>
  <c r="FN449" i="12"/>
  <c r="FO449" i="12"/>
  <c r="FP449" i="12"/>
  <c r="FQ449" i="12"/>
  <c r="FR449" i="12"/>
  <c r="FS449" i="12"/>
  <c r="FT449" i="12"/>
  <c r="FU449" i="12"/>
  <c r="FV449" i="12"/>
  <c r="FW449" i="12"/>
  <c r="FX449" i="12"/>
  <c r="FY449" i="12"/>
  <c r="FZ449" i="12"/>
  <c r="GA449" i="12"/>
  <c r="GB449" i="12"/>
  <c r="GC449" i="12"/>
  <c r="GD449" i="12"/>
  <c r="GE449" i="12"/>
  <c r="GF449" i="12"/>
  <c r="GG449" i="12"/>
  <c r="GH449" i="12"/>
  <c r="GI449" i="12"/>
  <c r="GJ449" i="12"/>
  <c r="GK449" i="12"/>
  <c r="GL449" i="12"/>
  <c r="GM449" i="12"/>
  <c r="GN449" i="12"/>
  <c r="GO449" i="12"/>
  <c r="GP449" i="12"/>
  <c r="GQ449" i="12"/>
  <c r="GR449" i="12"/>
  <c r="GS449" i="12"/>
  <c r="GT449" i="12"/>
  <c r="GU449" i="12"/>
  <c r="GV449" i="12"/>
  <c r="GW449" i="12"/>
  <c r="GX449" i="12"/>
  <c r="GY449" i="12"/>
  <c r="GZ449" i="12"/>
  <c r="HA449" i="12"/>
  <c r="HB449" i="12"/>
  <c r="HC449" i="12"/>
  <c r="HD449" i="12"/>
  <c r="HE449" i="12"/>
  <c r="HF449" i="12"/>
  <c r="HG449" i="12"/>
  <c r="HH449" i="12"/>
  <c r="HI449" i="12"/>
  <c r="HJ449" i="12"/>
  <c r="HK449" i="12"/>
  <c r="HL449" i="12"/>
  <c r="HM449" i="12"/>
  <c r="HN449" i="12"/>
  <c r="HO449" i="12"/>
  <c r="HP449" i="12"/>
  <c r="HQ449" i="12"/>
  <c r="HR449" i="12"/>
  <c r="HS449" i="12"/>
  <c r="HT449" i="12"/>
  <c r="HU449" i="12"/>
  <c r="HV449" i="12"/>
  <c r="HW449" i="12"/>
  <c r="HX449" i="12"/>
  <c r="HY449" i="12"/>
  <c r="HZ449" i="12"/>
  <c r="IA449" i="12"/>
  <c r="IB449" i="12"/>
  <c r="IC449" i="12"/>
  <c r="ID449" i="12"/>
  <c r="IE449" i="12"/>
  <c r="IF449" i="12"/>
  <c r="IG449" i="12"/>
  <c r="IH449" i="12"/>
  <c r="II449" i="12"/>
  <c r="IJ449" i="12"/>
  <c r="IK449" i="12"/>
  <c r="IL449" i="12"/>
  <c r="IM449" i="12"/>
  <c r="IN449" i="12"/>
  <c r="IO449" i="12"/>
  <c r="IP449" i="12"/>
  <c r="IQ449" i="12"/>
  <c r="IR449" i="12"/>
  <c r="IS449" i="12"/>
  <c r="IT449" i="12"/>
  <c r="IU449" i="12"/>
  <c r="IV449" i="12"/>
  <c r="F450" i="12"/>
  <c r="G450" i="12"/>
  <c r="H450" i="12"/>
  <c r="I450" i="12"/>
  <c r="J450" i="12"/>
  <c r="K450" i="12"/>
  <c r="L450" i="12"/>
  <c r="M450" i="12"/>
  <c r="N450" i="12"/>
  <c r="O450" i="12"/>
  <c r="P450" i="12"/>
  <c r="Q450" i="12"/>
  <c r="R450" i="12"/>
  <c r="S450" i="12"/>
  <c r="T450" i="12"/>
  <c r="U450" i="12"/>
  <c r="V450" i="12"/>
  <c r="W450" i="12"/>
  <c r="X450" i="12"/>
  <c r="Y450" i="12"/>
  <c r="Z450" i="12"/>
  <c r="AA450" i="12"/>
  <c r="AB450" i="12"/>
  <c r="AC450" i="12"/>
  <c r="AD450" i="12"/>
  <c r="AE450" i="12"/>
  <c r="AF450" i="12"/>
  <c r="AG450" i="12"/>
  <c r="AH450" i="12"/>
  <c r="AI450" i="12"/>
  <c r="AJ450" i="12"/>
  <c r="AK450" i="12"/>
  <c r="AL450" i="12"/>
  <c r="AM450" i="12"/>
  <c r="AN450" i="12"/>
  <c r="AO450" i="12"/>
  <c r="AP450" i="12"/>
  <c r="AQ450" i="12"/>
  <c r="AR450" i="12"/>
  <c r="AS450" i="12"/>
  <c r="AT450" i="12"/>
  <c r="AU450" i="12"/>
  <c r="AV450" i="12"/>
  <c r="AW450" i="12"/>
  <c r="AX450" i="12"/>
  <c r="AY450" i="12"/>
  <c r="AZ450" i="12"/>
  <c r="BA450" i="12"/>
  <c r="BB450" i="12"/>
  <c r="BC450" i="12"/>
  <c r="BD450" i="12"/>
  <c r="BE450" i="12"/>
  <c r="BF450" i="12"/>
  <c r="BG450" i="12"/>
  <c r="BH450" i="12"/>
  <c r="BI450" i="12"/>
  <c r="BJ450" i="12"/>
  <c r="BK450" i="12"/>
  <c r="BL450" i="12"/>
  <c r="BM450" i="12"/>
  <c r="BN450" i="12"/>
  <c r="BO450" i="12"/>
  <c r="BP450" i="12"/>
  <c r="BQ450" i="12"/>
  <c r="BR450" i="12"/>
  <c r="BS450" i="12"/>
  <c r="BT450" i="12"/>
  <c r="BU450" i="12"/>
  <c r="BV450" i="12"/>
  <c r="BW450" i="12"/>
  <c r="BX450" i="12"/>
  <c r="BY450" i="12"/>
  <c r="BZ450" i="12"/>
  <c r="CA450" i="12"/>
  <c r="CB450" i="12"/>
  <c r="CC450" i="12"/>
  <c r="CD450" i="12"/>
  <c r="CE450" i="12"/>
  <c r="CF450" i="12"/>
  <c r="CG450" i="12"/>
  <c r="CH450" i="12"/>
  <c r="CI450" i="12"/>
  <c r="CJ450" i="12"/>
  <c r="CK450" i="12"/>
  <c r="CL450" i="12"/>
  <c r="CM450" i="12"/>
  <c r="CN450" i="12"/>
  <c r="CO450" i="12"/>
  <c r="CP450" i="12"/>
  <c r="CQ450" i="12"/>
  <c r="CR450" i="12"/>
  <c r="CS450" i="12"/>
  <c r="CT450" i="12"/>
  <c r="CU450" i="12"/>
  <c r="CV450" i="12"/>
  <c r="CW450" i="12"/>
  <c r="CX450" i="12"/>
  <c r="CY450" i="12"/>
  <c r="CZ450" i="12"/>
  <c r="DA450" i="12"/>
  <c r="DB450" i="12"/>
  <c r="DC450" i="12"/>
  <c r="DD450" i="12"/>
  <c r="DE450" i="12"/>
  <c r="DF450" i="12"/>
  <c r="DG450" i="12"/>
  <c r="DH450" i="12"/>
  <c r="DI450" i="12"/>
  <c r="DJ450" i="12"/>
  <c r="DK450" i="12"/>
  <c r="DL450" i="12"/>
  <c r="DM450" i="12"/>
  <c r="DN450" i="12"/>
  <c r="DO450" i="12"/>
  <c r="DP450" i="12"/>
  <c r="DQ450" i="12"/>
  <c r="DR450" i="12"/>
  <c r="DS450" i="12"/>
  <c r="DT450" i="12"/>
  <c r="DU450" i="12"/>
  <c r="DV450" i="12"/>
  <c r="DW450" i="12"/>
  <c r="DX450" i="12"/>
  <c r="DY450" i="12"/>
  <c r="DZ450" i="12"/>
  <c r="EA450" i="12"/>
  <c r="EB450" i="12"/>
  <c r="EC450" i="12"/>
  <c r="ED450" i="12"/>
  <c r="EE450" i="12"/>
  <c r="EF450" i="12"/>
  <c r="EG450" i="12"/>
  <c r="EH450" i="12"/>
  <c r="EI450" i="12"/>
  <c r="EJ450" i="12"/>
  <c r="EK450" i="12"/>
  <c r="EL450" i="12"/>
  <c r="EM450" i="12"/>
  <c r="EN450" i="12"/>
  <c r="EO450" i="12"/>
  <c r="EP450" i="12"/>
  <c r="EQ450" i="12"/>
  <c r="ER450" i="12"/>
  <c r="ES450" i="12"/>
  <c r="ET450" i="12"/>
  <c r="EU450" i="12"/>
  <c r="EV450" i="12"/>
  <c r="EW450" i="12"/>
  <c r="EX450" i="12"/>
  <c r="EY450" i="12"/>
  <c r="EZ450" i="12"/>
  <c r="FA450" i="12"/>
  <c r="FB450" i="12"/>
  <c r="FC450" i="12"/>
  <c r="FD450" i="12"/>
  <c r="FE450" i="12"/>
  <c r="FF450" i="12"/>
  <c r="FG450" i="12"/>
  <c r="FH450" i="12"/>
  <c r="FI450" i="12"/>
  <c r="FJ450" i="12"/>
  <c r="FK450" i="12"/>
  <c r="FL450" i="12"/>
  <c r="FM450" i="12"/>
  <c r="FN450" i="12"/>
  <c r="FO450" i="12"/>
  <c r="FP450" i="12"/>
  <c r="FQ450" i="12"/>
  <c r="FR450" i="12"/>
  <c r="FS450" i="12"/>
  <c r="FT450" i="12"/>
  <c r="FU450" i="12"/>
  <c r="FV450" i="12"/>
  <c r="FW450" i="12"/>
  <c r="FX450" i="12"/>
  <c r="FY450" i="12"/>
  <c r="FZ450" i="12"/>
  <c r="GA450" i="12"/>
  <c r="GB450" i="12"/>
  <c r="GC450" i="12"/>
  <c r="GD450" i="12"/>
  <c r="GE450" i="12"/>
  <c r="GF450" i="12"/>
  <c r="GG450" i="12"/>
  <c r="GH450" i="12"/>
  <c r="GI450" i="12"/>
  <c r="GJ450" i="12"/>
  <c r="GK450" i="12"/>
  <c r="GL450" i="12"/>
  <c r="GM450" i="12"/>
  <c r="GN450" i="12"/>
  <c r="GO450" i="12"/>
  <c r="GP450" i="12"/>
  <c r="GQ450" i="12"/>
  <c r="GR450" i="12"/>
  <c r="GS450" i="12"/>
  <c r="GT450" i="12"/>
  <c r="GU450" i="12"/>
  <c r="GV450" i="12"/>
  <c r="GW450" i="12"/>
  <c r="GX450" i="12"/>
  <c r="GY450" i="12"/>
  <c r="GZ450" i="12"/>
  <c r="HA450" i="12"/>
  <c r="HB450" i="12"/>
  <c r="HC450" i="12"/>
  <c r="HD450" i="12"/>
  <c r="HE450" i="12"/>
  <c r="HF450" i="12"/>
  <c r="HG450" i="12"/>
  <c r="HH450" i="12"/>
  <c r="HI450" i="12"/>
  <c r="HJ450" i="12"/>
  <c r="HK450" i="12"/>
  <c r="HL450" i="12"/>
  <c r="HM450" i="12"/>
  <c r="HN450" i="12"/>
  <c r="HO450" i="12"/>
  <c r="HP450" i="12"/>
  <c r="HQ450" i="12"/>
  <c r="HR450" i="12"/>
  <c r="HS450" i="12"/>
  <c r="HT450" i="12"/>
  <c r="HU450" i="12"/>
  <c r="HV450" i="12"/>
  <c r="HW450" i="12"/>
  <c r="HX450" i="12"/>
  <c r="HY450" i="12"/>
  <c r="HZ450" i="12"/>
  <c r="IA450" i="12"/>
  <c r="IB450" i="12"/>
  <c r="IC450" i="12"/>
  <c r="ID450" i="12"/>
  <c r="IE450" i="12"/>
  <c r="IF450" i="12"/>
  <c r="IG450" i="12"/>
  <c r="IH450" i="12"/>
  <c r="II450" i="12"/>
  <c r="IJ450" i="12"/>
  <c r="IK450" i="12"/>
  <c r="IL450" i="12"/>
  <c r="IM450" i="12"/>
  <c r="IN450" i="12"/>
  <c r="IO450" i="12"/>
  <c r="IP450" i="12"/>
  <c r="IQ450" i="12"/>
  <c r="IR450" i="12"/>
  <c r="IS450" i="12"/>
  <c r="IT450" i="12"/>
  <c r="IU450" i="12"/>
  <c r="IV450" i="12"/>
  <c r="F451" i="12"/>
  <c r="G451" i="12"/>
  <c r="H451" i="12"/>
  <c r="I451" i="12"/>
  <c r="J451" i="12"/>
  <c r="K451" i="12"/>
  <c r="L451" i="12"/>
  <c r="M451" i="12"/>
  <c r="N451" i="12"/>
  <c r="O451" i="12"/>
  <c r="P451" i="12"/>
  <c r="Q451" i="12"/>
  <c r="R451" i="12"/>
  <c r="S451" i="12"/>
  <c r="T451" i="12"/>
  <c r="U451" i="12"/>
  <c r="V451" i="12"/>
  <c r="W451" i="12"/>
  <c r="X451" i="12"/>
  <c r="Y451" i="12"/>
  <c r="Z451" i="12"/>
  <c r="AA451" i="12"/>
  <c r="AB451" i="12"/>
  <c r="AC451" i="12"/>
  <c r="AD451" i="12"/>
  <c r="AE451" i="12"/>
  <c r="AF451" i="12"/>
  <c r="AG451" i="12"/>
  <c r="AH451" i="12"/>
  <c r="AI451" i="12"/>
  <c r="AJ451" i="12"/>
  <c r="AK451" i="12"/>
  <c r="AL451" i="12"/>
  <c r="AM451" i="12"/>
  <c r="AN451" i="12"/>
  <c r="AO451" i="12"/>
  <c r="AP451" i="12"/>
  <c r="AQ451" i="12"/>
  <c r="AR451" i="12"/>
  <c r="AS451" i="12"/>
  <c r="AT451" i="12"/>
  <c r="AU451" i="12"/>
  <c r="AV451" i="12"/>
  <c r="AW451" i="12"/>
  <c r="AX451" i="12"/>
  <c r="AY451" i="12"/>
  <c r="AZ451" i="12"/>
  <c r="BA451" i="12"/>
  <c r="BB451" i="12"/>
  <c r="BC451" i="12"/>
  <c r="BD451" i="12"/>
  <c r="BE451" i="12"/>
  <c r="BF451" i="12"/>
  <c r="BG451" i="12"/>
  <c r="BH451" i="12"/>
  <c r="BI451" i="12"/>
  <c r="BJ451" i="12"/>
  <c r="BK451" i="12"/>
  <c r="BL451" i="12"/>
  <c r="BM451" i="12"/>
  <c r="BN451" i="12"/>
  <c r="BO451" i="12"/>
  <c r="BP451" i="12"/>
  <c r="BQ451" i="12"/>
  <c r="BR451" i="12"/>
  <c r="BS451" i="12"/>
  <c r="BT451" i="12"/>
  <c r="BU451" i="12"/>
  <c r="BV451" i="12"/>
  <c r="BW451" i="12"/>
  <c r="BX451" i="12"/>
  <c r="BY451" i="12"/>
  <c r="BZ451" i="12"/>
  <c r="CA451" i="12"/>
  <c r="CB451" i="12"/>
  <c r="CC451" i="12"/>
  <c r="CD451" i="12"/>
  <c r="CE451" i="12"/>
  <c r="CF451" i="12"/>
  <c r="CG451" i="12"/>
  <c r="CH451" i="12"/>
  <c r="CI451" i="12"/>
  <c r="CJ451" i="12"/>
  <c r="CK451" i="12"/>
  <c r="CL451" i="12"/>
  <c r="CM451" i="12"/>
  <c r="CN451" i="12"/>
  <c r="CO451" i="12"/>
  <c r="CP451" i="12"/>
  <c r="CQ451" i="12"/>
  <c r="CR451" i="12"/>
  <c r="CS451" i="12"/>
  <c r="CT451" i="12"/>
  <c r="CU451" i="12"/>
  <c r="CV451" i="12"/>
  <c r="CW451" i="12"/>
  <c r="CX451" i="12"/>
  <c r="CY451" i="12"/>
  <c r="CZ451" i="12"/>
  <c r="DA451" i="12"/>
  <c r="DB451" i="12"/>
  <c r="DC451" i="12"/>
  <c r="DD451" i="12"/>
  <c r="DE451" i="12"/>
  <c r="DF451" i="12"/>
  <c r="DG451" i="12"/>
  <c r="DH451" i="12"/>
  <c r="DI451" i="12"/>
  <c r="DJ451" i="12"/>
  <c r="DK451" i="12"/>
  <c r="DL451" i="12"/>
  <c r="DM451" i="12"/>
  <c r="DN451" i="12"/>
  <c r="DO451" i="12"/>
  <c r="DP451" i="12"/>
  <c r="DQ451" i="12"/>
  <c r="DR451" i="12"/>
  <c r="DS451" i="12"/>
  <c r="DT451" i="12"/>
  <c r="DU451" i="12"/>
  <c r="DV451" i="12"/>
  <c r="DW451" i="12"/>
  <c r="DX451" i="12"/>
  <c r="DY451" i="12"/>
  <c r="DZ451" i="12"/>
  <c r="EA451" i="12"/>
  <c r="EB451" i="12"/>
  <c r="EC451" i="12"/>
  <c r="ED451" i="12"/>
  <c r="EE451" i="12"/>
  <c r="EF451" i="12"/>
  <c r="EG451" i="12"/>
  <c r="EH451" i="12"/>
  <c r="EI451" i="12"/>
  <c r="EJ451" i="12"/>
  <c r="EK451" i="12"/>
  <c r="EL451" i="12"/>
  <c r="EM451" i="12"/>
  <c r="EN451" i="12"/>
  <c r="EO451" i="12"/>
  <c r="EP451" i="12"/>
  <c r="EQ451" i="12"/>
  <c r="ER451" i="12"/>
  <c r="ES451" i="12"/>
  <c r="ET451" i="12"/>
  <c r="EU451" i="12"/>
  <c r="EV451" i="12"/>
  <c r="EW451" i="12"/>
  <c r="EX451" i="12"/>
  <c r="EY451" i="12"/>
  <c r="EZ451" i="12"/>
  <c r="FA451" i="12"/>
  <c r="FB451" i="12"/>
  <c r="FC451" i="12"/>
  <c r="FD451" i="12"/>
  <c r="FE451" i="12"/>
  <c r="FF451" i="12"/>
  <c r="FG451" i="12"/>
  <c r="FH451" i="12"/>
  <c r="FI451" i="12"/>
  <c r="FJ451" i="12"/>
  <c r="FK451" i="12"/>
  <c r="FL451" i="12"/>
  <c r="FM451" i="12"/>
  <c r="FN451" i="12"/>
  <c r="FO451" i="12"/>
  <c r="FP451" i="12"/>
  <c r="FQ451" i="12"/>
  <c r="FR451" i="12"/>
  <c r="FS451" i="12"/>
  <c r="FT451" i="12"/>
  <c r="FU451" i="12"/>
  <c r="FV451" i="12"/>
  <c r="FW451" i="12"/>
  <c r="FX451" i="12"/>
  <c r="FY451" i="12"/>
  <c r="FZ451" i="12"/>
  <c r="GA451" i="12"/>
  <c r="GB451" i="12"/>
  <c r="GC451" i="12"/>
  <c r="GD451" i="12"/>
  <c r="GE451" i="12"/>
  <c r="GF451" i="12"/>
  <c r="GG451" i="12"/>
  <c r="GH451" i="12"/>
  <c r="GI451" i="12"/>
  <c r="GJ451" i="12"/>
  <c r="GK451" i="12"/>
  <c r="GL451" i="12"/>
  <c r="GM451" i="12"/>
  <c r="GN451" i="12"/>
  <c r="GO451" i="12"/>
  <c r="GP451" i="12"/>
  <c r="GQ451" i="12"/>
  <c r="GR451" i="12"/>
  <c r="GS451" i="12"/>
  <c r="GT451" i="12"/>
  <c r="GU451" i="12"/>
  <c r="GV451" i="12"/>
  <c r="GW451" i="12"/>
  <c r="GX451" i="12"/>
  <c r="GY451" i="12"/>
  <c r="GZ451" i="12"/>
  <c r="HA451" i="12"/>
  <c r="HB451" i="12"/>
  <c r="HC451" i="12"/>
  <c r="HD451" i="12"/>
  <c r="HE451" i="12"/>
  <c r="HF451" i="12"/>
  <c r="HG451" i="12"/>
  <c r="HH451" i="12"/>
  <c r="HI451" i="12"/>
  <c r="HJ451" i="12"/>
  <c r="HK451" i="12"/>
  <c r="HL451" i="12"/>
  <c r="HM451" i="12"/>
  <c r="HN451" i="12"/>
  <c r="HO451" i="12"/>
  <c r="HP451" i="12"/>
  <c r="HQ451" i="12"/>
  <c r="HR451" i="12"/>
  <c r="HS451" i="12"/>
  <c r="HT451" i="12"/>
  <c r="HU451" i="12"/>
  <c r="HV451" i="12"/>
  <c r="HW451" i="12"/>
  <c r="HX451" i="12"/>
  <c r="HY451" i="12"/>
  <c r="HZ451" i="12"/>
  <c r="IA451" i="12"/>
  <c r="IB451" i="12"/>
  <c r="IC451" i="12"/>
  <c r="ID451" i="12"/>
  <c r="IE451" i="12"/>
  <c r="IF451" i="12"/>
  <c r="IG451" i="12"/>
  <c r="IH451" i="12"/>
  <c r="II451" i="12"/>
  <c r="IJ451" i="12"/>
  <c r="IK451" i="12"/>
  <c r="IL451" i="12"/>
  <c r="IM451" i="12"/>
  <c r="IN451" i="12"/>
  <c r="IO451" i="12"/>
  <c r="IP451" i="12"/>
  <c r="IQ451" i="12"/>
  <c r="IR451" i="12"/>
  <c r="IS451" i="12"/>
  <c r="IT451" i="12"/>
  <c r="IU451" i="12"/>
  <c r="IV451" i="12"/>
  <c r="F452" i="12"/>
  <c r="G452" i="12"/>
  <c r="H452" i="12"/>
  <c r="I452" i="12"/>
  <c r="J452" i="12"/>
  <c r="K452" i="12"/>
  <c r="L452" i="12"/>
  <c r="M452" i="12"/>
  <c r="N452" i="12"/>
  <c r="O452" i="12"/>
  <c r="P452" i="12"/>
  <c r="Q452" i="12"/>
  <c r="R452" i="12"/>
  <c r="S452" i="12"/>
  <c r="T452" i="12"/>
  <c r="U452" i="12"/>
  <c r="V452" i="12"/>
  <c r="W452" i="12"/>
  <c r="X452" i="12"/>
  <c r="Y452" i="12"/>
  <c r="Z452" i="12"/>
  <c r="AA452" i="12"/>
  <c r="AB452" i="12"/>
  <c r="AC452" i="12"/>
  <c r="AD452" i="12"/>
  <c r="AE452" i="12"/>
  <c r="AF452" i="12"/>
  <c r="AG452" i="12"/>
  <c r="AH452" i="12"/>
  <c r="AI452" i="12"/>
  <c r="AJ452" i="12"/>
  <c r="AK452" i="12"/>
  <c r="AL452" i="12"/>
  <c r="AM452" i="12"/>
  <c r="AN452" i="12"/>
  <c r="AO452" i="12"/>
  <c r="AP452" i="12"/>
  <c r="AQ452" i="12"/>
  <c r="AR452" i="12"/>
  <c r="AS452" i="12"/>
  <c r="AT452" i="12"/>
  <c r="AU452" i="12"/>
  <c r="AV452" i="12"/>
  <c r="AW452" i="12"/>
  <c r="AX452" i="12"/>
  <c r="AY452" i="12"/>
  <c r="AZ452" i="12"/>
  <c r="BA452" i="12"/>
  <c r="BB452" i="12"/>
  <c r="BC452" i="12"/>
  <c r="BD452" i="12"/>
  <c r="BE452" i="12"/>
  <c r="BF452" i="12"/>
  <c r="BG452" i="12"/>
  <c r="BH452" i="12"/>
  <c r="BI452" i="12"/>
  <c r="BJ452" i="12"/>
  <c r="BK452" i="12"/>
  <c r="BL452" i="12"/>
  <c r="BM452" i="12"/>
  <c r="BN452" i="12"/>
  <c r="BO452" i="12"/>
  <c r="BP452" i="12"/>
  <c r="BQ452" i="12"/>
  <c r="BR452" i="12"/>
  <c r="BS452" i="12"/>
  <c r="BT452" i="12"/>
  <c r="BU452" i="12"/>
  <c r="BV452" i="12"/>
  <c r="BW452" i="12"/>
  <c r="BX452" i="12"/>
  <c r="BY452" i="12"/>
  <c r="BZ452" i="12"/>
  <c r="CA452" i="12"/>
  <c r="CB452" i="12"/>
  <c r="CC452" i="12"/>
  <c r="CD452" i="12"/>
  <c r="CE452" i="12"/>
  <c r="CF452" i="12"/>
  <c r="CG452" i="12"/>
  <c r="CH452" i="12"/>
  <c r="CI452" i="12"/>
  <c r="CJ452" i="12"/>
  <c r="CK452" i="12"/>
  <c r="CL452" i="12"/>
  <c r="CM452" i="12"/>
  <c r="CN452" i="12"/>
  <c r="CO452" i="12"/>
  <c r="CP452" i="12"/>
  <c r="CQ452" i="12"/>
  <c r="CR452" i="12"/>
  <c r="CS452" i="12"/>
  <c r="CT452" i="12"/>
  <c r="CU452" i="12"/>
  <c r="CV452" i="12"/>
  <c r="CW452" i="12"/>
  <c r="CX452" i="12"/>
  <c r="CY452" i="12"/>
  <c r="CZ452" i="12"/>
  <c r="DA452" i="12"/>
  <c r="DB452" i="12"/>
  <c r="DC452" i="12"/>
  <c r="DD452" i="12"/>
  <c r="DE452" i="12"/>
  <c r="DF452" i="12"/>
  <c r="DG452" i="12"/>
  <c r="DH452" i="12"/>
  <c r="DI452" i="12"/>
  <c r="DJ452" i="12"/>
  <c r="DK452" i="12"/>
  <c r="DL452" i="12"/>
  <c r="DM452" i="12"/>
  <c r="DN452" i="12"/>
  <c r="DO452" i="12"/>
  <c r="DP452" i="12"/>
  <c r="DQ452" i="12"/>
  <c r="DR452" i="12"/>
  <c r="DS452" i="12"/>
  <c r="DT452" i="12"/>
  <c r="DU452" i="12"/>
  <c r="DV452" i="12"/>
  <c r="DW452" i="12"/>
  <c r="DX452" i="12"/>
  <c r="DY452" i="12"/>
  <c r="DZ452" i="12"/>
  <c r="EA452" i="12"/>
  <c r="EB452" i="12"/>
  <c r="EC452" i="12"/>
  <c r="ED452" i="12"/>
  <c r="EE452" i="12"/>
  <c r="EF452" i="12"/>
  <c r="EG452" i="12"/>
  <c r="EH452" i="12"/>
  <c r="EI452" i="12"/>
  <c r="EJ452" i="12"/>
  <c r="EK452" i="12"/>
  <c r="EL452" i="12"/>
  <c r="EM452" i="12"/>
  <c r="EN452" i="12"/>
  <c r="EO452" i="12"/>
  <c r="EP452" i="12"/>
  <c r="EQ452" i="12"/>
  <c r="ER452" i="12"/>
  <c r="ES452" i="12"/>
  <c r="ET452" i="12"/>
  <c r="EU452" i="12"/>
  <c r="EV452" i="12"/>
  <c r="EW452" i="12"/>
  <c r="EX452" i="12"/>
  <c r="EY452" i="12"/>
  <c r="EZ452" i="12"/>
  <c r="FA452" i="12"/>
  <c r="FB452" i="12"/>
  <c r="FC452" i="12"/>
  <c r="FD452" i="12"/>
  <c r="FE452" i="12"/>
  <c r="FF452" i="12"/>
  <c r="FG452" i="12"/>
  <c r="FH452" i="12"/>
  <c r="FI452" i="12"/>
  <c r="FJ452" i="12"/>
  <c r="FK452" i="12"/>
  <c r="FL452" i="12"/>
  <c r="FM452" i="12"/>
  <c r="FN452" i="12"/>
  <c r="FO452" i="12"/>
  <c r="FP452" i="12"/>
  <c r="FQ452" i="12"/>
  <c r="FR452" i="12"/>
  <c r="FS452" i="12"/>
  <c r="FT452" i="12"/>
  <c r="FU452" i="12"/>
  <c r="FV452" i="12"/>
  <c r="FW452" i="12"/>
  <c r="FX452" i="12"/>
  <c r="FY452" i="12"/>
  <c r="FZ452" i="12"/>
  <c r="GA452" i="12"/>
  <c r="GB452" i="12"/>
  <c r="GC452" i="12"/>
  <c r="GD452" i="12"/>
  <c r="GE452" i="12"/>
  <c r="GF452" i="12"/>
  <c r="GG452" i="12"/>
  <c r="GH452" i="12"/>
  <c r="GI452" i="12"/>
  <c r="GJ452" i="12"/>
  <c r="GK452" i="12"/>
  <c r="GL452" i="12"/>
  <c r="GM452" i="12"/>
  <c r="GN452" i="12"/>
  <c r="GO452" i="12"/>
  <c r="GP452" i="12"/>
  <c r="GQ452" i="12"/>
  <c r="GR452" i="12"/>
  <c r="GS452" i="12"/>
  <c r="GT452" i="12"/>
  <c r="GU452" i="12"/>
  <c r="GV452" i="12"/>
  <c r="GW452" i="12"/>
  <c r="GX452" i="12"/>
  <c r="GY452" i="12"/>
  <c r="GZ452" i="12"/>
  <c r="HA452" i="12"/>
  <c r="HB452" i="12"/>
  <c r="HC452" i="12"/>
  <c r="HD452" i="12"/>
  <c r="HE452" i="12"/>
  <c r="HF452" i="12"/>
  <c r="HG452" i="12"/>
  <c r="HH452" i="12"/>
  <c r="HI452" i="12"/>
  <c r="HJ452" i="12"/>
  <c r="HK452" i="12"/>
  <c r="HL452" i="12"/>
  <c r="HM452" i="12"/>
  <c r="HN452" i="12"/>
  <c r="HO452" i="12"/>
  <c r="HP452" i="12"/>
  <c r="HQ452" i="12"/>
  <c r="HR452" i="12"/>
  <c r="HS452" i="12"/>
  <c r="HT452" i="12"/>
  <c r="HU452" i="12"/>
  <c r="HV452" i="12"/>
  <c r="HW452" i="12"/>
  <c r="HX452" i="12"/>
  <c r="HY452" i="12"/>
  <c r="HZ452" i="12"/>
  <c r="IA452" i="12"/>
  <c r="IB452" i="12"/>
  <c r="IC452" i="12"/>
  <c r="ID452" i="12"/>
  <c r="IE452" i="12"/>
  <c r="IF452" i="12"/>
  <c r="IG452" i="12"/>
  <c r="IH452" i="12"/>
  <c r="II452" i="12"/>
  <c r="IJ452" i="12"/>
  <c r="IK452" i="12"/>
  <c r="IL452" i="12"/>
  <c r="IM452" i="12"/>
  <c r="IN452" i="12"/>
  <c r="IO452" i="12"/>
  <c r="IP452" i="12"/>
  <c r="IQ452" i="12"/>
  <c r="IR452" i="12"/>
  <c r="IS452" i="12"/>
  <c r="IT452" i="12"/>
  <c r="IU452" i="12"/>
  <c r="IV452" i="12"/>
  <c r="F453" i="12"/>
  <c r="G453" i="12"/>
  <c r="H453" i="12"/>
  <c r="I453" i="12"/>
  <c r="J453" i="12"/>
  <c r="K453" i="12"/>
  <c r="L453" i="12"/>
  <c r="M453" i="12"/>
  <c r="N453" i="12"/>
  <c r="O453" i="12"/>
  <c r="P453" i="12"/>
  <c r="Q453" i="12"/>
  <c r="R453" i="12"/>
  <c r="S453" i="12"/>
  <c r="T453" i="12"/>
  <c r="U453" i="12"/>
  <c r="V453" i="12"/>
  <c r="W453" i="12"/>
  <c r="X453" i="12"/>
  <c r="Y453" i="12"/>
  <c r="Z453" i="12"/>
  <c r="AA453" i="12"/>
  <c r="AB453" i="12"/>
  <c r="AC453" i="12"/>
  <c r="AD453" i="12"/>
  <c r="AE453" i="12"/>
  <c r="AF453" i="12"/>
  <c r="AG453" i="12"/>
  <c r="AH453" i="12"/>
  <c r="AI453" i="12"/>
  <c r="AJ453" i="12"/>
  <c r="AK453" i="12"/>
  <c r="AL453" i="12"/>
  <c r="AM453" i="12"/>
  <c r="AN453" i="12"/>
  <c r="AO453" i="12"/>
  <c r="AP453" i="12"/>
  <c r="AQ453" i="12"/>
  <c r="AR453" i="12"/>
  <c r="AS453" i="12"/>
  <c r="AT453" i="12"/>
  <c r="AU453" i="12"/>
  <c r="AV453" i="12"/>
  <c r="AW453" i="12"/>
  <c r="AX453" i="12"/>
  <c r="AY453" i="12"/>
  <c r="AZ453" i="12"/>
  <c r="BA453" i="12"/>
  <c r="BB453" i="12"/>
  <c r="BC453" i="12"/>
  <c r="BD453" i="12"/>
  <c r="BE453" i="12"/>
  <c r="BF453" i="12"/>
  <c r="BG453" i="12"/>
  <c r="BH453" i="12"/>
  <c r="BI453" i="12"/>
  <c r="BJ453" i="12"/>
  <c r="BK453" i="12"/>
  <c r="BL453" i="12"/>
  <c r="BM453" i="12"/>
  <c r="BN453" i="12"/>
  <c r="BO453" i="12"/>
  <c r="BP453" i="12"/>
  <c r="BQ453" i="12"/>
  <c r="BR453" i="12"/>
  <c r="BS453" i="12"/>
  <c r="BT453" i="12"/>
  <c r="BU453" i="12"/>
  <c r="BV453" i="12"/>
  <c r="BW453" i="12"/>
  <c r="BX453" i="12"/>
  <c r="BY453" i="12"/>
  <c r="BZ453" i="12"/>
  <c r="CA453" i="12"/>
  <c r="CB453" i="12"/>
  <c r="CC453" i="12"/>
  <c r="CD453" i="12"/>
  <c r="CE453" i="12"/>
  <c r="CF453" i="12"/>
  <c r="CG453" i="12"/>
  <c r="CH453" i="12"/>
  <c r="CI453" i="12"/>
  <c r="CJ453" i="12"/>
  <c r="CK453" i="12"/>
  <c r="CL453" i="12"/>
  <c r="CM453" i="12"/>
  <c r="CN453" i="12"/>
  <c r="CO453" i="12"/>
  <c r="CP453" i="12"/>
  <c r="CQ453" i="12"/>
  <c r="CR453" i="12"/>
  <c r="CS453" i="12"/>
  <c r="CT453" i="12"/>
  <c r="CU453" i="12"/>
  <c r="CV453" i="12"/>
  <c r="CW453" i="12"/>
  <c r="CX453" i="12"/>
  <c r="CY453" i="12"/>
  <c r="CZ453" i="12"/>
  <c r="DA453" i="12"/>
  <c r="DB453" i="12"/>
  <c r="DC453" i="12"/>
  <c r="DD453" i="12"/>
  <c r="DE453" i="12"/>
  <c r="DF453" i="12"/>
  <c r="DG453" i="12"/>
  <c r="DH453" i="12"/>
  <c r="DI453" i="12"/>
  <c r="DJ453" i="12"/>
  <c r="DK453" i="12"/>
  <c r="DL453" i="12"/>
  <c r="DM453" i="12"/>
  <c r="DN453" i="12"/>
  <c r="DO453" i="12"/>
  <c r="DP453" i="12"/>
  <c r="DQ453" i="12"/>
  <c r="DR453" i="12"/>
  <c r="DS453" i="12"/>
  <c r="DT453" i="12"/>
  <c r="DU453" i="12"/>
  <c r="DV453" i="12"/>
  <c r="DW453" i="12"/>
  <c r="DX453" i="12"/>
  <c r="DY453" i="12"/>
  <c r="DZ453" i="12"/>
  <c r="EA453" i="12"/>
  <c r="EB453" i="12"/>
  <c r="EC453" i="12"/>
  <c r="ED453" i="12"/>
  <c r="EE453" i="12"/>
  <c r="EF453" i="12"/>
  <c r="EG453" i="12"/>
  <c r="EH453" i="12"/>
  <c r="EI453" i="12"/>
  <c r="EJ453" i="12"/>
  <c r="EK453" i="12"/>
  <c r="EL453" i="12"/>
  <c r="EM453" i="12"/>
  <c r="EN453" i="12"/>
  <c r="EO453" i="12"/>
  <c r="EP453" i="12"/>
  <c r="EQ453" i="12"/>
  <c r="ER453" i="12"/>
  <c r="ES453" i="12"/>
  <c r="ET453" i="12"/>
  <c r="EU453" i="12"/>
  <c r="EV453" i="12"/>
  <c r="EW453" i="12"/>
  <c r="EX453" i="12"/>
  <c r="EY453" i="12"/>
  <c r="EZ453" i="12"/>
  <c r="FA453" i="12"/>
  <c r="FB453" i="12"/>
  <c r="FC453" i="12"/>
  <c r="FD453" i="12"/>
  <c r="FE453" i="12"/>
  <c r="FF453" i="12"/>
  <c r="FG453" i="12"/>
  <c r="FH453" i="12"/>
  <c r="FI453" i="12"/>
  <c r="FJ453" i="12"/>
  <c r="FK453" i="12"/>
  <c r="FL453" i="12"/>
  <c r="FM453" i="12"/>
  <c r="FN453" i="12"/>
  <c r="FO453" i="12"/>
  <c r="FP453" i="12"/>
  <c r="FQ453" i="12"/>
  <c r="FR453" i="12"/>
  <c r="FS453" i="12"/>
  <c r="FT453" i="12"/>
  <c r="FU453" i="12"/>
  <c r="FV453" i="12"/>
  <c r="FW453" i="12"/>
  <c r="FX453" i="12"/>
  <c r="FY453" i="12"/>
  <c r="FZ453" i="12"/>
  <c r="GA453" i="12"/>
  <c r="GB453" i="12"/>
  <c r="GC453" i="12"/>
  <c r="GD453" i="12"/>
  <c r="GE453" i="12"/>
  <c r="GF453" i="12"/>
  <c r="GG453" i="12"/>
  <c r="GH453" i="12"/>
  <c r="GI453" i="12"/>
  <c r="GJ453" i="12"/>
  <c r="GK453" i="12"/>
  <c r="GL453" i="12"/>
  <c r="GM453" i="12"/>
  <c r="GN453" i="12"/>
  <c r="GO453" i="12"/>
  <c r="GP453" i="12"/>
  <c r="GQ453" i="12"/>
  <c r="GR453" i="12"/>
  <c r="GS453" i="12"/>
  <c r="GT453" i="12"/>
  <c r="GU453" i="12"/>
  <c r="GV453" i="12"/>
  <c r="GW453" i="12"/>
  <c r="GX453" i="12"/>
  <c r="GY453" i="12"/>
  <c r="GZ453" i="12"/>
  <c r="HA453" i="12"/>
  <c r="HB453" i="12"/>
  <c r="HC453" i="12"/>
  <c r="HD453" i="12"/>
  <c r="HE453" i="12"/>
  <c r="HF453" i="12"/>
  <c r="HG453" i="12"/>
  <c r="HH453" i="12"/>
  <c r="HI453" i="12"/>
  <c r="HJ453" i="12"/>
  <c r="HK453" i="12"/>
  <c r="HL453" i="12"/>
  <c r="HM453" i="12"/>
  <c r="HN453" i="12"/>
  <c r="HO453" i="12"/>
  <c r="HP453" i="12"/>
  <c r="HQ453" i="12"/>
  <c r="HR453" i="12"/>
  <c r="HS453" i="12"/>
  <c r="HT453" i="12"/>
  <c r="HU453" i="12"/>
  <c r="HV453" i="12"/>
  <c r="HW453" i="12"/>
  <c r="HX453" i="12"/>
  <c r="HY453" i="12"/>
  <c r="HZ453" i="12"/>
  <c r="IA453" i="12"/>
  <c r="IB453" i="12"/>
  <c r="IC453" i="12"/>
  <c r="ID453" i="12"/>
  <c r="IE453" i="12"/>
  <c r="IF453" i="12"/>
  <c r="IG453" i="12"/>
  <c r="IH453" i="12"/>
  <c r="II453" i="12"/>
  <c r="IJ453" i="12"/>
  <c r="IK453" i="12"/>
  <c r="IL453" i="12"/>
  <c r="IM453" i="12"/>
  <c r="IN453" i="12"/>
  <c r="IO453" i="12"/>
  <c r="IP453" i="12"/>
  <c r="IQ453" i="12"/>
  <c r="IR453" i="12"/>
  <c r="IS453" i="12"/>
  <c r="IT453" i="12"/>
  <c r="IU453" i="12"/>
  <c r="IV453" i="12"/>
  <c r="F454" i="12"/>
  <c r="G454" i="12"/>
  <c r="H454" i="12"/>
  <c r="I454" i="12"/>
  <c r="J454" i="12"/>
  <c r="K454" i="12"/>
  <c r="L454" i="12"/>
  <c r="M454" i="12"/>
  <c r="N454" i="12"/>
  <c r="O454" i="12"/>
  <c r="P454" i="12"/>
  <c r="Q454" i="12"/>
  <c r="R454" i="12"/>
  <c r="S454" i="12"/>
  <c r="T454" i="12"/>
  <c r="U454" i="12"/>
  <c r="V454" i="12"/>
  <c r="W454" i="12"/>
  <c r="X454" i="12"/>
  <c r="Y454" i="12"/>
  <c r="Z454" i="12"/>
  <c r="AA454" i="12"/>
  <c r="AB454" i="12"/>
  <c r="AC454" i="12"/>
  <c r="AD454" i="12"/>
  <c r="AE454" i="12"/>
  <c r="AF454" i="12"/>
  <c r="AG454" i="12"/>
  <c r="AH454" i="12"/>
  <c r="AI454" i="12"/>
  <c r="AJ454" i="12"/>
  <c r="AK454" i="12"/>
  <c r="AL454" i="12"/>
  <c r="AM454" i="12"/>
  <c r="AN454" i="12"/>
  <c r="AO454" i="12"/>
  <c r="AP454" i="12"/>
  <c r="AQ454" i="12"/>
  <c r="AR454" i="12"/>
  <c r="AS454" i="12"/>
  <c r="AT454" i="12"/>
  <c r="AU454" i="12"/>
  <c r="AV454" i="12"/>
  <c r="AW454" i="12"/>
  <c r="AX454" i="12"/>
  <c r="AY454" i="12"/>
  <c r="AZ454" i="12"/>
  <c r="BA454" i="12"/>
  <c r="BB454" i="12"/>
  <c r="BC454" i="12"/>
  <c r="BD454" i="12"/>
  <c r="BE454" i="12"/>
  <c r="BF454" i="12"/>
  <c r="BG454" i="12"/>
  <c r="BH454" i="12"/>
  <c r="BI454" i="12"/>
  <c r="BJ454" i="12"/>
  <c r="BK454" i="12"/>
  <c r="BL454" i="12"/>
  <c r="BM454" i="12"/>
  <c r="BN454" i="12"/>
  <c r="BO454" i="12"/>
  <c r="BP454" i="12"/>
  <c r="BQ454" i="12"/>
  <c r="BR454" i="12"/>
  <c r="BS454" i="12"/>
  <c r="BT454" i="12"/>
  <c r="BU454" i="12"/>
  <c r="BV454" i="12"/>
  <c r="BW454" i="12"/>
  <c r="BX454" i="12"/>
  <c r="BY454" i="12"/>
  <c r="BZ454" i="12"/>
  <c r="CA454" i="12"/>
  <c r="CB454" i="12"/>
  <c r="CC454" i="12"/>
  <c r="CD454" i="12"/>
  <c r="CE454" i="12"/>
  <c r="CF454" i="12"/>
  <c r="CG454" i="12"/>
  <c r="CH454" i="12"/>
  <c r="CI454" i="12"/>
  <c r="CJ454" i="12"/>
  <c r="CK454" i="12"/>
  <c r="CL454" i="12"/>
  <c r="CM454" i="12"/>
  <c r="CN454" i="12"/>
  <c r="CO454" i="12"/>
  <c r="CP454" i="12"/>
  <c r="CQ454" i="12"/>
  <c r="CR454" i="12"/>
  <c r="CS454" i="12"/>
  <c r="CT454" i="12"/>
  <c r="CU454" i="12"/>
  <c r="CV454" i="12"/>
  <c r="CW454" i="12"/>
  <c r="CX454" i="12"/>
  <c r="CY454" i="12"/>
  <c r="CZ454" i="12"/>
  <c r="DA454" i="12"/>
  <c r="DB454" i="12"/>
  <c r="DC454" i="12"/>
  <c r="DD454" i="12"/>
  <c r="DE454" i="12"/>
  <c r="DF454" i="12"/>
  <c r="DG454" i="12"/>
  <c r="DH454" i="12"/>
  <c r="DI454" i="12"/>
  <c r="DJ454" i="12"/>
  <c r="DK454" i="12"/>
  <c r="DL454" i="12"/>
  <c r="DM454" i="12"/>
  <c r="DN454" i="12"/>
  <c r="DO454" i="12"/>
  <c r="DP454" i="12"/>
  <c r="DQ454" i="12"/>
  <c r="DR454" i="12"/>
  <c r="DS454" i="12"/>
  <c r="DT454" i="12"/>
  <c r="DU454" i="12"/>
  <c r="DV454" i="12"/>
  <c r="DW454" i="12"/>
  <c r="DX454" i="12"/>
  <c r="DY454" i="12"/>
  <c r="DZ454" i="12"/>
  <c r="EA454" i="12"/>
  <c r="EB454" i="12"/>
  <c r="EC454" i="12"/>
  <c r="ED454" i="12"/>
  <c r="EE454" i="12"/>
  <c r="EF454" i="12"/>
  <c r="EG454" i="12"/>
  <c r="EH454" i="12"/>
  <c r="EI454" i="12"/>
  <c r="EJ454" i="12"/>
  <c r="EK454" i="12"/>
  <c r="EL454" i="12"/>
  <c r="EM454" i="12"/>
  <c r="EN454" i="12"/>
  <c r="EO454" i="12"/>
  <c r="EP454" i="12"/>
  <c r="EQ454" i="12"/>
  <c r="ER454" i="12"/>
  <c r="ES454" i="12"/>
  <c r="ET454" i="12"/>
  <c r="EU454" i="12"/>
  <c r="EV454" i="12"/>
  <c r="EW454" i="12"/>
  <c r="EX454" i="12"/>
  <c r="EY454" i="12"/>
  <c r="EZ454" i="12"/>
  <c r="FA454" i="12"/>
  <c r="FB454" i="12"/>
  <c r="FC454" i="12"/>
  <c r="FD454" i="12"/>
  <c r="FE454" i="12"/>
  <c r="FF454" i="12"/>
  <c r="FG454" i="12"/>
  <c r="FH454" i="12"/>
  <c r="FI454" i="12"/>
  <c r="FJ454" i="12"/>
  <c r="FK454" i="12"/>
  <c r="FL454" i="12"/>
  <c r="FM454" i="12"/>
  <c r="FN454" i="12"/>
  <c r="FO454" i="12"/>
  <c r="FP454" i="12"/>
  <c r="FQ454" i="12"/>
  <c r="FR454" i="12"/>
  <c r="FS454" i="12"/>
  <c r="FT454" i="12"/>
  <c r="FU454" i="12"/>
  <c r="FV454" i="12"/>
  <c r="FW454" i="12"/>
  <c r="FX454" i="12"/>
  <c r="FY454" i="12"/>
  <c r="FZ454" i="12"/>
  <c r="GA454" i="12"/>
  <c r="GB454" i="12"/>
  <c r="GC454" i="12"/>
  <c r="GD454" i="12"/>
  <c r="GE454" i="12"/>
  <c r="GF454" i="12"/>
  <c r="GG454" i="12"/>
  <c r="GH454" i="12"/>
  <c r="GI454" i="12"/>
  <c r="GJ454" i="12"/>
  <c r="GK454" i="12"/>
  <c r="GL454" i="12"/>
  <c r="GM454" i="12"/>
  <c r="GN454" i="12"/>
  <c r="GO454" i="12"/>
  <c r="GP454" i="12"/>
  <c r="GQ454" i="12"/>
  <c r="GR454" i="12"/>
  <c r="GS454" i="12"/>
  <c r="GT454" i="12"/>
  <c r="GU454" i="12"/>
  <c r="GV454" i="12"/>
  <c r="GW454" i="12"/>
  <c r="GX454" i="12"/>
  <c r="GY454" i="12"/>
  <c r="GZ454" i="12"/>
  <c r="HA454" i="12"/>
  <c r="HB454" i="12"/>
  <c r="HC454" i="12"/>
  <c r="HD454" i="12"/>
  <c r="HE454" i="12"/>
  <c r="HF454" i="12"/>
  <c r="HG454" i="12"/>
  <c r="HH454" i="12"/>
  <c r="HI454" i="12"/>
  <c r="HJ454" i="12"/>
  <c r="HK454" i="12"/>
  <c r="HL454" i="12"/>
  <c r="HM454" i="12"/>
  <c r="HN454" i="12"/>
  <c r="HO454" i="12"/>
  <c r="HP454" i="12"/>
  <c r="HQ454" i="12"/>
  <c r="HR454" i="12"/>
  <c r="HS454" i="12"/>
  <c r="HT454" i="12"/>
  <c r="HU454" i="12"/>
  <c r="HV454" i="12"/>
  <c r="HW454" i="12"/>
  <c r="HX454" i="12"/>
  <c r="HY454" i="12"/>
  <c r="HZ454" i="12"/>
  <c r="IA454" i="12"/>
  <c r="IB454" i="12"/>
  <c r="IC454" i="12"/>
  <c r="ID454" i="12"/>
  <c r="IE454" i="12"/>
  <c r="IF454" i="12"/>
  <c r="IG454" i="12"/>
  <c r="IH454" i="12"/>
  <c r="II454" i="12"/>
  <c r="IJ454" i="12"/>
  <c r="IK454" i="12"/>
  <c r="IL454" i="12"/>
  <c r="IM454" i="12"/>
  <c r="IN454" i="12"/>
  <c r="IO454" i="12"/>
  <c r="IP454" i="12"/>
  <c r="IQ454" i="12"/>
  <c r="IR454" i="12"/>
  <c r="IS454" i="12"/>
  <c r="IT454" i="12"/>
  <c r="IU454" i="12"/>
  <c r="IV454" i="12"/>
  <c r="F455" i="12"/>
  <c r="G455" i="12"/>
  <c r="H455" i="12"/>
  <c r="I455" i="12"/>
  <c r="J455" i="12"/>
  <c r="K455" i="12"/>
  <c r="L455" i="12"/>
  <c r="M455" i="12"/>
  <c r="N455" i="12"/>
  <c r="O455" i="12"/>
  <c r="P455" i="12"/>
  <c r="Q455" i="12"/>
  <c r="R455" i="12"/>
  <c r="S455" i="12"/>
  <c r="T455" i="12"/>
  <c r="U455" i="12"/>
  <c r="V455" i="12"/>
  <c r="W455" i="12"/>
  <c r="X455" i="12"/>
  <c r="Y455" i="12"/>
  <c r="Z455" i="12"/>
  <c r="AA455" i="12"/>
  <c r="AB455" i="12"/>
  <c r="AC455" i="12"/>
  <c r="AD455" i="12"/>
  <c r="AE455" i="12"/>
  <c r="AF455" i="12"/>
  <c r="AG455" i="12"/>
  <c r="AH455" i="12"/>
  <c r="AI455" i="12"/>
  <c r="AJ455" i="12"/>
  <c r="AK455" i="12"/>
  <c r="AL455" i="12"/>
  <c r="AM455" i="12"/>
  <c r="AN455" i="12"/>
  <c r="AO455" i="12"/>
  <c r="AP455" i="12"/>
  <c r="AQ455" i="12"/>
  <c r="AR455" i="12"/>
  <c r="AS455" i="12"/>
  <c r="AT455" i="12"/>
  <c r="AU455" i="12"/>
  <c r="AV455" i="12"/>
  <c r="AW455" i="12"/>
  <c r="AX455" i="12"/>
  <c r="AY455" i="12"/>
  <c r="AZ455" i="12"/>
  <c r="BA455" i="12"/>
  <c r="BB455" i="12"/>
  <c r="BC455" i="12"/>
  <c r="BD455" i="12"/>
  <c r="BE455" i="12"/>
  <c r="BF455" i="12"/>
  <c r="BG455" i="12"/>
  <c r="BH455" i="12"/>
  <c r="BI455" i="12"/>
  <c r="BJ455" i="12"/>
  <c r="BK455" i="12"/>
  <c r="BL455" i="12"/>
  <c r="BM455" i="12"/>
  <c r="BN455" i="12"/>
  <c r="BO455" i="12"/>
  <c r="BP455" i="12"/>
  <c r="BQ455" i="12"/>
  <c r="BR455" i="12"/>
  <c r="BS455" i="12"/>
  <c r="BT455" i="12"/>
  <c r="BU455" i="12"/>
  <c r="BV455" i="12"/>
  <c r="BW455" i="12"/>
  <c r="BX455" i="12"/>
  <c r="BY455" i="12"/>
  <c r="BZ455" i="12"/>
  <c r="CA455" i="12"/>
  <c r="CB455" i="12"/>
  <c r="CC455" i="12"/>
  <c r="CD455" i="12"/>
  <c r="CE455" i="12"/>
  <c r="CF455" i="12"/>
  <c r="CG455" i="12"/>
  <c r="CH455" i="12"/>
  <c r="CI455" i="12"/>
  <c r="CJ455" i="12"/>
  <c r="CK455" i="12"/>
  <c r="CL455" i="12"/>
  <c r="CM455" i="12"/>
  <c r="CN455" i="12"/>
  <c r="CO455" i="12"/>
  <c r="CP455" i="12"/>
  <c r="CQ455" i="12"/>
  <c r="CR455" i="12"/>
  <c r="CS455" i="12"/>
  <c r="CT455" i="12"/>
  <c r="CU455" i="12"/>
  <c r="CV455" i="12"/>
  <c r="CW455" i="12"/>
  <c r="CX455" i="12"/>
  <c r="CY455" i="12"/>
  <c r="CZ455" i="12"/>
  <c r="DA455" i="12"/>
  <c r="DB455" i="12"/>
  <c r="DC455" i="12"/>
  <c r="DD455" i="12"/>
  <c r="DE455" i="12"/>
  <c r="DF455" i="12"/>
  <c r="DG455" i="12"/>
  <c r="DH455" i="12"/>
  <c r="DI455" i="12"/>
  <c r="DJ455" i="12"/>
  <c r="DK455" i="12"/>
  <c r="DL455" i="12"/>
  <c r="DM455" i="12"/>
  <c r="DN455" i="12"/>
  <c r="DO455" i="12"/>
  <c r="DP455" i="12"/>
  <c r="DQ455" i="12"/>
  <c r="DR455" i="12"/>
  <c r="DS455" i="12"/>
  <c r="DT455" i="12"/>
  <c r="DU455" i="12"/>
  <c r="DV455" i="12"/>
  <c r="DW455" i="12"/>
  <c r="DX455" i="12"/>
  <c r="DY455" i="12"/>
  <c r="DZ455" i="12"/>
  <c r="EA455" i="12"/>
  <c r="EB455" i="12"/>
  <c r="EC455" i="12"/>
  <c r="ED455" i="12"/>
  <c r="EE455" i="12"/>
  <c r="EF455" i="12"/>
  <c r="EG455" i="12"/>
  <c r="EH455" i="12"/>
  <c r="EI455" i="12"/>
  <c r="EJ455" i="12"/>
  <c r="EK455" i="12"/>
  <c r="EL455" i="12"/>
  <c r="EM455" i="12"/>
  <c r="EN455" i="12"/>
  <c r="EO455" i="12"/>
  <c r="EP455" i="12"/>
  <c r="EQ455" i="12"/>
  <c r="ER455" i="12"/>
  <c r="ES455" i="12"/>
  <c r="ET455" i="12"/>
  <c r="EU455" i="12"/>
  <c r="EV455" i="12"/>
  <c r="EW455" i="12"/>
  <c r="EX455" i="12"/>
  <c r="EY455" i="12"/>
  <c r="EZ455" i="12"/>
  <c r="FA455" i="12"/>
  <c r="FB455" i="12"/>
  <c r="FC455" i="12"/>
  <c r="FD455" i="12"/>
  <c r="FE455" i="12"/>
  <c r="FF455" i="12"/>
  <c r="FG455" i="12"/>
  <c r="FH455" i="12"/>
  <c r="FI455" i="12"/>
  <c r="FJ455" i="12"/>
  <c r="FK455" i="12"/>
  <c r="FL455" i="12"/>
  <c r="FM455" i="12"/>
  <c r="FN455" i="12"/>
  <c r="FO455" i="12"/>
  <c r="FP455" i="12"/>
  <c r="FQ455" i="12"/>
  <c r="FR455" i="12"/>
  <c r="FS455" i="12"/>
  <c r="FT455" i="12"/>
  <c r="FU455" i="12"/>
  <c r="FV455" i="12"/>
  <c r="FW455" i="12"/>
  <c r="FX455" i="12"/>
  <c r="FY455" i="12"/>
  <c r="FZ455" i="12"/>
  <c r="GA455" i="12"/>
  <c r="GB455" i="12"/>
  <c r="GC455" i="12"/>
  <c r="GD455" i="12"/>
  <c r="GE455" i="12"/>
  <c r="GF455" i="12"/>
  <c r="GG455" i="12"/>
  <c r="GH455" i="12"/>
  <c r="GI455" i="12"/>
  <c r="GJ455" i="12"/>
  <c r="GK455" i="12"/>
  <c r="GL455" i="12"/>
  <c r="GM455" i="12"/>
  <c r="GN455" i="12"/>
  <c r="GO455" i="12"/>
  <c r="GP455" i="12"/>
  <c r="GQ455" i="12"/>
  <c r="GR455" i="12"/>
  <c r="GS455" i="12"/>
  <c r="GT455" i="12"/>
  <c r="GU455" i="12"/>
  <c r="GV455" i="12"/>
  <c r="GW455" i="12"/>
  <c r="GX455" i="12"/>
  <c r="GY455" i="12"/>
  <c r="GZ455" i="12"/>
  <c r="HA455" i="12"/>
  <c r="HB455" i="12"/>
  <c r="HC455" i="12"/>
  <c r="HD455" i="12"/>
  <c r="HE455" i="12"/>
  <c r="HF455" i="12"/>
  <c r="HG455" i="12"/>
  <c r="HH455" i="12"/>
  <c r="HI455" i="12"/>
  <c r="HJ455" i="12"/>
  <c r="HK455" i="12"/>
  <c r="HL455" i="12"/>
  <c r="HM455" i="12"/>
  <c r="HN455" i="12"/>
  <c r="HO455" i="12"/>
  <c r="HP455" i="12"/>
  <c r="HQ455" i="12"/>
  <c r="HR455" i="12"/>
  <c r="HS455" i="12"/>
  <c r="HT455" i="12"/>
  <c r="HU455" i="12"/>
  <c r="HV455" i="12"/>
  <c r="HW455" i="12"/>
  <c r="HX455" i="12"/>
  <c r="HY455" i="12"/>
  <c r="HZ455" i="12"/>
  <c r="IA455" i="12"/>
  <c r="IB455" i="12"/>
  <c r="IC455" i="12"/>
  <c r="ID455" i="12"/>
  <c r="IE455" i="12"/>
  <c r="IF455" i="12"/>
  <c r="IG455" i="12"/>
  <c r="IH455" i="12"/>
  <c r="II455" i="12"/>
  <c r="IJ455" i="12"/>
  <c r="IK455" i="12"/>
  <c r="IL455" i="12"/>
  <c r="IM455" i="12"/>
  <c r="IN455" i="12"/>
  <c r="IO455" i="12"/>
  <c r="IP455" i="12"/>
  <c r="IQ455" i="12"/>
  <c r="IR455" i="12"/>
  <c r="IS455" i="12"/>
  <c r="IT455" i="12"/>
  <c r="IU455" i="12"/>
  <c r="IV455" i="12"/>
  <c r="F456" i="12"/>
  <c r="G456" i="12"/>
  <c r="H456" i="12"/>
  <c r="I456" i="12"/>
  <c r="J456" i="12"/>
  <c r="K456" i="12"/>
  <c r="L456" i="12"/>
  <c r="M456" i="12"/>
  <c r="N456" i="12"/>
  <c r="O456" i="12"/>
  <c r="P456" i="12"/>
  <c r="Q456" i="12"/>
  <c r="R456" i="12"/>
  <c r="S456" i="12"/>
  <c r="T456" i="12"/>
  <c r="U456" i="12"/>
  <c r="V456" i="12"/>
  <c r="W456" i="12"/>
  <c r="X456" i="12"/>
  <c r="Y456" i="12"/>
  <c r="Z456" i="12"/>
  <c r="AA456" i="12"/>
  <c r="AB456" i="12"/>
  <c r="AC456" i="12"/>
  <c r="AD456" i="12"/>
  <c r="AE456" i="12"/>
  <c r="AF456" i="12"/>
  <c r="AG456" i="12"/>
  <c r="AH456" i="12"/>
  <c r="AI456" i="12"/>
  <c r="AJ456" i="12"/>
  <c r="AK456" i="12"/>
  <c r="AL456" i="12"/>
  <c r="AM456" i="12"/>
  <c r="AN456" i="12"/>
  <c r="AO456" i="12"/>
  <c r="AP456" i="12"/>
  <c r="AQ456" i="12"/>
  <c r="AR456" i="12"/>
  <c r="AS456" i="12"/>
  <c r="AT456" i="12"/>
  <c r="AU456" i="12"/>
  <c r="AV456" i="12"/>
  <c r="AW456" i="12"/>
  <c r="AX456" i="12"/>
  <c r="AY456" i="12"/>
  <c r="AZ456" i="12"/>
  <c r="BA456" i="12"/>
  <c r="BB456" i="12"/>
  <c r="BC456" i="12"/>
  <c r="BD456" i="12"/>
  <c r="BE456" i="12"/>
  <c r="BF456" i="12"/>
  <c r="BG456" i="12"/>
  <c r="BH456" i="12"/>
  <c r="BI456" i="12"/>
  <c r="BJ456" i="12"/>
  <c r="BK456" i="12"/>
  <c r="BL456" i="12"/>
  <c r="BM456" i="12"/>
  <c r="BN456" i="12"/>
  <c r="BO456" i="12"/>
  <c r="BP456" i="12"/>
  <c r="BQ456" i="12"/>
  <c r="BR456" i="12"/>
  <c r="BS456" i="12"/>
  <c r="BT456" i="12"/>
  <c r="BU456" i="12"/>
  <c r="BV456" i="12"/>
  <c r="BW456" i="12"/>
  <c r="BX456" i="12"/>
  <c r="BY456" i="12"/>
  <c r="BZ456" i="12"/>
  <c r="CA456" i="12"/>
  <c r="CB456" i="12"/>
  <c r="CC456" i="12"/>
  <c r="CD456" i="12"/>
  <c r="CE456" i="12"/>
  <c r="CF456" i="12"/>
  <c r="CG456" i="12"/>
  <c r="CH456" i="12"/>
  <c r="CI456" i="12"/>
  <c r="CJ456" i="12"/>
  <c r="CK456" i="12"/>
  <c r="CL456" i="12"/>
  <c r="CM456" i="12"/>
  <c r="CN456" i="12"/>
  <c r="CO456" i="12"/>
  <c r="CP456" i="12"/>
  <c r="CQ456" i="12"/>
  <c r="CR456" i="12"/>
  <c r="CS456" i="12"/>
  <c r="CT456" i="12"/>
  <c r="CU456" i="12"/>
  <c r="CV456" i="12"/>
  <c r="CW456" i="12"/>
  <c r="CX456" i="12"/>
  <c r="CY456" i="12"/>
  <c r="CZ456" i="12"/>
  <c r="DA456" i="12"/>
  <c r="DB456" i="12"/>
  <c r="DC456" i="12"/>
  <c r="DD456" i="12"/>
  <c r="DE456" i="12"/>
  <c r="DF456" i="12"/>
  <c r="DG456" i="12"/>
  <c r="DH456" i="12"/>
  <c r="DI456" i="12"/>
  <c r="DJ456" i="12"/>
  <c r="DK456" i="12"/>
  <c r="DL456" i="12"/>
  <c r="DM456" i="12"/>
  <c r="DN456" i="12"/>
  <c r="DO456" i="12"/>
  <c r="DP456" i="12"/>
  <c r="DQ456" i="12"/>
  <c r="DR456" i="12"/>
  <c r="DS456" i="12"/>
  <c r="DT456" i="12"/>
  <c r="DU456" i="12"/>
  <c r="DV456" i="12"/>
  <c r="DW456" i="12"/>
  <c r="DX456" i="12"/>
  <c r="DY456" i="12"/>
  <c r="DZ456" i="12"/>
  <c r="EA456" i="12"/>
  <c r="EB456" i="12"/>
  <c r="EC456" i="12"/>
  <c r="ED456" i="12"/>
  <c r="EE456" i="12"/>
  <c r="EF456" i="12"/>
  <c r="EG456" i="12"/>
  <c r="EH456" i="12"/>
  <c r="EI456" i="12"/>
  <c r="EJ456" i="12"/>
  <c r="EK456" i="12"/>
  <c r="EL456" i="12"/>
  <c r="EM456" i="12"/>
  <c r="EN456" i="12"/>
  <c r="EO456" i="12"/>
  <c r="EP456" i="12"/>
  <c r="EQ456" i="12"/>
  <c r="ER456" i="12"/>
  <c r="ES456" i="12"/>
  <c r="ET456" i="12"/>
  <c r="EU456" i="12"/>
  <c r="EV456" i="12"/>
  <c r="EW456" i="12"/>
  <c r="EX456" i="12"/>
  <c r="EY456" i="12"/>
  <c r="EZ456" i="12"/>
  <c r="FA456" i="12"/>
  <c r="FB456" i="12"/>
  <c r="FC456" i="12"/>
  <c r="FD456" i="12"/>
  <c r="FE456" i="12"/>
  <c r="FF456" i="12"/>
  <c r="FG456" i="12"/>
  <c r="FH456" i="12"/>
  <c r="FI456" i="12"/>
  <c r="FJ456" i="12"/>
  <c r="FK456" i="12"/>
  <c r="FL456" i="12"/>
  <c r="FM456" i="12"/>
  <c r="FN456" i="12"/>
  <c r="FO456" i="12"/>
  <c r="FP456" i="12"/>
  <c r="FQ456" i="12"/>
  <c r="FR456" i="12"/>
  <c r="FS456" i="12"/>
  <c r="FT456" i="12"/>
  <c r="FU456" i="12"/>
  <c r="FV456" i="12"/>
  <c r="FW456" i="12"/>
  <c r="FX456" i="12"/>
  <c r="FY456" i="12"/>
  <c r="FZ456" i="12"/>
  <c r="GA456" i="12"/>
  <c r="GB456" i="12"/>
  <c r="GC456" i="12"/>
  <c r="GD456" i="12"/>
  <c r="GE456" i="12"/>
  <c r="GF456" i="12"/>
  <c r="GG456" i="12"/>
  <c r="GH456" i="12"/>
  <c r="GI456" i="12"/>
  <c r="GJ456" i="12"/>
  <c r="GK456" i="12"/>
  <c r="GL456" i="12"/>
  <c r="GM456" i="12"/>
  <c r="GN456" i="12"/>
  <c r="GO456" i="12"/>
  <c r="GP456" i="12"/>
  <c r="GQ456" i="12"/>
  <c r="GR456" i="12"/>
  <c r="GS456" i="12"/>
  <c r="GT456" i="12"/>
  <c r="GU456" i="12"/>
  <c r="GV456" i="12"/>
  <c r="GW456" i="12"/>
  <c r="GX456" i="12"/>
  <c r="GY456" i="12"/>
  <c r="GZ456" i="12"/>
  <c r="HA456" i="12"/>
  <c r="HB456" i="12"/>
  <c r="HC456" i="12"/>
  <c r="HD456" i="12"/>
  <c r="HE456" i="12"/>
  <c r="HF456" i="12"/>
  <c r="HG456" i="12"/>
  <c r="HH456" i="12"/>
  <c r="HI456" i="12"/>
  <c r="HJ456" i="12"/>
  <c r="HK456" i="12"/>
  <c r="HL456" i="12"/>
  <c r="HM456" i="12"/>
  <c r="HN456" i="12"/>
  <c r="HO456" i="12"/>
  <c r="HP456" i="12"/>
  <c r="HQ456" i="12"/>
  <c r="HR456" i="12"/>
  <c r="HS456" i="12"/>
  <c r="HT456" i="12"/>
  <c r="HU456" i="12"/>
  <c r="HV456" i="12"/>
  <c r="HW456" i="12"/>
  <c r="HX456" i="12"/>
  <c r="HY456" i="12"/>
  <c r="HZ456" i="12"/>
  <c r="IA456" i="12"/>
  <c r="IB456" i="12"/>
  <c r="IC456" i="12"/>
  <c r="ID456" i="12"/>
  <c r="IE456" i="12"/>
  <c r="IF456" i="12"/>
  <c r="IG456" i="12"/>
  <c r="IH456" i="12"/>
  <c r="II456" i="12"/>
  <c r="IJ456" i="12"/>
  <c r="IK456" i="12"/>
  <c r="IL456" i="12"/>
  <c r="IM456" i="12"/>
  <c r="IN456" i="12"/>
  <c r="IO456" i="12"/>
  <c r="IP456" i="12"/>
  <c r="IQ456" i="12"/>
  <c r="IR456" i="12"/>
  <c r="IS456" i="12"/>
  <c r="IT456" i="12"/>
  <c r="IU456" i="12"/>
  <c r="IV456" i="12"/>
  <c r="F457" i="12"/>
  <c r="G457" i="12"/>
  <c r="H457" i="12"/>
  <c r="I457" i="12"/>
  <c r="J457" i="12"/>
  <c r="K457" i="12"/>
  <c r="L457" i="12"/>
  <c r="M457" i="12"/>
  <c r="N457" i="12"/>
  <c r="O457" i="12"/>
  <c r="P457" i="12"/>
  <c r="Q457" i="12"/>
  <c r="R457" i="12"/>
  <c r="S457" i="12"/>
  <c r="T457" i="12"/>
  <c r="U457" i="12"/>
  <c r="V457" i="12"/>
  <c r="W457" i="12"/>
  <c r="X457" i="12"/>
  <c r="Y457" i="12"/>
  <c r="Z457" i="12"/>
  <c r="AA457" i="12"/>
  <c r="AB457" i="12"/>
  <c r="AC457" i="12"/>
  <c r="AD457" i="12"/>
  <c r="AE457" i="12"/>
  <c r="AF457" i="12"/>
  <c r="AG457" i="12"/>
  <c r="AH457" i="12"/>
  <c r="AI457" i="12"/>
  <c r="AJ457" i="12"/>
  <c r="AK457" i="12"/>
  <c r="AL457" i="12"/>
  <c r="AM457" i="12"/>
  <c r="AN457" i="12"/>
  <c r="AO457" i="12"/>
  <c r="AP457" i="12"/>
  <c r="AQ457" i="12"/>
  <c r="AR457" i="12"/>
  <c r="AS457" i="12"/>
  <c r="AT457" i="12"/>
  <c r="AU457" i="12"/>
  <c r="AV457" i="12"/>
  <c r="AW457" i="12"/>
  <c r="AX457" i="12"/>
  <c r="AY457" i="12"/>
  <c r="AZ457" i="12"/>
  <c r="BA457" i="12"/>
  <c r="BB457" i="12"/>
  <c r="BC457" i="12"/>
  <c r="BD457" i="12"/>
  <c r="BE457" i="12"/>
  <c r="BF457" i="12"/>
  <c r="BG457" i="12"/>
  <c r="BH457" i="12"/>
  <c r="BI457" i="12"/>
  <c r="BJ457" i="12"/>
  <c r="BK457" i="12"/>
  <c r="BL457" i="12"/>
  <c r="BM457" i="12"/>
  <c r="BN457" i="12"/>
  <c r="BO457" i="12"/>
  <c r="BP457" i="12"/>
  <c r="BQ457" i="12"/>
  <c r="BR457" i="12"/>
  <c r="BS457" i="12"/>
  <c r="BT457" i="12"/>
  <c r="BU457" i="12"/>
  <c r="BV457" i="12"/>
  <c r="BW457" i="12"/>
  <c r="BX457" i="12"/>
  <c r="BY457" i="12"/>
  <c r="F1" i="12"/>
  <c r="G1" i="12"/>
  <c r="H1" i="12"/>
  <c r="I1" i="12"/>
  <c r="J1" i="12"/>
  <c r="K1" i="12"/>
  <c r="L1" i="12"/>
  <c r="M1" i="12"/>
  <c r="N1" i="12"/>
  <c r="O1" i="12"/>
  <c r="P1" i="12"/>
  <c r="Q1" i="12"/>
  <c r="R1" i="12"/>
  <c r="S1" i="12"/>
  <c r="T1" i="12"/>
  <c r="U1" i="12"/>
  <c r="V1" i="12"/>
  <c r="W1" i="12"/>
  <c r="X1" i="12"/>
  <c r="Y1" i="12"/>
  <c r="Z1" i="12"/>
  <c r="AA1" i="12"/>
  <c r="AB1" i="12"/>
  <c r="AC1" i="12"/>
  <c r="AD1" i="12"/>
  <c r="AE1" i="12"/>
  <c r="AF1" i="12"/>
  <c r="AG1" i="12"/>
  <c r="AH1" i="12"/>
  <c r="AI1" i="12"/>
  <c r="AJ1" i="12"/>
  <c r="AK1" i="12"/>
  <c r="AL1" i="12"/>
  <c r="AM1" i="12"/>
  <c r="AN1" i="12"/>
  <c r="AO1" i="12"/>
  <c r="AP1" i="12"/>
  <c r="AQ1" i="12"/>
  <c r="AR1" i="12"/>
  <c r="AS1" i="12"/>
  <c r="AT1" i="12"/>
  <c r="AU1" i="12"/>
  <c r="AV1" i="12"/>
  <c r="AW1" i="12"/>
  <c r="AX1" i="12"/>
  <c r="AY1" i="12"/>
  <c r="AZ1" i="12"/>
  <c r="BA1" i="12"/>
  <c r="BB1" i="12"/>
  <c r="BC1" i="12"/>
  <c r="BD1" i="12"/>
  <c r="BE1" i="12"/>
  <c r="BF1" i="12"/>
  <c r="BG1" i="12"/>
  <c r="BH1" i="12"/>
  <c r="BI1" i="12"/>
  <c r="BJ1" i="12"/>
  <c r="BK1" i="12"/>
  <c r="BL1" i="12"/>
  <c r="BM1" i="12"/>
  <c r="BN1" i="12"/>
  <c r="BO1" i="12"/>
  <c r="BP1" i="12"/>
  <c r="BQ1" i="12"/>
  <c r="BR1" i="12"/>
  <c r="BS1" i="12"/>
  <c r="BT1" i="12"/>
  <c r="BU1" i="12"/>
  <c r="BV1" i="12"/>
  <c r="BW1" i="12"/>
  <c r="BX1" i="12"/>
  <c r="BY1" i="12"/>
  <c r="BZ1" i="12"/>
  <c r="CA1" i="12"/>
  <c r="CB1" i="12"/>
  <c r="CC1" i="12"/>
  <c r="CD1" i="12"/>
  <c r="CE1" i="12"/>
  <c r="CF1" i="12"/>
  <c r="CG1" i="12"/>
  <c r="CH1" i="12"/>
  <c r="CI1" i="12"/>
  <c r="CJ1" i="12"/>
  <c r="CK1" i="12"/>
  <c r="CL1" i="12"/>
  <c r="CM1" i="12"/>
  <c r="CN1" i="12"/>
  <c r="CO1" i="12"/>
  <c r="CP1" i="12"/>
  <c r="CQ1" i="12"/>
  <c r="CR1" i="12"/>
  <c r="CS1" i="12"/>
  <c r="CT1" i="12"/>
  <c r="CU1" i="12"/>
  <c r="CV1" i="12"/>
  <c r="CW1" i="12"/>
  <c r="CX1" i="12"/>
  <c r="CY1" i="12"/>
  <c r="CZ1" i="12"/>
  <c r="DA1" i="12"/>
  <c r="DB1" i="12"/>
  <c r="DC1" i="12"/>
  <c r="DD1" i="12"/>
  <c r="DE1" i="12"/>
  <c r="DF1" i="12"/>
  <c r="DG1" i="12"/>
  <c r="DH1" i="12"/>
  <c r="DI1" i="12"/>
  <c r="DJ1" i="12"/>
  <c r="DK1" i="12"/>
  <c r="DL1" i="12"/>
  <c r="DM1" i="12"/>
  <c r="DN1" i="12"/>
  <c r="DO1" i="12"/>
  <c r="DP1" i="12"/>
  <c r="DQ1" i="12"/>
  <c r="DR1" i="12"/>
  <c r="DS1" i="12"/>
  <c r="DT1" i="12"/>
  <c r="DU1" i="12"/>
  <c r="DV1" i="12"/>
  <c r="DW1" i="12"/>
  <c r="DX1" i="12"/>
  <c r="DY1" i="12"/>
  <c r="DZ1" i="12"/>
  <c r="EA1" i="12"/>
  <c r="EB1" i="12"/>
  <c r="EC1" i="12"/>
  <c r="ED1" i="12"/>
  <c r="EE1" i="12"/>
  <c r="EF1" i="12"/>
  <c r="EG1" i="12"/>
  <c r="EH1" i="12"/>
  <c r="EI1" i="12"/>
  <c r="EJ1" i="12"/>
  <c r="EK1" i="12"/>
  <c r="EL1" i="12"/>
  <c r="EM1" i="12"/>
  <c r="EN1" i="12"/>
  <c r="EO1" i="12"/>
  <c r="EP1" i="12"/>
  <c r="EQ1" i="12"/>
  <c r="ER1" i="12"/>
  <c r="ES1" i="12"/>
  <c r="ET1" i="12"/>
  <c r="EU1" i="12"/>
  <c r="EV1" i="12"/>
  <c r="EW1" i="12"/>
  <c r="EX1" i="12"/>
  <c r="EY1" i="12"/>
  <c r="EZ1" i="12"/>
  <c r="FA1" i="12"/>
  <c r="FB1" i="12"/>
  <c r="FC1" i="12"/>
  <c r="FD1" i="12"/>
  <c r="FE1" i="12"/>
  <c r="FF1" i="12"/>
  <c r="FG1" i="12"/>
  <c r="FH1" i="12"/>
  <c r="FI1" i="12"/>
  <c r="FJ1" i="12"/>
  <c r="FK1" i="12"/>
  <c r="FL1" i="12"/>
  <c r="FM1" i="12"/>
  <c r="FN1" i="12"/>
  <c r="FO1" i="12"/>
  <c r="FP1" i="12"/>
  <c r="FQ1" i="12"/>
  <c r="FR1" i="12"/>
  <c r="FS1" i="12"/>
  <c r="FT1" i="12"/>
  <c r="FU1" i="12"/>
  <c r="FV1" i="12"/>
  <c r="FW1" i="12"/>
  <c r="FX1" i="12"/>
  <c r="FY1" i="12"/>
  <c r="FZ1" i="12"/>
  <c r="GA1" i="12"/>
  <c r="GB1" i="12"/>
  <c r="GC1" i="12"/>
  <c r="GD1" i="12"/>
  <c r="GE1" i="12"/>
  <c r="GF1" i="12"/>
  <c r="GG1" i="12"/>
  <c r="GH1" i="12"/>
  <c r="GI1" i="12"/>
  <c r="GJ1" i="12"/>
  <c r="GK1" i="12"/>
  <c r="GL1" i="12"/>
  <c r="GM1" i="12"/>
  <c r="GN1" i="12"/>
  <c r="GO1" i="12"/>
  <c r="GP1" i="12"/>
  <c r="GQ1" i="12"/>
  <c r="GR1" i="12"/>
  <c r="GS1" i="12"/>
  <c r="GT1" i="12"/>
  <c r="GU1" i="12"/>
  <c r="GV1" i="12"/>
  <c r="GW1" i="12"/>
  <c r="GX1" i="12"/>
  <c r="GY1" i="12"/>
  <c r="GZ1" i="12"/>
  <c r="HA1" i="12"/>
  <c r="HB1" i="12"/>
  <c r="HC1" i="12"/>
  <c r="HD1" i="12"/>
  <c r="HE1" i="12"/>
  <c r="HF1" i="12"/>
  <c r="HG1" i="12"/>
  <c r="HH1" i="12"/>
  <c r="HI1" i="12"/>
  <c r="HJ1" i="12"/>
  <c r="HK1" i="12"/>
  <c r="HL1" i="12"/>
  <c r="HM1" i="12"/>
  <c r="HN1" i="12"/>
  <c r="HO1" i="12"/>
  <c r="HP1" i="12"/>
  <c r="HQ1" i="12"/>
  <c r="HR1" i="12"/>
  <c r="HS1" i="12"/>
  <c r="HT1" i="12"/>
  <c r="HU1" i="12"/>
  <c r="HV1" i="12"/>
  <c r="HW1" i="12"/>
  <c r="HX1" i="12"/>
  <c r="HY1" i="12"/>
  <c r="HZ1" i="12"/>
  <c r="IA1" i="12"/>
  <c r="IB1" i="12"/>
  <c r="IC1" i="12"/>
  <c r="ID1" i="12"/>
  <c r="IE1" i="12"/>
  <c r="IF1" i="12"/>
  <c r="IG1" i="12"/>
  <c r="IH1" i="12"/>
  <c r="II1" i="12"/>
  <c r="IJ1" i="12"/>
  <c r="IK1" i="12"/>
  <c r="IL1" i="12"/>
  <c r="IM1" i="12"/>
  <c r="IN1" i="12"/>
  <c r="IO1" i="12"/>
  <c r="IP1" i="12"/>
  <c r="IQ1" i="12"/>
  <c r="IR1" i="12"/>
  <c r="IS1" i="12"/>
  <c r="IT1" i="12"/>
  <c r="IU1" i="12"/>
  <c r="IV1" i="12"/>
</calcChain>
</file>

<file path=xl/sharedStrings.xml><?xml version="1.0" encoding="utf-8"?>
<sst xmlns="http://schemas.openxmlformats.org/spreadsheetml/2006/main" count="69447" uniqueCount="3022">
  <si>
    <t>Region</t>
  </si>
  <si>
    <t>Country</t>
  </si>
  <si>
    <t>Organisation Type</t>
  </si>
  <si>
    <t>Organisation</t>
  </si>
  <si>
    <t xml:space="preserve">Thomson Reuters Regulatory Intelligence (TRRI) content type </t>
  </si>
  <si>
    <t>Selective?</t>
  </si>
  <si>
    <t>Non-English source documents?</t>
  </si>
  <si>
    <t>Language</t>
  </si>
  <si>
    <t>Europe</t>
  </si>
  <si>
    <t>Austria</t>
  </si>
  <si>
    <t>Trade associations</t>
  </si>
  <si>
    <t>Austrian Bankers' Association</t>
  </si>
  <si>
    <t>Annual / Quarterly Reports</t>
  </si>
  <si>
    <t xml:space="preserve">Y </t>
  </si>
  <si>
    <t>German</t>
  </si>
  <si>
    <t>News and Press Releases</t>
  </si>
  <si>
    <t>Y</t>
  </si>
  <si>
    <t>Excludes documents that merely repeat announcements from other regulatory organisations. Also excludes documents concerning events, prize-winners, conferences, quizzes, surveys, forums, education programs/initiatives, appointments, board meetings, partnerships, employee remuneration, economics, tax, eurozone news, fundraising, statistics, start-ups, KYC and the Banking Union.</t>
  </si>
  <si>
    <t>Austrian Chamber of Commerce</t>
  </si>
  <si>
    <t xml:space="preserve">Exclude forms, questionnaires, documents concerning SME financing, ATM operators and charges, economics, conferences, phishing and the Capital Markets Union. </t>
  </si>
  <si>
    <t>Regulators</t>
  </si>
  <si>
    <t>Austrian Financial Market Authority (AFMA)</t>
  </si>
  <si>
    <t xml:space="preserve">German/English </t>
  </si>
  <si>
    <t>Circulars</t>
  </si>
  <si>
    <t>Regulations</t>
  </si>
  <si>
    <t>Consultation Papers</t>
  </si>
  <si>
    <t>Pending Legislation</t>
  </si>
  <si>
    <t>Enacted Legislation</t>
  </si>
  <si>
    <t>Guidance</t>
  </si>
  <si>
    <t>Policy Documents</t>
  </si>
  <si>
    <t xml:space="preserve">Excludes organisational changes (e.g. appointments), statistics, entity specific information (e.g mergers, portfolio information), public warnings, financial literacy events for consumers, future events/workshops, competitions and awards, website maintenance. Not included when a substantive document is available. Excludes notices of documents issued by other EU bodies  </t>
  </si>
  <si>
    <t>International Sanctions</t>
  </si>
  <si>
    <t>Other Notifications</t>
  </si>
  <si>
    <t>N/A</t>
  </si>
  <si>
    <t>No longer tracked</t>
  </si>
  <si>
    <t>Austrian Takeover Commission</t>
  </si>
  <si>
    <t>Bulletins</t>
  </si>
  <si>
    <t>Opinions</t>
  </si>
  <si>
    <t xml:space="preserve">Excludes entity specific information (initiation of a verification procedure, suspension of voting rights, compulsory offers, changes to board members etc) </t>
  </si>
  <si>
    <t>Government departments/ ministries</t>
  </si>
  <si>
    <t>Ministry of Finance (Austria)</t>
  </si>
  <si>
    <t>Exclude FinanzOnline publications and documents that merely repeat announcements from other regulatory organisations. Also exclude documents concerning tax and customs, agriculture, economic policy, budgets, energy, meetings, internal business/IT changes and non-finance specific parliamentary decisions.</t>
  </si>
  <si>
    <t>Central Banks</t>
  </si>
  <si>
    <t>National Bank of Austria</t>
  </si>
  <si>
    <t>Financial Stability Reports</t>
  </si>
  <si>
    <t>SROs, exchanges, ATSs and clearing agencies</t>
  </si>
  <si>
    <t>Wiener Borse</t>
  </si>
  <si>
    <t>Comments and Position Papers</t>
  </si>
  <si>
    <t>Excludes organisational changes, statistics, entity specific information (capital increase, share increase etc) , listings and de-listings, market data, indices, new bonds</t>
  </si>
  <si>
    <t>Belarus</t>
  </si>
  <si>
    <t>National Bank of the Republic of Belarus</t>
  </si>
  <si>
    <t xml:space="preserve">Russian/Belarusian </t>
  </si>
  <si>
    <t>Excludes auction results, macroeconomic topics, lists, liquidity, providing tender, assets and liabilities, inflation, economy, monetary policy, statistics</t>
  </si>
  <si>
    <t>Belgium</t>
  </si>
  <si>
    <t>Belgian Banking, Finance and Insurance Commission (CBFA)</t>
  </si>
  <si>
    <t>No longer active; replaced by Financial Services and Markets Authority in 2011</t>
  </si>
  <si>
    <t>Notices</t>
  </si>
  <si>
    <t>Newsletters</t>
  </si>
  <si>
    <t>Belgian Data Protection Authority (DPA)</t>
  </si>
  <si>
    <t xml:space="preserve">French </t>
  </si>
  <si>
    <t>Decisions</t>
  </si>
  <si>
    <t xml:space="preserve">Includes only documents relating to banks, insurance companies, or securities and investment companies, or general data protection regulation </t>
  </si>
  <si>
    <t>Recommendations</t>
  </si>
  <si>
    <t>Belgian Financial Intelligence Processing Unit (CTIF-CFI)</t>
  </si>
  <si>
    <t>Excludes statistics, warnings not specifically relating to banks, insurance companies, or securities and investment companies</t>
  </si>
  <si>
    <t>Belgian Financial Sector Federation (Febelfin)</t>
  </si>
  <si>
    <t xml:space="preserve">Excludes publications on EU activity that has been published under another EU org, public warnings, notices regarding video content, future seminars and events, agendas, organisational changes, competitions and awards, website maintenance, financial literacy events for consumers </t>
  </si>
  <si>
    <t>Excludes publications on EU activity that has been published under another EU org or publications issued by other institutions</t>
  </si>
  <si>
    <t>Belgian Financial Services and Markets Authority (FSMA)</t>
  </si>
  <si>
    <t xml:space="preserve">French/English </t>
  </si>
  <si>
    <t xml:space="preserve">French/Dutch/English </t>
  </si>
  <si>
    <t>FAQs</t>
  </si>
  <si>
    <t xml:space="preserve">Excludes organisational changes,  statistics, entity specific information (suspension and reopening of trading, mandatory bid), warnings, financial literacy events for consumers, future events/workshops, competitions and awards, website maintenance . Not included when a substantive document is available. Excludes notices of documents issued by other EU bodies </t>
  </si>
  <si>
    <t>Federal Public Service Finance (FPS Finance)</t>
  </si>
  <si>
    <t>French/Dutch</t>
  </si>
  <si>
    <t>Only includes non fiscal laws/regulations. Excludes releases aimed at tax/consumers.</t>
  </si>
  <si>
    <t>MTS Belgium</t>
  </si>
  <si>
    <t>Final Rules</t>
  </si>
  <si>
    <t>National Bank of Belgium (NBB)</t>
  </si>
  <si>
    <t xml:space="preserve">Excludes statistics, buisness confidence indicator, economic indicators, ECB decisions, </t>
  </si>
  <si>
    <t xml:space="preserve">Excludes organisational changes, statistics, financial accounts, indicators, surveys, consumer confidence reports, voting rights, warnings, banknotes, coins, foreign exchange, macroeconomic topics. Not included when a substantive document is available. Excludes notices of documents issued by other EU bodies </t>
  </si>
  <si>
    <t xml:space="preserve">No longer applies to this org </t>
  </si>
  <si>
    <t>Working Papers</t>
  </si>
  <si>
    <t>Excludes macroeconomic topics e.g. monetary policy, interest rates, inflation, balance sheet, financial situation,  forecasting, sovereign debt, GDP, imports/exports, exchange rate</t>
  </si>
  <si>
    <t>Bulgaria</t>
  </si>
  <si>
    <t>Financial Supervision Commission (FSC) (Bulgaria)</t>
  </si>
  <si>
    <t>Bulgarian</t>
  </si>
  <si>
    <t>Guidelines and Forms</t>
  </si>
  <si>
    <t>Includes only financial services related material</t>
  </si>
  <si>
    <t>Other Enforcement Documents</t>
  </si>
  <si>
    <t>Croatia</t>
  </si>
  <si>
    <t>Croatian Financial Services Supervisory Agency (Hanfa)</t>
  </si>
  <si>
    <t>Croatian</t>
  </si>
  <si>
    <t>Includes only Hanfa documents; excludes ESMA and EBA documents</t>
  </si>
  <si>
    <t xml:space="preserve">Cyprus </t>
  </si>
  <si>
    <t>Central Bank of Cyprus</t>
  </si>
  <si>
    <t>Highly filtered. Excludes statistics, banknotes, balance sheet, interest rates, financial accounts, public holidays and duplicative releases</t>
  </si>
  <si>
    <t>No longer published.</t>
  </si>
  <si>
    <t>Instructions</t>
  </si>
  <si>
    <t>Cyprus Securities and Exchange Commission (CySEC)</t>
  </si>
  <si>
    <t xml:space="preserve">Excludes tender, forms, warnings, future seminars, ceremonies, vacancies. Not included when the substantive document is available. Excludes notices of documents issued by other EU bodies. </t>
  </si>
  <si>
    <t xml:space="preserve">Greek/English </t>
  </si>
  <si>
    <t>Cyprus Stock Exchange (CSE)</t>
  </si>
  <si>
    <t>All regulation updates announced via circular.</t>
  </si>
  <si>
    <t>Ministry of Finance (Cyprus)</t>
  </si>
  <si>
    <t>Excludes macroeconomics/prudential, stats, nominations/appointments or tax</t>
  </si>
  <si>
    <t>Greek</t>
  </si>
  <si>
    <t>Speeches and Statements</t>
  </si>
  <si>
    <t>Superintendent of Insurance (Cyprus)</t>
  </si>
  <si>
    <t>Czech Republic</t>
  </si>
  <si>
    <t>Czech National Bank</t>
  </si>
  <si>
    <t xml:space="preserve">Czech/English </t>
  </si>
  <si>
    <t xml:space="preserve">Excludes organisational changes (appointments, members, vacancies, change of post etc), statistics, banknotes, coins, foreign exchange, macroeconomic topics, entity specific notices (e.g. revocation of licence).Excludes notices of documents issued by other EU bodies </t>
  </si>
  <si>
    <t>Excludes banknotes, coins, foreign exchange, statistics, macroeconomic topics e.g. monetary policy, interest rates, inflation, balance sheet, financial situation, sovereign debt, GDP</t>
  </si>
  <si>
    <t>Financial Analytical Office (FAÚ) (Czech Republic)</t>
  </si>
  <si>
    <t>Czech</t>
  </si>
  <si>
    <t>Excludes press releases announcing the publication of a more substantive doc captured under another doc type e.g. Annual Reports</t>
  </si>
  <si>
    <t>Power Exchange Central Europe</t>
  </si>
  <si>
    <t>Denmark</t>
  </si>
  <si>
    <t>Danish Financial Supervisory Authority (Finanstilsynet)</t>
  </si>
  <si>
    <t xml:space="preserve">Danish </t>
  </si>
  <si>
    <t>Finance Denmark</t>
  </si>
  <si>
    <t>MTS Denmark</t>
  </si>
  <si>
    <t>Estonia</t>
  </si>
  <si>
    <t>Estonian Financial Supervision Authority (EFSA)</t>
  </si>
  <si>
    <t>Includes only Estonian regulations</t>
  </si>
  <si>
    <t>Nasdaq Tallinn</t>
  </si>
  <si>
    <t>Excludes awards, announcement of new members, organisation changes (e.g. appointments)</t>
  </si>
  <si>
    <t>EU</t>
  </si>
  <si>
    <t>International and regional bodies</t>
  </si>
  <si>
    <t>Agency for the Cooperation of Energy Regulators (ACER)</t>
  </si>
  <si>
    <t>Includes only REMIT, ENTSOG developments, ACER or cross border regulatory iniatives or market monitoring activity. Excludes sector specific documents e.g. gas, electricity, congestion etc</t>
  </si>
  <si>
    <t>Council of Europe</t>
  </si>
  <si>
    <t xml:space="preserve">Includes only documents relating to anti-money laundering and terrorist financing </t>
  </si>
  <si>
    <t>Reports</t>
  </si>
  <si>
    <t>Council of the European Union</t>
  </si>
  <si>
    <t xml:space="preserve">Includes only documents relating to banking, insurance, securities and investments, data protection, anti-money laundering and terrorist financing </t>
  </si>
  <si>
    <t xml:space="preserve">Excludes future meetings, schedules. Only includes documents relating to banking, insurance, securities and investments, data protection, anti-money laundering and terrorist financing </t>
  </si>
  <si>
    <t>Eurofi</t>
  </si>
  <si>
    <t>European Banking Authority (EBA)</t>
  </si>
  <si>
    <t>Includes Banking Stakeholder Group releases</t>
  </si>
  <si>
    <t>Discussion Papers</t>
  </si>
  <si>
    <t>Feedback Statements</t>
  </si>
  <si>
    <t>Not included when a substantive document is available</t>
  </si>
  <si>
    <t>Excludes macroeconomic topics e.g. monetary policy, interest rates, inflation, balance sheet, financial situation, sovereign debt, GDP, asset purchase program, currency, exchange rate</t>
  </si>
  <si>
    <t>European Banking Federation (EBF)</t>
  </si>
  <si>
    <t>European Central Bank (ECB)</t>
  </si>
  <si>
    <t xml:space="preserve">Excludes organisational changes (appointments, vacancies, tributes etc), statistics, banknotes, coins, foreign exchange, macroeconomic topics. Not included when a substantive document is available </t>
  </si>
  <si>
    <t xml:space="preserve">Excludes statistics and macroeconomic topics </t>
  </si>
  <si>
    <t xml:space="preserve">Excludes macroeconomic topics (economic bulletin) </t>
  </si>
  <si>
    <t>European Commission (EC)</t>
  </si>
  <si>
    <t xml:space="preserve">Includes only documents fallling under the banking and finance, and growth and investment sections </t>
  </si>
  <si>
    <t>Proposed Rules</t>
  </si>
  <si>
    <t>European Financial Reporting Advisory Group (EFRAG)</t>
  </si>
  <si>
    <t>Excludes appointments/vacancies/nominations</t>
  </si>
  <si>
    <t>European Financial Services Round Table (EFR)</t>
  </si>
  <si>
    <t>European Fund and Asset Management Association (EFAMA)</t>
  </si>
  <si>
    <t>Excludes statistics</t>
  </si>
  <si>
    <t>European Insurance and Occupational Pensions Authority (EIOPA)</t>
  </si>
  <si>
    <t xml:space="preserve">Not included when a substantive document is available. Excludes joint documents already captured under another ESA. Excludes statistics and macroeconomic topics. </t>
  </si>
  <si>
    <t xml:space="preserve">Excludes organisational changes (re-elections, appointments etc), statistics, website maintenance, video content. Not included when a substantive document is available. Excludes joint documents already captured under another ESA. </t>
  </si>
  <si>
    <t>Excludes statistics and macroeconomic topics (including sovereign bonds)</t>
  </si>
  <si>
    <t xml:space="preserve">Excludes video content </t>
  </si>
  <si>
    <t>European Money Markets Institute (EMMI)</t>
  </si>
  <si>
    <t>No longer used. All relevant output classified to News and Press Releases.</t>
  </si>
  <si>
    <t>European Parliament</t>
  </si>
  <si>
    <t>Amendment</t>
  </si>
  <si>
    <t xml:space="preserve">Only includes documents produced by the 'Internal Market and Consumer Protection' Committee. </t>
  </si>
  <si>
    <t xml:space="preserve">Only includes documents relating to financial services </t>
  </si>
  <si>
    <t>Only includes documents produced by the 'Internal Market and Consumer Protection' Committee. Includes draft opinions.</t>
  </si>
  <si>
    <t>Only includes documents produced by the 'Internal Market and Consumer Protection' Committee. Includes draft reports. Only includes documents relating to financial services.</t>
  </si>
  <si>
    <t>European Payments Council (EPC)</t>
  </si>
  <si>
    <t>European Securities and Markets Authority (ESMA)</t>
  </si>
  <si>
    <t>Excludes organisational changes (vacancies, call for candidates, appointments, dismissals, resignations, tributes), statistics, entity specific information, warnings, financial literacy events for consumers, future events/workshops, competitions and awards, website maintenance. Not included when a substantive document is available. Excludes joint documents already captured under another ESA</t>
  </si>
  <si>
    <t>European Systemic Risk Board (ESRB)</t>
  </si>
  <si>
    <t>Occasional Papers</t>
  </si>
  <si>
    <t>Excludes statistics, warnings, financial literacy events for consumers, future events/workshops, competitions and awards, website maintenance, organisational changes</t>
  </si>
  <si>
    <t xml:space="preserve">Excludes macroeconomic topics </t>
  </si>
  <si>
    <t>Federation of European Securities Exchanges</t>
  </si>
  <si>
    <t>Excludes organisational changes (appointments, vacancies, dismissals, resignations, tributes), statistics, entity specific information (authorisation, cancellation of licences), warnings, financial literacy events for consumers, future events/workshops, competitions and awards, website maintenance. Not included when a substantive document is available</t>
  </si>
  <si>
    <t xml:space="preserve">Insurance Europe </t>
  </si>
  <si>
    <t xml:space="preserve">Excludes environmental issues e.g. climate change </t>
  </si>
  <si>
    <t xml:space="preserve">Excludes organisational changes, statistics, financial literacy events for consumers, future events/workshops, competitions and awards, website maintenance, environmental issues e.g. climate change . Not included when a substantive document is available. Excludes notices of documents issued by other EU bodies </t>
  </si>
  <si>
    <t>Joint Committee of the European Supervisory Authorities</t>
  </si>
  <si>
    <t xml:space="preserve">NYSE Arca </t>
  </si>
  <si>
    <t>Manuals</t>
  </si>
  <si>
    <t>No longer tracked: Closed down by NYSE Euronext</t>
  </si>
  <si>
    <t>Finland</t>
  </si>
  <si>
    <t>Finland Financial Supervisory Authority (FIN-FSA)</t>
  </si>
  <si>
    <t xml:space="preserve">Excludes organisational changes (roles, appointments etc), statistics, financial literacy events for consumers, future events/workshops, competitions and awards, website maintenance. Not included when a substantive document is available. </t>
  </si>
  <si>
    <t xml:space="preserve">Finnish/English </t>
  </si>
  <si>
    <t>Requests for Comment</t>
  </si>
  <si>
    <t>MTS Finland</t>
  </si>
  <si>
    <t>France</t>
  </si>
  <si>
    <t>Association Française de la Gestion Financière (AFG)</t>
  </si>
  <si>
    <t>Includes only responses to consultations related to financial services</t>
  </si>
  <si>
    <t>Association française des marchés financiers (AMAFI)</t>
  </si>
  <si>
    <t>Excludes documents published by other European bodies, future events, statistics</t>
  </si>
  <si>
    <t>Aurel BGC OTF</t>
  </si>
  <si>
    <t>Autorité de Contrôle des Assurances et des Mutuelles</t>
  </si>
  <si>
    <t xml:space="preserve">No longer tracked: now part of the ACPR </t>
  </si>
  <si>
    <t>Autorité de contrôle prudentiel et de résolution (ACPR)</t>
  </si>
  <si>
    <t xml:space="preserve">Excludes notices of documents issued by other EU bodies, templates, tables, questionnaires, lists of entities </t>
  </si>
  <si>
    <t xml:space="preserve">Excludes public warnings, statistics, website maintenance. Excludes notices of documents issued by other EU bodies. Not included when a substantive document is available. </t>
  </si>
  <si>
    <t xml:space="preserve">Excludes organisational changes (appointments etc), public warnings,  statistics, financial literacy events for consumers, future events/workshops, competitions and awards, website maintenance. Not included when a substantive document is available. Excludes notices of documents issued by other EU bodies </t>
  </si>
  <si>
    <t xml:space="preserve">Excludes consumer brochures and guidance </t>
  </si>
  <si>
    <t xml:space="preserve">Excludes macroeconomic topics e.g. growth </t>
  </si>
  <si>
    <t>Banque de France</t>
  </si>
  <si>
    <t>Includes CCLRF notices and opinions. Excludes notices of upcoming publications, organisational changes (delegation of powers and signature, appointments, vacancies etc), statistics, banknotes, coins, foreign exchange, auction, macroeconomic topics, training/workshops/future events, competitions and prizes. Excludes notices of documents issued by other EU bodies (ECB)</t>
  </si>
  <si>
    <t xml:space="preserve">Excludes macroeconomic topics (economic publications) </t>
  </si>
  <si>
    <t>Comité consultatif du secteur financier (CCSF)</t>
  </si>
  <si>
    <t>Commission Bancaire (France)</t>
  </si>
  <si>
    <t>Fédération Bancaire Française (FBF)</t>
  </si>
  <si>
    <t>Exclude documents concerning data protection, corporate governance, consumer rights, invoicing and anything non-regulatory.</t>
  </si>
  <si>
    <t>Excludes documents on appointments, events, statistics, public administration, SME financing, financial certifications, consumer guides, and any other non-BFSI regulatory information.</t>
  </si>
  <si>
    <t>Excludes management reports and documents about financing the economy, corporate structures etc.</t>
  </si>
  <si>
    <t>LCH SA</t>
  </si>
  <si>
    <t>Certifications</t>
  </si>
  <si>
    <t>SRO Rulemaking Notices (Federal Register)</t>
  </si>
  <si>
    <t>Rejection</t>
  </si>
  <si>
    <t xml:space="preserve">Extension   </t>
  </si>
  <si>
    <t xml:space="preserve">Initial Filing </t>
  </si>
  <si>
    <t>Initial Filing (Accelerated Approval)</t>
  </si>
  <si>
    <t>Initial Filing (Immediate Effectiveness)</t>
  </si>
  <si>
    <t>Withdrawal</t>
  </si>
  <si>
    <t>Extension of Comment Period</t>
  </si>
  <si>
    <t>Notice of Filing</t>
  </si>
  <si>
    <t>Notice of Filing and Immediate Effectiveness</t>
  </si>
  <si>
    <t>Notice of Filing and Order Granting Accelerated Approval</t>
  </si>
  <si>
    <t>Order Granting Accelerated Approval</t>
  </si>
  <si>
    <t>Order Granting Approval</t>
  </si>
  <si>
    <t>Includes only documents relating to banking, insurance, securities and investments, data protection, anti-money laundering and terrorist financing</t>
  </si>
  <si>
    <t xml:space="preserve">Includes Tracfin reports. Only includes documents relating to banking, insurance, securities and investments, data protection, anti-money laundering and terrorist financing </t>
  </si>
  <si>
    <t>MTS France</t>
  </si>
  <si>
    <t>Powernext</t>
  </si>
  <si>
    <t>TSAF OTC</t>
  </si>
  <si>
    <t>Germany</t>
  </si>
  <si>
    <t>360T MTF</t>
  </si>
  <si>
    <t>Association of German Banks</t>
  </si>
  <si>
    <t>Excludes currency, releases not concerning banking regulation</t>
  </si>
  <si>
    <t>Excludes releases not concerning banking regulation</t>
  </si>
  <si>
    <t>BaFin (German Federal Financial Supervisory Authority)</t>
  </si>
  <si>
    <t>Interpretations, Waivers and No-Action Letters</t>
  </si>
  <si>
    <t xml:space="preserve">Excludes organisational changes (appointments, members etc), statistics, future events/workshops, competitions and awards, forms, website maintenance. Not included when a substantive document is available. Excludes notices of documents issued by other EU bodies </t>
  </si>
  <si>
    <t>Rule Amendment Notices</t>
  </si>
  <si>
    <t>Berlin Stock Exchange (BSE)</t>
  </si>
  <si>
    <t>Excludes statistics, listings and de-listings, new bonds, market data</t>
  </si>
  <si>
    <t>Börse Düsseldorf</t>
  </si>
  <si>
    <t xml:space="preserve">Excludes statistics, listings and de-listings, new bonds market data, future seminars/workshops, competitions and awards, donations </t>
  </si>
  <si>
    <t>Börse München</t>
  </si>
  <si>
    <t>Excludes statistics, entity specific information (publications/reports, changes of details, admission to trading, acquisitions, repurchases etc), listings and de-listings, market data, future events/workshops, competitions and awards, website maintenance</t>
  </si>
  <si>
    <t>Clearstream Banking Frankfurt (CBF)</t>
  </si>
  <si>
    <t>Excludes appointments, awards</t>
  </si>
  <si>
    <t>Deutsche Boerse</t>
  </si>
  <si>
    <t>Deutsche Bundesbank</t>
  </si>
  <si>
    <t xml:space="preserve">Excludes statistics changes, code lists and amendments to general T&amp;Cs </t>
  </si>
  <si>
    <t>Excludes macroeconomic topics e.g. monetary policy, interest rates, inflation, balance sheet, GDP, currency, exchange rate</t>
  </si>
  <si>
    <t xml:space="preserve">Excludes statistics, banknotes, coins, foreign exchange, macroeconomic topics, video content. Excludes notices of documents issued by other EU bodies </t>
  </si>
  <si>
    <t xml:space="preserve">Excludes macroeconomic topics e.g. monetary policy, interest rates, inflation, balance sheet, GDP, currency, exchange rate. Excludes organisational changes (e.g. appointments) </t>
  </si>
  <si>
    <t>Eurex</t>
  </si>
  <si>
    <t>Eurex Repo</t>
  </si>
  <si>
    <t>European Energy Exchange (EEX)</t>
  </si>
  <si>
    <t>Federal Ministry of Justice and Consumer Protection (BMJV)</t>
  </si>
  <si>
    <t xml:space="preserve">Includes only documents under Finance and Investor Protection </t>
  </si>
  <si>
    <t>Financial Intelligence Unit (Germany)</t>
  </si>
  <si>
    <t>Excludes releases not pertaining to financial services regulation (e.g. appointments)</t>
  </si>
  <si>
    <t xml:space="preserve">German Banking Industry Committee </t>
  </si>
  <si>
    <t xml:space="preserve">Excludes macroeconomic topics (e.g. monetary policy, interest rates, inflation, balance sheet, GDP), future seminars/workshops, statistics, banknotes, coins, foreign exchange, organisational changes. Not included when a substantive document is available. Excludes notices of documents issued by other EU bodies </t>
  </si>
  <si>
    <t>German Investment Funds Association (BVI)</t>
  </si>
  <si>
    <t>Excludes releases not pertaining to financial services (e.g. appointments)</t>
  </si>
  <si>
    <t>Gesamtverband der Deutschen Versicherungswirtschaft (GDV)</t>
  </si>
  <si>
    <t>Includes only documents relating to regulation</t>
  </si>
  <si>
    <t>Ministry of Finance (Germany)</t>
  </si>
  <si>
    <t xml:space="preserve">German </t>
  </si>
  <si>
    <t>Includes only reports relating to financial market stability and macroprudential policy</t>
  </si>
  <si>
    <t>Includes only statements relating to financial market stability and macroprudential policy</t>
  </si>
  <si>
    <t>Stuttgart Stock Exchange</t>
  </si>
  <si>
    <t>Excludes statistics, competitions and awards, website features and maintenance, entity specific information, listings and de-listings, market data, future events/workshops.</t>
  </si>
  <si>
    <t>Tradegate Exchange</t>
  </si>
  <si>
    <t>Verband der Auslandsbanken in Deutschland (VAB)</t>
  </si>
  <si>
    <t>Excludes tax and statistics.</t>
  </si>
  <si>
    <t>Excludes tax and statistics, general economy, appointments</t>
  </si>
  <si>
    <t>Xetra</t>
  </si>
  <si>
    <t>Gibraltar</t>
  </si>
  <si>
    <t>Gibraltar Financial Services Commission</t>
  </si>
  <si>
    <t>Excludes organisational changes (e.g. appointments, vacancies etc), statistics, future events/workshops, charity work, website maintenance</t>
  </si>
  <si>
    <t>Government of Gibraltar Information Services</t>
  </si>
  <si>
    <t>Includes only documents relating to insurance, funds, private clients (banking) and pensions</t>
  </si>
  <si>
    <t>Greece</t>
  </si>
  <si>
    <t>Athens Stock Exchange (ATHEX) (ASE)</t>
  </si>
  <si>
    <t>Resolutions</t>
  </si>
  <si>
    <t>Bank of Greece</t>
  </si>
  <si>
    <t xml:space="preserve">Excludes statistics, macroeconomic topics (e.g. monetary policy, interest rates, inflation, balance sheet, GDP),  entity specific information (e.g. lists of candidates), banknotes, coins, foreign exchange. Excludes notices of documents issued by other EU bodies </t>
  </si>
  <si>
    <t xml:space="preserve">Greek </t>
  </si>
  <si>
    <t>Electronic Secondary Securities Market (HDAT)</t>
  </si>
  <si>
    <t>Financial Intelligence Unit (Greece)</t>
  </si>
  <si>
    <t>Very low output.</t>
  </si>
  <si>
    <t>Greek Capital Market Commission</t>
  </si>
  <si>
    <t>Excludes notices of documents issued by other EU bodies. short selling prohibition/extension, public warning, organisational changes (e.g. appointments, vacancies), statistics, future events/workshops, website maintenance. Not included when a substantive document is available</t>
  </si>
  <si>
    <t>Ministry of Finance (Greece)</t>
  </si>
  <si>
    <t>Only includes releases related to BFSI regulation</t>
  </si>
  <si>
    <t>Guernsey &amp; Jersey</t>
  </si>
  <si>
    <t>Courts and Tribunals</t>
  </si>
  <si>
    <t>Channel Islands Financial Ombudsman (CIFO)</t>
  </si>
  <si>
    <t>Excludes releases announcing any of the substantial docs above.</t>
  </si>
  <si>
    <t>Guernsey</t>
  </si>
  <si>
    <t>Guernsey Financial Services Commission (GFSC)</t>
  </si>
  <si>
    <t>Excludes statistics, website maintenance</t>
  </si>
  <si>
    <t xml:space="preserve">Excludes reports issued by international organisations </t>
  </si>
  <si>
    <t>Guernsey Investment Fund Association (GIFA)</t>
  </si>
  <si>
    <t>Hungary</t>
  </si>
  <si>
    <t>Hungarian Financial Intelligence Unit (HFIU)</t>
  </si>
  <si>
    <t>Hungarian</t>
  </si>
  <si>
    <t>Hungarian Financial Supervisory Authority</t>
  </si>
  <si>
    <t xml:space="preserve">No longer tracked </t>
  </si>
  <si>
    <t>National Bank of Hungary</t>
  </si>
  <si>
    <t xml:space="preserve">Hungarian/English </t>
  </si>
  <si>
    <t xml:space="preserve">Excludes notices of documents issued by other EU bodies, organisational changes (appointments etc), statistics, macroeconomic topics, financial literacy for consumers, entity specific information, public warnings, banknotes, coins, foreign exchange. </t>
  </si>
  <si>
    <t xml:space="preserve">Excludes macroeconomic topics and statistics </t>
  </si>
  <si>
    <t>Iceland</t>
  </si>
  <si>
    <t>Central Bank of Iceland</t>
  </si>
  <si>
    <t xml:space="preserve">Excludes foreign exchange, macroeconomic topics e.g. MPC minutes and economic indicators, banknotes, coins, future seminars/webcasts/workshops, statistics, organisational changes, website maintenance. Excludes notices of documents issued by other international organisations and notices of documents to be issued in future. </t>
  </si>
  <si>
    <t>Icelandic Financial Supervisory Authority (Fjármálaeftirlitið)</t>
  </si>
  <si>
    <t>Ireland</t>
  </si>
  <si>
    <t>Central Bank of Ireland</t>
  </si>
  <si>
    <t>Excludes macroeconomic topics  (e.g. monetary policy, interest rates, inflation, balance sheet, GDP)</t>
  </si>
  <si>
    <t>Excludes statistics, competitions and awards, public warnings, macroeconomic topics, banknotes, coins, foreign exchange, entity specific information (mergers etc), organisational changes (appointments, tributes etc)</t>
  </si>
  <si>
    <t xml:space="preserve">Settlements </t>
  </si>
  <si>
    <t>Companies Registration Office (CRO)</t>
  </si>
  <si>
    <t>Data Protection Commissioner (Ireland)</t>
  </si>
  <si>
    <t>Excludes budget. Only includes documents relating to banks, insurance companies, securities and investments firms</t>
  </si>
  <si>
    <t>Department of Finance (Ireland)</t>
  </si>
  <si>
    <t>Excludes statistics and macroeconomic topics  (e.g. monetary policy, interest rates, inflation, balance sheet, GDP)</t>
  </si>
  <si>
    <t>EquiLend MTF</t>
  </si>
  <si>
    <t>Financial Regulator (Rialtoir Airgeadais)</t>
  </si>
  <si>
    <t xml:space="preserve">Now part of the Central Bank of Ireland </t>
  </si>
  <si>
    <t>Financial Services and Pensions Ombudsman (FSPO)</t>
  </si>
  <si>
    <t>Irish Stock Exchange</t>
  </si>
  <si>
    <t xml:space="preserve">Office of the Revenue Commissioners </t>
  </si>
  <si>
    <t>POSIT MTF</t>
  </si>
  <si>
    <t>Isle of Man</t>
  </si>
  <si>
    <t>Department of Economic Development (Isle of Man)</t>
  </si>
  <si>
    <t xml:space="preserve">Excludes competitions and awards, apprenticeships, organisational changes, non-financial services sectors. Includes applications for dissolution, dissolution lists, companies' registration notices. </t>
  </si>
  <si>
    <t>Department of Home Affairs (Isle of Man)</t>
  </si>
  <si>
    <t>Excludes topics not related to financial services (e.g. justice, emergency planning, fire and rescue, prison and probation)</t>
  </si>
  <si>
    <t>Insurance and Pensions Authority (IoM)</t>
  </si>
  <si>
    <t>No longer tracked: replaced by Isle of Man Financial Services Authority</t>
  </si>
  <si>
    <t>Isle of Man Financial Services Authority</t>
  </si>
  <si>
    <t>Isle of Man Financial Supervision Commission</t>
  </si>
  <si>
    <t>Office of Fair Trading (Isle of Man)</t>
  </si>
  <si>
    <t>Office of the Data Protection Supervisor</t>
  </si>
  <si>
    <t>Treasury Department (Isle of Man)</t>
  </si>
  <si>
    <t xml:space="preserve">Excludes articles relating to income tax, customs, import/export </t>
  </si>
  <si>
    <t>Italy</t>
  </si>
  <si>
    <t>Associazione del Risparmio Gestito (Assogestioni)</t>
  </si>
  <si>
    <t xml:space="preserve">Italian </t>
  </si>
  <si>
    <t>Associazione Bancaria Italiana (ABI)</t>
  </si>
  <si>
    <t>Italian/English</t>
  </si>
  <si>
    <t>Newsletters excluded if entirely duplicative of press release coverage.</t>
  </si>
  <si>
    <t>Monthly reports and region-specific releases excluded.</t>
  </si>
  <si>
    <t>Heavily filtered. Includes only speeches/statements concerned with financial services/banking regulation.</t>
  </si>
  <si>
    <t>Associazione Intermediari Mercati Finanziari (ASSOSIM)</t>
  </si>
  <si>
    <t>Associazione Italiana Private Banking (AIPB)</t>
  </si>
  <si>
    <t>Excludes macroeconomic/prudential topics, appointments, statistics</t>
  </si>
  <si>
    <t>Autorità Garante della Concorrenza e del Mercato (AGCM)</t>
  </si>
  <si>
    <t>Includes only documents relating to banks, insurance companies, securities and investments firms</t>
  </si>
  <si>
    <t>Bank of Italy</t>
  </si>
  <si>
    <t xml:space="preserve">Italian/English </t>
  </si>
  <si>
    <t xml:space="preserve">Excludes statistics, anniversaries, exhibitions, entity specific information, postponement of hearings, warnings, banknotes, coins, foreign exchange, macroeconomic topics, video content, organisational changes (e.g. appointments). Excludes notices of documents issued by other EU bodies </t>
  </si>
  <si>
    <t xml:space="preserve">Excludes changes to hearing dates </t>
  </si>
  <si>
    <t>BondVision Europe MTF</t>
  </si>
  <si>
    <t xml:space="preserve">Borsa Italiana </t>
  </si>
  <si>
    <t>SRO / Exchange Notices</t>
  </si>
  <si>
    <t>Excludes statistics, entity specific information (e.g. changes of details, admission to trading), listings and de-listings, market data, future events/workshops, competitions and awards, website maintenance</t>
  </si>
  <si>
    <t>Commissione di vigilanza sui fondi pensione (COVIP)</t>
  </si>
  <si>
    <t xml:space="preserve">Excludes statistics, market reports, future events, organisational changes such as appointments </t>
  </si>
  <si>
    <t>Commissione Nazionale per le Societa e la Borsa (CONSOB)</t>
  </si>
  <si>
    <t xml:space="preserve">Excludes entity specific communications </t>
  </si>
  <si>
    <t xml:space="preserve">Excludes organisational changes (appointments, vacancies etc), statistics, market trends, entity specific information (authorisation, cancellation of licences, mergers, portfolio information), warnings, financial literacy events for consumers, future events/workshops, competitions and awards, website maintenance. Not included when a substantive document is available. Excludes notices of documents issued by other EU bodies  </t>
  </si>
  <si>
    <t>EuroTLX</t>
  </si>
  <si>
    <t>Garante per la protezione dei dati personali</t>
  </si>
  <si>
    <t xml:space="preserve">Includes only documents relating to banks, insurance companies, securities and investments firms e.g. excludes health </t>
  </si>
  <si>
    <t>Excludes future events and seminars. Only includes documents relating to banks, insurance companies, securities and investments firms</t>
  </si>
  <si>
    <t xml:space="preserve">Includes only documents relating to banks, insurance companies, securities and investments firms e.g. excludes code of ethics relating to journalism </t>
  </si>
  <si>
    <t>Istituto per la Vigilanza sulle Assicurazioni (IVASS)</t>
  </si>
  <si>
    <t xml:space="preserve">Excludes organisational changes (e.g. appointments, etc), statistics, entity specific information, public warnings, financial literacy events for consumers/training, future events/workshops, competitions and awards, website maintenance. Not included when a substantive document is available. Excludes notices of documents issued by other EU bodies  </t>
  </si>
  <si>
    <t>Istituto per la Vigilanza sulle Assicurazioni Private e di Interesse Collettivo (ISVAP)</t>
  </si>
  <si>
    <t>Ministry of Economy and Finance (Italy)</t>
  </si>
  <si>
    <t xml:space="preserve">Excludes auction, indexation coefficients, treasury certificates, medium-long term announcement, government debt, yield of government securities, quarterly bulletin, currency, foreign debt </t>
  </si>
  <si>
    <t xml:space="preserve">Includes only payment institutions and TUF </t>
  </si>
  <si>
    <t>MTS Italy</t>
  </si>
  <si>
    <t>Unità di Informazione Finanziaria per l'Italia (UIF)</t>
  </si>
  <si>
    <t>Excludes news on awards and MoUs with orgs that are not of regulatory interest (e.g. Italian region-specific orgs.)</t>
  </si>
  <si>
    <t>Includes only Working Papers related to banking and financial services.</t>
  </si>
  <si>
    <t>Jersey</t>
  </si>
  <si>
    <t>Jersey Finance</t>
  </si>
  <si>
    <t>Excludes appointments, awards, releases with no regulatory significance</t>
  </si>
  <si>
    <t>Jersey Financial Services Commission</t>
  </si>
  <si>
    <t>Jersey Funds Association (JFA)</t>
  </si>
  <si>
    <t>Latvia</t>
  </si>
  <si>
    <t>Financial and Capital Market Commission (FCMC) (Latvia)</t>
  </si>
  <si>
    <t>Liechtenstein</t>
  </si>
  <si>
    <t>Financial Market Authority (Finanzmarktaufsicht)</t>
  </si>
  <si>
    <t xml:space="preserve">Excludes entity specific information (authorisation and revocation of licences), public warnings, financial literacy events for consumers, future events/workshops, competitions and awards, website maintenance, statistics, organisational changes. Not included when a substantive document is available. Excludes notices of documents issued by other EU bodies  </t>
  </si>
  <si>
    <t>Lithuania</t>
  </si>
  <si>
    <t>Bank of Lithuania</t>
  </si>
  <si>
    <t>Luxembourg</t>
  </si>
  <si>
    <t>Administration des contributions directes (ACD)</t>
  </si>
  <si>
    <t>Includes only FATCA related documents</t>
  </si>
  <si>
    <t>French</t>
  </si>
  <si>
    <t>Association des Banques et Banquiers, Luxembourg (ABBL)</t>
  </si>
  <si>
    <t xml:space="preserve">Excludes organisational matters such as appointments/dismissals, new offices etc, statistics, lists of institutions, </t>
  </si>
  <si>
    <t>Association Luxembourgeoise des Compliance Officers (ALCO)</t>
  </si>
  <si>
    <t>Excludes appointments/dismissals, future training events/workshops, documents issued by other organisations</t>
  </si>
  <si>
    <t xml:space="preserve">Excludes documents only available to members </t>
  </si>
  <si>
    <t>Cellule de renseignement financier (CRF) (Luxembourg)</t>
  </si>
  <si>
    <t>Central Bank of Luxembourg</t>
  </si>
  <si>
    <t xml:space="preserve">Excludes surveys, statistics, organisational changes, future seminars/conferences/workshops, competitions and awards, banknotes, coins, foreign exchange, macroeconomic topics. Excludes notices of documents issued by other EU bodies </t>
  </si>
  <si>
    <t>Commissariat aux Assurances (CAA) (Luxembourg)</t>
  </si>
  <si>
    <t>Commission de Surveillance du Secteur Financier (Luxembourg) (CSSF)</t>
  </si>
  <si>
    <t xml:space="preserve">Excludes warning, statistics, global situation </t>
  </si>
  <si>
    <t>Institut luxembourgeois des administrateurs (ILA)</t>
  </si>
  <si>
    <t xml:space="preserve">Includes only documents relating to financial services or corporate governance </t>
  </si>
  <si>
    <t>Luxembourg Stock Exchange</t>
  </si>
  <si>
    <t>Excludes listings and de-listings, market data, market transfers, shares, suspensions, statistics, issuers' notices</t>
  </si>
  <si>
    <t xml:space="preserve">Excludes statistics and documents relating to specific entities </t>
  </si>
  <si>
    <t>Ministry of Finance (Luxembourg)</t>
  </si>
  <si>
    <t xml:space="preserve">Includes only laws relating to financial services </t>
  </si>
  <si>
    <t xml:space="preserve">Excludes budget, statistics, vacancies, appointments. Only includes documents relating to financial services.  </t>
  </si>
  <si>
    <t>Excludes documents issued by other organisations, public finances, budget, forms</t>
  </si>
  <si>
    <t>Malta</t>
  </si>
  <si>
    <t>Central Bank of Malta</t>
  </si>
  <si>
    <t>Financial Intelligence Analysis Unit (FIAU)</t>
  </si>
  <si>
    <t xml:space="preserve">Excludes organisation changes (e.g. recruitment, re-location), future training and events. Not included when a substantive document is available. </t>
  </si>
  <si>
    <t>Inland Revenue Department (IRD) (Malta)</t>
  </si>
  <si>
    <t xml:space="preserve">Excludes deduction claims, technical/operational information, non-financial services sectors e.g. culture, eduction, </t>
  </si>
  <si>
    <t>Malta Bankers' Association (MBA)</t>
  </si>
  <si>
    <t>Excludes republishes from other regulators and appointments</t>
  </si>
  <si>
    <t>Malta Financial Services Authority (MFSA)</t>
  </si>
  <si>
    <t xml:space="preserve">Excludes public notices, entity specific information, organisational changes, campaigns. </t>
  </si>
  <si>
    <t>Office for Competition</t>
  </si>
  <si>
    <t>Office for Consumer Affairs</t>
  </si>
  <si>
    <t>Monaco</t>
  </si>
  <si>
    <t>Commission de Controle des Activites Financieres</t>
  </si>
  <si>
    <t>Excludes warnings, calendars</t>
  </si>
  <si>
    <t>Service d'Information et de Controle sur les Circuits Financiers</t>
  </si>
  <si>
    <t>Netherlands</t>
  </si>
  <si>
    <t>De Nederlandsche Bank (DNB)</t>
  </si>
  <si>
    <t xml:space="preserve">Dutch/English </t>
  </si>
  <si>
    <t xml:space="preserve">Excludes macroeconomic topics,  banknotes, coins,  foreign exchange, organisational changes, statistics, future seminars and workshops. </t>
  </si>
  <si>
    <t xml:space="preserve">Dutch Association of Insurers </t>
  </si>
  <si>
    <t>Dutch</t>
  </si>
  <si>
    <t xml:space="preserve">Excludes consumer brochures, education, topics not related to accident and health/life and annuities/property and casulty insurance </t>
  </si>
  <si>
    <t xml:space="preserve">Excludes statistics, brochures of a general nature regarding topics not related to property &amp; casulty, accident &amp; health, life and annuities, or insurance companies </t>
  </si>
  <si>
    <t>Dutch Banking Association (Nederlandse Vereniging van Banken) (NVB)</t>
  </si>
  <si>
    <t xml:space="preserve">Excludes consumer notices, education, macroeconomic topics e.g. growth </t>
  </si>
  <si>
    <t>Dutch Data Protection Authority</t>
  </si>
  <si>
    <t xml:space="preserve">Dutch </t>
  </si>
  <si>
    <t>EBS MTF</t>
  </si>
  <si>
    <t>Financial Intelligence Unit (The Netherlands)</t>
  </si>
  <si>
    <t>Includes any press releases on the Prevention of Money Laundering and Terrorist Financing Act. Excludes appointments, future events, general economy, statistics, content from other organisations.</t>
  </si>
  <si>
    <t>ICE Endex</t>
  </si>
  <si>
    <t xml:space="preserve">Excludes trade or entity specific informaton and market data </t>
  </si>
  <si>
    <t>iSwap Euro MTF</t>
  </si>
  <si>
    <t>Ministry of Finance (The Netherlands)</t>
  </si>
  <si>
    <t>Excludes tax, public finances</t>
  </si>
  <si>
    <t>Excludes statistics, tax, appointments</t>
  </si>
  <si>
    <t xml:space="preserve">Netherlands Authority for Consumers and Markets </t>
  </si>
  <si>
    <t>Netherlands Authority for Financial Markets (AFM)</t>
  </si>
  <si>
    <t xml:space="preserve">Includes only news from the 'Professionals' section. Excludes suspension or reopening of trading, organisational changes (e.g. appointments), entity specific information, public warnings, future events/workshops, competitions and awards, website maintenance. Not included when a substantive document is available. Excludes notices of documents issued by other EU bodies  </t>
  </si>
  <si>
    <t xml:space="preserve">Includes only publications from the 'Professionals' section. Excludes statistics </t>
  </si>
  <si>
    <t>Netherlands Disciplinary Board for Financial Services (Insurance)</t>
  </si>
  <si>
    <t>Tradeweb EU MTF</t>
  </si>
  <si>
    <t>Norway</t>
  </si>
  <si>
    <t>Excludes entity/trade specific information</t>
  </si>
  <si>
    <t>SRO Rule Filings and Rulemaking Notices (US)</t>
  </si>
  <si>
    <t>Norway Financial Supervisory Authority (Finanstilsynet)</t>
  </si>
  <si>
    <t xml:space="preserve">Norwegian/English </t>
  </si>
  <si>
    <t>Norwegian Data Protection Authority</t>
  </si>
  <si>
    <t>NOS Clearing</t>
  </si>
  <si>
    <t xml:space="preserve">Includes only Rulebook notices </t>
  </si>
  <si>
    <t>Oslo Bors</t>
  </si>
  <si>
    <t>Poland</t>
  </si>
  <si>
    <t>Central Securities Depository of Poland (KDPW)</t>
  </si>
  <si>
    <t xml:space="preserve">Polish </t>
  </si>
  <si>
    <t>Excludes operational/administrative announcements and issuance stats</t>
  </si>
  <si>
    <t>Inspector General for Personal Data Protection (GIODO)</t>
  </si>
  <si>
    <t>No longer active</t>
  </si>
  <si>
    <t>Ministry of Finance (Poland)</t>
  </si>
  <si>
    <t xml:space="preserve">Excludes notices on gambling, income tax, lottery, macroeconomic issues, social security, environment, awards, commemoration days etc. Only includes documents relating to banking, insurance, securities and investments, data protection, anti-money laundering and terrorist financing </t>
  </si>
  <si>
    <t>National Bank of Poland</t>
  </si>
  <si>
    <t>Excludes macroeconomic topics, banknotes, coins, foreign exchange,  minutes</t>
  </si>
  <si>
    <t>Excludes inflation report</t>
  </si>
  <si>
    <t>Office of Competition and Consumer Protection (UOKiK)</t>
  </si>
  <si>
    <t>Polish Chamber of Insurance (PIU)</t>
  </si>
  <si>
    <t>Polish Financial Supervision Authority</t>
  </si>
  <si>
    <t xml:space="preserve">Excludes statistics (e.g. quarterly bulletin), entity specific information (mergers etc), organisation changes. Not included when a substantive document is available. Excludes notices of documents issued by other EU bodies  </t>
  </si>
  <si>
    <t xml:space="preserve">Polish Power Exchange </t>
  </si>
  <si>
    <t>Excludes entity specific information, organisational changes, statistics, listings and de-listings, market data, website maintenance</t>
  </si>
  <si>
    <t>Treasury BondSpot Poland</t>
  </si>
  <si>
    <t>Warsaw Stock Exchange (GPW)</t>
  </si>
  <si>
    <t xml:space="preserve">Excludes competitions and awards, statistics, education for users, organisational changes, entity related decisions, website maintenance. Excludes notices of documents issued by other EU bodies </t>
  </si>
  <si>
    <t xml:space="preserve">Polish/English </t>
  </si>
  <si>
    <t xml:space="preserve">Excludes statistics, trade specific information such as indices </t>
  </si>
  <si>
    <t>Portugal</t>
  </si>
  <si>
    <t xml:space="preserve">Autoridade de Supervisao de Seguros e Fundos de Pensoes </t>
  </si>
  <si>
    <t xml:space="preserve">Portuguese </t>
  </si>
  <si>
    <t xml:space="preserve">Excludes ASF decisions on specific entities, statistics, financial literacy events for consumers, future events/workshops, competitions and awards, website maintenance. Excludes notices of documents issued by other EU bodies  </t>
  </si>
  <si>
    <t>Bank of Portugal</t>
  </si>
  <si>
    <t xml:space="preserve">Portuguese/English </t>
  </si>
  <si>
    <t xml:space="preserve">Excludes statistics e.g. Bank of Portugal statistics report and macroeconomic topics such as Monetary Policy Report </t>
  </si>
  <si>
    <t>Excludes macroeconomic topics  (e.g. monetary policy)</t>
  </si>
  <si>
    <t>OMIP</t>
  </si>
  <si>
    <t>Portuguese Data Protection Authority (CNPD)</t>
  </si>
  <si>
    <t xml:space="preserve">Includes only documents relating to banks, insurance companies, securities and investments firms. Excludes document issued by other international bodies </t>
  </si>
  <si>
    <t xml:space="preserve">Includes periodic 'Forum' </t>
  </si>
  <si>
    <t>Portuguese Securities Market Commission (CMVM)</t>
  </si>
  <si>
    <t xml:space="preserve">Excludes statistics, public warnings, temporary short sale bans of 24 hours, privileged and other information. Not included when a substantive document is available. Excludes notices of documents issued by other EU bodies  </t>
  </si>
  <si>
    <t>Excludes behaviour trends, macroeconomic topics e.g. growth</t>
  </si>
  <si>
    <t>Romania</t>
  </si>
  <si>
    <t>Autoritatea de Supraveghere Financiară (ASF)</t>
  </si>
  <si>
    <t>Includes only ASF documents; excludes ESMA/EBA/EIOPA republishes</t>
  </si>
  <si>
    <t>Romanian</t>
  </si>
  <si>
    <t>Russian Federation</t>
  </si>
  <si>
    <t>Bank National Clearing Centre Closed Joint-Stock Company</t>
  </si>
  <si>
    <t xml:space="preserve">Russian </t>
  </si>
  <si>
    <t>Excludes notices relating to shares of specific companies, election of candidates</t>
  </si>
  <si>
    <t>Excludes rules of a logistical nature, and forms</t>
  </si>
  <si>
    <t>Central Bank of the Russian Federation</t>
  </si>
  <si>
    <t xml:space="preserve">Excludes documents published under following sections: monetary policy, banknotes and coins, analytical materials, statistics, research, territorial structure. </t>
  </si>
  <si>
    <t xml:space="preserve">Excludes documents presented in the bulletin e.g. regarding administration or revocation of licence, macroeconomic topics, statistics, financial education for consumers, website maintenance, monitoring the maximum interest rate, adjustment ratios, notices on specific institutions e.g financial standing, reorganisation, porfolios, updating lists of official websites, </t>
  </si>
  <si>
    <t xml:space="preserve">Russian/English </t>
  </si>
  <si>
    <t>Federal Financial Monitoring Service (Rosfinmonitoring)</t>
  </si>
  <si>
    <t>Excludes lists. Only includes documents relating to banking, insurance, securities and investments,</t>
  </si>
  <si>
    <t>Ministry of Finance of the Russian Federation</t>
  </si>
  <si>
    <t>Includes only documents relating to banking, insurance, securities and investments</t>
  </si>
  <si>
    <t>Moscow Stock Exchange</t>
  </si>
  <si>
    <t>Russian National Association of Securities Market Participants (NAUFOR)</t>
  </si>
  <si>
    <t xml:space="preserve">Excludes documents issued by other organisations and members only documents </t>
  </si>
  <si>
    <t xml:space="preserve">Excludes seminar programmes/future round tables, documents issued by other organisations </t>
  </si>
  <si>
    <t>Slovakia</t>
  </si>
  <si>
    <t>National Bank of Slovakia (NBS)</t>
  </si>
  <si>
    <t xml:space="preserve">Slovak/English </t>
  </si>
  <si>
    <t>Excludes statistics and macroeconomic topics e.g. medium term forecast</t>
  </si>
  <si>
    <t>Slovenia</t>
  </si>
  <si>
    <t>Bank of Slovenia</t>
  </si>
  <si>
    <t xml:space="preserve">Includes only documents relating to banking supervision, resolution and deposit guarantee scheme, application of ESA guidelines, payment services and payment systems, money laundering prevention </t>
  </si>
  <si>
    <t xml:space="preserve">Excludes monetary and fiscal policy, banknotes and coins, macroeconomic topics (e.g. summary of economic developments), currency, bank performance, statistics/surveys. Excludes documents issued by other international bodies. </t>
  </si>
  <si>
    <t>Serbia</t>
  </si>
  <si>
    <t>Republic of Serbia Securities Commission</t>
  </si>
  <si>
    <t>Serbian</t>
  </si>
  <si>
    <t>Excludes license revocations, meetings, roundtables, events, withdrawals from register and information on exams</t>
  </si>
  <si>
    <t>Spain</t>
  </si>
  <si>
    <t>Bank of Spain</t>
  </si>
  <si>
    <t xml:space="preserve">Spanish/English </t>
  </si>
  <si>
    <t>Excludes notices of documents issued by other EU bodies. Excludes banknotes, coins, foreign exchange, macroeconomic topics, organisational changes (e.g. new director), statistics</t>
  </si>
  <si>
    <t>Excludes speeches on economics, statistics and research, cash management and branches</t>
  </si>
  <si>
    <t>Bolsa de Madrid</t>
  </si>
  <si>
    <t xml:space="preserve">Excludes entity specific circulars </t>
  </si>
  <si>
    <t>Spanish</t>
  </si>
  <si>
    <t xml:space="preserve">Excludes entity specific information (public offers, registration, changes of details, cancellation of licences, mergers, incorporation, listing, reduction of capital) </t>
  </si>
  <si>
    <t>Comision Nacional del Mercado de Valores (CNMV)</t>
  </si>
  <si>
    <t xml:space="preserve">Excludes organisational changes, public warnings, competitions and awards, statistics, entity specific information (e.g. takeover bids, lists of institutions), website maintenance,  financial literacy events for consumers, future events/workshops. Excludes notices of documents issued by other EU bodies. Not included when a substantive document is available. </t>
  </si>
  <si>
    <t>Includes Technical Guides</t>
  </si>
  <si>
    <t>Dirección General de Seguros y Fondos de Pensiones (DGSFP)</t>
  </si>
  <si>
    <t xml:space="preserve">Excludes statistics, balances and accounts, market studies </t>
  </si>
  <si>
    <t>Electronic System for Trading in Financial Assets (SENAF)</t>
  </si>
  <si>
    <t>Mercado Espanol de Futuros Financieros</t>
  </si>
  <si>
    <t xml:space="preserve">Includes only documents relating to banking, insurance, securities and investments, anti-money laundering and terrorist financing. Excludes government bonds, public debt, regional finance etc </t>
  </si>
  <si>
    <t>Excludes statistics, documents issued by other EU bodies</t>
  </si>
  <si>
    <t>Sepblac</t>
  </si>
  <si>
    <t xml:space="preserve">Excludes documents issued by other EU bodies </t>
  </si>
  <si>
    <t>Excludes statistics, economic activities</t>
  </si>
  <si>
    <t>Sweden</t>
  </si>
  <si>
    <t>Central Bank of Sweden (Sveriges Riksbank)</t>
  </si>
  <si>
    <t>Swedish Bankers Association</t>
  </si>
  <si>
    <t xml:space="preserve">Swedish/English </t>
  </si>
  <si>
    <t xml:space="preserve">Excludes bank statistics, macroeconomic topics. Excludes notices of documents issued by other EU bodies </t>
  </si>
  <si>
    <t>Swedish Financial Supervisory Authority (Finansinspektionen)</t>
  </si>
  <si>
    <t>Swedish</t>
  </si>
  <si>
    <t>Includes FI analysis, and reports. Excludes statistics</t>
  </si>
  <si>
    <t>Includes news. Excludes macroeconomic topics and press invitations</t>
  </si>
  <si>
    <t>Switzerland</t>
  </si>
  <si>
    <t>Association of Foreign Banks in Switzerland</t>
  </si>
  <si>
    <t>Includes articles, excluding macroeconomic topics</t>
  </si>
  <si>
    <t>Economiesuisse</t>
  </si>
  <si>
    <t>Includes only position papers relating to financial regulation.</t>
  </si>
  <si>
    <t>French/German</t>
  </si>
  <si>
    <t>Includes only releases relating to financial regulation. Excludes appointment, awards, training, tax and monetary policy announcements. Also excludes releases announcing the publication of document covered elsewhere.</t>
  </si>
  <si>
    <t>Includes only publications relating to financial regulation.</t>
  </si>
  <si>
    <t>Esisuisse</t>
  </si>
  <si>
    <t>Legislative bodies</t>
  </si>
  <si>
    <t>Federal Authorities of the Swiss Confederation</t>
  </si>
  <si>
    <t>Federal Department of Finance (Switzerland)</t>
  </si>
  <si>
    <t>Money Laundering Reporting Office Switzerland (MROS)</t>
  </si>
  <si>
    <t>Excludes any non-financial AML publications (e.g. NPOs)</t>
  </si>
  <si>
    <t>SIX Repo AG</t>
  </si>
  <si>
    <t>SIX Swiss Exchange</t>
  </si>
  <si>
    <t>Excludes listings and de-listings, key figures, new companies/issuers, suspension and resumption of trading, indices, organisational changes, website maintenance</t>
  </si>
  <si>
    <t>State Secretariat for Economic Affairs (SECO)</t>
  </si>
  <si>
    <t>State Secretariat for International Financial Matters (SIF)</t>
  </si>
  <si>
    <t>Excludes futures events, tax, monetary policy</t>
  </si>
  <si>
    <t>Excludes tax, reference pricing, monetary policy</t>
  </si>
  <si>
    <t>Swiss Bankers' Association</t>
  </si>
  <si>
    <t xml:space="preserve">Excludes priced documents, key figures, teaching aids, macroeconomic topics, statistics </t>
  </si>
  <si>
    <t>Swiss Federal Banking Commission</t>
  </si>
  <si>
    <t xml:space="preserve">No longer tracked: now part of FINMA </t>
  </si>
  <si>
    <t>Swiss Finance Council</t>
  </si>
  <si>
    <t>Excludes appointments and duplicative content</t>
  </si>
  <si>
    <t>Swiss Financial Market Supervisory Authority (FINMA)</t>
  </si>
  <si>
    <t xml:space="preserve">Excludes entity specific information (e.g lists of institutions/agents, notifications of bankruptcy proceedings), forms and templates. Not included when a substantive document is available. Excludes notices of documents issued by other EU bodies  </t>
  </si>
  <si>
    <t xml:space="preserve">Swiss Funds &amp; Asset Management Association </t>
  </si>
  <si>
    <t>Swiss National Bank</t>
  </si>
  <si>
    <t>Excludes balance of payments, money market debt register, monetary policy data, statistics, banknotes, coins, foreign exchange, macroeconomic topics</t>
  </si>
  <si>
    <t>Swiss Structured Products Association (SSPA)</t>
  </si>
  <si>
    <t xml:space="preserve">German /English </t>
  </si>
  <si>
    <t>Swiss Sustainable Finance (SSF)</t>
  </si>
  <si>
    <t>Excludes PRs announcing publication of reports</t>
  </si>
  <si>
    <t>Swiss Takeover Board</t>
  </si>
  <si>
    <t xml:space="preserve">Excludes organisational changes (appointments, vacancies, dismissals, resignations, tributes), statistics, entity specific information (authorisation, cancellation of licences, company specific details about offerings). Not included when a substantive document is available. Excludes notices of documents issued by other EU bodies </t>
  </si>
  <si>
    <t>SWX Europe</t>
  </si>
  <si>
    <t xml:space="preserve">No longer exists - all business transferred to SIX Swiss Exchange </t>
  </si>
  <si>
    <t>UBS MTF</t>
  </si>
  <si>
    <t>Zürcher Bankenverband</t>
  </si>
  <si>
    <t xml:space="preserve">Excludes Newsfeed articles as these have been published by other organisations. Excludes future events/forums, changes to organisation/location, website maintenance, macroeconomic topics (e.g. economic forum) </t>
  </si>
  <si>
    <t xml:space="preserve">Excludes statistics, working hours, macroeconomic topics </t>
  </si>
  <si>
    <t>Turkey</t>
  </si>
  <si>
    <t>Banking Regulation and Supervision Agency (Turkey)</t>
  </si>
  <si>
    <t xml:space="preserve">Turkish </t>
  </si>
  <si>
    <t xml:space="preserve">Excludes exchange rate reports </t>
  </si>
  <si>
    <t xml:space="preserve">Speeches and Statements </t>
  </si>
  <si>
    <t>Capital Markets Board of Turkey</t>
  </si>
  <si>
    <t>Excludes entrance exams, Capital Markets Board public notices (e.g.  personnel details), announcements relating to education seminars, human resources, non-exchange compnies</t>
  </si>
  <si>
    <t xml:space="preserve">Excludes training and education, future events </t>
  </si>
  <si>
    <t>Central Bank of Turkey</t>
  </si>
  <si>
    <t>Central Registry Agency (MKK)</t>
  </si>
  <si>
    <t>Includes General Letters. Excludes membership details, merger transactions, future training and events, website maintenance</t>
  </si>
  <si>
    <t>Financial Crimes Investigation Board (MASAK)</t>
  </si>
  <si>
    <t>ISE Settlement and Custody Bank (Takasbank)</t>
  </si>
  <si>
    <t xml:space="preserve">Excludes organisation changes (e.g. new address, buildings), website maintenance, foreign currency/exchange, campaigns, future events </t>
  </si>
  <si>
    <t>Istanbul Stock Exchange</t>
  </si>
  <si>
    <t xml:space="preserve">Excludes notices from the index and data division (unless of a regulatory/guidance nature) </t>
  </si>
  <si>
    <t>Ministry of Finance and Treasury (Turkey)</t>
  </si>
  <si>
    <t>The Banks Association of Turkey (TBB)</t>
  </si>
  <si>
    <t xml:space="preserve">Excludes public opinions, future workshops and events, statistical reports, banking magazine </t>
  </si>
  <si>
    <t>TurkDEX</t>
  </si>
  <si>
    <t>Merged with Borsa İstanbul Futures &amp; Options Market</t>
  </si>
  <si>
    <t>Turkish Capital Markets Association (TCMA)</t>
  </si>
  <si>
    <t>Excludes stats/economics</t>
  </si>
  <si>
    <t>Financial service regulation developments only. Excludes economics/macroprudential releases.</t>
  </si>
  <si>
    <t>Ukraine</t>
  </si>
  <si>
    <t>Deposit Guarantee Fund (DGF)</t>
  </si>
  <si>
    <t xml:space="preserve">Ukrainian </t>
  </si>
  <si>
    <t>Excludes auctions/sale of assets, selections, entity specific information (e.g. change of name, insolvency, reimbursements), statistics</t>
  </si>
  <si>
    <t>Ministry of Finance of Ukraine</t>
  </si>
  <si>
    <t>Excludes media ads, State Fiscal Service documents, VAT, macroeconomic topics, labour (e.g. payroll), currency, statistics, organisation changes (e.g. appointments), tenders.</t>
  </si>
  <si>
    <t xml:space="preserve">Ukrainian/English </t>
  </si>
  <si>
    <t>National Bank of Ukraine</t>
  </si>
  <si>
    <t xml:space="preserve">Excludes notices on interest rates, liquidity-providing tender, foreign exchage, organisational changes, statistics, entity specific information, banknotes, coins, foreign exchange, macroeconomic topics. Excludes notices of documents issued by other EU bodies </t>
  </si>
  <si>
    <t>National Securities and Stock Market Commission</t>
  </si>
  <si>
    <t xml:space="preserve">Excludes statistics </t>
  </si>
  <si>
    <t>State Financial Monitoring Service of Ukraine</t>
  </si>
  <si>
    <t xml:space="preserve">Includes only documents relating to banking, insurance, securities and investments. Excludes guidelines issued by other bodies </t>
  </si>
  <si>
    <t>State Fiscal Service of Ukraine</t>
  </si>
  <si>
    <t>Includes only documents relating to financial services.</t>
  </si>
  <si>
    <t>United Kingdom</t>
  </si>
  <si>
    <t>Aquis Exchange</t>
  </si>
  <si>
    <t>Updates to rulebook announced via member notice</t>
  </si>
  <si>
    <t>Excludes appointments, statistics, awards</t>
  </si>
  <si>
    <t>Arian Financial Trading Facility OTF (AOTF)</t>
  </si>
  <si>
    <t>Association for Financial Markets in Europe (AFME)</t>
  </si>
  <si>
    <t xml:space="preserve">Excludes office location, organisational changes, statistics, future events, and macroeconomic topics </t>
  </si>
  <si>
    <t>Association of British Insurers (ABI)</t>
  </si>
  <si>
    <t>Excludes budget, technology, climate change</t>
  </si>
  <si>
    <t xml:space="preserve">Excludes climate change, data </t>
  </si>
  <si>
    <t>Excludes climate change</t>
  </si>
  <si>
    <t>Bank of England</t>
  </si>
  <si>
    <t xml:space="preserve">Excludes macroeconomic topics,  banknotes, coins, foreign exchange, organisational changes. Excludes notices of documents issued by other EU bodies. Not included when a substantive document is available. </t>
  </si>
  <si>
    <t>Includes Statistical Notices only.</t>
  </si>
  <si>
    <t>Excludes inflation report, statistical releases, MPC summary and minutes, agents' summary</t>
  </si>
  <si>
    <t>Excludes blogs series, organisational changes (e.g. appointments, new board members), future events, training/internships, video content, macroeconomic topics</t>
  </si>
  <si>
    <t>Banking Standards Review</t>
  </si>
  <si>
    <t>BGC Brokers OTF</t>
  </si>
  <si>
    <t>Bloomberg MTF</t>
  </si>
  <si>
    <t>BondVision UK MTF</t>
  </si>
  <si>
    <t>British Bankers' Association (BBA)</t>
  </si>
  <si>
    <t>Superseded by UK Finance</t>
  </si>
  <si>
    <t>British Insurance Brokers' Association (BIBA)</t>
  </si>
  <si>
    <t>Excludes statistics, BIBA website, webinar dates, notices on topics not related to property &amp; casulty, accident &amp; health, life and annuities, or insurance companies</t>
  </si>
  <si>
    <t>BrokerTec EU MTF</t>
  </si>
  <si>
    <t>Building Societies Association (BSA)</t>
  </si>
  <si>
    <t>Excludes organisational changes (e.g. appointments), statistics, macroeconomic topics</t>
  </si>
  <si>
    <t>Chartered Institute for Securities &amp; Investment (CISI)</t>
  </si>
  <si>
    <t xml:space="preserve">Excludes training/apprenticeships/education, qualifications, network and events, statistics, competitions and awards, macroeconomic topics, </t>
  </si>
  <si>
    <t>Chartered Insurance Institute (CII)</t>
  </si>
  <si>
    <t xml:space="preserve">Excludes organisational changes (e.g.appointments), market data, statistics, technical news, Backstage with Keith Richards, regional conferences, </t>
  </si>
  <si>
    <t>Chi-x</t>
  </si>
  <si>
    <t>CME Clearing Europe</t>
  </si>
  <si>
    <t>Competition and Markets Authority (CMA)</t>
  </si>
  <si>
    <t>Includes only documents relating to banks, insurance companies, securities and investments firms. In particular relating to Payday Lending, Personal Current Acounts Market Review, Private Motor Insurance Investigation</t>
  </si>
  <si>
    <t xml:space="preserve">Competition Commission </t>
  </si>
  <si>
    <t xml:space="preserve">No longer tracked: closed </t>
  </si>
  <si>
    <t>Council of Mortgage Lenders (CML)</t>
  </si>
  <si>
    <t>Creditex Brokerage MTF</t>
  </si>
  <si>
    <t>Currenex MTF</t>
  </si>
  <si>
    <t>CurveGlobal Markets</t>
  </si>
  <si>
    <t>Department for Business, Energy and Industrial Strategy (formerly the Department for Business, Innovation &amp; Skills)</t>
  </si>
  <si>
    <t>Department for Work and Pensions (DWP)</t>
  </si>
  <si>
    <t>Dowgate MTF</t>
  </si>
  <si>
    <t>EDX</t>
  </si>
  <si>
    <t>EquiLend Europe MTF</t>
  </si>
  <si>
    <t>FCA Practitioner Panel</t>
  </si>
  <si>
    <t>FICC Markets Standards Board (FMSB)</t>
  </si>
  <si>
    <t>Excludes organisational changes, statistics, entity specific information, warnings, financial literacy events for consumers, future events/workshops, competitions and awards, website maintenance</t>
  </si>
  <si>
    <t>Financial Conduct Authority (FCA)</t>
  </si>
  <si>
    <t>Guidance Consultations</t>
  </si>
  <si>
    <t>Legal Instruments</t>
  </si>
  <si>
    <t>Financial Ombudsman Service (UK) (FOS)</t>
  </si>
  <si>
    <t>Excludes complaints data, consumer guidance</t>
  </si>
  <si>
    <t>Financial Reporting Council (UK) (FRC)</t>
  </si>
  <si>
    <t>Financial Services Authority (UK)</t>
  </si>
  <si>
    <t>Financial Services Compensation Scheme (FSCS)</t>
  </si>
  <si>
    <t>Excludes consumer warnings, statistics, entity specific information, warnings,competitions and awards</t>
  </si>
  <si>
    <t>No longer published</t>
  </si>
  <si>
    <t>Financial Services Consumer Panel (FSCP)</t>
  </si>
  <si>
    <t>FX Connect MTF</t>
  </si>
  <si>
    <t>GFI Brokers</t>
  </si>
  <si>
    <t>GFI Securities</t>
  </si>
  <si>
    <t>HM Revenue and Customs (HMRC)</t>
  </si>
  <si>
    <t>Excludes taxes such as VAT, landfill tax, indirect taxes, income tax, childcare. Only includes documents relating to banking, insurance, securities and investments</t>
  </si>
  <si>
    <t xml:space="preserve">Includes only business tax and pension scheme administration </t>
  </si>
  <si>
    <t xml:space="preserve">Includes only pension schemes/liberation newsletter </t>
  </si>
  <si>
    <t>HM Treasury</t>
  </si>
  <si>
    <t>Includes only documents relating to banking, securities and investments</t>
  </si>
  <si>
    <t>Excludes releases on sanctions already covered by OFSI</t>
  </si>
  <si>
    <t>ICAP Energy OTF</t>
  </si>
  <si>
    <t>ICAP Securities OTF</t>
  </si>
  <si>
    <t>ICE Benchmark Administration Limited</t>
  </si>
  <si>
    <t>ICE Clear Europe</t>
  </si>
  <si>
    <t xml:space="preserve">Excludes appointment of members, succession events, listing, de-listing </t>
  </si>
  <si>
    <t>ICE Futures Europe</t>
  </si>
  <si>
    <t>ICE Libor</t>
  </si>
  <si>
    <t>Independent Commission on Banking</t>
  </si>
  <si>
    <t>No longer active. Created in wake of financial crisis and produced its final report in 2011.</t>
  </si>
  <si>
    <t>Information Commissioner's Office (ICO)</t>
  </si>
  <si>
    <t>Integral MTF</t>
  </si>
  <si>
    <t>International Capital Market Association (ICMA)</t>
  </si>
  <si>
    <t>Excludes organisational changes (e.g. new members, committee elections), macroeconomic topics, statistics</t>
  </si>
  <si>
    <t xml:space="preserve">Excludes documents for subscribers only </t>
  </si>
  <si>
    <t>Investment Association</t>
  </si>
  <si>
    <t xml:space="preserve">Excludes organisational changes (e.g. appointments), statistics, diversity, macroeconomic topics </t>
  </si>
  <si>
    <t>Joint Money Laundering Steering Group (JMLSG)</t>
  </si>
  <si>
    <t>Kyte Broking OTF</t>
  </si>
  <si>
    <t>LCH Ltd</t>
  </si>
  <si>
    <t>Lending Standards Board (LSB)</t>
  </si>
  <si>
    <t xml:space="preserve">Lloyd's </t>
  </si>
  <si>
    <t>LMAX Exchange</t>
  </si>
  <si>
    <t>London Metal Exchange (LME)</t>
  </si>
  <si>
    <t xml:space="preserve">Excludes organisational changes (e.g. retirement, new members), market data, awards, future events/workshops, competitions and awards, technology </t>
  </si>
  <si>
    <t>London Stock Exchange (LSE)</t>
  </si>
  <si>
    <t>Louis Capital Markets OTF</t>
  </si>
  <si>
    <t>Mariana UFP OTF</t>
  </si>
  <si>
    <t>MarketAxess Europe MTF</t>
  </si>
  <si>
    <t>Ministry of Justice (UK) (MoJ)</t>
  </si>
  <si>
    <t>Money and Pensions Service (MaPS)</t>
  </si>
  <si>
    <t>MTS Cash Domestic</t>
  </si>
  <si>
    <t>National Crime Agency (NCA)</t>
  </si>
  <si>
    <t xml:space="preserve">Includes only guidance notes relating to suspicious activity reports </t>
  </si>
  <si>
    <t>Includes BFSI enforcements only</t>
  </si>
  <si>
    <t xml:space="preserve">Excludes trade specific notices, market data </t>
  </si>
  <si>
    <t>NEX SEF</t>
  </si>
  <si>
    <t>Excludes entity specific notices e.g. listings, website maintenance and changes, trade specific notices e.g. indices, liquidity provider programme, market data</t>
  </si>
  <si>
    <t>Office of Fair Trading (UK)</t>
  </si>
  <si>
    <t>Office of Financial Sanctions Implementation (OFSI)</t>
  </si>
  <si>
    <t>Payment Systems Regulator (PSR)</t>
  </si>
  <si>
    <t xml:space="preserve">Legal instruments </t>
  </si>
  <si>
    <t xml:space="preserve">Excludes recruitment, statistics </t>
  </si>
  <si>
    <t>Payments UK</t>
  </si>
  <si>
    <t>Pay.UK</t>
  </si>
  <si>
    <t xml:space="preserve">Excludes statistics and appointments </t>
  </si>
  <si>
    <t>Pensions and Lifetime Savings Association</t>
  </si>
  <si>
    <t xml:space="preserve">Excludes organisational changes (appointments, vacancies, dismissals, resignations, tributes), statistics, entity specific information, warnings, financial literacy events for consumers, future events/workshops, competitions and awards, website maintenance, videos. Not included when a substantive document is available. Excludes notices of documents issued by other EU bodies  </t>
  </si>
  <si>
    <t>Personal Investment Management &amp; Financial Advice Association (PIMFA)</t>
  </si>
  <si>
    <t>Excludes organisational changes (e.g. board members)</t>
  </si>
  <si>
    <t>Prudential Regulation Authority (PRA)</t>
  </si>
  <si>
    <t>PVM Oil Futures OTF</t>
  </si>
  <si>
    <t>Refinitiv MTF</t>
  </si>
  <si>
    <t>Square OTF</t>
  </si>
  <si>
    <t xml:space="preserve">SmartPool </t>
  </si>
  <si>
    <t>Standards Board for Alternative Investments (SBAI)</t>
  </si>
  <si>
    <t>Sunrise Brokers OTF</t>
  </si>
  <si>
    <t>The Law Commission</t>
  </si>
  <si>
    <t>Includes only documents relating to banking, insurance, securities and investment</t>
  </si>
  <si>
    <t>The Pensions Regulator</t>
  </si>
  <si>
    <t>The Takeover Panel</t>
  </si>
  <si>
    <t>The UK Cards Association</t>
  </si>
  <si>
    <t>TP ICAP UK MTF</t>
  </si>
  <si>
    <t>Tradeweb Europe MTF</t>
  </si>
  <si>
    <t>Tradition-NEX OTF</t>
  </si>
  <si>
    <t>Tradition (UK) OTF</t>
  </si>
  <si>
    <t>Trad-X MTF</t>
  </si>
  <si>
    <t>Tullett Prebon (Europe) OTF</t>
  </si>
  <si>
    <t>Tullett Prebon (Securities)</t>
  </si>
  <si>
    <t>Turquoise</t>
  </si>
  <si>
    <t xml:space="preserve">Excludes instrument changes </t>
  </si>
  <si>
    <t>UK Finance</t>
  </si>
  <si>
    <t>Excludes future events</t>
  </si>
  <si>
    <t>UK Serious Fraud Office (SFO)</t>
  </si>
  <si>
    <t>Upper Tribunal (Tax and Chancery Chamber)</t>
  </si>
  <si>
    <t xml:space="preserve">Includes only documents under the 'Financial Services' heading </t>
  </si>
  <si>
    <t>Middle East</t>
  </si>
  <si>
    <t>Bahrain</t>
  </si>
  <si>
    <t>Central Bank of Bahrain</t>
  </si>
  <si>
    <t xml:space="preserve">Arabic/English </t>
  </si>
  <si>
    <t>Iraq</t>
  </si>
  <si>
    <t>Iraq Securities Commission (ISC)</t>
  </si>
  <si>
    <t>Arabic</t>
  </si>
  <si>
    <t>Iran</t>
  </si>
  <si>
    <t>Securities and Exchange Organization (SEO) (Iran)</t>
  </si>
  <si>
    <t>Exclude documents concerning tax, trading hours, issuing of stocks, listings and delistings, structural business changes, events, competitions and invitations</t>
  </si>
  <si>
    <t>Israel</t>
  </si>
  <si>
    <t>Bank of Israel</t>
  </si>
  <si>
    <t xml:space="preserve">Excludes notices on the monetary committee, monetary policy, staff foreast, foreign exchange reserves, exchange rate, banknotes, coins, acquisitions, interest rate, state of the economy index, statistics (including investments), inflation, awards, </t>
  </si>
  <si>
    <t>Excludes macroeconomic topics e.g. monetary policy, forecasts, and events not related to financial services e.g. manufacturers</t>
  </si>
  <si>
    <t>Capital Markets, Insurance and Savings Authority (Israel)</t>
  </si>
  <si>
    <t xml:space="preserve">Hebrew </t>
  </si>
  <si>
    <t>Includes regulatory updates only</t>
  </si>
  <si>
    <t>Israel Money Laundering and Terror Financing Prohibition Authority</t>
  </si>
  <si>
    <t>Israel Securities Authority</t>
  </si>
  <si>
    <t>Tel Aviv Stock Exchange</t>
  </si>
  <si>
    <t>Jordan</t>
  </si>
  <si>
    <t>Amman Stock Exchange</t>
  </si>
  <si>
    <t xml:space="preserve">Includes Exchange News. Excludes awards, statistics/performance, index </t>
  </si>
  <si>
    <t>Central Bank of Jordan</t>
  </si>
  <si>
    <t xml:space="preserve">Excludes economic and social issues, notices for consumers </t>
  </si>
  <si>
    <t xml:space="preserve">Arabic </t>
  </si>
  <si>
    <t xml:space="preserve">Excludes monthly report and statistics </t>
  </si>
  <si>
    <t>Jordan Securities Commission</t>
  </si>
  <si>
    <t xml:space="preserve">Excludes commemoration days, statistics, recording of securities, social issues </t>
  </si>
  <si>
    <t>Kuwait</t>
  </si>
  <si>
    <t>Central Bank of Kuwait (CBK)</t>
  </si>
  <si>
    <t xml:space="preserve">Excludes banknotes and coins, scholarship/training programs, discount rate, economic report, balance of payments, certification </t>
  </si>
  <si>
    <t>Lebanon</t>
  </si>
  <si>
    <t xml:space="preserve">Banking Control Commission of Lebanon </t>
  </si>
  <si>
    <t>Excludes sovereign bonds, foreign currency/exchange, organisational changes e.g. appointment of chairman/members, acquisitions</t>
  </si>
  <si>
    <t>Excludes the sale of sovereign financial instruments, forms, foreign currency/exchange, organisational changes e.g. appointment of chairman/members</t>
  </si>
  <si>
    <t>Bank of Lebanon</t>
  </si>
  <si>
    <t>Excludes future events/workshops/conferences (e.g. Night of Museums, Accelerate), awards, monetary policy</t>
  </si>
  <si>
    <t>Beirut Stock Exchange</t>
  </si>
  <si>
    <t xml:space="preserve">Excludes de-listings, listings, deletions, capital decrease, ex-dividend date, dividend distribution, cease trading </t>
  </si>
  <si>
    <t>Capital Markets Authority (CMA) (Lebanon)</t>
  </si>
  <si>
    <t>Excludes future events, monetary policy, macroeconomics</t>
  </si>
  <si>
    <t>Oman</t>
  </si>
  <si>
    <t>Capital Market Authority (Oman) (CMA)</t>
  </si>
  <si>
    <t xml:space="preserve">Excludes future workshops/training programs, invitations to general meetings, staff bonuses, </t>
  </si>
  <si>
    <t xml:space="preserve">Excludes entity specific notices (e.g licensing, capitalization) </t>
  </si>
  <si>
    <t>Central Bank of Oman</t>
  </si>
  <si>
    <t>Muscat Securities Market</t>
  </si>
  <si>
    <t>Qatar</t>
  </si>
  <si>
    <t>Qatar Central Bank</t>
  </si>
  <si>
    <t xml:space="preserve">Excludes notices about wages and staff </t>
  </si>
  <si>
    <t xml:space="preserve">Excludes cheques, forms, accounts, surveys, statistics </t>
  </si>
  <si>
    <t>Qatar Exchange</t>
  </si>
  <si>
    <t>Qatar Financial Centre Authority (QFCA)</t>
  </si>
  <si>
    <t>Qatar Financial Centre Regulatory Authority (QFCRA)</t>
  </si>
  <si>
    <t>Qatar Financial Information Unit (QFIU)</t>
  </si>
  <si>
    <t>Excludes appointment, awards, training, tax and monetary policy announcements. Also excludes releases announcing the publication of document covered elsewhere in Content Set.</t>
  </si>
  <si>
    <t>Includes press articles concerning QFIU.</t>
  </si>
  <si>
    <t>Qatar Financial Markets Authority (QFMA)</t>
  </si>
  <si>
    <t>Saudi Arabia</t>
  </si>
  <si>
    <t>Capital Market Authority (Saudi Arabia) (CMA)</t>
  </si>
  <si>
    <t xml:space="preserve">Ministry of Commerce and Investment (Saudi Arabia) </t>
  </si>
  <si>
    <t xml:space="preserve">Excludes sectors not related to financial services </t>
  </si>
  <si>
    <t>Saudi Arabian General Investment Authority (SAGIA)</t>
  </si>
  <si>
    <t xml:space="preserve">Excludes future workshops and seminars, awards, salary and staff issues, reverse repo, organisational changes (e.g. name change), suspicious websites and hacking, banknotes and coins, receiving/visits to non-financial institutions, market reports, budget </t>
  </si>
  <si>
    <t>No longer tracked.</t>
  </si>
  <si>
    <t xml:space="preserve">Excludes inflation report, statistics </t>
  </si>
  <si>
    <t xml:space="preserve">Excludes budget, national currency </t>
  </si>
  <si>
    <t xml:space="preserve">Saudi Stock Exchange (Tadawul)  </t>
  </si>
  <si>
    <t>The Saudi Credit Bureau (SIMAH)</t>
  </si>
  <si>
    <t xml:space="preserve">United Arab Emirates </t>
  </si>
  <si>
    <t>Abu Dhabi Department of Economic Development (ADDED)</t>
  </si>
  <si>
    <t xml:space="preserve">Heavily filtered. Excludes circulars related to customer charter, electronics, the issuance of facility cards </t>
  </si>
  <si>
    <t>Includes only laws relating to financial services and AML. Excludes laws concerning municipal affairs, employment classifications, consumer protection, trade practices and land allocation</t>
  </si>
  <si>
    <t>Excludes non-BFSI documents, appointments and workshops</t>
  </si>
  <si>
    <t>Includes only regulations relating to financial services and AML. Excludes others concerning municipal affairs, employment classifications, consumer protection, trade practices and land allocation</t>
  </si>
  <si>
    <t>Abu Dhabi Global Market (ADGM)</t>
  </si>
  <si>
    <t>Excludes appointments, office information and releases of a non-regulatory nature.</t>
  </si>
  <si>
    <t xml:space="preserve">Regulations </t>
  </si>
  <si>
    <t>Abu Dhabi Securities Exchange</t>
  </si>
  <si>
    <t>Central Bank of the United Arab Emirates</t>
  </si>
  <si>
    <t>Dubai Financial Market</t>
  </si>
  <si>
    <t>Dubai Financial Services Authority (DFSA)</t>
  </si>
  <si>
    <t>Settlements</t>
  </si>
  <si>
    <t>Dubai Gold &amp; Commodities Exchange</t>
  </si>
  <si>
    <t>Dubai Mercantile Exchange (DME)</t>
  </si>
  <si>
    <t>Emirates Securities And Commodities Authority (SCA)</t>
  </si>
  <si>
    <t>No longer published by regulator.</t>
  </si>
  <si>
    <t>No longer tracked. "Decisions" can now be found under Final Rules</t>
  </si>
  <si>
    <t xml:space="preserve">Excludes memorials, awards/honors </t>
  </si>
  <si>
    <t>Insurance Authority of the UAE</t>
  </si>
  <si>
    <t>Excludes future events and training, awareness campaigns, statistics, rates, national day, revocation of licences, economic and social issues</t>
  </si>
  <si>
    <t>Ministry of Finance (United Arab Emirates)</t>
  </si>
  <si>
    <t>Excludes decisions and resolutions on tax matters, partnerships, service fees, human resources, telecommunications, general budgets and formation of councils or cabinets.</t>
  </si>
  <si>
    <t>Excludes laws concerning tax, public debt, real estate, formation of the cabinet, federal budgets and other non-regulatory content.</t>
  </si>
  <si>
    <t>Excludes non regulatory content such as cancellation of fees, tax matters, non-financial MoFs, workshops, meetings and events. Also excludes all news/press releases with an external link navigating outside the Ministry's website.</t>
  </si>
  <si>
    <t xml:space="preserve">Excludes decisions and resolutions on tax matters, partnerships, service fees, human resources, telecommunications, general budgets and formation of councils or cabinets. </t>
  </si>
  <si>
    <t>North America</t>
  </si>
  <si>
    <t>Bermuda</t>
  </si>
  <si>
    <t>Bermuda Monetary Authority</t>
  </si>
  <si>
    <t>Excludes enforcements, meeting information, appointments</t>
  </si>
  <si>
    <t xml:space="preserve">Policy Documents </t>
  </si>
  <si>
    <t>International sanctions</t>
  </si>
  <si>
    <t>Includes only AML/CFT specific content</t>
  </si>
  <si>
    <t>Canada</t>
  </si>
  <si>
    <t>Aequitas NEO Exchange</t>
  </si>
  <si>
    <t>Alberta Insurance Council</t>
  </si>
  <si>
    <t>Alberta Securities Commission</t>
  </si>
  <si>
    <t>Adoptions</t>
  </si>
  <si>
    <t>Excludes cease trade orders and notices of hearing</t>
  </si>
  <si>
    <t>Excludes only duplicative content</t>
  </si>
  <si>
    <t>Alpha Group</t>
  </si>
  <si>
    <t>Autorité des Marchés Financiers (Québec) (AMF)</t>
  </si>
  <si>
    <t xml:space="preserve">Bank of Canada </t>
  </si>
  <si>
    <t xml:space="preserve">BC Financial Services Authority (BCFSA) </t>
  </si>
  <si>
    <t>British Columbia Securities Commission</t>
  </si>
  <si>
    <t>Excludes cease trade orders, notices of hearing, settlements, temporary orders, variation orders and rulings. Includes "Findings" and "Decisions"</t>
  </si>
  <si>
    <t>CBID / CBID Institutional</t>
  </si>
  <si>
    <t>No longer tracked; last release in 2012</t>
  </si>
  <si>
    <t>CanDeal</t>
  </si>
  <si>
    <t>Canada Deposit Insurance Corporation (CDIC)</t>
  </si>
  <si>
    <t>Canadian Bankers Association</t>
  </si>
  <si>
    <t>Excludes warnings to retail banking consumers, appointments</t>
  </si>
  <si>
    <t>Canadian Council of Insurance Regulators</t>
  </si>
  <si>
    <t>Canadian Depository for Securities</t>
  </si>
  <si>
    <t>Canadian Derivatives Clearing Corporation</t>
  </si>
  <si>
    <t>Canadian Life and Health Insurance Association (CLHIA)</t>
  </si>
  <si>
    <t>Canadian Radio-television and Telecommunications Commission</t>
  </si>
  <si>
    <t>Includes only 'Compliance and Enforcement' decisions only (Excludes 'Broadcasting' and 'Telecommunications' decisions)</t>
  </si>
  <si>
    <t>Includes only releases on telemarketing that would impact financial institutions</t>
  </si>
  <si>
    <t>Canadian Securities Administrators</t>
  </si>
  <si>
    <t>Canadian Securities Exchange (CSE)</t>
  </si>
  <si>
    <t>Canadian Securities Transition Office</t>
  </si>
  <si>
    <t xml:space="preserve">Chambre de la sécurité financière </t>
  </si>
  <si>
    <t>Cooperative Capital Markets Regulatory System</t>
  </si>
  <si>
    <t>Department of Finance (Canada)</t>
  </si>
  <si>
    <t>Deposit Insurance Corporation of Ontario (DICO)</t>
  </si>
  <si>
    <t>Financial Consumer Agency of Canada (FCAC)</t>
  </si>
  <si>
    <t>Financial Services Commission of Ontario</t>
  </si>
  <si>
    <t>Financial Services Regulatory Authority of Ontario (FSRA)</t>
  </si>
  <si>
    <t>Excludes appointments, news releases on proposed/final rules, enforcement actions and consultations.</t>
  </si>
  <si>
    <t>Includes only Notices and Requests for Comments; excludes appointments</t>
  </si>
  <si>
    <t>Includes only reports and miscellaneous publications related to BFSI regulation</t>
  </si>
  <si>
    <t>Financial Transactions and Reports Analysis Centre (FINTRAC)</t>
  </si>
  <si>
    <t>Includes AML/CFT content; excludes data protection</t>
  </si>
  <si>
    <t>Global Affairs Canada</t>
  </si>
  <si>
    <t>ICE Futures Canada</t>
  </si>
  <si>
    <t>ICE NGX</t>
  </si>
  <si>
    <t>Innovation, Science and Economic Development Canada (ISED)</t>
  </si>
  <si>
    <t>Includes financial services related content only.</t>
  </si>
  <si>
    <t>Instinet Canada Cross (ICX)</t>
  </si>
  <si>
    <t>Insurance Council of British Columbia</t>
  </si>
  <si>
    <t>Insurance Council of Manitoba</t>
  </si>
  <si>
    <t>Investment Funds Institute of Canada (IFIC)</t>
  </si>
  <si>
    <t>Investment Industry Association of Canada (IIAC)</t>
  </si>
  <si>
    <t>Investment Industry Regulatory Organization of Canada (IIROC)</t>
  </si>
  <si>
    <t>Approvals</t>
  </si>
  <si>
    <t>Excludes duplicative content (enforcement notices that are jointly released as news releases)</t>
  </si>
  <si>
    <t>Withdrawals of Proposed Rules</t>
  </si>
  <si>
    <t>Liquidnet Canada</t>
  </si>
  <si>
    <t>MATCH Now</t>
  </si>
  <si>
    <t>Manitoba Securities Commission</t>
  </si>
  <si>
    <t>Ministry of Finance (British Columbia)</t>
  </si>
  <si>
    <t>Includes Service Plans; excludes Public Accounts/budget  reports</t>
  </si>
  <si>
    <t>Montreal Exchange</t>
  </si>
  <si>
    <t>Mutual Fund Dealers Association of Canada (MFDA)</t>
  </si>
  <si>
    <t>Nasdaq CXC</t>
  </si>
  <si>
    <t>New Brunswick Financial and Consumer Services Commission</t>
  </si>
  <si>
    <t xml:space="preserve">Newfoundland and Labrador Public Utilities Board, Insurance Division </t>
  </si>
  <si>
    <t>Nova Scotia Securities Commission</t>
  </si>
  <si>
    <t>Nova Scotia Superintendent of Insurance</t>
  </si>
  <si>
    <t>Excludes releases on budget, public pensions and appointments</t>
  </si>
  <si>
    <t>Office of the Privacy Commissioner of Canada</t>
  </si>
  <si>
    <t>Includes only findings involving banks, insurance companies, securities and investments firms</t>
  </si>
  <si>
    <t>Office of the Superintendent of Financial Institutions (OSFI)</t>
  </si>
  <si>
    <t>No longer published by OSFI</t>
  </si>
  <si>
    <t>Ombudsman for Banking Services and Investments (OBSI)</t>
  </si>
  <si>
    <t>Omega ATS</t>
  </si>
  <si>
    <t>Ontario Securities Commission (OSC)</t>
  </si>
  <si>
    <t>Ministerial Approvals</t>
  </si>
  <si>
    <t>Excludes appointments</t>
  </si>
  <si>
    <t>Parliament of Canada</t>
  </si>
  <si>
    <t>Includes only updates to the Bank Act</t>
  </si>
  <si>
    <t>Payments Canada</t>
  </si>
  <si>
    <t>Excludes "Speaker Spotlights"</t>
  </si>
  <si>
    <t xml:space="preserve">Pure Trading </t>
  </si>
  <si>
    <t>Now covered under Canadian Securities Exchange</t>
  </si>
  <si>
    <t>Saskatchewan Financial and Consumer Affairs Authority</t>
  </si>
  <si>
    <t>SIGMA X Canada</t>
  </si>
  <si>
    <t>Superintendent of Securities, Newfoundland and Labrador</t>
  </si>
  <si>
    <t>Superintendent of Securities, Northwest Territories</t>
  </si>
  <si>
    <t>Superintendent of Securities, Nunavut</t>
  </si>
  <si>
    <t>Superintendent of Securities, Prince Edward Island</t>
  </si>
  <si>
    <t>Superintendent of Securities, Yukon</t>
  </si>
  <si>
    <t>TMX Group</t>
  </si>
  <si>
    <t>Excludes financial results, trading statistics and member notices</t>
  </si>
  <si>
    <t>TMX Select</t>
  </si>
  <si>
    <t>TSX Alpha Exchange</t>
  </si>
  <si>
    <t>TSX Venture Exchange</t>
  </si>
  <si>
    <t>Toronto Stock Exchange (TSX)</t>
  </si>
  <si>
    <t>United States of America</t>
  </si>
  <si>
    <t>360T SEF</t>
  </si>
  <si>
    <t>American Bankers Association (ABA)</t>
  </si>
  <si>
    <t>No longer tracked; content moved behing paywall.</t>
  </si>
  <si>
    <t xml:space="preserve">American Stock Exchange (AMEX) </t>
  </si>
  <si>
    <t>Superseded</t>
  </si>
  <si>
    <t>Extension</t>
  </si>
  <si>
    <t>Arizona Corporation Commission Securities Division</t>
  </si>
  <si>
    <t>Emergency Regulations</t>
  </si>
  <si>
    <t>Arizona Legislature</t>
  </si>
  <si>
    <t>Bankers Association for Finance and Trade (BAFT)</t>
  </si>
  <si>
    <t xml:space="preserve">Guidance </t>
  </si>
  <si>
    <t>Bank Policy Institute (BPI)</t>
  </si>
  <si>
    <t>Excludes appointments, PRs announcing the publication of comment letters/reports</t>
  </si>
  <si>
    <t>BGC Derivatives Market</t>
  </si>
  <si>
    <t>Bloomberg SEF</t>
  </si>
  <si>
    <t>Board of Trade of the City of Chicago, Inc. (CBOT)</t>
  </si>
  <si>
    <t>BOX Options Exchange</t>
  </si>
  <si>
    <t>Boston Stock Exchange (BSE)</t>
  </si>
  <si>
    <t>Boston Stock Exchange Clearing Corporation (BSECC)</t>
  </si>
  <si>
    <t>CAT NMS</t>
  </si>
  <si>
    <t>Excludes upcoming meetings, recordings of said meetings</t>
  </si>
  <si>
    <t>Cboe C2 Options Exchange</t>
  </si>
  <si>
    <t>Cboe BYX Exchange</t>
  </si>
  <si>
    <t>Cboe BZX Exchange</t>
  </si>
  <si>
    <t>Cboe EDGA Exchange</t>
  </si>
  <si>
    <t>Cboe EDGX Exchange</t>
  </si>
  <si>
    <t>Cboe Futures Exchange (CFE)</t>
  </si>
  <si>
    <t>Cboe Options Exchange</t>
  </si>
  <si>
    <t>Excludes appointments and trading volumes</t>
  </si>
  <si>
    <t>Excludes some information circulars regarding appointments or operational memos</t>
  </si>
  <si>
    <t>Cboe SEF</t>
  </si>
  <si>
    <t>CME Group</t>
  </si>
  <si>
    <t>CME SEF</t>
  </si>
  <si>
    <t>COMEX</t>
  </si>
  <si>
    <t>California Department of Corporations Financial Division</t>
  </si>
  <si>
    <t>California Legislature</t>
  </si>
  <si>
    <t>Chicago Mercantile Exchange (CME)</t>
  </si>
  <si>
    <t>Commodity Futures Trading Commission (CFTC)</t>
  </si>
  <si>
    <t>Temporary Regulations</t>
  </si>
  <si>
    <t>Excludes only Sunshine Meeting Act notices published in the Federal Register</t>
  </si>
  <si>
    <t>Consumer Financial Protection Bureau (CFPB)</t>
  </si>
  <si>
    <t>Excludes some releases on low-level debt collection enforcements. Lightly filtered.</t>
  </si>
  <si>
    <t>Excludes broad statements and speeches lacking specific regulatory content. Lightly filtered.</t>
  </si>
  <si>
    <t>DW SEF</t>
  </si>
  <si>
    <t>Delaware Office of the State Bank Commissioner</t>
  </si>
  <si>
    <t>Department of Financial Services (New York)</t>
  </si>
  <si>
    <t>US Department of Justice</t>
  </si>
  <si>
    <t>Due to the broad enforcement brief of the DoJ, these releases are heavily filtered. Only enforcements related to banking, financial services or insurance will be captured.</t>
  </si>
  <si>
    <t>Department of Labor</t>
  </si>
  <si>
    <t>Department of Labor (DOL) content (applicable to employers generally) is heavily filtered except DOL issuances pursuant to the Employee Retirement Income Security Act (ERISA) - act regulating financial institutions acting as retirement plan fiduciaries or trustees, or EBSA which is responsible for administering and enforcing the fiduciary, reporting and disclosure provisions of Title I of ERISA.</t>
  </si>
  <si>
    <t>Department of the Treasury (US)</t>
  </si>
  <si>
    <t>Includes updates to Government and Securities Act Regulations and Department of Treasury Regulations</t>
  </si>
  <si>
    <t xml:space="preserve">Includes only final updates to TIC forms B, C, D, S and SLT </t>
  </si>
  <si>
    <t xml:space="preserve">Includes only final updates to instructions for TIC forms B, C, D, S and SLT </t>
  </si>
  <si>
    <t>Includes only documents with regulatory significance</t>
  </si>
  <si>
    <t>Depository Trust Company (DTC)</t>
  </si>
  <si>
    <t>Initial Filing</t>
  </si>
  <si>
    <t>Excludes appointments, awards. DTCC Connection (analysis pieces) also heavily filtered.</t>
  </si>
  <si>
    <t>Depository Trust &amp; Clearing Corporation (DTCC)</t>
  </si>
  <si>
    <t>EBS Direct</t>
  </si>
  <si>
    <t>ELX Futures</t>
  </si>
  <si>
    <t>Eris Exchange</t>
  </si>
  <si>
    <t>ErisX</t>
  </si>
  <si>
    <t>Excludes maintenance, holidays, trading hours (most market notices); includes all Exchange advisories</t>
  </si>
  <si>
    <t>Federal Deposit Insurance Corporation (FDIC)</t>
  </si>
  <si>
    <t>Excludes documents on mergers between/enforcements against local banks. Includes releases listing banks examined for CRA compliance</t>
  </si>
  <si>
    <t>Federal Energy Regulatory Commission (FERC)</t>
  </si>
  <si>
    <t>Excludes appointments and meeting notices</t>
  </si>
  <si>
    <t>Federal Financial Institutions Examination Council (FFIEC)</t>
  </si>
  <si>
    <t>Federal Housing Finance Agency (FHFA)</t>
  </si>
  <si>
    <t xml:space="preserve">Federal Reserve </t>
  </si>
  <si>
    <t>Includes only Recently Approved and Implemented Reporting Forms</t>
  </si>
  <si>
    <t>Includes only Instructions to Recently Approved and Implemented Reporting Forms</t>
  </si>
  <si>
    <t>Excludes documents on monetary policy, orders on banking applications. Includes significant enforcement releases.</t>
  </si>
  <si>
    <t>Excludes documents on monetary policy, and those with little regulatory significance</t>
  </si>
  <si>
    <t>Federal Reserve Bank of Atlanta</t>
  </si>
  <si>
    <t>Federal Reserve Bank of Boston</t>
  </si>
  <si>
    <t>Federal Reserve Bank of Chicago</t>
  </si>
  <si>
    <t>Federal Reserve Bank of Cleveland</t>
  </si>
  <si>
    <t>Federal Reserve Bank of Dallas</t>
  </si>
  <si>
    <t>Federal Reserve Bank of Kansas City</t>
  </si>
  <si>
    <t>Federal Reserve Bank of Minneapolis</t>
  </si>
  <si>
    <t>Federal Reserve Bank of New York</t>
  </si>
  <si>
    <t>Only includes updates on the Shared National Credit Program</t>
  </si>
  <si>
    <t>Federal Reserve Bank of Philadelphia</t>
  </si>
  <si>
    <t>Federal Reserve Bank of Richmond</t>
  </si>
  <si>
    <t>Federal Reserve Bank of San Francisco</t>
  </si>
  <si>
    <t>Federal Reserve Bank of St. Louis</t>
  </si>
  <si>
    <t>Federal Trade Commission (FTC)</t>
  </si>
  <si>
    <t>Includes only privacy and identity theft rules</t>
  </si>
  <si>
    <t>Includes only documents with relevance to financial institutions. Heavily filtered due to broad brief of FTC.</t>
  </si>
  <si>
    <t>Financial Crimes Enforcement Network (FinCEN)</t>
  </si>
  <si>
    <t>Financial Industry Regulatory Authority (FINRA)</t>
  </si>
  <si>
    <t>Fixed Income Clearing Corporation (FICC)</t>
  </si>
  <si>
    <t>Florida Legislature</t>
  </si>
  <si>
    <t>Florida Office of Financial Regulation Division of Securities and Finance</t>
  </si>
  <si>
    <t>FTSEF LLC</t>
  </si>
  <si>
    <t>GFI Swaps Exchange</t>
  </si>
  <si>
    <t>GTX SEF</t>
  </si>
  <si>
    <t>Housing and Urban Development (HUD)</t>
  </si>
  <si>
    <t>Not particularly productive for relevant content since Dodd Frank</t>
  </si>
  <si>
    <t>ICAP Global Derivatives Limited (IGDL)</t>
  </si>
  <si>
    <t>ICE Clear Credit</t>
  </si>
  <si>
    <t xml:space="preserve">Initial Filing   </t>
  </si>
  <si>
    <t>ICE Clear US</t>
  </si>
  <si>
    <t>ICE OTC Energy</t>
  </si>
  <si>
    <t>ICE Swap Trade</t>
  </si>
  <si>
    <t>ICE US</t>
  </si>
  <si>
    <t>Illinois Division of Banking</t>
  </si>
  <si>
    <t>Excludes Money management FAQs; Pawnbroker lookup and Electronic Licence Instructions</t>
  </si>
  <si>
    <t>Internal Revenue Service (USA)</t>
  </si>
  <si>
    <t>Includes specfically FATCA-related content. Also includes any other releases with special relevance for banks, insurance companies, securities and investments firms</t>
  </si>
  <si>
    <t>Investment Adviser Association (IAA)</t>
  </si>
  <si>
    <t>Investors Exchange (IEX)</t>
  </si>
  <si>
    <t>Investment Company Institute (ICI)</t>
  </si>
  <si>
    <t>Excludes appointments, releases announcing the publication of a substantive document covered elsewhere, and releases without regulatory significance</t>
  </si>
  <si>
    <t>Joint Audit Committee (JAC)</t>
  </si>
  <si>
    <t>Kansas City Board of Trade</t>
  </si>
  <si>
    <t>LatAm SEF</t>
  </si>
  <si>
    <t>Liquidnet</t>
  </si>
  <si>
    <t>Excludes appointments, video interviews, releases without regulatory significance</t>
  </si>
  <si>
    <t>Long-Term Stock Exchange (LTSE)</t>
  </si>
  <si>
    <t>MIAX Emerald Exchange</t>
  </si>
  <si>
    <t>MIAX Options Exchange</t>
  </si>
  <si>
    <t>MIAX PEARL Exchange</t>
  </si>
  <si>
    <t>MarketAxess</t>
  </si>
  <si>
    <t>Excludes monthly volume statistics, appointments and financial reports</t>
  </si>
  <si>
    <t>MarketAxess SEF</t>
  </si>
  <si>
    <t>Massachusetts Securities Division</t>
  </si>
  <si>
    <t>Minneapolis Grain Exchange (MGEX)</t>
  </si>
  <si>
    <t xml:space="preserve">Rule Amendment Notices </t>
  </si>
  <si>
    <t>MTS BondsPro</t>
  </si>
  <si>
    <t>Municipal Securities Rulemaking Board (MSRB)</t>
  </si>
  <si>
    <t>NASD</t>
  </si>
  <si>
    <t xml:space="preserve">Nasdaq GEMX </t>
  </si>
  <si>
    <t xml:space="preserve">Nasdaq ISE </t>
  </si>
  <si>
    <t xml:space="preserve">Nasdaq MRX </t>
  </si>
  <si>
    <t>NYSE American</t>
  </si>
  <si>
    <t>NYSE Arca, Inc. (NYSE Arca)</t>
  </si>
  <si>
    <t>NYSE Chicago</t>
  </si>
  <si>
    <t xml:space="preserve">NYSE National </t>
  </si>
  <si>
    <t>National Automated Clearing House Association (NACHA)</t>
  </si>
  <si>
    <t>National Credit Union Administration (NCUA)</t>
  </si>
  <si>
    <t>National Futures Association (NFA)</t>
  </si>
  <si>
    <t>National Securities Clearing Corporation (NSCC)</t>
  </si>
  <si>
    <t>New York Mercantile Exchange (NYMEX)</t>
  </si>
  <si>
    <t>New York Office of the Attorney General</t>
  </si>
  <si>
    <t>Includes only releases related to financial services</t>
  </si>
  <si>
    <t>New York Stock Exchange (NYSE)</t>
  </si>
  <si>
    <t>Nodal Exchange</t>
  </si>
  <si>
    <t>Office of Foreign Assets Control (OFAC)</t>
  </si>
  <si>
    <t>Office of Thrift Supervision (OTS)</t>
  </si>
  <si>
    <t>Office of the Comptroller of the Currency (OCC)</t>
  </si>
  <si>
    <t>Excludes documents on local risk/compliance workshops</t>
  </si>
  <si>
    <t>OneChicago LLC (OC)</t>
  </si>
  <si>
    <t>Options Clearing Corporation (OCC)</t>
  </si>
  <si>
    <t>Refinitiv US SEF</t>
  </si>
  <si>
    <t>Risk Management Association (RMA)</t>
  </si>
  <si>
    <t>Securities and Exchange Commission (SEC)</t>
  </si>
  <si>
    <t>Excludes only appointments or duplicative content e.g. a release concerning an enforcement whch has been seperately captured as a Administrative Proceeding</t>
  </si>
  <si>
    <t>Securities Industry and Financial Markets Association (SIFMA)</t>
  </si>
  <si>
    <t>Securities Investor Protection Corporation (SIPC)</t>
  </si>
  <si>
    <t>Stock Clearing Corporation of Philadelphia (SCCP)</t>
  </si>
  <si>
    <t>SwapEx</t>
  </si>
  <si>
    <t>TeraExchange SEF</t>
  </si>
  <si>
    <t>Texas Legislature</t>
  </si>
  <si>
    <t>Texas State Securities Board</t>
  </si>
  <si>
    <t>The Clearing House (TCH)</t>
  </si>
  <si>
    <t xml:space="preserve">Reports </t>
  </si>
  <si>
    <t>tpSEF</t>
  </si>
  <si>
    <t>Tradeweb SEF</t>
  </si>
  <si>
    <t>Tradition SEF</t>
  </si>
  <si>
    <t>Treasury Market Practices Group (TMPG)</t>
  </si>
  <si>
    <t>trueEX SEF</t>
  </si>
  <si>
    <t>Asia</t>
  </si>
  <si>
    <t>Bangladesh</t>
  </si>
  <si>
    <t>Bangladesh Bank</t>
  </si>
  <si>
    <t>Includes only regulatory circulars in English language</t>
  </si>
  <si>
    <t>Includes only regulatory news in English language; excludes results of auctions, statements of affairs</t>
  </si>
  <si>
    <t xml:space="preserve">Other Notifications </t>
  </si>
  <si>
    <t>Includes only regulatory speeches in English language</t>
  </si>
  <si>
    <t>Bangladesh Financial Intelligence Unit (BFIU)</t>
  </si>
  <si>
    <t xml:space="preserve">Final Rules </t>
  </si>
  <si>
    <t>Bangladesh Securities and Exchange Commission (BSEC)</t>
  </si>
  <si>
    <t>Bengali</t>
  </si>
  <si>
    <t xml:space="preserve">Enacted Legislation </t>
  </si>
  <si>
    <t xml:space="preserve">Other Enforcement Documents </t>
  </si>
  <si>
    <t>Bengali/English</t>
  </si>
  <si>
    <t xml:space="preserve">Brunei </t>
  </si>
  <si>
    <t>Excludes workshops, roadshows, employment opportunities, issuance of new products, ceremonies</t>
  </si>
  <si>
    <t>Excludes opening remarks/addresses</t>
  </si>
  <si>
    <t xml:space="preserve">Cambodia </t>
  </si>
  <si>
    <t>Cambodian Financial Intelligence Unit (CAFIU)</t>
  </si>
  <si>
    <t>Khmer/English</t>
  </si>
  <si>
    <t>National Bank of Cambodia</t>
  </si>
  <si>
    <t>Includes amendments to regulations</t>
  </si>
  <si>
    <t>Excludes regulations against non-financial entities and enforcements against individuals and individual companies</t>
  </si>
  <si>
    <t>Includes regulations</t>
  </si>
  <si>
    <t>Securities and Exchange Commission of Cambodia (SECC)</t>
  </si>
  <si>
    <t>Consultation papers</t>
  </si>
  <si>
    <t>Includes restrictions</t>
  </si>
  <si>
    <t>China</t>
  </si>
  <si>
    <t>Asset Management Association of China (AMAC)</t>
  </si>
  <si>
    <t>Chinese</t>
  </si>
  <si>
    <t>Excludes forums, seminars, conferences and competitions; Q&amp;As; appointments</t>
  </si>
  <si>
    <t xml:space="preserve">News and Press Releases </t>
  </si>
  <si>
    <t>Includes news on cooperation with other regulators in regulatory matters; training notices and duplicative content</t>
  </si>
  <si>
    <t>China Anti-Money Laundering Monitoring and Analysis Center (CAMLMAC)</t>
  </si>
  <si>
    <t>China Banking and Insurance Regulatory Commission (CBIRC)</t>
  </si>
  <si>
    <t>Excludes duplicative releases and those of a non regulatory nature</t>
  </si>
  <si>
    <t>China Banking Association (CBA)</t>
  </si>
  <si>
    <t>Excludes activities, appointment, recruitment, seminars</t>
  </si>
  <si>
    <t>Includes banking risk related speeches</t>
  </si>
  <si>
    <t xml:space="preserve">China Banking Regulatory Commission </t>
  </si>
  <si>
    <t>No longer tracked. Superseded by China Banking and Insurance Regulatory Commission (CBIRC).</t>
  </si>
  <si>
    <t>China Beijing Equity Exchange</t>
  </si>
  <si>
    <t>Includes regulatory news; news on cooperation with other regulators in regulatory matters</t>
  </si>
  <si>
    <t>Includes speeches that touch on specific future regulatory or economic policies</t>
  </si>
  <si>
    <t>China Central Depository &amp; Clearing Corporation (CCDC)</t>
  </si>
  <si>
    <t>Excludes releases on bond issuances, listing</t>
  </si>
  <si>
    <t>China Financial Futures Exchange</t>
  </si>
  <si>
    <t>Includes revisions to margins, limits, fees etc; regulatory amendments; website changes; holiday notices</t>
  </si>
  <si>
    <t>China Foreign Exchange Trade System (CFETS)</t>
  </si>
  <si>
    <t>Excludes results, approvals, public notices</t>
  </si>
  <si>
    <t>Excludes statistics, activities</t>
  </si>
  <si>
    <t>China Futures Association (CFA)</t>
  </si>
  <si>
    <t>Excludes recruitments, name lists</t>
  </si>
  <si>
    <t>China Futures Margin Monitoring Center (CFMMC)</t>
  </si>
  <si>
    <t>Includes only documents issued by CFMMC</t>
  </si>
  <si>
    <t>China Insurance Regulatory Commission</t>
  </si>
  <si>
    <t>China Securities Depository and Clearing Corporation Limited (CSDC)</t>
  </si>
  <si>
    <t>Includes only financial regulatory related updates</t>
  </si>
  <si>
    <t>China Securities Investor Protection Fund Corporation Limited (SIPF)</t>
  </si>
  <si>
    <t>China Securities Regulatory Commission</t>
  </si>
  <si>
    <t>Dalian Commodity Exchange</t>
  </si>
  <si>
    <t>Excludes periodic reports, trading activities</t>
  </si>
  <si>
    <t>Excludes financial updates, market conditions, statistics, regulatory measures on individual entities</t>
  </si>
  <si>
    <t>Ministry of Finance (China)</t>
  </si>
  <si>
    <t>Includes only documents related to banking/insurance/securities sectors</t>
  </si>
  <si>
    <t>Ministry of Public Security of the People’s Republic of China</t>
  </si>
  <si>
    <t>National Association of Financial Market Institutional Investors (NAFMII)</t>
  </si>
  <si>
    <t>Includes regulatory notices, meeting decisions which affect rules/regulations</t>
  </si>
  <si>
    <t>National Development and Reform Commission (China)</t>
  </si>
  <si>
    <t>National Equities Exchange and Quotations (NEEQ)</t>
  </si>
  <si>
    <t>Excludes training notices and news releases announcing more substantive docs covered elsewhere</t>
  </si>
  <si>
    <t>People's Bank of China</t>
  </si>
  <si>
    <t>Includes regulatory announcements; news on cooperation with other regulators in regulatory matters</t>
  </si>
  <si>
    <t>Securities Association of China</t>
  </si>
  <si>
    <t>Excludes activities held, appointments, ranking lists</t>
  </si>
  <si>
    <t>Excludes tender invitations</t>
  </si>
  <si>
    <t>Shanghai Banking Association</t>
  </si>
  <si>
    <t>Includes only regulatory releases. Heavily filtered.</t>
  </si>
  <si>
    <t>Excludes vistations and awards. Heavily filtered to only include regulatory releases.</t>
  </si>
  <si>
    <t>Shanghai Clearing House</t>
  </si>
  <si>
    <t>Includes regulatory notices; holiday notices; cooperation with other regulators in regulatory matters</t>
  </si>
  <si>
    <t>Shanghai Futures Exchange</t>
  </si>
  <si>
    <t>Excludes penalties, investigations and punishments</t>
  </si>
  <si>
    <t>Shanghai Gold Exchange</t>
  </si>
  <si>
    <t>Shanghai Payment &amp; Clearing Association (SPCA)</t>
  </si>
  <si>
    <t xml:space="preserve">Includes only training and regulatory information </t>
  </si>
  <si>
    <t>Includes only material changes to the association and cooperation with other regulators</t>
  </si>
  <si>
    <t>Excludes documents issued by other regulators</t>
  </si>
  <si>
    <t>Shanghai Stock Exchange</t>
  </si>
  <si>
    <t>Shenzhen Stock Exchange</t>
  </si>
  <si>
    <t>Excludes individual company announcement</t>
  </si>
  <si>
    <t>State Administration of Foreign Exchange (SAFE)</t>
  </si>
  <si>
    <t>Includes certificates, notices</t>
  </si>
  <si>
    <t>Includes financial regulatory related measures</t>
  </si>
  <si>
    <t>State Administration of Taxation (China)</t>
  </si>
  <si>
    <t>State-owned Assets Supervision and Administration Commission of the State Council (China)</t>
  </si>
  <si>
    <t>Excludes documents issued by other regulators; Includes only state-owned related documents</t>
  </si>
  <si>
    <t>Includes only training and regulatory info</t>
  </si>
  <si>
    <t>Zhengzhou Commodity Exchange</t>
  </si>
  <si>
    <t>Excludes workshop registrations</t>
  </si>
  <si>
    <t>Georgia</t>
  </si>
  <si>
    <t>National Bank of Georgia (NBG)</t>
  </si>
  <si>
    <t>Georgian</t>
  </si>
  <si>
    <t>Excludes statistics, entity specific information (issuance of licences, revocations etc), banknotes and coins, macroeconomic topics, financial education events for consumers, future events/workshops, organisaitonal changes (new members etc) website maintenance</t>
  </si>
  <si>
    <t xml:space="preserve">Hong Kong </t>
  </si>
  <si>
    <t>Asia Securities Industry &amp; Financial Markets Association (ASIFMA)</t>
  </si>
  <si>
    <t>Excludes financial publications, appointments of personnel, and updates from other news sources</t>
  </si>
  <si>
    <t>Companies Registry (Hong Kong)</t>
  </si>
  <si>
    <t>Only includes AML related news.</t>
  </si>
  <si>
    <t>Financial Services and the Treasury Bureau</t>
  </si>
  <si>
    <t>Excludes financial updates, market conditions, statistics, appointments of authorities</t>
  </si>
  <si>
    <t>Excludes financial updates, market conditions, statistics</t>
  </si>
  <si>
    <t>Hong Kong Association of Banks (HKAB)</t>
  </si>
  <si>
    <t>Excludes financial and trading updates, launching of services and programmes</t>
  </si>
  <si>
    <t>Hong Kong Confederation of Insurance Brokers</t>
  </si>
  <si>
    <t>Hong Kong Customs and Excise Department</t>
  </si>
  <si>
    <t>Hong Kong Deposit Protection Board</t>
  </si>
  <si>
    <t>Includes regulatory news</t>
  </si>
  <si>
    <t>Hong Kong Exchanges and Clearing Limited (HKEX)</t>
  </si>
  <si>
    <t>Excludes statistics, closing prices</t>
  </si>
  <si>
    <t>Excludes statistics, appointment of authorities, new products launched, financial results</t>
  </si>
  <si>
    <t>Excludes trading, financial and market speeches</t>
  </si>
  <si>
    <t>Hong Kong Federation of Insurers (HKFI)</t>
  </si>
  <si>
    <t>Hong Kong's Financial Dispute Resolution Centre (FDRC)</t>
  </si>
  <si>
    <t>Excludes non regulatory related news</t>
  </si>
  <si>
    <t>Hong Kong Investment Funds Association (HKIFA)</t>
  </si>
  <si>
    <t>Includes only regulatory updates; excludes releases regarding new funds</t>
  </si>
  <si>
    <t>Excludes fund management activities surveys</t>
  </si>
  <si>
    <t>Hong Kong Monetary Authority (HKMA)</t>
  </si>
  <si>
    <t>Includes only financial updates</t>
  </si>
  <si>
    <t>Excludes Exchange Fund Bills Tender Results and Composite Interest Rate</t>
  </si>
  <si>
    <t>Includes only speeches that address regulatory updates, standards, guidances, and measures</t>
  </si>
  <si>
    <t>Hong Kong Securities and Investment Institute</t>
  </si>
  <si>
    <t>Independent Commission Against Corruption (ICAC) (Hong Kong)</t>
  </si>
  <si>
    <t>Excludes election crimes, non-financial related crimes</t>
  </si>
  <si>
    <t>Insurance Authority (IA) (Hong Kong)</t>
  </si>
  <si>
    <t>Includes only regulatory speeches</t>
  </si>
  <si>
    <t>Joint Financial Intelligence Unit (JFIU) (Hong Kong)</t>
  </si>
  <si>
    <t>Excludes seminar schedules</t>
  </si>
  <si>
    <t>Mandatory Provident Fund Schemes Authority (MPFA)</t>
  </si>
  <si>
    <t>Includes only regulatory related updates</t>
  </si>
  <si>
    <t>Office of the Commissioner of Insurance (Hong Kong) (OCI)</t>
  </si>
  <si>
    <t>No longer tracked. Superseded by Insurance Authority (IA) (Hong Kong).</t>
  </si>
  <si>
    <t>Office of the Privacy Commissioner (Hong Kong)</t>
  </si>
  <si>
    <t>Excludes non-financial related updates</t>
  </si>
  <si>
    <t>Private Wealth Management Association (PWMA)</t>
  </si>
  <si>
    <t>Excludes application forms</t>
  </si>
  <si>
    <t>Professional Insurance Brokers Association (Hong Kong) (PIBA)</t>
  </si>
  <si>
    <t>Securities and Futures Commission (SFC)</t>
  </si>
  <si>
    <t>Excludes trading information</t>
  </si>
  <si>
    <t>Includes speeches regarding regulator's perspective, code of conduct, measures etc but excludes regulator's view on market updates</t>
  </si>
  <si>
    <t>Treasury Markets Association (TMA) (Hong Kong)</t>
  </si>
  <si>
    <t>Exclude seminars, events and survey results</t>
  </si>
  <si>
    <t>India</t>
  </si>
  <si>
    <t xml:space="preserve">Association of Mutual Funds in India </t>
  </si>
  <si>
    <t>Banking Codes and Standards Board of India (BCSBI)</t>
  </si>
  <si>
    <t>Bombay Stock Exchange</t>
  </si>
  <si>
    <t>Central Depository Services (India) Limited</t>
  </si>
  <si>
    <t>Clearing Corporation of India (CCIL)</t>
  </si>
  <si>
    <t>Deposit Insurance and Credit Guarantee Corporation</t>
  </si>
  <si>
    <t>Financial Benchmarks India Pvt. Ltd. (FBIL)</t>
  </si>
  <si>
    <t>Financial Intelligence Unit (India)</t>
  </si>
  <si>
    <t>Fixed Income and Money Market And Derivatives Association of India (FIMMDA)</t>
  </si>
  <si>
    <t xml:space="preserve">Foreign Exchange Dealers’ Association of India </t>
  </si>
  <si>
    <t>Indian Banks' Association (IBA)</t>
  </si>
  <si>
    <t>Insurance Regulatory and Development Authority of India (IRDAI)</t>
  </si>
  <si>
    <t>Excludes meetings, training schedules, personnel appointments</t>
  </si>
  <si>
    <t>Excludes insurance broker notices, public notices</t>
  </si>
  <si>
    <t>Includes amendments, issuance of new guidelines, exposure drafts, regulations  
Excluded are: premium rates, training schedules, status of insurance brokers, financial reports</t>
  </si>
  <si>
    <t>Excludes financial and economic reports</t>
  </si>
  <si>
    <t>Metropolitan Stock Exchange of India (MSEI)</t>
  </si>
  <si>
    <t>Includes only regulatory updates</t>
  </si>
  <si>
    <t>Ministry of Corporate Affairs (India)</t>
  </si>
  <si>
    <t>Ministry of Finance (India)</t>
  </si>
  <si>
    <t>Includes only regulatory and requirements related updates</t>
  </si>
  <si>
    <t>Multi Commodity Exchange of India (MCX)</t>
  </si>
  <si>
    <t>National Payments Corporation of India</t>
  </si>
  <si>
    <t xml:space="preserve">Includes only requirement related circulars </t>
  </si>
  <si>
    <t>Includes only requirement related updates</t>
  </si>
  <si>
    <t>National Securities Depository Limited</t>
  </si>
  <si>
    <t>Excludes tender offers</t>
  </si>
  <si>
    <t>National Stock Exchange of India</t>
  </si>
  <si>
    <t>NSE IFSC (India)</t>
  </si>
  <si>
    <t>Includes only content relevant to market access, regulatory themes</t>
  </si>
  <si>
    <t>OTC Exchange of India</t>
  </si>
  <si>
    <t>Reserve Bank of India</t>
  </si>
  <si>
    <t>Excludes auctions</t>
  </si>
  <si>
    <t>Excludes trading information, auction, statistics, surveys</t>
  </si>
  <si>
    <t>Excludes non-regulatory speeches</t>
  </si>
  <si>
    <t>Securities and Exchange Board of India (SEBI)</t>
  </si>
  <si>
    <t>Excludes market reviews</t>
  </si>
  <si>
    <t>Excludes hearings, appeals, disposal of show cause notices, exemptions dismissed, unserved notices, informal guidance</t>
  </si>
  <si>
    <t>Excludes board appointments, new premises, trading information</t>
  </si>
  <si>
    <t>Indonesia</t>
  </si>
  <si>
    <t>Asosiasi Perusahaan Efek Indonesia (Indonesia Securities Companies Association)</t>
  </si>
  <si>
    <t>Includes only financial services news/regulatory updates</t>
  </si>
  <si>
    <t>Badan Pemeriksa Keuangan Republik Indonesia (BPK RI)</t>
  </si>
  <si>
    <t>Includes only updates on consultation, financial accountability related news, and guidance</t>
  </si>
  <si>
    <t>Indonesian</t>
  </si>
  <si>
    <t>Includes only agreements and updates relating to compliance for financial institutions, financial accountability related news and guidance</t>
  </si>
  <si>
    <t>Bank Indonesia</t>
  </si>
  <si>
    <t>Excludes statistics, financial information, trading information, surveys, outlooks</t>
  </si>
  <si>
    <t xml:space="preserve">Bapepam-LK </t>
  </si>
  <si>
    <t>Replaced by the Indonesian Financial Services Authority</t>
  </si>
  <si>
    <t>Corruption Eradication Commission of Indonesia (KPK)</t>
  </si>
  <si>
    <t>Excludes non-financial related crimes</t>
  </si>
  <si>
    <t>Indonesia Central Securities Depository (KSEI)</t>
  </si>
  <si>
    <t xml:space="preserve">Indonesia Clearing and Guarantee Corporation (KPEI) </t>
  </si>
  <si>
    <t>Includes exchange holidays, amendments</t>
  </si>
  <si>
    <t>Includes new launch, implementation</t>
  </si>
  <si>
    <t>Indonesia Deposit Insurance Corporation</t>
  </si>
  <si>
    <t>Excludes claim payments, deposits, procurements</t>
  </si>
  <si>
    <t>Excludes claim payments, deposits, market updates</t>
  </si>
  <si>
    <t>Indonesian Financial Services Authority (OJK)</t>
  </si>
  <si>
    <t>Indonesian Financial Transaction Reports and Analysis Centre (Pusat Pelaporan dan Analisis Transaksi Keuangan)</t>
  </si>
  <si>
    <t>Excludes non-corruption related updates</t>
  </si>
  <si>
    <t>Includes annual reports but exclude financial and statistics updates</t>
  </si>
  <si>
    <t>Indonesia Stock Exchange</t>
  </si>
  <si>
    <t>Jakarta Futures Exchange (JFX)</t>
  </si>
  <si>
    <t>Ministry of Finance of Republic of Indonesia</t>
  </si>
  <si>
    <t>Includes call for papers and regulatory related matters</t>
  </si>
  <si>
    <t>Ministry of Trade of the Republic of Indonesia</t>
  </si>
  <si>
    <t>Includes documents related to banking/insurance/securities sectors</t>
  </si>
  <si>
    <t>Japan</t>
  </si>
  <si>
    <t>Bank of Japan</t>
  </si>
  <si>
    <t>Japanese</t>
  </si>
  <si>
    <t>Commodity Futures Association of Japan (CFAJ)</t>
  </si>
  <si>
    <t>Deposit Insurance Corporation of Japan (DICJ)</t>
  </si>
  <si>
    <t>Excludes economic reports</t>
  </si>
  <si>
    <t>Includes policy board approvals; excludes changes in premium rates, tender repayments</t>
  </si>
  <si>
    <t>Financial Futures Association of Japan (FFAJ)</t>
  </si>
  <si>
    <t>Includes trading regulations</t>
  </si>
  <si>
    <t>Financial Instruments Mediation Assistance Center (FINMAC)</t>
  </si>
  <si>
    <t>Excludes updates on economic forums and lectures, appointments, statistical reports, and regular financial activities
Include updates on anti-money laundering and financial legislation</t>
  </si>
  <si>
    <t>General Insurance Association of Japan (GIAJ)</t>
  </si>
  <si>
    <t>Includes updates to regulations</t>
  </si>
  <si>
    <t>International Bankers Association of Japan</t>
  </si>
  <si>
    <t>Investment Trusts Association, Japan</t>
  </si>
  <si>
    <t>Japan Commodities Fund Association</t>
  </si>
  <si>
    <t>Japan Exchange Regulation (JPX-R)</t>
  </si>
  <si>
    <t xml:space="preserve">Japan Fair Trade Commission </t>
  </si>
  <si>
    <t>Excludes training courses/holidays/cease &amp; desist - Includes only press releases concerning regulatory updates/guidelines/reports</t>
  </si>
  <si>
    <t>Japan Financial Intelligence Center (Financial Intelligence Unit)</t>
  </si>
  <si>
    <t>Excludes statistical reports</t>
  </si>
  <si>
    <t>Japan Financial Services Agency</t>
  </si>
  <si>
    <t>Japan Financial Services Association</t>
  </si>
  <si>
    <t>Japan Insurance Brokers Association</t>
  </si>
  <si>
    <t>Excludes officer appointments, new premium rates, exam schedules</t>
  </si>
  <si>
    <t>Japan Investment Advisers Association (JIAA)</t>
  </si>
  <si>
    <t>Japan Securities Clearing Corporation</t>
  </si>
  <si>
    <t>Japan Securities Dealers Association</t>
  </si>
  <si>
    <t>Japan Securities Depository Center</t>
  </si>
  <si>
    <t>Japan Securities and Exchange Surveillance Commission</t>
  </si>
  <si>
    <t>Includes notices of amendments, rule enforcements</t>
  </si>
  <si>
    <t>Japanese Bankers Association (JBA)</t>
  </si>
  <si>
    <t>Includes calls for comment, regulatory updates and changes</t>
  </si>
  <si>
    <t>Includes policy related statements and announcements</t>
  </si>
  <si>
    <t>Kanto Local Finance Bureau</t>
  </si>
  <si>
    <t>Ministry of Finance (Japan)</t>
  </si>
  <si>
    <t>Includes only discussion papers, tax conventions</t>
  </si>
  <si>
    <t>Nagoya Stock Exchange</t>
  </si>
  <si>
    <t>Osaka Dojima Commodity Exchange</t>
  </si>
  <si>
    <t>Osaka Securities Exchange</t>
  </si>
  <si>
    <t>Includes market operations notices and enforcements</t>
  </si>
  <si>
    <t>Shinkin Central Bank</t>
  </si>
  <si>
    <t>Includes operations announcements, amendments and regulatory news</t>
  </si>
  <si>
    <t>Tokyo Financial Exchange</t>
  </si>
  <si>
    <t>Includes rule changes and new regulations</t>
  </si>
  <si>
    <t>Tokyo Stock Exchange</t>
  </si>
  <si>
    <t>Excludes broker-specific notices, stock price changes</t>
  </si>
  <si>
    <t>Trust Companies Association of Japan</t>
  </si>
  <si>
    <t>Type II Financial Instruments Firms Association</t>
  </si>
  <si>
    <t>Kazakhstan</t>
  </si>
  <si>
    <t>Astana Financial Services Authority (AFSA)</t>
  </si>
  <si>
    <t>Russian</t>
  </si>
  <si>
    <t xml:space="preserve">Only capture updates about cooperation/regulatory news. </t>
  </si>
  <si>
    <t>Laos</t>
  </si>
  <si>
    <t>Anti-Money Laundering Intelligence Office (AMLIO)</t>
  </si>
  <si>
    <t>Lao/English</t>
  </si>
  <si>
    <t>Bank of the Lao PDR</t>
  </si>
  <si>
    <t>Excludes releases on commemorative coins, appointments, meeting notices</t>
  </si>
  <si>
    <t>Thai</t>
  </si>
  <si>
    <t>Lao Securities Exchange (LSX)</t>
  </si>
  <si>
    <t>Listing notices only</t>
  </si>
  <si>
    <t>Macau</t>
  </si>
  <si>
    <t>Monetary Authority of Macau</t>
  </si>
  <si>
    <t>Excludes statistics, reserves, rates, credit rating</t>
  </si>
  <si>
    <t>Malaysia</t>
  </si>
  <si>
    <t>Association of Banks in Malaysia (ABM)</t>
  </si>
  <si>
    <t>Includes only regulatory-related updates</t>
  </si>
  <si>
    <t>Bank Negara Malaysia (BNM)</t>
  </si>
  <si>
    <t>Excludes appointments, international reserves</t>
  </si>
  <si>
    <t>Includes only speeches with substantive regulatory themes</t>
  </si>
  <si>
    <t>Bursa Malaysia</t>
  </si>
  <si>
    <t xml:space="preserve">Consultation papers </t>
  </si>
  <si>
    <t>Companies Commission of Malaysia</t>
  </si>
  <si>
    <t>Malay</t>
  </si>
  <si>
    <t>Islamic Financial Services Board (IFSB)</t>
  </si>
  <si>
    <t>Excludes appointments, membership and meeting notices</t>
  </si>
  <si>
    <t>Labuan Financial Services Authority</t>
  </si>
  <si>
    <t>Malaysia Competition Commission (MyCC)</t>
  </si>
  <si>
    <t xml:space="preserve">Consultation Papers </t>
  </si>
  <si>
    <t>Includes only regulatory and compliance related releases</t>
  </si>
  <si>
    <t>Ministry of Home Affairs (MOHA) (Malaysia)</t>
  </si>
  <si>
    <t xml:space="preserve">Includes only regulatory-related news </t>
  </si>
  <si>
    <t xml:space="preserve">Includes only regulatory-related speeches </t>
  </si>
  <si>
    <t>Payments Network Malaysia (Paynet)</t>
  </si>
  <si>
    <t>Perbadanan Insurans Deposit Malaysia (PIDM)</t>
  </si>
  <si>
    <t>Personal Data Protection Commissioner (PDPC)</t>
  </si>
  <si>
    <t>Securities Commission (Malaysia)</t>
  </si>
  <si>
    <t xml:space="preserve">Myanmar </t>
  </si>
  <si>
    <t>Central Bank of Myanmar</t>
  </si>
  <si>
    <t>Excludes updates on economic forums and lectures, appointments, statistical reports, and regular banking activities
Include updates on anti-money laundering and financial legislation</t>
  </si>
  <si>
    <t>Directorate of Investment and Company Administration (DICA)</t>
  </si>
  <si>
    <t>Excludes formations of committees</t>
  </si>
  <si>
    <t>Excludes meetings or formations of committees</t>
  </si>
  <si>
    <t>Ministry of Planning and Finance (MOPF)</t>
  </si>
  <si>
    <t>Nepal</t>
  </si>
  <si>
    <t>Beema Samiti (Insurance Board) (Nepal)</t>
  </si>
  <si>
    <t>Nepali</t>
  </si>
  <si>
    <t>Includes financial services and regulatory content only</t>
  </si>
  <si>
    <t>Department of Money Laundering Investigation (Nepal)</t>
  </si>
  <si>
    <t>Includes AML and CFT content only</t>
  </si>
  <si>
    <t>Nepal Clearing House Ltd. (NCHL)</t>
  </si>
  <si>
    <t>Nepal Rastra Bank (NRB)</t>
  </si>
  <si>
    <t>Excludes directives</t>
  </si>
  <si>
    <t xml:space="preserve">Excludes Macroeconomic Indicators Of Nepal </t>
  </si>
  <si>
    <t xml:space="preserve">Pakistan </t>
  </si>
  <si>
    <t>Financial Monitoring Unit (FMU) (Pakistan)</t>
  </si>
  <si>
    <t>Securities and Exchange Commission of Pakistan</t>
  </si>
  <si>
    <t>State Bank of Pakistan</t>
  </si>
  <si>
    <t xml:space="preserve">Excludes foreign travel, imports/exports, foreign exchange, buy-backs, entity specific notices (e.g. membership), receivables, banknotes and currency, </t>
  </si>
  <si>
    <t>Excludes foreign exchange, treasury bills, statistics, sectors that fall outside banking, insurance, securties and investment (e.g. horticulture, fisheries)</t>
  </si>
  <si>
    <t>Excludes foreign exchange, nationalisation, currency, credit bureau</t>
  </si>
  <si>
    <t>Excludes awards, macroeconomic topics (e.g. inflation, monetary policy statement), careers, organisation changes (e.g. appointments), public holidays, government duties/taxes, workers remit, future events/lectures, competitions/tournaments</t>
  </si>
  <si>
    <t>Excludes statistics, state of the economy</t>
  </si>
  <si>
    <t>Excludes awards/ceremonies, macroeconomic topics, commemoration days</t>
  </si>
  <si>
    <t xml:space="preserve">Philippines </t>
  </si>
  <si>
    <t>Anti-Money Laundering Council (AMLC)</t>
  </si>
  <si>
    <t>Bankers Association of the Philippines (BAP)</t>
  </si>
  <si>
    <t>Bureau of Internal Revenue</t>
  </si>
  <si>
    <t>Excludes updates on price of sugar</t>
  </si>
  <si>
    <t>Bureau of the Treasury (Philippines)</t>
  </si>
  <si>
    <t xml:space="preserve">Capital Markets Integrity Corporation (CMIC) </t>
  </si>
  <si>
    <t>Central Bank of the Philippines</t>
  </si>
  <si>
    <t>Excludes company mergers</t>
  </si>
  <si>
    <t>Credit Information Corporation (CIC)</t>
  </si>
  <si>
    <t>Includes only regulatory-related news</t>
  </si>
  <si>
    <t>Insurance Commission of the Philippines</t>
  </si>
  <si>
    <t xml:space="preserve">National Privacy Commission (NPC) </t>
  </si>
  <si>
    <t xml:space="preserve">Includes only regulatory-related information </t>
  </si>
  <si>
    <t>Philippine Dealing &amp; Exchange Corporation (PDEx)</t>
  </si>
  <si>
    <t>Excludes statistics, calculations of reference rates</t>
  </si>
  <si>
    <t>Includes only financial regulation news</t>
  </si>
  <si>
    <t>Philippine Deposit Insurance Corporation (PDIC)</t>
  </si>
  <si>
    <t>Excludes duplicative content, forum schedules</t>
  </si>
  <si>
    <t>Excludes duplicative content (documents also published as notices)</t>
  </si>
  <si>
    <t>Philippines Securities and Exchange Commission</t>
  </si>
  <si>
    <t>Philippine Stock Exchange</t>
  </si>
  <si>
    <t>Excludes personnel movement, approved nominee application, training, application, website maintenance</t>
  </si>
  <si>
    <t>Excludes surveys, summits, website maintenance, distribution of dividends, and single company-related information</t>
  </si>
  <si>
    <t>Securities Clearing Corporation of the Philippines (SCCP) </t>
  </si>
  <si>
    <t>Singapore</t>
  </si>
  <si>
    <t xml:space="preserve">Accounting and Corporate Regulatory Authority (ACRA) </t>
  </si>
  <si>
    <t>Includes only regulatory updates related to accounting practices in financial sectors</t>
  </si>
  <si>
    <t>Association of Banks in Singapore (ABS)</t>
  </si>
  <si>
    <t>Includes only guidance and requirements updates</t>
  </si>
  <si>
    <t>Commercial Affairs Department (CAD) (Singapore)</t>
  </si>
  <si>
    <t>Includes only enforcements concerning financial services</t>
  </si>
  <si>
    <t>ICE Futures Singapore</t>
  </si>
  <si>
    <t>Inland Revenue Authority of Singapore (IRAS)</t>
  </si>
  <si>
    <t>Includes news on tax agreements and tax crimes</t>
  </si>
  <si>
    <t>Includes consultation papers and comments</t>
  </si>
  <si>
    <t>Institute of Banking and Finance Singapore (IBF)</t>
  </si>
  <si>
    <t>Excludes requests for quotation</t>
  </si>
  <si>
    <t>Only includes brochures</t>
  </si>
  <si>
    <t>Includes only regulatory news</t>
  </si>
  <si>
    <t>Investment Management Association of Singapore (IMAS)</t>
  </si>
  <si>
    <t>Includes only news relating to best practices, frameworks, and guidelines</t>
  </si>
  <si>
    <t>Life Insurance Association (Singapore) (LIA)</t>
  </si>
  <si>
    <t>Ministry of Finance (Singapore)</t>
  </si>
  <si>
    <t>Includes only updates concerning financial institutions</t>
  </si>
  <si>
    <t>Excludes budget, monetary policies, changes to board members, public policy</t>
  </si>
  <si>
    <t>Includes only speeches regarding amendments to Bills</t>
  </si>
  <si>
    <t>Monetary Authority of Singapore (MAS)</t>
  </si>
  <si>
    <t>Includes only regulatory and enforcement related updates</t>
  </si>
  <si>
    <t>Personal Data Protection Commission (Singapore)</t>
  </si>
  <si>
    <t>Excludes advertorials, events</t>
  </si>
  <si>
    <t>Singapore Deposit Insurance Corporation (SDIC)</t>
  </si>
  <si>
    <t>Singapore Exchange (SGX)</t>
  </si>
  <si>
    <t>Singapore Foreign Exchange Market Committee</t>
  </si>
  <si>
    <t xml:space="preserve">South Korea </t>
  </si>
  <si>
    <t>Anti-Corruption &amp; Civil Rights Commission (ACRC)</t>
  </si>
  <si>
    <t>Bank of Korea</t>
  </si>
  <si>
    <t>Korean</t>
  </si>
  <si>
    <t>Korea Deposit Insurance Corporation (KDIC)</t>
  </si>
  <si>
    <t>Includes financial regulatory related updates; Excludes activities</t>
  </si>
  <si>
    <t>Korea Fair Trade Commission (KFTC)</t>
  </si>
  <si>
    <t>Korea Federation of Banks (KFB)</t>
  </si>
  <si>
    <t>Excludes non-financial news, economic news</t>
  </si>
  <si>
    <t>Excludes financial institution specific notices</t>
  </si>
  <si>
    <t>Korea Financial Intelligence Unit (KFIU)</t>
  </si>
  <si>
    <t xml:space="preserve">Korea Financial Investment Association </t>
  </si>
  <si>
    <t>Korea Financial Services Commission</t>
  </si>
  <si>
    <t>Korea Financial Supervisory Service</t>
  </si>
  <si>
    <t>Korea Securities Dealers Association</t>
  </si>
  <si>
    <t>Korea Securities Depository (KSD)</t>
  </si>
  <si>
    <t>Excludes settlement value of bonds, trade name changes</t>
  </si>
  <si>
    <t xml:space="preserve">Korea Securities Finance Corp </t>
  </si>
  <si>
    <t xml:space="preserve">Korea Exchange </t>
  </si>
  <si>
    <t>Excludes updates on economic forums and lectures, appointments, statistical reports, and regular brokerage activities
Include updates on anti-money laundering and financial legislation</t>
  </si>
  <si>
    <t>Ministry of Economy and Finance (MOEF) (South Korea)</t>
  </si>
  <si>
    <t xml:space="preserve">Sri Lanka </t>
  </si>
  <si>
    <t>Central Bank of Sri Lanka</t>
  </si>
  <si>
    <t>Excludes government securities, bonds, economic developments, sector performance, auctions, inflation updates, surveys</t>
  </si>
  <si>
    <t>Colombo Stock Exchange (CSE)</t>
  </si>
  <si>
    <t>Includes only regulatory updates, excludes trading information</t>
  </si>
  <si>
    <t>Ministry of Finance (Sri Lanka)</t>
  </si>
  <si>
    <t>Includes only regulatory updates related to financial sectors</t>
  </si>
  <si>
    <t>Securities and Exchange Commission of Sri Lanka</t>
  </si>
  <si>
    <t>Taiwan</t>
  </si>
  <si>
    <t>Bankers Association of the Republic of China</t>
  </si>
  <si>
    <t>Includes holiday schedules</t>
  </si>
  <si>
    <t>Includes directions, comparison tables</t>
  </si>
  <si>
    <t>Includes financial risk related speeches</t>
  </si>
  <si>
    <t>Central Bank of the Republic of China (Taiwan)</t>
  </si>
  <si>
    <t>Includes regulatory notices</t>
  </si>
  <si>
    <t>Includes news about public consultations; regulatory news; news on disasters and risk control measures; news on cooperation with other regulators in regulatory matters</t>
  </si>
  <si>
    <t>Central Deposit Insurance Corporation (CDIC) (Taiwan)</t>
  </si>
  <si>
    <t>Includes regulatory updates, cooperation with other organisations, system changes.</t>
  </si>
  <si>
    <t>Includes regulatory updates and inspections</t>
  </si>
  <si>
    <t>Chinese National Futures Association</t>
  </si>
  <si>
    <t>Consumer Protection Committee (CPC)</t>
  </si>
  <si>
    <t>Includes only regulatory updates related to financial consumers</t>
  </si>
  <si>
    <t>Fair Trade Commission (Taiwan)</t>
  </si>
  <si>
    <t>Includes only content relating to financial services</t>
  </si>
  <si>
    <t>Financial Information Service Co (FISC)</t>
  </si>
  <si>
    <t>Includes regulatory publications</t>
  </si>
  <si>
    <t>Insurance Agency Association of the Republic of China (Taiwan)</t>
  </si>
  <si>
    <t xml:space="preserve">Includes only notices published by the regulator </t>
  </si>
  <si>
    <t>Joint Credit Information Center (JCIC)</t>
  </si>
  <si>
    <t>Legislative Yuan of the Republic of China</t>
  </si>
  <si>
    <t>Ministry of Finance (Taiwan)</t>
  </si>
  <si>
    <t>Ministry of Justice (Taiwan)</t>
  </si>
  <si>
    <t>Includes only releases concerning AML/CFT</t>
  </si>
  <si>
    <t>R.O.C. Bills Finance Association</t>
  </si>
  <si>
    <t>Securities Investment Trust &amp; Consulting Association of The R.O.C.</t>
  </si>
  <si>
    <t xml:space="preserve">Includes only releases relating to SITCA </t>
  </si>
  <si>
    <t>Taipei Exchange (formerly GreTai Securities Market)</t>
  </si>
  <si>
    <t>Includes regulatory changes; tax matters; public consultations; holiday notices</t>
  </si>
  <si>
    <t>Taiwan Clearing House</t>
  </si>
  <si>
    <t>Includes regulatory news; news on disasters and risk control measures; news on cooperation with other regulators in regulatory matters</t>
  </si>
  <si>
    <t>Taiwan Depository &amp; Clearing Corporation</t>
  </si>
  <si>
    <t>Taiwan Financial Supervisory Commission</t>
  </si>
  <si>
    <t>Includes Monthly Financial Outlooks</t>
  </si>
  <si>
    <t>Includes amendments; claims; new rules, interpretations, supporting explanations</t>
  </si>
  <si>
    <t>Includes draft amendments, approvals, enforcement actions</t>
  </si>
  <si>
    <t>Taiwan Futures Exchange</t>
  </si>
  <si>
    <t>Includes amendments, adjustments, new rules, claims</t>
  </si>
  <si>
    <t>Includes market arrangements, trading services</t>
  </si>
  <si>
    <t>Includes only speeches regarding regulatory updates, standards, guidances, and measures</t>
  </si>
  <si>
    <t>Taiwan Securities Association</t>
  </si>
  <si>
    <t xml:space="preserve">Includes regulatory changes </t>
  </si>
  <si>
    <t>Taiwan Stock Exchange</t>
  </si>
  <si>
    <t>Trust Association of R.O.C.</t>
  </si>
  <si>
    <t>Includes regulatory news; training events</t>
  </si>
  <si>
    <t xml:space="preserve">Excludes regulatory updates already covered by other regulators, ie. only include regulatory updates originating from this regulator itself and regulations affecting members of this regulator but not covered by other Tracker updates. </t>
  </si>
  <si>
    <t>Thailand</t>
  </si>
  <si>
    <t xml:space="preserve">Anti-Money Laundering Office </t>
  </si>
  <si>
    <t>Association of Thai Securities Companies (ASCO)</t>
  </si>
  <si>
    <t>Bank of Thailand</t>
  </si>
  <si>
    <t>Excludes bond issuance/sales or interest rates, includes announcements of guidelines or rules</t>
  </si>
  <si>
    <t>Excludes bond prices, selling schedules</t>
  </si>
  <si>
    <t>Includes policy news and reports, AML news, bank operations news</t>
  </si>
  <si>
    <t>Deposit Protection Agency (DPA)</t>
  </si>
  <si>
    <t>Excludes no gifts and agency locations</t>
  </si>
  <si>
    <t>Ministry of Finance (Thailand)</t>
  </si>
  <si>
    <t>Excludes placements/recruitments, macroeconomic topics, interest rates</t>
  </si>
  <si>
    <t>Office of Insurance Commission (OIC)</t>
  </si>
  <si>
    <t>Excludes regulations against non-financial entities &amp; enforcements against individuals and individual companies</t>
  </si>
  <si>
    <t>Securities and Exchange Commission (Thailand)</t>
  </si>
  <si>
    <t>Excludes updates on economic forums and lectures, appointments, statistical reports, and regular brokerage activities
Includes updates on anti-money laundering and financial legislation</t>
  </si>
  <si>
    <t>Stock Exchange of Thailand (SET)</t>
  </si>
  <si>
    <t>Includes suspensions, listings, market surveillance</t>
  </si>
  <si>
    <t>Thai Bond Market Association (ThaiBMA)</t>
  </si>
  <si>
    <t>Includes calls for comment, regulatory updates and changes and rule enforcements</t>
  </si>
  <si>
    <t>Thailand Futures Exchange (TFEX)</t>
  </si>
  <si>
    <t xml:space="preserve">Vietnam </t>
  </si>
  <si>
    <t>Deposit Insurance of Vietnam (DIV)</t>
  </si>
  <si>
    <t>Hanoi Stock Exchange (HNX)</t>
  </si>
  <si>
    <t>Vietnamese</t>
  </si>
  <si>
    <t>Hochiminh Stock Exchange</t>
  </si>
  <si>
    <t>Excludes financial reports, trading status</t>
  </si>
  <si>
    <t>Includes notices of amendments and rule enforcements</t>
  </si>
  <si>
    <t>Ministry of Finance (Vietnam)</t>
  </si>
  <si>
    <t>Includes only regulatory-related updates, excludes visitation updates</t>
  </si>
  <si>
    <t>State Bank of Vietnam</t>
  </si>
  <si>
    <t>Includes press releases on regulatory changes; entity authorisations; holiday announcements</t>
  </si>
  <si>
    <t>State Securities Commission of Vietnam</t>
  </si>
  <si>
    <t>Excludes trading information, seminars, non-regulatory related matters</t>
  </si>
  <si>
    <t>Vietnam Securities Depository (VSD)</t>
  </si>
  <si>
    <t>Excludes duplicative content captured separately</t>
  </si>
  <si>
    <t>Excludes trading information, cash dividend payments, statistics</t>
  </si>
  <si>
    <t>Latin America and Caribbean</t>
  </si>
  <si>
    <t xml:space="preserve">Antigua and Barbuda </t>
  </si>
  <si>
    <t>Financial Services Regulatory Commission (Antigua &amp; Barbuda)</t>
  </si>
  <si>
    <t>Includes CMTSPA Guide and regulatory laws. Most other content filtered</t>
  </si>
  <si>
    <t>Argentina</t>
  </si>
  <si>
    <t>Bolsa y Mercados Argentinos (BYMA)</t>
  </si>
  <si>
    <t>Excludes tax legislation</t>
  </si>
  <si>
    <t xml:space="preserve">Central Bank of Argentina </t>
  </si>
  <si>
    <t>Excludes communications re: monetary policy, appointments, taxes, enforcements, educational opportunities</t>
  </si>
  <si>
    <t>Excludes content re: monetary policy, appointments, taxes, enforcements, educational opportunities</t>
  </si>
  <si>
    <t>Comision Nacional de Valores (Argentina)</t>
  </si>
  <si>
    <t>Excludes enforcements</t>
  </si>
  <si>
    <t>Mercado Abierto Electronico de Argentina</t>
  </si>
  <si>
    <t>Excludes pricing requirements</t>
  </si>
  <si>
    <t>Excludes withdrawals of approval notices</t>
  </si>
  <si>
    <t>Unidad de Informacion Financiera (Argentina)</t>
  </si>
  <si>
    <t>Aruba</t>
  </si>
  <si>
    <t>Central Bank of Aruba</t>
  </si>
  <si>
    <t>Includes AML and CFT content specifically</t>
  </si>
  <si>
    <t>Dutch/English</t>
  </si>
  <si>
    <t>The Bahamas</t>
  </si>
  <si>
    <t>Bahamas Financial Services Board</t>
  </si>
  <si>
    <t>Excludes approvals to operate and appointments</t>
  </si>
  <si>
    <t>Central Bank of the Bahamas</t>
  </si>
  <si>
    <t>Excludes approvals to operate</t>
  </si>
  <si>
    <t>Financial Intelligence Unit (Bahamas)</t>
  </si>
  <si>
    <t>Insurance Commission of the Bahamas</t>
  </si>
  <si>
    <t>Securities Commission of The Bahamas</t>
  </si>
  <si>
    <t>Excludes entity specific information (approval to operate, winding up, and similar)</t>
  </si>
  <si>
    <t>Barbados</t>
  </si>
  <si>
    <t>Barbados Financial Intelligence Unit/Anti-Money Laundering Authority (FIU/AMLA)</t>
  </si>
  <si>
    <t>Includes only content specific to financial services</t>
  </si>
  <si>
    <t>Barbados Stock Exchange</t>
  </si>
  <si>
    <t>Central Bank of Barbados</t>
  </si>
  <si>
    <t>Includes only regulatory releases.</t>
  </si>
  <si>
    <t>Financial Services Commission (FSC) (Barbados)</t>
  </si>
  <si>
    <t>Belize</t>
  </si>
  <si>
    <t>Central Bank of Belize</t>
  </si>
  <si>
    <t>Includes only the Domestic Banks &amp; Financial Institutions Act, International Banking Act, Money Laundering &amp; Terrorism (Prevention) Act and the Exchange Control Act</t>
  </si>
  <si>
    <t>International Financial Services Commission (IFSC) </t>
  </si>
  <si>
    <t>Includes financial services related content only</t>
  </si>
  <si>
    <t>Office of the Supervisor of Insurance &amp; Private Pension (OSIPP) (Belize)</t>
  </si>
  <si>
    <t>Includes CFATF and FATF releases not tracked via other regulators</t>
  </si>
  <si>
    <t>Bolivia</t>
  </si>
  <si>
    <t>Bolsa Boliviana De Valores</t>
  </si>
  <si>
    <t>Please note that some circulars are sometimes published years after the date on the document</t>
  </si>
  <si>
    <t>Brazil</t>
  </si>
  <si>
    <t>Associacao Brasileira das Entidades dos Mercados Financeiro e de Capitais (ANBIMA)</t>
  </si>
  <si>
    <t>Portuguese</t>
  </si>
  <si>
    <t xml:space="preserve">Y  </t>
  </si>
  <si>
    <t>Excludes training-related content</t>
  </si>
  <si>
    <t>Excludes administrative announcements</t>
  </si>
  <si>
    <t>Excludes 'restricted content' circulars</t>
  </si>
  <si>
    <t>Excludes 'restricted content' communications</t>
  </si>
  <si>
    <t>Associacao dos Analistas e Profissionais de Investimento do Mercado de Capitais (APIMEC)</t>
  </si>
  <si>
    <t>Excludes training-related content, news bulletins, instrument-specific announcements</t>
  </si>
  <si>
    <t>B3</t>
  </si>
  <si>
    <t>Portuguese/English</t>
  </si>
  <si>
    <t>Excludes updates from other regulators</t>
  </si>
  <si>
    <t>BM&amp;FBOVESPA</t>
  </si>
  <si>
    <t>No longer tracked; superseded by B3</t>
  </si>
  <si>
    <t>Central Bank of Brazil</t>
  </si>
  <si>
    <t>Includes specifically international capital and foreign exchange market regulation and circulars that succeeded the RMCCI as of February 3, 2014</t>
  </si>
  <si>
    <t xml:space="preserve">Excludes appointments, monetary policy, approvals for operation, </t>
  </si>
  <si>
    <t>Cetip</t>
  </si>
  <si>
    <t>Comissao de Valores Mobiliarios</t>
  </si>
  <si>
    <t>Conselho de Controle de Atividades Financeiras (COAF)</t>
  </si>
  <si>
    <t>Includes content applicable to financial institutions only</t>
  </si>
  <si>
    <t>Federação Brasileira de Bancos (FEBRABAN)</t>
  </si>
  <si>
    <t>Includes only regulatory announcements</t>
  </si>
  <si>
    <t>Presidente da República (Brazil)</t>
  </si>
  <si>
    <t>Includes only financial services content</t>
  </si>
  <si>
    <t>Superintendencia de Seguros Privados (SUSEP)</t>
  </si>
  <si>
    <t>Superintendência Nacional de Previdência Complementar (Previc)</t>
  </si>
  <si>
    <t>Excludes internal organization announcements</t>
  </si>
  <si>
    <t>Excludes authorizations</t>
  </si>
  <si>
    <t>British Virgin Islands</t>
  </si>
  <si>
    <t>British Virgin Islands Financial Services Commission</t>
  </si>
  <si>
    <t xml:space="preserve">Cayman Islands </t>
  </si>
  <si>
    <t>Cayman Islands Monetary Authority</t>
  </si>
  <si>
    <t>Includes only AML specific content</t>
  </si>
  <si>
    <t>Department for International Tax Cooperation (Cayman Islands)</t>
  </si>
  <si>
    <t xml:space="preserve">Includes FATCA Legislation and Resources only </t>
  </si>
  <si>
    <t>Financial Reporting Authority (FRA) (Cayman Islands)</t>
  </si>
  <si>
    <t>Chile</t>
  </si>
  <si>
    <t>Bolsa de Santiago</t>
  </si>
  <si>
    <t>Excludes lists of organizations/customers</t>
  </si>
  <si>
    <t>CCLV</t>
  </si>
  <si>
    <t>Excludes presentations and case studies</t>
  </si>
  <si>
    <t>Central Bank of Chile</t>
  </si>
  <si>
    <t xml:space="preserve">ComBanc </t>
  </si>
  <si>
    <t>Excludes instrument-specific announcements</t>
  </si>
  <si>
    <t>Comisión para el Mercado Financiero</t>
  </si>
  <si>
    <t xml:space="preserve">Excludes monetary policy </t>
  </si>
  <si>
    <t>Excludes enforcements, market reports</t>
  </si>
  <si>
    <t>Depósito Central de Valores (DCV) (Chile)</t>
  </si>
  <si>
    <t>Excludes non-financial services content</t>
  </si>
  <si>
    <t>Ministerio de Hacienda (Chile)</t>
  </si>
  <si>
    <t>Superintendencia de Bancos e Instituciones Financieras (SBIF)</t>
  </si>
  <si>
    <t>Excludes enforcements, internal operations memos</t>
  </si>
  <si>
    <t>Unidad de Analisis Financiero (Chile)</t>
  </si>
  <si>
    <t>Excludes content for non-financial services institutions</t>
  </si>
  <si>
    <t>Colombia</t>
  </si>
  <si>
    <t>Asobancaria</t>
  </si>
  <si>
    <t>Autorregulador del Mercado de Valores (AMV)</t>
  </si>
  <si>
    <t>Bolsa de Valores de Colombia</t>
  </si>
  <si>
    <t>Excludes "Informational" Bulletin on Index updates, approvals to operate, instrument-specific information</t>
  </si>
  <si>
    <t>Central Bank of Colombia</t>
  </si>
  <si>
    <t>Dirección de Impuestos y Aduanas Nacionales (DIAN) (Colombia)</t>
  </si>
  <si>
    <t xml:space="preserve">N/A </t>
  </si>
  <si>
    <t>Ministerio de Hacienda y Crédito Público (Colombia)</t>
  </si>
  <si>
    <t>Ministerio del Trabajo (Colombia)</t>
  </si>
  <si>
    <t>Includes content applicable to pensions only</t>
  </si>
  <si>
    <t>Superintendencia Financiera de Colombia</t>
  </si>
  <si>
    <t>Excludes entity-specific approvals</t>
  </si>
  <si>
    <t>Costa Rica</t>
  </si>
  <si>
    <t>Bolsa Nacional de Valores - Costa Rica</t>
  </si>
  <si>
    <t>Central Bank of Costa Rica</t>
  </si>
  <si>
    <t>Superintendencia de Pensiones (SUPEN) (Costa Rica)</t>
  </si>
  <si>
    <t>Superintendencia General de Entidades Financieras (SUGEF)</t>
  </si>
  <si>
    <t>Excludes training and education-related content</t>
  </si>
  <si>
    <t>Superintendencia General de Seguros (SUGESE)</t>
  </si>
  <si>
    <t>Superintendencia General de Valores (SUGEVAL)</t>
  </si>
  <si>
    <t>Curaçao and Sint Maarten</t>
  </si>
  <si>
    <t>Central Bank of Curacao and Sint Maarten</t>
  </si>
  <si>
    <t>Excludes non-financial services content (e.g. healthcare)</t>
  </si>
  <si>
    <t>Dominica</t>
  </si>
  <si>
    <t>Financial Services Unit (FSU) (Dominica)</t>
  </si>
  <si>
    <t>Dominican Republic</t>
  </si>
  <si>
    <t>Banco Central de la República Dominicana</t>
  </si>
  <si>
    <t>Bolsa de Valores de la República Dominicana</t>
  </si>
  <si>
    <t>Superintendencia de Bancos (Dominican Republic)</t>
  </si>
  <si>
    <t>Excludes some internal operations content</t>
  </si>
  <si>
    <t>Superintendencia del Mercado de Valores de la República Dominicana (SIMV)</t>
  </si>
  <si>
    <t>Superintendencia de Pensiones (SIPEN) (Dominican Republic)</t>
  </si>
  <si>
    <t>Superintendencia de Seguros (Dominican Republic)</t>
  </si>
  <si>
    <t>Unidad de Análisis Financiero (Dominican Republic)</t>
  </si>
  <si>
    <t>Ecuador</t>
  </si>
  <si>
    <t>Junta de Política y Regulación Monetaria y Financiera</t>
  </si>
  <si>
    <t>Excludes internal governance/monetary policy content</t>
  </si>
  <si>
    <t>Superintendencia de Bancos (Ecuador)</t>
  </si>
  <si>
    <t>Excludes suitability report, authorizations and ratings</t>
  </si>
  <si>
    <t>Superintendencia de Companias, Valores, y Seguros</t>
  </si>
  <si>
    <t>Includes securities-related content only</t>
  </si>
  <si>
    <t>El Salvador</t>
  </si>
  <si>
    <t>Central Bank of El Salvador</t>
  </si>
  <si>
    <t>Excludes economic and monetary policy</t>
  </si>
  <si>
    <t>Superintendencia del Sistema Financiero (SSF)</t>
  </si>
  <si>
    <t>Excludes meeting, internal organization and authorization announcements</t>
  </si>
  <si>
    <t>Guyana</t>
  </si>
  <si>
    <t>Bank of Guyana</t>
  </si>
  <si>
    <t xml:space="preserve">Honduras </t>
  </si>
  <si>
    <t>Comision Nacional de Bancos y Seguros (CNBS)</t>
  </si>
  <si>
    <t>Excludes registration/authorization announcements and content exclusive to bonded warehouses</t>
  </si>
  <si>
    <t xml:space="preserve">Jamaica </t>
  </si>
  <si>
    <t>Bank of Jamaica</t>
  </si>
  <si>
    <t>Financial Services Commission of Jamaica (FSCJ)</t>
  </si>
  <si>
    <t>Includes securities/pensions/insurance-related content only</t>
  </si>
  <si>
    <t>Excludes education announcements, product announcements</t>
  </si>
  <si>
    <t>Jamaica Deposit Insurance Corporation (JDIC)</t>
  </si>
  <si>
    <t>Mexico</t>
  </si>
  <si>
    <t>Asigna, Compensación y Liquidación</t>
  </si>
  <si>
    <t>Asociacion Mexicana de Intermediarios Bursatiles</t>
  </si>
  <si>
    <t>Excludes authorizations, rates and enforcements</t>
  </si>
  <si>
    <t>Bank of Mexico</t>
  </si>
  <si>
    <t>Bolsa Mexicana de Valores (BMV)</t>
  </si>
  <si>
    <t>Spanish/English</t>
  </si>
  <si>
    <t>Comisión Nacional Bancaria y de Valores (CNBV)</t>
  </si>
  <si>
    <t>Comisión Nacional de Mejora Regulatoria (CONAMER)</t>
  </si>
  <si>
    <t>Comisión Nacional para la Protección y Defensa de los Usuarios de Servicios Financieros (CONDUSEF)</t>
  </si>
  <si>
    <t>Congreso de la Unión</t>
  </si>
  <si>
    <t>Contraparte Central de Valores (CCV)</t>
  </si>
  <si>
    <t>Excludes republished Federal content</t>
  </si>
  <si>
    <t>Indeval</t>
  </si>
  <si>
    <t>Instituto para la Protección al Ahorro Bancario (IPAB)</t>
  </si>
  <si>
    <t>Mexican Derivatives Exchange (MexDer)</t>
  </si>
  <si>
    <t>Secretaria de Hacienda y Credito Publico (SHCP)</t>
  </si>
  <si>
    <t>Montserrat</t>
  </si>
  <si>
    <t>Financial Services Commission of Montserrat</t>
  </si>
  <si>
    <t>Excludes information on taxes, trademarks, patents, partnerships and registrations</t>
  </si>
  <si>
    <t>Nicaragua</t>
  </si>
  <si>
    <t xml:space="preserve">Bolsa de Valores de Nicaragua   </t>
  </si>
  <si>
    <t xml:space="preserve">Manuals </t>
  </si>
  <si>
    <t>Unidad de Analisis Financiero (Nicaragua)</t>
  </si>
  <si>
    <t>Excludes news bulletins</t>
  </si>
  <si>
    <t>Excludes list of highest Authorities</t>
  </si>
  <si>
    <t>Panama</t>
  </si>
  <si>
    <t>Bolsa de Valores de Panamá</t>
  </si>
  <si>
    <t>Ministerio de Comercio e Industrias (MICI) </t>
  </si>
  <si>
    <t>Not currently tracked</t>
  </si>
  <si>
    <t>Superintendencia de Bancos de Panama</t>
  </si>
  <si>
    <t>Excludes payment suspensions</t>
  </si>
  <si>
    <t>Excludes training/appointment announcements</t>
  </si>
  <si>
    <t>Excludes public policy initiatives (industry support)</t>
  </si>
  <si>
    <t>Excludes authorizations to operate</t>
  </si>
  <si>
    <t>Superintendencia de Seguros y Reaseguros de Panamá</t>
  </si>
  <si>
    <t>Excludes monthly statistics announcements</t>
  </si>
  <si>
    <t>Superintendencia del Mercado de Valores (SMV Panama)</t>
  </si>
  <si>
    <t>Includes only AML content</t>
  </si>
  <si>
    <t>Unidad de Analisis Financiero (Panama)</t>
  </si>
  <si>
    <t>Excludes meeting and internal organizational announcements</t>
  </si>
  <si>
    <t>Excludes content for non-financial services institution</t>
  </si>
  <si>
    <t>Paraguay</t>
  </si>
  <si>
    <t>Central Bank of Paraguay</t>
  </si>
  <si>
    <t>Excludes authorizations,</t>
  </si>
  <si>
    <t>Comision Nacional de Valores (Paraguay)</t>
  </si>
  <si>
    <t>Peru</t>
  </si>
  <si>
    <t>Central Reserve Bank of Peru</t>
  </si>
  <si>
    <t>Excludes trip authorizations</t>
  </si>
  <si>
    <t>Ministerio del Trabajo y Promocion del Empleo (Peru)</t>
  </si>
  <si>
    <t>Superintendencia de Banca, Seguros y AFP (SBS)</t>
  </si>
  <si>
    <t>Superintendencia del Mercado de Valores (SMV Peru)</t>
  </si>
  <si>
    <t>Excludes training announcements</t>
  </si>
  <si>
    <t>Excludes appointments/authorizations to operation</t>
  </si>
  <si>
    <t>Puerto Rico</t>
  </si>
  <si>
    <t>Office of the Commissioner of Insurance (Puerto Rico)</t>
  </si>
  <si>
    <t>Oficina del Comisionado de Instituciones Financieras (OCIF)</t>
  </si>
  <si>
    <t>Saint Kitts and Nevis</t>
  </si>
  <si>
    <t>Financial Services Regulatory Commission (FSRC) (Saint Kitts and Nevis)</t>
  </si>
  <si>
    <t>Saint Lucia</t>
  </si>
  <si>
    <t>Financial Services Regulatory Authority (FSRA) (Saint Lucia)</t>
  </si>
  <si>
    <t>Saint Vincent and the Grenadines</t>
  </si>
  <si>
    <t>Financial Services Authority (FSA) (Saint Vincent and the Grenadines)</t>
  </si>
  <si>
    <t>Suriname</t>
  </si>
  <si>
    <t>Central Bank of Suriname</t>
  </si>
  <si>
    <t>English/Dutch</t>
  </si>
  <si>
    <t>Excludes monetary policy announcements.</t>
  </si>
  <si>
    <t>Trinidad and Tobago</t>
  </si>
  <si>
    <t>Central Bank of Trinidad &amp; Tobago</t>
  </si>
  <si>
    <t>Financial Intelligence Unit of Trinidad and Tobago</t>
  </si>
  <si>
    <t>Excludes event notices</t>
  </si>
  <si>
    <t>Includes only documents specific to AML deficiencies</t>
  </si>
  <si>
    <t>Trinidad and Tobago Securities and Exchange Commission</t>
  </si>
  <si>
    <t>Turks and Caicos Islands</t>
  </si>
  <si>
    <t>Financial Services Commission of Turks &amp; Caicos</t>
  </si>
  <si>
    <t>Excludes appointment, awards, training, and monetary policy announcements</t>
  </si>
  <si>
    <t>United States Virgin Islands</t>
  </si>
  <si>
    <t>Division of Banking, Insurance and Financial Regulation (United States Virgin Islands)</t>
  </si>
  <si>
    <t>Includes content related to insurance companies; excludes content related to property owners</t>
  </si>
  <si>
    <t>Uruguay</t>
  </si>
  <si>
    <t>Central Bank of Uruguay</t>
  </si>
  <si>
    <t>Excludes internal operations notices</t>
  </si>
  <si>
    <t>Dirección General Impositiva (DGI) (Uruguay)</t>
  </si>
  <si>
    <t xml:space="preserve">Includes only financial services content </t>
  </si>
  <si>
    <t>Venezuela</t>
  </si>
  <si>
    <t>Central Bank of Venezuela (BCV)</t>
  </si>
  <si>
    <t>Excludes appointment, awards, training, event notices</t>
  </si>
  <si>
    <t>Excludes event notices and some internal operations content</t>
  </si>
  <si>
    <t>Superintendencia de las Instituciones del Sector Bancario (SUDEBAN)</t>
  </si>
  <si>
    <t>Excludes economic policy and exchange rate content</t>
  </si>
  <si>
    <t>Australia and Oceania</t>
  </si>
  <si>
    <t xml:space="preserve">Australia </t>
  </si>
  <si>
    <t>Association of Financial Advisers (AFA) (Australia)</t>
  </si>
  <si>
    <t>Association of Superannuation Funds of Australia (ASFA)</t>
  </si>
  <si>
    <t>Excludes website maintenance notices, announcements about personal insolvencies/bankruptcy enforcement proceedings not related to finance, appointments</t>
  </si>
  <si>
    <t>Australian Banking Association (ABA)</t>
  </si>
  <si>
    <t xml:space="preserve">Excludes statistics and consumer-oriented releases not included </t>
  </si>
  <si>
    <t xml:space="preserve">Includes only speeches by ABA CEO </t>
  </si>
  <si>
    <t>Australian Competition and Consumer Commission</t>
  </si>
  <si>
    <t>Includes only releases related to Banking and Finance.</t>
  </si>
  <si>
    <t>Includes only publications about financial services regulation</t>
  </si>
  <si>
    <t>Includes only speeches about regulatory developments</t>
  </si>
  <si>
    <t>Australian Consumer Credit Code</t>
  </si>
  <si>
    <t>Australian Department of Foreign Affairs and Trade (DFAT)</t>
  </si>
  <si>
    <t>Includes only financial sanctions specific content</t>
  </si>
  <si>
    <t>Australian Finance Industry Association (AFIA)</t>
  </si>
  <si>
    <t>Australian Financial Complaints Authority (AFCA)</t>
  </si>
  <si>
    <t>Excludes appointments and releases announcing the publication of document covered elsewhere</t>
  </si>
  <si>
    <t>Australian Financial Markets Association (AFMA)</t>
  </si>
  <si>
    <t>Excludes announcements on appointments, elections, budget</t>
  </si>
  <si>
    <t>Australian Financial Security Authority (formerly the Insolvency and Trustee Service Australia)</t>
  </si>
  <si>
    <t>Excludes releases concerning statistics, personal insolvency, website maintenance</t>
  </si>
  <si>
    <t>Excludes notices concerning statistics, personal insolvency, website maintenance</t>
  </si>
  <si>
    <t>Australian Government - Attorney-General's Department</t>
  </si>
  <si>
    <t>Includes only releases about financial services regulation</t>
  </si>
  <si>
    <t>Australian Government - The Treasury</t>
  </si>
  <si>
    <t>Includes only releases about financial services regulation, consumer-oriented releases not included</t>
  </si>
  <si>
    <t>Includes only reports about financial services regulation</t>
  </si>
  <si>
    <t>Australian Institute of Superannuation Trustees (AIST)</t>
  </si>
  <si>
    <t>Excludes appointments/awards, releases aimed at consumers</t>
  </si>
  <si>
    <t xml:space="preserve">Australian Payments Council </t>
  </si>
  <si>
    <t>Australian Payments Network Limited</t>
  </si>
  <si>
    <t>Includes only milestone reports</t>
  </si>
  <si>
    <t>Australian Prudential Regulation Authority (APRA)</t>
  </si>
  <si>
    <t>Excludes duplicative content e.g. announcements about a document/ event we have caputured separately</t>
  </si>
  <si>
    <t>Australian Retail Credit Association (ARCA)</t>
  </si>
  <si>
    <t>Australian Securities Exchange (ASX)</t>
  </si>
  <si>
    <t>Excludes presentations to investors, appointments, meeting notices</t>
  </si>
  <si>
    <t>Includes only speeches about regulatory developments.</t>
  </si>
  <si>
    <t>Australian Securities and Investments Commission (ASIC)</t>
  </si>
  <si>
    <t>Australian Taxation Office (ATO)</t>
  </si>
  <si>
    <t xml:space="preserve">Includes only releases about regulatory developments </t>
  </si>
  <si>
    <t>Includes only releases related to superannuation</t>
  </si>
  <si>
    <t>Australian Transactions Reports and Analysis Centre (AUSTRAC)</t>
  </si>
  <si>
    <t>Banking Code Compliance Committee (BCCC)</t>
  </si>
  <si>
    <t>Chi-X Australia</t>
  </si>
  <si>
    <t>Council of Financial Regulators (CFR)</t>
  </si>
  <si>
    <t>Financial Ombudsman Service (Australia) (FOS)</t>
  </si>
  <si>
    <t>Superseded by Australian Financial Complaints Authority (AFCA)</t>
  </si>
  <si>
    <t>Financial Planning Association of Australia (FPA)</t>
  </si>
  <si>
    <t>Includes only releases about regulatory developments. Releases aimed at consumers not included.</t>
  </si>
  <si>
    <t>Financial Reporting Council (Australia)</t>
  </si>
  <si>
    <t>Financial Services Council (formerly IFSA)</t>
  </si>
  <si>
    <t xml:space="preserve">Financial System Inquiry </t>
  </si>
  <si>
    <t>Governance Institute of Australia</t>
  </si>
  <si>
    <t>Includes only releases about financial regulatory developments</t>
  </si>
  <si>
    <t>Insurance Council of Australia (ICA)</t>
  </si>
  <si>
    <t>Mortgage &amp; Finance Association of Australia (MFAA)</t>
  </si>
  <si>
    <t>National Stock Exchange of Australia</t>
  </si>
  <si>
    <t xml:space="preserve">Revenue NSW </t>
  </si>
  <si>
    <t>Includes only the newsletter titled 'Revenews'</t>
  </si>
  <si>
    <t>Office of the Australian Information Commissioner (OAIC)</t>
  </si>
  <si>
    <t>Includes only data privacy content related to financial regulation</t>
  </si>
  <si>
    <t>Reserve Bank of Australia (RBA)</t>
  </si>
  <si>
    <t>Excludes monetary policy, appointments, awards</t>
  </si>
  <si>
    <t>Excludes economic/ monetary policy</t>
  </si>
  <si>
    <t>Stockbrokers And Financial Advisers Association (SAFAA)</t>
  </si>
  <si>
    <t>Superannuation Complaints Tribunal</t>
  </si>
  <si>
    <t xml:space="preserve">Trustee Corporations Association of Australia </t>
  </si>
  <si>
    <t>Yieldbroker</t>
  </si>
  <si>
    <t>Cook Islands</t>
  </si>
  <si>
    <t>Financial Supervisory Commission (FSC) (Cook Islands)</t>
  </si>
  <si>
    <t>Excludes forms</t>
  </si>
  <si>
    <t>Fiji</t>
  </si>
  <si>
    <t>Reserve Bank of Fiji (RBF)</t>
  </si>
  <si>
    <t>Excludes monetary policy</t>
  </si>
  <si>
    <t>Excludes non-financial services topics (e.g. awards, student topics)</t>
  </si>
  <si>
    <t xml:space="preserve">New Zealand </t>
  </si>
  <si>
    <t>Code Committee for Financial Advisers</t>
  </si>
  <si>
    <t>Commerce Commission (New Zealand)</t>
  </si>
  <si>
    <t>Includes only consultations about financial services regulation</t>
  </si>
  <si>
    <t>Includes only enforcements about financial services</t>
  </si>
  <si>
    <t>Excludes releases not related to financial regulation</t>
  </si>
  <si>
    <t>Department of Internal Affairs (Te Tari Taiwhenua)</t>
  </si>
  <si>
    <t>Financial Intelligence Unit (New Zealand)</t>
  </si>
  <si>
    <t>Financial Markets Authority (FMA) (formerly Securities Commission New Zealand)</t>
  </si>
  <si>
    <t>Excludes releases aimed at consumers, surveys, statistics, appointments</t>
  </si>
  <si>
    <t>Ministry of Business, Innovation and Employment (formerly the Ministry of Economic Development)</t>
  </si>
  <si>
    <t>Includes only reviews of Acts and other financial legislation</t>
  </si>
  <si>
    <t>Ministry of Justice (New Zealand)</t>
  </si>
  <si>
    <t>Includes only financial services regulatory developments</t>
  </si>
  <si>
    <t>NZClear</t>
  </si>
  <si>
    <t>New Zealand Bankers' Association (NZBA)</t>
  </si>
  <si>
    <t>Exclude AEOI, conveyancing, weathertight homes</t>
  </si>
  <si>
    <t>New Zealand Exchange (NZX)</t>
  </si>
  <si>
    <t>Includes only listings information, waivers and enforcements</t>
  </si>
  <si>
    <t>New Zealand Serious Fraud Office (SFO)</t>
  </si>
  <si>
    <t>Excludes fraud not related to financial services</t>
  </si>
  <si>
    <t>Overseas Investment Office (OIO)</t>
  </si>
  <si>
    <t>Includes only releases about financial regulation</t>
  </si>
  <si>
    <t>Privacy Commissioner (New Zealand)</t>
  </si>
  <si>
    <t>Reserve Bank of New Zealand (RBNZ)</t>
  </si>
  <si>
    <t>Excludes statistics, monetary policy</t>
  </si>
  <si>
    <t>No longer a productive doc type for this org</t>
  </si>
  <si>
    <t>Excludes monetary/ economic policy</t>
  </si>
  <si>
    <t>Papua New Guinea</t>
  </si>
  <si>
    <t>Bank of Papua New Guinea</t>
  </si>
  <si>
    <t>Includes only notices of a regulatory nature</t>
  </si>
  <si>
    <t>Includes only speeches of a regulatory nature; excludes monetary policy</t>
  </si>
  <si>
    <t>Samoa</t>
  </si>
  <si>
    <t>Central Bank of Samoa (CBS)</t>
  </si>
  <si>
    <t>Includes warnings, announcements of regulatory updates</t>
  </si>
  <si>
    <t>Solomon Islands</t>
  </si>
  <si>
    <t>Central Bank of Solomon Islands (CBSI)</t>
  </si>
  <si>
    <t>Includes warnings, announcements of regulatory updates, financial services related releases</t>
  </si>
  <si>
    <t>Tonga</t>
  </si>
  <si>
    <t>National Reserve Bank of Tonga (NRBT)</t>
  </si>
  <si>
    <t>Includes Financial Intelligence Unit Quarterly Reports only</t>
  </si>
  <si>
    <t>Vanuatu</t>
  </si>
  <si>
    <t>Reserve Bank of Vanuatu (RBV)</t>
  </si>
  <si>
    <t>Excludes monetary policy, currency or duplicative releases</t>
  </si>
  <si>
    <t>Includes only Financial Inclusion Reports</t>
  </si>
  <si>
    <t>Africa</t>
  </si>
  <si>
    <t>Algeria</t>
  </si>
  <si>
    <t>Commission d’Organisation et de Surveillance des Opérations de Bourse (COSOB)</t>
  </si>
  <si>
    <t>French/Arabic</t>
  </si>
  <si>
    <t>Excludes documents relating to admission to trading</t>
  </si>
  <si>
    <t>Angola</t>
  </si>
  <si>
    <t>Comissão do Mercado de Capitais (CMC) (Angola)</t>
  </si>
  <si>
    <t xml:space="preserve">Excludes appointments, warnings, future events, macroeconomics, banknotes, stats etc. </t>
  </si>
  <si>
    <t>Includes only speeches with regulatory value, e.g. details on initiatives or the work of the supervisor, global situation and development, measures or activities. etc. Speeches on general economy excluded.</t>
  </si>
  <si>
    <t xml:space="preserve">Botswana </t>
  </si>
  <si>
    <t>Bank of Botswana</t>
  </si>
  <si>
    <t>Excludes monetary policy, anniversary events</t>
  </si>
  <si>
    <t>Botswana Non-bank Financial Institutions Regulatory Authority (NBFIRA)</t>
  </si>
  <si>
    <t xml:space="preserve">Excludes public notices, warnings, vacancies </t>
  </si>
  <si>
    <t xml:space="preserve">Excludes forms, documents relating to income tax </t>
  </si>
  <si>
    <t>Botswana Stock Exchange</t>
  </si>
  <si>
    <t xml:space="preserve">Excludes company announcements </t>
  </si>
  <si>
    <t xml:space="preserve">Egypt </t>
  </si>
  <si>
    <t>Central Bank of Egypt</t>
  </si>
  <si>
    <t>Excludes foreign currency/exchange, tourism and sectors outside of banking, insurance, or securities and investment, import/export</t>
  </si>
  <si>
    <t>Egyptian Financial Supervisory Authority</t>
  </si>
  <si>
    <t xml:space="preserve">Excludes vacancies, appointments </t>
  </si>
  <si>
    <t xml:space="preserve">Ghana </t>
  </si>
  <si>
    <t>Bank of Ghana</t>
  </si>
  <si>
    <t>Excludes forex bureau guidelines</t>
  </si>
  <si>
    <t>Excludes news brief, issuance calendar</t>
  </si>
  <si>
    <t xml:space="preserve">Excludes commemorations/galas/dinners etc where the discussion is not on a regulatory matter. Excludes macroeconomic topics (e.g. monetary policy) </t>
  </si>
  <si>
    <t>National Insurance Commission (NIC)</t>
  </si>
  <si>
    <t xml:space="preserve">Excludes vacancies, appointments, donations </t>
  </si>
  <si>
    <t>Securities and Exchange Commission (Ghana)</t>
  </si>
  <si>
    <t xml:space="preserve">Kenya </t>
  </si>
  <si>
    <t>Capital Markets Authority (Kenya)</t>
  </si>
  <si>
    <t>Excludes vacancies/tenders, appointments, prizes</t>
  </si>
  <si>
    <t>Excludes enterprise specific/business community speeches, macroeconomic topics (e.g. growth)</t>
  </si>
  <si>
    <t>Central Bank of Kenya</t>
  </si>
  <si>
    <t>Excludes bank rate/reference rates, foreign exchange, currency</t>
  </si>
  <si>
    <t xml:space="preserve">Includes only documents relating to banking supervision and financial stability </t>
  </si>
  <si>
    <t>Excludes guidelines for treasury bills</t>
  </si>
  <si>
    <t>Excludes currency handling regulations</t>
  </si>
  <si>
    <t xml:space="preserve">Excludes vacancies, appointments, monetary policy meetings, awards, youth projects, general employee information </t>
  </si>
  <si>
    <t xml:space="preserve">Excludes monetary policy reports, statistics </t>
  </si>
  <si>
    <t>Financial Reporting Centre (FRC) (Kenya)</t>
  </si>
  <si>
    <t xml:space="preserve">Excludes documents issued by other bodies </t>
  </si>
  <si>
    <t>Retirement Benefits Authority (RBA)</t>
  </si>
  <si>
    <t xml:space="preserve">Excludes organisation changes (e.g. appointments), calendar, statistics, forecast, campaigns </t>
  </si>
  <si>
    <t>Excludes research</t>
  </si>
  <si>
    <t xml:space="preserve">Mauritius </t>
  </si>
  <si>
    <t xml:space="preserve">Bank of Mauritius </t>
  </si>
  <si>
    <t>Excludes currency</t>
  </si>
  <si>
    <t xml:space="preserve">Excludes FX intervention, treasury bills, awards, FX market, bank survey, buyback, balance sheet, statistics, government bonds, bank of mauritius bonds, interest rates, inflation </t>
  </si>
  <si>
    <t>Excludes awards, monetary policy, training, macroeconomic topics (e.g. trade, inflation), ceremonies/galas/dinners where the discussion is not on a regulatory matter</t>
  </si>
  <si>
    <t>Financial Services Commission (Mauritius)</t>
  </si>
  <si>
    <t xml:space="preserve">Excludes public notices (cancellation of licence) </t>
  </si>
  <si>
    <t>Excludes competitions</t>
  </si>
  <si>
    <t>Financial Intelligence Unit (Mauritius)</t>
  </si>
  <si>
    <t>Independent Commission Against Corruption (ICAC) (Mauritius)</t>
  </si>
  <si>
    <t>Includes only documents relating to banking, insurance and securities and investment</t>
  </si>
  <si>
    <t xml:space="preserve">Mauritius Revenue Authority (MRA) </t>
  </si>
  <si>
    <t>Ministry of Finance and Economic Development (Mauritius)</t>
  </si>
  <si>
    <t xml:space="preserve">Includes only guidelines under the 'financial management kit' </t>
  </si>
  <si>
    <t xml:space="preserve">Includes only financial instructions </t>
  </si>
  <si>
    <t xml:space="preserve">Excludes economic measures, public debt </t>
  </si>
  <si>
    <t>Stock Exchange of Mauritius (SEM)</t>
  </si>
  <si>
    <t>Morocco</t>
  </si>
  <si>
    <t>Autorité Marocaine du Marché des Capitaux (AMMC)</t>
  </si>
  <si>
    <t>Excludes decrees relating to data privacy, agriculture and real estate</t>
  </si>
  <si>
    <t>Excludes guides on financial education, corporate social responsibility and enterprise governance</t>
  </si>
  <si>
    <t>Excludes quarterly updates and statistical documents</t>
  </si>
  <si>
    <t xml:space="preserve">Mozambique </t>
  </si>
  <si>
    <t>Instituto de Supervisão de Seguros de Moçambique (ISSM)</t>
  </si>
  <si>
    <t>Namibia</t>
  </si>
  <si>
    <t>Bank of Namibia</t>
  </si>
  <si>
    <t xml:space="preserve">Includes only releases relating to banking supervision, payment and settlements, and financial stability </t>
  </si>
  <si>
    <t xml:space="preserve">Nigeria </t>
  </si>
  <si>
    <t>Central Bank of Nigeria</t>
  </si>
  <si>
    <t xml:space="preserve">Excludes website maintainance, foreign exchange, sectors outside of banking, insurance, or securities and investment (e.g. schools), currency, macroeconomic topics (e.g. trade) </t>
  </si>
  <si>
    <t>Excludes website maintainance, foreign exchange, macroeconomic topics (e.g. trade)</t>
  </si>
  <si>
    <t xml:space="preserve">No longer exists under this organisation </t>
  </si>
  <si>
    <t>Nigerian Financial Intelligence Unit (NFIU)</t>
  </si>
  <si>
    <t>Looks to be extremely low output but monitored in case.</t>
  </si>
  <si>
    <t>Securities and Exchange Commission (Nigeria)</t>
  </si>
  <si>
    <t xml:space="preserve">Excludes public warnings </t>
  </si>
  <si>
    <t xml:space="preserve">Seychelles </t>
  </si>
  <si>
    <t>Central Bank of Seychelles (SCB)</t>
  </si>
  <si>
    <t xml:space="preserve">Excludes foreign currency/exchange, monetary operations, scams, opening hours, </t>
  </si>
  <si>
    <t>Excludes monetary operations</t>
  </si>
  <si>
    <t>Excludes monetary policy, financial literacy, revocation of licences, banknotes and coins, statistics</t>
  </si>
  <si>
    <t>Excludes financial literacy, statistics, foreign exchange, currency, ceremonies/galas/dinners where the discussion is not on a regulatory matter</t>
  </si>
  <si>
    <t>Seychelles Financial Services Authority (FSA)</t>
  </si>
  <si>
    <t>Excludes gambling regulation</t>
  </si>
  <si>
    <t xml:space="preserve">South Africa </t>
  </si>
  <si>
    <t xml:space="preserve">Council for Medical Schemes </t>
  </si>
  <si>
    <t>Excludes agendas, seminars, workshops, recruitment, website maintenance, general health topics (non-insurance/compliance related)</t>
  </si>
  <si>
    <t xml:space="preserve">Excludes specific health topics (e.g. cancer) </t>
  </si>
  <si>
    <t xml:space="preserve">Excludes public warnings (e.g. scams), statistics, technical issues </t>
  </si>
  <si>
    <t xml:space="preserve">Includes only enforcements relating to banking, insurance, securities and investments companies </t>
  </si>
  <si>
    <t>Financial Sector Conduct Authority (FSCA)</t>
  </si>
  <si>
    <t>Exclude warnings and docs that announce the release of a more substantial document captured elsewhere</t>
  </si>
  <si>
    <t>Financial Services Board</t>
  </si>
  <si>
    <t>No longer tracked. Superseded org.</t>
  </si>
  <si>
    <t xml:space="preserve">Independent Communications Authority of South Africa (ICASA) </t>
  </si>
  <si>
    <t>Johannesburg Stock Exchange (JSE)</t>
  </si>
  <si>
    <t xml:space="preserve">Excludes listings, statistics, awards, competitions </t>
  </si>
  <si>
    <t>National Credit Regulator (NCR)</t>
  </si>
  <si>
    <t xml:space="preserve">Excludes educational workshops, statistics </t>
  </si>
  <si>
    <t>Excludes taxation, revenue</t>
  </si>
  <si>
    <t>Excludes appointments, budget, economic surveys</t>
  </si>
  <si>
    <t>Prudential Authority (PA)</t>
  </si>
  <si>
    <t>South Africa Financial Sector Charter Council</t>
  </si>
  <si>
    <t>South African Reserve Bank</t>
  </si>
  <si>
    <t xml:space="preserve">Excludes exchance control circulars </t>
  </si>
  <si>
    <t>Excludes future meetings, status of previously issued guidance notes</t>
  </si>
  <si>
    <t xml:space="preserve">Tanzania </t>
  </si>
  <si>
    <t>Bank of Tanzania</t>
  </si>
  <si>
    <t>Excludes treasury bonds, money market, statistics, rates, public notices, auction, macroeconomic topics, banknotes and coins</t>
  </si>
  <si>
    <t>Excludes foreign exchange, bureau de change, social security</t>
  </si>
  <si>
    <t>Excludes statistics, monetary policy, BOZ Reader</t>
  </si>
  <si>
    <t>Capital Markets &amp; Securities Authority (Tanzania)</t>
  </si>
  <si>
    <t>Dar Es Salaam Stock Exchange</t>
  </si>
  <si>
    <t>Financial Intelligence Unit (Tanzania)</t>
  </si>
  <si>
    <t>Excludes awards, organisation changes (e.g. appointments)</t>
  </si>
  <si>
    <t>Prevention and Combating of Corruption Bureau (PCCB)</t>
  </si>
  <si>
    <t xml:space="preserve">Excludes awards. Only includes documents relating to banking, insurance, securities and investments, data protection, anti-money laundering and terrorist financing </t>
  </si>
  <si>
    <t xml:space="preserve">Excludes campaigns, ceremonies/galas/dinners where the discussion is not on a regulatory matter, statistics </t>
  </si>
  <si>
    <t>Tanzania Insurance Regulatory Authority (TIRA)</t>
  </si>
  <si>
    <t>Uganda</t>
  </si>
  <si>
    <t>Bank of Uganda</t>
  </si>
  <si>
    <t>Includes only BoU reports and annual supervision reports</t>
  </si>
  <si>
    <t>Excludes regulations relating to foreign exchange and monetary policy</t>
  </si>
  <si>
    <t xml:space="preserve">Includes only governor/deputy governor speeches relating to banking supervision, financial stability and payment systems </t>
  </si>
  <si>
    <t>Capital Markets Authority (CMA) (Uganda)</t>
  </si>
  <si>
    <t xml:space="preserve">Zambia </t>
  </si>
  <si>
    <t>Bank of Zambia</t>
  </si>
  <si>
    <t>Excludes annual general meetings, data, government notices, locations, staff circulars</t>
  </si>
  <si>
    <t>Excludes monetary policy, financial literacy events, statistics</t>
  </si>
  <si>
    <t xml:space="preserve">Pensions and Insurance Authority (PIA) </t>
  </si>
  <si>
    <t>Excludes public notices, appointments, statistics</t>
  </si>
  <si>
    <t xml:space="preserve">Zimbabwe </t>
  </si>
  <si>
    <t>Deposit Protection Corporation (Zimbabwe)</t>
  </si>
  <si>
    <t>Excludes public notices</t>
  </si>
  <si>
    <t>Reserve Bank of Zimbabwe (RBZ)</t>
  </si>
  <si>
    <t>Includes only documents relating to payment system and banking supervision</t>
  </si>
  <si>
    <t>Excludes monetary policy, banknotes and coins, bond notes, imports and exports</t>
  </si>
  <si>
    <t>Excludes launches/ceremonies where the discussion is not on a regulatory matter, monetary policy</t>
  </si>
  <si>
    <t>Securities and Exchange Commission of Zimbabwe (SECZ)</t>
  </si>
  <si>
    <t>International</t>
  </si>
  <si>
    <t>ASEAN Capital Markets Forum (ACMF)</t>
  </si>
  <si>
    <t>Includes only updates relating to review of framework, reports, and standards</t>
  </si>
  <si>
    <t>Bank for International Settlements (BIS)</t>
  </si>
  <si>
    <t xml:space="preserve">Excludes press releases about a document that is being tracked separately. Excludes topics relating to monetary policy. Excludes appointments. </t>
  </si>
  <si>
    <t>Basel Committee on Banking Supervision (BCBS)</t>
  </si>
  <si>
    <t>Eastern Caribbean Central Bank (ECCB)</t>
  </si>
  <si>
    <t>Eastern Caribbean Securities Regulatory Commission (ECSRC)</t>
  </si>
  <si>
    <t>Egmont Group</t>
  </si>
  <si>
    <t>Includes Co-Chairs' Statements</t>
  </si>
  <si>
    <t>Financial Action Task Force (FATF)</t>
  </si>
  <si>
    <t>Financial Services Institute of Australasia (FINSIA)</t>
  </si>
  <si>
    <t>Financial Stability Board (FSB)</t>
  </si>
  <si>
    <t xml:space="preserve">Excludes announcements about a document/ event we have tracked separately. Announcements aimed at consumers also not included. </t>
  </si>
  <si>
    <t>Futures Industry Association (FIA)</t>
  </si>
  <si>
    <t>Excludes duplicative content eg. PRs about Comment Letters and Guidance and releases of little regulatory significance</t>
  </si>
  <si>
    <t>Global Financial Markets Association (GFMA)</t>
  </si>
  <si>
    <t>Excludes news releases announcing publication of a more substantive document covered by other GFMA content types</t>
  </si>
  <si>
    <t>Global Foreign Exchange Committee (GFXC)</t>
  </si>
  <si>
    <t>Institute of International Finance (IIF)</t>
  </si>
  <si>
    <t>Excludes appointments and releases of little regulatory significance</t>
  </si>
  <si>
    <t>International Association of Insurance Supervisors (IAIS)</t>
  </si>
  <si>
    <t>Excludes announcements about when seminars/ training/ stakeholder meetings will be taking place. Excludes press releases about any document that is being tracked separately. Excludes appointments.</t>
  </si>
  <si>
    <t>International Banking Federation (IBFed)</t>
  </si>
  <si>
    <t>Excludes tax, economic and monetary policy</t>
  </si>
  <si>
    <t>International Monetary Fund (IMF)</t>
  </si>
  <si>
    <t>Includes selected Issues Papers and Financial Sector Assessment Programs</t>
  </si>
  <si>
    <t xml:space="preserve">Includes only speeches on matters related to financial regulation - anything political/ about monetary policy excluded. </t>
  </si>
  <si>
    <t>International Organisation of Securities Commissions (IOSCO)</t>
  </si>
  <si>
    <t>International Securities Lending Association (ISLA)</t>
  </si>
  <si>
    <t>Excludes appointments, duplicative content (announcements of other regulators' publications) and any release linking to content behind the paywall.</t>
  </si>
  <si>
    <t>International Securities Services Association (ISSA)</t>
  </si>
  <si>
    <t>International Swaps and Derivatives Association (ISDA)</t>
  </si>
  <si>
    <t>Joint Forum</t>
  </si>
  <si>
    <t>Legal Entity Identifier Regulatory Oversight Committee (LEIROC)</t>
  </si>
  <si>
    <t>Organisation for Economic Co-operation and Development (OECD)</t>
  </si>
  <si>
    <t>Includes economic policy only</t>
  </si>
  <si>
    <t>Single Resolution Board (SRB)</t>
  </si>
  <si>
    <t>Excludes appointments and releases of non-regulatory nature</t>
  </si>
  <si>
    <t>Includes only speeches with specific regulatory content</t>
  </si>
  <si>
    <t>SWIFT</t>
  </si>
  <si>
    <t>Excludes Training Newsletters</t>
  </si>
  <si>
    <t>Excludes appointments, events, press releases announcing publication of more substantial document published under different content type</t>
  </si>
  <si>
    <t>Includes remaining relevant publications (i.e. not Newsletters or White Papers)</t>
  </si>
  <si>
    <t>Transparency International</t>
  </si>
  <si>
    <t>Includes only documents related to financial markets</t>
  </si>
  <si>
    <t>United Nations Environment Programme Finance Initiative (UNEP FI)</t>
  </si>
  <si>
    <t>Includes English reports only with (eventual) regulatory significance</t>
  </si>
  <si>
    <t>United Nations Security Council (UNSC)</t>
  </si>
  <si>
    <t xml:space="preserve">International Sanctions </t>
  </si>
  <si>
    <t>Wolfsberg Group</t>
  </si>
  <si>
    <t>Excludes publication statements</t>
  </si>
  <si>
    <t>Banca Națională a României (BNR)</t>
  </si>
  <si>
    <t xml:space="preserve">Excludes economics, macroprudential, interest rates, nominations, banknotes etc. </t>
  </si>
  <si>
    <t>Includes only speeches with regulatory impact. No economics, macroprudential, interest rates, nominations, banknotes etc.</t>
  </si>
  <si>
    <t>CIMD OTF</t>
  </si>
  <si>
    <t>Eumedion</t>
  </si>
  <si>
    <t>HPC OTF</t>
  </si>
  <si>
    <t>Ministry of Economic Affairs and Digital Transformation (Spain)</t>
  </si>
  <si>
    <t>Includes only current Ministry of Finance consultations that directly concern the regulation of financial services.</t>
  </si>
  <si>
    <t>Includes only Letters from the President</t>
  </si>
  <si>
    <t>NOREXECO</t>
  </si>
  <si>
    <t>Excludes appointments, monetary policy, statistics, and press releases announcing publications covered under other content types</t>
  </si>
  <si>
    <t>Türkiye Sigorta Birliği (TSB)</t>
  </si>
  <si>
    <t>Includes financial services releases only.</t>
  </si>
  <si>
    <t>Uzbekistan</t>
  </si>
  <si>
    <t>Central Bank of the Republic of Uzbekistan</t>
  </si>
  <si>
    <t xml:space="preserve">Includes only laws relating to financial regulation. Excludes security, liability, e-governance, tax, budget, parliamentary oversight, customs code etc. </t>
  </si>
  <si>
    <t>Includes only documents concerning regulation of financial services</t>
  </si>
  <si>
    <t>Excludes documents concerning macroeconomic topics, appointments, auction results, meetings, training events</t>
  </si>
  <si>
    <t>Excludes regulations concerning monetary policy, public financing, entrepreneurship and circulation of cash</t>
  </si>
  <si>
    <t>Excludes macroeconomic topics</t>
  </si>
  <si>
    <t>Japan Investor Protection Fund (JIPF)</t>
  </si>
  <si>
    <t>Excludes appointments and updates to member lists</t>
  </si>
  <si>
    <t>Guatemala</t>
  </si>
  <si>
    <t>Superintendencia de Bancos (Guatemala)</t>
  </si>
  <si>
    <t>Ethiopia</t>
  </si>
  <si>
    <t>National Bank of Ethiopia (NBE)</t>
  </si>
  <si>
    <t>Excludes awards, appointments and news releases announcing a substantive doc published under the other content types</t>
  </si>
  <si>
    <t>Excludes press releases announcing the publication of a more substantive doc captured under another doc type.</t>
  </si>
  <si>
    <t>Excludes Market Circulars and Technical Notices</t>
  </si>
  <si>
    <t>Includes product certifications</t>
  </si>
  <si>
    <t>Includes Securities act amendments</t>
  </si>
  <si>
    <t>Includes CSA staff notices</t>
  </si>
  <si>
    <t>Includes ASC staff notices</t>
  </si>
  <si>
    <t>Includes acts and ordinances</t>
  </si>
  <si>
    <t>Includes Ministerial orders</t>
  </si>
  <si>
    <t xml:space="preserve">Excludes papers on statistics/data, macroeconomic topics </t>
  </si>
  <si>
    <t>Includes letters</t>
  </si>
  <si>
    <t>Includes Code of Practice updates</t>
  </si>
  <si>
    <t>Includes Credit Law</t>
  </si>
  <si>
    <t>Details of selectivity/coverage comments</t>
  </si>
  <si>
    <t>Includes updates to code of conduct</t>
  </si>
  <si>
    <t>Includes Information papers</t>
  </si>
  <si>
    <t>Includes Prudential practice guides and standards</t>
  </si>
  <si>
    <t xml:space="preserve">Includes Letters to ADIs, General Insurers and Trustees. Also includes statistical releases relating to the banking and insurance sectors and ad hoc regulatory updates </t>
  </si>
  <si>
    <t>Includes enforceable undertakings</t>
  </si>
  <si>
    <t>Includes regulatory guides</t>
  </si>
  <si>
    <t xml:space="preserve">Excludes duplicative content e.g. announcements about a document/ event captured separately. Announcements aimed at consumers not included. </t>
  </si>
  <si>
    <t>Includes regulatory impact statements</t>
  </si>
  <si>
    <t>Includes minimum standards</t>
  </si>
  <si>
    <t>Includes papers from the Committee on Payments and Market Infrastructures, Committee on Payment and Settlement system, and Committee on the global financial system</t>
  </si>
  <si>
    <t>Excludes speeches on monetary policy</t>
  </si>
  <si>
    <t>Includes quarterly reviews</t>
  </si>
  <si>
    <t>Excludes newsletter updates, job vacancies, scholarship programmes</t>
  </si>
  <si>
    <t xml:space="preserve">Includes only consultations relating to banking supervision and financial stability </t>
  </si>
  <si>
    <t>Includes financial stability reviews</t>
  </si>
  <si>
    <t>Excludes foreign currency</t>
  </si>
  <si>
    <t>Includes business plans</t>
  </si>
  <si>
    <t>Includes code of conduct updates</t>
  </si>
  <si>
    <t>Includes code of conduct</t>
  </si>
  <si>
    <t>Includes directives, guidance notes and practice notes</t>
  </si>
  <si>
    <t>Includes by-laws</t>
  </si>
  <si>
    <t>Includes OSC notices</t>
  </si>
  <si>
    <t>Includes Dealer, Member and Listing bulletins</t>
  </si>
  <si>
    <t>Excludes reorganisations</t>
  </si>
  <si>
    <t>Includes research papers</t>
  </si>
  <si>
    <t>Excludes releases on valuations, election results, appointments</t>
  </si>
  <si>
    <t>Includes Foreign account holder and commercial bank content only; excludes Application Forms for Foreign Exchange Transactions</t>
  </si>
  <si>
    <t>Ad-hoc communications only captured once if published under multiple volumes</t>
  </si>
  <si>
    <t>Includes quarterly updates</t>
  </si>
  <si>
    <t>Board agreements excluding economic and monetary policy, internal operations, public-sector content</t>
  </si>
  <si>
    <t>Includes economic reports</t>
  </si>
  <si>
    <t>Includes warning notices</t>
  </si>
  <si>
    <t>Includes schedule of dates for statistical reporting requirements and letters to the industry</t>
  </si>
  <si>
    <t>Includes public response statements. Speeches excludes macroeconomic topics  (e.g. monetary policy, interest rates, inflation, balance sheet, GDP)</t>
  </si>
  <si>
    <t>Includes guidance and briefing notes</t>
  </si>
  <si>
    <t>Includes memoranda of understanding</t>
  </si>
  <si>
    <t xml:space="preserve">No longer published under this organisation </t>
  </si>
  <si>
    <t xml:space="preserve">Excludes guidance notes for sectors outside of banking, insurance, or securities and investment (e.g. aviation), statistics, macroeconomic topics (e.g. monetary policy) </t>
  </si>
  <si>
    <t xml:space="preserve">Excludes letters on macroeconomic topics (e.g. monetary policy) </t>
  </si>
  <si>
    <t>Includes concept papers</t>
  </si>
  <si>
    <t>Includes quarterly bulletins</t>
  </si>
  <si>
    <t>Letters excluding approvals to operate</t>
  </si>
  <si>
    <t>Includes memoranda</t>
  </si>
  <si>
    <t xml:space="preserve">Includes English public statements and speeches only </t>
  </si>
  <si>
    <t>Includes market regulation advisory notices</t>
  </si>
  <si>
    <t>Includes business and financial practices guidelines</t>
  </si>
  <si>
    <t xml:space="preserve">Includes rules, instruments and policies </t>
  </si>
  <si>
    <t>Includes decrees</t>
  </si>
  <si>
    <t>Includes handbooks</t>
  </si>
  <si>
    <t>Includes Advisory and Market Regulation Advisory notices</t>
  </si>
  <si>
    <t>Includes Market Regulation Advisory notices</t>
  </si>
  <si>
    <t>Includes general resolutions and memoranda of understanding</t>
  </si>
  <si>
    <t>Includes agreements and decrees</t>
  </si>
  <si>
    <t>Includes disciplinary penalties</t>
  </si>
  <si>
    <t>Includes general rules</t>
  </si>
  <si>
    <t>Includes explanatory notes</t>
  </si>
  <si>
    <t>Excludes market performance, enforcement, training or meeting announcements</t>
  </si>
  <si>
    <t>Includes Information collection activities and Proposed information collection activities</t>
  </si>
  <si>
    <t>Includes adjudicatory orders</t>
  </si>
  <si>
    <t>Includes practice notes</t>
  </si>
  <si>
    <t>Includes plans and budgets</t>
  </si>
  <si>
    <t>Includes final and proposed policy statements</t>
  </si>
  <si>
    <t>Includes circular letters</t>
  </si>
  <si>
    <t>Includes executive orders</t>
  </si>
  <si>
    <t>Includes factsheets</t>
  </si>
  <si>
    <t>Includes regulatory impact assessments</t>
  </si>
  <si>
    <t>Includes Information collection activities and Proposed information collection activities; excludes Internal Revenue Service collections</t>
  </si>
  <si>
    <t>Includes advance notice filings</t>
  </si>
  <si>
    <t>Includes rules of procedure</t>
  </si>
  <si>
    <t xml:space="preserve">Includes Dear SEO letters, guidance making instruments, leaflets, and practice notes </t>
  </si>
  <si>
    <t>Includes rulemaking instruments</t>
  </si>
  <si>
    <t>Includes enforeable undertakings</t>
  </si>
  <si>
    <t>Includes member notices</t>
  </si>
  <si>
    <t>Includes advisories and guidance notes</t>
  </si>
  <si>
    <t>Includes Banking Stakeholder Group releases and Submissions and technical advice to the European Commission</t>
  </si>
  <si>
    <t>Includes letters; excludes macroeconomic topics e.g. monetary policy, interest rates, inflation, balance sheet, financial situation, sovereign debt, GDP, asset purchase program, currency, exchange rate</t>
  </si>
  <si>
    <t>Includes Fin Focus newletters</t>
  </si>
  <si>
    <t xml:space="preserve">Includes only reports and papers relating to banking, insurance, securities and investments, data protection, anti-money laundering and terrorist financing. Excludes statistics </t>
  </si>
  <si>
    <t>Excludes macroeconomic topics.</t>
  </si>
  <si>
    <t>Includes letters; excludes macroeconomic topics.</t>
  </si>
  <si>
    <t>Includes Submissions and technical advice to the European Commission</t>
  </si>
  <si>
    <t>Includes calls for evidence</t>
  </si>
  <si>
    <t xml:space="preserve">Includes letters, warnings; Excludes calendars, reference documents, tender </t>
  </si>
  <si>
    <t>Includes news releases; excludes macroeconomic topics  (e.g. monetary policy)</t>
  </si>
  <si>
    <t>Includes Financial institution letters</t>
  </si>
  <si>
    <t>Includes information collection activities and proposed information collection activities</t>
  </si>
  <si>
    <t>Includes advisory bulletins</t>
  </si>
  <si>
    <t>Includes Consumer Affairs letters and Supervision and Regulation letters</t>
  </si>
  <si>
    <t>Excludes speeches on monetary policy, and those with little regulatory significance</t>
  </si>
  <si>
    <t>Includes Market watch and sector newsletters</t>
  </si>
  <si>
    <t>Includes supervisory notices</t>
  </si>
  <si>
    <t>Includes regulatory impact assessments related to MiFID II</t>
  </si>
  <si>
    <t>Includes board minutes</t>
  </si>
  <si>
    <t>Includes warning notice statements</t>
  </si>
  <si>
    <t>Includes handbook notices</t>
  </si>
  <si>
    <t>Includes Dear CEO letters, Dear Compliance Officer letters, guidance notes and Retail Conduct Risk Outlooks</t>
  </si>
  <si>
    <t>Includes advisories and factsheets</t>
  </si>
  <si>
    <t>Includes investor alerts</t>
  </si>
  <si>
    <t>Includes corporate plans</t>
  </si>
  <si>
    <t>Includes exposure drafts</t>
  </si>
  <si>
    <t>Includes standards</t>
  </si>
  <si>
    <t>Includes FAIS Notices</t>
  </si>
  <si>
    <t>Excludes tax-related legislation</t>
  </si>
  <si>
    <t>Includes securities/pensions/insurance-related advisories only</t>
  </si>
  <si>
    <t>Includes principles</t>
  </si>
  <si>
    <t>Includes joint working group reports</t>
  </si>
  <si>
    <t>Includes ordinances</t>
  </si>
  <si>
    <t>Includes codes</t>
  </si>
  <si>
    <t>Includes supervision releases</t>
  </si>
  <si>
    <t xml:space="preserve">Includes only decrees relating to banks, insurance companies, securities and investments firms e.g. excludes health </t>
  </si>
  <si>
    <t>Includes only letters and documents relating to banking, securities and investments</t>
  </si>
  <si>
    <t>Includes regulatory impact assessments relating to banking, securities and investments</t>
  </si>
  <si>
    <t>Includes leaflets</t>
  </si>
  <si>
    <t>Includes participant updates</t>
  </si>
  <si>
    <t>Includes procedures</t>
  </si>
  <si>
    <t>Includes ASC notices</t>
  </si>
  <si>
    <t>Includes only audit reports relating to banking, securities and investments</t>
  </si>
  <si>
    <t>Includes advisories</t>
  </si>
  <si>
    <t>Includes issue papers</t>
  </si>
  <si>
    <t>Includes questionnaires</t>
  </si>
  <si>
    <t>Excludes general information, economic speeches, financial reports</t>
  </si>
  <si>
    <t>Includes code of content; excludes non financial services related content</t>
  </si>
  <si>
    <t>Includes standards; excludes non financial services related content</t>
  </si>
  <si>
    <t>Includes staff position notes</t>
  </si>
  <si>
    <t>Includes concluding statements</t>
  </si>
  <si>
    <t>Includes briefing notes</t>
  </si>
  <si>
    <t>Includes white papers</t>
  </si>
  <si>
    <t>Includes Administrative notices, Dealer rules notices, Education notices, Marketplace notices, and Membership development notices</t>
  </si>
  <si>
    <t>Includes only enforcement notices announcing decisions (e.g. settlement agreements/penalty decisions); Excludes notices of hearing</t>
  </si>
  <si>
    <t>Includes notifications of rule changes</t>
  </si>
  <si>
    <t>Includes letters to the industry</t>
  </si>
  <si>
    <t>Excludes macroeconomic topics; Includes presentation slides</t>
  </si>
  <si>
    <t>Includes rules, instruments and policies</t>
  </si>
  <si>
    <t>Includes Market Regulation Advisory Notices</t>
  </si>
  <si>
    <t>Includes notifications of caution</t>
  </si>
  <si>
    <t>Includes franchise standards</t>
  </si>
  <si>
    <t>Includes fines for dealing offences</t>
  </si>
  <si>
    <t>Includes notices on transitional periods</t>
  </si>
  <si>
    <t>Includes notices on effective date of new rules</t>
  </si>
  <si>
    <t>Includes compliance updates</t>
  </si>
  <si>
    <t>Includes blanket orders</t>
  </si>
  <si>
    <t>Includes notifications of rule changes, updates on anti-money laundering and financial legislation; Excludes updates on legislation concerning tourism on Jeju Island and updates on economic forums and lectures, appointments, statistical reports, and regular financial activities</t>
  </si>
  <si>
    <t xml:space="preserve">Includes only letters relating to banking, insurance, securities and investments, data protection, anti-money laundering and terrorist financing </t>
  </si>
  <si>
    <t>Includes only regulatory related releases and cooperation; Excludes economic development, financial updates, news on activities and promotions, seminars, inflation</t>
  </si>
  <si>
    <t>Includes only letters and documents relating to banking, insurance, securities and investments</t>
  </si>
  <si>
    <t>Includes only industry updates on financial services regulatory developments</t>
  </si>
  <si>
    <t>Government agency that exercises oversight over day-to-day law enforcement; only includes financial-related updates</t>
  </si>
  <si>
    <t>Excludes tender invitations, cessations of individual entities, revocations of license</t>
  </si>
  <si>
    <t>Includes exemption orders</t>
  </si>
  <si>
    <t>Includes notices of non-objection</t>
  </si>
  <si>
    <t>Includes notices of recission</t>
  </si>
  <si>
    <t>Includes legal opinions</t>
  </si>
  <si>
    <t xml:space="preserve">Excludes papers on macroeconomic topics </t>
  </si>
  <si>
    <t>Has broad administrative and planning control over the Chinese economy; only includes financial-related updates</t>
  </si>
  <si>
    <t>Includes rulemaking petitions</t>
  </si>
  <si>
    <t>Includes advisories; Excludes designations</t>
  </si>
  <si>
    <t>Includes requests for extension</t>
  </si>
  <si>
    <t>Includes procedural notes</t>
  </si>
  <si>
    <t>Includes model rules</t>
  </si>
  <si>
    <t xml:space="preserve">Includes letters; Excludes statistics and macroeconomic topics </t>
  </si>
  <si>
    <t>Includes blanket orders and Director's orders</t>
  </si>
  <si>
    <t xml:space="preserve">Includes Information collection activities and Proposed information collection activities </t>
  </si>
  <si>
    <t>Includes advisory letters</t>
  </si>
  <si>
    <t>Includes Code of practice updates</t>
  </si>
  <si>
    <t>Includes Accounting guidelines, Business and financial practices guidelines, Capital adequacy guidelines and Prudential guidelines</t>
  </si>
  <si>
    <t>Excludes trade specific notices e.g. auction</t>
  </si>
  <si>
    <t>Includes OSC staff notices</t>
  </si>
  <si>
    <t xml:space="preserve">Includes letters. Excludes employer notices, organisational changes (e.g. appointments, new members), statistics. Not included when a substantive document is available. Excludes notices of documents issued by other EU bodies  </t>
  </si>
  <si>
    <t>Includes Policy statements and Supervisory statements</t>
  </si>
  <si>
    <t>Includes payments system publications</t>
  </si>
  <si>
    <t>Includes handbook documents</t>
  </si>
  <si>
    <t>Includes codes of practice and statements of intent</t>
  </si>
  <si>
    <t>Includes staff legal bulletins</t>
  </si>
  <si>
    <t>Includes Administrative proceedings and Litigation releases</t>
  </si>
  <si>
    <t>Includes OCIE releases</t>
  </si>
  <si>
    <t>Includes Concept releases, Information collection activities and Proposed information collection activities</t>
  </si>
  <si>
    <t>Includes NMS plans</t>
  </si>
  <si>
    <t>Includes exemptive orders</t>
  </si>
  <si>
    <t>Includes regulatory notices (including settlement, fees etc); holiday notices; risk warning notices; changes to trading system; training and examination notices; news on cooperation with other regulators in regulatory matters</t>
  </si>
  <si>
    <t>Includes Regulator's column</t>
  </si>
  <si>
    <t>Includes Regulation communiques</t>
  </si>
  <si>
    <t>Includes only policy and procedures related to banking/insurance/securities sectors</t>
  </si>
  <si>
    <t>Includes only letters relating to financial services.</t>
  </si>
  <si>
    <t>Excludes documents issued by other regulators; Includes only state-owned related rules, instruments and policies</t>
  </si>
  <si>
    <t>Includes listing notices</t>
  </si>
  <si>
    <t>Includes accounting manuals applicable to financial institutions only</t>
  </si>
  <si>
    <t>Includes SUCAVE updates</t>
  </si>
  <si>
    <t>Includes agreements</t>
  </si>
  <si>
    <t>Includes draft agreements</t>
  </si>
  <si>
    <t>Includes local rules</t>
  </si>
  <si>
    <t>Forms no longer tracked</t>
  </si>
  <si>
    <t>Includes advice papers relating to banking, insurance, securities and investment</t>
  </si>
  <si>
    <t xml:space="preserve">Includes codes of practice, regulatory updates, regulator's repsonses and documents relating to strategy and policy </t>
  </si>
  <si>
    <t xml:space="preserve">Includes practice statements; Excludes organisational changes (e.g. appointment of new member/chairman) </t>
  </si>
  <si>
    <t>Includes only AML, repo agreements, compliance officers forms</t>
  </si>
  <si>
    <t>Includes only AML, repo agreements, compliance officers forms. Excludes instrument-specific announcements</t>
  </si>
  <si>
    <t>Excludes letters on corporate actions/trading</t>
  </si>
  <si>
    <t>Includes FATF letters only</t>
  </si>
  <si>
    <t>Bosnia and Herzegovina</t>
  </si>
  <si>
    <t>Banking Agency of Republika Srpska</t>
  </si>
  <si>
    <t>Bosnian/English</t>
  </si>
  <si>
    <t>Dutch Payments Association</t>
  </si>
  <si>
    <t>Only includes releases issued by the Association. Excludes content on payment transactions unless in the context of PSD2</t>
  </si>
  <si>
    <t>Excludes external publications, “Reasoncodes incasso”, “Formulieren incasso”, “Betaalwijzers”, “SEPA-documentatie”, “SEPA-formulieren” and “Gastles Week v/h Geld”</t>
  </si>
  <si>
    <t>Moldova</t>
  </si>
  <si>
    <t>National Bank of Moldova (NBM)</t>
  </si>
  <si>
    <t xml:space="preserve">Exclude updates to Law on the National Bank of Moldova </t>
  </si>
  <si>
    <t>North Macedonia</t>
  </si>
  <si>
    <t>National Bank of the Republic of North Macedonia</t>
  </si>
  <si>
    <t>Macedonian</t>
  </si>
  <si>
    <t>Includes only reports with regulatory significance</t>
  </si>
  <si>
    <t>Includes only documents relating to banks, insurance companies, securities and investments firms with regulatory significance</t>
  </si>
  <si>
    <t>Palestine</t>
  </si>
  <si>
    <t>Palestine Monetary Authority (PMA)</t>
  </si>
  <si>
    <t>Armenia</t>
  </si>
  <si>
    <t>Central Bank of Armenia</t>
  </si>
  <si>
    <t>Includes Banking, Insurance, Credit Activities, Securities Market, Investment Services, Payment Services and Funded Pension Systems</t>
  </si>
  <si>
    <t>Includes Banking, Insurance, Credit Activities, Securities Market, Investment Services, Payment Services, Funded Pension Systems. AML/CFT and Consumer Protection</t>
  </si>
  <si>
    <t>Excludes releases regarding issuance of coins, monetary policy, macroeconomic topics</t>
  </si>
  <si>
    <t>Includes regulations impacting Banks, Professional Lending Institutions and Payment Service Companies</t>
  </si>
  <si>
    <t>Includes AML legislation</t>
  </si>
  <si>
    <t>Cuba</t>
  </si>
  <si>
    <t>Banco Central de Cuba (BCC)</t>
  </si>
  <si>
    <t>Excludes monetary policy releases</t>
  </si>
  <si>
    <t>Timor-Leste</t>
  </si>
  <si>
    <t>Banco Central de Timor-Leste (BCTL)</t>
  </si>
  <si>
    <t>Cape Verde</t>
  </si>
  <si>
    <t>Banco de Cabo Verde (BCV)</t>
  </si>
  <si>
    <t>Democratic Republic of the Congo</t>
  </si>
  <si>
    <t>Banque Centrale du Congo (BCC)</t>
  </si>
  <si>
    <t>Excludes content unrelated to financial services, trading hours/bank opening hours, appointments,  questionaires, events and monetary policy</t>
  </si>
  <si>
    <t>Libya</t>
  </si>
  <si>
    <t>Central Bank of Libya (CBL)</t>
  </si>
  <si>
    <t>Excludes content unrelated to financial services, trading hours/bank opening hours, appointments, bonds, questionaires, events and economic policy</t>
  </si>
  <si>
    <t>Danish Ministry of Industry, Business and Financial Affairs (Erhvervsministeriet)</t>
  </si>
  <si>
    <t>Includes only documents concerning BFSI regulation</t>
  </si>
  <si>
    <t>Excludes releases announcing publication of more substantial doc published elsewhere</t>
  </si>
  <si>
    <t>Aquis Stock Exchange (AQSE)</t>
  </si>
  <si>
    <t>Polish Financial Ombudsman</t>
  </si>
  <si>
    <t>Excludes appointments, internal operations announcements</t>
  </si>
  <si>
    <t>Polish Chamber of Fund and Asset Management (IZFiA)</t>
  </si>
  <si>
    <t>Includes Codes and Standards</t>
  </si>
  <si>
    <t>No longer tracked as discrete content type</t>
  </si>
  <si>
    <t>Excludes speeches without regulatory content</t>
  </si>
  <si>
    <t>Mongolia</t>
  </si>
  <si>
    <t>Central Bank of Mongolia</t>
  </si>
  <si>
    <t>Excludes appointments, precious metal purchases; financial services topics only</t>
  </si>
  <si>
    <t>Mongolian</t>
  </si>
  <si>
    <t>Includes Codes</t>
  </si>
  <si>
    <t>Excludes bulletins on the Australian and global economy</t>
  </si>
  <si>
    <t>Includes Clearing and Settlement Facilities guidance</t>
  </si>
  <si>
    <t>Guinea</t>
  </si>
  <si>
    <t>Banque Centrale de la République de Guinée (BCRG)</t>
  </si>
  <si>
    <t>Banque des États de l'Afrique Centrale (BEAC)</t>
  </si>
  <si>
    <t xml:space="preserve">Payment Systems only. Exclude documents concerning auction results, beneficiary lists, agreements, charters, imports and exports, exchange rate activity and mining. </t>
  </si>
  <si>
    <t>Banking Supervision only. Excludes documents concerning presentation models, corporate governance, internal appointments, imports and exports, exchange rate activity and importing bank notes.</t>
  </si>
  <si>
    <t>Includes Payment Systems and Banking Supervision only.</t>
  </si>
  <si>
    <t>Conseil Régional de l'Epargne Publique et des Marchés Financiers (CREPMF)</t>
  </si>
  <si>
    <t>Excludes circulars relating to regional visas and how to submit documents.</t>
  </si>
  <si>
    <t>Excludes documents concerning account balances, statistics, corporate governance, form submissions</t>
  </si>
  <si>
    <t>Eswatini</t>
  </si>
  <si>
    <t>Financial Services Regulatory Authority (FSRA) (Eswatini)</t>
  </si>
  <si>
    <t>Merged with Borsa Italiana</t>
  </si>
  <si>
    <t>No longer tracked as a discrete content type</t>
  </si>
  <si>
    <t>Azerbaijan</t>
  </si>
  <si>
    <t>Includes updates to AML / CFT Handbook for regulated financial services business and AML / CFT Handbook for the legal sector; also includes updates to Codes of Practice</t>
  </si>
  <si>
    <t>Includes industry updates; Excludes warnings, appointments, business hours, releases announcing publication of other JFSC content types, and releases lacking regulatory significance</t>
  </si>
  <si>
    <t>Excludes statistics, severity survey; Includes annual reports</t>
  </si>
  <si>
    <t>Includes Administrative Rulings</t>
  </si>
  <si>
    <t>Members Exchange (MEMX)</t>
  </si>
  <si>
    <t>Includes only reports and white papers with regulatory significance</t>
  </si>
  <si>
    <t>Includes Regulatory Comments and Recommendations only</t>
  </si>
  <si>
    <t>Small Exchange</t>
  </si>
  <si>
    <t>Central Bank of the Republic of Azerbaijan</t>
  </si>
  <si>
    <t>Azerbaijani/English</t>
  </si>
  <si>
    <t>Turkmenistan</t>
  </si>
  <si>
    <t>Central Bank of Turkmenistan</t>
  </si>
  <si>
    <t>Excludes news on the development of the national economy; domestic and foreign policy news; meetings of the Cabinet of Ministers, news on the development of other industries than banking, financial and insurance; President's speeches on macroeconomic topics, news on import/export, conferences. Includes only news on banking, financial and insurance sectors, regulatory news.</t>
  </si>
  <si>
    <t>Tunisia</t>
  </si>
  <si>
    <t>Central Bank of Tunisia</t>
  </si>
  <si>
    <t>Excludes circulars concerning monetary policy,  macro/micro financing, mobile payment services, circulation of bank notes and SME financing</t>
  </si>
  <si>
    <t>Madagascar</t>
  </si>
  <si>
    <t>Banky Foiben'i Madagasikara (BFM)</t>
  </si>
  <si>
    <t>Excludes documents concerning SME activities, granting of licenses, interest rate changes, currency exchanges, periodic statements, monetary policy, economic policy, macro or micro finance and statistical information</t>
  </si>
  <si>
    <t>Liberia</t>
  </si>
  <si>
    <t>Central Bank of Liberia (CBL)</t>
  </si>
  <si>
    <t>Albania</t>
  </si>
  <si>
    <t>Albanian Financial Supervisory Authority (AFSA)</t>
  </si>
  <si>
    <t>Autorité des Marchés Financiers (France) (AMF)</t>
  </si>
  <si>
    <t>General Inspector of Financial Information (GIFI)</t>
  </si>
  <si>
    <t>International Capital Market Services Association (ICMSA)</t>
  </si>
  <si>
    <t>Ministry of the Economy, Finance and the Recovery (France)</t>
  </si>
  <si>
    <t>Ministry of Economic Development of the Russian Federation</t>
  </si>
  <si>
    <t>Excludes macroeconomic topics, external economic topics, employment, tax topics, appointments, news on heavy industry topics: manufacturing, construction, engineering, energy. Includes only topics on "regulatory guillotine", sustainable development , laws related to banking/investment/securities industries, regulatory sandboxes.</t>
  </si>
  <si>
    <t>Financial Intelligence Directorate (Bahrain)</t>
  </si>
  <si>
    <t>Includes only working papers with regulatory relevance</t>
  </si>
  <si>
    <t>Afghanistan</t>
  </si>
  <si>
    <t>Da Afghanistan Bank (DAB)</t>
  </si>
  <si>
    <t>Includes only releases concerning BFSI regulation</t>
  </si>
  <si>
    <t>Kyrgyzstan</t>
  </si>
  <si>
    <t>National Bank of the Kyrgyz Republic</t>
  </si>
  <si>
    <t>Excludes laws on credit union, business partnerships and microfinancing</t>
  </si>
  <si>
    <t>Tajikistan</t>
  </si>
  <si>
    <t>National Bank of Tajikistan</t>
  </si>
  <si>
    <t>Excludes updates to the laws on the National Bank of the Republic of Tajikistan, on Pawnshops, and on Precious Metals and Gemstones</t>
  </si>
  <si>
    <t>Excludes charts of accounts</t>
  </si>
  <si>
    <t>Excludes statistical reporting forms, Registers of Balance Sheet Accounts for Islamic Credit Institutions</t>
  </si>
  <si>
    <t xml:space="preserve">Excludes releases concerning: upcoming auctions/auction results, monetary policy, inflation, exchange rates, interest rates, statistics update, external/domestic state debt of Tajikistan, financial literacy of citizens, exchange rates, holiday greetings/festival event. </t>
  </si>
  <si>
    <t>Securities Industry Council (SIC)</t>
  </si>
  <si>
    <t>Excludes announcements of other covered CFR content types</t>
  </si>
  <si>
    <t>Haiti</t>
  </si>
  <si>
    <t>Banque de la République d'Haïti (BRH)</t>
  </si>
  <si>
    <t>Excludes documents pertaining to monetary or economic policy, inflation, interest rates, government reserves, bonds and foreign currencies</t>
  </si>
  <si>
    <t>Rwanda</t>
  </si>
  <si>
    <t>National Bank of Rwanda</t>
  </si>
  <si>
    <t>Includes banking, financial consumer protection, deposit insurance and AML/CFT only</t>
  </si>
  <si>
    <t>Excludes speeches lacking regulatory relevance</t>
  </si>
  <si>
    <t>Associazione Nazionale fra le Imprese Assicuratrici (ANIA)</t>
  </si>
  <si>
    <t>Excludes position papers and guidelines on insurance products related to automotive industry and road infrastructure.</t>
  </si>
  <si>
    <t>Excludes interventions related to automotive industry and road infrastructure. Excludes presentation slides.</t>
  </si>
  <si>
    <t>Montenegro</t>
  </si>
  <si>
    <t>Central Bank of Montenegro</t>
  </si>
  <si>
    <t xml:space="preserve">Excludes documents concerning international reserves, monetary instruments, statisitcs, banknotes, coins, counterfeiting. </t>
  </si>
  <si>
    <t>Kosovo</t>
  </si>
  <si>
    <t>Central Bank of the Republic of Kosovo</t>
  </si>
  <si>
    <t>Excludes documents regarding events, awards, tariffs, automotive insurance, office openings and recruitment, appointments, economic policy, loan instalments</t>
  </si>
  <si>
    <t>Danmarks Nationalbank</t>
  </si>
  <si>
    <t>Excludes releases with heavy focus on economy or statistics as well as those related to topics such as monetary policy and household debt.</t>
  </si>
  <si>
    <t>Excludes economic memos, publications heavy on statistics and publications covering topics such as monetary and fiscal policy, the (macro)economy, household debt/income, private consumption, inflation and national currency (Krone) performance.</t>
  </si>
  <si>
    <t>Excludes reports heavy on statistics as well as reports covering topics including monetary policy and the economy.</t>
  </si>
  <si>
    <t>Excludes speeches covering macroprudential, monetary and fiscal policy, and the (macro)economy.</t>
  </si>
  <si>
    <t>Excludes appointments of external auditors of national central banks.</t>
  </si>
  <si>
    <t>Finance Finland (FFI)</t>
  </si>
  <si>
    <t>Excludes tax and data privacy.</t>
  </si>
  <si>
    <t>Includes digitalisation, sustainable / green finance, payment systems. Excludes documents concerning awards, appointments, statistics, student loans, corporate governance, equality in the workplace, home/animal/car/life insurance, opening/closing of bank branches and contactless payments</t>
  </si>
  <si>
    <t>Finnish</t>
  </si>
  <si>
    <t>Financial Intelligence Service (FIS) (Guernsey)</t>
  </si>
  <si>
    <t>Excludes reports lacking regulatory significance</t>
  </si>
  <si>
    <t>Norges Bank</t>
  </si>
  <si>
    <t>Excludes topics such as monetary, macroprudential and fiscal policy, the (macro)economy, Terms and Conditions, and fee announcements/changes.</t>
  </si>
  <si>
    <t>Excludes topics such as appointments, the (macro)economy and monetary, macroprudential and fiscal policy.</t>
  </si>
  <si>
    <t>Excludes releases heavy on statistics as well as releases on loan offers, policy rate (as a single topic), the (macro)economy, macroprudential, monetary and fiscal policy, exchange transactions and those related to currencies.</t>
  </si>
  <si>
    <t>Excludes topics such as monetary, macroprudential and fiscal policy, and the (macro)economy.</t>
  </si>
  <si>
    <t>Norwegian</t>
  </si>
  <si>
    <t>The Association of Corporate Trustees (TACT)</t>
  </si>
  <si>
    <t>Excludes appointments, membership updates, releases announcing publication of documents behind login/paywall or lacking regulatory significance</t>
  </si>
  <si>
    <t>Includes Equities Trading Notices</t>
  </si>
  <si>
    <t>No longer separately tracked; now captured as Final Rules</t>
  </si>
  <si>
    <t>Securities Depository Center Company (Edaa)</t>
  </si>
  <si>
    <t>Excludes Capital Market Law and publications about general meetings, careers, tender offers, fees, foreign securities, participants directory, forms, unlisted companies, and general/consumer information</t>
  </si>
  <si>
    <t>Maldives</t>
  </si>
  <si>
    <t>Maldives Monetary Authority (MMA)</t>
  </si>
  <si>
    <t>Ministry of Finance (Pakistan)</t>
  </si>
  <si>
    <t>New Zealand Financial Markets Association (NZFMA)</t>
  </si>
  <si>
    <t>Mauritania</t>
  </si>
  <si>
    <t>Banque Centrale de Mauritanie</t>
  </si>
  <si>
    <t>Includes ordinances; Exclude updates regarding currency trading or forex market, bonds, economics, microfinance, statistics, leasing, revenue generated by tourists</t>
  </si>
  <si>
    <t>Includes decrees; Exclude updates regarding currency trading or forex market, bonds, economics, microfinance, statistics, leasing, revenue generated by tourists</t>
  </si>
  <si>
    <t>Somalia</t>
  </si>
  <si>
    <t>Central Bank of Somalia (CBS)</t>
  </si>
  <si>
    <t>Somali/English</t>
  </si>
  <si>
    <t>Malawi</t>
  </si>
  <si>
    <t>Reserve Bank of Malawi</t>
  </si>
  <si>
    <t>Includes directives</t>
  </si>
  <si>
    <t>No longer operating</t>
  </si>
  <si>
    <t>Ministry of External Relations (Jersey)</t>
  </si>
  <si>
    <t>Includes BFSI-related content only.</t>
  </si>
  <si>
    <t>Andorran Financial Authority (AFA)</t>
  </si>
  <si>
    <t>Includes Technical Communiqués</t>
  </si>
  <si>
    <t>Exclude appointments and topics such as currencies, the IMF and monetary and fiscal policy.</t>
  </si>
  <si>
    <t>Catalan</t>
  </si>
  <si>
    <t>Andorra</t>
  </si>
  <si>
    <t>Association Luxembourgeoise des Fonds d'Investissement (ALFI)</t>
  </si>
  <si>
    <t>Banca Centrale della Repubblica di San Marino (BCSM)</t>
  </si>
  <si>
    <t>San Marino</t>
  </si>
  <si>
    <t>Excludes speeches on monetary policy and taxation</t>
  </si>
  <si>
    <t>Excludes releases related to auctions, AGMs, payslips, State Treasury, training courses and internships, appointments, and quarterly bulletins, statistical data and warnings.</t>
  </si>
  <si>
    <t>Excludes CVS appendices updates (statistical information) and circulars related to matters concerning Public Administration</t>
  </si>
  <si>
    <t>Italian</t>
  </si>
  <si>
    <t>Excludes banknotes, coins, foreign exchange, macroeconomic topics, notices of documents issued by other EU bodies, statistics, notices of future events</t>
  </si>
  <si>
    <t>No longer tracked. Previous output now classified to Bulletins, News and Press Releases and Notices.</t>
  </si>
  <si>
    <t>Includes BIBA Guides and Insurance Supplements</t>
  </si>
  <si>
    <t>Council of Bureaux (CoB)</t>
  </si>
  <si>
    <t>Includes updates to the CoB Guidelines on outsourcing</t>
  </si>
  <si>
    <t>Also includes some releases from CoB members</t>
  </si>
  <si>
    <t>Includes updates to Internal Regulations and Explanatory Memorandum of the Internal Regulations</t>
  </si>
  <si>
    <t>No longer tracked; issued by the Danish Ministry of Industry, Business and Financial Affairs (Erhvervsministeriet).</t>
  </si>
  <si>
    <t>No longer tracked; previous output now classified to News and Press Releases</t>
  </si>
  <si>
    <t>Includes orders</t>
  </si>
  <si>
    <t>Excludes duplicative releases announcing the publication of other available content types.</t>
  </si>
  <si>
    <t>Alternative Reference Rates Committee (ARRC)</t>
  </si>
  <si>
    <t>Excludes events, website updates, appointments and releases announcing the publication of other available content types</t>
  </si>
  <si>
    <t>Connecticut Insurance Department</t>
  </si>
  <si>
    <t>Includes Department Notices only.</t>
  </si>
  <si>
    <t>Includes "Annual Report to the Governor and Legislature" and "Annual Consumer Protection and Financial Enforcement Division Reports"</t>
  </si>
  <si>
    <t>Excludes releases lacking relevance to BFSI regulation.</t>
  </si>
  <si>
    <t>North American Securities Administrators Association (NASAA)</t>
  </si>
  <si>
    <t>Excludes appointments.</t>
  </si>
  <si>
    <t>Includes Monthly briefs</t>
  </si>
  <si>
    <t>Includes staff papers</t>
  </si>
  <si>
    <t>Includes information papers and monographs</t>
  </si>
  <si>
    <t>Includes practice statements from the MAS Securities Industry Council</t>
  </si>
  <si>
    <t>Bhutan</t>
  </si>
  <si>
    <t>Royal Monetary Authority of Bhutan</t>
  </si>
  <si>
    <t>Excludes releases on monetary policy and those lacking BFSI regulatory significance.</t>
  </si>
  <si>
    <t>Lesotho</t>
  </si>
  <si>
    <t>Central Bank of Lesotho (CBL)</t>
  </si>
  <si>
    <t>Includes BFSI related content only; no appointments, covid counts, community announcements</t>
  </si>
  <si>
    <t>Includes banking, banking supervision, financial consumer protection, deposit insurance and AML/CFT only</t>
  </si>
  <si>
    <t>Asset Management Association (Switzerland)</t>
  </si>
  <si>
    <t>Excludes member-only documents, events and invitations to the AGM</t>
  </si>
  <si>
    <t>Excludes member-only documents</t>
  </si>
  <si>
    <t>English/French/German</t>
  </si>
  <si>
    <t>Excludes surveys and documents that merely repeat announcements from other regulatory organisations. Also excludes fund market statistics, changes in the Board of Directors, overviews of the previous financial year/outlooks for the coming financial year, events</t>
  </si>
  <si>
    <t>EBM MTF</t>
  </si>
  <si>
    <t>Equiduct</t>
  </si>
  <si>
    <t>Includes clearing (Eurex Clear) and trading circulars</t>
  </si>
  <si>
    <t>Excludes releases on topics such as simulations, participant lists and the Capital Markets Academy. Includes Functional and Technical Information publications.</t>
  </si>
  <si>
    <t>Includes Digests of Decisions only (not individual enforcements)</t>
  </si>
  <si>
    <t>Excludes trading figures, appointments and releases lacking regulatory impact</t>
  </si>
  <si>
    <t>No longer active; replaced by Asset Management Association (Switzerland)</t>
  </si>
  <si>
    <t>Includes Guides to Aid Companies in Regulatory Compliance, Enforcement Handbook and Handbooks on Trade Surveillance and Other Matters</t>
  </si>
  <si>
    <t>Includes waivers only</t>
  </si>
  <si>
    <t>Includes Listing Rule waivers only</t>
  </si>
  <si>
    <t>Palau</t>
  </si>
  <si>
    <t>Financial Institutions Commission (FIC) (Palau)</t>
  </si>
  <si>
    <t>Excludes appointments or macroeconomic topics</t>
  </si>
  <si>
    <t>New Caledonia, Tahiti, Wallis and Futuna</t>
  </si>
  <si>
    <t>Institut d’émission d’Outre-Mer (IEOM)</t>
  </si>
  <si>
    <t>Excludes all fortnightly press releases on monetary policy decisions.</t>
  </si>
  <si>
    <t>Includes Market Insights only</t>
  </si>
  <si>
    <t>Only includes practice notes specifically impacting BFSI firms</t>
  </si>
  <si>
    <t>Marshall Islands</t>
  </si>
  <si>
    <t>RMI Banking Commission</t>
  </si>
  <si>
    <t>Excludes releases lacking regulatory impact</t>
  </si>
  <si>
    <t>Secretaría de Prevención de Lavado de Dinero o Bienes (SEPRELAD)</t>
  </si>
  <si>
    <t>BFSI content only.</t>
  </si>
  <si>
    <t>Includes decrees. BFSI content only.</t>
  </si>
  <si>
    <t>São Tomé and Príncipe</t>
  </si>
  <si>
    <t>Banco Central de São Tomé e Príncipe (BCSTP)</t>
  </si>
  <si>
    <t>Excludes administrative updates, tenders, appointments and macroeconomic updates</t>
  </si>
  <si>
    <t>Bank of Sierra Leone</t>
  </si>
  <si>
    <t>Sierra Leone</t>
  </si>
  <si>
    <t>Excludes Monthly Economic Reviews and the MPC Statement</t>
  </si>
  <si>
    <t>Banque Centrale des Comores</t>
  </si>
  <si>
    <t>Comoros</t>
  </si>
  <si>
    <t>Exclude statistical bulletins and quarterly reports, calls for applications, and communications related to meetings and seminars.</t>
  </si>
  <si>
    <t>Djibouti</t>
  </si>
  <si>
    <t>Banque Centrale de Djibouti</t>
  </si>
  <si>
    <t>Excludes decrees related to the circulation of coins/banknotes.</t>
  </si>
  <si>
    <t>Bank of Albania</t>
  </si>
  <si>
    <t>Excludes monetary policy and releases lacking regulatory significance</t>
  </si>
  <si>
    <t>Eesti Pank</t>
  </si>
  <si>
    <t>Excludes monetary policy, trade, appointments, statistics, coins</t>
  </si>
  <si>
    <t>Excludes papers lacking regulatory significance</t>
  </si>
  <si>
    <t>LME Clear</t>
  </si>
  <si>
    <t>Pension Benefit Guaranty Corporation (PBGC)</t>
  </si>
  <si>
    <t>Saudi Central Bank (SAMA)</t>
  </si>
  <si>
    <t>State Administration for Market Regulation (SAMR)</t>
  </si>
  <si>
    <t>BFSI-related updates only</t>
  </si>
  <si>
    <t>Anguilla</t>
  </si>
  <si>
    <t>Anguilla Financial Services Commission</t>
  </si>
  <si>
    <t>National Treasury (South Africa)</t>
  </si>
  <si>
    <t>Nigeria Deposit Insurance Corporation (NDIC)</t>
  </si>
  <si>
    <t>No longer used.</t>
  </si>
  <si>
    <t>No longer used</t>
  </si>
  <si>
    <t>No longer used; now classified to Notices</t>
  </si>
  <si>
    <t>Excludes non-regulatory releases</t>
  </si>
  <si>
    <t>Euronext Dublin</t>
  </si>
  <si>
    <t>Euronext Expand</t>
  </si>
  <si>
    <t>European Insurance CFO Forum</t>
  </si>
  <si>
    <t>Excludes news releases announcing publication of a more substantive document covered by other IMF content types and non-regulatory topics</t>
  </si>
  <si>
    <t>Irish Funds Industry Association (Irish Funds)</t>
  </si>
  <si>
    <t>Excludes releases on statistics, volume, Featured Premium Sponsors, appointments, calls for nominations, upcoming webinars, announcements of substantive documents already captured, members only docs and docs lacking regulatory impact</t>
  </si>
  <si>
    <t>No longer tracked; replaced by Euronext Dublin</t>
  </si>
  <si>
    <t>Euronext</t>
  </si>
  <si>
    <t>Euronext Amsterdam</t>
  </si>
  <si>
    <t>Euronext Brussels</t>
  </si>
  <si>
    <t>Euronext Lisbon</t>
  </si>
  <si>
    <t>Euronext Paris</t>
  </si>
  <si>
    <t>American Financial Services Association (AFSA)</t>
  </si>
  <si>
    <t>Canada Revenue Agency (CRA)</t>
  </si>
  <si>
    <t>Includes only documents with effect on pensions and listed financial institutions.</t>
  </si>
  <si>
    <t>National Association of Insurance Commissioners (NAIC)</t>
  </si>
  <si>
    <t>Tokyo Commodity Exchange</t>
  </si>
  <si>
    <t>Customer Owned Banking Association (COBA)</t>
  </si>
  <si>
    <t>Payments NZ</t>
  </si>
  <si>
    <t>Excludes releases lacking regulatory significance</t>
  </si>
  <si>
    <t>Financial Intelligence Centre (FIC) (Namibia)</t>
  </si>
  <si>
    <t>Financial Intelligence Centre (FIC) (South Africa)</t>
  </si>
  <si>
    <t>Insurance Regulatory Authority of Uganda (IRA)</t>
  </si>
  <si>
    <t>National Insurance Commission (NAICOM) (Nigeria)</t>
  </si>
  <si>
    <t>Includes professional guides</t>
  </si>
  <si>
    <t>Includes blogs</t>
  </si>
  <si>
    <t>Includes updates to Nordic Main Market Rulebook for Issuers of Shares; NASDAQ Nordic Member Rules; Derivatives Rules; Rules for Issuers</t>
  </si>
  <si>
    <t>National Bank of Serbia (NBS)</t>
  </si>
  <si>
    <t>Includes Decisions</t>
  </si>
  <si>
    <t>Includes Market monitor</t>
  </si>
  <si>
    <t>Pensions Dashboards Programme (PDP)</t>
  </si>
  <si>
    <t>Includes Communications</t>
  </si>
  <si>
    <t>California Department of Financial Protection and Innovation (DFPI)</t>
  </si>
  <si>
    <t>California Department of Insurance</t>
  </si>
  <si>
    <t>Includes Financial Filing Requirements and Instructions, Licensing Services Division, Education Provider and miscelleaneous notices</t>
  </si>
  <si>
    <t>Includes General Council Opinions</t>
  </si>
  <si>
    <t>Excludes check casher fees</t>
  </si>
  <si>
    <t>Coverage specific to insurance firms. Includes Year-End Instructions, Questionnaires and Checklists; Reserve Requirements; Notices Regarding Payout Annuity Valuation Interest Rate Changes; Annual Changes in Market Conduct Profile; Property/Casualty and Emergency Management Data Calls; PFL Premium Rate Decisions</t>
  </si>
  <si>
    <t>Florida Department of Financial Services</t>
  </si>
  <si>
    <t>Coverage limited to insurance issuances</t>
  </si>
  <si>
    <t>Florida Office of Insurance Regulation</t>
  </si>
  <si>
    <t>Includes Catastrophe Reporting Notices, Assignment of Benefits Data Calls, Data Reporting Requirements, Form and Rate Filing Information for Health Plans</t>
  </si>
  <si>
    <t>Texas Department of Insurance</t>
  </si>
  <si>
    <t>Includes Commissoner's letters to the industry, filing requirements and data calls.</t>
  </si>
  <si>
    <t>ICE Futures Abu Dhabi (IFAD)</t>
  </si>
  <si>
    <t>Includes only Regulatory circulars</t>
  </si>
  <si>
    <t>International Financial Services Centres Authority (IFSCA)</t>
  </si>
  <si>
    <t>Exclude notifications related to tax.</t>
  </si>
  <si>
    <t>Exclude releases related to events, meetings, and roundtables.</t>
  </si>
  <si>
    <t>Exclude Circulars relating to sectors other than financial services/banking.</t>
  </si>
  <si>
    <t>No longer tracked; rule updates captured by Final Rules</t>
  </si>
  <si>
    <t>Includes enforcement decisions</t>
  </si>
  <si>
    <t>Comisión Nacional de Seguros y Fianzas (CNSF)</t>
  </si>
  <si>
    <t>Autorité de Contrôle des Assurances et de la Prévoyance Sociale (ACAPS) (Morocco)</t>
  </si>
  <si>
    <t>Includes Annual Reports and Financial Stability Reports only. Excludes social welfare reports.</t>
  </si>
  <si>
    <t>Excludes content on social security, pension schemes, data privacy, occupational accidents as well as workplace, industrial or motor vehicle accidents.</t>
  </si>
  <si>
    <t>Includes AML/CTF releases only.</t>
  </si>
  <si>
    <t>Excludes releases on committee meetings, workshops, webinars, training events and social security</t>
  </si>
  <si>
    <t>Insurance Regulatory Authority (IRA) (Kenya)</t>
  </si>
  <si>
    <t>Coverage limited to insurance issuances; Includes CFO directives</t>
  </si>
  <si>
    <t>Excludes competitions, awards, approvals of new banks, non-regulatory issuances.</t>
  </si>
  <si>
    <t>Association Française des Professionnels des Titres (AFTI)</t>
  </si>
  <si>
    <t>Includes Guides; excludes all content regarding tax</t>
  </si>
  <si>
    <t>Financial Services Culture Board (FSCB)</t>
  </si>
  <si>
    <t>NEW ORGANISATIONS</t>
  </si>
  <si>
    <t>Includes only speeches of regulatory significance</t>
  </si>
  <si>
    <t>Nasdaq Commodities</t>
  </si>
  <si>
    <t>Nasdaq Nordic</t>
  </si>
  <si>
    <t>Nasdaq Riga</t>
  </si>
  <si>
    <t>Nasdaq Vilnius</t>
  </si>
  <si>
    <t>No longer active; replaced by Nasdaq BX</t>
  </si>
  <si>
    <t>Nasdaq BX</t>
  </si>
  <si>
    <t>Nasdaq Phlx</t>
  </si>
  <si>
    <t>Nasdaq Stock Market</t>
  </si>
  <si>
    <t>Small Business Administration (SBA)</t>
  </si>
  <si>
    <t>Includes information notices pertaining to lender oversight; excludes tax</t>
  </si>
  <si>
    <t>Insurance Control Commission (ICC) (Lebanon)</t>
  </si>
  <si>
    <t>Nasdaq Dubai</t>
  </si>
  <si>
    <t>Palestine Capital Market Authority (PCMA)</t>
  </si>
  <si>
    <t>Agency of the Republic of Kazakhstan for Regulation and Development of Financial Market</t>
  </si>
  <si>
    <t>Excludes organisational changes (e.g. appointments), licence issuance/revocation, voluntary liquidation, statistics, future events, macroeconomic topics.</t>
  </si>
  <si>
    <t>Insurance Regulatory Commission of Sri Lanka (IRCSL)</t>
  </si>
  <si>
    <t>Excludes PBoC branch/local enforcements</t>
  </si>
  <si>
    <t>Includes BSM enforcements</t>
  </si>
  <si>
    <t>Autorité de Régulation et de Contrôle des Assurances (ARCA) (Democratic Republic of the Congo)</t>
  </si>
  <si>
    <t>Exclude publications regarding tax, events or technical guidance on specific insurance activities such as fire, construction, motor vehicle etc.</t>
  </si>
  <si>
    <t>NEW CONTENT TYPES FOR EXISTING ORGANISATIONS</t>
  </si>
  <si>
    <t>Nasdaq Futures (NFX)</t>
  </si>
  <si>
    <t>Financial Stability Institute (FSI)</t>
  </si>
  <si>
    <t>Includes FSI Insights, FSI Briefs and the FSI Crisis Management Series</t>
  </si>
  <si>
    <t>Includes FSI Executive Summaries</t>
  </si>
  <si>
    <t>Global Federation of Insurance Associations (GFIA)</t>
  </si>
  <si>
    <t>Excludes News releases announcing the publication of Annual Reports and Position Papers</t>
  </si>
  <si>
    <t>Excludes appointments, awards and releases lacking regulatory significance</t>
  </si>
  <si>
    <t>FairX</t>
  </si>
  <si>
    <t>Includes Practice Statements</t>
  </si>
  <si>
    <t>Includes National Risk Assessments</t>
  </si>
  <si>
    <t>Insurance and Pensions Commission (IPEC)</t>
  </si>
  <si>
    <t>Includes proposed directives</t>
  </si>
  <si>
    <t>Connecticut Legislature</t>
  </si>
  <si>
    <t>Georgia Legislature</t>
  </si>
  <si>
    <t>Illinois Legislature</t>
  </si>
  <si>
    <t>Massachusetts Legislature</t>
  </si>
  <si>
    <t>New Jersey Legislature</t>
  </si>
  <si>
    <t>New York Legislature</t>
  </si>
  <si>
    <t>Ohio Legislature</t>
  </si>
  <si>
    <t>Includes only bills affecting consumer banking statutes, including mortgage lending. Reg event is created when the bill completes its passage through both houses and is sent to the Governor.</t>
  </si>
  <si>
    <t>Excludes investor warnings</t>
  </si>
  <si>
    <t>Not included when a substantive document is available. Excludes forms, technical information, consumer information, investor warnings</t>
  </si>
  <si>
    <t>Excludes banknotes, coins, foreign exchange, macroeconomic topics, notices of documents issued by other EU bodies, statistics, notices of future events, investor warnings</t>
  </si>
  <si>
    <t>Includes only documents relating to banking, insurance, securities and investments. Excludes investor warnings.</t>
  </si>
  <si>
    <t xml:space="preserve">Excludes warnings and notices of documents issued by other EU bodies. Not included when the substantive document is available. </t>
  </si>
  <si>
    <t>Excludes website improvements, appointments, general employee information, warnings</t>
  </si>
  <si>
    <t>Access to Insurance Initiative (A2ii)</t>
  </si>
  <si>
    <t>Excludes scholarships, upcoming events and releases lacking regulatory significance.</t>
  </si>
  <si>
    <t>ORGANISATION NAME CHANGES</t>
  </si>
  <si>
    <t xml:space="preserve">Previous Organisation Name </t>
  </si>
  <si>
    <t>Cboe Europe</t>
  </si>
  <si>
    <t>Includes only Participant Notices concerning updates to the Rule Book and Participant Manual for equities and derivatives</t>
  </si>
  <si>
    <t>European Association of Co-operative Banks (EACB)</t>
  </si>
  <si>
    <t>European Association of Public Banks (EAPB)</t>
  </si>
  <si>
    <t>European Savings and Retail Banking Group (ESBG)</t>
  </si>
  <si>
    <t>Includes News &amp; Views quarterly</t>
  </si>
  <si>
    <t>New Organisation Name</t>
  </si>
  <si>
    <t>European Structured Investment Products Association (EUSIPA)</t>
  </si>
  <si>
    <t>Excludes PRs announcing the publications of position papers or market reports</t>
  </si>
  <si>
    <t>Insurance Ireland</t>
  </si>
  <si>
    <t>Excludes duplicative releases; events; Includes advocacy efforts</t>
  </si>
  <si>
    <t>Excludes non-regulatory releases; includes annual reports</t>
  </si>
  <si>
    <t>World Savings and Retail Banking Group (WSBI)</t>
  </si>
  <si>
    <t>Bitnomial Exchange</t>
  </si>
  <si>
    <t>Colorado Division of Insurance</t>
  </si>
  <si>
    <t>Includes advisories for insurers not covered by Latest Updates</t>
  </si>
  <si>
    <t>Includes notices for insurers not covered by Latest Updates</t>
  </si>
  <si>
    <t>Includes data calls/surveys</t>
  </si>
  <si>
    <t>Includes speeches of regulatory significance</t>
  </si>
  <si>
    <t>Independent Community Bankers of America (ICBA)</t>
  </si>
  <si>
    <t>Includes letters to regulators; excludes letters to Congress</t>
  </si>
  <si>
    <t>Excludes duplicative releases; events; awards</t>
  </si>
  <si>
    <t>Massachusetts Division of Insurance</t>
  </si>
  <si>
    <t>Includes Filing Guidance Notices</t>
  </si>
  <si>
    <t>Excludes product certifications</t>
  </si>
  <si>
    <t>Washington Office of the Insurance Commissioner</t>
  </si>
  <si>
    <t>Includes only releases concerning guidance/requirments for insurance firms</t>
  </si>
  <si>
    <t>Includes filing instructions</t>
  </si>
  <si>
    <t>Includes special data calls and surveys</t>
  </si>
  <si>
    <t>National Insurance Brokers Association (NIBA)</t>
  </si>
  <si>
    <t>Excludes awards; appointments;  events; duplicative releases announcing NIBA submissions or other regulators' publications covered elsewhere in Content Set</t>
  </si>
  <si>
    <t>Matba Rofex</t>
  </si>
  <si>
    <t>Includes only working papers with regulatory impact</t>
  </si>
  <si>
    <t>No longer tracked; content moved behind paywall</t>
  </si>
  <si>
    <t>Excludes PRs announcing publication of documents issued by other EU bodies, statistics, public warnings, financial literacy events for consumers, future events/workshops, competitions and awards, website maintenance. Not included when a substantive document is available.</t>
  </si>
  <si>
    <t>Excludes appointments and non-regulatory releases</t>
  </si>
  <si>
    <t>No longer tracked; previous output now covered under Notices</t>
  </si>
  <si>
    <t>Ministry of Finance of the Republic of Belarus</t>
  </si>
  <si>
    <t>Canadian Investor Protection Fund (CIPF)</t>
  </si>
  <si>
    <t>Excludes statistical releases, cease trade orders and notices of hearing</t>
  </si>
  <si>
    <t>Excludes appointments, scholarships</t>
  </si>
  <si>
    <t>Boursa Kuwait</t>
  </si>
  <si>
    <t>Excludes announcements about net profit, listings, and statistics</t>
  </si>
  <si>
    <t>Beijing Stock Exchange</t>
  </si>
  <si>
    <t>Autoridad de Supervisión del Sistema Financiero (ASFI)</t>
  </si>
  <si>
    <t>Excludes all content re: specific financial institutions, monetary policy, operational information</t>
  </si>
  <si>
    <t>Banco Central de Bolivia (BCB)</t>
  </si>
  <si>
    <t>Excludes all content re: specific financial institutions</t>
  </si>
  <si>
    <t>Banco Central de Honduras (BCH)</t>
  </si>
  <si>
    <t>Superintendencia de Seguros de la Nación (SSN) (Argentina)</t>
  </si>
  <si>
    <t>Excludes meeting info, presentations (unless announcing regulator change) and other operative announcements</t>
  </si>
  <si>
    <t>Agência Angolana de Regulação e Supervisão de Seguros (ARSEG)</t>
  </si>
  <si>
    <t>Excludes meeting info and other operative announcements</t>
  </si>
  <si>
    <t>Banco de Moçambique</t>
  </si>
  <si>
    <t>Excludes interest rate updates</t>
  </si>
  <si>
    <t>Bank Al-Maghrib</t>
  </si>
  <si>
    <t>Excludes data privacy, macroeconomics, financial incusion, events, certifications and appointments</t>
  </si>
  <si>
    <t>Central Bank of Eswatini</t>
  </si>
  <si>
    <t>Excludes coin issuances and releases lacking regularoty significance</t>
  </si>
  <si>
    <t>Comité Général des Assurances (CGA) (Tunisia)</t>
  </si>
  <si>
    <t>Exclude circulars on border tariffs and vehicles.</t>
  </si>
  <si>
    <t>Conférence Interafricaine des Marchés d'Assurance (CIMA)</t>
  </si>
  <si>
    <t xml:space="preserve">Sanction decisions only. Excludes warnings. </t>
  </si>
  <si>
    <t>Benin, Burkina Faso, Cameroon, Central African Republic, Chad, Congo, Ivory Coast, Gabon, Guinea Bissau, Equatorial Guinea, Mali, Niger, Senegal, and Togo</t>
  </si>
  <si>
    <t>Namibia Financial Institutions Supervisory Authority (NAMFISA)</t>
  </si>
  <si>
    <t>Brunei, Cambodia, Indonesia, Laos, Malaysia, Philippines, Singapore, Thailand and Vietnam</t>
  </si>
  <si>
    <t>Cameroon, Central African Republic, Chad, Equatorial Guinea, Gabon and Republic of the Congo</t>
  </si>
  <si>
    <t>Benin, Burkina Faso, Côte d'Ivoire, Guinea-Bissau, Mali, Niger, Senegal and Togo</t>
  </si>
  <si>
    <t>Anguilla, Antigua and Barbuda, Dominica, Grenada, Montserrat, Saint Kitts and Nevis, Saint Lucia, and Saint Vincent and the Grenadines</t>
  </si>
  <si>
    <t>Australia and New Zealand</t>
  </si>
  <si>
    <t>D%$&amp;01_b9dbeb5e8847417390deb3106eb7f689</t>
  </si>
  <si>
    <t>Neary, Bryan A. (TR Product)_13801__Windows (64-bit) NT 10.00_TR-H0STZY2_0134637$$$09112021</t>
  </si>
  <si>
    <t>"$F;@!114529"</t>
  </si>
  <si>
    <t>Austria, Belgium, Denmark, Finland, France, Germany, Greece, Hungary, Ireland, Italy, Lebanon, Luxembourg, Netherlands, Norway, Poland, Portugal, Slovenia, Spain, Sweden, Switzerland, United Kingdom</t>
  </si>
  <si>
    <t>Association of Mutual Insurer and Insurance Cooperatives in Europe (AMICE)</t>
  </si>
  <si>
    <t>Excludes appointments, duplicative releases announcing the publication of a more substantive document</t>
  </si>
  <si>
    <t>Excludes non-regulatory publications</t>
  </si>
  <si>
    <t>Geneva Association</t>
  </si>
  <si>
    <t>Excludes appointments, awards, duplicative releases announcing the publication of a more substantive document</t>
  </si>
  <si>
    <t>Includes triparty papers and codes</t>
  </si>
  <si>
    <t>Includes Regulations and Rules</t>
  </si>
  <si>
    <t>Excludes statistics, website maintenance, duplicative releases announcing the publication of a more substantive document.</t>
  </si>
  <si>
    <t>Network for Greening the Financial System (NGFS)</t>
  </si>
  <si>
    <t>Includes Guides</t>
  </si>
  <si>
    <t>Includes publications which are not Reports or Guides</t>
  </si>
  <si>
    <t>Excludes duplicative releases announcing the publication of more substantive doc</t>
  </si>
  <si>
    <t>Includes updates to TILA-RESPA Integrated Disclosure FAQs, Mortgage Servicing FAQs, Debt Collection Rule FAQs, Home Mortgage Disclosure Act FAQs, Electronic Fund Transfers FAQs, Real Estate Settlement Procedures Act FAQs, Payday Lending Rule FAQs, Secure and Fair Enforcement for Mortgage Licensing Act FAQs, LIBOR Transition FAQs, Credit Card Agreement Submission FAQs</t>
  </si>
  <si>
    <t>Excludes Economic and Fiscal Updates, Financial Statements/Reports, Budget, International reserves</t>
  </si>
  <si>
    <t>Insurance Bureau of Canada (IBC)</t>
  </si>
  <si>
    <t>International Accounting Standards Board (IASB)</t>
  </si>
  <si>
    <t>No longer available (outside paywall) to be tracked</t>
  </si>
  <si>
    <t>Includes Staff Statements</t>
  </si>
  <si>
    <t>Excludes any Company Related or Trading segments/categories/departments</t>
  </si>
  <si>
    <t>Brunei Darussalam Central Bank (BDCB)</t>
  </si>
  <si>
    <t>No longer tracked. Previous output now classified to News and Press Releases.</t>
  </si>
  <si>
    <t>Excludes non-regulatory releases.</t>
  </si>
  <si>
    <t>Includes guidance notes</t>
  </si>
  <si>
    <t>Insurance Council of New Zealand (ICNZ)</t>
  </si>
  <si>
    <t>CSD BR (Brazil)</t>
  </si>
  <si>
    <t>Excludes duplicative SUSEP content</t>
  </si>
  <si>
    <t>Asociación Española de Banca (AEB)</t>
  </si>
  <si>
    <t>Excludes events and financial results announcements.</t>
  </si>
  <si>
    <t>Association française des Sociétés de Placement Immobilier (ASPIM)</t>
  </si>
  <si>
    <t>Excludes performance statistics, performance indicators, newsletters, studies, videos and content pertaining to gender equality, events, appointment, tributes and regulations for landlords/tenants/homeowners.</t>
  </si>
  <si>
    <t>Associazione Italiana Certificati e Prodotti di Investimento (ACEPI)</t>
  </si>
  <si>
    <t>Excluding publications simply detailing regulatory documents issued by other organisations (elsewhere in Content Set)</t>
  </si>
  <si>
    <t>Assuralia</t>
  </si>
  <si>
    <t>Excluding publications on topics with no BFSI-impact, such as road accidents, legal protection, the right to be forgotten, etc.</t>
  </si>
  <si>
    <t>Excluding agreements related to the military, water damage, home insurance, automotive sector</t>
  </si>
  <si>
    <t>Pensions content only</t>
  </si>
  <si>
    <t>Deutscher Derivate Verband (DDV)</t>
  </si>
  <si>
    <t>Excludes statistical and tax-related publications such as market volume and index reports as well as monthly trends.</t>
  </si>
  <si>
    <t>Excludes tax-related publications.</t>
  </si>
  <si>
    <t>Deutsches Aktieninstitut</t>
  </si>
  <si>
    <t>Exclude statistical and tax-related publications as well as those covering appointments.</t>
  </si>
  <si>
    <t>European Federation of Investors and Financial Services Users (Better Finance)</t>
  </si>
  <si>
    <t>Exclude appointments, events, topics lacking relevance to BFSI regulation.</t>
  </si>
  <si>
    <t>Includes BFSI relevant releases not covered by other content types.</t>
  </si>
  <si>
    <t>Belgium, Bulgaria, Finland, France, Germany, Greece, Italy, Luxembourg, Netherlands, Poland, Portugal, Romania, Spain, Switzerland, United Kingdom</t>
  </si>
  <si>
    <t xml:space="preserve">EuropeanIssuers </t>
  </si>
  <si>
    <t>Includes only releases discussing comments not covered by separate position paper.</t>
  </si>
  <si>
    <t>France Invest</t>
  </si>
  <si>
    <t>Excludes content regarding general investment guidance or advice</t>
  </si>
  <si>
    <t>Excludes content regarding appointments, employment, gender equality, performance statistics, events, fundraising</t>
  </si>
  <si>
    <t>Invest Europe</t>
  </si>
  <si>
    <t>Includes Orders</t>
  </si>
  <si>
    <t>Swedish Securities Markets Association (Svensk Värdepappersmarknad)</t>
  </si>
  <si>
    <t>Excludes EU news, employment</t>
  </si>
  <si>
    <t>Includes blog releases</t>
  </si>
  <si>
    <t>UK Sustainable Investment and Finance Association (UKSIF)</t>
  </si>
  <si>
    <t>Includes enforcement news</t>
  </si>
  <si>
    <t>CFA Institute</t>
  </si>
  <si>
    <t>New Mexico Legislature</t>
  </si>
  <si>
    <t>Tennessee Legislature</t>
  </si>
  <si>
    <t>Ministry of Economy (United Arab Emirates)</t>
  </si>
  <si>
    <t>Includes AML and financial crime legislation</t>
  </si>
  <si>
    <t>Includes guides</t>
  </si>
  <si>
    <t>Excludes listings, capital increments and related content</t>
  </si>
  <si>
    <t>No longer active.</t>
  </si>
  <si>
    <t>Cboe Australia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</si>
</sst>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sz val="10"/>
      <name val="Arial"/>
      <family val="2"/>
    </font>
    <font>
      <sz val="11"/>
      <color theme="0"/>
      <name val="Calibri"/>
      <family val="2"/>
      <scheme val="minor"/>
    </font>
    <font>
      <b/>
      <sz val="10"/>
      <color rgb="FFFFFFFF"/>
      <name val="Arial"/>
      <family val="2"/>
    </font>
    <font>
      <sz val="10"/>
      <color rgb="FF000000"/>
      <name val="Arial"/>
      <family val="2"/>
    </font>
    <font>
      <sz val="11"/>
      <color theme="1"/>
      <name val="Calibri"/>
      <family val="2"/>
    </font>
    <font>
      <b/>
      <sz val="10"/>
      <color theme="0"/>
      <name val="Arial"/>
      <family val="2"/>
    </font>
    <font>
      <sz val="10"/>
      <color theme="1"/>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0"/>
      <color rgb="FF000000"/>
      <name val="Times New Roman"/>
      <family val="1"/>
    </font>
    <font>
      <u/>
      <sz val="10"/>
      <color theme="10"/>
      <name val="Times New Roman"/>
      <family val="1"/>
    </font>
    <font>
      <u/>
      <sz val="11"/>
      <color theme="10"/>
      <name val="Calibri"/>
      <family val="2"/>
    </font>
    <font>
      <sz val="11"/>
      <color theme="1"/>
      <name val="Arial"/>
      <family val="2"/>
    </font>
    <font>
      <b/>
      <sz val="14"/>
      <color theme="0"/>
      <name val="Calibri"/>
      <family val="2"/>
      <scheme val="minor"/>
    </font>
  </fonts>
  <fills count="33">
    <fill>
      <patternFill patternType="none"/>
    </fill>
    <fill>
      <patternFill patternType="gray125"/>
    </fill>
    <fill>
      <patternFill patternType="solid">
        <fgColor theme="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397">
    <xf numFmtId="0" fontId="0" fillId="0" borderId="0"/>
    <xf numFmtId="0" fontId="2" fillId="2" borderId="0" applyNumberFormat="0" applyBorder="0" applyAlignment="0" applyProtection="0"/>
    <xf numFmtId="0" fontId="9" fillId="0" borderId="0" applyNumberFormat="0" applyFill="0" applyBorder="0" applyAlignment="0" applyProtection="0"/>
    <xf numFmtId="0" fontId="10" fillId="0" borderId="1" applyNumberFormat="0" applyFill="0" applyAlignment="0" applyProtection="0"/>
    <xf numFmtId="0" fontId="11" fillId="0" borderId="2" applyNumberFormat="0" applyFill="0" applyAlignment="0" applyProtection="0"/>
    <xf numFmtId="0" fontId="12" fillId="0" borderId="3" applyNumberFormat="0" applyFill="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4" applyNumberFormat="0" applyAlignment="0" applyProtection="0"/>
    <xf numFmtId="0" fontId="17" fillId="7" borderId="5" applyNumberFormat="0" applyAlignment="0" applyProtection="0"/>
    <xf numFmtId="0" fontId="18" fillId="7" borderId="4" applyNumberFormat="0" applyAlignment="0" applyProtection="0"/>
    <xf numFmtId="0" fontId="19" fillId="0" borderId="6" applyNumberFormat="0" applyFill="0" applyAlignment="0" applyProtection="0"/>
    <xf numFmtId="0" fontId="20" fillId="8" borderId="7" applyNumberFormat="0" applyAlignment="0" applyProtection="0"/>
    <xf numFmtId="0" fontId="21" fillId="0" borderId="0" applyNumberFormat="0" applyFill="0" applyBorder="0" applyAlignment="0" applyProtection="0"/>
    <xf numFmtId="0" fontId="8" fillId="9" borderId="8" applyNumberFormat="0" applyFont="0" applyAlignment="0" applyProtection="0"/>
    <xf numFmtId="0" fontId="22" fillId="0" borderId="0" applyNumberFormat="0" applyFill="0" applyBorder="0" applyAlignment="0" applyProtection="0"/>
    <xf numFmtId="0" fontId="23" fillId="0" borderId="9" applyNumberFormat="0" applyFill="0" applyAlignment="0" applyProtection="0"/>
    <xf numFmtId="0" fontId="2"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2"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2" fillId="32" borderId="0" applyNumberFormat="0" applyBorder="0" applyAlignment="0" applyProtection="0"/>
    <xf numFmtId="0" fontId="24" fillId="0" borderId="0"/>
    <xf numFmtId="0" fontId="24" fillId="0" borderId="0"/>
    <xf numFmtId="0" fontId="1" fillId="0" borderId="0"/>
    <xf numFmtId="0" fontId="8" fillId="0" borderId="0"/>
    <xf numFmtId="0" fontId="25" fillId="0" borderId="0" applyNumberFormat="0" applyFill="0" applyBorder="0" applyAlignment="0" applyProtection="0"/>
    <xf numFmtId="0" fontId="26" fillId="0" borderId="0" applyNumberFormat="0" applyFill="0" applyBorder="0" applyAlignment="0" applyProtection="0">
      <alignment vertical="top"/>
      <protection locked="0"/>
    </xf>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24" fillId="0" borderId="0"/>
    <xf numFmtId="0" fontId="1" fillId="0" borderId="0" applyAlignment="0"/>
    <xf numFmtId="0" fontId="1" fillId="0" borderId="0" applyAlignment="0"/>
    <xf numFmtId="0" fontId="1" fillId="0" borderId="0" applyAlignment="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applyAlignment="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xf numFmtId="0" fontId="8" fillId="0" borderId="0"/>
    <xf numFmtId="0" fontId="1" fillId="0" borderId="0"/>
  </cellStyleXfs>
  <cellXfs count="22">
    <xf numFmtId="0" fontId="0" fillId="0" borderId="0" xfId="0"/>
    <xf numFmtId="0" fontId="3" fillId="2" borderId="0" xfId="1" applyFont="1" applyBorder="1" applyAlignment="1">
      <alignment wrapText="1"/>
    </xf>
    <xf numFmtId="0" fontId="4" fillId="0" borderId="0" xfId="0" applyFont="1" applyBorder="1"/>
    <xf numFmtId="0" fontId="4" fillId="0" borderId="0" xfId="0" applyFont="1" applyFill="1" applyBorder="1"/>
    <xf numFmtId="0" fontId="0" fillId="0" borderId="0" xfId="0"/>
    <xf numFmtId="0" fontId="0" fillId="0" borderId="0" xfId="0" applyFill="1"/>
    <xf numFmtId="0" fontId="27" fillId="0" borderId="0" xfId="0" applyFont="1"/>
    <xf numFmtId="0" fontId="20" fillId="2" borderId="0" xfId="1" applyFont="1" applyBorder="1" applyAlignment="1">
      <alignment wrapText="1"/>
    </xf>
    <xf numFmtId="0" fontId="4" fillId="0" borderId="0" xfId="0" applyFont="1" applyFill="1" applyBorder="1" applyAlignment="1">
      <alignment vertical="center"/>
    </xf>
    <xf numFmtId="0" fontId="7" fillId="0" borderId="0" xfId="0" applyFont="1" applyFill="1" applyAlignment="1">
      <alignment vertical="center"/>
    </xf>
    <xf numFmtId="0" fontId="7" fillId="0" borderId="0" xfId="0" applyFont="1" applyFill="1"/>
    <xf numFmtId="0" fontId="27" fillId="0" borderId="0" xfId="0" applyFont="1" applyFill="1"/>
    <xf numFmtId="0" fontId="5" fillId="0" borderId="0" xfId="0" applyFont="1" applyFill="1" applyBorder="1"/>
    <xf numFmtId="0" fontId="7" fillId="0" borderId="0" xfId="0" applyFont="1" applyFill="1" applyBorder="1"/>
    <xf numFmtId="0" fontId="0" fillId="0" borderId="0" xfId="0" applyFont="1" applyFill="1" applyBorder="1" applyAlignment="1"/>
    <xf numFmtId="0" fontId="7" fillId="0" borderId="0" xfId="0" applyFont="1" applyFill="1" applyBorder="1" applyAlignment="1"/>
    <xf numFmtId="0" fontId="7" fillId="0" borderId="0" xfId="0" applyFont="1"/>
    <xf numFmtId="0" fontId="6" fillId="2" borderId="0" xfId="1" applyFont="1" applyBorder="1" applyAlignment="1">
      <alignment wrapText="1"/>
    </xf>
    <xf numFmtId="0" fontId="2" fillId="2" borderId="0" xfId="1"/>
    <xf numFmtId="0" fontId="28" fillId="2" borderId="0" xfId="1" applyFont="1"/>
    <xf numFmtId="0" fontId="4" fillId="0" borderId="0" xfId="0" applyFont="1" applyFill="1" applyBorder="1" applyAlignment="1">
      <alignment vertical="top"/>
    </xf>
    <xf numFmtId="0" fontId="7" fillId="0" borderId="0" xfId="0" applyFont="1" applyAlignment="1">
      <alignment vertical="top"/>
    </xf>
  </cellXfs>
  <cellStyles count="397">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39"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0"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1"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1"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2" xfId="46" xr:uid="{00000000-0005-0000-0000-000021000000}"/>
    <cellStyle name="Hyperlink 3" xfId="47" xr:uid="{00000000-0005-0000-0000-000022000000}"/>
    <cellStyle name="Input" xfId="10" builtinId="20" customBuiltin="1"/>
    <cellStyle name="Linked Cell" xfId="13" builtinId="24" customBuiltin="1"/>
    <cellStyle name="Neutral" xfId="9" builtinId="28" customBuiltin="1"/>
    <cellStyle name="Normal" xfId="0" builtinId="0"/>
    <cellStyle name="Normal 2" xfId="43" xr:uid="{00000000-0005-0000-0000-000027000000}"/>
    <cellStyle name="Normal 2 10" xfId="48" xr:uid="{00000000-0005-0000-0000-000028000000}"/>
    <cellStyle name="Normal 2 100" xfId="49" xr:uid="{00000000-0005-0000-0000-000029000000}"/>
    <cellStyle name="Normal 2 101" xfId="50" xr:uid="{00000000-0005-0000-0000-00002A000000}"/>
    <cellStyle name="Normal 2 102" xfId="51" xr:uid="{00000000-0005-0000-0000-00002B000000}"/>
    <cellStyle name="Normal 2 103" xfId="52" xr:uid="{00000000-0005-0000-0000-00002C000000}"/>
    <cellStyle name="Normal 2 104" xfId="53" xr:uid="{00000000-0005-0000-0000-00002D000000}"/>
    <cellStyle name="Normal 2 105" xfId="54" xr:uid="{00000000-0005-0000-0000-00002E000000}"/>
    <cellStyle name="Normal 2 106" xfId="55" xr:uid="{00000000-0005-0000-0000-00002F000000}"/>
    <cellStyle name="Normal 2 107" xfId="56" xr:uid="{00000000-0005-0000-0000-000030000000}"/>
    <cellStyle name="Normal 2 108" xfId="57" xr:uid="{00000000-0005-0000-0000-000031000000}"/>
    <cellStyle name="Normal 2 109" xfId="58" xr:uid="{00000000-0005-0000-0000-000032000000}"/>
    <cellStyle name="Normal 2 11" xfId="59" xr:uid="{00000000-0005-0000-0000-000033000000}"/>
    <cellStyle name="Normal 2 110" xfId="60" xr:uid="{00000000-0005-0000-0000-000034000000}"/>
    <cellStyle name="Normal 2 111" xfId="61" xr:uid="{00000000-0005-0000-0000-000035000000}"/>
    <cellStyle name="Normal 2 112" xfId="62" xr:uid="{00000000-0005-0000-0000-000036000000}"/>
    <cellStyle name="Normal 2 113" xfId="63" xr:uid="{00000000-0005-0000-0000-000037000000}"/>
    <cellStyle name="Normal 2 114" xfId="64" xr:uid="{00000000-0005-0000-0000-000038000000}"/>
    <cellStyle name="Normal 2 115" xfId="65" xr:uid="{00000000-0005-0000-0000-000039000000}"/>
    <cellStyle name="Normal 2 116" xfId="66" xr:uid="{00000000-0005-0000-0000-00003A000000}"/>
    <cellStyle name="Normal 2 117" xfId="67" xr:uid="{00000000-0005-0000-0000-00003B000000}"/>
    <cellStyle name="Normal 2 118" xfId="68" xr:uid="{00000000-0005-0000-0000-00003C000000}"/>
    <cellStyle name="Normal 2 119" xfId="69" xr:uid="{00000000-0005-0000-0000-00003D000000}"/>
    <cellStyle name="Normal 2 12" xfId="70" xr:uid="{00000000-0005-0000-0000-00003E000000}"/>
    <cellStyle name="Normal 2 120" xfId="71" xr:uid="{00000000-0005-0000-0000-00003F000000}"/>
    <cellStyle name="Normal 2 121" xfId="72" xr:uid="{00000000-0005-0000-0000-000040000000}"/>
    <cellStyle name="Normal 2 122" xfId="73" xr:uid="{00000000-0005-0000-0000-000041000000}"/>
    <cellStyle name="Normal 2 123" xfId="74" xr:uid="{00000000-0005-0000-0000-000042000000}"/>
    <cellStyle name="Normal 2 124" xfId="75" xr:uid="{00000000-0005-0000-0000-000043000000}"/>
    <cellStyle name="Normal 2 125" xfId="76" xr:uid="{00000000-0005-0000-0000-000044000000}"/>
    <cellStyle name="Normal 2 126" xfId="77" xr:uid="{00000000-0005-0000-0000-000045000000}"/>
    <cellStyle name="Normal 2 127" xfId="78" xr:uid="{00000000-0005-0000-0000-000046000000}"/>
    <cellStyle name="Normal 2 128" xfId="79" xr:uid="{00000000-0005-0000-0000-000047000000}"/>
    <cellStyle name="Normal 2 129" xfId="80" xr:uid="{00000000-0005-0000-0000-000048000000}"/>
    <cellStyle name="Normal 2 13" xfId="81" xr:uid="{00000000-0005-0000-0000-000049000000}"/>
    <cellStyle name="Normal 2 130" xfId="82" xr:uid="{00000000-0005-0000-0000-00004A000000}"/>
    <cellStyle name="Normal 2 131" xfId="83" xr:uid="{00000000-0005-0000-0000-00004B000000}"/>
    <cellStyle name="Normal 2 132" xfId="84" xr:uid="{00000000-0005-0000-0000-00004C000000}"/>
    <cellStyle name="Normal 2 133" xfId="85" xr:uid="{00000000-0005-0000-0000-00004D000000}"/>
    <cellStyle name="Normal 2 134" xfId="86" xr:uid="{00000000-0005-0000-0000-00004E000000}"/>
    <cellStyle name="Normal 2 135" xfId="87" xr:uid="{00000000-0005-0000-0000-00004F000000}"/>
    <cellStyle name="Normal 2 136" xfId="88" xr:uid="{00000000-0005-0000-0000-000050000000}"/>
    <cellStyle name="Normal 2 137" xfId="89" xr:uid="{00000000-0005-0000-0000-000051000000}"/>
    <cellStyle name="Normal 2 138" xfId="90" xr:uid="{00000000-0005-0000-0000-000052000000}"/>
    <cellStyle name="Normal 2 139" xfId="91" xr:uid="{00000000-0005-0000-0000-000053000000}"/>
    <cellStyle name="Normal 2 14" xfId="92" xr:uid="{00000000-0005-0000-0000-000054000000}"/>
    <cellStyle name="Normal 2 140" xfId="93" xr:uid="{00000000-0005-0000-0000-000055000000}"/>
    <cellStyle name="Normal 2 141" xfId="94" xr:uid="{00000000-0005-0000-0000-000056000000}"/>
    <cellStyle name="Normal 2 142" xfId="95" xr:uid="{00000000-0005-0000-0000-000057000000}"/>
    <cellStyle name="Normal 2 143" xfId="96" xr:uid="{00000000-0005-0000-0000-000058000000}"/>
    <cellStyle name="Normal 2 144" xfId="97" xr:uid="{00000000-0005-0000-0000-000059000000}"/>
    <cellStyle name="Normal 2 145" xfId="98" xr:uid="{00000000-0005-0000-0000-00005A000000}"/>
    <cellStyle name="Normal 2 146" xfId="99" xr:uid="{00000000-0005-0000-0000-00005B000000}"/>
    <cellStyle name="Normal 2 147" xfId="100" xr:uid="{00000000-0005-0000-0000-00005C000000}"/>
    <cellStyle name="Normal 2 148" xfId="101" xr:uid="{00000000-0005-0000-0000-00005D000000}"/>
    <cellStyle name="Normal 2 149" xfId="102" xr:uid="{00000000-0005-0000-0000-00005E000000}"/>
    <cellStyle name="Normal 2 15" xfId="103" xr:uid="{00000000-0005-0000-0000-00005F000000}"/>
    <cellStyle name="Normal 2 150" xfId="104" xr:uid="{00000000-0005-0000-0000-000060000000}"/>
    <cellStyle name="Normal 2 151" xfId="105" xr:uid="{00000000-0005-0000-0000-000061000000}"/>
    <cellStyle name="Normal 2 152" xfId="106" xr:uid="{00000000-0005-0000-0000-000062000000}"/>
    <cellStyle name="Normal 2 153" xfId="107" xr:uid="{00000000-0005-0000-0000-000063000000}"/>
    <cellStyle name="Normal 2 154" xfId="108" xr:uid="{00000000-0005-0000-0000-000064000000}"/>
    <cellStyle name="Normal 2 155" xfId="109" xr:uid="{00000000-0005-0000-0000-000065000000}"/>
    <cellStyle name="Normal 2 156" xfId="110" xr:uid="{00000000-0005-0000-0000-000066000000}"/>
    <cellStyle name="Normal 2 157" xfId="111" xr:uid="{00000000-0005-0000-0000-000067000000}"/>
    <cellStyle name="Normal 2 158" xfId="112" xr:uid="{00000000-0005-0000-0000-000068000000}"/>
    <cellStyle name="Normal 2 159" xfId="113" xr:uid="{00000000-0005-0000-0000-000069000000}"/>
    <cellStyle name="Normal 2 16" xfId="114" xr:uid="{00000000-0005-0000-0000-00006A000000}"/>
    <cellStyle name="Normal 2 160" xfId="115" xr:uid="{00000000-0005-0000-0000-00006B000000}"/>
    <cellStyle name="Normal 2 161" xfId="116" xr:uid="{00000000-0005-0000-0000-00006C000000}"/>
    <cellStyle name="Normal 2 162" xfId="117" xr:uid="{00000000-0005-0000-0000-00006D000000}"/>
    <cellStyle name="Normal 2 163" xfId="118" xr:uid="{00000000-0005-0000-0000-00006E000000}"/>
    <cellStyle name="Normal 2 164" xfId="119" xr:uid="{00000000-0005-0000-0000-00006F000000}"/>
    <cellStyle name="Normal 2 165" xfId="120" xr:uid="{00000000-0005-0000-0000-000070000000}"/>
    <cellStyle name="Normal 2 166" xfId="121" xr:uid="{00000000-0005-0000-0000-000071000000}"/>
    <cellStyle name="Normal 2 167" xfId="122" xr:uid="{00000000-0005-0000-0000-000072000000}"/>
    <cellStyle name="Normal 2 168" xfId="123" xr:uid="{00000000-0005-0000-0000-000073000000}"/>
    <cellStyle name="Normal 2 169" xfId="124" xr:uid="{00000000-0005-0000-0000-000074000000}"/>
    <cellStyle name="Normal 2 17" xfId="125" xr:uid="{00000000-0005-0000-0000-000075000000}"/>
    <cellStyle name="Normal 2 170" xfId="126" xr:uid="{00000000-0005-0000-0000-000076000000}"/>
    <cellStyle name="Normal 2 171" xfId="127" xr:uid="{00000000-0005-0000-0000-000077000000}"/>
    <cellStyle name="Normal 2 172" xfId="128" xr:uid="{00000000-0005-0000-0000-000078000000}"/>
    <cellStyle name="Normal 2 173" xfId="129" xr:uid="{00000000-0005-0000-0000-000079000000}"/>
    <cellStyle name="Normal 2 18" xfId="130" xr:uid="{00000000-0005-0000-0000-00007A000000}"/>
    <cellStyle name="Normal 2 19" xfId="131" xr:uid="{00000000-0005-0000-0000-00007B000000}"/>
    <cellStyle name="Normal 2 2" xfId="44" xr:uid="{00000000-0005-0000-0000-00007C000000}"/>
    <cellStyle name="Normal 2 2 10" xfId="133" xr:uid="{00000000-0005-0000-0000-00007D000000}"/>
    <cellStyle name="Normal 2 2 100" xfId="134" xr:uid="{00000000-0005-0000-0000-00007E000000}"/>
    <cellStyle name="Normal 2 2 101" xfId="135" xr:uid="{00000000-0005-0000-0000-00007F000000}"/>
    <cellStyle name="Normal 2 2 102" xfId="136" xr:uid="{00000000-0005-0000-0000-000080000000}"/>
    <cellStyle name="Normal 2 2 103" xfId="137" xr:uid="{00000000-0005-0000-0000-000081000000}"/>
    <cellStyle name="Normal 2 2 104" xfId="138" xr:uid="{00000000-0005-0000-0000-000082000000}"/>
    <cellStyle name="Normal 2 2 105" xfId="139" xr:uid="{00000000-0005-0000-0000-000083000000}"/>
    <cellStyle name="Normal 2 2 106" xfId="140" xr:uid="{00000000-0005-0000-0000-000084000000}"/>
    <cellStyle name="Normal 2 2 107" xfId="141" xr:uid="{00000000-0005-0000-0000-000085000000}"/>
    <cellStyle name="Normal 2 2 108" xfId="142" xr:uid="{00000000-0005-0000-0000-000086000000}"/>
    <cellStyle name="Normal 2 2 109" xfId="143" xr:uid="{00000000-0005-0000-0000-000087000000}"/>
    <cellStyle name="Normal 2 2 11" xfId="144" xr:uid="{00000000-0005-0000-0000-000088000000}"/>
    <cellStyle name="Normal 2 2 110" xfId="145" xr:uid="{00000000-0005-0000-0000-000089000000}"/>
    <cellStyle name="Normal 2 2 111" xfId="146" xr:uid="{00000000-0005-0000-0000-00008A000000}"/>
    <cellStyle name="Normal 2 2 112" xfId="147" xr:uid="{00000000-0005-0000-0000-00008B000000}"/>
    <cellStyle name="Normal 2 2 113" xfId="148" xr:uid="{00000000-0005-0000-0000-00008C000000}"/>
    <cellStyle name="Normal 2 2 114" xfId="149" xr:uid="{00000000-0005-0000-0000-00008D000000}"/>
    <cellStyle name="Normal 2 2 115" xfId="150" xr:uid="{00000000-0005-0000-0000-00008E000000}"/>
    <cellStyle name="Normal 2 2 116" xfId="151" xr:uid="{00000000-0005-0000-0000-00008F000000}"/>
    <cellStyle name="Normal 2 2 117" xfId="152" xr:uid="{00000000-0005-0000-0000-000090000000}"/>
    <cellStyle name="Normal 2 2 118" xfId="153" xr:uid="{00000000-0005-0000-0000-000091000000}"/>
    <cellStyle name="Normal 2 2 119" xfId="154" xr:uid="{00000000-0005-0000-0000-000092000000}"/>
    <cellStyle name="Normal 2 2 12" xfId="155" xr:uid="{00000000-0005-0000-0000-000093000000}"/>
    <cellStyle name="Normal 2 2 120" xfId="156" xr:uid="{00000000-0005-0000-0000-000094000000}"/>
    <cellStyle name="Normal 2 2 121" xfId="157" xr:uid="{00000000-0005-0000-0000-000095000000}"/>
    <cellStyle name="Normal 2 2 122" xfId="158" xr:uid="{00000000-0005-0000-0000-000096000000}"/>
    <cellStyle name="Normal 2 2 123" xfId="159" xr:uid="{00000000-0005-0000-0000-000097000000}"/>
    <cellStyle name="Normal 2 2 124" xfId="160" xr:uid="{00000000-0005-0000-0000-000098000000}"/>
    <cellStyle name="Normal 2 2 125" xfId="161" xr:uid="{00000000-0005-0000-0000-000099000000}"/>
    <cellStyle name="Normal 2 2 126" xfId="162" xr:uid="{00000000-0005-0000-0000-00009A000000}"/>
    <cellStyle name="Normal 2 2 127" xfId="163" xr:uid="{00000000-0005-0000-0000-00009B000000}"/>
    <cellStyle name="Normal 2 2 128" xfId="164" xr:uid="{00000000-0005-0000-0000-00009C000000}"/>
    <cellStyle name="Normal 2 2 129" xfId="165" xr:uid="{00000000-0005-0000-0000-00009D000000}"/>
    <cellStyle name="Normal 2 2 13" xfId="166" xr:uid="{00000000-0005-0000-0000-00009E000000}"/>
    <cellStyle name="Normal 2 2 130" xfId="167" xr:uid="{00000000-0005-0000-0000-00009F000000}"/>
    <cellStyle name="Normal 2 2 131" xfId="168" xr:uid="{00000000-0005-0000-0000-0000A0000000}"/>
    <cellStyle name="Normal 2 2 132" xfId="169" xr:uid="{00000000-0005-0000-0000-0000A1000000}"/>
    <cellStyle name="Normal 2 2 133" xfId="170" xr:uid="{00000000-0005-0000-0000-0000A2000000}"/>
    <cellStyle name="Normal 2 2 134" xfId="171" xr:uid="{00000000-0005-0000-0000-0000A3000000}"/>
    <cellStyle name="Normal 2 2 135" xfId="172" xr:uid="{00000000-0005-0000-0000-0000A4000000}"/>
    <cellStyle name="Normal 2 2 136" xfId="173" xr:uid="{00000000-0005-0000-0000-0000A5000000}"/>
    <cellStyle name="Normal 2 2 137" xfId="174" xr:uid="{00000000-0005-0000-0000-0000A6000000}"/>
    <cellStyle name="Normal 2 2 138" xfId="175" xr:uid="{00000000-0005-0000-0000-0000A7000000}"/>
    <cellStyle name="Normal 2 2 139" xfId="176" xr:uid="{00000000-0005-0000-0000-0000A8000000}"/>
    <cellStyle name="Normal 2 2 14" xfId="177" xr:uid="{00000000-0005-0000-0000-0000A9000000}"/>
    <cellStyle name="Normal 2 2 140" xfId="178" xr:uid="{00000000-0005-0000-0000-0000AA000000}"/>
    <cellStyle name="Normal 2 2 141" xfId="179" xr:uid="{00000000-0005-0000-0000-0000AB000000}"/>
    <cellStyle name="Normal 2 2 142" xfId="180" xr:uid="{00000000-0005-0000-0000-0000AC000000}"/>
    <cellStyle name="Normal 2 2 143" xfId="181" xr:uid="{00000000-0005-0000-0000-0000AD000000}"/>
    <cellStyle name="Normal 2 2 144" xfId="182" xr:uid="{00000000-0005-0000-0000-0000AE000000}"/>
    <cellStyle name="Normal 2 2 145" xfId="183" xr:uid="{00000000-0005-0000-0000-0000AF000000}"/>
    <cellStyle name="Normal 2 2 146" xfId="184" xr:uid="{00000000-0005-0000-0000-0000B0000000}"/>
    <cellStyle name="Normal 2 2 147" xfId="185" xr:uid="{00000000-0005-0000-0000-0000B1000000}"/>
    <cellStyle name="Normal 2 2 148" xfId="186" xr:uid="{00000000-0005-0000-0000-0000B2000000}"/>
    <cellStyle name="Normal 2 2 149" xfId="187" xr:uid="{00000000-0005-0000-0000-0000B3000000}"/>
    <cellStyle name="Normal 2 2 15" xfId="188" xr:uid="{00000000-0005-0000-0000-0000B4000000}"/>
    <cellStyle name="Normal 2 2 150" xfId="189" xr:uid="{00000000-0005-0000-0000-0000B5000000}"/>
    <cellStyle name="Normal 2 2 151" xfId="190" xr:uid="{00000000-0005-0000-0000-0000B6000000}"/>
    <cellStyle name="Normal 2 2 152" xfId="191" xr:uid="{00000000-0005-0000-0000-0000B7000000}"/>
    <cellStyle name="Normal 2 2 153" xfId="192" xr:uid="{00000000-0005-0000-0000-0000B8000000}"/>
    <cellStyle name="Normal 2 2 154" xfId="193" xr:uid="{00000000-0005-0000-0000-0000B9000000}"/>
    <cellStyle name="Normal 2 2 155" xfId="194" xr:uid="{00000000-0005-0000-0000-0000BA000000}"/>
    <cellStyle name="Normal 2 2 156" xfId="195" xr:uid="{00000000-0005-0000-0000-0000BB000000}"/>
    <cellStyle name="Normal 2 2 157" xfId="196" xr:uid="{00000000-0005-0000-0000-0000BC000000}"/>
    <cellStyle name="Normal 2 2 158" xfId="197" xr:uid="{00000000-0005-0000-0000-0000BD000000}"/>
    <cellStyle name="Normal 2 2 159" xfId="198" xr:uid="{00000000-0005-0000-0000-0000BE000000}"/>
    <cellStyle name="Normal 2 2 16" xfId="199" xr:uid="{00000000-0005-0000-0000-0000BF000000}"/>
    <cellStyle name="Normal 2 2 160" xfId="200" xr:uid="{00000000-0005-0000-0000-0000C0000000}"/>
    <cellStyle name="Normal 2 2 161" xfId="201" xr:uid="{00000000-0005-0000-0000-0000C1000000}"/>
    <cellStyle name="Normal 2 2 162" xfId="202" xr:uid="{00000000-0005-0000-0000-0000C2000000}"/>
    <cellStyle name="Normal 2 2 163" xfId="203" xr:uid="{00000000-0005-0000-0000-0000C3000000}"/>
    <cellStyle name="Normal 2 2 164" xfId="204" xr:uid="{00000000-0005-0000-0000-0000C4000000}"/>
    <cellStyle name="Normal 2 2 165" xfId="205" xr:uid="{00000000-0005-0000-0000-0000C5000000}"/>
    <cellStyle name="Normal 2 2 166" xfId="206" xr:uid="{00000000-0005-0000-0000-0000C6000000}"/>
    <cellStyle name="Normal 2 2 167" xfId="207" xr:uid="{00000000-0005-0000-0000-0000C7000000}"/>
    <cellStyle name="Normal 2 2 168" xfId="208" xr:uid="{00000000-0005-0000-0000-0000C8000000}"/>
    <cellStyle name="Normal 2 2 169" xfId="209" xr:uid="{00000000-0005-0000-0000-0000C9000000}"/>
    <cellStyle name="Normal 2 2 17" xfId="210" xr:uid="{00000000-0005-0000-0000-0000CA000000}"/>
    <cellStyle name="Normal 2 2 170" xfId="211" xr:uid="{00000000-0005-0000-0000-0000CB000000}"/>
    <cellStyle name="Normal 2 2 171" xfId="212" xr:uid="{00000000-0005-0000-0000-0000CC000000}"/>
    <cellStyle name="Normal 2 2 172" xfId="213" xr:uid="{00000000-0005-0000-0000-0000CD000000}"/>
    <cellStyle name="Normal 2 2 173" xfId="214" xr:uid="{00000000-0005-0000-0000-0000CE000000}"/>
    <cellStyle name="Normal 2 2 174" xfId="215" xr:uid="{00000000-0005-0000-0000-0000CF000000}"/>
    <cellStyle name="Normal 2 2 175" xfId="132" xr:uid="{00000000-0005-0000-0000-0000D0000000}"/>
    <cellStyle name="Normal 2 2 18" xfId="216" xr:uid="{00000000-0005-0000-0000-0000D1000000}"/>
    <cellStyle name="Normal 2 2 19" xfId="217" xr:uid="{00000000-0005-0000-0000-0000D2000000}"/>
    <cellStyle name="Normal 2 2 2" xfId="218" xr:uid="{00000000-0005-0000-0000-0000D3000000}"/>
    <cellStyle name="Normal 2 2 20" xfId="219" xr:uid="{00000000-0005-0000-0000-0000D4000000}"/>
    <cellStyle name="Normal 2 2 21" xfId="220" xr:uid="{00000000-0005-0000-0000-0000D5000000}"/>
    <cellStyle name="Normal 2 2 22" xfId="221" xr:uid="{00000000-0005-0000-0000-0000D6000000}"/>
    <cellStyle name="Normal 2 2 23" xfId="222" xr:uid="{00000000-0005-0000-0000-0000D7000000}"/>
    <cellStyle name="Normal 2 2 24" xfId="223" xr:uid="{00000000-0005-0000-0000-0000D8000000}"/>
    <cellStyle name="Normal 2 2 25" xfId="224" xr:uid="{00000000-0005-0000-0000-0000D9000000}"/>
    <cellStyle name="Normal 2 2 26" xfId="225" xr:uid="{00000000-0005-0000-0000-0000DA000000}"/>
    <cellStyle name="Normal 2 2 27" xfId="226" xr:uid="{00000000-0005-0000-0000-0000DB000000}"/>
    <cellStyle name="Normal 2 2 28" xfId="227" xr:uid="{00000000-0005-0000-0000-0000DC000000}"/>
    <cellStyle name="Normal 2 2 29" xfId="228" xr:uid="{00000000-0005-0000-0000-0000DD000000}"/>
    <cellStyle name="Normal 2 2 3" xfId="229" xr:uid="{00000000-0005-0000-0000-0000DE000000}"/>
    <cellStyle name="Normal 2 2 30" xfId="230" xr:uid="{00000000-0005-0000-0000-0000DF000000}"/>
    <cellStyle name="Normal 2 2 31" xfId="231" xr:uid="{00000000-0005-0000-0000-0000E0000000}"/>
    <cellStyle name="Normal 2 2 32" xfId="232" xr:uid="{00000000-0005-0000-0000-0000E1000000}"/>
    <cellStyle name="Normal 2 2 33" xfId="233" xr:uid="{00000000-0005-0000-0000-0000E2000000}"/>
    <cellStyle name="Normal 2 2 34" xfId="234" xr:uid="{00000000-0005-0000-0000-0000E3000000}"/>
    <cellStyle name="Normal 2 2 35" xfId="235" xr:uid="{00000000-0005-0000-0000-0000E4000000}"/>
    <cellStyle name="Normal 2 2 36" xfId="236" xr:uid="{00000000-0005-0000-0000-0000E5000000}"/>
    <cellStyle name="Normal 2 2 37" xfId="237" xr:uid="{00000000-0005-0000-0000-0000E6000000}"/>
    <cellStyle name="Normal 2 2 38" xfId="238" xr:uid="{00000000-0005-0000-0000-0000E7000000}"/>
    <cellStyle name="Normal 2 2 39" xfId="239" xr:uid="{00000000-0005-0000-0000-0000E8000000}"/>
    <cellStyle name="Normal 2 2 4" xfId="240" xr:uid="{00000000-0005-0000-0000-0000E9000000}"/>
    <cellStyle name="Normal 2 2 40" xfId="241" xr:uid="{00000000-0005-0000-0000-0000EA000000}"/>
    <cellStyle name="Normal 2 2 41" xfId="242" xr:uid="{00000000-0005-0000-0000-0000EB000000}"/>
    <cellStyle name="Normal 2 2 42" xfId="243" xr:uid="{00000000-0005-0000-0000-0000EC000000}"/>
    <cellStyle name="Normal 2 2 43" xfId="244" xr:uid="{00000000-0005-0000-0000-0000ED000000}"/>
    <cellStyle name="Normal 2 2 44" xfId="245" xr:uid="{00000000-0005-0000-0000-0000EE000000}"/>
    <cellStyle name="Normal 2 2 45" xfId="246" xr:uid="{00000000-0005-0000-0000-0000EF000000}"/>
    <cellStyle name="Normal 2 2 46" xfId="247" xr:uid="{00000000-0005-0000-0000-0000F0000000}"/>
    <cellStyle name="Normal 2 2 47" xfId="248" xr:uid="{00000000-0005-0000-0000-0000F1000000}"/>
    <cellStyle name="Normal 2 2 48" xfId="249" xr:uid="{00000000-0005-0000-0000-0000F2000000}"/>
    <cellStyle name="Normal 2 2 49" xfId="250" xr:uid="{00000000-0005-0000-0000-0000F3000000}"/>
    <cellStyle name="Normal 2 2 5" xfId="251" xr:uid="{00000000-0005-0000-0000-0000F4000000}"/>
    <cellStyle name="Normal 2 2 50" xfId="252" xr:uid="{00000000-0005-0000-0000-0000F5000000}"/>
    <cellStyle name="Normal 2 2 51" xfId="253" xr:uid="{00000000-0005-0000-0000-0000F6000000}"/>
    <cellStyle name="Normal 2 2 52" xfId="254" xr:uid="{00000000-0005-0000-0000-0000F7000000}"/>
    <cellStyle name="Normal 2 2 53" xfId="255" xr:uid="{00000000-0005-0000-0000-0000F8000000}"/>
    <cellStyle name="Normal 2 2 54" xfId="256" xr:uid="{00000000-0005-0000-0000-0000F9000000}"/>
    <cellStyle name="Normal 2 2 55" xfId="257" xr:uid="{00000000-0005-0000-0000-0000FA000000}"/>
    <cellStyle name="Normal 2 2 56" xfId="258" xr:uid="{00000000-0005-0000-0000-0000FB000000}"/>
    <cellStyle name="Normal 2 2 57" xfId="259" xr:uid="{00000000-0005-0000-0000-0000FC000000}"/>
    <cellStyle name="Normal 2 2 58" xfId="260" xr:uid="{00000000-0005-0000-0000-0000FD000000}"/>
    <cellStyle name="Normal 2 2 59" xfId="261" xr:uid="{00000000-0005-0000-0000-0000FE000000}"/>
    <cellStyle name="Normal 2 2 6" xfId="262" xr:uid="{00000000-0005-0000-0000-0000FF000000}"/>
    <cellStyle name="Normal 2 2 60" xfId="263" xr:uid="{00000000-0005-0000-0000-000000010000}"/>
    <cellStyle name="Normal 2 2 61" xfId="264" xr:uid="{00000000-0005-0000-0000-000001010000}"/>
    <cellStyle name="Normal 2 2 62" xfId="265" xr:uid="{00000000-0005-0000-0000-000002010000}"/>
    <cellStyle name="Normal 2 2 63" xfId="266" xr:uid="{00000000-0005-0000-0000-000003010000}"/>
    <cellStyle name="Normal 2 2 64" xfId="267" xr:uid="{00000000-0005-0000-0000-000004010000}"/>
    <cellStyle name="Normal 2 2 65" xfId="268" xr:uid="{00000000-0005-0000-0000-000005010000}"/>
    <cellStyle name="Normal 2 2 66" xfId="269" xr:uid="{00000000-0005-0000-0000-000006010000}"/>
    <cellStyle name="Normal 2 2 67" xfId="270" xr:uid="{00000000-0005-0000-0000-000007010000}"/>
    <cellStyle name="Normal 2 2 68" xfId="271" xr:uid="{00000000-0005-0000-0000-000008010000}"/>
    <cellStyle name="Normal 2 2 69" xfId="272" xr:uid="{00000000-0005-0000-0000-000009010000}"/>
    <cellStyle name="Normal 2 2 7" xfId="273" xr:uid="{00000000-0005-0000-0000-00000A010000}"/>
    <cellStyle name="Normal 2 2 70" xfId="274" xr:uid="{00000000-0005-0000-0000-00000B010000}"/>
    <cellStyle name="Normal 2 2 71" xfId="275" xr:uid="{00000000-0005-0000-0000-00000C010000}"/>
    <cellStyle name="Normal 2 2 72" xfId="276" xr:uid="{00000000-0005-0000-0000-00000D010000}"/>
    <cellStyle name="Normal 2 2 73" xfId="277" xr:uid="{00000000-0005-0000-0000-00000E010000}"/>
    <cellStyle name="Normal 2 2 74" xfId="278" xr:uid="{00000000-0005-0000-0000-00000F010000}"/>
    <cellStyle name="Normal 2 2 75" xfId="279" xr:uid="{00000000-0005-0000-0000-000010010000}"/>
    <cellStyle name="Normal 2 2 76" xfId="280" xr:uid="{00000000-0005-0000-0000-000011010000}"/>
    <cellStyle name="Normal 2 2 77" xfId="281" xr:uid="{00000000-0005-0000-0000-000012010000}"/>
    <cellStyle name="Normal 2 2 78" xfId="282" xr:uid="{00000000-0005-0000-0000-000013010000}"/>
    <cellStyle name="Normal 2 2 79" xfId="283" xr:uid="{00000000-0005-0000-0000-000014010000}"/>
    <cellStyle name="Normal 2 2 8" xfId="284" xr:uid="{00000000-0005-0000-0000-000015010000}"/>
    <cellStyle name="Normal 2 2 80" xfId="285" xr:uid="{00000000-0005-0000-0000-000016010000}"/>
    <cellStyle name="Normal 2 2 81" xfId="286" xr:uid="{00000000-0005-0000-0000-000017010000}"/>
    <cellStyle name="Normal 2 2 82" xfId="287" xr:uid="{00000000-0005-0000-0000-000018010000}"/>
    <cellStyle name="Normal 2 2 83" xfId="288" xr:uid="{00000000-0005-0000-0000-000019010000}"/>
    <cellStyle name="Normal 2 2 84" xfId="289" xr:uid="{00000000-0005-0000-0000-00001A010000}"/>
    <cellStyle name="Normal 2 2 85" xfId="290" xr:uid="{00000000-0005-0000-0000-00001B010000}"/>
    <cellStyle name="Normal 2 2 86" xfId="291" xr:uid="{00000000-0005-0000-0000-00001C010000}"/>
    <cellStyle name="Normal 2 2 87" xfId="292" xr:uid="{00000000-0005-0000-0000-00001D010000}"/>
    <cellStyle name="Normal 2 2 88" xfId="293" xr:uid="{00000000-0005-0000-0000-00001E010000}"/>
    <cellStyle name="Normal 2 2 89" xfId="294" xr:uid="{00000000-0005-0000-0000-00001F010000}"/>
    <cellStyle name="Normal 2 2 9" xfId="295" xr:uid="{00000000-0005-0000-0000-000020010000}"/>
    <cellStyle name="Normal 2 2 90" xfId="296" xr:uid="{00000000-0005-0000-0000-000021010000}"/>
    <cellStyle name="Normal 2 2 91" xfId="297" xr:uid="{00000000-0005-0000-0000-000022010000}"/>
    <cellStyle name="Normal 2 2 92" xfId="298" xr:uid="{00000000-0005-0000-0000-000023010000}"/>
    <cellStyle name="Normal 2 2 93" xfId="299" xr:uid="{00000000-0005-0000-0000-000024010000}"/>
    <cellStyle name="Normal 2 2 94" xfId="300" xr:uid="{00000000-0005-0000-0000-000025010000}"/>
    <cellStyle name="Normal 2 2 95" xfId="301" xr:uid="{00000000-0005-0000-0000-000026010000}"/>
    <cellStyle name="Normal 2 2 96" xfId="302" xr:uid="{00000000-0005-0000-0000-000027010000}"/>
    <cellStyle name="Normal 2 2 97" xfId="303" xr:uid="{00000000-0005-0000-0000-000028010000}"/>
    <cellStyle name="Normal 2 2 98" xfId="304" xr:uid="{00000000-0005-0000-0000-000029010000}"/>
    <cellStyle name="Normal 2 2 99" xfId="305" xr:uid="{00000000-0005-0000-0000-00002A010000}"/>
    <cellStyle name="Normal 2 20" xfId="306" xr:uid="{00000000-0005-0000-0000-00002B010000}"/>
    <cellStyle name="Normal 2 21" xfId="307" xr:uid="{00000000-0005-0000-0000-00002C010000}"/>
    <cellStyle name="Normal 2 22" xfId="308" xr:uid="{00000000-0005-0000-0000-00002D010000}"/>
    <cellStyle name="Normal 2 23" xfId="309" xr:uid="{00000000-0005-0000-0000-00002E010000}"/>
    <cellStyle name="Normal 2 24" xfId="310" xr:uid="{00000000-0005-0000-0000-00002F010000}"/>
    <cellStyle name="Normal 2 25" xfId="311" xr:uid="{00000000-0005-0000-0000-000030010000}"/>
    <cellStyle name="Normal 2 26" xfId="312" xr:uid="{00000000-0005-0000-0000-000031010000}"/>
    <cellStyle name="Normal 2 27" xfId="313" xr:uid="{00000000-0005-0000-0000-000032010000}"/>
    <cellStyle name="Normal 2 28" xfId="314" xr:uid="{00000000-0005-0000-0000-000033010000}"/>
    <cellStyle name="Normal 2 29" xfId="315" xr:uid="{00000000-0005-0000-0000-000034010000}"/>
    <cellStyle name="Normal 2 3" xfId="316" xr:uid="{00000000-0005-0000-0000-000035010000}"/>
    <cellStyle name="Normal 2 3 2" xfId="317" xr:uid="{00000000-0005-0000-0000-000036010000}"/>
    <cellStyle name="Normal 2 30" xfId="318" xr:uid="{00000000-0005-0000-0000-000037010000}"/>
    <cellStyle name="Normal 2 31" xfId="319" xr:uid="{00000000-0005-0000-0000-000038010000}"/>
    <cellStyle name="Normal 2 32" xfId="320" xr:uid="{00000000-0005-0000-0000-000039010000}"/>
    <cellStyle name="Normal 2 33" xfId="321" xr:uid="{00000000-0005-0000-0000-00003A010000}"/>
    <cellStyle name="Normal 2 34" xfId="322" xr:uid="{00000000-0005-0000-0000-00003B010000}"/>
    <cellStyle name="Normal 2 35" xfId="323" xr:uid="{00000000-0005-0000-0000-00003C010000}"/>
    <cellStyle name="Normal 2 36" xfId="324" xr:uid="{00000000-0005-0000-0000-00003D010000}"/>
    <cellStyle name="Normal 2 37" xfId="325" xr:uid="{00000000-0005-0000-0000-00003E010000}"/>
    <cellStyle name="Normal 2 38" xfId="326" xr:uid="{00000000-0005-0000-0000-00003F010000}"/>
    <cellStyle name="Normal 2 39" xfId="327" xr:uid="{00000000-0005-0000-0000-000040010000}"/>
    <cellStyle name="Normal 2 4" xfId="328" xr:uid="{00000000-0005-0000-0000-000041010000}"/>
    <cellStyle name="Normal 2 40" xfId="329" xr:uid="{00000000-0005-0000-0000-000042010000}"/>
    <cellStyle name="Normal 2 41" xfId="330" xr:uid="{00000000-0005-0000-0000-000043010000}"/>
    <cellStyle name="Normal 2 42" xfId="331" xr:uid="{00000000-0005-0000-0000-000044010000}"/>
    <cellStyle name="Normal 2 43" xfId="332" xr:uid="{00000000-0005-0000-0000-000045010000}"/>
    <cellStyle name="Normal 2 44" xfId="333" xr:uid="{00000000-0005-0000-0000-000046010000}"/>
    <cellStyle name="Normal 2 45" xfId="334" xr:uid="{00000000-0005-0000-0000-000047010000}"/>
    <cellStyle name="Normal 2 46" xfId="335" xr:uid="{00000000-0005-0000-0000-000048010000}"/>
    <cellStyle name="Normal 2 47" xfId="336" xr:uid="{00000000-0005-0000-0000-000049010000}"/>
    <cellStyle name="Normal 2 48" xfId="337" xr:uid="{00000000-0005-0000-0000-00004A010000}"/>
    <cellStyle name="Normal 2 49" xfId="338" xr:uid="{00000000-0005-0000-0000-00004B010000}"/>
    <cellStyle name="Normal 2 5" xfId="339" xr:uid="{00000000-0005-0000-0000-00004C010000}"/>
    <cellStyle name="Normal 2 50" xfId="340" xr:uid="{00000000-0005-0000-0000-00004D010000}"/>
    <cellStyle name="Normal 2 51" xfId="341" xr:uid="{00000000-0005-0000-0000-00004E010000}"/>
    <cellStyle name="Normal 2 52" xfId="342" xr:uid="{00000000-0005-0000-0000-00004F010000}"/>
    <cellStyle name="Normal 2 53" xfId="343" xr:uid="{00000000-0005-0000-0000-000050010000}"/>
    <cellStyle name="Normal 2 54" xfId="344" xr:uid="{00000000-0005-0000-0000-000051010000}"/>
    <cellStyle name="Normal 2 55" xfId="345" xr:uid="{00000000-0005-0000-0000-000052010000}"/>
    <cellStyle name="Normal 2 56" xfId="346" xr:uid="{00000000-0005-0000-0000-000053010000}"/>
    <cellStyle name="Normal 2 57" xfId="347" xr:uid="{00000000-0005-0000-0000-000054010000}"/>
    <cellStyle name="Normal 2 58" xfId="348" xr:uid="{00000000-0005-0000-0000-000055010000}"/>
    <cellStyle name="Normal 2 59" xfId="349" xr:uid="{00000000-0005-0000-0000-000056010000}"/>
    <cellStyle name="Normal 2 6" xfId="350" xr:uid="{00000000-0005-0000-0000-000057010000}"/>
    <cellStyle name="Normal 2 60" xfId="351" xr:uid="{00000000-0005-0000-0000-000058010000}"/>
    <cellStyle name="Normal 2 61" xfId="352" xr:uid="{00000000-0005-0000-0000-000059010000}"/>
    <cellStyle name="Normal 2 62" xfId="353" xr:uid="{00000000-0005-0000-0000-00005A010000}"/>
    <cellStyle name="Normal 2 63" xfId="354" xr:uid="{00000000-0005-0000-0000-00005B010000}"/>
    <cellStyle name="Normal 2 64" xfId="355" xr:uid="{00000000-0005-0000-0000-00005C010000}"/>
    <cellStyle name="Normal 2 65" xfId="356" xr:uid="{00000000-0005-0000-0000-00005D010000}"/>
    <cellStyle name="Normal 2 66" xfId="357" xr:uid="{00000000-0005-0000-0000-00005E010000}"/>
    <cellStyle name="Normal 2 67" xfId="358" xr:uid="{00000000-0005-0000-0000-00005F010000}"/>
    <cellStyle name="Normal 2 68" xfId="359" xr:uid="{00000000-0005-0000-0000-000060010000}"/>
    <cellStyle name="Normal 2 69" xfId="360" xr:uid="{00000000-0005-0000-0000-000061010000}"/>
    <cellStyle name="Normal 2 7" xfId="361" xr:uid="{00000000-0005-0000-0000-000062010000}"/>
    <cellStyle name="Normal 2 70" xfId="362" xr:uid="{00000000-0005-0000-0000-000063010000}"/>
    <cellStyle name="Normal 2 71" xfId="363" xr:uid="{00000000-0005-0000-0000-000064010000}"/>
    <cellStyle name="Normal 2 72" xfId="364" xr:uid="{00000000-0005-0000-0000-000065010000}"/>
    <cellStyle name="Normal 2 73" xfId="365" xr:uid="{00000000-0005-0000-0000-000066010000}"/>
    <cellStyle name="Normal 2 74" xfId="366" xr:uid="{00000000-0005-0000-0000-000067010000}"/>
    <cellStyle name="Normal 2 75" xfId="367" xr:uid="{00000000-0005-0000-0000-000068010000}"/>
    <cellStyle name="Normal 2 76" xfId="368" xr:uid="{00000000-0005-0000-0000-000069010000}"/>
    <cellStyle name="Normal 2 77" xfId="369" xr:uid="{00000000-0005-0000-0000-00006A010000}"/>
    <cellStyle name="Normal 2 78" xfId="370" xr:uid="{00000000-0005-0000-0000-00006B010000}"/>
    <cellStyle name="Normal 2 79" xfId="371" xr:uid="{00000000-0005-0000-0000-00006C010000}"/>
    <cellStyle name="Normal 2 8" xfId="372" xr:uid="{00000000-0005-0000-0000-00006D010000}"/>
    <cellStyle name="Normal 2 80" xfId="373" xr:uid="{00000000-0005-0000-0000-00006E010000}"/>
    <cellStyle name="Normal 2 81" xfId="374" xr:uid="{00000000-0005-0000-0000-00006F010000}"/>
    <cellStyle name="Normal 2 82" xfId="375" xr:uid="{00000000-0005-0000-0000-000070010000}"/>
    <cellStyle name="Normal 2 83" xfId="376" xr:uid="{00000000-0005-0000-0000-000071010000}"/>
    <cellStyle name="Normal 2 84" xfId="377" xr:uid="{00000000-0005-0000-0000-000072010000}"/>
    <cellStyle name="Normal 2 85" xfId="378" xr:uid="{00000000-0005-0000-0000-000073010000}"/>
    <cellStyle name="Normal 2 86" xfId="379" xr:uid="{00000000-0005-0000-0000-000074010000}"/>
    <cellStyle name="Normal 2 87" xfId="380" xr:uid="{00000000-0005-0000-0000-000075010000}"/>
    <cellStyle name="Normal 2 88" xfId="381" xr:uid="{00000000-0005-0000-0000-000076010000}"/>
    <cellStyle name="Normal 2 89" xfId="382" xr:uid="{00000000-0005-0000-0000-000077010000}"/>
    <cellStyle name="Normal 2 9" xfId="383" xr:uid="{00000000-0005-0000-0000-000078010000}"/>
    <cellStyle name="Normal 2 90" xfId="384" xr:uid="{00000000-0005-0000-0000-000079010000}"/>
    <cellStyle name="Normal 2 91" xfId="385" xr:uid="{00000000-0005-0000-0000-00007A010000}"/>
    <cellStyle name="Normal 2 92" xfId="386" xr:uid="{00000000-0005-0000-0000-00007B010000}"/>
    <cellStyle name="Normal 2 93" xfId="387" xr:uid="{00000000-0005-0000-0000-00007C010000}"/>
    <cellStyle name="Normal 2 94" xfId="388" xr:uid="{00000000-0005-0000-0000-00007D010000}"/>
    <cellStyle name="Normal 2 95" xfId="389" xr:uid="{00000000-0005-0000-0000-00007E010000}"/>
    <cellStyle name="Normal 2 96" xfId="390" xr:uid="{00000000-0005-0000-0000-00007F010000}"/>
    <cellStyle name="Normal 2 97" xfId="391" xr:uid="{00000000-0005-0000-0000-000080010000}"/>
    <cellStyle name="Normal 2 98" xfId="392" xr:uid="{00000000-0005-0000-0000-000081010000}"/>
    <cellStyle name="Normal 2 99" xfId="393" xr:uid="{00000000-0005-0000-0000-000082010000}"/>
    <cellStyle name="Normal 3" xfId="45" xr:uid="{00000000-0005-0000-0000-000083010000}"/>
    <cellStyle name="Normal 3 2" xfId="395" xr:uid="{00000000-0005-0000-0000-000084010000}"/>
    <cellStyle name="Normal 3 3" xfId="396" xr:uid="{00000000-0005-0000-0000-000085010000}"/>
    <cellStyle name="Normal 3 4" xfId="394" xr:uid="{00000000-0005-0000-0000-000086010000}"/>
    <cellStyle name="Normal 4" xfId="42" xr:uid="{00000000-0005-0000-0000-00008701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6B845-A360-4125-B38E-DAA96E684FA6}">
  <dimension ref="A1:F66"/>
  <sheetViews>
    <sheetView tabSelected="1" workbookViewId="0">
      <selection activeCell="A3" sqref="A3"/>
    </sheetView>
  </sheetViews>
  <sheetFormatPr defaultRowHeight="12.5" x14ac:dyDescent="0.25"/>
  <cols>
    <col min="1" max="1" width="16.453125" style="16" customWidth="1"/>
    <col min="2" max="2" width="15.26953125" style="16" customWidth="1"/>
    <col min="3" max="3" width="23.08984375" style="16" customWidth="1"/>
    <col min="4" max="4" width="54.81640625" style="16" customWidth="1"/>
    <col min="5" max="5" width="31.453125" style="16" customWidth="1"/>
    <col min="6" max="16384" width="8.7265625" style="16"/>
  </cols>
  <sheetData>
    <row r="1" spans="1:5" s="6" customFormat="1" ht="18.5" x14ac:dyDescent="0.45">
      <c r="A1" s="19" t="s">
        <v>2829</v>
      </c>
      <c r="B1" s="18"/>
      <c r="C1" s="18"/>
      <c r="D1" s="18"/>
      <c r="E1" s="18"/>
    </row>
    <row r="2" spans="1:5" ht="26" x14ac:dyDescent="0.3">
      <c r="A2" s="1" t="s">
        <v>0</v>
      </c>
      <c r="B2" s="1" t="s">
        <v>1</v>
      </c>
      <c r="C2" s="1" t="s">
        <v>2</v>
      </c>
      <c r="D2" s="1" t="s">
        <v>3</v>
      </c>
      <c r="E2" s="17" t="s">
        <v>4</v>
      </c>
    </row>
    <row r="3" spans="1:5" x14ac:dyDescent="0.25">
      <c r="A3" s="3" t="s">
        <v>8</v>
      </c>
      <c r="B3" s="3" t="s">
        <v>53</v>
      </c>
      <c r="C3" s="3" t="s">
        <v>10</v>
      </c>
      <c r="D3" s="3" t="s">
        <v>2988</v>
      </c>
      <c r="E3" s="3" t="s">
        <v>28</v>
      </c>
    </row>
    <row r="4" spans="1:5" x14ac:dyDescent="0.25">
      <c r="A4" s="3" t="s">
        <v>8</v>
      </c>
      <c r="B4" s="3" t="s">
        <v>53</v>
      </c>
      <c r="C4" s="3" t="s">
        <v>10</v>
      </c>
      <c r="D4" s="3" t="s">
        <v>2988</v>
      </c>
      <c r="E4" s="3" t="s">
        <v>24</v>
      </c>
    </row>
    <row r="5" spans="1:5" x14ac:dyDescent="0.25">
      <c r="A5" s="3" t="s">
        <v>8</v>
      </c>
      <c r="B5" s="3" t="s">
        <v>53</v>
      </c>
      <c r="C5" s="3" t="s">
        <v>10</v>
      </c>
      <c r="D5" s="3" t="s">
        <v>2997</v>
      </c>
      <c r="E5" s="3" t="s">
        <v>47</v>
      </c>
    </row>
    <row r="6" spans="1:5" x14ac:dyDescent="0.25">
      <c r="A6" s="3" t="s">
        <v>8</v>
      </c>
      <c r="B6" s="3" t="s">
        <v>53</v>
      </c>
      <c r="C6" s="3" t="s">
        <v>10</v>
      </c>
      <c r="D6" s="3" t="s">
        <v>2997</v>
      </c>
      <c r="E6" s="3" t="s">
        <v>15</v>
      </c>
    </row>
    <row r="7" spans="1:5" x14ac:dyDescent="0.25">
      <c r="A7" s="3" t="s">
        <v>8</v>
      </c>
      <c r="B7" s="3" t="s">
        <v>53</v>
      </c>
      <c r="C7" s="3" t="s">
        <v>10</v>
      </c>
      <c r="D7" s="3" t="s">
        <v>2997</v>
      </c>
      <c r="E7" s="3" t="s">
        <v>57</v>
      </c>
    </row>
    <row r="8" spans="1:5" x14ac:dyDescent="0.25">
      <c r="A8" s="3" t="s">
        <v>8</v>
      </c>
      <c r="B8" s="3" t="s">
        <v>53</v>
      </c>
      <c r="C8" s="3" t="s">
        <v>10</v>
      </c>
      <c r="D8" s="3" t="s">
        <v>2997</v>
      </c>
      <c r="E8" s="3" t="s">
        <v>32</v>
      </c>
    </row>
    <row r="9" spans="1:5" x14ac:dyDescent="0.25">
      <c r="A9" s="3" t="s">
        <v>8</v>
      </c>
      <c r="B9" s="3" t="s">
        <v>53</v>
      </c>
      <c r="C9" s="3" t="s">
        <v>10</v>
      </c>
      <c r="D9" s="3" t="s">
        <v>2997</v>
      </c>
      <c r="E9" s="3" t="s">
        <v>134</v>
      </c>
    </row>
    <row r="10" spans="1:5" x14ac:dyDescent="0.25">
      <c r="A10" s="3" t="s">
        <v>8</v>
      </c>
      <c r="B10" s="3" t="s">
        <v>53</v>
      </c>
      <c r="C10" s="3" t="s">
        <v>10</v>
      </c>
      <c r="D10" s="3" t="s">
        <v>3006</v>
      </c>
      <c r="E10" s="3" t="s">
        <v>12</v>
      </c>
    </row>
    <row r="11" spans="1:5" x14ac:dyDescent="0.25">
      <c r="A11" s="3" t="s">
        <v>8</v>
      </c>
      <c r="B11" s="3" t="s">
        <v>53</v>
      </c>
      <c r="C11" s="3" t="s">
        <v>10</v>
      </c>
      <c r="D11" s="3" t="s">
        <v>3006</v>
      </c>
      <c r="E11" s="3" t="s">
        <v>47</v>
      </c>
    </row>
    <row r="12" spans="1:5" x14ac:dyDescent="0.25">
      <c r="A12" s="3" t="s">
        <v>8</v>
      </c>
      <c r="B12" s="3" t="s">
        <v>53</v>
      </c>
      <c r="C12" s="3" t="s">
        <v>10</v>
      </c>
      <c r="D12" s="3" t="s">
        <v>3006</v>
      </c>
      <c r="E12" s="3" t="s">
        <v>28</v>
      </c>
    </row>
    <row r="13" spans="1:5" x14ac:dyDescent="0.25">
      <c r="A13" s="3" t="s">
        <v>8</v>
      </c>
      <c r="B13" s="3" t="s">
        <v>53</v>
      </c>
      <c r="C13" s="3" t="s">
        <v>10</v>
      </c>
      <c r="D13" s="3" t="s">
        <v>3006</v>
      </c>
      <c r="E13" s="3" t="s">
        <v>32</v>
      </c>
    </row>
    <row r="14" spans="1:5" x14ac:dyDescent="0.25">
      <c r="A14" s="3" t="s">
        <v>8</v>
      </c>
      <c r="B14" s="3" t="s">
        <v>53</v>
      </c>
      <c r="C14" s="3" t="s">
        <v>10</v>
      </c>
      <c r="D14" s="3" t="s">
        <v>3006</v>
      </c>
      <c r="E14" s="3" t="s">
        <v>134</v>
      </c>
    </row>
    <row r="15" spans="1:5" x14ac:dyDescent="0.25">
      <c r="A15" s="3" t="s">
        <v>8</v>
      </c>
      <c r="B15" s="3" t="s">
        <v>53</v>
      </c>
      <c r="C15" s="3" t="s">
        <v>10</v>
      </c>
      <c r="D15" s="3" t="s">
        <v>3006</v>
      </c>
      <c r="E15" s="3" t="s">
        <v>107</v>
      </c>
    </row>
    <row r="16" spans="1:5" x14ac:dyDescent="0.25">
      <c r="A16" s="3" t="s">
        <v>8</v>
      </c>
      <c r="B16" s="3" t="s">
        <v>193</v>
      </c>
      <c r="C16" s="3" t="s">
        <v>10</v>
      </c>
      <c r="D16" s="3" t="s">
        <v>2984</v>
      </c>
      <c r="E16" s="3" t="s">
        <v>15</v>
      </c>
    </row>
    <row r="17" spans="1:5" x14ac:dyDescent="0.25">
      <c r="A17" s="3" t="s">
        <v>8</v>
      </c>
      <c r="B17" s="3" t="s">
        <v>193</v>
      </c>
      <c r="C17" s="3" t="s">
        <v>10</v>
      </c>
      <c r="D17" s="3" t="s">
        <v>3003</v>
      </c>
      <c r="E17" s="3" t="s">
        <v>28</v>
      </c>
    </row>
    <row r="18" spans="1:5" x14ac:dyDescent="0.25">
      <c r="A18" s="3" t="s">
        <v>8</v>
      </c>
      <c r="B18" s="3" t="s">
        <v>193</v>
      </c>
      <c r="C18" s="3" t="s">
        <v>10</v>
      </c>
      <c r="D18" s="3" t="s">
        <v>3003</v>
      </c>
      <c r="E18" s="3" t="s">
        <v>15</v>
      </c>
    </row>
    <row r="19" spans="1:5" x14ac:dyDescent="0.25">
      <c r="A19" s="3" t="s">
        <v>8</v>
      </c>
      <c r="B19" s="3" t="s">
        <v>236</v>
      </c>
      <c r="C19" s="3" t="s">
        <v>10</v>
      </c>
      <c r="D19" s="3" t="s">
        <v>2992</v>
      </c>
      <c r="E19" s="3" t="s">
        <v>12</v>
      </c>
    </row>
    <row r="20" spans="1:5" x14ac:dyDescent="0.25">
      <c r="A20" s="3" t="s">
        <v>8</v>
      </c>
      <c r="B20" s="3" t="s">
        <v>236</v>
      </c>
      <c r="C20" s="3" t="s">
        <v>10</v>
      </c>
      <c r="D20" s="3" t="s">
        <v>2992</v>
      </c>
      <c r="E20" s="3" t="s">
        <v>47</v>
      </c>
    </row>
    <row r="21" spans="1:5" x14ac:dyDescent="0.25">
      <c r="A21" s="3" t="s">
        <v>8</v>
      </c>
      <c r="B21" s="3" t="s">
        <v>236</v>
      </c>
      <c r="C21" s="3" t="s">
        <v>10</v>
      </c>
      <c r="D21" s="3" t="s">
        <v>2992</v>
      </c>
      <c r="E21" s="3" t="s">
        <v>15</v>
      </c>
    </row>
    <row r="22" spans="1:5" x14ac:dyDescent="0.25">
      <c r="A22" s="3" t="s">
        <v>8</v>
      </c>
      <c r="B22" s="3" t="s">
        <v>236</v>
      </c>
      <c r="C22" s="3" t="s">
        <v>10</v>
      </c>
      <c r="D22" s="3" t="s">
        <v>2992</v>
      </c>
      <c r="E22" s="3" t="s">
        <v>134</v>
      </c>
    </row>
    <row r="23" spans="1:5" x14ac:dyDescent="0.25">
      <c r="A23" s="3" t="s">
        <v>8</v>
      </c>
      <c r="B23" s="3" t="s">
        <v>236</v>
      </c>
      <c r="C23" s="3" t="s">
        <v>10</v>
      </c>
      <c r="D23" s="3" t="s">
        <v>2995</v>
      </c>
      <c r="E23" s="3" t="s">
        <v>12</v>
      </c>
    </row>
    <row r="24" spans="1:5" x14ac:dyDescent="0.25">
      <c r="A24" s="3" t="s">
        <v>8</v>
      </c>
      <c r="B24" s="3" t="s">
        <v>236</v>
      </c>
      <c r="C24" s="3" t="s">
        <v>10</v>
      </c>
      <c r="D24" s="3" t="s">
        <v>2995</v>
      </c>
      <c r="E24" s="3" t="s">
        <v>47</v>
      </c>
    </row>
    <row r="25" spans="1:5" x14ac:dyDescent="0.25">
      <c r="A25" s="3" t="s">
        <v>8</v>
      </c>
      <c r="B25" s="3" t="s">
        <v>236</v>
      </c>
      <c r="C25" s="3" t="s">
        <v>10</v>
      </c>
      <c r="D25" s="3" t="s">
        <v>2995</v>
      </c>
      <c r="E25" s="3" t="s">
        <v>37</v>
      </c>
    </row>
    <row r="26" spans="1:5" x14ac:dyDescent="0.25">
      <c r="A26" s="3" t="s">
        <v>8</v>
      </c>
      <c r="B26" s="3" t="s">
        <v>236</v>
      </c>
      <c r="C26" s="3" t="s">
        <v>10</v>
      </c>
      <c r="D26" s="3" t="s">
        <v>2995</v>
      </c>
      <c r="E26" s="3" t="s">
        <v>15</v>
      </c>
    </row>
    <row r="27" spans="1:5" x14ac:dyDescent="0.25">
      <c r="A27" s="3" t="s">
        <v>8</v>
      </c>
      <c r="B27" s="3" t="s">
        <v>236</v>
      </c>
      <c r="C27" s="3" t="s">
        <v>10</v>
      </c>
      <c r="D27" s="3" t="s">
        <v>2995</v>
      </c>
      <c r="E27" s="3" t="s">
        <v>134</v>
      </c>
    </row>
    <row r="28" spans="1:5" x14ac:dyDescent="0.25">
      <c r="A28" s="3" t="s">
        <v>8</v>
      </c>
      <c r="B28" s="3" t="s">
        <v>353</v>
      </c>
      <c r="C28" s="3" t="s">
        <v>10</v>
      </c>
      <c r="D28" s="3" t="s">
        <v>2986</v>
      </c>
      <c r="E28" s="3" t="s">
        <v>47</v>
      </c>
    </row>
    <row r="29" spans="1:5" x14ac:dyDescent="0.25">
      <c r="A29" s="3" t="s">
        <v>8</v>
      </c>
      <c r="B29" s="3" t="s">
        <v>552</v>
      </c>
      <c r="C29" s="3" t="s">
        <v>10</v>
      </c>
      <c r="D29" s="3" t="s">
        <v>2982</v>
      </c>
      <c r="E29" s="3" t="s">
        <v>142</v>
      </c>
    </row>
    <row r="30" spans="1:5" x14ac:dyDescent="0.25">
      <c r="A30" s="3" t="s">
        <v>8</v>
      </c>
      <c r="B30" s="3" t="s">
        <v>552</v>
      </c>
      <c r="C30" s="3" t="s">
        <v>10</v>
      </c>
      <c r="D30" s="3" t="s">
        <v>2982</v>
      </c>
      <c r="E30" s="3" t="s">
        <v>56</v>
      </c>
    </row>
    <row r="31" spans="1:5" x14ac:dyDescent="0.25">
      <c r="A31" s="3" t="s">
        <v>8</v>
      </c>
      <c r="B31" s="3" t="s">
        <v>573</v>
      </c>
      <c r="C31" s="3" t="s">
        <v>10</v>
      </c>
      <c r="D31" s="3" t="s">
        <v>3008</v>
      </c>
      <c r="E31" s="3" t="s">
        <v>47</v>
      </c>
    </row>
    <row r="32" spans="1:5" x14ac:dyDescent="0.25">
      <c r="A32" s="3" t="s">
        <v>8</v>
      </c>
      <c r="B32" s="3" t="s">
        <v>573</v>
      </c>
      <c r="C32" s="3" t="s">
        <v>10</v>
      </c>
      <c r="D32" s="3" t="s">
        <v>3008</v>
      </c>
      <c r="E32" s="3" t="s">
        <v>15</v>
      </c>
    </row>
    <row r="33" spans="1:5" x14ac:dyDescent="0.25">
      <c r="A33" s="3" t="s">
        <v>8</v>
      </c>
      <c r="B33" s="3" t="s">
        <v>665</v>
      </c>
      <c r="C33" s="3" t="s">
        <v>10</v>
      </c>
      <c r="D33" s="3" t="s">
        <v>3011</v>
      </c>
      <c r="E33" s="3" t="s">
        <v>47</v>
      </c>
    </row>
    <row r="34" spans="1:5" x14ac:dyDescent="0.25">
      <c r="A34" s="3" t="s">
        <v>810</v>
      </c>
      <c r="B34" s="3" t="s">
        <v>880</v>
      </c>
      <c r="C34" s="3" t="s">
        <v>39</v>
      </c>
      <c r="D34" s="3" t="s">
        <v>3016</v>
      </c>
      <c r="E34" s="3" t="s">
        <v>23</v>
      </c>
    </row>
    <row r="35" spans="1:5" x14ac:dyDescent="0.25">
      <c r="A35" s="3" t="s">
        <v>810</v>
      </c>
      <c r="B35" s="3" t="s">
        <v>880</v>
      </c>
      <c r="C35" s="3" t="s">
        <v>39</v>
      </c>
      <c r="D35" s="3" t="s">
        <v>3016</v>
      </c>
      <c r="E35" s="3" t="s">
        <v>27</v>
      </c>
    </row>
    <row r="36" spans="1:5" x14ac:dyDescent="0.25">
      <c r="A36" s="3" t="s">
        <v>810</v>
      </c>
      <c r="B36" s="3" t="s">
        <v>880</v>
      </c>
      <c r="C36" s="3" t="s">
        <v>39</v>
      </c>
      <c r="D36" s="3" t="s">
        <v>3016</v>
      </c>
      <c r="E36" s="3" t="s">
        <v>888</v>
      </c>
    </row>
    <row r="37" spans="1:5" x14ac:dyDescent="0.25">
      <c r="A37" s="3" t="s">
        <v>907</v>
      </c>
      <c r="B37" s="3" t="s">
        <v>1010</v>
      </c>
      <c r="C37" s="3" t="s">
        <v>591</v>
      </c>
      <c r="D37" s="3" t="s">
        <v>3014</v>
      </c>
      <c r="E37" s="3" t="s">
        <v>26</v>
      </c>
    </row>
    <row r="38" spans="1:5" x14ac:dyDescent="0.25">
      <c r="A38" s="3" t="s">
        <v>907</v>
      </c>
      <c r="B38" s="3" t="s">
        <v>1010</v>
      </c>
      <c r="C38" s="3" t="s">
        <v>591</v>
      </c>
      <c r="D38" s="3" t="s">
        <v>3015</v>
      </c>
      <c r="E38" s="3" t="s">
        <v>26</v>
      </c>
    </row>
    <row r="39" spans="1:5" x14ac:dyDescent="0.25">
      <c r="A39" s="3" t="s">
        <v>2205</v>
      </c>
      <c r="B39" s="3" t="s">
        <v>3000</v>
      </c>
      <c r="C39" s="3" t="s">
        <v>10</v>
      </c>
      <c r="D39" s="3" t="s">
        <v>3001</v>
      </c>
      <c r="E39" s="3" t="s">
        <v>47</v>
      </c>
    </row>
    <row r="40" spans="1:5" x14ac:dyDescent="0.25">
      <c r="A40" s="3" t="s">
        <v>2205</v>
      </c>
      <c r="B40" s="3" t="s">
        <v>3000</v>
      </c>
      <c r="C40" s="3" t="s">
        <v>10</v>
      </c>
      <c r="D40" s="3" t="s">
        <v>3001</v>
      </c>
      <c r="E40" s="3" t="s">
        <v>15</v>
      </c>
    </row>
    <row r="41" spans="1:5" x14ac:dyDescent="0.25">
      <c r="A41" s="3" t="s">
        <v>2205</v>
      </c>
      <c r="B41" s="3" t="s">
        <v>2205</v>
      </c>
      <c r="C41" s="3" t="s">
        <v>10</v>
      </c>
      <c r="D41" s="3" t="s">
        <v>3013</v>
      </c>
      <c r="E41" s="3" t="s">
        <v>47</v>
      </c>
    </row>
    <row r="42" spans="1:5" x14ac:dyDescent="0.25">
      <c r="A42" s="3"/>
      <c r="B42" s="3"/>
      <c r="C42" s="3"/>
      <c r="D42" s="3"/>
      <c r="E42" s="3"/>
    </row>
    <row r="43" spans="1:5" x14ac:dyDescent="0.25">
      <c r="A43" s="3"/>
      <c r="B43" s="3"/>
      <c r="C43" s="3"/>
      <c r="D43" s="3"/>
      <c r="E43" s="3"/>
    </row>
    <row r="44" spans="1:5" s="6" customFormat="1" ht="18.5" x14ac:dyDescent="0.45">
      <c r="A44" s="19" t="s">
        <v>2851</v>
      </c>
      <c r="B44" s="18"/>
      <c r="C44" s="18"/>
      <c r="D44" s="18"/>
      <c r="E44" s="18"/>
    </row>
    <row r="45" spans="1:5" ht="26" x14ac:dyDescent="0.3">
      <c r="A45" s="1" t="s">
        <v>0</v>
      </c>
      <c r="B45" s="1" t="s">
        <v>1</v>
      </c>
      <c r="C45" s="1" t="s">
        <v>2</v>
      </c>
      <c r="D45" s="1" t="s">
        <v>3</v>
      </c>
      <c r="E45" s="17" t="s">
        <v>4</v>
      </c>
    </row>
    <row r="46" spans="1:5" x14ac:dyDescent="0.25">
      <c r="A46" s="3" t="s">
        <v>8</v>
      </c>
      <c r="B46" s="3" t="s">
        <v>665</v>
      </c>
      <c r="C46" s="3" t="s">
        <v>20</v>
      </c>
      <c r="D46" s="3" t="s">
        <v>793</v>
      </c>
      <c r="E46" s="3" t="s">
        <v>56</v>
      </c>
    </row>
    <row r="47" spans="1:5" x14ac:dyDescent="0.25">
      <c r="A47" s="3" t="s">
        <v>810</v>
      </c>
      <c r="B47" s="3" t="s">
        <v>858</v>
      </c>
      <c r="C47" s="3" t="s">
        <v>20</v>
      </c>
      <c r="D47" s="3" t="s">
        <v>864</v>
      </c>
      <c r="E47" s="3" t="s">
        <v>27</v>
      </c>
    </row>
    <row r="48" spans="1:5" x14ac:dyDescent="0.25">
      <c r="A48" s="3" t="s">
        <v>810</v>
      </c>
      <c r="B48" s="3" t="s">
        <v>858</v>
      </c>
      <c r="C48" s="3" t="s">
        <v>20</v>
      </c>
      <c r="D48" s="3" t="s">
        <v>864</v>
      </c>
      <c r="E48" s="3" t="s">
        <v>87</v>
      </c>
    </row>
    <row r="49" spans="1:6" x14ac:dyDescent="0.25">
      <c r="A49" s="3" t="s">
        <v>810</v>
      </c>
      <c r="B49" s="3" t="s">
        <v>858</v>
      </c>
      <c r="C49" s="3" t="s">
        <v>20</v>
      </c>
      <c r="D49" s="3" t="s">
        <v>864</v>
      </c>
      <c r="E49" s="3" t="s">
        <v>89</v>
      </c>
    </row>
    <row r="50" spans="1:6" x14ac:dyDescent="0.25">
      <c r="A50" s="3" t="s">
        <v>810</v>
      </c>
      <c r="B50" s="3" t="s">
        <v>858</v>
      </c>
      <c r="C50" s="3" t="s">
        <v>20</v>
      </c>
      <c r="D50" s="3" t="s">
        <v>864</v>
      </c>
      <c r="E50" s="3" t="s">
        <v>24</v>
      </c>
    </row>
    <row r="51" spans="1:6" x14ac:dyDescent="0.25">
      <c r="A51" s="3" t="s">
        <v>810</v>
      </c>
      <c r="B51" s="3" t="s">
        <v>869</v>
      </c>
      <c r="C51" s="3" t="s">
        <v>20</v>
      </c>
      <c r="D51" s="3" t="s">
        <v>870</v>
      </c>
      <c r="E51" s="3" t="s">
        <v>87</v>
      </c>
    </row>
    <row r="52" spans="1:6" x14ac:dyDescent="0.25">
      <c r="A52" s="3" t="s">
        <v>810</v>
      </c>
      <c r="B52" s="3" t="s">
        <v>869</v>
      </c>
      <c r="C52" s="3" t="s">
        <v>45</v>
      </c>
      <c r="D52" s="3" t="s">
        <v>878</v>
      </c>
      <c r="E52" s="3" t="s">
        <v>15</v>
      </c>
    </row>
    <row r="53" spans="1:6" x14ac:dyDescent="0.25">
      <c r="A53" s="3" t="s">
        <v>810</v>
      </c>
      <c r="B53" s="3" t="s">
        <v>869</v>
      </c>
      <c r="C53" s="3" t="s">
        <v>45</v>
      </c>
      <c r="D53" s="3" t="s">
        <v>878</v>
      </c>
      <c r="E53" s="3" t="s">
        <v>24</v>
      </c>
    </row>
    <row r="54" spans="1:6" x14ac:dyDescent="0.25">
      <c r="A54" s="3" t="s">
        <v>907</v>
      </c>
      <c r="B54" s="3" t="s">
        <v>1010</v>
      </c>
      <c r="C54" s="3" t="s">
        <v>20</v>
      </c>
      <c r="D54" s="3" t="s">
        <v>1017</v>
      </c>
      <c r="E54" s="3" t="s">
        <v>15</v>
      </c>
    </row>
    <row r="55" spans="1:6" x14ac:dyDescent="0.25">
      <c r="A55" s="3" t="s">
        <v>907</v>
      </c>
      <c r="B55" s="3" t="s">
        <v>1010</v>
      </c>
      <c r="C55" s="3" t="s">
        <v>10</v>
      </c>
      <c r="D55" s="3" t="s">
        <v>1172</v>
      </c>
      <c r="E55" s="3" t="s">
        <v>56</v>
      </c>
    </row>
    <row r="56" spans="1:6" x14ac:dyDescent="0.25">
      <c r="A56" s="3" t="s">
        <v>1185</v>
      </c>
      <c r="B56" s="3" t="s">
        <v>1285</v>
      </c>
      <c r="C56" s="3" t="s">
        <v>42</v>
      </c>
      <c r="D56" s="3" t="s">
        <v>1286</v>
      </c>
      <c r="E56" s="3" t="s">
        <v>60</v>
      </c>
      <c r="F56" s="3"/>
    </row>
    <row r="57" spans="1:6" x14ac:dyDescent="0.25">
      <c r="A57" s="3" t="s">
        <v>1185</v>
      </c>
      <c r="B57" s="3" t="s">
        <v>1285</v>
      </c>
      <c r="C57" s="3" t="s">
        <v>42</v>
      </c>
      <c r="D57" s="3" t="s">
        <v>1286</v>
      </c>
      <c r="E57" s="3" t="s">
        <v>27</v>
      </c>
      <c r="F57" s="3"/>
    </row>
    <row r="58" spans="1:6" x14ac:dyDescent="0.25">
      <c r="A58" s="3" t="s">
        <v>1185</v>
      </c>
      <c r="B58" s="3" t="s">
        <v>1285</v>
      </c>
      <c r="C58" s="3" t="s">
        <v>42</v>
      </c>
      <c r="D58" s="3" t="s">
        <v>1286</v>
      </c>
      <c r="E58" s="3" t="s">
        <v>26</v>
      </c>
    </row>
    <row r="59" spans="1:6" x14ac:dyDescent="0.25">
      <c r="A59" s="3" t="s">
        <v>1688</v>
      </c>
      <c r="B59" s="3" t="s">
        <v>1766</v>
      </c>
      <c r="C59" s="3" t="s">
        <v>20</v>
      </c>
      <c r="D59" s="3" t="s">
        <v>1771</v>
      </c>
      <c r="E59" s="3" t="s">
        <v>28</v>
      </c>
    </row>
    <row r="60" spans="1:6" x14ac:dyDescent="0.25">
      <c r="A60" s="3" t="s">
        <v>2205</v>
      </c>
      <c r="B60" s="3" t="s">
        <v>2205</v>
      </c>
      <c r="C60" s="3" t="s">
        <v>10</v>
      </c>
      <c r="D60" s="3" t="s">
        <v>2255</v>
      </c>
      <c r="E60" s="3" t="s">
        <v>47</v>
      </c>
    </row>
    <row r="61" spans="1:6" x14ac:dyDescent="0.25">
      <c r="A61" s="3"/>
      <c r="B61" s="3"/>
      <c r="C61" s="3"/>
      <c r="D61" s="3"/>
      <c r="E61" s="3"/>
    </row>
    <row r="63" spans="1:6" s="6" customFormat="1" ht="18.5" x14ac:dyDescent="0.45">
      <c r="A63" s="19" t="s">
        <v>2880</v>
      </c>
      <c r="B63" s="18"/>
      <c r="C63" s="18"/>
      <c r="D63" s="18"/>
      <c r="E63" s="18"/>
    </row>
    <row r="64" spans="1:6" ht="13" x14ac:dyDescent="0.3">
      <c r="A64" s="1" t="s">
        <v>0</v>
      </c>
      <c r="B64" s="1" t="s">
        <v>1</v>
      </c>
      <c r="C64" s="1" t="s">
        <v>2</v>
      </c>
      <c r="D64" s="1" t="s">
        <v>2888</v>
      </c>
      <c r="E64" s="17" t="s">
        <v>2881</v>
      </c>
    </row>
    <row r="65" spans="1:5" x14ac:dyDescent="0.25">
      <c r="A65" s="3" t="s">
        <v>1938</v>
      </c>
      <c r="B65" s="3" t="s">
        <v>1939</v>
      </c>
      <c r="C65" s="3" t="s">
        <v>45</v>
      </c>
      <c r="D65" s="3" t="s">
        <v>3021</v>
      </c>
      <c r="E65" s="20" t="s">
        <v>1983</v>
      </c>
    </row>
    <row r="66" spans="1:5" x14ac:dyDescent="0.25">
      <c r="A66" s="20"/>
      <c r="B66" s="20"/>
      <c r="C66" s="20"/>
      <c r="D66" s="20"/>
      <c r="E66" s="21"/>
    </row>
  </sheetData>
  <pageMargins left="0.7" right="0.7" top="0.75" bottom="0.75" header="0.3" footer="0.3"/>
  <pageSetup paperSize="9" orientation="portrait" r:id="rId1"/>
  <customProperties>
    <customPr name="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55"/>
  <sheetViews>
    <sheetView workbookViewId="0">
      <selection activeCell="A2" sqref="A2"/>
    </sheetView>
  </sheetViews>
  <sheetFormatPr defaultRowHeight="14.5" x14ac:dyDescent="0.35"/>
  <cols>
    <col min="1" max="1" width="16.453125" customWidth="1"/>
    <col min="2" max="2" width="21.453125" customWidth="1"/>
    <col min="3" max="3" width="54.81640625" customWidth="1"/>
    <col min="4" max="4" width="31.453125" customWidth="1"/>
    <col min="5" max="5" width="12.54296875" customWidth="1"/>
    <col min="6" max="6" width="34.54296875" customWidth="1"/>
    <col min="7" max="8" width="14.26953125" customWidth="1"/>
  </cols>
  <sheetData>
    <row r="1" spans="1:8" ht="42.5" customHeight="1" x14ac:dyDescent="0.35">
      <c r="A1" s="1" t="s">
        <v>1</v>
      </c>
      <c r="B1" s="1" t="s">
        <v>2</v>
      </c>
      <c r="C1" s="1" t="s">
        <v>3</v>
      </c>
      <c r="D1" s="1" t="s">
        <v>4</v>
      </c>
      <c r="E1" s="1" t="s">
        <v>5</v>
      </c>
      <c r="F1" s="1" t="s">
        <v>2296</v>
      </c>
      <c r="G1" s="1" t="s">
        <v>6</v>
      </c>
      <c r="H1" s="1" t="s">
        <v>7</v>
      </c>
    </row>
    <row r="2" spans="1:8" x14ac:dyDescent="0.35">
      <c r="A2" s="3" t="s">
        <v>2205</v>
      </c>
      <c r="B2" s="3" t="s">
        <v>129</v>
      </c>
      <c r="C2" s="3" t="s">
        <v>2878</v>
      </c>
      <c r="D2" s="3" t="s">
        <v>15</v>
      </c>
      <c r="E2" s="3" t="s">
        <v>16</v>
      </c>
      <c r="F2" s="3" t="s">
        <v>2879</v>
      </c>
      <c r="G2" s="3"/>
      <c r="H2" s="3"/>
    </row>
    <row r="3" spans="1:8" x14ac:dyDescent="0.35">
      <c r="A3" s="3" t="s">
        <v>2205</v>
      </c>
      <c r="B3" s="3" t="s">
        <v>129</v>
      </c>
      <c r="C3" s="3" t="s">
        <v>2878</v>
      </c>
      <c r="D3" s="3" t="s">
        <v>57</v>
      </c>
      <c r="E3" s="3"/>
      <c r="F3" s="3"/>
      <c r="G3" s="3"/>
      <c r="H3" s="3"/>
    </row>
    <row r="4" spans="1:8" x14ac:dyDescent="0.35">
      <c r="A4" s="3" t="s">
        <v>2205</v>
      </c>
      <c r="B4" s="3" t="s">
        <v>129</v>
      </c>
      <c r="C4" s="3" t="s">
        <v>2878</v>
      </c>
      <c r="D4" s="3" t="s">
        <v>134</v>
      </c>
      <c r="E4" s="3"/>
      <c r="F4" s="3"/>
      <c r="G4" s="3"/>
      <c r="H4" s="3"/>
    </row>
    <row r="5" spans="1:8" x14ac:dyDescent="0.35">
      <c r="A5" s="3" t="s">
        <v>2947</v>
      </c>
      <c r="B5" s="3" t="s">
        <v>129</v>
      </c>
      <c r="C5" s="3" t="s">
        <v>2206</v>
      </c>
      <c r="D5" s="3" t="s">
        <v>15</v>
      </c>
      <c r="E5" s="3" t="s">
        <v>16</v>
      </c>
      <c r="F5" s="3" t="s">
        <v>2207</v>
      </c>
      <c r="G5" s="3"/>
      <c r="H5" s="3"/>
    </row>
    <row r="6" spans="1:8" x14ac:dyDescent="0.35">
      <c r="A6" s="3" t="s">
        <v>2947</v>
      </c>
      <c r="B6" s="3" t="s">
        <v>129</v>
      </c>
      <c r="C6" s="3" t="s">
        <v>2206</v>
      </c>
      <c r="D6" s="3" t="s">
        <v>56</v>
      </c>
      <c r="E6" s="3" t="s">
        <v>16</v>
      </c>
      <c r="F6" s="3" t="s">
        <v>2207</v>
      </c>
      <c r="G6" s="3"/>
      <c r="H6" s="3"/>
    </row>
    <row r="7" spans="1:8" x14ac:dyDescent="0.35">
      <c r="A7" s="3" t="s">
        <v>2947</v>
      </c>
      <c r="B7" s="3" t="s">
        <v>129</v>
      </c>
      <c r="C7" s="3" t="s">
        <v>2206</v>
      </c>
      <c r="D7" s="3" t="s">
        <v>32</v>
      </c>
      <c r="E7" s="3" t="s">
        <v>16</v>
      </c>
      <c r="F7" s="3" t="s">
        <v>2207</v>
      </c>
      <c r="G7" s="3"/>
      <c r="H7" s="3"/>
    </row>
    <row r="8" spans="1:8" s="4" customFormat="1" x14ac:dyDescent="0.35">
      <c r="A8" s="3" t="s">
        <v>2955</v>
      </c>
      <c r="B8" s="3" t="s">
        <v>10</v>
      </c>
      <c r="C8" s="3" t="s">
        <v>2956</v>
      </c>
      <c r="D8" s="3" t="s">
        <v>12</v>
      </c>
      <c r="E8" s="3"/>
      <c r="F8" s="3"/>
      <c r="G8" s="3"/>
      <c r="H8" s="3"/>
    </row>
    <row r="9" spans="1:8" s="4" customFormat="1" x14ac:dyDescent="0.35">
      <c r="A9" s="3" t="s">
        <v>2955</v>
      </c>
      <c r="B9" s="3" t="s">
        <v>10</v>
      </c>
      <c r="C9" s="3" t="s">
        <v>2956</v>
      </c>
      <c r="D9" s="3" t="s">
        <v>47</v>
      </c>
      <c r="E9" s="3"/>
      <c r="F9" s="3"/>
      <c r="G9" s="3"/>
      <c r="H9" s="3"/>
    </row>
    <row r="10" spans="1:8" s="4" customFormat="1" x14ac:dyDescent="0.35">
      <c r="A10" s="3" t="s">
        <v>2955</v>
      </c>
      <c r="B10" s="3" t="s">
        <v>10</v>
      </c>
      <c r="C10" s="3" t="s">
        <v>2956</v>
      </c>
      <c r="D10" s="3" t="s">
        <v>15</v>
      </c>
      <c r="E10" s="3" t="s">
        <v>16</v>
      </c>
      <c r="F10" s="3" t="s">
        <v>2957</v>
      </c>
      <c r="G10" s="3"/>
      <c r="H10" s="3"/>
    </row>
    <row r="11" spans="1:8" x14ac:dyDescent="0.35">
      <c r="A11" s="3" t="s">
        <v>2205</v>
      </c>
      <c r="B11" s="3" t="s">
        <v>129</v>
      </c>
      <c r="C11" s="3" t="s">
        <v>2208</v>
      </c>
      <c r="D11" s="3" t="s">
        <v>12</v>
      </c>
      <c r="E11" s="3"/>
      <c r="F11" s="3"/>
      <c r="G11" s="3"/>
      <c r="H11" s="3"/>
    </row>
    <row r="12" spans="1:8" x14ac:dyDescent="0.35">
      <c r="A12" s="3" t="s">
        <v>2205</v>
      </c>
      <c r="B12" s="3" t="s">
        <v>129</v>
      </c>
      <c r="C12" s="3" t="s">
        <v>2208</v>
      </c>
      <c r="D12" s="3" t="s">
        <v>15</v>
      </c>
      <c r="E12" s="3" t="s">
        <v>16</v>
      </c>
      <c r="F12" s="3" t="s">
        <v>2209</v>
      </c>
      <c r="G12" s="3"/>
      <c r="H12" s="3"/>
    </row>
    <row r="13" spans="1:8" x14ac:dyDescent="0.35">
      <c r="A13" s="3" t="s">
        <v>2205</v>
      </c>
      <c r="B13" s="3" t="s">
        <v>129</v>
      </c>
      <c r="C13" s="3" t="s">
        <v>2208</v>
      </c>
      <c r="D13" s="3" t="s">
        <v>57</v>
      </c>
      <c r="E13" s="3"/>
      <c r="F13" s="3" t="s">
        <v>2308</v>
      </c>
      <c r="G13" s="3"/>
      <c r="H13" s="3"/>
    </row>
    <row r="14" spans="1:8" x14ac:dyDescent="0.35">
      <c r="A14" s="3" t="s">
        <v>2205</v>
      </c>
      <c r="B14" s="3" t="s">
        <v>129</v>
      </c>
      <c r="C14" s="3" t="s">
        <v>2208</v>
      </c>
      <c r="D14" s="3" t="s">
        <v>134</v>
      </c>
      <c r="E14" s="3"/>
      <c r="F14" s="3" t="s">
        <v>2306</v>
      </c>
      <c r="G14" s="3"/>
      <c r="H14" s="3"/>
    </row>
    <row r="15" spans="1:8" x14ac:dyDescent="0.35">
      <c r="A15" s="3" t="s">
        <v>2205</v>
      </c>
      <c r="B15" s="3" t="s">
        <v>129</v>
      </c>
      <c r="C15" s="3" t="s">
        <v>2208</v>
      </c>
      <c r="D15" s="3" t="s">
        <v>107</v>
      </c>
      <c r="E15" s="3" t="s">
        <v>16</v>
      </c>
      <c r="F15" s="3" t="s">
        <v>2307</v>
      </c>
      <c r="G15" s="3"/>
      <c r="H15" s="3"/>
    </row>
    <row r="16" spans="1:8" s="4" customFormat="1" x14ac:dyDescent="0.35">
      <c r="A16" s="3" t="s">
        <v>2205</v>
      </c>
      <c r="B16" s="3" t="s">
        <v>129</v>
      </c>
      <c r="C16" s="3" t="s">
        <v>2208</v>
      </c>
      <c r="D16" s="3" t="s">
        <v>82</v>
      </c>
      <c r="E16" s="3"/>
      <c r="F16" s="3"/>
      <c r="G16" s="3"/>
      <c r="H16" s="3"/>
    </row>
    <row r="17" spans="1:8" s="4" customFormat="1" x14ac:dyDescent="0.35">
      <c r="A17" s="3" t="s">
        <v>2948</v>
      </c>
      <c r="B17" s="3" t="s">
        <v>42</v>
      </c>
      <c r="C17" s="3" t="s">
        <v>2550</v>
      </c>
      <c r="D17" s="3" t="s">
        <v>23</v>
      </c>
      <c r="E17" s="3" t="s">
        <v>16</v>
      </c>
      <c r="F17" s="3" t="s">
        <v>2551</v>
      </c>
      <c r="G17" s="3" t="s">
        <v>16</v>
      </c>
      <c r="H17" s="3" t="s">
        <v>409</v>
      </c>
    </row>
    <row r="18" spans="1:8" s="4" customFormat="1" x14ac:dyDescent="0.35">
      <c r="A18" s="3" t="s">
        <v>2948</v>
      </c>
      <c r="B18" s="3" t="s">
        <v>42</v>
      </c>
      <c r="C18" s="3" t="s">
        <v>2550</v>
      </c>
      <c r="D18" s="3" t="s">
        <v>98</v>
      </c>
      <c r="E18" s="3" t="s">
        <v>16</v>
      </c>
      <c r="F18" s="3" t="s">
        <v>2552</v>
      </c>
      <c r="G18" s="3" t="s">
        <v>16</v>
      </c>
      <c r="H18" s="3" t="s">
        <v>409</v>
      </c>
    </row>
    <row r="19" spans="1:8" x14ac:dyDescent="0.35">
      <c r="A19" s="3" t="s">
        <v>2948</v>
      </c>
      <c r="B19" s="3" t="s">
        <v>42</v>
      </c>
      <c r="C19" s="3" t="s">
        <v>2550</v>
      </c>
      <c r="D19" s="3" t="s">
        <v>24</v>
      </c>
      <c r="E19" s="3" t="s">
        <v>16</v>
      </c>
      <c r="F19" s="3" t="s">
        <v>2553</v>
      </c>
      <c r="G19" s="3" t="s">
        <v>16</v>
      </c>
      <c r="H19" s="3" t="s">
        <v>409</v>
      </c>
    </row>
    <row r="20" spans="1:8" x14ac:dyDescent="0.35">
      <c r="A20" s="3" t="s">
        <v>2205</v>
      </c>
      <c r="B20" s="3" t="s">
        <v>129</v>
      </c>
      <c r="C20" s="3" t="s">
        <v>2210</v>
      </c>
      <c r="D20" s="3" t="s">
        <v>47</v>
      </c>
      <c r="E20" s="3"/>
      <c r="F20" s="3"/>
      <c r="G20" s="3"/>
      <c r="H20" s="3"/>
    </row>
    <row r="21" spans="1:8" x14ac:dyDescent="0.35">
      <c r="A21" s="3" t="s">
        <v>2205</v>
      </c>
      <c r="B21" s="3" t="s">
        <v>129</v>
      </c>
      <c r="C21" s="3" t="s">
        <v>2210</v>
      </c>
      <c r="D21" s="3" t="s">
        <v>25</v>
      </c>
      <c r="E21" s="3"/>
      <c r="F21" s="3"/>
      <c r="G21" s="3"/>
      <c r="H21" s="3"/>
    </row>
    <row r="22" spans="1:8" x14ac:dyDescent="0.35">
      <c r="A22" s="3" t="s">
        <v>2205</v>
      </c>
      <c r="B22" s="3" t="s">
        <v>129</v>
      </c>
      <c r="C22" s="3" t="s">
        <v>2210</v>
      </c>
      <c r="D22" s="3" t="s">
        <v>71</v>
      </c>
      <c r="E22" s="3"/>
      <c r="F22" s="3"/>
      <c r="G22" s="3"/>
      <c r="H22" s="3"/>
    </row>
    <row r="23" spans="1:8" x14ac:dyDescent="0.35">
      <c r="A23" s="3" t="s">
        <v>2205</v>
      </c>
      <c r="B23" s="3" t="s">
        <v>129</v>
      </c>
      <c r="C23" s="3" t="s">
        <v>2210</v>
      </c>
      <c r="D23" s="3" t="s">
        <v>32</v>
      </c>
      <c r="E23" s="3" t="s">
        <v>16</v>
      </c>
      <c r="F23" s="3" t="s">
        <v>2013</v>
      </c>
      <c r="G23" s="3"/>
      <c r="H23" s="3"/>
    </row>
    <row r="24" spans="1:8" x14ac:dyDescent="0.35">
      <c r="A24" s="3" t="s">
        <v>2205</v>
      </c>
      <c r="B24" s="3" t="s">
        <v>129</v>
      </c>
      <c r="C24" s="3" t="s">
        <v>2210</v>
      </c>
      <c r="D24" s="3" t="s">
        <v>134</v>
      </c>
      <c r="E24" s="3" t="s">
        <v>16</v>
      </c>
      <c r="F24" s="3" t="s">
        <v>2013</v>
      </c>
      <c r="G24" s="3"/>
      <c r="H24" s="3"/>
    </row>
    <row r="25" spans="1:8" x14ac:dyDescent="0.35">
      <c r="A25" s="3" t="s">
        <v>2205</v>
      </c>
      <c r="B25" s="3" t="s">
        <v>129</v>
      </c>
      <c r="C25" s="3" t="s">
        <v>2210</v>
      </c>
      <c r="D25" s="3" t="s">
        <v>107</v>
      </c>
      <c r="E25" s="3" t="s">
        <v>16</v>
      </c>
      <c r="F25" s="3" t="s">
        <v>2013</v>
      </c>
      <c r="G25" s="3"/>
      <c r="H25" s="3"/>
    </row>
    <row r="26" spans="1:8" x14ac:dyDescent="0.35">
      <c r="A26" s="3" t="s">
        <v>2205</v>
      </c>
      <c r="B26" s="3" t="s">
        <v>129</v>
      </c>
      <c r="C26" s="3" t="s">
        <v>2210</v>
      </c>
      <c r="D26" s="3" t="s">
        <v>82</v>
      </c>
      <c r="E26" s="3"/>
      <c r="F26" s="3"/>
      <c r="G26" s="3"/>
      <c r="H26" s="3"/>
    </row>
    <row r="27" spans="1:8" x14ac:dyDescent="0.35">
      <c r="A27" s="3" t="s">
        <v>2205</v>
      </c>
      <c r="B27" s="3" t="s">
        <v>10</v>
      </c>
      <c r="C27" s="3" t="s">
        <v>3013</v>
      </c>
      <c r="D27" s="3" t="s">
        <v>47</v>
      </c>
      <c r="E27" s="3"/>
      <c r="F27" s="3"/>
      <c r="G27" s="3"/>
      <c r="H27" s="3"/>
    </row>
    <row r="28" spans="1:8" s="4" customFormat="1" x14ac:dyDescent="0.35">
      <c r="A28" s="3" t="s">
        <v>2945</v>
      </c>
      <c r="B28" s="3" t="s">
        <v>129</v>
      </c>
      <c r="C28" s="3" t="s">
        <v>2943</v>
      </c>
      <c r="D28" s="3" t="s">
        <v>60</v>
      </c>
      <c r="E28" s="3" t="s">
        <v>16</v>
      </c>
      <c r="F28" s="3" t="s">
        <v>2944</v>
      </c>
      <c r="G28" s="3" t="s">
        <v>16</v>
      </c>
      <c r="H28" s="3" t="s">
        <v>409</v>
      </c>
    </row>
    <row r="29" spans="1:8" s="4" customFormat="1" x14ac:dyDescent="0.35">
      <c r="A29" s="3" t="s">
        <v>2945</v>
      </c>
      <c r="B29" s="3" t="s">
        <v>129</v>
      </c>
      <c r="C29" s="3" t="s">
        <v>2943</v>
      </c>
      <c r="D29" s="3" t="s">
        <v>24</v>
      </c>
      <c r="E29" s="3"/>
      <c r="F29" s="3"/>
      <c r="G29" s="3" t="s">
        <v>16</v>
      </c>
      <c r="H29" s="3" t="s">
        <v>409</v>
      </c>
    </row>
    <row r="30" spans="1:8" x14ac:dyDescent="0.35">
      <c r="A30" s="3" t="s">
        <v>2949</v>
      </c>
      <c r="B30" s="3" t="s">
        <v>20</v>
      </c>
      <c r="C30" s="3" t="s">
        <v>2554</v>
      </c>
      <c r="D30" s="3" t="s">
        <v>23</v>
      </c>
      <c r="E30" s="3" t="s">
        <v>16</v>
      </c>
      <c r="F30" s="3" t="s">
        <v>2555</v>
      </c>
      <c r="G30" s="3" t="s">
        <v>16</v>
      </c>
      <c r="H30" s="3" t="s">
        <v>409</v>
      </c>
    </row>
    <row r="31" spans="1:8" x14ac:dyDescent="0.35">
      <c r="A31" s="3" t="s">
        <v>2949</v>
      </c>
      <c r="B31" s="3" t="s">
        <v>20</v>
      </c>
      <c r="C31" s="3" t="s">
        <v>2554</v>
      </c>
      <c r="D31" s="3" t="s">
        <v>98</v>
      </c>
      <c r="E31" s="3" t="s">
        <v>16</v>
      </c>
      <c r="F31" s="3" t="s">
        <v>2556</v>
      </c>
      <c r="G31" s="3" t="s">
        <v>16</v>
      </c>
      <c r="H31" s="3" t="s">
        <v>409</v>
      </c>
    </row>
    <row r="32" spans="1:8" x14ac:dyDescent="0.35">
      <c r="A32" s="3" t="s">
        <v>2205</v>
      </c>
      <c r="B32" s="3" t="s">
        <v>129</v>
      </c>
      <c r="C32" s="3" t="s">
        <v>2679</v>
      </c>
      <c r="D32" s="3" t="s">
        <v>87</v>
      </c>
      <c r="E32" s="3"/>
      <c r="F32" s="3" t="s">
        <v>2680</v>
      </c>
      <c r="G32" s="3"/>
      <c r="H32" s="3"/>
    </row>
    <row r="33" spans="1:8" x14ac:dyDescent="0.35">
      <c r="A33" s="3" t="s">
        <v>2205</v>
      </c>
      <c r="B33" s="3" t="s">
        <v>129</v>
      </c>
      <c r="C33" s="3" t="s">
        <v>2679</v>
      </c>
      <c r="D33" s="3" t="s">
        <v>15</v>
      </c>
      <c r="E33" s="3"/>
      <c r="F33" s="3" t="s">
        <v>2681</v>
      </c>
      <c r="G33" s="3"/>
      <c r="H33" s="3"/>
    </row>
    <row r="34" spans="1:8" x14ac:dyDescent="0.35">
      <c r="A34" s="3" t="s">
        <v>2205</v>
      </c>
      <c r="B34" s="3" t="s">
        <v>129</v>
      </c>
      <c r="C34" s="3" t="s">
        <v>2679</v>
      </c>
      <c r="D34" s="3" t="s">
        <v>24</v>
      </c>
      <c r="E34" s="3"/>
      <c r="F34" s="3" t="s">
        <v>2682</v>
      </c>
      <c r="G34" s="3"/>
      <c r="H34" s="3"/>
    </row>
    <row r="35" spans="1:8" x14ac:dyDescent="0.35">
      <c r="A35" s="3" t="s">
        <v>2950</v>
      </c>
      <c r="B35" s="3" t="s">
        <v>42</v>
      </c>
      <c r="C35" s="3" t="s">
        <v>2211</v>
      </c>
      <c r="D35" s="3" t="s">
        <v>87</v>
      </c>
      <c r="E35" s="3"/>
      <c r="F35" s="3"/>
      <c r="G35" s="3"/>
      <c r="H35" s="5"/>
    </row>
    <row r="36" spans="1:8" x14ac:dyDescent="0.35">
      <c r="A36" s="3" t="s">
        <v>2950</v>
      </c>
      <c r="B36" s="3" t="s">
        <v>42</v>
      </c>
      <c r="C36" s="3" t="s">
        <v>2211</v>
      </c>
      <c r="D36" s="3" t="s">
        <v>24</v>
      </c>
      <c r="E36" s="3"/>
      <c r="F36" s="3"/>
      <c r="G36" s="3"/>
      <c r="H36" s="5"/>
    </row>
    <row r="37" spans="1:8" x14ac:dyDescent="0.35">
      <c r="A37" s="3" t="s">
        <v>2950</v>
      </c>
      <c r="B37" s="3" t="s">
        <v>20</v>
      </c>
      <c r="C37" s="3" t="s">
        <v>2212</v>
      </c>
      <c r="D37" s="3" t="s">
        <v>27</v>
      </c>
      <c r="E37" s="3"/>
      <c r="F37" s="3"/>
      <c r="G37" s="3"/>
      <c r="H37" s="5"/>
    </row>
    <row r="38" spans="1:8" x14ac:dyDescent="0.35">
      <c r="A38" s="3" t="s">
        <v>2950</v>
      </c>
      <c r="B38" s="3" t="s">
        <v>20</v>
      </c>
      <c r="C38" s="3" t="s">
        <v>2212</v>
      </c>
      <c r="D38" s="3" t="s">
        <v>28</v>
      </c>
      <c r="E38" s="3"/>
      <c r="F38" s="3" t="s">
        <v>2370</v>
      </c>
      <c r="G38" s="3"/>
      <c r="H38" s="5"/>
    </row>
    <row r="39" spans="1:8" x14ac:dyDescent="0.35">
      <c r="A39" s="3" t="s">
        <v>2950</v>
      </c>
      <c r="B39" s="3" t="s">
        <v>20</v>
      </c>
      <c r="C39" s="3" t="s">
        <v>2212</v>
      </c>
      <c r="D39" s="3" t="s">
        <v>15</v>
      </c>
      <c r="E39" s="3"/>
      <c r="F39" s="3"/>
      <c r="G39" s="3"/>
      <c r="H39" s="5"/>
    </row>
    <row r="40" spans="1:8" x14ac:dyDescent="0.35">
      <c r="A40" s="3" t="s">
        <v>2950</v>
      </c>
      <c r="B40" s="3" t="s">
        <v>20</v>
      </c>
      <c r="C40" s="3" t="s">
        <v>2212</v>
      </c>
      <c r="D40" s="3" t="s">
        <v>89</v>
      </c>
      <c r="E40" s="3"/>
      <c r="F40" s="3"/>
      <c r="G40" s="3"/>
      <c r="H40" s="5"/>
    </row>
    <row r="41" spans="1:8" x14ac:dyDescent="0.35">
      <c r="A41" s="3" t="s">
        <v>2950</v>
      </c>
      <c r="B41" s="3" t="s">
        <v>20</v>
      </c>
      <c r="C41" s="3" t="s">
        <v>2212</v>
      </c>
      <c r="D41" s="3" t="s">
        <v>26</v>
      </c>
      <c r="E41" s="3"/>
      <c r="F41" s="3"/>
      <c r="G41" s="3"/>
      <c r="H41" s="5"/>
    </row>
    <row r="42" spans="1:8" x14ac:dyDescent="0.35">
      <c r="A42" s="3" t="s">
        <v>2950</v>
      </c>
      <c r="B42" s="3" t="s">
        <v>20</v>
      </c>
      <c r="C42" s="3" t="s">
        <v>2212</v>
      </c>
      <c r="D42" s="3" t="s">
        <v>911</v>
      </c>
      <c r="E42" s="3"/>
      <c r="F42" s="3"/>
      <c r="G42" s="3"/>
      <c r="H42" s="5"/>
    </row>
    <row r="43" spans="1:8" x14ac:dyDescent="0.35">
      <c r="A43" s="3" t="s">
        <v>2950</v>
      </c>
      <c r="B43" s="3" t="s">
        <v>20</v>
      </c>
      <c r="C43" s="3" t="s">
        <v>2212</v>
      </c>
      <c r="D43" s="3" t="s">
        <v>152</v>
      </c>
      <c r="E43" s="3"/>
      <c r="F43" s="3"/>
      <c r="G43" s="3"/>
      <c r="H43" s="5"/>
    </row>
    <row r="44" spans="1:8" x14ac:dyDescent="0.35">
      <c r="A44" s="3" t="s">
        <v>2950</v>
      </c>
      <c r="B44" s="3" t="s">
        <v>20</v>
      </c>
      <c r="C44" s="3" t="s">
        <v>2212</v>
      </c>
      <c r="D44" s="3" t="s">
        <v>24</v>
      </c>
      <c r="E44" s="3"/>
      <c r="F44" s="3"/>
      <c r="G44" s="3"/>
      <c r="H44" s="5"/>
    </row>
    <row r="45" spans="1:8" x14ac:dyDescent="0.35">
      <c r="A45" s="3" t="s">
        <v>2205</v>
      </c>
      <c r="B45" s="3" t="s">
        <v>10</v>
      </c>
      <c r="C45" s="3" t="s">
        <v>2213</v>
      </c>
      <c r="D45" s="3" t="s">
        <v>32</v>
      </c>
      <c r="E45" s="3"/>
      <c r="F45" s="3"/>
      <c r="G45" s="3"/>
      <c r="H45" s="5"/>
    </row>
    <row r="46" spans="1:8" x14ac:dyDescent="0.35">
      <c r="A46" s="3" t="s">
        <v>2205</v>
      </c>
      <c r="B46" s="3" t="s">
        <v>10</v>
      </c>
      <c r="C46" s="3" t="s">
        <v>2213</v>
      </c>
      <c r="D46" s="3" t="s">
        <v>911</v>
      </c>
      <c r="E46" s="3" t="s">
        <v>16</v>
      </c>
      <c r="F46" s="3" t="s">
        <v>2214</v>
      </c>
      <c r="G46" s="3"/>
      <c r="H46" s="5"/>
    </row>
    <row r="47" spans="1:8" x14ac:dyDescent="0.35">
      <c r="A47" s="3" t="s">
        <v>3000</v>
      </c>
      <c r="B47" s="3" t="s">
        <v>10</v>
      </c>
      <c r="C47" s="3" t="s">
        <v>3001</v>
      </c>
      <c r="D47" s="3" t="s">
        <v>47</v>
      </c>
      <c r="E47" s="3"/>
      <c r="F47" s="3"/>
      <c r="G47" s="3"/>
      <c r="H47" s="5"/>
    </row>
    <row r="48" spans="1:8" x14ac:dyDescent="0.35">
      <c r="A48" s="3" t="s">
        <v>3000</v>
      </c>
      <c r="B48" s="3" t="s">
        <v>10</v>
      </c>
      <c r="C48" s="3" t="s">
        <v>3001</v>
      </c>
      <c r="D48" s="3" t="s">
        <v>15</v>
      </c>
      <c r="E48" s="3" t="s">
        <v>16</v>
      </c>
      <c r="F48" s="3" t="s">
        <v>3002</v>
      </c>
      <c r="G48" s="3"/>
      <c r="H48" s="5"/>
    </row>
    <row r="49" spans="1:8" x14ac:dyDescent="0.35">
      <c r="A49" s="3" t="s">
        <v>2205</v>
      </c>
      <c r="B49" s="3" t="s">
        <v>129</v>
      </c>
      <c r="C49" s="3" t="s">
        <v>2215</v>
      </c>
      <c r="D49" s="3" t="s">
        <v>25</v>
      </c>
      <c r="E49" s="3"/>
      <c r="F49" s="3"/>
      <c r="G49" s="3"/>
      <c r="H49" s="3"/>
    </row>
    <row r="50" spans="1:8" x14ac:dyDescent="0.35">
      <c r="A50" s="3" t="s">
        <v>2205</v>
      </c>
      <c r="B50" s="3" t="s">
        <v>129</v>
      </c>
      <c r="C50" s="3" t="s">
        <v>2215</v>
      </c>
      <c r="D50" s="3" t="s">
        <v>28</v>
      </c>
      <c r="E50" s="3"/>
      <c r="F50" s="3"/>
      <c r="G50" s="3"/>
      <c r="H50" s="3"/>
    </row>
    <row r="51" spans="1:8" x14ac:dyDescent="0.35">
      <c r="A51" s="3" t="s">
        <v>2205</v>
      </c>
      <c r="B51" s="3" t="s">
        <v>129</v>
      </c>
      <c r="C51" s="3" t="s">
        <v>2215</v>
      </c>
      <c r="D51" s="3" t="s">
        <v>15</v>
      </c>
      <c r="E51" s="3"/>
      <c r="F51" s="3"/>
      <c r="G51" s="3"/>
      <c r="H51" s="3"/>
    </row>
    <row r="52" spans="1:8" x14ac:dyDescent="0.35">
      <c r="A52" s="3" t="s">
        <v>2205</v>
      </c>
      <c r="B52" s="3" t="s">
        <v>129</v>
      </c>
      <c r="C52" s="3" t="s">
        <v>2215</v>
      </c>
      <c r="D52" s="3" t="s">
        <v>911</v>
      </c>
      <c r="E52" s="3"/>
      <c r="F52" s="3"/>
      <c r="G52" s="3"/>
      <c r="H52" s="3"/>
    </row>
    <row r="53" spans="1:8" x14ac:dyDescent="0.35">
      <c r="A53" s="3" t="s">
        <v>2205</v>
      </c>
      <c r="B53" s="3" t="s">
        <v>129</v>
      </c>
      <c r="C53" s="3" t="s">
        <v>2215</v>
      </c>
      <c r="D53" s="3" t="s">
        <v>134</v>
      </c>
      <c r="E53" s="3"/>
      <c r="F53" s="3"/>
      <c r="G53" s="3"/>
      <c r="H53" s="3"/>
    </row>
    <row r="54" spans="1:8" x14ac:dyDescent="0.35">
      <c r="A54" s="3" t="s">
        <v>2205</v>
      </c>
      <c r="B54" s="3" t="s">
        <v>129</v>
      </c>
      <c r="C54" s="3" t="s">
        <v>2215</v>
      </c>
      <c r="D54" s="3" t="s">
        <v>107</v>
      </c>
      <c r="E54" s="3"/>
      <c r="F54" s="3"/>
      <c r="G54" s="3"/>
      <c r="H54" s="3"/>
    </row>
    <row r="55" spans="1:8" x14ac:dyDescent="0.35">
      <c r="A55" s="3" t="s">
        <v>2951</v>
      </c>
      <c r="B55" s="3" t="s">
        <v>10</v>
      </c>
      <c r="C55" s="3" t="s">
        <v>2216</v>
      </c>
      <c r="D55" s="3" t="s">
        <v>47</v>
      </c>
      <c r="E55" s="3"/>
      <c r="F55" s="3"/>
      <c r="G55" s="3"/>
      <c r="H55" s="3"/>
    </row>
    <row r="56" spans="1:8" x14ac:dyDescent="0.35">
      <c r="A56" s="3" t="s">
        <v>2951</v>
      </c>
      <c r="B56" s="3" t="s">
        <v>10</v>
      </c>
      <c r="C56" s="3" t="s">
        <v>2216</v>
      </c>
      <c r="D56" s="3" t="s">
        <v>32</v>
      </c>
      <c r="E56" s="3"/>
      <c r="F56" s="3"/>
      <c r="G56" s="3"/>
      <c r="H56" s="3"/>
    </row>
    <row r="57" spans="1:8" x14ac:dyDescent="0.35">
      <c r="A57" s="3" t="s">
        <v>2205</v>
      </c>
      <c r="B57" s="3" t="s">
        <v>129</v>
      </c>
      <c r="C57" s="3" t="s">
        <v>2217</v>
      </c>
      <c r="D57" s="3" t="s">
        <v>12</v>
      </c>
      <c r="E57" s="3"/>
      <c r="F57" s="3"/>
      <c r="G57" s="3"/>
      <c r="H57" s="3"/>
    </row>
    <row r="58" spans="1:8" x14ac:dyDescent="0.35">
      <c r="A58" s="3" t="s">
        <v>2205</v>
      </c>
      <c r="B58" s="3" t="s">
        <v>129</v>
      </c>
      <c r="C58" s="3" t="s">
        <v>2217</v>
      </c>
      <c r="D58" s="3" t="s">
        <v>25</v>
      </c>
      <c r="E58" s="3"/>
      <c r="F58" s="3"/>
      <c r="G58" s="3"/>
      <c r="H58" s="3"/>
    </row>
    <row r="59" spans="1:8" x14ac:dyDescent="0.35">
      <c r="A59" s="3" t="s">
        <v>2205</v>
      </c>
      <c r="B59" s="3" t="s">
        <v>129</v>
      </c>
      <c r="C59" s="3" t="s">
        <v>2217</v>
      </c>
      <c r="D59" s="3" t="s">
        <v>142</v>
      </c>
      <c r="E59" s="3"/>
      <c r="F59" s="3"/>
      <c r="G59" s="3"/>
      <c r="H59" s="3"/>
    </row>
    <row r="60" spans="1:8" x14ac:dyDescent="0.35">
      <c r="A60" s="3" t="s">
        <v>2205</v>
      </c>
      <c r="B60" s="3" t="s">
        <v>129</v>
      </c>
      <c r="C60" s="3" t="s">
        <v>2217</v>
      </c>
      <c r="D60" s="3" t="s">
        <v>28</v>
      </c>
      <c r="E60" s="3"/>
      <c r="F60" s="3" t="s">
        <v>2401</v>
      </c>
      <c r="G60" s="3"/>
      <c r="H60" s="3"/>
    </row>
    <row r="61" spans="1:8" x14ac:dyDescent="0.35">
      <c r="A61" s="3" t="s">
        <v>2205</v>
      </c>
      <c r="B61" s="3" t="s">
        <v>129</v>
      </c>
      <c r="C61" s="3" t="s">
        <v>2217</v>
      </c>
      <c r="D61" s="3" t="s">
        <v>15</v>
      </c>
      <c r="E61" s="3" t="s">
        <v>16</v>
      </c>
      <c r="F61" s="3" t="s">
        <v>2218</v>
      </c>
      <c r="G61" s="3"/>
      <c r="H61" s="3"/>
    </row>
    <row r="62" spans="1:8" x14ac:dyDescent="0.35">
      <c r="A62" s="3" t="s">
        <v>2205</v>
      </c>
      <c r="B62" s="3" t="s">
        <v>129</v>
      </c>
      <c r="C62" s="3" t="s">
        <v>2217</v>
      </c>
      <c r="D62" s="3" t="s">
        <v>32</v>
      </c>
      <c r="E62" s="3"/>
      <c r="F62" s="3" t="s">
        <v>2293</v>
      </c>
      <c r="G62" s="3"/>
      <c r="H62" s="3"/>
    </row>
    <row r="63" spans="1:8" x14ac:dyDescent="0.35">
      <c r="A63" s="3" t="s">
        <v>2205</v>
      </c>
      <c r="B63" s="3" t="s">
        <v>129</v>
      </c>
      <c r="C63" s="3" t="s">
        <v>2217</v>
      </c>
      <c r="D63" s="3" t="s">
        <v>911</v>
      </c>
      <c r="E63" s="3"/>
      <c r="F63" s="3"/>
      <c r="G63" s="3"/>
      <c r="H63" s="3"/>
    </row>
    <row r="64" spans="1:8" x14ac:dyDescent="0.35">
      <c r="A64" s="3" t="s">
        <v>2205</v>
      </c>
      <c r="B64" s="3" t="s">
        <v>129</v>
      </c>
      <c r="C64" s="3" t="s">
        <v>2217</v>
      </c>
      <c r="D64" s="3" t="s">
        <v>134</v>
      </c>
      <c r="E64" s="3"/>
      <c r="F64" s="3" t="s">
        <v>2402</v>
      </c>
      <c r="G64" s="3"/>
      <c r="H64" s="3"/>
    </row>
    <row r="65" spans="1:8" s="4" customFormat="1" x14ac:dyDescent="0.35">
      <c r="A65" s="3" t="s">
        <v>2205</v>
      </c>
      <c r="B65" s="3" t="s">
        <v>129</v>
      </c>
      <c r="C65" s="3" t="s">
        <v>2853</v>
      </c>
      <c r="D65" s="3" t="s">
        <v>141</v>
      </c>
      <c r="E65" s="3"/>
      <c r="F65" s="3" t="s">
        <v>2854</v>
      </c>
      <c r="G65" s="3"/>
      <c r="H65" s="3"/>
    </row>
    <row r="66" spans="1:8" x14ac:dyDescent="0.35">
      <c r="A66" s="3" t="s">
        <v>2205</v>
      </c>
      <c r="B66" s="3" t="s">
        <v>129</v>
      </c>
      <c r="C66" s="3" t="s">
        <v>2853</v>
      </c>
      <c r="D66" s="3" t="s">
        <v>28</v>
      </c>
      <c r="E66" s="3"/>
      <c r="F66" s="3" t="s">
        <v>2855</v>
      </c>
      <c r="G66" s="3"/>
      <c r="H66" s="3"/>
    </row>
    <row r="67" spans="1:8" x14ac:dyDescent="0.35">
      <c r="A67" s="3" t="s">
        <v>2205</v>
      </c>
      <c r="B67" s="3" t="s">
        <v>129</v>
      </c>
      <c r="C67" s="3" t="s">
        <v>2853</v>
      </c>
      <c r="D67" s="3" t="s">
        <v>175</v>
      </c>
      <c r="E67" s="3"/>
      <c r="F67" s="3"/>
      <c r="G67" s="3"/>
      <c r="H67" s="3"/>
    </row>
    <row r="68" spans="1:8" s="4" customFormat="1" x14ac:dyDescent="0.35">
      <c r="A68" s="3" t="s">
        <v>2205</v>
      </c>
      <c r="B68" s="3" t="s">
        <v>10</v>
      </c>
      <c r="C68" s="3" t="s">
        <v>2219</v>
      </c>
      <c r="D68" s="3" t="s">
        <v>47</v>
      </c>
      <c r="E68" s="3"/>
      <c r="F68" s="3"/>
      <c r="G68" s="3"/>
      <c r="H68" s="3"/>
    </row>
    <row r="69" spans="1:8" x14ac:dyDescent="0.35">
      <c r="A69" s="3" t="s">
        <v>2205</v>
      </c>
      <c r="B69" s="3" t="s">
        <v>10</v>
      </c>
      <c r="C69" s="3" t="s">
        <v>2219</v>
      </c>
      <c r="D69" s="3" t="s">
        <v>28</v>
      </c>
      <c r="E69" s="3"/>
      <c r="F69" s="3"/>
      <c r="G69" s="3"/>
      <c r="H69" s="3"/>
    </row>
    <row r="70" spans="1:8" x14ac:dyDescent="0.35">
      <c r="A70" s="3" t="s">
        <v>2205</v>
      </c>
      <c r="B70" s="3" t="s">
        <v>10</v>
      </c>
      <c r="C70" s="3" t="s">
        <v>2219</v>
      </c>
      <c r="D70" s="3" t="s">
        <v>15</v>
      </c>
      <c r="E70" s="3" t="s">
        <v>16</v>
      </c>
      <c r="F70" s="3" t="s">
        <v>2220</v>
      </c>
      <c r="G70" s="3"/>
      <c r="H70" s="3"/>
    </row>
    <row r="71" spans="1:8" x14ac:dyDescent="0.35">
      <c r="A71" s="3" t="s">
        <v>2205</v>
      </c>
      <c r="B71" s="3" t="s">
        <v>10</v>
      </c>
      <c r="C71" s="3" t="s">
        <v>2219</v>
      </c>
      <c r="D71" s="3" t="s">
        <v>107</v>
      </c>
      <c r="E71" s="3" t="s">
        <v>16</v>
      </c>
      <c r="F71" s="3" t="s">
        <v>2540</v>
      </c>
      <c r="G71" s="3"/>
      <c r="H71" s="3"/>
    </row>
    <row r="72" spans="1:8" x14ac:dyDescent="0.35">
      <c r="A72" s="3" t="s">
        <v>2205</v>
      </c>
      <c r="B72" s="3" t="s">
        <v>10</v>
      </c>
      <c r="C72" s="3" t="s">
        <v>2959</v>
      </c>
      <c r="D72" s="3" t="s">
        <v>12</v>
      </c>
      <c r="E72" s="3"/>
      <c r="F72" s="3"/>
      <c r="G72" s="3"/>
      <c r="H72" s="3"/>
    </row>
    <row r="73" spans="1:8" x14ac:dyDescent="0.35">
      <c r="A73" s="3" t="s">
        <v>2205</v>
      </c>
      <c r="B73" s="3" t="s">
        <v>10</v>
      </c>
      <c r="C73" s="3" t="s">
        <v>2959</v>
      </c>
      <c r="D73" s="3" t="s">
        <v>15</v>
      </c>
      <c r="E73" s="3" t="s">
        <v>16</v>
      </c>
      <c r="F73" s="3" t="s">
        <v>2960</v>
      </c>
      <c r="G73" s="3"/>
      <c r="H73" s="3"/>
    </row>
    <row r="74" spans="1:8" x14ac:dyDescent="0.35">
      <c r="A74" s="3" t="s">
        <v>2205</v>
      </c>
      <c r="B74" s="3" t="s">
        <v>10</v>
      </c>
      <c r="C74" s="3" t="s">
        <v>2959</v>
      </c>
      <c r="D74" s="3" t="s">
        <v>134</v>
      </c>
      <c r="E74" s="3"/>
      <c r="F74" s="3"/>
      <c r="G74" s="3"/>
      <c r="H74" s="3"/>
    </row>
    <row r="75" spans="1:8" x14ac:dyDescent="0.35">
      <c r="A75" s="3" t="s">
        <v>2205</v>
      </c>
      <c r="B75" s="3" t="s">
        <v>10</v>
      </c>
      <c r="C75" s="3" t="s">
        <v>2856</v>
      </c>
      <c r="D75" s="3" t="s">
        <v>12</v>
      </c>
      <c r="E75" s="3"/>
      <c r="F75" s="3"/>
      <c r="G75" s="3"/>
      <c r="H75" s="3"/>
    </row>
    <row r="76" spans="1:8" x14ac:dyDescent="0.35">
      <c r="A76" s="3" t="s">
        <v>2205</v>
      </c>
      <c r="B76" s="3" t="s">
        <v>10</v>
      </c>
      <c r="C76" s="3" t="s">
        <v>2856</v>
      </c>
      <c r="D76" s="3" t="s">
        <v>47</v>
      </c>
      <c r="E76" s="3"/>
      <c r="F76" s="3"/>
      <c r="G76" s="3"/>
      <c r="H76" s="3"/>
    </row>
    <row r="77" spans="1:8" x14ac:dyDescent="0.35">
      <c r="A77" s="3" t="s">
        <v>2205</v>
      </c>
      <c r="B77" s="3" t="s">
        <v>10</v>
      </c>
      <c r="C77" s="3" t="s">
        <v>2856</v>
      </c>
      <c r="D77" s="3" t="s">
        <v>15</v>
      </c>
      <c r="E77" s="3" t="s">
        <v>16</v>
      </c>
      <c r="F77" s="3" t="s">
        <v>2857</v>
      </c>
      <c r="G77" s="3"/>
      <c r="H77" s="3"/>
    </row>
    <row r="78" spans="1:8" x14ac:dyDescent="0.35">
      <c r="A78" s="3" t="s">
        <v>2205</v>
      </c>
      <c r="B78" s="3" t="s">
        <v>10</v>
      </c>
      <c r="C78" s="3" t="s">
        <v>2221</v>
      </c>
      <c r="D78" s="3" t="s">
        <v>47</v>
      </c>
      <c r="E78" s="3"/>
      <c r="F78" s="3"/>
      <c r="G78" s="3"/>
      <c r="H78" s="3"/>
    </row>
    <row r="79" spans="1:8" x14ac:dyDescent="0.35">
      <c r="A79" s="3" t="s">
        <v>2205</v>
      </c>
      <c r="B79" s="3" t="s">
        <v>10</v>
      </c>
      <c r="C79" s="3" t="s">
        <v>2221</v>
      </c>
      <c r="D79" s="3" t="s">
        <v>15</v>
      </c>
      <c r="E79" s="3" t="s">
        <v>16</v>
      </c>
      <c r="F79" s="3" t="s">
        <v>2222</v>
      </c>
      <c r="G79" s="3"/>
      <c r="H79" s="3"/>
    </row>
    <row r="80" spans="1:8" x14ac:dyDescent="0.35">
      <c r="A80" s="3" t="s">
        <v>2205</v>
      </c>
      <c r="B80" s="3" t="s">
        <v>10</v>
      </c>
      <c r="C80" s="3" t="s">
        <v>2221</v>
      </c>
      <c r="D80" s="3" t="s">
        <v>29</v>
      </c>
      <c r="E80" s="3"/>
      <c r="F80" s="3"/>
      <c r="G80" s="3"/>
      <c r="H80" s="3"/>
    </row>
    <row r="81" spans="1:8" x14ac:dyDescent="0.35">
      <c r="A81" s="3" t="s">
        <v>2205</v>
      </c>
      <c r="B81" s="3" t="s">
        <v>10</v>
      </c>
      <c r="C81" s="3" t="s">
        <v>2221</v>
      </c>
      <c r="D81" s="3" t="s">
        <v>134</v>
      </c>
      <c r="E81" s="3"/>
      <c r="F81" s="3"/>
      <c r="G81" s="3"/>
      <c r="H81" s="3"/>
    </row>
    <row r="82" spans="1:8" x14ac:dyDescent="0.35">
      <c r="A82" s="3" t="s">
        <v>2205</v>
      </c>
      <c r="B82" s="3" t="s">
        <v>129</v>
      </c>
      <c r="C82" s="3" t="s">
        <v>2223</v>
      </c>
      <c r="D82" s="3" t="s">
        <v>15</v>
      </c>
      <c r="E82" s="3"/>
      <c r="F82" s="3"/>
      <c r="G82" s="3"/>
      <c r="H82" s="3"/>
    </row>
    <row r="83" spans="1:8" x14ac:dyDescent="0.35">
      <c r="A83" s="3" t="s">
        <v>2205</v>
      </c>
      <c r="B83" s="3" t="s">
        <v>10</v>
      </c>
      <c r="C83" s="3" t="s">
        <v>2224</v>
      </c>
      <c r="D83" s="3" t="s">
        <v>47</v>
      </c>
      <c r="E83" s="3"/>
      <c r="F83" s="3"/>
      <c r="G83" s="3"/>
      <c r="H83" s="3"/>
    </row>
    <row r="84" spans="1:8" x14ac:dyDescent="0.35">
      <c r="A84" s="3" t="s">
        <v>2205</v>
      </c>
      <c r="B84" s="3" t="s">
        <v>10</v>
      </c>
      <c r="C84" s="3" t="s">
        <v>2224</v>
      </c>
      <c r="D84" s="3" t="s">
        <v>15</v>
      </c>
      <c r="E84" s="3" t="s">
        <v>16</v>
      </c>
      <c r="F84" s="3" t="s">
        <v>2225</v>
      </c>
      <c r="G84" s="3"/>
      <c r="H84" s="3"/>
    </row>
    <row r="85" spans="1:8" x14ac:dyDescent="0.35">
      <c r="A85" s="3" t="s">
        <v>2205</v>
      </c>
      <c r="B85" s="3" t="s">
        <v>10</v>
      </c>
      <c r="C85" s="3" t="s">
        <v>2224</v>
      </c>
      <c r="D85" s="3" t="s">
        <v>134</v>
      </c>
      <c r="E85" s="3"/>
      <c r="F85" s="3"/>
      <c r="G85" s="3"/>
      <c r="H85" s="3"/>
    </row>
    <row r="86" spans="1:8" x14ac:dyDescent="0.35">
      <c r="A86" s="3" t="s">
        <v>2205</v>
      </c>
      <c r="B86" s="3" t="s">
        <v>10</v>
      </c>
      <c r="C86" s="3" t="s">
        <v>2971</v>
      </c>
      <c r="D86" s="3" t="s">
        <v>25</v>
      </c>
      <c r="E86" s="3"/>
      <c r="F86" s="3"/>
      <c r="G86" s="3"/>
      <c r="H86" s="3"/>
    </row>
    <row r="87" spans="1:8" s="4" customFormat="1" x14ac:dyDescent="0.35">
      <c r="A87" s="3" t="s">
        <v>2205</v>
      </c>
      <c r="B87" s="3" t="s">
        <v>10</v>
      </c>
      <c r="C87" s="3" t="s">
        <v>2971</v>
      </c>
      <c r="D87" s="3" t="s">
        <v>15</v>
      </c>
      <c r="E87" s="3" t="s">
        <v>16</v>
      </c>
      <c r="F87" s="3" t="s">
        <v>2967</v>
      </c>
      <c r="G87" s="3"/>
      <c r="H87" s="3"/>
    </row>
    <row r="88" spans="1:8" x14ac:dyDescent="0.35">
      <c r="A88" s="3" t="s">
        <v>2205</v>
      </c>
      <c r="B88" s="3" t="s">
        <v>10</v>
      </c>
      <c r="C88" s="3" t="s">
        <v>2971</v>
      </c>
      <c r="D88" s="3" t="s">
        <v>107</v>
      </c>
      <c r="E88" s="3"/>
      <c r="F88" s="3"/>
      <c r="G88" s="3"/>
      <c r="H88" s="3"/>
    </row>
    <row r="89" spans="1:8" x14ac:dyDescent="0.35">
      <c r="A89" s="3" t="s">
        <v>2205</v>
      </c>
      <c r="B89" s="3" t="s">
        <v>129</v>
      </c>
      <c r="C89" s="3" t="s">
        <v>2226</v>
      </c>
      <c r="D89" s="3" t="s">
        <v>47</v>
      </c>
      <c r="E89" s="3"/>
      <c r="F89" s="3"/>
      <c r="G89" s="3"/>
      <c r="H89" s="3"/>
    </row>
    <row r="90" spans="1:8" x14ac:dyDescent="0.35">
      <c r="A90" s="3" t="s">
        <v>2205</v>
      </c>
      <c r="B90" s="3" t="s">
        <v>129</v>
      </c>
      <c r="C90" s="3" t="s">
        <v>2226</v>
      </c>
      <c r="D90" s="3" t="s">
        <v>25</v>
      </c>
      <c r="E90" s="3"/>
      <c r="F90" s="3"/>
      <c r="G90" s="3"/>
      <c r="H90" s="3"/>
    </row>
    <row r="91" spans="1:8" x14ac:dyDescent="0.35">
      <c r="A91" s="3" t="s">
        <v>2205</v>
      </c>
      <c r="B91" s="3" t="s">
        <v>129</v>
      </c>
      <c r="C91" s="3" t="s">
        <v>2226</v>
      </c>
      <c r="D91" s="3" t="s">
        <v>141</v>
      </c>
      <c r="E91" s="3"/>
      <c r="F91" s="3"/>
      <c r="G91" s="3"/>
      <c r="H91" s="3"/>
    </row>
    <row r="92" spans="1:8" x14ac:dyDescent="0.35">
      <c r="A92" s="3" t="s">
        <v>2205</v>
      </c>
      <c r="B92" s="3" t="s">
        <v>129</v>
      </c>
      <c r="C92" s="3" t="s">
        <v>2226</v>
      </c>
      <c r="D92" s="3" t="s">
        <v>28</v>
      </c>
      <c r="E92" s="3"/>
      <c r="F92" s="3" t="s">
        <v>2401</v>
      </c>
      <c r="G92" s="3"/>
      <c r="H92" s="3"/>
    </row>
    <row r="93" spans="1:8" x14ac:dyDescent="0.35">
      <c r="A93" s="3" t="s">
        <v>2205</v>
      </c>
      <c r="B93" s="3" t="s">
        <v>129</v>
      </c>
      <c r="C93" s="3" t="s">
        <v>2226</v>
      </c>
      <c r="D93" s="3" t="s">
        <v>87</v>
      </c>
      <c r="E93" s="3"/>
      <c r="F93" s="3" t="s">
        <v>2397</v>
      </c>
      <c r="G93" s="3"/>
      <c r="H93" s="3"/>
    </row>
    <row r="94" spans="1:8" x14ac:dyDescent="0.35">
      <c r="A94" s="3" t="s">
        <v>2205</v>
      </c>
      <c r="B94" s="3" t="s">
        <v>129</v>
      </c>
      <c r="C94" s="3" t="s">
        <v>2226</v>
      </c>
      <c r="D94" s="3" t="s">
        <v>15</v>
      </c>
      <c r="E94" s="3" t="s">
        <v>16</v>
      </c>
      <c r="F94" s="3" t="s">
        <v>2227</v>
      </c>
      <c r="G94" s="3"/>
      <c r="H94" s="3"/>
    </row>
    <row r="95" spans="1:8" x14ac:dyDescent="0.35">
      <c r="A95" s="3" t="s">
        <v>2205</v>
      </c>
      <c r="B95" s="3" t="s">
        <v>129</v>
      </c>
      <c r="C95" s="3" t="s">
        <v>2226</v>
      </c>
      <c r="D95" s="3" t="s">
        <v>32</v>
      </c>
      <c r="E95" s="3"/>
      <c r="F95" s="3"/>
      <c r="G95" s="3"/>
      <c r="H95" s="3"/>
    </row>
    <row r="96" spans="1:8" x14ac:dyDescent="0.35">
      <c r="A96" s="3" t="s">
        <v>2205</v>
      </c>
      <c r="B96" s="3" t="s">
        <v>129</v>
      </c>
      <c r="C96" s="3" t="s">
        <v>2226</v>
      </c>
      <c r="D96" s="3" t="s">
        <v>911</v>
      </c>
      <c r="E96" s="3"/>
      <c r="F96" s="3"/>
      <c r="G96" s="3"/>
      <c r="H96" s="3"/>
    </row>
    <row r="97" spans="1:8" x14ac:dyDescent="0.35">
      <c r="A97" s="3" t="s">
        <v>2205</v>
      </c>
      <c r="B97" s="3" t="s">
        <v>129</v>
      </c>
      <c r="C97" s="3" t="s">
        <v>2226</v>
      </c>
      <c r="D97" s="3" t="s">
        <v>134</v>
      </c>
      <c r="E97" s="3"/>
      <c r="F97" s="3" t="s">
        <v>2415</v>
      </c>
      <c r="G97" s="3"/>
      <c r="H97" s="3"/>
    </row>
    <row r="98" spans="1:8" x14ac:dyDescent="0.35">
      <c r="A98" s="3" t="s">
        <v>2205</v>
      </c>
      <c r="B98" s="3" t="s">
        <v>129</v>
      </c>
      <c r="C98" s="3" t="s">
        <v>2226</v>
      </c>
      <c r="D98" s="3" t="s">
        <v>191</v>
      </c>
      <c r="E98" s="3"/>
      <c r="F98" s="3" t="s">
        <v>2416</v>
      </c>
      <c r="G98" s="3"/>
      <c r="H98" s="3"/>
    </row>
    <row r="99" spans="1:8" x14ac:dyDescent="0.35">
      <c r="A99" s="3" t="s">
        <v>2205</v>
      </c>
      <c r="B99" s="3" t="s">
        <v>129</v>
      </c>
      <c r="C99" s="3" t="s">
        <v>2226</v>
      </c>
      <c r="D99" s="3" t="s">
        <v>107</v>
      </c>
      <c r="E99" s="3"/>
      <c r="F99" s="3"/>
      <c r="G99" s="3"/>
      <c r="H99" s="3"/>
    </row>
    <row r="100" spans="1:8" x14ac:dyDescent="0.35">
      <c r="A100" s="3" t="s">
        <v>2205</v>
      </c>
      <c r="B100" s="3" t="s">
        <v>10</v>
      </c>
      <c r="C100" s="3" t="s">
        <v>2228</v>
      </c>
      <c r="D100" s="3" t="s">
        <v>47</v>
      </c>
      <c r="E100" s="3" t="s">
        <v>16</v>
      </c>
      <c r="F100" s="3" t="s">
        <v>2229</v>
      </c>
      <c r="G100" s="3"/>
      <c r="H100" s="5"/>
    </row>
    <row r="101" spans="1:8" x14ac:dyDescent="0.35">
      <c r="A101" s="3" t="s">
        <v>2205</v>
      </c>
      <c r="B101" s="3" t="s">
        <v>129</v>
      </c>
      <c r="C101" s="3" t="s">
        <v>2230</v>
      </c>
      <c r="D101" s="3" t="s">
        <v>142</v>
      </c>
      <c r="E101" s="3"/>
      <c r="F101" s="3" t="s">
        <v>2421</v>
      </c>
      <c r="G101" s="3"/>
      <c r="H101" s="3"/>
    </row>
    <row r="102" spans="1:8" x14ac:dyDescent="0.35">
      <c r="A102" s="3" t="s">
        <v>2205</v>
      </c>
      <c r="B102" s="3" t="s">
        <v>129</v>
      </c>
      <c r="C102" s="3" t="s">
        <v>2230</v>
      </c>
      <c r="D102" s="3" t="s">
        <v>15</v>
      </c>
      <c r="E102" s="3" t="s">
        <v>16</v>
      </c>
      <c r="F102" s="3" t="s">
        <v>2768</v>
      </c>
      <c r="G102" s="3"/>
      <c r="H102" s="3"/>
    </row>
    <row r="103" spans="1:8" x14ac:dyDescent="0.35">
      <c r="A103" s="3" t="s">
        <v>2205</v>
      </c>
      <c r="B103" s="3" t="s">
        <v>129</v>
      </c>
      <c r="C103" s="3" t="s">
        <v>2230</v>
      </c>
      <c r="D103" s="3" t="s">
        <v>32</v>
      </c>
      <c r="E103" s="3" t="s">
        <v>16</v>
      </c>
      <c r="F103" s="3" t="s">
        <v>2231</v>
      </c>
      <c r="G103" s="3"/>
      <c r="H103" s="3"/>
    </row>
    <row r="104" spans="1:8" x14ac:dyDescent="0.35">
      <c r="A104" s="3" t="s">
        <v>2205</v>
      </c>
      <c r="B104" s="3" t="s">
        <v>129</v>
      </c>
      <c r="C104" s="3" t="s">
        <v>2230</v>
      </c>
      <c r="D104" s="3" t="s">
        <v>134</v>
      </c>
      <c r="E104" s="3"/>
      <c r="F104" s="3" t="s">
        <v>2420</v>
      </c>
      <c r="G104" s="3"/>
      <c r="H104" s="3"/>
    </row>
    <row r="105" spans="1:8" x14ac:dyDescent="0.35">
      <c r="A105" s="3" t="s">
        <v>2205</v>
      </c>
      <c r="B105" s="3" t="s">
        <v>129</v>
      </c>
      <c r="C105" s="3" t="s">
        <v>2230</v>
      </c>
      <c r="D105" s="3" t="s">
        <v>107</v>
      </c>
      <c r="E105" s="3" t="s">
        <v>16</v>
      </c>
      <c r="F105" s="3" t="s">
        <v>2232</v>
      </c>
      <c r="G105" s="3"/>
      <c r="H105" s="3"/>
    </row>
    <row r="106" spans="1:8" x14ac:dyDescent="0.35">
      <c r="A106" s="3" t="s">
        <v>2205</v>
      </c>
      <c r="B106" s="3" t="s">
        <v>129</v>
      </c>
      <c r="C106" s="3" t="s">
        <v>2233</v>
      </c>
      <c r="D106" s="3" t="s">
        <v>12</v>
      </c>
      <c r="E106" s="3"/>
      <c r="F106" s="3"/>
      <c r="G106" s="3"/>
      <c r="H106" s="3"/>
    </row>
    <row r="107" spans="1:8" x14ac:dyDescent="0.35">
      <c r="A107" s="3" t="s">
        <v>2205</v>
      </c>
      <c r="B107" s="3" t="s">
        <v>129</v>
      </c>
      <c r="C107" s="3" t="s">
        <v>2233</v>
      </c>
      <c r="D107" s="3" t="s">
        <v>47</v>
      </c>
      <c r="E107" s="3"/>
      <c r="F107" s="3"/>
      <c r="G107" s="3"/>
      <c r="H107" s="3"/>
    </row>
    <row r="108" spans="1:8" x14ac:dyDescent="0.35">
      <c r="A108" s="3" t="s">
        <v>2205</v>
      </c>
      <c r="B108" s="3" t="s">
        <v>129</v>
      </c>
      <c r="C108" s="3" t="s">
        <v>2233</v>
      </c>
      <c r="D108" s="3" t="s">
        <v>25</v>
      </c>
      <c r="E108" s="3"/>
      <c r="F108" s="3"/>
      <c r="G108" s="3"/>
      <c r="H108" s="3"/>
    </row>
    <row r="109" spans="1:8" x14ac:dyDescent="0.35">
      <c r="A109" s="3" t="s">
        <v>2205</v>
      </c>
      <c r="B109" s="3" t="s">
        <v>129</v>
      </c>
      <c r="C109" s="3" t="s">
        <v>2233</v>
      </c>
      <c r="D109" s="3" t="s">
        <v>142</v>
      </c>
      <c r="E109" s="3"/>
      <c r="F109" s="3"/>
      <c r="G109" s="3"/>
      <c r="H109" s="3"/>
    </row>
    <row r="110" spans="1:8" x14ac:dyDescent="0.35">
      <c r="A110" s="3" t="s">
        <v>2205</v>
      </c>
      <c r="B110" s="3" t="s">
        <v>129</v>
      </c>
      <c r="C110" s="3" t="s">
        <v>2233</v>
      </c>
      <c r="D110" s="3" t="s">
        <v>28</v>
      </c>
      <c r="E110" s="3"/>
      <c r="F110" s="3" t="s">
        <v>2422</v>
      </c>
      <c r="G110" s="3"/>
      <c r="H110" s="3"/>
    </row>
    <row r="111" spans="1:8" s="4" customFormat="1" x14ac:dyDescent="0.35">
      <c r="A111" s="3" t="s">
        <v>2205</v>
      </c>
      <c r="B111" s="3" t="s">
        <v>129</v>
      </c>
      <c r="C111" s="3" t="s">
        <v>2233</v>
      </c>
      <c r="D111" s="3" t="s">
        <v>15</v>
      </c>
      <c r="E111" s="3"/>
      <c r="F111" s="3"/>
      <c r="G111" s="3"/>
      <c r="H111" s="3"/>
    </row>
    <row r="112" spans="1:8" s="4" customFormat="1" x14ac:dyDescent="0.35">
      <c r="A112" s="3" t="s">
        <v>2205</v>
      </c>
      <c r="B112" s="3" t="s">
        <v>129</v>
      </c>
      <c r="C112" s="3" t="s">
        <v>2233</v>
      </c>
      <c r="D112" s="3" t="s">
        <v>57</v>
      </c>
      <c r="E112" s="3"/>
      <c r="F112" s="3"/>
      <c r="G112" s="3"/>
      <c r="H112" s="3"/>
    </row>
    <row r="113" spans="1:8" x14ac:dyDescent="0.35">
      <c r="A113" s="3" t="s">
        <v>2205</v>
      </c>
      <c r="B113" s="3" t="s">
        <v>129</v>
      </c>
      <c r="C113" s="3" t="s">
        <v>2233</v>
      </c>
      <c r="D113" s="3" t="s">
        <v>911</v>
      </c>
      <c r="E113" s="3"/>
      <c r="F113" s="3"/>
      <c r="G113" s="3"/>
      <c r="H113" s="3"/>
    </row>
    <row r="114" spans="1:8" x14ac:dyDescent="0.35">
      <c r="A114" s="3" t="s">
        <v>2205</v>
      </c>
      <c r="B114" s="3" t="s">
        <v>129</v>
      </c>
      <c r="C114" s="3" t="s">
        <v>2233</v>
      </c>
      <c r="D114" s="3" t="s">
        <v>134</v>
      </c>
      <c r="E114" s="3"/>
      <c r="F114" s="3"/>
      <c r="G114" s="3"/>
      <c r="H114" s="3"/>
    </row>
    <row r="115" spans="1:8" x14ac:dyDescent="0.35">
      <c r="A115" s="3" t="s">
        <v>2205</v>
      </c>
      <c r="B115" s="3" t="s">
        <v>129</v>
      </c>
      <c r="C115" s="3" t="s">
        <v>2233</v>
      </c>
      <c r="D115" s="3" t="s">
        <v>290</v>
      </c>
      <c r="E115" s="3"/>
      <c r="F115" s="3"/>
      <c r="G115" s="3"/>
      <c r="H115" s="3"/>
    </row>
    <row r="116" spans="1:8" x14ac:dyDescent="0.35">
      <c r="A116" s="3" t="s">
        <v>2205</v>
      </c>
      <c r="B116" s="3" t="s">
        <v>129</v>
      </c>
      <c r="C116" s="3" t="s">
        <v>2233</v>
      </c>
      <c r="D116" s="3" t="s">
        <v>107</v>
      </c>
      <c r="E116" s="3"/>
      <c r="F116" s="3"/>
      <c r="G116" s="3"/>
      <c r="H116" s="3"/>
    </row>
    <row r="117" spans="1:8" x14ac:dyDescent="0.35">
      <c r="A117" s="3" t="s">
        <v>2205</v>
      </c>
      <c r="B117" s="3" t="s">
        <v>10</v>
      </c>
      <c r="C117" s="3" t="s">
        <v>2234</v>
      </c>
      <c r="D117" s="3" t="s">
        <v>15</v>
      </c>
      <c r="E117" s="3" t="s">
        <v>16</v>
      </c>
      <c r="F117" s="3" t="s">
        <v>2235</v>
      </c>
      <c r="G117" s="3"/>
      <c r="H117" s="12"/>
    </row>
    <row r="118" spans="1:8" x14ac:dyDescent="0.35">
      <c r="A118" s="3" t="s">
        <v>2205</v>
      </c>
      <c r="B118" s="3" t="s">
        <v>10</v>
      </c>
      <c r="C118" s="3" t="s">
        <v>2236</v>
      </c>
      <c r="D118" s="3" t="s">
        <v>134</v>
      </c>
      <c r="E118" s="3"/>
      <c r="F118" s="3"/>
      <c r="G118" s="3"/>
      <c r="H118" s="12"/>
    </row>
    <row r="119" spans="1:8" x14ac:dyDescent="0.35">
      <c r="A119" s="3" t="s">
        <v>2205</v>
      </c>
      <c r="B119" s="3" t="s">
        <v>10</v>
      </c>
      <c r="C119" s="3" t="s">
        <v>2237</v>
      </c>
      <c r="D119" s="3" t="s">
        <v>47</v>
      </c>
      <c r="E119" s="3"/>
      <c r="F119" s="3"/>
      <c r="G119" s="3"/>
      <c r="H119" s="3"/>
    </row>
    <row r="120" spans="1:8" x14ac:dyDescent="0.35">
      <c r="A120" s="3" t="s">
        <v>2205</v>
      </c>
      <c r="B120" s="3" t="s">
        <v>10</v>
      </c>
      <c r="C120" s="3" t="s">
        <v>2237</v>
      </c>
      <c r="D120" s="3" t="s">
        <v>15</v>
      </c>
      <c r="E120" s="3" t="s">
        <v>16</v>
      </c>
      <c r="F120" s="3" t="s">
        <v>990</v>
      </c>
      <c r="G120" s="3"/>
      <c r="H120" s="3"/>
    </row>
    <row r="121" spans="1:8" x14ac:dyDescent="0.35">
      <c r="A121" s="3" t="s">
        <v>2205</v>
      </c>
      <c r="B121" s="3" t="s">
        <v>10</v>
      </c>
      <c r="C121" s="3" t="s">
        <v>2237</v>
      </c>
      <c r="D121" s="3" t="s">
        <v>57</v>
      </c>
      <c r="E121" s="3"/>
      <c r="F121" s="3"/>
      <c r="G121" s="3"/>
      <c r="H121" s="3"/>
    </row>
    <row r="122" spans="1:8" x14ac:dyDescent="0.35">
      <c r="A122" s="3" t="s">
        <v>2205</v>
      </c>
      <c r="B122" s="3" t="s">
        <v>129</v>
      </c>
      <c r="C122" s="3" t="s">
        <v>2238</v>
      </c>
      <c r="D122" s="3" t="s">
        <v>25</v>
      </c>
      <c r="E122" s="3"/>
      <c r="F122" s="3"/>
      <c r="G122" s="3"/>
      <c r="H122" s="3"/>
    </row>
    <row r="123" spans="1:8" x14ac:dyDescent="0.35">
      <c r="A123" s="3" t="s">
        <v>2205</v>
      </c>
      <c r="B123" s="3" t="s">
        <v>129</v>
      </c>
      <c r="C123" s="3" t="s">
        <v>2238</v>
      </c>
      <c r="D123" s="3" t="s">
        <v>134</v>
      </c>
      <c r="E123" s="3"/>
      <c r="F123" s="3"/>
      <c r="G123" s="3"/>
      <c r="H123" s="3"/>
    </row>
    <row r="124" spans="1:8" x14ac:dyDescent="0.35">
      <c r="A124" s="3" t="s">
        <v>2205</v>
      </c>
      <c r="B124" s="3" t="s">
        <v>129</v>
      </c>
      <c r="C124" s="3" t="s">
        <v>2239</v>
      </c>
      <c r="D124" s="3" t="s">
        <v>25</v>
      </c>
      <c r="E124" s="3"/>
      <c r="F124" s="3"/>
      <c r="G124" s="3"/>
      <c r="H124" s="3"/>
    </row>
    <row r="125" spans="1:8" s="4" customFormat="1" x14ac:dyDescent="0.35">
      <c r="A125" s="3" t="s">
        <v>2205</v>
      </c>
      <c r="B125" s="3" t="s">
        <v>129</v>
      </c>
      <c r="C125" s="3" t="s">
        <v>2239</v>
      </c>
      <c r="D125" s="3" t="s">
        <v>15</v>
      </c>
      <c r="E125" s="3" t="s">
        <v>16</v>
      </c>
      <c r="F125" s="3" t="s">
        <v>990</v>
      </c>
      <c r="G125" s="3"/>
      <c r="H125" s="3"/>
    </row>
    <row r="126" spans="1:8" s="4" customFormat="1" x14ac:dyDescent="0.35">
      <c r="A126" s="3" t="s">
        <v>2205</v>
      </c>
      <c r="B126" s="3" t="s">
        <v>129</v>
      </c>
      <c r="C126" s="3" t="s">
        <v>2239</v>
      </c>
      <c r="D126" s="3" t="s">
        <v>32</v>
      </c>
      <c r="E126" s="3"/>
      <c r="F126" s="3"/>
      <c r="G126" s="3"/>
      <c r="H126" s="3"/>
    </row>
    <row r="127" spans="1:8" s="4" customFormat="1" x14ac:dyDescent="0.35">
      <c r="A127" s="3" t="s">
        <v>2205</v>
      </c>
      <c r="B127" s="3" t="s">
        <v>129</v>
      </c>
      <c r="C127" s="3" t="s">
        <v>2239</v>
      </c>
      <c r="D127" s="3" t="s">
        <v>911</v>
      </c>
      <c r="E127" s="3"/>
      <c r="F127" s="3"/>
      <c r="G127" s="3"/>
      <c r="H127" s="3"/>
    </row>
    <row r="128" spans="1:8" x14ac:dyDescent="0.35">
      <c r="A128" s="3" t="s">
        <v>2205</v>
      </c>
      <c r="B128" s="3" t="s">
        <v>129</v>
      </c>
      <c r="C128" s="3" t="s">
        <v>2239</v>
      </c>
      <c r="D128" s="3" t="s">
        <v>134</v>
      </c>
      <c r="E128" s="3" t="s">
        <v>16</v>
      </c>
      <c r="F128" s="3" t="s">
        <v>157</v>
      </c>
      <c r="G128" s="3"/>
      <c r="H128" s="3"/>
    </row>
    <row r="129" spans="1:8" x14ac:dyDescent="0.35">
      <c r="A129" s="3" t="s">
        <v>2205</v>
      </c>
      <c r="B129" s="3" t="s">
        <v>10</v>
      </c>
      <c r="C129" s="3" t="s">
        <v>2964</v>
      </c>
      <c r="D129" s="3" t="s">
        <v>28</v>
      </c>
      <c r="E129" s="3"/>
      <c r="F129" s="3" t="s">
        <v>2965</v>
      </c>
      <c r="G129" s="3"/>
      <c r="H129" s="3"/>
    </row>
    <row r="130" spans="1:8" x14ac:dyDescent="0.35">
      <c r="A130" s="3" t="s">
        <v>2205</v>
      </c>
      <c r="B130" s="3" t="s">
        <v>10</v>
      </c>
      <c r="C130" s="3" t="s">
        <v>2964</v>
      </c>
      <c r="D130" s="3" t="s">
        <v>175</v>
      </c>
      <c r="E130" s="3"/>
      <c r="F130" s="3"/>
      <c r="G130" s="3"/>
      <c r="H130" s="3"/>
    </row>
    <row r="131" spans="1:8" x14ac:dyDescent="0.35">
      <c r="A131" s="3" t="s">
        <v>2205</v>
      </c>
      <c r="B131" s="3" t="s">
        <v>10</v>
      </c>
      <c r="C131" s="3" t="s">
        <v>2964</v>
      </c>
      <c r="D131" s="3" t="s">
        <v>32</v>
      </c>
      <c r="E131" s="3"/>
      <c r="F131" s="3" t="s">
        <v>2966</v>
      </c>
      <c r="G131" s="3"/>
      <c r="H131" s="3"/>
    </row>
    <row r="132" spans="1:8" x14ac:dyDescent="0.35">
      <c r="A132" s="3" t="s">
        <v>2205</v>
      </c>
      <c r="B132" s="3" t="s">
        <v>10</v>
      </c>
      <c r="C132" s="3" t="s">
        <v>2964</v>
      </c>
      <c r="D132" s="3" t="s">
        <v>15</v>
      </c>
      <c r="E132" s="3" t="s">
        <v>16</v>
      </c>
      <c r="F132" s="10" t="s">
        <v>2967</v>
      </c>
      <c r="G132" s="3"/>
      <c r="H132" s="3"/>
    </row>
    <row r="133" spans="1:8" x14ac:dyDescent="0.35">
      <c r="A133" s="3" t="s">
        <v>2205</v>
      </c>
      <c r="B133" s="3" t="s">
        <v>10</v>
      </c>
      <c r="C133" s="3" t="s">
        <v>2964</v>
      </c>
      <c r="D133" s="3" t="s">
        <v>134</v>
      </c>
      <c r="E133" s="3"/>
      <c r="F133" s="3"/>
      <c r="G133" s="3"/>
      <c r="H133" s="3"/>
    </row>
    <row r="134" spans="1:8" x14ac:dyDescent="0.35">
      <c r="A134" s="3" t="s">
        <v>2205</v>
      </c>
      <c r="B134" s="3" t="s">
        <v>10</v>
      </c>
      <c r="C134" s="3" t="s">
        <v>2964</v>
      </c>
      <c r="D134" s="3" t="s">
        <v>107</v>
      </c>
      <c r="E134" s="3"/>
      <c r="F134" s="3"/>
      <c r="G134" s="3"/>
      <c r="H134" s="3"/>
    </row>
    <row r="135" spans="1:8" x14ac:dyDescent="0.35">
      <c r="A135" s="3" t="s">
        <v>2205</v>
      </c>
      <c r="B135" s="3" t="s">
        <v>10</v>
      </c>
      <c r="C135" s="3" t="s">
        <v>2240</v>
      </c>
      <c r="D135" s="3" t="s">
        <v>12</v>
      </c>
      <c r="E135" s="3"/>
      <c r="F135" s="3" t="s">
        <v>2327</v>
      </c>
      <c r="G135" s="3"/>
      <c r="H135" s="3"/>
    </row>
    <row r="136" spans="1:8" x14ac:dyDescent="0.35">
      <c r="A136" s="3" t="s">
        <v>2205</v>
      </c>
      <c r="B136" s="3" t="s">
        <v>10</v>
      </c>
      <c r="C136" s="3" t="s">
        <v>2240</v>
      </c>
      <c r="D136" s="3" t="s">
        <v>15</v>
      </c>
      <c r="E136" s="3" t="s">
        <v>16</v>
      </c>
      <c r="F136" s="3" t="s">
        <v>2241</v>
      </c>
      <c r="G136" s="3"/>
      <c r="H136" s="3"/>
    </row>
    <row r="137" spans="1:8" x14ac:dyDescent="0.35">
      <c r="A137" s="3" t="s">
        <v>2205</v>
      </c>
      <c r="B137" s="3" t="s">
        <v>10</v>
      </c>
      <c r="C137" s="3" t="s">
        <v>2240</v>
      </c>
      <c r="D137" s="3" t="s">
        <v>29</v>
      </c>
      <c r="E137" s="3"/>
      <c r="F137" s="3"/>
      <c r="G137" s="3"/>
      <c r="H137" s="3"/>
    </row>
    <row r="138" spans="1:8" x14ac:dyDescent="0.35">
      <c r="A138" s="3" t="s">
        <v>2205</v>
      </c>
      <c r="B138" s="3" t="s">
        <v>10</v>
      </c>
      <c r="C138" s="3" t="s">
        <v>2240</v>
      </c>
      <c r="D138" s="3" t="s">
        <v>107</v>
      </c>
      <c r="E138" s="3" t="s">
        <v>16</v>
      </c>
      <c r="F138" s="3" t="s">
        <v>2241</v>
      </c>
      <c r="G138" s="3"/>
      <c r="H138" s="3"/>
    </row>
    <row r="139" spans="1:8" x14ac:dyDescent="0.35">
      <c r="A139" s="3" t="s">
        <v>2205</v>
      </c>
      <c r="B139" s="3" t="s">
        <v>10</v>
      </c>
      <c r="C139" s="3" t="s">
        <v>2240</v>
      </c>
      <c r="D139" s="3" t="s">
        <v>82</v>
      </c>
      <c r="E139" s="3"/>
      <c r="F139" s="3"/>
      <c r="G139" s="3"/>
      <c r="H139" s="3"/>
    </row>
    <row r="140" spans="1:8" x14ac:dyDescent="0.35">
      <c r="A140" s="3" t="s">
        <v>2205</v>
      </c>
      <c r="B140" s="3" t="s">
        <v>129</v>
      </c>
      <c r="C140" s="3" t="s">
        <v>2242</v>
      </c>
      <c r="D140" s="3" t="s">
        <v>12</v>
      </c>
      <c r="E140" s="3"/>
      <c r="F140" s="3"/>
      <c r="G140" s="3"/>
      <c r="H140" s="3"/>
    </row>
    <row r="141" spans="1:8" x14ac:dyDescent="0.35">
      <c r="A141" s="3" t="s">
        <v>2205</v>
      </c>
      <c r="B141" s="3" t="s">
        <v>129</v>
      </c>
      <c r="C141" s="3" t="s">
        <v>2242</v>
      </c>
      <c r="D141" s="3" t="s">
        <v>15</v>
      </c>
      <c r="E141" s="3" t="s">
        <v>16</v>
      </c>
      <c r="F141" s="15" t="s">
        <v>2243</v>
      </c>
      <c r="G141" s="3"/>
      <c r="H141" s="3"/>
    </row>
    <row r="142" spans="1:8" x14ac:dyDescent="0.35">
      <c r="A142" s="3" t="s">
        <v>2205</v>
      </c>
      <c r="B142" s="3" t="s">
        <v>129</v>
      </c>
      <c r="C142" s="3" t="s">
        <v>2242</v>
      </c>
      <c r="D142" s="3" t="s">
        <v>107</v>
      </c>
      <c r="E142" s="3" t="s">
        <v>16</v>
      </c>
      <c r="F142" s="15" t="s">
        <v>2244</v>
      </c>
      <c r="G142" s="3"/>
      <c r="H142" s="3"/>
    </row>
    <row r="143" spans="1:8" x14ac:dyDescent="0.35">
      <c r="A143" s="3" t="s">
        <v>2205</v>
      </c>
      <c r="B143" s="3" t="s">
        <v>129</v>
      </c>
      <c r="C143" s="3" t="s">
        <v>2245</v>
      </c>
      <c r="D143" s="3" t="s">
        <v>15</v>
      </c>
      <c r="E143" s="3" t="s">
        <v>16</v>
      </c>
      <c r="F143" s="15" t="s">
        <v>2247</v>
      </c>
      <c r="G143" s="3"/>
      <c r="H143" s="3"/>
    </row>
    <row r="144" spans="1:8" x14ac:dyDescent="0.35">
      <c r="A144" s="3" t="s">
        <v>2205</v>
      </c>
      <c r="B144" s="3" t="s">
        <v>129</v>
      </c>
      <c r="C144" s="3" t="s">
        <v>2245</v>
      </c>
      <c r="D144" s="3" t="s">
        <v>57</v>
      </c>
      <c r="E144" s="3" t="s">
        <v>16</v>
      </c>
      <c r="F144" s="15" t="s">
        <v>2246</v>
      </c>
      <c r="G144" s="3"/>
      <c r="H144" s="3"/>
    </row>
    <row r="145" spans="1:8" x14ac:dyDescent="0.35">
      <c r="A145" s="3" t="s">
        <v>2205</v>
      </c>
      <c r="B145" s="3" t="s">
        <v>129</v>
      </c>
      <c r="C145" s="3" t="s">
        <v>2245</v>
      </c>
      <c r="D145" s="3" t="s">
        <v>32</v>
      </c>
      <c r="E145" s="3" t="s">
        <v>16</v>
      </c>
      <c r="F145" s="15" t="s">
        <v>2248</v>
      </c>
      <c r="G145" s="3"/>
      <c r="H145" s="3"/>
    </row>
    <row r="146" spans="1:8" x14ac:dyDescent="0.35">
      <c r="A146" s="3" t="s">
        <v>2205</v>
      </c>
      <c r="B146" s="3" t="s">
        <v>129</v>
      </c>
      <c r="C146" s="3" t="s">
        <v>2245</v>
      </c>
      <c r="D146" s="3" t="s">
        <v>134</v>
      </c>
      <c r="E146" s="3"/>
      <c r="F146" s="15" t="s">
        <v>2423</v>
      </c>
      <c r="G146" s="3"/>
      <c r="H146" s="3"/>
    </row>
    <row r="147" spans="1:8" x14ac:dyDescent="0.35">
      <c r="A147" s="3" t="s">
        <v>2205</v>
      </c>
      <c r="B147" s="3" t="s">
        <v>129</v>
      </c>
      <c r="C147" s="3" t="s">
        <v>2249</v>
      </c>
      <c r="D147" s="3" t="s">
        <v>71</v>
      </c>
      <c r="E147" s="3" t="s">
        <v>33</v>
      </c>
      <c r="F147" s="15" t="s">
        <v>2560</v>
      </c>
      <c r="G147" s="3"/>
      <c r="H147" s="3"/>
    </row>
    <row r="148" spans="1:8" x14ac:dyDescent="0.35">
      <c r="A148" s="3" t="s">
        <v>2205</v>
      </c>
      <c r="B148" s="3" t="s">
        <v>129</v>
      </c>
      <c r="C148" s="3" t="s">
        <v>2249</v>
      </c>
      <c r="D148" s="3" t="s">
        <v>15</v>
      </c>
      <c r="E148" s="3" t="s">
        <v>16</v>
      </c>
      <c r="F148" s="15" t="s">
        <v>2250</v>
      </c>
      <c r="G148" s="3"/>
      <c r="H148" s="3"/>
    </row>
    <row r="149" spans="1:8" x14ac:dyDescent="0.35">
      <c r="A149" s="3" t="s">
        <v>2205</v>
      </c>
      <c r="B149" s="3" t="s">
        <v>129</v>
      </c>
      <c r="C149" s="3" t="s">
        <v>2251</v>
      </c>
      <c r="D149" s="3" t="s">
        <v>134</v>
      </c>
      <c r="E149" s="3" t="s">
        <v>16</v>
      </c>
      <c r="F149" s="15" t="s">
        <v>2252</v>
      </c>
      <c r="G149" s="3"/>
      <c r="H149" s="3"/>
    </row>
    <row r="150" spans="1:8" x14ac:dyDescent="0.35">
      <c r="A150" s="3" t="s">
        <v>2205</v>
      </c>
      <c r="B150" s="3" t="s">
        <v>129</v>
      </c>
      <c r="C150" s="3" t="s">
        <v>2253</v>
      </c>
      <c r="D150" s="3" t="s">
        <v>28</v>
      </c>
      <c r="E150" s="3"/>
      <c r="F150" s="3"/>
      <c r="G150" s="3"/>
      <c r="H150" s="3"/>
    </row>
    <row r="151" spans="1:8" x14ac:dyDescent="0.35">
      <c r="A151" s="3" t="s">
        <v>2205</v>
      </c>
      <c r="B151" s="3" t="s">
        <v>129</v>
      </c>
      <c r="C151" s="3" t="s">
        <v>2253</v>
      </c>
      <c r="D151" s="3" t="s">
        <v>2254</v>
      </c>
      <c r="E151" s="3"/>
      <c r="F151" s="3"/>
      <c r="G151" s="3"/>
      <c r="H151" s="3"/>
    </row>
    <row r="152" spans="1:8" x14ac:dyDescent="0.35">
      <c r="A152" s="3" t="s">
        <v>2205</v>
      </c>
      <c r="B152" s="3" t="s">
        <v>10</v>
      </c>
      <c r="C152" s="3" t="s">
        <v>2255</v>
      </c>
      <c r="D152" s="3" t="s">
        <v>47</v>
      </c>
      <c r="E152" s="3"/>
      <c r="F152" s="3"/>
      <c r="G152" s="3"/>
      <c r="H152" s="3"/>
    </row>
    <row r="153" spans="1:8" x14ac:dyDescent="0.35">
      <c r="A153" s="3" t="s">
        <v>2205</v>
      </c>
      <c r="B153" s="3" t="s">
        <v>10</v>
      </c>
      <c r="C153" s="3" t="s">
        <v>2255</v>
      </c>
      <c r="D153" s="3" t="s">
        <v>28</v>
      </c>
      <c r="E153" s="3" t="s">
        <v>16</v>
      </c>
      <c r="F153" s="3" t="s">
        <v>2256</v>
      </c>
      <c r="G153" s="3"/>
      <c r="H153" s="3"/>
    </row>
    <row r="154" spans="1:8" x14ac:dyDescent="0.35">
      <c r="A154" s="3" t="s">
        <v>2205</v>
      </c>
      <c r="B154" s="3" t="s">
        <v>10</v>
      </c>
      <c r="C154" s="3" t="s">
        <v>2894</v>
      </c>
      <c r="D154" s="3" t="s">
        <v>47</v>
      </c>
      <c r="E154" s="4"/>
      <c r="F154" s="6"/>
      <c r="G154" s="4"/>
      <c r="H154" s="4"/>
    </row>
    <row r="155" spans="1:8" x14ac:dyDescent="0.35">
      <c r="A155" s="3" t="s">
        <v>2205</v>
      </c>
      <c r="B155" s="3" t="s">
        <v>10</v>
      </c>
      <c r="C155" s="3" t="s">
        <v>2894</v>
      </c>
      <c r="D155" s="3" t="s">
        <v>57</v>
      </c>
      <c r="E155" s="3" t="s">
        <v>16</v>
      </c>
      <c r="F155" s="3" t="s">
        <v>2887</v>
      </c>
      <c r="G155" s="4"/>
      <c r="H155" s="4"/>
    </row>
  </sheetData>
  <autoFilter ref="A1:H1" xr:uid="{00000000-0009-0000-0000-000008000000}"/>
  <pageMargins left="0.7" right="0.7" top="0.75" bottom="0.75" header="0.3" footer="0.3"/>
  <pageSetup paperSize="9" orientation="portrait" r:id="rId1"/>
  <customProperties>
    <customPr name="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40018-F3F7-4CB0-B7C6-0A17D67340D8}">
  <dimension ref="A1:IV457"/>
  <sheetViews>
    <sheetView workbookViewId="0"/>
  </sheetViews>
  <sheetFormatPr defaultRowHeight="14.5" x14ac:dyDescent="0.35"/>
  <sheetData>
    <row r="1" spans="1:256" x14ac:dyDescent="0.35">
      <c r="A1" t="s">
        <v>2952</v>
      </c>
      <c r="F1" t="e">
        <f>'What''s New - Mar 2022'!A1+"$F;@!%"</f>
        <v>#VALUE!</v>
      </c>
      <c r="G1" t="e">
        <f>'What''s New - Mar 2022'!A2+"$F;@!&amp;"</f>
        <v>#VALUE!</v>
      </c>
      <c r="H1" t="e">
        <f>'What''s New - Mar 2022'!B2+"$F;@!'"</f>
        <v>#VALUE!</v>
      </c>
      <c r="I1" t="e">
        <f>'What''s New - Mar 2022'!C2+"$F;@!("</f>
        <v>#VALUE!</v>
      </c>
      <c r="J1" t="e">
        <f>'What''s New - Mar 2022'!D2+"$F;@!)"</f>
        <v>#VALUE!</v>
      </c>
      <c r="K1" t="e">
        <f>'What''s New - Mar 2022'!E2+"$F;@!."</f>
        <v>#VALUE!</v>
      </c>
      <c r="L1" t="e">
        <f>'What''s New - Mar 2022'!#REF!+"$F;@!/"</f>
        <v>#REF!</v>
      </c>
      <c r="M1" t="e">
        <f>'What''s New - Mar 2022'!#REF!+"$F;@!0"</f>
        <v>#REF!</v>
      </c>
      <c r="N1" t="e">
        <f>'What''s New - Mar 2022'!#REF!+"$F;@!1"</f>
        <v>#REF!</v>
      </c>
      <c r="O1" t="e">
        <f>'What''s New - Mar 2022'!#REF!+"$F;@!2"</f>
        <v>#REF!</v>
      </c>
      <c r="P1" t="e">
        <f>'What''s New - Mar 2022'!#REF!+"$F;@!3"</f>
        <v>#REF!</v>
      </c>
      <c r="Q1" t="e">
        <f>'What''s New - Mar 2022'!#REF!+"$F;@!4"</f>
        <v>#REF!</v>
      </c>
      <c r="R1" t="e">
        <f>'What''s New - Mar 2022'!#REF!+"$F;@!5"</f>
        <v>#REF!</v>
      </c>
      <c r="S1" t="e">
        <f>'What''s New - Mar 2022'!#REF!+"$F;@!6"</f>
        <v>#REF!</v>
      </c>
      <c r="T1" t="e">
        <f>'What''s New - Mar 2022'!#REF!+"$F;@!7"</f>
        <v>#REF!</v>
      </c>
      <c r="U1" t="e">
        <f>'What''s New - Mar 2022'!#REF!+"$F;@!8"</f>
        <v>#REF!</v>
      </c>
      <c r="V1" t="e">
        <f>'What''s New - Mar 2022'!#REF!+"$F;@!9"</f>
        <v>#REF!</v>
      </c>
      <c r="W1" t="e">
        <f>'What''s New - Mar 2022'!#REF!+"$F;@!:"</f>
        <v>#REF!</v>
      </c>
      <c r="X1" t="e">
        <f>'What''s New - Mar 2022'!#REF!+"$F;@!;"</f>
        <v>#REF!</v>
      </c>
      <c r="Y1" t="e">
        <f>'What''s New - Mar 2022'!#REF!+"$F;@!&lt;"</f>
        <v>#REF!</v>
      </c>
      <c r="Z1" t="e">
        <f>'What''s New - Mar 2022'!#REF!+"$F;@!="</f>
        <v>#REF!</v>
      </c>
      <c r="AA1" t="e">
        <f>'What''s New - Mar 2022'!#REF!+"$F;@!&gt;"</f>
        <v>#REF!</v>
      </c>
      <c r="AB1" t="e">
        <f>'What''s New - Mar 2022'!#REF!+"$F;@!?"</f>
        <v>#REF!</v>
      </c>
      <c r="AC1" t="e">
        <f>'What''s New - Mar 2022'!#REF!+"$F;@!@"</f>
        <v>#REF!</v>
      </c>
      <c r="AD1" t="e">
        <f>'What''s New - Mar 2022'!#REF!+"$F;@!A"</f>
        <v>#REF!</v>
      </c>
      <c r="AE1" t="e">
        <f>'What''s New - Mar 2022'!#REF!+"$F;@!B"</f>
        <v>#REF!</v>
      </c>
      <c r="AF1" t="e">
        <f>'What''s New - Mar 2022'!#REF!+"$F;@!C"</f>
        <v>#REF!</v>
      </c>
      <c r="AG1" t="e">
        <f>'What''s New - Mar 2022'!#REF!+"$F;@!D"</f>
        <v>#REF!</v>
      </c>
      <c r="AH1" t="e">
        <f>'What''s New - Mar 2022'!#REF!+"$F;@!E"</f>
        <v>#REF!</v>
      </c>
      <c r="AI1" t="e">
        <f>'What''s New - Mar 2022'!#REF!+"$F;@!F"</f>
        <v>#REF!</v>
      </c>
      <c r="AJ1" t="e">
        <f>'What''s New - Mar 2022'!#REF!+"$F;@!G"</f>
        <v>#REF!</v>
      </c>
      <c r="AK1" t="e">
        <f>'What''s New - Mar 2022'!#REF!+"$F;@!H"</f>
        <v>#REF!</v>
      </c>
      <c r="AL1" t="e">
        <f>'What''s New - Mar 2022'!#REF!+"$F;@!I"</f>
        <v>#REF!</v>
      </c>
      <c r="AM1" t="e">
        <f>'What''s New - Mar 2022'!#REF!+"$F;@!J"</f>
        <v>#REF!</v>
      </c>
      <c r="AN1" t="e">
        <f>'What''s New - Mar 2022'!#REF!+"$F;@!K"</f>
        <v>#REF!</v>
      </c>
      <c r="AO1" t="e">
        <f>'What''s New - Mar 2022'!#REF!+"$F;@!L"</f>
        <v>#REF!</v>
      </c>
      <c r="AP1" t="e">
        <f>'What''s New - Mar 2022'!#REF!+"$F;@!M"</f>
        <v>#REF!</v>
      </c>
      <c r="AQ1" t="e">
        <f>'What''s New - Mar 2022'!#REF!+"$F;@!N"</f>
        <v>#REF!</v>
      </c>
      <c r="AR1" t="e">
        <f>'What''s New - Mar 2022'!#REF!+"$F;@!O"</f>
        <v>#REF!</v>
      </c>
      <c r="AS1" t="e">
        <f>'What''s New - Mar 2022'!#REF!+"$F;@!P"</f>
        <v>#REF!</v>
      </c>
      <c r="AT1" t="e">
        <f>'What''s New - Mar 2022'!#REF!+"$F;@!Q"</f>
        <v>#REF!</v>
      </c>
      <c r="AU1" t="e">
        <f>'What''s New - Mar 2022'!#REF!+"$F;@!R"</f>
        <v>#REF!</v>
      </c>
      <c r="AV1" t="e">
        <f>'What''s New - Mar 2022'!#REF!+"$F;@!S"</f>
        <v>#REF!</v>
      </c>
      <c r="AW1" t="e">
        <f>'What''s New - Mar 2022'!#REF!+"$F;@!T"</f>
        <v>#REF!</v>
      </c>
      <c r="AX1" t="e">
        <f>'What''s New - Mar 2022'!#REF!+"$F;@!U"</f>
        <v>#REF!</v>
      </c>
      <c r="AY1" t="e">
        <f>'What''s New - Mar 2022'!#REF!+"$F;@!V"</f>
        <v>#REF!</v>
      </c>
      <c r="AZ1" t="e">
        <f>'What''s New - Mar 2022'!#REF!+"$F;@!W"</f>
        <v>#REF!</v>
      </c>
      <c r="BA1" t="e">
        <f>'What''s New - Mar 2022'!#REF!+"$F;@!X"</f>
        <v>#REF!</v>
      </c>
      <c r="BB1" t="e">
        <f>'What''s New - Mar 2022'!#REF!+"$F;@!Y"</f>
        <v>#REF!</v>
      </c>
      <c r="BC1" t="e">
        <f>'What''s New - Mar 2022'!#REF!+"$F;@!Z"</f>
        <v>#REF!</v>
      </c>
      <c r="BD1" t="e">
        <f>'What''s New - Mar 2022'!#REF!+"$F;@!["</f>
        <v>#REF!</v>
      </c>
      <c r="BE1" t="e">
        <f>'What''s New - Mar 2022'!#REF!+"$F;@!\"</f>
        <v>#REF!</v>
      </c>
      <c r="BF1" t="e">
        <f>'What''s New - Mar 2022'!#REF!+"$F;@!]"</f>
        <v>#REF!</v>
      </c>
      <c r="BG1" t="e">
        <f>'What''s New - Mar 2022'!#REF!+"$F;@!^"</f>
        <v>#REF!</v>
      </c>
      <c r="BH1" t="e">
        <f>'What''s New - Mar 2022'!#REF!+"$F;@!_"</f>
        <v>#REF!</v>
      </c>
      <c r="BI1" t="e">
        <f>'What''s New - Mar 2022'!#REF!+"$F;@!`"</f>
        <v>#REF!</v>
      </c>
      <c r="BJ1" t="e">
        <f>'What''s New - Mar 2022'!#REF!+"$F;@!a"</f>
        <v>#REF!</v>
      </c>
      <c r="BK1" t="e">
        <f>'What''s New - Mar 2022'!#REF!+"$F;@!b"</f>
        <v>#REF!</v>
      </c>
      <c r="BL1" t="e">
        <f>'What''s New - Mar 2022'!#REF!+"$F;@!c"</f>
        <v>#REF!</v>
      </c>
      <c r="BM1" t="e">
        <f>'What''s New - Mar 2022'!#REF!+"$F;@!d"</f>
        <v>#REF!</v>
      </c>
      <c r="BN1" t="e">
        <f>'What''s New - Mar 2022'!#REF!+"$F;@!e"</f>
        <v>#REF!</v>
      </c>
      <c r="BO1" t="e">
        <f>'What''s New - Mar 2022'!#REF!+"$F;@!f"</f>
        <v>#REF!</v>
      </c>
      <c r="BP1" t="e">
        <f>'What''s New - Mar 2022'!#REF!+"$F;@!g"</f>
        <v>#REF!</v>
      </c>
      <c r="BQ1" t="e">
        <f>'What''s New - Mar 2022'!#REF!+"$F;@!h"</f>
        <v>#REF!</v>
      </c>
      <c r="BR1" t="e">
        <f>'What''s New - Mar 2022'!#REF!+"$F;@!i"</f>
        <v>#REF!</v>
      </c>
      <c r="BS1" t="e">
        <f>'What''s New - Mar 2022'!#REF!+"$F;@!j"</f>
        <v>#REF!</v>
      </c>
      <c r="BT1" t="e">
        <f>'What''s New - Mar 2022'!#REF!+"$F;@!k"</f>
        <v>#REF!</v>
      </c>
      <c r="BU1" t="e">
        <f>'What''s New - Mar 2022'!#REF!+"$F;@!l"</f>
        <v>#REF!</v>
      </c>
      <c r="BV1" t="e">
        <f>'What''s New - Mar 2022'!#REF!+"$F;@!m"</f>
        <v>#REF!</v>
      </c>
      <c r="BW1" t="e">
        <f>'What''s New - Mar 2022'!#REF!+"$F;@!n"</f>
        <v>#REF!</v>
      </c>
      <c r="BX1" t="e">
        <f>'What''s New - Mar 2022'!#REF!+"$F;@!o"</f>
        <v>#REF!</v>
      </c>
      <c r="BY1" t="e">
        <f>'What''s New - Mar 2022'!#REF!+"$F;@!p"</f>
        <v>#REF!</v>
      </c>
      <c r="BZ1" t="e">
        <f>'What''s New - Mar 2022'!#REF!+"$F;@!q"</f>
        <v>#REF!</v>
      </c>
      <c r="CA1" t="e">
        <f>'What''s New - Mar 2022'!#REF!+"$F;@!r"</f>
        <v>#REF!</v>
      </c>
      <c r="CB1" t="e">
        <f>'What''s New - Mar 2022'!#REF!+"$F;@!s"</f>
        <v>#REF!</v>
      </c>
      <c r="CC1" t="e">
        <f>'What''s New - Mar 2022'!#REF!+"$F;@!t"</f>
        <v>#REF!</v>
      </c>
      <c r="CD1" t="e">
        <f>'What''s New - Mar 2022'!#REF!+"$F;@!u"</f>
        <v>#REF!</v>
      </c>
      <c r="CE1" t="e">
        <f>'What''s New - Mar 2022'!#REF!+"$F;@!v"</f>
        <v>#REF!</v>
      </c>
      <c r="CF1" t="e">
        <f>'What''s New - Mar 2022'!#REF!+"$F;@!w"</f>
        <v>#REF!</v>
      </c>
      <c r="CG1" t="e">
        <f>'What''s New - Mar 2022'!#REF!+"$F;@!x"</f>
        <v>#REF!</v>
      </c>
      <c r="CH1" t="e">
        <f>'What''s New - Mar 2022'!#REF!+"$F;@!y"</f>
        <v>#REF!</v>
      </c>
      <c r="CI1" t="e">
        <f>'What''s New - Mar 2022'!#REF!+"$F;@!z"</f>
        <v>#REF!</v>
      </c>
      <c r="CJ1" t="e">
        <f>'What''s New - Mar 2022'!#REF!+"$F;@!{"</f>
        <v>#REF!</v>
      </c>
      <c r="CK1" t="e">
        <f>'What''s New - Mar 2022'!#REF!+"$F;@!|"</f>
        <v>#REF!</v>
      </c>
      <c r="CL1" t="e">
        <f>'What''s New - Mar 2022'!#REF!+"$F;@!}"</f>
        <v>#REF!</v>
      </c>
      <c r="CM1" t="e">
        <f>'What''s New - Mar 2022'!#REF!+"$F;@!~"</f>
        <v>#REF!</v>
      </c>
      <c r="CN1" t="e">
        <f>'What''s New - Mar 2022'!#REF!+"$F;@!$#"</f>
        <v>#REF!</v>
      </c>
      <c r="CO1" t="e">
        <f>'What''s New - Mar 2022'!#REF!+"$F;@!$$"</f>
        <v>#REF!</v>
      </c>
      <c r="CP1" t="e">
        <f>'What''s New - Mar 2022'!#REF!+"$F;@!$%"</f>
        <v>#REF!</v>
      </c>
      <c r="CQ1" t="e">
        <f>'What''s New - Mar 2022'!#REF!+"$F;@!$&amp;"</f>
        <v>#REF!</v>
      </c>
      <c r="CR1" t="e">
        <f>'What''s New - Mar 2022'!#REF!+"$F;@!$'"</f>
        <v>#REF!</v>
      </c>
      <c r="CS1" t="e">
        <f>'What''s New - Mar 2022'!#REF!+"$F;@!$("</f>
        <v>#REF!</v>
      </c>
      <c r="CT1" t="e">
        <f>'What''s New - Mar 2022'!#REF!+"$F;@!$)"</f>
        <v>#REF!</v>
      </c>
      <c r="CU1" t="e">
        <f>'What''s New - Mar 2022'!#REF!+"$F;@!$."</f>
        <v>#REF!</v>
      </c>
      <c r="CV1" t="e">
        <f>'What''s New - Mar 2022'!#REF!+"$F;@!$/"</f>
        <v>#REF!</v>
      </c>
      <c r="CW1" t="e">
        <f>'What''s New - Mar 2022'!#REF!+"$F;@!$0"</f>
        <v>#REF!</v>
      </c>
      <c r="CX1" t="e">
        <f>'What''s New - Mar 2022'!#REF!+"$F;@!$1"</f>
        <v>#REF!</v>
      </c>
      <c r="CY1" t="e">
        <f>'What''s New - Mar 2022'!#REF!+"$F;@!$2"</f>
        <v>#REF!</v>
      </c>
      <c r="CZ1" t="e">
        <f>'What''s New - Mar 2022'!#REF!+"$F;@!$3"</f>
        <v>#REF!</v>
      </c>
      <c r="DA1" t="e">
        <f>'What''s New - Mar 2022'!#REF!+"$F;@!$4"</f>
        <v>#REF!</v>
      </c>
      <c r="DB1" t="e">
        <f>'What''s New - Mar 2022'!#REF!+"$F;@!$5"</f>
        <v>#REF!</v>
      </c>
      <c r="DC1" t="e">
        <f>'What''s New - Mar 2022'!#REF!+"$F;@!$6"</f>
        <v>#REF!</v>
      </c>
      <c r="DD1" t="e">
        <f>'What''s New - Mar 2022'!#REF!+"$F;@!$7"</f>
        <v>#REF!</v>
      </c>
      <c r="DE1" t="e">
        <f>'What''s New - Mar 2022'!#REF!+"$F;@!$8"</f>
        <v>#REF!</v>
      </c>
      <c r="DF1" t="e">
        <f>'What''s New - Mar 2022'!#REF!+"$F;@!$9"</f>
        <v>#REF!</v>
      </c>
      <c r="DG1" t="e">
        <f>'What''s New - Mar 2022'!#REF!+"$F;@!$:"</f>
        <v>#REF!</v>
      </c>
      <c r="DH1" t="e">
        <f>'What''s New - Mar 2022'!#REF!+"$F;@!$;"</f>
        <v>#REF!</v>
      </c>
      <c r="DI1" t="e">
        <f>'What''s New - Mar 2022'!#REF!+"$F;@!$&lt;"</f>
        <v>#REF!</v>
      </c>
      <c r="DJ1" t="e">
        <f>'What''s New - Mar 2022'!#REF!+"$F;@!$="</f>
        <v>#REF!</v>
      </c>
      <c r="DK1" t="e">
        <f>'What''s New - Mar 2022'!#REF!+"$F;@!$&gt;"</f>
        <v>#REF!</v>
      </c>
      <c r="DL1" t="e">
        <f>'What''s New - Mar 2022'!#REF!+"$F;@!$?"</f>
        <v>#REF!</v>
      </c>
      <c r="DM1" t="e">
        <f>'What''s New - Mar 2022'!#REF!+"$F;@!$@"</f>
        <v>#REF!</v>
      </c>
      <c r="DN1" t="e">
        <f>'What''s New - Mar 2022'!#REF!+"$F;@!$A"</f>
        <v>#REF!</v>
      </c>
      <c r="DO1" t="e">
        <f>'What''s New - Mar 2022'!#REF!+"$F;@!$B"</f>
        <v>#REF!</v>
      </c>
      <c r="DP1" t="e">
        <f>'What''s New - Mar 2022'!#REF!+"$F;@!$C"</f>
        <v>#REF!</v>
      </c>
      <c r="DQ1" t="e">
        <f>'What''s New - Mar 2022'!#REF!+"$F;@!$D"</f>
        <v>#REF!</v>
      </c>
      <c r="DR1" t="e">
        <f>'What''s New - Mar 2022'!#REF!+"$F;@!$E"</f>
        <v>#REF!</v>
      </c>
      <c r="DS1" t="e">
        <f>'What''s New - Mar 2022'!#REF!+"$F;@!$F"</f>
        <v>#REF!</v>
      </c>
      <c r="DT1" t="e">
        <f>'What''s New - Mar 2022'!#REF!+"$F;@!$G"</f>
        <v>#REF!</v>
      </c>
      <c r="DU1" t="e">
        <f>'What''s New - Mar 2022'!#REF!+"$F;@!$H"</f>
        <v>#REF!</v>
      </c>
      <c r="DV1" t="e">
        <f>'What''s New - Mar 2022'!#REF!+"$F;@!$I"</f>
        <v>#REF!</v>
      </c>
      <c r="DW1" t="e">
        <f>'What''s New - Mar 2022'!#REF!+"$F;@!$J"</f>
        <v>#REF!</v>
      </c>
      <c r="DX1" t="e">
        <f>'What''s New - Mar 2022'!#REF!+"$F;@!$K"</f>
        <v>#REF!</v>
      </c>
      <c r="DY1" t="e">
        <f>'What''s New - Mar 2022'!#REF!+"$F;@!$L"</f>
        <v>#REF!</v>
      </c>
      <c r="DZ1" t="e">
        <f>'What''s New - Mar 2022'!#REF!+"$F;@!$M"</f>
        <v>#REF!</v>
      </c>
      <c r="EA1" t="e">
        <f>'What''s New - Mar 2022'!#REF!+"$F;@!$N"</f>
        <v>#REF!</v>
      </c>
      <c r="EB1" t="e">
        <f>'What''s New - Mar 2022'!#REF!+"$F;@!$O"</f>
        <v>#REF!</v>
      </c>
      <c r="EC1" t="e">
        <f>'What''s New - Mar 2022'!#REF!+"$F;@!$P"</f>
        <v>#REF!</v>
      </c>
      <c r="ED1" t="e">
        <f>'What''s New - Mar 2022'!#REF!+"$F;@!$Q"</f>
        <v>#REF!</v>
      </c>
      <c r="EE1" t="e">
        <f>'What''s New - Mar 2022'!#REF!+"$F;@!$R"</f>
        <v>#REF!</v>
      </c>
      <c r="EF1" t="e">
        <f>'What''s New - Mar 2022'!#REF!+"$F;@!$S"</f>
        <v>#REF!</v>
      </c>
      <c r="EG1" t="e">
        <f>'What''s New - Mar 2022'!#REF!+"$F;@!$T"</f>
        <v>#REF!</v>
      </c>
      <c r="EH1" t="e">
        <f>'What''s New - Mar 2022'!#REF!+"$F;@!$U"</f>
        <v>#REF!</v>
      </c>
      <c r="EI1" t="e">
        <f>'What''s New - Mar 2022'!#REF!+"$F;@!$V"</f>
        <v>#REF!</v>
      </c>
      <c r="EJ1" t="e">
        <f>'What''s New - Mar 2022'!#REF!+"$F;@!$W"</f>
        <v>#REF!</v>
      </c>
      <c r="EK1" t="e">
        <f>'What''s New - Mar 2022'!#REF!+"$F;@!$X"</f>
        <v>#REF!</v>
      </c>
      <c r="EL1" t="e">
        <f>'What''s New - Mar 2022'!#REF!+"$F;@!$Y"</f>
        <v>#REF!</v>
      </c>
      <c r="EM1" t="e">
        <f>'What''s New - Mar 2022'!#REF!+"$F;@!$Z"</f>
        <v>#REF!</v>
      </c>
      <c r="EN1" t="e">
        <f>'What''s New - Mar 2022'!#REF!+"$F;@!$["</f>
        <v>#REF!</v>
      </c>
      <c r="EO1" t="e">
        <f>'What''s New - Mar 2022'!#REF!+"$F;@!$\"</f>
        <v>#REF!</v>
      </c>
      <c r="EP1" t="e">
        <f>'What''s New - Mar 2022'!#REF!+"$F;@!$]"</f>
        <v>#REF!</v>
      </c>
      <c r="EQ1" t="e">
        <f>'What''s New - Mar 2022'!#REF!+"$F;@!$^"</f>
        <v>#REF!</v>
      </c>
      <c r="ER1" t="e">
        <f>'What''s New - Mar 2022'!#REF!+"$F;@!$_"</f>
        <v>#REF!</v>
      </c>
      <c r="ES1" t="e">
        <f>'What''s New - Mar 2022'!#REF!+"$F;@!$`"</f>
        <v>#REF!</v>
      </c>
      <c r="ET1" t="e">
        <f>'What''s New - Mar 2022'!#REF!+"$F;@!$a"</f>
        <v>#REF!</v>
      </c>
      <c r="EU1" t="e">
        <f>'What''s New - Mar 2022'!#REF!+"$F;@!$b"</f>
        <v>#REF!</v>
      </c>
      <c r="EV1" t="e">
        <f>'What''s New - Mar 2022'!#REF!+"$F;@!$c"</f>
        <v>#REF!</v>
      </c>
      <c r="EW1" t="e">
        <f>'What''s New - Mar 2022'!#REF!+"$F;@!$d"</f>
        <v>#REF!</v>
      </c>
      <c r="EX1" t="e">
        <f>'What''s New - Mar 2022'!#REF!+"$F;@!$e"</f>
        <v>#REF!</v>
      </c>
      <c r="EY1" t="e">
        <f>'What''s New - Mar 2022'!#REF!+"$F;@!$f"</f>
        <v>#REF!</v>
      </c>
      <c r="EZ1" t="e">
        <f>'What''s New - Mar 2022'!#REF!+"$F;@!$g"</f>
        <v>#REF!</v>
      </c>
      <c r="FA1" t="e">
        <f>'What''s New - Mar 2022'!#REF!+"$F;@!$h"</f>
        <v>#REF!</v>
      </c>
      <c r="FB1" t="e">
        <f>'What''s New - Mar 2022'!#REF!+"$F;@!$i"</f>
        <v>#REF!</v>
      </c>
      <c r="FC1" t="e">
        <f>'What''s New - Mar 2022'!#REF!+"$F;@!$j"</f>
        <v>#REF!</v>
      </c>
      <c r="FD1" t="e">
        <f>'What''s New - Mar 2022'!#REF!+"$F;@!$k"</f>
        <v>#REF!</v>
      </c>
      <c r="FE1" t="e">
        <f>'What''s New - Mar 2022'!#REF!+"$F;@!$l"</f>
        <v>#REF!</v>
      </c>
      <c r="FF1" t="e">
        <f>'What''s New - Mar 2022'!#REF!+"$F;@!$m"</f>
        <v>#REF!</v>
      </c>
      <c r="FG1" t="e">
        <f>'What''s New - Mar 2022'!#REF!+"$F;@!$n"</f>
        <v>#REF!</v>
      </c>
      <c r="FH1" t="e">
        <f>'What''s New - Mar 2022'!#REF!+"$F;@!$o"</f>
        <v>#REF!</v>
      </c>
      <c r="FI1" t="e">
        <f>'What''s New - Mar 2022'!#REF!+"$F;@!$p"</f>
        <v>#REF!</v>
      </c>
      <c r="FJ1" t="e">
        <f>'What''s New - Mar 2022'!#REF!+"$F;@!$q"</f>
        <v>#REF!</v>
      </c>
      <c r="FK1" t="e">
        <f>'What''s New - Mar 2022'!#REF!+"$F;@!$r"</f>
        <v>#REF!</v>
      </c>
      <c r="FL1" t="e">
        <f>'What''s New - Mar 2022'!#REF!+"$F;@!$s"</f>
        <v>#REF!</v>
      </c>
      <c r="FM1" t="e">
        <f>'What''s New - Mar 2022'!#REF!+"$F;@!$t"</f>
        <v>#REF!</v>
      </c>
      <c r="FN1" t="e">
        <f>'What''s New - Mar 2022'!#REF!+"$F;@!$u"</f>
        <v>#REF!</v>
      </c>
      <c r="FO1" t="e">
        <f>'What''s New - Mar 2022'!#REF!+"$F;@!$v"</f>
        <v>#REF!</v>
      </c>
      <c r="FP1" t="e">
        <f>'What''s New - Mar 2022'!#REF!+"$F;@!$w"</f>
        <v>#REF!</v>
      </c>
      <c r="FQ1" t="e">
        <f>'What''s New - Mar 2022'!#REF!+"$F;@!$x"</f>
        <v>#REF!</v>
      </c>
      <c r="FR1" t="e">
        <f>'What''s New - Mar 2022'!#REF!+"$F;@!$y"</f>
        <v>#REF!</v>
      </c>
      <c r="FS1" t="e">
        <f>'What''s New - Mar 2022'!#REF!+"$F;@!$z"</f>
        <v>#REF!</v>
      </c>
      <c r="FT1" t="e">
        <f>'What''s New - Mar 2022'!#REF!+"$F;@!${"</f>
        <v>#REF!</v>
      </c>
      <c r="FU1" t="e">
        <f>'What''s New - Mar 2022'!#REF!+"$F;@!$|"</f>
        <v>#REF!</v>
      </c>
      <c r="FV1" t="e">
        <f>'What''s New - Mar 2022'!#REF!+"$F;@!$}"</f>
        <v>#REF!</v>
      </c>
      <c r="FW1" t="e">
        <f>'What''s New - Mar 2022'!#REF!+"$F;@!$~"</f>
        <v>#REF!</v>
      </c>
      <c r="FX1" t="e">
        <f>'What''s New - Mar 2022'!#REF!+"$F;@!%#"</f>
        <v>#REF!</v>
      </c>
      <c r="FY1" t="e">
        <f>'What''s New - Mar 2022'!#REF!+"$F;@!%$"</f>
        <v>#REF!</v>
      </c>
      <c r="FZ1" t="e">
        <f>'What''s New - Mar 2022'!#REF!+"$F;@!%%"</f>
        <v>#REF!</v>
      </c>
      <c r="GA1" t="e">
        <f>'What''s New - Mar 2022'!#REF!+"$F;@!%&amp;"</f>
        <v>#REF!</v>
      </c>
      <c r="GB1" t="e">
        <f>'What''s New - Mar 2022'!#REF!+"$F;@!%'"</f>
        <v>#REF!</v>
      </c>
      <c r="GC1" t="e">
        <f>'What''s New - Mar 2022'!#REF!+"$F;@!%("</f>
        <v>#REF!</v>
      </c>
      <c r="GD1" t="e">
        <f>'What''s New - Mar 2022'!#REF!+"$F;@!%)"</f>
        <v>#REF!</v>
      </c>
      <c r="GE1" t="e">
        <f>'What''s New - Mar 2022'!#REF!+"$F;@!%."</f>
        <v>#REF!</v>
      </c>
      <c r="GF1" t="e">
        <f>'What''s New - Mar 2022'!#REF!+"$F;@!%/"</f>
        <v>#REF!</v>
      </c>
      <c r="GG1" t="e">
        <f>'What''s New - Mar 2022'!#REF!+"$F;@!%0"</f>
        <v>#REF!</v>
      </c>
      <c r="GH1" t="e">
        <f>'What''s New - Mar 2022'!#REF!+"$F;@!%1"</f>
        <v>#REF!</v>
      </c>
      <c r="GI1" t="e">
        <f>'What''s New - Mar 2022'!#REF!+"$F;@!%2"</f>
        <v>#REF!</v>
      </c>
      <c r="GJ1" t="e">
        <f>'What''s New - Mar 2022'!#REF!+"$F;@!%3"</f>
        <v>#REF!</v>
      </c>
      <c r="GK1" t="e">
        <f>'What''s New - Mar 2022'!#REF!+"$F;@!%4"</f>
        <v>#REF!</v>
      </c>
      <c r="GL1" t="e">
        <f>'What''s New - Mar 2022'!#REF!+"$F;@!%5"</f>
        <v>#REF!</v>
      </c>
      <c r="GM1" t="e">
        <f>'What''s New - Mar 2022'!#REF!+"$F;@!%6"</f>
        <v>#REF!</v>
      </c>
      <c r="GN1" t="e">
        <f>'What''s New - Mar 2022'!#REF!+"$F;@!%7"</f>
        <v>#REF!</v>
      </c>
      <c r="GO1" t="e">
        <f>'What''s New - Mar 2022'!#REF!+"$F;@!%8"</f>
        <v>#REF!</v>
      </c>
      <c r="GP1" t="e">
        <f>'What''s New - Mar 2022'!#REF!+"$F;@!%9"</f>
        <v>#REF!</v>
      </c>
      <c r="GQ1" t="e">
        <f>'What''s New - Mar 2022'!#REF!+"$F;@!%:"</f>
        <v>#REF!</v>
      </c>
      <c r="GR1" t="e">
        <f>'What''s New - Mar 2022'!#REF!+"$F;@!%;"</f>
        <v>#REF!</v>
      </c>
      <c r="GS1" t="e">
        <f>'What''s New - Mar 2022'!#REF!+"$F;@!%&lt;"</f>
        <v>#REF!</v>
      </c>
      <c r="GT1" t="e">
        <f>'What''s New - Mar 2022'!#REF!+"$F;@!%="</f>
        <v>#REF!</v>
      </c>
      <c r="GU1" t="e">
        <f>'What''s New - Mar 2022'!#REF!+"$F;@!%&gt;"</f>
        <v>#REF!</v>
      </c>
      <c r="GV1" t="e">
        <f>'What''s New - Mar 2022'!#REF!+"$F;@!%?"</f>
        <v>#REF!</v>
      </c>
      <c r="GW1" t="e">
        <f>'What''s New - Mar 2022'!#REF!+"$F;@!%@"</f>
        <v>#REF!</v>
      </c>
      <c r="GX1" t="e">
        <f>'What''s New - Mar 2022'!#REF!+"$F;@!%A"</f>
        <v>#REF!</v>
      </c>
      <c r="GY1" t="e">
        <f>'What''s New - Mar 2022'!#REF!+"$F;@!%B"</f>
        <v>#REF!</v>
      </c>
      <c r="GZ1" t="e">
        <f>'What''s New - Mar 2022'!#REF!+"$F;@!%C"</f>
        <v>#REF!</v>
      </c>
      <c r="HA1" t="e">
        <f>'What''s New - Mar 2022'!#REF!+"$F;@!%D"</f>
        <v>#REF!</v>
      </c>
      <c r="HB1" t="e">
        <f>'What''s New - Mar 2022'!#REF!+"$F;@!%E"</f>
        <v>#REF!</v>
      </c>
      <c r="HC1" t="e">
        <f>'What''s New - Mar 2022'!#REF!+"$F;@!%F"</f>
        <v>#REF!</v>
      </c>
      <c r="HD1" t="e">
        <f>'What''s New - Mar 2022'!#REF!+"$F;@!%G"</f>
        <v>#REF!</v>
      </c>
      <c r="HE1" t="e">
        <f>'What''s New - Mar 2022'!#REF!+"$F;@!%H"</f>
        <v>#REF!</v>
      </c>
      <c r="HF1" t="e">
        <f>'What''s New - Mar 2022'!#REF!+"$F;@!%I"</f>
        <v>#REF!</v>
      </c>
      <c r="HG1" t="e">
        <f>'What''s New - Mar 2022'!#REF!+"$F;@!%J"</f>
        <v>#REF!</v>
      </c>
      <c r="HH1" t="e">
        <f>'What''s New - Mar 2022'!#REF!+"$F;@!%K"</f>
        <v>#REF!</v>
      </c>
      <c r="HI1" t="e">
        <f>'What''s New - Mar 2022'!#REF!+"$F;@!%L"</f>
        <v>#REF!</v>
      </c>
      <c r="HJ1" t="e">
        <f>'What''s New - Mar 2022'!#REF!+"$F;@!%M"</f>
        <v>#REF!</v>
      </c>
      <c r="HK1" t="e">
        <f>'What''s New - Mar 2022'!#REF!+"$F;@!%N"</f>
        <v>#REF!</v>
      </c>
      <c r="HL1" t="e">
        <f>'What''s New - Mar 2022'!#REF!+"$F;@!%O"</f>
        <v>#REF!</v>
      </c>
      <c r="HM1" t="e">
        <f>'What''s New - Mar 2022'!#REF!+"$F;@!%P"</f>
        <v>#REF!</v>
      </c>
      <c r="HN1" t="e">
        <f>'What''s New - Mar 2022'!#REF!+"$F;@!%Q"</f>
        <v>#REF!</v>
      </c>
      <c r="HO1" t="e">
        <f>'What''s New - Mar 2022'!#REF!+"$F;@!%R"</f>
        <v>#REF!</v>
      </c>
      <c r="HP1" t="e">
        <f>'What''s New - Mar 2022'!#REF!+"$F;@!%S"</f>
        <v>#REF!</v>
      </c>
      <c r="HQ1" t="e">
        <f>'What''s New - Mar 2022'!#REF!+"$F;@!%T"</f>
        <v>#REF!</v>
      </c>
      <c r="HR1" t="e">
        <f>'What''s New - Mar 2022'!#REF!+"$F;@!%U"</f>
        <v>#REF!</v>
      </c>
      <c r="HS1" t="e">
        <f>'What''s New - Mar 2022'!#REF!+"$F;@!%V"</f>
        <v>#REF!</v>
      </c>
      <c r="HT1" t="e">
        <f>'What''s New - Mar 2022'!#REF!+"$F;@!%W"</f>
        <v>#REF!</v>
      </c>
      <c r="HU1" t="e">
        <f>'What''s New - Mar 2022'!#REF!+"$F;@!%X"</f>
        <v>#REF!</v>
      </c>
      <c r="HV1" t="e">
        <f>'What''s New - Mar 2022'!#REF!+"$F;@!%Y"</f>
        <v>#REF!</v>
      </c>
      <c r="HW1" t="e">
        <f>'What''s New - Mar 2022'!#REF!+"$F;@!%Z"</f>
        <v>#REF!</v>
      </c>
      <c r="HX1" t="e">
        <f>'What''s New - Mar 2022'!#REF!+"$F;@!%["</f>
        <v>#REF!</v>
      </c>
      <c r="HY1" t="e">
        <f>'What''s New - Mar 2022'!#REF!+"$F;@!%\"</f>
        <v>#REF!</v>
      </c>
      <c r="HZ1" t="e">
        <f>'What''s New - Mar 2022'!#REF!+"$F;@!%]"</f>
        <v>#REF!</v>
      </c>
      <c r="IA1" t="e">
        <f>'What''s New - Mar 2022'!#REF!+"$F;@!%^"</f>
        <v>#REF!</v>
      </c>
      <c r="IB1" t="e">
        <f>'What''s New - Mar 2022'!#REF!+"$F;@!%_"</f>
        <v>#REF!</v>
      </c>
      <c r="IC1" t="e">
        <f>'What''s New - Mar 2022'!#REF!+"$F;@!%`"</f>
        <v>#REF!</v>
      </c>
      <c r="ID1" t="e">
        <f>'What''s New - Mar 2022'!#REF!+"$F;@!%a"</f>
        <v>#REF!</v>
      </c>
      <c r="IE1" t="e">
        <f>'What''s New - Mar 2022'!#REF!+"$F;@!%b"</f>
        <v>#REF!</v>
      </c>
      <c r="IF1" t="e">
        <f>'What''s New - Mar 2022'!#REF!+"$F;@!%c"</f>
        <v>#REF!</v>
      </c>
      <c r="IG1" t="e">
        <f>'What''s New - Mar 2022'!#REF!+"$F;@!%d"</f>
        <v>#REF!</v>
      </c>
      <c r="IH1" t="e">
        <f>'What''s New - Mar 2022'!#REF!+"$F;@!%e"</f>
        <v>#REF!</v>
      </c>
      <c r="II1" t="e">
        <f>'What''s New - Mar 2022'!#REF!+"$F;@!%f"</f>
        <v>#REF!</v>
      </c>
      <c r="IJ1" t="e">
        <f>'What''s New - Mar 2022'!#REF!+"$F;@!%g"</f>
        <v>#REF!</v>
      </c>
      <c r="IK1" t="e">
        <f>'What''s New - Mar 2022'!#REF!+"$F;@!%h"</f>
        <v>#REF!</v>
      </c>
      <c r="IL1" t="e">
        <f>'What''s New - Mar 2022'!#REF!+"$F;@!%i"</f>
        <v>#REF!</v>
      </c>
      <c r="IM1" t="e">
        <f>'What''s New - Mar 2022'!#REF!+"$F;@!%j"</f>
        <v>#REF!</v>
      </c>
      <c r="IN1" t="e">
        <f>'What''s New - Mar 2022'!#REF!+"$F;@!%k"</f>
        <v>#REF!</v>
      </c>
      <c r="IO1" t="e">
        <f>'What''s New - Mar 2022'!#REF!+"$F;@!%l"</f>
        <v>#REF!</v>
      </c>
      <c r="IP1" t="e">
        <f>'What''s New - Mar 2022'!#REF!+"$F;@!%m"</f>
        <v>#REF!</v>
      </c>
      <c r="IQ1" t="e">
        <f>'What''s New - Mar 2022'!#REF!+"$F;@!%n"</f>
        <v>#REF!</v>
      </c>
      <c r="IR1" t="e">
        <f>'What''s New - Mar 2022'!#REF!+"$F;@!%o"</f>
        <v>#REF!</v>
      </c>
      <c r="IS1" t="e">
        <f>'What''s New - Mar 2022'!#REF!+"$F;@!%p"</f>
        <v>#REF!</v>
      </c>
      <c r="IT1" t="e">
        <f>'What''s New - Mar 2022'!#REF!+"$F;@!%q"</f>
        <v>#REF!</v>
      </c>
      <c r="IU1" t="e">
        <f>'What''s New - Mar 2022'!#REF!+"$F;@!%r"</f>
        <v>#REF!</v>
      </c>
      <c r="IV1" t="e">
        <f>'What''s New - Mar 2022'!#REF!+"$F;@!%s"</f>
        <v>#REF!</v>
      </c>
    </row>
    <row r="2" spans="1:256" x14ac:dyDescent="0.35">
      <c r="A2" t="s">
        <v>2953</v>
      </c>
      <c r="F2" t="e">
        <f>'What''s New - Mar 2022'!#REF!+"$F;@!%t"</f>
        <v>#REF!</v>
      </c>
      <c r="G2" t="e">
        <f>'What''s New - Mar 2022'!#REF!+"$F;@!%u"</f>
        <v>#REF!</v>
      </c>
      <c r="H2" t="e">
        <f>'What''s New - Mar 2022'!#REF!+"$F;@!%v"</f>
        <v>#REF!</v>
      </c>
      <c r="I2" t="e">
        <f>'What''s New - Mar 2022'!#REF!+"$F;@!%w"</f>
        <v>#REF!</v>
      </c>
      <c r="J2" t="e">
        <f>'What''s New - Mar 2022'!#REF!+"$F;@!%x"</f>
        <v>#REF!</v>
      </c>
      <c r="K2" t="e">
        <f>'What''s New - Mar 2022'!#REF!+"$F;@!%y"</f>
        <v>#REF!</v>
      </c>
      <c r="L2" t="e">
        <f>'What''s New - Mar 2022'!#REF!+"$F;@!%z"</f>
        <v>#REF!</v>
      </c>
      <c r="M2" t="e">
        <f>'What''s New - Mar 2022'!#REF!+"$F;@!%{"</f>
        <v>#REF!</v>
      </c>
      <c r="N2" t="e">
        <f>'What''s New - Mar 2022'!#REF!+"$F;@!%|"</f>
        <v>#REF!</v>
      </c>
      <c r="O2" t="e">
        <f>'What''s New - Mar 2022'!#REF!+"$F;@!%}"</f>
        <v>#REF!</v>
      </c>
      <c r="P2" t="e">
        <f>'What''s New - Mar 2022'!#REF!+"$F;@!%~"</f>
        <v>#REF!</v>
      </c>
      <c r="Q2" t="e">
        <f>'What''s New - Mar 2022'!#REF!+"$F;@!&amp;#"</f>
        <v>#REF!</v>
      </c>
      <c r="R2" t="e">
        <f>'What''s New - Mar 2022'!#REF!+"$F;@!&amp;$"</f>
        <v>#REF!</v>
      </c>
      <c r="S2" t="e">
        <f>'What''s New - Mar 2022'!#REF!+"$F;@!&amp;%"</f>
        <v>#REF!</v>
      </c>
      <c r="T2" t="e">
        <f>'What''s New - Mar 2022'!#REF!+"$F;@!&amp;&amp;"</f>
        <v>#REF!</v>
      </c>
      <c r="U2" t="e">
        <f>'What''s New - Mar 2022'!#REF!+"$F;@!&amp;'"</f>
        <v>#REF!</v>
      </c>
      <c r="V2" t="e">
        <f>'What''s New - Mar 2022'!#REF!+"$F;@!&amp;("</f>
        <v>#REF!</v>
      </c>
      <c r="W2" t="e">
        <f>'What''s New - Mar 2022'!#REF!+"$F;@!&amp;)"</f>
        <v>#REF!</v>
      </c>
      <c r="X2" t="e">
        <f>'What''s New - Mar 2022'!#REF!+"$F;@!&amp;."</f>
        <v>#REF!</v>
      </c>
      <c r="Y2" t="e">
        <f>'What''s New - Mar 2022'!#REF!+"$F;@!&amp;/"</f>
        <v>#REF!</v>
      </c>
      <c r="Z2" t="e">
        <f>'What''s New - Mar 2022'!#REF!+"$F;@!&amp;0"</f>
        <v>#REF!</v>
      </c>
      <c r="AA2" t="e">
        <f>'What''s New - Mar 2022'!#REF!+"$F;@!&amp;1"</f>
        <v>#REF!</v>
      </c>
      <c r="AB2" t="e">
        <f>'What''s New - Mar 2022'!#REF!+"$F;@!&amp;2"</f>
        <v>#REF!</v>
      </c>
      <c r="AC2" t="e">
        <f>'What''s New - Mar 2022'!#REF!+"$F;@!&amp;3"</f>
        <v>#REF!</v>
      </c>
      <c r="AD2" t="e">
        <f>'What''s New - Mar 2022'!#REF!+"$F;@!&amp;4"</f>
        <v>#REF!</v>
      </c>
      <c r="AE2" t="e">
        <f>'What''s New - Mar 2022'!#REF!+"$F;@!&amp;5"</f>
        <v>#REF!</v>
      </c>
      <c r="AF2" t="e">
        <f>'What''s New - Mar 2022'!#REF!+"$F;@!&amp;6"</f>
        <v>#REF!</v>
      </c>
      <c r="AG2" t="e">
        <f>'What''s New - Mar 2022'!#REF!+"$F;@!&amp;7"</f>
        <v>#REF!</v>
      </c>
      <c r="AH2" t="e">
        <f>'What''s New - Mar 2022'!#REF!+"$F;@!&amp;8"</f>
        <v>#REF!</v>
      </c>
      <c r="AI2" t="e">
        <f>'What''s New - Mar 2022'!#REF!+"$F;@!&amp;9"</f>
        <v>#REF!</v>
      </c>
      <c r="AJ2" t="e">
        <f>'What''s New - Mar 2022'!A29+"$F;@!&amp;:"</f>
        <v>#VALUE!</v>
      </c>
      <c r="AK2" t="e">
        <f>'What''s New - Mar 2022'!B29+"$F;@!&amp;;"</f>
        <v>#VALUE!</v>
      </c>
      <c r="AL2" t="e">
        <f>'What''s New - Mar 2022'!C29+"$F;@!&amp;&lt;"</f>
        <v>#VALUE!</v>
      </c>
      <c r="AM2" t="e">
        <f>'What''s New - Mar 2022'!D29+"$F;@!&amp;="</f>
        <v>#VALUE!</v>
      </c>
      <c r="AN2" t="e">
        <f>'What''s New - Mar 2022'!E29+"$F;@!&amp;&gt;"</f>
        <v>#VALUE!</v>
      </c>
      <c r="AO2" t="e">
        <f>'What''s New - Mar 2022'!A30+"$F;@!&amp;?"</f>
        <v>#VALUE!</v>
      </c>
      <c r="AP2" t="e">
        <f>'What''s New - Mar 2022'!B30+"$F;@!&amp;@"</f>
        <v>#VALUE!</v>
      </c>
      <c r="AQ2" t="e">
        <f>'What''s New - Mar 2022'!C30+"$F;@!&amp;A"</f>
        <v>#VALUE!</v>
      </c>
      <c r="AR2" t="e">
        <f>'What''s New - Mar 2022'!D30+"$F;@!&amp;B"</f>
        <v>#VALUE!</v>
      </c>
      <c r="AS2" t="e">
        <f>'What''s New - Mar 2022'!E30+"$F;@!&amp;C"</f>
        <v>#VALUE!</v>
      </c>
      <c r="AT2" t="e">
        <f>'What''s New - Mar 2022'!A16+"$F;@!&amp;D"</f>
        <v>#VALUE!</v>
      </c>
      <c r="AU2" t="e">
        <f>'What''s New - Mar 2022'!B16+"$F;@!&amp;E"</f>
        <v>#VALUE!</v>
      </c>
      <c r="AV2" t="e">
        <f>'What''s New - Mar 2022'!C16+"$F;@!&amp;F"</f>
        <v>#VALUE!</v>
      </c>
      <c r="AW2" t="e">
        <f>'What''s New - Mar 2022'!D16+"$F;@!&amp;G"</f>
        <v>#VALUE!</v>
      </c>
      <c r="AX2" t="e">
        <f>'What''s New - Mar 2022'!E16+"$F;@!&amp;H"</f>
        <v>#VALUE!</v>
      </c>
      <c r="AY2" t="e">
        <f>'What''s New - Mar 2022'!#REF!+"$F;@!&amp;I"</f>
        <v>#REF!</v>
      </c>
      <c r="AZ2" t="e">
        <f>'What''s New - Mar 2022'!#REF!+"$F;@!&amp;J"</f>
        <v>#REF!</v>
      </c>
      <c r="BA2" t="e">
        <f>'What''s New - Mar 2022'!#REF!+"$F;@!&amp;K"</f>
        <v>#REF!</v>
      </c>
      <c r="BB2" t="e">
        <f>'What''s New - Mar 2022'!#REF!+"$F;@!&amp;L"</f>
        <v>#REF!</v>
      </c>
      <c r="BC2" t="e">
        <f>'What''s New - Mar 2022'!#REF!+"$F;@!&amp;M"</f>
        <v>#REF!</v>
      </c>
      <c r="BD2" t="e">
        <f>'What''s New - Mar 2022'!A44+"$F;@!&amp;N"</f>
        <v>#VALUE!</v>
      </c>
      <c r="BE2" t="e">
        <f>'What''s New - Mar 2022'!A45+"$F;@!&amp;O"</f>
        <v>#VALUE!</v>
      </c>
      <c r="BF2" t="e">
        <f>'What''s New - Mar 2022'!B45+"$F;@!&amp;P"</f>
        <v>#VALUE!</v>
      </c>
      <c r="BG2" t="e">
        <f>'What''s New - Mar 2022'!C45+"$F;@!&amp;Q"</f>
        <v>#VALUE!</v>
      </c>
      <c r="BH2" t="e">
        <f>'What''s New - Mar 2022'!D45+"$F;@!&amp;R"</f>
        <v>#VALUE!</v>
      </c>
      <c r="BI2" t="e">
        <f>'What''s New - Mar 2022'!E45+"$F;@!&amp;S"</f>
        <v>#VALUE!</v>
      </c>
      <c r="BJ2" t="e">
        <f>'What''s New - Mar 2022'!A56+"$F;@!&amp;T"</f>
        <v>#VALUE!</v>
      </c>
      <c r="BK2" t="e">
        <f>'What''s New - Mar 2022'!B56+"$F;@!&amp;U"</f>
        <v>#VALUE!</v>
      </c>
      <c r="BL2" t="e">
        <f>'What''s New - Mar 2022'!C56+"$F;@!&amp;V"</f>
        <v>#VALUE!</v>
      </c>
      <c r="BM2" t="e">
        <f>'What''s New - Mar 2022'!D56+"$F;@!&amp;W"</f>
        <v>#VALUE!</v>
      </c>
      <c r="BN2" t="e">
        <f>'What''s New - Mar 2022'!E56+"$F;@!&amp;X"</f>
        <v>#VALUE!</v>
      </c>
      <c r="BO2" t="e">
        <f>'What''s New - Mar 2022'!A57+"$F;@!&amp;Y"</f>
        <v>#VALUE!</v>
      </c>
      <c r="BP2" t="e">
        <f>'What''s New - Mar 2022'!B57+"$F;@!&amp;Z"</f>
        <v>#VALUE!</v>
      </c>
      <c r="BQ2" t="e">
        <f>'What''s New - Mar 2022'!C57+"$F;@!&amp;["</f>
        <v>#VALUE!</v>
      </c>
      <c r="BR2" t="e">
        <f>'What''s New - Mar 2022'!D57+"$F;@!&amp;\"</f>
        <v>#VALUE!</v>
      </c>
      <c r="BS2" t="e">
        <f>'What''s New - Mar 2022'!E57+"$F;@!&amp;]"</f>
        <v>#VALUE!</v>
      </c>
      <c r="BT2" t="e">
        <f>'What''s New - Mar 2022'!#REF!+"$F;@!&amp;^"</f>
        <v>#REF!</v>
      </c>
      <c r="BU2" t="e">
        <f>'What''s New - Mar 2022'!#REF!+"$F;@!&amp;_"</f>
        <v>#REF!</v>
      </c>
      <c r="BV2" t="e">
        <f>'What''s New - Mar 2022'!#REF!+"$F;@!&amp;`"</f>
        <v>#REF!</v>
      </c>
      <c r="BW2" t="e">
        <f>'What''s New - Mar 2022'!#REF!+"$F;@!&amp;a"</f>
        <v>#REF!</v>
      </c>
      <c r="BX2" t="e">
        <f>'What''s New - Mar 2022'!#REF!+"$F;@!&amp;b"</f>
        <v>#REF!</v>
      </c>
      <c r="BY2" t="e">
        <f>'What''s New - Mar 2022'!#REF!+"$F;@!&amp;c"</f>
        <v>#REF!</v>
      </c>
      <c r="BZ2" t="e">
        <f>'What''s New - Mar 2022'!#REF!+"$F;@!&amp;d"</f>
        <v>#REF!</v>
      </c>
      <c r="CA2" t="e">
        <f>'What''s New - Mar 2022'!#REF!+"$F;@!&amp;e"</f>
        <v>#REF!</v>
      </c>
      <c r="CB2" t="e">
        <f>'What''s New - Mar 2022'!#REF!+"$F;@!&amp;f"</f>
        <v>#REF!</v>
      </c>
      <c r="CC2" t="e">
        <f>'What''s New - Mar 2022'!#REF!+"$F;@!&amp;g"</f>
        <v>#REF!</v>
      </c>
      <c r="CD2" t="e">
        <f>'What''s New - Mar 2022'!#REF!+"$F;@!&amp;h"</f>
        <v>#REF!</v>
      </c>
      <c r="CE2" t="e">
        <f>'What''s New - Mar 2022'!#REF!+"$F;@!&amp;i"</f>
        <v>#REF!</v>
      </c>
      <c r="CF2" t="e">
        <f>'What''s New - Mar 2022'!#REF!+"$F;@!&amp;j"</f>
        <v>#REF!</v>
      </c>
      <c r="CG2" t="e">
        <f>'What''s New - Mar 2022'!#REF!+"$F;@!&amp;k"</f>
        <v>#REF!</v>
      </c>
      <c r="CH2" t="e">
        <f>'What''s New - Mar 2022'!#REF!+"$F;@!&amp;l"</f>
        <v>#REF!</v>
      </c>
      <c r="CI2" t="e">
        <f>'What''s New - Mar 2022'!#REF!+"$F;@!&amp;m"</f>
        <v>#REF!</v>
      </c>
      <c r="CJ2" t="e">
        <f>'What''s New - Mar 2022'!#REF!+"$F;@!&amp;n"</f>
        <v>#REF!</v>
      </c>
      <c r="CK2" t="e">
        <f>'What''s New - Mar 2022'!#REF!+"$F;@!&amp;o"</f>
        <v>#REF!</v>
      </c>
      <c r="CL2" t="e">
        <f>'What''s New - Mar 2022'!#REF!+"$F;@!&amp;p"</f>
        <v>#REF!</v>
      </c>
      <c r="CM2" t="e">
        <f>'What''s New - Mar 2022'!#REF!+"$F;@!&amp;q"</f>
        <v>#REF!</v>
      </c>
      <c r="CN2" t="e">
        <f>'What''s New - Mar 2022'!#REF!+"$F;@!&amp;r"</f>
        <v>#REF!</v>
      </c>
      <c r="CO2" t="e">
        <f>'What''s New - Mar 2022'!#REF!+"$F;@!&amp;s"</f>
        <v>#REF!</v>
      </c>
      <c r="CP2" t="e">
        <f>'What''s New - Mar 2022'!#REF!+"$F;@!&amp;t"</f>
        <v>#REF!</v>
      </c>
      <c r="CQ2" t="e">
        <f>'What''s New - Mar 2022'!#REF!+"$F;@!&amp;u"</f>
        <v>#REF!</v>
      </c>
      <c r="CR2" t="e">
        <f>'What''s New - Mar 2022'!#REF!+"$F;@!&amp;v"</f>
        <v>#REF!</v>
      </c>
      <c r="CS2" t="e">
        <f>'What''s New - Mar 2022'!#REF!+"$F;@!&amp;w"</f>
        <v>#REF!</v>
      </c>
      <c r="CT2" t="e">
        <f>'What''s New - Mar 2022'!#REF!+"$F;@!&amp;x"</f>
        <v>#REF!</v>
      </c>
      <c r="CU2" t="e">
        <f>'What''s New - Mar 2022'!#REF!+"$F;@!&amp;y"</f>
        <v>#REF!</v>
      </c>
      <c r="CV2" t="e">
        <f>'What''s New - Mar 2022'!#REF!+"$F;@!&amp;z"</f>
        <v>#REF!</v>
      </c>
      <c r="CW2" t="e">
        <f>'What''s New - Mar 2022'!#REF!+"$F;@!&amp;{"</f>
        <v>#REF!</v>
      </c>
      <c r="CX2" t="e">
        <f>'What''s New - Mar 2022'!#REF!+"$F;@!&amp;|"</f>
        <v>#REF!</v>
      </c>
      <c r="CY2" t="e">
        <f>'What''s New - Mar 2022'!#REF!+"$F;@!&amp;}"</f>
        <v>#REF!</v>
      </c>
      <c r="CZ2" t="e">
        <f>'What''s New - Mar 2022'!#REF!+"$F;@!&amp;~"</f>
        <v>#REF!</v>
      </c>
      <c r="DA2" t="e">
        <f>'What''s New - Mar 2022'!#REF!+"$F;@!'#"</f>
        <v>#REF!</v>
      </c>
      <c r="DB2" t="e">
        <f>'What''s New - Mar 2022'!#REF!+"$F;@!'$"</f>
        <v>#REF!</v>
      </c>
      <c r="DC2" t="e">
        <f>'What''s New - Mar 2022'!#REF!+"$F;@!'%"</f>
        <v>#REF!</v>
      </c>
      <c r="DD2" t="e">
        <f>'What''s New - Mar 2022'!#REF!+"$F;@!'&amp;"</f>
        <v>#REF!</v>
      </c>
      <c r="DE2" t="e">
        <f>'What''s New - Mar 2022'!#REF!+"$F;@!''"</f>
        <v>#REF!</v>
      </c>
      <c r="DF2" t="e">
        <f>'What''s New - Mar 2022'!#REF!+"$F;@!'("</f>
        <v>#REF!</v>
      </c>
      <c r="DG2" t="e">
        <f>'What''s New - Mar 2022'!#REF!+"$F;@!')"</f>
        <v>#REF!</v>
      </c>
      <c r="DH2" t="e">
        <f>'What''s New - Mar 2022'!#REF!+"$F;@!'."</f>
        <v>#REF!</v>
      </c>
      <c r="DI2" t="e">
        <f>'What''s New - Mar 2022'!#REF!+"$F;@!'/"</f>
        <v>#REF!</v>
      </c>
      <c r="DJ2" t="e">
        <f>'What''s New - Mar 2022'!#REF!+"$F;@!'0"</f>
        <v>#REF!</v>
      </c>
      <c r="DK2" t="e">
        <f>'What''s New - Mar 2022'!#REF!+"$F;@!'1"</f>
        <v>#REF!</v>
      </c>
      <c r="DL2" t="e">
        <f>'What''s New - Mar 2022'!#REF!+"$F;@!'2"</f>
        <v>#REF!</v>
      </c>
      <c r="DM2" t="e">
        <f>'What''s New - Mar 2022'!#REF!+"$F;@!'3"</f>
        <v>#REF!</v>
      </c>
      <c r="DN2" t="e">
        <f>'What''s New - Mar 2022'!#REF!+"$F;@!'4"</f>
        <v>#REF!</v>
      </c>
      <c r="DO2" t="e">
        <f>'What''s New - Mar 2022'!#REF!+"$F;@!'5"</f>
        <v>#REF!</v>
      </c>
      <c r="DP2" t="e">
        <f>'What''s New - Mar 2022'!#REF!+"$F;@!'6"</f>
        <v>#REF!</v>
      </c>
      <c r="DQ2" t="e">
        <f>'What''s New - Mar 2022'!#REF!+"$F;@!'7"</f>
        <v>#REF!</v>
      </c>
      <c r="DR2" t="e">
        <f>'What''s New - Mar 2022'!#REF!+"$F;@!'8"</f>
        <v>#REF!</v>
      </c>
      <c r="DS2" t="e">
        <f>'What''s New - Mar 2022'!#REF!+"$F;@!'9"</f>
        <v>#REF!</v>
      </c>
      <c r="DT2" t="e">
        <f>'What''s New - Mar 2022'!#REF!+"$F;@!':"</f>
        <v>#REF!</v>
      </c>
      <c r="DU2" t="e">
        <f>'What''s New - Mar 2022'!#REF!+"$F;@!';"</f>
        <v>#REF!</v>
      </c>
      <c r="DV2" t="e">
        <f>'What''s New - Mar 2022'!#REF!+"$F;@!'&lt;"</f>
        <v>#REF!</v>
      </c>
      <c r="DW2" t="e">
        <f>'What''s New - Mar 2022'!#REF!+"$F;@!'="</f>
        <v>#REF!</v>
      </c>
      <c r="DX2" t="e">
        <f>'What''s New - Mar 2022'!#REF!+"$F;@!'&gt;"</f>
        <v>#REF!</v>
      </c>
      <c r="DY2" t="e">
        <f>'What''s New - Mar 2022'!#REF!+"$F;@!'?"</f>
        <v>#REF!</v>
      </c>
      <c r="DZ2" t="e">
        <f>'What''s New - Mar 2022'!#REF!+"$F;@!'@"</f>
        <v>#REF!</v>
      </c>
      <c r="EA2" t="e">
        <f>'What''s New - Mar 2022'!#REF!+"$F;@!'A"</f>
        <v>#REF!</v>
      </c>
      <c r="EB2" t="e">
        <f>'What''s New - Mar 2022'!#REF!+"$F;@!'B"</f>
        <v>#REF!</v>
      </c>
      <c r="EC2" t="e">
        <f>'What''s New - Mar 2022'!#REF!+"$F;@!'C"</f>
        <v>#REF!</v>
      </c>
      <c r="ED2" t="e">
        <f>'What''s New - Mar 2022'!#REF!+"$F;@!'D"</f>
        <v>#REF!</v>
      </c>
      <c r="EE2" t="e">
        <f>'What''s New - Mar 2022'!#REF!+"$F;@!'E"</f>
        <v>#REF!</v>
      </c>
      <c r="EF2" t="e">
        <f>'What''s New - Mar 2022'!#REF!+"$F;@!'F"</f>
        <v>#REF!</v>
      </c>
      <c r="EG2" t="e">
        <f>'What''s New - Mar 2022'!#REF!+"$F;@!'G"</f>
        <v>#REF!</v>
      </c>
      <c r="EH2" t="e">
        <f>'What''s New - Mar 2022'!#REF!+"$F;@!'H"</f>
        <v>#REF!</v>
      </c>
      <c r="EI2" t="e">
        <f>'What''s New - Mar 2022'!#REF!+"$F;@!'I"</f>
        <v>#REF!</v>
      </c>
      <c r="EJ2" t="e">
        <f>'What''s New - Mar 2022'!#REF!+"$F;@!'J"</f>
        <v>#REF!</v>
      </c>
      <c r="EK2" t="e">
        <f>'What''s New - Mar 2022'!#REF!+"$F;@!'K"</f>
        <v>#REF!</v>
      </c>
      <c r="EL2" t="e">
        <f>'What''s New - Mar 2022'!A58+"$F;@!'L"</f>
        <v>#VALUE!</v>
      </c>
      <c r="EM2" t="e">
        <f>'What''s New - Mar 2022'!B58+"$F;@!'M"</f>
        <v>#VALUE!</v>
      </c>
      <c r="EN2" t="e">
        <f>'What''s New - Mar 2022'!C58+"$F;@!'N"</f>
        <v>#VALUE!</v>
      </c>
      <c r="EO2" t="e">
        <f>'What''s New - Mar 2022'!D58+"$F;@!'O"</f>
        <v>#VALUE!</v>
      </c>
      <c r="EP2" t="e">
        <f>'What''s New - Mar 2022'!E58+"$F;@!'P"</f>
        <v>#VALUE!</v>
      </c>
      <c r="EQ2" t="e">
        <f>'What''s New - Mar 2022'!A46+"$F;@!'Q"</f>
        <v>#VALUE!</v>
      </c>
      <c r="ER2" t="e">
        <f>'What''s New - Mar 2022'!B46+"$F;@!'R"</f>
        <v>#VALUE!</v>
      </c>
      <c r="ES2" t="e">
        <f>'What''s New - Mar 2022'!C46+"$F;@!'S"</f>
        <v>#VALUE!</v>
      </c>
      <c r="ET2" t="e">
        <f>'What''s New - Mar 2022'!D46+"$F;@!'T"</f>
        <v>#VALUE!</v>
      </c>
      <c r="EU2" t="e">
        <f>'What''s New - Mar 2022'!E46+"$F;@!'U"</f>
        <v>#VALUE!</v>
      </c>
      <c r="EV2" t="e">
        <f>'What''s New - Mar 2022'!A60+"$F;@!'V"</f>
        <v>#VALUE!</v>
      </c>
      <c r="EW2" t="e">
        <f>'What''s New - Mar 2022'!B60+"$F;@!'W"</f>
        <v>#VALUE!</v>
      </c>
      <c r="EX2" t="e">
        <f>'What''s New - Mar 2022'!C60+"$F;@!'X"</f>
        <v>#VALUE!</v>
      </c>
      <c r="EY2" t="e">
        <f>'What''s New - Mar 2022'!D60+"$F;@!'Y"</f>
        <v>#VALUE!</v>
      </c>
      <c r="EZ2" t="e">
        <f>'What''s New - Mar 2022'!E60+"$F;@!'Z"</f>
        <v>#VALUE!</v>
      </c>
      <c r="FA2" t="e">
        <f>'What''s New - Mar 2022'!A54+"$F;@!'["</f>
        <v>#VALUE!</v>
      </c>
      <c r="FB2" t="e">
        <f>'What''s New - Mar 2022'!B54+"$F;@!'\"</f>
        <v>#VALUE!</v>
      </c>
      <c r="FC2" t="e">
        <f>'What''s New - Mar 2022'!C54+"$F;@!']"</f>
        <v>#VALUE!</v>
      </c>
      <c r="FD2" t="e">
        <f>'What''s New - Mar 2022'!D54+"$F;@!'^"</f>
        <v>#VALUE!</v>
      </c>
      <c r="FE2" t="e">
        <f>'What''s New - Mar 2022'!E54+"$F;@!'_"</f>
        <v>#VALUE!</v>
      </c>
      <c r="FF2" t="e">
        <f>'What''s New - Mar 2022'!A55+"$F;@!'`"</f>
        <v>#VALUE!</v>
      </c>
      <c r="FG2" t="e">
        <f>'What''s New - Mar 2022'!B55+"$F;@!'a"</f>
        <v>#VALUE!</v>
      </c>
      <c r="FH2" t="e">
        <f>'What''s New - Mar 2022'!C55+"$F;@!'b"</f>
        <v>#VALUE!</v>
      </c>
      <c r="FI2" t="e">
        <f>'What''s New - Mar 2022'!D55+"$F;@!'c"</f>
        <v>#VALUE!</v>
      </c>
      <c r="FJ2" t="e">
        <f>'What''s New - Mar 2022'!E55+"$F;@!'d"</f>
        <v>#VALUE!</v>
      </c>
      <c r="FK2" t="e">
        <f>'What''s New - Mar 2022'!A51+"$F;@!'e"</f>
        <v>#VALUE!</v>
      </c>
      <c r="FL2" t="e">
        <f>'What''s New - Mar 2022'!B51+"$F;@!'f"</f>
        <v>#VALUE!</v>
      </c>
      <c r="FM2" t="e">
        <f>'What''s New - Mar 2022'!C51+"$F;@!'g"</f>
        <v>#VALUE!</v>
      </c>
      <c r="FN2" t="e">
        <f>'What''s New - Mar 2022'!D51+"$F;@!'h"</f>
        <v>#VALUE!</v>
      </c>
      <c r="FO2" t="e">
        <f>'What''s New - Mar 2022'!E51+"$F;@!'i"</f>
        <v>#VALUE!</v>
      </c>
      <c r="FP2" t="e">
        <f>'What''s New - Mar 2022'!A47+"$F;@!'j"</f>
        <v>#VALUE!</v>
      </c>
      <c r="FQ2" t="e">
        <f>'What''s New - Mar 2022'!B47+"$F;@!'k"</f>
        <v>#VALUE!</v>
      </c>
      <c r="FR2" t="e">
        <f>'What''s New - Mar 2022'!C47+"$F;@!'l"</f>
        <v>#VALUE!</v>
      </c>
      <c r="FS2" t="e">
        <f>'What''s New - Mar 2022'!D47+"$F;@!'m"</f>
        <v>#VALUE!</v>
      </c>
      <c r="FT2" t="e">
        <f>'What''s New - Mar 2022'!E47+"$F;@!'n"</f>
        <v>#VALUE!</v>
      </c>
      <c r="FU2" t="e">
        <f>'What''s New - Mar 2022'!A48+"$F;@!'o"</f>
        <v>#VALUE!</v>
      </c>
      <c r="FV2" t="e">
        <f>'What''s New - Mar 2022'!B48+"$F;@!'p"</f>
        <v>#VALUE!</v>
      </c>
      <c r="FW2" t="e">
        <f>'What''s New - Mar 2022'!C48+"$F;@!'q"</f>
        <v>#VALUE!</v>
      </c>
      <c r="FX2" t="e">
        <f>'What''s New - Mar 2022'!D48+"$F;@!'r"</f>
        <v>#VALUE!</v>
      </c>
      <c r="FY2" t="e">
        <f>'What''s New - Mar 2022'!E48+"$F;@!'s"</f>
        <v>#VALUE!</v>
      </c>
      <c r="FZ2" t="e">
        <f>'What''s New - Mar 2022'!A49+"$F;@!'t"</f>
        <v>#VALUE!</v>
      </c>
      <c r="GA2" t="e">
        <f>'What''s New - Mar 2022'!B49+"$F;@!'u"</f>
        <v>#VALUE!</v>
      </c>
      <c r="GB2" t="e">
        <f>'What''s New - Mar 2022'!C49+"$F;@!'v"</f>
        <v>#VALUE!</v>
      </c>
      <c r="GC2" t="e">
        <f>'What''s New - Mar 2022'!D49+"$F;@!'w"</f>
        <v>#VALUE!</v>
      </c>
      <c r="GD2" t="e">
        <f>'What''s New - Mar 2022'!E49+"$F;@!'x"</f>
        <v>#VALUE!</v>
      </c>
      <c r="GE2" t="e">
        <f>'What''s New - Mar 2022'!A50+"$F;@!'y"</f>
        <v>#VALUE!</v>
      </c>
      <c r="GF2" t="e">
        <f>'What''s New - Mar 2022'!B50+"$F;@!'z"</f>
        <v>#VALUE!</v>
      </c>
      <c r="GG2" t="e">
        <f>'What''s New - Mar 2022'!C50+"$F;@!'{"</f>
        <v>#VALUE!</v>
      </c>
      <c r="GH2" t="e">
        <f>'What''s New - Mar 2022'!D50+"$F;@!'|"</f>
        <v>#VALUE!</v>
      </c>
      <c r="GI2" t="e">
        <f>'What''s New - Mar 2022'!E50+"$F;@!'}"</f>
        <v>#VALUE!</v>
      </c>
      <c r="GJ2" t="e">
        <f>'What''s New - Mar 2022'!#REF!+"$F;@!'~"</f>
        <v>#REF!</v>
      </c>
      <c r="GK2" t="e">
        <f>'What''s New - Mar 2022'!#REF!+"$F;@!(#"</f>
        <v>#REF!</v>
      </c>
      <c r="GL2" t="e">
        <f>'What''s New - Mar 2022'!#REF!+"$F;@!($"</f>
        <v>#REF!</v>
      </c>
      <c r="GM2" t="e">
        <f>'What''s New - Mar 2022'!#REF!+"$F;@!(%"</f>
        <v>#REF!</v>
      </c>
      <c r="GN2" t="e">
        <f>'What''s New - Mar 2022'!#REF!+"$F;@!(&amp;"</f>
        <v>#REF!</v>
      </c>
      <c r="GO2" t="e">
        <f>'What''s New - Mar 2022'!#REF!+"$F;@!('"</f>
        <v>#REF!</v>
      </c>
      <c r="GP2" t="e">
        <f>'What''s New - Mar 2022'!#REF!+"$F;@!(("</f>
        <v>#REF!</v>
      </c>
      <c r="GQ2" t="e">
        <f>'What''s New - Mar 2022'!#REF!+"$F;@!()"</f>
        <v>#REF!</v>
      </c>
      <c r="GR2" t="e">
        <f>'What''s New - Mar 2022'!#REF!+"$F;@!(."</f>
        <v>#REF!</v>
      </c>
      <c r="GS2" t="e">
        <f>'What''s New - Mar 2022'!#REF!+"$F;@!(/"</f>
        <v>#REF!</v>
      </c>
      <c r="GT2" t="e">
        <f>'What''s New - Mar 2022'!A63+"$F;@!(0"</f>
        <v>#VALUE!</v>
      </c>
      <c r="GU2" t="e">
        <f>'What''s New - Mar 2022'!A64+"$F;@!(1"</f>
        <v>#VALUE!</v>
      </c>
      <c r="GV2" t="e">
        <f>'What''s New - Mar 2022'!B64+"$F;@!(2"</f>
        <v>#VALUE!</v>
      </c>
      <c r="GW2" t="e">
        <f>'What''s New - Mar 2022'!C64+"$F;@!(3"</f>
        <v>#VALUE!</v>
      </c>
      <c r="GX2" t="e">
        <f>'What''s New - Mar 2022'!D64+"$F;@!(4"</f>
        <v>#VALUE!</v>
      </c>
      <c r="GY2" t="e">
        <f>'What''s New - Mar 2022'!E64+"$F;@!(5"</f>
        <v>#VALUE!</v>
      </c>
      <c r="GZ2" t="e">
        <f>'What''s New - Mar 2022'!A65+"$F;@!(6"</f>
        <v>#VALUE!</v>
      </c>
      <c r="HA2" t="e">
        <f>'What''s New - Mar 2022'!B65+"$F;@!(7"</f>
        <v>#VALUE!</v>
      </c>
      <c r="HB2" t="e">
        <f>'What''s New - Mar 2022'!C65+"$F;@!(8"</f>
        <v>#VALUE!</v>
      </c>
      <c r="HC2" t="e">
        <f>'What''s New - Mar 2022'!D65+"$F;@!(9"</f>
        <v>#VALUE!</v>
      </c>
      <c r="HD2" t="e">
        <f>'What''s New - Mar 2022'!E65+"$F;@!(:"</f>
        <v>#VALUE!</v>
      </c>
      <c r="HE2" t="e">
        <f>'What''s New - Mar 2022'!A66+"$F;@!(;"</f>
        <v>#VALUE!</v>
      </c>
      <c r="HF2" t="e">
        <f>'What''s New - Mar 2022'!B66+"$F;@!(&lt;"</f>
        <v>#VALUE!</v>
      </c>
      <c r="HG2" t="e">
        <f>'What''s New - Mar 2022'!C66+"$F;@!(="</f>
        <v>#VALUE!</v>
      </c>
      <c r="HH2" t="e">
        <f>'What''s New - Mar 2022'!D66+"$F;@!(&gt;"</f>
        <v>#VALUE!</v>
      </c>
      <c r="HI2" t="e">
        <f>'What''s New - Mar 2022'!E66+"$F;@!(?"</f>
        <v>#VALUE!</v>
      </c>
      <c r="HJ2" t="e">
        <f>'What''s New - Mar 2022'!A:A*"$F;@!(@"</f>
        <v>#VALUE!</v>
      </c>
      <c r="HK2" t="e">
        <f>'What''s New - Mar 2022'!B:B*"$F;@!(A"</f>
        <v>#VALUE!</v>
      </c>
      <c r="HL2" t="e">
        <f>'What''s New - Mar 2022'!C:C*"$F;@!(B"</f>
        <v>#VALUE!</v>
      </c>
      <c r="HM2" t="e">
        <f>'What''s New - Mar 2022'!D:D*"$F;@!(C"</f>
        <v>#VALUE!</v>
      </c>
      <c r="HN2" t="e">
        <f>'What''s New - Mar 2022'!E:E*"$F;@!(D"</f>
        <v>#VALUE!</v>
      </c>
      <c r="HO2" t="e">
        <f>'What''s New - Mar 2022'!F:F*"$F;@!(E"</f>
        <v>#VALUE!</v>
      </c>
      <c r="HP2" t="e">
        <f>'What''s New - Mar 2022'!G:G*"$F;@!(F"</f>
        <v>#VALUE!</v>
      </c>
      <c r="HQ2" t="e">
        <f>'What''s New - Mar 2022'!H:H*"$F;@!(G"</f>
        <v>#VALUE!</v>
      </c>
      <c r="HR2" t="e">
        <f>'What''s New - Mar 2022'!I:I*"$F;@!(H"</f>
        <v>#VALUE!</v>
      </c>
      <c r="HS2" t="e">
        <f>'What''s New - Mar 2022'!J:J*"$F;@!(I"</f>
        <v>#VALUE!</v>
      </c>
      <c r="HT2" t="e">
        <f>'What''s New - Mar 2022'!K:K*"$F;@!(J"</f>
        <v>#VALUE!</v>
      </c>
      <c r="HU2" t="e">
        <f>'What''s New - Mar 2022'!L:L*"$F;@!(K"</f>
        <v>#VALUE!</v>
      </c>
      <c r="HV2" t="e">
        <f>'What''s New - Mar 2022'!M:M*"$F;@!(L"</f>
        <v>#VALUE!</v>
      </c>
      <c r="HW2" t="e">
        <f>'What''s New - Mar 2022'!N:N*"$F;@!(M"</f>
        <v>#VALUE!</v>
      </c>
      <c r="HX2" t="e">
        <f>'What''s New - Mar 2022'!O:O*"$F;@!(N"</f>
        <v>#VALUE!</v>
      </c>
      <c r="HY2" t="e">
        <f>'What''s New - Mar 2022'!P:P*"$F;@!(O"</f>
        <v>#VALUE!</v>
      </c>
      <c r="HZ2" t="e">
        <f>'What''s New - Mar 2022'!Q:Q*"$F;@!(P"</f>
        <v>#VALUE!</v>
      </c>
      <c r="IA2" t="e">
        <f>'What''s New - Mar 2022'!R:R*"$F;@!(Q"</f>
        <v>#VALUE!</v>
      </c>
      <c r="IB2" t="e">
        <f>'What''s New - Mar 2022'!S:S*"$F;@!(R"</f>
        <v>#VALUE!</v>
      </c>
      <c r="IC2" t="e">
        <f>'What''s New - Mar 2022'!T:T*"$F;@!(S"</f>
        <v>#VALUE!</v>
      </c>
      <c r="ID2" t="e">
        <f>'What''s New - Mar 2022'!U:U*"$F;@!(T"</f>
        <v>#VALUE!</v>
      </c>
      <c r="IE2" t="e">
        <f>'What''s New - Mar 2022'!V:V*"$F;@!(U"</f>
        <v>#VALUE!</v>
      </c>
      <c r="IF2" t="e">
        <f>'What''s New - Mar 2022'!W:W*"$F;@!(V"</f>
        <v>#VALUE!</v>
      </c>
      <c r="IG2" t="e">
        <f>'What''s New - Mar 2022'!X:X*"$F;@!(W"</f>
        <v>#VALUE!</v>
      </c>
      <c r="IH2" t="e">
        <f>'What''s New - Mar 2022'!Y:Y*"$F;@!(X"</f>
        <v>#VALUE!</v>
      </c>
      <c r="II2" t="e">
        <f>'What''s New - Mar 2022'!Z:Z*"$F;@!(Y"</f>
        <v>#VALUE!</v>
      </c>
      <c r="IJ2" t="e">
        <f>'What''s New - Mar 2022'!AA:AA*"$F;@!(Z"</f>
        <v>#VALUE!</v>
      </c>
      <c r="IK2" t="e">
        <f>'What''s New - Mar 2022'!AB:AB*"$F;@!(["</f>
        <v>#VALUE!</v>
      </c>
      <c r="IL2" t="e">
        <f>'What''s New - Mar 2022'!AC:AC*"$F;@!(\"</f>
        <v>#VALUE!</v>
      </c>
      <c r="IM2" t="e">
        <f>'What''s New - Mar 2022'!AD:AD*"$F;@!(]"</f>
        <v>#VALUE!</v>
      </c>
      <c r="IN2" t="e">
        <f>'What''s New - Mar 2022'!AE:AE*"$F;@!(^"</f>
        <v>#VALUE!</v>
      </c>
      <c r="IO2" t="e">
        <f>'What''s New - Mar 2022'!AF:AF*"$F;@!(_"</f>
        <v>#VALUE!</v>
      </c>
      <c r="IP2" t="e">
        <f>'What''s New - Mar 2022'!AG:AG*"$F;@!(`"</f>
        <v>#VALUE!</v>
      </c>
      <c r="IQ2" t="e">
        <f>'What''s New - Mar 2022'!AH:AH*"$F;@!(a"</f>
        <v>#VALUE!</v>
      </c>
      <c r="IR2" t="e">
        <f>'What''s New - Mar 2022'!AI:AI*"$F;@!(b"</f>
        <v>#VALUE!</v>
      </c>
      <c r="IS2" t="e">
        <f>'What''s New - Mar 2022'!AJ:AJ*"$F;@!(c"</f>
        <v>#VALUE!</v>
      </c>
      <c r="IT2" t="e">
        <f>'What''s New - Mar 2022'!AK:AK*"$F;@!(d"</f>
        <v>#VALUE!</v>
      </c>
      <c r="IU2" t="e">
        <f>'What''s New - Mar 2022'!AL:AL*"$F;@!(e"</f>
        <v>#VALUE!</v>
      </c>
      <c r="IV2" t="e">
        <f>'What''s New - Mar 2022'!AM:AM*"$F;@!(f"</f>
        <v>#VALUE!</v>
      </c>
    </row>
    <row r="3" spans="1:256" x14ac:dyDescent="0.35">
      <c r="A3" t="s">
        <v>2954</v>
      </c>
      <c r="F3" t="e">
        <f>'What''s New - Mar 2022'!AN:AN*"$F;@!(g"</f>
        <v>#VALUE!</v>
      </c>
      <c r="G3" t="e">
        <f>'What''s New - Mar 2022'!AO:AO*"$F;@!(h"</f>
        <v>#VALUE!</v>
      </c>
      <c r="H3" t="e">
        <f>'What''s New - Mar 2022'!AP:AP*"$F;@!(i"</f>
        <v>#VALUE!</v>
      </c>
      <c r="I3" t="e">
        <f>'What''s New - Mar 2022'!AQ:AQ*"$F;@!(j"</f>
        <v>#VALUE!</v>
      </c>
      <c r="J3" t="e">
        <f>'What''s New - Mar 2022'!AR:AR*"$F;@!(k"</f>
        <v>#VALUE!</v>
      </c>
      <c r="K3" t="e">
        <f>'What''s New - Mar 2022'!AS:AS*"$F;@!(l"</f>
        <v>#VALUE!</v>
      </c>
      <c r="L3" t="e">
        <f>'What''s New - Mar 2022'!AT:AT*"$F;@!(m"</f>
        <v>#VALUE!</v>
      </c>
      <c r="M3" t="e">
        <f>'What''s New - Mar 2022'!AU:AU*"$F;@!(n"</f>
        <v>#VALUE!</v>
      </c>
      <c r="N3" t="e">
        <f>'What''s New - Mar 2022'!AV:AV*"$F;@!(o"</f>
        <v>#VALUE!</v>
      </c>
      <c r="O3" t="e">
        <f>'What''s New - Mar 2022'!AW:AW*"$F;@!(p"</f>
        <v>#VALUE!</v>
      </c>
      <c r="P3" t="e">
        <f>'What''s New - Mar 2022'!AX:AX*"$F;@!(q"</f>
        <v>#VALUE!</v>
      </c>
      <c r="Q3" t="e">
        <f>'What''s New - Mar 2022'!AY:AY*"$F;@!(r"</f>
        <v>#VALUE!</v>
      </c>
      <c r="R3" t="e">
        <f>'What''s New - Mar 2022'!AZ:AZ*"$F;@!(s"</f>
        <v>#VALUE!</v>
      </c>
      <c r="S3" t="e">
        <f>'What''s New - Mar 2022'!BA:BA*"$F;@!(t"</f>
        <v>#VALUE!</v>
      </c>
      <c r="T3" t="e">
        <f>'What''s New - Mar 2022'!BB:BB*"$F;@!(u"</f>
        <v>#VALUE!</v>
      </c>
      <c r="U3" t="e">
        <f>'What''s New - Mar 2022'!BC:BC*"$F;@!(v"</f>
        <v>#VALUE!</v>
      </c>
      <c r="V3" t="e">
        <f>'What''s New - Mar 2022'!1:1-"$F;@!(w"</f>
        <v>#VALUE!</v>
      </c>
      <c r="W3" t="e">
        <f>'What''s New - Mar 2022'!2:2-"$F;@!(x"</f>
        <v>#VALUE!</v>
      </c>
      <c r="X3" t="e">
        <f>_xlfn.SINGLE('What''s New - Mar 2022'!#REF!)-"$F;@!(y"</f>
        <v>#REF!</v>
      </c>
      <c r="Y3" t="e">
        <f>_xlfn.SINGLE('What''s New - Mar 2022'!#REF!)-"$F;@!(z"</f>
        <v>#REF!</v>
      </c>
      <c r="Z3" t="e">
        <f>_xlfn.SINGLE('What''s New - Mar 2022'!#REF!)-"$F;@!({"</f>
        <v>#REF!</v>
      </c>
      <c r="AA3" t="e">
        <f>_xlfn.SINGLE('What''s New - Mar 2022'!#REF!)-"$F;@!(|"</f>
        <v>#REF!</v>
      </c>
      <c r="AB3" t="e">
        <f>_xlfn.SINGLE('What''s New - Mar 2022'!#REF!)-"$F;@!(}"</f>
        <v>#REF!</v>
      </c>
      <c r="AC3" t="e">
        <f>_xlfn.SINGLE('What''s New - Mar 2022'!#REF!)-"$F;@!(~"</f>
        <v>#REF!</v>
      </c>
      <c r="AD3" t="e">
        <f>_xlfn.SINGLE('What''s New - Mar 2022'!#REF!)-"$F;@!)#"</f>
        <v>#REF!</v>
      </c>
      <c r="AE3" t="e">
        <f>_xlfn.SINGLE('What''s New - Mar 2022'!#REF!)-"$F;@!)$"</f>
        <v>#REF!</v>
      </c>
      <c r="AF3" t="e">
        <f>_xlfn.SINGLE('What''s New - Mar 2022'!#REF!)-"$F;@!)%"</f>
        <v>#REF!</v>
      </c>
      <c r="AG3" t="e">
        <f>_xlfn.SINGLE('What''s New - Mar 2022'!#REF!)-"$F;@!)&amp;"</f>
        <v>#REF!</v>
      </c>
      <c r="AH3" t="e">
        <f>_xlfn.SINGLE('What''s New - Mar 2022'!#REF!)-"$F;@!)'"</f>
        <v>#REF!</v>
      </c>
      <c r="AI3" t="e">
        <f>_xlfn.SINGLE('What''s New - Mar 2022'!#REF!)-"$F;@!)("</f>
        <v>#REF!</v>
      </c>
      <c r="AJ3" t="e">
        <f>_xlfn.SINGLE('What''s New - Mar 2022'!#REF!)-"$F;@!))"</f>
        <v>#REF!</v>
      </c>
      <c r="AK3" t="e">
        <f>_xlfn.SINGLE('What''s New - Mar 2022'!#REF!)-"$F;@!)."</f>
        <v>#REF!</v>
      </c>
      <c r="AL3" t="e">
        <f>_xlfn.SINGLE('What''s New - Mar 2022'!#REF!)-"$F;@!)/"</f>
        <v>#REF!</v>
      </c>
      <c r="AM3" t="e">
        <f>_xlfn.SINGLE('What''s New - Mar 2022'!#REF!)-"$F;@!)0"</f>
        <v>#REF!</v>
      </c>
      <c r="AN3" t="e">
        <f>_xlfn.SINGLE('What''s New - Mar 2022'!#REF!)-"$F;@!)1"</f>
        <v>#REF!</v>
      </c>
      <c r="AO3" t="e">
        <f>_xlfn.SINGLE('What''s New - Mar 2022'!#REF!)-"$F;@!)2"</f>
        <v>#REF!</v>
      </c>
      <c r="AP3" t="e">
        <f>_xlfn.SINGLE('What''s New - Mar 2022'!#REF!)-"$F;@!)3"</f>
        <v>#REF!</v>
      </c>
      <c r="AQ3" t="e">
        <f>_xlfn.SINGLE('What''s New - Mar 2022'!#REF!)-"$F;@!)4"</f>
        <v>#REF!</v>
      </c>
      <c r="AR3" t="e">
        <f>_xlfn.SINGLE('What''s New - Mar 2022'!#REF!)-"$F;@!)5"</f>
        <v>#REF!</v>
      </c>
      <c r="AS3" t="e">
        <f>_xlfn.SINGLE('What''s New - Mar 2022'!#REF!)-"$F;@!)6"</f>
        <v>#REF!</v>
      </c>
      <c r="AT3" t="e">
        <f>_xlfn.SINGLE('What''s New - Mar 2022'!#REF!)-"$F;@!)7"</f>
        <v>#REF!</v>
      </c>
      <c r="AU3" t="e">
        <f>_xlfn.SINGLE('What''s New - Mar 2022'!#REF!)-"$F;@!)8"</f>
        <v>#REF!</v>
      </c>
      <c r="AV3" t="e">
        <f>_xlfn.SINGLE('What''s New - Mar 2022'!#REF!)-"$F;@!)9"</f>
        <v>#REF!</v>
      </c>
      <c r="AW3" t="e">
        <f>_xlfn.SINGLE('What''s New - Mar 2022'!#REF!)-"$F;@!):"</f>
        <v>#REF!</v>
      </c>
      <c r="AX3" t="e">
        <f>_xlfn.SINGLE('What''s New - Mar 2022'!#REF!)-"$F;@!);"</f>
        <v>#REF!</v>
      </c>
      <c r="AY3" t="e">
        <f>_xlfn.SINGLE('What''s New - Mar 2022'!#REF!)-"$F;@!)&lt;"</f>
        <v>#REF!</v>
      </c>
      <c r="AZ3" t="e">
        <f>_xlfn.SINGLE('What''s New - Mar 2022'!#REF!)-"$F;@!)="</f>
        <v>#REF!</v>
      </c>
      <c r="BA3" t="e">
        <f>_xlfn.SINGLE('What''s New - Mar 2022'!#REF!)-"$F;@!)&gt;"</f>
        <v>#REF!</v>
      </c>
      <c r="BB3" t="e">
        <f>_xlfn.SINGLE('What''s New - Mar 2022'!#REF!)-"$F;@!)?"</f>
        <v>#REF!</v>
      </c>
      <c r="BC3" t="e">
        <f>_xlfn.SINGLE('What''s New - Mar 2022'!#REF!)-"$F;@!)@"</f>
        <v>#REF!</v>
      </c>
      <c r="BD3" t="e">
        <f>_xlfn.SINGLE('What''s New - Mar 2022'!#REF!)-"$F;@!)A"</f>
        <v>#REF!</v>
      </c>
      <c r="BE3" t="e">
        <f>_xlfn.SINGLE('What''s New - Mar 2022'!#REF!)-"$F;@!)B"</f>
        <v>#REF!</v>
      </c>
      <c r="BF3" t="e">
        <f>_xlfn.SINGLE('What''s New - Mar 2022'!#REF!)-"$F;@!)C"</f>
        <v>#REF!</v>
      </c>
      <c r="BG3" t="e">
        <f>_xlfn.SINGLE('What''s New - Mar 2022'!#REF!)-"$F;@!)D"</f>
        <v>#REF!</v>
      </c>
      <c r="BH3" t="e">
        <f>_xlfn.SINGLE('What''s New - Mar 2022'!#REF!)-"$F;@!)E"</f>
        <v>#REF!</v>
      </c>
      <c r="BI3" t="e">
        <f>_xlfn.SINGLE('What''s New - Mar 2022'!#REF!)-"$F;@!)F"</f>
        <v>#REF!</v>
      </c>
      <c r="BJ3" t="e">
        <f>_xlfn.SINGLE('What''s New - Mar 2022'!#REF!)-"$F;@!)G"</f>
        <v>#REF!</v>
      </c>
      <c r="BK3" t="e">
        <f>_xlfn.SINGLE('What''s New - Mar 2022'!#REF!)-"$F;@!)H"</f>
        <v>#REF!</v>
      </c>
      <c r="BL3" t="e">
        <f>_xlfn.SINGLE('What''s New - Mar 2022'!#REF!)-"$F;@!)I"</f>
        <v>#REF!</v>
      </c>
      <c r="BM3" t="e">
        <f>_xlfn.SINGLE('What''s New - Mar 2022'!#REF!)-"$F;@!)J"</f>
        <v>#REF!</v>
      </c>
      <c r="BN3" t="e">
        <f>_xlfn.SINGLE('What''s New - Mar 2022'!#REF!)-"$F;@!)K"</f>
        <v>#REF!</v>
      </c>
      <c r="BO3" t="e">
        <f>_xlfn.SINGLE('What''s New - Mar 2022'!#REF!)-"$F;@!)L"</f>
        <v>#REF!</v>
      </c>
      <c r="BP3" t="e">
        <f>_xlfn.SINGLE('What''s New - Mar 2022'!#REF!)-"$F;@!)M"</f>
        <v>#REF!</v>
      </c>
      <c r="BQ3" t="e">
        <f>_xlfn.SINGLE('What''s New - Mar 2022'!#REF!)-"$F;@!)N"</f>
        <v>#REF!</v>
      </c>
      <c r="BR3" t="e">
        <f>_xlfn.SINGLE('What''s New - Mar 2022'!#REF!)-"$F;@!)O"</f>
        <v>#REF!</v>
      </c>
      <c r="BS3" t="e">
        <f>_xlfn.SINGLE('What''s New - Mar 2022'!#REF!)-"$F;@!)P"</f>
        <v>#REF!</v>
      </c>
      <c r="BT3" t="e">
        <f>_xlfn.SINGLE('What''s New - Mar 2022'!#REF!)-"$F;@!)Q"</f>
        <v>#REF!</v>
      </c>
      <c r="BU3" t="e">
        <f>_xlfn.SINGLE('What''s New - Mar 2022'!#REF!)-"$F;@!)R"</f>
        <v>#REF!</v>
      </c>
      <c r="BV3" t="e">
        <f>_xlfn.SINGLE('What''s New - Mar 2022'!#REF!)-"$F;@!)S"</f>
        <v>#REF!</v>
      </c>
      <c r="BW3" t="e">
        <f>_xlfn.SINGLE('What''s New - Mar 2022'!#REF!)-"$F;@!)T"</f>
        <v>#REF!</v>
      </c>
      <c r="BX3" t="e">
        <f>_xlfn.SINGLE('What''s New - Mar 2022'!#REF!)-"$F;@!)U"</f>
        <v>#REF!</v>
      </c>
      <c r="BY3" t="e">
        <f>_xlfn.SINGLE('What''s New - Mar 2022'!#REF!)-"$F;@!)V"</f>
        <v>#REF!</v>
      </c>
      <c r="BZ3" t="e">
        <f>_xlfn.SINGLE('What''s New - Mar 2022'!#REF!)-"$F;@!)W"</f>
        <v>#REF!</v>
      </c>
      <c r="CA3" t="e">
        <f>'What''s New - Mar 2022'!29:29-"$F;@!)X"</f>
        <v>#VALUE!</v>
      </c>
      <c r="CB3" t="e">
        <f>'What''s New - Mar 2022'!30:30-"$F;@!)Y"</f>
        <v>#VALUE!</v>
      </c>
      <c r="CC3" t="e">
        <f>'What''s New - Mar 2022'!16:16-"$F;@!)Z"</f>
        <v>#VALUE!</v>
      </c>
      <c r="CD3" t="e">
        <f>_xlfn.SINGLE('What''s New - Mar 2022'!#REF!)-"$F;@!)["</f>
        <v>#REF!</v>
      </c>
      <c r="CE3" t="e">
        <f>'What''s New - Mar 2022'!44:44-"$F;@!)\"</f>
        <v>#VALUE!</v>
      </c>
      <c r="CF3" t="e">
        <f>'What''s New - Mar 2022'!45:45-"$F;@!)]"</f>
        <v>#VALUE!</v>
      </c>
      <c r="CG3" t="e">
        <f>'What''s New - Mar 2022'!56:56-"$F;@!)^"</f>
        <v>#VALUE!</v>
      </c>
      <c r="CH3" t="e">
        <f>'What''s New - Mar 2022'!57:57-"$F;@!)_"</f>
        <v>#VALUE!</v>
      </c>
      <c r="CI3" t="e">
        <f>_xlfn.SINGLE('What''s New - Mar 2022'!#REF!)-"$F;@!)`"</f>
        <v>#REF!</v>
      </c>
      <c r="CJ3" t="e">
        <f>_xlfn.SINGLE('What''s New - Mar 2022'!#REF!)-"$F;@!)a"</f>
        <v>#REF!</v>
      </c>
      <c r="CK3" t="e">
        <f>_xlfn.SINGLE('What''s New - Mar 2022'!#REF!)-"$F;@!)b"</f>
        <v>#REF!</v>
      </c>
      <c r="CL3" t="e">
        <f>_xlfn.SINGLE('What''s New - Mar 2022'!#REF!)-"$F;@!)c"</f>
        <v>#REF!</v>
      </c>
      <c r="CM3" t="e">
        <f>_xlfn.SINGLE('What''s New - Mar 2022'!#REF!)-"$F;@!)d"</f>
        <v>#REF!</v>
      </c>
      <c r="CN3" t="e">
        <f>_xlfn.SINGLE('What''s New - Mar 2022'!#REF!)-"$F;@!)e"</f>
        <v>#REF!</v>
      </c>
      <c r="CO3" t="e">
        <f>_xlfn.SINGLE('What''s New - Mar 2022'!#REF!)-"$F;@!)f"</f>
        <v>#REF!</v>
      </c>
      <c r="CP3" t="e">
        <f>_xlfn.SINGLE('What''s New - Mar 2022'!#REF!)-"$F;@!)g"</f>
        <v>#REF!</v>
      </c>
      <c r="CQ3" t="e">
        <f>_xlfn.SINGLE('What''s New - Mar 2022'!#REF!)-"$F;@!)h"</f>
        <v>#REF!</v>
      </c>
      <c r="CR3" t="e">
        <f>_xlfn.SINGLE('What''s New - Mar 2022'!#REF!)-"$F;@!)i"</f>
        <v>#REF!</v>
      </c>
      <c r="CS3" t="e">
        <f>_xlfn.SINGLE('What''s New - Mar 2022'!#REF!)-"$F;@!)j"</f>
        <v>#REF!</v>
      </c>
      <c r="CT3" t="e">
        <f>_xlfn.SINGLE('What''s New - Mar 2022'!#REF!)-"$F;@!)k"</f>
        <v>#REF!</v>
      </c>
      <c r="CU3" t="e">
        <f>_xlfn.SINGLE('What''s New - Mar 2022'!#REF!)-"$F;@!)l"</f>
        <v>#REF!</v>
      </c>
      <c r="CV3" t="e">
        <f>_xlfn.SINGLE('What''s New - Mar 2022'!#REF!)-"$F;@!)m"</f>
        <v>#REF!</v>
      </c>
      <c r="CW3" t="e">
        <f>'What''s New - Mar 2022'!58:58-"$F;@!)n"</f>
        <v>#VALUE!</v>
      </c>
      <c r="CX3" t="e">
        <f>'What''s New - Mar 2022'!46:46-"$F;@!)o"</f>
        <v>#VALUE!</v>
      </c>
      <c r="CY3" t="e">
        <f>'What''s New - Mar 2022'!60:60-"$F;@!)p"</f>
        <v>#VALUE!</v>
      </c>
      <c r="CZ3" t="e">
        <f>'What''s New - Mar 2022'!54:54-"$F;@!)q"</f>
        <v>#VALUE!</v>
      </c>
      <c r="DA3" t="e">
        <f>'What''s New - Mar 2022'!55:55-"$F;@!)r"</f>
        <v>#VALUE!</v>
      </c>
      <c r="DB3" t="e">
        <f>'What''s New - Mar 2022'!51:51-"$F;@!)s"</f>
        <v>#VALUE!</v>
      </c>
      <c r="DC3" t="e">
        <f>'What''s New - Mar 2022'!47:47-"$F;@!)t"</f>
        <v>#VALUE!</v>
      </c>
      <c r="DD3" t="e">
        <f>'What''s New - Mar 2022'!48:48-"$F;@!)u"</f>
        <v>#VALUE!</v>
      </c>
      <c r="DE3" t="e">
        <f>'What''s New - Mar 2022'!49:49-"$F;@!)v"</f>
        <v>#VALUE!</v>
      </c>
      <c r="DF3" t="e">
        <f>'What''s New - Mar 2022'!50:50-"$F;@!)w"</f>
        <v>#VALUE!</v>
      </c>
      <c r="DG3" t="e">
        <f>_xlfn.SINGLE('What''s New - Mar 2022'!#REF!)-"$F;@!)x"</f>
        <v>#REF!</v>
      </c>
      <c r="DH3" t="e">
        <f>_xlfn.SINGLE('What''s New - Mar 2022'!#REF!)-"$F;@!)y"</f>
        <v>#REF!</v>
      </c>
      <c r="DI3" t="e">
        <f>'What''s New - Mar 2022'!62:62-"$F;@!)z"</f>
        <v>#VALUE!</v>
      </c>
      <c r="DJ3" t="e">
        <f>'What''s New - Mar 2022'!63:63-"$F;@!){"</f>
        <v>#VALUE!</v>
      </c>
      <c r="DK3" t="e">
        <f>'What''s New - Mar 2022'!64:64-"$F;@!)|"</f>
        <v>#VALUE!</v>
      </c>
      <c r="DL3" t="e">
        <f>'What''s New - Mar 2022'!65:65-"$F;@!)}"</f>
        <v>#VALUE!</v>
      </c>
      <c r="DM3" t="e">
        <f>'What''s New - Mar 2022'!66:66-"$F;@!)~"</f>
        <v>#VALUE!</v>
      </c>
      <c r="DN3" t="e">
        <f>'What''s New - Mar 2022'!67:67-"$F;@!.#"</f>
        <v>#VALUE!</v>
      </c>
      <c r="DO3" t="e">
        <f>'What''s New - Mar 2022'!68:68-"$F;@!.$"</f>
        <v>#VALUE!</v>
      </c>
      <c r="DP3" t="e">
        <f>'What''s New - Mar 2022'!69:69-"$F;@!.%"</f>
        <v>#VALUE!</v>
      </c>
      <c r="DQ3" t="e">
        <f>'What''s New - Mar 2022'!70:70-"$F;@!.&amp;"</f>
        <v>#VALUE!</v>
      </c>
      <c r="DR3" t="e">
        <f>'What''s New - Mar 2022'!71:71-"$F;@!.'"</f>
        <v>#VALUE!</v>
      </c>
      <c r="DS3" t="e">
        <f>'What''s New - Mar 2022'!72:72-"$F;@!.("</f>
        <v>#VALUE!</v>
      </c>
      <c r="DT3" t="e">
        <f>'What''s New - Mar 2022'!73:73-"$F;@!.)"</f>
        <v>#VALUE!</v>
      </c>
      <c r="DU3" t="e">
        <f>'What''s New - Mar 2022'!74:74-"$F;@!.."</f>
        <v>#VALUE!</v>
      </c>
      <c r="DV3" t="e">
        <f>'What''s New - Mar 2022'!75:75-"$F;@!./"</f>
        <v>#VALUE!</v>
      </c>
      <c r="DW3" t="e">
        <f>'What''s New - Mar 2022'!76:76-"$F;@!.0"</f>
        <v>#VALUE!</v>
      </c>
      <c r="DX3" t="e">
        <f>'What''s New - Mar 2022'!77:77-"$F;@!.1"</f>
        <v>#VALUE!</v>
      </c>
      <c r="DY3" t="e">
        <f>'What''s New - Mar 2022'!78:78-"$F;@!.2"</f>
        <v>#VALUE!</v>
      </c>
      <c r="DZ3" t="e">
        <f>'What''s New - Mar 2022'!79:79-"$F;@!.3"</f>
        <v>#VALUE!</v>
      </c>
      <c r="EA3" t="e">
        <f>'What''s New - Mar 2022'!80:80-"$F;@!.4"</f>
        <v>#VALUE!</v>
      </c>
      <c r="EB3" t="e">
        <f>'What''s New - Mar 2022'!81:81-"$F;@!.5"</f>
        <v>#VALUE!</v>
      </c>
      <c r="EC3" t="e">
        <f>'What''s New - Mar 2022'!82:82-"$F;@!.6"</f>
        <v>#VALUE!</v>
      </c>
      <c r="ED3" t="e">
        <f>'What''s New - Mar 2022'!83:83-"$F;@!.7"</f>
        <v>#VALUE!</v>
      </c>
      <c r="EE3" t="e">
        <f>'What''s New - Mar 2022'!84:84-"$F;@!.8"</f>
        <v>#VALUE!</v>
      </c>
      <c r="EF3" t="e">
        <f>'What''s New - Mar 2022'!85:85-"$F;@!.9"</f>
        <v>#VALUE!</v>
      </c>
      <c r="EG3" t="e">
        <f>'What''s New - Mar 2022'!86:86-"$F;@!.:"</f>
        <v>#VALUE!</v>
      </c>
      <c r="EH3" t="e">
        <f>'What''s New - Mar 2022'!87:87-"$F;@!.;"</f>
        <v>#VALUE!</v>
      </c>
      <c r="EI3" t="e">
        <f>'What''s New - Mar 2022'!88:88-"$F;@!.&lt;"</f>
        <v>#VALUE!</v>
      </c>
      <c r="EJ3" t="e">
        <f>'What''s New - Mar 2022'!89:89-"$F;@!.="</f>
        <v>#VALUE!</v>
      </c>
      <c r="EK3" t="e">
        <f>'What''s New - Mar 2022'!90:90-"$F;@!.&gt;"</f>
        <v>#VALUE!</v>
      </c>
      <c r="EL3" t="e">
        <f>'What''s New - Mar 2022'!91:91-"$F;@!.?"</f>
        <v>#VALUE!</v>
      </c>
      <c r="EM3" t="e">
        <f>'What''s New - Mar 2022'!92:92-"$F;@!.@"</f>
        <v>#VALUE!</v>
      </c>
      <c r="EN3" t="e">
        <f>'What''s New - Mar 2022'!93:93-"$F;@!.A"</f>
        <v>#VALUE!</v>
      </c>
      <c r="EO3" t="e">
        <f>'What''s New - Mar 2022'!94:94-"$F;@!.B"</f>
        <v>#VALUE!</v>
      </c>
      <c r="EP3" t="e">
        <f>'What''s New - Mar 2022'!95:95-"$F;@!.C"</f>
        <v>#VALUE!</v>
      </c>
      <c r="EQ3" t="e">
        <f>'What''s New - Mar 2022'!96:96-"$F;@!.D"</f>
        <v>#VALUE!</v>
      </c>
      <c r="ER3" t="e">
        <f>'What''s New - Mar 2022'!97:97-"$F;@!.E"</f>
        <v>#VALUE!</v>
      </c>
      <c r="ES3" t="e">
        <f>'What''s New - Mar 2022'!98:98-"$F;@!.F"</f>
        <v>#VALUE!</v>
      </c>
      <c r="ET3" t="e">
        <f>'What''s New - Mar 2022'!99:99-"$F;@!.G"</f>
        <v>#VALUE!</v>
      </c>
      <c r="EU3" t="e">
        <f>'What''s New - Mar 2022'!100:100-"$F;@!.H"</f>
        <v>#VALUE!</v>
      </c>
      <c r="EV3" t="e">
        <f>'What''s New - Mar 2022'!101:101-"$F;@!.I"</f>
        <v>#VALUE!</v>
      </c>
      <c r="EW3" t="e">
        <f>'What''s New - Mar 2022'!102:102-"$F;@!.J"</f>
        <v>#VALUE!</v>
      </c>
      <c r="EX3" t="e">
        <f>'What''s New - Mar 2022'!103:103-"$F;@!.K"</f>
        <v>#VALUE!</v>
      </c>
      <c r="EY3" t="e">
        <f>'What''s New - Mar 2022'!104:104-"$F;@!.L"</f>
        <v>#VALUE!</v>
      </c>
      <c r="EZ3" t="e">
        <f>'What''s New - Mar 2022'!105:105-"$F;@!.M"</f>
        <v>#VALUE!</v>
      </c>
      <c r="FA3" t="e">
        <f>'What''s New - Mar 2022'!106:106-"$F;@!.N"</f>
        <v>#VALUE!</v>
      </c>
      <c r="FB3" t="e">
        <f>'What''s New - Mar 2022'!107:107-"$F;@!.O"</f>
        <v>#VALUE!</v>
      </c>
      <c r="FC3" t="e">
        <f>'What''s New - Mar 2022'!108:108-"$F;@!.P"</f>
        <v>#VALUE!</v>
      </c>
      <c r="FD3" t="e">
        <f>'What''s New - Mar 2022'!109:109-"$F;@!.Q"</f>
        <v>#VALUE!</v>
      </c>
      <c r="FE3" t="e">
        <f>'What''s New - Mar 2022'!110:110-"$F;@!.R"</f>
        <v>#VALUE!</v>
      </c>
      <c r="FF3" t="e">
        <f>'What''s New - Mar 2022'!111:111-"$F;@!.S"</f>
        <v>#VALUE!</v>
      </c>
      <c r="FG3" t="e">
        <f>'What''s New - Mar 2022'!112:112-"$F;@!.T"</f>
        <v>#VALUE!</v>
      </c>
      <c r="FH3" t="e">
        <f>'What''s New - Mar 2022'!113:113-"$F;@!.U"</f>
        <v>#VALUE!</v>
      </c>
      <c r="FI3" t="e">
        <f>'What''s New - Mar 2022'!114:114-"$F;@!.V"</f>
        <v>#VALUE!</v>
      </c>
      <c r="FJ3" t="e">
        <f>'What''s New - Mar 2022'!115:115-"$F;@!.W"</f>
        <v>#VALUE!</v>
      </c>
      <c r="FK3" t="e">
        <f>'What''s New - Mar 2022'!116:116-"$F;@!.X"</f>
        <v>#VALUE!</v>
      </c>
      <c r="FL3" t="e">
        <f>'What''s New - Mar 2022'!117:117-"$F;@!.Y"</f>
        <v>#VALUE!</v>
      </c>
      <c r="FM3" t="e">
        <f>'What''s New - Mar 2022'!118:118-"$F;@!.Z"</f>
        <v>#VALUE!</v>
      </c>
      <c r="FN3" t="e">
        <f>'What''s New - Mar 2022'!119:119-"$F;@!.["</f>
        <v>#VALUE!</v>
      </c>
      <c r="FO3" t="e">
        <f>'What''s New - Mar 2022'!120:120-"$F;@!.\"</f>
        <v>#VALUE!</v>
      </c>
      <c r="FP3" t="e">
        <f>'What''s New - Mar 2022'!121:121-"$F;@!.]"</f>
        <v>#VALUE!</v>
      </c>
      <c r="FQ3" t="e">
        <f>'What''s New - Mar 2022'!122:122-"$F;@!.^"</f>
        <v>#VALUE!</v>
      </c>
      <c r="FR3" t="e">
        <f>'What''s New - Mar 2022'!123:123-"$F;@!._"</f>
        <v>#VALUE!</v>
      </c>
      <c r="FS3" t="e">
        <f>'What''s New - Mar 2022'!124:124-"$F;@!.`"</f>
        <v>#VALUE!</v>
      </c>
      <c r="FT3" t="e">
        <f>'What''s New - Mar 2022'!125:125-"$F;@!.a"</f>
        <v>#VALUE!</v>
      </c>
      <c r="FU3" t="e">
        <f>'What''s New - Mar 2022'!126:126-"$F;@!.b"</f>
        <v>#VALUE!</v>
      </c>
      <c r="FV3" t="e">
        <f>'What''s New - Mar 2022'!127:127-"$F;@!.c"</f>
        <v>#VALUE!</v>
      </c>
      <c r="FW3" t="e">
        <f>'What''s New - Mar 2022'!128:128-"$F;@!.d"</f>
        <v>#VALUE!</v>
      </c>
      <c r="FX3" t="e">
        <f>'What''s New - Mar 2022'!129:129-"$F;@!.e"</f>
        <v>#VALUE!</v>
      </c>
      <c r="FY3" t="e">
        <f>'What''s New - Mar 2022'!130:130-"$F;@!.f"</f>
        <v>#VALUE!</v>
      </c>
      <c r="FZ3" t="e">
        <f>'What''s New - Mar 2022'!131:131-"$F;@!.g"</f>
        <v>#VALUE!</v>
      </c>
      <c r="GA3" t="e">
        <f>'What''s New - Mar 2022'!132:132-"$F;@!.h"</f>
        <v>#VALUE!</v>
      </c>
      <c r="GB3" t="e">
        <f>'What''s New - Mar 2022'!133:133-"$F;@!.i"</f>
        <v>#VALUE!</v>
      </c>
      <c r="GC3" t="e">
        <f>'What''s New - Mar 2022'!134:134-"$F;@!.j"</f>
        <v>#VALUE!</v>
      </c>
      <c r="GD3" t="e">
        <f>'What''s New - Mar 2022'!135:135-"$F;@!.k"</f>
        <v>#VALUE!</v>
      </c>
      <c r="GE3" t="e">
        <f>'What''s New - Mar 2022'!136:136-"$F;@!.l"</f>
        <v>#VALUE!</v>
      </c>
      <c r="GF3" t="e">
        <f>'What''s New - Mar 2022'!137:137-"$F;@!.m"</f>
        <v>#VALUE!</v>
      </c>
      <c r="GG3" t="e">
        <f>'What''s New - Mar 2022'!138:138-"$F;@!.n"</f>
        <v>#VALUE!</v>
      </c>
      <c r="GH3" t="e">
        <f>'What''s New - Mar 2022'!139:139-"$F;@!.o"</f>
        <v>#VALUE!</v>
      </c>
      <c r="GI3" t="e">
        <f>'What''s New - Mar 2022'!140:140-"$F;@!.p"</f>
        <v>#VALUE!</v>
      </c>
      <c r="GJ3" t="e">
        <f>'What''s New - Mar 2022'!141:141-"$F;@!.q"</f>
        <v>#VALUE!</v>
      </c>
      <c r="GK3" t="e">
        <f>'What''s New - Mar 2022'!142:142-"$F;@!.r"</f>
        <v>#VALUE!</v>
      </c>
      <c r="GL3" t="e">
        <f>'What''s New - Mar 2022'!143:143-"$F;@!.s"</f>
        <v>#VALUE!</v>
      </c>
      <c r="GM3" t="e">
        <f>'What''s New - Mar 2022'!144:144-"$F;@!.t"</f>
        <v>#VALUE!</v>
      </c>
      <c r="GN3" t="e">
        <f>'What''s New - Mar 2022'!145:145-"$F;@!.u"</f>
        <v>#VALUE!</v>
      </c>
      <c r="GO3" t="e">
        <f>'What''s New - Mar 2022'!146:146-"$F;@!.v"</f>
        <v>#VALUE!</v>
      </c>
      <c r="GP3" t="e">
        <f>'What''s New - Mar 2022'!147:147-"$F;@!.w"</f>
        <v>#VALUE!</v>
      </c>
      <c r="GQ3" t="e">
        <f>'What''s New - Mar 2022'!148:148-"$F;@!.x"</f>
        <v>#VALUE!</v>
      </c>
      <c r="GR3" t="e">
        <f>'What''s New - Mar 2022'!149:149-"$F;@!.y"</f>
        <v>#VALUE!</v>
      </c>
      <c r="GS3" t="e">
        <f>'What''s New - Mar 2022'!150:150-"$F;@!.z"</f>
        <v>#VALUE!</v>
      </c>
      <c r="GT3" t="e">
        <f>'What''s New - Mar 2022'!151:151-"$F;@!.{"</f>
        <v>#VALUE!</v>
      </c>
      <c r="GU3" t="e">
        <f>'What''s New - Mar 2022'!152:152-"$F;@!.|"</f>
        <v>#VALUE!</v>
      </c>
      <c r="GV3" t="e">
        <f>'What''s New - Mar 2022'!153:153-"$F;@!.}"</f>
        <v>#VALUE!</v>
      </c>
      <c r="GW3" t="e">
        <f>'What''s New - Mar 2022'!154:154-"$F;@!.~"</f>
        <v>#VALUE!</v>
      </c>
      <c r="GX3" t="e">
        <f>'What''s New - Mar 2022'!155:155-"$F;@!/#"</f>
        <v>#VALUE!</v>
      </c>
      <c r="GY3" t="e">
        <f>'What''s New - Mar 2022'!156:156-"$F;@!/$"</f>
        <v>#VALUE!</v>
      </c>
      <c r="GZ3" t="e">
        <f>'What''s New - Mar 2022'!157:157-"$F;@!/%"</f>
        <v>#VALUE!</v>
      </c>
      <c r="HA3" t="e">
        <f>'What''s New - Mar 2022'!158:158-"$F;@!/&amp;"</f>
        <v>#VALUE!</v>
      </c>
      <c r="HB3" t="e">
        <f>'What''s New - Mar 2022'!159:159-"$F;@!/'"</f>
        <v>#VALUE!</v>
      </c>
      <c r="HC3" t="e">
        <f>'What''s New - Mar 2022'!160:160-"$F;@!/("</f>
        <v>#VALUE!</v>
      </c>
      <c r="HD3" t="e">
        <f>'What''s New - Mar 2022'!161:161-"$F;@!/)"</f>
        <v>#VALUE!</v>
      </c>
      <c r="HE3" t="e">
        <f>'What''s New - Mar 2022'!162:162-"$F;@!/."</f>
        <v>#VALUE!</v>
      </c>
      <c r="HF3" t="e">
        <f>'What''s New - Mar 2022'!163:163-"$F;@!//"</f>
        <v>#VALUE!</v>
      </c>
      <c r="HG3" t="e">
        <f>'What''s New - Mar 2022'!164:164-"$F;@!/0"</f>
        <v>#VALUE!</v>
      </c>
      <c r="HH3" t="e">
        <f>'What''s New - Mar 2022'!165:165-"$F;@!/1"</f>
        <v>#VALUE!</v>
      </c>
      <c r="HI3" t="e">
        <f>'What''s New - Mar 2022'!166:166-"$F;@!/2"</f>
        <v>#VALUE!</v>
      </c>
      <c r="HJ3" t="e">
        <f>'What''s New - Mar 2022'!167:167-"$F;@!/3"</f>
        <v>#VALUE!</v>
      </c>
      <c r="HK3" t="e">
        <f>'What''s New - Mar 2022'!168:168-"$F;@!/4"</f>
        <v>#VALUE!</v>
      </c>
      <c r="HL3" t="e">
        <f>'What''s New - Mar 2022'!169:169-"$F;@!/5"</f>
        <v>#VALUE!</v>
      </c>
      <c r="HM3" t="e">
        <f>'What''s New - Mar 2022'!170:170-"$F;@!/6"</f>
        <v>#VALUE!</v>
      </c>
      <c r="HN3" t="e">
        <f>'What''s New - Mar 2022'!171:171-"$F;@!/7"</f>
        <v>#VALUE!</v>
      </c>
      <c r="HO3" t="e">
        <f>'What''s New - Mar 2022'!172:172-"$F;@!/8"</f>
        <v>#VALUE!</v>
      </c>
      <c r="HP3" t="e">
        <f>'What''s New - Mar 2022'!173:173-"$F;@!/9"</f>
        <v>#VALUE!</v>
      </c>
      <c r="HQ3" t="e">
        <f>'What''s New - Mar 2022'!174:174-"$F;@!/:"</f>
        <v>#VALUE!</v>
      </c>
      <c r="HR3" t="e">
        <f>'What''s New - Mar 2022'!175:175-"$F;@!/;"</f>
        <v>#VALUE!</v>
      </c>
      <c r="HS3" t="e">
        <f>'What''s New - Mar 2022'!176:176-"$F;@!/&lt;"</f>
        <v>#VALUE!</v>
      </c>
      <c r="HT3" t="e">
        <f>'What''s New - Mar 2022'!177:177-"$F;@!/="</f>
        <v>#VALUE!</v>
      </c>
      <c r="HU3" t="e">
        <f>'What''s New - Mar 2022'!178:178-"$F;@!/&gt;"</f>
        <v>#VALUE!</v>
      </c>
      <c r="HV3" t="e">
        <f>'What''s New - Mar 2022'!179:179-"$F;@!/?"</f>
        <v>#VALUE!</v>
      </c>
      <c r="HW3" t="e">
        <f>'What''s New - Mar 2022'!180:180-"$F;@!/@"</f>
        <v>#VALUE!</v>
      </c>
      <c r="HX3" t="e">
        <f>'What''s New - Mar 2022'!181:181-"$F;@!/A"</f>
        <v>#VALUE!</v>
      </c>
      <c r="HY3" t="e">
        <f>'What''s New - Mar 2022'!182:182-"$F;@!/B"</f>
        <v>#VALUE!</v>
      </c>
      <c r="HZ3" t="e">
        <f>'What''s New - Mar 2022'!183:183-"$F;@!/C"</f>
        <v>#VALUE!</v>
      </c>
      <c r="IA3" t="e">
        <f>'What''s New - Mar 2022'!184:184-"$F;@!/D"</f>
        <v>#VALUE!</v>
      </c>
      <c r="IB3" t="e">
        <f>'What''s New - Mar 2022'!185:185-"$F;@!/E"</f>
        <v>#VALUE!</v>
      </c>
      <c r="IC3" t="e">
        <f>'What''s New - Mar 2022'!186:186-"$F;@!/F"</f>
        <v>#VALUE!</v>
      </c>
      <c r="ID3" t="e">
        <f>'What''s New - Mar 2022'!187:187-"$F;@!/G"</f>
        <v>#VALUE!</v>
      </c>
      <c r="IE3" t="e">
        <f>'What''s New - Mar 2022'!188:188-"$F;@!/H"</f>
        <v>#VALUE!</v>
      </c>
      <c r="IF3" t="e">
        <f>'What''s New - Mar 2022'!189:189-"$F;@!/I"</f>
        <v>#VALUE!</v>
      </c>
      <c r="IG3" t="e">
        <f>'What''s New - Mar 2022'!190:190-"$F;@!/J"</f>
        <v>#VALUE!</v>
      </c>
      <c r="IH3" t="e">
        <f>'What''s New - Mar 2022'!191:191-"$F;@!/K"</f>
        <v>#VALUE!</v>
      </c>
      <c r="II3" t="e">
        <f>'What''s New - Mar 2022'!192:192-"$F;@!/L"</f>
        <v>#VALUE!</v>
      </c>
      <c r="IJ3" t="e">
        <f>'What''s New - Mar 2022'!193:193-"$F;@!/M"</f>
        <v>#VALUE!</v>
      </c>
      <c r="IK3" t="e">
        <f>'What''s New - Mar 2022'!194:194-"$F;@!/N"</f>
        <v>#VALUE!</v>
      </c>
      <c r="IL3" t="e">
        <f>'What''s New - Mar 2022'!195:195-"$F;@!/O"</f>
        <v>#VALUE!</v>
      </c>
      <c r="IM3" t="e">
        <f>'What''s New - Mar 2022'!196:196-"$F;@!/P"</f>
        <v>#VALUE!</v>
      </c>
      <c r="IN3" t="e">
        <f>'What''s New - Mar 2022'!197:197-"$F;@!/Q"</f>
        <v>#VALUE!</v>
      </c>
      <c r="IO3" t="e">
        <f>'What''s New - Mar 2022'!198:198-"$F;@!/R"</f>
        <v>#VALUE!</v>
      </c>
      <c r="IP3" t="e">
        <f>'What''s New - Mar 2022'!199:199-"$F;@!/S"</f>
        <v>#VALUE!</v>
      </c>
      <c r="IQ3" t="e">
        <f>'What''s New - Mar 2022'!200:200-"$F;@!/T"</f>
        <v>#VALUE!</v>
      </c>
      <c r="IR3" t="e">
        <f>'What''s New - Mar 2022'!201:201-"$F;@!/U"</f>
        <v>#VALUE!</v>
      </c>
      <c r="IS3" t="e">
        <f>'What''s New - Mar 2022'!202:202-"$F;@!/V"</f>
        <v>#VALUE!</v>
      </c>
      <c r="IT3" t="e">
        <f>'What''s New - Mar 2022'!203:203-"$F;@!/W"</f>
        <v>#VALUE!</v>
      </c>
      <c r="IU3" t="e">
        <f>'What''s New - Mar 2022'!204:204-"$F;@!/X"</f>
        <v>#VALUE!</v>
      </c>
      <c r="IV3" t="e">
        <f>'What''s New - Mar 2022'!205:205-"$F;@!/Y"</f>
        <v>#VALUE!</v>
      </c>
    </row>
    <row r="4" spans="1:256" x14ac:dyDescent="0.35">
      <c r="F4" t="e">
        <f>'What''s New - Mar 2022'!206:206-"$F;@!/Z"</f>
        <v>#VALUE!</v>
      </c>
      <c r="G4" t="e">
        <f>'What''s New - Mar 2022'!207:207-"$F;@!/["</f>
        <v>#VALUE!</v>
      </c>
      <c r="H4" t="e">
        <f>'What''s New - Mar 2022'!208:208-"$F;@!/\"</f>
        <v>#VALUE!</v>
      </c>
      <c r="I4" t="e">
        <f>'What''s New - Mar 2022'!209:209-"$F;@!/]"</f>
        <v>#VALUE!</v>
      </c>
      <c r="J4" t="e">
        <f>'What''s New - Mar 2022'!210:210-"$F;@!/^"</f>
        <v>#VALUE!</v>
      </c>
      <c r="K4" t="e">
        <f>'What''s New - Mar 2022'!211:211-"$F;@!/_"</f>
        <v>#VALUE!</v>
      </c>
      <c r="L4" t="e">
        <f>'What''s New - Mar 2022'!212:212-"$F;@!/`"</f>
        <v>#VALUE!</v>
      </c>
      <c r="M4" t="e">
        <f>'What''s New - Mar 2022'!213:213-"$F;@!/a"</f>
        <v>#VALUE!</v>
      </c>
      <c r="N4" t="e">
        <f>'What''s New - Mar 2022'!214:214-"$F;@!/b"</f>
        <v>#VALUE!</v>
      </c>
      <c r="O4" t="e">
        <f>'What''s New - Mar 2022'!215:215-"$F;@!/c"</f>
        <v>#VALUE!</v>
      </c>
      <c r="P4" t="e">
        <f>'What''s New - Mar 2022'!216:216-"$F;@!/d"</f>
        <v>#VALUE!</v>
      </c>
      <c r="Q4" t="e">
        <f>'What''s New - Mar 2022'!217:217-"$F;@!/e"</f>
        <v>#VALUE!</v>
      </c>
      <c r="R4" t="e">
        <f>'What''s New - Mar 2022'!218:218-"$F;@!/f"</f>
        <v>#VALUE!</v>
      </c>
      <c r="S4" t="e">
        <f>'What''s New - Mar 2022'!219:219-"$F;@!/g"</f>
        <v>#VALUE!</v>
      </c>
      <c r="T4" t="e">
        <f>'What''s New - Mar 2022'!220:220-"$F;@!/h"</f>
        <v>#VALUE!</v>
      </c>
      <c r="U4" t="e">
        <f>'What''s New - Mar 2022'!221:221-"$F;@!/i"</f>
        <v>#VALUE!</v>
      </c>
      <c r="V4" t="e">
        <f>'What''s New - Mar 2022'!222:222-"$F;@!/j"</f>
        <v>#VALUE!</v>
      </c>
      <c r="W4" t="e">
        <f>'What''s New - Mar 2022'!223:223-"$F;@!/k"</f>
        <v>#VALUE!</v>
      </c>
      <c r="X4" t="e">
        <f>'What''s New - Mar 2022'!224:224-"$F;@!/l"</f>
        <v>#VALUE!</v>
      </c>
      <c r="Y4" t="e">
        <f>'What''s New - Mar 2022'!225:225-"$F;@!/m"</f>
        <v>#VALUE!</v>
      </c>
      <c r="Z4" t="e">
        <f>'What''s New - Mar 2022'!226:226-"$F;@!/n"</f>
        <v>#VALUE!</v>
      </c>
      <c r="AA4" t="e">
        <f>'What''s New - Mar 2022'!227:227-"$F;@!/o"</f>
        <v>#VALUE!</v>
      </c>
      <c r="AB4" t="e">
        <f>'What''s New - Mar 2022'!228:228-"$F;@!/p"</f>
        <v>#VALUE!</v>
      </c>
      <c r="AC4" t="e">
        <f>'What''s New - Mar 2022'!229:229-"$F;@!/q"</f>
        <v>#VALUE!</v>
      </c>
      <c r="AD4" t="e">
        <f>'What''s New - Mar 2022'!230:230-"$F;@!/r"</f>
        <v>#VALUE!</v>
      </c>
      <c r="AE4" t="e">
        <f>'What''s New - Mar 2022'!231:231-"$F;@!/s"</f>
        <v>#VALUE!</v>
      </c>
      <c r="AF4" t="e">
        <f>'What''s New - Mar 2022'!232:232-"$F;@!/t"</f>
        <v>#VALUE!</v>
      </c>
      <c r="AG4" t="e">
        <f>'What''s New - Mar 2022'!233:233-"$F;@!/u"</f>
        <v>#VALUE!</v>
      </c>
      <c r="AH4" t="e">
        <f>'What''s New - Mar 2022'!234:234-"$F;@!/v"</f>
        <v>#VALUE!</v>
      </c>
      <c r="AI4" t="e">
        <f>'What''s New - Mar 2022'!235:235-"$F;@!/w"</f>
        <v>#VALUE!</v>
      </c>
      <c r="AJ4" t="e">
        <f>'What''s New - Mar 2022'!236:236-"$F;@!/x"</f>
        <v>#VALUE!</v>
      </c>
      <c r="AK4" t="e">
        <f>'What''s New - Mar 2022'!237:237-"$F;@!/y"</f>
        <v>#VALUE!</v>
      </c>
      <c r="AL4" t="e">
        <f>'What''s New - Mar 2022'!238:238-"$F;@!/z"</f>
        <v>#VALUE!</v>
      </c>
      <c r="AM4" t="e">
        <f>'What''s New - Mar 2022'!239:239-"$F;@!/{"</f>
        <v>#VALUE!</v>
      </c>
      <c r="AN4" t="e">
        <f>'What''s New - Mar 2022'!240:240-"$F;@!/|"</f>
        <v>#VALUE!</v>
      </c>
      <c r="AO4" t="e">
        <f>'What''s New - Mar 2022'!241:241-"$F;@!/}"</f>
        <v>#VALUE!</v>
      </c>
      <c r="AP4" t="e">
        <f>'What''s New - Mar 2022'!242:242-"$F;@!/~"</f>
        <v>#VALUE!</v>
      </c>
      <c r="AQ4" t="e">
        <f>'What''s New - Mar 2022'!243:243-"$F;@!0#"</f>
        <v>#VALUE!</v>
      </c>
      <c r="AR4" t="e">
        <f>'What''s New - Mar 2022'!244:244-"$F;@!0$"</f>
        <v>#VALUE!</v>
      </c>
      <c r="AS4" t="e">
        <f>'What''s New - Mar 2022'!245:245-"$F;@!0%"</f>
        <v>#VALUE!</v>
      </c>
      <c r="AT4" t="e">
        <f>'What''s New - Mar 2022'!246:246-"$F;@!0&amp;"</f>
        <v>#VALUE!</v>
      </c>
      <c r="AU4" t="e">
        <f>'What''s New - Mar 2022'!247:247-"$F;@!0'"</f>
        <v>#VALUE!</v>
      </c>
      <c r="AV4" t="e">
        <f>'What''s New - Mar 2022'!248:248-"$F;@!0("</f>
        <v>#VALUE!</v>
      </c>
      <c r="AW4" t="e">
        <f>'What''s New - Mar 2022'!249:249-"$F;@!0)"</f>
        <v>#VALUE!</v>
      </c>
      <c r="AX4" t="e">
        <f>'What''s New - Mar 2022'!250:250-"$F;@!0."</f>
        <v>#VALUE!</v>
      </c>
      <c r="AY4" t="e">
        <f>'What''s New - Mar 2022'!251:251-"$F;@!0/"</f>
        <v>#VALUE!</v>
      </c>
      <c r="AZ4" t="e">
        <f>'What''s New - Mar 2022'!252:252-"$F;@!00"</f>
        <v>#VALUE!</v>
      </c>
      <c r="BA4" t="e">
        <f>'What''s New - Mar 2022'!253:253-"$F;@!01"</f>
        <v>#VALUE!</v>
      </c>
      <c r="BB4" t="e">
        <f>'What''s New - Mar 2022'!254:254-"$F;@!02"</f>
        <v>#VALUE!</v>
      </c>
      <c r="BC4" t="e">
        <f>'What''s New - Mar 2022'!255:255-"$F;@!03"</f>
        <v>#VALUE!</v>
      </c>
      <c r="BD4" t="e">
        <f>'What''s New - Mar 2022'!256:256-"$F;@!04"</f>
        <v>#VALUE!</v>
      </c>
      <c r="BE4" t="e">
        <f>'What''s New - Mar 2022'!257:257-"$F;@!05"</f>
        <v>#VALUE!</v>
      </c>
      <c r="BF4" t="e">
        <f>'What''s New - Mar 2022'!258:258-"$F;@!06"</f>
        <v>#VALUE!</v>
      </c>
      <c r="BG4" t="e">
        <f>'What''s New - Mar 2022'!259:259-"$F;@!07"</f>
        <v>#VALUE!</v>
      </c>
      <c r="BH4" t="e">
        <f>'What''s New - Mar 2022'!260:260-"$F;@!08"</f>
        <v>#VALUE!</v>
      </c>
      <c r="BI4" t="e">
        <f>'What''s New - Mar 2022'!261:261-"$F;@!09"</f>
        <v>#VALUE!</v>
      </c>
      <c r="BJ4" t="e">
        <f>'What''s New - Mar 2022'!262:262-"$F;@!0:"</f>
        <v>#VALUE!</v>
      </c>
      <c r="BK4" t="e">
        <f>'What''s New - Mar 2022'!263:263-"$F;@!0;"</f>
        <v>#VALUE!</v>
      </c>
      <c r="BL4" t="e">
        <f>'What''s New - Mar 2022'!264:264-"$F;@!0&lt;"</f>
        <v>#VALUE!</v>
      </c>
      <c r="BM4" t="e">
        <f>'What''s New - Mar 2022'!265:265-"$F;@!0="</f>
        <v>#VALUE!</v>
      </c>
      <c r="BN4" t="e">
        <f>'What''s New - Mar 2022'!266:266-"$F;@!0&gt;"</f>
        <v>#VALUE!</v>
      </c>
      <c r="BO4" t="e">
        <f>'All regions'!A1+"$F;@!0?"</f>
        <v>#VALUE!</v>
      </c>
      <c r="BP4" t="e">
        <f>'All regions'!B1+"$F;@!0@"</f>
        <v>#VALUE!</v>
      </c>
      <c r="BQ4" t="e">
        <f>'All regions'!C1+"$F;@!0A"</f>
        <v>#VALUE!</v>
      </c>
      <c r="BR4" t="e">
        <f>'All regions'!D1+"$F;@!0B"</f>
        <v>#VALUE!</v>
      </c>
      <c r="BS4" t="e">
        <f>'All regions'!E1+"$F;@!0C"</f>
        <v>#VALUE!</v>
      </c>
      <c r="BT4" t="e">
        <f>'All regions'!F1+"$F;@!0D"</f>
        <v>#VALUE!</v>
      </c>
      <c r="BU4" t="e">
        <f>'All regions'!G1+"$F;@!0E"</f>
        <v>#VALUE!</v>
      </c>
      <c r="BV4" t="e">
        <f>'All regions'!H1+"$F;@!0F"</f>
        <v>#VALUE!</v>
      </c>
      <c r="BW4" t="e">
        <f>'All regions'!I1+"$F;@!0G"</f>
        <v>#VALUE!</v>
      </c>
      <c r="BX4" t="e">
        <f>'All regions'!A2+"$F;@!0H"</f>
        <v>#VALUE!</v>
      </c>
      <c r="BY4" t="e">
        <f>'All regions'!B2+"$F;@!0I"</f>
        <v>#VALUE!</v>
      </c>
      <c r="BZ4" t="e">
        <f>'All regions'!C2+"$F;@!0J"</f>
        <v>#VALUE!</v>
      </c>
      <c r="CA4" t="e">
        <f>'All regions'!D2+"$F;@!0K"</f>
        <v>#VALUE!</v>
      </c>
      <c r="CB4" t="e">
        <f>'All regions'!E2+"$F;@!0L"</f>
        <v>#VALUE!</v>
      </c>
      <c r="CC4" t="e">
        <f>'All regions'!A3+"$F;@!0M"</f>
        <v>#VALUE!</v>
      </c>
      <c r="CD4" t="e">
        <f>'All regions'!B3+"$F;@!0N"</f>
        <v>#VALUE!</v>
      </c>
      <c r="CE4" t="e">
        <f>'All regions'!C3+"$F;@!0O"</f>
        <v>#VALUE!</v>
      </c>
      <c r="CF4" t="e">
        <f>'All regions'!D3+"$F;@!0P"</f>
        <v>#VALUE!</v>
      </c>
      <c r="CG4" t="e">
        <f>'All regions'!E3+"$F;@!0Q"</f>
        <v>#VALUE!</v>
      </c>
      <c r="CH4" t="e">
        <f>'All regions'!A4+"$F;@!0R"</f>
        <v>#VALUE!</v>
      </c>
      <c r="CI4" t="e">
        <f>'All regions'!B4+"$F;@!0S"</f>
        <v>#VALUE!</v>
      </c>
      <c r="CJ4" t="e">
        <f>'All regions'!C4+"$F;@!0T"</f>
        <v>#VALUE!</v>
      </c>
      <c r="CK4" t="e">
        <f>'All regions'!D4+"$F;@!0U"</f>
        <v>#VALUE!</v>
      </c>
      <c r="CL4" t="e">
        <f>'All regions'!E4+"$F;@!0V"</f>
        <v>#VALUE!</v>
      </c>
      <c r="CM4" t="e">
        <f>'All regions'!A5+"$F;@!0W"</f>
        <v>#VALUE!</v>
      </c>
      <c r="CN4" t="e">
        <f>'All regions'!B5+"$F;@!0X"</f>
        <v>#VALUE!</v>
      </c>
      <c r="CO4" t="e">
        <f>'All regions'!C5+"$F;@!0Y"</f>
        <v>#VALUE!</v>
      </c>
      <c r="CP4" t="e">
        <f>'All regions'!D5+"$F;@!0Z"</f>
        <v>#VALUE!</v>
      </c>
      <c r="CQ4" t="e">
        <f>'All regions'!E5+"$F;@!0["</f>
        <v>#VALUE!</v>
      </c>
      <c r="CR4" t="e">
        <f>'All regions'!A6+"$F;@!0\"</f>
        <v>#VALUE!</v>
      </c>
      <c r="CS4" t="e">
        <f>'All regions'!B6+"$F;@!0]"</f>
        <v>#VALUE!</v>
      </c>
      <c r="CT4" t="e">
        <f>'All regions'!C6+"$F;@!0^"</f>
        <v>#VALUE!</v>
      </c>
      <c r="CU4" t="e">
        <f>'All regions'!D6+"$F;@!0_"</f>
        <v>#VALUE!</v>
      </c>
      <c r="CV4" t="e">
        <f>'All regions'!E6+"$F;@!0`"</f>
        <v>#VALUE!</v>
      </c>
      <c r="CW4" t="e">
        <f>'All regions'!A7+"$F;@!0a"</f>
        <v>#VALUE!</v>
      </c>
      <c r="CX4" t="e">
        <f>'All regions'!B7+"$F;@!0b"</f>
        <v>#VALUE!</v>
      </c>
      <c r="CY4" t="e">
        <f>'All regions'!C7+"$F;@!0c"</f>
        <v>#VALUE!</v>
      </c>
      <c r="CZ4" t="e">
        <f>'All regions'!D7+"$F;@!0d"</f>
        <v>#VALUE!</v>
      </c>
      <c r="DA4" t="e">
        <f>'All regions'!E7+"$F;@!0e"</f>
        <v>#VALUE!</v>
      </c>
      <c r="DB4" t="e">
        <f>'All regions'!A8+"$F;@!0f"</f>
        <v>#VALUE!</v>
      </c>
      <c r="DC4" t="e">
        <f>'All regions'!B8+"$F;@!0g"</f>
        <v>#VALUE!</v>
      </c>
      <c r="DD4" t="e">
        <f>'All regions'!C8+"$F;@!0h"</f>
        <v>#VALUE!</v>
      </c>
      <c r="DE4" t="e">
        <f>'All regions'!D8+"$F;@!0i"</f>
        <v>#VALUE!</v>
      </c>
      <c r="DF4" t="e">
        <f>'All regions'!E8+"$F;@!0j"</f>
        <v>#VALUE!</v>
      </c>
      <c r="DG4" t="e">
        <f>'All regions'!F8+"$F;@!0k"</f>
        <v>#VALUE!</v>
      </c>
      <c r="DH4" t="e">
        <f>'All regions'!G8+"$F;@!0l"</f>
        <v>#VALUE!</v>
      </c>
      <c r="DI4" t="e">
        <f>'All regions'!A9+"$F;@!0m"</f>
        <v>#VALUE!</v>
      </c>
      <c r="DJ4" t="e">
        <f>'All regions'!B9+"$F;@!0n"</f>
        <v>#VALUE!</v>
      </c>
      <c r="DK4" t="e">
        <f>'All regions'!C9+"$F;@!0o"</f>
        <v>#VALUE!</v>
      </c>
      <c r="DL4" t="e">
        <f>'All regions'!D9+"$F;@!0p"</f>
        <v>#VALUE!</v>
      </c>
      <c r="DM4" t="e">
        <f>'All regions'!E9+"$F;@!0q"</f>
        <v>#VALUE!</v>
      </c>
      <c r="DN4" t="e">
        <f>'All regions'!A10+"$F;@!0r"</f>
        <v>#VALUE!</v>
      </c>
      <c r="DO4" t="e">
        <f>'All regions'!B10+"$F;@!0s"</f>
        <v>#VALUE!</v>
      </c>
      <c r="DP4" t="e">
        <f>'All regions'!C10+"$F;@!0t"</f>
        <v>#VALUE!</v>
      </c>
      <c r="DQ4" t="e">
        <f>'All regions'!D10+"$F;@!0u"</f>
        <v>#VALUE!</v>
      </c>
      <c r="DR4" t="e">
        <f>'All regions'!E10+"$F;@!0v"</f>
        <v>#VALUE!</v>
      </c>
      <c r="DS4" t="e">
        <f>'All regions'!A11+"$F;@!0w"</f>
        <v>#VALUE!</v>
      </c>
      <c r="DT4" t="e">
        <f>'All regions'!B11+"$F;@!0x"</f>
        <v>#VALUE!</v>
      </c>
      <c r="DU4" t="e">
        <f>'All regions'!C11+"$F;@!0y"</f>
        <v>#VALUE!</v>
      </c>
      <c r="DV4" t="e">
        <f>'All regions'!D11+"$F;@!0z"</f>
        <v>#VALUE!</v>
      </c>
      <c r="DW4" t="e">
        <f>'All regions'!E11+"$F;@!0{"</f>
        <v>#VALUE!</v>
      </c>
      <c r="DX4" t="e">
        <f>'All regions'!A12+"$F;@!0|"</f>
        <v>#VALUE!</v>
      </c>
      <c r="DY4" t="e">
        <f>'All regions'!B12+"$F;@!0}"</f>
        <v>#VALUE!</v>
      </c>
      <c r="DZ4" t="e">
        <f>'All regions'!C12+"$F;@!0~"</f>
        <v>#VALUE!</v>
      </c>
      <c r="EA4" t="e">
        <f>'All regions'!D12+"$F;@!1#"</f>
        <v>#VALUE!</v>
      </c>
      <c r="EB4" t="e">
        <f>'All regions'!E12+"$F;@!1$"</f>
        <v>#VALUE!</v>
      </c>
      <c r="EC4" t="e">
        <f>'All regions'!A13+"$F;@!1%"</f>
        <v>#VALUE!</v>
      </c>
      <c r="ED4" t="e">
        <f>'All regions'!B13+"$F;@!1&amp;"</f>
        <v>#VALUE!</v>
      </c>
      <c r="EE4" t="e">
        <f>'All regions'!C13+"$F;@!1'"</f>
        <v>#VALUE!</v>
      </c>
      <c r="EF4" t="e">
        <f>'All regions'!D13+"$F;@!1("</f>
        <v>#VALUE!</v>
      </c>
      <c r="EG4" t="e">
        <f>'All regions'!E13+"$F;@!1)"</f>
        <v>#VALUE!</v>
      </c>
      <c r="EH4" t="e">
        <f>'All regions'!F13+"$F;@!1."</f>
        <v>#VALUE!</v>
      </c>
      <c r="EI4" t="e">
        <f>'All regions'!G13+"$F;@!1/"</f>
        <v>#VALUE!</v>
      </c>
      <c r="EJ4" t="e">
        <f>'All regions'!H13+"$F;@!10"</f>
        <v>#VALUE!</v>
      </c>
      <c r="EK4" t="e">
        <f>'All regions'!I13+"$F;@!11"</f>
        <v>#VALUE!</v>
      </c>
      <c r="EL4" t="e">
        <f>'All regions'!A14+"$F;@!12"</f>
        <v>#VALUE!</v>
      </c>
      <c r="EM4" t="e">
        <f>'All regions'!B14+"$F;@!13"</f>
        <v>#VALUE!</v>
      </c>
      <c r="EN4" t="e">
        <f>'All regions'!C14+"$F;@!14"</f>
        <v>#VALUE!</v>
      </c>
      <c r="EO4" t="e">
        <f>'All regions'!D14+"$F;@!15"</f>
        <v>#VALUE!</v>
      </c>
      <c r="EP4" t="e">
        <f>'All regions'!E14+"$F;@!16"</f>
        <v>#VALUE!</v>
      </c>
      <c r="EQ4" t="e">
        <f>'All regions'!F14+"$F;@!17"</f>
        <v>#VALUE!</v>
      </c>
      <c r="ER4" t="e">
        <f>'All regions'!G14+"$F;@!18"</f>
        <v>#VALUE!</v>
      </c>
      <c r="ES4" t="e">
        <f>'All regions'!H14+"$F;@!19"</f>
        <v>#VALUE!</v>
      </c>
      <c r="ET4" t="e">
        <f>'All regions'!I14+"$F;@!1:"</f>
        <v>#VALUE!</v>
      </c>
      <c r="EU4" t="e">
        <f>'All regions'!A15+"$F;@!1;"</f>
        <v>#VALUE!</v>
      </c>
      <c r="EV4" t="e">
        <f>'All regions'!B15+"$F;@!1&lt;"</f>
        <v>#VALUE!</v>
      </c>
      <c r="EW4" t="e">
        <f>'All regions'!C15+"$F;@!1="</f>
        <v>#VALUE!</v>
      </c>
      <c r="EX4" t="e">
        <f>'All regions'!D15+"$F;@!1&gt;"</f>
        <v>#VALUE!</v>
      </c>
      <c r="EY4" t="e">
        <f>'All regions'!E15+"$F;@!1?"</f>
        <v>#VALUE!</v>
      </c>
      <c r="EZ4" t="e">
        <f>'All regions'!F15+"$F;@!1@"</f>
        <v>#VALUE!</v>
      </c>
      <c r="FA4" t="e">
        <f>'All regions'!G15+"$F;@!1A"</f>
        <v>#VALUE!</v>
      </c>
      <c r="FB4" t="e">
        <f>'All regions'!H15+"$F;@!1B"</f>
        <v>#VALUE!</v>
      </c>
      <c r="FC4" t="e">
        <f>'All regions'!I15+"$F;@!1C"</f>
        <v>#VALUE!</v>
      </c>
      <c r="FD4" t="e">
        <f>'All regions'!A16+"$F;@!1D"</f>
        <v>#VALUE!</v>
      </c>
      <c r="FE4" t="e">
        <f>'All regions'!B16+"$F;@!1E"</f>
        <v>#VALUE!</v>
      </c>
      <c r="FF4" t="e">
        <f>'All regions'!C16+"$F;@!1F"</f>
        <v>#VALUE!</v>
      </c>
      <c r="FG4" t="e">
        <f>'All regions'!D16+"$F;@!1G"</f>
        <v>#VALUE!</v>
      </c>
      <c r="FH4" t="e">
        <f>'All regions'!E16+"$F;@!1H"</f>
        <v>#VALUE!</v>
      </c>
      <c r="FI4" t="e">
        <f>'All regions'!F16+"$F;@!1I"</f>
        <v>#VALUE!</v>
      </c>
      <c r="FJ4" t="e">
        <f>'All regions'!G16+"$F;@!1J"</f>
        <v>#VALUE!</v>
      </c>
      <c r="FK4" t="e">
        <f>'All regions'!H16+"$F;@!1K"</f>
        <v>#VALUE!</v>
      </c>
      <c r="FL4" t="e">
        <f>'All regions'!I16+"$F;@!1L"</f>
        <v>#VALUE!</v>
      </c>
      <c r="FM4" t="e">
        <f>'All regions'!A17+"$F;@!1M"</f>
        <v>#VALUE!</v>
      </c>
      <c r="FN4" t="e">
        <f>'All regions'!B17+"$F;@!1N"</f>
        <v>#VALUE!</v>
      </c>
      <c r="FO4" t="e">
        <f>'All regions'!C17+"$F;@!1O"</f>
        <v>#VALUE!</v>
      </c>
      <c r="FP4" t="e">
        <f>'All regions'!D17+"$F;@!1P"</f>
        <v>#VALUE!</v>
      </c>
      <c r="FQ4" t="e">
        <f>'All regions'!E17+"$F;@!1Q"</f>
        <v>#VALUE!</v>
      </c>
      <c r="FR4" t="e">
        <f>'All regions'!F17+"$F;@!1R"</f>
        <v>#VALUE!</v>
      </c>
      <c r="FS4" t="e">
        <f>'All regions'!G17+"$F;@!1S"</f>
        <v>#VALUE!</v>
      </c>
      <c r="FT4" t="e">
        <f>'All regions'!H17+"$F;@!1T"</f>
        <v>#VALUE!</v>
      </c>
      <c r="FU4" t="e">
        <f>'All regions'!I17+"$F;@!1U"</f>
        <v>#VALUE!</v>
      </c>
      <c r="FV4" t="e">
        <f>'All regions'!A18+"$F;@!1V"</f>
        <v>#VALUE!</v>
      </c>
      <c r="FW4" t="e">
        <f>'All regions'!B18+"$F;@!1W"</f>
        <v>#VALUE!</v>
      </c>
      <c r="FX4" t="e">
        <f>'All regions'!C18+"$F;@!1X"</f>
        <v>#VALUE!</v>
      </c>
      <c r="FY4" t="e">
        <f>'All regions'!D18+"$F;@!1Y"</f>
        <v>#VALUE!</v>
      </c>
      <c r="FZ4" t="e">
        <f>'All regions'!E18+"$F;@!1Z"</f>
        <v>#VALUE!</v>
      </c>
      <c r="GA4" t="e">
        <f>'All regions'!G18+"$F;@!1["</f>
        <v>#VALUE!</v>
      </c>
      <c r="GB4" t="e">
        <f>'All regions'!H18+"$F;@!1\"</f>
        <v>#VALUE!</v>
      </c>
      <c r="GC4" t="e">
        <f>'All regions'!I18+"$F;@!1]"</f>
        <v>#VALUE!</v>
      </c>
      <c r="GD4" t="e">
        <f>'All regions'!A19+"$F;@!1^"</f>
        <v>#VALUE!</v>
      </c>
      <c r="GE4" t="e">
        <f>'All regions'!B19+"$F;@!1_"</f>
        <v>#VALUE!</v>
      </c>
      <c r="GF4" t="e">
        <f>'All regions'!C19+"$F;@!1`"</f>
        <v>#VALUE!</v>
      </c>
      <c r="GG4" t="e">
        <f>'All regions'!D19+"$F;@!1a"</f>
        <v>#VALUE!</v>
      </c>
      <c r="GH4" t="e">
        <f>'All regions'!E19+"$F;@!1b"</f>
        <v>#VALUE!</v>
      </c>
      <c r="GI4" t="e">
        <f>'All regions'!F19+"$F;@!1c"</f>
        <v>#VALUE!</v>
      </c>
      <c r="GJ4" t="e">
        <f>'All regions'!G19+"$F;@!1d"</f>
        <v>#VALUE!</v>
      </c>
      <c r="GK4" t="e">
        <f>'All regions'!H19+"$F;@!1e"</f>
        <v>#VALUE!</v>
      </c>
      <c r="GL4" t="e">
        <f>'All regions'!I19+"$F;@!1f"</f>
        <v>#VALUE!</v>
      </c>
      <c r="GM4" t="e">
        <f>'All regions'!A20+"$F;@!1g"</f>
        <v>#VALUE!</v>
      </c>
      <c r="GN4" t="e">
        <f>'All regions'!B20+"$F;@!1h"</f>
        <v>#VALUE!</v>
      </c>
      <c r="GO4" t="e">
        <f>'All regions'!C20+"$F;@!1i"</f>
        <v>#VALUE!</v>
      </c>
      <c r="GP4" t="e">
        <f>'All regions'!D20+"$F;@!1j"</f>
        <v>#VALUE!</v>
      </c>
      <c r="GQ4" t="e">
        <f>'All regions'!E20+"$F;@!1k"</f>
        <v>#VALUE!</v>
      </c>
      <c r="GR4" t="e">
        <f>'All regions'!F20+"$F;@!1l"</f>
        <v>#VALUE!</v>
      </c>
      <c r="GS4" t="e">
        <f>'All regions'!G20+"$F;@!1m"</f>
        <v>#VALUE!</v>
      </c>
      <c r="GT4" t="e">
        <f>'All regions'!H20+"$F;@!1n"</f>
        <v>#VALUE!</v>
      </c>
      <c r="GU4" t="e">
        <f>'All regions'!I20+"$F;@!1o"</f>
        <v>#VALUE!</v>
      </c>
      <c r="GV4" t="e">
        <f>'All regions'!A21+"$F;@!1p"</f>
        <v>#VALUE!</v>
      </c>
      <c r="GW4" t="e">
        <f>'All regions'!B21+"$F;@!1q"</f>
        <v>#VALUE!</v>
      </c>
      <c r="GX4" t="e">
        <f>'All regions'!C21+"$F;@!1r"</f>
        <v>#VALUE!</v>
      </c>
      <c r="GY4" t="e">
        <f>'All regions'!D21+"$F;@!1s"</f>
        <v>#VALUE!</v>
      </c>
      <c r="GZ4" t="e">
        <f>'All regions'!E21+"$F;@!1t"</f>
        <v>#VALUE!</v>
      </c>
      <c r="HA4" t="e">
        <f>'All regions'!F21+"$F;@!1u"</f>
        <v>#VALUE!</v>
      </c>
      <c r="HB4" t="e">
        <f>'All regions'!G21+"$F;@!1v"</f>
        <v>#VALUE!</v>
      </c>
      <c r="HC4" t="e">
        <f>'All regions'!H21+"$F;@!1w"</f>
        <v>#VALUE!</v>
      </c>
      <c r="HD4" t="e">
        <f>'All regions'!I21+"$F;@!1x"</f>
        <v>#VALUE!</v>
      </c>
      <c r="HE4" t="e">
        <f>'All regions'!A22+"$F;@!1y"</f>
        <v>#VALUE!</v>
      </c>
      <c r="HF4" t="e">
        <f>'All regions'!B22+"$F;@!1z"</f>
        <v>#VALUE!</v>
      </c>
      <c r="HG4" t="e">
        <f>'All regions'!C22+"$F;@!1{"</f>
        <v>#VALUE!</v>
      </c>
      <c r="HH4" t="e">
        <f>'All regions'!D22+"$F;@!1|"</f>
        <v>#VALUE!</v>
      </c>
      <c r="HI4" t="e">
        <f>'All regions'!E22+"$F;@!1}"</f>
        <v>#VALUE!</v>
      </c>
      <c r="HJ4" t="e">
        <f>'All regions'!F22+"$F;@!1~"</f>
        <v>#VALUE!</v>
      </c>
      <c r="HK4" t="e">
        <f>'All regions'!G22+"$F;@!2#"</f>
        <v>#VALUE!</v>
      </c>
      <c r="HL4" t="e">
        <f>'All regions'!H22+"$F;@!2$"</f>
        <v>#VALUE!</v>
      </c>
      <c r="HM4" t="e">
        <f>'All regions'!I22+"$F;@!2%"</f>
        <v>#VALUE!</v>
      </c>
      <c r="HN4" t="e">
        <f>'All regions'!A23+"$F;@!2&amp;"</f>
        <v>#VALUE!</v>
      </c>
      <c r="HO4" t="e">
        <f>'All regions'!B23+"$F;@!2'"</f>
        <v>#VALUE!</v>
      </c>
      <c r="HP4" t="e">
        <f>'All regions'!C23+"$F;@!2("</f>
        <v>#VALUE!</v>
      </c>
      <c r="HQ4" t="e">
        <f>'All regions'!D23+"$F;@!2)"</f>
        <v>#VALUE!</v>
      </c>
      <c r="HR4" t="e">
        <f>'All regions'!E23+"$F;@!2."</f>
        <v>#VALUE!</v>
      </c>
      <c r="HS4" t="e">
        <f>'All regions'!F23+"$F;@!2/"</f>
        <v>#VALUE!</v>
      </c>
      <c r="HT4" t="e">
        <f>'All regions'!G23+"$F;@!20"</f>
        <v>#VALUE!</v>
      </c>
      <c r="HU4" t="e">
        <f>'All regions'!H23+"$F;@!21"</f>
        <v>#VALUE!</v>
      </c>
      <c r="HV4" t="e">
        <f>'All regions'!I23+"$F;@!22"</f>
        <v>#VALUE!</v>
      </c>
      <c r="HW4" t="e">
        <f>'All regions'!A24+"$F;@!23"</f>
        <v>#VALUE!</v>
      </c>
      <c r="HX4" t="e">
        <f>'All regions'!B24+"$F;@!24"</f>
        <v>#VALUE!</v>
      </c>
      <c r="HY4" t="e">
        <f>'All regions'!C24+"$F;@!25"</f>
        <v>#VALUE!</v>
      </c>
      <c r="HZ4" t="e">
        <f>'All regions'!D24+"$F;@!26"</f>
        <v>#VALUE!</v>
      </c>
      <c r="IA4" t="e">
        <f>'All regions'!E24+"$F;@!27"</f>
        <v>#VALUE!</v>
      </c>
      <c r="IB4" t="e">
        <f>'All regions'!F24+"$F;@!28"</f>
        <v>#VALUE!</v>
      </c>
      <c r="IC4" t="e">
        <f>'All regions'!G24+"$F;@!29"</f>
        <v>#VALUE!</v>
      </c>
      <c r="ID4" t="e">
        <f>'All regions'!H24+"$F;@!2:"</f>
        <v>#VALUE!</v>
      </c>
      <c r="IE4" t="e">
        <f>'All regions'!I24+"$F;@!2;"</f>
        <v>#VALUE!</v>
      </c>
      <c r="IF4" t="e">
        <f>'All regions'!A25+"$F;@!2&lt;"</f>
        <v>#VALUE!</v>
      </c>
      <c r="IG4" t="e">
        <f>'All regions'!B25+"$F;@!2="</f>
        <v>#VALUE!</v>
      </c>
      <c r="IH4" t="e">
        <f>'All regions'!C25+"$F;@!2&gt;"</f>
        <v>#VALUE!</v>
      </c>
      <c r="II4" t="e">
        <f>'All regions'!D25+"$F;@!2?"</f>
        <v>#VALUE!</v>
      </c>
      <c r="IJ4" t="e">
        <f>'All regions'!E25+"$F;@!2@"</f>
        <v>#VALUE!</v>
      </c>
      <c r="IK4" t="e">
        <f>'All regions'!F25+"$F;@!2A"</f>
        <v>#VALUE!</v>
      </c>
      <c r="IL4" t="e">
        <f>'All regions'!G25+"$F;@!2B"</f>
        <v>#VALUE!</v>
      </c>
      <c r="IM4" t="e">
        <f>'All regions'!H25+"$F;@!2C"</f>
        <v>#VALUE!</v>
      </c>
      <c r="IN4" t="e">
        <f>'All regions'!I25+"$F;@!2D"</f>
        <v>#VALUE!</v>
      </c>
      <c r="IO4" t="e">
        <f>'All regions'!A26+"$F;@!2E"</f>
        <v>#VALUE!</v>
      </c>
      <c r="IP4" t="e">
        <f>'All regions'!B26+"$F;@!2F"</f>
        <v>#VALUE!</v>
      </c>
      <c r="IQ4" t="e">
        <f>'All regions'!C26+"$F;@!2G"</f>
        <v>#VALUE!</v>
      </c>
      <c r="IR4" t="e">
        <f>'All regions'!D26+"$F;@!2H"</f>
        <v>#VALUE!</v>
      </c>
      <c r="IS4" t="e">
        <f>'All regions'!E26+"$F;@!2I"</f>
        <v>#VALUE!</v>
      </c>
      <c r="IT4" t="e">
        <f>'All regions'!F26+"$F;@!2J"</f>
        <v>#VALUE!</v>
      </c>
      <c r="IU4" t="e">
        <f>'All regions'!G26+"$F;@!2K"</f>
        <v>#VALUE!</v>
      </c>
      <c r="IV4" t="e">
        <f>'All regions'!H26+"$F;@!2L"</f>
        <v>#VALUE!</v>
      </c>
    </row>
    <row r="5" spans="1:256" x14ac:dyDescent="0.35">
      <c r="F5" t="e">
        <f>'All regions'!I26+"$F;@!2M"</f>
        <v>#VALUE!</v>
      </c>
      <c r="G5" t="e">
        <f>'All regions'!A27+"$F;@!2N"</f>
        <v>#VALUE!</v>
      </c>
      <c r="H5" t="e">
        <f>'All regions'!B27+"$F;@!2O"</f>
        <v>#VALUE!</v>
      </c>
      <c r="I5" t="e">
        <f>'All regions'!C27+"$F;@!2P"</f>
        <v>#VALUE!</v>
      </c>
      <c r="J5" t="e">
        <f>'All regions'!D27+"$F;@!2Q"</f>
        <v>#VALUE!</v>
      </c>
      <c r="K5" t="e">
        <f>'All regions'!E27+"$F;@!2R"</f>
        <v>#VALUE!</v>
      </c>
      <c r="L5" t="e">
        <f>'All regions'!F27+"$F;@!2S"</f>
        <v>#VALUE!</v>
      </c>
      <c r="M5" t="e">
        <f>'All regions'!G27+"$F;@!2T"</f>
        <v>#VALUE!</v>
      </c>
      <c r="N5" t="e">
        <f>'All regions'!H27+"$F;@!2U"</f>
        <v>#VALUE!</v>
      </c>
      <c r="O5" t="e">
        <f>'All regions'!I27+"$F;@!2V"</f>
        <v>#VALUE!</v>
      </c>
      <c r="P5" t="e">
        <f>'All regions'!A28+"$F;@!2W"</f>
        <v>#VALUE!</v>
      </c>
      <c r="Q5" t="e">
        <f>'All regions'!B28+"$F;@!2X"</f>
        <v>#VALUE!</v>
      </c>
      <c r="R5" t="e">
        <f>'All regions'!C28+"$F;@!2Y"</f>
        <v>#VALUE!</v>
      </c>
      <c r="S5" t="e">
        <f>'All regions'!D28+"$F;@!2Z"</f>
        <v>#VALUE!</v>
      </c>
      <c r="T5" t="e">
        <f>'All regions'!E28+"$F;@!2["</f>
        <v>#VALUE!</v>
      </c>
      <c r="U5" t="e">
        <f>'All regions'!F28+"$F;@!2\"</f>
        <v>#VALUE!</v>
      </c>
      <c r="V5" t="e">
        <f>'All regions'!G28+"$F;@!2]"</f>
        <v>#VALUE!</v>
      </c>
      <c r="W5" t="e">
        <f>'All regions'!H28+"$F;@!2^"</f>
        <v>#VALUE!</v>
      </c>
      <c r="X5" t="e">
        <f>'All regions'!I28+"$F;@!2_"</f>
        <v>#VALUE!</v>
      </c>
      <c r="Y5" t="e">
        <f>'All regions'!A29+"$F;@!2`"</f>
        <v>#VALUE!</v>
      </c>
      <c r="Z5" t="e">
        <f>'All regions'!B29+"$F;@!2a"</f>
        <v>#VALUE!</v>
      </c>
      <c r="AA5" t="e">
        <f>'All regions'!C29+"$F;@!2b"</f>
        <v>#VALUE!</v>
      </c>
      <c r="AB5" t="e">
        <f>'All regions'!D29+"$F;@!2c"</f>
        <v>#VALUE!</v>
      </c>
      <c r="AC5" t="e">
        <f>'All regions'!E29+"$F;@!2d"</f>
        <v>#VALUE!</v>
      </c>
      <c r="AD5" t="e">
        <f>'All regions'!F29+"$F;@!2e"</f>
        <v>#VALUE!</v>
      </c>
      <c r="AE5" t="e">
        <f>'All regions'!G29+"$F;@!2f"</f>
        <v>#VALUE!</v>
      </c>
      <c r="AF5" t="e">
        <f>'All regions'!H29+"$F;@!2g"</f>
        <v>#VALUE!</v>
      </c>
      <c r="AG5" t="e">
        <f>'All regions'!I29+"$F;@!2h"</f>
        <v>#VALUE!</v>
      </c>
      <c r="AH5" t="e">
        <f>'All regions'!A30+"$F;@!2i"</f>
        <v>#VALUE!</v>
      </c>
      <c r="AI5" t="e">
        <f>'All regions'!B30+"$F;@!2j"</f>
        <v>#VALUE!</v>
      </c>
      <c r="AJ5" t="e">
        <f>'All regions'!C30+"$F;@!2k"</f>
        <v>#VALUE!</v>
      </c>
      <c r="AK5" t="e">
        <f>'All regions'!D30+"$F;@!2l"</f>
        <v>#VALUE!</v>
      </c>
      <c r="AL5" t="e">
        <f>'All regions'!E30+"$F;@!2m"</f>
        <v>#VALUE!</v>
      </c>
      <c r="AM5" t="e">
        <f>'All regions'!F30+"$F;@!2n"</f>
        <v>#VALUE!</v>
      </c>
      <c r="AN5" t="e">
        <f>'All regions'!G30+"$F;@!2o"</f>
        <v>#VALUE!</v>
      </c>
      <c r="AO5" t="e">
        <f>'All regions'!H30+"$F;@!2p"</f>
        <v>#VALUE!</v>
      </c>
      <c r="AP5" t="e">
        <f>'All regions'!I30+"$F;@!2q"</f>
        <v>#VALUE!</v>
      </c>
      <c r="AQ5" t="e">
        <f>'All regions'!A31+"$F;@!2r"</f>
        <v>#VALUE!</v>
      </c>
      <c r="AR5" t="e">
        <f>'All regions'!B31+"$F;@!2s"</f>
        <v>#VALUE!</v>
      </c>
      <c r="AS5" t="e">
        <f>'All regions'!C31+"$F;@!2t"</f>
        <v>#VALUE!</v>
      </c>
      <c r="AT5" t="e">
        <f>'All regions'!D31+"$F;@!2u"</f>
        <v>#VALUE!</v>
      </c>
      <c r="AU5" t="e">
        <f>'All regions'!E31+"$F;@!2v"</f>
        <v>#VALUE!</v>
      </c>
      <c r="AV5" t="e">
        <f>'All regions'!F31+"$F;@!2w"</f>
        <v>#VALUE!</v>
      </c>
      <c r="AW5" t="e">
        <f>'All regions'!G31+"$F;@!2x"</f>
        <v>#VALUE!</v>
      </c>
      <c r="AX5" t="e">
        <f>'All regions'!H31+"$F;@!2y"</f>
        <v>#VALUE!</v>
      </c>
      <c r="AY5" t="e">
        <f>'All regions'!I31+"$F;@!2z"</f>
        <v>#VALUE!</v>
      </c>
      <c r="AZ5" t="e">
        <f>'All regions'!A32+"$F;@!2{"</f>
        <v>#VALUE!</v>
      </c>
      <c r="BA5" t="e">
        <f>'All regions'!B32+"$F;@!2|"</f>
        <v>#VALUE!</v>
      </c>
      <c r="BB5" t="e">
        <f>'All regions'!C32+"$F;@!2}"</f>
        <v>#VALUE!</v>
      </c>
      <c r="BC5" t="e">
        <f>'All regions'!D32+"$F;@!2~"</f>
        <v>#VALUE!</v>
      </c>
      <c r="BD5" t="e">
        <f>'All regions'!E32+"$F;@!3#"</f>
        <v>#VALUE!</v>
      </c>
      <c r="BE5" t="e">
        <f>'All regions'!F32+"$F;@!3$"</f>
        <v>#VALUE!</v>
      </c>
      <c r="BF5" t="e">
        <f>'All regions'!G32+"$F;@!3%"</f>
        <v>#VALUE!</v>
      </c>
      <c r="BG5" t="e">
        <f>'All regions'!H32+"$F;@!3&amp;"</f>
        <v>#VALUE!</v>
      </c>
      <c r="BH5" t="e">
        <f>'All regions'!I32+"$F;@!3'"</f>
        <v>#VALUE!</v>
      </c>
      <c r="BI5" t="e">
        <f>'All regions'!A33+"$F;@!3("</f>
        <v>#VALUE!</v>
      </c>
      <c r="BJ5" t="e">
        <f>'All regions'!B33+"$F;@!3)"</f>
        <v>#VALUE!</v>
      </c>
      <c r="BK5" t="e">
        <f>'All regions'!C33+"$F;@!3."</f>
        <v>#VALUE!</v>
      </c>
      <c r="BL5" t="e">
        <f>'All regions'!D33+"$F;@!3/"</f>
        <v>#VALUE!</v>
      </c>
      <c r="BM5" t="e">
        <f>'All regions'!E33+"$F;@!30"</f>
        <v>#VALUE!</v>
      </c>
      <c r="BN5" t="e">
        <f>'All regions'!F33+"$F;@!31"</f>
        <v>#VALUE!</v>
      </c>
      <c r="BO5" t="e">
        <f>'All regions'!G33+"$F;@!32"</f>
        <v>#VALUE!</v>
      </c>
      <c r="BP5" t="e">
        <f>'All regions'!H33+"$F;@!33"</f>
        <v>#VALUE!</v>
      </c>
      <c r="BQ5" t="e">
        <f>'All regions'!I33+"$F;@!34"</f>
        <v>#VALUE!</v>
      </c>
      <c r="BR5" t="e">
        <f>'All regions'!A34+"$F;@!35"</f>
        <v>#VALUE!</v>
      </c>
      <c r="BS5" t="e">
        <f>'All regions'!B34+"$F;@!36"</f>
        <v>#VALUE!</v>
      </c>
      <c r="BT5" t="e">
        <f>'All regions'!C34+"$F;@!37"</f>
        <v>#VALUE!</v>
      </c>
      <c r="BU5" t="e">
        <f>'All regions'!D34+"$F;@!38"</f>
        <v>#VALUE!</v>
      </c>
      <c r="BV5" t="e">
        <f>'All regions'!E34+"$F;@!39"</f>
        <v>#VALUE!</v>
      </c>
      <c r="BW5" t="e">
        <f>'All regions'!F34+"$F;@!3:"</f>
        <v>#VALUE!</v>
      </c>
      <c r="BX5" t="e">
        <f>'All regions'!G34+"$F;@!3;"</f>
        <v>#VALUE!</v>
      </c>
      <c r="BY5" t="e">
        <f>'All regions'!H34+"$F;@!3&lt;"</f>
        <v>#VALUE!</v>
      </c>
      <c r="BZ5" t="e">
        <f>'All regions'!I34+"$F;@!3="</f>
        <v>#VALUE!</v>
      </c>
      <c r="CA5" t="e">
        <f>'All regions'!A35+"$F;@!3&gt;"</f>
        <v>#VALUE!</v>
      </c>
      <c r="CB5" t="e">
        <f>'All regions'!B35+"$F;@!3?"</f>
        <v>#VALUE!</v>
      </c>
      <c r="CC5" t="e">
        <f>'All regions'!C35+"$F;@!3@"</f>
        <v>#VALUE!</v>
      </c>
      <c r="CD5" t="e">
        <f>'All regions'!D35+"$F;@!3A"</f>
        <v>#VALUE!</v>
      </c>
      <c r="CE5" t="e">
        <f>'All regions'!E35+"$F;@!3B"</f>
        <v>#VALUE!</v>
      </c>
      <c r="CF5" t="e">
        <f>'All regions'!F35+"$F;@!3C"</f>
        <v>#VALUE!</v>
      </c>
      <c r="CG5" t="e">
        <f>'All regions'!G35+"$F;@!3D"</f>
        <v>#VALUE!</v>
      </c>
      <c r="CH5" t="e">
        <f>'All regions'!H35+"$F;@!3E"</f>
        <v>#VALUE!</v>
      </c>
      <c r="CI5" t="e">
        <f>'All regions'!I35+"$F;@!3F"</f>
        <v>#VALUE!</v>
      </c>
      <c r="CJ5" t="e">
        <f>'All regions'!A36+"$F;@!3G"</f>
        <v>#VALUE!</v>
      </c>
      <c r="CK5" t="e">
        <f>'All regions'!B36+"$F;@!3H"</f>
        <v>#VALUE!</v>
      </c>
      <c r="CL5" t="e">
        <f>'All regions'!C36+"$F;@!3I"</f>
        <v>#VALUE!</v>
      </c>
      <c r="CM5" t="e">
        <f>'All regions'!D36+"$F;@!3J"</f>
        <v>#VALUE!</v>
      </c>
      <c r="CN5" t="e">
        <f>'All regions'!E36+"$F;@!3K"</f>
        <v>#VALUE!</v>
      </c>
      <c r="CO5" t="e">
        <f>'All regions'!F36+"$F;@!3L"</f>
        <v>#VALUE!</v>
      </c>
      <c r="CP5" t="e">
        <f>'All regions'!G36+"$F;@!3M"</f>
        <v>#VALUE!</v>
      </c>
      <c r="CQ5" t="e">
        <f>'All regions'!H36+"$F;@!3N"</f>
        <v>#VALUE!</v>
      </c>
      <c r="CR5" t="e">
        <f>'All regions'!I36+"$F;@!3O"</f>
        <v>#VALUE!</v>
      </c>
      <c r="CS5" t="e">
        <f>'All regions'!A37+"$F;@!3P"</f>
        <v>#VALUE!</v>
      </c>
      <c r="CT5" t="e">
        <f>'All regions'!B37+"$F;@!3Q"</f>
        <v>#VALUE!</v>
      </c>
      <c r="CU5" t="e">
        <f>'All regions'!C37+"$F;@!3R"</f>
        <v>#VALUE!</v>
      </c>
      <c r="CV5" t="e">
        <f>'All regions'!D37+"$F;@!3S"</f>
        <v>#VALUE!</v>
      </c>
      <c r="CW5" t="e">
        <f>'All regions'!E37+"$F;@!3T"</f>
        <v>#VALUE!</v>
      </c>
      <c r="CX5" t="e">
        <f>'All regions'!F37+"$F;@!3U"</f>
        <v>#VALUE!</v>
      </c>
      <c r="CY5" t="e">
        <f>'All regions'!G37+"$F;@!3V"</f>
        <v>#VALUE!</v>
      </c>
      <c r="CZ5" t="e">
        <f>'All regions'!H37+"$F;@!3W"</f>
        <v>#VALUE!</v>
      </c>
      <c r="DA5" t="e">
        <f>'All regions'!I37+"$F;@!3X"</f>
        <v>#VALUE!</v>
      </c>
      <c r="DB5" t="e">
        <f>'All regions'!A38+"$F;@!3Y"</f>
        <v>#VALUE!</v>
      </c>
      <c r="DC5" t="e">
        <f>'All regions'!B38+"$F;@!3Z"</f>
        <v>#VALUE!</v>
      </c>
      <c r="DD5" t="e">
        <f>'All regions'!C38+"$F;@!3["</f>
        <v>#VALUE!</v>
      </c>
      <c r="DE5" t="e">
        <f>'All regions'!D38+"$F;@!3\"</f>
        <v>#VALUE!</v>
      </c>
      <c r="DF5" t="e">
        <f>'All regions'!E38+"$F;@!3]"</f>
        <v>#VALUE!</v>
      </c>
      <c r="DG5" t="e">
        <f>'All regions'!F38+"$F;@!3^"</f>
        <v>#VALUE!</v>
      </c>
      <c r="DH5" t="e">
        <f>'All regions'!G38+"$F;@!3_"</f>
        <v>#VALUE!</v>
      </c>
      <c r="DI5" t="e">
        <f>'All regions'!H38+"$F;@!3`"</f>
        <v>#VALUE!</v>
      </c>
      <c r="DJ5" t="e">
        <f>'All regions'!I38+"$F;@!3a"</f>
        <v>#VALUE!</v>
      </c>
      <c r="DK5" t="e">
        <f>'All regions'!A39+"$F;@!3b"</f>
        <v>#VALUE!</v>
      </c>
      <c r="DL5" t="e">
        <f>'All regions'!B39+"$F;@!3c"</f>
        <v>#VALUE!</v>
      </c>
      <c r="DM5" t="e">
        <f>'All regions'!C39+"$F;@!3d"</f>
        <v>#VALUE!</v>
      </c>
      <c r="DN5" t="e">
        <f>'All regions'!D39+"$F;@!3e"</f>
        <v>#VALUE!</v>
      </c>
      <c r="DO5" t="e">
        <f>'All regions'!E39+"$F;@!3f"</f>
        <v>#VALUE!</v>
      </c>
      <c r="DP5" t="e">
        <f>'All regions'!F39+"$F;@!3g"</f>
        <v>#VALUE!</v>
      </c>
      <c r="DQ5" t="e">
        <f>'All regions'!G39+"$F;@!3h"</f>
        <v>#VALUE!</v>
      </c>
      <c r="DR5" t="e">
        <f>'All regions'!H39+"$F;@!3i"</f>
        <v>#VALUE!</v>
      </c>
      <c r="DS5" t="e">
        <f>'All regions'!I39+"$F;@!3j"</f>
        <v>#VALUE!</v>
      </c>
      <c r="DT5" t="e">
        <f>'All regions'!A40+"$F;@!3k"</f>
        <v>#VALUE!</v>
      </c>
      <c r="DU5" t="e">
        <f>'All regions'!B40+"$F;@!3l"</f>
        <v>#VALUE!</v>
      </c>
      <c r="DV5" t="e">
        <f>'All regions'!C40+"$F;@!3m"</f>
        <v>#VALUE!</v>
      </c>
      <c r="DW5" t="e">
        <f>'All regions'!D40+"$F;@!3n"</f>
        <v>#VALUE!</v>
      </c>
      <c r="DX5" t="e">
        <f>'All regions'!E40+"$F;@!3o"</f>
        <v>#VALUE!</v>
      </c>
      <c r="DY5" t="e">
        <f>'All regions'!F40+"$F;@!3p"</f>
        <v>#VALUE!</v>
      </c>
      <c r="DZ5" t="e">
        <f>'All regions'!G40+"$F;@!3q"</f>
        <v>#VALUE!</v>
      </c>
      <c r="EA5" t="e">
        <f>'All regions'!H40+"$F;@!3r"</f>
        <v>#VALUE!</v>
      </c>
      <c r="EB5" t="e">
        <f>'All regions'!I40+"$F;@!3s"</f>
        <v>#VALUE!</v>
      </c>
      <c r="EC5" t="e">
        <f>'All regions'!A41+"$F;@!3t"</f>
        <v>#VALUE!</v>
      </c>
      <c r="ED5" t="e">
        <f>'All regions'!B41+"$F;@!3u"</f>
        <v>#VALUE!</v>
      </c>
      <c r="EE5" t="e">
        <f>'All regions'!C41+"$F;@!3v"</f>
        <v>#VALUE!</v>
      </c>
      <c r="EF5" t="e">
        <f>'All regions'!D41+"$F;@!3w"</f>
        <v>#VALUE!</v>
      </c>
      <c r="EG5" t="e">
        <f>'All regions'!E41+"$F;@!3x"</f>
        <v>#VALUE!</v>
      </c>
      <c r="EH5" t="e">
        <f>'All regions'!F41+"$F;@!3y"</f>
        <v>#VALUE!</v>
      </c>
      <c r="EI5" t="e">
        <f>'All regions'!G41+"$F;@!3z"</f>
        <v>#VALUE!</v>
      </c>
      <c r="EJ5" t="e">
        <f>'All regions'!H41+"$F;@!3{"</f>
        <v>#VALUE!</v>
      </c>
      <c r="EK5" t="e">
        <f>'All regions'!I41+"$F;@!3|"</f>
        <v>#VALUE!</v>
      </c>
      <c r="EL5" t="e">
        <f>'All regions'!A42+"$F;@!3}"</f>
        <v>#VALUE!</v>
      </c>
      <c r="EM5" t="e">
        <f>'All regions'!B42+"$F;@!3~"</f>
        <v>#VALUE!</v>
      </c>
      <c r="EN5" t="e">
        <f>'All regions'!C42+"$F;@!4#"</f>
        <v>#VALUE!</v>
      </c>
      <c r="EO5" t="e">
        <f>'All regions'!D42+"$F;@!4$"</f>
        <v>#VALUE!</v>
      </c>
      <c r="EP5" t="e">
        <f>'All regions'!E42+"$F;@!4%"</f>
        <v>#VALUE!</v>
      </c>
      <c r="EQ5" t="e">
        <f>'All regions'!F42+"$F;@!4&amp;"</f>
        <v>#VALUE!</v>
      </c>
      <c r="ER5" t="e">
        <f>'All regions'!G42+"$F;@!4'"</f>
        <v>#VALUE!</v>
      </c>
      <c r="ES5" t="e">
        <f>'All regions'!H42+"$F;@!4("</f>
        <v>#VALUE!</v>
      </c>
      <c r="ET5" t="e">
        <f>'All regions'!I42+"$F;@!4)"</f>
        <v>#VALUE!</v>
      </c>
      <c r="EU5" t="e">
        <f>'All regions'!A43+"$F;@!4."</f>
        <v>#VALUE!</v>
      </c>
      <c r="EV5" t="e">
        <f>'All regions'!B43+"$F;@!4/"</f>
        <v>#VALUE!</v>
      </c>
      <c r="EW5" t="e">
        <f>'All regions'!C43+"$F;@!40"</f>
        <v>#VALUE!</v>
      </c>
      <c r="EX5" t="e">
        <f>'All regions'!D43+"$F;@!41"</f>
        <v>#VALUE!</v>
      </c>
      <c r="EY5" t="e">
        <f>'All regions'!E43+"$F;@!42"</f>
        <v>#VALUE!</v>
      </c>
      <c r="EZ5" t="e">
        <f>'All regions'!F43+"$F;@!43"</f>
        <v>#VALUE!</v>
      </c>
      <c r="FA5" t="e">
        <f>'All regions'!G43+"$F;@!44"</f>
        <v>#VALUE!</v>
      </c>
      <c r="FB5" t="e">
        <f>'All regions'!H43+"$F;@!45"</f>
        <v>#VALUE!</v>
      </c>
      <c r="FC5" t="e">
        <f>'All regions'!I43+"$F;@!46"</f>
        <v>#VALUE!</v>
      </c>
      <c r="FD5" t="e">
        <f>'All regions'!A44+"$F;@!47"</f>
        <v>#VALUE!</v>
      </c>
      <c r="FE5" t="e">
        <f>'All regions'!B44+"$F;@!48"</f>
        <v>#VALUE!</v>
      </c>
      <c r="FF5" t="e">
        <f>'All regions'!C44+"$F;@!49"</f>
        <v>#VALUE!</v>
      </c>
      <c r="FG5" t="e">
        <f>'All regions'!D44+"$F;@!4:"</f>
        <v>#VALUE!</v>
      </c>
      <c r="FH5" t="e">
        <f>'All regions'!E44+"$F;@!4;"</f>
        <v>#VALUE!</v>
      </c>
      <c r="FI5" t="e">
        <f>'All regions'!F44+"$F;@!4&lt;"</f>
        <v>#VALUE!</v>
      </c>
      <c r="FJ5" t="e">
        <f>'All regions'!G44+"$F;@!4="</f>
        <v>#VALUE!</v>
      </c>
      <c r="FK5" t="e">
        <f>'All regions'!H44+"$F;@!4&gt;"</f>
        <v>#VALUE!</v>
      </c>
      <c r="FL5" t="e">
        <f>'All regions'!I44+"$F;@!4?"</f>
        <v>#VALUE!</v>
      </c>
      <c r="FM5" t="e">
        <f>'All regions'!A45+"$F;@!4@"</f>
        <v>#VALUE!</v>
      </c>
      <c r="FN5" t="e">
        <f>'All regions'!B45+"$F;@!4A"</f>
        <v>#VALUE!</v>
      </c>
      <c r="FO5" t="e">
        <f>'All regions'!C45+"$F;@!4B"</f>
        <v>#VALUE!</v>
      </c>
      <c r="FP5" t="e">
        <f>'All regions'!D45+"$F;@!4C"</f>
        <v>#VALUE!</v>
      </c>
      <c r="FQ5" t="e">
        <f>'All regions'!E45+"$F;@!4D"</f>
        <v>#VALUE!</v>
      </c>
      <c r="FR5" t="e">
        <f>'All regions'!H45+"$F;@!4E"</f>
        <v>#VALUE!</v>
      </c>
      <c r="FS5" t="e">
        <f>'All regions'!I45+"$F;@!4F"</f>
        <v>#VALUE!</v>
      </c>
      <c r="FT5" t="e">
        <f>'All regions'!A46+"$F;@!4G"</f>
        <v>#VALUE!</v>
      </c>
      <c r="FU5" t="e">
        <f>'All regions'!B46+"$F;@!4H"</f>
        <v>#VALUE!</v>
      </c>
      <c r="FV5" t="e">
        <f>'All regions'!C46+"$F;@!4I"</f>
        <v>#VALUE!</v>
      </c>
      <c r="FW5" t="e">
        <f>'All regions'!D46+"$F;@!4J"</f>
        <v>#VALUE!</v>
      </c>
      <c r="FX5" t="e">
        <f>'All regions'!E46+"$F;@!4K"</f>
        <v>#VALUE!</v>
      </c>
      <c r="FY5" t="e">
        <f>'All regions'!F46+"$F;@!4L"</f>
        <v>#VALUE!</v>
      </c>
      <c r="FZ5" t="e">
        <f>'All regions'!G46+"$F;@!4M"</f>
        <v>#VALUE!</v>
      </c>
      <c r="GA5" t="e">
        <f>'All regions'!H46+"$F;@!4N"</f>
        <v>#VALUE!</v>
      </c>
      <c r="GB5" t="e">
        <f>'All regions'!I46+"$F;@!4O"</f>
        <v>#VALUE!</v>
      </c>
      <c r="GC5" t="e">
        <f>'All regions'!A47+"$F;@!4P"</f>
        <v>#VALUE!</v>
      </c>
      <c r="GD5" t="e">
        <f>'All regions'!B47+"$F;@!4Q"</f>
        <v>#VALUE!</v>
      </c>
      <c r="GE5" t="e">
        <f>'All regions'!C47+"$F;@!4R"</f>
        <v>#VALUE!</v>
      </c>
      <c r="GF5" t="e">
        <f>'All regions'!D47+"$F;@!4S"</f>
        <v>#VALUE!</v>
      </c>
      <c r="GG5" t="e">
        <f>'All regions'!E47+"$F;@!4T"</f>
        <v>#VALUE!</v>
      </c>
      <c r="GH5" t="e">
        <f>'All regions'!F47+"$F;@!4U"</f>
        <v>#VALUE!</v>
      </c>
      <c r="GI5" t="e">
        <f>'All regions'!G47+"$F;@!4V"</f>
        <v>#VALUE!</v>
      </c>
      <c r="GJ5" t="e">
        <f>'All regions'!H47+"$F;@!4W"</f>
        <v>#VALUE!</v>
      </c>
      <c r="GK5" t="e">
        <f>'All regions'!I47+"$F;@!4X"</f>
        <v>#VALUE!</v>
      </c>
      <c r="GL5" t="e">
        <f>'All regions'!A48+"$F;@!4Y"</f>
        <v>#VALUE!</v>
      </c>
      <c r="GM5" t="e">
        <f>'All regions'!B48+"$F;@!4Z"</f>
        <v>#VALUE!</v>
      </c>
      <c r="GN5" t="e">
        <f>'All regions'!C48+"$F;@!4["</f>
        <v>#VALUE!</v>
      </c>
      <c r="GO5" t="e">
        <f>'All regions'!D48+"$F;@!4\"</f>
        <v>#VALUE!</v>
      </c>
      <c r="GP5" t="e">
        <f>'All regions'!E48+"$F;@!4]"</f>
        <v>#VALUE!</v>
      </c>
      <c r="GQ5" t="e">
        <f>'All regions'!F48+"$F;@!4^"</f>
        <v>#VALUE!</v>
      </c>
      <c r="GR5" t="e">
        <f>'All regions'!G48+"$F;@!4_"</f>
        <v>#VALUE!</v>
      </c>
      <c r="GS5" t="e">
        <f>'All regions'!H48+"$F;@!4`"</f>
        <v>#VALUE!</v>
      </c>
      <c r="GT5" t="e">
        <f>'All regions'!I48+"$F;@!4a"</f>
        <v>#VALUE!</v>
      </c>
      <c r="GU5" t="e">
        <f>'All regions'!A49+"$F;@!4b"</f>
        <v>#VALUE!</v>
      </c>
      <c r="GV5" t="e">
        <f>'All regions'!B49+"$F;@!4c"</f>
        <v>#VALUE!</v>
      </c>
      <c r="GW5" t="e">
        <f>'All regions'!C49+"$F;@!4d"</f>
        <v>#VALUE!</v>
      </c>
      <c r="GX5" t="e">
        <f>'All regions'!D49+"$F;@!4e"</f>
        <v>#VALUE!</v>
      </c>
      <c r="GY5" t="e">
        <f>'All regions'!E49+"$F;@!4f"</f>
        <v>#VALUE!</v>
      </c>
      <c r="GZ5" t="e">
        <f>'All regions'!F49+"$F;@!4g"</f>
        <v>#VALUE!</v>
      </c>
      <c r="HA5" t="e">
        <f>'All regions'!G49+"$F;@!4h"</f>
        <v>#VALUE!</v>
      </c>
      <c r="HB5" t="e">
        <f>'All regions'!H49+"$F;@!4i"</f>
        <v>#VALUE!</v>
      </c>
      <c r="HC5" t="e">
        <f>'All regions'!I49+"$F;@!4j"</f>
        <v>#VALUE!</v>
      </c>
      <c r="HD5" t="e">
        <f>'All regions'!A50+"$F;@!4k"</f>
        <v>#VALUE!</v>
      </c>
      <c r="HE5" t="e">
        <f>'All regions'!B50+"$F;@!4l"</f>
        <v>#VALUE!</v>
      </c>
      <c r="HF5" t="e">
        <f>'All regions'!C50+"$F;@!4m"</f>
        <v>#VALUE!</v>
      </c>
      <c r="HG5" t="e">
        <f>'All regions'!D50+"$F;@!4n"</f>
        <v>#VALUE!</v>
      </c>
      <c r="HH5" t="e">
        <f>'All regions'!E50+"$F;@!4o"</f>
        <v>#VALUE!</v>
      </c>
      <c r="HI5" t="e">
        <f>'All regions'!F50+"$F;@!4p"</f>
        <v>#VALUE!</v>
      </c>
      <c r="HJ5" t="e">
        <f>'All regions'!G50+"$F;@!4q"</f>
        <v>#VALUE!</v>
      </c>
      <c r="HK5" t="e">
        <f>'All regions'!H50+"$F;@!4r"</f>
        <v>#VALUE!</v>
      </c>
      <c r="HL5" t="e">
        <f>'All regions'!I50+"$F;@!4s"</f>
        <v>#VALUE!</v>
      </c>
      <c r="HM5" t="e">
        <f>'All regions'!A51+"$F;@!4t"</f>
        <v>#VALUE!</v>
      </c>
      <c r="HN5" t="e">
        <f>'All regions'!B51+"$F;@!4u"</f>
        <v>#VALUE!</v>
      </c>
      <c r="HO5" t="e">
        <f>'All regions'!C51+"$F;@!4v"</f>
        <v>#VALUE!</v>
      </c>
      <c r="HP5" t="e">
        <f>'All regions'!D51+"$F;@!4w"</f>
        <v>#VALUE!</v>
      </c>
      <c r="HQ5" t="e">
        <f>'All regions'!E51+"$F;@!4x"</f>
        <v>#VALUE!</v>
      </c>
      <c r="HR5" t="e">
        <f>'All regions'!F51+"$F;@!4y"</f>
        <v>#VALUE!</v>
      </c>
      <c r="HS5" t="e">
        <f>'All regions'!G51+"$F;@!4z"</f>
        <v>#VALUE!</v>
      </c>
      <c r="HT5" t="e">
        <f>'All regions'!H51+"$F;@!4{"</f>
        <v>#VALUE!</v>
      </c>
      <c r="HU5" t="e">
        <f>'All regions'!I51+"$F;@!4|"</f>
        <v>#VALUE!</v>
      </c>
      <c r="HV5" t="e">
        <f>'All regions'!A52+"$F;@!4}"</f>
        <v>#VALUE!</v>
      </c>
      <c r="HW5" t="e">
        <f>'All regions'!B52+"$F;@!4~"</f>
        <v>#VALUE!</v>
      </c>
      <c r="HX5" t="e">
        <f>'All regions'!C52+"$F;@!5#"</f>
        <v>#VALUE!</v>
      </c>
      <c r="HY5" t="e">
        <f>'All regions'!D52+"$F;@!5$"</f>
        <v>#VALUE!</v>
      </c>
      <c r="HZ5" t="e">
        <f>'All regions'!E52+"$F;@!5%"</f>
        <v>#VALUE!</v>
      </c>
      <c r="IA5" t="e">
        <f>'All regions'!F52+"$F;@!5&amp;"</f>
        <v>#VALUE!</v>
      </c>
      <c r="IB5" t="e">
        <f>'All regions'!G52+"$F;@!5'"</f>
        <v>#VALUE!</v>
      </c>
      <c r="IC5" t="e">
        <f>'All regions'!H52+"$F;@!5("</f>
        <v>#VALUE!</v>
      </c>
      <c r="ID5" t="e">
        <f>'All regions'!I52+"$F;@!5)"</f>
        <v>#VALUE!</v>
      </c>
      <c r="IE5" t="e">
        <f>'All regions'!A55+"$F;@!5."</f>
        <v>#VALUE!</v>
      </c>
      <c r="IF5" t="e">
        <f>'All regions'!B55+"$F;@!5/"</f>
        <v>#VALUE!</v>
      </c>
      <c r="IG5" t="e">
        <f>'All regions'!C55+"$F;@!50"</f>
        <v>#VALUE!</v>
      </c>
      <c r="IH5" t="e">
        <f>'All regions'!D55+"$F;@!51"</f>
        <v>#VALUE!</v>
      </c>
      <c r="II5" t="e">
        <f>'All regions'!E55+"$F;@!52"</f>
        <v>#VALUE!</v>
      </c>
      <c r="IJ5" t="e">
        <f>'All regions'!F55+"$F;@!53"</f>
        <v>#VALUE!</v>
      </c>
      <c r="IK5" t="e">
        <f>'All regions'!G55+"$F;@!54"</f>
        <v>#VALUE!</v>
      </c>
      <c r="IL5" t="e">
        <f>'All regions'!H55+"$F;@!55"</f>
        <v>#VALUE!</v>
      </c>
      <c r="IM5" t="e">
        <f>'All regions'!I55+"$F;@!56"</f>
        <v>#VALUE!</v>
      </c>
      <c r="IN5" t="e">
        <f>'All regions'!A56+"$F;@!57"</f>
        <v>#VALUE!</v>
      </c>
      <c r="IO5" t="e">
        <f>'All regions'!B56+"$F;@!58"</f>
        <v>#VALUE!</v>
      </c>
      <c r="IP5" t="e">
        <f>'All regions'!C56+"$F;@!59"</f>
        <v>#VALUE!</v>
      </c>
      <c r="IQ5" t="e">
        <f>'All regions'!D56+"$F;@!5:"</f>
        <v>#VALUE!</v>
      </c>
      <c r="IR5" t="e">
        <f>'All regions'!E56+"$F;@!5;"</f>
        <v>#VALUE!</v>
      </c>
      <c r="IS5" t="e">
        <f>'All regions'!F56+"$F;@!5&lt;"</f>
        <v>#VALUE!</v>
      </c>
      <c r="IT5" t="e">
        <f>'All regions'!G56+"$F;@!5="</f>
        <v>#VALUE!</v>
      </c>
      <c r="IU5" t="e">
        <f>'All regions'!H56+"$F;@!5&gt;"</f>
        <v>#VALUE!</v>
      </c>
      <c r="IV5" t="e">
        <f>'All regions'!I56+"$F;@!5?"</f>
        <v>#VALUE!</v>
      </c>
    </row>
    <row r="6" spans="1:256" x14ac:dyDescent="0.35">
      <c r="F6" t="e">
        <f>'All regions'!A57+"$F;@!5@"</f>
        <v>#VALUE!</v>
      </c>
      <c r="G6" t="e">
        <f>'All regions'!B57+"$F;@!5A"</f>
        <v>#VALUE!</v>
      </c>
      <c r="H6" t="e">
        <f>'All regions'!C57+"$F;@!5B"</f>
        <v>#VALUE!</v>
      </c>
      <c r="I6" t="e">
        <f>'All regions'!D57+"$F;@!5C"</f>
        <v>#VALUE!</v>
      </c>
      <c r="J6" t="e">
        <f>'All regions'!E57+"$F;@!5D"</f>
        <v>#VALUE!</v>
      </c>
      <c r="K6" t="e">
        <f>'All regions'!F57+"$F;@!5E"</f>
        <v>#VALUE!</v>
      </c>
      <c r="L6" t="e">
        <f>'All regions'!G57+"$F;@!5F"</f>
        <v>#VALUE!</v>
      </c>
      <c r="M6" t="e">
        <f>'All regions'!H57+"$F;@!5G"</f>
        <v>#VALUE!</v>
      </c>
      <c r="N6" t="e">
        <f>'All regions'!I57+"$F;@!5H"</f>
        <v>#VALUE!</v>
      </c>
      <c r="O6" t="e">
        <f>'All regions'!A58+"$F;@!5I"</f>
        <v>#VALUE!</v>
      </c>
      <c r="P6" t="e">
        <f>'All regions'!B58+"$F;@!5J"</f>
        <v>#VALUE!</v>
      </c>
      <c r="Q6" t="e">
        <f>'All regions'!C58+"$F;@!5K"</f>
        <v>#VALUE!</v>
      </c>
      <c r="R6" t="e">
        <f>'All regions'!D58+"$F;@!5L"</f>
        <v>#VALUE!</v>
      </c>
      <c r="S6" t="e">
        <f>'All regions'!E58+"$F;@!5M"</f>
        <v>#VALUE!</v>
      </c>
      <c r="T6" t="e">
        <f>'All regions'!F58+"$F;@!5N"</f>
        <v>#VALUE!</v>
      </c>
      <c r="U6" t="e">
        <f>'All regions'!G58+"$F;@!5O"</f>
        <v>#VALUE!</v>
      </c>
      <c r="V6" t="e">
        <f>'All regions'!H58+"$F;@!5P"</f>
        <v>#VALUE!</v>
      </c>
      <c r="W6" t="e">
        <f>'All regions'!I58+"$F;@!5Q"</f>
        <v>#VALUE!</v>
      </c>
      <c r="X6" t="e">
        <f>'All regions'!A59+"$F;@!5R"</f>
        <v>#VALUE!</v>
      </c>
      <c r="Y6" t="e">
        <f>'All regions'!B59+"$F;@!5S"</f>
        <v>#VALUE!</v>
      </c>
      <c r="Z6" t="e">
        <f>'All regions'!C59+"$F;@!5T"</f>
        <v>#VALUE!</v>
      </c>
      <c r="AA6" t="e">
        <f>'All regions'!D59+"$F;@!5U"</f>
        <v>#VALUE!</v>
      </c>
      <c r="AB6" t="e">
        <f>'All regions'!E59+"$F;@!5V"</f>
        <v>#VALUE!</v>
      </c>
      <c r="AC6" t="e">
        <f>'All regions'!F59+"$F;@!5W"</f>
        <v>#VALUE!</v>
      </c>
      <c r="AD6" t="e">
        <f>'All regions'!G59+"$F;@!5X"</f>
        <v>#VALUE!</v>
      </c>
      <c r="AE6" t="e">
        <f>'All regions'!H59+"$F;@!5Y"</f>
        <v>#VALUE!</v>
      </c>
      <c r="AF6" t="e">
        <f>'All regions'!I59+"$F;@!5Z"</f>
        <v>#VALUE!</v>
      </c>
      <c r="AG6" t="e">
        <f>'All regions'!A60+"$F;@!5["</f>
        <v>#VALUE!</v>
      </c>
      <c r="AH6" t="e">
        <f>'All regions'!B60+"$F;@!5\"</f>
        <v>#VALUE!</v>
      </c>
      <c r="AI6" t="e">
        <f>'All regions'!C60+"$F;@!5]"</f>
        <v>#VALUE!</v>
      </c>
      <c r="AJ6" t="e">
        <f>'All regions'!D60+"$F;@!5^"</f>
        <v>#VALUE!</v>
      </c>
      <c r="AK6" t="e">
        <f>'All regions'!E60+"$F;@!5_"</f>
        <v>#VALUE!</v>
      </c>
      <c r="AL6" t="e">
        <f>'All regions'!F60+"$F;@!5`"</f>
        <v>#VALUE!</v>
      </c>
      <c r="AM6" t="e">
        <f>'All regions'!G60+"$F;@!5a"</f>
        <v>#VALUE!</v>
      </c>
      <c r="AN6" t="e">
        <f>'All regions'!H60+"$F;@!5b"</f>
        <v>#VALUE!</v>
      </c>
      <c r="AO6" t="e">
        <f>'All regions'!I60+"$F;@!5c"</f>
        <v>#VALUE!</v>
      </c>
      <c r="AP6" t="e">
        <f>'All regions'!A61+"$F;@!5d"</f>
        <v>#VALUE!</v>
      </c>
      <c r="AQ6" t="e">
        <f>'All regions'!B61+"$F;@!5e"</f>
        <v>#VALUE!</v>
      </c>
      <c r="AR6" t="e">
        <f>'All regions'!C61+"$F;@!5f"</f>
        <v>#VALUE!</v>
      </c>
      <c r="AS6" t="e">
        <f>'All regions'!D61+"$F;@!5g"</f>
        <v>#VALUE!</v>
      </c>
      <c r="AT6" t="e">
        <f>'All regions'!E61+"$F;@!5h"</f>
        <v>#VALUE!</v>
      </c>
      <c r="AU6" t="e">
        <f>'All regions'!F61+"$F;@!5i"</f>
        <v>#VALUE!</v>
      </c>
      <c r="AV6" t="e">
        <f>'All regions'!G61+"$F;@!5j"</f>
        <v>#VALUE!</v>
      </c>
      <c r="AW6" t="e">
        <f>'All regions'!H61+"$F;@!5k"</f>
        <v>#VALUE!</v>
      </c>
      <c r="AX6" t="e">
        <f>'All regions'!I61+"$F;@!5l"</f>
        <v>#VALUE!</v>
      </c>
      <c r="AY6" t="e">
        <f>'All regions'!A62+"$F;@!5m"</f>
        <v>#VALUE!</v>
      </c>
      <c r="AZ6" t="e">
        <f>'All regions'!B62+"$F;@!5n"</f>
        <v>#VALUE!</v>
      </c>
      <c r="BA6" t="e">
        <f>'All regions'!C62+"$F;@!5o"</f>
        <v>#VALUE!</v>
      </c>
      <c r="BB6" t="e">
        <f>'All regions'!D62+"$F;@!5p"</f>
        <v>#VALUE!</v>
      </c>
      <c r="BC6" t="e">
        <f>'All regions'!E62+"$F;@!5q"</f>
        <v>#VALUE!</v>
      </c>
      <c r="BD6" t="e">
        <f>'All regions'!F62+"$F;@!5r"</f>
        <v>#VALUE!</v>
      </c>
      <c r="BE6" t="e">
        <f>'All regions'!G62+"$F;@!5s"</f>
        <v>#VALUE!</v>
      </c>
      <c r="BF6" t="e">
        <f>'All regions'!H62+"$F;@!5t"</f>
        <v>#VALUE!</v>
      </c>
      <c r="BG6" t="e">
        <f>'All regions'!I62+"$F;@!5u"</f>
        <v>#VALUE!</v>
      </c>
      <c r="BH6" t="e">
        <f>'All regions'!A63+"$F;@!5v"</f>
        <v>#VALUE!</v>
      </c>
      <c r="BI6" t="e">
        <f>'All regions'!B63+"$F;@!5w"</f>
        <v>#VALUE!</v>
      </c>
      <c r="BJ6" t="e">
        <f>'All regions'!C63+"$F;@!5x"</f>
        <v>#VALUE!</v>
      </c>
      <c r="BK6" t="e">
        <f>'All regions'!D63+"$F;@!5y"</f>
        <v>#VALUE!</v>
      </c>
      <c r="BL6" t="e">
        <f>'All regions'!E63+"$F;@!5z"</f>
        <v>#VALUE!</v>
      </c>
      <c r="BM6" t="e">
        <f>'All regions'!F63+"$F;@!5{"</f>
        <v>#VALUE!</v>
      </c>
      <c r="BN6" t="e">
        <f>'All regions'!G63+"$F;@!5|"</f>
        <v>#VALUE!</v>
      </c>
      <c r="BO6" t="e">
        <f>'All regions'!H63+"$F;@!5}"</f>
        <v>#VALUE!</v>
      </c>
      <c r="BP6" t="e">
        <f>'All regions'!I63+"$F;@!5~"</f>
        <v>#VALUE!</v>
      </c>
      <c r="BQ6" t="e">
        <f>'All regions'!A64+"$F;@!6#"</f>
        <v>#VALUE!</v>
      </c>
      <c r="BR6" t="e">
        <f>'All regions'!B64+"$F;@!6$"</f>
        <v>#VALUE!</v>
      </c>
      <c r="BS6" t="e">
        <f>'All regions'!C64+"$F;@!6%"</f>
        <v>#VALUE!</v>
      </c>
      <c r="BT6" t="e">
        <f>'All regions'!D64+"$F;@!6&amp;"</f>
        <v>#VALUE!</v>
      </c>
      <c r="BU6" t="e">
        <f>'All regions'!E64+"$F;@!6'"</f>
        <v>#VALUE!</v>
      </c>
      <c r="BV6" t="e">
        <f>'All regions'!F64+"$F;@!6("</f>
        <v>#VALUE!</v>
      </c>
      <c r="BW6" t="e">
        <f>'All regions'!G64+"$F;@!6)"</f>
        <v>#VALUE!</v>
      </c>
      <c r="BX6" t="e">
        <f>'All regions'!H64+"$F;@!6."</f>
        <v>#VALUE!</v>
      </c>
      <c r="BY6" t="e">
        <f>'All regions'!I64+"$F;@!6/"</f>
        <v>#VALUE!</v>
      </c>
      <c r="BZ6" t="e">
        <f>'All regions'!A65+"$F;@!60"</f>
        <v>#VALUE!</v>
      </c>
      <c r="CA6" t="e">
        <f>'All regions'!B65+"$F;@!61"</f>
        <v>#VALUE!</v>
      </c>
      <c r="CB6" t="e">
        <f>'All regions'!C65+"$F;@!62"</f>
        <v>#VALUE!</v>
      </c>
      <c r="CC6" t="e">
        <f>'All regions'!D65+"$F;@!63"</f>
        <v>#VALUE!</v>
      </c>
      <c r="CD6" t="e">
        <f>'All regions'!E65+"$F;@!64"</f>
        <v>#VALUE!</v>
      </c>
      <c r="CE6" t="e">
        <f>'All regions'!F65+"$F;@!65"</f>
        <v>#VALUE!</v>
      </c>
      <c r="CF6" t="e">
        <f>'All regions'!G65+"$F;@!66"</f>
        <v>#VALUE!</v>
      </c>
      <c r="CG6" t="e">
        <f>'All regions'!H65+"$F;@!67"</f>
        <v>#VALUE!</v>
      </c>
      <c r="CH6" t="e">
        <f>'All regions'!I65+"$F;@!68"</f>
        <v>#VALUE!</v>
      </c>
      <c r="CI6" t="e">
        <f>'All regions'!A66+"$F;@!69"</f>
        <v>#VALUE!</v>
      </c>
      <c r="CJ6" t="e">
        <f>'All regions'!B66+"$F;@!6:"</f>
        <v>#VALUE!</v>
      </c>
      <c r="CK6" t="e">
        <f>'All regions'!C66+"$F;@!6;"</f>
        <v>#VALUE!</v>
      </c>
      <c r="CL6" t="e">
        <f>'All regions'!D66+"$F;@!6&lt;"</f>
        <v>#VALUE!</v>
      </c>
      <c r="CM6" t="e">
        <f>'All regions'!E66+"$F;@!6="</f>
        <v>#VALUE!</v>
      </c>
      <c r="CN6" t="e">
        <f>'All regions'!F66+"$F;@!6&gt;"</f>
        <v>#VALUE!</v>
      </c>
      <c r="CO6" t="e">
        <f>'All regions'!G66+"$F;@!6?"</f>
        <v>#VALUE!</v>
      </c>
      <c r="CP6" t="e">
        <f>'All regions'!H66+"$F;@!6@"</f>
        <v>#VALUE!</v>
      </c>
      <c r="CQ6" t="e">
        <f>'All regions'!I66+"$F;@!6A"</f>
        <v>#VALUE!</v>
      </c>
      <c r="CR6" t="e">
        <f>'All regions'!A67+"$F;@!6B"</f>
        <v>#VALUE!</v>
      </c>
      <c r="CS6" t="e">
        <f>'All regions'!B67+"$F;@!6C"</f>
        <v>#VALUE!</v>
      </c>
      <c r="CT6" t="e">
        <f>'All regions'!C67+"$F;@!6D"</f>
        <v>#VALUE!</v>
      </c>
      <c r="CU6" t="e">
        <f>'All regions'!D67+"$F;@!6E"</f>
        <v>#VALUE!</v>
      </c>
      <c r="CV6" t="e">
        <f>'All regions'!E67+"$F;@!6F"</f>
        <v>#VALUE!</v>
      </c>
      <c r="CW6" t="e">
        <f>'All regions'!F67+"$F;@!6G"</f>
        <v>#VALUE!</v>
      </c>
      <c r="CX6" t="e">
        <f>'All regions'!G67+"$F;@!6H"</f>
        <v>#VALUE!</v>
      </c>
      <c r="CY6" t="e">
        <f>'All regions'!H67+"$F;@!6I"</f>
        <v>#VALUE!</v>
      </c>
      <c r="CZ6" t="e">
        <f>'All regions'!I67+"$F;@!6J"</f>
        <v>#VALUE!</v>
      </c>
      <c r="DA6" t="e">
        <f>'All regions'!A68+"$F;@!6K"</f>
        <v>#VALUE!</v>
      </c>
      <c r="DB6" t="e">
        <f>'All regions'!B68+"$F;@!6L"</f>
        <v>#VALUE!</v>
      </c>
      <c r="DC6" t="e">
        <f>'All regions'!C68+"$F;@!6M"</f>
        <v>#VALUE!</v>
      </c>
      <c r="DD6" t="e">
        <f>'All regions'!D68+"$F;@!6N"</f>
        <v>#VALUE!</v>
      </c>
      <c r="DE6" t="e">
        <f>'All regions'!E68+"$F;@!6O"</f>
        <v>#VALUE!</v>
      </c>
      <c r="DF6" t="e">
        <f>'All regions'!F68+"$F;@!6P"</f>
        <v>#VALUE!</v>
      </c>
      <c r="DG6" t="e">
        <f>'All regions'!G68+"$F;@!6Q"</f>
        <v>#VALUE!</v>
      </c>
      <c r="DH6" t="e">
        <f>'All regions'!H68+"$F;@!6R"</f>
        <v>#VALUE!</v>
      </c>
      <c r="DI6" t="e">
        <f>'All regions'!I68+"$F;@!6S"</f>
        <v>#VALUE!</v>
      </c>
      <c r="DJ6" t="e">
        <f>'All regions'!A69+"$F;@!6T"</f>
        <v>#VALUE!</v>
      </c>
      <c r="DK6" t="e">
        <f>'All regions'!B69+"$F;@!6U"</f>
        <v>#VALUE!</v>
      </c>
      <c r="DL6" t="e">
        <f>'All regions'!C69+"$F;@!6V"</f>
        <v>#VALUE!</v>
      </c>
      <c r="DM6" t="e">
        <f>'All regions'!D69+"$F;@!6W"</f>
        <v>#VALUE!</v>
      </c>
      <c r="DN6" t="e">
        <f>'All regions'!E69+"$F;@!6X"</f>
        <v>#VALUE!</v>
      </c>
      <c r="DO6" t="e">
        <f>'All regions'!F69+"$F;@!6Y"</f>
        <v>#VALUE!</v>
      </c>
      <c r="DP6" t="e">
        <f>'All regions'!G69+"$F;@!6Z"</f>
        <v>#VALUE!</v>
      </c>
      <c r="DQ6" t="e">
        <f>'All regions'!H69+"$F;@!6["</f>
        <v>#VALUE!</v>
      </c>
      <c r="DR6" t="e">
        <f>'All regions'!I69+"$F;@!6\"</f>
        <v>#VALUE!</v>
      </c>
      <c r="DS6" t="e">
        <f>'All regions'!A70+"$F;@!6]"</f>
        <v>#VALUE!</v>
      </c>
      <c r="DT6" t="e">
        <f>'All regions'!B70+"$F;@!6^"</f>
        <v>#VALUE!</v>
      </c>
      <c r="DU6" t="e">
        <f>'All regions'!C70+"$F;@!6_"</f>
        <v>#VALUE!</v>
      </c>
      <c r="DV6" t="e">
        <f>'All regions'!D70+"$F;@!6`"</f>
        <v>#VALUE!</v>
      </c>
      <c r="DW6" t="e">
        <f>'All regions'!E70+"$F;@!6a"</f>
        <v>#VALUE!</v>
      </c>
      <c r="DX6" t="e">
        <f>'All regions'!F70+"$F;@!6b"</f>
        <v>#VALUE!</v>
      </c>
      <c r="DY6" t="e">
        <f>'All regions'!G70+"$F;@!6c"</f>
        <v>#VALUE!</v>
      </c>
      <c r="DZ6" t="e">
        <f>'All regions'!H70+"$F;@!6d"</f>
        <v>#VALUE!</v>
      </c>
      <c r="EA6" t="e">
        <f>'All regions'!I70+"$F;@!6e"</f>
        <v>#VALUE!</v>
      </c>
      <c r="EB6" t="e">
        <f>'All regions'!A71+"$F;@!6f"</f>
        <v>#VALUE!</v>
      </c>
      <c r="EC6" t="e">
        <f>'All regions'!B71+"$F;@!6g"</f>
        <v>#VALUE!</v>
      </c>
      <c r="ED6" t="e">
        <f>'All regions'!C71+"$F;@!6h"</f>
        <v>#VALUE!</v>
      </c>
      <c r="EE6" t="e">
        <f>'All regions'!D71+"$F;@!6i"</f>
        <v>#VALUE!</v>
      </c>
      <c r="EF6" t="e">
        <f>'All regions'!E71+"$F;@!6j"</f>
        <v>#VALUE!</v>
      </c>
      <c r="EG6" t="e">
        <f>'All regions'!F71+"$F;@!6k"</f>
        <v>#VALUE!</v>
      </c>
      <c r="EH6" t="e">
        <f>'All regions'!G71+"$F;@!6l"</f>
        <v>#VALUE!</v>
      </c>
      <c r="EI6" t="e">
        <f>'All regions'!H71+"$F;@!6m"</f>
        <v>#VALUE!</v>
      </c>
      <c r="EJ6" t="e">
        <f>'All regions'!I71+"$F;@!6n"</f>
        <v>#VALUE!</v>
      </c>
      <c r="EK6" t="e">
        <f>'All regions'!A72+"$F;@!6o"</f>
        <v>#VALUE!</v>
      </c>
      <c r="EL6" t="e">
        <f>'All regions'!B72+"$F;@!6p"</f>
        <v>#VALUE!</v>
      </c>
      <c r="EM6" t="e">
        <f>'All regions'!C72+"$F;@!6q"</f>
        <v>#VALUE!</v>
      </c>
      <c r="EN6" t="e">
        <f>'All regions'!D72+"$F;@!6r"</f>
        <v>#VALUE!</v>
      </c>
      <c r="EO6" t="e">
        <f>'All regions'!E72+"$F;@!6s"</f>
        <v>#VALUE!</v>
      </c>
      <c r="EP6" t="e">
        <f>'All regions'!F72+"$F;@!6t"</f>
        <v>#VALUE!</v>
      </c>
      <c r="EQ6" t="e">
        <f>'All regions'!G72+"$F;@!6u"</f>
        <v>#VALUE!</v>
      </c>
      <c r="ER6" t="e">
        <f>'All regions'!H72+"$F;@!6v"</f>
        <v>#VALUE!</v>
      </c>
      <c r="ES6" t="e">
        <f>'All regions'!I72+"$F;@!6w"</f>
        <v>#VALUE!</v>
      </c>
      <c r="ET6" t="e">
        <f>'All regions'!A73+"$F;@!6x"</f>
        <v>#VALUE!</v>
      </c>
      <c r="EU6" t="e">
        <f>'All regions'!B73+"$F;@!6y"</f>
        <v>#VALUE!</v>
      </c>
      <c r="EV6" t="e">
        <f>'All regions'!C73+"$F;@!6z"</f>
        <v>#VALUE!</v>
      </c>
      <c r="EW6" t="e">
        <f>'All regions'!D73+"$F;@!6{"</f>
        <v>#VALUE!</v>
      </c>
      <c r="EX6" t="e">
        <f>'All regions'!E73+"$F;@!6|"</f>
        <v>#VALUE!</v>
      </c>
      <c r="EY6" t="e">
        <f>'All regions'!F73+"$F;@!6}"</f>
        <v>#VALUE!</v>
      </c>
      <c r="EZ6" t="e">
        <f>'All regions'!G73+"$F;@!6~"</f>
        <v>#VALUE!</v>
      </c>
      <c r="FA6" t="e">
        <f>'All regions'!H73+"$F;@!7#"</f>
        <v>#VALUE!</v>
      </c>
      <c r="FB6" t="e">
        <f>'All regions'!I73+"$F;@!7$"</f>
        <v>#VALUE!</v>
      </c>
      <c r="FC6" t="e">
        <f>'All regions'!A74+"$F;@!7%"</f>
        <v>#VALUE!</v>
      </c>
      <c r="FD6" t="e">
        <f>'All regions'!B74+"$F;@!7&amp;"</f>
        <v>#VALUE!</v>
      </c>
      <c r="FE6" t="e">
        <f>'All regions'!C74+"$F;@!7'"</f>
        <v>#VALUE!</v>
      </c>
      <c r="FF6" t="e">
        <f>'All regions'!D74+"$F;@!7("</f>
        <v>#VALUE!</v>
      </c>
      <c r="FG6" t="e">
        <f>'All regions'!E74+"$F;@!7)"</f>
        <v>#VALUE!</v>
      </c>
      <c r="FH6" t="e">
        <f>'All regions'!F74+"$F;@!7."</f>
        <v>#VALUE!</v>
      </c>
      <c r="FI6" t="e">
        <f>'All regions'!G74+"$F;@!7/"</f>
        <v>#VALUE!</v>
      </c>
      <c r="FJ6" t="e">
        <f>'All regions'!H74+"$F;@!70"</f>
        <v>#VALUE!</v>
      </c>
      <c r="FK6" t="e">
        <f>'All regions'!I74+"$F;@!71"</f>
        <v>#VALUE!</v>
      </c>
      <c r="FL6" t="e">
        <f>'All regions'!A75+"$F;@!72"</f>
        <v>#VALUE!</v>
      </c>
      <c r="FM6" t="e">
        <f>'All regions'!B75+"$F;@!73"</f>
        <v>#VALUE!</v>
      </c>
      <c r="FN6" t="e">
        <f>'All regions'!C75+"$F;@!74"</f>
        <v>#VALUE!</v>
      </c>
      <c r="FO6" t="e">
        <f>'All regions'!D75+"$F;@!75"</f>
        <v>#VALUE!</v>
      </c>
      <c r="FP6" t="e">
        <f>'All regions'!E75+"$F;@!76"</f>
        <v>#VALUE!</v>
      </c>
      <c r="FQ6" t="e">
        <f>'All regions'!F75+"$F;@!77"</f>
        <v>#VALUE!</v>
      </c>
      <c r="FR6" t="e">
        <f>'All regions'!G75+"$F;@!78"</f>
        <v>#VALUE!</v>
      </c>
      <c r="FS6" t="e">
        <f>'All regions'!H75+"$F;@!79"</f>
        <v>#VALUE!</v>
      </c>
      <c r="FT6" t="e">
        <f>'All regions'!I75+"$F;@!7:"</f>
        <v>#VALUE!</v>
      </c>
      <c r="FU6" t="e">
        <f>'All regions'!A76+"$F;@!7;"</f>
        <v>#VALUE!</v>
      </c>
      <c r="FV6" t="e">
        <f>'All regions'!B76+"$F;@!7&lt;"</f>
        <v>#VALUE!</v>
      </c>
      <c r="FW6" t="e">
        <f>'All regions'!C76+"$F;@!7="</f>
        <v>#VALUE!</v>
      </c>
      <c r="FX6" t="e">
        <f>'All regions'!D76+"$F;@!7&gt;"</f>
        <v>#VALUE!</v>
      </c>
      <c r="FY6" t="e">
        <f>'All regions'!E76+"$F;@!7?"</f>
        <v>#VALUE!</v>
      </c>
      <c r="FZ6" t="e">
        <f>'All regions'!F76+"$F;@!7@"</f>
        <v>#VALUE!</v>
      </c>
      <c r="GA6" t="e">
        <f>'All regions'!G76+"$F;@!7A"</f>
        <v>#VALUE!</v>
      </c>
      <c r="GB6" t="e">
        <f>'All regions'!H76+"$F;@!7B"</f>
        <v>#VALUE!</v>
      </c>
      <c r="GC6" t="e">
        <f>'All regions'!I76+"$F;@!7C"</f>
        <v>#VALUE!</v>
      </c>
      <c r="GD6" t="e">
        <f>'All regions'!A77+"$F;@!7D"</f>
        <v>#VALUE!</v>
      </c>
      <c r="GE6" t="e">
        <f>'All regions'!B77+"$F;@!7E"</f>
        <v>#VALUE!</v>
      </c>
      <c r="GF6" t="e">
        <f>'All regions'!C77+"$F;@!7F"</f>
        <v>#VALUE!</v>
      </c>
      <c r="GG6" t="e">
        <f>'All regions'!D77+"$F;@!7G"</f>
        <v>#VALUE!</v>
      </c>
      <c r="GH6" t="e">
        <f>'All regions'!E77+"$F;@!7H"</f>
        <v>#VALUE!</v>
      </c>
      <c r="GI6" t="e">
        <f>'All regions'!F77+"$F;@!7I"</f>
        <v>#VALUE!</v>
      </c>
      <c r="GJ6" t="e">
        <f>'All regions'!G77+"$F;@!7J"</f>
        <v>#VALUE!</v>
      </c>
      <c r="GK6" t="e">
        <f>'All regions'!H77+"$F;@!7K"</f>
        <v>#VALUE!</v>
      </c>
      <c r="GL6" t="e">
        <f>'All regions'!I77+"$F;@!7L"</f>
        <v>#VALUE!</v>
      </c>
      <c r="GM6" t="e">
        <f>'All regions'!A78+"$F;@!7M"</f>
        <v>#VALUE!</v>
      </c>
      <c r="GN6" t="e">
        <f>'All regions'!B78+"$F;@!7N"</f>
        <v>#VALUE!</v>
      </c>
      <c r="GO6" t="e">
        <f>'All regions'!C78+"$F;@!7O"</f>
        <v>#VALUE!</v>
      </c>
      <c r="GP6" t="e">
        <f>'All regions'!D78+"$F;@!7P"</f>
        <v>#VALUE!</v>
      </c>
      <c r="GQ6" t="e">
        <f>'All regions'!E78+"$F;@!7Q"</f>
        <v>#VALUE!</v>
      </c>
      <c r="GR6" t="e">
        <f>'All regions'!F78+"$F;@!7R"</f>
        <v>#VALUE!</v>
      </c>
      <c r="GS6" t="e">
        <f>'All regions'!G78+"$F;@!7S"</f>
        <v>#VALUE!</v>
      </c>
      <c r="GT6" t="e">
        <f>'All regions'!H78+"$F;@!7T"</f>
        <v>#VALUE!</v>
      </c>
      <c r="GU6" t="e">
        <f>'All regions'!I78+"$F;@!7U"</f>
        <v>#VALUE!</v>
      </c>
      <c r="GV6" t="e">
        <f>'All regions'!A79+"$F;@!7V"</f>
        <v>#VALUE!</v>
      </c>
      <c r="GW6" t="e">
        <f>'All regions'!B79+"$F;@!7W"</f>
        <v>#VALUE!</v>
      </c>
      <c r="GX6" t="e">
        <f>'All regions'!C79+"$F;@!7X"</f>
        <v>#VALUE!</v>
      </c>
      <c r="GY6" t="e">
        <f>'All regions'!D79+"$F;@!7Y"</f>
        <v>#VALUE!</v>
      </c>
      <c r="GZ6" t="e">
        <f>'All regions'!E79+"$F;@!7Z"</f>
        <v>#VALUE!</v>
      </c>
      <c r="HA6" t="e">
        <f>'All regions'!F79+"$F;@!7["</f>
        <v>#VALUE!</v>
      </c>
      <c r="HB6" t="e">
        <f>'All regions'!G79+"$F;@!7\"</f>
        <v>#VALUE!</v>
      </c>
      <c r="HC6" t="e">
        <f>'All regions'!H79+"$F;@!7]"</f>
        <v>#VALUE!</v>
      </c>
      <c r="HD6" t="e">
        <f>'All regions'!I79+"$F;@!7^"</f>
        <v>#VALUE!</v>
      </c>
      <c r="HE6" t="e">
        <f>'All regions'!A80+"$F;@!7_"</f>
        <v>#VALUE!</v>
      </c>
      <c r="HF6" t="e">
        <f>'All regions'!B80+"$F;@!7`"</f>
        <v>#VALUE!</v>
      </c>
      <c r="HG6" t="e">
        <f>'All regions'!C80+"$F;@!7a"</f>
        <v>#VALUE!</v>
      </c>
      <c r="HH6" t="e">
        <f>'All regions'!D80+"$F;@!7b"</f>
        <v>#VALUE!</v>
      </c>
      <c r="HI6" t="e">
        <f>'All regions'!E80+"$F;@!7c"</f>
        <v>#VALUE!</v>
      </c>
      <c r="HJ6" t="e">
        <f>'All regions'!F80+"$F;@!7d"</f>
        <v>#VALUE!</v>
      </c>
      <c r="HK6" t="e">
        <f>'All regions'!G80+"$F;@!7e"</f>
        <v>#VALUE!</v>
      </c>
      <c r="HL6" t="e">
        <f>'All regions'!H80+"$F;@!7f"</f>
        <v>#VALUE!</v>
      </c>
      <c r="HM6" t="e">
        <f>'All regions'!I80+"$F;@!7g"</f>
        <v>#VALUE!</v>
      </c>
      <c r="HN6" t="e">
        <f>'All regions'!A81+"$F;@!7h"</f>
        <v>#VALUE!</v>
      </c>
      <c r="HO6" t="e">
        <f>'All regions'!B81+"$F;@!7i"</f>
        <v>#VALUE!</v>
      </c>
      <c r="HP6" t="e">
        <f>'All regions'!C81+"$F;@!7j"</f>
        <v>#VALUE!</v>
      </c>
      <c r="HQ6" t="e">
        <f>'All regions'!D81+"$F;@!7k"</f>
        <v>#VALUE!</v>
      </c>
      <c r="HR6" t="e">
        <f>'All regions'!E81+"$F;@!7l"</f>
        <v>#VALUE!</v>
      </c>
      <c r="HS6" t="e">
        <f>'All regions'!F81+"$F;@!7m"</f>
        <v>#VALUE!</v>
      </c>
      <c r="HT6" t="e">
        <f>'All regions'!G81+"$F;@!7n"</f>
        <v>#VALUE!</v>
      </c>
      <c r="HU6" t="e">
        <f>'All regions'!H81+"$F;@!7o"</f>
        <v>#VALUE!</v>
      </c>
      <c r="HV6" t="e">
        <f>'All regions'!I81+"$F;@!7p"</f>
        <v>#VALUE!</v>
      </c>
      <c r="HW6" t="e">
        <f>'All regions'!A87+"$F;@!7q"</f>
        <v>#VALUE!</v>
      </c>
      <c r="HX6" t="e">
        <f>'All regions'!B87+"$F;@!7r"</f>
        <v>#VALUE!</v>
      </c>
      <c r="HY6" t="e">
        <f>'All regions'!C87+"$F;@!7s"</f>
        <v>#VALUE!</v>
      </c>
      <c r="HZ6" t="e">
        <f>'All regions'!D87+"$F;@!7t"</f>
        <v>#VALUE!</v>
      </c>
      <c r="IA6" t="e">
        <f>'All regions'!E87+"$F;@!7u"</f>
        <v>#VALUE!</v>
      </c>
      <c r="IB6" t="e">
        <f>'All regions'!F87+"$F;@!7v"</f>
        <v>#VALUE!</v>
      </c>
      <c r="IC6" t="e">
        <f>'All regions'!G87+"$F;@!7w"</f>
        <v>#VALUE!</v>
      </c>
      <c r="ID6" t="e">
        <f>'All regions'!H87+"$F;@!7x"</f>
        <v>#VALUE!</v>
      </c>
      <c r="IE6" t="e">
        <f>'All regions'!I87+"$F;@!7y"</f>
        <v>#VALUE!</v>
      </c>
      <c r="IF6" t="e">
        <f>'All regions'!A88+"$F;@!7z"</f>
        <v>#VALUE!</v>
      </c>
      <c r="IG6" t="e">
        <f>'All regions'!B88+"$F;@!7{"</f>
        <v>#VALUE!</v>
      </c>
      <c r="IH6" t="e">
        <f>'All regions'!C88+"$F;@!7|"</f>
        <v>#VALUE!</v>
      </c>
      <c r="II6" t="e">
        <f>'All regions'!D88+"$F;@!7}"</f>
        <v>#VALUE!</v>
      </c>
      <c r="IJ6" t="e">
        <f>'All regions'!E88+"$F;@!7~"</f>
        <v>#VALUE!</v>
      </c>
      <c r="IK6" t="e">
        <f>'All regions'!F88+"$F;@!8#"</f>
        <v>#VALUE!</v>
      </c>
      <c r="IL6" t="e">
        <f>'All regions'!G88+"$F;@!8$"</f>
        <v>#VALUE!</v>
      </c>
      <c r="IM6" t="e">
        <f>'All regions'!H88+"$F;@!8%"</f>
        <v>#VALUE!</v>
      </c>
      <c r="IN6" t="e">
        <f>'All regions'!I88+"$F;@!8&amp;"</f>
        <v>#VALUE!</v>
      </c>
      <c r="IO6" t="e">
        <f>'All regions'!A89+"$F;@!8'"</f>
        <v>#VALUE!</v>
      </c>
      <c r="IP6" t="e">
        <f>'All regions'!B89+"$F;@!8("</f>
        <v>#VALUE!</v>
      </c>
      <c r="IQ6" t="e">
        <f>'All regions'!C89+"$F;@!8)"</f>
        <v>#VALUE!</v>
      </c>
      <c r="IR6" t="e">
        <f>'All regions'!D89+"$F;@!8."</f>
        <v>#VALUE!</v>
      </c>
      <c r="IS6" t="e">
        <f>'All regions'!E89+"$F;@!8/"</f>
        <v>#VALUE!</v>
      </c>
      <c r="IT6" t="e">
        <f>'All regions'!F89+"$F;@!80"</f>
        <v>#VALUE!</v>
      </c>
      <c r="IU6" t="e">
        <f>'All regions'!G89+"$F;@!81"</f>
        <v>#VALUE!</v>
      </c>
      <c r="IV6" t="e">
        <f>'All regions'!H89+"$F;@!82"</f>
        <v>#VALUE!</v>
      </c>
    </row>
    <row r="7" spans="1:256" x14ac:dyDescent="0.35">
      <c r="F7" t="e">
        <f>'All regions'!I89+"$F;@!83"</f>
        <v>#VALUE!</v>
      </c>
      <c r="G7" t="e">
        <f>'All regions'!A96+"$F;@!84"</f>
        <v>#VALUE!</v>
      </c>
      <c r="H7" t="e">
        <f>'All regions'!B96+"$F;@!85"</f>
        <v>#VALUE!</v>
      </c>
      <c r="I7" t="e">
        <f>'All regions'!C96+"$F;@!86"</f>
        <v>#VALUE!</v>
      </c>
      <c r="J7" t="e">
        <f>'All regions'!D96+"$F;@!87"</f>
        <v>#VALUE!</v>
      </c>
      <c r="K7" t="e">
        <f>'All regions'!E96+"$F;@!88"</f>
        <v>#VALUE!</v>
      </c>
      <c r="L7" t="e">
        <f>'All regions'!F96+"$F;@!89"</f>
        <v>#VALUE!</v>
      </c>
      <c r="M7" t="e">
        <f>'All regions'!G96+"$F;@!8:"</f>
        <v>#VALUE!</v>
      </c>
      <c r="N7" t="e">
        <f>'All regions'!H96+"$F;@!8;"</f>
        <v>#VALUE!</v>
      </c>
      <c r="O7" t="e">
        <f>'All regions'!I96+"$F;@!8&lt;"</f>
        <v>#VALUE!</v>
      </c>
      <c r="P7" t="e">
        <f>'All regions'!A97+"$F;@!8="</f>
        <v>#VALUE!</v>
      </c>
      <c r="Q7" t="e">
        <f>'All regions'!B97+"$F;@!8&gt;"</f>
        <v>#VALUE!</v>
      </c>
      <c r="R7" t="e">
        <f>'All regions'!C97+"$F;@!8?"</f>
        <v>#VALUE!</v>
      </c>
      <c r="S7" t="e">
        <f>'All regions'!D97+"$F;@!8@"</f>
        <v>#VALUE!</v>
      </c>
      <c r="T7" t="e">
        <f>'All regions'!E97+"$F;@!8A"</f>
        <v>#VALUE!</v>
      </c>
      <c r="U7" t="e">
        <f>'All regions'!F97+"$F;@!8B"</f>
        <v>#VALUE!</v>
      </c>
      <c r="V7" t="e">
        <f>'All regions'!G97+"$F;@!8C"</f>
        <v>#VALUE!</v>
      </c>
      <c r="W7" t="e">
        <f>'All regions'!H97+"$F;@!8D"</f>
        <v>#VALUE!</v>
      </c>
      <c r="X7" t="e">
        <f>'All regions'!I97+"$F;@!8E"</f>
        <v>#VALUE!</v>
      </c>
      <c r="Y7" t="e">
        <f>'All regions'!A98+"$F;@!8F"</f>
        <v>#VALUE!</v>
      </c>
      <c r="Z7" t="e">
        <f>'All regions'!B98+"$F;@!8G"</f>
        <v>#VALUE!</v>
      </c>
      <c r="AA7" t="e">
        <f>'All regions'!C98+"$F;@!8H"</f>
        <v>#VALUE!</v>
      </c>
      <c r="AB7" t="e">
        <f>'All regions'!D98+"$F;@!8I"</f>
        <v>#VALUE!</v>
      </c>
      <c r="AC7" t="e">
        <f>'All regions'!E98+"$F;@!8J"</f>
        <v>#VALUE!</v>
      </c>
      <c r="AD7" t="e">
        <f>'All regions'!F98+"$F;@!8K"</f>
        <v>#VALUE!</v>
      </c>
      <c r="AE7" t="e">
        <f>'All regions'!G98+"$F;@!8L"</f>
        <v>#VALUE!</v>
      </c>
      <c r="AF7" t="e">
        <f>'All regions'!H98+"$F;@!8M"</f>
        <v>#VALUE!</v>
      </c>
      <c r="AG7" t="e">
        <f>'All regions'!I98+"$F;@!8N"</f>
        <v>#VALUE!</v>
      </c>
      <c r="AH7" t="e">
        <f>'All regions'!A99+"$F;@!8O"</f>
        <v>#VALUE!</v>
      </c>
      <c r="AI7" t="e">
        <f>'All regions'!B99+"$F;@!8P"</f>
        <v>#VALUE!</v>
      </c>
      <c r="AJ7" t="e">
        <f>'All regions'!C99+"$F;@!8Q"</f>
        <v>#VALUE!</v>
      </c>
      <c r="AK7" t="e">
        <f>'All regions'!D99+"$F;@!8R"</f>
        <v>#VALUE!</v>
      </c>
      <c r="AL7" t="e">
        <f>'All regions'!E99+"$F;@!8S"</f>
        <v>#VALUE!</v>
      </c>
      <c r="AM7" t="e">
        <f>'All regions'!F99+"$F;@!8T"</f>
        <v>#VALUE!</v>
      </c>
      <c r="AN7" t="e">
        <f>'All regions'!G99+"$F;@!8U"</f>
        <v>#VALUE!</v>
      </c>
      <c r="AO7" t="e">
        <f>'All regions'!H99+"$F;@!8V"</f>
        <v>#VALUE!</v>
      </c>
      <c r="AP7" t="e">
        <f>'All regions'!I99+"$F;@!8W"</f>
        <v>#VALUE!</v>
      </c>
      <c r="AQ7" t="e">
        <f>'All regions'!A100+"$F;@!8X"</f>
        <v>#VALUE!</v>
      </c>
      <c r="AR7" t="e">
        <f>'All regions'!B100+"$F;@!8Y"</f>
        <v>#VALUE!</v>
      </c>
      <c r="AS7" t="e">
        <f>'All regions'!C100+"$F;@!8Z"</f>
        <v>#VALUE!</v>
      </c>
      <c r="AT7" t="e">
        <f>'All regions'!D100+"$F;@!8["</f>
        <v>#VALUE!</v>
      </c>
      <c r="AU7" t="e">
        <f>'All regions'!E100+"$F;@!8\"</f>
        <v>#VALUE!</v>
      </c>
      <c r="AV7" t="e">
        <f>'All regions'!F100+"$F;@!8]"</f>
        <v>#VALUE!</v>
      </c>
      <c r="AW7" t="e">
        <f>'All regions'!G100+"$F;@!8^"</f>
        <v>#VALUE!</v>
      </c>
      <c r="AX7" t="e">
        <f>'All regions'!H100+"$F;@!8_"</f>
        <v>#VALUE!</v>
      </c>
      <c r="AY7" t="e">
        <f>'All regions'!I100+"$F;@!8`"</f>
        <v>#VALUE!</v>
      </c>
      <c r="AZ7" t="e">
        <f>'All regions'!A101+"$F;@!8a"</f>
        <v>#VALUE!</v>
      </c>
      <c r="BA7" t="e">
        <f>'All regions'!B101+"$F;@!8b"</f>
        <v>#VALUE!</v>
      </c>
      <c r="BB7" t="e">
        <f>'All regions'!C101+"$F;@!8c"</f>
        <v>#VALUE!</v>
      </c>
      <c r="BC7" t="e">
        <f>'All regions'!D101+"$F;@!8d"</f>
        <v>#VALUE!</v>
      </c>
      <c r="BD7" t="e">
        <f>'All regions'!E101+"$F;@!8e"</f>
        <v>#VALUE!</v>
      </c>
      <c r="BE7" t="e">
        <f>'All regions'!F101+"$F;@!8f"</f>
        <v>#VALUE!</v>
      </c>
      <c r="BF7" t="e">
        <f>'All regions'!G101+"$F;@!8g"</f>
        <v>#VALUE!</v>
      </c>
      <c r="BG7" t="e">
        <f>'All regions'!H101+"$F;@!8h"</f>
        <v>#VALUE!</v>
      </c>
      <c r="BH7" t="e">
        <f>'All regions'!I101+"$F;@!8i"</f>
        <v>#VALUE!</v>
      </c>
      <c r="BI7" t="e">
        <f>'All regions'!A102+"$F;@!8j"</f>
        <v>#VALUE!</v>
      </c>
      <c r="BJ7" t="e">
        <f>'All regions'!B102+"$F;@!8k"</f>
        <v>#VALUE!</v>
      </c>
      <c r="BK7" t="e">
        <f>'All regions'!C102+"$F;@!8l"</f>
        <v>#VALUE!</v>
      </c>
      <c r="BL7" t="e">
        <f>'All regions'!D102+"$F;@!8m"</f>
        <v>#VALUE!</v>
      </c>
      <c r="BM7" t="e">
        <f>'All regions'!E102+"$F;@!8n"</f>
        <v>#VALUE!</v>
      </c>
      <c r="BN7" t="e">
        <f>'All regions'!F102+"$F;@!8o"</f>
        <v>#VALUE!</v>
      </c>
      <c r="BO7" t="e">
        <f>'All regions'!G102+"$F;@!8p"</f>
        <v>#VALUE!</v>
      </c>
      <c r="BP7" t="e">
        <f>'All regions'!H102+"$F;@!8q"</f>
        <v>#VALUE!</v>
      </c>
      <c r="BQ7" t="e">
        <f>'All regions'!I102+"$F;@!8r"</f>
        <v>#VALUE!</v>
      </c>
      <c r="BR7" t="e">
        <f>'All regions'!A103+"$F;@!8s"</f>
        <v>#VALUE!</v>
      </c>
      <c r="BS7" t="e">
        <f>'All regions'!B103+"$F;@!8t"</f>
        <v>#VALUE!</v>
      </c>
      <c r="BT7" t="e">
        <f>'All regions'!C103+"$F;@!8u"</f>
        <v>#VALUE!</v>
      </c>
      <c r="BU7" t="e">
        <f>'All regions'!D103+"$F;@!8v"</f>
        <v>#VALUE!</v>
      </c>
      <c r="BV7" t="e">
        <f>'All regions'!E103+"$F;@!8w"</f>
        <v>#VALUE!</v>
      </c>
      <c r="BW7" t="e">
        <f>'All regions'!F103+"$F;@!8x"</f>
        <v>#VALUE!</v>
      </c>
      <c r="BX7" t="e">
        <f>'All regions'!G103+"$F;@!8y"</f>
        <v>#VALUE!</v>
      </c>
      <c r="BY7" t="e">
        <f>'All regions'!H103+"$F;@!8z"</f>
        <v>#VALUE!</v>
      </c>
      <c r="BZ7" t="e">
        <f>'All regions'!I103+"$F;@!8{"</f>
        <v>#VALUE!</v>
      </c>
      <c r="CA7" t="e">
        <f>'All regions'!A104+"$F;@!8|"</f>
        <v>#VALUE!</v>
      </c>
      <c r="CB7" t="e">
        <f>'All regions'!B104+"$F;@!8}"</f>
        <v>#VALUE!</v>
      </c>
      <c r="CC7" t="e">
        <f>'All regions'!C104+"$F;@!8~"</f>
        <v>#VALUE!</v>
      </c>
      <c r="CD7" t="e">
        <f>'All regions'!D104+"$F;@!9#"</f>
        <v>#VALUE!</v>
      </c>
      <c r="CE7" t="e">
        <f>'All regions'!E104+"$F;@!9$"</f>
        <v>#VALUE!</v>
      </c>
      <c r="CF7" t="e">
        <f>'All regions'!F104+"$F;@!9%"</f>
        <v>#VALUE!</v>
      </c>
      <c r="CG7" t="e">
        <f>'All regions'!G104+"$F;@!9&amp;"</f>
        <v>#VALUE!</v>
      </c>
      <c r="CH7" t="e">
        <f>'All regions'!H104+"$F;@!9'"</f>
        <v>#VALUE!</v>
      </c>
      <c r="CI7" t="e">
        <f>'All regions'!I104+"$F;@!9("</f>
        <v>#VALUE!</v>
      </c>
      <c r="CJ7" t="e">
        <f>'All regions'!A105+"$F;@!9)"</f>
        <v>#VALUE!</v>
      </c>
      <c r="CK7" t="e">
        <f>'All regions'!B105+"$F;@!9."</f>
        <v>#VALUE!</v>
      </c>
      <c r="CL7" t="e">
        <f>'All regions'!C105+"$F;@!9/"</f>
        <v>#VALUE!</v>
      </c>
      <c r="CM7" t="e">
        <f>'All regions'!D105+"$F;@!90"</f>
        <v>#VALUE!</v>
      </c>
      <c r="CN7" t="e">
        <f>'All regions'!E105+"$F;@!91"</f>
        <v>#VALUE!</v>
      </c>
      <c r="CO7" t="e">
        <f>'All regions'!F105+"$F;@!92"</f>
        <v>#VALUE!</v>
      </c>
      <c r="CP7" t="e">
        <f>'All regions'!G105+"$F;@!93"</f>
        <v>#VALUE!</v>
      </c>
      <c r="CQ7" t="e">
        <f>'All regions'!H105+"$F;@!94"</f>
        <v>#VALUE!</v>
      </c>
      <c r="CR7" t="e">
        <f>'All regions'!I105+"$F;@!95"</f>
        <v>#VALUE!</v>
      </c>
      <c r="CS7" t="e">
        <f>'All regions'!A106+"$F;@!96"</f>
        <v>#VALUE!</v>
      </c>
      <c r="CT7" t="e">
        <f>'All regions'!B106+"$F;@!97"</f>
        <v>#VALUE!</v>
      </c>
      <c r="CU7" t="e">
        <f>'All regions'!C106+"$F;@!98"</f>
        <v>#VALUE!</v>
      </c>
      <c r="CV7" t="e">
        <f>'All regions'!D106+"$F;@!99"</f>
        <v>#VALUE!</v>
      </c>
      <c r="CW7" t="e">
        <f>'All regions'!E106+"$F;@!9:"</f>
        <v>#VALUE!</v>
      </c>
      <c r="CX7" t="e">
        <f>'All regions'!F106+"$F;@!9;"</f>
        <v>#VALUE!</v>
      </c>
      <c r="CY7" t="e">
        <f>'All regions'!G106+"$F;@!9&lt;"</f>
        <v>#VALUE!</v>
      </c>
      <c r="CZ7" t="e">
        <f>'All regions'!H106+"$F;@!9="</f>
        <v>#VALUE!</v>
      </c>
      <c r="DA7" t="e">
        <f>'All regions'!I106+"$F;@!9&gt;"</f>
        <v>#VALUE!</v>
      </c>
      <c r="DB7" t="e">
        <f>'All regions'!A107+"$F;@!9?"</f>
        <v>#VALUE!</v>
      </c>
      <c r="DC7" t="e">
        <f>'All regions'!B107+"$F;@!9@"</f>
        <v>#VALUE!</v>
      </c>
      <c r="DD7" t="e">
        <f>'All regions'!C107+"$F;@!9A"</f>
        <v>#VALUE!</v>
      </c>
      <c r="DE7" t="e">
        <f>'All regions'!D107+"$F;@!9B"</f>
        <v>#VALUE!</v>
      </c>
      <c r="DF7" t="e">
        <f>'All regions'!E107+"$F;@!9C"</f>
        <v>#VALUE!</v>
      </c>
      <c r="DG7" t="e">
        <f>'All regions'!F107+"$F;@!9D"</f>
        <v>#VALUE!</v>
      </c>
      <c r="DH7" t="e">
        <f>'All regions'!G107+"$F;@!9E"</f>
        <v>#VALUE!</v>
      </c>
      <c r="DI7" t="e">
        <f>'All regions'!H107+"$F;@!9F"</f>
        <v>#VALUE!</v>
      </c>
      <c r="DJ7" t="e">
        <f>'All regions'!I107+"$F;@!9G"</f>
        <v>#VALUE!</v>
      </c>
      <c r="DK7" t="e">
        <f>'All regions'!A108+"$F;@!9H"</f>
        <v>#VALUE!</v>
      </c>
      <c r="DL7" t="e">
        <f>'All regions'!B108+"$F;@!9I"</f>
        <v>#VALUE!</v>
      </c>
      <c r="DM7" t="e">
        <f>'All regions'!C108+"$F;@!9J"</f>
        <v>#VALUE!</v>
      </c>
      <c r="DN7" t="e">
        <f>'All regions'!D108+"$F;@!9K"</f>
        <v>#VALUE!</v>
      </c>
      <c r="DO7" t="e">
        <f>'All regions'!E108+"$F;@!9L"</f>
        <v>#VALUE!</v>
      </c>
      <c r="DP7" t="e">
        <f>'All regions'!F108+"$F;@!9M"</f>
        <v>#VALUE!</v>
      </c>
      <c r="DQ7" t="e">
        <f>'All regions'!G108+"$F;@!9N"</f>
        <v>#VALUE!</v>
      </c>
      <c r="DR7" t="e">
        <f>'All regions'!H108+"$F;@!9O"</f>
        <v>#VALUE!</v>
      </c>
      <c r="DS7" t="e">
        <f>'All regions'!I108+"$F;@!9P"</f>
        <v>#VALUE!</v>
      </c>
      <c r="DT7" t="e">
        <f>'All regions'!A109+"$F;@!9Q"</f>
        <v>#VALUE!</v>
      </c>
      <c r="DU7" t="e">
        <f>'All regions'!B109+"$F;@!9R"</f>
        <v>#VALUE!</v>
      </c>
      <c r="DV7" t="e">
        <f>'All regions'!C109+"$F;@!9S"</f>
        <v>#VALUE!</v>
      </c>
      <c r="DW7" t="e">
        <f>'All regions'!D109+"$F;@!9T"</f>
        <v>#VALUE!</v>
      </c>
      <c r="DX7" t="e">
        <f>'All regions'!E109+"$F;@!9U"</f>
        <v>#VALUE!</v>
      </c>
      <c r="DY7" t="e">
        <f>'All regions'!F109+"$F;@!9V"</f>
        <v>#VALUE!</v>
      </c>
      <c r="DZ7" t="e">
        <f>'All regions'!G109+"$F;@!9W"</f>
        <v>#VALUE!</v>
      </c>
      <c r="EA7" t="e">
        <f>'All regions'!H109+"$F;@!9X"</f>
        <v>#VALUE!</v>
      </c>
      <c r="EB7" t="e">
        <f>'All regions'!I109+"$F;@!9Y"</f>
        <v>#VALUE!</v>
      </c>
      <c r="EC7" t="e">
        <f>'All regions'!A110+"$F;@!9Z"</f>
        <v>#VALUE!</v>
      </c>
      <c r="ED7" t="e">
        <f>'All regions'!B110+"$F;@!9["</f>
        <v>#VALUE!</v>
      </c>
      <c r="EE7" t="e">
        <f>'All regions'!C110+"$F;@!9\"</f>
        <v>#VALUE!</v>
      </c>
      <c r="EF7" t="e">
        <f>'All regions'!D110+"$F;@!9]"</f>
        <v>#VALUE!</v>
      </c>
      <c r="EG7" t="e">
        <f>'All regions'!E110+"$F;@!9^"</f>
        <v>#VALUE!</v>
      </c>
      <c r="EH7" t="e">
        <f>'All regions'!F110+"$F;@!9_"</f>
        <v>#VALUE!</v>
      </c>
      <c r="EI7" t="e">
        <f>'All regions'!G110+"$F;@!9`"</f>
        <v>#VALUE!</v>
      </c>
      <c r="EJ7" t="e">
        <f>'All regions'!H110+"$F;@!9a"</f>
        <v>#VALUE!</v>
      </c>
      <c r="EK7" t="e">
        <f>'All regions'!I110+"$F;@!9b"</f>
        <v>#VALUE!</v>
      </c>
      <c r="EL7" t="e">
        <f>'All regions'!A111+"$F;@!9c"</f>
        <v>#VALUE!</v>
      </c>
      <c r="EM7" t="e">
        <f>'All regions'!B111+"$F;@!9d"</f>
        <v>#VALUE!</v>
      </c>
      <c r="EN7" t="e">
        <f>'All regions'!C111+"$F;@!9e"</f>
        <v>#VALUE!</v>
      </c>
      <c r="EO7" t="e">
        <f>'All regions'!D111+"$F;@!9f"</f>
        <v>#VALUE!</v>
      </c>
      <c r="EP7" t="e">
        <f>'All regions'!E111+"$F;@!9g"</f>
        <v>#VALUE!</v>
      </c>
      <c r="EQ7" t="e">
        <f>'All regions'!F111+"$F;@!9h"</f>
        <v>#VALUE!</v>
      </c>
      <c r="ER7" t="e">
        <f>'All regions'!G111+"$F;@!9i"</f>
        <v>#VALUE!</v>
      </c>
      <c r="ES7" t="e">
        <f>'All regions'!H111+"$F;@!9j"</f>
        <v>#VALUE!</v>
      </c>
      <c r="ET7" t="e">
        <f>'All regions'!I111+"$F;@!9k"</f>
        <v>#VALUE!</v>
      </c>
      <c r="EU7" t="e">
        <f>'All regions'!A112+"$F;@!9l"</f>
        <v>#VALUE!</v>
      </c>
      <c r="EV7" t="e">
        <f>'All regions'!B112+"$F;@!9m"</f>
        <v>#VALUE!</v>
      </c>
      <c r="EW7" t="e">
        <f>'All regions'!C112+"$F;@!9n"</f>
        <v>#VALUE!</v>
      </c>
      <c r="EX7" t="e">
        <f>'All regions'!D112+"$F;@!9o"</f>
        <v>#VALUE!</v>
      </c>
      <c r="EY7" t="e">
        <f>'All regions'!E112+"$F;@!9p"</f>
        <v>#VALUE!</v>
      </c>
      <c r="EZ7" t="e">
        <f>'All regions'!F112+"$F;@!9q"</f>
        <v>#VALUE!</v>
      </c>
      <c r="FA7" t="e">
        <f>'All regions'!G112+"$F;@!9r"</f>
        <v>#VALUE!</v>
      </c>
      <c r="FB7" t="e">
        <f>'All regions'!H112+"$F;@!9s"</f>
        <v>#VALUE!</v>
      </c>
      <c r="FC7" t="e">
        <f>'All regions'!I112+"$F;@!9t"</f>
        <v>#VALUE!</v>
      </c>
      <c r="FD7" t="e">
        <f>'All regions'!A113+"$F;@!9u"</f>
        <v>#VALUE!</v>
      </c>
      <c r="FE7" t="e">
        <f>'All regions'!B113+"$F;@!9v"</f>
        <v>#VALUE!</v>
      </c>
      <c r="FF7" t="e">
        <f>'All regions'!C113+"$F;@!9w"</f>
        <v>#VALUE!</v>
      </c>
      <c r="FG7" t="e">
        <f>'All regions'!D113+"$F;@!9x"</f>
        <v>#VALUE!</v>
      </c>
      <c r="FH7" t="e">
        <f>'All regions'!E113+"$F;@!9y"</f>
        <v>#VALUE!</v>
      </c>
      <c r="FI7" t="e">
        <f>'All regions'!F113+"$F;@!9z"</f>
        <v>#VALUE!</v>
      </c>
      <c r="FJ7" t="e">
        <f>'All regions'!G113+"$F;@!9{"</f>
        <v>#VALUE!</v>
      </c>
      <c r="FK7" t="e">
        <f>'All regions'!H113+"$F;@!9|"</f>
        <v>#VALUE!</v>
      </c>
      <c r="FL7" t="e">
        <f>'All regions'!I113+"$F;@!9}"</f>
        <v>#VALUE!</v>
      </c>
      <c r="FM7" t="e">
        <f>'All regions'!A114+"$F;@!9~"</f>
        <v>#VALUE!</v>
      </c>
      <c r="FN7" t="e">
        <f>'All regions'!B114+"$F;@!:#"</f>
        <v>#VALUE!</v>
      </c>
      <c r="FO7" t="e">
        <f>'All regions'!C114+"$F;@!:$"</f>
        <v>#VALUE!</v>
      </c>
      <c r="FP7" t="e">
        <f>'All regions'!D114+"$F;@!:%"</f>
        <v>#VALUE!</v>
      </c>
      <c r="FQ7" t="e">
        <f>'All regions'!E114+"$F;@!:&amp;"</f>
        <v>#VALUE!</v>
      </c>
      <c r="FR7" t="e">
        <f>'All regions'!F114+"$F;@!:'"</f>
        <v>#VALUE!</v>
      </c>
      <c r="FS7" t="e">
        <f>'All regions'!G114+"$F;@!:("</f>
        <v>#VALUE!</v>
      </c>
      <c r="FT7" t="e">
        <f>'All regions'!H114+"$F;@!:)"</f>
        <v>#VALUE!</v>
      </c>
      <c r="FU7" t="e">
        <f>'All regions'!I114+"$F;@!:."</f>
        <v>#VALUE!</v>
      </c>
      <c r="FV7" t="e">
        <f>'All regions'!A115+"$F;@!:/"</f>
        <v>#VALUE!</v>
      </c>
      <c r="FW7" t="e">
        <f>'All regions'!B115+"$F;@!:0"</f>
        <v>#VALUE!</v>
      </c>
      <c r="FX7" t="e">
        <f>'All regions'!C115+"$F;@!:1"</f>
        <v>#VALUE!</v>
      </c>
      <c r="FY7" t="e">
        <f>'All regions'!D115+"$F;@!:2"</f>
        <v>#VALUE!</v>
      </c>
      <c r="FZ7" t="e">
        <f>'All regions'!E115+"$F;@!:3"</f>
        <v>#VALUE!</v>
      </c>
      <c r="GA7" t="e">
        <f>'All regions'!F115+"$F;@!:4"</f>
        <v>#VALUE!</v>
      </c>
      <c r="GB7" t="e">
        <f>'All regions'!G115+"$F;@!:5"</f>
        <v>#VALUE!</v>
      </c>
      <c r="GC7" t="e">
        <f>'All regions'!H115+"$F;@!:6"</f>
        <v>#VALUE!</v>
      </c>
      <c r="GD7" t="e">
        <f>'All regions'!I115+"$F;@!:7"</f>
        <v>#VALUE!</v>
      </c>
      <c r="GE7" t="e">
        <f>'All regions'!A116+"$F;@!:8"</f>
        <v>#VALUE!</v>
      </c>
      <c r="GF7" t="e">
        <f>'All regions'!B116+"$F;@!:9"</f>
        <v>#VALUE!</v>
      </c>
      <c r="GG7" t="e">
        <f>'All regions'!C116+"$F;@!::"</f>
        <v>#VALUE!</v>
      </c>
      <c r="GH7" t="e">
        <f>'All regions'!D116+"$F;@!:;"</f>
        <v>#VALUE!</v>
      </c>
      <c r="GI7" t="e">
        <f>'All regions'!E116+"$F;@!:&lt;"</f>
        <v>#VALUE!</v>
      </c>
      <c r="GJ7" t="e">
        <f>'All regions'!F116+"$F;@!:="</f>
        <v>#VALUE!</v>
      </c>
      <c r="GK7" t="e">
        <f>'All regions'!G116+"$F;@!:&gt;"</f>
        <v>#VALUE!</v>
      </c>
      <c r="GL7" t="e">
        <f>'All regions'!H116+"$F;@!:?"</f>
        <v>#VALUE!</v>
      </c>
      <c r="GM7" t="e">
        <f>'All regions'!I116+"$F;@!:@"</f>
        <v>#VALUE!</v>
      </c>
      <c r="GN7" t="e">
        <f>'All regions'!A117+"$F;@!:A"</f>
        <v>#VALUE!</v>
      </c>
      <c r="GO7" t="e">
        <f>'All regions'!B117+"$F;@!:B"</f>
        <v>#VALUE!</v>
      </c>
      <c r="GP7" t="e">
        <f>'All regions'!C117+"$F;@!:C"</f>
        <v>#VALUE!</v>
      </c>
      <c r="GQ7" t="e">
        <f>'All regions'!D117+"$F;@!:D"</f>
        <v>#VALUE!</v>
      </c>
      <c r="GR7" t="e">
        <f>'All regions'!E117+"$F;@!:E"</f>
        <v>#VALUE!</v>
      </c>
      <c r="GS7" t="e">
        <f>'All regions'!F117+"$F;@!:F"</f>
        <v>#VALUE!</v>
      </c>
      <c r="GT7" t="e">
        <f>'All regions'!G117+"$F;@!:G"</f>
        <v>#VALUE!</v>
      </c>
      <c r="GU7" t="e">
        <f>'All regions'!H117+"$F;@!:H"</f>
        <v>#VALUE!</v>
      </c>
      <c r="GV7" t="e">
        <f>'All regions'!I117+"$F;@!:I"</f>
        <v>#VALUE!</v>
      </c>
      <c r="GW7" t="e">
        <f>'All regions'!A118+"$F;@!:J"</f>
        <v>#VALUE!</v>
      </c>
      <c r="GX7" t="e">
        <f>'All regions'!B118+"$F;@!:K"</f>
        <v>#VALUE!</v>
      </c>
      <c r="GY7" t="e">
        <f>'All regions'!C118+"$F;@!:L"</f>
        <v>#VALUE!</v>
      </c>
      <c r="GZ7" t="e">
        <f>'All regions'!D118+"$F;@!:M"</f>
        <v>#VALUE!</v>
      </c>
      <c r="HA7" t="e">
        <f>'All regions'!E118+"$F;@!:N"</f>
        <v>#VALUE!</v>
      </c>
      <c r="HB7" t="e">
        <f>'All regions'!F118+"$F;@!:O"</f>
        <v>#VALUE!</v>
      </c>
      <c r="HC7" t="e">
        <f>'All regions'!G118+"$F;@!:P"</f>
        <v>#VALUE!</v>
      </c>
      <c r="HD7" t="e">
        <f>'All regions'!H118+"$F;@!:Q"</f>
        <v>#VALUE!</v>
      </c>
      <c r="HE7" t="e">
        <f>'All regions'!I118+"$F;@!:R"</f>
        <v>#VALUE!</v>
      </c>
      <c r="HF7" t="e">
        <f>'All regions'!A119+"$F;@!:S"</f>
        <v>#VALUE!</v>
      </c>
      <c r="HG7" t="e">
        <f>'All regions'!B119+"$F;@!:T"</f>
        <v>#VALUE!</v>
      </c>
      <c r="HH7" t="e">
        <f>'All regions'!C119+"$F;@!:U"</f>
        <v>#VALUE!</v>
      </c>
      <c r="HI7" t="e">
        <f>'All regions'!D119+"$F;@!:V"</f>
        <v>#VALUE!</v>
      </c>
      <c r="HJ7" t="e">
        <f>'All regions'!E119+"$F;@!:W"</f>
        <v>#VALUE!</v>
      </c>
      <c r="HK7" t="e">
        <f>'All regions'!F119+"$F;@!:X"</f>
        <v>#VALUE!</v>
      </c>
      <c r="HL7" t="e">
        <f>'All regions'!G119+"$F;@!:Y"</f>
        <v>#VALUE!</v>
      </c>
      <c r="HM7" t="e">
        <f>'All regions'!H119+"$F;@!:Z"</f>
        <v>#VALUE!</v>
      </c>
      <c r="HN7" t="e">
        <f>'All regions'!I119+"$F;@!:["</f>
        <v>#VALUE!</v>
      </c>
      <c r="HO7" t="e">
        <f>'All regions'!A120+"$F;@!:\"</f>
        <v>#VALUE!</v>
      </c>
      <c r="HP7" t="e">
        <f>'All regions'!B120+"$F;@!:]"</f>
        <v>#VALUE!</v>
      </c>
      <c r="HQ7" t="e">
        <f>'All regions'!C120+"$F;@!:^"</f>
        <v>#VALUE!</v>
      </c>
      <c r="HR7" t="e">
        <f>'All regions'!D120+"$F;@!:_"</f>
        <v>#VALUE!</v>
      </c>
      <c r="HS7" t="e">
        <f>'All regions'!E120+"$F;@!:`"</f>
        <v>#VALUE!</v>
      </c>
      <c r="HT7" t="e">
        <f>'All regions'!F120+"$F;@!:a"</f>
        <v>#VALUE!</v>
      </c>
      <c r="HU7" t="e">
        <f>'All regions'!G120+"$F;@!:b"</f>
        <v>#VALUE!</v>
      </c>
      <c r="HV7" t="e">
        <f>'All regions'!H120+"$F;@!:c"</f>
        <v>#VALUE!</v>
      </c>
      <c r="HW7" t="e">
        <f>'All regions'!I120+"$F;@!:d"</f>
        <v>#VALUE!</v>
      </c>
      <c r="HX7" t="e">
        <f>'All regions'!A121+"$F;@!:e"</f>
        <v>#VALUE!</v>
      </c>
      <c r="HY7" t="e">
        <f>'All regions'!B121+"$F;@!:f"</f>
        <v>#VALUE!</v>
      </c>
      <c r="HZ7" t="e">
        <f>'All regions'!C121+"$F;@!:g"</f>
        <v>#VALUE!</v>
      </c>
      <c r="IA7" t="e">
        <f>'All regions'!D121+"$F;@!:h"</f>
        <v>#VALUE!</v>
      </c>
      <c r="IB7" t="e">
        <f>'All regions'!E121+"$F;@!:i"</f>
        <v>#VALUE!</v>
      </c>
      <c r="IC7" t="e">
        <f>'All regions'!F121+"$F;@!:j"</f>
        <v>#VALUE!</v>
      </c>
      <c r="ID7" t="e">
        <f>'All regions'!G121+"$F;@!:k"</f>
        <v>#VALUE!</v>
      </c>
      <c r="IE7" t="e">
        <f>'All regions'!H121+"$F;@!:l"</f>
        <v>#VALUE!</v>
      </c>
      <c r="IF7" t="e">
        <f>'All regions'!I121+"$F;@!:m"</f>
        <v>#VALUE!</v>
      </c>
      <c r="IG7" t="e">
        <f>'All regions'!A122+"$F;@!:n"</f>
        <v>#VALUE!</v>
      </c>
      <c r="IH7" t="e">
        <f>'All regions'!B122+"$F;@!:o"</f>
        <v>#VALUE!</v>
      </c>
      <c r="II7" t="e">
        <f>'All regions'!C122+"$F;@!:p"</f>
        <v>#VALUE!</v>
      </c>
      <c r="IJ7" t="e">
        <f>'All regions'!D122+"$F;@!:q"</f>
        <v>#VALUE!</v>
      </c>
      <c r="IK7" t="e">
        <f>'All regions'!E122+"$F;@!:r"</f>
        <v>#VALUE!</v>
      </c>
      <c r="IL7" t="e">
        <f>'All regions'!F122+"$F;@!:s"</f>
        <v>#VALUE!</v>
      </c>
      <c r="IM7" t="e">
        <f>'All regions'!G122+"$F;@!:t"</f>
        <v>#VALUE!</v>
      </c>
      <c r="IN7" t="e">
        <f>'All regions'!H122+"$F;@!:u"</f>
        <v>#VALUE!</v>
      </c>
      <c r="IO7" t="e">
        <f>'All regions'!I122+"$F;@!:v"</f>
        <v>#VALUE!</v>
      </c>
      <c r="IP7" t="e">
        <f>'All regions'!A123+"$F;@!:w"</f>
        <v>#VALUE!</v>
      </c>
      <c r="IQ7" t="e">
        <f>'All regions'!B123+"$F;@!:x"</f>
        <v>#VALUE!</v>
      </c>
      <c r="IR7" t="e">
        <f>'All regions'!C123+"$F;@!:y"</f>
        <v>#VALUE!</v>
      </c>
      <c r="IS7" t="e">
        <f>'All regions'!D123+"$F;@!:z"</f>
        <v>#VALUE!</v>
      </c>
      <c r="IT7" t="e">
        <f>'All regions'!E123+"$F;@!:{"</f>
        <v>#VALUE!</v>
      </c>
      <c r="IU7" t="e">
        <f>'All regions'!F123+"$F;@!:|"</f>
        <v>#VALUE!</v>
      </c>
      <c r="IV7" t="e">
        <f>'All regions'!G123+"$F;@!:}"</f>
        <v>#VALUE!</v>
      </c>
    </row>
    <row r="8" spans="1:256" x14ac:dyDescent="0.35">
      <c r="F8" t="e">
        <f>'All regions'!H123+"$F;@!:~"</f>
        <v>#VALUE!</v>
      </c>
      <c r="G8" t="e">
        <f>'All regions'!I123+"$F;@!;#"</f>
        <v>#VALUE!</v>
      </c>
      <c r="H8" t="e">
        <f>'All regions'!A124+"$F;@!;$"</f>
        <v>#VALUE!</v>
      </c>
      <c r="I8" t="e">
        <f>'All regions'!B124+"$F;@!;%"</f>
        <v>#VALUE!</v>
      </c>
      <c r="J8" t="e">
        <f>'All regions'!C124+"$F;@!;&amp;"</f>
        <v>#VALUE!</v>
      </c>
      <c r="K8" t="e">
        <f>'All regions'!D124+"$F;@!;'"</f>
        <v>#VALUE!</v>
      </c>
      <c r="L8" t="e">
        <f>'All regions'!E124+"$F;@!;("</f>
        <v>#VALUE!</v>
      </c>
      <c r="M8" t="e">
        <f>'All regions'!F124+"$F;@!;)"</f>
        <v>#VALUE!</v>
      </c>
      <c r="N8" t="e">
        <f>'All regions'!G124+"$F;@!;."</f>
        <v>#VALUE!</v>
      </c>
      <c r="O8" t="e">
        <f>'All regions'!H124+"$F;@!;/"</f>
        <v>#VALUE!</v>
      </c>
      <c r="P8" t="e">
        <f>'All regions'!I124+"$F;@!;0"</f>
        <v>#VALUE!</v>
      </c>
      <c r="Q8" t="e">
        <f>'All regions'!A125+"$F;@!;1"</f>
        <v>#VALUE!</v>
      </c>
      <c r="R8" t="e">
        <f>'All regions'!B125+"$F;@!;2"</f>
        <v>#VALUE!</v>
      </c>
      <c r="S8" t="e">
        <f>'All regions'!C125+"$F;@!;3"</f>
        <v>#VALUE!</v>
      </c>
      <c r="T8" t="e">
        <f>'All regions'!D125+"$F;@!;4"</f>
        <v>#VALUE!</v>
      </c>
      <c r="U8" t="e">
        <f>'All regions'!E125+"$F;@!;5"</f>
        <v>#VALUE!</v>
      </c>
      <c r="V8" t="e">
        <f>'All regions'!F125+"$F;@!;6"</f>
        <v>#VALUE!</v>
      </c>
      <c r="W8" t="e">
        <f>'All regions'!G125+"$F;@!;7"</f>
        <v>#VALUE!</v>
      </c>
      <c r="X8" t="e">
        <f>'All regions'!H125+"$F;@!;8"</f>
        <v>#VALUE!</v>
      </c>
      <c r="Y8" t="e">
        <f>'All regions'!I125+"$F;@!;9"</f>
        <v>#VALUE!</v>
      </c>
      <c r="Z8" t="e">
        <f>'All regions'!A126+"$F;@!;:"</f>
        <v>#VALUE!</v>
      </c>
      <c r="AA8" t="e">
        <f>'All regions'!B126+"$F;@!;;"</f>
        <v>#VALUE!</v>
      </c>
      <c r="AB8" t="e">
        <f>'All regions'!C126+"$F;@!;&lt;"</f>
        <v>#VALUE!</v>
      </c>
      <c r="AC8" t="e">
        <f>'All regions'!D126+"$F;@!;="</f>
        <v>#VALUE!</v>
      </c>
      <c r="AD8" t="e">
        <f>'All regions'!E126+"$F;@!;&gt;"</f>
        <v>#VALUE!</v>
      </c>
      <c r="AE8" t="e">
        <f>'All regions'!F126+"$F;@!;?"</f>
        <v>#VALUE!</v>
      </c>
      <c r="AF8" t="e">
        <f>'All regions'!G126+"$F;@!;@"</f>
        <v>#VALUE!</v>
      </c>
      <c r="AG8" t="e">
        <f>'All regions'!H126+"$F;@!;A"</f>
        <v>#VALUE!</v>
      </c>
      <c r="AH8" t="e">
        <f>'All regions'!I126+"$F;@!;B"</f>
        <v>#VALUE!</v>
      </c>
      <c r="AI8" t="e">
        <f>'All regions'!A127+"$F;@!;C"</f>
        <v>#VALUE!</v>
      </c>
      <c r="AJ8" t="e">
        <f>'All regions'!B127+"$F;@!;D"</f>
        <v>#VALUE!</v>
      </c>
      <c r="AK8" t="e">
        <f>'All regions'!C127+"$F;@!;E"</f>
        <v>#VALUE!</v>
      </c>
      <c r="AL8" t="e">
        <f>'All regions'!D127+"$F;@!;F"</f>
        <v>#VALUE!</v>
      </c>
      <c r="AM8" t="e">
        <f>'All regions'!E127+"$F;@!;G"</f>
        <v>#VALUE!</v>
      </c>
      <c r="AN8" t="e">
        <f>'All regions'!F127+"$F;@!;H"</f>
        <v>#VALUE!</v>
      </c>
      <c r="AO8" t="e">
        <f>'All regions'!G127+"$F;@!;I"</f>
        <v>#VALUE!</v>
      </c>
      <c r="AP8" t="e">
        <f>'All regions'!H127+"$F;@!;J"</f>
        <v>#VALUE!</v>
      </c>
      <c r="AQ8" t="e">
        <f>'All regions'!I127+"$F;@!;K"</f>
        <v>#VALUE!</v>
      </c>
      <c r="AR8" t="e">
        <f>'All regions'!A128+"$F;@!;L"</f>
        <v>#VALUE!</v>
      </c>
      <c r="AS8" t="e">
        <f>'All regions'!B128+"$F;@!;M"</f>
        <v>#VALUE!</v>
      </c>
      <c r="AT8" t="e">
        <f>'All regions'!C128+"$F;@!;N"</f>
        <v>#VALUE!</v>
      </c>
      <c r="AU8" t="e">
        <f>'All regions'!D128+"$F;@!;O"</f>
        <v>#VALUE!</v>
      </c>
      <c r="AV8" t="e">
        <f>'All regions'!E128+"$F;@!;P"</f>
        <v>#VALUE!</v>
      </c>
      <c r="AW8" t="e">
        <f>'All regions'!F128+"$F;@!;Q"</f>
        <v>#VALUE!</v>
      </c>
      <c r="AX8" t="e">
        <f>'All regions'!G128+"$F;@!;R"</f>
        <v>#VALUE!</v>
      </c>
      <c r="AY8" t="e">
        <f>'All regions'!H128+"$F;@!;S"</f>
        <v>#VALUE!</v>
      </c>
      <c r="AZ8" t="e">
        <f>'All regions'!I128+"$F;@!;T"</f>
        <v>#VALUE!</v>
      </c>
      <c r="BA8" t="e">
        <f>'All regions'!A129+"$F;@!;U"</f>
        <v>#VALUE!</v>
      </c>
      <c r="BB8" t="e">
        <f>'All regions'!B129+"$F;@!;V"</f>
        <v>#VALUE!</v>
      </c>
      <c r="BC8" t="e">
        <f>'All regions'!C129+"$F;@!;W"</f>
        <v>#VALUE!</v>
      </c>
      <c r="BD8" t="e">
        <f>'All regions'!D129+"$F;@!;X"</f>
        <v>#VALUE!</v>
      </c>
      <c r="BE8" t="e">
        <f>'All regions'!E129+"$F;@!;Y"</f>
        <v>#VALUE!</v>
      </c>
      <c r="BF8" t="e">
        <f>'All regions'!F129+"$F;@!;Z"</f>
        <v>#VALUE!</v>
      </c>
      <c r="BG8" t="e">
        <f>'All regions'!G129+"$F;@!;["</f>
        <v>#VALUE!</v>
      </c>
      <c r="BH8" t="e">
        <f>'All regions'!H129+"$F;@!;\"</f>
        <v>#VALUE!</v>
      </c>
      <c r="BI8" t="e">
        <f>'All regions'!I129+"$F;@!;]"</f>
        <v>#VALUE!</v>
      </c>
      <c r="BJ8" t="e">
        <f>'All regions'!A130+"$F;@!;^"</f>
        <v>#VALUE!</v>
      </c>
      <c r="BK8" t="e">
        <f>'All regions'!B130+"$F;@!;_"</f>
        <v>#VALUE!</v>
      </c>
      <c r="BL8" t="e">
        <f>'All regions'!C130+"$F;@!;`"</f>
        <v>#VALUE!</v>
      </c>
      <c r="BM8" t="e">
        <f>'All regions'!D130+"$F;@!;a"</f>
        <v>#VALUE!</v>
      </c>
      <c r="BN8" t="e">
        <f>'All regions'!E130+"$F;@!;b"</f>
        <v>#VALUE!</v>
      </c>
      <c r="BO8" t="e">
        <f>'All regions'!F130+"$F;@!;c"</f>
        <v>#VALUE!</v>
      </c>
      <c r="BP8" t="e">
        <f>'All regions'!G130+"$F;@!;d"</f>
        <v>#VALUE!</v>
      </c>
      <c r="BQ8" t="e">
        <f>'All regions'!H130+"$F;@!;e"</f>
        <v>#VALUE!</v>
      </c>
      <c r="BR8" t="e">
        <f>'All regions'!I130+"$F;@!;f"</f>
        <v>#VALUE!</v>
      </c>
      <c r="BS8" t="e">
        <f>'All regions'!A131+"$F;@!;g"</f>
        <v>#VALUE!</v>
      </c>
      <c r="BT8" t="e">
        <f>'All regions'!B131+"$F;@!;h"</f>
        <v>#VALUE!</v>
      </c>
      <c r="BU8" t="e">
        <f>'All regions'!C131+"$F;@!;i"</f>
        <v>#VALUE!</v>
      </c>
      <c r="BV8" t="e">
        <f>'All regions'!D131+"$F;@!;j"</f>
        <v>#VALUE!</v>
      </c>
      <c r="BW8" t="e">
        <f>'All regions'!E131+"$F;@!;k"</f>
        <v>#VALUE!</v>
      </c>
      <c r="BX8" t="e">
        <f>'All regions'!F131+"$F;@!;l"</f>
        <v>#VALUE!</v>
      </c>
      <c r="BY8" t="e">
        <f>'All regions'!G131+"$F;@!;m"</f>
        <v>#VALUE!</v>
      </c>
      <c r="BZ8" t="e">
        <f>'All regions'!H131+"$F;@!;n"</f>
        <v>#VALUE!</v>
      </c>
      <c r="CA8" t="e">
        <f>'All regions'!I131+"$F;@!;o"</f>
        <v>#VALUE!</v>
      </c>
      <c r="CB8" t="e">
        <f>'All regions'!A132+"$F;@!;p"</f>
        <v>#VALUE!</v>
      </c>
      <c r="CC8" t="e">
        <f>'All regions'!B132+"$F;@!;q"</f>
        <v>#VALUE!</v>
      </c>
      <c r="CD8" t="e">
        <f>'All regions'!C132+"$F;@!;r"</f>
        <v>#VALUE!</v>
      </c>
      <c r="CE8" t="e">
        <f>'All regions'!D132+"$F;@!;s"</f>
        <v>#VALUE!</v>
      </c>
      <c r="CF8" t="e">
        <f>'All regions'!E132+"$F;@!;t"</f>
        <v>#VALUE!</v>
      </c>
      <c r="CG8" t="e">
        <f>'All regions'!F132+"$F;@!;u"</f>
        <v>#VALUE!</v>
      </c>
      <c r="CH8" t="e">
        <f>'All regions'!G132+"$F;@!;v"</f>
        <v>#VALUE!</v>
      </c>
      <c r="CI8" t="e">
        <f>'All regions'!H132+"$F;@!;w"</f>
        <v>#VALUE!</v>
      </c>
      <c r="CJ8" t="e">
        <f>'All regions'!I132+"$F;@!;x"</f>
        <v>#VALUE!</v>
      </c>
      <c r="CK8" t="e">
        <f>'All regions'!A133+"$F;@!;y"</f>
        <v>#VALUE!</v>
      </c>
      <c r="CL8" t="e">
        <f>'All regions'!B133+"$F;@!;z"</f>
        <v>#VALUE!</v>
      </c>
      <c r="CM8" t="e">
        <f>'All regions'!C133+"$F;@!;{"</f>
        <v>#VALUE!</v>
      </c>
      <c r="CN8" t="e">
        <f>'All regions'!D133+"$F;@!;|"</f>
        <v>#VALUE!</v>
      </c>
      <c r="CO8" t="e">
        <f>'All regions'!E133+"$F;@!;}"</f>
        <v>#VALUE!</v>
      </c>
      <c r="CP8" t="e">
        <f>'All regions'!F133+"$F;@!;~"</f>
        <v>#VALUE!</v>
      </c>
      <c r="CQ8" t="e">
        <f>'All regions'!G133+"$F;@!&lt;#"</f>
        <v>#VALUE!</v>
      </c>
      <c r="CR8" t="e">
        <f>'All regions'!H133+"$F;@!&lt;$"</f>
        <v>#VALUE!</v>
      </c>
      <c r="CS8" t="e">
        <f>'All regions'!I133+"$F;@!&lt;%"</f>
        <v>#VALUE!</v>
      </c>
      <c r="CT8" t="e">
        <f>'All regions'!A134+"$F;@!&lt;&amp;"</f>
        <v>#VALUE!</v>
      </c>
      <c r="CU8" t="e">
        <f>'All regions'!B134+"$F;@!&lt;'"</f>
        <v>#VALUE!</v>
      </c>
      <c r="CV8" t="e">
        <f>'All regions'!C134+"$F;@!&lt;("</f>
        <v>#VALUE!</v>
      </c>
      <c r="CW8" t="e">
        <f>'All regions'!D134+"$F;@!&lt;)"</f>
        <v>#VALUE!</v>
      </c>
      <c r="CX8" t="e">
        <f>'All regions'!E134+"$F;@!&lt;."</f>
        <v>#VALUE!</v>
      </c>
      <c r="CY8" t="e">
        <f>'All regions'!F134+"$F;@!&lt;/"</f>
        <v>#VALUE!</v>
      </c>
      <c r="CZ8" t="e">
        <f>'All regions'!G134+"$F;@!&lt;0"</f>
        <v>#VALUE!</v>
      </c>
      <c r="DA8" t="e">
        <f>'All regions'!H134+"$F;@!&lt;1"</f>
        <v>#VALUE!</v>
      </c>
      <c r="DB8" t="e">
        <f>'All regions'!I134+"$F;@!&lt;2"</f>
        <v>#VALUE!</v>
      </c>
      <c r="DC8" t="e">
        <f>'All regions'!A135+"$F;@!&lt;3"</f>
        <v>#VALUE!</v>
      </c>
      <c r="DD8" t="e">
        <f>'All regions'!B135+"$F;@!&lt;4"</f>
        <v>#VALUE!</v>
      </c>
      <c r="DE8" t="e">
        <f>'All regions'!C135+"$F;@!&lt;5"</f>
        <v>#VALUE!</v>
      </c>
      <c r="DF8" t="e">
        <f>'All regions'!D135+"$F;@!&lt;6"</f>
        <v>#VALUE!</v>
      </c>
      <c r="DG8" t="e">
        <f>'All regions'!E135+"$F;@!&lt;7"</f>
        <v>#VALUE!</v>
      </c>
      <c r="DH8" t="e">
        <f>'All regions'!F135+"$F;@!&lt;8"</f>
        <v>#VALUE!</v>
      </c>
      <c r="DI8" t="e">
        <f>'All regions'!G135+"$F;@!&lt;9"</f>
        <v>#VALUE!</v>
      </c>
      <c r="DJ8" t="e">
        <f>'All regions'!H135+"$F;@!&lt;:"</f>
        <v>#VALUE!</v>
      </c>
      <c r="DK8" t="e">
        <f>'All regions'!I135+"$F;@!&lt;;"</f>
        <v>#VALUE!</v>
      </c>
      <c r="DL8" t="e">
        <f>'All regions'!A136+"$F;@!&lt;&lt;"</f>
        <v>#VALUE!</v>
      </c>
      <c r="DM8" t="e">
        <f>'All regions'!B136+"$F;@!&lt;="</f>
        <v>#VALUE!</v>
      </c>
      <c r="DN8" t="e">
        <f>'All regions'!C136+"$F;@!&lt;&gt;"</f>
        <v>#VALUE!</v>
      </c>
      <c r="DO8" t="e">
        <f>'All regions'!D136+"$F;@!&lt;?"</f>
        <v>#VALUE!</v>
      </c>
      <c r="DP8" t="e">
        <f>'All regions'!E136+"$F;@!&lt;@"</f>
        <v>#VALUE!</v>
      </c>
      <c r="DQ8" t="e">
        <f>'All regions'!F136+"$F;@!&lt;A"</f>
        <v>#VALUE!</v>
      </c>
      <c r="DR8" t="e">
        <f>'All regions'!G136+"$F;@!&lt;B"</f>
        <v>#VALUE!</v>
      </c>
      <c r="DS8" t="e">
        <f>'All regions'!H136+"$F;@!&lt;C"</f>
        <v>#VALUE!</v>
      </c>
      <c r="DT8" t="e">
        <f>'All regions'!I136+"$F;@!&lt;D"</f>
        <v>#VALUE!</v>
      </c>
      <c r="DU8" t="e">
        <f>'All regions'!A137+"$F;@!&lt;E"</f>
        <v>#VALUE!</v>
      </c>
      <c r="DV8" t="e">
        <f>'All regions'!B137+"$F;@!&lt;F"</f>
        <v>#VALUE!</v>
      </c>
      <c r="DW8" t="e">
        <f>'All regions'!C137+"$F;@!&lt;G"</f>
        <v>#VALUE!</v>
      </c>
      <c r="DX8" t="e">
        <f>'All regions'!D137+"$F;@!&lt;H"</f>
        <v>#VALUE!</v>
      </c>
      <c r="DY8" t="e">
        <f>'All regions'!E137+"$F;@!&lt;I"</f>
        <v>#VALUE!</v>
      </c>
      <c r="DZ8" t="e">
        <f>'All regions'!F137+"$F;@!&lt;J"</f>
        <v>#VALUE!</v>
      </c>
      <c r="EA8" t="e">
        <f>'All regions'!G137+"$F;@!&lt;K"</f>
        <v>#VALUE!</v>
      </c>
      <c r="EB8" t="e">
        <f>'All regions'!H137+"$F;@!&lt;L"</f>
        <v>#VALUE!</v>
      </c>
      <c r="EC8" t="e">
        <f>'All regions'!I137+"$F;@!&lt;M"</f>
        <v>#VALUE!</v>
      </c>
      <c r="ED8" t="e">
        <f>'All regions'!A138+"$F;@!&lt;N"</f>
        <v>#VALUE!</v>
      </c>
      <c r="EE8" t="e">
        <f>'All regions'!B138+"$F;@!&lt;O"</f>
        <v>#VALUE!</v>
      </c>
      <c r="EF8" t="e">
        <f>'All regions'!C138+"$F;@!&lt;P"</f>
        <v>#VALUE!</v>
      </c>
      <c r="EG8" t="e">
        <f>'All regions'!D138+"$F;@!&lt;Q"</f>
        <v>#VALUE!</v>
      </c>
      <c r="EH8" t="e">
        <f>'All regions'!E138+"$F;@!&lt;R"</f>
        <v>#VALUE!</v>
      </c>
      <c r="EI8" t="e">
        <f>'All regions'!F138+"$F;@!&lt;S"</f>
        <v>#VALUE!</v>
      </c>
      <c r="EJ8" t="e">
        <f>'All regions'!G138+"$F;@!&lt;T"</f>
        <v>#VALUE!</v>
      </c>
      <c r="EK8" t="e">
        <f>'All regions'!H138+"$F;@!&lt;U"</f>
        <v>#VALUE!</v>
      </c>
      <c r="EL8" t="e">
        <f>'All regions'!I138+"$F;@!&lt;V"</f>
        <v>#VALUE!</v>
      </c>
      <c r="EM8" t="e">
        <f>'All regions'!A139+"$F;@!&lt;W"</f>
        <v>#VALUE!</v>
      </c>
      <c r="EN8" t="e">
        <f>'All regions'!B139+"$F;@!&lt;X"</f>
        <v>#VALUE!</v>
      </c>
      <c r="EO8" t="e">
        <f>'All regions'!C139+"$F;@!&lt;Y"</f>
        <v>#VALUE!</v>
      </c>
      <c r="EP8" t="e">
        <f>'All regions'!D139+"$F;@!&lt;Z"</f>
        <v>#VALUE!</v>
      </c>
      <c r="EQ8" t="e">
        <f>'All regions'!E139+"$F;@!&lt;["</f>
        <v>#VALUE!</v>
      </c>
      <c r="ER8" t="e">
        <f>'All regions'!F139+"$F;@!&lt;\"</f>
        <v>#VALUE!</v>
      </c>
      <c r="ES8" t="e">
        <f>'All regions'!G139+"$F;@!&lt;]"</f>
        <v>#VALUE!</v>
      </c>
      <c r="ET8" t="e">
        <f>'All regions'!H139+"$F;@!&lt;^"</f>
        <v>#VALUE!</v>
      </c>
      <c r="EU8" t="e">
        <f>'All regions'!I139+"$F;@!&lt;_"</f>
        <v>#VALUE!</v>
      </c>
      <c r="EV8" t="e">
        <f>'All regions'!A140+"$F;@!&lt;`"</f>
        <v>#VALUE!</v>
      </c>
      <c r="EW8" t="e">
        <f>'All regions'!B140+"$F;@!&lt;a"</f>
        <v>#VALUE!</v>
      </c>
      <c r="EX8" t="e">
        <f>'All regions'!C140+"$F;@!&lt;b"</f>
        <v>#VALUE!</v>
      </c>
      <c r="EY8" t="e">
        <f>'All regions'!D140+"$F;@!&lt;c"</f>
        <v>#VALUE!</v>
      </c>
      <c r="EZ8" t="e">
        <f>'All regions'!E140+"$F;@!&lt;d"</f>
        <v>#VALUE!</v>
      </c>
      <c r="FA8" t="e">
        <f>'All regions'!F140+"$F;@!&lt;e"</f>
        <v>#VALUE!</v>
      </c>
      <c r="FB8" t="e">
        <f>'All regions'!G140+"$F;@!&lt;f"</f>
        <v>#VALUE!</v>
      </c>
      <c r="FC8" t="e">
        <f>'All regions'!H140+"$F;@!&lt;g"</f>
        <v>#VALUE!</v>
      </c>
      <c r="FD8" t="e">
        <f>'All regions'!I140+"$F;@!&lt;h"</f>
        <v>#VALUE!</v>
      </c>
      <c r="FE8" t="e">
        <f>'All regions'!A141+"$F;@!&lt;i"</f>
        <v>#VALUE!</v>
      </c>
      <c r="FF8" t="e">
        <f>'All regions'!B141+"$F;@!&lt;j"</f>
        <v>#VALUE!</v>
      </c>
      <c r="FG8" t="e">
        <f>'All regions'!C141+"$F;@!&lt;k"</f>
        <v>#VALUE!</v>
      </c>
      <c r="FH8" t="e">
        <f>'All regions'!D141+"$F;@!&lt;l"</f>
        <v>#VALUE!</v>
      </c>
      <c r="FI8" t="e">
        <f>'All regions'!E141+"$F;@!&lt;m"</f>
        <v>#VALUE!</v>
      </c>
      <c r="FJ8" t="e">
        <f>'All regions'!F141+"$F;@!&lt;n"</f>
        <v>#VALUE!</v>
      </c>
      <c r="FK8" t="e">
        <f>'All regions'!G141+"$F;@!&lt;o"</f>
        <v>#VALUE!</v>
      </c>
      <c r="FL8" t="e">
        <f>'All regions'!H141+"$F;@!&lt;p"</f>
        <v>#VALUE!</v>
      </c>
      <c r="FM8" t="e">
        <f>'All regions'!I141+"$F;@!&lt;q"</f>
        <v>#VALUE!</v>
      </c>
      <c r="FN8" t="e">
        <f>'All regions'!A142+"$F;@!&lt;r"</f>
        <v>#VALUE!</v>
      </c>
      <c r="FO8" t="e">
        <f>'All regions'!B142+"$F;@!&lt;s"</f>
        <v>#VALUE!</v>
      </c>
      <c r="FP8" t="e">
        <f>'All regions'!C142+"$F;@!&lt;t"</f>
        <v>#VALUE!</v>
      </c>
      <c r="FQ8" t="e">
        <f>'All regions'!D142+"$F;@!&lt;u"</f>
        <v>#VALUE!</v>
      </c>
      <c r="FR8" t="e">
        <f>'All regions'!E142+"$F;@!&lt;v"</f>
        <v>#VALUE!</v>
      </c>
      <c r="FS8" t="e">
        <f>'All regions'!F142+"$F;@!&lt;w"</f>
        <v>#VALUE!</v>
      </c>
      <c r="FT8" t="e">
        <f>'All regions'!G142+"$F;@!&lt;x"</f>
        <v>#VALUE!</v>
      </c>
      <c r="FU8" t="e">
        <f>'All regions'!H142+"$F;@!&lt;y"</f>
        <v>#VALUE!</v>
      </c>
      <c r="FV8" t="e">
        <f>'All regions'!I142+"$F;@!&lt;z"</f>
        <v>#VALUE!</v>
      </c>
      <c r="FW8" t="e">
        <f>'All regions'!A143+"$F;@!&lt;{"</f>
        <v>#VALUE!</v>
      </c>
      <c r="FX8" t="e">
        <f>'All regions'!B143+"$F;@!&lt;|"</f>
        <v>#VALUE!</v>
      </c>
      <c r="FY8" t="e">
        <f>'All regions'!C143+"$F;@!&lt;}"</f>
        <v>#VALUE!</v>
      </c>
      <c r="FZ8" t="e">
        <f>'All regions'!D143+"$F;@!&lt;~"</f>
        <v>#VALUE!</v>
      </c>
      <c r="GA8" t="e">
        <f>'All regions'!E143+"$F;@!=#"</f>
        <v>#VALUE!</v>
      </c>
      <c r="GB8" t="e">
        <f>'All regions'!F143+"$F;@!=$"</f>
        <v>#VALUE!</v>
      </c>
      <c r="GC8" t="e">
        <f>'All regions'!G143+"$F;@!=%"</f>
        <v>#VALUE!</v>
      </c>
      <c r="GD8" t="e">
        <f>'All regions'!H143+"$F;@!=&amp;"</f>
        <v>#VALUE!</v>
      </c>
      <c r="GE8" t="e">
        <f>'All regions'!I143+"$F;@!='"</f>
        <v>#VALUE!</v>
      </c>
      <c r="GF8" t="e">
        <f>'All regions'!A144+"$F;@!=("</f>
        <v>#VALUE!</v>
      </c>
      <c r="GG8" t="e">
        <f>'All regions'!B144+"$F;@!=)"</f>
        <v>#VALUE!</v>
      </c>
      <c r="GH8" t="e">
        <f>'All regions'!C144+"$F;@!=."</f>
        <v>#VALUE!</v>
      </c>
      <c r="GI8" t="e">
        <f>'All regions'!D144+"$F;@!=/"</f>
        <v>#VALUE!</v>
      </c>
      <c r="GJ8" t="e">
        <f>'All regions'!E144+"$F;@!=0"</f>
        <v>#VALUE!</v>
      </c>
      <c r="GK8" t="e">
        <f>'All regions'!F144+"$F;@!=1"</f>
        <v>#VALUE!</v>
      </c>
      <c r="GL8" t="e">
        <f>'All regions'!G144+"$F;@!=2"</f>
        <v>#VALUE!</v>
      </c>
      <c r="GM8" t="e">
        <f>'All regions'!H144+"$F;@!=3"</f>
        <v>#VALUE!</v>
      </c>
      <c r="GN8" t="e">
        <f>'All regions'!I144+"$F;@!=4"</f>
        <v>#VALUE!</v>
      </c>
      <c r="GO8" t="e">
        <f>'All regions'!A145+"$F;@!=5"</f>
        <v>#VALUE!</v>
      </c>
      <c r="GP8" t="e">
        <f>'All regions'!B145+"$F;@!=6"</f>
        <v>#VALUE!</v>
      </c>
      <c r="GQ8" t="e">
        <f>'All regions'!C145+"$F;@!=7"</f>
        <v>#VALUE!</v>
      </c>
      <c r="GR8" t="e">
        <f>'All regions'!D145+"$F;@!=8"</f>
        <v>#VALUE!</v>
      </c>
      <c r="GS8" t="e">
        <f>'All regions'!E145+"$F;@!=9"</f>
        <v>#VALUE!</v>
      </c>
      <c r="GT8" t="e">
        <f>'All regions'!F145+"$F;@!=:"</f>
        <v>#VALUE!</v>
      </c>
      <c r="GU8" t="e">
        <f>'All regions'!G145+"$F;@!=;"</f>
        <v>#VALUE!</v>
      </c>
      <c r="GV8" t="e">
        <f>'All regions'!H145+"$F;@!=&lt;"</f>
        <v>#VALUE!</v>
      </c>
      <c r="GW8" t="e">
        <f>'All regions'!I145+"$F;@!=="</f>
        <v>#VALUE!</v>
      </c>
      <c r="GX8" t="e">
        <f>'All regions'!A146+"$F;@!=&gt;"</f>
        <v>#VALUE!</v>
      </c>
      <c r="GY8" t="e">
        <f>'All regions'!B146+"$F;@!=?"</f>
        <v>#VALUE!</v>
      </c>
      <c r="GZ8" t="e">
        <f>'All regions'!C146+"$F;@!=@"</f>
        <v>#VALUE!</v>
      </c>
      <c r="HA8" t="e">
        <f>'All regions'!D146+"$F;@!=A"</f>
        <v>#VALUE!</v>
      </c>
      <c r="HB8" t="e">
        <f>'All regions'!E146+"$F;@!=B"</f>
        <v>#VALUE!</v>
      </c>
      <c r="HC8" t="e">
        <f>'All regions'!F146+"$F;@!=C"</f>
        <v>#VALUE!</v>
      </c>
      <c r="HD8" t="e">
        <f>'All regions'!G146+"$F;@!=D"</f>
        <v>#VALUE!</v>
      </c>
      <c r="HE8" t="e">
        <f>'All regions'!H146+"$F;@!=E"</f>
        <v>#VALUE!</v>
      </c>
      <c r="HF8" t="e">
        <f>'All regions'!I146+"$F;@!=F"</f>
        <v>#VALUE!</v>
      </c>
      <c r="HG8" t="e">
        <f>'All regions'!A147+"$F;@!=G"</f>
        <v>#VALUE!</v>
      </c>
      <c r="HH8" t="e">
        <f>'All regions'!B147+"$F;@!=H"</f>
        <v>#VALUE!</v>
      </c>
      <c r="HI8" t="e">
        <f>'All regions'!C147+"$F;@!=I"</f>
        <v>#VALUE!</v>
      </c>
      <c r="HJ8" t="e">
        <f>'All regions'!D147+"$F;@!=J"</f>
        <v>#VALUE!</v>
      </c>
      <c r="HK8" t="e">
        <f>'All regions'!E147+"$F;@!=K"</f>
        <v>#VALUE!</v>
      </c>
      <c r="HL8" t="e">
        <f>'All regions'!F147+"$F;@!=L"</f>
        <v>#VALUE!</v>
      </c>
      <c r="HM8" t="e">
        <f>'All regions'!G147+"$F;@!=M"</f>
        <v>#VALUE!</v>
      </c>
      <c r="HN8" t="e">
        <f>'All regions'!H147+"$F;@!=N"</f>
        <v>#VALUE!</v>
      </c>
      <c r="HO8" t="e">
        <f>'All regions'!I147+"$F;@!=O"</f>
        <v>#VALUE!</v>
      </c>
      <c r="HP8" t="e">
        <f>'All regions'!A148+"$F;@!=P"</f>
        <v>#VALUE!</v>
      </c>
      <c r="HQ8" t="e">
        <f>'All regions'!B148+"$F;@!=Q"</f>
        <v>#VALUE!</v>
      </c>
      <c r="HR8" t="e">
        <f>'All regions'!C148+"$F;@!=R"</f>
        <v>#VALUE!</v>
      </c>
      <c r="HS8" t="e">
        <f>'All regions'!D148+"$F;@!=S"</f>
        <v>#VALUE!</v>
      </c>
      <c r="HT8" t="e">
        <f>'All regions'!E148+"$F;@!=T"</f>
        <v>#VALUE!</v>
      </c>
      <c r="HU8" t="e">
        <f>'All regions'!F148+"$F;@!=U"</f>
        <v>#VALUE!</v>
      </c>
      <c r="HV8" t="e">
        <f>'All regions'!G148+"$F;@!=V"</f>
        <v>#VALUE!</v>
      </c>
      <c r="HW8" t="e">
        <f>'All regions'!H148+"$F;@!=W"</f>
        <v>#VALUE!</v>
      </c>
      <c r="HX8" t="e">
        <f>'All regions'!I148+"$F;@!=X"</f>
        <v>#VALUE!</v>
      </c>
      <c r="HY8" t="e">
        <f>'All regions'!A149+"$F;@!=Y"</f>
        <v>#VALUE!</v>
      </c>
      <c r="HZ8" t="e">
        <f>'All regions'!B149+"$F;@!=Z"</f>
        <v>#VALUE!</v>
      </c>
      <c r="IA8" t="e">
        <f>'All regions'!C149+"$F;@!=["</f>
        <v>#VALUE!</v>
      </c>
      <c r="IB8" t="e">
        <f>'All regions'!D149+"$F;@!=\"</f>
        <v>#VALUE!</v>
      </c>
      <c r="IC8" t="e">
        <f>'All regions'!E149+"$F;@!=]"</f>
        <v>#VALUE!</v>
      </c>
      <c r="ID8" t="e">
        <f>'All regions'!F149+"$F;@!=^"</f>
        <v>#VALUE!</v>
      </c>
      <c r="IE8" t="e">
        <f>'All regions'!G149+"$F;@!=_"</f>
        <v>#VALUE!</v>
      </c>
      <c r="IF8" t="e">
        <f>'All regions'!H149+"$F;@!=`"</f>
        <v>#VALUE!</v>
      </c>
      <c r="IG8" t="e">
        <f>'All regions'!I149+"$F;@!=a"</f>
        <v>#VALUE!</v>
      </c>
      <c r="IH8" t="e">
        <f>'All regions'!A150+"$F;@!=b"</f>
        <v>#VALUE!</v>
      </c>
      <c r="II8" t="e">
        <f>'All regions'!B150+"$F;@!=c"</f>
        <v>#VALUE!</v>
      </c>
      <c r="IJ8" t="e">
        <f>'All regions'!C150+"$F;@!=d"</f>
        <v>#VALUE!</v>
      </c>
      <c r="IK8" t="e">
        <f>'All regions'!D150+"$F;@!=e"</f>
        <v>#VALUE!</v>
      </c>
      <c r="IL8" t="e">
        <f>'All regions'!E150+"$F;@!=f"</f>
        <v>#VALUE!</v>
      </c>
      <c r="IM8" t="e">
        <f>'All regions'!F150+"$F;@!=g"</f>
        <v>#VALUE!</v>
      </c>
      <c r="IN8" t="e">
        <f>'All regions'!G150+"$F;@!=h"</f>
        <v>#VALUE!</v>
      </c>
      <c r="IO8" t="e">
        <f>'All regions'!H150+"$F;@!=i"</f>
        <v>#VALUE!</v>
      </c>
      <c r="IP8" t="e">
        <f>'All regions'!I150+"$F;@!=j"</f>
        <v>#VALUE!</v>
      </c>
      <c r="IQ8" t="e">
        <f>'All regions'!A151+"$F;@!=k"</f>
        <v>#VALUE!</v>
      </c>
      <c r="IR8" t="e">
        <f>'All regions'!B151+"$F;@!=l"</f>
        <v>#VALUE!</v>
      </c>
      <c r="IS8" t="e">
        <f>'All regions'!C151+"$F;@!=m"</f>
        <v>#VALUE!</v>
      </c>
      <c r="IT8" t="e">
        <f>'All regions'!D151+"$F;@!=n"</f>
        <v>#VALUE!</v>
      </c>
      <c r="IU8" t="e">
        <f>'All regions'!E151+"$F;@!=o"</f>
        <v>#VALUE!</v>
      </c>
      <c r="IV8" t="e">
        <f>'All regions'!F151+"$F;@!=p"</f>
        <v>#VALUE!</v>
      </c>
    </row>
    <row r="9" spans="1:256" x14ac:dyDescent="0.35">
      <c r="F9" t="e">
        <f>'All regions'!G151+"$F;@!=q"</f>
        <v>#VALUE!</v>
      </c>
      <c r="G9" t="e">
        <f>'All regions'!H151+"$F;@!=r"</f>
        <v>#VALUE!</v>
      </c>
      <c r="H9" t="e">
        <f>'All regions'!I151+"$F;@!=s"</f>
        <v>#VALUE!</v>
      </c>
      <c r="I9" t="e">
        <f>'All regions'!A152+"$F;@!=t"</f>
        <v>#VALUE!</v>
      </c>
      <c r="J9" t="e">
        <f>'All regions'!B152+"$F;@!=u"</f>
        <v>#VALUE!</v>
      </c>
      <c r="K9" t="e">
        <f>'All regions'!C152+"$F;@!=v"</f>
        <v>#VALUE!</v>
      </c>
      <c r="L9" t="e">
        <f>'All regions'!D152+"$F;@!=w"</f>
        <v>#VALUE!</v>
      </c>
      <c r="M9" t="e">
        <f>'All regions'!E152+"$F;@!=x"</f>
        <v>#VALUE!</v>
      </c>
      <c r="N9" t="e">
        <f>'All regions'!F152+"$F;@!=y"</f>
        <v>#VALUE!</v>
      </c>
      <c r="O9" t="e">
        <f>'All regions'!G152+"$F;@!=z"</f>
        <v>#VALUE!</v>
      </c>
      <c r="P9" t="e">
        <f>'All regions'!H152+"$F;@!={"</f>
        <v>#VALUE!</v>
      </c>
      <c r="Q9" t="e">
        <f>'All regions'!I152+"$F;@!=|"</f>
        <v>#VALUE!</v>
      </c>
      <c r="R9" t="e">
        <f>'All regions'!A153+"$F;@!=}"</f>
        <v>#VALUE!</v>
      </c>
      <c r="S9" t="e">
        <f>'All regions'!B153+"$F;@!=~"</f>
        <v>#VALUE!</v>
      </c>
      <c r="T9" t="e">
        <f>'All regions'!C153+"$F;@!&gt;#"</f>
        <v>#VALUE!</v>
      </c>
      <c r="U9" t="e">
        <f>'All regions'!D153+"$F;@!&gt;$"</f>
        <v>#VALUE!</v>
      </c>
      <c r="V9" t="e">
        <f>'All regions'!E153+"$F;@!&gt;%"</f>
        <v>#VALUE!</v>
      </c>
      <c r="W9" t="e">
        <f>'All regions'!F153+"$F;@!&gt;&amp;"</f>
        <v>#VALUE!</v>
      </c>
      <c r="X9" t="e">
        <f>'All regions'!G153+"$F;@!&gt;'"</f>
        <v>#VALUE!</v>
      </c>
      <c r="Y9" t="e">
        <f>'All regions'!H153+"$F;@!&gt;("</f>
        <v>#VALUE!</v>
      </c>
      <c r="Z9" t="e">
        <f>'All regions'!I153+"$F;@!&gt;)"</f>
        <v>#VALUE!</v>
      </c>
      <c r="AA9" t="e">
        <f>'All regions'!A154+"$F;@!&gt;."</f>
        <v>#VALUE!</v>
      </c>
      <c r="AB9" t="e">
        <f>'All regions'!B154+"$F;@!&gt;/"</f>
        <v>#VALUE!</v>
      </c>
      <c r="AC9" t="e">
        <f>'All regions'!C154+"$F;@!&gt;0"</f>
        <v>#VALUE!</v>
      </c>
      <c r="AD9" t="e">
        <f>'All regions'!D154+"$F;@!&gt;1"</f>
        <v>#VALUE!</v>
      </c>
      <c r="AE9" t="e">
        <f>'All regions'!E154+"$F;@!&gt;2"</f>
        <v>#VALUE!</v>
      </c>
      <c r="AF9" t="e">
        <f>'All regions'!F154+"$F;@!&gt;3"</f>
        <v>#VALUE!</v>
      </c>
      <c r="AG9" t="e">
        <f>'All regions'!G154+"$F;@!&gt;4"</f>
        <v>#VALUE!</v>
      </c>
      <c r="AH9" t="e">
        <f>'All regions'!H154+"$F;@!&gt;5"</f>
        <v>#VALUE!</v>
      </c>
      <c r="AI9" t="e">
        <f>'All regions'!I154+"$F;@!&gt;6"</f>
        <v>#VALUE!</v>
      </c>
      <c r="AJ9" t="e">
        <f>'All regions'!A155+"$F;@!&gt;7"</f>
        <v>#VALUE!</v>
      </c>
      <c r="AK9" t="e">
        <f>'All regions'!B155+"$F;@!&gt;8"</f>
        <v>#VALUE!</v>
      </c>
      <c r="AL9" t="e">
        <f>'All regions'!C155+"$F;@!&gt;9"</f>
        <v>#VALUE!</v>
      </c>
      <c r="AM9" t="e">
        <f>'All regions'!D155+"$F;@!&gt;:"</f>
        <v>#VALUE!</v>
      </c>
      <c r="AN9" t="e">
        <f>'All regions'!E155+"$F;@!&gt;;"</f>
        <v>#VALUE!</v>
      </c>
      <c r="AO9" t="e">
        <f>'All regions'!F155+"$F;@!&gt;&lt;"</f>
        <v>#VALUE!</v>
      </c>
      <c r="AP9" t="e">
        <f>'All regions'!G155+"$F;@!&gt;="</f>
        <v>#VALUE!</v>
      </c>
      <c r="AQ9" t="e">
        <f>'All regions'!H155+"$F;@!&gt;&gt;"</f>
        <v>#VALUE!</v>
      </c>
      <c r="AR9" t="e">
        <f>'All regions'!I155+"$F;@!&gt;?"</f>
        <v>#VALUE!</v>
      </c>
      <c r="AS9" t="e">
        <f>'All regions'!A156+"$F;@!&gt;@"</f>
        <v>#VALUE!</v>
      </c>
      <c r="AT9" t="e">
        <f>'All regions'!B156+"$F;@!&gt;A"</f>
        <v>#VALUE!</v>
      </c>
      <c r="AU9" t="e">
        <f>'All regions'!C156+"$F;@!&gt;B"</f>
        <v>#VALUE!</v>
      </c>
      <c r="AV9" t="e">
        <f>'All regions'!D156+"$F;@!&gt;C"</f>
        <v>#VALUE!</v>
      </c>
      <c r="AW9" t="e">
        <f>'All regions'!E156+"$F;@!&gt;D"</f>
        <v>#VALUE!</v>
      </c>
      <c r="AX9" t="e">
        <f>'All regions'!F156+"$F;@!&gt;E"</f>
        <v>#VALUE!</v>
      </c>
      <c r="AY9" t="e">
        <f>'All regions'!G156+"$F;@!&gt;F"</f>
        <v>#VALUE!</v>
      </c>
      <c r="AZ9" t="e">
        <f>'All regions'!H156+"$F;@!&gt;G"</f>
        <v>#VALUE!</v>
      </c>
      <c r="BA9" t="e">
        <f>'All regions'!I156+"$F;@!&gt;H"</f>
        <v>#VALUE!</v>
      </c>
      <c r="BB9" t="e">
        <f>'All regions'!A157+"$F;@!&gt;I"</f>
        <v>#VALUE!</v>
      </c>
      <c r="BC9" t="e">
        <f>'All regions'!B157+"$F;@!&gt;J"</f>
        <v>#VALUE!</v>
      </c>
      <c r="BD9" t="e">
        <f>'All regions'!C157+"$F;@!&gt;K"</f>
        <v>#VALUE!</v>
      </c>
      <c r="BE9" t="e">
        <f>'All regions'!D157+"$F;@!&gt;L"</f>
        <v>#VALUE!</v>
      </c>
      <c r="BF9" t="e">
        <f>'All regions'!E157+"$F;@!&gt;M"</f>
        <v>#VALUE!</v>
      </c>
      <c r="BG9" t="e">
        <f>'All regions'!F157+"$F;@!&gt;N"</f>
        <v>#VALUE!</v>
      </c>
      <c r="BH9" t="e">
        <f>'All regions'!G157+"$F;@!&gt;O"</f>
        <v>#VALUE!</v>
      </c>
      <c r="BI9" t="e">
        <f>'All regions'!H157+"$F;@!&gt;P"</f>
        <v>#VALUE!</v>
      </c>
      <c r="BJ9" t="e">
        <f>'All regions'!I157+"$F;@!&gt;Q"</f>
        <v>#VALUE!</v>
      </c>
      <c r="BK9" t="e">
        <f>'All regions'!A158+"$F;@!&gt;R"</f>
        <v>#VALUE!</v>
      </c>
      <c r="BL9" t="e">
        <f>'All regions'!B158+"$F;@!&gt;S"</f>
        <v>#VALUE!</v>
      </c>
      <c r="BM9" t="e">
        <f>'All regions'!C158+"$F;@!&gt;T"</f>
        <v>#VALUE!</v>
      </c>
      <c r="BN9" t="e">
        <f>'All regions'!D158+"$F;@!&gt;U"</f>
        <v>#VALUE!</v>
      </c>
      <c r="BO9" t="e">
        <f>'All regions'!E158+"$F;@!&gt;V"</f>
        <v>#VALUE!</v>
      </c>
      <c r="BP9" t="e">
        <f>'All regions'!F158+"$F;@!&gt;W"</f>
        <v>#VALUE!</v>
      </c>
      <c r="BQ9" t="e">
        <f>'All regions'!G158+"$F;@!&gt;X"</f>
        <v>#VALUE!</v>
      </c>
      <c r="BR9" t="e">
        <f>'All regions'!H158+"$F;@!&gt;Y"</f>
        <v>#VALUE!</v>
      </c>
      <c r="BS9" t="e">
        <f>'All regions'!I158+"$F;@!&gt;Z"</f>
        <v>#VALUE!</v>
      </c>
      <c r="BT9" t="e">
        <f>'All regions'!A159+"$F;@!&gt;["</f>
        <v>#VALUE!</v>
      </c>
      <c r="BU9" t="e">
        <f>'All regions'!B159+"$F;@!&gt;\"</f>
        <v>#VALUE!</v>
      </c>
      <c r="BV9" t="e">
        <f>'All regions'!C159+"$F;@!&gt;]"</f>
        <v>#VALUE!</v>
      </c>
      <c r="BW9" t="e">
        <f>'All regions'!D159+"$F;@!&gt;^"</f>
        <v>#VALUE!</v>
      </c>
      <c r="BX9" t="e">
        <f>'All regions'!E159+"$F;@!&gt;_"</f>
        <v>#VALUE!</v>
      </c>
      <c r="BY9" t="e">
        <f>'All regions'!F159+"$F;@!&gt;`"</f>
        <v>#VALUE!</v>
      </c>
      <c r="BZ9" t="e">
        <f>'All regions'!G159+"$F;@!&gt;a"</f>
        <v>#VALUE!</v>
      </c>
      <c r="CA9" t="e">
        <f>'All regions'!H159+"$F;@!&gt;b"</f>
        <v>#VALUE!</v>
      </c>
      <c r="CB9" t="e">
        <f>'All regions'!I159+"$F;@!&gt;c"</f>
        <v>#VALUE!</v>
      </c>
      <c r="CC9" t="e">
        <f>'All regions'!A160+"$F;@!&gt;d"</f>
        <v>#VALUE!</v>
      </c>
      <c r="CD9" t="e">
        <f>'All regions'!B160+"$F;@!&gt;e"</f>
        <v>#VALUE!</v>
      </c>
      <c r="CE9" t="e">
        <f>'All regions'!C160+"$F;@!&gt;f"</f>
        <v>#VALUE!</v>
      </c>
      <c r="CF9" t="e">
        <f>'All regions'!D160+"$F;@!&gt;g"</f>
        <v>#VALUE!</v>
      </c>
      <c r="CG9" t="e">
        <f>'All regions'!E160+"$F;@!&gt;h"</f>
        <v>#VALUE!</v>
      </c>
      <c r="CH9" t="e">
        <f>'All regions'!F160+"$F;@!&gt;i"</f>
        <v>#VALUE!</v>
      </c>
      <c r="CI9" t="e">
        <f>'All regions'!G160+"$F;@!&gt;j"</f>
        <v>#VALUE!</v>
      </c>
      <c r="CJ9" t="e">
        <f>'All regions'!H160+"$F;@!&gt;k"</f>
        <v>#VALUE!</v>
      </c>
      <c r="CK9" t="e">
        <f>'All regions'!I160+"$F;@!&gt;l"</f>
        <v>#VALUE!</v>
      </c>
      <c r="CL9" t="e">
        <f>'All regions'!A161+"$F;@!&gt;m"</f>
        <v>#VALUE!</v>
      </c>
      <c r="CM9" t="e">
        <f>'All regions'!B161+"$F;@!&gt;n"</f>
        <v>#VALUE!</v>
      </c>
      <c r="CN9" t="e">
        <f>'All regions'!C161+"$F;@!&gt;o"</f>
        <v>#VALUE!</v>
      </c>
      <c r="CO9" t="e">
        <f>'All regions'!D161+"$F;@!&gt;p"</f>
        <v>#VALUE!</v>
      </c>
      <c r="CP9" t="e">
        <f>'All regions'!E161+"$F;@!&gt;q"</f>
        <v>#VALUE!</v>
      </c>
      <c r="CQ9" t="e">
        <f>'All regions'!F161+"$F;@!&gt;r"</f>
        <v>#VALUE!</v>
      </c>
      <c r="CR9" t="e">
        <f>'All regions'!G161+"$F;@!&gt;s"</f>
        <v>#VALUE!</v>
      </c>
      <c r="CS9" t="e">
        <f>'All regions'!H161+"$F;@!&gt;t"</f>
        <v>#VALUE!</v>
      </c>
      <c r="CT9" t="e">
        <f>'All regions'!I161+"$F;@!&gt;u"</f>
        <v>#VALUE!</v>
      </c>
      <c r="CU9" t="e">
        <f>'All regions'!A162+"$F;@!&gt;v"</f>
        <v>#VALUE!</v>
      </c>
      <c r="CV9" t="e">
        <f>'All regions'!B162+"$F;@!&gt;w"</f>
        <v>#VALUE!</v>
      </c>
      <c r="CW9" t="e">
        <f>'All regions'!C162+"$F;@!&gt;x"</f>
        <v>#VALUE!</v>
      </c>
      <c r="CX9" t="e">
        <f>'All regions'!D162+"$F;@!&gt;y"</f>
        <v>#VALUE!</v>
      </c>
      <c r="CY9" t="e">
        <f>'All regions'!E162+"$F;@!&gt;z"</f>
        <v>#VALUE!</v>
      </c>
      <c r="CZ9" t="e">
        <f>'All regions'!F162+"$F;@!&gt;{"</f>
        <v>#VALUE!</v>
      </c>
      <c r="DA9" t="e">
        <f>'All regions'!G162+"$F;@!&gt;|"</f>
        <v>#VALUE!</v>
      </c>
      <c r="DB9" t="e">
        <f>'All regions'!H162+"$F;@!&gt;}"</f>
        <v>#VALUE!</v>
      </c>
      <c r="DC9" t="e">
        <f>'All regions'!I162+"$F;@!&gt;~"</f>
        <v>#VALUE!</v>
      </c>
      <c r="DD9" t="e">
        <f>'All regions'!A163+"$F;@!?#"</f>
        <v>#VALUE!</v>
      </c>
      <c r="DE9" t="e">
        <f>'All regions'!B163+"$F;@!?$"</f>
        <v>#VALUE!</v>
      </c>
      <c r="DF9" t="e">
        <f>'All regions'!C163+"$F;@!?%"</f>
        <v>#VALUE!</v>
      </c>
      <c r="DG9" t="e">
        <f>'All regions'!D163+"$F;@!?&amp;"</f>
        <v>#VALUE!</v>
      </c>
      <c r="DH9" t="e">
        <f>'All regions'!E163+"$F;@!?'"</f>
        <v>#VALUE!</v>
      </c>
      <c r="DI9" t="e">
        <f>'All regions'!F163+"$F;@!?("</f>
        <v>#VALUE!</v>
      </c>
      <c r="DJ9" t="e">
        <f>'All regions'!G163+"$F;@!?)"</f>
        <v>#VALUE!</v>
      </c>
      <c r="DK9" t="e">
        <f>'All regions'!H163+"$F;@!?."</f>
        <v>#VALUE!</v>
      </c>
      <c r="DL9" t="e">
        <f>'All regions'!I163+"$F;@!?/"</f>
        <v>#VALUE!</v>
      </c>
      <c r="DM9" t="e">
        <f>'All regions'!A164+"$F;@!?0"</f>
        <v>#VALUE!</v>
      </c>
      <c r="DN9" t="e">
        <f>'All regions'!B164+"$F;@!?1"</f>
        <v>#VALUE!</v>
      </c>
      <c r="DO9" t="e">
        <f>'All regions'!C164+"$F;@!?2"</f>
        <v>#VALUE!</v>
      </c>
      <c r="DP9" t="e">
        <f>'All regions'!D164+"$F;@!?3"</f>
        <v>#VALUE!</v>
      </c>
      <c r="DQ9" t="e">
        <f>'All regions'!E164+"$F;@!?4"</f>
        <v>#VALUE!</v>
      </c>
      <c r="DR9" t="e">
        <f>'All regions'!F164+"$F;@!?5"</f>
        <v>#VALUE!</v>
      </c>
      <c r="DS9" t="e">
        <f>'All regions'!G164+"$F;@!?6"</f>
        <v>#VALUE!</v>
      </c>
      <c r="DT9" t="e">
        <f>'All regions'!H164+"$F;@!?7"</f>
        <v>#VALUE!</v>
      </c>
      <c r="DU9" t="e">
        <f>'All regions'!I164+"$F;@!?8"</f>
        <v>#VALUE!</v>
      </c>
      <c r="DV9" t="e">
        <f>'All regions'!A165+"$F;@!?9"</f>
        <v>#VALUE!</v>
      </c>
      <c r="DW9" t="e">
        <f>'All regions'!B165+"$F;@!?:"</f>
        <v>#VALUE!</v>
      </c>
      <c r="DX9" t="e">
        <f>'All regions'!C165+"$F;@!?;"</f>
        <v>#VALUE!</v>
      </c>
      <c r="DY9" t="e">
        <f>'All regions'!D165+"$F;@!?&lt;"</f>
        <v>#VALUE!</v>
      </c>
      <c r="DZ9" t="e">
        <f>'All regions'!E165+"$F;@!?="</f>
        <v>#VALUE!</v>
      </c>
      <c r="EA9" t="e">
        <f>'All regions'!F165+"$F;@!?&gt;"</f>
        <v>#VALUE!</v>
      </c>
      <c r="EB9" t="e">
        <f>'All regions'!G165+"$F;@!??"</f>
        <v>#VALUE!</v>
      </c>
      <c r="EC9" t="e">
        <f>'All regions'!H165+"$F;@!?@"</f>
        <v>#VALUE!</v>
      </c>
      <c r="ED9" t="e">
        <f>'All regions'!I165+"$F;@!?A"</f>
        <v>#VALUE!</v>
      </c>
      <c r="EE9" t="e">
        <f>'All regions'!A166+"$F;@!?B"</f>
        <v>#VALUE!</v>
      </c>
      <c r="EF9" t="e">
        <f>'All regions'!B166+"$F;@!?C"</f>
        <v>#VALUE!</v>
      </c>
      <c r="EG9" t="e">
        <f>'All regions'!C166+"$F;@!?D"</f>
        <v>#VALUE!</v>
      </c>
      <c r="EH9" t="e">
        <f>'All regions'!D166+"$F;@!?E"</f>
        <v>#VALUE!</v>
      </c>
      <c r="EI9" t="e">
        <f>'All regions'!E166+"$F;@!?F"</f>
        <v>#VALUE!</v>
      </c>
      <c r="EJ9" t="e">
        <f>'All regions'!F166+"$F;@!?G"</f>
        <v>#VALUE!</v>
      </c>
      <c r="EK9" t="e">
        <f>'All regions'!G166+"$F;@!?H"</f>
        <v>#VALUE!</v>
      </c>
      <c r="EL9" t="e">
        <f>'All regions'!H166+"$F;@!?I"</f>
        <v>#VALUE!</v>
      </c>
      <c r="EM9" t="e">
        <f>'All regions'!I166+"$F;@!?J"</f>
        <v>#VALUE!</v>
      </c>
      <c r="EN9" t="e">
        <f>'All regions'!A167+"$F;@!?K"</f>
        <v>#VALUE!</v>
      </c>
      <c r="EO9" t="e">
        <f>'All regions'!B167+"$F;@!?L"</f>
        <v>#VALUE!</v>
      </c>
      <c r="EP9" t="e">
        <f>'All regions'!C167+"$F;@!?M"</f>
        <v>#VALUE!</v>
      </c>
      <c r="EQ9" t="e">
        <f>'All regions'!D167+"$F;@!?N"</f>
        <v>#VALUE!</v>
      </c>
      <c r="ER9" t="e">
        <f>'All regions'!E167+"$F;@!?O"</f>
        <v>#VALUE!</v>
      </c>
      <c r="ES9" t="e">
        <f>'All regions'!F167+"$F;@!?P"</f>
        <v>#VALUE!</v>
      </c>
      <c r="ET9" t="e">
        <f>'All regions'!G167+"$F;@!?Q"</f>
        <v>#VALUE!</v>
      </c>
      <c r="EU9" t="e">
        <f>'All regions'!H167+"$F;@!?R"</f>
        <v>#VALUE!</v>
      </c>
      <c r="EV9" t="e">
        <f>'All regions'!I167+"$F;@!?S"</f>
        <v>#VALUE!</v>
      </c>
      <c r="EW9" t="e">
        <f>'All regions'!A168+"$F;@!?T"</f>
        <v>#VALUE!</v>
      </c>
      <c r="EX9" t="e">
        <f>'All regions'!B168+"$F;@!?U"</f>
        <v>#VALUE!</v>
      </c>
      <c r="EY9" t="e">
        <f>'All regions'!C168+"$F;@!?V"</f>
        <v>#VALUE!</v>
      </c>
      <c r="EZ9" t="e">
        <f>'All regions'!D168+"$F;@!?W"</f>
        <v>#VALUE!</v>
      </c>
      <c r="FA9" t="e">
        <f>'All regions'!E168+"$F;@!?X"</f>
        <v>#VALUE!</v>
      </c>
      <c r="FB9" t="e">
        <f>'All regions'!F168+"$F;@!?Y"</f>
        <v>#VALUE!</v>
      </c>
      <c r="FC9" t="e">
        <f>'All regions'!G168+"$F;@!?Z"</f>
        <v>#VALUE!</v>
      </c>
      <c r="FD9" t="e">
        <f>'All regions'!H168+"$F;@!?["</f>
        <v>#VALUE!</v>
      </c>
      <c r="FE9" t="e">
        <f>'All regions'!I168+"$F;@!?\"</f>
        <v>#VALUE!</v>
      </c>
      <c r="FF9" t="e">
        <f>'All regions'!A169+"$F;@!?]"</f>
        <v>#VALUE!</v>
      </c>
      <c r="FG9" t="e">
        <f>'All regions'!B169+"$F;@!?^"</f>
        <v>#VALUE!</v>
      </c>
      <c r="FH9" t="e">
        <f>'All regions'!C169+"$F;@!?_"</f>
        <v>#VALUE!</v>
      </c>
      <c r="FI9" t="e">
        <f>'All regions'!D169+"$F;@!?`"</f>
        <v>#VALUE!</v>
      </c>
      <c r="FJ9" t="e">
        <f>'All regions'!E169+"$F;@!?a"</f>
        <v>#VALUE!</v>
      </c>
      <c r="FK9" t="e">
        <f>'All regions'!F169+"$F;@!?b"</f>
        <v>#VALUE!</v>
      </c>
      <c r="FL9" t="e">
        <f>'All regions'!G169+"$F;@!?c"</f>
        <v>#VALUE!</v>
      </c>
      <c r="FM9" t="e">
        <f>'All regions'!H169+"$F;@!?d"</f>
        <v>#VALUE!</v>
      </c>
      <c r="FN9" t="e">
        <f>'All regions'!I169+"$F;@!?e"</f>
        <v>#VALUE!</v>
      </c>
      <c r="FO9" t="e">
        <f>'All regions'!A170+"$F;@!?f"</f>
        <v>#VALUE!</v>
      </c>
      <c r="FP9" t="e">
        <f>'All regions'!B170+"$F;@!?g"</f>
        <v>#VALUE!</v>
      </c>
      <c r="FQ9" t="e">
        <f>'All regions'!C170+"$F;@!?h"</f>
        <v>#VALUE!</v>
      </c>
      <c r="FR9" t="e">
        <f>'All regions'!D170+"$F;@!?i"</f>
        <v>#VALUE!</v>
      </c>
      <c r="FS9" t="e">
        <f>'All regions'!E170+"$F;@!?j"</f>
        <v>#VALUE!</v>
      </c>
      <c r="FT9" t="e">
        <f>'All regions'!F170+"$F;@!?k"</f>
        <v>#VALUE!</v>
      </c>
      <c r="FU9" t="e">
        <f>'All regions'!G170+"$F;@!?l"</f>
        <v>#VALUE!</v>
      </c>
      <c r="FV9" t="e">
        <f>'All regions'!H170+"$F;@!?m"</f>
        <v>#VALUE!</v>
      </c>
      <c r="FW9" t="e">
        <f>'All regions'!I170+"$F;@!?n"</f>
        <v>#VALUE!</v>
      </c>
      <c r="FX9" t="e">
        <f>'All regions'!A171+"$F;@!?o"</f>
        <v>#VALUE!</v>
      </c>
      <c r="FY9" t="e">
        <f>'All regions'!B171+"$F;@!?p"</f>
        <v>#VALUE!</v>
      </c>
      <c r="FZ9" t="e">
        <f>'All regions'!C171+"$F;@!?q"</f>
        <v>#VALUE!</v>
      </c>
      <c r="GA9" t="e">
        <f>'All regions'!D171+"$F;@!?r"</f>
        <v>#VALUE!</v>
      </c>
      <c r="GB9" t="e">
        <f>'All regions'!E171+"$F;@!?s"</f>
        <v>#VALUE!</v>
      </c>
      <c r="GC9" t="e">
        <f>'All regions'!F171+"$F;@!?t"</f>
        <v>#VALUE!</v>
      </c>
      <c r="GD9" t="e">
        <f>'All regions'!G171+"$F;@!?u"</f>
        <v>#VALUE!</v>
      </c>
      <c r="GE9" t="e">
        <f>'All regions'!H171+"$F;@!?v"</f>
        <v>#VALUE!</v>
      </c>
      <c r="GF9" t="e">
        <f>'All regions'!I171+"$F;@!?w"</f>
        <v>#VALUE!</v>
      </c>
      <c r="GG9" t="e">
        <f>'All regions'!A172+"$F;@!?x"</f>
        <v>#VALUE!</v>
      </c>
      <c r="GH9" t="e">
        <f>'All regions'!B172+"$F;@!?y"</f>
        <v>#VALUE!</v>
      </c>
      <c r="GI9" t="e">
        <f>'All regions'!C172+"$F;@!?z"</f>
        <v>#VALUE!</v>
      </c>
      <c r="GJ9" t="e">
        <f>'All regions'!D172+"$F;@!?{"</f>
        <v>#VALUE!</v>
      </c>
      <c r="GK9" t="e">
        <f>'All regions'!E172+"$F;@!?|"</f>
        <v>#VALUE!</v>
      </c>
      <c r="GL9" t="e">
        <f>'All regions'!F172+"$F;@!?}"</f>
        <v>#VALUE!</v>
      </c>
      <c r="GM9" t="e">
        <f>'All regions'!G172+"$F;@!?~"</f>
        <v>#VALUE!</v>
      </c>
      <c r="GN9" t="e">
        <f>'All regions'!H172+"$F;@!@#"</f>
        <v>#VALUE!</v>
      </c>
      <c r="GO9" t="e">
        <f>'All regions'!I172+"$F;@!@$"</f>
        <v>#VALUE!</v>
      </c>
      <c r="GP9" t="e">
        <f>'All regions'!A173+"$F;@!@%"</f>
        <v>#VALUE!</v>
      </c>
      <c r="GQ9" t="e">
        <f>'All regions'!B173+"$F;@!@&amp;"</f>
        <v>#VALUE!</v>
      </c>
      <c r="GR9" t="e">
        <f>'All regions'!C173+"$F;@!@'"</f>
        <v>#VALUE!</v>
      </c>
      <c r="GS9" t="e">
        <f>'All regions'!D173+"$F;@!@("</f>
        <v>#VALUE!</v>
      </c>
      <c r="GT9" t="e">
        <f>'All regions'!E173+"$F;@!@)"</f>
        <v>#VALUE!</v>
      </c>
      <c r="GU9" t="e">
        <f>'All regions'!F173+"$F;@!@."</f>
        <v>#VALUE!</v>
      </c>
      <c r="GV9" t="e">
        <f>'All regions'!G173+"$F;@!@/"</f>
        <v>#VALUE!</v>
      </c>
      <c r="GW9" t="e">
        <f>'All regions'!H173+"$F;@!@0"</f>
        <v>#VALUE!</v>
      </c>
      <c r="GX9" t="e">
        <f>'All regions'!I173+"$F;@!@1"</f>
        <v>#VALUE!</v>
      </c>
      <c r="GY9" t="e">
        <f>'All regions'!A174+"$F;@!@2"</f>
        <v>#VALUE!</v>
      </c>
      <c r="GZ9" t="e">
        <f>'All regions'!B174+"$F;@!@3"</f>
        <v>#VALUE!</v>
      </c>
      <c r="HA9" t="e">
        <f>'All regions'!C174+"$F;@!@4"</f>
        <v>#VALUE!</v>
      </c>
      <c r="HB9" t="e">
        <f>'All regions'!D174+"$F;@!@5"</f>
        <v>#VALUE!</v>
      </c>
      <c r="HC9" t="e">
        <f>'All regions'!E174+"$F;@!@6"</f>
        <v>#VALUE!</v>
      </c>
      <c r="HD9" t="e">
        <f>'All regions'!F174+"$F;@!@7"</f>
        <v>#VALUE!</v>
      </c>
      <c r="HE9" t="e">
        <f>'All regions'!G174+"$F;@!@8"</f>
        <v>#VALUE!</v>
      </c>
      <c r="HF9" t="e">
        <f>'All regions'!H174+"$F;@!@9"</f>
        <v>#VALUE!</v>
      </c>
      <c r="HG9" t="e">
        <f>'All regions'!I174+"$F;@!@:"</f>
        <v>#VALUE!</v>
      </c>
      <c r="HH9" t="e">
        <f>'All regions'!A175+"$F;@!@;"</f>
        <v>#VALUE!</v>
      </c>
      <c r="HI9" t="e">
        <f>'All regions'!B175+"$F;@!@&lt;"</f>
        <v>#VALUE!</v>
      </c>
      <c r="HJ9" t="e">
        <f>'All regions'!C175+"$F;@!@="</f>
        <v>#VALUE!</v>
      </c>
      <c r="HK9" t="e">
        <f>'All regions'!D175+"$F;@!@&gt;"</f>
        <v>#VALUE!</v>
      </c>
      <c r="HL9" t="e">
        <f>'All regions'!E175+"$F;@!@?"</f>
        <v>#VALUE!</v>
      </c>
      <c r="HM9" t="e">
        <f>'All regions'!F175+"$F;@!@@"</f>
        <v>#VALUE!</v>
      </c>
      <c r="HN9" t="e">
        <f>'All regions'!G175+"$F;@!@A"</f>
        <v>#VALUE!</v>
      </c>
      <c r="HO9" t="e">
        <f>'All regions'!H175+"$F;@!@B"</f>
        <v>#VALUE!</v>
      </c>
      <c r="HP9" t="e">
        <f>'All regions'!I175+"$F;@!@C"</f>
        <v>#VALUE!</v>
      </c>
      <c r="HQ9" t="e">
        <f>'All regions'!A176+"$F;@!@D"</f>
        <v>#VALUE!</v>
      </c>
      <c r="HR9" t="e">
        <f>'All regions'!B176+"$F;@!@E"</f>
        <v>#VALUE!</v>
      </c>
      <c r="HS9" t="e">
        <f>'All regions'!C176+"$F;@!@F"</f>
        <v>#VALUE!</v>
      </c>
      <c r="HT9" t="e">
        <f>'All regions'!D176+"$F;@!@G"</f>
        <v>#VALUE!</v>
      </c>
      <c r="HU9" t="e">
        <f>'All regions'!E176+"$F;@!@H"</f>
        <v>#VALUE!</v>
      </c>
      <c r="HV9" t="e">
        <f>'All regions'!F176+"$F;@!@I"</f>
        <v>#VALUE!</v>
      </c>
      <c r="HW9" t="e">
        <f>'All regions'!G176+"$F;@!@J"</f>
        <v>#VALUE!</v>
      </c>
      <c r="HX9" t="e">
        <f>'All regions'!H176+"$F;@!@K"</f>
        <v>#VALUE!</v>
      </c>
      <c r="HY9" t="e">
        <f>'All regions'!I176+"$F;@!@L"</f>
        <v>#VALUE!</v>
      </c>
      <c r="HZ9" t="e">
        <f>'All regions'!A177+"$F;@!@M"</f>
        <v>#VALUE!</v>
      </c>
      <c r="IA9" t="e">
        <f>'All regions'!B177+"$F;@!@N"</f>
        <v>#VALUE!</v>
      </c>
      <c r="IB9" t="e">
        <f>'All regions'!C177+"$F;@!@O"</f>
        <v>#VALUE!</v>
      </c>
      <c r="IC9" t="e">
        <f>'All regions'!D177+"$F;@!@P"</f>
        <v>#VALUE!</v>
      </c>
      <c r="ID9" t="e">
        <f>'All regions'!E177+"$F;@!@Q"</f>
        <v>#VALUE!</v>
      </c>
      <c r="IE9" t="e">
        <f>'All regions'!F177+"$F;@!@R"</f>
        <v>#VALUE!</v>
      </c>
      <c r="IF9" t="e">
        <f>'All regions'!G177+"$F;@!@S"</f>
        <v>#VALUE!</v>
      </c>
      <c r="IG9" t="e">
        <f>'All regions'!H177+"$F;@!@T"</f>
        <v>#VALUE!</v>
      </c>
      <c r="IH9" t="e">
        <f>'All regions'!I177+"$F;@!@U"</f>
        <v>#VALUE!</v>
      </c>
      <c r="II9" t="e">
        <f>'All regions'!A178+"$F;@!@V"</f>
        <v>#VALUE!</v>
      </c>
      <c r="IJ9" t="e">
        <f>'All regions'!B178+"$F;@!@W"</f>
        <v>#VALUE!</v>
      </c>
      <c r="IK9" t="e">
        <f>'All regions'!C178+"$F;@!@X"</f>
        <v>#VALUE!</v>
      </c>
      <c r="IL9" t="e">
        <f>'All regions'!D178+"$F;@!@Y"</f>
        <v>#VALUE!</v>
      </c>
      <c r="IM9" t="e">
        <f>'All regions'!E178+"$F;@!@Z"</f>
        <v>#VALUE!</v>
      </c>
      <c r="IN9" t="e">
        <f>'All regions'!F178+"$F;@!@["</f>
        <v>#VALUE!</v>
      </c>
      <c r="IO9" t="e">
        <f>'All regions'!G178+"$F;@!@\"</f>
        <v>#VALUE!</v>
      </c>
      <c r="IP9" t="e">
        <f>'All regions'!H178+"$F;@!@]"</f>
        <v>#VALUE!</v>
      </c>
      <c r="IQ9" t="e">
        <f>'All regions'!I178+"$F;@!@^"</f>
        <v>#VALUE!</v>
      </c>
      <c r="IR9" t="e">
        <f>'All regions'!A179+"$F;@!@_"</f>
        <v>#VALUE!</v>
      </c>
      <c r="IS9" t="e">
        <f>'All regions'!B179+"$F;@!@`"</f>
        <v>#VALUE!</v>
      </c>
      <c r="IT9" t="e">
        <f>'All regions'!C179+"$F;@!@a"</f>
        <v>#VALUE!</v>
      </c>
      <c r="IU9" t="e">
        <f>'All regions'!D179+"$F;@!@b"</f>
        <v>#VALUE!</v>
      </c>
      <c r="IV9" t="e">
        <f>'All regions'!E179+"$F;@!@c"</f>
        <v>#VALUE!</v>
      </c>
    </row>
    <row r="10" spans="1:256" x14ac:dyDescent="0.35">
      <c r="F10" t="e">
        <f>'All regions'!F179+"$F;@!@d"</f>
        <v>#VALUE!</v>
      </c>
      <c r="G10" t="e">
        <f>'All regions'!G179+"$F;@!@e"</f>
        <v>#VALUE!</v>
      </c>
      <c r="H10" t="e">
        <f>'All regions'!H179+"$F;@!@f"</f>
        <v>#VALUE!</v>
      </c>
      <c r="I10" t="e">
        <f>'All regions'!I179+"$F;@!@g"</f>
        <v>#VALUE!</v>
      </c>
      <c r="J10" t="e">
        <f>'All regions'!A180+"$F;@!@h"</f>
        <v>#VALUE!</v>
      </c>
      <c r="K10" t="e">
        <f>'All regions'!B180+"$F;@!@i"</f>
        <v>#VALUE!</v>
      </c>
      <c r="L10" t="e">
        <f>'All regions'!C180+"$F;@!@j"</f>
        <v>#VALUE!</v>
      </c>
      <c r="M10" t="e">
        <f>'All regions'!D180+"$F;@!@k"</f>
        <v>#VALUE!</v>
      </c>
      <c r="N10" t="e">
        <f>'All regions'!E180+"$F;@!@l"</f>
        <v>#VALUE!</v>
      </c>
      <c r="O10" t="e">
        <f>'All regions'!F180+"$F;@!@m"</f>
        <v>#VALUE!</v>
      </c>
      <c r="P10" t="e">
        <f>'All regions'!G180+"$F;@!@n"</f>
        <v>#VALUE!</v>
      </c>
      <c r="Q10" t="e">
        <f>'All regions'!H180+"$F;@!@o"</f>
        <v>#VALUE!</v>
      </c>
      <c r="R10" t="e">
        <f>'All regions'!I180+"$F;@!@p"</f>
        <v>#VALUE!</v>
      </c>
      <c r="S10" t="e">
        <f>'All regions'!A181+"$F;@!@q"</f>
        <v>#VALUE!</v>
      </c>
      <c r="T10" t="e">
        <f>'All regions'!B181+"$F;@!@r"</f>
        <v>#VALUE!</v>
      </c>
      <c r="U10" t="e">
        <f>'All regions'!C181+"$F;@!@s"</f>
        <v>#VALUE!</v>
      </c>
      <c r="V10" t="e">
        <f>'All regions'!D181+"$F;@!@t"</f>
        <v>#VALUE!</v>
      </c>
      <c r="W10" t="e">
        <f>'All regions'!E181+"$F;@!@u"</f>
        <v>#VALUE!</v>
      </c>
      <c r="X10" t="e">
        <f>'All regions'!F181+"$F;@!@v"</f>
        <v>#VALUE!</v>
      </c>
      <c r="Y10" t="e">
        <f>'All regions'!G181+"$F;@!@w"</f>
        <v>#VALUE!</v>
      </c>
      <c r="Z10" t="e">
        <f>'All regions'!H181+"$F;@!@x"</f>
        <v>#VALUE!</v>
      </c>
      <c r="AA10" t="e">
        <f>'All regions'!I181+"$F;@!@y"</f>
        <v>#VALUE!</v>
      </c>
      <c r="AB10" t="e">
        <f>'All regions'!A182+"$F;@!@z"</f>
        <v>#VALUE!</v>
      </c>
      <c r="AC10" t="e">
        <f>'All regions'!B182+"$F;@!@{"</f>
        <v>#VALUE!</v>
      </c>
      <c r="AD10" t="e">
        <f>'All regions'!C182+"$F;@!@|"</f>
        <v>#VALUE!</v>
      </c>
      <c r="AE10" t="e">
        <f>'All regions'!D182+"$F;@!@}"</f>
        <v>#VALUE!</v>
      </c>
      <c r="AF10" t="e">
        <f>'All regions'!E182+"$F;@!@~"</f>
        <v>#VALUE!</v>
      </c>
      <c r="AG10" t="e">
        <f>'All regions'!G182+"$F;@!A#"</f>
        <v>#VALUE!</v>
      </c>
      <c r="AH10" t="e">
        <f>'All regions'!H182+"$F;@!A$"</f>
        <v>#VALUE!</v>
      </c>
      <c r="AI10" t="e">
        <f>'All regions'!I182+"$F;@!A%"</f>
        <v>#VALUE!</v>
      </c>
      <c r="AJ10" t="e">
        <f>'All regions'!A183+"$F;@!A&amp;"</f>
        <v>#VALUE!</v>
      </c>
      <c r="AK10" t="e">
        <f>'All regions'!B183+"$F;@!A'"</f>
        <v>#VALUE!</v>
      </c>
      <c r="AL10" t="e">
        <f>'All regions'!C183+"$F;@!A("</f>
        <v>#VALUE!</v>
      </c>
      <c r="AM10" t="e">
        <f>'All regions'!D183+"$F;@!A)"</f>
        <v>#VALUE!</v>
      </c>
      <c r="AN10" t="e">
        <f>'All regions'!E183+"$F;@!A."</f>
        <v>#VALUE!</v>
      </c>
      <c r="AO10" t="e">
        <f>'All regions'!F183+"$F;@!A/"</f>
        <v>#VALUE!</v>
      </c>
      <c r="AP10" t="e">
        <f>'All regions'!G183+"$F;@!A0"</f>
        <v>#VALUE!</v>
      </c>
      <c r="AQ10" t="e">
        <f>'All regions'!H183+"$F;@!A1"</f>
        <v>#VALUE!</v>
      </c>
      <c r="AR10" t="e">
        <f>'All regions'!I183+"$F;@!A2"</f>
        <v>#VALUE!</v>
      </c>
      <c r="AS10" t="e">
        <f>'All regions'!A184+"$F;@!A3"</f>
        <v>#VALUE!</v>
      </c>
      <c r="AT10" t="e">
        <f>'All regions'!B184+"$F;@!A4"</f>
        <v>#VALUE!</v>
      </c>
      <c r="AU10" t="e">
        <f>'All regions'!C184+"$F;@!A5"</f>
        <v>#VALUE!</v>
      </c>
      <c r="AV10" t="e">
        <f>'All regions'!D184+"$F;@!A6"</f>
        <v>#VALUE!</v>
      </c>
      <c r="AW10" t="e">
        <f>'All regions'!E184+"$F;@!A7"</f>
        <v>#VALUE!</v>
      </c>
      <c r="AX10" t="e">
        <f>'All regions'!F184+"$F;@!A8"</f>
        <v>#VALUE!</v>
      </c>
      <c r="AY10" t="e">
        <f>'All regions'!G184+"$F;@!A9"</f>
        <v>#VALUE!</v>
      </c>
      <c r="AZ10" t="e">
        <f>'All regions'!H184+"$F;@!A:"</f>
        <v>#VALUE!</v>
      </c>
      <c r="BA10" t="e">
        <f>'All regions'!I184+"$F;@!A;"</f>
        <v>#VALUE!</v>
      </c>
      <c r="BB10" t="e">
        <f>'All regions'!A185+"$F;@!A&lt;"</f>
        <v>#VALUE!</v>
      </c>
      <c r="BC10" t="e">
        <f>'All regions'!B185+"$F;@!A="</f>
        <v>#VALUE!</v>
      </c>
      <c r="BD10" t="e">
        <f>'All regions'!C185+"$F;@!A&gt;"</f>
        <v>#VALUE!</v>
      </c>
      <c r="BE10" t="e">
        <f>'All regions'!D185+"$F;@!A?"</f>
        <v>#VALUE!</v>
      </c>
      <c r="BF10" t="e">
        <f>'All regions'!E185+"$F;@!A@"</f>
        <v>#VALUE!</v>
      </c>
      <c r="BG10" t="e">
        <f>'All regions'!F185+"$F;@!AA"</f>
        <v>#VALUE!</v>
      </c>
      <c r="BH10" t="e">
        <f>'All regions'!G185+"$F;@!AB"</f>
        <v>#VALUE!</v>
      </c>
      <c r="BI10" t="e">
        <f>'All regions'!H185+"$F;@!AC"</f>
        <v>#VALUE!</v>
      </c>
      <c r="BJ10" t="e">
        <f>'All regions'!I185+"$F;@!AD"</f>
        <v>#VALUE!</v>
      </c>
      <c r="BK10" t="e">
        <f>'All regions'!A186+"$F;@!AE"</f>
        <v>#VALUE!</v>
      </c>
      <c r="BL10" t="e">
        <f>'All regions'!B186+"$F;@!AF"</f>
        <v>#VALUE!</v>
      </c>
      <c r="BM10" t="e">
        <f>'All regions'!C186+"$F;@!AG"</f>
        <v>#VALUE!</v>
      </c>
      <c r="BN10" t="e">
        <f>'All regions'!D186+"$F;@!AH"</f>
        <v>#VALUE!</v>
      </c>
      <c r="BO10" t="e">
        <f>'All regions'!E186+"$F;@!AI"</f>
        <v>#VALUE!</v>
      </c>
      <c r="BP10" t="e">
        <f>'All regions'!F186+"$F;@!AJ"</f>
        <v>#VALUE!</v>
      </c>
      <c r="BQ10" t="e">
        <f>'All regions'!G186+"$F;@!AK"</f>
        <v>#VALUE!</v>
      </c>
      <c r="BR10" t="e">
        <f>'All regions'!H186+"$F;@!AL"</f>
        <v>#VALUE!</v>
      </c>
      <c r="BS10" t="e">
        <f>'All regions'!I186+"$F;@!AM"</f>
        <v>#VALUE!</v>
      </c>
      <c r="BT10" t="e">
        <f>'All regions'!A187+"$F;@!AN"</f>
        <v>#VALUE!</v>
      </c>
      <c r="BU10" t="e">
        <f>'All regions'!B187+"$F;@!AO"</f>
        <v>#VALUE!</v>
      </c>
      <c r="BV10" t="e">
        <f>'All regions'!C187+"$F;@!AP"</f>
        <v>#VALUE!</v>
      </c>
      <c r="BW10" t="e">
        <f>'All regions'!D187+"$F;@!AQ"</f>
        <v>#VALUE!</v>
      </c>
      <c r="BX10" t="e">
        <f>'All regions'!E187+"$F;@!AR"</f>
        <v>#VALUE!</v>
      </c>
      <c r="BY10" t="e">
        <f>'All regions'!F187+"$F;@!AS"</f>
        <v>#VALUE!</v>
      </c>
      <c r="BZ10" t="e">
        <f>'All regions'!G187+"$F;@!AT"</f>
        <v>#VALUE!</v>
      </c>
      <c r="CA10" t="e">
        <f>'All regions'!H187+"$F;@!AU"</f>
        <v>#VALUE!</v>
      </c>
      <c r="CB10" t="e">
        <f>'All regions'!I187+"$F;@!AV"</f>
        <v>#VALUE!</v>
      </c>
      <c r="CC10" t="e">
        <f>'All regions'!A188+"$F;@!AW"</f>
        <v>#VALUE!</v>
      </c>
      <c r="CD10" t="e">
        <f>'All regions'!B188+"$F;@!AX"</f>
        <v>#VALUE!</v>
      </c>
      <c r="CE10" t="e">
        <f>'All regions'!C188+"$F;@!AY"</f>
        <v>#VALUE!</v>
      </c>
      <c r="CF10" t="e">
        <f>'All regions'!D188+"$F;@!AZ"</f>
        <v>#VALUE!</v>
      </c>
      <c r="CG10" t="e">
        <f>'All regions'!E188+"$F;@!A["</f>
        <v>#VALUE!</v>
      </c>
      <c r="CH10" t="e">
        <f>'All regions'!F188+"$F;@!A\"</f>
        <v>#VALUE!</v>
      </c>
      <c r="CI10" t="e">
        <f>'All regions'!G188+"$F;@!A]"</f>
        <v>#VALUE!</v>
      </c>
      <c r="CJ10" t="e">
        <f>'All regions'!H188+"$F;@!A^"</f>
        <v>#VALUE!</v>
      </c>
      <c r="CK10" t="e">
        <f>'All regions'!I188+"$F;@!A_"</f>
        <v>#VALUE!</v>
      </c>
      <c r="CL10" t="e">
        <f>'All regions'!A189+"$F;@!A`"</f>
        <v>#VALUE!</v>
      </c>
      <c r="CM10" t="e">
        <f>'All regions'!B189+"$F;@!Aa"</f>
        <v>#VALUE!</v>
      </c>
      <c r="CN10" t="e">
        <f>'All regions'!C189+"$F;@!Ab"</f>
        <v>#VALUE!</v>
      </c>
      <c r="CO10" t="e">
        <f>'All regions'!D189+"$F;@!Ac"</f>
        <v>#VALUE!</v>
      </c>
      <c r="CP10" t="e">
        <f>'All regions'!E189+"$F;@!Ad"</f>
        <v>#VALUE!</v>
      </c>
      <c r="CQ10" t="e">
        <f>'All regions'!F189+"$F;@!Ae"</f>
        <v>#VALUE!</v>
      </c>
      <c r="CR10" t="e">
        <f>'All regions'!G189+"$F;@!Af"</f>
        <v>#VALUE!</v>
      </c>
      <c r="CS10" t="e">
        <f>'All regions'!H189+"$F;@!Ag"</f>
        <v>#VALUE!</v>
      </c>
      <c r="CT10" t="e">
        <f>'All regions'!I189+"$F;@!Ah"</f>
        <v>#VALUE!</v>
      </c>
      <c r="CU10" t="e">
        <f>'All regions'!A190+"$F;@!Ai"</f>
        <v>#VALUE!</v>
      </c>
      <c r="CV10" t="e">
        <f>'All regions'!B190+"$F;@!Aj"</f>
        <v>#VALUE!</v>
      </c>
      <c r="CW10" t="e">
        <f>'All regions'!C190+"$F;@!Ak"</f>
        <v>#VALUE!</v>
      </c>
      <c r="CX10" t="e">
        <f>'All regions'!D190+"$F;@!Al"</f>
        <v>#VALUE!</v>
      </c>
      <c r="CY10" t="e">
        <f>'All regions'!E190+"$F;@!Am"</f>
        <v>#VALUE!</v>
      </c>
      <c r="CZ10" t="e">
        <f>'All regions'!F190+"$F;@!An"</f>
        <v>#VALUE!</v>
      </c>
      <c r="DA10" t="e">
        <f>'All regions'!G190+"$F;@!Ao"</f>
        <v>#VALUE!</v>
      </c>
      <c r="DB10" t="e">
        <f>'All regions'!H190+"$F;@!Ap"</f>
        <v>#VALUE!</v>
      </c>
      <c r="DC10" t="e">
        <f>'All regions'!I190+"$F;@!Aq"</f>
        <v>#VALUE!</v>
      </c>
      <c r="DD10" t="e">
        <f>'All regions'!J190+"$F;@!Ar"</f>
        <v>#VALUE!</v>
      </c>
      <c r="DE10" t="e">
        <f>'All regions'!A191+"$F;@!As"</f>
        <v>#VALUE!</v>
      </c>
      <c r="DF10" t="e">
        <f>'All regions'!B191+"$F;@!At"</f>
        <v>#VALUE!</v>
      </c>
      <c r="DG10" t="e">
        <f>'All regions'!C191+"$F;@!Au"</f>
        <v>#VALUE!</v>
      </c>
      <c r="DH10" t="e">
        <f>'All regions'!D191+"$F;@!Av"</f>
        <v>#VALUE!</v>
      </c>
      <c r="DI10" t="e">
        <f>'All regions'!E191+"$F;@!Aw"</f>
        <v>#VALUE!</v>
      </c>
      <c r="DJ10" t="e">
        <f>'All regions'!F191+"$F;@!Ax"</f>
        <v>#VALUE!</v>
      </c>
      <c r="DK10" t="e">
        <f>'All regions'!G191+"$F;@!Ay"</f>
        <v>#VALUE!</v>
      </c>
      <c r="DL10" t="e">
        <f>'All regions'!H191+"$F;@!Az"</f>
        <v>#VALUE!</v>
      </c>
      <c r="DM10" t="e">
        <f>'All regions'!I191+"$F;@!A{"</f>
        <v>#VALUE!</v>
      </c>
      <c r="DN10" t="e">
        <f>'All regions'!A192+"$F;@!A|"</f>
        <v>#VALUE!</v>
      </c>
      <c r="DO10" t="e">
        <f>'All regions'!B192+"$F;@!A}"</f>
        <v>#VALUE!</v>
      </c>
      <c r="DP10" t="e">
        <f>'All regions'!C192+"$F;@!A~"</f>
        <v>#VALUE!</v>
      </c>
      <c r="DQ10" t="e">
        <f>'All regions'!D192+"$F;@!B#"</f>
        <v>#VALUE!</v>
      </c>
      <c r="DR10" t="e">
        <f>'All regions'!E192+"$F;@!B$"</f>
        <v>#VALUE!</v>
      </c>
      <c r="DS10" t="e">
        <f>'All regions'!F192+"$F;@!B%"</f>
        <v>#VALUE!</v>
      </c>
      <c r="DT10" t="e">
        <f>'All regions'!G192+"$F;@!B&amp;"</f>
        <v>#VALUE!</v>
      </c>
      <c r="DU10" t="e">
        <f>'All regions'!H192+"$F;@!B'"</f>
        <v>#VALUE!</v>
      </c>
      <c r="DV10" t="e">
        <f>'All regions'!I192+"$F;@!B("</f>
        <v>#VALUE!</v>
      </c>
      <c r="DW10" t="e">
        <f>'All regions'!J192+"$F;@!B)"</f>
        <v>#VALUE!</v>
      </c>
      <c r="DX10" t="e">
        <f>'All regions'!A193+"$F;@!B."</f>
        <v>#VALUE!</v>
      </c>
      <c r="DY10" t="e">
        <f>'All regions'!B193+"$F;@!B/"</f>
        <v>#VALUE!</v>
      </c>
      <c r="DZ10" t="e">
        <f>'All regions'!C193+"$F;@!B0"</f>
        <v>#VALUE!</v>
      </c>
      <c r="EA10" t="e">
        <f>'All regions'!D193+"$F;@!B1"</f>
        <v>#VALUE!</v>
      </c>
      <c r="EB10" t="e">
        <f>'All regions'!E193+"$F;@!B2"</f>
        <v>#VALUE!</v>
      </c>
      <c r="EC10" t="e">
        <f>'All regions'!F193+"$F;@!B3"</f>
        <v>#VALUE!</v>
      </c>
      <c r="ED10" t="e">
        <f>'All regions'!G193+"$F;@!B4"</f>
        <v>#VALUE!</v>
      </c>
      <c r="EE10" t="e">
        <f>'All regions'!H193+"$F;@!B5"</f>
        <v>#VALUE!</v>
      </c>
      <c r="EF10" t="e">
        <f>'All regions'!I193+"$F;@!B6"</f>
        <v>#VALUE!</v>
      </c>
      <c r="EG10" t="e">
        <f>'All regions'!A194+"$F;@!B7"</f>
        <v>#VALUE!</v>
      </c>
      <c r="EH10" t="e">
        <f>'All regions'!B194+"$F;@!B8"</f>
        <v>#VALUE!</v>
      </c>
      <c r="EI10" t="e">
        <f>'All regions'!C194+"$F;@!B9"</f>
        <v>#VALUE!</v>
      </c>
      <c r="EJ10" t="e">
        <f>'All regions'!D194+"$F;@!B:"</f>
        <v>#VALUE!</v>
      </c>
      <c r="EK10" t="e">
        <f>'All regions'!E194+"$F;@!B;"</f>
        <v>#VALUE!</v>
      </c>
      <c r="EL10" t="e">
        <f>'All regions'!F194+"$F;@!B&lt;"</f>
        <v>#VALUE!</v>
      </c>
      <c r="EM10" t="e">
        <f>'All regions'!G194+"$F;@!B="</f>
        <v>#VALUE!</v>
      </c>
      <c r="EN10" t="e">
        <f>'All regions'!H194+"$F;@!B&gt;"</f>
        <v>#VALUE!</v>
      </c>
      <c r="EO10" t="e">
        <f>'All regions'!I194+"$F;@!B?"</f>
        <v>#VALUE!</v>
      </c>
      <c r="EP10" t="e">
        <f>'All regions'!A195+"$F;@!B@"</f>
        <v>#VALUE!</v>
      </c>
      <c r="EQ10" t="e">
        <f>'All regions'!B195+"$F;@!BA"</f>
        <v>#VALUE!</v>
      </c>
      <c r="ER10" t="e">
        <f>'All regions'!C195+"$F;@!BB"</f>
        <v>#VALUE!</v>
      </c>
      <c r="ES10" t="e">
        <f>'All regions'!D195+"$F;@!BC"</f>
        <v>#VALUE!</v>
      </c>
      <c r="ET10" t="e">
        <f>'All regions'!E195+"$F;@!BD"</f>
        <v>#VALUE!</v>
      </c>
      <c r="EU10" t="e">
        <f>'All regions'!F195+"$F;@!BE"</f>
        <v>#VALUE!</v>
      </c>
      <c r="EV10" t="e">
        <f>'All regions'!G195+"$F;@!BF"</f>
        <v>#VALUE!</v>
      </c>
      <c r="EW10" t="e">
        <f>'All regions'!H195+"$F;@!BG"</f>
        <v>#VALUE!</v>
      </c>
      <c r="EX10" t="e">
        <f>'All regions'!I195+"$F;@!BH"</f>
        <v>#VALUE!</v>
      </c>
      <c r="EY10" t="e">
        <f>'All regions'!A196+"$F;@!BI"</f>
        <v>#VALUE!</v>
      </c>
      <c r="EZ10" t="e">
        <f>'All regions'!B196+"$F;@!BJ"</f>
        <v>#VALUE!</v>
      </c>
      <c r="FA10" t="e">
        <f>'All regions'!C196+"$F;@!BK"</f>
        <v>#VALUE!</v>
      </c>
      <c r="FB10" t="e">
        <f>'All regions'!D196+"$F;@!BL"</f>
        <v>#VALUE!</v>
      </c>
      <c r="FC10" t="e">
        <f>'All regions'!E196+"$F;@!BM"</f>
        <v>#VALUE!</v>
      </c>
      <c r="FD10" t="e">
        <f>'All regions'!F196+"$F;@!BN"</f>
        <v>#VALUE!</v>
      </c>
      <c r="FE10" t="e">
        <f>'All regions'!G196+"$F;@!BO"</f>
        <v>#VALUE!</v>
      </c>
      <c r="FF10" t="e">
        <f>'All regions'!H196+"$F;@!BP"</f>
        <v>#VALUE!</v>
      </c>
      <c r="FG10" t="e">
        <f>'All regions'!I196+"$F;@!BQ"</f>
        <v>#VALUE!</v>
      </c>
      <c r="FH10" t="e">
        <f>'All regions'!A197+"$F;@!BR"</f>
        <v>#VALUE!</v>
      </c>
      <c r="FI10" t="e">
        <f>'All regions'!B197+"$F;@!BS"</f>
        <v>#VALUE!</v>
      </c>
      <c r="FJ10" t="e">
        <f>'All regions'!C197+"$F;@!BT"</f>
        <v>#VALUE!</v>
      </c>
      <c r="FK10" t="e">
        <f>'All regions'!D197+"$F;@!BU"</f>
        <v>#VALUE!</v>
      </c>
      <c r="FL10" t="e">
        <f>'All regions'!E197+"$F;@!BV"</f>
        <v>#VALUE!</v>
      </c>
      <c r="FM10" t="e">
        <f>'All regions'!F197+"$F;@!BW"</f>
        <v>#VALUE!</v>
      </c>
      <c r="FN10" t="e">
        <f>'All regions'!G197+"$F;@!BX"</f>
        <v>#VALUE!</v>
      </c>
      <c r="FO10" t="e">
        <f>'All regions'!H197+"$F;@!BY"</f>
        <v>#VALUE!</v>
      </c>
      <c r="FP10" t="e">
        <f>'All regions'!I197+"$F;@!BZ"</f>
        <v>#VALUE!</v>
      </c>
      <c r="FQ10" t="e">
        <f>'All regions'!A198+"$F;@!B["</f>
        <v>#VALUE!</v>
      </c>
      <c r="FR10" t="e">
        <f>'All regions'!B198+"$F;@!B\"</f>
        <v>#VALUE!</v>
      </c>
      <c r="FS10" t="e">
        <f>'All regions'!C198+"$F;@!B]"</f>
        <v>#VALUE!</v>
      </c>
      <c r="FT10" t="e">
        <f>'All regions'!D198+"$F;@!B^"</f>
        <v>#VALUE!</v>
      </c>
      <c r="FU10" t="e">
        <f>'All regions'!E198+"$F;@!B_"</f>
        <v>#VALUE!</v>
      </c>
      <c r="FV10" t="e">
        <f>'All regions'!F198+"$F;@!B`"</f>
        <v>#VALUE!</v>
      </c>
      <c r="FW10" t="e">
        <f>'All regions'!G198+"$F;@!Ba"</f>
        <v>#VALUE!</v>
      </c>
      <c r="FX10" t="e">
        <f>'All regions'!H198+"$F;@!Bb"</f>
        <v>#VALUE!</v>
      </c>
      <c r="FY10" t="e">
        <f>'All regions'!I198+"$F;@!Bc"</f>
        <v>#VALUE!</v>
      </c>
      <c r="FZ10" t="e">
        <f>'All regions'!A199+"$F;@!Bd"</f>
        <v>#VALUE!</v>
      </c>
      <c r="GA10" t="e">
        <f>'All regions'!B199+"$F;@!Be"</f>
        <v>#VALUE!</v>
      </c>
      <c r="GB10" t="e">
        <f>'All regions'!C199+"$F;@!Bf"</f>
        <v>#VALUE!</v>
      </c>
      <c r="GC10" t="e">
        <f>'All regions'!D199+"$F;@!Bg"</f>
        <v>#VALUE!</v>
      </c>
      <c r="GD10" t="e">
        <f>'All regions'!E199+"$F;@!Bh"</f>
        <v>#VALUE!</v>
      </c>
      <c r="GE10" t="e">
        <f>'All regions'!F199+"$F;@!Bi"</f>
        <v>#VALUE!</v>
      </c>
      <c r="GF10" t="e">
        <f>'All regions'!G199+"$F;@!Bj"</f>
        <v>#VALUE!</v>
      </c>
      <c r="GG10" t="e">
        <f>'All regions'!H199+"$F;@!Bk"</f>
        <v>#VALUE!</v>
      </c>
      <c r="GH10" t="e">
        <f>'All regions'!I199+"$F;@!Bl"</f>
        <v>#VALUE!</v>
      </c>
      <c r="GI10" t="e">
        <f>'All regions'!A200+"$F;@!Bm"</f>
        <v>#VALUE!</v>
      </c>
      <c r="GJ10" t="e">
        <f>'All regions'!B200+"$F;@!Bn"</f>
        <v>#VALUE!</v>
      </c>
      <c r="GK10" t="e">
        <f>'All regions'!C200+"$F;@!Bo"</f>
        <v>#VALUE!</v>
      </c>
      <c r="GL10" t="e">
        <f>'All regions'!D200+"$F;@!Bp"</f>
        <v>#VALUE!</v>
      </c>
      <c r="GM10" t="e">
        <f>'All regions'!E200+"$F;@!Bq"</f>
        <v>#VALUE!</v>
      </c>
      <c r="GN10" t="e">
        <f>'All regions'!F200+"$F;@!Br"</f>
        <v>#VALUE!</v>
      </c>
      <c r="GO10" t="e">
        <f>'All regions'!G200+"$F;@!Bs"</f>
        <v>#VALUE!</v>
      </c>
      <c r="GP10" t="e">
        <f>'All regions'!H200+"$F;@!Bt"</f>
        <v>#VALUE!</v>
      </c>
      <c r="GQ10" t="e">
        <f>'All regions'!I200+"$F;@!Bu"</f>
        <v>#VALUE!</v>
      </c>
      <c r="GR10" t="e">
        <f>'All regions'!A201+"$F;@!Bv"</f>
        <v>#VALUE!</v>
      </c>
      <c r="GS10" t="e">
        <f>'All regions'!B201+"$F;@!Bw"</f>
        <v>#VALUE!</v>
      </c>
      <c r="GT10" t="e">
        <f>'All regions'!C201+"$F;@!Bx"</f>
        <v>#VALUE!</v>
      </c>
      <c r="GU10" t="e">
        <f>'All regions'!D201+"$F;@!By"</f>
        <v>#VALUE!</v>
      </c>
      <c r="GV10" t="e">
        <f>'All regions'!E201+"$F;@!Bz"</f>
        <v>#VALUE!</v>
      </c>
      <c r="GW10" t="e">
        <f>'All regions'!F201+"$F;@!B{"</f>
        <v>#VALUE!</v>
      </c>
      <c r="GX10" t="e">
        <f>'All regions'!G201+"$F;@!B|"</f>
        <v>#VALUE!</v>
      </c>
      <c r="GY10" t="e">
        <f>'All regions'!H201+"$F;@!B}"</f>
        <v>#VALUE!</v>
      </c>
      <c r="GZ10" t="e">
        <f>'All regions'!I201+"$F;@!B~"</f>
        <v>#VALUE!</v>
      </c>
      <c r="HA10" t="e">
        <f>'All regions'!A202+"$F;@!C#"</f>
        <v>#VALUE!</v>
      </c>
      <c r="HB10" t="e">
        <f>'All regions'!B202+"$F;@!C$"</f>
        <v>#VALUE!</v>
      </c>
      <c r="HC10" t="e">
        <f>'All regions'!C202+"$F;@!C%"</f>
        <v>#VALUE!</v>
      </c>
      <c r="HD10" t="e">
        <f>'All regions'!D202+"$F;@!C&amp;"</f>
        <v>#VALUE!</v>
      </c>
      <c r="HE10" t="e">
        <f>'All regions'!E202+"$F;@!C'"</f>
        <v>#VALUE!</v>
      </c>
      <c r="HF10" t="e">
        <f>'All regions'!F202+"$F;@!C("</f>
        <v>#VALUE!</v>
      </c>
      <c r="HG10" t="e">
        <f>'All regions'!G202+"$F;@!C)"</f>
        <v>#VALUE!</v>
      </c>
      <c r="HH10" t="e">
        <f>'All regions'!H202+"$F;@!C."</f>
        <v>#VALUE!</v>
      </c>
      <c r="HI10" t="e">
        <f>'All regions'!I202+"$F;@!C/"</f>
        <v>#VALUE!</v>
      </c>
      <c r="HJ10" t="e">
        <f>'All regions'!A203+"$F;@!C0"</f>
        <v>#VALUE!</v>
      </c>
      <c r="HK10" t="e">
        <f>'All regions'!B203+"$F;@!C1"</f>
        <v>#VALUE!</v>
      </c>
      <c r="HL10" t="e">
        <f>'All regions'!C203+"$F;@!C2"</f>
        <v>#VALUE!</v>
      </c>
      <c r="HM10" t="e">
        <f>'All regions'!D203+"$F;@!C3"</f>
        <v>#VALUE!</v>
      </c>
      <c r="HN10" t="e">
        <f>'All regions'!E203+"$F;@!C4"</f>
        <v>#VALUE!</v>
      </c>
      <c r="HO10" t="e">
        <f>'All regions'!F203+"$F;@!C5"</f>
        <v>#VALUE!</v>
      </c>
      <c r="HP10" t="e">
        <f>'All regions'!G203+"$F;@!C6"</f>
        <v>#VALUE!</v>
      </c>
      <c r="HQ10" t="e">
        <f>'All regions'!H203+"$F;@!C7"</f>
        <v>#VALUE!</v>
      </c>
      <c r="HR10" t="e">
        <f>'All regions'!I203+"$F;@!C8"</f>
        <v>#VALUE!</v>
      </c>
      <c r="HS10" t="e">
        <f>'All regions'!A204+"$F;@!C9"</f>
        <v>#VALUE!</v>
      </c>
      <c r="HT10" t="e">
        <f>'All regions'!B204+"$F;@!C:"</f>
        <v>#VALUE!</v>
      </c>
      <c r="HU10" t="e">
        <f>'All regions'!C204+"$F;@!C;"</f>
        <v>#VALUE!</v>
      </c>
      <c r="HV10" t="e">
        <f>'All regions'!D204+"$F;@!C&lt;"</f>
        <v>#VALUE!</v>
      </c>
      <c r="HW10" t="e">
        <f>'All regions'!E204+"$F;@!C="</f>
        <v>#VALUE!</v>
      </c>
      <c r="HX10" t="e">
        <f>'All regions'!F204+"$F;@!C&gt;"</f>
        <v>#VALUE!</v>
      </c>
      <c r="HY10" t="e">
        <f>'All regions'!G204+"$F;@!C?"</f>
        <v>#VALUE!</v>
      </c>
      <c r="HZ10" t="e">
        <f>'All regions'!H204+"$F;@!C@"</f>
        <v>#VALUE!</v>
      </c>
      <c r="IA10" t="e">
        <f>'All regions'!I204+"$F;@!CA"</f>
        <v>#VALUE!</v>
      </c>
      <c r="IB10" t="e">
        <f>'All regions'!A205+"$F;@!CB"</f>
        <v>#VALUE!</v>
      </c>
      <c r="IC10" t="e">
        <f>'All regions'!B205+"$F;@!CC"</f>
        <v>#VALUE!</v>
      </c>
      <c r="ID10" t="e">
        <f>'All regions'!C205+"$F;@!CD"</f>
        <v>#VALUE!</v>
      </c>
      <c r="IE10" t="e">
        <f>'All regions'!D205+"$F;@!CE"</f>
        <v>#VALUE!</v>
      </c>
      <c r="IF10" t="e">
        <f>'All regions'!E205+"$F;@!CF"</f>
        <v>#VALUE!</v>
      </c>
      <c r="IG10" t="e">
        <f>'All regions'!F205+"$F;@!CG"</f>
        <v>#VALUE!</v>
      </c>
      <c r="IH10" t="e">
        <f>'All regions'!G205+"$F;@!CH"</f>
        <v>#VALUE!</v>
      </c>
      <c r="II10" t="e">
        <f>'All regions'!H205+"$F;@!CI"</f>
        <v>#VALUE!</v>
      </c>
      <c r="IJ10" t="e">
        <f>'All regions'!I205+"$F;@!CJ"</f>
        <v>#VALUE!</v>
      </c>
      <c r="IK10" t="e">
        <f>'All regions'!A206+"$F;@!CK"</f>
        <v>#VALUE!</v>
      </c>
      <c r="IL10" t="e">
        <f>'All regions'!B206+"$F;@!CL"</f>
        <v>#VALUE!</v>
      </c>
      <c r="IM10" t="e">
        <f>'All regions'!C206+"$F;@!CM"</f>
        <v>#VALUE!</v>
      </c>
      <c r="IN10" t="e">
        <f>'All regions'!D206+"$F;@!CN"</f>
        <v>#VALUE!</v>
      </c>
      <c r="IO10" t="e">
        <f>'All regions'!E206+"$F;@!CO"</f>
        <v>#VALUE!</v>
      </c>
      <c r="IP10" t="e">
        <f>'All regions'!F206+"$F;@!CP"</f>
        <v>#VALUE!</v>
      </c>
      <c r="IQ10" t="e">
        <f>'All regions'!G206+"$F;@!CQ"</f>
        <v>#VALUE!</v>
      </c>
      <c r="IR10" t="e">
        <f>'All regions'!H206+"$F;@!CR"</f>
        <v>#VALUE!</v>
      </c>
      <c r="IS10" t="e">
        <f>'All regions'!I206+"$F;@!CS"</f>
        <v>#VALUE!</v>
      </c>
      <c r="IT10" t="e">
        <f>'All regions'!A207+"$F;@!CT"</f>
        <v>#VALUE!</v>
      </c>
      <c r="IU10" t="e">
        <f>'All regions'!B207+"$F;@!CU"</f>
        <v>#VALUE!</v>
      </c>
      <c r="IV10" t="e">
        <f>'All regions'!C207+"$F;@!CV"</f>
        <v>#VALUE!</v>
      </c>
    </row>
    <row r="11" spans="1:256" x14ac:dyDescent="0.35">
      <c r="F11" t="e">
        <f>'All regions'!D207+"$F;@!CW"</f>
        <v>#VALUE!</v>
      </c>
      <c r="G11" t="e">
        <f>'All regions'!E207+"$F;@!CX"</f>
        <v>#VALUE!</v>
      </c>
      <c r="H11" t="e">
        <f>'All regions'!F207+"$F;@!CY"</f>
        <v>#VALUE!</v>
      </c>
      <c r="I11" t="e">
        <f>'All regions'!G207+"$F;@!CZ"</f>
        <v>#VALUE!</v>
      </c>
      <c r="J11" t="e">
        <f>'All regions'!H207+"$F;@!C["</f>
        <v>#VALUE!</v>
      </c>
      <c r="K11" t="e">
        <f>'All regions'!I207+"$F;@!C\"</f>
        <v>#VALUE!</v>
      </c>
      <c r="L11" t="e">
        <f>'All regions'!A208+"$F;@!C]"</f>
        <v>#VALUE!</v>
      </c>
      <c r="M11" t="e">
        <f>'All regions'!B208+"$F;@!C^"</f>
        <v>#VALUE!</v>
      </c>
      <c r="N11" t="e">
        <f>'All regions'!C208+"$F;@!C_"</f>
        <v>#VALUE!</v>
      </c>
      <c r="O11" t="e">
        <f>'All regions'!D208+"$F;@!C`"</f>
        <v>#VALUE!</v>
      </c>
      <c r="P11" t="e">
        <f>'All regions'!E208+"$F;@!Ca"</f>
        <v>#VALUE!</v>
      </c>
      <c r="Q11" t="e">
        <f>'All regions'!F208+"$F;@!Cb"</f>
        <v>#VALUE!</v>
      </c>
      <c r="R11" t="e">
        <f>'All regions'!G208+"$F;@!Cc"</f>
        <v>#VALUE!</v>
      </c>
      <c r="S11" t="e">
        <f>'All regions'!H208+"$F;@!Cd"</f>
        <v>#VALUE!</v>
      </c>
      <c r="T11" t="e">
        <f>'All regions'!I208+"$F;@!Ce"</f>
        <v>#VALUE!</v>
      </c>
      <c r="U11" t="e">
        <f>'All regions'!A209+"$F;@!Cf"</f>
        <v>#VALUE!</v>
      </c>
      <c r="V11" t="e">
        <f>'All regions'!B209+"$F;@!Cg"</f>
        <v>#VALUE!</v>
      </c>
      <c r="W11" t="e">
        <f>'All regions'!C209+"$F;@!Ch"</f>
        <v>#VALUE!</v>
      </c>
      <c r="X11" t="e">
        <f>'All regions'!D209+"$F;@!Ci"</f>
        <v>#VALUE!</v>
      </c>
      <c r="Y11" t="e">
        <f>'All regions'!E209+"$F;@!Cj"</f>
        <v>#VALUE!</v>
      </c>
      <c r="Z11" t="e">
        <f>'All regions'!F209+"$F;@!Ck"</f>
        <v>#VALUE!</v>
      </c>
      <c r="AA11" t="e">
        <f>'All regions'!G209+"$F;@!Cl"</f>
        <v>#VALUE!</v>
      </c>
      <c r="AB11" t="e">
        <f>'All regions'!H209+"$F;@!Cm"</f>
        <v>#VALUE!</v>
      </c>
      <c r="AC11" t="e">
        <f>'All regions'!I209+"$F;@!Cn"</f>
        <v>#VALUE!</v>
      </c>
      <c r="AD11" t="e">
        <f>'All regions'!A210+"$F;@!Co"</f>
        <v>#VALUE!</v>
      </c>
      <c r="AE11" t="e">
        <f>'All regions'!B210+"$F;@!Cp"</f>
        <v>#VALUE!</v>
      </c>
      <c r="AF11" t="e">
        <f>'All regions'!C210+"$F;@!Cq"</f>
        <v>#VALUE!</v>
      </c>
      <c r="AG11" t="e">
        <f>'All regions'!D210+"$F;@!Cr"</f>
        <v>#VALUE!</v>
      </c>
      <c r="AH11" t="e">
        <f>'All regions'!E210+"$F;@!Cs"</f>
        <v>#VALUE!</v>
      </c>
      <c r="AI11" t="e">
        <f>'All regions'!F210+"$F;@!Ct"</f>
        <v>#VALUE!</v>
      </c>
      <c r="AJ11" t="e">
        <f>'All regions'!G210+"$F;@!Cu"</f>
        <v>#VALUE!</v>
      </c>
      <c r="AK11" t="e">
        <f>'All regions'!H210+"$F;@!Cv"</f>
        <v>#VALUE!</v>
      </c>
      <c r="AL11" t="e">
        <f>'All regions'!I210+"$F;@!Cw"</f>
        <v>#VALUE!</v>
      </c>
      <c r="AM11" t="e">
        <f>'All regions'!A211+"$F;@!Cx"</f>
        <v>#VALUE!</v>
      </c>
      <c r="AN11" t="e">
        <f>'All regions'!B211+"$F;@!Cy"</f>
        <v>#VALUE!</v>
      </c>
      <c r="AO11" t="e">
        <f>'All regions'!C211+"$F;@!Cz"</f>
        <v>#VALUE!</v>
      </c>
      <c r="AP11" t="e">
        <f>'All regions'!D211+"$F;@!C{"</f>
        <v>#VALUE!</v>
      </c>
      <c r="AQ11" t="e">
        <f>'All regions'!E211+"$F;@!C|"</f>
        <v>#VALUE!</v>
      </c>
      <c r="AR11" t="e">
        <f>'All regions'!F211+"$F;@!C}"</f>
        <v>#VALUE!</v>
      </c>
      <c r="AS11" t="e">
        <f>'All regions'!G211+"$F;@!C~"</f>
        <v>#VALUE!</v>
      </c>
      <c r="AT11" t="e">
        <f>'All regions'!H211+"$F;@!D#"</f>
        <v>#VALUE!</v>
      </c>
      <c r="AU11" t="e">
        <f>'All regions'!I211+"$F;@!D$"</f>
        <v>#VALUE!</v>
      </c>
      <c r="AV11" t="e">
        <f>'All regions'!A212+"$F;@!D%"</f>
        <v>#VALUE!</v>
      </c>
      <c r="AW11" t="e">
        <f>'All regions'!B212+"$F;@!D&amp;"</f>
        <v>#VALUE!</v>
      </c>
      <c r="AX11" t="e">
        <f>'All regions'!C212+"$F;@!D'"</f>
        <v>#VALUE!</v>
      </c>
      <c r="AY11" t="e">
        <f>'All regions'!D212+"$F;@!D("</f>
        <v>#VALUE!</v>
      </c>
      <c r="AZ11" t="e">
        <f>'All regions'!E212+"$F;@!D)"</f>
        <v>#VALUE!</v>
      </c>
      <c r="BA11" t="e">
        <f>'All regions'!F212+"$F;@!D."</f>
        <v>#VALUE!</v>
      </c>
      <c r="BB11" t="e">
        <f>'All regions'!G212+"$F;@!D/"</f>
        <v>#VALUE!</v>
      </c>
      <c r="BC11" t="e">
        <f>'All regions'!H212+"$F;@!D0"</f>
        <v>#VALUE!</v>
      </c>
      <c r="BD11" t="e">
        <f>'All regions'!I212+"$F;@!D1"</f>
        <v>#VALUE!</v>
      </c>
      <c r="BE11" t="e">
        <f>'All regions'!A213+"$F;@!D2"</f>
        <v>#VALUE!</v>
      </c>
      <c r="BF11" t="e">
        <f>'All regions'!B213+"$F;@!D3"</f>
        <v>#VALUE!</v>
      </c>
      <c r="BG11" t="e">
        <f>'All regions'!C213+"$F;@!D4"</f>
        <v>#VALUE!</v>
      </c>
      <c r="BH11" t="e">
        <f>'All regions'!D213+"$F;@!D5"</f>
        <v>#VALUE!</v>
      </c>
      <c r="BI11" t="e">
        <f>'All regions'!E213+"$F;@!D6"</f>
        <v>#VALUE!</v>
      </c>
      <c r="BJ11" t="e">
        <f>'All regions'!F213+"$F;@!D7"</f>
        <v>#VALUE!</v>
      </c>
      <c r="BK11" t="e">
        <f>'All regions'!G213+"$F;@!D8"</f>
        <v>#VALUE!</v>
      </c>
      <c r="BL11" t="e">
        <f>'All regions'!H213+"$F;@!D9"</f>
        <v>#VALUE!</v>
      </c>
      <c r="BM11" t="e">
        <f>'All regions'!I213+"$F;@!D:"</f>
        <v>#VALUE!</v>
      </c>
      <c r="BN11" t="e">
        <f>'All regions'!A214+"$F;@!D;"</f>
        <v>#VALUE!</v>
      </c>
      <c r="BO11" t="e">
        <f>'All regions'!B214+"$F;@!D&lt;"</f>
        <v>#VALUE!</v>
      </c>
      <c r="BP11" t="e">
        <f>'All regions'!C214+"$F;@!D="</f>
        <v>#VALUE!</v>
      </c>
      <c r="BQ11" t="e">
        <f>'All regions'!D214+"$F;@!D&gt;"</f>
        <v>#VALUE!</v>
      </c>
      <c r="BR11" t="e">
        <f>'All regions'!E214+"$F;@!D?"</f>
        <v>#VALUE!</v>
      </c>
      <c r="BS11" t="e">
        <f>'All regions'!F214+"$F;@!D@"</f>
        <v>#VALUE!</v>
      </c>
      <c r="BT11" t="e">
        <f>'All regions'!G214+"$F;@!DA"</f>
        <v>#VALUE!</v>
      </c>
      <c r="BU11" t="e">
        <f>'All regions'!H214+"$F;@!DB"</f>
        <v>#VALUE!</v>
      </c>
      <c r="BV11" t="e">
        <f>'All regions'!I214+"$F;@!DC"</f>
        <v>#VALUE!</v>
      </c>
      <c r="BW11" t="e">
        <f>'All regions'!A215+"$F;@!DD"</f>
        <v>#VALUE!</v>
      </c>
      <c r="BX11" t="e">
        <f>'All regions'!B215+"$F;@!DE"</f>
        <v>#VALUE!</v>
      </c>
      <c r="BY11" t="e">
        <f>'All regions'!C215+"$F;@!DF"</f>
        <v>#VALUE!</v>
      </c>
      <c r="BZ11" t="e">
        <f>'All regions'!D215+"$F;@!DG"</f>
        <v>#VALUE!</v>
      </c>
      <c r="CA11" t="e">
        <f>'All regions'!E215+"$F;@!DH"</f>
        <v>#VALUE!</v>
      </c>
      <c r="CB11" t="e">
        <f>'All regions'!F215+"$F;@!DI"</f>
        <v>#VALUE!</v>
      </c>
      <c r="CC11" t="e">
        <f>'All regions'!G215+"$F;@!DJ"</f>
        <v>#VALUE!</v>
      </c>
      <c r="CD11" t="e">
        <f>'All regions'!H215+"$F;@!DK"</f>
        <v>#VALUE!</v>
      </c>
      <c r="CE11" t="e">
        <f>'All regions'!I215+"$F;@!DL"</f>
        <v>#VALUE!</v>
      </c>
      <c r="CF11" t="e">
        <f>'All regions'!A216+"$F;@!DM"</f>
        <v>#VALUE!</v>
      </c>
      <c r="CG11" t="e">
        <f>'All regions'!B216+"$F;@!DN"</f>
        <v>#VALUE!</v>
      </c>
      <c r="CH11" t="e">
        <f>'All regions'!C216+"$F;@!DO"</f>
        <v>#VALUE!</v>
      </c>
      <c r="CI11" t="e">
        <f>'All regions'!D216+"$F;@!DP"</f>
        <v>#VALUE!</v>
      </c>
      <c r="CJ11" t="e">
        <f>'All regions'!E216+"$F;@!DQ"</f>
        <v>#VALUE!</v>
      </c>
      <c r="CK11" t="e">
        <f>'All regions'!F216+"$F;@!DR"</f>
        <v>#VALUE!</v>
      </c>
      <c r="CL11" t="e">
        <f>'All regions'!G216+"$F;@!DS"</f>
        <v>#VALUE!</v>
      </c>
      <c r="CM11" t="e">
        <f>'All regions'!H216+"$F;@!DT"</f>
        <v>#VALUE!</v>
      </c>
      <c r="CN11" t="e">
        <f>'All regions'!I216+"$F;@!DU"</f>
        <v>#VALUE!</v>
      </c>
      <c r="CO11" t="e">
        <f>'All regions'!A217+"$F;@!DV"</f>
        <v>#VALUE!</v>
      </c>
      <c r="CP11" t="e">
        <f>'All regions'!B217+"$F;@!DW"</f>
        <v>#VALUE!</v>
      </c>
      <c r="CQ11" t="e">
        <f>'All regions'!C217+"$F;@!DX"</f>
        <v>#VALUE!</v>
      </c>
      <c r="CR11" t="e">
        <f>'All regions'!D217+"$F;@!DY"</f>
        <v>#VALUE!</v>
      </c>
      <c r="CS11" t="e">
        <f>'All regions'!E217+"$F;@!DZ"</f>
        <v>#VALUE!</v>
      </c>
      <c r="CT11" t="e">
        <f>'All regions'!F217+"$F;@!D["</f>
        <v>#VALUE!</v>
      </c>
      <c r="CU11" t="e">
        <f>'All regions'!G217+"$F;@!D\"</f>
        <v>#VALUE!</v>
      </c>
      <c r="CV11" t="e">
        <f>'All regions'!H217+"$F;@!D]"</f>
        <v>#VALUE!</v>
      </c>
      <c r="CW11" t="e">
        <f>'All regions'!I217+"$F;@!D^"</f>
        <v>#VALUE!</v>
      </c>
      <c r="CX11" t="e">
        <f>'All regions'!A218+"$F;@!D_"</f>
        <v>#VALUE!</v>
      </c>
      <c r="CY11" t="e">
        <f>'All regions'!B218+"$F;@!D`"</f>
        <v>#VALUE!</v>
      </c>
      <c r="CZ11" t="e">
        <f>'All regions'!C218+"$F;@!Da"</f>
        <v>#VALUE!</v>
      </c>
      <c r="DA11" t="e">
        <f>'All regions'!D218+"$F;@!Db"</f>
        <v>#VALUE!</v>
      </c>
      <c r="DB11" t="e">
        <f>'All regions'!E218+"$F;@!Dc"</f>
        <v>#VALUE!</v>
      </c>
      <c r="DC11" t="e">
        <f>'All regions'!F218+"$F;@!Dd"</f>
        <v>#VALUE!</v>
      </c>
      <c r="DD11" t="e">
        <f>'All regions'!G218+"$F;@!De"</f>
        <v>#VALUE!</v>
      </c>
      <c r="DE11" t="e">
        <f>'All regions'!H218+"$F;@!Df"</f>
        <v>#VALUE!</v>
      </c>
      <c r="DF11" t="e">
        <f>'All regions'!I218+"$F;@!Dg"</f>
        <v>#VALUE!</v>
      </c>
      <c r="DG11" t="e">
        <f>'All regions'!A219+"$F;@!Dh"</f>
        <v>#VALUE!</v>
      </c>
      <c r="DH11" t="e">
        <f>'All regions'!B219+"$F;@!Di"</f>
        <v>#VALUE!</v>
      </c>
      <c r="DI11" t="e">
        <f>'All regions'!C219+"$F;@!Dj"</f>
        <v>#VALUE!</v>
      </c>
      <c r="DJ11" t="e">
        <f>'All regions'!D219+"$F;@!Dk"</f>
        <v>#VALUE!</v>
      </c>
      <c r="DK11" t="e">
        <f>'All regions'!E219+"$F;@!Dl"</f>
        <v>#VALUE!</v>
      </c>
      <c r="DL11" t="e">
        <f>'All regions'!F219+"$F;@!Dm"</f>
        <v>#VALUE!</v>
      </c>
      <c r="DM11" t="e">
        <f>'All regions'!G219+"$F;@!Dn"</f>
        <v>#VALUE!</v>
      </c>
      <c r="DN11" t="e">
        <f>'All regions'!H219+"$F;@!Do"</f>
        <v>#VALUE!</v>
      </c>
      <c r="DO11" t="e">
        <f>'All regions'!I219+"$F;@!Dp"</f>
        <v>#VALUE!</v>
      </c>
      <c r="DP11" t="e">
        <f>'All regions'!A220+"$F;@!Dq"</f>
        <v>#VALUE!</v>
      </c>
      <c r="DQ11" t="e">
        <f>'All regions'!B220+"$F;@!Dr"</f>
        <v>#VALUE!</v>
      </c>
      <c r="DR11" t="e">
        <f>'All regions'!C220+"$F;@!Ds"</f>
        <v>#VALUE!</v>
      </c>
      <c r="DS11" t="e">
        <f>'All regions'!D220+"$F;@!Dt"</f>
        <v>#VALUE!</v>
      </c>
      <c r="DT11" t="e">
        <f>'All regions'!E220+"$F;@!Du"</f>
        <v>#VALUE!</v>
      </c>
      <c r="DU11" t="e">
        <f>'All regions'!F220+"$F;@!Dv"</f>
        <v>#VALUE!</v>
      </c>
      <c r="DV11" t="e">
        <f>'All regions'!G220+"$F;@!Dw"</f>
        <v>#VALUE!</v>
      </c>
      <c r="DW11" t="e">
        <f>'All regions'!H220+"$F;@!Dx"</f>
        <v>#VALUE!</v>
      </c>
      <c r="DX11" t="e">
        <f>'All regions'!I220+"$F;@!Dy"</f>
        <v>#VALUE!</v>
      </c>
      <c r="DY11" t="e">
        <f>'All regions'!A221+"$F;@!Dz"</f>
        <v>#VALUE!</v>
      </c>
      <c r="DZ11" t="e">
        <f>'All regions'!B221+"$F;@!D{"</f>
        <v>#VALUE!</v>
      </c>
      <c r="EA11" t="e">
        <f>'All regions'!C221+"$F;@!D|"</f>
        <v>#VALUE!</v>
      </c>
      <c r="EB11" t="e">
        <f>'All regions'!D221+"$F;@!D}"</f>
        <v>#VALUE!</v>
      </c>
      <c r="EC11" t="e">
        <f>'All regions'!E221+"$F;@!D~"</f>
        <v>#VALUE!</v>
      </c>
      <c r="ED11" t="e">
        <f>'All regions'!F221+"$F;@!E#"</f>
        <v>#VALUE!</v>
      </c>
      <c r="EE11" t="e">
        <f>'All regions'!G221+"$F;@!E$"</f>
        <v>#VALUE!</v>
      </c>
      <c r="EF11" t="e">
        <f>'All regions'!H221+"$F;@!E%"</f>
        <v>#VALUE!</v>
      </c>
      <c r="EG11" t="e">
        <f>'All regions'!I221+"$F;@!E&amp;"</f>
        <v>#VALUE!</v>
      </c>
      <c r="EH11" t="e">
        <f>'All regions'!A222+"$F;@!E'"</f>
        <v>#VALUE!</v>
      </c>
      <c r="EI11" t="e">
        <f>'All regions'!B222+"$F;@!E("</f>
        <v>#VALUE!</v>
      </c>
      <c r="EJ11" t="e">
        <f>'All regions'!C222+"$F;@!E)"</f>
        <v>#VALUE!</v>
      </c>
      <c r="EK11" t="e">
        <f>'All regions'!D222+"$F;@!E."</f>
        <v>#VALUE!</v>
      </c>
      <c r="EL11" t="e">
        <f>'All regions'!E222+"$F;@!E/"</f>
        <v>#VALUE!</v>
      </c>
      <c r="EM11" t="e">
        <f>'All regions'!F222+"$F;@!E0"</f>
        <v>#VALUE!</v>
      </c>
      <c r="EN11" t="e">
        <f>'All regions'!G222+"$F;@!E1"</f>
        <v>#VALUE!</v>
      </c>
      <c r="EO11" t="e">
        <f>'All regions'!H222+"$F;@!E2"</f>
        <v>#VALUE!</v>
      </c>
      <c r="EP11" t="e">
        <f>'All regions'!I222+"$F;@!E3"</f>
        <v>#VALUE!</v>
      </c>
      <c r="EQ11" t="e">
        <f>'All regions'!A223+"$F;@!E4"</f>
        <v>#VALUE!</v>
      </c>
      <c r="ER11" t="e">
        <f>'All regions'!B223+"$F;@!E5"</f>
        <v>#VALUE!</v>
      </c>
      <c r="ES11" t="e">
        <f>'All regions'!C223+"$F;@!E6"</f>
        <v>#VALUE!</v>
      </c>
      <c r="ET11" t="e">
        <f>'All regions'!D223+"$F;@!E7"</f>
        <v>#VALUE!</v>
      </c>
      <c r="EU11" t="e">
        <f>'All regions'!E223+"$F;@!E8"</f>
        <v>#VALUE!</v>
      </c>
      <c r="EV11" t="e">
        <f>'All regions'!F223+"$F;@!E9"</f>
        <v>#VALUE!</v>
      </c>
      <c r="EW11" t="e">
        <f>'All regions'!G223+"$F;@!E:"</f>
        <v>#VALUE!</v>
      </c>
      <c r="EX11" t="e">
        <f>'All regions'!H223+"$F;@!E;"</f>
        <v>#VALUE!</v>
      </c>
      <c r="EY11" t="e">
        <f>'All regions'!I223+"$F;@!E&lt;"</f>
        <v>#VALUE!</v>
      </c>
      <c r="EZ11" t="e">
        <f>'All regions'!A224+"$F;@!E="</f>
        <v>#VALUE!</v>
      </c>
      <c r="FA11" t="e">
        <f>'All regions'!B224+"$F;@!E&gt;"</f>
        <v>#VALUE!</v>
      </c>
      <c r="FB11" t="e">
        <f>'All regions'!C224+"$F;@!E?"</f>
        <v>#VALUE!</v>
      </c>
      <c r="FC11" t="e">
        <f>'All regions'!D224+"$F;@!E@"</f>
        <v>#VALUE!</v>
      </c>
      <c r="FD11" t="e">
        <f>'All regions'!E224+"$F;@!EA"</f>
        <v>#VALUE!</v>
      </c>
      <c r="FE11" t="e">
        <f>'All regions'!F224+"$F;@!EB"</f>
        <v>#VALUE!</v>
      </c>
      <c r="FF11" t="e">
        <f>'All regions'!G224+"$F;@!EC"</f>
        <v>#VALUE!</v>
      </c>
      <c r="FG11" t="e">
        <f>'All regions'!H224+"$F;@!ED"</f>
        <v>#VALUE!</v>
      </c>
      <c r="FH11" t="e">
        <f>'All regions'!I224+"$F;@!EE"</f>
        <v>#VALUE!</v>
      </c>
      <c r="FI11" t="e">
        <f>'All regions'!A225+"$F;@!EF"</f>
        <v>#VALUE!</v>
      </c>
      <c r="FJ11" t="e">
        <f>'All regions'!B225+"$F;@!EG"</f>
        <v>#VALUE!</v>
      </c>
      <c r="FK11" t="e">
        <f>'All regions'!C225+"$F;@!EH"</f>
        <v>#VALUE!</v>
      </c>
      <c r="FL11" t="e">
        <f>'All regions'!D225+"$F;@!EI"</f>
        <v>#VALUE!</v>
      </c>
      <c r="FM11" t="e">
        <f>'All regions'!E225+"$F;@!EJ"</f>
        <v>#VALUE!</v>
      </c>
      <c r="FN11" t="e">
        <f>'All regions'!F225+"$F;@!EK"</f>
        <v>#VALUE!</v>
      </c>
      <c r="FO11" t="e">
        <f>'All regions'!G225+"$F;@!EL"</f>
        <v>#VALUE!</v>
      </c>
      <c r="FP11" t="e">
        <f>'All regions'!H225+"$F;@!EM"</f>
        <v>#VALUE!</v>
      </c>
      <c r="FQ11" t="e">
        <f>'All regions'!I225+"$F;@!EN"</f>
        <v>#VALUE!</v>
      </c>
      <c r="FR11" t="e">
        <f>'All regions'!A226+"$F;@!EO"</f>
        <v>#VALUE!</v>
      </c>
      <c r="FS11" t="e">
        <f>'All regions'!B226+"$F;@!EP"</f>
        <v>#VALUE!</v>
      </c>
      <c r="FT11" t="e">
        <f>'All regions'!C226+"$F;@!EQ"</f>
        <v>#VALUE!</v>
      </c>
      <c r="FU11" t="e">
        <f>'All regions'!D226+"$F;@!ER"</f>
        <v>#VALUE!</v>
      </c>
      <c r="FV11" t="e">
        <f>'All regions'!E226+"$F;@!ES"</f>
        <v>#VALUE!</v>
      </c>
      <c r="FW11" t="e">
        <f>'All regions'!F226+"$F;@!ET"</f>
        <v>#VALUE!</v>
      </c>
      <c r="FX11" t="e">
        <f>'All regions'!G226+"$F;@!EU"</f>
        <v>#VALUE!</v>
      </c>
      <c r="FY11" t="e">
        <f>'All regions'!H226+"$F;@!EV"</f>
        <v>#VALUE!</v>
      </c>
      <c r="FZ11" t="e">
        <f>'All regions'!I226+"$F;@!EW"</f>
        <v>#VALUE!</v>
      </c>
      <c r="GA11" t="e">
        <f>'All regions'!A227+"$F;@!EX"</f>
        <v>#VALUE!</v>
      </c>
      <c r="GB11" t="e">
        <f>'All regions'!B227+"$F;@!EY"</f>
        <v>#VALUE!</v>
      </c>
      <c r="GC11" t="e">
        <f>'All regions'!C227+"$F;@!EZ"</f>
        <v>#VALUE!</v>
      </c>
      <c r="GD11" t="e">
        <f>'All regions'!D227+"$F;@!E["</f>
        <v>#VALUE!</v>
      </c>
      <c r="GE11" t="e">
        <f>'All regions'!E227+"$F;@!E\"</f>
        <v>#VALUE!</v>
      </c>
      <c r="GF11" t="e">
        <f>'All regions'!F227+"$F;@!E]"</f>
        <v>#VALUE!</v>
      </c>
      <c r="GG11" t="e">
        <f>'All regions'!G227+"$F;@!E^"</f>
        <v>#VALUE!</v>
      </c>
      <c r="GH11" t="e">
        <f>'All regions'!H227+"$F;@!E_"</f>
        <v>#VALUE!</v>
      </c>
      <c r="GI11" t="e">
        <f>'All regions'!I227+"$F;@!E`"</f>
        <v>#VALUE!</v>
      </c>
      <c r="GJ11" t="e">
        <f>'All regions'!A228+"$F;@!Ea"</f>
        <v>#VALUE!</v>
      </c>
      <c r="GK11" t="e">
        <f>'All regions'!B228+"$F;@!Eb"</f>
        <v>#VALUE!</v>
      </c>
      <c r="GL11" t="e">
        <f>'All regions'!C228+"$F;@!Ec"</f>
        <v>#VALUE!</v>
      </c>
      <c r="GM11" t="e">
        <f>'All regions'!D228+"$F;@!Ed"</f>
        <v>#VALUE!</v>
      </c>
      <c r="GN11" t="e">
        <f>'All regions'!E228+"$F;@!Ee"</f>
        <v>#VALUE!</v>
      </c>
      <c r="GO11" t="e">
        <f>'All regions'!F228+"$F;@!Ef"</f>
        <v>#VALUE!</v>
      </c>
      <c r="GP11" t="e">
        <f>'All regions'!G228+"$F;@!Eg"</f>
        <v>#VALUE!</v>
      </c>
      <c r="GQ11" t="e">
        <f>'All regions'!H228+"$F;@!Eh"</f>
        <v>#VALUE!</v>
      </c>
      <c r="GR11" t="e">
        <f>'All regions'!I228+"$F;@!Ei"</f>
        <v>#VALUE!</v>
      </c>
      <c r="GS11" t="e">
        <f>'All regions'!A229+"$F;@!Ej"</f>
        <v>#VALUE!</v>
      </c>
      <c r="GT11" t="e">
        <f>'All regions'!B229+"$F;@!Ek"</f>
        <v>#VALUE!</v>
      </c>
      <c r="GU11" t="e">
        <f>'All regions'!C229+"$F;@!El"</f>
        <v>#VALUE!</v>
      </c>
      <c r="GV11" t="e">
        <f>'All regions'!D229+"$F;@!Em"</f>
        <v>#VALUE!</v>
      </c>
      <c r="GW11" t="e">
        <f>'All regions'!E229+"$F;@!En"</f>
        <v>#VALUE!</v>
      </c>
      <c r="GX11" t="e">
        <f>'All regions'!F229+"$F;@!Eo"</f>
        <v>#VALUE!</v>
      </c>
      <c r="GY11" t="e">
        <f>'All regions'!G229+"$F;@!Ep"</f>
        <v>#VALUE!</v>
      </c>
      <c r="GZ11" t="e">
        <f>'All regions'!H229+"$F;@!Eq"</f>
        <v>#VALUE!</v>
      </c>
      <c r="HA11" t="e">
        <f>'All regions'!I229+"$F;@!Er"</f>
        <v>#VALUE!</v>
      </c>
      <c r="HB11" t="e">
        <f>'All regions'!A230+"$F;@!Es"</f>
        <v>#VALUE!</v>
      </c>
      <c r="HC11" t="e">
        <f>'All regions'!B230+"$F;@!Et"</f>
        <v>#VALUE!</v>
      </c>
      <c r="HD11" t="e">
        <f>'All regions'!C230+"$F;@!Eu"</f>
        <v>#VALUE!</v>
      </c>
      <c r="HE11" t="e">
        <f>'All regions'!D230+"$F;@!Ev"</f>
        <v>#VALUE!</v>
      </c>
      <c r="HF11" t="e">
        <f>'All regions'!E230+"$F;@!Ew"</f>
        <v>#VALUE!</v>
      </c>
      <c r="HG11" t="e">
        <f>'All regions'!F230+"$F;@!Ex"</f>
        <v>#VALUE!</v>
      </c>
      <c r="HH11" t="e">
        <f>'All regions'!G230+"$F;@!Ey"</f>
        <v>#VALUE!</v>
      </c>
      <c r="HI11" t="e">
        <f>'All regions'!H230+"$F;@!Ez"</f>
        <v>#VALUE!</v>
      </c>
      <c r="HJ11" t="e">
        <f>'All regions'!I230+"$F;@!E{"</f>
        <v>#VALUE!</v>
      </c>
      <c r="HK11" t="e">
        <f>'All regions'!A231+"$F;@!E|"</f>
        <v>#VALUE!</v>
      </c>
      <c r="HL11" t="e">
        <f>'All regions'!B231+"$F;@!E}"</f>
        <v>#VALUE!</v>
      </c>
      <c r="HM11" t="e">
        <f>'All regions'!C231+"$F;@!E~"</f>
        <v>#VALUE!</v>
      </c>
      <c r="HN11" t="e">
        <f>'All regions'!D231+"$F;@!F#"</f>
        <v>#VALUE!</v>
      </c>
      <c r="HO11" t="e">
        <f>'All regions'!E231+"$F;@!F$"</f>
        <v>#VALUE!</v>
      </c>
      <c r="HP11" t="e">
        <f>'All regions'!F231+"$F;@!F%"</f>
        <v>#VALUE!</v>
      </c>
      <c r="HQ11" t="e">
        <f>'All regions'!G231+"$F;@!F&amp;"</f>
        <v>#VALUE!</v>
      </c>
      <c r="HR11" t="e">
        <f>'All regions'!H231+"$F;@!F'"</f>
        <v>#VALUE!</v>
      </c>
      <c r="HS11" t="e">
        <f>'All regions'!I231+"$F;@!F("</f>
        <v>#VALUE!</v>
      </c>
      <c r="HT11" t="e">
        <f>'All regions'!A232+"$F;@!F)"</f>
        <v>#VALUE!</v>
      </c>
      <c r="HU11" t="e">
        <f>'All regions'!B232+"$F;@!F."</f>
        <v>#VALUE!</v>
      </c>
      <c r="HV11" t="e">
        <f>'All regions'!C232+"$F;@!F/"</f>
        <v>#VALUE!</v>
      </c>
      <c r="HW11" t="e">
        <f>'All regions'!D232+"$F;@!F0"</f>
        <v>#VALUE!</v>
      </c>
      <c r="HX11" t="e">
        <f>'All regions'!E232+"$F;@!F1"</f>
        <v>#VALUE!</v>
      </c>
      <c r="HY11" t="e">
        <f>'All regions'!F232+"$F;@!F2"</f>
        <v>#VALUE!</v>
      </c>
      <c r="HZ11" t="e">
        <f>'All regions'!G232+"$F;@!F3"</f>
        <v>#VALUE!</v>
      </c>
      <c r="IA11" t="e">
        <f>'All regions'!H232+"$F;@!F4"</f>
        <v>#VALUE!</v>
      </c>
      <c r="IB11" t="e">
        <f>'All regions'!I232+"$F;@!F5"</f>
        <v>#VALUE!</v>
      </c>
      <c r="IC11" t="e">
        <f>'All regions'!A233+"$F;@!F6"</f>
        <v>#VALUE!</v>
      </c>
      <c r="ID11" t="e">
        <f>'All regions'!B233+"$F;@!F7"</f>
        <v>#VALUE!</v>
      </c>
      <c r="IE11" t="e">
        <f>'All regions'!C233+"$F;@!F8"</f>
        <v>#VALUE!</v>
      </c>
      <c r="IF11" t="e">
        <f>'All regions'!D233+"$F;@!F9"</f>
        <v>#VALUE!</v>
      </c>
      <c r="IG11" t="e">
        <f>'All regions'!E233+"$F;@!F:"</f>
        <v>#VALUE!</v>
      </c>
      <c r="IH11" t="e">
        <f>'All regions'!F233+"$F;@!F;"</f>
        <v>#VALUE!</v>
      </c>
      <c r="II11" t="e">
        <f>'All regions'!G233+"$F;@!F&lt;"</f>
        <v>#VALUE!</v>
      </c>
      <c r="IJ11" t="e">
        <f>'All regions'!H233+"$F;@!F="</f>
        <v>#VALUE!</v>
      </c>
      <c r="IK11" t="e">
        <f>'All regions'!I233+"$F;@!F&gt;"</f>
        <v>#VALUE!</v>
      </c>
      <c r="IL11" t="e">
        <f>'All regions'!A234+"$F;@!F?"</f>
        <v>#VALUE!</v>
      </c>
      <c r="IM11" t="e">
        <f>'All regions'!B234+"$F;@!F@"</f>
        <v>#VALUE!</v>
      </c>
      <c r="IN11" t="e">
        <f>'All regions'!C234+"$F;@!FA"</f>
        <v>#VALUE!</v>
      </c>
      <c r="IO11" t="e">
        <f>'All regions'!D234+"$F;@!FB"</f>
        <v>#VALUE!</v>
      </c>
      <c r="IP11" t="e">
        <f>'All regions'!E234+"$F;@!FC"</f>
        <v>#VALUE!</v>
      </c>
      <c r="IQ11" t="e">
        <f>'All regions'!F234+"$F;@!FD"</f>
        <v>#VALUE!</v>
      </c>
      <c r="IR11" t="e">
        <f>'All regions'!G234+"$F;@!FE"</f>
        <v>#VALUE!</v>
      </c>
      <c r="IS11" t="e">
        <f>'All regions'!H234+"$F;@!FF"</f>
        <v>#VALUE!</v>
      </c>
      <c r="IT11" t="e">
        <f>'All regions'!I234+"$F;@!FG"</f>
        <v>#VALUE!</v>
      </c>
      <c r="IU11" t="e">
        <f>'All regions'!A235+"$F;@!FH"</f>
        <v>#VALUE!</v>
      </c>
      <c r="IV11" t="e">
        <f>'All regions'!B235+"$F;@!FI"</f>
        <v>#VALUE!</v>
      </c>
    </row>
    <row r="12" spans="1:256" x14ac:dyDescent="0.35">
      <c r="F12" t="e">
        <f>'All regions'!C235+"$F;@!FJ"</f>
        <v>#VALUE!</v>
      </c>
      <c r="G12" t="e">
        <f>'All regions'!D235+"$F;@!FK"</f>
        <v>#VALUE!</v>
      </c>
      <c r="H12" t="e">
        <f>'All regions'!E235+"$F;@!FL"</f>
        <v>#VALUE!</v>
      </c>
      <c r="I12" t="e">
        <f>'All regions'!F235+"$F;@!FM"</f>
        <v>#VALUE!</v>
      </c>
      <c r="J12" t="e">
        <f>'All regions'!G235+"$F;@!FN"</f>
        <v>#VALUE!</v>
      </c>
      <c r="K12" t="e">
        <f>'All regions'!H235+"$F;@!FO"</f>
        <v>#VALUE!</v>
      </c>
      <c r="L12" t="e">
        <f>'All regions'!I235+"$F;@!FP"</f>
        <v>#VALUE!</v>
      </c>
      <c r="M12" t="e">
        <f>'All regions'!A236+"$F;@!FQ"</f>
        <v>#VALUE!</v>
      </c>
      <c r="N12" t="e">
        <f>'All regions'!B236+"$F;@!FR"</f>
        <v>#VALUE!</v>
      </c>
      <c r="O12" t="e">
        <f>'All regions'!C236+"$F;@!FS"</f>
        <v>#VALUE!</v>
      </c>
      <c r="P12" t="e">
        <f>'All regions'!D236+"$F;@!FT"</f>
        <v>#VALUE!</v>
      </c>
      <c r="Q12" t="e">
        <f>'All regions'!E236+"$F;@!FU"</f>
        <v>#VALUE!</v>
      </c>
      <c r="R12" t="e">
        <f>'All regions'!F236+"$F;@!FV"</f>
        <v>#VALUE!</v>
      </c>
      <c r="S12" t="e">
        <f>'All regions'!G236+"$F;@!FW"</f>
        <v>#VALUE!</v>
      </c>
      <c r="T12" t="e">
        <f>'All regions'!H236+"$F;@!FX"</f>
        <v>#VALUE!</v>
      </c>
      <c r="U12" t="e">
        <f>'All regions'!I236+"$F;@!FY"</f>
        <v>#VALUE!</v>
      </c>
      <c r="V12" t="e">
        <f>'All regions'!A237+"$F;@!FZ"</f>
        <v>#VALUE!</v>
      </c>
      <c r="W12" t="e">
        <f>'All regions'!B237+"$F;@!F["</f>
        <v>#VALUE!</v>
      </c>
      <c r="X12" t="e">
        <f>'All regions'!C237+"$F;@!F\"</f>
        <v>#VALUE!</v>
      </c>
      <c r="Y12" t="e">
        <f>'All regions'!D237+"$F;@!F]"</f>
        <v>#VALUE!</v>
      </c>
      <c r="Z12" t="e">
        <f>'All regions'!E237+"$F;@!F^"</f>
        <v>#VALUE!</v>
      </c>
      <c r="AA12" t="e">
        <f>'All regions'!F237+"$F;@!F_"</f>
        <v>#VALUE!</v>
      </c>
      <c r="AB12" t="e">
        <f>'All regions'!G237+"$F;@!F`"</f>
        <v>#VALUE!</v>
      </c>
      <c r="AC12" t="e">
        <f>'All regions'!H237+"$F;@!Fa"</f>
        <v>#VALUE!</v>
      </c>
      <c r="AD12" t="e">
        <f>'All regions'!I237+"$F;@!Fb"</f>
        <v>#VALUE!</v>
      </c>
      <c r="AE12" t="e">
        <f>'All regions'!A238+"$F;@!Fc"</f>
        <v>#VALUE!</v>
      </c>
      <c r="AF12" t="e">
        <f>'All regions'!B238+"$F;@!Fd"</f>
        <v>#VALUE!</v>
      </c>
      <c r="AG12" t="e">
        <f>'All regions'!C238+"$F;@!Fe"</f>
        <v>#VALUE!</v>
      </c>
      <c r="AH12" t="e">
        <f>'All regions'!D238+"$F;@!Ff"</f>
        <v>#VALUE!</v>
      </c>
      <c r="AI12" t="e">
        <f>'All regions'!E238+"$F;@!Fg"</f>
        <v>#VALUE!</v>
      </c>
      <c r="AJ12" t="e">
        <f>'All regions'!F238+"$F;@!Fh"</f>
        <v>#VALUE!</v>
      </c>
      <c r="AK12" t="e">
        <f>'All regions'!G238+"$F;@!Fi"</f>
        <v>#VALUE!</v>
      </c>
      <c r="AL12" t="e">
        <f>'All regions'!H238+"$F;@!Fj"</f>
        <v>#VALUE!</v>
      </c>
      <c r="AM12" t="e">
        <f>'All regions'!I238+"$F;@!Fk"</f>
        <v>#VALUE!</v>
      </c>
      <c r="AN12" t="e">
        <f>'All regions'!A239+"$F;@!Fl"</f>
        <v>#VALUE!</v>
      </c>
      <c r="AO12" t="e">
        <f>'All regions'!B239+"$F;@!Fm"</f>
        <v>#VALUE!</v>
      </c>
      <c r="AP12" t="e">
        <f>'All regions'!C239+"$F;@!Fn"</f>
        <v>#VALUE!</v>
      </c>
      <c r="AQ12" t="e">
        <f>'All regions'!D239+"$F;@!Fo"</f>
        <v>#VALUE!</v>
      </c>
      <c r="AR12" t="e">
        <f>'All regions'!E239+"$F;@!Fp"</f>
        <v>#VALUE!</v>
      </c>
      <c r="AS12" t="e">
        <f>'All regions'!F239+"$F;@!Fq"</f>
        <v>#VALUE!</v>
      </c>
      <c r="AT12" t="e">
        <f>'All regions'!G239+"$F;@!Fr"</f>
        <v>#VALUE!</v>
      </c>
      <c r="AU12" t="e">
        <f>'All regions'!H239+"$F;@!Fs"</f>
        <v>#VALUE!</v>
      </c>
      <c r="AV12" t="e">
        <f>'All regions'!I239+"$F;@!Ft"</f>
        <v>#VALUE!</v>
      </c>
      <c r="AW12" t="e">
        <f>'All regions'!A240+"$F;@!Fu"</f>
        <v>#VALUE!</v>
      </c>
      <c r="AX12" t="e">
        <f>'All regions'!B240+"$F;@!Fv"</f>
        <v>#VALUE!</v>
      </c>
      <c r="AY12" t="e">
        <f>'All regions'!C240+"$F;@!Fw"</f>
        <v>#VALUE!</v>
      </c>
      <c r="AZ12" t="e">
        <f>'All regions'!D240+"$F;@!Fx"</f>
        <v>#VALUE!</v>
      </c>
      <c r="BA12" t="e">
        <f>'All regions'!E240+"$F;@!Fy"</f>
        <v>#VALUE!</v>
      </c>
      <c r="BB12" t="e">
        <f>'All regions'!F240+"$F;@!Fz"</f>
        <v>#VALUE!</v>
      </c>
      <c r="BC12" t="e">
        <f>'All regions'!G240+"$F;@!F{"</f>
        <v>#VALUE!</v>
      </c>
      <c r="BD12" t="e">
        <f>'All regions'!H240+"$F;@!F|"</f>
        <v>#VALUE!</v>
      </c>
      <c r="BE12" t="e">
        <f>'All regions'!I240+"$F;@!F}"</f>
        <v>#VALUE!</v>
      </c>
      <c r="BF12" t="e">
        <f>'All regions'!A241+"$F;@!F~"</f>
        <v>#VALUE!</v>
      </c>
      <c r="BG12" t="e">
        <f>'All regions'!B241+"$F;@!G#"</f>
        <v>#VALUE!</v>
      </c>
      <c r="BH12" t="e">
        <f>'All regions'!C241+"$F;@!G$"</f>
        <v>#VALUE!</v>
      </c>
      <c r="BI12" t="e">
        <f>'All regions'!D241+"$F;@!G%"</f>
        <v>#VALUE!</v>
      </c>
      <c r="BJ12" t="e">
        <f>'All regions'!E241+"$F;@!G&amp;"</f>
        <v>#VALUE!</v>
      </c>
      <c r="BK12" t="e">
        <f>'All regions'!F241+"$F;@!G'"</f>
        <v>#VALUE!</v>
      </c>
      <c r="BL12" t="e">
        <f>'All regions'!G241+"$F;@!G("</f>
        <v>#VALUE!</v>
      </c>
      <c r="BM12" t="e">
        <f>'All regions'!H241+"$F;@!G)"</f>
        <v>#VALUE!</v>
      </c>
      <c r="BN12" t="e">
        <f>'All regions'!I241+"$F;@!G."</f>
        <v>#VALUE!</v>
      </c>
      <c r="BO12" t="e">
        <f>'All regions'!A242+"$F;@!G/"</f>
        <v>#VALUE!</v>
      </c>
      <c r="BP12" t="e">
        <f>'All regions'!B242+"$F;@!G0"</f>
        <v>#VALUE!</v>
      </c>
      <c r="BQ12" t="e">
        <f>'All regions'!C242+"$F;@!G1"</f>
        <v>#VALUE!</v>
      </c>
      <c r="BR12" t="e">
        <f>'All regions'!D242+"$F;@!G2"</f>
        <v>#VALUE!</v>
      </c>
      <c r="BS12" t="e">
        <f>'All regions'!E242+"$F;@!G3"</f>
        <v>#VALUE!</v>
      </c>
      <c r="BT12" t="e">
        <f>'All regions'!F242+"$F;@!G4"</f>
        <v>#VALUE!</v>
      </c>
      <c r="BU12" t="e">
        <f>'All regions'!G242+"$F;@!G5"</f>
        <v>#VALUE!</v>
      </c>
      <c r="BV12" t="e">
        <f>'All regions'!H242+"$F;@!G6"</f>
        <v>#VALUE!</v>
      </c>
      <c r="BW12" t="e">
        <f>'All regions'!I242+"$F;@!G7"</f>
        <v>#VALUE!</v>
      </c>
      <c r="BX12" t="e">
        <f>'All regions'!A243+"$F;@!G8"</f>
        <v>#VALUE!</v>
      </c>
      <c r="BY12" t="e">
        <f>'All regions'!B243+"$F;@!G9"</f>
        <v>#VALUE!</v>
      </c>
      <c r="BZ12" t="e">
        <f>'All regions'!C243+"$F;@!G:"</f>
        <v>#VALUE!</v>
      </c>
      <c r="CA12" t="e">
        <f>'All regions'!D243+"$F;@!G;"</f>
        <v>#VALUE!</v>
      </c>
      <c r="CB12" t="e">
        <f>'All regions'!E243+"$F;@!G&lt;"</f>
        <v>#VALUE!</v>
      </c>
      <c r="CC12" t="e">
        <f>'All regions'!F243+"$F;@!G="</f>
        <v>#VALUE!</v>
      </c>
      <c r="CD12" t="e">
        <f>'All regions'!G243+"$F;@!G&gt;"</f>
        <v>#VALUE!</v>
      </c>
      <c r="CE12" t="e">
        <f>'All regions'!H243+"$F;@!G?"</f>
        <v>#VALUE!</v>
      </c>
      <c r="CF12" t="e">
        <f>'All regions'!I243+"$F;@!G@"</f>
        <v>#VALUE!</v>
      </c>
      <c r="CG12" t="e">
        <f>'All regions'!A244+"$F;@!GA"</f>
        <v>#VALUE!</v>
      </c>
      <c r="CH12" t="e">
        <f>'All regions'!B244+"$F;@!GB"</f>
        <v>#VALUE!</v>
      </c>
      <c r="CI12" t="e">
        <f>'All regions'!C244+"$F;@!GC"</f>
        <v>#VALUE!</v>
      </c>
      <c r="CJ12" t="e">
        <f>'All regions'!D244+"$F;@!GD"</f>
        <v>#VALUE!</v>
      </c>
      <c r="CK12" t="e">
        <f>'All regions'!E244+"$F;@!GE"</f>
        <v>#VALUE!</v>
      </c>
      <c r="CL12" t="e">
        <f>'All regions'!F244+"$F;@!GF"</f>
        <v>#VALUE!</v>
      </c>
      <c r="CM12" t="e">
        <f>'All regions'!G244+"$F;@!GG"</f>
        <v>#VALUE!</v>
      </c>
      <c r="CN12" t="e">
        <f>'All regions'!H244+"$F;@!GH"</f>
        <v>#VALUE!</v>
      </c>
      <c r="CO12" t="e">
        <f>'All regions'!I244+"$F;@!GI"</f>
        <v>#VALUE!</v>
      </c>
      <c r="CP12" t="e">
        <f>'All regions'!A245+"$F;@!GJ"</f>
        <v>#VALUE!</v>
      </c>
      <c r="CQ12" t="e">
        <f>'All regions'!B245+"$F;@!GK"</f>
        <v>#VALUE!</v>
      </c>
      <c r="CR12" t="e">
        <f>'All regions'!C245+"$F;@!GL"</f>
        <v>#VALUE!</v>
      </c>
      <c r="CS12" t="e">
        <f>'All regions'!D245+"$F;@!GM"</f>
        <v>#VALUE!</v>
      </c>
      <c r="CT12" t="e">
        <f>'All regions'!E245+"$F;@!GN"</f>
        <v>#VALUE!</v>
      </c>
      <c r="CU12" t="e">
        <f>'All regions'!F245+"$F;@!GO"</f>
        <v>#VALUE!</v>
      </c>
      <c r="CV12" t="e">
        <f>'All regions'!G245+"$F;@!GP"</f>
        <v>#VALUE!</v>
      </c>
      <c r="CW12" t="e">
        <f>'All regions'!H245+"$F;@!GQ"</f>
        <v>#VALUE!</v>
      </c>
      <c r="CX12" t="e">
        <f>'All regions'!I245+"$F;@!GR"</f>
        <v>#VALUE!</v>
      </c>
      <c r="CY12" t="e">
        <f>'All regions'!A246+"$F;@!GS"</f>
        <v>#VALUE!</v>
      </c>
      <c r="CZ12" t="e">
        <f>'All regions'!B246+"$F;@!GT"</f>
        <v>#VALUE!</v>
      </c>
      <c r="DA12" t="e">
        <f>'All regions'!C246+"$F;@!GU"</f>
        <v>#VALUE!</v>
      </c>
      <c r="DB12" t="e">
        <f>'All regions'!D246+"$F;@!GV"</f>
        <v>#VALUE!</v>
      </c>
      <c r="DC12" t="e">
        <f>'All regions'!E246+"$F;@!GW"</f>
        <v>#VALUE!</v>
      </c>
      <c r="DD12" t="e">
        <f>'All regions'!F246+"$F;@!GX"</f>
        <v>#VALUE!</v>
      </c>
      <c r="DE12" t="e">
        <f>'All regions'!G246+"$F;@!GY"</f>
        <v>#VALUE!</v>
      </c>
      <c r="DF12" t="e">
        <f>'All regions'!H246+"$F;@!GZ"</f>
        <v>#VALUE!</v>
      </c>
      <c r="DG12" t="e">
        <f>'All regions'!I246+"$F;@!G["</f>
        <v>#VALUE!</v>
      </c>
      <c r="DH12" t="e">
        <f>'All regions'!A247+"$F;@!G\"</f>
        <v>#VALUE!</v>
      </c>
      <c r="DI12" t="e">
        <f>'All regions'!B247+"$F;@!G]"</f>
        <v>#VALUE!</v>
      </c>
      <c r="DJ12" t="e">
        <f>'All regions'!C247+"$F;@!G^"</f>
        <v>#VALUE!</v>
      </c>
      <c r="DK12" t="e">
        <f>'All regions'!D247+"$F;@!G_"</f>
        <v>#VALUE!</v>
      </c>
      <c r="DL12" t="e">
        <f>'All regions'!E247+"$F;@!G`"</f>
        <v>#VALUE!</v>
      </c>
      <c r="DM12" t="e">
        <f>'All regions'!F247+"$F;@!Ga"</f>
        <v>#VALUE!</v>
      </c>
      <c r="DN12" t="e">
        <f>'All regions'!G247+"$F;@!Gb"</f>
        <v>#VALUE!</v>
      </c>
      <c r="DO12" t="e">
        <f>'All regions'!H247+"$F;@!Gc"</f>
        <v>#VALUE!</v>
      </c>
      <c r="DP12" t="e">
        <f>'All regions'!I247+"$F;@!Gd"</f>
        <v>#VALUE!</v>
      </c>
      <c r="DQ12" t="e">
        <f>'All regions'!A248+"$F;@!Ge"</f>
        <v>#VALUE!</v>
      </c>
      <c r="DR12" t="e">
        <f>'All regions'!B248+"$F;@!Gf"</f>
        <v>#VALUE!</v>
      </c>
      <c r="DS12" t="e">
        <f>'All regions'!C248+"$F;@!Gg"</f>
        <v>#VALUE!</v>
      </c>
      <c r="DT12" t="e">
        <f>'All regions'!D248+"$F;@!Gh"</f>
        <v>#VALUE!</v>
      </c>
      <c r="DU12" t="e">
        <f>'All regions'!E248+"$F;@!Gi"</f>
        <v>#VALUE!</v>
      </c>
      <c r="DV12" t="e">
        <f>'All regions'!F248+"$F;@!Gj"</f>
        <v>#VALUE!</v>
      </c>
      <c r="DW12" t="e">
        <f>'All regions'!G248+"$F;@!Gk"</f>
        <v>#VALUE!</v>
      </c>
      <c r="DX12" t="e">
        <f>'All regions'!H248+"$F;@!Gl"</f>
        <v>#VALUE!</v>
      </c>
      <c r="DY12" t="e">
        <f>'All regions'!I248+"$F;@!Gm"</f>
        <v>#VALUE!</v>
      </c>
      <c r="DZ12" t="e">
        <f>'All regions'!A249+"$F;@!Gn"</f>
        <v>#VALUE!</v>
      </c>
      <c r="EA12" t="e">
        <f>'All regions'!B249+"$F;@!Go"</f>
        <v>#VALUE!</v>
      </c>
      <c r="EB12" t="e">
        <f>'All regions'!C249+"$F;@!Gp"</f>
        <v>#VALUE!</v>
      </c>
      <c r="EC12" t="e">
        <f>'All regions'!D249+"$F;@!Gq"</f>
        <v>#VALUE!</v>
      </c>
      <c r="ED12" t="e">
        <f>'All regions'!E249+"$F;@!Gr"</f>
        <v>#VALUE!</v>
      </c>
      <c r="EE12" t="e">
        <f>'All regions'!F249+"$F;@!Gs"</f>
        <v>#VALUE!</v>
      </c>
      <c r="EF12" t="e">
        <f>'All regions'!G249+"$F;@!Gt"</f>
        <v>#VALUE!</v>
      </c>
      <c r="EG12" t="e">
        <f>'All regions'!H249+"$F;@!Gu"</f>
        <v>#VALUE!</v>
      </c>
      <c r="EH12" t="e">
        <f>'All regions'!I249+"$F;@!Gv"</f>
        <v>#VALUE!</v>
      </c>
      <c r="EI12" t="e">
        <f>'All regions'!A250+"$F;@!Gw"</f>
        <v>#VALUE!</v>
      </c>
      <c r="EJ12" t="e">
        <f>'All regions'!B250+"$F;@!Gx"</f>
        <v>#VALUE!</v>
      </c>
      <c r="EK12" t="e">
        <f>'All regions'!C250+"$F;@!Gy"</f>
        <v>#VALUE!</v>
      </c>
      <c r="EL12" t="e">
        <f>'All regions'!D250+"$F;@!Gz"</f>
        <v>#VALUE!</v>
      </c>
      <c r="EM12" t="e">
        <f>'All regions'!E250+"$F;@!G{"</f>
        <v>#VALUE!</v>
      </c>
      <c r="EN12" t="e">
        <f>'All regions'!F250+"$F;@!G|"</f>
        <v>#VALUE!</v>
      </c>
      <c r="EO12" t="e">
        <f>'All regions'!G250+"$F;@!G}"</f>
        <v>#VALUE!</v>
      </c>
      <c r="EP12" t="e">
        <f>'All regions'!H250+"$F;@!G~"</f>
        <v>#VALUE!</v>
      </c>
      <c r="EQ12" t="e">
        <f>'All regions'!I250+"$F;@!H#"</f>
        <v>#VALUE!</v>
      </c>
      <c r="ER12" t="e">
        <f>'All regions'!A251+"$F;@!H$"</f>
        <v>#VALUE!</v>
      </c>
      <c r="ES12" t="e">
        <f>'All regions'!B251+"$F;@!H%"</f>
        <v>#VALUE!</v>
      </c>
      <c r="ET12" t="e">
        <f>'All regions'!C251+"$F;@!H&amp;"</f>
        <v>#VALUE!</v>
      </c>
      <c r="EU12" t="e">
        <f>'All regions'!D251+"$F;@!H'"</f>
        <v>#VALUE!</v>
      </c>
      <c r="EV12" t="e">
        <f>'All regions'!E251+"$F;@!H("</f>
        <v>#VALUE!</v>
      </c>
      <c r="EW12" t="e">
        <f>'All regions'!F251+"$F;@!H)"</f>
        <v>#VALUE!</v>
      </c>
      <c r="EX12" t="e">
        <f>'All regions'!G251+"$F;@!H."</f>
        <v>#VALUE!</v>
      </c>
      <c r="EY12" t="e">
        <f>'All regions'!H251+"$F;@!H/"</f>
        <v>#VALUE!</v>
      </c>
      <c r="EZ12" t="e">
        <f>'All regions'!I251+"$F;@!H0"</f>
        <v>#VALUE!</v>
      </c>
      <c r="FA12" t="e">
        <f>'All regions'!A252+"$F;@!H1"</f>
        <v>#VALUE!</v>
      </c>
      <c r="FB12" t="e">
        <f>'All regions'!B252+"$F;@!H2"</f>
        <v>#VALUE!</v>
      </c>
      <c r="FC12" t="e">
        <f>'All regions'!C252+"$F;@!H3"</f>
        <v>#VALUE!</v>
      </c>
      <c r="FD12" t="e">
        <f>'All regions'!D252+"$F;@!H4"</f>
        <v>#VALUE!</v>
      </c>
      <c r="FE12" t="e">
        <f>'All regions'!E252+"$F;@!H5"</f>
        <v>#VALUE!</v>
      </c>
      <c r="FF12" t="e">
        <f>'All regions'!F252+"$F;@!H6"</f>
        <v>#VALUE!</v>
      </c>
      <c r="FG12" t="e">
        <f>'All regions'!G252+"$F;@!H7"</f>
        <v>#VALUE!</v>
      </c>
      <c r="FH12" t="e">
        <f>'All regions'!H252+"$F;@!H8"</f>
        <v>#VALUE!</v>
      </c>
      <c r="FI12" t="e">
        <f>'All regions'!I252+"$F;@!H9"</f>
        <v>#VALUE!</v>
      </c>
      <c r="FJ12" t="e">
        <f>'All regions'!A253+"$F;@!H:"</f>
        <v>#VALUE!</v>
      </c>
      <c r="FK12" t="e">
        <f>'All regions'!B253+"$F;@!H;"</f>
        <v>#VALUE!</v>
      </c>
      <c r="FL12" t="e">
        <f>'All regions'!C253+"$F;@!H&lt;"</f>
        <v>#VALUE!</v>
      </c>
      <c r="FM12" t="e">
        <f>'All regions'!D253+"$F;@!H="</f>
        <v>#VALUE!</v>
      </c>
      <c r="FN12" t="e">
        <f>'All regions'!E253+"$F;@!H&gt;"</f>
        <v>#VALUE!</v>
      </c>
      <c r="FO12" t="e">
        <f>'All regions'!F253+"$F;@!H?"</f>
        <v>#VALUE!</v>
      </c>
      <c r="FP12" t="e">
        <f>'All regions'!G253+"$F;@!H@"</f>
        <v>#VALUE!</v>
      </c>
      <c r="FQ12" t="e">
        <f>'All regions'!H253+"$F;@!HA"</f>
        <v>#VALUE!</v>
      </c>
      <c r="FR12" t="e">
        <f>'All regions'!I253+"$F;@!HB"</f>
        <v>#VALUE!</v>
      </c>
      <c r="FS12" t="e">
        <f>'All regions'!A254+"$F;@!HC"</f>
        <v>#VALUE!</v>
      </c>
      <c r="FT12" t="e">
        <f>'All regions'!B254+"$F;@!HD"</f>
        <v>#VALUE!</v>
      </c>
      <c r="FU12" t="e">
        <f>'All regions'!C254+"$F;@!HE"</f>
        <v>#VALUE!</v>
      </c>
      <c r="FV12" t="e">
        <f>'All regions'!D254+"$F;@!HF"</f>
        <v>#VALUE!</v>
      </c>
      <c r="FW12" t="e">
        <f>'All regions'!E254+"$F;@!HG"</f>
        <v>#VALUE!</v>
      </c>
      <c r="FX12" t="e">
        <f>'All regions'!F254+"$F;@!HH"</f>
        <v>#VALUE!</v>
      </c>
      <c r="FY12" t="e">
        <f>'All regions'!G254+"$F;@!HI"</f>
        <v>#VALUE!</v>
      </c>
      <c r="FZ12" t="e">
        <f>'All regions'!H254+"$F;@!HJ"</f>
        <v>#VALUE!</v>
      </c>
      <c r="GA12" t="e">
        <f>'All regions'!I254+"$F;@!HK"</f>
        <v>#VALUE!</v>
      </c>
      <c r="GB12" t="e">
        <f>'All regions'!A255+"$F;@!HL"</f>
        <v>#VALUE!</v>
      </c>
      <c r="GC12" t="e">
        <f>'All regions'!B255+"$F;@!HM"</f>
        <v>#VALUE!</v>
      </c>
      <c r="GD12" t="e">
        <f>'All regions'!C255+"$F;@!HN"</f>
        <v>#VALUE!</v>
      </c>
      <c r="GE12" t="e">
        <f>'All regions'!D255+"$F;@!HO"</f>
        <v>#VALUE!</v>
      </c>
      <c r="GF12" t="e">
        <f>'All regions'!E255+"$F;@!HP"</f>
        <v>#VALUE!</v>
      </c>
      <c r="GG12" t="e">
        <f>'All regions'!F255+"$F;@!HQ"</f>
        <v>#VALUE!</v>
      </c>
      <c r="GH12" t="e">
        <f>'All regions'!G255+"$F;@!HR"</f>
        <v>#VALUE!</v>
      </c>
      <c r="GI12" t="e">
        <f>'All regions'!H255+"$F;@!HS"</f>
        <v>#VALUE!</v>
      </c>
      <c r="GJ12" t="e">
        <f>'All regions'!I255+"$F;@!HT"</f>
        <v>#VALUE!</v>
      </c>
      <c r="GK12" t="e">
        <f>'All regions'!A256+"$F;@!HU"</f>
        <v>#VALUE!</v>
      </c>
      <c r="GL12" t="e">
        <f>'All regions'!B256+"$F;@!HV"</f>
        <v>#VALUE!</v>
      </c>
      <c r="GM12" t="e">
        <f>'All regions'!C256+"$F;@!HW"</f>
        <v>#VALUE!</v>
      </c>
      <c r="GN12" t="e">
        <f>'All regions'!D256+"$F;@!HX"</f>
        <v>#VALUE!</v>
      </c>
      <c r="GO12" t="e">
        <f>'All regions'!E256+"$F;@!HY"</f>
        <v>#VALUE!</v>
      </c>
      <c r="GP12" t="e">
        <f>'All regions'!F256+"$F;@!HZ"</f>
        <v>#VALUE!</v>
      </c>
      <c r="GQ12" t="e">
        <f>'All regions'!G256+"$F;@!H["</f>
        <v>#VALUE!</v>
      </c>
      <c r="GR12" t="e">
        <f>'All regions'!H256+"$F;@!H\"</f>
        <v>#VALUE!</v>
      </c>
      <c r="GS12" t="e">
        <f>'All regions'!I256+"$F;@!H]"</f>
        <v>#VALUE!</v>
      </c>
      <c r="GT12" t="e">
        <f>'All regions'!A257+"$F;@!H^"</f>
        <v>#VALUE!</v>
      </c>
      <c r="GU12" t="e">
        <f>'All regions'!B257+"$F;@!H_"</f>
        <v>#VALUE!</v>
      </c>
      <c r="GV12" t="e">
        <f>'All regions'!C257+"$F;@!H`"</f>
        <v>#VALUE!</v>
      </c>
      <c r="GW12" t="e">
        <f>'All regions'!D257+"$F;@!Ha"</f>
        <v>#VALUE!</v>
      </c>
      <c r="GX12" t="e">
        <f>'All regions'!E257+"$F;@!Hb"</f>
        <v>#VALUE!</v>
      </c>
      <c r="GY12" t="e">
        <f>'All regions'!F257+"$F;@!Hc"</f>
        <v>#VALUE!</v>
      </c>
      <c r="GZ12" t="e">
        <f>'All regions'!G257+"$F;@!Hd"</f>
        <v>#VALUE!</v>
      </c>
      <c r="HA12" t="e">
        <f>'All regions'!H257+"$F;@!He"</f>
        <v>#VALUE!</v>
      </c>
      <c r="HB12" t="e">
        <f>'All regions'!I257+"$F;@!Hf"</f>
        <v>#VALUE!</v>
      </c>
      <c r="HC12" t="e">
        <f>'All regions'!A258+"$F;@!Hg"</f>
        <v>#VALUE!</v>
      </c>
      <c r="HD12" t="e">
        <f>'All regions'!B258+"$F;@!Hh"</f>
        <v>#VALUE!</v>
      </c>
      <c r="HE12" t="e">
        <f>'All regions'!C258+"$F;@!Hi"</f>
        <v>#VALUE!</v>
      </c>
      <c r="HF12" t="e">
        <f>'All regions'!D258+"$F;@!Hj"</f>
        <v>#VALUE!</v>
      </c>
      <c r="HG12" t="e">
        <f>'All regions'!E258+"$F;@!Hk"</f>
        <v>#VALUE!</v>
      </c>
      <c r="HH12" t="e">
        <f>'All regions'!F258+"$F;@!Hl"</f>
        <v>#VALUE!</v>
      </c>
      <c r="HI12" t="e">
        <f>'All regions'!G258+"$F;@!Hm"</f>
        <v>#VALUE!</v>
      </c>
      <c r="HJ12" t="e">
        <f>'All regions'!H258+"$F;@!Hn"</f>
        <v>#VALUE!</v>
      </c>
      <c r="HK12" t="e">
        <f>'All regions'!I258+"$F;@!Ho"</f>
        <v>#VALUE!</v>
      </c>
      <c r="HL12" t="e">
        <f>'All regions'!A259+"$F;@!Hp"</f>
        <v>#VALUE!</v>
      </c>
      <c r="HM12" t="e">
        <f>'All regions'!B259+"$F;@!Hq"</f>
        <v>#VALUE!</v>
      </c>
      <c r="HN12" t="e">
        <f>'All regions'!C259+"$F;@!Hr"</f>
        <v>#VALUE!</v>
      </c>
      <c r="HO12" t="e">
        <f>'All regions'!D259+"$F;@!Hs"</f>
        <v>#VALUE!</v>
      </c>
      <c r="HP12" t="e">
        <f>'All regions'!E259+"$F;@!Ht"</f>
        <v>#VALUE!</v>
      </c>
      <c r="HQ12" t="e">
        <f>'All regions'!F259+"$F;@!Hu"</f>
        <v>#VALUE!</v>
      </c>
      <c r="HR12" t="e">
        <f>'All regions'!G259+"$F;@!Hv"</f>
        <v>#VALUE!</v>
      </c>
      <c r="HS12" t="e">
        <f>'All regions'!H259+"$F;@!Hw"</f>
        <v>#VALUE!</v>
      </c>
      <c r="HT12" t="e">
        <f>'All regions'!I259+"$F;@!Hx"</f>
        <v>#VALUE!</v>
      </c>
      <c r="HU12" t="e">
        <f>'All regions'!A260+"$F;@!Hy"</f>
        <v>#VALUE!</v>
      </c>
      <c r="HV12" t="e">
        <f>'All regions'!B260+"$F;@!Hz"</f>
        <v>#VALUE!</v>
      </c>
      <c r="HW12" t="e">
        <f>'All regions'!C260+"$F;@!H{"</f>
        <v>#VALUE!</v>
      </c>
      <c r="HX12" t="e">
        <f>'All regions'!D260+"$F;@!H|"</f>
        <v>#VALUE!</v>
      </c>
      <c r="HY12" t="e">
        <f>'All regions'!E260+"$F;@!H}"</f>
        <v>#VALUE!</v>
      </c>
      <c r="HZ12" t="e">
        <f>'All regions'!F260+"$F;@!H~"</f>
        <v>#VALUE!</v>
      </c>
      <c r="IA12" t="e">
        <f>'All regions'!G260+"$F;@!I#"</f>
        <v>#VALUE!</v>
      </c>
      <c r="IB12" t="e">
        <f>'All regions'!H260+"$F;@!I$"</f>
        <v>#VALUE!</v>
      </c>
      <c r="IC12" t="e">
        <f>'All regions'!I260+"$F;@!I%"</f>
        <v>#VALUE!</v>
      </c>
      <c r="ID12" t="e">
        <f>'All regions'!A261+"$F;@!I&amp;"</f>
        <v>#VALUE!</v>
      </c>
      <c r="IE12" t="e">
        <f>'All regions'!B261+"$F;@!I'"</f>
        <v>#VALUE!</v>
      </c>
      <c r="IF12" t="e">
        <f>'All regions'!C261+"$F;@!I("</f>
        <v>#VALUE!</v>
      </c>
      <c r="IG12" t="e">
        <f>'All regions'!D261+"$F;@!I)"</f>
        <v>#VALUE!</v>
      </c>
      <c r="IH12" t="e">
        <f>'All regions'!E261+"$F;@!I."</f>
        <v>#VALUE!</v>
      </c>
      <c r="II12" t="e">
        <f>'All regions'!F261+"$F;@!I/"</f>
        <v>#VALUE!</v>
      </c>
      <c r="IJ12" t="e">
        <f>'All regions'!G261+"$F;@!I0"</f>
        <v>#VALUE!</v>
      </c>
      <c r="IK12" t="e">
        <f>'All regions'!H261+"$F;@!I1"</f>
        <v>#VALUE!</v>
      </c>
      <c r="IL12" t="e">
        <f>'All regions'!I261+"$F;@!I2"</f>
        <v>#VALUE!</v>
      </c>
      <c r="IM12" t="e">
        <f>'All regions'!A262+"$F;@!I3"</f>
        <v>#VALUE!</v>
      </c>
      <c r="IN12" t="e">
        <f>'All regions'!B262+"$F;@!I4"</f>
        <v>#VALUE!</v>
      </c>
      <c r="IO12" t="e">
        <f>'All regions'!C262+"$F;@!I5"</f>
        <v>#VALUE!</v>
      </c>
      <c r="IP12" t="e">
        <f>'All regions'!D262+"$F;@!I6"</f>
        <v>#VALUE!</v>
      </c>
      <c r="IQ12" t="e">
        <f>'All regions'!E262+"$F;@!I7"</f>
        <v>#VALUE!</v>
      </c>
      <c r="IR12" t="e">
        <f>'All regions'!F262+"$F;@!I8"</f>
        <v>#VALUE!</v>
      </c>
      <c r="IS12" t="e">
        <f>'All regions'!G262+"$F;@!I9"</f>
        <v>#VALUE!</v>
      </c>
      <c r="IT12" t="e">
        <f>'All regions'!H262+"$F;@!I:"</f>
        <v>#VALUE!</v>
      </c>
      <c r="IU12" t="e">
        <f>'All regions'!I262+"$F;@!I;"</f>
        <v>#VALUE!</v>
      </c>
      <c r="IV12" t="e">
        <f>'All regions'!A263+"$F;@!I&lt;"</f>
        <v>#VALUE!</v>
      </c>
    </row>
    <row r="13" spans="1:256" x14ac:dyDescent="0.35">
      <c r="F13" t="e">
        <f>'All regions'!B263+"$F;@!I="</f>
        <v>#VALUE!</v>
      </c>
      <c r="G13" t="e">
        <f>'All regions'!C263+"$F;@!I&gt;"</f>
        <v>#VALUE!</v>
      </c>
      <c r="H13" t="e">
        <f>'All regions'!D263+"$F;@!I?"</f>
        <v>#VALUE!</v>
      </c>
      <c r="I13" t="e">
        <f>'All regions'!E263+"$F;@!I@"</f>
        <v>#VALUE!</v>
      </c>
      <c r="J13" t="e">
        <f>'All regions'!F263+"$F;@!IA"</f>
        <v>#VALUE!</v>
      </c>
      <c r="K13" t="e">
        <f>'All regions'!G263+"$F;@!IB"</f>
        <v>#VALUE!</v>
      </c>
      <c r="L13" t="e">
        <f>'All regions'!H263+"$F;@!IC"</f>
        <v>#VALUE!</v>
      </c>
      <c r="M13" t="e">
        <f>'All regions'!I263+"$F;@!ID"</f>
        <v>#VALUE!</v>
      </c>
      <c r="N13" t="e">
        <f>'All regions'!A264+"$F;@!IE"</f>
        <v>#VALUE!</v>
      </c>
      <c r="O13" t="e">
        <f>'All regions'!B264+"$F;@!IF"</f>
        <v>#VALUE!</v>
      </c>
      <c r="P13" t="e">
        <f>'All regions'!C264+"$F;@!IG"</f>
        <v>#VALUE!</v>
      </c>
      <c r="Q13" t="e">
        <f>'All regions'!D264+"$F;@!IH"</f>
        <v>#VALUE!</v>
      </c>
      <c r="R13" t="e">
        <f>'All regions'!E264+"$F;@!II"</f>
        <v>#VALUE!</v>
      </c>
      <c r="S13" t="e">
        <f>'All regions'!F264+"$F;@!IJ"</f>
        <v>#VALUE!</v>
      </c>
      <c r="T13" t="e">
        <f>'All regions'!G264+"$F;@!IK"</f>
        <v>#VALUE!</v>
      </c>
      <c r="U13" t="e">
        <f>'All regions'!H264+"$F;@!IL"</f>
        <v>#VALUE!</v>
      </c>
      <c r="V13" t="e">
        <f>'All regions'!I264+"$F;@!IM"</f>
        <v>#VALUE!</v>
      </c>
      <c r="W13" t="e">
        <f>'All regions'!A265+"$F;@!IN"</f>
        <v>#VALUE!</v>
      </c>
      <c r="X13" t="e">
        <f>'All regions'!B265+"$F;@!IO"</f>
        <v>#VALUE!</v>
      </c>
      <c r="Y13" t="e">
        <f>'All regions'!C265+"$F;@!IP"</f>
        <v>#VALUE!</v>
      </c>
      <c r="Z13" t="e">
        <f>'All regions'!D265+"$F;@!IQ"</f>
        <v>#VALUE!</v>
      </c>
      <c r="AA13" t="e">
        <f>'All regions'!E265+"$F;@!IR"</f>
        <v>#VALUE!</v>
      </c>
      <c r="AB13" t="e">
        <f>'All regions'!F265+"$F;@!IS"</f>
        <v>#VALUE!</v>
      </c>
      <c r="AC13" t="e">
        <f>'All regions'!G265+"$F;@!IT"</f>
        <v>#VALUE!</v>
      </c>
      <c r="AD13" t="e">
        <f>'All regions'!H265+"$F;@!IU"</f>
        <v>#VALUE!</v>
      </c>
      <c r="AE13" t="e">
        <f>'All regions'!I265+"$F;@!IV"</f>
        <v>#VALUE!</v>
      </c>
      <c r="AF13" t="e">
        <f>'All regions'!A266+"$F;@!IW"</f>
        <v>#VALUE!</v>
      </c>
      <c r="AG13" t="e">
        <f>'All regions'!B266+"$F;@!IX"</f>
        <v>#VALUE!</v>
      </c>
      <c r="AH13" t="e">
        <f>'All regions'!C266+"$F;@!IY"</f>
        <v>#VALUE!</v>
      </c>
      <c r="AI13" t="e">
        <f>'All regions'!D266+"$F;@!IZ"</f>
        <v>#VALUE!</v>
      </c>
      <c r="AJ13" t="e">
        <f>'All regions'!E266+"$F;@!I["</f>
        <v>#VALUE!</v>
      </c>
      <c r="AK13" t="e">
        <f>'All regions'!F266+"$F;@!I\"</f>
        <v>#VALUE!</v>
      </c>
      <c r="AL13" t="e">
        <f>'All regions'!G266+"$F;@!I]"</f>
        <v>#VALUE!</v>
      </c>
      <c r="AM13" t="e">
        <f>'All regions'!H266+"$F;@!I^"</f>
        <v>#VALUE!</v>
      </c>
      <c r="AN13" t="e">
        <f>'All regions'!I266+"$F;@!I_"</f>
        <v>#VALUE!</v>
      </c>
      <c r="AO13" t="e">
        <f>'All regions'!A267+"$F;@!I`"</f>
        <v>#VALUE!</v>
      </c>
      <c r="AP13" t="e">
        <f>'All regions'!B267+"$F;@!Ia"</f>
        <v>#VALUE!</v>
      </c>
      <c r="AQ13" t="e">
        <f>'All regions'!C267+"$F;@!Ib"</f>
        <v>#VALUE!</v>
      </c>
      <c r="AR13" t="e">
        <f>'All regions'!D267+"$F;@!Ic"</f>
        <v>#VALUE!</v>
      </c>
      <c r="AS13" t="e">
        <f>'All regions'!E267+"$F;@!Id"</f>
        <v>#VALUE!</v>
      </c>
      <c r="AT13" t="e">
        <f>'All regions'!F267+"$F;@!Ie"</f>
        <v>#VALUE!</v>
      </c>
      <c r="AU13" t="e">
        <f>'All regions'!G267+"$F;@!If"</f>
        <v>#VALUE!</v>
      </c>
      <c r="AV13" t="e">
        <f>'All regions'!H267+"$F;@!Ig"</f>
        <v>#VALUE!</v>
      </c>
      <c r="AW13" t="e">
        <f>'All regions'!I267+"$F;@!Ih"</f>
        <v>#VALUE!</v>
      </c>
      <c r="AX13" t="e">
        <f>'All regions'!A268+"$F;@!Ii"</f>
        <v>#VALUE!</v>
      </c>
      <c r="AY13" t="e">
        <f>'All regions'!B268+"$F;@!Ij"</f>
        <v>#VALUE!</v>
      </c>
      <c r="AZ13" t="e">
        <f>'All regions'!C268+"$F;@!Ik"</f>
        <v>#VALUE!</v>
      </c>
      <c r="BA13" t="e">
        <f>'All regions'!D268+"$F;@!Il"</f>
        <v>#VALUE!</v>
      </c>
      <c r="BB13" t="e">
        <f>'All regions'!E268+"$F;@!Im"</f>
        <v>#VALUE!</v>
      </c>
      <c r="BC13" t="e">
        <f>'All regions'!F268+"$F;@!In"</f>
        <v>#VALUE!</v>
      </c>
      <c r="BD13" t="e">
        <f>'All regions'!G268+"$F;@!Io"</f>
        <v>#VALUE!</v>
      </c>
      <c r="BE13" t="e">
        <f>'All regions'!H268+"$F;@!Ip"</f>
        <v>#VALUE!</v>
      </c>
      <c r="BF13" t="e">
        <f>'All regions'!I268+"$F;@!Iq"</f>
        <v>#VALUE!</v>
      </c>
      <c r="BG13" t="e">
        <f>'All regions'!A269+"$F;@!Ir"</f>
        <v>#VALUE!</v>
      </c>
      <c r="BH13" t="e">
        <f>'All regions'!B269+"$F;@!Is"</f>
        <v>#VALUE!</v>
      </c>
      <c r="BI13" t="e">
        <f>'All regions'!C269+"$F;@!It"</f>
        <v>#VALUE!</v>
      </c>
      <c r="BJ13" t="e">
        <f>'All regions'!D269+"$F;@!Iu"</f>
        <v>#VALUE!</v>
      </c>
      <c r="BK13" t="e">
        <f>'All regions'!E269+"$F;@!Iv"</f>
        <v>#VALUE!</v>
      </c>
      <c r="BL13" t="e">
        <f>'All regions'!F269+"$F;@!Iw"</f>
        <v>#VALUE!</v>
      </c>
      <c r="BM13" t="e">
        <f>'All regions'!G269+"$F;@!Ix"</f>
        <v>#VALUE!</v>
      </c>
      <c r="BN13" t="e">
        <f>'All regions'!H269+"$F;@!Iy"</f>
        <v>#VALUE!</v>
      </c>
      <c r="BO13" t="e">
        <f>'All regions'!I269+"$F;@!Iz"</f>
        <v>#VALUE!</v>
      </c>
      <c r="BP13" t="e">
        <f>'All regions'!A270+"$F;@!I{"</f>
        <v>#VALUE!</v>
      </c>
      <c r="BQ13" t="e">
        <f>'All regions'!B270+"$F;@!I|"</f>
        <v>#VALUE!</v>
      </c>
      <c r="BR13" t="e">
        <f>'All regions'!C270+"$F;@!I}"</f>
        <v>#VALUE!</v>
      </c>
      <c r="BS13" t="e">
        <f>'All regions'!D270+"$F;@!I~"</f>
        <v>#VALUE!</v>
      </c>
      <c r="BT13" t="e">
        <f>'All regions'!E270+"$F;@!J#"</f>
        <v>#VALUE!</v>
      </c>
      <c r="BU13" t="e">
        <f>'All regions'!F270+"$F;@!J$"</f>
        <v>#VALUE!</v>
      </c>
      <c r="BV13" t="e">
        <f>'All regions'!G270+"$F;@!J%"</f>
        <v>#VALUE!</v>
      </c>
      <c r="BW13" t="e">
        <f>'All regions'!H270+"$F;@!J&amp;"</f>
        <v>#VALUE!</v>
      </c>
      <c r="BX13" t="e">
        <f>'All regions'!I270+"$F;@!J'"</f>
        <v>#VALUE!</v>
      </c>
      <c r="BY13" t="e">
        <f>'All regions'!A271+"$F;@!J("</f>
        <v>#VALUE!</v>
      </c>
      <c r="BZ13" t="e">
        <f>'All regions'!B271+"$F;@!J)"</f>
        <v>#VALUE!</v>
      </c>
      <c r="CA13" t="e">
        <f>'All regions'!C271+"$F;@!J."</f>
        <v>#VALUE!</v>
      </c>
      <c r="CB13" t="e">
        <f>'All regions'!D271+"$F;@!J/"</f>
        <v>#VALUE!</v>
      </c>
      <c r="CC13" t="e">
        <f>'All regions'!E271+"$F;@!J0"</f>
        <v>#VALUE!</v>
      </c>
      <c r="CD13" t="e">
        <f>'All regions'!F271+"$F;@!J1"</f>
        <v>#VALUE!</v>
      </c>
      <c r="CE13" t="e">
        <f>'All regions'!G271+"$F;@!J2"</f>
        <v>#VALUE!</v>
      </c>
      <c r="CF13" t="e">
        <f>'All regions'!H271+"$F;@!J3"</f>
        <v>#VALUE!</v>
      </c>
      <c r="CG13" t="e">
        <f>'All regions'!I271+"$F;@!J4"</f>
        <v>#VALUE!</v>
      </c>
      <c r="CH13" t="e">
        <f>'All regions'!A272+"$F;@!J5"</f>
        <v>#VALUE!</v>
      </c>
      <c r="CI13" t="e">
        <f>'All regions'!B272+"$F;@!J6"</f>
        <v>#VALUE!</v>
      </c>
      <c r="CJ13" t="e">
        <f>'All regions'!C272+"$F;@!J7"</f>
        <v>#VALUE!</v>
      </c>
      <c r="CK13" t="e">
        <f>'All regions'!D272+"$F;@!J8"</f>
        <v>#VALUE!</v>
      </c>
      <c r="CL13" t="e">
        <f>'All regions'!E272+"$F;@!J9"</f>
        <v>#VALUE!</v>
      </c>
      <c r="CM13" t="e">
        <f>'All regions'!F272+"$F;@!J:"</f>
        <v>#VALUE!</v>
      </c>
      <c r="CN13" t="e">
        <f>'All regions'!G272+"$F;@!J;"</f>
        <v>#VALUE!</v>
      </c>
      <c r="CO13" t="e">
        <f>'All regions'!H272+"$F;@!J&lt;"</f>
        <v>#VALUE!</v>
      </c>
      <c r="CP13" t="e">
        <f>'All regions'!I272+"$F;@!J="</f>
        <v>#VALUE!</v>
      </c>
      <c r="CQ13" t="e">
        <f>'All regions'!A273+"$F;@!J&gt;"</f>
        <v>#VALUE!</v>
      </c>
      <c r="CR13" t="e">
        <f>'All regions'!B273+"$F;@!J?"</f>
        <v>#VALUE!</v>
      </c>
      <c r="CS13" t="e">
        <f>'All regions'!C273+"$F;@!J@"</f>
        <v>#VALUE!</v>
      </c>
      <c r="CT13" t="e">
        <f>'All regions'!D273+"$F;@!JA"</f>
        <v>#VALUE!</v>
      </c>
      <c r="CU13" t="e">
        <f>'All regions'!E273+"$F;@!JB"</f>
        <v>#VALUE!</v>
      </c>
      <c r="CV13" t="e">
        <f>'All regions'!F273+"$F;@!JC"</f>
        <v>#VALUE!</v>
      </c>
      <c r="CW13" t="e">
        <f>'All regions'!G273+"$F;@!JD"</f>
        <v>#VALUE!</v>
      </c>
      <c r="CX13" t="e">
        <f>'All regions'!H273+"$F;@!JE"</f>
        <v>#VALUE!</v>
      </c>
      <c r="CY13" t="e">
        <f>'All regions'!I273+"$F;@!JF"</f>
        <v>#VALUE!</v>
      </c>
      <c r="CZ13" t="e">
        <f>'All regions'!A274+"$F;@!JG"</f>
        <v>#VALUE!</v>
      </c>
      <c r="DA13" t="e">
        <f>'All regions'!B274+"$F;@!JH"</f>
        <v>#VALUE!</v>
      </c>
      <c r="DB13" t="e">
        <f>'All regions'!C274+"$F;@!JI"</f>
        <v>#VALUE!</v>
      </c>
      <c r="DC13" t="e">
        <f>'All regions'!D274+"$F;@!JJ"</f>
        <v>#VALUE!</v>
      </c>
      <c r="DD13" t="e">
        <f>'All regions'!E274+"$F;@!JK"</f>
        <v>#VALUE!</v>
      </c>
      <c r="DE13" t="e">
        <f>'All regions'!F274+"$F;@!JL"</f>
        <v>#VALUE!</v>
      </c>
      <c r="DF13" t="e">
        <f>'All regions'!G274+"$F;@!JM"</f>
        <v>#VALUE!</v>
      </c>
      <c r="DG13" t="e">
        <f>'All regions'!H274+"$F;@!JN"</f>
        <v>#VALUE!</v>
      </c>
      <c r="DH13" t="e">
        <f>'All regions'!I274+"$F;@!JO"</f>
        <v>#VALUE!</v>
      </c>
      <c r="DI13" t="e">
        <f>'All regions'!A275+"$F;@!JP"</f>
        <v>#VALUE!</v>
      </c>
      <c r="DJ13" t="e">
        <f>'All regions'!B275+"$F;@!JQ"</f>
        <v>#VALUE!</v>
      </c>
      <c r="DK13" t="e">
        <f>'All regions'!C275+"$F;@!JR"</f>
        <v>#VALUE!</v>
      </c>
      <c r="DL13" t="e">
        <f>'All regions'!D275+"$F;@!JS"</f>
        <v>#VALUE!</v>
      </c>
      <c r="DM13" t="e">
        <f>'All regions'!E275+"$F;@!JT"</f>
        <v>#VALUE!</v>
      </c>
      <c r="DN13" t="e">
        <f>'All regions'!F275+"$F;@!JU"</f>
        <v>#VALUE!</v>
      </c>
      <c r="DO13" t="e">
        <f>'All regions'!G275+"$F;@!JV"</f>
        <v>#VALUE!</v>
      </c>
      <c r="DP13" t="e">
        <f>'All regions'!H275+"$F;@!JW"</f>
        <v>#VALUE!</v>
      </c>
      <c r="DQ13" t="e">
        <f>'All regions'!I275+"$F;@!JX"</f>
        <v>#VALUE!</v>
      </c>
      <c r="DR13" t="e">
        <f>'All regions'!A276+"$F;@!JY"</f>
        <v>#VALUE!</v>
      </c>
      <c r="DS13" t="e">
        <f>'All regions'!B276+"$F;@!JZ"</f>
        <v>#VALUE!</v>
      </c>
      <c r="DT13" t="e">
        <f>'All regions'!C276+"$F;@!J["</f>
        <v>#VALUE!</v>
      </c>
      <c r="DU13" t="e">
        <f>'All regions'!D276+"$F;@!J\"</f>
        <v>#VALUE!</v>
      </c>
      <c r="DV13" t="e">
        <f>'All regions'!E276+"$F;@!J]"</f>
        <v>#VALUE!</v>
      </c>
      <c r="DW13" t="e">
        <f>'All regions'!F276+"$F;@!J^"</f>
        <v>#VALUE!</v>
      </c>
      <c r="DX13" t="e">
        <f>'All regions'!G276+"$F;@!J_"</f>
        <v>#VALUE!</v>
      </c>
      <c r="DY13" t="e">
        <f>'All regions'!H276+"$F;@!J`"</f>
        <v>#VALUE!</v>
      </c>
      <c r="DZ13" t="e">
        <f>'All regions'!I276+"$F;@!Ja"</f>
        <v>#VALUE!</v>
      </c>
      <c r="EA13" t="e">
        <f>'All regions'!A277+"$F;@!Jb"</f>
        <v>#VALUE!</v>
      </c>
      <c r="EB13" t="e">
        <f>'All regions'!B277+"$F;@!Jc"</f>
        <v>#VALUE!</v>
      </c>
      <c r="EC13" t="e">
        <f>'All regions'!C277+"$F;@!Jd"</f>
        <v>#VALUE!</v>
      </c>
      <c r="ED13" t="e">
        <f>'All regions'!D277+"$F;@!Je"</f>
        <v>#VALUE!</v>
      </c>
      <c r="EE13" t="e">
        <f>'All regions'!E277+"$F;@!Jf"</f>
        <v>#VALUE!</v>
      </c>
      <c r="EF13" t="e">
        <f>'All regions'!F277+"$F;@!Jg"</f>
        <v>#VALUE!</v>
      </c>
      <c r="EG13" t="e">
        <f>'All regions'!G277+"$F;@!Jh"</f>
        <v>#VALUE!</v>
      </c>
      <c r="EH13" t="e">
        <f>'All regions'!H277+"$F;@!Ji"</f>
        <v>#VALUE!</v>
      </c>
      <c r="EI13" t="e">
        <f>'All regions'!I277+"$F;@!Jj"</f>
        <v>#VALUE!</v>
      </c>
      <c r="EJ13" t="e">
        <f>'All regions'!A278+"$F;@!Jk"</f>
        <v>#VALUE!</v>
      </c>
      <c r="EK13" t="e">
        <f>'All regions'!B278+"$F;@!Jl"</f>
        <v>#VALUE!</v>
      </c>
      <c r="EL13" t="e">
        <f>'All regions'!C278+"$F;@!Jm"</f>
        <v>#VALUE!</v>
      </c>
      <c r="EM13" t="e">
        <f>'All regions'!D278+"$F;@!Jn"</f>
        <v>#VALUE!</v>
      </c>
      <c r="EN13" t="e">
        <f>'All regions'!E278+"$F;@!Jo"</f>
        <v>#VALUE!</v>
      </c>
      <c r="EO13" t="e">
        <f>'All regions'!F278+"$F;@!Jp"</f>
        <v>#VALUE!</v>
      </c>
      <c r="EP13" t="e">
        <f>'All regions'!G278+"$F;@!Jq"</f>
        <v>#VALUE!</v>
      </c>
      <c r="EQ13" t="e">
        <f>'All regions'!H278+"$F;@!Jr"</f>
        <v>#VALUE!</v>
      </c>
      <c r="ER13" t="e">
        <f>'All regions'!I278+"$F;@!Js"</f>
        <v>#VALUE!</v>
      </c>
      <c r="ES13" t="e">
        <f>'All regions'!A279+"$F;@!Jt"</f>
        <v>#VALUE!</v>
      </c>
      <c r="ET13" t="e">
        <f>'All regions'!B279+"$F;@!Ju"</f>
        <v>#VALUE!</v>
      </c>
      <c r="EU13" t="e">
        <f>'All regions'!C279+"$F;@!Jv"</f>
        <v>#VALUE!</v>
      </c>
      <c r="EV13" t="e">
        <f>'All regions'!D279+"$F;@!Jw"</f>
        <v>#VALUE!</v>
      </c>
      <c r="EW13" t="e">
        <f>'All regions'!E279+"$F;@!Jx"</f>
        <v>#VALUE!</v>
      </c>
      <c r="EX13" t="e">
        <f>'All regions'!F279+"$F;@!Jy"</f>
        <v>#VALUE!</v>
      </c>
      <c r="EY13" t="e">
        <f>'All regions'!G279+"$F;@!Jz"</f>
        <v>#VALUE!</v>
      </c>
      <c r="EZ13" t="e">
        <f>'All regions'!H279+"$F;@!J{"</f>
        <v>#VALUE!</v>
      </c>
      <c r="FA13" t="e">
        <f>'All regions'!I279+"$F;@!J|"</f>
        <v>#VALUE!</v>
      </c>
      <c r="FB13" t="e">
        <f>'All regions'!A280+"$F;@!J}"</f>
        <v>#VALUE!</v>
      </c>
      <c r="FC13" t="e">
        <f>'All regions'!B280+"$F;@!J~"</f>
        <v>#VALUE!</v>
      </c>
      <c r="FD13" t="e">
        <f>'All regions'!C280+"$F;@!K#"</f>
        <v>#VALUE!</v>
      </c>
      <c r="FE13" t="e">
        <f>'All regions'!D280+"$F;@!K$"</f>
        <v>#VALUE!</v>
      </c>
      <c r="FF13" t="e">
        <f>'All regions'!E280+"$F;@!K%"</f>
        <v>#VALUE!</v>
      </c>
      <c r="FG13" t="e">
        <f>'All regions'!F280+"$F;@!K&amp;"</f>
        <v>#VALUE!</v>
      </c>
      <c r="FH13" t="e">
        <f>'All regions'!G280+"$F;@!K'"</f>
        <v>#VALUE!</v>
      </c>
      <c r="FI13" t="e">
        <f>'All regions'!H280+"$F;@!K("</f>
        <v>#VALUE!</v>
      </c>
      <c r="FJ13" t="e">
        <f>'All regions'!I280+"$F;@!K)"</f>
        <v>#VALUE!</v>
      </c>
      <c r="FK13" t="e">
        <f>'All regions'!A281+"$F;@!K."</f>
        <v>#VALUE!</v>
      </c>
      <c r="FL13" t="e">
        <f>'All regions'!B281+"$F;@!K/"</f>
        <v>#VALUE!</v>
      </c>
      <c r="FM13" t="e">
        <f>'All regions'!C281+"$F;@!K0"</f>
        <v>#VALUE!</v>
      </c>
      <c r="FN13" t="e">
        <f>'All regions'!D281+"$F;@!K1"</f>
        <v>#VALUE!</v>
      </c>
      <c r="FO13" t="e">
        <f>'All regions'!E281+"$F;@!K2"</f>
        <v>#VALUE!</v>
      </c>
      <c r="FP13" t="e">
        <f>'All regions'!F281+"$F;@!K3"</f>
        <v>#VALUE!</v>
      </c>
      <c r="FQ13" t="e">
        <f>'All regions'!G281+"$F;@!K4"</f>
        <v>#VALUE!</v>
      </c>
      <c r="FR13" t="e">
        <f>'All regions'!H281+"$F;@!K5"</f>
        <v>#VALUE!</v>
      </c>
      <c r="FS13" t="e">
        <f>'All regions'!I281+"$F;@!K6"</f>
        <v>#VALUE!</v>
      </c>
      <c r="FT13" t="e">
        <f>'All regions'!A282+"$F;@!K7"</f>
        <v>#VALUE!</v>
      </c>
      <c r="FU13" t="e">
        <f>'All regions'!B282+"$F;@!K8"</f>
        <v>#VALUE!</v>
      </c>
      <c r="FV13" t="e">
        <f>'All regions'!C282+"$F;@!K9"</f>
        <v>#VALUE!</v>
      </c>
      <c r="FW13" t="e">
        <f>'All regions'!D282+"$F;@!K:"</f>
        <v>#VALUE!</v>
      </c>
      <c r="FX13" t="e">
        <f>'All regions'!E282+"$F;@!K;"</f>
        <v>#VALUE!</v>
      </c>
      <c r="FY13" t="e">
        <f>'All regions'!F282+"$F;@!K&lt;"</f>
        <v>#VALUE!</v>
      </c>
      <c r="FZ13" t="e">
        <f>'All regions'!G282+"$F;@!K="</f>
        <v>#VALUE!</v>
      </c>
      <c r="GA13" t="e">
        <f>'All regions'!H282+"$F;@!K&gt;"</f>
        <v>#VALUE!</v>
      </c>
      <c r="GB13" t="e">
        <f>'All regions'!I282+"$F;@!K?"</f>
        <v>#VALUE!</v>
      </c>
      <c r="GC13" t="e">
        <f>'All regions'!A283+"$F;@!K@"</f>
        <v>#VALUE!</v>
      </c>
      <c r="GD13" t="e">
        <f>'All regions'!B283+"$F;@!KA"</f>
        <v>#VALUE!</v>
      </c>
      <c r="GE13" t="e">
        <f>'All regions'!C283+"$F;@!KB"</f>
        <v>#VALUE!</v>
      </c>
      <c r="GF13" t="e">
        <f>'All regions'!D283+"$F;@!KC"</f>
        <v>#VALUE!</v>
      </c>
      <c r="GG13" t="e">
        <f>'All regions'!E283+"$F;@!KD"</f>
        <v>#VALUE!</v>
      </c>
      <c r="GH13" t="e">
        <f>'All regions'!F283+"$F;@!KE"</f>
        <v>#VALUE!</v>
      </c>
      <c r="GI13" t="e">
        <f>'All regions'!G283+"$F;@!KF"</f>
        <v>#VALUE!</v>
      </c>
      <c r="GJ13" t="e">
        <f>'All regions'!H283+"$F;@!KG"</f>
        <v>#VALUE!</v>
      </c>
      <c r="GK13" t="e">
        <f>'All regions'!I283+"$F;@!KH"</f>
        <v>#VALUE!</v>
      </c>
      <c r="GL13" t="e">
        <f>'All regions'!A284+"$F;@!KI"</f>
        <v>#VALUE!</v>
      </c>
      <c r="GM13" t="e">
        <f>'All regions'!B284+"$F;@!KJ"</f>
        <v>#VALUE!</v>
      </c>
      <c r="GN13" t="e">
        <f>'All regions'!C284+"$F;@!KK"</f>
        <v>#VALUE!</v>
      </c>
      <c r="GO13" t="e">
        <f>'All regions'!D284+"$F;@!KL"</f>
        <v>#VALUE!</v>
      </c>
      <c r="GP13" t="e">
        <f>'All regions'!E284+"$F;@!KM"</f>
        <v>#VALUE!</v>
      </c>
      <c r="GQ13" t="e">
        <f>'All regions'!F284+"$F;@!KN"</f>
        <v>#VALUE!</v>
      </c>
      <c r="GR13" t="e">
        <f>'All regions'!G284+"$F;@!KO"</f>
        <v>#VALUE!</v>
      </c>
      <c r="GS13" t="e">
        <f>'All regions'!H284+"$F;@!KP"</f>
        <v>#VALUE!</v>
      </c>
      <c r="GT13" t="e">
        <f>'All regions'!I284+"$F;@!KQ"</f>
        <v>#VALUE!</v>
      </c>
      <c r="GU13" t="e">
        <f>'All regions'!A285+"$F;@!KR"</f>
        <v>#VALUE!</v>
      </c>
      <c r="GV13" t="e">
        <f>'All regions'!B285+"$F;@!KS"</f>
        <v>#VALUE!</v>
      </c>
      <c r="GW13" t="e">
        <f>'All regions'!C285+"$F;@!KT"</f>
        <v>#VALUE!</v>
      </c>
      <c r="GX13" t="e">
        <f>'All regions'!D285+"$F;@!KU"</f>
        <v>#VALUE!</v>
      </c>
      <c r="GY13" t="e">
        <f>'All regions'!E285+"$F;@!KV"</f>
        <v>#VALUE!</v>
      </c>
      <c r="GZ13" t="e">
        <f>'All regions'!F285+"$F;@!KW"</f>
        <v>#VALUE!</v>
      </c>
      <c r="HA13" t="e">
        <f>'All regions'!G285+"$F;@!KX"</f>
        <v>#VALUE!</v>
      </c>
      <c r="HB13" t="e">
        <f>'All regions'!H285+"$F;@!KY"</f>
        <v>#VALUE!</v>
      </c>
      <c r="HC13" t="e">
        <f>'All regions'!I285+"$F;@!KZ"</f>
        <v>#VALUE!</v>
      </c>
      <c r="HD13" t="e">
        <f>'All regions'!A286+"$F;@!K["</f>
        <v>#VALUE!</v>
      </c>
      <c r="HE13" t="e">
        <f>'All regions'!B286+"$F;@!K\"</f>
        <v>#VALUE!</v>
      </c>
      <c r="HF13" t="e">
        <f>'All regions'!C286+"$F;@!K]"</f>
        <v>#VALUE!</v>
      </c>
      <c r="HG13" t="e">
        <f>'All regions'!D286+"$F;@!K^"</f>
        <v>#VALUE!</v>
      </c>
      <c r="HH13" t="e">
        <f>'All regions'!E286+"$F;@!K_"</f>
        <v>#VALUE!</v>
      </c>
      <c r="HI13" t="e">
        <f>'All regions'!F286+"$F;@!K`"</f>
        <v>#VALUE!</v>
      </c>
      <c r="HJ13" t="e">
        <f>'All regions'!G286+"$F;@!Ka"</f>
        <v>#VALUE!</v>
      </c>
      <c r="HK13" t="e">
        <f>'All regions'!H286+"$F;@!Kb"</f>
        <v>#VALUE!</v>
      </c>
      <c r="HL13" t="e">
        <f>'All regions'!I286+"$F;@!Kc"</f>
        <v>#VALUE!</v>
      </c>
      <c r="HM13" t="e">
        <f>'All regions'!A287+"$F;@!Kd"</f>
        <v>#VALUE!</v>
      </c>
      <c r="HN13" t="e">
        <f>'All regions'!B287+"$F;@!Ke"</f>
        <v>#VALUE!</v>
      </c>
      <c r="HO13" t="e">
        <f>'All regions'!C287+"$F;@!Kf"</f>
        <v>#VALUE!</v>
      </c>
      <c r="HP13" t="e">
        <f>'All regions'!D287+"$F;@!Kg"</f>
        <v>#VALUE!</v>
      </c>
      <c r="HQ13" t="e">
        <f>'All regions'!E287+"$F;@!Kh"</f>
        <v>#VALUE!</v>
      </c>
      <c r="HR13" t="e">
        <f>'All regions'!F287+"$F;@!Ki"</f>
        <v>#VALUE!</v>
      </c>
      <c r="HS13" t="e">
        <f>'All regions'!G287+"$F;@!Kj"</f>
        <v>#VALUE!</v>
      </c>
      <c r="HT13" t="e">
        <f>'All regions'!H287+"$F;@!Kk"</f>
        <v>#VALUE!</v>
      </c>
      <c r="HU13" t="e">
        <f>'All regions'!I287+"$F;@!Kl"</f>
        <v>#VALUE!</v>
      </c>
      <c r="HV13" t="e">
        <f>'All regions'!A288+"$F;@!Km"</f>
        <v>#VALUE!</v>
      </c>
      <c r="HW13" t="e">
        <f>'All regions'!B288+"$F;@!Kn"</f>
        <v>#VALUE!</v>
      </c>
      <c r="HX13" t="e">
        <f>'All regions'!C288+"$F;@!Ko"</f>
        <v>#VALUE!</v>
      </c>
      <c r="HY13" t="e">
        <f>'All regions'!D288+"$F;@!Kp"</f>
        <v>#VALUE!</v>
      </c>
      <c r="HZ13" t="e">
        <f>'All regions'!E288+"$F;@!Kq"</f>
        <v>#VALUE!</v>
      </c>
      <c r="IA13" t="e">
        <f>'All regions'!F288+"$F;@!Kr"</f>
        <v>#VALUE!</v>
      </c>
      <c r="IB13" t="e">
        <f>'All regions'!G288+"$F;@!Ks"</f>
        <v>#VALUE!</v>
      </c>
      <c r="IC13" t="e">
        <f>'All regions'!H288+"$F;@!Kt"</f>
        <v>#VALUE!</v>
      </c>
      <c r="ID13" t="e">
        <f>'All regions'!I288+"$F;@!Ku"</f>
        <v>#VALUE!</v>
      </c>
      <c r="IE13" t="e">
        <f>'All regions'!A289+"$F;@!Kv"</f>
        <v>#VALUE!</v>
      </c>
      <c r="IF13" t="e">
        <f>'All regions'!B289+"$F;@!Kw"</f>
        <v>#VALUE!</v>
      </c>
      <c r="IG13" t="e">
        <f>'All regions'!C289+"$F;@!Kx"</f>
        <v>#VALUE!</v>
      </c>
      <c r="IH13" t="e">
        <f>'All regions'!D289+"$F;@!Ky"</f>
        <v>#VALUE!</v>
      </c>
      <c r="II13" t="e">
        <f>'All regions'!E289+"$F;@!Kz"</f>
        <v>#VALUE!</v>
      </c>
      <c r="IJ13" t="e">
        <f>'All regions'!F289+"$F;@!K{"</f>
        <v>#VALUE!</v>
      </c>
      <c r="IK13" t="e">
        <f>'All regions'!G289+"$F;@!K|"</f>
        <v>#VALUE!</v>
      </c>
      <c r="IL13" t="e">
        <f>'All regions'!H289+"$F;@!K}"</f>
        <v>#VALUE!</v>
      </c>
      <c r="IM13" t="e">
        <f>'All regions'!I289+"$F;@!K~"</f>
        <v>#VALUE!</v>
      </c>
      <c r="IN13" t="e">
        <f>'All regions'!A290+"$F;@!L#"</f>
        <v>#VALUE!</v>
      </c>
      <c r="IO13" t="e">
        <f>'All regions'!B290+"$F;@!L$"</f>
        <v>#VALUE!</v>
      </c>
      <c r="IP13" t="e">
        <f>'All regions'!C290+"$F;@!L%"</f>
        <v>#VALUE!</v>
      </c>
      <c r="IQ13" t="e">
        <f>'All regions'!D290+"$F;@!L&amp;"</f>
        <v>#VALUE!</v>
      </c>
      <c r="IR13" t="e">
        <f>'All regions'!E290+"$F;@!L'"</f>
        <v>#VALUE!</v>
      </c>
      <c r="IS13" t="e">
        <f>'All regions'!F290+"$F;@!L("</f>
        <v>#VALUE!</v>
      </c>
      <c r="IT13" t="e">
        <f>'All regions'!G290+"$F;@!L)"</f>
        <v>#VALUE!</v>
      </c>
      <c r="IU13" t="e">
        <f>'All regions'!H290+"$F;@!L."</f>
        <v>#VALUE!</v>
      </c>
      <c r="IV13" t="e">
        <f>'All regions'!I290+"$F;@!L/"</f>
        <v>#VALUE!</v>
      </c>
    </row>
    <row r="14" spans="1:256" x14ac:dyDescent="0.35">
      <c r="F14" t="e">
        <f>'All regions'!A291+"$F;@!L0"</f>
        <v>#VALUE!</v>
      </c>
      <c r="G14" t="e">
        <f>'All regions'!B291+"$F;@!L1"</f>
        <v>#VALUE!</v>
      </c>
      <c r="H14" t="e">
        <f>'All regions'!C291+"$F;@!L2"</f>
        <v>#VALUE!</v>
      </c>
      <c r="I14" t="e">
        <f>'All regions'!D291+"$F;@!L3"</f>
        <v>#VALUE!</v>
      </c>
      <c r="J14" t="e">
        <f>'All regions'!E291+"$F;@!L4"</f>
        <v>#VALUE!</v>
      </c>
      <c r="K14" t="e">
        <f>'All regions'!F291+"$F;@!L5"</f>
        <v>#VALUE!</v>
      </c>
      <c r="L14" t="e">
        <f>'All regions'!G291+"$F;@!L6"</f>
        <v>#VALUE!</v>
      </c>
      <c r="M14" t="e">
        <f>'All regions'!H291+"$F;@!L7"</f>
        <v>#VALUE!</v>
      </c>
      <c r="N14" t="e">
        <f>'All regions'!I291+"$F;@!L8"</f>
        <v>#VALUE!</v>
      </c>
      <c r="O14" t="e">
        <f>'All regions'!A292+"$F;@!L9"</f>
        <v>#VALUE!</v>
      </c>
      <c r="P14" t="e">
        <f>'All regions'!B292+"$F;@!L:"</f>
        <v>#VALUE!</v>
      </c>
      <c r="Q14" t="e">
        <f>'All regions'!C292+"$F;@!L;"</f>
        <v>#VALUE!</v>
      </c>
      <c r="R14" t="e">
        <f>'All regions'!D292+"$F;@!L&lt;"</f>
        <v>#VALUE!</v>
      </c>
      <c r="S14" t="e">
        <f>'All regions'!E292+"$F;@!L="</f>
        <v>#VALUE!</v>
      </c>
      <c r="T14" t="e">
        <f>'All regions'!F292+"$F;@!L&gt;"</f>
        <v>#VALUE!</v>
      </c>
      <c r="U14" t="e">
        <f>'All regions'!G292+"$F;@!L?"</f>
        <v>#VALUE!</v>
      </c>
      <c r="V14" t="e">
        <f>'All regions'!H292+"$F;@!L@"</f>
        <v>#VALUE!</v>
      </c>
      <c r="W14" t="e">
        <f>'All regions'!I292+"$F;@!LA"</f>
        <v>#VALUE!</v>
      </c>
      <c r="X14" t="e">
        <f>'All regions'!A293+"$F;@!LB"</f>
        <v>#VALUE!</v>
      </c>
      <c r="Y14" t="e">
        <f>'All regions'!B293+"$F;@!LC"</f>
        <v>#VALUE!</v>
      </c>
      <c r="Z14" t="e">
        <f>'All regions'!C293+"$F;@!LD"</f>
        <v>#VALUE!</v>
      </c>
      <c r="AA14" t="e">
        <f>'All regions'!D293+"$F;@!LE"</f>
        <v>#VALUE!</v>
      </c>
      <c r="AB14" t="e">
        <f>'All regions'!E293+"$F;@!LF"</f>
        <v>#VALUE!</v>
      </c>
      <c r="AC14" t="e">
        <f>'All regions'!F293+"$F;@!LG"</f>
        <v>#VALUE!</v>
      </c>
      <c r="AD14" t="e">
        <f>'All regions'!G293+"$F;@!LH"</f>
        <v>#VALUE!</v>
      </c>
      <c r="AE14" t="e">
        <f>'All regions'!H293+"$F;@!LI"</f>
        <v>#VALUE!</v>
      </c>
      <c r="AF14" t="e">
        <f>'All regions'!I293+"$F;@!LJ"</f>
        <v>#VALUE!</v>
      </c>
      <c r="AG14" t="e">
        <f>'All regions'!A294+"$F;@!LK"</f>
        <v>#VALUE!</v>
      </c>
      <c r="AH14" t="e">
        <f>'All regions'!B294+"$F;@!LL"</f>
        <v>#VALUE!</v>
      </c>
      <c r="AI14" t="e">
        <f>'All regions'!C294+"$F;@!LM"</f>
        <v>#VALUE!</v>
      </c>
      <c r="AJ14" t="e">
        <f>'All regions'!D294+"$F;@!LN"</f>
        <v>#VALUE!</v>
      </c>
      <c r="AK14" t="e">
        <f>'All regions'!E294+"$F;@!LO"</f>
        <v>#VALUE!</v>
      </c>
      <c r="AL14" t="e">
        <f>'All regions'!F294+"$F;@!LP"</f>
        <v>#VALUE!</v>
      </c>
      <c r="AM14" t="e">
        <f>'All regions'!G294+"$F;@!LQ"</f>
        <v>#VALUE!</v>
      </c>
      <c r="AN14" t="e">
        <f>'All regions'!H294+"$F;@!LR"</f>
        <v>#VALUE!</v>
      </c>
      <c r="AO14" t="e">
        <f>'All regions'!I294+"$F;@!LS"</f>
        <v>#VALUE!</v>
      </c>
      <c r="AP14" t="e">
        <f>'All regions'!A295+"$F;@!LT"</f>
        <v>#VALUE!</v>
      </c>
      <c r="AQ14" t="e">
        <f>'All regions'!B295+"$F;@!LU"</f>
        <v>#VALUE!</v>
      </c>
      <c r="AR14" t="e">
        <f>'All regions'!C295+"$F;@!LV"</f>
        <v>#VALUE!</v>
      </c>
      <c r="AS14" t="e">
        <f>'All regions'!D295+"$F;@!LW"</f>
        <v>#VALUE!</v>
      </c>
      <c r="AT14" t="e">
        <f>'All regions'!E295+"$F;@!LX"</f>
        <v>#VALUE!</v>
      </c>
      <c r="AU14" t="e">
        <f>'All regions'!F295+"$F;@!LY"</f>
        <v>#VALUE!</v>
      </c>
      <c r="AV14" t="e">
        <f>'All regions'!G295+"$F;@!LZ"</f>
        <v>#VALUE!</v>
      </c>
      <c r="AW14" t="e">
        <f>'All regions'!H295+"$F;@!L["</f>
        <v>#VALUE!</v>
      </c>
      <c r="AX14" t="e">
        <f>'All regions'!I295+"$F;@!L\"</f>
        <v>#VALUE!</v>
      </c>
      <c r="AY14" t="e">
        <f>'All regions'!A296+"$F;@!L]"</f>
        <v>#VALUE!</v>
      </c>
      <c r="AZ14" t="e">
        <f>'All regions'!B296+"$F;@!L^"</f>
        <v>#VALUE!</v>
      </c>
      <c r="BA14" t="e">
        <f>'All regions'!C296+"$F;@!L_"</f>
        <v>#VALUE!</v>
      </c>
      <c r="BB14" t="e">
        <f>'All regions'!D296+"$F;@!L`"</f>
        <v>#VALUE!</v>
      </c>
      <c r="BC14" t="e">
        <f>'All regions'!E296+"$F;@!La"</f>
        <v>#VALUE!</v>
      </c>
      <c r="BD14" t="e">
        <f>'All regions'!F296+"$F;@!Lb"</f>
        <v>#VALUE!</v>
      </c>
      <c r="BE14" t="e">
        <f>'All regions'!G296+"$F;@!Lc"</f>
        <v>#VALUE!</v>
      </c>
      <c r="BF14" t="e">
        <f>'All regions'!H296+"$F;@!Ld"</f>
        <v>#VALUE!</v>
      </c>
      <c r="BG14" t="e">
        <f>'All regions'!I296+"$F;@!Le"</f>
        <v>#VALUE!</v>
      </c>
      <c r="BH14" t="e">
        <f>'All regions'!A297+"$F;@!Lf"</f>
        <v>#VALUE!</v>
      </c>
      <c r="BI14" t="e">
        <f>'All regions'!B297+"$F;@!Lg"</f>
        <v>#VALUE!</v>
      </c>
      <c r="BJ14" t="e">
        <f>'All regions'!C297+"$F;@!Lh"</f>
        <v>#VALUE!</v>
      </c>
      <c r="BK14" t="e">
        <f>'All regions'!D297+"$F;@!Li"</f>
        <v>#VALUE!</v>
      </c>
      <c r="BL14" t="e">
        <f>'All regions'!E297+"$F;@!Lj"</f>
        <v>#VALUE!</v>
      </c>
      <c r="BM14" t="e">
        <f>'All regions'!F297+"$F;@!Lk"</f>
        <v>#VALUE!</v>
      </c>
      <c r="BN14" t="e">
        <f>'All regions'!G297+"$F;@!Ll"</f>
        <v>#VALUE!</v>
      </c>
      <c r="BO14" t="e">
        <f>'All regions'!H297+"$F;@!Lm"</f>
        <v>#VALUE!</v>
      </c>
      <c r="BP14" t="e">
        <f>'All regions'!I297+"$F;@!Ln"</f>
        <v>#VALUE!</v>
      </c>
      <c r="BQ14" t="e">
        <f>'All regions'!A298+"$F;@!Lo"</f>
        <v>#VALUE!</v>
      </c>
      <c r="BR14" t="e">
        <f>'All regions'!B298+"$F;@!Lp"</f>
        <v>#VALUE!</v>
      </c>
      <c r="BS14" t="e">
        <f>'All regions'!C298+"$F;@!Lq"</f>
        <v>#VALUE!</v>
      </c>
      <c r="BT14" t="e">
        <f>'All regions'!D298+"$F;@!Lr"</f>
        <v>#VALUE!</v>
      </c>
      <c r="BU14" t="e">
        <f>'All regions'!E298+"$F;@!Ls"</f>
        <v>#VALUE!</v>
      </c>
      <c r="BV14" t="e">
        <f>'All regions'!F298+"$F;@!Lt"</f>
        <v>#VALUE!</v>
      </c>
      <c r="BW14" t="e">
        <f>'All regions'!G298+"$F;@!Lu"</f>
        <v>#VALUE!</v>
      </c>
      <c r="BX14" t="e">
        <f>'All regions'!H298+"$F;@!Lv"</f>
        <v>#VALUE!</v>
      </c>
      <c r="BY14" t="e">
        <f>'All regions'!I298+"$F;@!Lw"</f>
        <v>#VALUE!</v>
      </c>
      <c r="BZ14" t="e">
        <f>'All regions'!A299+"$F;@!Lx"</f>
        <v>#VALUE!</v>
      </c>
      <c r="CA14" t="e">
        <f>'All regions'!B299+"$F;@!Ly"</f>
        <v>#VALUE!</v>
      </c>
      <c r="CB14" t="e">
        <f>'All regions'!C299+"$F;@!Lz"</f>
        <v>#VALUE!</v>
      </c>
      <c r="CC14" t="e">
        <f>'All regions'!D299+"$F;@!L{"</f>
        <v>#VALUE!</v>
      </c>
      <c r="CD14" t="e">
        <f>'All regions'!E299+"$F;@!L|"</f>
        <v>#VALUE!</v>
      </c>
      <c r="CE14" t="e">
        <f>'All regions'!F299+"$F;@!L}"</f>
        <v>#VALUE!</v>
      </c>
      <c r="CF14" t="e">
        <f>'All regions'!G299+"$F;@!L~"</f>
        <v>#VALUE!</v>
      </c>
      <c r="CG14" t="e">
        <f>'All regions'!H299+"$F;@!M#"</f>
        <v>#VALUE!</v>
      </c>
      <c r="CH14" t="e">
        <f>'All regions'!I299+"$F;@!M$"</f>
        <v>#VALUE!</v>
      </c>
      <c r="CI14" t="e">
        <f>'All regions'!A300+"$F;@!M%"</f>
        <v>#VALUE!</v>
      </c>
      <c r="CJ14" t="e">
        <f>'All regions'!B300+"$F;@!M&amp;"</f>
        <v>#VALUE!</v>
      </c>
      <c r="CK14" t="e">
        <f>'All regions'!C300+"$F;@!M'"</f>
        <v>#VALUE!</v>
      </c>
      <c r="CL14" t="e">
        <f>'All regions'!D300+"$F;@!M("</f>
        <v>#VALUE!</v>
      </c>
      <c r="CM14" t="e">
        <f>'All regions'!E300+"$F;@!M)"</f>
        <v>#VALUE!</v>
      </c>
      <c r="CN14" t="e">
        <f>'All regions'!F300+"$F;@!M."</f>
        <v>#VALUE!</v>
      </c>
      <c r="CO14" t="e">
        <f>'All regions'!G300+"$F;@!M/"</f>
        <v>#VALUE!</v>
      </c>
      <c r="CP14" t="e">
        <f>'All regions'!H300+"$F;@!M0"</f>
        <v>#VALUE!</v>
      </c>
      <c r="CQ14" t="e">
        <f>'All regions'!I300+"$F;@!M1"</f>
        <v>#VALUE!</v>
      </c>
      <c r="CR14" t="e">
        <f>'All regions'!A301+"$F;@!M2"</f>
        <v>#VALUE!</v>
      </c>
      <c r="CS14" t="e">
        <f>'All regions'!B301+"$F;@!M3"</f>
        <v>#VALUE!</v>
      </c>
      <c r="CT14" t="e">
        <f>'All regions'!C301+"$F;@!M4"</f>
        <v>#VALUE!</v>
      </c>
      <c r="CU14" t="e">
        <f>'All regions'!D301+"$F;@!M5"</f>
        <v>#VALUE!</v>
      </c>
      <c r="CV14" t="e">
        <f>'All regions'!E301+"$F;@!M6"</f>
        <v>#VALUE!</v>
      </c>
      <c r="CW14" t="e">
        <f>'All regions'!F301+"$F;@!M7"</f>
        <v>#VALUE!</v>
      </c>
      <c r="CX14" t="e">
        <f>'All regions'!G301+"$F;@!M8"</f>
        <v>#VALUE!</v>
      </c>
      <c r="CY14" t="e">
        <f>'All regions'!H301+"$F;@!M9"</f>
        <v>#VALUE!</v>
      </c>
      <c r="CZ14" t="e">
        <f>'All regions'!I301+"$F;@!M:"</f>
        <v>#VALUE!</v>
      </c>
      <c r="DA14" t="e">
        <f>'All regions'!A302+"$F;@!M;"</f>
        <v>#VALUE!</v>
      </c>
      <c r="DB14" t="e">
        <f>'All regions'!B302+"$F;@!M&lt;"</f>
        <v>#VALUE!</v>
      </c>
      <c r="DC14" t="e">
        <f>'All regions'!C302+"$F;@!M="</f>
        <v>#VALUE!</v>
      </c>
      <c r="DD14" t="e">
        <f>'All regions'!D302+"$F;@!M&gt;"</f>
        <v>#VALUE!</v>
      </c>
      <c r="DE14" t="e">
        <f>'All regions'!E302+"$F;@!M?"</f>
        <v>#VALUE!</v>
      </c>
      <c r="DF14" t="e">
        <f>'All regions'!F302+"$F;@!M@"</f>
        <v>#VALUE!</v>
      </c>
      <c r="DG14" t="e">
        <f>'All regions'!G302+"$F;@!MA"</f>
        <v>#VALUE!</v>
      </c>
      <c r="DH14" t="e">
        <f>'All regions'!H302+"$F;@!MB"</f>
        <v>#VALUE!</v>
      </c>
      <c r="DI14" t="e">
        <f>'All regions'!I302+"$F;@!MC"</f>
        <v>#VALUE!</v>
      </c>
      <c r="DJ14" t="e">
        <f>'All regions'!A303+"$F;@!MD"</f>
        <v>#VALUE!</v>
      </c>
      <c r="DK14" t="e">
        <f>'All regions'!B303+"$F;@!ME"</f>
        <v>#VALUE!</v>
      </c>
      <c r="DL14" t="e">
        <f>'All regions'!C303+"$F;@!MF"</f>
        <v>#VALUE!</v>
      </c>
      <c r="DM14" t="e">
        <f>'All regions'!D303+"$F;@!MG"</f>
        <v>#VALUE!</v>
      </c>
      <c r="DN14" t="e">
        <f>'All regions'!E303+"$F;@!MH"</f>
        <v>#VALUE!</v>
      </c>
      <c r="DO14" t="e">
        <f>'All regions'!F303+"$F;@!MI"</f>
        <v>#VALUE!</v>
      </c>
      <c r="DP14" t="e">
        <f>'All regions'!G303+"$F;@!MJ"</f>
        <v>#VALUE!</v>
      </c>
      <c r="DQ14" t="e">
        <f>'All regions'!H303+"$F;@!MK"</f>
        <v>#VALUE!</v>
      </c>
      <c r="DR14" t="e">
        <f>'All regions'!I303+"$F;@!ML"</f>
        <v>#VALUE!</v>
      </c>
      <c r="DS14" t="e">
        <f>'All regions'!A304+"$F;@!MM"</f>
        <v>#VALUE!</v>
      </c>
      <c r="DT14" t="e">
        <f>'All regions'!B304+"$F;@!MN"</f>
        <v>#VALUE!</v>
      </c>
      <c r="DU14" t="e">
        <f>'All regions'!C304+"$F;@!MO"</f>
        <v>#VALUE!</v>
      </c>
      <c r="DV14" t="e">
        <f>'All regions'!D304+"$F;@!MP"</f>
        <v>#VALUE!</v>
      </c>
      <c r="DW14" t="e">
        <f>'All regions'!E304+"$F;@!MQ"</f>
        <v>#VALUE!</v>
      </c>
      <c r="DX14" t="e">
        <f>'All regions'!F304+"$F;@!MR"</f>
        <v>#VALUE!</v>
      </c>
      <c r="DY14" t="e">
        <f>'All regions'!G304+"$F;@!MS"</f>
        <v>#VALUE!</v>
      </c>
      <c r="DZ14" t="e">
        <f>'All regions'!H304+"$F;@!MT"</f>
        <v>#VALUE!</v>
      </c>
      <c r="EA14" t="e">
        <f>'All regions'!I304+"$F;@!MU"</f>
        <v>#VALUE!</v>
      </c>
      <c r="EB14" t="e">
        <f>'All regions'!A305+"$F;@!MV"</f>
        <v>#VALUE!</v>
      </c>
      <c r="EC14" t="e">
        <f>'All regions'!B305+"$F;@!MW"</f>
        <v>#VALUE!</v>
      </c>
      <c r="ED14" t="e">
        <f>'All regions'!C305+"$F;@!MX"</f>
        <v>#VALUE!</v>
      </c>
      <c r="EE14" t="e">
        <f>'All regions'!D305+"$F;@!MY"</f>
        <v>#VALUE!</v>
      </c>
      <c r="EF14" t="e">
        <f>'All regions'!E305+"$F;@!MZ"</f>
        <v>#VALUE!</v>
      </c>
      <c r="EG14" t="e">
        <f>'All regions'!F305+"$F;@!M["</f>
        <v>#VALUE!</v>
      </c>
      <c r="EH14" t="e">
        <f>'All regions'!G305+"$F;@!M\"</f>
        <v>#VALUE!</v>
      </c>
      <c r="EI14" t="e">
        <f>'All regions'!H305+"$F;@!M]"</f>
        <v>#VALUE!</v>
      </c>
      <c r="EJ14" t="e">
        <f>'All regions'!I305+"$F;@!M^"</f>
        <v>#VALUE!</v>
      </c>
      <c r="EK14" t="e">
        <f>'All regions'!A306+"$F;@!M_"</f>
        <v>#VALUE!</v>
      </c>
      <c r="EL14" t="e">
        <f>'All regions'!B306+"$F;@!M`"</f>
        <v>#VALUE!</v>
      </c>
      <c r="EM14" t="e">
        <f>'All regions'!C306+"$F;@!Ma"</f>
        <v>#VALUE!</v>
      </c>
      <c r="EN14" t="e">
        <f>'All regions'!D306+"$F;@!Mb"</f>
        <v>#VALUE!</v>
      </c>
      <c r="EO14" t="e">
        <f>'All regions'!E306+"$F;@!Mc"</f>
        <v>#VALUE!</v>
      </c>
      <c r="EP14" t="e">
        <f>'All regions'!F306+"$F;@!Md"</f>
        <v>#VALUE!</v>
      </c>
      <c r="EQ14" t="e">
        <f>'All regions'!G306+"$F;@!Me"</f>
        <v>#VALUE!</v>
      </c>
      <c r="ER14" t="e">
        <f>'All regions'!H306+"$F;@!Mf"</f>
        <v>#VALUE!</v>
      </c>
      <c r="ES14" t="e">
        <f>'All regions'!I306+"$F;@!Mg"</f>
        <v>#VALUE!</v>
      </c>
      <c r="ET14" t="e">
        <f>'All regions'!A307+"$F;@!Mh"</f>
        <v>#VALUE!</v>
      </c>
      <c r="EU14" t="e">
        <f>'All regions'!B307+"$F;@!Mi"</f>
        <v>#VALUE!</v>
      </c>
      <c r="EV14" t="e">
        <f>'All regions'!C307+"$F;@!Mj"</f>
        <v>#VALUE!</v>
      </c>
      <c r="EW14" t="e">
        <f>'All regions'!D307+"$F;@!Mk"</f>
        <v>#VALUE!</v>
      </c>
      <c r="EX14" t="e">
        <f>'All regions'!E307+"$F;@!Ml"</f>
        <v>#VALUE!</v>
      </c>
      <c r="EY14" t="e">
        <f>'All regions'!F307+"$F;@!Mm"</f>
        <v>#VALUE!</v>
      </c>
      <c r="EZ14" t="e">
        <f>'All regions'!G307+"$F;@!Mn"</f>
        <v>#VALUE!</v>
      </c>
      <c r="FA14" t="e">
        <f>'All regions'!H307+"$F;@!Mo"</f>
        <v>#VALUE!</v>
      </c>
      <c r="FB14" t="e">
        <f>'All regions'!I307+"$F;@!Mp"</f>
        <v>#VALUE!</v>
      </c>
      <c r="FC14" t="e">
        <f>'All regions'!A308+"$F;@!Mq"</f>
        <v>#VALUE!</v>
      </c>
      <c r="FD14" t="e">
        <f>'All regions'!B308+"$F;@!Mr"</f>
        <v>#VALUE!</v>
      </c>
      <c r="FE14" t="e">
        <f>'All regions'!C308+"$F;@!Ms"</f>
        <v>#VALUE!</v>
      </c>
      <c r="FF14" t="e">
        <f>'All regions'!D308+"$F;@!Mt"</f>
        <v>#VALUE!</v>
      </c>
      <c r="FG14" t="e">
        <f>'All regions'!E308+"$F;@!Mu"</f>
        <v>#VALUE!</v>
      </c>
      <c r="FH14" t="e">
        <f>'All regions'!F308+"$F;@!Mv"</f>
        <v>#VALUE!</v>
      </c>
      <c r="FI14" t="e">
        <f>'All regions'!G308+"$F;@!Mw"</f>
        <v>#VALUE!</v>
      </c>
      <c r="FJ14" t="e">
        <f>'All regions'!H308+"$F;@!Mx"</f>
        <v>#VALUE!</v>
      </c>
      <c r="FK14" t="e">
        <f>'All regions'!I308+"$F;@!My"</f>
        <v>#VALUE!</v>
      </c>
      <c r="FL14" t="e">
        <f>'All regions'!A309+"$F;@!Mz"</f>
        <v>#VALUE!</v>
      </c>
      <c r="FM14" t="e">
        <f>'All regions'!B309+"$F;@!M{"</f>
        <v>#VALUE!</v>
      </c>
      <c r="FN14" t="e">
        <f>'All regions'!C309+"$F;@!M|"</f>
        <v>#VALUE!</v>
      </c>
      <c r="FO14" t="e">
        <f>'All regions'!D309+"$F;@!M}"</f>
        <v>#VALUE!</v>
      </c>
      <c r="FP14" t="e">
        <f>'All regions'!E309+"$F;@!M~"</f>
        <v>#VALUE!</v>
      </c>
      <c r="FQ14" t="e">
        <f>'All regions'!F309+"$F;@!N#"</f>
        <v>#VALUE!</v>
      </c>
      <c r="FR14" t="e">
        <f>'All regions'!G309+"$F;@!N$"</f>
        <v>#VALUE!</v>
      </c>
      <c r="FS14" t="e">
        <f>'All regions'!H309+"$F;@!N%"</f>
        <v>#VALUE!</v>
      </c>
      <c r="FT14" t="e">
        <f>'All regions'!I309+"$F;@!N&amp;"</f>
        <v>#VALUE!</v>
      </c>
      <c r="FU14" t="e">
        <f>'All regions'!A310+"$F;@!N'"</f>
        <v>#VALUE!</v>
      </c>
      <c r="FV14" t="e">
        <f>'All regions'!B310+"$F;@!N("</f>
        <v>#VALUE!</v>
      </c>
      <c r="FW14" t="e">
        <f>'All regions'!C310+"$F;@!N)"</f>
        <v>#VALUE!</v>
      </c>
      <c r="FX14" t="e">
        <f>'All regions'!D310+"$F;@!N."</f>
        <v>#VALUE!</v>
      </c>
      <c r="FY14" t="e">
        <f>'All regions'!E310+"$F;@!N/"</f>
        <v>#VALUE!</v>
      </c>
      <c r="FZ14" t="e">
        <f>'All regions'!F310+"$F;@!N0"</f>
        <v>#VALUE!</v>
      </c>
      <c r="GA14" t="e">
        <f>'All regions'!G310+"$F;@!N1"</f>
        <v>#VALUE!</v>
      </c>
      <c r="GB14" t="e">
        <f>'All regions'!H310+"$F;@!N2"</f>
        <v>#VALUE!</v>
      </c>
      <c r="GC14" t="e">
        <f>'All regions'!I310+"$F;@!N3"</f>
        <v>#VALUE!</v>
      </c>
      <c r="GD14" t="e">
        <f>'All regions'!A311+"$F;@!N4"</f>
        <v>#VALUE!</v>
      </c>
      <c r="GE14" t="e">
        <f>'All regions'!B311+"$F;@!N5"</f>
        <v>#VALUE!</v>
      </c>
      <c r="GF14" t="e">
        <f>'All regions'!C311+"$F;@!N6"</f>
        <v>#VALUE!</v>
      </c>
      <c r="GG14" t="e">
        <f>'All regions'!D311+"$F;@!N7"</f>
        <v>#VALUE!</v>
      </c>
      <c r="GH14" t="e">
        <f>'All regions'!E311+"$F;@!N8"</f>
        <v>#VALUE!</v>
      </c>
      <c r="GI14" t="e">
        <f>'All regions'!F311+"$F;@!N9"</f>
        <v>#VALUE!</v>
      </c>
      <c r="GJ14" t="e">
        <f>'All regions'!G311+"$F;@!N:"</f>
        <v>#VALUE!</v>
      </c>
      <c r="GK14" t="e">
        <f>'All regions'!H311+"$F;@!N;"</f>
        <v>#VALUE!</v>
      </c>
      <c r="GL14" t="e">
        <f>'All regions'!I311+"$F;@!N&lt;"</f>
        <v>#VALUE!</v>
      </c>
      <c r="GM14" t="e">
        <f>'All regions'!A312+"$F;@!N="</f>
        <v>#VALUE!</v>
      </c>
      <c r="GN14" t="e">
        <f>'All regions'!B312+"$F;@!N&gt;"</f>
        <v>#VALUE!</v>
      </c>
      <c r="GO14" t="e">
        <f>'All regions'!C312+"$F;@!N?"</f>
        <v>#VALUE!</v>
      </c>
      <c r="GP14" t="e">
        <f>'All regions'!D312+"$F;@!N@"</f>
        <v>#VALUE!</v>
      </c>
      <c r="GQ14" t="e">
        <f>'All regions'!E312+"$F;@!NA"</f>
        <v>#VALUE!</v>
      </c>
      <c r="GR14" t="e">
        <f>'All regions'!F312+"$F;@!NB"</f>
        <v>#VALUE!</v>
      </c>
      <c r="GS14" t="e">
        <f>'All regions'!G312+"$F;@!NC"</f>
        <v>#VALUE!</v>
      </c>
      <c r="GT14" t="e">
        <f>'All regions'!H312+"$F;@!ND"</f>
        <v>#VALUE!</v>
      </c>
      <c r="GU14" t="e">
        <f>'All regions'!I312+"$F;@!NE"</f>
        <v>#VALUE!</v>
      </c>
      <c r="GV14" t="e">
        <f>'All regions'!A313+"$F;@!NF"</f>
        <v>#VALUE!</v>
      </c>
      <c r="GW14" t="e">
        <f>'All regions'!B313+"$F;@!NG"</f>
        <v>#VALUE!</v>
      </c>
      <c r="GX14" t="e">
        <f>'All regions'!C313+"$F;@!NH"</f>
        <v>#VALUE!</v>
      </c>
      <c r="GY14" t="e">
        <f>'All regions'!D313+"$F;@!NI"</f>
        <v>#VALUE!</v>
      </c>
      <c r="GZ14" t="e">
        <f>'All regions'!E313+"$F;@!NJ"</f>
        <v>#VALUE!</v>
      </c>
      <c r="HA14" t="e">
        <f>'All regions'!F313+"$F;@!NK"</f>
        <v>#VALUE!</v>
      </c>
      <c r="HB14" t="e">
        <f>'All regions'!G313+"$F;@!NL"</f>
        <v>#VALUE!</v>
      </c>
      <c r="HC14" t="e">
        <f>'All regions'!H313+"$F;@!NM"</f>
        <v>#VALUE!</v>
      </c>
      <c r="HD14" t="e">
        <f>'All regions'!I313+"$F;@!NN"</f>
        <v>#VALUE!</v>
      </c>
      <c r="HE14" t="e">
        <f>'All regions'!A314+"$F;@!NO"</f>
        <v>#VALUE!</v>
      </c>
      <c r="HF14" t="e">
        <f>'All regions'!B314+"$F;@!NP"</f>
        <v>#VALUE!</v>
      </c>
      <c r="HG14" t="e">
        <f>'All regions'!C314+"$F;@!NQ"</f>
        <v>#VALUE!</v>
      </c>
      <c r="HH14" t="e">
        <f>'All regions'!D314+"$F;@!NR"</f>
        <v>#VALUE!</v>
      </c>
      <c r="HI14" t="e">
        <f>'All regions'!E314+"$F;@!NS"</f>
        <v>#VALUE!</v>
      </c>
      <c r="HJ14" t="e">
        <f>'All regions'!F314+"$F;@!NT"</f>
        <v>#VALUE!</v>
      </c>
      <c r="HK14" t="e">
        <f>'All regions'!G314+"$F;@!NU"</f>
        <v>#VALUE!</v>
      </c>
      <c r="HL14" t="e">
        <f>'All regions'!H314+"$F;@!NV"</f>
        <v>#VALUE!</v>
      </c>
      <c r="HM14" t="e">
        <f>'All regions'!I314+"$F;@!NW"</f>
        <v>#VALUE!</v>
      </c>
      <c r="HN14" t="e">
        <f>'All regions'!A315+"$F;@!NX"</f>
        <v>#VALUE!</v>
      </c>
      <c r="HO14" t="e">
        <f>'All regions'!B315+"$F;@!NY"</f>
        <v>#VALUE!</v>
      </c>
      <c r="HP14" t="e">
        <f>'All regions'!C315+"$F;@!NZ"</f>
        <v>#VALUE!</v>
      </c>
      <c r="HQ14" t="e">
        <f>'All regions'!D315+"$F;@!N["</f>
        <v>#VALUE!</v>
      </c>
      <c r="HR14" t="e">
        <f>'All regions'!E315+"$F;@!N\"</f>
        <v>#VALUE!</v>
      </c>
      <c r="HS14" t="e">
        <f>'All regions'!F315+"$F;@!N]"</f>
        <v>#VALUE!</v>
      </c>
      <c r="HT14" t="e">
        <f>'All regions'!G315+"$F;@!N^"</f>
        <v>#VALUE!</v>
      </c>
      <c r="HU14" t="e">
        <f>'All regions'!H315+"$F;@!N_"</f>
        <v>#VALUE!</v>
      </c>
      <c r="HV14" t="e">
        <f>'All regions'!I315+"$F;@!N`"</f>
        <v>#VALUE!</v>
      </c>
      <c r="HW14" t="e">
        <f>'All regions'!A316+"$F;@!Na"</f>
        <v>#VALUE!</v>
      </c>
      <c r="HX14" t="e">
        <f>'All regions'!B316+"$F;@!Nb"</f>
        <v>#VALUE!</v>
      </c>
      <c r="HY14" t="e">
        <f>'All regions'!C316+"$F;@!Nc"</f>
        <v>#VALUE!</v>
      </c>
      <c r="HZ14" t="e">
        <f>'All regions'!D316+"$F;@!Nd"</f>
        <v>#VALUE!</v>
      </c>
      <c r="IA14" t="e">
        <f>'All regions'!E316+"$F;@!Ne"</f>
        <v>#VALUE!</v>
      </c>
      <c r="IB14" t="e">
        <f>'All regions'!F316+"$F;@!Nf"</f>
        <v>#VALUE!</v>
      </c>
      <c r="IC14" t="e">
        <f>'All regions'!G316+"$F;@!Ng"</f>
        <v>#VALUE!</v>
      </c>
      <c r="ID14" t="e">
        <f>'All regions'!H316+"$F;@!Nh"</f>
        <v>#VALUE!</v>
      </c>
      <c r="IE14" t="e">
        <f>'All regions'!I316+"$F;@!Ni"</f>
        <v>#VALUE!</v>
      </c>
      <c r="IF14" t="e">
        <f>'All regions'!A317+"$F;@!Nj"</f>
        <v>#VALUE!</v>
      </c>
      <c r="IG14" t="e">
        <f>'All regions'!B317+"$F;@!Nk"</f>
        <v>#VALUE!</v>
      </c>
      <c r="IH14" t="e">
        <f>'All regions'!C317+"$F;@!Nl"</f>
        <v>#VALUE!</v>
      </c>
      <c r="II14" t="e">
        <f>'All regions'!D317+"$F;@!Nm"</f>
        <v>#VALUE!</v>
      </c>
      <c r="IJ14" t="e">
        <f>'All regions'!E317+"$F;@!Nn"</f>
        <v>#VALUE!</v>
      </c>
      <c r="IK14" t="e">
        <f>'All regions'!F317+"$F;@!No"</f>
        <v>#VALUE!</v>
      </c>
      <c r="IL14" t="e">
        <f>'All regions'!G317+"$F;@!Np"</f>
        <v>#VALUE!</v>
      </c>
      <c r="IM14" t="e">
        <f>'All regions'!H317+"$F;@!Nq"</f>
        <v>#VALUE!</v>
      </c>
      <c r="IN14" t="e">
        <f>'All regions'!I317+"$F;@!Nr"</f>
        <v>#VALUE!</v>
      </c>
      <c r="IO14" t="e">
        <f>'All regions'!A318+"$F;@!Ns"</f>
        <v>#VALUE!</v>
      </c>
      <c r="IP14" t="e">
        <f>'All regions'!B318+"$F;@!Nt"</f>
        <v>#VALUE!</v>
      </c>
      <c r="IQ14" t="e">
        <f>'All regions'!C318+"$F;@!Nu"</f>
        <v>#VALUE!</v>
      </c>
      <c r="IR14" t="e">
        <f>'All regions'!D318+"$F;@!Nv"</f>
        <v>#VALUE!</v>
      </c>
      <c r="IS14" t="e">
        <f>'All regions'!E318+"$F;@!Nw"</f>
        <v>#VALUE!</v>
      </c>
      <c r="IT14" t="e">
        <f>'All regions'!F318+"$F;@!Nx"</f>
        <v>#VALUE!</v>
      </c>
      <c r="IU14" t="e">
        <f>'All regions'!G318+"$F;@!Ny"</f>
        <v>#VALUE!</v>
      </c>
      <c r="IV14" t="e">
        <f>'All regions'!H318+"$F;@!Nz"</f>
        <v>#VALUE!</v>
      </c>
    </row>
    <row r="15" spans="1:256" x14ac:dyDescent="0.35">
      <c r="F15" t="e">
        <f>'All regions'!I318+"$F;@!N{"</f>
        <v>#VALUE!</v>
      </c>
      <c r="G15" t="e">
        <f>'All regions'!A319+"$F;@!N|"</f>
        <v>#VALUE!</v>
      </c>
      <c r="H15" t="e">
        <f>'All regions'!B319+"$F;@!N}"</f>
        <v>#VALUE!</v>
      </c>
      <c r="I15" t="e">
        <f>'All regions'!C319+"$F;@!N~"</f>
        <v>#VALUE!</v>
      </c>
      <c r="J15" t="e">
        <f>'All regions'!D319+"$F;@!O#"</f>
        <v>#VALUE!</v>
      </c>
      <c r="K15" t="e">
        <f>'All regions'!E319+"$F;@!O$"</f>
        <v>#VALUE!</v>
      </c>
      <c r="L15" t="e">
        <f>'All regions'!F319+"$F;@!O%"</f>
        <v>#VALUE!</v>
      </c>
      <c r="M15" t="e">
        <f>'All regions'!G319+"$F;@!O&amp;"</f>
        <v>#VALUE!</v>
      </c>
      <c r="N15" t="e">
        <f>'All regions'!H319+"$F;@!O'"</f>
        <v>#VALUE!</v>
      </c>
      <c r="O15" t="e">
        <f>'All regions'!I319+"$F;@!O("</f>
        <v>#VALUE!</v>
      </c>
      <c r="P15" t="e">
        <f>'All regions'!A320+"$F;@!O)"</f>
        <v>#VALUE!</v>
      </c>
      <c r="Q15" t="e">
        <f>'All regions'!B320+"$F;@!O."</f>
        <v>#VALUE!</v>
      </c>
      <c r="R15" t="e">
        <f>'All regions'!C320+"$F;@!O/"</f>
        <v>#VALUE!</v>
      </c>
      <c r="S15" t="e">
        <f>'All regions'!D320+"$F;@!O0"</f>
        <v>#VALUE!</v>
      </c>
      <c r="T15" t="e">
        <f>'All regions'!E320+"$F;@!O1"</f>
        <v>#VALUE!</v>
      </c>
      <c r="U15" t="e">
        <f>'All regions'!F320+"$F;@!O2"</f>
        <v>#VALUE!</v>
      </c>
      <c r="V15" t="e">
        <f>'All regions'!G320+"$F;@!O3"</f>
        <v>#VALUE!</v>
      </c>
      <c r="W15" t="e">
        <f>'All regions'!H320+"$F;@!O4"</f>
        <v>#VALUE!</v>
      </c>
      <c r="X15" t="e">
        <f>'All regions'!I320+"$F;@!O5"</f>
        <v>#VALUE!</v>
      </c>
      <c r="Y15" t="e">
        <f>'All regions'!A321+"$F;@!O6"</f>
        <v>#VALUE!</v>
      </c>
      <c r="Z15" t="e">
        <f>'All regions'!B321+"$F;@!O7"</f>
        <v>#VALUE!</v>
      </c>
      <c r="AA15" t="e">
        <f>'All regions'!C321+"$F;@!O8"</f>
        <v>#VALUE!</v>
      </c>
      <c r="AB15" t="e">
        <f>'All regions'!D321+"$F;@!O9"</f>
        <v>#VALUE!</v>
      </c>
      <c r="AC15" t="e">
        <f>'All regions'!E321+"$F;@!O:"</f>
        <v>#VALUE!</v>
      </c>
      <c r="AD15" t="e">
        <f>'All regions'!F321+"$F;@!O;"</f>
        <v>#VALUE!</v>
      </c>
      <c r="AE15" t="e">
        <f>'All regions'!G321+"$F;@!O&lt;"</f>
        <v>#VALUE!</v>
      </c>
      <c r="AF15" t="e">
        <f>'All regions'!H321+"$F;@!O="</f>
        <v>#VALUE!</v>
      </c>
      <c r="AG15" t="e">
        <f>'All regions'!I321+"$F;@!O&gt;"</f>
        <v>#VALUE!</v>
      </c>
      <c r="AH15" t="e">
        <f>'All regions'!A322+"$F;@!O?"</f>
        <v>#VALUE!</v>
      </c>
      <c r="AI15" t="e">
        <f>'All regions'!B322+"$F;@!O@"</f>
        <v>#VALUE!</v>
      </c>
      <c r="AJ15" t="e">
        <f>'All regions'!C322+"$F;@!OA"</f>
        <v>#VALUE!</v>
      </c>
      <c r="AK15" t="e">
        <f>'All regions'!D322+"$F;@!OB"</f>
        <v>#VALUE!</v>
      </c>
      <c r="AL15" t="e">
        <f>'All regions'!E322+"$F;@!OC"</f>
        <v>#VALUE!</v>
      </c>
      <c r="AM15" t="e">
        <f>'All regions'!F322+"$F;@!OD"</f>
        <v>#VALUE!</v>
      </c>
      <c r="AN15" t="e">
        <f>'All regions'!G322+"$F;@!OE"</f>
        <v>#VALUE!</v>
      </c>
      <c r="AO15" t="e">
        <f>'All regions'!H322+"$F;@!OF"</f>
        <v>#VALUE!</v>
      </c>
      <c r="AP15" t="e">
        <f>'All regions'!I322+"$F;@!OG"</f>
        <v>#VALUE!</v>
      </c>
      <c r="AQ15" t="e">
        <f>'All regions'!A323+"$F;@!OH"</f>
        <v>#VALUE!</v>
      </c>
      <c r="AR15" t="e">
        <f>'All regions'!B323+"$F;@!OI"</f>
        <v>#VALUE!</v>
      </c>
      <c r="AS15" t="e">
        <f>'All regions'!C323+"$F;@!OJ"</f>
        <v>#VALUE!</v>
      </c>
      <c r="AT15" t="e">
        <f>'All regions'!D323+"$F;@!OK"</f>
        <v>#VALUE!</v>
      </c>
      <c r="AU15" t="e">
        <f>'All regions'!E323+"$F;@!OL"</f>
        <v>#VALUE!</v>
      </c>
      <c r="AV15" t="e">
        <f>'All regions'!F323+"$F;@!OM"</f>
        <v>#VALUE!</v>
      </c>
      <c r="AW15" t="e">
        <f>'All regions'!G323+"$F;@!ON"</f>
        <v>#VALUE!</v>
      </c>
      <c r="AX15" t="e">
        <f>'All regions'!H323+"$F;@!OO"</f>
        <v>#VALUE!</v>
      </c>
      <c r="AY15" t="e">
        <f>'All regions'!I323+"$F;@!OP"</f>
        <v>#VALUE!</v>
      </c>
      <c r="AZ15" t="e">
        <f>'All regions'!A324+"$F;@!OQ"</f>
        <v>#VALUE!</v>
      </c>
      <c r="BA15" t="e">
        <f>'All regions'!B324+"$F;@!OR"</f>
        <v>#VALUE!</v>
      </c>
      <c r="BB15" t="e">
        <f>'All regions'!C324+"$F;@!OS"</f>
        <v>#VALUE!</v>
      </c>
      <c r="BC15" t="e">
        <f>'All regions'!D324+"$F;@!OT"</f>
        <v>#VALUE!</v>
      </c>
      <c r="BD15" t="e">
        <f>'All regions'!E324+"$F;@!OU"</f>
        <v>#VALUE!</v>
      </c>
      <c r="BE15" t="e">
        <f>'All regions'!F324+"$F;@!OV"</f>
        <v>#VALUE!</v>
      </c>
      <c r="BF15" t="e">
        <f>'All regions'!G324+"$F;@!OW"</f>
        <v>#VALUE!</v>
      </c>
      <c r="BG15" t="e">
        <f>'All regions'!H324+"$F;@!OX"</f>
        <v>#VALUE!</v>
      </c>
      <c r="BH15" t="e">
        <f>'All regions'!I324+"$F;@!OY"</f>
        <v>#VALUE!</v>
      </c>
      <c r="BI15" t="e">
        <f>'All regions'!A325+"$F;@!OZ"</f>
        <v>#VALUE!</v>
      </c>
      <c r="BJ15" t="e">
        <f>'All regions'!B325+"$F;@!O["</f>
        <v>#VALUE!</v>
      </c>
      <c r="BK15" t="e">
        <f>'All regions'!C325+"$F;@!O\"</f>
        <v>#VALUE!</v>
      </c>
      <c r="BL15" t="e">
        <f>'All regions'!D325+"$F;@!O]"</f>
        <v>#VALUE!</v>
      </c>
      <c r="BM15" t="e">
        <f>'All regions'!E325+"$F;@!O^"</f>
        <v>#VALUE!</v>
      </c>
      <c r="BN15" t="e">
        <f>'All regions'!F325+"$F;@!O_"</f>
        <v>#VALUE!</v>
      </c>
      <c r="BO15" t="e">
        <f>'All regions'!G325+"$F;@!O`"</f>
        <v>#VALUE!</v>
      </c>
      <c r="BP15" t="e">
        <f>'All regions'!H325+"$F;@!Oa"</f>
        <v>#VALUE!</v>
      </c>
      <c r="BQ15" t="e">
        <f>'All regions'!I325+"$F;@!Ob"</f>
        <v>#VALUE!</v>
      </c>
      <c r="BR15" t="e">
        <f>'All regions'!A326+"$F;@!Oc"</f>
        <v>#VALUE!</v>
      </c>
      <c r="BS15" t="e">
        <f>'All regions'!B326+"$F;@!Od"</f>
        <v>#VALUE!</v>
      </c>
      <c r="BT15" t="e">
        <f>'All regions'!C326+"$F;@!Oe"</f>
        <v>#VALUE!</v>
      </c>
      <c r="BU15" t="e">
        <f>'All regions'!D326+"$F;@!Of"</f>
        <v>#VALUE!</v>
      </c>
      <c r="BV15" t="e">
        <f>'All regions'!E326+"$F;@!Og"</f>
        <v>#VALUE!</v>
      </c>
      <c r="BW15" t="e">
        <f>'All regions'!F326+"$F;@!Oh"</f>
        <v>#VALUE!</v>
      </c>
      <c r="BX15" t="e">
        <f>'All regions'!G326+"$F;@!Oi"</f>
        <v>#VALUE!</v>
      </c>
      <c r="BY15" t="e">
        <f>'All regions'!H326+"$F;@!Oj"</f>
        <v>#VALUE!</v>
      </c>
      <c r="BZ15" t="e">
        <f>'All regions'!I326+"$F;@!Ok"</f>
        <v>#VALUE!</v>
      </c>
      <c r="CA15" t="e">
        <f>'All regions'!A327+"$F;@!Ol"</f>
        <v>#VALUE!</v>
      </c>
      <c r="CB15" t="e">
        <f>'All regions'!B327+"$F;@!Om"</f>
        <v>#VALUE!</v>
      </c>
      <c r="CC15" t="e">
        <f>'All regions'!C327+"$F;@!On"</f>
        <v>#VALUE!</v>
      </c>
      <c r="CD15" t="e">
        <f>'All regions'!D327+"$F;@!Oo"</f>
        <v>#VALUE!</v>
      </c>
      <c r="CE15" t="e">
        <f>'All regions'!E327+"$F;@!Op"</f>
        <v>#VALUE!</v>
      </c>
      <c r="CF15" t="e">
        <f>'All regions'!F327+"$F;@!Oq"</f>
        <v>#VALUE!</v>
      </c>
      <c r="CG15" t="e">
        <f>'All regions'!G327+"$F;@!Or"</f>
        <v>#VALUE!</v>
      </c>
      <c r="CH15" t="e">
        <f>'All regions'!H327+"$F;@!Os"</f>
        <v>#VALUE!</v>
      </c>
      <c r="CI15" t="e">
        <f>'All regions'!I327+"$F;@!Ot"</f>
        <v>#VALUE!</v>
      </c>
      <c r="CJ15" t="e">
        <f>'All regions'!A328+"$F;@!Ou"</f>
        <v>#VALUE!</v>
      </c>
      <c r="CK15" t="e">
        <f>'All regions'!B328+"$F;@!Ov"</f>
        <v>#VALUE!</v>
      </c>
      <c r="CL15" t="e">
        <f>'All regions'!C328+"$F;@!Ow"</f>
        <v>#VALUE!</v>
      </c>
      <c r="CM15" t="e">
        <f>'All regions'!D328+"$F;@!Ox"</f>
        <v>#VALUE!</v>
      </c>
      <c r="CN15" t="e">
        <f>'All regions'!E328+"$F;@!Oy"</f>
        <v>#VALUE!</v>
      </c>
      <c r="CO15" t="e">
        <f>'All regions'!F328+"$F;@!Oz"</f>
        <v>#VALUE!</v>
      </c>
      <c r="CP15" t="e">
        <f>'All regions'!G328+"$F;@!O{"</f>
        <v>#VALUE!</v>
      </c>
      <c r="CQ15" t="e">
        <f>'All regions'!H328+"$F;@!O|"</f>
        <v>#VALUE!</v>
      </c>
      <c r="CR15" t="e">
        <f>'All regions'!I328+"$F;@!O}"</f>
        <v>#VALUE!</v>
      </c>
      <c r="CS15" t="e">
        <f>'All regions'!A329+"$F;@!O~"</f>
        <v>#VALUE!</v>
      </c>
      <c r="CT15" t="e">
        <f>'All regions'!B329+"$F;@!P#"</f>
        <v>#VALUE!</v>
      </c>
      <c r="CU15" t="e">
        <f>'All regions'!C329+"$F;@!P$"</f>
        <v>#VALUE!</v>
      </c>
      <c r="CV15" t="e">
        <f>'All regions'!D329+"$F;@!P%"</f>
        <v>#VALUE!</v>
      </c>
      <c r="CW15" t="e">
        <f>'All regions'!E329+"$F;@!P&amp;"</f>
        <v>#VALUE!</v>
      </c>
      <c r="CX15" t="e">
        <f>'All regions'!F329+"$F;@!P'"</f>
        <v>#VALUE!</v>
      </c>
      <c r="CY15" t="e">
        <f>'All regions'!G329+"$F;@!P("</f>
        <v>#VALUE!</v>
      </c>
      <c r="CZ15" t="e">
        <f>'All regions'!H329+"$F;@!P)"</f>
        <v>#VALUE!</v>
      </c>
      <c r="DA15" t="e">
        <f>'All regions'!I329+"$F;@!P."</f>
        <v>#VALUE!</v>
      </c>
      <c r="DB15" t="e">
        <f>'All regions'!A330+"$F;@!P/"</f>
        <v>#VALUE!</v>
      </c>
      <c r="DC15" t="e">
        <f>'All regions'!B330+"$F;@!P0"</f>
        <v>#VALUE!</v>
      </c>
      <c r="DD15" t="e">
        <f>'All regions'!C330+"$F;@!P1"</f>
        <v>#VALUE!</v>
      </c>
      <c r="DE15" t="e">
        <f>'All regions'!D330+"$F;@!P2"</f>
        <v>#VALUE!</v>
      </c>
      <c r="DF15" t="e">
        <f>'All regions'!E330+"$F;@!P3"</f>
        <v>#VALUE!</v>
      </c>
      <c r="DG15" t="e">
        <f>'All regions'!F330+"$F;@!P4"</f>
        <v>#VALUE!</v>
      </c>
      <c r="DH15" t="e">
        <f>'All regions'!G330+"$F;@!P5"</f>
        <v>#VALUE!</v>
      </c>
      <c r="DI15" t="e">
        <f>'All regions'!H330+"$F;@!P6"</f>
        <v>#VALUE!</v>
      </c>
      <c r="DJ15" t="e">
        <f>'All regions'!I330+"$F;@!P7"</f>
        <v>#VALUE!</v>
      </c>
      <c r="DK15" t="e">
        <f>'All regions'!A331+"$F;@!P8"</f>
        <v>#VALUE!</v>
      </c>
      <c r="DL15" t="e">
        <f>'All regions'!B331+"$F;@!P9"</f>
        <v>#VALUE!</v>
      </c>
      <c r="DM15" t="e">
        <f>'All regions'!C331+"$F;@!P:"</f>
        <v>#VALUE!</v>
      </c>
      <c r="DN15" t="e">
        <f>'All regions'!D331+"$F;@!P;"</f>
        <v>#VALUE!</v>
      </c>
      <c r="DO15" t="e">
        <f>'All regions'!E331+"$F;@!P&lt;"</f>
        <v>#VALUE!</v>
      </c>
      <c r="DP15" t="e">
        <f>'All regions'!F331+"$F;@!P="</f>
        <v>#VALUE!</v>
      </c>
      <c r="DQ15" t="e">
        <f>'All regions'!G331+"$F;@!P&gt;"</f>
        <v>#VALUE!</v>
      </c>
      <c r="DR15" t="e">
        <f>'All regions'!H331+"$F;@!P?"</f>
        <v>#VALUE!</v>
      </c>
      <c r="DS15" t="e">
        <f>'All regions'!I331+"$F;@!P@"</f>
        <v>#VALUE!</v>
      </c>
      <c r="DT15" t="e">
        <f>'All regions'!A332+"$F;@!PA"</f>
        <v>#VALUE!</v>
      </c>
      <c r="DU15" t="e">
        <f>'All regions'!B332+"$F;@!PB"</f>
        <v>#VALUE!</v>
      </c>
      <c r="DV15" t="e">
        <f>'All regions'!C332+"$F;@!PC"</f>
        <v>#VALUE!</v>
      </c>
      <c r="DW15" t="e">
        <f>'All regions'!D332+"$F;@!PD"</f>
        <v>#VALUE!</v>
      </c>
      <c r="DX15" t="e">
        <f>'All regions'!E332+"$F;@!PE"</f>
        <v>#VALUE!</v>
      </c>
      <c r="DY15" t="e">
        <f>'All regions'!F332+"$F;@!PF"</f>
        <v>#VALUE!</v>
      </c>
      <c r="DZ15" t="e">
        <f>'All regions'!G332+"$F;@!PG"</f>
        <v>#VALUE!</v>
      </c>
      <c r="EA15" t="e">
        <f>'All regions'!H332+"$F;@!PH"</f>
        <v>#VALUE!</v>
      </c>
      <c r="EB15" t="e">
        <f>'All regions'!I332+"$F;@!PI"</f>
        <v>#VALUE!</v>
      </c>
      <c r="EC15" t="e">
        <f>'All regions'!A333+"$F;@!PJ"</f>
        <v>#VALUE!</v>
      </c>
      <c r="ED15" t="e">
        <f>'All regions'!B333+"$F;@!PK"</f>
        <v>#VALUE!</v>
      </c>
      <c r="EE15" t="e">
        <f>'All regions'!C333+"$F;@!PL"</f>
        <v>#VALUE!</v>
      </c>
      <c r="EF15" t="e">
        <f>'All regions'!D333+"$F;@!PM"</f>
        <v>#VALUE!</v>
      </c>
      <c r="EG15" t="e">
        <f>'All regions'!E333+"$F;@!PN"</f>
        <v>#VALUE!</v>
      </c>
      <c r="EH15" t="e">
        <f>'All regions'!F333+"$F;@!PO"</f>
        <v>#VALUE!</v>
      </c>
      <c r="EI15" t="e">
        <f>'All regions'!G333+"$F;@!PP"</f>
        <v>#VALUE!</v>
      </c>
      <c r="EJ15" t="e">
        <f>'All regions'!H333+"$F;@!PQ"</f>
        <v>#VALUE!</v>
      </c>
      <c r="EK15" t="e">
        <f>'All regions'!I333+"$F;@!PR"</f>
        <v>#VALUE!</v>
      </c>
      <c r="EL15" t="e">
        <f>'All regions'!A334+"$F;@!PS"</f>
        <v>#VALUE!</v>
      </c>
      <c r="EM15" t="e">
        <f>'All regions'!B334+"$F;@!PT"</f>
        <v>#VALUE!</v>
      </c>
      <c r="EN15" t="e">
        <f>'All regions'!C334+"$F;@!PU"</f>
        <v>#VALUE!</v>
      </c>
      <c r="EO15" t="e">
        <f>'All regions'!D334+"$F;@!PV"</f>
        <v>#VALUE!</v>
      </c>
      <c r="EP15" t="e">
        <f>'All regions'!E334+"$F;@!PW"</f>
        <v>#VALUE!</v>
      </c>
      <c r="EQ15" t="e">
        <f>'All regions'!F334+"$F;@!PX"</f>
        <v>#VALUE!</v>
      </c>
      <c r="ER15" t="e">
        <f>'All regions'!G334+"$F;@!PY"</f>
        <v>#VALUE!</v>
      </c>
      <c r="ES15" t="e">
        <f>'All regions'!H334+"$F;@!PZ"</f>
        <v>#VALUE!</v>
      </c>
      <c r="ET15" t="e">
        <f>'All regions'!I334+"$F;@!P["</f>
        <v>#VALUE!</v>
      </c>
      <c r="EU15" t="e">
        <f>'All regions'!A335+"$F;@!P\"</f>
        <v>#VALUE!</v>
      </c>
      <c r="EV15" t="e">
        <f>'All regions'!B335+"$F;@!P]"</f>
        <v>#VALUE!</v>
      </c>
      <c r="EW15" t="e">
        <f>'All regions'!C335+"$F;@!P^"</f>
        <v>#VALUE!</v>
      </c>
      <c r="EX15" t="e">
        <f>'All regions'!D335+"$F;@!P_"</f>
        <v>#VALUE!</v>
      </c>
      <c r="EY15" t="e">
        <f>'All regions'!E335+"$F;@!P`"</f>
        <v>#VALUE!</v>
      </c>
      <c r="EZ15" t="e">
        <f>'All regions'!F335+"$F;@!Pa"</f>
        <v>#VALUE!</v>
      </c>
      <c r="FA15" t="e">
        <f>'All regions'!G335+"$F;@!Pb"</f>
        <v>#VALUE!</v>
      </c>
      <c r="FB15" t="e">
        <f>'All regions'!H335+"$F;@!Pc"</f>
        <v>#VALUE!</v>
      </c>
      <c r="FC15" t="e">
        <f>'All regions'!I335+"$F;@!Pd"</f>
        <v>#VALUE!</v>
      </c>
      <c r="FD15" t="e">
        <f>'All regions'!A336+"$F;@!Pe"</f>
        <v>#VALUE!</v>
      </c>
      <c r="FE15" t="e">
        <f>'All regions'!B336+"$F;@!Pf"</f>
        <v>#VALUE!</v>
      </c>
      <c r="FF15" t="e">
        <f>'All regions'!C336+"$F;@!Pg"</f>
        <v>#VALUE!</v>
      </c>
      <c r="FG15" t="e">
        <f>'All regions'!D336+"$F;@!Ph"</f>
        <v>#VALUE!</v>
      </c>
      <c r="FH15" t="e">
        <f>'All regions'!E336+"$F;@!Pi"</f>
        <v>#VALUE!</v>
      </c>
      <c r="FI15" t="e">
        <f>'All regions'!F336+"$F;@!Pj"</f>
        <v>#VALUE!</v>
      </c>
      <c r="FJ15" t="e">
        <f>'All regions'!G336+"$F;@!Pk"</f>
        <v>#VALUE!</v>
      </c>
      <c r="FK15" t="e">
        <f>'All regions'!H336+"$F;@!Pl"</f>
        <v>#VALUE!</v>
      </c>
      <c r="FL15" t="e">
        <f>'All regions'!I336+"$F;@!Pm"</f>
        <v>#VALUE!</v>
      </c>
      <c r="FM15" t="e">
        <f>'All regions'!A337+"$F;@!Pn"</f>
        <v>#VALUE!</v>
      </c>
      <c r="FN15" t="e">
        <f>'All regions'!B337+"$F;@!Po"</f>
        <v>#VALUE!</v>
      </c>
      <c r="FO15" t="e">
        <f>'All regions'!C337+"$F;@!Pp"</f>
        <v>#VALUE!</v>
      </c>
      <c r="FP15" t="e">
        <f>'All regions'!D337+"$F;@!Pq"</f>
        <v>#VALUE!</v>
      </c>
      <c r="FQ15" t="e">
        <f>'All regions'!E337+"$F;@!Pr"</f>
        <v>#VALUE!</v>
      </c>
      <c r="FR15" t="e">
        <f>'All regions'!F337+"$F;@!Ps"</f>
        <v>#VALUE!</v>
      </c>
      <c r="FS15" t="e">
        <f>'All regions'!G337+"$F;@!Pt"</f>
        <v>#VALUE!</v>
      </c>
      <c r="FT15" t="e">
        <f>'All regions'!H337+"$F;@!Pu"</f>
        <v>#VALUE!</v>
      </c>
      <c r="FU15" t="e">
        <f>'All regions'!I337+"$F;@!Pv"</f>
        <v>#VALUE!</v>
      </c>
      <c r="FV15" t="e">
        <f>'All regions'!A338+"$F;@!Pw"</f>
        <v>#VALUE!</v>
      </c>
      <c r="FW15" t="e">
        <f>'All regions'!B338+"$F;@!Px"</f>
        <v>#VALUE!</v>
      </c>
      <c r="FX15" t="e">
        <f>'All regions'!C338+"$F;@!Py"</f>
        <v>#VALUE!</v>
      </c>
      <c r="FY15" t="e">
        <f>'All regions'!D338+"$F;@!Pz"</f>
        <v>#VALUE!</v>
      </c>
      <c r="FZ15" t="e">
        <f>'All regions'!E338+"$F;@!P{"</f>
        <v>#VALUE!</v>
      </c>
      <c r="GA15" t="e">
        <f>'All regions'!F338+"$F;@!P|"</f>
        <v>#VALUE!</v>
      </c>
      <c r="GB15" t="e">
        <f>'All regions'!G338+"$F;@!P}"</f>
        <v>#VALUE!</v>
      </c>
      <c r="GC15" t="e">
        <f>'All regions'!H338+"$F;@!P~"</f>
        <v>#VALUE!</v>
      </c>
      <c r="GD15" t="e">
        <f>'All regions'!I338+"$F;@!Q#"</f>
        <v>#VALUE!</v>
      </c>
      <c r="GE15" t="e">
        <f>'All regions'!A339+"$F;@!Q$"</f>
        <v>#VALUE!</v>
      </c>
      <c r="GF15" t="e">
        <f>'All regions'!B339+"$F;@!Q%"</f>
        <v>#VALUE!</v>
      </c>
      <c r="GG15" t="e">
        <f>'All regions'!C339+"$F;@!Q&amp;"</f>
        <v>#VALUE!</v>
      </c>
      <c r="GH15" t="e">
        <f>'All regions'!D339+"$F;@!Q'"</f>
        <v>#VALUE!</v>
      </c>
      <c r="GI15" t="e">
        <f>'All regions'!E339+"$F;@!Q("</f>
        <v>#VALUE!</v>
      </c>
      <c r="GJ15" t="e">
        <f>'All regions'!F339+"$F;@!Q)"</f>
        <v>#VALUE!</v>
      </c>
      <c r="GK15" t="e">
        <f>'All regions'!G339+"$F;@!Q."</f>
        <v>#VALUE!</v>
      </c>
      <c r="GL15" t="e">
        <f>'All regions'!H339+"$F;@!Q/"</f>
        <v>#VALUE!</v>
      </c>
      <c r="GM15" t="e">
        <f>'All regions'!I339+"$F;@!Q0"</f>
        <v>#VALUE!</v>
      </c>
      <c r="GN15" t="e">
        <f>'All regions'!A340+"$F;@!Q1"</f>
        <v>#VALUE!</v>
      </c>
      <c r="GO15" t="e">
        <f>'All regions'!B340+"$F;@!Q2"</f>
        <v>#VALUE!</v>
      </c>
      <c r="GP15" t="e">
        <f>'All regions'!C340+"$F;@!Q3"</f>
        <v>#VALUE!</v>
      </c>
      <c r="GQ15" t="e">
        <f>'All regions'!D340+"$F;@!Q4"</f>
        <v>#VALUE!</v>
      </c>
      <c r="GR15" t="e">
        <f>'All regions'!E340+"$F;@!Q5"</f>
        <v>#VALUE!</v>
      </c>
      <c r="GS15" t="e">
        <f>'All regions'!F340+"$F;@!Q6"</f>
        <v>#VALUE!</v>
      </c>
      <c r="GT15" t="e">
        <f>'All regions'!G340+"$F;@!Q7"</f>
        <v>#VALUE!</v>
      </c>
      <c r="GU15" t="e">
        <f>'All regions'!H340+"$F;@!Q8"</f>
        <v>#VALUE!</v>
      </c>
      <c r="GV15" t="e">
        <f>'All regions'!I340+"$F;@!Q9"</f>
        <v>#VALUE!</v>
      </c>
      <c r="GW15" t="e">
        <f>'All regions'!A341+"$F;@!Q:"</f>
        <v>#VALUE!</v>
      </c>
      <c r="GX15" t="e">
        <f>'All regions'!B341+"$F;@!Q;"</f>
        <v>#VALUE!</v>
      </c>
      <c r="GY15" t="e">
        <f>'All regions'!C341+"$F;@!Q&lt;"</f>
        <v>#VALUE!</v>
      </c>
      <c r="GZ15" t="e">
        <f>'All regions'!D341+"$F;@!Q="</f>
        <v>#VALUE!</v>
      </c>
      <c r="HA15" t="e">
        <f>'All regions'!E341+"$F;@!Q&gt;"</f>
        <v>#VALUE!</v>
      </c>
      <c r="HB15" t="e">
        <f>'All regions'!F341+"$F;@!Q?"</f>
        <v>#VALUE!</v>
      </c>
      <c r="HC15" t="e">
        <f>'All regions'!G341+"$F;@!Q@"</f>
        <v>#VALUE!</v>
      </c>
      <c r="HD15" t="e">
        <f>'All regions'!H341+"$F;@!QA"</f>
        <v>#VALUE!</v>
      </c>
      <c r="HE15" t="e">
        <f>'All regions'!I341+"$F;@!QB"</f>
        <v>#VALUE!</v>
      </c>
      <c r="HF15" t="e">
        <f>'All regions'!A342+"$F;@!QC"</f>
        <v>#VALUE!</v>
      </c>
      <c r="HG15" t="e">
        <f>'All regions'!B342+"$F;@!QD"</f>
        <v>#VALUE!</v>
      </c>
      <c r="HH15" t="e">
        <f>'All regions'!C342+"$F;@!QE"</f>
        <v>#VALUE!</v>
      </c>
      <c r="HI15" t="e">
        <f>'All regions'!D342+"$F;@!QF"</f>
        <v>#VALUE!</v>
      </c>
      <c r="HJ15" t="e">
        <f>'All regions'!E342+"$F;@!QG"</f>
        <v>#VALUE!</v>
      </c>
      <c r="HK15" t="e">
        <f>'All regions'!F342+"$F;@!QH"</f>
        <v>#VALUE!</v>
      </c>
      <c r="HL15" t="e">
        <f>'All regions'!G342+"$F;@!QI"</f>
        <v>#VALUE!</v>
      </c>
      <c r="HM15" t="e">
        <f>'All regions'!H342+"$F;@!QJ"</f>
        <v>#VALUE!</v>
      </c>
      <c r="HN15" t="e">
        <f>'All regions'!I342+"$F;@!QK"</f>
        <v>#VALUE!</v>
      </c>
      <c r="HO15" t="e">
        <f>'All regions'!A343+"$F;@!QL"</f>
        <v>#VALUE!</v>
      </c>
      <c r="HP15" t="e">
        <f>'All regions'!B343+"$F;@!QM"</f>
        <v>#VALUE!</v>
      </c>
      <c r="HQ15" t="e">
        <f>'All regions'!C343+"$F;@!QN"</f>
        <v>#VALUE!</v>
      </c>
      <c r="HR15" t="e">
        <f>'All regions'!D343+"$F;@!QO"</f>
        <v>#VALUE!</v>
      </c>
      <c r="HS15" t="e">
        <f>'All regions'!E343+"$F;@!QP"</f>
        <v>#VALUE!</v>
      </c>
      <c r="HT15" t="e">
        <f>'All regions'!F343+"$F;@!QQ"</f>
        <v>#VALUE!</v>
      </c>
      <c r="HU15" t="e">
        <f>'All regions'!G343+"$F;@!QR"</f>
        <v>#VALUE!</v>
      </c>
      <c r="HV15" t="e">
        <f>'All regions'!H343+"$F;@!QS"</f>
        <v>#VALUE!</v>
      </c>
      <c r="HW15" t="e">
        <f>'All regions'!I343+"$F;@!QT"</f>
        <v>#VALUE!</v>
      </c>
      <c r="HX15" t="e">
        <f>'All regions'!A344+"$F;@!QU"</f>
        <v>#VALUE!</v>
      </c>
      <c r="HY15" t="e">
        <f>'All regions'!B344+"$F;@!QV"</f>
        <v>#VALUE!</v>
      </c>
      <c r="HZ15" t="e">
        <f>'All regions'!C344+"$F;@!QW"</f>
        <v>#VALUE!</v>
      </c>
      <c r="IA15" t="e">
        <f>'All regions'!D344+"$F;@!QX"</f>
        <v>#VALUE!</v>
      </c>
      <c r="IB15" t="e">
        <f>'All regions'!E344+"$F;@!QY"</f>
        <v>#VALUE!</v>
      </c>
      <c r="IC15" t="e">
        <f>'All regions'!F344+"$F;@!QZ"</f>
        <v>#VALUE!</v>
      </c>
      <c r="ID15" t="e">
        <f>'All regions'!G344+"$F;@!Q["</f>
        <v>#VALUE!</v>
      </c>
      <c r="IE15" t="e">
        <f>'All regions'!H344+"$F;@!Q\"</f>
        <v>#VALUE!</v>
      </c>
      <c r="IF15" t="e">
        <f>'All regions'!I344+"$F;@!Q]"</f>
        <v>#VALUE!</v>
      </c>
      <c r="IG15" t="e">
        <f>'All regions'!A345+"$F;@!Q^"</f>
        <v>#VALUE!</v>
      </c>
      <c r="IH15" t="e">
        <f>'All regions'!B345+"$F;@!Q_"</f>
        <v>#VALUE!</v>
      </c>
      <c r="II15" t="e">
        <f>'All regions'!C345+"$F;@!Q`"</f>
        <v>#VALUE!</v>
      </c>
      <c r="IJ15" t="e">
        <f>'All regions'!D345+"$F;@!Qa"</f>
        <v>#VALUE!</v>
      </c>
      <c r="IK15" t="e">
        <f>'All regions'!E345+"$F;@!Qb"</f>
        <v>#VALUE!</v>
      </c>
      <c r="IL15" t="e">
        <f>'All regions'!F345+"$F;@!Qc"</f>
        <v>#VALUE!</v>
      </c>
      <c r="IM15" t="e">
        <f>'All regions'!G345+"$F;@!Qd"</f>
        <v>#VALUE!</v>
      </c>
      <c r="IN15" t="e">
        <f>'All regions'!H345+"$F;@!Qe"</f>
        <v>#VALUE!</v>
      </c>
      <c r="IO15" t="e">
        <f>'All regions'!I345+"$F;@!Qf"</f>
        <v>#VALUE!</v>
      </c>
      <c r="IP15" t="e">
        <f>'All regions'!A346+"$F;@!Qg"</f>
        <v>#VALUE!</v>
      </c>
      <c r="IQ15" t="e">
        <f>'All regions'!B346+"$F;@!Qh"</f>
        <v>#VALUE!</v>
      </c>
      <c r="IR15" t="e">
        <f>'All regions'!C346+"$F;@!Qi"</f>
        <v>#VALUE!</v>
      </c>
      <c r="IS15" t="e">
        <f>'All regions'!D346+"$F;@!Qj"</f>
        <v>#VALUE!</v>
      </c>
      <c r="IT15" t="e">
        <f>'All regions'!E346+"$F;@!Qk"</f>
        <v>#VALUE!</v>
      </c>
      <c r="IU15" t="e">
        <f>'All regions'!F346+"$F;@!Ql"</f>
        <v>#VALUE!</v>
      </c>
      <c r="IV15" t="e">
        <f>'All regions'!G346+"$F;@!Qm"</f>
        <v>#VALUE!</v>
      </c>
    </row>
    <row r="16" spans="1:256" x14ac:dyDescent="0.35">
      <c r="F16" t="e">
        <f>'All regions'!H346+"$F;@!Qn"</f>
        <v>#VALUE!</v>
      </c>
      <c r="G16" t="e">
        <f>'All regions'!I346+"$F;@!Qo"</f>
        <v>#VALUE!</v>
      </c>
      <c r="H16" t="e">
        <f>'All regions'!A347+"$F;@!Qp"</f>
        <v>#VALUE!</v>
      </c>
      <c r="I16" t="e">
        <f>'All regions'!B347+"$F;@!Qq"</f>
        <v>#VALUE!</v>
      </c>
      <c r="J16" t="e">
        <f>'All regions'!C347+"$F;@!Qr"</f>
        <v>#VALUE!</v>
      </c>
      <c r="K16" t="e">
        <f>'All regions'!D347+"$F;@!Qs"</f>
        <v>#VALUE!</v>
      </c>
      <c r="L16" t="e">
        <f>'All regions'!E347+"$F;@!Qt"</f>
        <v>#VALUE!</v>
      </c>
      <c r="M16" t="e">
        <f>'All regions'!F347+"$F;@!Qu"</f>
        <v>#VALUE!</v>
      </c>
      <c r="N16" t="e">
        <f>'All regions'!G347+"$F;@!Qv"</f>
        <v>#VALUE!</v>
      </c>
      <c r="O16" t="e">
        <f>'All regions'!H347+"$F;@!Qw"</f>
        <v>#VALUE!</v>
      </c>
      <c r="P16" t="e">
        <f>'All regions'!I347+"$F;@!Qx"</f>
        <v>#VALUE!</v>
      </c>
      <c r="Q16" t="e">
        <f>'All regions'!A348+"$F;@!Qy"</f>
        <v>#VALUE!</v>
      </c>
      <c r="R16" t="e">
        <f>'All regions'!B348+"$F;@!Qz"</f>
        <v>#VALUE!</v>
      </c>
      <c r="S16" t="e">
        <f>'All regions'!C348+"$F;@!Q{"</f>
        <v>#VALUE!</v>
      </c>
      <c r="T16" t="e">
        <f>'All regions'!D348+"$F;@!Q|"</f>
        <v>#VALUE!</v>
      </c>
      <c r="U16" t="e">
        <f>'All regions'!E348+"$F;@!Q}"</f>
        <v>#VALUE!</v>
      </c>
      <c r="V16" t="e">
        <f>'All regions'!F348+"$F;@!Q~"</f>
        <v>#VALUE!</v>
      </c>
      <c r="W16" t="e">
        <f>'All regions'!G348+"$F;@!R#"</f>
        <v>#VALUE!</v>
      </c>
      <c r="X16" t="e">
        <f>'All regions'!H348+"$F;@!R$"</f>
        <v>#VALUE!</v>
      </c>
      <c r="Y16" t="e">
        <f>'All regions'!I348+"$F;@!R%"</f>
        <v>#VALUE!</v>
      </c>
      <c r="Z16" t="e">
        <f>'All regions'!A349+"$F;@!R&amp;"</f>
        <v>#VALUE!</v>
      </c>
      <c r="AA16" t="e">
        <f>'All regions'!B349+"$F;@!R'"</f>
        <v>#VALUE!</v>
      </c>
      <c r="AB16" t="e">
        <f>'All regions'!C349+"$F;@!R("</f>
        <v>#VALUE!</v>
      </c>
      <c r="AC16" t="e">
        <f>'All regions'!D349+"$F;@!R)"</f>
        <v>#VALUE!</v>
      </c>
      <c r="AD16" t="e">
        <f>'All regions'!E349+"$F;@!R."</f>
        <v>#VALUE!</v>
      </c>
      <c r="AE16" t="e">
        <f>'All regions'!F349+"$F;@!R/"</f>
        <v>#VALUE!</v>
      </c>
      <c r="AF16" t="e">
        <f>'All regions'!G349+"$F;@!R0"</f>
        <v>#VALUE!</v>
      </c>
      <c r="AG16" t="e">
        <f>'All regions'!H349+"$F;@!R1"</f>
        <v>#VALUE!</v>
      </c>
      <c r="AH16" t="e">
        <f>'All regions'!I349+"$F;@!R2"</f>
        <v>#VALUE!</v>
      </c>
      <c r="AI16" t="e">
        <f>'All regions'!A350+"$F;@!R3"</f>
        <v>#VALUE!</v>
      </c>
      <c r="AJ16" t="e">
        <f>'All regions'!B350+"$F;@!R4"</f>
        <v>#VALUE!</v>
      </c>
      <c r="AK16" t="e">
        <f>'All regions'!C350+"$F;@!R5"</f>
        <v>#VALUE!</v>
      </c>
      <c r="AL16" t="e">
        <f>'All regions'!D350+"$F;@!R6"</f>
        <v>#VALUE!</v>
      </c>
      <c r="AM16" t="e">
        <f>'All regions'!E350+"$F;@!R7"</f>
        <v>#VALUE!</v>
      </c>
      <c r="AN16" t="e">
        <f>'All regions'!F350+"$F;@!R8"</f>
        <v>#VALUE!</v>
      </c>
      <c r="AO16" t="e">
        <f>'All regions'!G350+"$F;@!R9"</f>
        <v>#VALUE!</v>
      </c>
      <c r="AP16" t="e">
        <f>'All regions'!H350+"$F;@!R:"</f>
        <v>#VALUE!</v>
      </c>
      <c r="AQ16" t="e">
        <f>'All regions'!I350+"$F;@!R;"</f>
        <v>#VALUE!</v>
      </c>
      <c r="AR16" t="e">
        <f>'All regions'!A351+"$F;@!R&lt;"</f>
        <v>#VALUE!</v>
      </c>
      <c r="AS16" t="e">
        <f>'All regions'!B351+"$F;@!R="</f>
        <v>#VALUE!</v>
      </c>
      <c r="AT16" t="e">
        <f>'All regions'!C351+"$F;@!R&gt;"</f>
        <v>#VALUE!</v>
      </c>
      <c r="AU16" t="e">
        <f>'All regions'!D351+"$F;@!R?"</f>
        <v>#VALUE!</v>
      </c>
      <c r="AV16" t="e">
        <f>'All regions'!E351+"$F;@!R@"</f>
        <v>#VALUE!</v>
      </c>
      <c r="AW16" t="e">
        <f>'All regions'!F351+"$F;@!RA"</f>
        <v>#VALUE!</v>
      </c>
      <c r="AX16" t="e">
        <f>'All regions'!G351+"$F;@!RB"</f>
        <v>#VALUE!</v>
      </c>
      <c r="AY16" t="e">
        <f>'All regions'!H351+"$F;@!RC"</f>
        <v>#VALUE!</v>
      </c>
      <c r="AZ16" t="e">
        <f>'All regions'!I351+"$F;@!RD"</f>
        <v>#VALUE!</v>
      </c>
      <c r="BA16" t="e">
        <f>'All regions'!A352+"$F;@!RE"</f>
        <v>#VALUE!</v>
      </c>
      <c r="BB16" t="e">
        <f>'All regions'!B352+"$F;@!RF"</f>
        <v>#VALUE!</v>
      </c>
      <c r="BC16" t="e">
        <f>'All regions'!C352+"$F;@!RG"</f>
        <v>#VALUE!</v>
      </c>
      <c r="BD16" t="e">
        <f>'All regions'!D352+"$F;@!RH"</f>
        <v>#VALUE!</v>
      </c>
      <c r="BE16" t="e">
        <f>'All regions'!E352+"$F;@!RI"</f>
        <v>#VALUE!</v>
      </c>
      <c r="BF16" t="e">
        <f>'All regions'!F352+"$F;@!RJ"</f>
        <v>#VALUE!</v>
      </c>
      <c r="BG16" t="e">
        <f>'All regions'!G352+"$F;@!RK"</f>
        <v>#VALUE!</v>
      </c>
      <c r="BH16" t="e">
        <f>'All regions'!H352+"$F;@!RL"</f>
        <v>#VALUE!</v>
      </c>
      <c r="BI16" t="e">
        <f>'All regions'!I352+"$F;@!RM"</f>
        <v>#VALUE!</v>
      </c>
      <c r="BJ16" t="e">
        <f>'All regions'!A353+"$F;@!RN"</f>
        <v>#VALUE!</v>
      </c>
      <c r="BK16" t="e">
        <f>'All regions'!B353+"$F;@!RO"</f>
        <v>#VALUE!</v>
      </c>
      <c r="BL16" t="e">
        <f>'All regions'!C353+"$F;@!RP"</f>
        <v>#VALUE!</v>
      </c>
      <c r="BM16" t="e">
        <f>'All regions'!D353+"$F;@!RQ"</f>
        <v>#VALUE!</v>
      </c>
      <c r="BN16" t="e">
        <f>'All regions'!E353+"$F;@!RR"</f>
        <v>#VALUE!</v>
      </c>
      <c r="BO16" t="e">
        <f>'All regions'!F353+"$F;@!RS"</f>
        <v>#VALUE!</v>
      </c>
      <c r="BP16" t="e">
        <f>'All regions'!G353+"$F;@!RT"</f>
        <v>#VALUE!</v>
      </c>
      <c r="BQ16" t="e">
        <f>'All regions'!H353+"$F;@!RU"</f>
        <v>#VALUE!</v>
      </c>
      <c r="BR16" t="e">
        <f>'All regions'!I353+"$F;@!RV"</f>
        <v>#VALUE!</v>
      </c>
      <c r="BS16" t="e">
        <f>'All regions'!A354+"$F;@!RW"</f>
        <v>#VALUE!</v>
      </c>
      <c r="BT16" t="e">
        <f>'All regions'!B354+"$F;@!RX"</f>
        <v>#VALUE!</v>
      </c>
      <c r="BU16" t="e">
        <f>'All regions'!C354+"$F;@!RY"</f>
        <v>#VALUE!</v>
      </c>
      <c r="BV16" t="e">
        <f>'All regions'!D354+"$F;@!RZ"</f>
        <v>#VALUE!</v>
      </c>
      <c r="BW16" t="e">
        <f>'All regions'!E354+"$F;@!R["</f>
        <v>#VALUE!</v>
      </c>
      <c r="BX16" t="e">
        <f>'All regions'!F354+"$F;@!R\"</f>
        <v>#VALUE!</v>
      </c>
      <c r="BY16" t="e">
        <f>'All regions'!G354+"$F;@!R]"</f>
        <v>#VALUE!</v>
      </c>
      <c r="BZ16" t="e">
        <f>'All regions'!H354+"$F;@!R^"</f>
        <v>#VALUE!</v>
      </c>
      <c r="CA16" t="e">
        <f>'All regions'!I354+"$F;@!R_"</f>
        <v>#VALUE!</v>
      </c>
      <c r="CB16" t="e">
        <f>'All regions'!A355+"$F;@!R`"</f>
        <v>#VALUE!</v>
      </c>
      <c r="CC16" t="e">
        <f>'All regions'!B355+"$F;@!Ra"</f>
        <v>#VALUE!</v>
      </c>
      <c r="CD16" t="e">
        <f>'All regions'!C355+"$F;@!Rb"</f>
        <v>#VALUE!</v>
      </c>
      <c r="CE16" t="e">
        <f>'All regions'!D355+"$F;@!Rc"</f>
        <v>#VALUE!</v>
      </c>
      <c r="CF16" t="e">
        <f>'All regions'!E355+"$F;@!Rd"</f>
        <v>#VALUE!</v>
      </c>
      <c r="CG16" t="e">
        <f>'All regions'!F355+"$F;@!Re"</f>
        <v>#VALUE!</v>
      </c>
      <c r="CH16" t="e">
        <f>'All regions'!G355+"$F;@!Rf"</f>
        <v>#VALUE!</v>
      </c>
      <c r="CI16" t="e">
        <f>'All regions'!H355+"$F;@!Rg"</f>
        <v>#VALUE!</v>
      </c>
      <c r="CJ16" t="e">
        <f>'All regions'!I355+"$F;@!Rh"</f>
        <v>#VALUE!</v>
      </c>
      <c r="CK16" t="e">
        <f>'All regions'!A357+"$F;@!Ri"</f>
        <v>#VALUE!</v>
      </c>
      <c r="CL16" t="e">
        <f>'All regions'!B357+"$F;@!Rj"</f>
        <v>#VALUE!</v>
      </c>
      <c r="CM16" t="e">
        <f>'All regions'!C357+"$F;@!Rk"</f>
        <v>#VALUE!</v>
      </c>
      <c r="CN16" t="e">
        <f>'All regions'!D357+"$F;@!Rl"</f>
        <v>#VALUE!</v>
      </c>
      <c r="CO16" t="e">
        <f>'All regions'!E357+"$F;@!Rm"</f>
        <v>#VALUE!</v>
      </c>
      <c r="CP16" t="e">
        <f>'All regions'!F357+"$F;@!Rn"</f>
        <v>#VALUE!</v>
      </c>
      <c r="CQ16" t="e">
        <f>'All regions'!G357+"$F;@!Ro"</f>
        <v>#VALUE!</v>
      </c>
      <c r="CR16" t="e">
        <f>'All regions'!H357+"$F;@!Rp"</f>
        <v>#VALUE!</v>
      </c>
      <c r="CS16" t="e">
        <f>'All regions'!I357+"$F;@!Rq"</f>
        <v>#VALUE!</v>
      </c>
      <c r="CT16" t="e">
        <f>'All regions'!A358+"$F;@!Rr"</f>
        <v>#VALUE!</v>
      </c>
      <c r="CU16" t="e">
        <f>'All regions'!B358+"$F;@!Rs"</f>
        <v>#VALUE!</v>
      </c>
      <c r="CV16" t="e">
        <f>'All regions'!C358+"$F;@!Rt"</f>
        <v>#VALUE!</v>
      </c>
      <c r="CW16" t="e">
        <f>'All regions'!D358+"$F;@!Ru"</f>
        <v>#VALUE!</v>
      </c>
      <c r="CX16" t="e">
        <f>'All regions'!E358+"$F;@!Rv"</f>
        <v>#VALUE!</v>
      </c>
      <c r="CY16" t="e">
        <f>'All regions'!F358+"$F;@!Rw"</f>
        <v>#VALUE!</v>
      </c>
      <c r="CZ16" t="e">
        <f>'All regions'!G358+"$F;@!Rx"</f>
        <v>#VALUE!</v>
      </c>
      <c r="DA16" t="e">
        <f>'All regions'!H358+"$F;@!Ry"</f>
        <v>#VALUE!</v>
      </c>
      <c r="DB16" t="e">
        <f>'All regions'!I358+"$F;@!Rz"</f>
        <v>#VALUE!</v>
      </c>
      <c r="DC16" t="e">
        <f>'All regions'!A359+"$F;@!R{"</f>
        <v>#VALUE!</v>
      </c>
      <c r="DD16" t="e">
        <f>'All regions'!B359+"$F;@!R|"</f>
        <v>#VALUE!</v>
      </c>
      <c r="DE16" t="e">
        <f>'All regions'!C359+"$F;@!R}"</f>
        <v>#VALUE!</v>
      </c>
      <c r="DF16" t="e">
        <f>'All regions'!D359+"$F;@!R~"</f>
        <v>#VALUE!</v>
      </c>
      <c r="DG16" t="e">
        <f>'All regions'!E359+"$F;@!S#"</f>
        <v>#VALUE!</v>
      </c>
      <c r="DH16" t="e">
        <f>'All regions'!F359+"$F;@!S$"</f>
        <v>#VALUE!</v>
      </c>
      <c r="DI16" t="e">
        <f>'All regions'!G359+"$F;@!S%"</f>
        <v>#VALUE!</v>
      </c>
      <c r="DJ16" t="e">
        <f>'All regions'!H359+"$F;@!S&amp;"</f>
        <v>#VALUE!</v>
      </c>
      <c r="DK16" t="e">
        <f>'All regions'!I359+"$F;@!S'"</f>
        <v>#VALUE!</v>
      </c>
      <c r="DL16" t="e">
        <f>'All regions'!A360+"$F;@!S("</f>
        <v>#VALUE!</v>
      </c>
      <c r="DM16" t="e">
        <f>'All regions'!B360+"$F;@!S)"</f>
        <v>#VALUE!</v>
      </c>
      <c r="DN16" t="e">
        <f>'All regions'!C360+"$F;@!S."</f>
        <v>#VALUE!</v>
      </c>
      <c r="DO16" t="e">
        <f>'All regions'!D360+"$F;@!S/"</f>
        <v>#VALUE!</v>
      </c>
      <c r="DP16" t="e">
        <f>'All regions'!E360+"$F;@!S0"</f>
        <v>#VALUE!</v>
      </c>
      <c r="DQ16" t="e">
        <f>'All regions'!F360+"$F;@!S1"</f>
        <v>#VALUE!</v>
      </c>
      <c r="DR16" t="e">
        <f>'All regions'!G360+"$F;@!S2"</f>
        <v>#VALUE!</v>
      </c>
      <c r="DS16" t="e">
        <f>'All regions'!H360+"$F;@!S3"</f>
        <v>#VALUE!</v>
      </c>
      <c r="DT16" t="e">
        <f>'All regions'!I360+"$F;@!S4"</f>
        <v>#VALUE!</v>
      </c>
      <c r="DU16" t="e">
        <f>'All regions'!A361+"$F;@!S5"</f>
        <v>#VALUE!</v>
      </c>
      <c r="DV16" t="e">
        <f>'All regions'!B361+"$F;@!S6"</f>
        <v>#VALUE!</v>
      </c>
      <c r="DW16" t="e">
        <f>'All regions'!C361+"$F;@!S7"</f>
        <v>#VALUE!</v>
      </c>
      <c r="DX16" t="e">
        <f>'All regions'!D361+"$F;@!S8"</f>
        <v>#VALUE!</v>
      </c>
      <c r="DY16" t="e">
        <f>'All regions'!E361+"$F;@!S9"</f>
        <v>#VALUE!</v>
      </c>
      <c r="DZ16" t="e">
        <f>'All regions'!F361+"$F;@!S:"</f>
        <v>#VALUE!</v>
      </c>
      <c r="EA16" t="e">
        <f>'All regions'!G361+"$F;@!S;"</f>
        <v>#VALUE!</v>
      </c>
      <c r="EB16" t="e">
        <f>'All regions'!H361+"$F;@!S&lt;"</f>
        <v>#VALUE!</v>
      </c>
      <c r="EC16" t="e">
        <f>'All regions'!I361+"$F;@!S="</f>
        <v>#VALUE!</v>
      </c>
      <c r="ED16" t="e">
        <f>'All regions'!A362+"$F;@!S&gt;"</f>
        <v>#VALUE!</v>
      </c>
      <c r="EE16" t="e">
        <f>'All regions'!B362+"$F;@!S?"</f>
        <v>#VALUE!</v>
      </c>
      <c r="EF16" t="e">
        <f>'All regions'!C362+"$F;@!S@"</f>
        <v>#VALUE!</v>
      </c>
      <c r="EG16" t="e">
        <f>'All regions'!D362+"$F;@!SA"</f>
        <v>#VALUE!</v>
      </c>
      <c r="EH16" t="e">
        <f>'All regions'!E362+"$F;@!SB"</f>
        <v>#VALUE!</v>
      </c>
      <c r="EI16" t="e">
        <f>'All regions'!F362+"$F;@!SC"</f>
        <v>#VALUE!</v>
      </c>
      <c r="EJ16" t="e">
        <f>'All regions'!G362+"$F;@!SD"</f>
        <v>#VALUE!</v>
      </c>
      <c r="EK16" t="e">
        <f>'All regions'!H362+"$F;@!SE"</f>
        <v>#VALUE!</v>
      </c>
      <c r="EL16" t="e">
        <f>'All regions'!I362+"$F;@!SF"</f>
        <v>#VALUE!</v>
      </c>
      <c r="EM16" t="e">
        <f>'All regions'!A363+"$F;@!SG"</f>
        <v>#VALUE!</v>
      </c>
      <c r="EN16" t="e">
        <f>'All regions'!B363+"$F;@!SH"</f>
        <v>#VALUE!</v>
      </c>
      <c r="EO16" t="e">
        <f>'All regions'!C363+"$F;@!SI"</f>
        <v>#VALUE!</v>
      </c>
      <c r="EP16" t="e">
        <f>'All regions'!D363+"$F;@!SJ"</f>
        <v>#VALUE!</v>
      </c>
      <c r="EQ16" t="e">
        <f>'All regions'!E363+"$F;@!SK"</f>
        <v>#VALUE!</v>
      </c>
      <c r="ER16" t="e">
        <f>'All regions'!F363+"$F;@!SL"</f>
        <v>#VALUE!</v>
      </c>
      <c r="ES16" t="e">
        <f>'All regions'!G363+"$F;@!SM"</f>
        <v>#VALUE!</v>
      </c>
      <c r="ET16" t="e">
        <f>'All regions'!H363+"$F;@!SN"</f>
        <v>#VALUE!</v>
      </c>
      <c r="EU16" t="e">
        <f>'All regions'!I363+"$F;@!SO"</f>
        <v>#VALUE!</v>
      </c>
      <c r="EV16" t="e">
        <f>'All regions'!A364+"$F;@!SP"</f>
        <v>#VALUE!</v>
      </c>
      <c r="EW16" t="e">
        <f>'All regions'!B364+"$F;@!SQ"</f>
        <v>#VALUE!</v>
      </c>
      <c r="EX16" t="e">
        <f>'All regions'!C364+"$F;@!SR"</f>
        <v>#VALUE!</v>
      </c>
      <c r="EY16" t="e">
        <f>'All regions'!D364+"$F;@!SS"</f>
        <v>#VALUE!</v>
      </c>
      <c r="EZ16" t="e">
        <f>'All regions'!E364+"$F;@!ST"</f>
        <v>#VALUE!</v>
      </c>
      <c r="FA16" t="e">
        <f>'All regions'!F364+"$F;@!SU"</f>
        <v>#VALUE!</v>
      </c>
      <c r="FB16" t="e">
        <f>'All regions'!G364+"$F;@!SV"</f>
        <v>#VALUE!</v>
      </c>
      <c r="FC16" t="e">
        <f>'All regions'!H364+"$F;@!SW"</f>
        <v>#VALUE!</v>
      </c>
      <c r="FD16" t="e">
        <f>'All regions'!I364+"$F;@!SX"</f>
        <v>#VALUE!</v>
      </c>
      <c r="FE16" t="e">
        <f>'All regions'!A365+"$F;@!SY"</f>
        <v>#VALUE!</v>
      </c>
      <c r="FF16" t="e">
        <f>'All regions'!B365+"$F;@!SZ"</f>
        <v>#VALUE!</v>
      </c>
      <c r="FG16" t="e">
        <f>'All regions'!C365+"$F;@!S["</f>
        <v>#VALUE!</v>
      </c>
      <c r="FH16" t="e">
        <f>'All regions'!D365+"$F;@!S\"</f>
        <v>#VALUE!</v>
      </c>
      <c r="FI16" t="e">
        <f>'All regions'!E365+"$F;@!S]"</f>
        <v>#VALUE!</v>
      </c>
      <c r="FJ16" t="e">
        <f>'All regions'!F365+"$F;@!S^"</f>
        <v>#VALUE!</v>
      </c>
      <c r="FK16" t="e">
        <f>'All regions'!G365+"$F;@!S_"</f>
        <v>#VALUE!</v>
      </c>
      <c r="FL16" t="e">
        <f>'All regions'!H365+"$F;@!S`"</f>
        <v>#VALUE!</v>
      </c>
      <c r="FM16" t="e">
        <f>'All regions'!I365+"$F;@!Sa"</f>
        <v>#VALUE!</v>
      </c>
      <c r="FN16" t="e">
        <f>'All regions'!A366+"$F;@!Sb"</f>
        <v>#VALUE!</v>
      </c>
      <c r="FO16" t="e">
        <f>'All regions'!B366+"$F;@!Sc"</f>
        <v>#VALUE!</v>
      </c>
      <c r="FP16" t="e">
        <f>'All regions'!C366+"$F;@!Sd"</f>
        <v>#VALUE!</v>
      </c>
      <c r="FQ16" t="e">
        <f>'All regions'!D366+"$F;@!Se"</f>
        <v>#VALUE!</v>
      </c>
      <c r="FR16" t="e">
        <f>'All regions'!E366+"$F;@!Sf"</f>
        <v>#VALUE!</v>
      </c>
      <c r="FS16" t="e">
        <f>'All regions'!F366+"$F;@!Sg"</f>
        <v>#VALUE!</v>
      </c>
      <c r="FT16" t="e">
        <f>'All regions'!G366+"$F;@!Sh"</f>
        <v>#VALUE!</v>
      </c>
      <c r="FU16" t="e">
        <f>'All regions'!H366+"$F;@!Si"</f>
        <v>#VALUE!</v>
      </c>
      <c r="FV16" t="e">
        <f>'All regions'!I366+"$F;@!Sj"</f>
        <v>#VALUE!</v>
      </c>
      <c r="FW16" t="e">
        <f>'All regions'!A367+"$F;@!Sk"</f>
        <v>#VALUE!</v>
      </c>
      <c r="FX16" t="e">
        <f>'All regions'!B367+"$F;@!Sl"</f>
        <v>#VALUE!</v>
      </c>
      <c r="FY16" t="e">
        <f>'All regions'!C367+"$F;@!Sm"</f>
        <v>#VALUE!</v>
      </c>
      <c r="FZ16" t="e">
        <f>'All regions'!D367+"$F;@!Sn"</f>
        <v>#VALUE!</v>
      </c>
      <c r="GA16" t="e">
        <f>'All regions'!E367+"$F;@!So"</f>
        <v>#VALUE!</v>
      </c>
      <c r="GB16" t="e">
        <f>'All regions'!F367+"$F;@!Sp"</f>
        <v>#VALUE!</v>
      </c>
      <c r="GC16" t="e">
        <f>'All regions'!G367+"$F;@!Sq"</f>
        <v>#VALUE!</v>
      </c>
      <c r="GD16" t="e">
        <f>'All regions'!H367+"$F;@!Sr"</f>
        <v>#VALUE!</v>
      </c>
      <c r="GE16" t="e">
        <f>'All regions'!I367+"$F;@!Ss"</f>
        <v>#VALUE!</v>
      </c>
      <c r="GF16" t="e">
        <f>'All regions'!A368+"$F;@!St"</f>
        <v>#VALUE!</v>
      </c>
      <c r="GG16" t="e">
        <f>'All regions'!B368+"$F;@!Su"</f>
        <v>#VALUE!</v>
      </c>
      <c r="GH16" t="e">
        <f>'All regions'!C368+"$F;@!Sv"</f>
        <v>#VALUE!</v>
      </c>
      <c r="GI16" t="e">
        <f>'All regions'!D368+"$F;@!Sw"</f>
        <v>#VALUE!</v>
      </c>
      <c r="GJ16" t="e">
        <f>'All regions'!E368+"$F;@!Sx"</f>
        <v>#VALUE!</v>
      </c>
      <c r="GK16" t="e">
        <f>'All regions'!F368+"$F;@!Sy"</f>
        <v>#VALUE!</v>
      </c>
      <c r="GL16" t="e">
        <f>'All regions'!G368+"$F;@!Sz"</f>
        <v>#VALUE!</v>
      </c>
      <c r="GM16" t="e">
        <f>'All regions'!H368+"$F;@!S{"</f>
        <v>#VALUE!</v>
      </c>
      <c r="GN16" t="e">
        <f>'All regions'!I368+"$F;@!S|"</f>
        <v>#VALUE!</v>
      </c>
      <c r="GO16" t="e">
        <f>'All regions'!A369+"$F;@!S}"</f>
        <v>#VALUE!</v>
      </c>
      <c r="GP16" t="e">
        <f>'All regions'!B369+"$F;@!S~"</f>
        <v>#VALUE!</v>
      </c>
      <c r="GQ16" t="e">
        <f>'All regions'!C369+"$F;@!T#"</f>
        <v>#VALUE!</v>
      </c>
      <c r="GR16" t="e">
        <f>'All regions'!D369+"$F;@!T$"</f>
        <v>#VALUE!</v>
      </c>
      <c r="GS16" t="e">
        <f>'All regions'!E369+"$F;@!T%"</f>
        <v>#VALUE!</v>
      </c>
      <c r="GT16" t="e">
        <f>'All regions'!F369+"$F;@!T&amp;"</f>
        <v>#VALUE!</v>
      </c>
      <c r="GU16" t="e">
        <f>'All regions'!G369+"$F;@!T'"</f>
        <v>#VALUE!</v>
      </c>
      <c r="GV16" t="e">
        <f>'All regions'!H369+"$F;@!T("</f>
        <v>#VALUE!</v>
      </c>
      <c r="GW16" t="e">
        <f>'All regions'!I369+"$F;@!T)"</f>
        <v>#VALUE!</v>
      </c>
      <c r="GX16" t="e">
        <f>'All regions'!A370+"$F;@!T."</f>
        <v>#VALUE!</v>
      </c>
      <c r="GY16" t="e">
        <f>'All regions'!B370+"$F;@!T/"</f>
        <v>#VALUE!</v>
      </c>
      <c r="GZ16" t="e">
        <f>'All regions'!C370+"$F;@!T0"</f>
        <v>#VALUE!</v>
      </c>
      <c r="HA16" t="e">
        <f>'All regions'!D370+"$F;@!T1"</f>
        <v>#VALUE!</v>
      </c>
      <c r="HB16" t="e">
        <f>'All regions'!E370+"$F;@!T2"</f>
        <v>#VALUE!</v>
      </c>
      <c r="HC16" t="e">
        <f>'All regions'!F370+"$F;@!T3"</f>
        <v>#VALUE!</v>
      </c>
      <c r="HD16" t="e">
        <f>'All regions'!G370+"$F;@!T4"</f>
        <v>#VALUE!</v>
      </c>
      <c r="HE16" t="e">
        <f>'All regions'!H370+"$F;@!T5"</f>
        <v>#VALUE!</v>
      </c>
      <c r="HF16" t="e">
        <f>'All regions'!I370+"$F;@!T6"</f>
        <v>#VALUE!</v>
      </c>
      <c r="HG16" t="e">
        <f>'All regions'!A371+"$F;@!T7"</f>
        <v>#VALUE!</v>
      </c>
      <c r="HH16" t="e">
        <f>'All regions'!B371+"$F;@!T8"</f>
        <v>#VALUE!</v>
      </c>
      <c r="HI16" t="e">
        <f>'All regions'!C371+"$F;@!T9"</f>
        <v>#VALUE!</v>
      </c>
      <c r="HJ16" t="e">
        <f>'All regions'!D371+"$F;@!T:"</f>
        <v>#VALUE!</v>
      </c>
      <c r="HK16" t="e">
        <f>'All regions'!E371+"$F;@!T;"</f>
        <v>#VALUE!</v>
      </c>
      <c r="HL16" t="e">
        <f>'All regions'!F371+"$F;@!T&lt;"</f>
        <v>#VALUE!</v>
      </c>
      <c r="HM16" t="e">
        <f>'All regions'!G371+"$F;@!T="</f>
        <v>#VALUE!</v>
      </c>
      <c r="HN16" t="e">
        <f>'All regions'!H371+"$F;@!T&gt;"</f>
        <v>#VALUE!</v>
      </c>
      <c r="HO16" t="e">
        <f>'All regions'!I371+"$F;@!T?"</f>
        <v>#VALUE!</v>
      </c>
      <c r="HP16" t="e">
        <f>'All regions'!A372+"$F;@!T@"</f>
        <v>#VALUE!</v>
      </c>
      <c r="HQ16" t="e">
        <f>'All regions'!B372+"$F;@!TA"</f>
        <v>#VALUE!</v>
      </c>
      <c r="HR16" t="e">
        <f>'All regions'!C372+"$F;@!TB"</f>
        <v>#VALUE!</v>
      </c>
      <c r="HS16" t="e">
        <f>'All regions'!D372+"$F;@!TC"</f>
        <v>#VALUE!</v>
      </c>
      <c r="HT16" t="e">
        <f>'All regions'!E372+"$F;@!TD"</f>
        <v>#VALUE!</v>
      </c>
      <c r="HU16" t="e">
        <f>'All regions'!F372+"$F;@!TE"</f>
        <v>#VALUE!</v>
      </c>
      <c r="HV16" t="e">
        <f>'All regions'!G372+"$F;@!TF"</f>
        <v>#VALUE!</v>
      </c>
      <c r="HW16" t="e">
        <f>'All regions'!H372+"$F;@!TG"</f>
        <v>#VALUE!</v>
      </c>
      <c r="HX16" t="e">
        <f>'All regions'!I372+"$F;@!TH"</f>
        <v>#VALUE!</v>
      </c>
      <c r="HY16" t="e">
        <f>'All regions'!A373+"$F;@!TI"</f>
        <v>#VALUE!</v>
      </c>
      <c r="HZ16" t="e">
        <f>'All regions'!B373+"$F;@!TJ"</f>
        <v>#VALUE!</v>
      </c>
      <c r="IA16" t="e">
        <f>'All regions'!C373+"$F;@!TK"</f>
        <v>#VALUE!</v>
      </c>
      <c r="IB16" t="e">
        <f>'All regions'!D373+"$F;@!TL"</f>
        <v>#VALUE!</v>
      </c>
      <c r="IC16" t="e">
        <f>'All regions'!E373+"$F;@!TM"</f>
        <v>#VALUE!</v>
      </c>
      <c r="ID16" t="e">
        <f>'All regions'!F373+"$F;@!TN"</f>
        <v>#VALUE!</v>
      </c>
      <c r="IE16" t="e">
        <f>'All regions'!G373+"$F;@!TO"</f>
        <v>#VALUE!</v>
      </c>
      <c r="IF16" t="e">
        <f>'All regions'!H373+"$F;@!TP"</f>
        <v>#VALUE!</v>
      </c>
      <c r="IG16" t="e">
        <f>'All regions'!I373+"$F;@!TQ"</f>
        <v>#VALUE!</v>
      </c>
      <c r="IH16" t="e">
        <f>'All regions'!A374+"$F;@!TR"</f>
        <v>#VALUE!</v>
      </c>
      <c r="II16" t="e">
        <f>'All regions'!B374+"$F;@!TS"</f>
        <v>#VALUE!</v>
      </c>
      <c r="IJ16" t="e">
        <f>'All regions'!C374+"$F;@!TT"</f>
        <v>#VALUE!</v>
      </c>
      <c r="IK16" t="e">
        <f>'All regions'!D374+"$F;@!TU"</f>
        <v>#VALUE!</v>
      </c>
      <c r="IL16" t="e">
        <f>'All regions'!E374+"$F;@!TV"</f>
        <v>#VALUE!</v>
      </c>
      <c r="IM16" t="e">
        <f>'All regions'!F374+"$F;@!TW"</f>
        <v>#VALUE!</v>
      </c>
      <c r="IN16" t="e">
        <f>'All regions'!G374+"$F;@!TX"</f>
        <v>#VALUE!</v>
      </c>
      <c r="IO16" t="e">
        <f>'All regions'!H374+"$F;@!TY"</f>
        <v>#VALUE!</v>
      </c>
      <c r="IP16" t="e">
        <f>'All regions'!I374+"$F;@!TZ"</f>
        <v>#VALUE!</v>
      </c>
      <c r="IQ16" t="e">
        <f>'All regions'!A375+"$F;@!T["</f>
        <v>#VALUE!</v>
      </c>
      <c r="IR16" t="e">
        <f>'All regions'!B375+"$F;@!T\"</f>
        <v>#VALUE!</v>
      </c>
      <c r="IS16" t="e">
        <f>'All regions'!C375+"$F;@!T]"</f>
        <v>#VALUE!</v>
      </c>
      <c r="IT16" t="e">
        <f>'All regions'!D375+"$F;@!T^"</f>
        <v>#VALUE!</v>
      </c>
      <c r="IU16" t="e">
        <f>'All regions'!E375+"$F;@!T_"</f>
        <v>#VALUE!</v>
      </c>
      <c r="IV16" t="e">
        <f>'All regions'!F375+"$F;@!T`"</f>
        <v>#VALUE!</v>
      </c>
    </row>
    <row r="17" spans="6:256" x14ac:dyDescent="0.35">
      <c r="F17" t="e">
        <f>'All regions'!G375+"$F;@!Ta"</f>
        <v>#VALUE!</v>
      </c>
      <c r="G17" t="e">
        <f>'All regions'!H375+"$F;@!Tb"</f>
        <v>#VALUE!</v>
      </c>
      <c r="H17" t="e">
        <f>'All regions'!I375+"$F;@!Tc"</f>
        <v>#VALUE!</v>
      </c>
      <c r="I17" t="e">
        <f>'All regions'!A376+"$F;@!Td"</f>
        <v>#VALUE!</v>
      </c>
      <c r="J17" t="e">
        <f>'All regions'!B376+"$F;@!Te"</f>
        <v>#VALUE!</v>
      </c>
      <c r="K17" t="e">
        <f>'All regions'!C376+"$F;@!Tf"</f>
        <v>#VALUE!</v>
      </c>
      <c r="L17" t="e">
        <f>'All regions'!D376+"$F;@!Tg"</f>
        <v>#VALUE!</v>
      </c>
      <c r="M17" t="e">
        <f>'All regions'!E376+"$F;@!Th"</f>
        <v>#VALUE!</v>
      </c>
      <c r="N17" t="e">
        <f>'All regions'!F376+"$F;@!Ti"</f>
        <v>#VALUE!</v>
      </c>
      <c r="O17" t="e">
        <f>'All regions'!G376+"$F;@!Tj"</f>
        <v>#VALUE!</v>
      </c>
      <c r="P17" t="e">
        <f>'All regions'!H376+"$F;@!Tk"</f>
        <v>#VALUE!</v>
      </c>
      <c r="Q17" t="e">
        <f>'All regions'!I376+"$F;@!Tl"</f>
        <v>#VALUE!</v>
      </c>
      <c r="R17" t="e">
        <f>'All regions'!A377+"$F;@!Tm"</f>
        <v>#VALUE!</v>
      </c>
      <c r="S17" t="e">
        <f>'All regions'!B377+"$F;@!Tn"</f>
        <v>#VALUE!</v>
      </c>
      <c r="T17" t="e">
        <f>'All regions'!C377+"$F;@!To"</f>
        <v>#VALUE!</v>
      </c>
      <c r="U17" t="e">
        <f>'All regions'!D377+"$F;@!Tp"</f>
        <v>#VALUE!</v>
      </c>
      <c r="V17" t="e">
        <f>'All regions'!E377+"$F;@!Tq"</f>
        <v>#VALUE!</v>
      </c>
      <c r="W17" t="e">
        <f>'All regions'!F377+"$F;@!Tr"</f>
        <v>#VALUE!</v>
      </c>
      <c r="X17" t="e">
        <f>'All regions'!G377+"$F;@!Ts"</f>
        <v>#VALUE!</v>
      </c>
      <c r="Y17" t="e">
        <f>'All regions'!H377+"$F;@!Tt"</f>
        <v>#VALUE!</v>
      </c>
      <c r="Z17" t="e">
        <f>'All regions'!I377+"$F;@!Tu"</f>
        <v>#VALUE!</v>
      </c>
      <c r="AA17" t="e">
        <f>'All regions'!A378+"$F;@!Tv"</f>
        <v>#VALUE!</v>
      </c>
      <c r="AB17" t="e">
        <f>'All regions'!B378+"$F;@!Tw"</f>
        <v>#VALUE!</v>
      </c>
      <c r="AC17" t="e">
        <f>'All regions'!C378+"$F;@!Tx"</f>
        <v>#VALUE!</v>
      </c>
      <c r="AD17" t="e">
        <f>'All regions'!D378+"$F;@!Ty"</f>
        <v>#VALUE!</v>
      </c>
      <c r="AE17" t="e">
        <f>'All regions'!E378+"$F;@!Tz"</f>
        <v>#VALUE!</v>
      </c>
      <c r="AF17" t="e">
        <f>'All regions'!F378+"$F;@!T{"</f>
        <v>#VALUE!</v>
      </c>
      <c r="AG17" t="e">
        <f>'All regions'!G378+"$F;@!T|"</f>
        <v>#VALUE!</v>
      </c>
      <c r="AH17" t="e">
        <f>'All regions'!H378+"$F;@!T}"</f>
        <v>#VALUE!</v>
      </c>
      <c r="AI17" t="e">
        <f>'All regions'!I378+"$F;@!T~"</f>
        <v>#VALUE!</v>
      </c>
      <c r="AJ17" t="e">
        <f>'All regions'!A379+"$F;@!U#"</f>
        <v>#VALUE!</v>
      </c>
      <c r="AK17" t="e">
        <f>'All regions'!B379+"$F;@!U$"</f>
        <v>#VALUE!</v>
      </c>
      <c r="AL17" t="e">
        <f>'All regions'!C379+"$F;@!U%"</f>
        <v>#VALUE!</v>
      </c>
      <c r="AM17" t="e">
        <f>'All regions'!D379+"$F;@!U&amp;"</f>
        <v>#VALUE!</v>
      </c>
      <c r="AN17" t="e">
        <f>'All regions'!E379+"$F;@!U'"</f>
        <v>#VALUE!</v>
      </c>
      <c r="AO17" t="e">
        <f>'All regions'!F379+"$F;@!U("</f>
        <v>#VALUE!</v>
      </c>
      <c r="AP17" t="e">
        <f>'All regions'!G379+"$F;@!U)"</f>
        <v>#VALUE!</v>
      </c>
      <c r="AQ17" t="e">
        <f>'All regions'!H379+"$F;@!U."</f>
        <v>#VALUE!</v>
      </c>
      <c r="AR17" t="e">
        <f>'All regions'!I379+"$F;@!U/"</f>
        <v>#VALUE!</v>
      </c>
      <c r="AS17" t="e">
        <f>'All regions'!A380+"$F;@!U0"</f>
        <v>#VALUE!</v>
      </c>
      <c r="AT17" t="e">
        <f>'All regions'!B380+"$F;@!U1"</f>
        <v>#VALUE!</v>
      </c>
      <c r="AU17" t="e">
        <f>'All regions'!C380+"$F;@!U2"</f>
        <v>#VALUE!</v>
      </c>
      <c r="AV17" t="e">
        <f>'All regions'!D380+"$F;@!U3"</f>
        <v>#VALUE!</v>
      </c>
      <c r="AW17" t="e">
        <f>'All regions'!E380+"$F;@!U4"</f>
        <v>#VALUE!</v>
      </c>
      <c r="AX17" t="e">
        <f>'All regions'!F380+"$F;@!U5"</f>
        <v>#VALUE!</v>
      </c>
      <c r="AY17" t="e">
        <f>'All regions'!G380+"$F;@!U6"</f>
        <v>#VALUE!</v>
      </c>
      <c r="AZ17" t="e">
        <f>'All regions'!H380+"$F;@!U7"</f>
        <v>#VALUE!</v>
      </c>
      <c r="BA17" t="e">
        <f>'All regions'!I380+"$F;@!U8"</f>
        <v>#VALUE!</v>
      </c>
      <c r="BB17" t="e">
        <f>'All regions'!A381+"$F;@!U9"</f>
        <v>#VALUE!</v>
      </c>
      <c r="BC17" t="e">
        <f>'All regions'!B381+"$F;@!U:"</f>
        <v>#VALUE!</v>
      </c>
      <c r="BD17" t="e">
        <f>'All regions'!C381+"$F;@!U;"</f>
        <v>#VALUE!</v>
      </c>
      <c r="BE17" t="e">
        <f>'All regions'!D381+"$F;@!U&lt;"</f>
        <v>#VALUE!</v>
      </c>
      <c r="BF17" t="e">
        <f>'All regions'!E381+"$F;@!U="</f>
        <v>#VALUE!</v>
      </c>
      <c r="BG17" t="e">
        <f>'All regions'!F381+"$F;@!U&gt;"</f>
        <v>#VALUE!</v>
      </c>
      <c r="BH17" t="e">
        <f>'All regions'!G381+"$F;@!U?"</f>
        <v>#VALUE!</v>
      </c>
      <c r="BI17" t="e">
        <f>'All regions'!H381+"$F;@!U@"</f>
        <v>#VALUE!</v>
      </c>
      <c r="BJ17" t="e">
        <f>'All regions'!I381+"$F;@!UA"</f>
        <v>#VALUE!</v>
      </c>
      <c r="BK17" t="e">
        <f>'All regions'!A382+"$F;@!UB"</f>
        <v>#VALUE!</v>
      </c>
      <c r="BL17" t="e">
        <f>'All regions'!B382+"$F;@!UC"</f>
        <v>#VALUE!</v>
      </c>
      <c r="BM17" t="e">
        <f>'All regions'!C382+"$F;@!UD"</f>
        <v>#VALUE!</v>
      </c>
      <c r="BN17" t="e">
        <f>'All regions'!D382+"$F;@!UE"</f>
        <v>#VALUE!</v>
      </c>
      <c r="BO17" t="e">
        <f>'All regions'!E382+"$F;@!UF"</f>
        <v>#VALUE!</v>
      </c>
      <c r="BP17" t="e">
        <f>'All regions'!F382+"$F;@!UG"</f>
        <v>#VALUE!</v>
      </c>
      <c r="BQ17" t="e">
        <f>'All regions'!G382+"$F;@!UH"</f>
        <v>#VALUE!</v>
      </c>
      <c r="BR17" t="e">
        <f>'All regions'!H382+"$F;@!UI"</f>
        <v>#VALUE!</v>
      </c>
      <c r="BS17" t="e">
        <f>'All regions'!I382+"$F;@!UJ"</f>
        <v>#VALUE!</v>
      </c>
      <c r="BT17" t="e">
        <f>'All regions'!A383+"$F;@!UK"</f>
        <v>#VALUE!</v>
      </c>
      <c r="BU17" t="e">
        <f>'All regions'!B383+"$F;@!UL"</f>
        <v>#VALUE!</v>
      </c>
      <c r="BV17" t="e">
        <f>'All regions'!C383+"$F;@!UM"</f>
        <v>#VALUE!</v>
      </c>
      <c r="BW17" t="e">
        <f>'All regions'!D383+"$F;@!UN"</f>
        <v>#VALUE!</v>
      </c>
      <c r="BX17" t="e">
        <f>'All regions'!E383+"$F;@!UO"</f>
        <v>#VALUE!</v>
      </c>
      <c r="BY17" t="e">
        <f>'All regions'!F383+"$F;@!UP"</f>
        <v>#VALUE!</v>
      </c>
      <c r="BZ17" t="e">
        <f>'All regions'!G383+"$F;@!UQ"</f>
        <v>#VALUE!</v>
      </c>
      <c r="CA17" t="e">
        <f>'All regions'!H383+"$F;@!UR"</f>
        <v>#VALUE!</v>
      </c>
      <c r="CB17" t="e">
        <f>'All regions'!I383+"$F;@!US"</f>
        <v>#VALUE!</v>
      </c>
      <c r="CC17" t="e">
        <f>'All regions'!A384+"$F;@!UT"</f>
        <v>#VALUE!</v>
      </c>
      <c r="CD17" t="e">
        <f>'All regions'!B384+"$F;@!UU"</f>
        <v>#VALUE!</v>
      </c>
      <c r="CE17" t="e">
        <f>'All regions'!C384+"$F;@!UV"</f>
        <v>#VALUE!</v>
      </c>
      <c r="CF17" t="e">
        <f>'All regions'!D384+"$F;@!UW"</f>
        <v>#VALUE!</v>
      </c>
      <c r="CG17" t="e">
        <f>'All regions'!E384+"$F;@!UX"</f>
        <v>#VALUE!</v>
      </c>
      <c r="CH17" t="e">
        <f>'All regions'!F384+"$F;@!UY"</f>
        <v>#VALUE!</v>
      </c>
      <c r="CI17" t="e">
        <f>'All regions'!G384+"$F;@!UZ"</f>
        <v>#VALUE!</v>
      </c>
      <c r="CJ17" t="e">
        <f>'All regions'!H384+"$F;@!U["</f>
        <v>#VALUE!</v>
      </c>
      <c r="CK17" t="e">
        <f>'All regions'!I384+"$F;@!U\"</f>
        <v>#VALUE!</v>
      </c>
      <c r="CL17" t="e">
        <f>'All regions'!A385+"$F;@!U]"</f>
        <v>#VALUE!</v>
      </c>
      <c r="CM17" t="e">
        <f>'All regions'!B385+"$F;@!U^"</f>
        <v>#VALUE!</v>
      </c>
      <c r="CN17" t="e">
        <f>'All regions'!C385+"$F;@!U_"</f>
        <v>#VALUE!</v>
      </c>
      <c r="CO17" t="e">
        <f>'All regions'!D385+"$F;@!U`"</f>
        <v>#VALUE!</v>
      </c>
      <c r="CP17" t="e">
        <f>'All regions'!E385+"$F;@!Ua"</f>
        <v>#VALUE!</v>
      </c>
      <c r="CQ17" t="e">
        <f>'All regions'!F385+"$F;@!Ub"</f>
        <v>#VALUE!</v>
      </c>
      <c r="CR17" t="e">
        <f>'All regions'!G385+"$F;@!Uc"</f>
        <v>#VALUE!</v>
      </c>
      <c r="CS17" t="e">
        <f>'All regions'!H385+"$F;@!Ud"</f>
        <v>#VALUE!</v>
      </c>
      <c r="CT17" t="e">
        <f>'All regions'!I385+"$F;@!Ue"</f>
        <v>#VALUE!</v>
      </c>
      <c r="CU17" t="e">
        <f>'All regions'!A386+"$F;@!Uf"</f>
        <v>#VALUE!</v>
      </c>
      <c r="CV17" t="e">
        <f>'All regions'!B386+"$F;@!Ug"</f>
        <v>#VALUE!</v>
      </c>
      <c r="CW17" t="e">
        <f>'All regions'!C386+"$F;@!Uh"</f>
        <v>#VALUE!</v>
      </c>
      <c r="CX17" t="e">
        <f>'All regions'!D386+"$F;@!Ui"</f>
        <v>#VALUE!</v>
      </c>
      <c r="CY17" t="e">
        <f>'All regions'!E386+"$F;@!Uj"</f>
        <v>#VALUE!</v>
      </c>
      <c r="CZ17" t="e">
        <f>'All regions'!F386+"$F;@!Uk"</f>
        <v>#VALUE!</v>
      </c>
      <c r="DA17" t="e">
        <f>'All regions'!G386+"$F;@!Ul"</f>
        <v>#VALUE!</v>
      </c>
      <c r="DB17" t="e">
        <f>'All regions'!H386+"$F;@!Um"</f>
        <v>#VALUE!</v>
      </c>
      <c r="DC17" t="e">
        <f>'All regions'!I386+"$F;@!Un"</f>
        <v>#VALUE!</v>
      </c>
      <c r="DD17" t="e">
        <f>'All regions'!A387+"$F;@!Uo"</f>
        <v>#VALUE!</v>
      </c>
      <c r="DE17" t="e">
        <f>'All regions'!B387+"$F;@!Up"</f>
        <v>#VALUE!</v>
      </c>
      <c r="DF17" t="e">
        <f>'All regions'!C387+"$F;@!Uq"</f>
        <v>#VALUE!</v>
      </c>
      <c r="DG17" t="e">
        <f>'All regions'!D387+"$F;@!Ur"</f>
        <v>#VALUE!</v>
      </c>
      <c r="DH17" t="e">
        <f>'All regions'!E387+"$F;@!Us"</f>
        <v>#VALUE!</v>
      </c>
      <c r="DI17" t="e">
        <f>'All regions'!F387+"$F;@!Ut"</f>
        <v>#VALUE!</v>
      </c>
      <c r="DJ17" t="e">
        <f>'All regions'!G387+"$F;@!Uu"</f>
        <v>#VALUE!</v>
      </c>
      <c r="DK17" t="e">
        <f>'All regions'!H387+"$F;@!Uv"</f>
        <v>#VALUE!</v>
      </c>
      <c r="DL17" t="e">
        <f>'All regions'!I387+"$F;@!Uw"</f>
        <v>#VALUE!</v>
      </c>
      <c r="DM17" t="e">
        <f>'All regions'!A388+"$F;@!Ux"</f>
        <v>#VALUE!</v>
      </c>
      <c r="DN17" t="e">
        <f>'All regions'!B388+"$F;@!Uy"</f>
        <v>#VALUE!</v>
      </c>
      <c r="DO17" t="e">
        <f>'All regions'!C388+"$F;@!Uz"</f>
        <v>#VALUE!</v>
      </c>
      <c r="DP17" t="e">
        <f>'All regions'!D388+"$F;@!U{"</f>
        <v>#VALUE!</v>
      </c>
      <c r="DQ17" t="e">
        <f>'All regions'!E388+"$F;@!U|"</f>
        <v>#VALUE!</v>
      </c>
      <c r="DR17" t="e">
        <f>'All regions'!F388+"$F;@!U}"</f>
        <v>#VALUE!</v>
      </c>
      <c r="DS17" t="e">
        <f>'All regions'!G388+"$F;@!U~"</f>
        <v>#VALUE!</v>
      </c>
      <c r="DT17" t="e">
        <f>'All regions'!H388+"$F;@!V#"</f>
        <v>#VALUE!</v>
      </c>
      <c r="DU17" t="e">
        <f>'All regions'!I388+"$F;@!V$"</f>
        <v>#VALUE!</v>
      </c>
      <c r="DV17" t="e">
        <f>'All regions'!A389+"$F;@!V%"</f>
        <v>#VALUE!</v>
      </c>
      <c r="DW17" t="e">
        <f>'All regions'!B389+"$F;@!V&amp;"</f>
        <v>#VALUE!</v>
      </c>
      <c r="DX17" t="e">
        <f>'All regions'!C389+"$F;@!V'"</f>
        <v>#VALUE!</v>
      </c>
      <c r="DY17" t="e">
        <f>'All regions'!D389+"$F;@!V("</f>
        <v>#VALUE!</v>
      </c>
      <c r="DZ17" t="e">
        <f>'All regions'!E389+"$F;@!V)"</f>
        <v>#VALUE!</v>
      </c>
      <c r="EA17" t="e">
        <f>'All regions'!F389+"$F;@!V."</f>
        <v>#VALUE!</v>
      </c>
      <c r="EB17" t="e">
        <f>'All regions'!G389+"$F;@!V/"</f>
        <v>#VALUE!</v>
      </c>
      <c r="EC17" t="e">
        <f>'All regions'!H389+"$F;@!V0"</f>
        <v>#VALUE!</v>
      </c>
      <c r="ED17" t="e">
        <f>'All regions'!I389+"$F;@!V1"</f>
        <v>#VALUE!</v>
      </c>
      <c r="EE17" t="e">
        <f>'All regions'!A390+"$F;@!V2"</f>
        <v>#VALUE!</v>
      </c>
      <c r="EF17" t="e">
        <f>'All regions'!B390+"$F;@!V3"</f>
        <v>#VALUE!</v>
      </c>
      <c r="EG17" t="e">
        <f>'All regions'!C390+"$F;@!V4"</f>
        <v>#VALUE!</v>
      </c>
      <c r="EH17" t="e">
        <f>'All regions'!D390+"$F;@!V5"</f>
        <v>#VALUE!</v>
      </c>
      <c r="EI17" t="e">
        <f>'All regions'!E390+"$F;@!V6"</f>
        <v>#VALUE!</v>
      </c>
      <c r="EJ17" t="e">
        <f>'All regions'!F390+"$F;@!V7"</f>
        <v>#VALUE!</v>
      </c>
      <c r="EK17" t="e">
        <f>'All regions'!G390+"$F;@!V8"</f>
        <v>#VALUE!</v>
      </c>
      <c r="EL17" t="e">
        <f>'All regions'!H390+"$F;@!V9"</f>
        <v>#VALUE!</v>
      </c>
      <c r="EM17" t="e">
        <f>'All regions'!I390+"$F;@!V:"</f>
        <v>#VALUE!</v>
      </c>
      <c r="EN17" t="e">
        <f>'All regions'!A391+"$F;@!V;"</f>
        <v>#VALUE!</v>
      </c>
      <c r="EO17" t="e">
        <f>'All regions'!B391+"$F;@!V&lt;"</f>
        <v>#VALUE!</v>
      </c>
      <c r="EP17" t="e">
        <f>'All regions'!C391+"$F;@!V="</f>
        <v>#VALUE!</v>
      </c>
      <c r="EQ17" t="e">
        <f>'All regions'!D391+"$F;@!V&gt;"</f>
        <v>#VALUE!</v>
      </c>
      <c r="ER17" t="e">
        <f>'All regions'!E391+"$F;@!V?"</f>
        <v>#VALUE!</v>
      </c>
      <c r="ES17" t="e">
        <f>'All regions'!F391+"$F;@!V@"</f>
        <v>#VALUE!</v>
      </c>
      <c r="ET17" t="e">
        <f>'All regions'!G391+"$F;@!VA"</f>
        <v>#VALUE!</v>
      </c>
      <c r="EU17" t="e">
        <f>'All regions'!H391+"$F;@!VB"</f>
        <v>#VALUE!</v>
      </c>
      <c r="EV17" t="e">
        <f>'All regions'!I391+"$F;@!VC"</f>
        <v>#VALUE!</v>
      </c>
      <c r="EW17" t="e">
        <f>'All regions'!A392+"$F;@!VD"</f>
        <v>#VALUE!</v>
      </c>
      <c r="EX17" t="e">
        <f>'All regions'!B392+"$F;@!VE"</f>
        <v>#VALUE!</v>
      </c>
      <c r="EY17" t="e">
        <f>'All regions'!C392+"$F;@!VF"</f>
        <v>#VALUE!</v>
      </c>
      <c r="EZ17" t="e">
        <f>'All regions'!D392+"$F;@!VG"</f>
        <v>#VALUE!</v>
      </c>
      <c r="FA17" t="e">
        <f>'All regions'!E392+"$F;@!VH"</f>
        <v>#VALUE!</v>
      </c>
      <c r="FB17" t="e">
        <f>'All regions'!F392+"$F;@!VI"</f>
        <v>#VALUE!</v>
      </c>
      <c r="FC17" t="e">
        <f>'All regions'!G392+"$F;@!VJ"</f>
        <v>#VALUE!</v>
      </c>
      <c r="FD17" t="e">
        <f>'All regions'!H392+"$F;@!VK"</f>
        <v>#VALUE!</v>
      </c>
      <c r="FE17" t="e">
        <f>'All regions'!I392+"$F;@!VL"</f>
        <v>#VALUE!</v>
      </c>
      <c r="FF17" t="e">
        <f>'All regions'!A393+"$F;@!VM"</f>
        <v>#VALUE!</v>
      </c>
      <c r="FG17" t="e">
        <f>'All regions'!B393+"$F;@!VN"</f>
        <v>#VALUE!</v>
      </c>
      <c r="FH17" t="e">
        <f>'All regions'!C393+"$F;@!VO"</f>
        <v>#VALUE!</v>
      </c>
      <c r="FI17" t="e">
        <f>'All regions'!D393+"$F;@!VP"</f>
        <v>#VALUE!</v>
      </c>
      <c r="FJ17" t="e">
        <f>'All regions'!E393+"$F;@!VQ"</f>
        <v>#VALUE!</v>
      </c>
      <c r="FK17" t="e">
        <f>'All regions'!F393+"$F;@!VR"</f>
        <v>#VALUE!</v>
      </c>
      <c r="FL17" t="e">
        <f>'All regions'!G393+"$F;@!VS"</f>
        <v>#VALUE!</v>
      </c>
      <c r="FM17" t="e">
        <f>'All regions'!H393+"$F;@!VT"</f>
        <v>#VALUE!</v>
      </c>
      <c r="FN17" t="e">
        <f>'All regions'!I393+"$F;@!VU"</f>
        <v>#VALUE!</v>
      </c>
      <c r="FO17" t="e">
        <f>'All regions'!A394+"$F;@!VV"</f>
        <v>#VALUE!</v>
      </c>
      <c r="FP17" t="e">
        <f>'All regions'!B394+"$F;@!VW"</f>
        <v>#VALUE!</v>
      </c>
      <c r="FQ17" t="e">
        <f>'All regions'!C394+"$F;@!VX"</f>
        <v>#VALUE!</v>
      </c>
      <c r="FR17" t="e">
        <f>'All regions'!D394+"$F;@!VY"</f>
        <v>#VALUE!</v>
      </c>
      <c r="FS17" t="e">
        <f>'All regions'!E394+"$F;@!VZ"</f>
        <v>#VALUE!</v>
      </c>
      <c r="FT17" t="e">
        <f>'All regions'!F394+"$F;@!V["</f>
        <v>#VALUE!</v>
      </c>
      <c r="FU17" t="e">
        <f>'All regions'!G394+"$F;@!V\"</f>
        <v>#VALUE!</v>
      </c>
      <c r="FV17" t="e">
        <f>'All regions'!H394+"$F;@!V]"</f>
        <v>#VALUE!</v>
      </c>
      <c r="FW17" t="e">
        <f>'All regions'!I394+"$F;@!V^"</f>
        <v>#VALUE!</v>
      </c>
      <c r="FX17" t="e">
        <f>'All regions'!A395+"$F;@!V_"</f>
        <v>#VALUE!</v>
      </c>
      <c r="FY17" t="e">
        <f>'All regions'!B395+"$F;@!V`"</f>
        <v>#VALUE!</v>
      </c>
      <c r="FZ17" t="e">
        <f>'All regions'!C395+"$F;@!Va"</f>
        <v>#VALUE!</v>
      </c>
      <c r="GA17" t="e">
        <f>'All regions'!D395+"$F;@!Vb"</f>
        <v>#VALUE!</v>
      </c>
      <c r="GB17" t="e">
        <f>'All regions'!E395+"$F;@!Vc"</f>
        <v>#VALUE!</v>
      </c>
      <c r="GC17" t="e">
        <f>'All regions'!F395+"$F;@!Vd"</f>
        <v>#VALUE!</v>
      </c>
      <c r="GD17" t="e">
        <f>'All regions'!G395+"$F;@!Ve"</f>
        <v>#VALUE!</v>
      </c>
      <c r="GE17" t="e">
        <f>'All regions'!H395+"$F;@!Vf"</f>
        <v>#VALUE!</v>
      </c>
      <c r="GF17" t="e">
        <f>'All regions'!I395+"$F;@!Vg"</f>
        <v>#VALUE!</v>
      </c>
      <c r="GG17" t="e">
        <f>'All regions'!A396+"$F;@!Vh"</f>
        <v>#VALUE!</v>
      </c>
      <c r="GH17" t="e">
        <f>'All regions'!B396+"$F;@!Vi"</f>
        <v>#VALUE!</v>
      </c>
      <c r="GI17" t="e">
        <f>'All regions'!C396+"$F;@!Vj"</f>
        <v>#VALUE!</v>
      </c>
      <c r="GJ17" t="e">
        <f>'All regions'!D396+"$F;@!Vk"</f>
        <v>#VALUE!</v>
      </c>
      <c r="GK17" t="e">
        <f>'All regions'!E396+"$F;@!Vl"</f>
        <v>#VALUE!</v>
      </c>
      <c r="GL17" t="e">
        <f>'All regions'!F396+"$F;@!Vm"</f>
        <v>#VALUE!</v>
      </c>
      <c r="GM17" t="e">
        <f>'All regions'!G396+"$F;@!Vn"</f>
        <v>#VALUE!</v>
      </c>
      <c r="GN17" t="e">
        <f>'All regions'!H396+"$F;@!Vo"</f>
        <v>#VALUE!</v>
      </c>
      <c r="GO17" t="e">
        <f>'All regions'!I396+"$F;@!Vp"</f>
        <v>#VALUE!</v>
      </c>
      <c r="GP17" t="e">
        <f>'All regions'!A397+"$F;@!Vq"</f>
        <v>#VALUE!</v>
      </c>
      <c r="GQ17" t="e">
        <f>'All regions'!B397+"$F;@!Vr"</f>
        <v>#VALUE!</v>
      </c>
      <c r="GR17" t="e">
        <f>'All regions'!C397+"$F;@!Vs"</f>
        <v>#VALUE!</v>
      </c>
      <c r="GS17" t="e">
        <f>'All regions'!D397+"$F;@!Vt"</f>
        <v>#VALUE!</v>
      </c>
      <c r="GT17" t="e">
        <f>'All regions'!E397+"$F;@!Vu"</f>
        <v>#VALUE!</v>
      </c>
      <c r="GU17" t="e">
        <f>'All regions'!F397+"$F;@!Vv"</f>
        <v>#VALUE!</v>
      </c>
      <c r="GV17" t="e">
        <f>'All regions'!G397+"$F;@!Vw"</f>
        <v>#VALUE!</v>
      </c>
      <c r="GW17" t="e">
        <f>'All regions'!H397+"$F;@!Vx"</f>
        <v>#VALUE!</v>
      </c>
      <c r="GX17" t="e">
        <f>'All regions'!I397+"$F;@!Vy"</f>
        <v>#VALUE!</v>
      </c>
      <c r="GY17" t="e">
        <f>'All regions'!A398+"$F;@!Vz"</f>
        <v>#VALUE!</v>
      </c>
      <c r="GZ17" t="e">
        <f>'All regions'!B398+"$F;@!V{"</f>
        <v>#VALUE!</v>
      </c>
      <c r="HA17" t="e">
        <f>'All regions'!C398+"$F;@!V|"</f>
        <v>#VALUE!</v>
      </c>
      <c r="HB17" t="e">
        <f>'All regions'!D398+"$F;@!V}"</f>
        <v>#VALUE!</v>
      </c>
      <c r="HC17" t="e">
        <f>'All regions'!E398+"$F;@!V~"</f>
        <v>#VALUE!</v>
      </c>
      <c r="HD17" t="e">
        <f>'All regions'!F398+"$F;@!W#"</f>
        <v>#VALUE!</v>
      </c>
      <c r="HE17" t="e">
        <f>'All regions'!G398+"$F;@!W$"</f>
        <v>#VALUE!</v>
      </c>
      <c r="HF17" t="e">
        <f>'All regions'!H398+"$F;@!W%"</f>
        <v>#VALUE!</v>
      </c>
      <c r="HG17" t="e">
        <f>'All regions'!I398+"$F;@!W&amp;"</f>
        <v>#VALUE!</v>
      </c>
      <c r="HH17" t="e">
        <f>'All regions'!A399+"$F;@!W'"</f>
        <v>#VALUE!</v>
      </c>
      <c r="HI17" t="e">
        <f>'All regions'!B399+"$F;@!W("</f>
        <v>#VALUE!</v>
      </c>
      <c r="HJ17" t="e">
        <f>'All regions'!C399+"$F;@!W)"</f>
        <v>#VALUE!</v>
      </c>
      <c r="HK17" t="e">
        <f>'All regions'!D399+"$F;@!W."</f>
        <v>#VALUE!</v>
      </c>
      <c r="HL17" t="e">
        <f>'All regions'!E399+"$F;@!W/"</f>
        <v>#VALUE!</v>
      </c>
      <c r="HM17" t="e">
        <f>'All regions'!F399+"$F;@!W0"</f>
        <v>#VALUE!</v>
      </c>
      <c r="HN17" t="e">
        <f>'All regions'!G399+"$F;@!W1"</f>
        <v>#VALUE!</v>
      </c>
      <c r="HO17" t="e">
        <f>'All regions'!H399+"$F;@!W2"</f>
        <v>#VALUE!</v>
      </c>
      <c r="HP17" t="e">
        <f>'All regions'!I399+"$F;@!W3"</f>
        <v>#VALUE!</v>
      </c>
      <c r="HQ17" t="e">
        <f>'All regions'!A400+"$F;@!W4"</f>
        <v>#VALUE!</v>
      </c>
      <c r="HR17" t="e">
        <f>'All regions'!B400+"$F;@!W5"</f>
        <v>#VALUE!</v>
      </c>
      <c r="HS17" t="e">
        <f>'All regions'!C400+"$F;@!W6"</f>
        <v>#VALUE!</v>
      </c>
      <c r="HT17" t="e">
        <f>'All regions'!D400+"$F;@!W7"</f>
        <v>#VALUE!</v>
      </c>
      <c r="HU17" t="e">
        <f>'All regions'!E400+"$F;@!W8"</f>
        <v>#VALUE!</v>
      </c>
      <c r="HV17" t="e">
        <f>'All regions'!F400+"$F;@!W9"</f>
        <v>#VALUE!</v>
      </c>
      <c r="HW17" t="e">
        <f>'All regions'!G400+"$F;@!W:"</f>
        <v>#VALUE!</v>
      </c>
      <c r="HX17" t="e">
        <f>'All regions'!H400+"$F;@!W;"</f>
        <v>#VALUE!</v>
      </c>
      <c r="HY17" t="e">
        <f>'All regions'!I400+"$F;@!W&lt;"</f>
        <v>#VALUE!</v>
      </c>
      <c r="HZ17" t="e">
        <f>'All regions'!A401+"$F;@!W="</f>
        <v>#VALUE!</v>
      </c>
      <c r="IA17" t="e">
        <f>'All regions'!B401+"$F;@!W&gt;"</f>
        <v>#VALUE!</v>
      </c>
      <c r="IB17" t="e">
        <f>'All regions'!C401+"$F;@!W?"</f>
        <v>#VALUE!</v>
      </c>
      <c r="IC17" t="e">
        <f>'All regions'!D401+"$F;@!W@"</f>
        <v>#VALUE!</v>
      </c>
      <c r="ID17" t="e">
        <f>'All regions'!E401+"$F;@!WA"</f>
        <v>#VALUE!</v>
      </c>
      <c r="IE17" t="e">
        <f>'All regions'!F401+"$F;@!WB"</f>
        <v>#VALUE!</v>
      </c>
      <c r="IF17" t="e">
        <f>'All regions'!G401+"$F;@!WC"</f>
        <v>#VALUE!</v>
      </c>
      <c r="IG17" t="e">
        <f>'All regions'!H401+"$F;@!WD"</f>
        <v>#VALUE!</v>
      </c>
      <c r="IH17" t="e">
        <f>'All regions'!I401+"$F;@!WE"</f>
        <v>#VALUE!</v>
      </c>
      <c r="II17" t="e">
        <f>'All regions'!A402+"$F;@!WF"</f>
        <v>#VALUE!</v>
      </c>
      <c r="IJ17" t="e">
        <f>'All regions'!B402+"$F;@!WG"</f>
        <v>#VALUE!</v>
      </c>
      <c r="IK17" t="e">
        <f>'All regions'!C402+"$F;@!WH"</f>
        <v>#VALUE!</v>
      </c>
      <c r="IL17" t="e">
        <f>'All regions'!D402+"$F;@!WI"</f>
        <v>#VALUE!</v>
      </c>
      <c r="IM17" t="e">
        <f>'All regions'!E402+"$F;@!WJ"</f>
        <v>#VALUE!</v>
      </c>
      <c r="IN17" t="e">
        <f>'All regions'!F402+"$F;@!WK"</f>
        <v>#VALUE!</v>
      </c>
      <c r="IO17" t="e">
        <f>'All regions'!G402+"$F;@!WL"</f>
        <v>#VALUE!</v>
      </c>
      <c r="IP17" t="e">
        <f>'All regions'!H402+"$F;@!WM"</f>
        <v>#VALUE!</v>
      </c>
      <c r="IQ17" t="e">
        <f>'All regions'!I402+"$F;@!WN"</f>
        <v>#VALUE!</v>
      </c>
      <c r="IR17" t="e">
        <f>'All regions'!A403+"$F;@!WO"</f>
        <v>#VALUE!</v>
      </c>
      <c r="IS17" t="e">
        <f>'All regions'!B403+"$F;@!WP"</f>
        <v>#VALUE!</v>
      </c>
      <c r="IT17" t="e">
        <f>'All regions'!C403+"$F;@!WQ"</f>
        <v>#VALUE!</v>
      </c>
      <c r="IU17" t="e">
        <f>'All regions'!D403+"$F;@!WR"</f>
        <v>#VALUE!</v>
      </c>
      <c r="IV17" t="e">
        <f>'All regions'!E403+"$F;@!WS"</f>
        <v>#VALUE!</v>
      </c>
    </row>
    <row r="18" spans="6:256" x14ac:dyDescent="0.35">
      <c r="F18" t="e">
        <f>'All regions'!F403+"$F;@!WT"</f>
        <v>#VALUE!</v>
      </c>
      <c r="G18" t="e">
        <f>'All regions'!G403+"$F;@!WU"</f>
        <v>#VALUE!</v>
      </c>
      <c r="H18" t="e">
        <f>'All regions'!H403+"$F;@!WV"</f>
        <v>#VALUE!</v>
      </c>
      <c r="I18" t="e">
        <f>'All regions'!I403+"$F;@!WW"</f>
        <v>#VALUE!</v>
      </c>
      <c r="J18" t="e">
        <f>'All regions'!A404+"$F;@!WX"</f>
        <v>#VALUE!</v>
      </c>
      <c r="K18" t="e">
        <f>'All regions'!B404+"$F;@!WY"</f>
        <v>#VALUE!</v>
      </c>
      <c r="L18" t="e">
        <f>'All regions'!C404+"$F;@!WZ"</f>
        <v>#VALUE!</v>
      </c>
      <c r="M18" t="e">
        <f>'All regions'!D404+"$F;@!W["</f>
        <v>#VALUE!</v>
      </c>
      <c r="N18" t="e">
        <f>'All regions'!E404+"$F;@!W\"</f>
        <v>#VALUE!</v>
      </c>
      <c r="O18" t="e">
        <f>'All regions'!F404+"$F;@!W]"</f>
        <v>#VALUE!</v>
      </c>
      <c r="P18" t="e">
        <f>'All regions'!G404+"$F;@!W^"</f>
        <v>#VALUE!</v>
      </c>
      <c r="Q18" t="e">
        <f>'All regions'!H404+"$F;@!W_"</f>
        <v>#VALUE!</v>
      </c>
      <c r="R18" t="e">
        <f>'All regions'!I404+"$F;@!W`"</f>
        <v>#VALUE!</v>
      </c>
      <c r="S18" t="e">
        <f>'All regions'!A407+"$F;@!Wa"</f>
        <v>#VALUE!</v>
      </c>
      <c r="T18" t="e">
        <f>'All regions'!B407+"$F;@!Wb"</f>
        <v>#VALUE!</v>
      </c>
      <c r="U18" t="e">
        <f>'All regions'!C407+"$F;@!Wc"</f>
        <v>#VALUE!</v>
      </c>
      <c r="V18" t="e">
        <f>'All regions'!D407+"$F;@!Wd"</f>
        <v>#VALUE!</v>
      </c>
      <c r="W18" t="e">
        <f>'All regions'!E407+"$F;@!We"</f>
        <v>#VALUE!</v>
      </c>
      <c r="X18" t="e">
        <f>'All regions'!F407+"$F;@!Wf"</f>
        <v>#VALUE!</v>
      </c>
      <c r="Y18" t="e">
        <f>'All regions'!G407+"$F;@!Wg"</f>
        <v>#VALUE!</v>
      </c>
      <c r="Z18" t="e">
        <f>'All regions'!H407+"$F;@!Wh"</f>
        <v>#VALUE!</v>
      </c>
      <c r="AA18" t="e">
        <f>'All regions'!I407+"$F;@!Wi"</f>
        <v>#VALUE!</v>
      </c>
      <c r="AB18" t="e">
        <f>'All regions'!A408+"$F;@!Wj"</f>
        <v>#VALUE!</v>
      </c>
      <c r="AC18" t="e">
        <f>'All regions'!B408+"$F;@!Wk"</f>
        <v>#VALUE!</v>
      </c>
      <c r="AD18" t="e">
        <f>'All regions'!C408+"$F;@!Wl"</f>
        <v>#VALUE!</v>
      </c>
      <c r="AE18" t="e">
        <f>'All regions'!D408+"$F;@!Wm"</f>
        <v>#VALUE!</v>
      </c>
      <c r="AF18" t="e">
        <f>'All regions'!E408+"$F;@!Wn"</f>
        <v>#VALUE!</v>
      </c>
      <c r="AG18" t="e">
        <f>'All regions'!F408+"$F;@!Wo"</f>
        <v>#VALUE!</v>
      </c>
      <c r="AH18" t="e">
        <f>'All regions'!G408+"$F;@!Wp"</f>
        <v>#VALUE!</v>
      </c>
      <c r="AI18" t="e">
        <f>'All regions'!H408+"$F;@!Wq"</f>
        <v>#VALUE!</v>
      </c>
      <c r="AJ18" t="e">
        <f>'All regions'!I408+"$F;@!Wr"</f>
        <v>#VALUE!</v>
      </c>
      <c r="AK18" t="e">
        <f>'All regions'!A409+"$F;@!Ws"</f>
        <v>#VALUE!</v>
      </c>
      <c r="AL18" t="e">
        <f>'All regions'!B409+"$F;@!Wt"</f>
        <v>#VALUE!</v>
      </c>
      <c r="AM18" t="e">
        <f>'All regions'!C409+"$F;@!Wu"</f>
        <v>#VALUE!</v>
      </c>
      <c r="AN18" t="e">
        <f>'All regions'!D409+"$F;@!Wv"</f>
        <v>#VALUE!</v>
      </c>
      <c r="AO18" t="e">
        <f>'All regions'!E409+"$F;@!Ww"</f>
        <v>#VALUE!</v>
      </c>
      <c r="AP18" t="e">
        <f>'All regions'!F409+"$F;@!Wx"</f>
        <v>#VALUE!</v>
      </c>
      <c r="AQ18" t="e">
        <f>'All regions'!G409+"$F;@!Wy"</f>
        <v>#VALUE!</v>
      </c>
      <c r="AR18" t="e">
        <f>'All regions'!H409+"$F;@!Wz"</f>
        <v>#VALUE!</v>
      </c>
      <c r="AS18" t="e">
        <f>'All regions'!I409+"$F;@!W{"</f>
        <v>#VALUE!</v>
      </c>
      <c r="AT18" t="e">
        <f>'All regions'!A410+"$F;@!W|"</f>
        <v>#VALUE!</v>
      </c>
      <c r="AU18" t="e">
        <f>'All regions'!B410+"$F;@!W}"</f>
        <v>#VALUE!</v>
      </c>
      <c r="AV18" t="e">
        <f>'All regions'!C410+"$F;@!W~"</f>
        <v>#VALUE!</v>
      </c>
      <c r="AW18" t="e">
        <f>'All regions'!D410+"$F;@!X#"</f>
        <v>#VALUE!</v>
      </c>
      <c r="AX18" t="e">
        <f>'All regions'!E410+"$F;@!X$"</f>
        <v>#VALUE!</v>
      </c>
      <c r="AY18" t="e">
        <f>'All regions'!F410+"$F;@!X%"</f>
        <v>#VALUE!</v>
      </c>
      <c r="AZ18" t="e">
        <f>'All regions'!G410+"$F;@!X&amp;"</f>
        <v>#VALUE!</v>
      </c>
      <c r="BA18" t="e">
        <f>'All regions'!H410+"$F;@!X'"</f>
        <v>#VALUE!</v>
      </c>
      <c r="BB18" t="e">
        <f>'All regions'!I410+"$F;@!X("</f>
        <v>#VALUE!</v>
      </c>
      <c r="BC18" t="e">
        <f>'All regions'!A411+"$F;@!X)"</f>
        <v>#VALUE!</v>
      </c>
      <c r="BD18" t="e">
        <f>'All regions'!B411+"$F;@!X."</f>
        <v>#VALUE!</v>
      </c>
      <c r="BE18" t="e">
        <f>'All regions'!C411+"$F;@!X/"</f>
        <v>#VALUE!</v>
      </c>
      <c r="BF18" t="e">
        <f>'All regions'!D411+"$F;@!X0"</f>
        <v>#VALUE!</v>
      </c>
      <c r="BG18" t="e">
        <f>'All regions'!E411+"$F;@!X1"</f>
        <v>#VALUE!</v>
      </c>
      <c r="BH18" t="e">
        <f>'All regions'!F411+"$F;@!X2"</f>
        <v>#VALUE!</v>
      </c>
      <c r="BI18" t="e">
        <f>'All regions'!G411+"$F;@!X3"</f>
        <v>#VALUE!</v>
      </c>
      <c r="BJ18" t="e">
        <f>'All regions'!H411+"$F;@!X4"</f>
        <v>#VALUE!</v>
      </c>
      <c r="BK18" t="e">
        <f>'All regions'!I411+"$F;@!X5"</f>
        <v>#VALUE!</v>
      </c>
      <c r="BL18" t="e">
        <f>'All regions'!A412+"$F;@!X6"</f>
        <v>#VALUE!</v>
      </c>
      <c r="BM18" t="e">
        <f>'All regions'!B412+"$F;@!X7"</f>
        <v>#VALUE!</v>
      </c>
      <c r="BN18" t="e">
        <f>'All regions'!C412+"$F;@!X8"</f>
        <v>#VALUE!</v>
      </c>
      <c r="BO18" t="e">
        <f>'All regions'!D412+"$F;@!X9"</f>
        <v>#VALUE!</v>
      </c>
      <c r="BP18" t="e">
        <f>'All regions'!E412+"$F;@!X:"</f>
        <v>#VALUE!</v>
      </c>
      <c r="BQ18" t="e">
        <f>'All regions'!F412+"$F;@!X;"</f>
        <v>#VALUE!</v>
      </c>
      <c r="BR18" t="e">
        <f>'All regions'!G412+"$F;@!X&lt;"</f>
        <v>#VALUE!</v>
      </c>
      <c r="BS18" t="e">
        <f>'All regions'!H412+"$F;@!X="</f>
        <v>#VALUE!</v>
      </c>
      <c r="BT18" t="e">
        <f>'All regions'!I412+"$F;@!X&gt;"</f>
        <v>#VALUE!</v>
      </c>
      <c r="BU18" t="e">
        <f>'All regions'!A413+"$F;@!X?"</f>
        <v>#VALUE!</v>
      </c>
      <c r="BV18" t="e">
        <f>'All regions'!B413+"$F;@!X@"</f>
        <v>#VALUE!</v>
      </c>
      <c r="BW18" t="e">
        <f>'All regions'!C413+"$F;@!XA"</f>
        <v>#VALUE!</v>
      </c>
      <c r="BX18" t="e">
        <f>'All regions'!D413+"$F;@!XB"</f>
        <v>#VALUE!</v>
      </c>
      <c r="BY18" t="e">
        <f>'All regions'!E413+"$F;@!XC"</f>
        <v>#VALUE!</v>
      </c>
      <c r="BZ18" t="e">
        <f>'All regions'!F413+"$F;@!XD"</f>
        <v>#VALUE!</v>
      </c>
      <c r="CA18" t="e">
        <f>'All regions'!G413+"$F;@!XE"</f>
        <v>#VALUE!</v>
      </c>
      <c r="CB18" t="e">
        <f>'All regions'!H413+"$F;@!XF"</f>
        <v>#VALUE!</v>
      </c>
      <c r="CC18" t="e">
        <f>'All regions'!I413+"$F;@!XG"</f>
        <v>#VALUE!</v>
      </c>
      <c r="CD18" t="e">
        <f>'All regions'!A414+"$F;@!XH"</f>
        <v>#VALUE!</v>
      </c>
      <c r="CE18" t="e">
        <f>'All regions'!B414+"$F;@!XI"</f>
        <v>#VALUE!</v>
      </c>
      <c r="CF18" t="e">
        <f>'All regions'!C414+"$F;@!XJ"</f>
        <v>#VALUE!</v>
      </c>
      <c r="CG18" t="e">
        <f>'All regions'!D414+"$F;@!XK"</f>
        <v>#VALUE!</v>
      </c>
      <c r="CH18" t="e">
        <f>'All regions'!E414+"$F;@!XL"</f>
        <v>#VALUE!</v>
      </c>
      <c r="CI18" t="e">
        <f>'All regions'!F414+"$F;@!XM"</f>
        <v>#VALUE!</v>
      </c>
      <c r="CJ18" t="e">
        <f>'All regions'!G414+"$F;@!XN"</f>
        <v>#VALUE!</v>
      </c>
      <c r="CK18" t="e">
        <f>'All regions'!H414+"$F;@!XO"</f>
        <v>#VALUE!</v>
      </c>
      <c r="CL18" t="e">
        <f>'All regions'!I414+"$F;@!XP"</f>
        <v>#VALUE!</v>
      </c>
      <c r="CM18" t="e">
        <f>'All regions'!A415+"$F;@!XQ"</f>
        <v>#VALUE!</v>
      </c>
      <c r="CN18" t="e">
        <f>'All regions'!B415+"$F;@!XR"</f>
        <v>#VALUE!</v>
      </c>
      <c r="CO18" t="e">
        <f>'All regions'!C415+"$F;@!XS"</f>
        <v>#VALUE!</v>
      </c>
      <c r="CP18" t="e">
        <f>'All regions'!D415+"$F;@!XT"</f>
        <v>#VALUE!</v>
      </c>
      <c r="CQ18" t="e">
        <f>'All regions'!E415+"$F;@!XU"</f>
        <v>#VALUE!</v>
      </c>
      <c r="CR18" t="e">
        <f>'All regions'!F415+"$F;@!XV"</f>
        <v>#VALUE!</v>
      </c>
      <c r="CS18" t="e">
        <f>'All regions'!G415+"$F;@!XW"</f>
        <v>#VALUE!</v>
      </c>
      <c r="CT18" t="e">
        <f>'All regions'!H415+"$F;@!XX"</f>
        <v>#VALUE!</v>
      </c>
      <c r="CU18" t="e">
        <f>'All regions'!I415+"$F;@!XY"</f>
        <v>#VALUE!</v>
      </c>
      <c r="CV18" t="e">
        <f>'All regions'!A416+"$F;@!XZ"</f>
        <v>#VALUE!</v>
      </c>
      <c r="CW18" t="e">
        <f>'All regions'!B416+"$F;@!X["</f>
        <v>#VALUE!</v>
      </c>
      <c r="CX18" t="e">
        <f>'All regions'!C416+"$F;@!X\"</f>
        <v>#VALUE!</v>
      </c>
      <c r="CY18" t="e">
        <f>'All regions'!D416+"$F;@!X]"</f>
        <v>#VALUE!</v>
      </c>
      <c r="CZ18" t="e">
        <f>'All regions'!E416+"$F;@!X^"</f>
        <v>#VALUE!</v>
      </c>
      <c r="DA18" t="e">
        <f>'All regions'!F416+"$F;@!X_"</f>
        <v>#VALUE!</v>
      </c>
      <c r="DB18" t="e">
        <f>'All regions'!G416+"$F;@!X`"</f>
        <v>#VALUE!</v>
      </c>
      <c r="DC18" t="e">
        <f>'All regions'!H416+"$F;@!Xa"</f>
        <v>#VALUE!</v>
      </c>
      <c r="DD18" t="e">
        <f>'All regions'!I416+"$F;@!Xb"</f>
        <v>#VALUE!</v>
      </c>
      <c r="DE18" t="e">
        <f>'All regions'!A417+"$F;@!Xc"</f>
        <v>#VALUE!</v>
      </c>
      <c r="DF18" t="e">
        <f>'All regions'!B417+"$F;@!Xd"</f>
        <v>#VALUE!</v>
      </c>
      <c r="DG18" t="e">
        <f>'All regions'!C417+"$F;@!Xe"</f>
        <v>#VALUE!</v>
      </c>
      <c r="DH18" t="e">
        <f>'All regions'!D417+"$F;@!Xf"</f>
        <v>#VALUE!</v>
      </c>
      <c r="DI18" t="e">
        <f>'All regions'!E417+"$F;@!Xg"</f>
        <v>#VALUE!</v>
      </c>
      <c r="DJ18" t="e">
        <f>'All regions'!F417+"$F;@!Xh"</f>
        <v>#VALUE!</v>
      </c>
      <c r="DK18" t="e">
        <f>'All regions'!G417+"$F;@!Xi"</f>
        <v>#VALUE!</v>
      </c>
      <c r="DL18" t="e">
        <f>'All regions'!H417+"$F;@!Xj"</f>
        <v>#VALUE!</v>
      </c>
      <c r="DM18" t="e">
        <f>'All regions'!I417+"$F;@!Xk"</f>
        <v>#VALUE!</v>
      </c>
      <c r="DN18" t="e">
        <f>'All regions'!A418+"$F;@!Xl"</f>
        <v>#VALUE!</v>
      </c>
      <c r="DO18" t="e">
        <f>'All regions'!B418+"$F;@!Xm"</f>
        <v>#VALUE!</v>
      </c>
      <c r="DP18" t="e">
        <f>'All regions'!C418+"$F;@!Xn"</f>
        <v>#VALUE!</v>
      </c>
      <c r="DQ18" t="e">
        <f>'All regions'!D418+"$F;@!Xo"</f>
        <v>#VALUE!</v>
      </c>
      <c r="DR18" t="e">
        <f>'All regions'!E418+"$F;@!Xp"</f>
        <v>#VALUE!</v>
      </c>
      <c r="DS18" t="e">
        <f>'All regions'!F418+"$F;@!Xq"</f>
        <v>#VALUE!</v>
      </c>
      <c r="DT18" t="e">
        <f>'All regions'!G418+"$F;@!Xr"</f>
        <v>#VALUE!</v>
      </c>
      <c r="DU18" t="e">
        <f>'All regions'!H418+"$F;@!Xs"</f>
        <v>#VALUE!</v>
      </c>
      <c r="DV18" t="e">
        <f>'All regions'!I418+"$F;@!Xt"</f>
        <v>#VALUE!</v>
      </c>
      <c r="DW18" t="e">
        <f>'All regions'!A419+"$F;@!Xu"</f>
        <v>#VALUE!</v>
      </c>
      <c r="DX18" t="e">
        <f>'All regions'!B419+"$F;@!Xv"</f>
        <v>#VALUE!</v>
      </c>
      <c r="DY18" t="e">
        <f>'All regions'!C419+"$F;@!Xw"</f>
        <v>#VALUE!</v>
      </c>
      <c r="DZ18" t="e">
        <f>'All regions'!D419+"$F;@!Xx"</f>
        <v>#VALUE!</v>
      </c>
      <c r="EA18" t="e">
        <f>'All regions'!E419+"$F;@!Xy"</f>
        <v>#VALUE!</v>
      </c>
      <c r="EB18" t="e">
        <f>'All regions'!F419+"$F;@!Xz"</f>
        <v>#VALUE!</v>
      </c>
      <c r="EC18" t="e">
        <f>'All regions'!G419+"$F;@!X{"</f>
        <v>#VALUE!</v>
      </c>
      <c r="ED18" t="e">
        <f>'All regions'!H419+"$F;@!X|"</f>
        <v>#VALUE!</v>
      </c>
      <c r="EE18" t="e">
        <f>'All regions'!I419+"$F;@!X}"</f>
        <v>#VALUE!</v>
      </c>
      <c r="EF18" t="e">
        <f>'All regions'!A420+"$F;@!X~"</f>
        <v>#VALUE!</v>
      </c>
      <c r="EG18" t="e">
        <f>'All regions'!B420+"$F;@!Y#"</f>
        <v>#VALUE!</v>
      </c>
      <c r="EH18" t="e">
        <f>'All regions'!C420+"$F;@!Y$"</f>
        <v>#VALUE!</v>
      </c>
      <c r="EI18" t="e">
        <f>'All regions'!D420+"$F;@!Y%"</f>
        <v>#VALUE!</v>
      </c>
      <c r="EJ18" t="e">
        <f>'All regions'!E420+"$F;@!Y&amp;"</f>
        <v>#VALUE!</v>
      </c>
      <c r="EK18" t="e">
        <f>'All regions'!F420+"$F;@!Y'"</f>
        <v>#VALUE!</v>
      </c>
      <c r="EL18" t="e">
        <f>'All regions'!G420+"$F;@!Y("</f>
        <v>#VALUE!</v>
      </c>
      <c r="EM18" t="e">
        <f>'All regions'!H420+"$F;@!Y)"</f>
        <v>#VALUE!</v>
      </c>
      <c r="EN18" t="e">
        <f>'All regions'!I420+"$F;@!Y."</f>
        <v>#VALUE!</v>
      </c>
      <c r="EO18" t="e">
        <f>'All regions'!A421+"$F;@!Y/"</f>
        <v>#VALUE!</v>
      </c>
      <c r="EP18" t="e">
        <f>'All regions'!B421+"$F;@!Y0"</f>
        <v>#VALUE!</v>
      </c>
      <c r="EQ18" t="e">
        <f>'All regions'!C421+"$F;@!Y1"</f>
        <v>#VALUE!</v>
      </c>
      <c r="ER18" t="e">
        <f>'All regions'!D421+"$F;@!Y2"</f>
        <v>#VALUE!</v>
      </c>
      <c r="ES18" t="e">
        <f>'All regions'!E421+"$F;@!Y3"</f>
        <v>#VALUE!</v>
      </c>
      <c r="ET18" t="e">
        <f>'All regions'!F421+"$F;@!Y4"</f>
        <v>#VALUE!</v>
      </c>
      <c r="EU18" t="e">
        <f>'All regions'!G421+"$F;@!Y5"</f>
        <v>#VALUE!</v>
      </c>
      <c r="EV18" t="e">
        <f>'All regions'!H421+"$F;@!Y6"</f>
        <v>#VALUE!</v>
      </c>
      <c r="EW18" t="e">
        <f>'All regions'!I421+"$F;@!Y7"</f>
        <v>#VALUE!</v>
      </c>
      <c r="EX18" t="e">
        <f>'All regions'!A422+"$F;@!Y8"</f>
        <v>#VALUE!</v>
      </c>
      <c r="EY18" t="e">
        <f>'All regions'!B422+"$F;@!Y9"</f>
        <v>#VALUE!</v>
      </c>
      <c r="EZ18" t="e">
        <f>'All regions'!C422+"$F;@!Y:"</f>
        <v>#VALUE!</v>
      </c>
      <c r="FA18" t="e">
        <f>'All regions'!D422+"$F;@!Y;"</f>
        <v>#VALUE!</v>
      </c>
      <c r="FB18" t="e">
        <f>'All regions'!E422+"$F;@!Y&lt;"</f>
        <v>#VALUE!</v>
      </c>
      <c r="FC18" t="e">
        <f>'All regions'!F422+"$F;@!Y="</f>
        <v>#VALUE!</v>
      </c>
      <c r="FD18" t="e">
        <f>'All regions'!G422+"$F;@!Y&gt;"</f>
        <v>#VALUE!</v>
      </c>
      <c r="FE18" t="e">
        <f>'All regions'!H422+"$F;@!Y?"</f>
        <v>#VALUE!</v>
      </c>
      <c r="FF18" t="e">
        <f>'All regions'!I422+"$F;@!Y@"</f>
        <v>#VALUE!</v>
      </c>
      <c r="FG18" t="e">
        <f>'All regions'!A423+"$F;@!YA"</f>
        <v>#VALUE!</v>
      </c>
      <c r="FH18" t="e">
        <f>'All regions'!B423+"$F;@!YB"</f>
        <v>#VALUE!</v>
      </c>
      <c r="FI18" t="e">
        <f>'All regions'!C423+"$F;@!YC"</f>
        <v>#VALUE!</v>
      </c>
      <c r="FJ18" t="e">
        <f>'All regions'!D423+"$F;@!YD"</f>
        <v>#VALUE!</v>
      </c>
      <c r="FK18" t="e">
        <f>'All regions'!E423+"$F;@!YE"</f>
        <v>#VALUE!</v>
      </c>
      <c r="FL18" t="e">
        <f>'All regions'!F423+"$F;@!YF"</f>
        <v>#VALUE!</v>
      </c>
      <c r="FM18" t="e">
        <f>'All regions'!G423+"$F;@!YG"</f>
        <v>#VALUE!</v>
      </c>
      <c r="FN18" t="e">
        <f>'All regions'!H423+"$F;@!YH"</f>
        <v>#VALUE!</v>
      </c>
      <c r="FO18" t="e">
        <f>'All regions'!I423+"$F;@!YI"</f>
        <v>#VALUE!</v>
      </c>
      <c r="FP18" t="e">
        <f>'All regions'!A424+"$F;@!YJ"</f>
        <v>#VALUE!</v>
      </c>
      <c r="FQ18" t="e">
        <f>'All regions'!B424+"$F;@!YK"</f>
        <v>#VALUE!</v>
      </c>
      <c r="FR18" t="e">
        <f>'All regions'!C424+"$F;@!YL"</f>
        <v>#VALUE!</v>
      </c>
      <c r="FS18" t="e">
        <f>'All regions'!D424+"$F;@!YM"</f>
        <v>#VALUE!</v>
      </c>
      <c r="FT18" t="e">
        <f>'All regions'!E424+"$F;@!YN"</f>
        <v>#VALUE!</v>
      </c>
      <c r="FU18" t="e">
        <f>'All regions'!F424+"$F;@!YO"</f>
        <v>#VALUE!</v>
      </c>
      <c r="FV18" t="e">
        <f>'All regions'!G424+"$F;@!YP"</f>
        <v>#VALUE!</v>
      </c>
      <c r="FW18" t="e">
        <f>'All regions'!H424+"$F;@!YQ"</f>
        <v>#VALUE!</v>
      </c>
      <c r="FX18" t="e">
        <f>'All regions'!I424+"$F;@!YR"</f>
        <v>#VALUE!</v>
      </c>
      <c r="FY18" t="e">
        <f>'All regions'!A425+"$F;@!YS"</f>
        <v>#VALUE!</v>
      </c>
      <c r="FZ18" t="e">
        <f>'All regions'!B425+"$F;@!YT"</f>
        <v>#VALUE!</v>
      </c>
      <c r="GA18" t="e">
        <f>'All regions'!C425+"$F;@!YU"</f>
        <v>#VALUE!</v>
      </c>
      <c r="GB18" t="e">
        <f>'All regions'!D425+"$F;@!YV"</f>
        <v>#VALUE!</v>
      </c>
      <c r="GC18" t="e">
        <f>'All regions'!E425+"$F;@!YW"</f>
        <v>#VALUE!</v>
      </c>
      <c r="GD18" t="e">
        <f>'All regions'!F425+"$F;@!YX"</f>
        <v>#VALUE!</v>
      </c>
      <c r="GE18" t="e">
        <f>'All regions'!G425+"$F;@!YY"</f>
        <v>#VALUE!</v>
      </c>
      <c r="GF18" t="e">
        <f>'All regions'!H425+"$F;@!YZ"</f>
        <v>#VALUE!</v>
      </c>
      <c r="GG18" t="e">
        <f>'All regions'!I425+"$F;@!Y["</f>
        <v>#VALUE!</v>
      </c>
      <c r="GH18" t="e">
        <f>'All regions'!A426+"$F;@!Y\"</f>
        <v>#VALUE!</v>
      </c>
      <c r="GI18" t="e">
        <f>'All regions'!B426+"$F;@!Y]"</f>
        <v>#VALUE!</v>
      </c>
      <c r="GJ18" t="e">
        <f>'All regions'!C426+"$F;@!Y^"</f>
        <v>#VALUE!</v>
      </c>
      <c r="GK18" t="e">
        <f>'All regions'!D426+"$F;@!Y_"</f>
        <v>#VALUE!</v>
      </c>
      <c r="GL18" t="e">
        <f>'All regions'!E426+"$F;@!Y`"</f>
        <v>#VALUE!</v>
      </c>
      <c r="GM18" t="e">
        <f>'All regions'!F426+"$F;@!Ya"</f>
        <v>#VALUE!</v>
      </c>
      <c r="GN18" t="e">
        <f>'All regions'!G426+"$F;@!Yb"</f>
        <v>#VALUE!</v>
      </c>
      <c r="GO18" t="e">
        <f>'All regions'!H426+"$F;@!Yc"</f>
        <v>#VALUE!</v>
      </c>
      <c r="GP18" t="e">
        <f>'All regions'!I426+"$F;@!Yd"</f>
        <v>#VALUE!</v>
      </c>
      <c r="GQ18" t="e">
        <f>'All regions'!A427+"$F;@!Ye"</f>
        <v>#VALUE!</v>
      </c>
      <c r="GR18" t="e">
        <f>'All regions'!B427+"$F;@!Yf"</f>
        <v>#VALUE!</v>
      </c>
      <c r="GS18" t="e">
        <f>'All regions'!C427+"$F;@!Yg"</f>
        <v>#VALUE!</v>
      </c>
      <c r="GT18" t="e">
        <f>'All regions'!D427+"$F;@!Yh"</f>
        <v>#VALUE!</v>
      </c>
      <c r="GU18" t="e">
        <f>'All regions'!E427+"$F;@!Yi"</f>
        <v>#VALUE!</v>
      </c>
      <c r="GV18" t="e">
        <f>'All regions'!F427+"$F;@!Yj"</f>
        <v>#VALUE!</v>
      </c>
      <c r="GW18" t="e">
        <f>'All regions'!G427+"$F;@!Yk"</f>
        <v>#VALUE!</v>
      </c>
      <c r="GX18" t="e">
        <f>'All regions'!H427+"$F;@!Yl"</f>
        <v>#VALUE!</v>
      </c>
      <c r="GY18" t="e">
        <f>'All regions'!I427+"$F;@!Ym"</f>
        <v>#VALUE!</v>
      </c>
      <c r="GZ18" t="e">
        <f>'All regions'!A428+"$F;@!Yn"</f>
        <v>#VALUE!</v>
      </c>
      <c r="HA18" t="e">
        <f>'All regions'!B428+"$F;@!Yo"</f>
        <v>#VALUE!</v>
      </c>
      <c r="HB18" t="e">
        <f>'All regions'!C428+"$F;@!Yp"</f>
        <v>#VALUE!</v>
      </c>
      <c r="HC18" t="e">
        <f>'All regions'!D428+"$F;@!Yq"</f>
        <v>#VALUE!</v>
      </c>
      <c r="HD18" t="e">
        <f>'All regions'!E428+"$F;@!Yr"</f>
        <v>#VALUE!</v>
      </c>
      <c r="HE18" t="e">
        <f>'All regions'!F428+"$F;@!Ys"</f>
        <v>#VALUE!</v>
      </c>
      <c r="HF18" t="e">
        <f>'All regions'!G428+"$F;@!Yt"</f>
        <v>#VALUE!</v>
      </c>
      <c r="HG18" t="e">
        <f>'All regions'!H428+"$F;@!Yu"</f>
        <v>#VALUE!</v>
      </c>
      <c r="HH18" t="e">
        <f>'All regions'!I428+"$F;@!Yv"</f>
        <v>#VALUE!</v>
      </c>
      <c r="HI18" t="e">
        <f>'All regions'!A429+"$F;@!Yw"</f>
        <v>#VALUE!</v>
      </c>
      <c r="HJ18" t="e">
        <f>'All regions'!B429+"$F;@!Yx"</f>
        <v>#VALUE!</v>
      </c>
      <c r="HK18" t="e">
        <f>'All regions'!C429+"$F;@!Yy"</f>
        <v>#VALUE!</v>
      </c>
      <c r="HL18" t="e">
        <f>'All regions'!D429+"$F;@!Yz"</f>
        <v>#VALUE!</v>
      </c>
      <c r="HM18" t="e">
        <f>'All regions'!E429+"$F;@!Y{"</f>
        <v>#VALUE!</v>
      </c>
      <c r="HN18" t="e">
        <f>'All regions'!F429+"$F;@!Y|"</f>
        <v>#VALUE!</v>
      </c>
      <c r="HO18" t="e">
        <f>'All regions'!G429+"$F;@!Y}"</f>
        <v>#VALUE!</v>
      </c>
      <c r="HP18" t="e">
        <f>'All regions'!H429+"$F;@!Y~"</f>
        <v>#VALUE!</v>
      </c>
      <c r="HQ18" t="e">
        <f>'All regions'!I429+"$F;@!Z#"</f>
        <v>#VALUE!</v>
      </c>
      <c r="HR18" t="e">
        <f>'All regions'!A430+"$F;@!Z$"</f>
        <v>#VALUE!</v>
      </c>
      <c r="HS18" t="e">
        <f>'All regions'!B430+"$F;@!Z%"</f>
        <v>#VALUE!</v>
      </c>
      <c r="HT18" t="e">
        <f>'All regions'!C430+"$F;@!Z&amp;"</f>
        <v>#VALUE!</v>
      </c>
      <c r="HU18" t="e">
        <f>'All regions'!D430+"$F;@!Z'"</f>
        <v>#VALUE!</v>
      </c>
      <c r="HV18" t="e">
        <f>'All regions'!E430+"$F;@!Z("</f>
        <v>#VALUE!</v>
      </c>
      <c r="HW18" t="e">
        <f>'All regions'!F430+"$F;@!Z)"</f>
        <v>#VALUE!</v>
      </c>
      <c r="HX18" t="e">
        <f>'All regions'!G430+"$F;@!Z."</f>
        <v>#VALUE!</v>
      </c>
      <c r="HY18" t="e">
        <f>'All regions'!H430+"$F;@!Z/"</f>
        <v>#VALUE!</v>
      </c>
      <c r="HZ18" t="e">
        <f>'All regions'!I430+"$F;@!Z0"</f>
        <v>#VALUE!</v>
      </c>
      <c r="IA18" t="e">
        <f>'All regions'!A431+"$F;@!Z1"</f>
        <v>#VALUE!</v>
      </c>
      <c r="IB18" t="e">
        <f>'All regions'!B431+"$F;@!Z2"</f>
        <v>#VALUE!</v>
      </c>
      <c r="IC18" t="e">
        <f>'All regions'!C431+"$F;@!Z3"</f>
        <v>#VALUE!</v>
      </c>
      <c r="ID18" t="e">
        <f>'All regions'!D431+"$F;@!Z4"</f>
        <v>#VALUE!</v>
      </c>
      <c r="IE18" t="e">
        <f>'All regions'!E431+"$F;@!Z5"</f>
        <v>#VALUE!</v>
      </c>
      <c r="IF18" t="e">
        <f>'All regions'!F431+"$F;@!Z6"</f>
        <v>#VALUE!</v>
      </c>
      <c r="IG18" t="e">
        <f>'All regions'!G431+"$F;@!Z7"</f>
        <v>#VALUE!</v>
      </c>
      <c r="IH18" t="e">
        <f>'All regions'!H431+"$F;@!Z8"</f>
        <v>#VALUE!</v>
      </c>
      <c r="II18" t="e">
        <f>'All regions'!I431+"$F;@!Z9"</f>
        <v>#VALUE!</v>
      </c>
      <c r="IJ18" t="e">
        <f>'All regions'!A432+"$F;@!Z:"</f>
        <v>#VALUE!</v>
      </c>
      <c r="IK18" t="e">
        <f>'All regions'!B432+"$F;@!Z;"</f>
        <v>#VALUE!</v>
      </c>
      <c r="IL18" t="e">
        <f>'All regions'!C432+"$F;@!Z&lt;"</f>
        <v>#VALUE!</v>
      </c>
      <c r="IM18" t="e">
        <f>'All regions'!D432+"$F;@!Z="</f>
        <v>#VALUE!</v>
      </c>
      <c r="IN18" t="e">
        <f>'All regions'!E432+"$F;@!Z&gt;"</f>
        <v>#VALUE!</v>
      </c>
      <c r="IO18" t="e">
        <f>'All regions'!F432+"$F;@!Z?"</f>
        <v>#VALUE!</v>
      </c>
      <c r="IP18" t="e">
        <f>'All regions'!G432+"$F;@!Z@"</f>
        <v>#VALUE!</v>
      </c>
      <c r="IQ18" t="e">
        <f>'All regions'!H432+"$F;@!ZA"</f>
        <v>#VALUE!</v>
      </c>
      <c r="IR18" t="e">
        <f>'All regions'!I432+"$F;@!ZB"</f>
        <v>#VALUE!</v>
      </c>
      <c r="IS18" t="e">
        <f>'All regions'!A433+"$F;@!ZC"</f>
        <v>#VALUE!</v>
      </c>
      <c r="IT18" t="e">
        <f>'All regions'!B433+"$F;@!ZD"</f>
        <v>#VALUE!</v>
      </c>
      <c r="IU18" t="e">
        <f>'All regions'!C433+"$F;@!ZE"</f>
        <v>#VALUE!</v>
      </c>
      <c r="IV18" t="e">
        <f>'All regions'!D433+"$F;@!ZF"</f>
        <v>#VALUE!</v>
      </c>
    </row>
    <row r="19" spans="6:256" x14ac:dyDescent="0.35">
      <c r="F19" t="e">
        <f>'All regions'!E433+"$F;@!ZG"</f>
        <v>#VALUE!</v>
      </c>
      <c r="G19" t="e">
        <f>'All regions'!F433+"$F;@!ZH"</f>
        <v>#VALUE!</v>
      </c>
      <c r="H19" t="e">
        <f>'All regions'!G433+"$F;@!ZI"</f>
        <v>#VALUE!</v>
      </c>
      <c r="I19" t="e">
        <f>'All regions'!H433+"$F;@!ZJ"</f>
        <v>#VALUE!</v>
      </c>
      <c r="J19" t="e">
        <f>'All regions'!I433+"$F;@!ZK"</f>
        <v>#VALUE!</v>
      </c>
      <c r="K19" t="e">
        <f>'All regions'!A434+"$F;@!ZL"</f>
        <v>#VALUE!</v>
      </c>
      <c r="L19" t="e">
        <f>'All regions'!B434+"$F;@!ZM"</f>
        <v>#VALUE!</v>
      </c>
      <c r="M19" t="e">
        <f>'All regions'!C434+"$F;@!ZN"</f>
        <v>#VALUE!</v>
      </c>
      <c r="N19" t="e">
        <f>'All regions'!D434+"$F;@!ZO"</f>
        <v>#VALUE!</v>
      </c>
      <c r="O19" t="e">
        <f>'All regions'!E434+"$F;@!ZP"</f>
        <v>#VALUE!</v>
      </c>
      <c r="P19" t="e">
        <f>'All regions'!F434+"$F;@!ZQ"</f>
        <v>#VALUE!</v>
      </c>
      <c r="Q19" t="e">
        <f>'All regions'!G434+"$F;@!ZR"</f>
        <v>#VALUE!</v>
      </c>
      <c r="R19" t="e">
        <f>'All regions'!H434+"$F;@!ZS"</f>
        <v>#VALUE!</v>
      </c>
      <c r="S19" t="e">
        <f>'All regions'!I434+"$F;@!ZT"</f>
        <v>#VALUE!</v>
      </c>
      <c r="T19" t="e">
        <f>'All regions'!A435+"$F;@!ZU"</f>
        <v>#VALUE!</v>
      </c>
      <c r="U19" t="e">
        <f>'All regions'!B435+"$F;@!ZV"</f>
        <v>#VALUE!</v>
      </c>
      <c r="V19" t="e">
        <f>'All regions'!C435+"$F;@!ZW"</f>
        <v>#VALUE!</v>
      </c>
      <c r="W19" t="e">
        <f>'All regions'!D435+"$F;@!ZX"</f>
        <v>#VALUE!</v>
      </c>
      <c r="X19" t="e">
        <f>'All regions'!E435+"$F;@!ZY"</f>
        <v>#VALUE!</v>
      </c>
      <c r="Y19" t="e">
        <f>'All regions'!F435+"$F;@!ZZ"</f>
        <v>#VALUE!</v>
      </c>
      <c r="Z19" t="e">
        <f>'All regions'!G435+"$F;@!Z["</f>
        <v>#VALUE!</v>
      </c>
      <c r="AA19" t="e">
        <f>'All regions'!H435+"$F;@!Z\"</f>
        <v>#VALUE!</v>
      </c>
      <c r="AB19" t="e">
        <f>'All regions'!I435+"$F;@!Z]"</f>
        <v>#VALUE!</v>
      </c>
      <c r="AC19" t="e">
        <f>'All regions'!A436+"$F;@!Z^"</f>
        <v>#VALUE!</v>
      </c>
      <c r="AD19" t="e">
        <f>'All regions'!B436+"$F;@!Z_"</f>
        <v>#VALUE!</v>
      </c>
      <c r="AE19" t="e">
        <f>'All regions'!C436+"$F;@!Z`"</f>
        <v>#VALUE!</v>
      </c>
      <c r="AF19" t="e">
        <f>'All regions'!D436+"$F;@!Za"</f>
        <v>#VALUE!</v>
      </c>
      <c r="AG19" t="e">
        <f>'All regions'!E436+"$F;@!Zb"</f>
        <v>#VALUE!</v>
      </c>
      <c r="AH19" t="e">
        <f>'All regions'!F436+"$F;@!Zc"</f>
        <v>#VALUE!</v>
      </c>
      <c r="AI19" t="e">
        <f>'All regions'!G436+"$F;@!Zd"</f>
        <v>#VALUE!</v>
      </c>
      <c r="AJ19" t="e">
        <f>'All regions'!H436+"$F;@!Ze"</f>
        <v>#VALUE!</v>
      </c>
      <c r="AK19" t="e">
        <f>'All regions'!I436+"$F;@!Zf"</f>
        <v>#VALUE!</v>
      </c>
      <c r="AL19" t="e">
        <f>'All regions'!A437+"$F;@!Zg"</f>
        <v>#VALUE!</v>
      </c>
      <c r="AM19" t="e">
        <f>'All regions'!B437+"$F;@!Zh"</f>
        <v>#VALUE!</v>
      </c>
      <c r="AN19" t="e">
        <f>'All regions'!C437+"$F;@!Zi"</f>
        <v>#VALUE!</v>
      </c>
      <c r="AO19" t="e">
        <f>'All regions'!D437+"$F;@!Zj"</f>
        <v>#VALUE!</v>
      </c>
      <c r="AP19" t="e">
        <f>'All regions'!E437+"$F;@!Zk"</f>
        <v>#VALUE!</v>
      </c>
      <c r="AQ19" t="e">
        <f>'All regions'!F437+"$F;@!Zl"</f>
        <v>#VALUE!</v>
      </c>
      <c r="AR19" t="e">
        <f>'All regions'!G437+"$F;@!Zm"</f>
        <v>#VALUE!</v>
      </c>
      <c r="AS19" t="e">
        <f>'All regions'!H437+"$F;@!Zn"</f>
        <v>#VALUE!</v>
      </c>
      <c r="AT19" t="e">
        <f>'All regions'!I437+"$F;@!Zo"</f>
        <v>#VALUE!</v>
      </c>
      <c r="AU19" t="e">
        <f>'All regions'!A438+"$F;@!Zp"</f>
        <v>#VALUE!</v>
      </c>
      <c r="AV19" t="e">
        <f>'All regions'!B438+"$F;@!Zq"</f>
        <v>#VALUE!</v>
      </c>
      <c r="AW19" t="e">
        <f>'All regions'!C438+"$F;@!Zr"</f>
        <v>#VALUE!</v>
      </c>
      <c r="AX19" t="e">
        <f>'All regions'!D438+"$F;@!Zs"</f>
        <v>#VALUE!</v>
      </c>
      <c r="AY19" t="e">
        <f>'All regions'!E438+"$F;@!Zt"</f>
        <v>#VALUE!</v>
      </c>
      <c r="AZ19" t="e">
        <f>'All regions'!F438+"$F;@!Zu"</f>
        <v>#VALUE!</v>
      </c>
      <c r="BA19" t="e">
        <f>'All regions'!G438+"$F;@!Zv"</f>
        <v>#VALUE!</v>
      </c>
      <c r="BB19" t="e">
        <f>'All regions'!H438+"$F;@!Zw"</f>
        <v>#VALUE!</v>
      </c>
      <c r="BC19" t="e">
        <f>'All regions'!I438+"$F;@!Zx"</f>
        <v>#VALUE!</v>
      </c>
      <c r="BD19" t="e">
        <f>'All regions'!A439+"$F;@!Zy"</f>
        <v>#VALUE!</v>
      </c>
      <c r="BE19" t="e">
        <f>'All regions'!B439+"$F;@!Zz"</f>
        <v>#VALUE!</v>
      </c>
      <c r="BF19" t="e">
        <f>'All regions'!C439+"$F;@!Z{"</f>
        <v>#VALUE!</v>
      </c>
      <c r="BG19" t="e">
        <f>'All regions'!D439+"$F;@!Z|"</f>
        <v>#VALUE!</v>
      </c>
      <c r="BH19" t="e">
        <f>'All regions'!E439+"$F;@!Z}"</f>
        <v>#VALUE!</v>
      </c>
      <c r="BI19" t="e">
        <f>'All regions'!F439+"$F;@!Z~"</f>
        <v>#VALUE!</v>
      </c>
      <c r="BJ19" t="e">
        <f>'All regions'!G439+"$F;@![#"</f>
        <v>#VALUE!</v>
      </c>
      <c r="BK19" t="e">
        <f>'All regions'!H439+"$F;@![$"</f>
        <v>#VALUE!</v>
      </c>
      <c r="BL19" t="e">
        <f>'All regions'!I439+"$F;@![%"</f>
        <v>#VALUE!</v>
      </c>
      <c r="BM19" t="e">
        <f>'All regions'!A440+"$F;@![&amp;"</f>
        <v>#VALUE!</v>
      </c>
      <c r="BN19" t="e">
        <f>'All regions'!B440+"$F;@!['"</f>
        <v>#VALUE!</v>
      </c>
      <c r="BO19" t="e">
        <f>'All regions'!C440+"$F;@![("</f>
        <v>#VALUE!</v>
      </c>
      <c r="BP19" t="e">
        <f>'All regions'!D440+"$F;@![)"</f>
        <v>#VALUE!</v>
      </c>
      <c r="BQ19" t="e">
        <f>'All regions'!E440+"$F;@![."</f>
        <v>#VALUE!</v>
      </c>
      <c r="BR19" t="e">
        <f>'All regions'!F440+"$F;@![/"</f>
        <v>#VALUE!</v>
      </c>
      <c r="BS19" t="e">
        <f>'All regions'!G440+"$F;@![0"</f>
        <v>#VALUE!</v>
      </c>
      <c r="BT19" t="e">
        <f>'All regions'!H440+"$F;@![1"</f>
        <v>#VALUE!</v>
      </c>
      <c r="BU19" t="e">
        <f>'All regions'!I440+"$F;@![2"</f>
        <v>#VALUE!</v>
      </c>
      <c r="BV19" t="e">
        <f>'All regions'!A441+"$F;@![3"</f>
        <v>#VALUE!</v>
      </c>
      <c r="BW19" t="e">
        <f>'All regions'!B441+"$F;@![4"</f>
        <v>#VALUE!</v>
      </c>
      <c r="BX19" t="e">
        <f>'All regions'!C441+"$F;@![5"</f>
        <v>#VALUE!</v>
      </c>
      <c r="BY19" t="e">
        <f>'All regions'!D441+"$F;@![6"</f>
        <v>#VALUE!</v>
      </c>
      <c r="BZ19" t="e">
        <f>'All regions'!E441+"$F;@![7"</f>
        <v>#VALUE!</v>
      </c>
      <c r="CA19" t="e">
        <f>'All regions'!F441+"$F;@![8"</f>
        <v>#VALUE!</v>
      </c>
      <c r="CB19" t="e">
        <f>'All regions'!G441+"$F;@![9"</f>
        <v>#VALUE!</v>
      </c>
      <c r="CC19" t="e">
        <f>'All regions'!H441+"$F;@![:"</f>
        <v>#VALUE!</v>
      </c>
      <c r="CD19" t="e">
        <f>'All regions'!I441+"$F;@![;"</f>
        <v>#VALUE!</v>
      </c>
      <c r="CE19" t="e">
        <f>'All regions'!A442+"$F;@![&lt;"</f>
        <v>#VALUE!</v>
      </c>
      <c r="CF19" t="e">
        <f>'All regions'!B442+"$F;@![="</f>
        <v>#VALUE!</v>
      </c>
      <c r="CG19" t="e">
        <f>'All regions'!C442+"$F;@![&gt;"</f>
        <v>#VALUE!</v>
      </c>
      <c r="CH19" t="e">
        <f>'All regions'!D442+"$F;@![?"</f>
        <v>#VALUE!</v>
      </c>
      <c r="CI19" t="e">
        <f>'All regions'!E442+"$F;@![@"</f>
        <v>#VALUE!</v>
      </c>
      <c r="CJ19" t="e">
        <f>'All regions'!F442+"$F;@![A"</f>
        <v>#VALUE!</v>
      </c>
      <c r="CK19" t="e">
        <f>'All regions'!G442+"$F;@![B"</f>
        <v>#VALUE!</v>
      </c>
      <c r="CL19" t="e">
        <f>'All regions'!H442+"$F;@![C"</f>
        <v>#VALUE!</v>
      </c>
      <c r="CM19" t="e">
        <f>'All regions'!I442+"$F;@![D"</f>
        <v>#VALUE!</v>
      </c>
      <c r="CN19" t="e">
        <f>'All regions'!A443+"$F;@![E"</f>
        <v>#VALUE!</v>
      </c>
      <c r="CO19" t="e">
        <f>'All regions'!B443+"$F;@![F"</f>
        <v>#VALUE!</v>
      </c>
      <c r="CP19" t="e">
        <f>'All regions'!C443+"$F;@![G"</f>
        <v>#VALUE!</v>
      </c>
      <c r="CQ19" t="e">
        <f>'All regions'!D443+"$F;@![H"</f>
        <v>#VALUE!</v>
      </c>
      <c r="CR19" t="e">
        <f>'All regions'!E443+"$F;@![I"</f>
        <v>#VALUE!</v>
      </c>
      <c r="CS19" t="e">
        <f>'All regions'!F443+"$F;@![J"</f>
        <v>#VALUE!</v>
      </c>
      <c r="CT19" t="e">
        <f>'All regions'!G443+"$F;@![K"</f>
        <v>#VALUE!</v>
      </c>
      <c r="CU19" t="e">
        <f>'All regions'!H443+"$F;@![L"</f>
        <v>#VALUE!</v>
      </c>
      <c r="CV19" t="e">
        <f>'All regions'!I443+"$F;@![M"</f>
        <v>#VALUE!</v>
      </c>
      <c r="CW19" t="e">
        <f>'All regions'!A444+"$F;@![N"</f>
        <v>#VALUE!</v>
      </c>
      <c r="CX19" t="e">
        <f>'All regions'!B444+"$F;@![O"</f>
        <v>#VALUE!</v>
      </c>
      <c r="CY19" t="e">
        <f>'All regions'!C444+"$F;@![P"</f>
        <v>#VALUE!</v>
      </c>
      <c r="CZ19" t="e">
        <f>'All regions'!D444+"$F;@![Q"</f>
        <v>#VALUE!</v>
      </c>
      <c r="DA19" t="e">
        <f>'All regions'!E444+"$F;@![R"</f>
        <v>#VALUE!</v>
      </c>
      <c r="DB19" t="e">
        <f>'All regions'!F444+"$F;@![S"</f>
        <v>#VALUE!</v>
      </c>
      <c r="DC19" t="e">
        <f>'All regions'!G444+"$F;@![T"</f>
        <v>#VALUE!</v>
      </c>
      <c r="DD19" t="e">
        <f>'All regions'!H444+"$F;@![U"</f>
        <v>#VALUE!</v>
      </c>
      <c r="DE19" t="e">
        <f>'All regions'!I444+"$F;@![V"</f>
        <v>#VALUE!</v>
      </c>
      <c r="DF19" t="e">
        <f>'All regions'!A445+"$F;@![W"</f>
        <v>#VALUE!</v>
      </c>
      <c r="DG19" t="e">
        <f>'All regions'!B445+"$F;@![X"</f>
        <v>#VALUE!</v>
      </c>
      <c r="DH19" t="e">
        <f>'All regions'!C445+"$F;@![Y"</f>
        <v>#VALUE!</v>
      </c>
      <c r="DI19" t="e">
        <f>'All regions'!D445+"$F;@![Z"</f>
        <v>#VALUE!</v>
      </c>
      <c r="DJ19" t="e">
        <f>'All regions'!E445+"$F;@![["</f>
        <v>#VALUE!</v>
      </c>
      <c r="DK19" t="e">
        <f>'All regions'!F445+"$F;@![\"</f>
        <v>#VALUE!</v>
      </c>
      <c r="DL19" t="e">
        <f>'All regions'!G445+"$F;@![]"</f>
        <v>#VALUE!</v>
      </c>
      <c r="DM19" t="e">
        <f>'All regions'!H445+"$F;@![^"</f>
        <v>#VALUE!</v>
      </c>
      <c r="DN19" t="e">
        <f>'All regions'!I445+"$F;@![_"</f>
        <v>#VALUE!</v>
      </c>
      <c r="DO19" t="e">
        <f>'All regions'!A446+"$F;@![`"</f>
        <v>#VALUE!</v>
      </c>
      <c r="DP19" t="e">
        <f>'All regions'!B446+"$F;@![a"</f>
        <v>#VALUE!</v>
      </c>
      <c r="DQ19" t="e">
        <f>'All regions'!C446+"$F;@![b"</f>
        <v>#VALUE!</v>
      </c>
      <c r="DR19" t="e">
        <f>'All regions'!D446+"$F;@![c"</f>
        <v>#VALUE!</v>
      </c>
      <c r="DS19" t="e">
        <f>'All regions'!E446+"$F;@![d"</f>
        <v>#VALUE!</v>
      </c>
      <c r="DT19" t="e">
        <f>'All regions'!F446+"$F;@![e"</f>
        <v>#VALUE!</v>
      </c>
      <c r="DU19" t="e">
        <f>'All regions'!G446+"$F;@![f"</f>
        <v>#VALUE!</v>
      </c>
      <c r="DV19" t="e">
        <f>'All regions'!H446+"$F;@![g"</f>
        <v>#VALUE!</v>
      </c>
      <c r="DW19" t="e">
        <f>'All regions'!I446+"$F;@![h"</f>
        <v>#VALUE!</v>
      </c>
      <c r="DX19" t="e">
        <f>'All regions'!A447+"$F;@![i"</f>
        <v>#VALUE!</v>
      </c>
      <c r="DY19" t="e">
        <f>'All regions'!B447+"$F;@![j"</f>
        <v>#VALUE!</v>
      </c>
      <c r="DZ19" t="e">
        <f>'All regions'!C447+"$F;@![k"</f>
        <v>#VALUE!</v>
      </c>
      <c r="EA19" t="e">
        <f>'All regions'!D447+"$F;@![l"</f>
        <v>#VALUE!</v>
      </c>
      <c r="EB19" t="e">
        <f>'All regions'!E447+"$F;@![m"</f>
        <v>#VALUE!</v>
      </c>
      <c r="EC19" t="e">
        <f>'All regions'!F447+"$F;@![n"</f>
        <v>#VALUE!</v>
      </c>
      <c r="ED19" t="e">
        <f>'All regions'!G447+"$F;@![o"</f>
        <v>#VALUE!</v>
      </c>
      <c r="EE19" t="e">
        <f>'All regions'!H447+"$F;@![p"</f>
        <v>#VALUE!</v>
      </c>
      <c r="EF19" t="e">
        <f>'All regions'!I447+"$F;@![q"</f>
        <v>#VALUE!</v>
      </c>
      <c r="EG19" t="e">
        <f>'All regions'!A448+"$F;@![r"</f>
        <v>#VALUE!</v>
      </c>
      <c r="EH19" t="e">
        <f>'All regions'!B448+"$F;@![s"</f>
        <v>#VALUE!</v>
      </c>
      <c r="EI19" t="e">
        <f>'All regions'!C448+"$F;@![t"</f>
        <v>#VALUE!</v>
      </c>
      <c r="EJ19" t="e">
        <f>'All regions'!D448+"$F;@![u"</f>
        <v>#VALUE!</v>
      </c>
      <c r="EK19" t="e">
        <f>'All regions'!E448+"$F;@![v"</f>
        <v>#VALUE!</v>
      </c>
      <c r="EL19" t="e">
        <f>'All regions'!F448+"$F;@![w"</f>
        <v>#VALUE!</v>
      </c>
      <c r="EM19" t="e">
        <f>'All regions'!G448+"$F;@![x"</f>
        <v>#VALUE!</v>
      </c>
      <c r="EN19" t="e">
        <f>'All regions'!H448+"$F;@![y"</f>
        <v>#VALUE!</v>
      </c>
      <c r="EO19" t="e">
        <f>'All regions'!I448+"$F;@![z"</f>
        <v>#VALUE!</v>
      </c>
      <c r="EP19" t="e">
        <f>'All regions'!A449+"$F;@![{"</f>
        <v>#VALUE!</v>
      </c>
      <c r="EQ19" t="e">
        <f>'All regions'!B449+"$F;@![|"</f>
        <v>#VALUE!</v>
      </c>
      <c r="ER19" t="e">
        <f>'All regions'!C449+"$F;@![}"</f>
        <v>#VALUE!</v>
      </c>
      <c r="ES19" t="e">
        <f>'All regions'!D449+"$F;@![~"</f>
        <v>#VALUE!</v>
      </c>
      <c r="ET19" t="e">
        <f>'All regions'!E449+"$F;@!\#"</f>
        <v>#VALUE!</v>
      </c>
      <c r="EU19" t="e">
        <f>'All regions'!F449+"$F;@!\$"</f>
        <v>#VALUE!</v>
      </c>
      <c r="EV19" t="e">
        <f>'All regions'!G449+"$F;@!\%"</f>
        <v>#VALUE!</v>
      </c>
      <c r="EW19" t="e">
        <f>'All regions'!H449+"$F;@!\&amp;"</f>
        <v>#VALUE!</v>
      </c>
      <c r="EX19" t="e">
        <f>'All regions'!I449+"$F;@!\'"</f>
        <v>#VALUE!</v>
      </c>
      <c r="EY19" t="e">
        <f>'All regions'!A450+"$F;@!\("</f>
        <v>#VALUE!</v>
      </c>
      <c r="EZ19" t="e">
        <f>'All regions'!B450+"$F;@!\)"</f>
        <v>#VALUE!</v>
      </c>
      <c r="FA19" t="e">
        <f>'All regions'!C450+"$F;@!\."</f>
        <v>#VALUE!</v>
      </c>
      <c r="FB19" t="e">
        <f>'All regions'!D450+"$F;@!\/"</f>
        <v>#VALUE!</v>
      </c>
      <c r="FC19" t="e">
        <f>'All regions'!E450+"$F;@!\0"</f>
        <v>#VALUE!</v>
      </c>
      <c r="FD19" t="e">
        <f>'All regions'!F450+"$F;@!\1"</f>
        <v>#VALUE!</v>
      </c>
      <c r="FE19" t="e">
        <f>'All regions'!G450+"$F;@!\2"</f>
        <v>#VALUE!</v>
      </c>
      <c r="FF19" t="e">
        <f>'All regions'!H450+"$F;@!\3"</f>
        <v>#VALUE!</v>
      </c>
      <c r="FG19" t="e">
        <f>'All regions'!I450+"$F;@!\4"</f>
        <v>#VALUE!</v>
      </c>
      <c r="FH19" t="e">
        <f>'All regions'!A451+"$F;@!\5"</f>
        <v>#VALUE!</v>
      </c>
      <c r="FI19" t="e">
        <f>'All regions'!B451+"$F;@!\6"</f>
        <v>#VALUE!</v>
      </c>
      <c r="FJ19" t="e">
        <f>'All regions'!C451+"$F;@!\7"</f>
        <v>#VALUE!</v>
      </c>
      <c r="FK19" t="e">
        <f>'All regions'!D451+"$F;@!\8"</f>
        <v>#VALUE!</v>
      </c>
      <c r="FL19" t="e">
        <f>'All regions'!E451+"$F;@!\9"</f>
        <v>#VALUE!</v>
      </c>
      <c r="FM19" t="e">
        <f>'All regions'!F451+"$F;@!\:"</f>
        <v>#VALUE!</v>
      </c>
      <c r="FN19" t="e">
        <f>'All regions'!G451+"$F;@!\;"</f>
        <v>#VALUE!</v>
      </c>
      <c r="FO19" t="e">
        <f>'All regions'!H451+"$F;@!\&lt;"</f>
        <v>#VALUE!</v>
      </c>
      <c r="FP19" t="e">
        <f>'All regions'!I451+"$F;@!\="</f>
        <v>#VALUE!</v>
      </c>
      <c r="FQ19" t="e">
        <f>'All regions'!A452+"$F;@!\&gt;"</f>
        <v>#VALUE!</v>
      </c>
      <c r="FR19" t="e">
        <f>'All regions'!B452+"$F;@!\?"</f>
        <v>#VALUE!</v>
      </c>
      <c r="FS19" t="e">
        <f>'All regions'!C452+"$F;@!\@"</f>
        <v>#VALUE!</v>
      </c>
      <c r="FT19" t="e">
        <f>'All regions'!D452+"$F;@!\A"</f>
        <v>#VALUE!</v>
      </c>
      <c r="FU19" t="e">
        <f>'All regions'!E452+"$F;@!\B"</f>
        <v>#VALUE!</v>
      </c>
      <c r="FV19" t="e">
        <f>'All regions'!F452+"$F;@!\C"</f>
        <v>#VALUE!</v>
      </c>
      <c r="FW19" t="e">
        <f>'All regions'!G452+"$F;@!\D"</f>
        <v>#VALUE!</v>
      </c>
      <c r="FX19" t="e">
        <f>'All regions'!H452+"$F;@!\E"</f>
        <v>#VALUE!</v>
      </c>
      <c r="FY19" t="e">
        <f>'All regions'!I452+"$F;@!\F"</f>
        <v>#VALUE!</v>
      </c>
      <c r="FZ19" t="e">
        <f>'All regions'!A453+"$F;@!\G"</f>
        <v>#VALUE!</v>
      </c>
      <c r="GA19" t="e">
        <f>'All regions'!B453+"$F;@!\H"</f>
        <v>#VALUE!</v>
      </c>
      <c r="GB19" t="e">
        <f>'All regions'!C453+"$F;@!\I"</f>
        <v>#VALUE!</v>
      </c>
      <c r="GC19" t="e">
        <f>'All regions'!D453+"$F;@!\J"</f>
        <v>#VALUE!</v>
      </c>
      <c r="GD19" t="e">
        <f>'All regions'!E453+"$F;@!\K"</f>
        <v>#VALUE!</v>
      </c>
      <c r="GE19" t="e">
        <f>'All regions'!F453+"$F;@!\L"</f>
        <v>#VALUE!</v>
      </c>
      <c r="GF19" t="e">
        <f>'All regions'!G453+"$F;@!\M"</f>
        <v>#VALUE!</v>
      </c>
      <c r="GG19" t="e">
        <f>'All regions'!H453+"$F;@!\N"</f>
        <v>#VALUE!</v>
      </c>
      <c r="GH19" t="e">
        <f>'All regions'!I453+"$F;@!\O"</f>
        <v>#VALUE!</v>
      </c>
      <c r="GI19" t="e">
        <f>'All regions'!A454+"$F;@!\P"</f>
        <v>#VALUE!</v>
      </c>
      <c r="GJ19" t="e">
        <f>'All regions'!B454+"$F;@!\Q"</f>
        <v>#VALUE!</v>
      </c>
      <c r="GK19" t="e">
        <f>'All regions'!C454+"$F;@!\R"</f>
        <v>#VALUE!</v>
      </c>
      <c r="GL19" t="e">
        <f>'All regions'!D454+"$F;@!\S"</f>
        <v>#VALUE!</v>
      </c>
      <c r="GM19" t="e">
        <f>'All regions'!E454+"$F;@!\T"</f>
        <v>#VALUE!</v>
      </c>
      <c r="GN19" t="e">
        <f>'All regions'!F454+"$F;@!\U"</f>
        <v>#VALUE!</v>
      </c>
      <c r="GO19" t="e">
        <f>'All regions'!G454+"$F;@!\V"</f>
        <v>#VALUE!</v>
      </c>
      <c r="GP19" t="e">
        <f>'All regions'!H454+"$F;@!\W"</f>
        <v>#VALUE!</v>
      </c>
      <c r="GQ19" t="e">
        <f>'All regions'!I454+"$F;@!\X"</f>
        <v>#VALUE!</v>
      </c>
      <c r="GR19" t="e">
        <f>'All regions'!A455+"$F;@!\Y"</f>
        <v>#VALUE!</v>
      </c>
      <c r="GS19" t="e">
        <f>'All regions'!B455+"$F;@!\Z"</f>
        <v>#VALUE!</v>
      </c>
      <c r="GT19" t="e">
        <f>'All regions'!C455+"$F;@!\["</f>
        <v>#VALUE!</v>
      </c>
      <c r="GU19" t="e">
        <f>'All regions'!D455+"$F;@!\\"</f>
        <v>#VALUE!</v>
      </c>
      <c r="GV19" t="e">
        <f>'All regions'!E455+"$F;@!\]"</f>
        <v>#VALUE!</v>
      </c>
      <c r="GW19" t="e">
        <f>'All regions'!F455+"$F;@!\^"</f>
        <v>#VALUE!</v>
      </c>
      <c r="GX19" t="e">
        <f>'All regions'!G455+"$F;@!\_"</f>
        <v>#VALUE!</v>
      </c>
      <c r="GY19" t="e">
        <f>'All regions'!H455+"$F;@!\`"</f>
        <v>#VALUE!</v>
      </c>
      <c r="GZ19" t="e">
        <f>'All regions'!I455+"$F;@!\a"</f>
        <v>#VALUE!</v>
      </c>
      <c r="HA19" t="e">
        <f>'All regions'!A456+"$F;@!\b"</f>
        <v>#VALUE!</v>
      </c>
      <c r="HB19" t="e">
        <f>'All regions'!B456+"$F;@!\c"</f>
        <v>#VALUE!</v>
      </c>
      <c r="HC19" t="e">
        <f>'All regions'!C456+"$F;@!\d"</f>
        <v>#VALUE!</v>
      </c>
      <c r="HD19" t="e">
        <f>'All regions'!D456+"$F;@!\e"</f>
        <v>#VALUE!</v>
      </c>
      <c r="HE19" t="e">
        <f>'All regions'!E456+"$F;@!\f"</f>
        <v>#VALUE!</v>
      </c>
      <c r="HF19" t="e">
        <f>'All regions'!F456+"$F;@!\g"</f>
        <v>#VALUE!</v>
      </c>
      <c r="HG19" t="e">
        <f>'All regions'!G456+"$F;@!\h"</f>
        <v>#VALUE!</v>
      </c>
      <c r="HH19" t="e">
        <f>'All regions'!H456+"$F;@!\i"</f>
        <v>#VALUE!</v>
      </c>
      <c r="HI19" t="e">
        <f>'All regions'!I456+"$F;@!\j"</f>
        <v>#VALUE!</v>
      </c>
      <c r="HJ19" t="e">
        <f>'All regions'!A457+"$F;@!\k"</f>
        <v>#VALUE!</v>
      </c>
      <c r="HK19" t="e">
        <f>'All regions'!B457+"$F;@!\l"</f>
        <v>#VALUE!</v>
      </c>
      <c r="HL19" t="e">
        <f>'All regions'!C457+"$F;@!\m"</f>
        <v>#VALUE!</v>
      </c>
      <c r="HM19" t="e">
        <f>'All regions'!D457+"$F;@!\n"</f>
        <v>#VALUE!</v>
      </c>
      <c r="HN19" t="e">
        <f>'All regions'!E457+"$F;@!\o"</f>
        <v>#VALUE!</v>
      </c>
      <c r="HO19" t="e">
        <f>'All regions'!F457+"$F;@!\p"</f>
        <v>#VALUE!</v>
      </c>
      <c r="HP19" t="e">
        <f>'All regions'!G457+"$F;@!\q"</f>
        <v>#VALUE!</v>
      </c>
      <c r="HQ19" t="e">
        <f>'All regions'!H457+"$F;@!\r"</f>
        <v>#VALUE!</v>
      </c>
      <c r="HR19" t="e">
        <f>'All regions'!I457+"$F;@!\s"</f>
        <v>#VALUE!</v>
      </c>
      <c r="HS19" t="e">
        <f>'All regions'!A458+"$F;@!\t"</f>
        <v>#VALUE!</v>
      </c>
      <c r="HT19" t="e">
        <f>'All regions'!B458+"$F;@!\u"</f>
        <v>#VALUE!</v>
      </c>
      <c r="HU19" t="e">
        <f>'All regions'!C458+"$F;@!\v"</f>
        <v>#VALUE!</v>
      </c>
      <c r="HV19" t="e">
        <f>'All regions'!D458+"$F;@!\w"</f>
        <v>#VALUE!</v>
      </c>
      <c r="HW19" t="e">
        <f>'All regions'!E458+"$F;@!\x"</f>
        <v>#VALUE!</v>
      </c>
      <c r="HX19" t="e">
        <f>'All regions'!F458+"$F;@!\y"</f>
        <v>#VALUE!</v>
      </c>
      <c r="HY19" t="e">
        <f>'All regions'!G458+"$F;@!\z"</f>
        <v>#VALUE!</v>
      </c>
      <c r="HZ19" t="e">
        <f>'All regions'!H458+"$F;@!\{"</f>
        <v>#VALUE!</v>
      </c>
      <c r="IA19" t="e">
        <f>'All regions'!I458+"$F;@!\|"</f>
        <v>#VALUE!</v>
      </c>
      <c r="IB19" t="e">
        <f>'All regions'!A459+"$F;@!\}"</f>
        <v>#VALUE!</v>
      </c>
      <c r="IC19" t="e">
        <f>'All regions'!B459+"$F;@!\~"</f>
        <v>#VALUE!</v>
      </c>
      <c r="ID19" t="e">
        <f>'All regions'!C459+"$F;@!]#"</f>
        <v>#VALUE!</v>
      </c>
      <c r="IE19" t="e">
        <f>'All regions'!D459+"$F;@!]$"</f>
        <v>#VALUE!</v>
      </c>
      <c r="IF19" t="e">
        <f>'All regions'!E459+"$F;@!]%"</f>
        <v>#VALUE!</v>
      </c>
      <c r="IG19" t="e">
        <f>'All regions'!F459+"$F;@!]&amp;"</f>
        <v>#VALUE!</v>
      </c>
      <c r="IH19" t="e">
        <f>'All regions'!G459+"$F;@!]'"</f>
        <v>#VALUE!</v>
      </c>
      <c r="II19" t="e">
        <f>'All regions'!H459+"$F;@!]("</f>
        <v>#VALUE!</v>
      </c>
      <c r="IJ19" t="e">
        <f>'All regions'!I459+"$F;@!])"</f>
        <v>#VALUE!</v>
      </c>
      <c r="IK19" t="e">
        <f>'All regions'!A460+"$F;@!]."</f>
        <v>#VALUE!</v>
      </c>
      <c r="IL19" t="e">
        <f>'All regions'!B460+"$F;@!]/"</f>
        <v>#VALUE!</v>
      </c>
      <c r="IM19" t="e">
        <f>'All regions'!C460+"$F;@!]0"</f>
        <v>#VALUE!</v>
      </c>
      <c r="IN19" t="e">
        <f>'All regions'!D460+"$F;@!]1"</f>
        <v>#VALUE!</v>
      </c>
      <c r="IO19" t="e">
        <f>'All regions'!E460+"$F;@!]2"</f>
        <v>#VALUE!</v>
      </c>
      <c r="IP19" t="e">
        <f>'All regions'!F460+"$F;@!]3"</f>
        <v>#VALUE!</v>
      </c>
      <c r="IQ19" t="e">
        <f>'All regions'!G460+"$F;@!]4"</f>
        <v>#VALUE!</v>
      </c>
      <c r="IR19" t="e">
        <f>'All regions'!H460+"$F;@!]5"</f>
        <v>#VALUE!</v>
      </c>
      <c r="IS19" t="e">
        <f>'All regions'!I460+"$F;@!]6"</f>
        <v>#VALUE!</v>
      </c>
      <c r="IT19" t="e">
        <f>'All regions'!A461+"$F;@!]7"</f>
        <v>#VALUE!</v>
      </c>
      <c r="IU19" t="e">
        <f>'All regions'!B461+"$F;@!]8"</f>
        <v>#VALUE!</v>
      </c>
      <c r="IV19" t="e">
        <f>'All regions'!C461+"$F;@!]9"</f>
        <v>#VALUE!</v>
      </c>
    </row>
    <row r="20" spans="6:256" x14ac:dyDescent="0.35">
      <c r="F20" t="e">
        <f>'All regions'!D461+"$F;@!]:"</f>
        <v>#VALUE!</v>
      </c>
      <c r="G20" t="e">
        <f>'All regions'!E461+"$F;@!];"</f>
        <v>#VALUE!</v>
      </c>
      <c r="H20" t="e">
        <f>'All regions'!F461+"$F;@!]&lt;"</f>
        <v>#VALUE!</v>
      </c>
      <c r="I20" t="e">
        <f>'All regions'!G461+"$F;@!]="</f>
        <v>#VALUE!</v>
      </c>
      <c r="J20" t="e">
        <f>'All regions'!H461+"$F;@!]&gt;"</f>
        <v>#VALUE!</v>
      </c>
      <c r="K20" t="e">
        <f>'All regions'!I461+"$F;@!]?"</f>
        <v>#VALUE!</v>
      </c>
      <c r="L20" t="e">
        <f>'All regions'!A462+"$F;@!]@"</f>
        <v>#VALUE!</v>
      </c>
      <c r="M20" t="e">
        <f>'All regions'!B462+"$F;@!]A"</f>
        <v>#VALUE!</v>
      </c>
      <c r="N20" t="e">
        <f>'All regions'!C462+"$F;@!]B"</f>
        <v>#VALUE!</v>
      </c>
      <c r="O20" t="e">
        <f>'All regions'!D462+"$F;@!]C"</f>
        <v>#VALUE!</v>
      </c>
      <c r="P20" t="e">
        <f>'All regions'!E462+"$F;@!]D"</f>
        <v>#VALUE!</v>
      </c>
      <c r="Q20" t="e">
        <f>'All regions'!F462+"$F;@!]E"</f>
        <v>#VALUE!</v>
      </c>
      <c r="R20" t="e">
        <f>'All regions'!G462+"$F;@!]F"</f>
        <v>#VALUE!</v>
      </c>
      <c r="S20" t="e">
        <f>'All regions'!H462+"$F;@!]G"</f>
        <v>#VALUE!</v>
      </c>
      <c r="T20" t="e">
        <f>'All regions'!I462+"$F;@!]H"</f>
        <v>#VALUE!</v>
      </c>
      <c r="U20" t="e">
        <f>'All regions'!A463+"$F;@!]I"</f>
        <v>#VALUE!</v>
      </c>
      <c r="V20" t="e">
        <f>'All regions'!B463+"$F;@!]J"</f>
        <v>#VALUE!</v>
      </c>
      <c r="W20" t="e">
        <f>'All regions'!C463+"$F;@!]K"</f>
        <v>#VALUE!</v>
      </c>
      <c r="X20" t="e">
        <f>'All regions'!D463+"$F;@!]L"</f>
        <v>#VALUE!</v>
      </c>
      <c r="Y20" t="e">
        <f>'All regions'!E463+"$F;@!]M"</f>
        <v>#VALUE!</v>
      </c>
      <c r="Z20" t="e">
        <f>'All regions'!F463+"$F;@!]N"</f>
        <v>#VALUE!</v>
      </c>
      <c r="AA20" t="e">
        <f>'All regions'!G463+"$F;@!]O"</f>
        <v>#VALUE!</v>
      </c>
      <c r="AB20" t="e">
        <f>'All regions'!H463+"$F;@!]P"</f>
        <v>#VALUE!</v>
      </c>
      <c r="AC20" t="e">
        <f>'All regions'!I463+"$F;@!]Q"</f>
        <v>#VALUE!</v>
      </c>
      <c r="AD20" t="e">
        <f>'All regions'!A464+"$F;@!]R"</f>
        <v>#VALUE!</v>
      </c>
      <c r="AE20" t="e">
        <f>'All regions'!B464+"$F;@!]S"</f>
        <v>#VALUE!</v>
      </c>
      <c r="AF20" t="e">
        <f>'All regions'!C464+"$F;@!]T"</f>
        <v>#VALUE!</v>
      </c>
      <c r="AG20" t="e">
        <f>'All regions'!D464+"$F;@!]U"</f>
        <v>#VALUE!</v>
      </c>
      <c r="AH20" t="e">
        <f>'All regions'!E464+"$F;@!]V"</f>
        <v>#VALUE!</v>
      </c>
      <c r="AI20" t="e">
        <f>'All regions'!F464+"$F;@!]W"</f>
        <v>#VALUE!</v>
      </c>
      <c r="AJ20" t="e">
        <f>'All regions'!G464+"$F;@!]X"</f>
        <v>#VALUE!</v>
      </c>
      <c r="AK20" t="e">
        <f>'All regions'!H464+"$F;@!]Y"</f>
        <v>#VALUE!</v>
      </c>
      <c r="AL20" t="e">
        <f>'All regions'!I464+"$F;@!]Z"</f>
        <v>#VALUE!</v>
      </c>
      <c r="AM20" t="e">
        <f>'All regions'!A465+"$F;@!]["</f>
        <v>#VALUE!</v>
      </c>
      <c r="AN20" t="e">
        <f>'All regions'!B465+"$F;@!]\"</f>
        <v>#VALUE!</v>
      </c>
      <c r="AO20" t="e">
        <f>'All regions'!C465+"$F;@!]]"</f>
        <v>#VALUE!</v>
      </c>
      <c r="AP20" t="e">
        <f>'All regions'!D465+"$F;@!]^"</f>
        <v>#VALUE!</v>
      </c>
      <c r="AQ20" t="e">
        <f>'All regions'!E465+"$F;@!]_"</f>
        <v>#VALUE!</v>
      </c>
      <c r="AR20" t="e">
        <f>'All regions'!F465+"$F;@!]`"</f>
        <v>#VALUE!</v>
      </c>
      <c r="AS20" t="e">
        <f>'All regions'!G465+"$F;@!]a"</f>
        <v>#VALUE!</v>
      </c>
      <c r="AT20" t="e">
        <f>'All regions'!H465+"$F;@!]b"</f>
        <v>#VALUE!</v>
      </c>
      <c r="AU20" t="e">
        <f>'All regions'!I465+"$F;@!]c"</f>
        <v>#VALUE!</v>
      </c>
      <c r="AV20" t="e">
        <f>'All regions'!A466+"$F;@!]d"</f>
        <v>#VALUE!</v>
      </c>
      <c r="AW20" t="e">
        <f>'All regions'!B466+"$F;@!]e"</f>
        <v>#VALUE!</v>
      </c>
      <c r="AX20" t="e">
        <f>'All regions'!C466+"$F;@!]f"</f>
        <v>#VALUE!</v>
      </c>
      <c r="AY20" t="e">
        <f>'All regions'!D466+"$F;@!]g"</f>
        <v>#VALUE!</v>
      </c>
      <c r="AZ20" t="e">
        <f>'All regions'!E466+"$F;@!]h"</f>
        <v>#VALUE!</v>
      </c>
      <c r="BA20" t="e">
        <f>'All regions'!F466+"$F;@!]i"</f>
        <v>#VALUE!</v>
      </c>
      <c r="BB20" t="e">
        <f>'All regions'!G466+"$F;@!]j"</f>
        <v>#VALUE!</v>
      </c>
      <c r="BC20" t="e">
        <f>'All regions'!H466+"$F;@!]k"</f>
        <v>#VALUE!</v>
      </c>
      <c r="BD20" t="e">
        <f>'All regions'!I466+"$F;@!]l"</f>
        <v>#VALUE!</v>
      </c>
      <c r="BE20" t="e">
        <f>'All regions'!A467+"$F;@!]m"</f>
        <v>#VALUE!</v>
      </c>
      <c r="BF20" t="e">
        <f>'All regions'!B467+"$F;@!]n"</f>
        <v>#VALUE!</v>
      </c>
      <c r="BG20" t="e">
        <f>'All regions'!C467+"$F;@!]o"</f>
        <v>#VALUE!</v>
      </c>
      <c r="BH20" t="e">
        <f>'All regions'!D467+"$F;@!]p"</f>
        <v>#VALUE!</v>
      </c>
      <c r="BI20" t="e">
        <f>'All regions'!E467+"$F;@!]q"</f>
        <v>#VALUE!</v>
      </c>
      <c r="BJ20" t="e">
        <f>'All regions'!F467+"$F;@!]r"</f>
        <v>#VALUE!</v>
      </c>
      <c r="BK20" t="e">
        <f>'All regions'!G467+"$F;@!]s"</f>
        <v>#VALUE!</v>
      </c>
      <c r="BL20" t="e">
        <f>'All regions'!H467+"$F;@!]t"</f>
        <v>#VALUE!</v>
      </c>
      <c r="BM20" t="e">
        <f>'All regions'!I467+"$F;@!]u"</f>
        <v>#VALUE!</v>
      </c>
      <c r="BN20" t="e">
        <f>'All regions'!A468+"$F;@!]v"</f>
        <v>#VALUE!</v>
      </c>
      <c r="BO20" t="e">
        <f>'All regions'!B468+"$F;@!]w"</f>
        <v>#VALUE!</v>
      </c>
      <c r="BP20" t="e">
        <f>'All regions'!C468+"$F;@!]x"</f>
        <v>#VALUE!</v>
      </c>
      <c r="BQ20" t="e">
        <f>'All regions'!D468+"$F;@!]y"</f>
        <v>#VALUE!</v>
      </c>
      <c r="BR20" t="e">
        <f>'All regions'!E468+"$F;@!]z"</f>
        <v>#VALUE!</v>
      </c>
      <c r="BS20" t="e">
        <f>'All regions'!F468+"$F;@!]{"</f>
        <v>#VALUE!</v>
      </c>
      <c r="BT20" t="e">
        <f>'All regions'!G468+"$F;@!]|"</f>
        <v>#VALUE!</v>
      </c>
      <c r="BU20" t="e">
        <f>'All regions'!H468+"$F;@!]}"</f>
        <v>#VALUE!</v>
      </c>
      <c r="BV20" t="e">
        <f>'All regions'!I468+"$F;@!]~"</f>
        <v>#VALUE!</v>
      </c>
      <c r="BW20" t="e">
        <f>'All regions'!A469+"$F;@!^#"</f>
        <v>#VALUE!</v>
      </c>
      <c r="BX20" t="e">
        <f>'All regions'!B469+"$F;@!^$"</f>
        <v>#VALUE!</v>
      </c>
      <c r="BY20" t="e">
        <f>'All regions'!C469+"$F;@!^%"</f>
        <v>#VALUE!</v>
      </c>
      <c r="BZ20" t="e">
        <f>'All regions'!D469+"$F;@!^&amp;"</f>
        <v>#VALUE!</v>
      </c>
      <c r="CA20" t="e">
        <f>'All regions'!E469+"$F;@!^'"</f>
        <v>#VALUE!</v>
      </c>
      <c r="CB20" t="e">
        <f>'All regions'!F469+"$F;@!^("</f>
        <v>#VALUE!</v>
      </c>
      <c r="CC20" t="e">
        <f>'All regions'!G469+"$F;@!^)"</f>
        <v>#VALUE!</v>
      </c>
      <c r="CD20" t="e">
        <f>'All regions'!H469+"$F;@!^."</f>
        <v>#VALUE!</v>
      </c>
      <c r="CE20" t="e">
        <f>'All regions'!I469+"$F;@!^/"</f>
        <v>#VALUE!</v>
      </c>
      <c r="CF20" t="e">
        <f>'All regions'!A470+"$F;@!^0"</f>
        <v>#VALUE!</v>
      </c>
      <c r="CG20" t="e">
        <f>'All regions'!B470+"$F;@!^1"</f>
        <v>#VALUE!</v>
      </c>
      <c r="CH20" t="e">
        <f>'All regions'!C470+"$F;@!^2"</f>
        <v>#VALUE!</v>
      </c>
      <c r="CI20" t="e">
        <f>'All regions'!D470+"$F;@!^3"</f>
        <v>#VALUE!</v>
      </c>
      <c r="CJ20" t="e">
        <f>'All regions'!E470+"$F;@!^4"</f>
        <v>#VALUE!</v>
      </c>
      <c r="CK20" t="e">
        <f>'All regions'!F470+"$F;@!^5"</f>
        <v>#VALUE!</v>
      </c>
      <c r="CL20" t="e">
        <f>'All regions'!G470+"$F;@!^6"</f>
        <v>#VALUE!</v>
      </c>
      <c r="CM20" t="e">
        <f>'All regions'!H470+"$F;@!^7"</f>
        <v>#VALUE!</v>
      </c>
      <c r="CN20" t="e">
        <f>'All regions'!I470+"$F;@!^8"</f>
        <v>#VALUE!</v>
      </c>
      <c r="CO20" t="e">
        <f>'All regions'!A471+"$F;@!^9"</f>
        <v>#VALUE!</v>
      </c>
      <c r="CP20" t="e">
        <f>'All regions'!B471+"$F;@!^:"</f>
        <v>#VALUE!</v>
      </c>
      <c r="CQ20" t="e">
        <f>'All regions'!C471+"$F;@!^;"</f>
        <v>#VALUE!</v>
      </c>
      <c r="CR20" t="e">
        <f>'All regions'!D471+"$F;@!^&lt;"</f>
        <v>#VALUE!</v>
      </c>
      <c r="CS20" t="e">
        <f>'All regions'!E471+"$F;@!^="</f>
        <v>#VALUE!</v>
      </c>
      <c r="CT20" t="e">
        <f>'All regions'!F471+"$F;@!^&gt;"</f>
        <v>#VALUE!</v>
      </c>
      <c r="CU20" t="e">
        <f>'All regions'!G471+"$F;@!^?"</f>
        <v>#VALUE!</v>
      </c>
      <c r="CV20" t="e">
        <f>'All regions'!H471+"$F;@!^@"</f>
        <v>#VALUE!</v>
      </c>
      <c r="CW20" t="e">
        <f>'All regions'!I471+"$F;@!^A"</f>
        <v>#VALUE!</v>
      </c>
      <c r="CX20" t="e">
        <f>'All regions'!A481+"$F;@!^B"</f>
        <v>#VALUE!</v>
      </c>
      <c r="CY20" t="e">
        <f>'All regions'!B481+"$F;@!^C"</f>
        <v>#VALUE!</v>
      </c>
      <c r="CZ20" t="e">
        <f>'All regions'!C481+"$F;@!^D"</f>
        <v>#VALUE!</v>
      </c>
      <c r="DA20" t="e">
        <f>'All regions'!D481+"$F;@!^E"</f>
        <v>#VALUE!</v>
      </c>
      <c r="DB20" t="e">
        <f>'All regions'!E481+"$F;@!^F"</f>
        <v>#VALUE!</v>
      </c>
      <c r="DC20" t="e">
        <f>'All regions'!F481+"$F;@!^G"</f>
        <v>#VALUE!</v>
      </c>
      <c r="DD20" t="e">
        <f>'All regions'!G481+"$F;@!^H"</f>
        <v>#VALUE!</v>
      </c>
      <c r="DE20" t="e">
        <f>'All regions'!H481+"$F;@!^I"</f>
        <v>#VALUE!</v>
      </c>
      <c r="DF20" t="e">
        <f>'All regions'!I481+"$F;@!^J"</f>
        <v>#VALUE!</v>
      </c>
      <c r="DG20" t="e">
        <f>'All regions'!A482+"$F;@!^K"</f>
        <v>#VALUE!</v>
      </c>
      <c r="DH20" t="e">
        <f>'All regions'!B482+"$F;@!^L"</f>
        <v>#VALUE!</v>
      </c>
      <c r="DI20" t="e">
        <f>'All regions'!C482+"$F;@!^M"</f>
        <v>#VALUE!</v>
      </c>
      <c r="DJ20" t="e">
        <f>'All regions'!D482+"$F;@!^N"</f>
        <v>#VALUE!</v>
      </c>
      <c r="DK20" t="e">
        <f>'All regions'!E482+"$F;@!^O"</f>
        <v>#VALUE!</v>
      </c>
      <c r="DL20" t="e">
        <f>'All regions'!F482+"$F;@!^P"</f>
        <v>#VALUE!</v>
      </c>
      <c r="DM20" t="e">
        <f>'All regions'!G482+"$F;@!^Q"</f>
        <v>#VALUE!</v>
      </c>
      <c r="DN20" t="e">
        <f>'All regions'!H482+"$F;@!^R"</f>
        <v>#VALUE!</v>
      </c>
      <c r="DO20" t="e">
        <f>'All regions'!I482+"$F;@!^S"</f>
        <v>#VALUE!</v>
      </c>
      <c r="DP20" t="e">
        <f>'All regions'!A483+"$F;@!^T"</f>
        <v>#VALUE!</v>
      </c>
      <c r="DQ20" t="e">
        <f>'All regions'!B483+"$F;@!^U"</f>
        <v>#VALUE!</v>
      </c>
      <c r="DR20" t="e">
        <f>'All regions'!C483+"$F;@!^V"</f>
        <v>#VALUE!</v>
      </c>
      <c r="DS20" t="e">
        <f>'All regions'!D483+"$F;@!^W"</f>
        <v>#VALUE!</v>
      </c>
      <c r="DT20" t="e">
        <f>'All regions'!E483+"$F;@!^X"</f>
        <v>#VALUE!</v>
      </c>
      <c r="DU20" t="e">
        <f>'All regions'!F483+"$F;@!^Y"</f>
        <v>#VALUE!</v>
      </c>
      <c r="DV20" t="e">
        <f>'All regions'!G483+"$F;@!^Z"</f>
        <v>#VALUE!</v>
      </c>
      <c r="DW20" t="e">
        <f>'All regions'!H483+"$F;@!^["</f>
        <v>#VALUE!</v>
      </c>
      <c r="DX20" t="e">
        <f>'All regions'!I483+"$F;@!^\"</f>
        <v>#VALUE!</v>
      </c>
      <c r="DY20" t="e">
        <f>'All regions'!A484+"$F;@!^]"</f>
        <v>#VALUE!</v>
      </c>
      <c r="DZ20" t="e">
        <f>'All regions'!B484+"$F;@!^^"</f>
        <v>#VALUE!</v>
      </c>
      <c r="EA20" t="e">
        <f>'All regions'!C484+"$F;@!^_"</f>
        <v>#VALUE!</v>
      </c>
      <c r="EB20" t="e">
        <f>'All regions'!D484+"$F;@!^`"</f>
        <v>#VALUE!</v>
      </c>
      <c r="EC20" t="e">
        <f>'All regions'!E484+"$F;@!^a"</f>
        <v>#VALUE!</v>
      </c>
      <c r="ED20" t="e">
        <f>'All regions'!F484+"$F;@!^b"</f>
        <v>#VALUE!</v>
      </c>
      <c r="EE20" t="e">
        <f>'All regions'!G484+"$F;@!^c"</f>
        <v>#VALUE!</v>
      </c>
      <c r="EF20" t="e">
        <f>'All regions'!H484+"$F;@!^d"</f>
        <v>#VALUE!</v>
      </c>
      <c r="EG20" t="e">
        <f>'All regions'!I484+"$F;@!^e"</f>
        <v>#VALUE!</v>
      </c>
      <c r="EH20" t="e">
        <f>'All regions'!A485+"$F;@!^f"</f>
        <v>#VALUE!</v>
      </c>
      <c r="EI20" t="e">
        <f>'All regions'!B485+"$F;@!^g"</f>
        <v>#VALUE!</v>
      </c>
      <c r="EJ20" t="e">
        <f>'All regions'!C485+"$F;@!^h"</f>
        <v>#VALUE!</v>
      </c>
      <c r="EK20" t="e">
        <f>'All regions'!D485+"$F;@!^i"</f>
        <v>#VALUE!</v>
      </c>
      <c r="EL20" t="e">
        <f>'All regions'!E485+"$F;@!^j"</f>
        <v>#VALUE!</v>
      </c>
      <c r="EM20" t="e">
        <f>'All regions'!F485+"$F;@!^k"</f>
        <v>#VALUE!</v>
      </c>
      <c r="EN20" t="e">
        <f>'All regions'!G485+"$F;@!^l"</f>
        <v>#VALUE!</v>
      </c>
      <c r="EO20" t="e">
        <f>'All regions'!H485+"$F;@!^m"</f>
        <v>#VALUE!</v>
      </c>
      <c r="EP20" t="e">
        <f>'All regions'!I485+"$F;@!^n"</f>
        <v>#VALUE!</v>
      </c>
      <c r="EQ20" t="e">
        <f>'All regions'!A486+"$F;@!^o"</f>
        <v>#VALUE!</v>
      </c>
      <c r="ER20" t="e">
        <f>'All regions'!B486+"$F;@!^p"</f>
        <v>#VALUE!</v>
      </c>
      <c r="ES20" t="e">
        <f>'All regions'!C486+"$F;@!^q"</f>
        <v>#VALUE!</v>
      </c>
      <c r="ET20" t="e">
        <f>'All regions'!D486+"$F;@!^r"</f>
        <v>#VALUE!</v>
      </c>
      <c r="EU20" t="e">
        <f>'All regions'!E486+"$F;@!^s"</f>
        <v>#VALUE!</v>
      </c>
      <c r="EV20" t="e">
        <f>'All regions'!F486+"$F;@!^t"</f>
        <v>#VALUE!</v>
      </c>
      <c r="EW20" t="e">
        <f>'All regions'!G486+"$F;@!^u"</f>
        <v>#VALUE!</v>
      </c>
      <c r="EX20" t="e">
        <f>'All regions'!H486+"$F;@!^v"</f>
        <v>#VALUE!</v>
      </c>
      <c r="EY20" t="e">
        <f>'All regions'!I486+"$F;@!^w"</f>
        <v>#VALUE!</v>
      </c>
      <c r="EZ20" t="e">
        <f>'All regions'!A487+"$F;@!^x"</f>
        <v>#VALUE!</v>
      </c>
      <c r="FA20" t="e">
        <f>'All regions'!B487+"$F;@!^y"</f>
        <v>#VALUE!</v>
      </c>
      <c r="FB20" t="e">
        <f>'All regions'!C487+"$F;@!^z"</f>
        <v>#VALUE!</v>
      </c>
      <c r="FC20" t="e">
        <f>'All regions'!D487+"$F;@!^{"</f>
        <v>#VALUE!</v>
      </c>
      <c r="FD20" t="e">
        <f>'All regions'!E487+"$F;@!^|"</f>
        <v>#VALUE!</v>
      </c>
      <c r="FE20" t="e">
        <f>'All regions'!F487+"$F;@!^}"</f>
        <v>#VALUE!</v>
      </c>
      <c r="FF20" t="e">
        <f>'All regions'!G487+"$F;@!^~"</f>
        <v>#VALUE!</v>
      </c>
      <c r="FG20" t="e">
        <f>'All regions'!H487+"$F;@!_#"</f>
        <v>#VALUE!</v>
      </c>
      <c r="FH20" t="e">
        <f>'All regions'!I487+"$F;@!_$"</f>
        <v>#VALUE!</v>
      </c>
      <c r="FI20" t="e">
        <f>'All regions'!A488+"$F;@!_%"</f>
        <v>#VALUE!</v>
      </c>
      <c r="FJ20" t="e">
        <f>'All regions'!B488+"$F;@!_&amp;"</f>
        <v>#VALUE!</v>
      </c>
      <c r="FK20" t="e">
        <f>'All regions'!C488+"$F;@!_'"</f>
        <v>#VALUE!</v>
      </c>
      <c r="FL20" t="e">
        <f>'All regions'!D488+"$F;@!_("</f>
        <v>#VALUE!</v>
      </c>
      <c r="FM20" t="e">
        <f>'All regions'!E488+"$F;@!_)"</f>
        <v>#VALUE!</v>
      </c>
      <c r="FN20" t="e">
        <f>'All regions'!F488+"$F;@!_."</f>
        <v>#VALUE!</v>
      </c>
      <c r="FO20" t="e">
        <f>'All regions'!G488+"$F;@!_/"</f>
        <v>#VALUE!</v>
      </c>
      <c r="FP20" t="e">
        <f>'All regions'!H488+"$F;@!_0"</f>
        <v>#VALUE!</v>
      </c>
      <c r="FQ20" t="e">
        <f>'All regions'!I488+"$F;@!_1"</f>
        <v>#VALUE!</v>
      </c>
      <c r="FR20" t="e">
        <f>'All regions'!A489+"$F;@!_2"</f>
        <v>#VALUE!</v>
      </c>
      <c r="FS20" t="e">
        <f>'All regions'!B489+"$F;@!_3"</f>
        <v>#VALUE!</v>
      </c>
      <c r="FT20" t="e">
        <f>'All regions'!C489+"$F;@!_4"</f>
        <v>#VALUE!</v>
      </c>
      <c r="FU20" t="e">
        <f>'All regions'!D489+"$F;@!_5"</f>
        <v>#VALUE!</v>
      </c>
      <c r="FV20" t="e">
        <f>'All regions'!E489+"$F;@!_6"</f>
        <v>#VALUE!</v>
      </c>
      <c r="FW20" t="e">
        <f>'All regions'!F489+"$F;@!_7"</f>
        <v>#VALUE!</v>
      </c>
      <c r="FX20" t="e">
        <f>'All regions'!G489+"$F;@!_8"</f>
        <v>#VALUE!</v>
      </c>
      <c r="FY20" t="e">
        <f>'All regions'!H489+"$F;@!_9"</f>
        <v>#VALUE!</v>
      </c>
      <c r="FZ20" t="e">
        <f>'All regions'!I489+"$F;@!_:"</f>
        <v>#VALUE!</v>
      </c>
      <c r="GA20" t="e">
        <f>'All regions'!A490+"$F;@!_;"</f>
        <v>#VALUE!</v>
      </c>
      <c r="GB20" t="e">
        <f>'All regions'!B490+"$F;@!_&lt;"</f>
        <v>#VALUE!</v>
      </c>
      <c r="GC20" t="e">
        <f>'All regions'!C490+"$F;@!_="</f>
        <v>#VALUE!</v>
      </c>
      <c r="GD20" t="e">
        <f>'All regions'!D490+"$F;@!_&gt;"</f>
        <v>#VALUE!</v>
      </c>
      <c r="GE20" t="e">
        <f>'All regions'!E490+"$F;@!_?"</f>
        <v>#VALUE!</v>
      </c>
      <c r="GF20" t="e">
        <f>'All regions'!F490+"$F;@!_@"</f>
        <v>#VALUE!</v>
      </c>
      <c r="GG20" t="e">
        <f>'All regions'!G490+"$F;@!_A"</f>
        <v>#VALUE!</v>
      </c>
      <c r="GH20" t="e">
        <f>'All regions'!H490+"$F;@!_B"</f>
        <v>#VALUE!</v>
      </c>
      <c r="GI20" t="e">
        <f>'All regions'!I490+"$F;@!_C"</f>
        <v>#VALUE!</v>
      </c>
      <c r="GJ20" t="e">
        <f>'All regions'!A491+"$F;@!_D"</f>
        <v>#VALUE!</v>
      </c>
      <c r="GK20" t="e">
        <f>'All regions'!B491+"$F;@!_E"</f>
        <v>#VALUE!</v>
      </c>
      <c r="GL20" t="e">
        <f>'All regions'!C491+"$F;@!_F"</f>
        <v>#VALUE!</v>
      </c>
      <c r="GM20" t="e">
        <f>'All regions'!D491+"$F;@!_G"</f>
        <v>#VALUE!</v>
      </c>
      <c r="GN20" t="e">
        <f>'All regions'!E491+"$F;@!_H"</f>
        <v>#VALUE!</v>
      </c>
      <c r="GO20" t="e">
        <f>'All regions'!F491+"$F;@!_I"</f>
        <v>#VALUE!</v>
      </c>
      <c r="GP20" t="e">
        <f>'All regions'!G491+"$F;@!_J"</f>
        <v>#VALUE!</v>
      </c>
      <c r="GQ20" t="e">
        <f>'All regions'!H491+"$F;@!_K"</f>
        <v>#VALUE!</v>
      </c>
      <c r="GR20" t="e">
        <f>'All regions'!I491+"$F;@!_L"</f>
        <v>#VALUE!</v>
      </c>
      <c r="GS20" t="e">
        <f>'All regions'!A492+"$F;@!_M"</f>
        <v>#VALUE!</v>
      </c>
      <c r="GT20" t="e">
        <f>'All regions'!B492+"$F;@!_N"</f>
        <v>#VALUE!</v>
      </c>
      <c r="GU20" t="e">
        <f>'All regions'!C492+"$F;@!_O"</f>
        <v>#VALUE!</v>
      </c>
      <c r="GV20" t="e">
        <f>'All regions'!D492+"$F;@!_P"</f>
        <v>#VALUE!</v>
      </c>
      <c r="GW20" t="e">
        <f>'All regions'!E492+"$F;@!_Q"</f>
        <v>#VALUE!</v>
      </c>
      <c r="GX20" t="e">
        <f>'All regions'!F492+"$F;@!_R"</f>
        <v>#VALUE!</v>
      </c>
      <c r="GY20" t="e">
        <f>'All regions'!G492+"$F;@!_S"</f>
        <v>#VALUE!</v>
      </c>
      <c r="GZ20" t="e">
        <f>'All regions'!H492+"$F;@!_T"</f>
        <v>#VALUE!</v>
      </c>
      <c r="HA20" t="e">
        <f>'All regions'!I492+"$F;@!_U"</f>
        <v>#VALUE!</v>
      </c>
      <c r="HB20" t="e">
        <f>'All regions'!A493+"$F;@!_V"</f>
        <v>#VALUE!</v>
      </c>
      <c r="HC20" t="e">
        <f>'All regions'!B493+"$F;@!_W"</f>
        <v>#VALUE!</v>
      </c>
      <c r="HD20" t="e">
        <f>'All regions'!C493+"$F;@!_X"</f>
        <v>#VALUE!</v>
      </c>
      <c r="HE20" t="e">
        <f>'All regions'!D493+"$F;@!_Y"</f>
        <v>#VALUE!</v>
      </c>
      <c r="HF20" t="e">
        <f>'All regions'!E493+"$F;@!_Z"</f>
        <v>#VALUE!</v>
      </c>
      <c r="HG20" t="e">
        <f>'All regions'!F493+"$F;@!_["</f>
        <v>#VALUE!</v>
      </c>
      <c r="HH20" t="e">
        <f>'All regions'!G493+"$F;@!_\"</f>
        <v>#VALUE!</v>
      </c>
      <c r="HI20" t="e">
        <f>'All regions'!H493+"$F;@!_]"</f>
        <v>#VALUE!</v>
      </c>
      <c r="HJ20" t="e">
        <f>'All regions'!I493+"$F;@!_^"</f>
        <v>#VALUE!</v>
      </c>
      <c r="HK20" t="e">
        <f>'All regions'!A494+"$F;@!__"</f>
        <v>#VALUE!</v>
      </c>
      <c r="HL20" t="e">
        <f>'All regions'!B494+"$F;@!_`"</f>
        <v>#VALUE!</v>
      </c>
      <c r="HM20" t="e">
        <f>'All regions'!C494+"$F;@!_a"</f>
        <v>#VALUE!</v>
      </c>
      <c r="HN20" t="e">
        <f>'All regions'!D494+"$F;@!_b"</f>
        <v>#VALUE!</v>
      </c>
      <c r="HO20" t="e">
        <f>'All regions'!E494+"$F;@!_c"</f>
        <v>#VALUE!</v>
      </c>
      <c r="HP20" t="e">
        <f>'All regions'!F494+"$F;@!_d"</f>
        <v>#VALUE!</v>
      </c>
      <c r="HQ20" t="e">
        <f>'All regions'!G494+"$F;@!_e"</f>
        <v>#VALUE!</v>
      </c>
      <c r="HR20" t="e">
        <f>'All regions'!H494+"$F;@!_f"</f>
        <v>#VALUE!</v>
      </c>
      <c r="HS20" t="e">
        <f>'All regions'!I494+"$F;@!_g"</f>
        <v>#VALUE!</v>
      </c>
      <c r="HT20" t="e">
        <f>'All regions'!A495+"$F;@!_h"</f>
        <v>#VALUE!</v>
      </c>
      <c r="HU20" t="e">
        <f>'All regions'!B495+"$F;@!_i"</f>
        <v>#VALUE!</v>
      </c>
      <c r="HV20" t="e">
        <f>'All regions'!C495+"$F;@!_j"</f>
        <v>#VALUE!</v>
      </c>
      <c r="HW20" t="e">
        <f>'All regions'!D495+"$F;@!_k"</f>
        <v>#VALUE!</v>
      </c>
      <c r="HX20" t="e">
        <f>'All regions'!E495+"$F;@!_l"</f>
        <v>#VALUE!</v>
      </c>
      <c r="HY20" t="e">
        <f>'All regions'!F495+"$F;@!_m"</f>
        <v>#VALUE!</v>
      </c>
      <c r="HZ20" t="e">
        <f>'All regions'!G495+"$F;@!_n"</f>
        <v>#VALUE!</v>
      </c>
      <c r="IA20" t="e">
        <f>'All regions'!H495+"$F;@!_o"</f>
        <v>#VALUE!</v>
      </c>
      <c r="IB20" t="e">
        <f>'All regions'!I495+"$F;@!_p"</f>
        <v>#VALUE!</v>
      </c>
      <c r="IC20" t="e">
        <f>'All regions'!A496+"$F;@!_q"</f>
        <v>#VALUE!</v>
      </c>
      <c r="ID20" t="e">
        <f>'All regions'!B496+"$F;@!_r"</f>
        <v>#VALUE!</v>
      </c>
      <c r="IE20" t="e">
        <f>'All regions'!C496+"$F;@!_s"</f>
        <v>#VALUE!</v>
      </c>
      <c r="IF20" t="e">
        <f>'All regions'!D496+"$F;@!_t"</f>
        <v>#VALUE!</v>
      </c>
      <c r="IG20" t="e">
        <f>'All regions'!E496+"$F;@!_u"</f>
        <v>#VALUE!</v>
      </c>
      <c r="IH20" t="e">
        <f>'All regions'!F496+"$F;@!_v"</f>
        <v>#VALUE!</v>
      </c>
      <c r="II20" t="e">
        <f>'All regions'!G496+"$F;@!_w"</f>
        <v>#VALUE!</v>
      </c>
      <c r="IJ20" t="e">
        <f>'All regions'!H496+"$F;@!_x"</f>
        <v>#VALUE!</v>
      </c>
      <c r="IK20" t="e">
        <f>'All regions'!I496+"$F;@!_y"</f>
        <v>#VALUE!</v>
      </c>
      <c r="IL20" t="e">
        <f>'All regions'!A497+"$F;@!_z"</f>
        <v>#VALUE!</v>
      </c>
      <c r="IM20" t="e">
        <f>'All regions'!B497+"$F;@!_{"</f>
        <v>#VALUE!</v>
      </c>
      <c r="IN20" t="e">
        <f>'All regions'!C497+"$F;@!_|"</f>
        <v>#VALUE!</v>
      </c>
      <c r="IO20" t="e">
        <f>'All regions'!D497+"$F;@!_}"</f>
        <v>#VALUE!</v>
      </c>
      <c r="IP20" t="e">
        <f>'All regions'!E497+"$F;@!_~"</f>
        <v>#VALUE!</v>
      </c>
      <c r="IQ20" t="e">
        <f>'All regions'!F497+"$F;@!`#"</f>
        <v>#VALUE!</v>
      </c>
      <c r="IR20" t="e">
        <f>'All regions'!G497+"$F;@!`$"</f>
        <v>#VALUE!</v>
      </c>
      <c r="IS20" t="e">
        <f>'All regions'!H497+"$F;@!`%"</f>
        <v>#VALUE!</v>
      </c>
      <c r="IT20" t="e">
        <f>'All regions'!I497+"$F;@!`&amp;"</f>
        <v>#VALUE!</v>
      </c>
      <c r="IU20" t="e">
        <f>'All regions'!A498+"$F;@!`'"</f>
        <v>#VALUE!</v>
      </c>
      <c r="IV20" t="e">
        <f>'All regions'!B498+"$F;@!`("</f>
        <v>#VALUE!</v>
      </c>
    </row>
    <row r="21" spans="6:256" x14ac:dyDescent="0.35">
      <c r="F21" t="e">
        <f>'All regions'!C498+"$F;@!`)"</f>
        <v>#VALUE!</v>
      </c>
      <c r="G21" t="e">
        <f>'All regions'!D498+"$F;@!`."</f>
        <v>#VALUE!</v>
      </c>
      <c r="H21" t="e">
        <f>'All regions'!E498+"$F;@!`/"</f>
        <v>#VALUE!</v>
      </c>
      <c r="I21" t="e">
        <f>'All regions'!F498+"$F;@!`0"</f>
        <v>#VALUE!</v>
      </c>
      <c r="J21" t="e">
        <f>'All regions'!G498+"$F;@!`1"</f>
        <v>#VALUE!</v>
      </c>
      <c r="K21" t="e">
        <f>'All regions'!H498+"$F;@!`2"</f>
        <v>#VALUE!</v>
      </c>
      <c r="L21" t="e">
        <f>'All regions'!I498+"$F;@!`3"</f>
        <v>#VALUE!</v>
      </c>
      <c r="M21" t="e">
        <f>'All regions'!A499+"$F;@!`4"</f>
        <v>#VALUE!</v>
      </c>
      <c r="N21" t="e">
        <f>'All regions'!B499+"$F;@!`5"</f>
        <v>#VALUE!</v>
      </c>
      <c r="O21" t="e">
        <f>'All regions'!C499+"$F;@!`6"</f>
        <v>#VALUE!</v>
      </c>
      <c r="P21" t="e">
        <f>'All regions'!D499+"$F;@!`7"</f>
        <v>#VALUE!</v>
      </c>
      <c r="Q21" t="e">
        <f>'All regions'!E499+"$F;@!`8"</f>
        <v>#VALUE!</v>
      </c>
      <c r="R21" t="e">
        <f>'All regions'!F499+"$F;@!`9"</f>
        <v>#VALUE!</v>
      </c>
      <c r="S21" t="e">
        <f>'All regions'!G499+"$F;@!`:"</f>
        <v>#VALUE!</v>
      </c>
      <c r="T21" t="e">
        <f>'All regions'!H499+"$F;@!`;"</f>
        <v>#VALUE!</v>
      </c>
      <c r="U21" t="e">
        <f>'All regions'!I499+"$F;@!`&lt;"</f>
        <v>#VALUE!</v>
      </c>
      <c r="V21" t="e">
        <f>'All regions'!A500+"$F;@!`="</f>
        <v>#VALUE!</v>
      </c>
      <c r="W21" t="e">
        <f>'All regions'!B500+"$F;@!`&gt;"</f>
        <v>#VALUE!</v>
      </c>
      <c r="X21" t="e">
        <f>'All regions'!C500+"$F;@!`?"</f>
        <v>#VALUE!</v>
      </c>
      <c r="Y21" t="e">
        <f>'All regions'!D500+"$F;@!`@"</f>
        <v>#VALUE!</v>
      </c>
      <c r="Z21" t="e">
        <f>'All regions'!E500+"$F;@!`A"</f>
        <v>#VALUE!</v>
      </c>
      <c r="AA21" t="e">
        <f>'All regions'!F500+"$F;@!`B"</f>
        <v>#VALUE!</v>
      </c>
      <c r="AB21" t="e">
        <f>'All regions'!G500+"$F;@!`C"</f>
        <v>#VALUE!</v>
      </c>
      <c r="AC21" t="e">
        <f>'All regions'!H500+"$F;@!`D"</f>
        <v>#VALUE!</v>
      </c>
      <c r="AD21" t="e">
        <f>'All regions'!I500+"$F;@!`E"</f>
        <v>#VALUE!</v>
      </c>
      <c r="AE21" t="e">
        <f>'All regions'!A501+"$F;@!`F"</f>
        <v>#VALUE!</v>
      </c>
      <c r="AF21" t="e">
        <f>'All regions'!B501+"$F;@!`G"</f>
        <v>#VALUE!</v>
      </c>
      <c r="AG21" t="e">
        <f>'All regions'!C501+"$F;@!`H"</f>
        <v>#VALUE!</v>
      </c>
      <c r="AH21" t="e">
        <f>'All regions'!D501+"$F;@!`I"</f>
        <v>#VALUE!</v>
      </c>
      <c r="AI21" t="e">
        <f>'All regions'!E501+"$F;@!`J"</f>
        <v>#VALUE!</v>
      </c>
      <c r="AJ21" t="e">
        <f>'All regions'!F501+"$F;@!`K"</f>
        <v>#VALUE!</v>
      </c>
      <c r="AK21" t="e">
        <f>'All regions'!G501+"$F;@!`L"</f>
        <v>#VALUE!</v>
      </c>
      <c r="AL21" t="e">
        <f>'All regions'!H501+"$F;@!`M"</f>
        <v>#VALUE!</v>
      </c>
      <c r="AM21" t="e">
        <f>'All regions'!I501+"$F;@!`N"</f>
        <v>#VALUE!</v>
      </c>
      <c r="AN21" t="e">
        <f>'All regions'!A502+"$F;@!`O"</f>
        <v>#VALUE!</v>
      </c>
      <c r="AO21" t="e">
        <f>'All regions'!B502+"$F;@!`P"</f>
        <v>#VALUE!</v>
      </c>
      <c r="AP21" t="e">
        <f>'All regions'!C502+"$F;@!`Q"</f>
        <v>#VALUE!</v>
      </c>
      <c r="AQ21" t="e">
        <f>'All regions'!D502+"$F;@!`R"</f>
        <v>#VALUE!</v>
      </c>
      <c r="AR21" t="e">
        <f>'All regions'!E502+"$F;@!`S"</f>
        <v>#VALUE!</v>
      </c>
      <c r="AS21" t="e">
        <f>'All regions'!F502+"$F;@!`T"</f>
        <v>#VALUE!</v>
      </c>
      <c r="AT21" t="e">
        <f>'All regions'!G502+"$F;@!`U"</f>
        <v>#VALUE!</v>
      </c>
      <c r="AU21" t="e">
        <f>'All regions'!H502+"$F;@!`V"</f>
        <v>#VALUE!</v>
      </c>
      <c r="AV21" t="e">
        <f>'All regions'!I502+"$F;@!`W"</f>
        <v>#VALUE!</v>
      </c>
      <c r="AW21" t="e">
        <f>'All regions'!A503+"$F;@!`X"</f>
        <v>#VALUE!</v>
      </c>
      <c r="AX21" t="e">
        <f>'All regions'!B503+"$F;@!`Y"</f>
        <v>#VALUE!</v>
      </c>
      <c r="AY21" t="e">
        <f>'All regions'!C503+"$F;@!`Z"</f>
        <v>#VALUE!</v>
      </c>
      <c r="AZ21" t="e">
        <f>'All regions'!D503+"$F;@!`["</f>
        <v>#VALUE!</v>
      </c>
      <c r="BA21" t="e">
        <f>'All regions'!E503+"$F;@!`\"</f>
        <v>#VALUE!</v>
      </c>
      <c r="BB21" t="e">
        <f>'All regions'!F503+"$F;@!`]"</f>
        <v>#VALUE!</v>
      </c>
      <c r="BC21" t="e">
        <f>'All regions'!G503+"$F;@!`^"</f>
        <v>#VALUE!</v>
      </c>
      <c r="BD21" t="e">
        <f>'All regions'!H503+"$F;@!`_"</f>
        <v>#VALUE!</v>
      </c>
      <c r="BE21" t="e">
        <f>'All regions'!I503+"$F;@!``"</f>
        <v>#VALUE!</v>
      </c>
      <c r="BF21" t="e">
        <f>'All regions'!A504+"$F;@!`a"</f>
        <v>#VALUE!</v>
      </c>
      <c r="BG21" t="e">
        <f>'All regions'!B504+"$F;@!`b"</f>
        <v>#VALUE!</v>
      </c>
      <c r="BH21" t="e">
        <f>'All regions'!C504+"$F;@!`c"</f>
        <v>#VALUE!</v>
      </c>
      <c r="BI21" t="e">
        <f>'All regions'!D504+"$F;@!`d"</f>
        <v>#VALUE!</v>
      </c>
      <c r="BJ21" t="e">
        <f>'All regions'!E504+"$F;@!`e"</f>
        <v>#VALUE!</v>
      </c>
      <c r="BK21" t="e">
        <f>'All regions'!F504+"$F;@!`f"</f>
        <v>#VALUE!</v>
      </c>
      <c r="BL21" t="e">
        <f>'All regions'!G504+"$F;@!`g"</f>
        <v>#VALUE!</v>
      </c>
      <c r="BM21" t="e">
        <f>'All regions'!H504+"$F;@!`h"</f>
        <v>#VALUE!</v>
      </c>
      <c r="BN21" t="e">
        <f>'All regions'!I504+"$F;@!`i"</f>
        <v>#VALUE!</v>
      </c>
      <c r="BO21" t="e">
        <f>'All regions'!A505+"$F;@!`j"</f>
        <v>#VALUE!</v>
      </c>
      <c r="BP21" t="e">
        <f>'All regions'!B505+"$F;@!`k"</f>
        <v>#VALUE!</v>
      </c>
      <c r="BQ21" t="e">
        <f>'All regions'!C505+"$F;@!`l"</f>
        <v>#VALUE!</v>
      </c>
      <c r="BR21" t="e">
        <f>'All regions'!D505+"$F;@!`m"</f>
        <v>#VALUE!</v>
      </c>
      <c r="BS21" t="e">
        <f>'All regions'!E505+"$F;@!`n"</f>
        <v>#VALUE!</v>
      </c>
      <c r="BT21" t="e">
        <f>'All regions'!F505+"$F;@!`o"</f>
        <v>#VALUE!</v>
      </c>
      <c r="BU21" t="e">
        <f>'All regions'!G505+"$F;@!`p"</f>
        <v>#VALUE!</v>
      </c>
      <c r="BV21" t="e">
        <f>'All regions'!H505+"$F;@!`q"</f>
        <v>#VALUE!</v>
      </c>
      <c r="BW21" t="e">
        <f>'All regions'!I505+"$F;@!`r"</f>
        <v>#VALUE!</v>
      </c>
      <c r="BX21" t="e">
        <f>'All regions'!A506+"$F;@!`s"</f>
        <v>#VALUE!</v>
      </c>
      <c r="BY21" t="e">
        <f>'All regions'!B506+"$F;@!`t"</f>
        <v>#VALUE!</v>
      </c>
      <c r="BZ21" t="e">
        <f>'All regions'!C506+"$F;@!`u"</f>
        <v>#VALUE!</v>
      </c>
      <c r="CA21" t="e">
        <f>'All regions'!D506+"$F;@!`v"</f>
        <v>#VALUE!</v>
      </c>
      <c r="CB21" t="e">
        <f>'All regions'!E506+"$F;@!`w"</f>
        <v>#VALUE!</v>
      </c>
      <c r="CC21" t="e">
        <f>'All regions'!F506+"$F;@!`x"</f>
        <v>#VALUE!</v>
      </c>
      <c r="CD21" t="e">
        <f>'All regions'!G506+"$F;@!`y"</f>
        <v>#VALUE!</v>
      </c>
      <c r="CE21" t="e">
        <f>'All regions'!H506+"$F;@!`z"</f>
        <v>#VALUE!</v>
      </c>
      <c r="CF21" t="e">
        <f>'All regions'!I506+"$F;@!`{"</f>
        <v>#VALUE!</v>
      </c>
      <c r="CG21" t="e">
        <f>'All regions'!A507+"$F;@!`|"</f>
        <v>#VALUE!</v>
      </c>
      <c r="CH21" t="e">
        <f>'All regions'!B507+"$F;@!`}"</f>
        <v>#VALUE!</v>
      </c>
      <c r="CI21" t="e">
        <f>'All regions'!C507+"$F;@!`~"</f>
        <v>#VALUE!</v>
      </c>
      <c r="CJ21" t="e">
        <f>'All regions'!D507+"$F;@!a#"</f>
        <v>#VALUE!</v>
      </c>
      <c r="CK21" t="e">
        <f>'All regions'!E507+"$F;@!a$"</f>
        <v>#VALUE!</v>
      </c>
      <c r="CL21" t="e">
        <f>'All regions'!F507+"$F;@!a%"</f>
        <v>#VALUE!</v>
      </c>
      <c r="CM21" t="e">
        <f>'All regions'!G507+"$F;@!a&amp;"</f>
        <v>#VALUE!</v>
      </c>
      <c r="CN21" t="e">
        <f>'All regions'!H507+"$F;@!a'"</f>
        <v>#VALUE!</v>
      </c>
      <c r="CO21" t="e">
        <f>'All regions'!I507+"$F;@!a("</f>
        <v>#VALUE!</v>
      </c>
      <c r="CP21" t="e">
        <f>'All regions'!A508+"$F;@!a)"</f>
        <v>#VALUE!</v>
      </c>
      <c r="CQ21" t="e">
        <f>'All regions'!B508+"$F;@!a."</f>
        <v>#VALUE!</v>
      </c>
      <c r="CR21" t="e">
        <f>'All regions'!C508+"$F;@!a/"</f>
        <v>#VALUE!</v>
      </c>
      <c r="CS21" t="e">
        <f>'All regions'!D508+"$F;@!a0"</f>
        <v>#VALUE!</v>
      </c>
      <c r="CT21" t="e">
        <f>'All regions'!E508+"$F;@!a1"</f>
        <v>#VALUE!</v>
      </c>
      <c r="CU21" t="e">
        <f>'All regions'!F508+"$F;@!a2"</f>
        <v>#VALUE!</v>
      </c>
      <c r="CV21" t="e">
        <f>'All regions'!G508+"$F;@!a3"</f>
        <v>#VALUE!</v>
      </c>
      <c r="CW21" t="e">
        <f>'All regions'!H508+"$F;@!a4"</f>
        <v>#VALUE!</v>
      </c>
      <c r="CX21" t="e">
        <f>'All regions'!I508+"$F;@!a5"</f>
        <v>#VALUE!</v>
      </c>
      <c r="CY21" t="e">
        <f>'All regions'!A509+"$F;@!a6"</f>
        <v>#VALUE!</v>
      </c>
      <c r="CZ21" t="e">
        <f>'All regions'!B509+"$F;@!a7"</f>
        <v>#VALUE!</v>
      </c>
      <c r="DA21" t="e">
        <f>'All regions'!C509+"$F;@!a8"</f>
        <v>#VALUE!</v>
      </c>
      <c r="DB21" t="e">
        <f>'All regions'!D509+"$F;@!a9"</f>
        <v>#VALUE!</v>
      </c>
      <c r="DC21" t="e">
        <f>'All regions'!E509+"$F;@!a:"</f>
        <v>#VALUE!</v>
      </c>
      <c r="DD21" t="e">
        <f>'All regions'!F509+"$F;@!a;"</f>
        <v>#VALUE!</v>
      </c>
      <c r="DE21" t="e">
        <f>'All regions'!G509+"$F;@!a&lt;"</f>
        <v>#VALUE!</v>
      </c>
      <c r="DF21" t="e">
        <f>'All regions'!H509+"$F;@!a="</f>
        <v>#VALUE!</v>
      </c>
      <c r="DG21" t="e">
        <f>'All regions'!I509+"$F;@!a&gt;"</f>
        <v>#VALUE!</v>
      </c>
      <c r="DH21" t="e">
        <f>'All regions'!A510+"$F;@!a?"</f>
        <v>#VALUE!</v>
      </c>
      <c r="DI21" t="e">
        <f>'All regions'!B510+"$F;@!a@"</f>
        <v>#VALUE!</v>
      </c>
      <c r="DJ21" t="e">
        <f>'All regions'!C510+"$F;@!aA"</f>
        <v>#VALUE!</v>
      </c>
      <c r="DK21" t="e">
        <f>'All regions'!D510+"$F;@!aB"</f>
        <v>#VALUE!</v>
      </c>
      <c r="DL21" t="e">
        <f>'All regions'!E510+"$F;@!aC"</f>
        <v>#VALUE!</v>
      </c>
      <c r="DM21" t="e">
        <f>'All regions'!F510+"$F;@!aD"</f>
        <v>#VALUE!</v>
      </c>
      <c r="DN21" t="e">
        <f>'All regions'!G510+"$F;@!aE"</f>
        <v>#VALUE!</v>
      </c>
      <c r="DO21" t="e">
        <f>'All regions'!H510+"$F;@!aF"</f>
        <v>#VALUE!</v>
      </c>
      <c r="DP21" t="e">
        <f>'All regions'!I510+"$F;@!aG"</f>
        <v>#VALUE!</v>
      </c>
      <c r="DQ21" t="e">
        <f>'All regions'!A511+"$F;@!aH"</f>
        <v>#VALUE!</v>
      </c>
      <c r="DR21" t="e">
        <f>'All regions'!B511+"$F;@!aI"</f>
        <v>#VALUE!</v>
      </c>
      <c r="DS21" t="e">
        <f>'All regions'!C511+"$F;@!aJ"</f>
        <v>#VALUE!</v>
      </c>
      <c r="DT21" t="e">
        <f>'All regions'!D511+"$F;@!aK"</f>
        <v>#VALUE!</v>
      </c>
      <c r="DU21" t="e">
        <f>'All regions'!E511+"$F;@!aL"</f>
        <v>#VALUE!</v>
      </c>
      <c r="DV21" t="e">
        <f>'All regions'!F511+"$F;@!aM"</f>
        <v>#VALUE!</v>
      </c>
      <c r="DW21" t="e">
        <f>'All regions'!G511+"$F;@!aN"</f>
        <v>#VALUE!</v>
      </c>
      <c r="DX21" t="e">
        <f>'All regions'!H511+"$F;@!aO"</f>
        <v>#VALUE!</v>
      </c>
      <c r="DY21" t="e">
        <f>'All regions'!I511+"$F;@!aP"</f>
        <v>#VALUE!</v>
      </c>
      <c r="DZ21" t="e">
        <f>'All regions'!A512+"$F;@!aQ"</f>
        <v>#VALUE!</v>
      </c>
      <c r="EA21" t="e">
        <f>'All regions'!B512+"$F;@!aR"</f>
        <v>#VALUE!</v>
      </c>
      <c r="EB21" t="e">
        <f>'All regions'!C512+"$F;@!aS"</f>
        <v>#VALUE!</v>
      </c>
      <c r="EC21" t="e">
        <f>'All regions'!D512+"$F;@!aT"</f>
        <v>#VALUE!</v>
      </c>
      <c r="ED21" t="e">
        <f>'All regions'!E512+"$F;@!aU"</f>
        <v>#VALUE!</v>
      </c>
      <c r="EE21" t="e">
        <f>'All regions'!F512+"$F;@!aV"</f>
        <v>#VALUE!</v>
      </c>
      <c r="EF21" t="e">
        <f>'All regions'!G512+"$F;@!aW"</f>
        <v>#VALUE!</v>
      </c>
      <c r="EG21" t="e">
        <f>'All regions'!H512+"$F;@!aX"</f>
        <v>#VALUE!</v>
      </c>
      <c r="EH21" t="e">
        <f>'All regions'!I512+"$F;@!aY"</f>
        <v>#VALUE!</v>
      </c>
      <c r="EI21" t="e">
        <f>'All regions'!A513+"$F;@!aZ"</f>
        <v>#VALUE!</v>
      </c>
      <c r="EJ21" t="e">
        <f>'All regions'!B513+"$F;@!a["</f>
        <v>#VALUE!</v>
      </c>
      <c r="EK21" t="e">
        <f>'All regions'!C513+"$F;@!a\"</f>
        <v>#VALUE!</v>
      </c>
      <c r="EL21" t="e">
        <f>'All regions'!D513+"$F;@!a]"</f>
        <v>#VALUE!</v>
      </c>
      <c r="EM21" t="e">
        <f>'All regions'!E513+"$F;@!a^"</f>
        <v>#VALUE!</v>
      </c>
      <c r="EN21" t="e">
        <f>'All regions'!F513+"$F;@!a_"</f>
        <v>#VALUE!</v>
      </c>
      <c r="EO21" t="e">
        <f>'All regions'!G513+"$F;@!a`"</f>
        <v>#VALUE!</v>
      </c>
      <c r="EP21" t="e">
        <f>'All regions'!H513+"$F;@!aa"</f>
        <v>#VALUE!</v>
      </c>
      <c r="EQ21" t="e">
        <f>'All regions'!I513+"$F;@!ab"</f>
        <v>#VALUE!</v>
      </c>
      <c r="ER21" t="e">
        <f>'All regions'!A514+"$F;@!ac"</f>
        <v>#VALUE!</v>
      </c>
      <c r="ES21" t="e">
        <f>'All regions'!B514+"$F;@!ad"</f>
        <v>#VALUE!</v>
      </c>
      <c r="ET21" t="e">
        <f>'All regions'!C514+"$F;@!ae"</f>
        <v>#VALUE!</v>
      </c>
      <c r="EU21" t="e">
        <f>'All regions'!D514+"$F;@!af"</f>
        <v>#VALUE!</v>
      </c>
      <c r="EV21" t="e">
        <f>'All regions'!E514+"$F;@!ag"</f>
        <v>#VALUE!</v>
      </c>
      <c r="EW21" t="e">
        <f>'All regions'!F514+"$F;@!ah"</f>
        <v>#VALUE!</v>
      </c>
      <c r="EX21" t="e">
        <f>'All regions'!G514+"$F;@!ai"</f>
        <v>#VALUE!</v>
      </c>
      <c r="EY21" t="e">
        <f>'All regions'!H514+"$F;@!aj"</f>
        <v>#VALUE!</v>
      </c>
      <c r="EZ21" t="e">
        <f>'All regions'!I514+"$F;@!ak"</f>
        <v>#VALUE!</v>
      </c>
      <c r="FA21" t="e">
        <f>'All regions'!A515+"$F;@!al"</f>
        <v>#VALUE!</v>
      </c>
      <c r="FB21" t="e">
        <f>'All regions'!B515+"$F;@!am"</f>
        <v>#VALUE!</v>
      </c>
      <c r="FC21" t="e">
        <f>'All regions'!C515+"$F;@!an"</f>
        <v>#VALUE!</v>
      </c>
      <c r="FD21" t="e">
        <f>'All regions'!D515+"$F;@!ao"</f>
        <v>#VALUE!</v>
      </c>
      <c r="FE21" t="e">
        <f>'All regions'!E515+"$F;@!ap"</f>
        <v>#VALUE!</v>
      </c>
      <c r="FF21" t="e">
        <f>'All regions'!F515+"$F;@!aq"</f>
        <v>#VALUE!</v>
      </c>
      <c r="FG21" t="e">
        <f>'All regions'!G515+"$F;@!ar"</f>
        <v>#VALUE!</v>
      </c>
      <c r="FH21" t="e">
        <f>'All regions'!H515+"$F;@!as"</f>
        <v>#VALUE!</v>
      </c>
      <c r="FI21" t="e">
        <f>'All regions'!I515+"$F;@!at"</f>
        <v>#VALUE!</v>
      </c>
      <c r="FJ21" t="e">
        <f>'All regions'!A516+"$F;@!au"</f>
        <v>#VALUE!</v>
      </c>
      <c r="FK21" t="e">
        <f>'All regions'!B516+"$F;@!av"</f>
        <v>#VALUE!</v>
      </c>
      <c r="FL21" t="e">
        <f>'All regions'!C516+"$F;@!aw"</f>
        <v>#VALUE!</v>
      </c>
      <c r="FM21" t="e">
        <f>'All regions'!D516+"$F;@!ax"</f>
        <v>#VALUE!</v>
      </c>
      <c r="FN21" t="e">
        <f>'All regions'!E516+"$F;@!ay"</f>
        <v>#VALUE!</v>
      </c>
      <c r="FO21" t="e">
        <f>'All regions'!F516+"$F;@!az"</f>
        <v>#VALUE!</v>
      </c>
      <c r="FP21" t="e">
        <f>'All regions'!G516+"$F;@!a{"</f>
        <v>#VALUE!</v>
      </c>
      <c r="FQ21" t="e">
        <f>'All regions'!H516+"$F;@!a|"</f>
        <v>#VALUE!</v>
      </c>
      <c r="FR21" t="e">
        <f>'All regions'!I516+"$F;@!a}"</f>
        <v>#VALUE!</v>
      </c>
      <c r="FS21" t="e">
        <f>'All regions'!A517+"$F;@!a~"</f>
        <v>#VALUE!</v>
      </c>
      <c r="FT21" t="e">
        <f>'All regions'!B517+"$F;@!b#"</f>
        <v>#VALUE!</v>
      </c>
      <c r="FU21" t="e">
        <f>'All regions'!C517+"$F;@!b$"</f>
        <v>#VALUE!</v>
      </c>
      <c r="FV21" t="e">
        <f>'All regions'!D517+"$F;@!b%"</f>
        <v>#VALUE!</v>
      </c>
      <c r="FW21" t="e">
        <f>'All regions'!E517+"$F;@!b&amp;"</f>
        <v>#VALUE!</v>
      </c>
      <c r="FX21" t="e">
        <f>'All regions'!F517+"$F;@!b'"</f>
        <v>#VALUE!</v>
      </c>
      <c r="FY21" t="e">
        <f>'All regions'!G517+"$F;@!b("</f>
        <v>#VALUE!</v>
      </c>
      <c r="FZ21" t="e">
        <f>'All regions'!H517+"$F;@!b)"</f>
        <v>#VALUE!</v>
      </c>
      <c r="GA21" t="e">
        <f>'All regions'!I517+"$F;@!b."</f>
        <v>#VALUE!</v>
      </c>
      <c r="GB21" t="e">
        <f>'All regions'!A518+"$F;@!b/"</f>
        <v>#VALUE!</v>
      </c>
      <c r="GC21" t="e">
        <f>'All regions'!B518+"$F;@!b0"</f>
        <v>#VALUE!</v>
      </c>
      <c r="GD21" t="e">
        <f>'All regions'!C518+"$F;@!b1"</f>
        <v>#VALUE!</v>
      </c>
      <c r="GE21" t="e">
        <f>'All regions'!D518+"$F;@!b2"</f>
        <v>#VALUE!</v>
      </c>
      <c r="GF21" t="e">
        <f>'All regions'!E518+"$F;@!b3"</f>
        <v>#VALUE!</v>
      </c>
      <c r="GG21" t="e">
        <f>'All regions'!F518+"$F;@!b4"</f>
        <v>#VALUE!</v>
      </c>
      <c r="GH21" t="e">
        <f>'All regions'!G518+"$F;@!b5"</f>
        <v>#VALUE!</v>
      </c>
      <c r="GI21" t="e">
        <f>'All regions'!H518+"$F;@!b6"</f>
        <v>#VALUE!</v>
      </c>
      <c r="GJ21" t="e">
        <f>'All regions'!I518+"$F;@!b7"</f>
        <v>#VALUE!</v>
      </c>
      <c r="GK21" t="e">
        <f>'All regions'!A519+"$F;@!b8"</f>
        <v>#VALUE!</v>
      </c>
      <c r="GL21" t="e">
        <f>'All regions'!B519+"$F;@!b9"</f>
        <v>#VALUE!</v>
      </c>
      <c r="GM21" t="e">
        <f>'All regions'!C519+"$F;@!b:"</f>
        <v>#VALUE!</v>
      </c>
      <c r="GN21" t="e">
        <f>'All regions'!D519+"$F;@!b;"</f>
        <v>#VALUE!</v>
      </c>
      <c r="GO21" t="e">
        <f>'All regions'!E519+"$F;@!b&lt;"</f>
        <v>#VALUE!</v>
      </c>
      <c r="GP21" t="e">
        <f>'All regions'!F519+"$F;@!b="</f>
        <v>#VALUE!</v>
      </c>
      <c r="GQ21" t="e">
        <f>'All regions'!G519+"$F;@!b&gt;"</f>
        <v>#VALUE!</v>
      </c>
      <c r="GR21" t="e">
        <f>'All regions'!H519+"$F;@!b?"</f>
        <v>#VALUE!</v>
      </c>
      <c r="GS21" t="e">
        <f>'All regions'!I519+"$F;@!b@"</f>
        <v>#VALUE!</v>
      </c>
      <c r="GT21" t="e">
        <f>'All regions'!A520+"$F;@!bA"</f>
        <v>#VALUE!</v>
      </c>
      <c r="GU21" t="e">
        <f>'All regions'!B520+"$F;@!bB"</f>
        <v>#VALUE!</v>
      </c>
      <c r="GV21" t="e">
        <f>'All regions'!C520+"$F;@!bC"</f>
        <v>#VALUE!</v>
      </c>
      <c r="GW21" t="e">
        <f>'All regions'!D520+"$F;@!bD"</f>
        <v>#VALUE!</v>
      </c>
      <c r="GX21" t="e">
        <f>'All regions'!E520+"$F;@!bE"</f>
        <v>#VALUE!</v>
      </c>
      <c r="GY21" t="e">
        <f>'All regions'!F520+"$F;@!bF"</f>
        <v>#VALUE!</v>
      </c>
      <c r="GZ21" t="e">
        <f>'All regions'!G520+"$F;@!bG"</f>
        <v>#VALUE!</v>
      </c>
      <c r="HA21" t="e">
        <f>'All regions'!H520+"$F;@!bH"</f>
        <v>#VALUE!</v>
      </c>
      <c r="HB21" t="e">
        <f>'All regions'!I520+"$F;@!bI"</f>
        <v>#VALUE!</v>
      </c>
      <c r="HC21" t="e">
        <f>'All regions'!A521+"$F;@!bJ"</f>
        <v>#VALUE!</v>
      </c>
      <c r="HD21" t="e">
        <f>'All regions'!B521+"$F;@!bK"</f>
        <v>#VALUE!</v>
      </c>
      <c r="HE21" t="e">
        <f>'All regions'!C521+"$F;@!bL"</f>
        <v>#VALUE!</v>
      </c>
      <c r="HF21" t="e">
        <f>'All regions'!D521+"$F;@!bM"</f>
        <v>#VALUE!</v>
      </c>
      <c r="HG21" t="e">
        <f>'All regions'!E521+"$F;@!bN"</f>
        <v>#VALUE!</v>
      </c>
      <c r="HH21" t="e">
        <f>'All regions'!F521+"$F;@!bO"</f>
        <v>#VALUE!</v>
      </c>
      <c r="HI21" t="e">
        <f>'All regions'!G521+"$F;@!bP"</f>
        <v>#VALUE!</v>
      </c>
      <c r="HJ21" t="e">
        <f>'All regions'!H521+"$F;@!bQ"</f>
        <v>#VALUE!</v>
      </c>
      <c r="HK21" t="e">
        <f>'All regions'!I521+"$F;@!bR"</f>
        <v>#VALUE!</v>
      </c>
      <c r="HL21" t="e">
        <f>'All regions'!A522+"$F;@!bS"</f>
        <v>#VALUE!</v>
      </c>
      <c r="HM21" t="e">
        <f>'All regions'!B522+"$F;@!bT"</f>
        <v>#VALUE!</v>
      </c>
      <c r="HN21" t="e">
        <f>'All regions'!C522+"$F;@!bU"</f>
        <v>#VALUE!</v>
      </c>
      <c r="HO21" t="e">
        <f>'All regions'!D522+"$F;@!bV"</f>
        <v>#VALUE!</v>
      </c>
      <c r="HP21" t="e">
        <f>'All regions'!E522+"$F;@!bW"</f>
        <v>#VALUE!</v>
      </c>
      <c r="HQ21" t="e">
        <f>'All regions'!F522+"$F;@!bX"</f>
        <v>#VALUE!</v>
      </c>
      <c r="HR21" t="e">
        <f>'All regions'!G522+"$F;@!bY"</f>
        <v>#VALUE!</v>
      </c>
      <c r="HS21" t="e">
        <f>'All regions'!H522+"$F;@!bZ"</f>
        <v>#VALUE!</v>
      </c>
      <c r="HT21" t="e">
        <f>'All regions'!I522+"$F;@!b["</f>
        <v>#VALUE!</v>
      </c>
      <c r="HU21" t="e">
        <f>'All regions'!A523+"$F;@!b\"</f>
        <v>#VALUE!</v>
      </c>
      <c r="HV21" t="e">
        <f>'All regions'!B523+"$F;@!b]"</f>
        <v>#VALUE!</v>
      </c>
      <c r="HW21" t="e">
        <f>'All regions'!C523+"$F;@!b^"</f>
        <v>#VALUE!</v>
      </c>
      <c r="HX21" t="e">
        <f>'All regions'!D523+"$F;@!b_"</f>
        <v>#VALUE!</v>
      </c>
      <c r="HY21" t="e">
        <f>'All regions'!E523+"$F;@!b`"</f>
        <v>#VALUE!</v>
      </c>
      <c r="HZ21" t="e">
        <f>'All regions'!F523+"$F;@!ba"</f>
        <v>#VALUE!</v>
      </c>
      <c r="IA21" t="e">
        <f>'All regions'!G523+"$F;@!bb"</f>
        <v>#VALUE!</v>
      </c>
      <c r="IB21" t="e">
        <f>'All regions'!H523+"$F;@!bc"</f>
        <v>#VALUE!</v>
      </c>
      <c r="IC21" t="e">
        <f>'All regions'!I523+"$F;@!bd"</f>
        <v>#VALUE!</v>
      </c>
      <c r="ID21" t="e">
        <f>'All regions'!A524+"$F;@!be"</f>
        <v>#VALUE!</v>
      </c>
      <c r="IE21" t="e">
        <f>'All regions'!B524+"$F;@!bf"</f>
        <v>#VALUE!</v>
      </c>
      <c r="IF21" t="e">
        <f>'All regions'!C524+"$F;@!bg"</f>
        <v>#VALUE!</v>
      </c>
      <c r="IG21" t="e">
        <f>'All regions'!D524+"$F;@!bh"</f>
        <v>#VALUE!</v>
      </c>
      <c r="IH21" t="e">
        <f>'All regions'!E524+"$F;@!bi"</f>
        <v>#VALUE!</v>
      </c>
      <c r="II21" t="e">
        <f>'All regions'!F524+"$F;@!bj"</f>
        <v>#VALUE!</v>
      </c>
      <c r="IJ21" t="e">
        <f>'All regions'!G524+"$F;@!bk"</f>
        <v>#VALUE!</v>
      </c>
      <c r="IK21" t="e">
        <f>'All regions'!H524+"$F;@!bl"</f>
        <v>#VALUE!</v>
      </c>
      <c r="IL21" t="e">
        <f>'All regions'!I524+"$F;@!bm"</f>
        <v>#VALUE!</v>
      </c>
      <c r="IM21" t="e">
        <f>'All regions'!A525+"$F;@!bn"</f>
        <v>#VALUE!</v>
      </c>
      <c r="IN21" t="e">
        <f>'All regions'!B525+"$F;@!bo"</f>
        <v>#VALUE!</v>
      </c>
      <c r="IO21" t="e">
        <f>'All regions'!C525+"$F;@!bp"</f>
        <v>#VALUE!</v>
      </c>
      <c r="IP21" t="e">
        <f>'All regions'!D525+"$F;@!bq"</f>
        <v>#VALUE!</v>
      </c>
      <c r="IQ21" t="e">
        <f>'All regions'!E525+"$F;@!br"</f>
        <v>#VALUE!</v>
      </c>
      <c r="IR21" t="e">
        <f>'All regions'!F525+"$F;@!bs"</f>
        <v>#VALUE!</v>
      </c>
      <c r="IS21" t="e">
        <f>'All regions'!G525+"$F;@!bt"</f>
        <v>#VALUE!</v>
      </c>
      <c r="IT21" t="e">
        <f>'All regions'!H525+"$F;@!bu"</f>
        <v>#VALUE!</v>
      </c>
      <c r="IU21" t="e">
        <f>'All regions'!I525+"$F;@!bv"</f>
        <v>#VALUE!</v>
      </c>
      <c r="IV21" t="e">
        <f>'All regions'!A526+"$F;@!bw"</f>
        <v>#VALUE!</v>
      </c>
    </row>
    <row r="22" spans="6:256" x14ac:dyDescent="0.35">
      <c r="F22" t="e">
        <f>'All regions'!B526+"$F;@!bx"</f>
        <v>#VALUE!</v>
      </c>
      <c r="G22" t="e">
        <f>'All regions'!C526+"$F;@!by"</f>
        <v>#VALUE!</v>
      </c>
      <c r="H22" t="e">
        <f>'All regions'!D526+"$F;@!bz"</f>
        <v>#VALUE!</v>
      </c>
      <c r="I22" t="e">
        <f>'All regions'!E526+"$F;@!b{"</f>
        <v>#VALUE!</v>
      </c>
      <c r="J22" t="e">
        <f>'All regions'!F526+"$F;@!b|"</f>
        <v>#VALUE!</v>
      </c>
      <c r="K22" t="e">
        <f>'All regions'!G526+"$F;@!b}"</f>
        <v>#VALUE!</v>
      </c>
      <c r="L22" t="e">
        <f>'All regions'!H526+"$F;@!b~"</f>
        <v>#VALUE!</v>
      </c>
      <c r="M22" t="e">
        <f>'All regions'!I526+"$F;@!c#"</f>
        <v>#VALUE!</v>
      </c>
      <c r="N22" t="e">
        <f>'All regions'!A527+"$F;@!c$"</f>
        <v>#VALUE!</v>
      </c>
      <c r="O22" t="e">
        <f>'All regions'!B527+"$F;@!c%"</f>
        <v>#VALUE!</v>
      </c>
      <c r="P22" t="e">
        <f>'All regions'!C527+"$F;@!c&amp;"</f>
        <v>#VALUE!</v>
      </c>
      <c r="Q22" t="e">
        <f>'All regions'!D527+"$F;@!c'"</f>
        <v>#VALUE!</v>
      </c>
      <c r="R22" t="e">
        <f>'All regions'!E527+"$F;@!c("</f>
        <v>#VALUE!</v>
      </c>
      <c r="S22" t="e">
        <f>'All regions'!F527+"$F;@!c)"</f>
        <v>#VALUE!</v>
      </c>
      <c r="T22" t="e">
        <f>'All regions'!G527+"$F;@!c."</f>
        <v>#VALUE!</v>
      </c>
      <c r="U22" t="e">
        <f>'All regions'!H527+"$F;@!c/"</f>
        <v>#VALUE!</v>
      </c>
      <c r="V22" t="e">
        <f>'All regions'!I527+"$F;@!c0"</f>
        <v>#VALUE!</v>
      </c>
      <c r="W22" t="e">
        <f>'All regions'!A528+"$F;@!c1"</f>
        <v>#VALUE!</v>
      </c>
      <c r="X22" t="e">
        <f>'All regions'!B528+"$F;@!c2"</f>
        <v>#VALUE!</v>
      </c>
      <c r="Y22" t="e">
        <f>'All regions'!C528+"$F;@!c3"</f>
        <v>#VALUE!</v>
      </c>
      <c r="Z22" t="e">
        <f>'All regions'!D528+"$F;@!c4"</f>
        <v>#VALUE!</v>
      </c>
      <c r="AA22" t="e">
        <f>'All regions'!E528+"$F;@!c5"</f>
        <v>#VALUE!</v>
      </c>
      <c r="AB22" t="e">
        <f>'All regions'!F528+"$F;@!c6"</f>
        <v>#VALUE!</v>
      </c>
      <c r="AC22" t="e">
        <f>'All regions'!G528+"$F;@!c7"</f>
        <v>#VALUE!</v>
      </c>
      <c r="AD22" t="e">
        <f>'All regions'!H528+"$F;@!c8"</f>
        <v>#VALUE!</v>
      </c>
      <c r="AE22" t="e">
        <f>'All regions'!I528+"$F;@!c9"</f>
        <v>#VALUE!</v>
      </c>
      <c r="AF22" t="e">
        <f>'All regions'!A529+"$F;@!c:"</f>
        <v>#VALUE!</v>
      </c>
      <c r="AG22" t="e">
        <f>'All regions'!B529+"$F;@!c;"</f>
        <v>#VALUE!</v>
      </c>
      <c r="AH22" t="e">
        <f>'All regions'!C529+"$F;@!c&lt;"</f>
        <v>#VALUE!</v>
      </c>
      <c r="AI22" t="e">
        <f>'All regions'!D529+"$F;@!c="</f>
        <v>#VALUE!</v>
      </c>
      <c r="AJ22" t="e">
        <f>'All regions'!E529+"$F;@!c&gt;"</f>
        <v>#VALUE!</v>
      </c>
      <c r="AK22" t="e">
        <f>'All regions'!F529+"$F;@!c?"</f>
        <v>#VALUE!</v>
      </c>
      <c r="AL22" t="e">
        <f>'All regions'!G529+"$F;@!c@"</f>
        <v>#VALUE!</v>
      </c>
      <c r="AM22" t="e">
        <f>'All regions'!H529+"$F;@!cA"</f>
        <v>#VALUE!</v>
      </c>
      <c r="AN22" t="e">
        <f>'All regions'!I529+"$F;@!cB"</f>
        <v>#VALUE!</v>
      </c>
      <c r="AO22" t="e">
        <f>'All regions'!A530+"$F;@!cC"</f>
        <v>#VALUE!</v>
      </c>
      <c r="AP22" t="e">
        <f>'All regions'!B530+"$F;@!cD"</f>
        <v>#VALUE!</v>
      </c>
      <c r="AQ22" t="e">
        <f>'All regions'!C530+"$F;@!cE"</f>
        <v>#VALUE!</v>
      </c>
      <c r="AR22" t="e">
        <f>'All regions'!D530+"$F;@!cF"</f>
        <v>#VALUE!</v>
      </c>
      <c r="AS22" t="e">
        <f>'All regions'!E530+"$F;@!cG"</f>
        <v>#VALUE!</v>
      </c>
      <c r="AT22" t="e">
        <f>'All regions'!F530+"$F;@!cH"</f>
        <v>#VALUE!</v>
      </c>
      <c r="AU22" t="e">
        <f>'All regions'!G530+"$F;@!cI"</f>
        <v>#VALUE!</v>
      </c>
      <c r="AV22" t="e">
        <f>'All regions'!H530+"$F;@!cJ"</f>
        <v>#VALUE!</v>
      </c>
      <c r="AW22" t="e">
        <f>'All regions'!I530+"$F;@!cK"</f>
        <v>#VALUE!</v>
      </c>
      <c r="AX22" t="e">
        <f>'All regions'!A531+"$F;@!cL"</f>
        <v>#VALUE!</v>
      </c>
      <c r="AY22" t="e">
        <f>'All regions'!B531+"$F;@!cM"</f>
        <v>#VALUE!</v>
      </c>
      <c r="AZ22" t="e">
        <f>'All regions'!C531+"$F;@!cN"</f>
        <v>#VALUE!</v>
      </c>
      <c r="BA22" t="e">
        <f>'All regions'!D531+"$F;@!cO"</f>
        <v>#VALUE!</v>
      </c>
      <c r="BB22" t="e">
        <f>'All regions'!E531+"$F;@!cP"</f>
        <v>#VALUE!</v>
      </c>
      <c r="BC22" t="e">
        <f>'All regions'!F531+"$F;@!cQ"</f>
        <v>#VALUE!</v>
      </c>
      <c r="BD22" t="e">
        <f>'All regions'!G531+"$F;@!cR"</f>
        <v>#VALUE!</v>
      </c>
      <c r="BE22" t="e">
        <f>'All regions'!H531+"$F;@!cS"</f>
        <v>#VALUE!</v>
      </c>
      <c r="BF22" t="e">
        <f>'All regions'!I531+"$F;@!cT"</f>
        <v>#VALUE!</v>
      </c>
      <c r="BG22" t="e">
        <f>'All regions'!A532+"$F;@!cU"</f>
        <v>#VALUE!</v>
      </c>
      <c r="BH22" t="e">
        <f>'All regions'!B532+"$F;@!cV"</f>
        <v>#VALUE!</v>
      </c>
      <c r="BI22" t="e">
        <f>'All regions'!C532+"$F;@!cW"</f>
        <v>#VALUE!</v>
      </c>
      <c r="BJ22" t="e">
        <f>'All regions'!D532+"$F;@!cX"</f>
        <v>#VALUE!</v>
      </c>
      <c r="BK22" t="e">
        <f>'All regions'!E532+"$F;@!cY"</f>
        <v>#VALUE!</v>
      </c>
      <c r="BL22" t="e">
        <f>'All regions'!F532+"$F;@!cZ"</f>
        <v>#VALUE!</v>
      </c>
      <c r="BM22" t="e">
        <f>'All regions'!G532+"$F;@!c["</f>
        <v>#VALUE!</v>
      </c>
      <c r="BN22" t="e">
        <f>'All regions'!H532+"$F;@!c\"</f>
        <v>#VALUE!</v>
      </c>
      <c r="BO22" t="e">
        <f>'All regions'!I532+"$F;@!c]"</f>
        <v>#VALUE!</v>
      </c>
      <c r="BP22" t="e">
        <f>'All regions'!A533+"$F;@!c^"</f>
        <v>#VALUE!</v>
      </c>
      <c r="BQ22" t="e">
        <f>'All regions'!B533+"$F;@!c_"</f>
        <v>#VALUE!</v>
      </c>
      <c r="BR22" t="e">
        <f>'All regions'!C533+"$F;@!c`"</f>
        <v>#VALUE!</v>
      </c>
      <c r="BS22" t="e">
        <f>'All regions'!D533+"$F;@!ca"</f>
        <v>#VALUE!</v>
      </c>
      <c r="BT22" t="e">
        <f>'All regions'!E533+"$F;@!cb"</f>
        <v>#VALUE!</v>
      </c>
      <c r="BU22" t="e">
        <f>'All regions'!F533+"$F;@!cc"</f>
        <v>#VALUE!</v>
      </c>
      <c r="BV22" t="e">
        <f>'All regions'!G533+"$F;@!cd"</f>
        <v>#VALUE!</v>
      </c>
      <c r="BW22" t="e">
        <f>'All regions'!H533+"$F;@!ce"</f>
        <v>#VALUE!</v>
      </c>
      <c r="BX22" t="e">
        <f>'All regions'!I533+"$F;@!cf"</f>
        <v>#VALUE!</v>
      </c>
      <c r="BY22" t="e">
        <f>'All regions'!A534+"$F;@!cg"</f>
        <v>#VALUE!</v>
      </c>
      <c r="BZ22" t="e">
        <f>'All regions'!B534+"$F;@!ch"</f>
        <v>#VALUE!</v>
      </c>
      <c r="CA22" t="e">
        <f>'All regions'!C534+"$F;@!ci"</f>
        <v>#VALUE!</v>
      </c>
      <c r="CB22" t="e">
        <f>'All regions'!D534+"$F;@!cj"</f>
        <v>#VALUE!</v>
      </c>
      <c r="CC22" t="e">
        <f>'All regions'!E534+"$F;@!ck"</f>
        <v>#VALUE!</v>
      </c>
      <c r="CD22" t="e">
        <f>'All regions'!F534+"$F;@!cl"</f>
        <v>#VALUE!</v>
      </c>
      <c r="CE22" t="e">
        <f>'All regions'!G534+"$F;@!cm"</f>
        <v>#VALUE!</v>
      </c>
      <c r="CF22" t="e">
        <f>'All regions'!H534+"$F;@!cn"</f>
        <v>#VALUE!</v>
      </c>
      <c r="CG22" t="e">
        <f>'All regions'!I534+"$F;@!co"</f>
        <v>#VALUE!</v>
      </c>
      <c r="CH22" t="e">
        <f>'All regions'!A535+"$F;@!cp"</f>
        <v>#VALUE!</v>
      </c>
      <c r="CI22" t="e">
        <f>'All regions'!B535+"$F;@!cq"</f>
        <v>#VALUE!</v>
      </c>
      <c r="CJ22" t="e">
        <f>'All regions'!C535+"$F;@!cr"</f>
        <v>#VALUE!</v>
      </c>
      <c r="CK22" t="e">
        <f>'All regions'!D535+"$F;@!cs"</f>
        <v>#VALUE!</v>
      </c>
      <c r="CL22" t="e">
        <f>'All regions'!E535+"$F;@!ct"</f>
        <v>#VALUE!</v>
      </c>
      <c r="CM22" t="e">
        <f>'All regions'!F535+"$F;@!cu"</f>
        <v>#VALUE!</v>
      </c>
      <c r="CN22" t="e">
        <f>'All regions'!G535+"$F;@!cv"</f>
        <v>#VALUE!</v>
      </c>
      <c r="CO22" t="e">
        <f>'All regions'!H535+"$F;@!cw"</f>
        <v>#VALUE!</v>
      </c>
      <c r="CP22" t="e">
        <f>'All regions'!I535+"$F;@!cx"</f>
        <v>#VALUE!</v>
      </c>
      <c r="CQ22" t="e">
        <f>'All regions'!A536+"$F;@!cy"</f>
        <v>#VALUE!</v>
      </c>
      <c r="CR22" t="e">
        <f>'All regions'!B536+"$F;@!cz"</f>
        <v>#VALUE!</v>
      </c>
      <c r="CS22" t="e">
        <f>'All regions'!C536+"$F;@!c{"</f>
        <v>#VALUE!</v>
      </c>
      <c r="CT22" t="e">
        <f>'All regions'!D536+"$F;@!c|"</f>
        <v>#VALUE!</v>
      </c>
      <c r="CU22" t="e">
        <f>'All regions'!E536+"$F;@!c}"</f>
        <v>#VALUE!</v>
      </c>
      <c r="CV22" t="e">
        <f>'All regions'!F536+"$F;@!c~"</f>
        <v>#VALUE!</v>
      </c>
      <c r="CW22" t="e">
        <f>'All regions'!G536+"$F;@!d#"</f>
        <v>#VALUE!</v>
      </c>
      <c r="CX22" t="e">
        <f>'All regions'!H536+"$F;@!d$"</f>
        <v>#VALUE!</v>
      </c>
      <c r="CY22" t="e">
        <f>'All regions'!I536+"$F;@!d%"</f>
        <v>#VALUE!</v>
      </c>
      <c r="CZ22" t="e">
        <f>'All regions'!A537+"$F;@!d&amp;"</f>
        <v>#VALUE!</v>
      </c>
      <c r="DA22" t="e">
        <f>'All regions'!B537+"$F;@!d'"</f>
        <v>#VALUE!</v>
      </c>
      <c r="DB22" t="e">
        <f>'All regions'!C537+"$F;@!d("</f>
        <v>#VALUE!</v>
      </c>
      <c r="DC22" t="e">
        <f>'All regions'!D537+"$F;@!d)"</f>
        <v>#VALUE!</v>
      </c>
      <c r="DD22" t="e">
        <f>'All regions'!E537+"$F;@!d."</f>
        <v>#VALUE!</v>
      </c>
      <c r="DE22" t="e">
        <f>'All regions'!F537+"$F;@!d/"</f>
        <v>#VALUE!</v>
      </c>
      <c r="DF22" t="e">
        <f>'All regions'!G537+"$F;@!d0"</f>
        <v>#VALUE!</v>
      </c>
      <c r="DG22" t="e">
        <f>'All regions'!H537+"$F;@!d1"</f>
        <v>#VALUE!</v>
      </c>
      <c r="DH22" t="e">
        <f>'All regions'!I537+"$F;@!d2"</f>
        <v>#VALUE!</v>
      </c>
      <c r="DI22" t="e">
        <f>'All regions'!A538+"$F;@!d3"</f>
        <v>#VALUE!</v>
      </c>
      <c r="DJ22" t="e">
        <f>'All regions'!B538+"$F;@!d4"</f>
        <v>#VALUE!</v>
      </c>
      <c r="DK22" t="e">
        <f>'All regions'!C538+"$F;@!d5"</f>
        <v>#VALUE!</v>
      </c>
      <c r="DL22" t="e">
        <f>'All regions'!D538+"$F;@!d6"</f>
        <v>#VALUE!</v>
      </c>
      <c r="DM22" t="e">
        <f>'All regions'!E538+"$F;@!d7"</f>
        <v>#VALUE!</v>
      </c>
      <c r="DN22" t="e">
        <f>'All regions'!F538+"$F;@!d8"</f>
        <v>#VALUE!</v>
      </c>
      <c r="DO22" t="e">
        <f>'All regions'!G538+"$F;@!d9"</f>
        <v>#VALUE!</v>
      </c>
      <c r="DP22" t="e">
        <f>'All regions'!H538+"$F;@!d:"</f>
        <v>#VALUE!</v>
      </c>
      <c r="DQ22" t="e">
        <f>'All regions'!I538+"$F;@!d;"</f>
        <v>#VALUE!</v>
      </c>
      <c r="DR22" t="e">
        <f>'All regions'!A539+"$F;@!d&lt;"</f>
        <v>#VALUE!</v>
      </c>
      <c r="DS22" t="e">
        <f>'All regions'!B539+"$F;@!d="</f>
        <v>#VALUE!</v>
      </c>
      <c r="DT22" t="e">
        <f>'All regions'!C539+"$F;@!d&gt;"</f>
        <v>#VALUE!</v>
      </c>
      <c r="DU22" t="e">
        <f>'All regions'!D539+"$F;@!d?"</f>
        <v>#VALUE!</v>
      </c>
      <c r="DV22" t="e">
        <f>'All regions'!E539+"$F;@!d@"</f>
        <v>#VALUE!</v>
      </c>
      <c r="DW22" t="e">
        <f>'All regions'!F539+"$F;@!dA"</f>
        <v>#VALUE!</v>
      </c>
      <c r="DX22" t="e">
        <f>'All regions'!G539+"$F;@!dB"</f>
        <v>#VALUE!</v>
      </c>
      <c r="DY22" t="e">
        <f>'All regions'!H539+"$F;@!dC"</f>
        <v>#VALUE!</v>
      </c>
      <c r="DZ22" t="e">
        <f>'All regions'!I539+"$F;@!dD"</f>
        <v>#VALUE!</v>
      </c>
      <c r="EA22" t="e">
        <f>'All regions'!A540+"$F;@!dE"</f>
        <v>#VALUE!</v>
      </c>
      <c r="EB22" t="e">
        <f>'All regions'!B540+"$F;@!dF"</f>
        <v>#VALUE!</v>
      </c>
      <c r="EC22" t="e">
        <f>'All regions'!C540+"$F;@!dG"</f>
        <v>#VALUE!</v>
      </c>
      <c r="ED22" t="e">
        <f>'All regions'!D540+"$F;@!dH"</f>
        <v>#VALUE!</v>
      </c>
      <c r="EE22" t="e">
        <f>'All regions'!E540+"$F;@!dI"</f>
        <v>#VALUE!</v>
      </c>
      <c r="EF22" t="e">
        <f>'All regions'!F540+"$F;@!dJ"</f>
        <v>#VALUE!</v>
      </c>
      <c r="EG22" t="e">
        <f>'All regions'!G540+"$F;@!dK"</f>
        <v>#VALUE!</v>
      </c>
      <c r="EH22" t="e">
        <f>'All regions'!H540+"$F;@!dL"</f>
        <v>#VALUE!</v>
      </c>
      <c r="EI22" t="e">
        <f>'All regions'!I540+"$F;@!dM"</f>
        <v>#VALUE!</v>
      </c>
      <c r="EJ22" t="e">
        <f>'All regions'!A541+"$F;@!dN"</f>
        <v>#VALUE!</v>
      </c>
      <c r="EK22" t="e">
        <f>'All regions'!B541+"$F;@!dO"</f>
        <v>#VALUE!</v>
      </c>
      <c r="EL22" t="e">
        <f>'All regions'!C541+"$F;@!dP"</f>
        <v>#VALUE!</v>
      </c>
      <c r="EM22" t="e">
        <f>'All regions'!D541+"$F;@!dQ"</f>
        <v>#VALUE!</v>
      </c>
      <c r="EN22" t="e">
        <f>'All regions'!E541+"$F;@!dR"</f>
        <v>#VALUE!</v>
      </c>
      <c r="EO22" t="e">
        <f>'All regions'!F541+"$F;@!dS"</f>
        <v>#VALUE!</v>
      </c>
      <c r="EP22" t="e">
        <f>'All regions'!G541+"$F;@!dT"</f>
        <v>#VALUE!</v>
      </c>
      <c r="EQ22" t="e">
        <f>'All regions'!H541+"$F;@!dU"</f>
        <v>#VALUE!</v>
      </c>
      <c r="ER22" t="e">
        <f>'All regions'!I541+"$F;@!dV"</f>
        <v>#VALUE!</v>
      </c>
      <c r="ES22" t="e">
        <f>'All regions'!A542+"$F;@!dW"</f>
        <v>#VALUE!</v>
      </c>
      <c r="ET22" t="e">
        <f>'All regions'!B542+"$F;@!dX"</f>
        <v>#VALUE!</v>
      </c>
      <c r="EU22" t="e">
        <f>'All regions'!C542+"$F;@!dY"</f>
        <v>#VALUE!</v>
      </c>
      <c r="EV22" t="e">
        <f>'All regions'!D542+"$F;@!dZ"</f>
        <v>#VALUE!</v>
      </c>
      <c r="EW22" t="e">
        <f>'All regions'!E542+"$F;@!d["</f>
        <v>#VALUE!</v>
      </c>
      <c r="EX22" t="e">
        <f>'All regions'!F542+"$F;@!d\"</f>
        <v>#VALUE!</v>
      </c>
      <c r="EY22" t="e">
        <f>'All regions'!G542+"$F;@!d]"</f>
        <v>#VALUE!</v>
      </c>
      <c r="EZ22" t="e">
        <f>'All regions'!H542+"$F;@!d^"</f>
        <v>#VALUE!</v>
      </c>
      <c r="FA22" t="e">
        <f>'All regions'!I542+"$F;@!d_"</f>
        <v>#VALUE!</v>
      </c>
      <c r="FB22" t="e">
        <f>'All regions'!A543+"$F;@!d`"</f>
        <v>#VALUE!</v>
      </c>
      <c r="FC22" t="e">
        <f>'All regions'!B543+"$F;@!da"</f>
        <v>#VALUE!</v>
      </c>
      <c r="FD22" t="e">
        <f>'All regions'!C543+"$F;@!db"</f>
        <v>#VALUE!</v>
      </c>
      <c r="FE22" t="e">
        <f>'All regions'!D543+"$F;@!dc"</f>
        <v>#VALUE!</v>
      </c>
      <c r="FF22" t="e">
        <f>'All regions'!E543+"$F;@!dd"</f>
        <v>#VALUE!</v>
      </c>
      <c r="FG22" t="e">
        <f>'All regions'!F543+"$F;@!de"</f>
        <v>#VALUE!</v>
      </c>
      <c r="FH22" t="e">
        <f>'All regions'!G543+"$F;@!df"</f>
        <v>#VALUE!</v>
      </c>
      <c r="FI22" t="e">
        <f>'All regions'!H543+"$F;@!dg"</f>
        <v>#VALUE!</v>
      </c>
      <c r="FJ22" t="e">
        <f>'All regions'!I543+"$F;@!dh"</f>
        <v>#VALUE!</v>
      </c>
      <c r="FK22" t="e">
        <f>'All regions'!A544+"$F;@!di"</f>
        <v>#VALUE!</v>
      </c>
      <c r="FL22" t="e">
        <f>'All regions'!B544+"$F;@!dj"</f>
        <v>#VALUE!</v>
      </c>
      <c r="FM22" t="e">
        <f>'All regions'!C544+"$F;@!dk"</f>
        <v>#VALUE!</v>
      </c>
      <c r="FN22" t="e">
        <f>'All regions'!D544+"$F;@!dl"</f>
        <v>#VALUE!</v>
      </c>
      <c r="FO22" t="e">
        <f>'All regions'!E544+"$F;@!dm"</f>
        <v>#VALUE!</v>
      </c>
      <c r="FP22" t="e">
        <f>'All regions'!F544+"$F;@!dn"</f>
        <v>#VALUE!</v>
      </c>
      <c r="FQ22" t="e">
        <f>'All regions'!G544+"$F;@!do"</f>
        <v>#VALUE!</v>
      </c>
      <c r="FR22" t="e">
        <f>'All regions'!H544+"$F;@!dp"</f>
        <v>#VALUE!</v>
      </c>
      <c r="FS22" t="e">
        <f>'All regions'!I544+"$F;@!dq"</f>
        <v>#VALUE!</v>
      </c>
      <c r="FT22" t="e">
        <f>'All regions'!A545+"$F;@!dr"</f>
        <v>#VALUE!</v>
      </c>
      <c r="FU22" t="e">
        <f>'All regions'!B545+"$F;@!ds"</f>
        <v>#VALUE!</v>
      </c>
      <c r="FV22" t="e">
        <f>'All regions'!C545+"$F;@!dt"</f>
        <v>#VALUE!</v>
      </c>
      <c r="FW22" t="e">
        <f>'All regions'!D545+"$F;@!du"</f>
        <v>#VALUE!</v>
      </c>
      <c r="FX22" t="e">
        <f>'All regions'!E545+"$F;@!dv"</f>
        <v>#VALUE!</v>
      </c>
      <c r="FY22" t="e">
        <f>'All regions'!F545+"$F;@!dw"</f>
        <v>#VALUE!</v>
      </c>
      <c r="FZ22" t="e">
        <f>'All regions'!G545+"$F;@!dx"</f>
        <v>#VALUE!</v>
      </c>
      <c r="GA22" t="e">
        <f>'All regions'!H545+"$F;@!dy"</f>
        <v>#VALUE!</v>
      </c>
      <c r="GB22" t="e">
        <f>'All regions'!I545+"$F;@!dz"</f>
        <v>#VALUE!</v>
      </c>
      <c r="GC22" t="e">
        <f>'All regions'!A546+"$F;@!d{"</f>
        <v>#VALUE!</v>
      </c>
      <c r="GD22" t="e">
        <f>'All regions'!B546+"$F;@!d|"</f>
        <v>#VALUE!</v>
      </c>
      <c r="GE22" t="e">
        <f>'All regions'!C546+"$F;@!d}"</f>
        <v>#VALUE!</v>
      </c>
      <c r="GF22" t="e">
        <f>'All regions'!D546+"$F;@!d~"</f>
        <v>#VALUE!</v>
      </c>
      <c r="GG22" t="e">
        <f>'All regions'!E546+"$F;@!e#"</f>
        <v>#VALUE!</v>
      </c>
      <c r="GH22" t="e">
        <f>'All regions'!F546+"$F;@!e$"</f>
        <v>#VALUE!</v>
      </c>
      <c r="GI22" t="e">
        <f>'All regions'!G546+"$F;@!e%"</f>
        <v>#VALUE!</v>
      </c>
      <c r="GJ22" t="e">
        <f>'All regions'!H546+"$F;@!e&amp;"</f>
        <v>#VALUE!</v>
      </c>
      <c r="GK22" t="e">
        <f>'All regions'!I546+"$F;@!e'"</f>
        <v>#VALUE!</v>
      </c>
      <c r="GL22" t="e">
        <f>'All regions'!A547+"$F;@!e("</f>
        <v>#VALUE!</v>
      </c>
      <c r="GM22" t="e">
        <f>'All regions'!B547+"$F;@!e)"</f>
        <v>#VALUE!</v>
      </c>
      <c r="GN22" t="e">
        <f>'All regions'!C547+"$F;@!e."</f>
        <v>#VALUE!</v>
      </c>
      <c r="GO22" t="e">
        <f>'All regions'!D547+"$F;@!e/"</f>
        <v>#VALUE!</v>
      </c>
      <c r="GP22" t="e">
        <f>'All regions'!E547+"$F;@!e0"</f>
        <v>#VALUE!</v>
      </c>
      <c r="GQ22" t="e">
        <f>'All regions'!F547+"$F;@!e1"</f>
        <v>#VALUE!</v>
      </c>
      <c r="GR22" t="e">
        <f>'All regions'!G547+"$F;@!e2"</f>
        <v>#VALUE!</v>
      </c>
      <c r="GS22" t="e">
        <f>'All regions'!H547+"$F;@!e3"</f>
        <v>#VALUE!</v>
      </c>
      <c r="GT22" t="e">
        <f>'All regions'!I547+"$F;@!e4"</f>
        <v>#VALUE!</v>
      </c>
      <c r="GU22" t="e">
        <f>'All regions'!A548+"$F;@!e5"</f>
        <v>#VALUE!</v>
      </c>
      <c r="GV22" t="e">
        <f>'All regions'!B548+"$F;@!e6"</f>
        <v>#VALUE!</v>
      </c>
      <c r="GW22" t="e">
        <f>'All regions'!C548+"$F;@!e7"</f>
        <v>#VALUE!</v>
      </c>
      <c r="GX22" t="e">
        <f>'All regions'!D548+"$F;@!e8"</f>
        <v>#VALUE!</v>
      </c>
      <c r="GY22" t="e">
        <f>'All regions'!E548+"$F;@!e9"</f>
        <v>#VALUE!</v>
      </c>
      <c r="GZ22" t="e">
        <f>'All regions'!F548+"$F;@!e:"</f>
        <v>#VALUE!</v>
      </c>
      <c r="HA22" t="e">
        <f>'All regions'!G548+"$F;@!e;"</f>
        <v>#VALUE!</v>
      </c>
      <c r="HB22" t="e">
        <f>'All regions'!H548+"$F;@!e&lt;"</f>
        <v>#VALUE!</v>
      </c>
      <c r="HC22" t="e">
        <f>'All regions'!I548+"$F;@!e="</f>
        <v>#VALUE!</v>
      </c>
      <c r="HD22" t="e">
        <f>'All regions'!A549+"$F;@!e&gt;"</f>
        <v>#VALUE!</v>
      </c>
      <c r="HE22" t="e">
        <f>'All regions'!B549+"$F;@!e?"</f>
        <v>#VALUE!</v>
      </c>
      <c r="HF22" t="e">
        <f>'All regions'!C549+"$F;@!e@"</f>
        <v>#VALUE!</v>
      </c>
      <c r="HG22" t="e">
        <f>'All regions'!D549+"$F;@!eA"</f>
        <v>#VALUE!</v>
      </c>
      <c r="HH22" t="e">
        <f>'All regions'!E549+"$F;@!eB"</f>
        <v>#VALUE!</v>
      </c>
      <c r="HI22" t="e">
        <f>'All regions'!F549+"$F;@!eC"</f>
        <v>#VALUE!</v>
      </c>
      <c r="HJ22" t="e">
        <f>'All regions'!G549+"$F;@!eD"</f>
        <v>#VALUE!</v>
      </c>
      <c r="HK22" t="e">
        <f>'All regions'!H549+"$F;@!eE"</f>
        <v>#VALUE!</v>
      </c>
      <c r="HL22" t="e">
        <f>'All regions'!I549+"$F;@!eF"</f>
        <v>#VALUE!</v>
      </c>
      <c r="HM22" t="e">
        <f>'All regions'!A550+"$F;@!eG"</f>
        <v>#VALUE!</v>
      </c>
      <c r="HN22" t="e">
        <f>'All regions'!B550+"$F;@!eH"</f>
        <v>#VALUE!</v>
      </c>
      <c r="HO22" t="e">
        <f>'All regions'!C550+"$F;@!eI"</f>
        <v>#VALUE!</v>
      </c>
      <c r="HP22" t="e">
        <f>'All regions'!D550+"$F;@!eJ"</f>
        <v>#VALUE!</v>
      </c>
      <c r="HQ22" t="e">
        <f>'All regions'!E550+"$F;@!eK"</f>
        <v>#VALUE!</v>
      </c>
      <c r="HR22" t="e">
        <f>'All regions'!F550+"$F;@!eL"</f>
        <v>#VALUE!</v>
      </c>
      <c r="HS22" t="e">
        <f>'All regions'!G550+"$F;@!eM"</f>
        <v>#VALUE!</v>
      </c>
      <c r="HT22" t="e">
        <f>'All regions'!H550+"$F;@!eN"</f>
        <v>#VALUE!</v>
      </c>
      <c r="HU22" t="e">
        <f>'All regions'!I550+"$F;@!eO"</f>
        <v>#VALUE!</v>
      </c>
      <c r="HV22" t="e">
        <f>'All regions'!A551+"$F;@!eP"</f>
        <v>#VALUE!</v>
      </c>
      <c r="HW22" t="e">
        <f>'All regions'!B551+"$F;@!eQ"</f>
        <v>#VALUE!</v>
      </c>
      <c r="HX22" t="e">
        <f>'All regions'!C551+"$F;@!eR"</f>
        <v>#VALUE!</v>
      </c>
      <c r="HY22" t="e">
        <f>'All regions'!D551+"$F;@!eS"</f>
        <v>#VALUE!</v>
      </c>
      <c r="HZ22" t="e">
        <f>'All regions'!E551+"$F;@!eT"</f>
        <v>#VALUE!</v>
      </c>
      <c r="IA22" t="e">
        <f>'All regions'!F551+"$F;@!eU"</f>
        <v>#VALUE!</v>
      </c>
      <c r="IB22" t="e">
        <f>'All regions'!G551+"$F;@!eV"</f>
        <v>#VALUE!</v>
      </c>
      <c r="IC22" t="e">
        <f>'All regions'!H551+"$F;@!eW"</f>
        <v>#VALUE!</v>
      </c>
      <c r="ID22" t="e">
        <f>'All regions'!I551+"$F;@!eX"</f>
        <v>#VALUE!</v>
      </c>
      <c r="IE22" t="e">
        <f>'All regions'!A552+"$F;@!eY"</f>
        <v>#VALUE!</v>
      </c>
      <c r="IF22" t="e">
        <f>'All regions'!B552+"$F;@!eZ"</f>
        <v>#VALUE!</v>
      </c>
      <c r="IG22" t="e">
        <f>'All regions'!C552+"$F;@!e["</f>
        <v>#VALUE!</v>
      </c>
      <c r="IH22" t="e">
        <f>'All regions'!D552+"$F;@!e\"</f>
        <v>#VALUE!</v>
      </c>
      <c r="II22" t="e">
        <f>'All regions'!E552+"$F;@!e]"</f>
        <v>#VALUE!</v>
      </c>
      <c r="IJ22" t="e">
        <f>'All regions'!F552+"$F;@!e^"</f>
        <v>#VALUE!</v>
      </c>
      <c r="IK22" t="e">
        <f>'All regions'!G552+"$F;@!e_"</f>
        <v>#VALUE!</v>
      </c>
      <c r="IL22" t="e">
        <f>'All regions'!H552+"$F;@!e`"</f>
        <v>#VALUE!</v>
      </c>
      <c r="IM22" t="e">
        <f>'All regions'!I552+"$F;@!ea"</f>
        <v>#VALUE!</v>
      </c>
      <c r="IN22" t="e">
        <f>'All regions'!A553+"$F;@!eb"</f>
        <v>#VALUE!</v>
      </c>
      <c r="IO22" t="e">
        <f>'All regions'!B553+"$F;@!ec"</f>
        <v>#VALUE!</v>
      </c>
      <c r="IP22" t="e">
        <f>'All regions'!C553+"$F;@!ed"</f>
        <v>#VALUE!</v>
      </c>
      <c r="IQ22" t="e">
        <f>'All regions'!D553+"$F;@!ee"</f>
        <v>#VALUE!</v>
      </c>
      <c r="IR22" t="e">
        <f>'All regions'!E553+"$F;@!ef"</f>
        <v>#VALUE!</v>
      </c>
      <c r="IS22" t="e">
        <f>'All regions'!F553+"$F;@!eg"</f>
        <v>#VALUE!</v>
      </c>
      <c r="IT22" t="e">
        <f>'All regions'!G553+"$F;@!eh"</f>
        <v>#VALUE!</v>
      </c>
      <c r="IU22" t="e">
        <f>'All regions'!H553+"$F;@!ei"</f>
        <v>#VALUE!</v>
      </c>
      <c r="IV22" t="e">
        <f>'All regions'!I553+"$F;@!ej"</f>
        <v>#VALUE!</v>
      </c>
    </row>
    <row r="23" spans="6:256" x14ac:dyDescent="0.35">
      <c r="F23" t="e">
        <f>'All regions'!A554+"$F;@!ek"</f>
        <v>#VALUE!</v>
      </c>
      <c r="G23" t="e">
        <f>'All regions'!B554+"$F;@!el"</f>
        <v>#VALUE!</v>
      </c>
      <c r="H23" t="e">
        <f>'All regions'!C554+"$F;@!em"</f>
        <v>#VALUE!</v>
      </c>
      <c r="I23" t="e">
        <f>'All regions'!D554+"$F;@!en"</f>
        <v>#VALUE!</v>
      </c>
      <c r="J23" t="e">
        <f>'All regions'!E554+"$F;@!eo"</f>
        <v>#VALUE!</v>
      </c>
      <c r="K23" t="e">
        <f>'All regions'!F554+"$F;@!ep"</f>
        <v>#VALUE!</v>
      </c>
      <c r="L23" t="e">
        <f>'All regions'!G554+"$F;@!eq"</f>
        <v>#VALUE!</v>
      </c>
      <c r="M23" t="e">
        <f>'All regions'!H554+"$F;@!er"</f>
        <v>#VALUE!</v>
      </c>
      <c r="N23" t="e">
        <f>'All regions'!I554+"$F;@!es"</f>
        <v>#VALUE!</v>
      </c>
      <c r="O23" t="e">
        <f>'All regions'!A555+"$F;@!et"</f>
        <v>#VALUE!</v>
      </c>
      <c r="P23" t="e">
        <f>'All regions'!B555+"$F;@!eu"</f>
        <v>#VALUE!</v>
      </c>
      <c r="Q23" t="e">
        <f>'All regions'!C555+"$F;@!ev"</f>
        <v>#VALUE!</v>
      </c>
      <c r="R23" t="e">
        <f>'All regions'!D555+"$F;@!ew"</f>
        <v>#VALUE!</v>
      </c>
      <c r="S23" t="e">
        <f>'All regions'!E555+"$F;@!ex"</f>
        <v>#VALUE!</v>
      </c>
      <c r="T23" t="e">
        <f>'All regions'!F555+"$F;@!ey"</f>
        <v>#VALUE!</v>
      </c>
      <c r="U23" t="e">
        <f>'All regions'!G555+"$F;@!ez"</f>
        <v>#VALUE!</v>
      </c>
      <c r="V23" t="e">
        <f>'All regions'!H555+"$F;@!e{"</f>
        <v>#VALUE!</v>
      </c>
      <c r="W23" t="e">
        <f>'All regions'!I555+"$F;@!e|"</f>
        <v>#VALUE!</v>
      </c>
      <c r="X23" t="e">
        <f>'All regions'!A556+"$F;@!e}"</f>
        <v>#VALUE!</v>
      </c>
      <c r="Y23" t="e">
        <f>'All regions'!B556+"$F;@!e~"</f>
        <v>#VALUE!</v>
      </c>
      <c r="Z23" t="e">
        <f>'All regions'!C556+"$F;@!f#"</f>
        <v>#VALUE!</v>
      </c>
      <c r="AA23" t="e">
        <f>'All regions'!D556+"$F;@!f$"</f>
        <v>#VALUE!</v>
      </c>
      <c r="AB23" t="e">
        <f>'All regions'!E556+"$F;@!f%"</f>
        <v>#VALUE!</v>
      </c>
      <c r="AC23" t="e">
        <f>'All regions'!F556+"$F;@!f&amp;"</f>
        <v>#VALUE!</v>
      </c>
      <c r="AD23" t="e">
        <f>'All regions'!G556+"$F;@!f'"</f>
        <v>#VALUE!</v>
      </c>
      <c r="AE23" t="e">
        <f>'All regions'!H556+"$F;@!f("</f>
        <v>#VALUE!</v>
      </c>
      <c r="AF23" t="e">
        <f>'All regions'!I556+"$F;@!f)"</f>
        <v>#VALUE!</v>
      </c>
      <c r="AG23" t="e">
        <f>'All regions'!A557+"$F;@!f."</f>
        <v>#VALUE!</v>
      </c>
      <c r="AH23" t="e">
        <f>'All regions'!B557+"$F;@!f/"</f>
        <v>#VALUE!</v>
      </c>
      <c r="AI23" t="e">
        <f>'All regions'!C557+"$F;@!f0"</f>
        <v>#VALUE!</v>
      </c>
      <c r="AJ23" t="e">
        <f>'All regions'!D557+"$F;@!f1"</f>
        <v>#VALUE!</v>
      </c>
      <c r="AK23" t="e">
        <f>'All regions'!E557+"$F;@!f2"</f>
        <v>#VALUE!</v>
      </c>
      <c r="AL23" t="e">
        <f>'All regions'!F557+"$F;@!f3"</f>
        <v>#VALUE!</v>
      </c>
      <c r="AM23" t="e">
        <f>'All regions'!G557+"$F;@!f4"</f>
        <v>#VALUE!</v>
      </c>
      <c r="AN23" t="e">
        <f>'All regions'!H557+"$F;@!f5"</f>
        <v>#VALUE!</v>
      </c>
      <c r="AO23" t="e">
        <f>'All regions'!I557+"$F;@!f6"</f>
        <v>#VALUE!</v>
      </c>
      <c r="AP23" t="e">
        <f>'All regions'!A558+"$F;@!f7"</f>
        <v>#VALUE!</v>
      </c>
      <c r="AQ23" t="e">
        <f>'All regions'!B558+"$F;@!f8"</f>
        <v>#VALUE!</v>
      </c>
      <c r="AR23" t="e">
        <f>'All regions'!C558+"$F;@!f9"</f>
        <v>#VALUE!</v>
      </c>
      <c r="AS23" t="e">
        <f>'All regions'!D558+"$F;@!f:"</f>
        <v>#VALUE!</v>
      </c>
      <c r="AT23" t="e">
        <f>'All regions'!E558+"$F;@!f;"</f>
        <v>#VALUE!</v>
      </c>
      <c r="AU23" t="e">
        <f>'All regions'!F558+"$F;@!f&lt;"</f>
        <v>#VALUE!</v>
      </c>
      <c r="AV23" t="e">
        <f>'All regions'!G558+"$F;@!f="</f>
        <v>#VALUE!</v>
      </c>
      <c r="AW23" t="e">
        <f>'All regions'!H558+"$F;@!f&gt;"</f>
        <v>#VALUE!</v>
      </c>
      <c r="AX23" t="e">
        <f>'All regions'!I558+"$F;@!f?"</f>
        <v>#VALUE!</v>
      </c>
      <c r="AY23" t="e">
        <f>'All regions'!A559+"$F;@!f@"</f>
        <v>#VALUE!</v>
      </c>
      <c r="AZ23" t="e">
        <f>'All regions'!B559+"$F;@!fA"</f>
        <v>#VALUE!</v>
      </c>
      <c r="BA23" t="e">
        <f>'All regions'!C559+"$F;@!fB"</f>
        <v>#VALUE!</v>
      </c>
      <c r="BB23" t="e">
        <f>'All regions'!D559+"$F;@!fC"</f>
        <v>#VALUE!</v>
      </c>
      <c r="BC23" t="e">
        <f>'All regions'!E559+"$F;@!fD"</f>
        <v>#VALUE!</v>
      </c>
      <c r="BD23" t="e">
        <f>'All regions'!F559+"$F;@!fE"</f>
        <v>#VALUE!</v>
      </c>
      <c r="BE23" t="e">
        <f>'All regions'!G559+"$F;@!fF"</f>
        <v>#VALUE!</v>
      </c>
      <c r="BF23" t="e">
        <f>'All regions'!H559+"$F;@!fG"</f>
        <v>#VALUE!</v>
      </c>
      <c r="BG23" t="e">
        <f>'All regions'!I559+"$F;@!fH"</f>
        <v>#VALUE!</v>
      </c>
      <c r="BH23" t="e">
        <f>'All regions'!A560+"$F;@!fI"</f>
        <v>#VALUE!</v>
      </c>
      <c r="BI23" t="e">
        <f>'All regions'!B560+"$F;@!fJ"</f>
        <v>#VALUE!</v>
      </c>
      <c r="BJ23" t="e">
        <f>'All regions'!C560+"$F;@!fK"</f>
        <v>#VALUE!</v>
      </c>
      <c r="BK23" t="e">
        <f>'All regions'!D560+"$F;@!fL"</f>
        <v>#VALUE!</v>
      </c>
      <c r="BL23" t="e">
        <f>'All regions'!E560+"$F;@!fM"</f>
        <v>#VALUE!</v>
      </c>
      <c r="BM23" t="e">
        <f>'All regions'!F560+"$F;@!fN"</f>
        <v>#VALUE!</v>
      </c>
      <c r="BN23" t="e">
        <f>'All regions'!G560+"$F;@!fO"</f>
        <v>#VALUE!</v>
      </c>
      <c r="BO23" t="e">
        <f>'All regions'!H560+"$F;@!fP"</f>
        <v>#VALUE!</v>
      </c>
      <c r="BP23" t="e">
        <f>'All regions'!I560+"$F;@!fQ"</f>
        <v>#VALUE!</v>
      </c>
      <c r="BQ23" t="e">
        <f>'All regions'!A562+"$F;@!fR"</f>
        <v>#VALUE!</v>
      </c>
      <c r="BR23" t="e">
        <f>'All regions'!B562+"$F;@!fS"</f>
        <v>#VALUE!</v>
      </c>
      <c r="BS23" t="e">
        <f>'All regions'!C562+"$F;@!fT"</f>
        <v>#VALUE!</v>
      </c>
      <c r="BT23" t="e">
        <f>'All regions'!D562+"$F;@!fU"</f>
        <v>#VALUE!</v>
      </c>
      <c r="BU23" t="e">
        <f>'All regions'!E562+"$F;@!fV"</f>
        <v>#VALUE!</v>
      </c>
      <c r="BV23" t="e">
        <f>'All regions'!F562+"$F;@!fW"</f>
        <v>#VALUE!</v>
      </c>
      <c r="BW23" t="e">
        <f>'All regions'!G562+"$F;@!fX"</f>
        <v>#VALUE!</v>
      </c>
      <c r="BX23" t="e">
        <f>'All regions'!H562+"$F;@!fY"</f>
        <v>#VALUE!</v>
      </c>
      <c r="BY23" t="e">
        <f>'All regions'!I562+"$F;@!fZ"</f>
        <v>#VALUE!</v>
      </c>
      <c r="BZ23" t="e">
        <f>'All regions'!A564+"$F;@!f["</f>
        <v>#VALUE!</v>
      </c>
      <c r="CA23" t="e">
        <f>'All regions'!B564+"$F;@!f\"</f>
        <v>#VALUE!</v>
      </c>
      <c r="CB23" t="e">
        <f>'All regions'!C564+"$F;@!f]"</f>
        <v>#VALUE!</v>
      </c>
      <c r="CC23" t="e">
        <f>'All regions'!D564+"$F;@!f^"</f>
        <v>#VALUE!</v>
      </c>
      <c r="CD23" t="e">
        <f>'All regions'!E564+"$F;@!f_"</f>
        <v>#VALUE!</v>
      </c>
      <c r="CE23" t="e">
        <f>'All regions'!F564+"$F;@!f`"</f>
        <v>#VALUE!</v>
      </c>
      <c r="CF23" t="e">
        <f>'All regions'!G564+"$F;@!fa"</f>
        <v>#VALUE!</v>
      </c>
      <c r="CG23" t="e">
        <f>'All regions'!H564+"$F;@!fb"</f>
        <v>#VALUE!</v>
      </c>
      <c r="CH23" t="e">
        <f>'All regions'!I564+"$F;@!fc"</f>
        <v>#VALUE!</v>
      </c>
      <c r="CI23" t="e">
        <f>'All regions'!A565+"$F;@!fd"</f>
        <v>#VALUE!</v>
      </c>
      <c r="CJ23" t="e">
        <f>'All regions'!B565+"$F;@!fe"</f>
        <v>#VALUE!</v>
      </c>
      <c r="CK23" t="e">
        <f>'All regions'!C565+"$F;@!ff"</f>
        <v>#VALUE!</v>
      </c>
      <c r="CL23" t="e">
        <f>'All regions'!D565+"$F;@!fg"</f>
        <v>#VALUE!</v>
      </c>
      <c r="CM23" t="e">
        <f>'All regions'!E565+"$F;@!fh"</f>
        <v>#VALUE!</v>
      </c>
      <c r="CN23" t="e">
        <f>'All regions'!F565+"$F;@!fi"</f>
        <v>#VALUE!</v>
      </c>
      <c r="CO23" t="e">
        <f>'All regions'!G565+"$F;@!fj"</f>
        <v>#VALUE!</v>
      </c>
      <c r="CP23" t="e">
        <f>'All regions'!H565+"$F;@!fk"</f>
        <v>#VALUE!</v>
      </c>
      <c r="CQ23" t="e">
        <f>'All regions'!I565+"$F;@!fl"</f>
        <v>#VALUE!</v>
      </c>
      <c r="CR23" t="e">
        <f>'All regions'!A566+"$F;@!fm"</f>
        <v>#VALUE!</v>
      </c>
      <c r="CS23" t="e">
        <f>'All regions'!B566+"$F;@!fn"</f>
        <v>#VALUE!</v>
      </c>
      <c r="CT23" t="e">
        <f>'All regions'!C566+"$F;@!fo"</f>
        <v>#VALUE!</v>
      </c>
      <c r="CU23" t="e">
        <f>'All regions'!D566+"$F;@!fp"</f>
        <v>#VALUE!</v>
      </c>
      <c r="CV23" t="e">
        <f>'All regions'!E566+"$F;@!fq"</f>
        <v>#VALUE!</v>
      </c>
      <c r="CW23" t="e">
        <f>'All regions'!F566+"$F;@!fr"</f>
        <v>#VALUE!</v>
      </c>
      <c r="CX23" t="e">
        <f>'All regions'!G566+"$F;@!fs"</f>
        <v>#VALUE!</v>
      </c>
      <c r="CY23" t="e">
        <f>'All regions'!H566+"$F;@!ft"</f>
        <v>#VALUE!</v>
      </c>
      <c r="CZ23" t="e">
        <f>'All regions'!I566+"$F;@!fu"</f>
        <v>#VALUE!</v>
      </c>
      <c r="DA23" t="e">
        <f>'All regions'!A567+"$F;@!fv"</f>
        <v>#VALUE!</v>
      </c>
      <c r="DB23" t="e">
        <f>'All regions'!B567+"$F;@!fw"</f>
        <v>#VALUE!</v>
      </c>
      <c r="DC23" t="e">
        <f>'All regions'!C567+"$F;@!fx"</f>
        <v>#VALUE!</v>
      </c>
      <c r="DD23" t="e">
        <f>'All regions'!D567+"$F;@!fy"</f>
        <v>#VALUE!</v>
      </c>
      <c r="DE23" t="e">
        <f>'All regions'!E567+"$F;@!fz"</f>
        <v>#VALUE!</v>
      </c>
      <c r="DF23" t="e">
        <f>'All regions'!F567+"$F;@!f{"</f>
        <v>#VALUE!</v>
      </c>
      <c r="DG23" t="e">
        <f>'All regions'!G567+"$F;@!f|"</f>
        <v>#VALUE!</v>
      </c>
      <c r="DH23" t="e">
        <f>'All regions'!H567+"$F;@!f}"</f>
        <v>#VALUE!</v>
      </c>
      <c r="DI23" t="e">
        <f>'All regions'!I567+"$F;@!f~"</f>
        <v>#VALUE!</v>
      </c>
      <c r="DJ23" t="e">
        <f>'All regions'!A568+"$F;@!g#"</f>
        <v>#VALUE!</v>
      </c>
      <c r="DK23" t="e">
        <f>'All regions'!B568+"$F;@!g$"</f>
        <v>#VALUE!</v>
      </c>
      <c r="DL23" t="e">
        <f>'All regions'!C568+"$F;@!g%"</f>
        <v>#VALUE!</v>
      </c>
      <c r="DM23" t="e">
        <f>'All regions'!D568+"$F;@!g&amp;"</f>
        <v>#VALUE!</v>
      </c>
      <c r="DN23" t="e">
        <f>'All regions'!E568+"$F;@!g'"</f>
        <v>#VALUE!</v>
      </c>
      <c r="DO23" t="e">
        <f>'All regions'!F568+"$F;@!g("</f>
        <v>#VALUE!</v>
      </c>
      <c r="DP23" t="e">
        <f>'All regions'!G568+"$F;@!g)"</f>
        <v>#VALUE!</v>
      </c>
      <c r="DQ23" t="e">
        <f>'All regions'!H568+"$F;@!g."</f>
        <v>#VALUE!</v>
      </c>
      <c r="DR23" t="e">
        <f>'All regions'!I568+"$F;@!g/"</f>
        <v>#VALUE!</v>
      </c>
      <c r="DS23" t="e">
        <f>'All regions'!A569+"$F;@!g0"</f>
        <v>#VALUE!</v>
      </c>
      <c r="DT23" t="e">
        <f>'All regions'!B569+"$F;@!g1"</f>
        <v>#VALUE!</v>
      </c>
      <c r="DU23" t="e">
        <f>'All regions'!C569+"$F;@!g2"</f>
        <v>#VALUE!</v>
      </c>
      <c r="DV23" t="e">
        <f>'All regions'!D569+"$F;@!g3"</f>
        <v>#VALUE!</v>
      </c>
      <c r="DW23" t="e">
        <f>'All regions'!E569+"$F;@!g4"</f>
        <v>#VALUE!</v>
      </c>
      <c r="DX23" t="e">
        <f>'All regions'!F569+"$F;@!g5"</f>
        <v>#VALUE!</v>
      </c>
      <c r="DY23" t="e">
        <f>'All regions'!G569+"$F;@!g6"</f>
        <v>#VALUE!</v>
      </c>
      <c r="DZ23" t="e">
        <f>'All regions'!H569+"$F;@!g7"</f>
        <v>#VALUE!</v>
      </c>
      <c r="EA23" t="e">
        <f>'All regions'!I569+"$F;@!g8"</f>
        <v>#VALUE!</v>
      </c>
      <c r="EB23" t="e">
        <f>'All regions'!A570+"$F;@!g9"</f>
        <v>#VALUE!</v>
      </c>
      <c r="EC23" t="e">
        <f>'All regions'!B570+"$F;@!g:"</f>
        <v>#VALUE!</v>
      </c>
      <c r="ED23" t="e">
        <f>'All regions'!C570+"$F;@!g;"</f>
        <v>#VALUE!</v>
      </c>
      <c r="EE23" t="e">
        <f>'All regions'!D570+"$F;@!g&lt;"</f>
        <v>#VALUE!</v>
      </c>
      <c r="EF23" t="e">
        <f>'All regions'!E570+"$F;@!g="</f>
        <v>#VALUE!</v>
      </c>
      <c r="EG23" t="e">
        <f>'All regions'!F570+"$F;@!g&gt;"</f>
        <v>#VALUE!</v>
      </c>
      <c r="EH23" t="e">
        <f>'All regions'!G570+"$F;@!g?"</f>
        <v>#VALUE!</v>
      </c>
      <c r="EI23" t="e">
        <f>'All regions'!H570+"$F;@!g@"</f>
        <v>#VALUE!</v>
      </c>
      <c r="EJ23" t="e">
        <f>'All regions'!I570+"$F;@!gA"</f>
        <v>#VALUE!</v>
      </c>
      <c r="EK23" t="e">
        <f>'All regions'!A571+"$F;@!gB"</f>
        <v>#VALUE!</v>
      </c>
      <c r="EL23" t="e">
        <f>'All regions'!B571+"$F;@!gC"</f>
        <v>#VALUE!</v>
      </c>
      <c r="EM23" t="e">
        <f>'All regions'!C571+"$F;@!gD"</f>
        <v>#VALUE!</v>
      </c>
      <c r="EN23" t="e">
        <f>'All regions'!D571+"$F;@!gE"</f>
        <v>#VALUE!</v>
      </c>
      <c r="EO23" t="e">
        <f>'All regions'!E571+"$F;@!gF"</f>
        <v>#VALUE!</v>
      </c>
      <c r="EP23" t="e">
        <f>'All regions'!F571+"$F;@!gG"</f>
        <v>#VALUE!</v>
      </c>
      <c r="EQ23" t="e">
        <f>'All regions'!G571+"$F;@!gH"</f>
        <v>#VALUE!</v>
      </c>
      <c r="ER23" t="e">
        <f>'All regions'!H571+"$F;@!gI"</f>
        <v>#VALUE!</v>
      </c>
      <c r="ES23" t="e">
        <f>'All regions'!I571+"$F;@!gJ"</f>
        <v>#VALUE!</v>
      </c>
      <c r="ET23" t="e">
        <f>'All regions'!A572+"$F;@!gK"</f>
        <v>#VALUE!</v>
      </c>
      <c r="EU23" t="e">
        <f>'All regions'!B572+"$F;@!gL"</f>
        <v>#VALUE!</v>
      </c>
      <c r="EV23" t="e">
        <f>'All regions'!C572+"$F;@!gM"</f>
        <v>#VALUE!</v>
      </c>
      <c r="EW23" t="e">
        <f>'All regions'!D572+"$F;@!gN"</f>
        <v>#VALUE!</v>
      </c>
      <c r="EX23" t="e">
        <f>'All regions'!E572+"$F;@!gO"</f>
        <v>#VALUE!</v>
      </c>
      <c r="EY23" t="e">
        <f>'All regions'!F572+"$F;@!gP"</f>
        <v>#VALUE!</v>
      </c>
      <c r="EZ23" t="e">
        <f>'All regions'!G572+"$F;@!gQ"</f>
        <v>#VALUE!</v>
      </c>
      <c r="FA23" t="e">
        <f>'All regions'!H572+"$F;@!gR"</f>
        <v>#VALUE!</v>
      </c>
      <c r="FB23" t="e">
        <f>'All regions'!I572+"$F;@!gS"</f>
        <v>#VALUE!</v>
      </c>
      <c r="FC23" t="e">
        <f>'All regions'!A573+"$F;@!gT"</f>
        <v>#VALUE!</v>
      </c>
      <c r="FD23" t="e">
        <f>'All regions'!B573+"$F;@!gU"</f>
        <v>#VALUE!</v>
      </c>
      <c r="FE23" t="e">
        <f>'All regions'!C573+"$F;@!gV"</f>
        <v>#VALUE!</v>
      </c>
      <c r="FF23" t="e">
        <f>'All regions'!D573+"$F;@!gW"</f>
        <v>#VALUE!</v>
      </c>
      <c r="FG23" t="e">
        <f>'All regions'!E573+"$F;@!gX"</f>
        <v>#VALUE!</v>
      </c>
      <c r="FH23" t="e">
        <f>'All regions'!F573+"$F;@!gY"</f>
        <v>#VALUE!</v>
      </c>
      <c r="FI23" t="e">
        <f>'All regions'!G573+"$F;@!gZ"</f>
        <v>#VALUE!</v>
      </c>
      <c r="FJ23" t="e">
        <f>'All regions'!H573+"$F;@!g["</f>
        <v>#VALUE!</v>
      </c>
      <c r="FK23" t="e">
        <f>'All regions'!I573+"$F;@!g\"</f>
        <v>#VALUE!</v>
      </c>
      <c r="FL23" t="e">
        <f>'All regions'!A574+"$F;@!g]"</f>
        <v>#VALUE!</v>
      </c>
      <c r="FM23" t="e">
        <f>'All regions'!B574+"$F;@!g^"</f>
        <v>#VALUE!</v>
      </c>
      <c r="FN23" t="e">
        <f>'All regions'!C574+"$F;@!g_"</f>
        <v>#VALUE!</v>
      </c>
      <c r="FO23" t="e">
        <f>'All regions'!D574+"$F;@!g`"</f>
        <v>#VALUE!</v>
      </c>
      <c r="FP23" t="e">
        <f>'All regions'!E574+"$F;@!ga"</f>
        <v>#VALUE!</v>
      </c>
      <c r="FQ23" t="e">
        <f>'All regions'!F574+"$F;@!gb"</f>
        <v>#VALUE!</v>
      </c>
      <c r="FR23" t="e">
        <f>'All regions'!G574+"$F;@!gc"</f>
        <v>#VALUE!</v>
      </c>
      <c r="FS23" t="e">
        <f>'All regions'!H574+"$F;@!gd"</f>
        <v>#VALUE!</v>
      </c>
      <c r="FT23" t="e">
        <f>'All regions'!I574+"$F;@!ge"</f>
        <v>#VALUE!</v>
      </c>
      <c r="FU23" t="e">
        <f>'All regions'!A575+"$F;@!gf"</f>
        <v>#VALUE!</v>
      </c>
      <c r="FV23" t="e">
        <f>'All regions'!B575+"$F;@!gg"</f>
        <v>#VALUE!</v>
      </c>
      <c r="FW23" t="e">
        <f>'All regions'!C575+"$F;@!gh"</f>
        <v>#VALUE!</v>
      </c>
      <c r="FX23" t="e">
        <f>'All regions'!D575+"$F;@!gi"</f>
        <v>#VALUE!</v>
      </c>
      <c r="FY23" t="e">
        <f>'All regions'!E575+"$F;@!gj"</f>
        <v>#VALUE!</v>
      </c>
      <c r="FZ23" t="e">
        <f>'All regions'!F575+"$F;@!gk"</f>
        <v>#VALUE!</v>
      </c>
      <c r="GA23" t="e">
        <f>'All regions'!G575+"$F;@!gl"</f>
        <v>#VALUE!</v>
      </c>
      <c r="GB23" t="e">
        <f>'All regions'!H575+"$F;@!gm"</f>
        <v>#VALUE!</v>
      </c>
      <c r="GC23" t="e">
        <f>'All regions'!I575+"$F;@!gn"</f>
        <v>#VALUE!</v>
      </c>
      <c r="GD23" t="e">
        <f>'All regions'!A576+"$F;@!go"</f>
        <v>#VALUE!</v>
      </c>
      <c r="GE23" t="e">
        <f>'All regions'!B576+"$F;@!gp"</f>
        <v>#VALUE!</v>
      </c>
      <c r="GF23" t="e">
        <f>'All regions'!C576+"$F;@!gq"</f>
        <v>#VALUE!</v>
      </c>
      <c r="GG23" t="e">
        <f>'All regions'!D576+"$F;@!gr"</f>
        <v>#VALUE!</v>
      </c>
      <c r="GH23" t="e">
        <f>'All regions'!E576+"$F;@!gs"</f>
        <v>#VALUE!</v>
      </c>
      <c r="GI23" t="e">
        <f>'All regions'!F576+"$F;@!gt"</f>
        <v>#VALUE!</v>
      </c>
      <c r="GJ23" t="e">
        <f>'All regions'!G576+"$F;@!gu"</f>
        <v>#VALUE!</v>
      </c>
      <c r="GK23" t="e">
        <f>'All regions'!H576+"$F;@!gv"</f>
        <v>#VALUE!</v>
      </c>
      <c r="GL23" t="e">
        <f>'All regions'!I576+"$F;@!gw"</f>
        <v>#VALUE!</v>
      </c>
      <c r="GM23" t="e">
        <f>'All regions'!A577+"$F;@!gx"</f>
        <v>#VALUE!</v>
      </c>
      <c r="GN23" t="e">
        <f>'All regions'!B577+"$F;@!gy"</f>
        <v>#VALUE!</v>
      </c>
      <c r="GO23" t="e">
        <f>'All regions'!C577+"$F;@!gz"</f>
        <v>#VALUE!</v>
      </c>
      <c r="GP23" t="e">
        <f>'All regions'!D577+"$F;@!g{"</f>
        <v>#VALUE!</v>
      </c>
      <c r="GQ23" t="e">
        <f>'All regions'!E577+"$F;@!g|"</f>
        <v>#VALUE!</v>
      </c>
      <c r="GR23" t="e">
        <f>'All regions'!F577+"$F;@!g}"</f>
        <v>#VALUE!</v>
      </c>
      <c r="GS23" t="e">
        <f>'All regions'!G577+"$F;@!g~"</f>
        <v>#VALUE!</v>
      </c>
      <c r="GT23" t="e">
        <f>'All regions'!H577+"$F;@!h#"</f>
        <v>#VALUE!</v>
      </c>
      <c r="GU23" t="e">
        <f>'All regions'!I577+"$F;@!h$"</f>
        <v>#VALUE!</v>
      </c>
      <c r="GV23" t="e">
        <f>'All regions'!A578+"$F;@!h%"</f>
        <v>#VALUE!</v>
      </c>
      <c r="GW23" t="e">
        <f>'All regions'!B578+"$F;@!h&amp;"</f>
        <v>#VALUE!</v>
      </c>
      <c r="GX23" t="e">
        <f>'All regions'!C578+"$F;@!h'"</f>
        <v>#VALUE!</v>
      </c>
      <c r="GY23" t="e">
        <f>'All regions'!D578+"$F;@!h("</f>
        <v>#VALUE!</v>
      </c>
      <c r="GZ23" t="e">
        <f>'All regions'!E578+"$F;@!h)"</f>
        <v>#VALUE!</v>
      </c>
      <c r="HA23" t="e">
        <f>'All regions'!F578+"$F;@!h."</f>
        <v>#VALUE!</v>
      </c>
      <c r="HB23" t="e">
        <f>'All regions'!G578+"$F;@!h/"</f>
        <v>#VALUE!</v>
      </c>
      <c r="HC23" t="e">
        <f>'All regions'!H578+"$F;@!h0"</f>
        <v>#VALUE!</v>
      </c>
      <c r="HD23" t="e">
        <f>'All regions'!I578+"$F;@!h1"</f>
        <v>#VALUE!</v>
      </c>
      <c r="HE23" t="e">
        <f>'All regions'!A579+"$F;@!h2"</f>
        <v>#VALUE!</v>
      </c>
      <c r="HF23" t="e">
        <f>'All regions'!B579+"$F;@!h3"</f>
        <v>#VALUE!</v>
      </c>
      <c r="HG23" t="e">
        <f>'All regions'!C579+"$F;@!h4"</f>
        <v>#VALUE!</v>
      </c>
      <c r="HH23" t="e">
        <f>'All regions'!D579+"$F;@!h5"</f>
        <v>#VALUE!</v>
      </c>
      <c r="HI23" t="e">
        <f>'All regions'!E579+"$F;@!h6"</f>
        <v>#VALUE!</v>
      </c>
      <c r="HJ23" t="e">
        <f>'All regions'!F579+"$F;@!h7"</f>
        <v>#VALUE!</v>
      </c>
      <c r="HK23" t="e">
        <f>'All regions'!G579+"$F;@!h8"</f>
        <v>#VALUE!</v>
      </c>
      <c r="HL23" t="e">
        <f>'All regions'!H579+"$F;@!h9"</f>
        <v>#VALUE!</v>
      </c>
      <c r="HM23" t="e">
        <f>'All regions'!I579+"$F;@!h:"</f>
        <v>#VALUE!</v>
      </c>
      <c r="HN23" t="e">
        <f>'All regions'!A580+"$F;@!h;"</f>
        <v>#VALUE!</v>
      </c>
      <c r="HO23" t="e">
        <f>'All regions'!B580+"$F;@!h&lt;"</f>
        <v>#VALUE!</v>
      </c>
      <c r="HP23" t="e">
        <f>'All regions'!C580+"$F;@!h="</f>
        <v>#VALUE!</v>
      </c>
      <c r="HQ23" t="e">
        <f>'All regions'!D580+"$F;@!h&gt;"</f>
        <v>#VALUE!</v>
      </c>
      <c r="HR23" t="e">
        <f>'All regions'!E580+"$F;@!h?"</f>
        <v>#VALUE!</v>
      </c>
      <c r="HS23" t="e">
        <f>'All regions'!F580+"$F;@!h@"</f>
        <v>#VALUE!</v>
      </c>
      <c r="HT23" t="e">
        <f>'All regions'!G580+"$F;@!hA"</f>
        <v>#VALUE!</v>
      </c>
      <c r="HU23" t="e">
        <f>'All regions'!H580+"$F;@!hB"</f>
        <v>#VALUE!</v>
      </c>
      <c r="HV23" t="e">
        <f>'All regions'!I580+"$F;@!hC"</f>
        <v>#VALUE!</v>
      </c>
      <c r="HW23" t="e">
        <f>'All regions'!A581+"$F;@!hD"</f>
        <v>#VALUE!</v>
      </c>
      <c r="HX23" t="e">
        <f>'All regions'!B581+"$F;@!hE"</f>
        <v>#VALUE!</v>
      </c>
      <c r="HY23" t="e">
        <f>'All regions'!C581+"$F;@!hF"</f>
        <v>#VALUE!</v>
      </c>
      <c r="HZ23" t="e">
        <f>'All regions'!D581+"$F;@!hG"</f>
        <v>#VALUE!</v>
      </c>
      <c r="IA23" t="e">
        <f>'All regions'!E581+"$F;@!hH"</f>
        <v>#VALUE!</v>
      </c>
      <c r="IB23" t="e">
        <f>'All regions'!F581+"$F;@!hI"</f>
        <v>#VALUE!</v>
      </c>
      <c r="IC23" t="e">
        <f>'All regions'!G581+"$F;@!hJ"</f>
        <v>#VALUE!</v>
      </c>
      <c r="ID23" t="e">
        <f>'All regions'!H581+"$F;@!hK"</f>
        <v>#VALUE!</v>
      </c>
      <c r="IE23" t="e">
        <f>'All regions'!I581+"$F;@!hL"</f>
        <v>#VALUE!</v>
      </c>
      <c r="IF23" t="e">
        <f>'All regions'!A582+"$F;@!hM"</f>
        <v>#VALUE!</v>
      </c>
      <c r="IG23" t="e">
        <f>'All regions'!B582+"$F;@!hN"</f>
        <v>#VALUE!</v>
      </c>
      <c r="IH23" t="e">
        <f>'All regions'!C582+"$F;@!hO"</f>
        <v>#VALUE!</v>
      </c>
      <c r="II23" t="e">
        <f>'All regions'!D582+"$F;@!hP"</f>
        <v>#VALUE!</v>
      </c>
      <c r="IJ23" t="e">
        <f>'All regions'!E582+"$F;@!hQ"</f>
        <v>#VALUE!</v>
      </c>
      <c r="IK23" t="e">
        <f>'All regions'!F582+"$F;@!hR"</f>
        <v>#VALUE!</v>
      </c>
      <c r="IL23" t="e">
        <f>'All regions'!G582+"$F;@!hS"</f>
        <v>#VALUE!</v>
      </c>
      <c r="IM23" t="e">
        <f>'All regions'!H582+"$F;@!hT"</f>
        <v>#VALUE!</v>
      </c>
      <c r="IN23" t="e">
        <f>'All regions'!I582+"$F;@!hU"</f>
        <v>#VALUE!</v>
      </c>
      <c r="IO23" t="e">
        <f>'All regions'!A583+"$F;@!hV"</f>
        <v>#VALUE!</v>
      </c>
      <c r="IP23" t="e">
        <f>'All regions'!B583+"$F;@!hW"</f>
        <v>#VALUE!</v>
      </c>
      <c r="IQ23" t="e">
        <f>'All regions'!C583+"$F;@!hX"</f>
        <v>#VALUE!</v>
      </c>
      <c r="IR23" t="e">
        <f>'All regions'!D583+"$F;@!hY"</f>
        <v>#VALUE!</v>
      </c>
      <c r="IS23" t="e">
        <f>'All regions'!E583+"$F;@!hZ"</f>
        <v>#VALUE!</v>
      </c>
      <c r="IT23" t="e">
        <f>'All regions'!F583+"$F;@!h["</f>
        <v>#VALUE!</v>
      </c>
      <c r="IU23" t="e">
        <f>'All regions'!G583+"$F;@!h\"</f>
        <v>#VALUE!</v>
      </c>
      <c r="IV23" t="e">
        <f>'All regions'!H583+"$F;@!h]"</f>
        <v>#VALUE!</v>
      </c>
    </row>
    <row r="24" spans="6:256" x14ac:dyDescent="0.35">
      <c r="F24" t="e">
        <f>'All regions'!I583+"$F;@!h^"</f>
        <v>#VALUE!</v>
      </c>
      <c r="G24" t="e">
        <f>'All regions'!A584+"$F;@!h_"</f>
        <v>#VALUE!</v>
      </c>
      <c r="H24" t="e">
        <f>'All regions'!B584+"$F;@!h`"</f>
        <v>#VALUE!</v>
      </c>
      <c r="I24" t="e">
        <f>'All regions'!C584+"$F;@!ha"</f>
        <v>#VALUE!</v>
      </c>
      <c r="J24" t="e">
        <f>'All regions'!D584+"$F;@!hb"</f>
        <v>#VALUE!</v>
      </c>
      <c r="K24" t="e">
        <f>'All regions'!E584+"$F;@!hc"</f>
        <v>#VALUE!</v>
      </c>
      <c r="L24" t="e">
        <f>'All regions'!F584+"$F;@!hd"</f>
        <v>#VALUE!</v>
      </c>
      <c r="M24" t="e">
        <f>'All regions'!G584+"$F;@!he"</f>
        <v>#VALUE!</v>
      </c>
      <c r="N24" t="e">
        <f>'All regions'!H584+"$F;@!hf"</f>
        <v>#VALUE!</v>
      </c>
      <c r="O24" t="e">
        <f>'All regions'!I584+"$F;@!hg"</f>
        <v>#VALUE!</v>
      </c>
      <c r="P24" t="e">
        <f>'All regions'!A585+"$F;@!hh"</f>
        <v>#VALUE!</v>
      </c>
      <c r="Q24" t="e">
        <f>'All regions'!B585+"$F;@!hi"</f>
        <v>#VALUE!</v>
      </c>
      <c r="R24" t="e">
        <f>'All regions'!C585+"$F;@!hj"</f>
        <v>#VALUE!</v>
      </c>
      <c r="S24" t="e">
        <f>'All regions'!D585+"$F;@!hk"</f>
        <v>#VALUE!</v>
      </c>
      <c r="T24" t="e">
        <f>'All regions'!E585+"$F;@!hl"</f>
        <v>#VALUE!</v>
      </c>
      <c r="U24" t="e">
        <f>'All regions'!F585+"$F;@!hm"</f>
        <v>#VALUE!</v>
      </c>
      <c r="V24" t="e">
        <f>'All regions'!G585+"$F;@!hn"</f>
        <v>#VALUE!</v>
      </c>
      <c r="W24" t="e">
        <f>'All regions'!H585+"$F;@!ho"</f>
        <v>#VALUE!</v>
      </c>
      <c r="X24" t="e">
        <f>'All regions'!I585+"$F;@!hp"</f>
        <v>#VALUE!</v>
      </c>
      <c r="Y24" t="e">
        <f>'All regions'!A586+"$F;@!hq"</f>
        <v>#VALUE!</v>
      </c>
      <c r="Z24" t="e">
        <f>'All regions'!B586+"$F;@!hr"</f>
        <v>#VALUE!</v>
      </c>
      <c r="AA24" t="e">
        <f>'All regions'!C586+"$F;@!hs"</f>
        <v>#VALUE!</v>
      </c>
      <c r="AB24" t="e">
        <f>'All regions'!D586+"$F;@!ht"</f>
        <v>#VALUE!</v>
      </c>
      <c r="AC24" t="e">
        <f>'All regions'!E586+"$F;@!hu"</f>
        <v>#VALUE!</v>
      </c>
      <c r="AD24" t="e">
        <f>'All regions'!F586+"$F;@!hv"</f>
        <v>#VALUE!</v>
      </c>
      <c r="AE24" t="e">
        <f>'All regions'!G586+"$F;@!hw"</f>
        <v>#VALUE!</v>
      </c>
      <c r="AF24" t="e">
        <f>'All regions'!H586+"$F;@!hx"</f>
        <v>#VALUE!</v>
      </c>
      <c r="AG24" t="e">
        <f>'All regions'!I586+"$F;@!hy"</f>
        <v>#VALUE!</v>
      </c>
      <c r="AH24" t="e">
        <f>'All regions'!A587+"$F;@!hz"</f>
        <v>#VALUE!</v>
      </c>
      <c r="AI24" t="e">
        <f>'All regions'!B587+"$F;@!h{"</f>
        <v>#VALUE!</v>
      </c>
      <c r="AJ24" t="e">
        <f>'All regions'!C587+"$F;@!h|"</f>
        <v>#VALUE!</v>
      </c>
      <c r="AK24" t="e">
        <f>'All regions'!D587+"$F;@!h}"</f>
        <v>#VALUE!</v>
      </c>
      <c r="AL24" t="e">
        <f>'All regions'!E587+"$F;@!h~"</f>
        <v>#VALUE!</v>
      </c>
      <c r="AM24" t="e">
        <f>'All regions'!F587+"$F;@!i#"</f>
        <v>#VALUE!</v>
      </c>
      <c r="AN24" t="e">
        <f>'All regions'!G587+"$F;@!i$"</f>
        <v>#VALUE!</v>
      </c>
      <c r="AO24" t="e">
        <f>'All regions'!H587+"$F;@!i%"</f>
        <v>#VALUE!</v>
      </c>
      <c r="AP24" t="e">
        <f>'All regions'!I587+"$F;@!i&amp;"</f>
        <v>#VALUE!</v>
      </c>
      <c r="AQ24" t="e">
        <f>'All regions'!A588+"$F;@!i'"</f>
        <v>#VALUE!</v>
      </c>
      <c r="AR24" t="e">
        <f>'All regions'!B588+"$F;@!i("</f>
        <v>#VALUE!</v>
      </c>
      <c r="AS24" t="e">
        <f>'All regions'!C588+"$F;@!i)"</f>
        <v>#VALUE!</v>
      </c>
      <c r="AT24" t="e">
        <f>'All regions'!D588+"$F;@!i."</f>
        <v>#VALUE!</v>
      </c>
      <c r="AU24" t="e">
        <f>'All regions'!E588+"$F;@!i/"</f>
        <v>#VALUE!</v>
      </c>
      <c r="AV24" t="e">
        <f>'All regions'!F588+"$F;@!i0"</f>
        <v>#VALUE!</v>
      </c>
      <c r="AW24" t="e">
        <f>'All regions'!G588+"$F;@!i1"</f>
        <v>#VALUE!</v>
      </c>
      <c r="AX24" t="e">
        <f>'All regions'!H588+"$F;@!i2"</f>
        <v>#VALUE!</v>
      </c>
      <c r="AY24" t="e">
        <f>'All regions'!I588+"$F;@!i3"</f>
        <v>#VALUE!</v>
      </c>
      <c r="AZ24" t="e">
        <f>'All regions'!A589+"$F;@!i4"</f>
        <v>#VALUE!</v>
      </c>
      <c r="BA24" t="e">
        <f>'All regions'!B589+"$F;@!i5"</f>
        <v>#VALUE!</v>
      </c>
      <c r="BB24" t="e">
        <f>'All regions'!C589+"$F;@!i6"</f>
        <v>#VALUE!</v>
      </c>
      <c r="BC24" t="e">
        <f>'All regions'!D589+"$F;@!i7"</f>
        <v>#VALUE!</v>
      </c>
      <c r="BD24" t="e">
        <f>'All regions'!E589+"$F;@!i8"</f>
        <v>#VALUE!</v>
      </c>
      <c r="BE24" t="e">
        <f>'All regions'!F589+"$F;@!i9"</f>
        <v>#VALUE!</v>
      </c>
      <c r="BF24" t="e">
        <f>'All regions'!G589+"$F;@!i:"</f>
        <v>#VALUE!</v>
      </c>
      <c r="BG24" t="e">
        <f>'All regions'!H589+"$F;@!i;"</f>
        <v>#VALUE!</v>
      </c>
      <c r="BH24" t="e">
        <f>'All regions'!I589+"$F;@!i&lt;"</f>
        <v>#VALUE!</v>
      </c>
      <c r="BI24" t="e">
        <f>'All regions'!A590+"$F;@!i="</f>
        <v>#VALUE!</v>
      </c>
      <c r="BJ24" t="e">
        <f>'All regions'!B590+"$F;@!i&gt;"</f>
        <v>#VALUE!</v>
      </c>
      <c r="BK24" t="e">
        <f>'All regions'!C590+"$F;@!i?"</f>
        <v>#VALUE!</v>
      </c>
      <c r="BL24" t="e">
        <f>'All regions'!D590+"$F;@!i@"</f>
        <v>#VALUE!</v>
      </c>
      <c r="BM24" t="e">
        <f>'All regions'!E590+"$F;@!iA"</f>
        <v>#VALUE!</v>
      </c>
      <c r="BN24" t="e">
        <f>'All regions'!F590+"$F;@!iB"</f>
        <v>#VALUE!</v>
      </c>
      <c r="BO24" t="e">
        <f>'All regions'!G590+"$F;@!iC"</f>
        <v>#VALUE!</v>
      </c>
      <c r="BP24" t="e">
        <f>'All regions'!H590+"$F;@!iD"</f>
        <v>#VALUE!</v>
      </c>
      <c r="BQ24" t="e">
        <f>'All regions'!I590+"$F;@!iE"</f>
        <v>#VALUE!</v>
      </c>
      <c r="BR24" t="e">
        <f>'All regions'!A591+"$F;@!iF"</f>
        <v>#VALUE!</v>
      </c>
      <c r="BS24" t="e">
        <f>'All regions'!B591+"$F;@!iG"</f>
        <v>#VALUE!</v>
      </c>
      <c r="BT24" t="e">
        <f>'All regions'!C591+"$F;@!iH"</f>
        <v>#VALUE!</v>
      </c>
      <c r="BU24" t="e">
        <f>'All regions'!D591+"$F;@!iI"</f>
        <v>#VALUE!</v>
      </c>
      <c r="BV24" t="e">
        <f>'All regions'!E591+"$F;@!iJ"</f>
        <v>#VALUE!</v>
      </c>
      <c r="BW24" t="e">
        <f>'All regions'!F591+"$F;@!iK"</f>
        <v>#VALUE!</v>
      </c>
      <c r="BX24" t="e">
        <f>'All regions'!G591+"$F;@!iL"</f>
        <v>#VALUE!</v>
      </c>
      <c r="BY24" t="e">
        <f>'All regions'!H591+"$F;@!iM"</f>
        <v>#VALUE!</v>
      </c>
      <c r="BZ24" t="e">
        <f>'All regions'!I591+"$F;@!iN"</f>
        <v>#VALUE!</v>
      </c>
      <c r="CA24" t="e">
        <f>'All regions'!A592+"$F;@!iO"</f>
        <v>#VALUE!</v>
      </c>
      <c r="CB24" t="e">
        <f>'All regions'!B592+"$F;@!iP"</f>
        <v>#VALUE!</v>
      </c>
      <c r="CC24" t="e">
        <f>'All regions'!C592+"$F;@!iQ"</f>
        <v>#VALUE!</v>
      </c>
      <c r="CD24" t="e">
        <f>'All regions'!D592+"$F;@!iR"</f>
        <v>#VALUE!</v>
      </c>
      <c r="CE24" t="e">
        <f>'All regions'!E592+"$F;@!iS"</f>
        <v>#VALUE!</v>
      </c>
      <c r="CF24" t="e">
        <f>'All regions'!F592+"$F;@!iT"</f>
        <v>#VALUE!</v>
      </c>
      <c r="CG24" t="e">
        <f>'All regions'!G592+"$F;@!iU"</f>
        <v>#VALUE!</v>
      </c>
      <c r="CH24" t="e">
        <f>'All regions'!H592+"$F;@!iV"</f>
        <v>#VALUE!</v>
      </c>
      <c r="CI24" t="e">
        <f>'All regions'!I592+"$F;@!iW"</f>
        <v>#VALUE!</v>
      </c>
      <c r="CJ24" t="e">
        <f>'All regions'!A593+"$F;@!iX"</f>
        <v>#VALUE!</v>
      </c>
      <c r="CK24" t="e">
        <f>'All regions'!B593+"$F;@!iY"</f>
        <v>#VALUE!</v>
      </c>
      <c r="CL24" t="e">
        <f>'All regions'!C593+"$F;@!iZ"</f>
        <v>#VALUE!</v>
      </c>
      <c r="CM24" t="e">
        <f>'All regions'!D593+"$F;@!i["</f>
        <v>#VALUE!</v>
      </c>
      <c r="CN24" t="e">
        <f>'All regions'!E593+"$F;@!i\"</f>
        <v>#VALUE!</v>
      </c>
      <c r="CO24" t="e">
        <f>'All regions'!F593+"$F;@!i]"</f>
        <v>#VALUE!</v>
      </c>
      <c r="CP24" t="e">
        <f>'All regions'!G593+"$F;@!i^"</f>
        <v>#VALUE!</v>
      </c>
      <c r="CQ24" t="e">
        <f>'All regions'!H593+"$F;@!i_"</f>
        <v>#VALUE!</v>
      </c>
      <c r="CR24" t="e">
        <f>'All regions'!I593+"$F;@!i`"</f>
        <v>#VALUE!</v>
      </c>
      <c r="CS24" t="e">
        <f>'All regions'!A594+"$F;@!ia"</f>
        <v>#VALUE!</v>
      </c>
      <c r="CT24" t="e">
        <f>'All regions'!B594+"$F;@!ib"</f>
        <v>#VALUE!</v>
      </c>
      <c r="CU24" t="e">
        <f>'All regions'!C594+"$F;@!ic"</f>
        <v>#VALUE!</v>
      </c>
      <c r="CV24" t="e">
        <f>'All regions'!D594+"$F;@!id"</f>
        <v>#VALUE!</v>
      </c>
      <c r="CW24" t="e">
        <f>'All regions'!E594+"$F;@!ie"</f>
        <v>#VALUE!</v>
      </c>
      <c r="CX24" t="e">
        <f>'All regions'!F594+"$F;@!if"</f>
        <v>#VALUE!</v>
      </c>
      <c r="CY24" t="e">
        <f>'All regions'!G594+"$F;@!ig"</f>
        <v>#VALUE!</v>
      </c>
      <c r="CZ24" t="e">
        <f>'All regions'!H594+"$F;@!ih"</f>
        <v>#VALUE!</v>
      </c>
      <c r="DA24" t="e">
        <f>'All regions'!I594+"$F;@!ii"</f>
        <v>#VALUE!</v>
      </c>
      <c r="DB24" t="e">
        <f>'All regions'!A595+"$F;@!ij"</f>
        <v>#VALUE!</v>
      </c>
      <c r="DC24" t="e">
        <f>'All regions'!B595+"$F;@!ik"</f>
        <v>#VALUE!</v>
      </c>
      <c r="DD24" t="e">
        <f>'All regions'!C595+"$F;@!il"</f>
        <v>#VALUE!</v>
      </c>
      <c r="DE24" t="e">
        <f>'All regions'!D595+"$F;@!im"</f>
        <v>#VALUE!</v>
      </c>
      <c r="DF24" t="e">
        <f>'All regions'!E595+"$F;@!in"</f>
        <v>#VALUE!</v>
      </c>
      <c r="DG24" t="e">
        <f>'All regions'!F595+"$F;@!io"</f>
        <v>#VALUE!</v>
      </c>
      <c r="DH24" t="e">
        <f>'All regions'!G595+"$F;@!ip"</f>
        <v>#VALUE!</v>
      </c>
      <c r="DI24" t="e">
        <f>'All regions'!H595+"$F;@!iq"</f>
        <v>#VALUE!</v>
      </c>
      <c r="DJ24" t="e">
        <f>'All regions'!I595+"$F;@!ir"</f>
        <v>#VALUE!</v>
      </c>
      <c r="DK24" t="e">
        <f>'All regions'!A596+"$F;@!is"</f>
        <v>#VALUE!</v>
      </c>
      <c r="DL24" t="e">
        <f>'All regions'!B596+"$F;@!it"</f>
        <v>#VALUE!</v>
      </c>
      <c r="DM24" t="e">
        <f>'All regions'!C596+"$F;@!iu"</f>
        <v>#VALUE!</v>
      </c>
      <c r="DN24" t="e">
        <f>'All regions'!D596+"$F;@!iv"</f>
        <v>#VALUE!</v>
      </c>
      <c r="DO24" t="e">
        <f>'All regions'!E596+"$F;@!iw"</f>
        <v>#VALUE!</v>
      </c>
      <c r="DP24" t="e">
        <f>'All regions'!F596+"$F;@!ix"</f>
        <v>#VALUE!</v>
      </c>
      <c r="DQ24" t="e">
        <f>'All regions'!G596+"$F;@!iy"</f>
        <v>#VALUE!</v>
      </c>
      <c r="DR24" t="e">
        <f>'All regions'!H596+"$F;@!iz"</f>
        <v>#VALUE!</v>
      </c>
      <c r="DS24" t="e">
        <f>'All regions'!I596+"$F;@!i{"</f>
        <v>#VALUE!</v>
      </c>
      <c r="DT24" t="e">
        <f>'All regions'!A597+"$F;@!i|"</f>
        <v>#VALUE!</v>
      </c>
      <c r="DU24" t="e">
        <f>'All regions'!B597+"$F;@!i}"</f>
        <v>#VALUE!</v>
      </c>
      <c r="DV24" t="e">
        <f>'All regions'!C597+"$F;@!i~"</f>
        <v>#VALUE!</v>
      </c>
      <c r="DW24" t="e">
        <f>'All regions'!D597+"$F;@!j#"</f>
        <v>#VALUE!</v>
      </c>
      <c r="DX24" t="e">
        <f>'All regions'!E597+"$F;@!j$"</f>
        <v>#VALUE!</v>
      </c>
      <c r="DY24" t="e">
        <f>'All regions'!F597+"$F;@!j%"</f>
        <v>#VALUE!</v>
      </c>
      <c r="DZ24" t="e">
        <f>'All regions'!G597+"$F;@!j&amp;"</f>
        <v>#VALUE!</v>
      </c>
      <c r="EA24" t="e">
        <f>'All regions'!H597+"$F;@!j'"</f>
        <v>#VALUE!</v>
      </c>
      <c r="EB24" t="e">
        <f>'All regions'!I597+"$F;@!j("</f>
        <v>#VALUE!</v>
      </c>
      <c r="EC24" t="e">
        <f>'All regions'!A598+"$F;@!j)"</f>
        <v>#VALUE!</v>
      </c>
      <c r="ED24" t="e">
        <f>'All regions'!B598+"$F;@!j."</f>
        <v>#VALUE!</v>
      </c>
      <c r="EE24" t="e">
        <f>'All regions'!C598+"$F;@!j/"</f>
        <v>#VALUE!</v>
      </c>
      <c r="EF24" t="e">
        <f>'All regions'!D598+"$F;@!j0"</f>
        <v>#VALUE!</v>
      </c>
      <c r="EG24" t="e">
        <f>'All regions'!E598+"$F;@!j1"</f>
        <v>#VALUE!</v>
      </c>
      <c r="EH24" t="e">
        <f>'All regions'!F598+"$F;@!j2"</f>
        <v>#VALUE!</v>
      </c>
      <c r="EI24" t="e">
        <f>'All regions'!G598+"$F;@!j3"</f>
        <v>#VALUE!</v>
      </c>
      <c r="EJ24" t="e">
        <f>'All regions'!H598+"$F;@!j4"</f>
        <v>#VALUE!</v>
      </c>
      <c r="EK24" t="e">
        <f>'All regions'!I598+"$F;@!j5"</f>
        <v>#VALUE!</v>
      </c>
      <c r="EL24" t="e">
        <f>'All regions'!A599+"$F;@!j6"</f>
        <v>#VALUE!</v>
      </c>
      <c r="EM24" t="e">
        <f>'All regions'!B599+"$F;@!j7"</f>
        <v>#VALUE!</v>
      </c>
      <c r="EN24" t="e">
        <f>'All regions'!C599+"$F;@!j8"</f>
        <v>#VALUE!</v>
      </c>
      <c r="EO24" t="e">
        <f>'All regions'!D599+"$F;@!j9"</f>
        <v>#VALUE!</v>
      </c>
      <c r="EP24" t="e">
        <f>'All regions'!E599+"$F;@!j:"</f>
        <v>#VALUE!</v>
      </c>
      <c r="EQ24" t="e">
        <f>'All regions'!F599+"$F;@!j;"</f>
        <v>#VALUE!</v>
      </c>
      <c r="ER24" t="e">
        <f>'All regions'!G599+"$F;@!j&lt;"</f>
        <v>#VALUE!</v>
      </c>
      <c r="ES24" t="e">
        <f>'All regions'!H599+"$F;@!j="</f>
        <v>#VALUE!</v>
      </c>
      <c r="ET24" t="e">
        <f>'All regions'!I599+"$F;@!j&gt;"</f>
        <v>#VALUE!</v>
      </c>
      <c r="EU24" t="e">
        <f>'All regions'!A600+"$F;@!j?"</f>
        <v>#VALUE!</v>
      </c>
      <c r="EV24" t="e">
        <f>'All regions'!B600+"$F;@!j@"</f>
        <v>#VALUE!</v>
      </c>
      <c r="EW24" t="e">
        <f>'All regions'!C600+"$F;@!jA"</f>
        <v>#VALUE!</v>
      </c>
      <c r="EX24" t="e">
        <f>'All regions'!D600+"$F;@!jB"</f>
        <v>#VALUE!</v>
      </c>
      <c r="EY24" t="e">
        <f>'All regions'!E600+"$F;@!jC"</f>
        <v>#VALUE!</v>
      </c>
      <c r="EZ24" t="e">
        <f>'All regions'!F600+"$F;@!jD"</f>
        <v>#VALUE!</v>
      </c>
      <c r="FA24" t="e">
        <f>'All regions'!G600+"$F;@!jE"</f>
        <v>#VALUE!</v>
      </c>
      <c r="FB24" t="e">
        <f>'All regions'!H600+"$F;@!jF"</f>
        <v>#VALUE!</v>
      </c>
      <c r="FC24" t="e">
        <f>'All regions'!I600+"$F;@!jG"</f>
        <v>#VALUE!</v>
      </c>
      <c r="FD24" t="e">
        <f>'All regions'!A601+"$F;@!jH"</f>
        <v>#VALUE!</v>
      </c>
      <c r="FE24" t="e">
        <f>'All regions'!B601+"$F;@!jI"</f>
        <v>#VALUE!</v>
      </c>
      <c r="FF24" t="e">
        <f>'All regions'!C601+"$F;@!jJ"</f>
        <v>#VALUE!</v>
      </c>
      <c r="FG24" t="e">
        <f>'All regions'!D601+"$F;@!jK"</f>
        <v>#VALUE!</v>
      </c>
      <c r="FH24" t="e">
        <f>'All regions'!E601+"$F;@!jL"</f>
        <v>#VALUE!</v>
      </c>
      <c r="FI24" t="e">
        <f>'All regions'!F601+"$F;@!jM"</f>
        <v>#VALUE!</v>
      </c>
      <c r="FJ24" t="e">
        <f>'All regions'!G601+"$F;@!jN"</f>
        <v>#VALUE!</v>
      </c>
      <c r="FK24" t="e">
        <f>'All regions'!H601+"$F;@!jO"</f>
        <v>#VALUE!</v>
      </c>
      <c r="FL24" t="e">
        <f>'All regions'!I601+"$F;@!jP"</f>
        <v>#VALUE!</v>
      </c>
      <c r="FM24" t="e">
        <f>'All regions'!A602+"$F;@!jQ"</f>
        <v>#VALUE!</v>
      </c>
      <c r="FN24" t="e">
        <f>'All regions'!B602+"$F;@!jR"</f>
        <v>#VALUE!</v>
      </c>
      <c r="FO24" t="e">
        <f>'All regions'!C602+"$F;@!jS"</f>
        <v>#VALUE!</v>
      </c>
      <c r="FP24" t="e">
        <f>'All regions'!D602+"$F;@!jT"</f>
        <v>#VALUE!</v>
      </c>
      <c r="FQ24" t="e">
        <f>'All regions'!E602+"$F;@!jU"</f>
        <v>#VALUE!</v>
      </c>
      <c r="FR24" t="e">
        <f>'All regions'!F602+"$F;@!jV"</f>
        <v>#VALUE!</v>
      </c>
      <c r="FS24" t="e">
        <f>'All regions'!G602+"$F;@!jW"</f>
        <v>#VALUE!</v>
      </c>
      <c r="FT24" t="e">
        <f>'All regions'!H602+"$F;@!jX"</f>
        <v>#VALUE!</v>
      </c>
      <c r="FU24" t="e">
        <f>'All regions'!I602+"$F;@!jY"</f>
        <v>#VALUE!</v>
      </c>
      <c r="FV24" t="e">
        <f>'All regions'!A603+"$F;@!jZ"</f>
        <v>#VALUE!</v>
      </c>
      <c r="FW24" t="e">
        <f>'All regions'!B603+"$F;@!j["</f>
        <v>#VALUE!</v>
      </c>
      <c r="FX24" t="e">
        <f>'All regions'!C603+"$F;@!j\"</f>
        <v>#VALUE!</v>
      </c>
      <c r="FY24" t="e">
        <f>'All regions'!D603+"$F;@!j]"</f>
        <v>#VALUE!</v>
      </c>
      <c r="FZ24" t="e">
        <f>'All regions'!E603+"$F;@!j^"</f>
        <v>#VALUE!</v>
      </c>
      <c r="GA24" t="e">
        <f>'All regions'!F603+"$F;@!j_"</f>
        <v>#VALUE!</v>
      </c>
      <c r="GB24" t="e">
        <f>'All regions'!G603+"$F;@!j`"</f>
        <v>#VALUE!</v>
      </c>
      <c r="GC24" t="e">
        <f>'All regions'!H603+"$F;@!ja"</f>
        <v>#VALUE!</v>
      </c>
      <c r="GD24" t="e">
        <f>'All regions'!I603+"$F;@!jb"</f>
        <v>#VALUE!</v>
      </c>
      <c r="GE24" t="e">
        <f>'All regions'!A604+"$F;@!jc"</f>
        <v>#VALUE!</v>
      </c>
      <c r="GF24" t="e">
        <f>'All regions'!B604+"$F;@!jd"</f>
        <v>#VALUE!</v>
      </c>
      <c r="GG24" t="e">
        <f>'All regions'!C604+"$F;@!je"</f>
        <v>#VALUE!</v>
      </c>
      <c r="GH24" t="e">
        <f>'All regions'!D604+"$F;@!jf"</f>
        <v>#VALUE!</v>
      </c>
      <c r="GI24" t="e">
        <f>'All regions'!E604+"$F;@!jg"</f>
        <v>#VALUE!</v>
      </c>
      <c r="GJ24" t="e">
        <f>'All regions'!F604+"$F;@!jh"</f>
        <v>#VALUE!</v>
      </c>
      <c r="GK24" t="e">
        <f>'All regions'!G604+"$F;@!ji"</f>
        <v>#VALUE!</v>
      </c>
      <c r="GL24" t="e">
        <f>'All regions'!H604+"$F;@!jj"</f>
        <v>#VALUE!</v>
      </c>
      <c r="GM24" t="e">
        <f>'All regions'!I604+"$F;@!jk"</f>
        <v>#VALUE!</v>
      </c>
      <c r="GN24" t="e">
        <f>'All regions'!A605+"$F;@!jl"</f>
        <v>#VALUE!</v>
      </c>
      <c r="GO24" t="e">
        <f>'All regions'!B605+"$F;@!jm"</f>
        <v>#VALUE!</v>
      </c>
      <c r="GP24" t="e">
        <f>'All regions'!C605+"$F;@!jn"</f>
        <v>#VALUE!</v>
      </c>
      <c r="GQ24" t="e">
        <f>'All regions'!D605+"$F;@!jo"</f>
        <v>#VALUE!</v>
      </c>
      <c r="GR24" t="e">
        <f>'All regions'!E605+"$F;@!jp"</f>
        <v>#VALUE!</v>
      </c>
      <c r="GS24" t="e">
        <f>'All regions'!F605+"$F;@!jq"</f>
        <v>#VALUE!</v>
      </c>
      <c r="GT24" t="e">
        <f>'All regions'!G605+"$F;@!jr"</f>
        <v>#VALUE!</v>
      </c>
      <c r="GU24" t="e">
        <f>'All regions'!H605+"$F;@!js"</f>
        <v>#VALUE!</v>
      </c>
      <c r="GV24" t="e">
        <f>'All regions'!I605+"$F;@!jt"</f>
        <v>#VALUE!</v>
      </c>
      <c r="GW24" t="e">
        <f>'All regions'!A606+"$F;@!ju"</f>
        <v>#VALUE!</v>
      </c>
      <c r="GX24" t="e">
        <f>'All regions'!B606+"$F;@!jv"</f>
        <v>#VALUE!</v>
      </c>
      <c r="GY24" t="e">
        <f>'All regions'!C606+"$F;@!jw"</f>
        <v>#VALUE!</v>
      </c>
      <c r="GZ24" t="e">
        <f>'All regions'!D606+"$F;@!jx"</f>
        <v>#VALUE!</v>
      </c>
      <c r="HA24" t="e">
        <f>'All regions'!E606+"$F;@!jy"</f>
        <v>#VALUE!</v>
      </c>
      <c r="HB24" t="e">
        <f>'All regions'!F606+"$F;@!jz"</f>
        <v>#VALUE!</v>
      </c>
      <c r="HC24" t="e">
        <f>'All regions'!G606+"$F;@!j{"</f>
        <v>#VALUE!</v>
      </c>
      <c r="HD24" t="e">
        <f>'All regions'!H606+"$F;@!j|"</f>
        <v>#VALUE!</v>
      </c>
      <c r="HE24" t="e">
        <f>'All regions'!I606+"$F;@!j}"</f>
        <v>#VALUE!</v>
      </c>
      <c r="HF24" t="e">
        <f>'All regions'!A607+"$F;@!j~"</f>
        <v>#VALUE!</v>
      </c>
      <c r="HG24" t="e">
        <f>'All regions'!B607+"$F;@!k#"</f>
        <v>#VALUE!</v>
      </c>
      <c r="HH24" t="e">
        <f>'All regions'!C607+"$F;@!k$"</f>
        <v>#VALUE!</v>
      </c>
      <c r="HI24" t="e">
        <f>'All regions'!D607+"$F;@!k%"</f>
        <v>#VALUE!</v>
      </c>
      <c r="HJ24" t="e">
        <f>'All regions'!E607+"$F;@!k&amp;"</f>
        <v>#VALUE!</v>
      </c>
      <c r="HK24" t="e">
        <f>'All regions'!F607+"$F;@!k'"</f>
        <v>#VALUE!</v>
      </c>
      <c r="HL24" t="e">
        <f>'All regions'!G607+"$F;@!k("</f>
        <v>#VALUE!</v>
      </c>
      <c r="HM24" t="e">
        <f>'All regions'!H607+"$F;@!k)"</f>
        <v>#VALUE!</v>
      </c>
      <c r="HN24" t="e">
        <f>'All regions'!I607+"$F;@!k."</f>
        <v>#VALUE!</v>
      </c>
      <c r="HO24" t="e">
        <f>'All regions'!A608+"$F;@!k/"</f>
        <v>#VALUE!</v>
      </c>
      <c r="HP24" t="e">
        <f>'All regions'!B608+"$F;@!k0"</f>
        <v>#VALUE!</v>
      </c>
      <c r="HQ24" t="e">
        <f>'All regions'!C608+"$F;@!k1"</f>
        <v>#VALUE!</v>
      </c>
      <c r="HR24" t="e">
        <f>'All regions'!D608+"$F;@!k2"</f>
        <v>#VALUE!</v>
      </c>
      <c r="HS24" t="e">
        <f>'All regions'!E608+"$F;@!k3"</f>
        <v>#VALUE!</v>
      </c>
      <c r="HT24" t="e">
        <f>'All regions'!F608+"$F;@!k4"</f>
        <v>#VALUE!</v>
      </c>
      <c r="HU24" t="e">
        <f>'All regions'!G608+"$F;@!k5"</f>
        <v>#VALUE!</v>
      </c>
      <c r="HV24" t="e">
        <f>'All regions'!H608+"$F;@!k6"</f>
        <v>#VALUE!</v>
      </c>
      <c r="HW24" t="e">
        <f>'All regions'!I608+"$F;@!k7"</f>
        <v>#VALUE!</v>
      </c>
      <c r="HX24" t="e">
        <f>'All regions'!A609+"$F;@!k8"</f>
        <v>#VALUE!</v>
      </c>
      <c r="HY24" t="e">
        <f>'All regions'!B609+"$F;@!k9"</f>
        <v>#VALUE!</v>
      </c>
      <c r="HZ24" t="e">
        <f>'All regions'!C609+"$F;@!k:"</f>
        <v>#VALUE!</v>
      </c>
      <c r="IA24" t="e">
        <f>'All regions'!D609+"$F;@!k;"</f>
        <v>#VALUE!</v>
      </c>
      <c r="IB24" t="e">
        <f>'All regions'!E609+"$F;@!k&lt;"</f>
        <v>#VALUE!</v>
      </c>
      <c r="IC24" t="e">
        <f>'All regions'!F609+"$F;@!k="</f>
        <v>#VALUE!</v>
      </c>
      <c r="ID24" t="e">
        <f>'All regions'!G609+"$F;@!k&gt;"</f>
        <v>#VALUE!</v>
      </c>
      <c r="IE24" t="e">
        <f>'All regions'!H609+"$F;@!k?"</f>
        <v>#VALUE!</v>
      </c>
      <c r="IF24" t="e">
        <f>'All regions'!I609+"$F;@!k@"</f>
        <v>#VALUE!</v>
      </c>
      <c r="IG24" t="e">
        <f>'All regions'!A610+"$F;@!kA"</f>
        <v>#VALUE!</v>
      </c>
      <c r="IH24" t="e">
        <f>'All regions'!B610+"$F;@!kB"</f>
        <v>#VALUE!</v>
      </c>
      <c r="II24" t="e">
        <f>'All regions'!C610+"$F;@!kC"</f>
        <v>#VALUE!</v>
      </c>
      <c r="IJ24" t="e">
        <f>'All regions'!D610+"$F;@!kD"</f>
        <v>#VALUE!</v>
      </c>
      <c r="IK24" t="e">
        <f>'All regions'!E610+"$F;@!kE"</f>
        <v>#VALUE!</v>
      </c>
      <c r="IL24" t="e">
        <f>'All regions'!F610+"$F;@!kF"</f>
        <v>#VALUE!</v>
      </c>
      <c r="IM24" t="e">
        <f>'All regions'!G610+"$F;@!kG"</f>
        <v>#VALUE!</v>
      </c>
      <c r="IN24" t="e">
        <f>'All regions'!H610+"$F;@!kH"</f>
        <v>#VALUE!</v>
      </c>
      <c r="IO24" t="e">
        <f>'All regions'!I610+"$F;@!kI"</f>
        <v>#VALUE!</v>
      </c>
      <c r="IP24" t="e">
        <f>'All regions'!A611+"$F;@!kJ"</f>
        <v>#VALUE!</v>
      </c>
      <c r="IQ24" t="e">
        <f>'All regions'!B611+"$F;@!kK"</f>
        <v>#VALUE!</v>
      </c>
      <c r="IR24" t="e">
        <f>'All regions'!C611+"$F;@!kL"</f>
        <v>#VALUE!</v>
      </c>
      <c r="IS24" t="e">
        <f>'All regions'!D611+"$F;@!kM"</f>
        <v>#VALUE!</v>
      </c>
      <c r="IT24" t="e">
        <f>'All regions'!E611+"$F;@!kN"</f>
        <v>#VALUE!</v>
      </c>
      <c r="IU24" t="e">
        <f>'All regions'!F611+"$F;@!kO"</f>
        <v>#VALUE!</v>
      </c>
      <c r="IV24" t="e">
        <f>'All regions'!G611+"$F;@!kP"</f>
        <v>#VALUE!</v>
      </c>
    </row>
    <row r="25" spans="6:256" x14ac:dyDescent="0.35">
      <c r="F25" t="e">
        <f>'All regions'!H611+"$F;@!kQ"</f>
        <v>#VALUE!</v>
      </c>
      <c r="G25" t="e">
        <f>'All regions'!I611+"$F;@!kR"</f>
        <v>#VALUE!</v>
      </c>
      <c r="H25" t="e">
        <f>'All regions'!A612+"$F;@!kS"</f>
        <v>#VALUE!</v>
      </c>
      <c r="I25" t="e">
        <f>'All regions'!B612+"$F;@!kT"</f>
        <v>#VALUE!</v>
      </c>
      <c r="J25" t="e">
        <f>'All regions'!C612+"$F;@!kU"</f>
        <v>#VALUE!</v>
      </c>
      <c r="K25" t="e">
        <f>'All regions'!D612+"$F;@!kV"</f>
        <v>#VALUE!</v>
      </c>
      <c r="L25" t="e">
        <f>'All regions'!E612+"$F;@!kW"</f>
        <v>#VALUE!</v>
      </c>
      <c r="M25" t="e">
        <f>'All regions'!F612+"$F;@!kX"</f>
        <v>#VALUE!</v>
      </c>
      <c r="N25" t="e">
        <f>'All regions'!G612+"$F;@!kY"</f>
        <v>#VALUE!</v>
      </c>
      <c r="O25" t="e">
        <f>'All regions'!H612+"$F;@!kZ"</f>
        <v>#VALUE!</v>
      </c>
      <c r="P25" t="e">
        <f>'All regions'!I612+"$F;@!k["</f>
        <v>#VALUE!</v>
      </c>
      <c r="Q25" t="e">
        <f>'All regions'!A613+"$F;@!k\"</f>
        <v>#VALUE!</v>
      </c>
      <c r="R25" t="e">
        <f>'All regions'!B613+"$F;@!k]"</f>
        <v>#VALUE!</v>
      </c>
      <c r="S25" t="e">
        <f>'All regions'!C613+"$F;@!k^"</f>
        <v>#VALUE!</v>
      </c>
      <c r="T25" t="e">
        <f>'All regions'!D613+"$F;@!k_"</f>
        <v>#VALUE!</v>
      </c>
      <c r="U25" t="e">
        <f>'All regions'!E613+"$F;@!k`"</f>
        <v>#VALUE!</v>
      </c>
      <c r="V25" t="e">
        <f>'All regions'!F613+"$F;@!ka"</f>
        <v>#VALUE!</v>
      </c>
      <c r="W25" t="e">
        <f>'All regions'!G613+"$F;@!kb"</f>
        <v>#VALUE!</v>
      </c>
      <c r="X25" t="e">
        <f>'All regions'!H613+"$F;@!kc"</f>
        <v>#VALUE!</v>
      </c>
      <c r="Y25" t="e">
        <f>'All regions'!I613+"$F;@!kd"</f>
        <v>#VALUE!</v>
      </c>
      <c r="Z25" t="e">
        <f>'All regions'!A614+"$F;@!ke"</f>
        <v>#VALUE!</v>
      </c>
      <c r="AA25" t="e">
        <f>'All regions'!B614+"$F;@!kf"</f>
        <v>#VALUE!</v>
      </c>
      <c r="AB25" t="e">
        <f>'All regions'!C614+"$F;@!kg"</f>
        <v>#VALUE!</v>
      </c>
      <c r="AC25" t="e">
        <f>'All regions'!D614+"$F;@!kh"</f>
        <v>#VALUE!</v>
      </c>
      <c r="AD25" t="e">
        <f>'All regions'!E614+"$F;@!ki"</f>
        <v>#VALUE!</v>
      </c>
      <c r="AE25" t="e">
        <f>'All regions'!F614+"$F;@!kj"</f>
        <v>#VALUE!</v>
      </c>
      <c r="AF25" t="e">
        <f>'All regions'!G614+"$F;@!kk"</f>
        <v>#VALUE!</v>
      </c>
      <c r="AG25" t="e">
        <f>'All regions'!H614+"$F;@!kl"</f>
        <v>#VALUE!</v>
      </c>
      <c r="AH25" t="e">
        <f>'All regions'!I614+"$F;@!km"</f>
        <v>#VALUE!</v>
      </c>
      <c r="AI25" t="e">
        <f>'All regions'!A615+"$F;@!kn"</f>
        <v>#VALUE!</v>
      </c>
      <c r="AJ25" t="e">
        <f>'All regions'!B615+"$F;@!ko"</f>
        <v>#VALUE!</v>
      </c>
      <c r="AK25" t="e">
        <f>'All regions'!C615+"$F;@!kp"</f>
        <v>#VALUE!</v>
      </c>
      <c r="AL25" t="e">
        <f>'All regions'!D615+"$F;@!kq"</f>
        <v>#VALUE!</v>
      </c>
      <c r="AM25" t="e">
        <f>'All regions'!E615+"$F;@!kr"</f>
        <v>#VALUE!</v>
      </c>
      <c r="AN25" t="e">
        <f>'All regions'!F615+"$F;@!ks"</f>
        <v>#VALUE!</v>
      </c>
      <c r="AO25" t="e">
        <f>'All regions'!G615+"$F;@!kt"</f>
        <v>#VALUE!</v>
      </c>
      <c r="AP25" t="e">
        <f>'All regions'!H615+"$F;@!ku"</f>
        <v>#VALUE!</v>
      </c>
      <c r="AQ25" t="e">
        <f>'All regions'!I615+"$F;@!kv"</f>
        <v>#VALUE!</v>
      </c>
      <c r="AR25" t="e">
        <f>'All regions'!A616+"$F;@!kw"</f>
        <v>#VALUE!</v>
      </c>
      <c r="AS25" t="e">
        <f>'All regions'!B616+"$F;@!kx"</f>
        <v>#VALUE!</v>
      </c>
      <c r="AT25" t="e">
        <f>'All regions'!C616+"$F;@!ky"</f>
        <v>#VALUE!</v>
      </c>
      <c r="AU25" t="e">
        <f>'All regions'!D616+"$F;@!kz"</f>
        <v>#VALUE!</v>
      </c>
      <c r="AV25" t="e">
        <f>'All regions'!E616+"$F;@!k{"</f>
        <v>#VALUE!</v>
      </c>
      <c r="AW25" t="e">
        <f>'All regions'!F616+"$F;@!k|"</f>
        <v>#VALUE!</v>
      </c>
      <c r="AX25" t="e">
        <f>'All regions'!G616+"$F;@!k}"</f>
        <v>#VALUE!</v>
      </c>
      <c r="AY25" t="e">
        <f>'All regions'!H616+"$F;@!k~"</f>
        <v>#VALUE!</v>
      </c>
      <c r="AZ25" t="e">
        <f>'All regions'!I616+"$F;@!l#"</f>
        <v>#VALUE!</v>
      </c>
      <c r="BA25" t="e">
        <f>'All regions'!A617+"$F;@!l$"</f>
        <v>#VALUE!</v>
      </c>
      <c r="BB25" t="e">
        <f>'All regions'!B617+"$F;@!l%"</f>
        <v>#VALUE!</v>
      </c>
      <c r="BC25" t="e">
        <f>'All regions'!C617+"$F;@!l&amp;"</f>
        <v>#VALUE!</v>
      </c>
      <c r="BD25" t="e">
        <f>'All regions'!D617+"$F;@!l'"</f>
        <v>#VALUE!</v>
      </c>
      <c r="BE25" t="e">
        <f>'All regions'!E617+"$F;@!l("</f>
        <v>#VALUE!</v>
      </c>
      <c r="BF25" t="e">
        <f>'All regions'!F617+"$F;@!l)"</f>
        <v>#VALUE!</v>
      </c>
      <c r="BG25" t="e">
        <f>'All regions'!G617+"$F;@!l."</f>
        <v>#VALUE!</v>
      </c>
      <c r="BH25" t="e">
        <f>'All regions'!H617+"$F;@!l/"</f>
        <v>#VALUE!</v>
      </c>
      <c r="BI25" t="e">
        <f>'All regions'!I617+"$F;@!l0"</f>
        <v>#VALUE!</v>
      </c>
      <c r="BJ25" t="e">
        <f>'All regions'!A620+"$F;@!l1"</f>
        <v>#VALUE!</v>
      </c>
      <c r="BK25" t="e">
        <f>'All regions'!B620+"$F;@!l2"</f>
        <v>#VALUE!</v>
      </c>
      <c r="BL25" t="e">
        <f>'All regions'!C620+"$F;@!l3"</f>
        <v>#VALUE!</v>
      </c>
      <c r="BM25" t="e">
        <f>'All regions'!D620+"$F;@!l4"</f>
        <v>#VALUE!</v>
      </c>
      <c r="BN25" t="e">
        <f>'All regions'!E620+"$F;@!l5"</f>
        <v>#VALUE!</v>
      </c>
      <c r="BO25" t="e">
        <f>'All regions'!F620+"$F;@!l6"</f>
        <v>#VALUE!</v>
      </c>
      <c r="BP25" t="e">
        <f>'All regions'!G620+"$F;@!l7"</f>
        <v>#VALUE!</v>
      </c>
      <c r="BQ25" t="e">
        <f>'All regions'!H620+"$F;@!l8"</f>
        <v>#VALUE!</v>
      </c>
      <c r="BR25" t="e">
        <f>'All regions'!I620+"$F;@!l9"</f>
        <v>#VALUE!</v>
      </c>
      <c r="BS25" t="e">
        <f>'All regions'!A621+"$F;@!l:"</f>
        <v>#VALUE!</v>
      </c>
      <c r="BT25" t="e">
        <f>'All regions'!B621+"$F;@!l;"</f>
        <v>#VALUE!</v>
      </c>
      <c r="BU25" t="e">
        <f>'All regions'!C621+"$F;@!l&lt;"</f>
        <v>#VALUE!</v>
      </c>
      <c r="BV25" t="e">
        <f>'All regions'!D621+"$F;@!l="</f>
        <v>#VALUE!</v>
      </c>
      <c r="BW25" t="e">
        <f>'All regions'!E621+"$F;@!l&gt;"</f>
        <v>#VALUE!</v>
      </c>
      <c r="BX25" t="e">
        <f>'All regions'!F621+"$F;@!l?"</f>
        <v>#VALUE!</v>
      </c>
      <c r="BY25" t="e">
        <f>'All regions'!G621+"$F;@!l@"</f>
        <v>#VALUE!</v>
      </c>
      <c r="BZ25" t="e">
        <f>'All regions'!H621+"$F;@!lA"</f>
        <v>#VALUE!</v>
      </c>
      <c r="CA25" t="e">
        <f>'All regions'!I621+"$F;@!lB"</f>
        <v>#VALUE!</v>
      </c>
      <c r="CB25" t="e">
        <f>'All regions'!A622+"$F;@!lC"</f>
        <v>#VALUE!</v>
      </c>
      <c r="CC25" t="e">
        <f>'All regions'!B622+"$F;@!lD"</f>
        <v>#VALUE!</v>
      </c>
      <c r="CD25" t="e">
        <f>'All regions'!C622+"$F;@!lE"</f>
        <v>#VALUE!</v>
      </c>
      <c r="CE25" t="e">
        <f>'All regions'!D622+"$F;@!lF"</f>
        <v>#VALUE!</v>
      </c>
      <c r="CF25" t="e">
        <f>'All regions'!E622+"$F;@!lG"</f>
        <v>#VALUE!</v>
      </c>
      <c r="CG25" t="e">
        <f>'All regions'!F622+"$F;@!lH"</f>
        <v>#VALUE!</v>
      </c>
      <c r="CH25" t="e">
        <f>'All regions'!G622+"$F;@!lI"</f>
        <v>#VALUE!</v>
      </c>
      <c r="CI25" t="e">
        <f>'All regions'!H622+"$F;@!lJ"</f>
        <v>#VALUE!</v>
      </c>
      <c r="CJ25" t="e">
        <f>'All regions'!I622+"$F;@!lK"</f>
        <v>#VALUE!</v>
      </c>
      <c r="CK25" t="e">
        <f>'All regions'!A623+"$F;@!lL"</f>
        <v>#VALUE!</v>
      </c>
      <c r="CL25" t="e">
        <f>'All regions'!B623+"$F;@!lM"</f>
        <v>#VALUE!</v>
      </c>
      <c r="CM25" t="e">
        <f>'All regions'!C623+"$F;@!lN"</f>
        <v>#VALUE!</v>
      </c>
      <c r="CN25" t="e">
        <f>'All regions'!D623+"$F;@!lO"</f>
        <v>#VALUE!</v>
      </c>
      <c r="CO25" t="e">
        <f>'All regions'!E623+"$F;@!lP"</f>
        <v>#VALUE!</v>
      </c>
      <c r="CP25" t="e">
        <f>'All regions'!F623+"$F;@!lQ"</f>
        <v>#VALUE!</v>
      </c>
      <c r="CQ25" t="e">
        <f>'All regions'!G623+"$F;@!lR"</f>
        <v>#VALUE!</v>
      </c>
      <c r="CR25" t="e">
        <f>'All regions'!H623+"$F;@!lS"</f>
        <v>#VALUE!</v>
      </c>
      <c r="CS25" t="e">
        <f>'All regions'!I623+"$F;@!lT"</f>
        <v>#VALUE!</v>
      </c>
      <c r="CT25" t="e">
        <f>'All regions'!A624+"$F;@!lU"</f>
        <v>#VALUE!</v>
      </c>
      <c r="CU25" t="e">
        <f>'All regions'!B624+"$F;@!lV"</f>
        <v>#VALUE!</v>
      </c>
      <c r="CV25" t="e">
        <f>'All regions'!C624+"$F;@!lW"</f>
        <v>#VALUE!</v>
      </c>
      <c r="CW25" t="e">
        <f>'All regions'!D624+"$F;@!lX"</f>
        <v>#VALUE!</v>
      </c>
      <c r="CX25" t="e">
        <f>'All regions'!E624+"$F;@!lY"</f>
        <v>#VALUE!</v>
      </c>
      <c r="CY25" t="e">
        <f>'All regions'!F624+"$F;@!lZ"</f>
        <v>#VALUE!</v>
      </c>
      <c r="CZ25" t="e">
        <f>'All regions'!G624+"$F;@!l["</f>
        <v>#VALUE!</v>
      </c>
      <c r="DA25" t="e">
        <f>'All regions'!H624+"$F;@!l\"</f>
        <v>#VALUE!</v>
      </c>
      <c r="DB25" t="e">
        <f>'All regions'!I624+"$F;@!l]"</f>
        <v>#VALUE!</v>
      </c>
      <c r="DC25" t="e">
        <f>'All regions'!A625+"$F;@!l^"</f>
        <v>#VALUE!</v>
      </c>
      <c r="DD25" t="e">
        <f>'All regions'!B625+"$F;@!l_"</f>
        <v>#VALUE!</v>
      </c>
      <c r="DE25" t="e">
        <f>'All regions'!C625+"$F;@!l`"</f>
        <v>#VALUE!</v>
      </c>
      <c r="DF25" t="e">
        <f>'All regions'!D625+"$F;@!la"</f>
        <v>#VALUE!</v>
      </c>
      <c r="DG25" t="e">
        <f>'All regions'!E625+"$F;@!lb"</f>
        <v>#VALUE!</v>
      </c>
      <c r="DH25" t="e">
        <f>'All regions'!F625+"$F;@!lc"</f>
        <v>#VALUE!</v>
      </c>
      <c r="DI25" t="e">
        <f>'All regions'!G625+"$F;@!ld"</f>
        <v>#VALUE!</v>
      </c>
      <c r="DJ25" t="e">
        <f>'All regions'!H625+"$F;@!le"</f>
        <v>#VALUE!</v>
      </c>
      <c r="DK25" t="e">
        <f>'All regions'!I625+"$F;@!lf"</f>
        <v>#VALUE!</v>
      </c>
      <c r="DL25" t="e">
        <f>'All regions'!A626+"$F;@!lg"</f>
        <v>#VALUE!</v>
      </c>
      <c r="DM25" t="e">
        <f>'All regions'!B626+"$F;@!lh"</f>
        <v>#VALUE!</v>
      </c>
      <c r="DN25" t="e">
        <f>'All regions'!C626+"$F;@!li"</f>
        <v>#VALUE!</v>
      </c>
      <c r="DO25" t="e">
        <f>'All regions'!D626+"$F;@!lj"</f>
        <v>#VALUE!</v>
      </c>
      <c r="DP25" t="e">
        <f>'All regions'!E626+"$F;@!lk"</f>
        <v>#VALUE!</v>
      </c>
      <c r="DQ25" t="e">
        <f>'All regions'!F626+"$F;@!ll"</f>
        <v>#VALUE!</v>
      </c>
      <c r="DR25" t="e">
        <f>'All regions'!G626+"$F;@!lm"</f>
        <v>#VALUE!</v>
      </c>
      <c r="DS25" t="e">
        <f>'All regions'!H626+"$F;@!ln"</f>
        <v>#VALUE!</v>
      </c>
      <c r="DT25" t="e">
        <f>'All regions'!I626+"$F;@!lo"</f>
        <v>#VALUE!</v>
      </c>
      <c r="DU25" t="e">
        <f>'All regions'!A627+"$F;@!lp"</f>
        <v>#VALUE!</v>
      </c>
      <c r="DV25" t="e">
        <f>'All regions'!B627+"$F;@!lq"</f>
        <v>#VALUE!</v>
      </c>
      <c r="DW25" t="e">
        <f>'All regions'!C627+"$F;@!lr"</f>
        <v>#VALUE!</v>
      </c>
      <c r="DX25" t="e">
        <f>'All regions'!D627+"$F;@!ls"</f>
        <v>#VALUE!</v>
      </c>
      <c r="DY25" t="e">
        <f>'All regions'!E627+"$F;@!lt"</f>
        <v>#VALUE!</v>
      </c>
      <c r="DZ25" t="e">
        <f>'All regions'!F627+"$F;@!lu"</f>
        <v>#VALUE!</v>
      </c>
      <c r="EA25" t="e">
        <f>'All regions'!G627+"$F;@!lv"</f>
        <v>#VALUE!</v>
      </c>
      <c r="EB25" t="e">
        <f>'All regions'!H627+"$F;@!lw"</f>
        <v>#VALUE!</v>
      </c>
      <c r="EC25" t="e">
        <f>'All regions'!I627+"$F;@!lx"</f>
        <v>#VALUE!</v>
      </c>
      <c r="ED25" t="e">
        <f>'All regions'!A628+"$F;@!ly"</f>
        <v>#VALUE!</v>
      </c>
      <c r="EE25" t="e">
        <f>'All regions'!B628+"$F;@!lz"</f>
        <v>#VALUE!</v>
      </c>
      <c r="EF25" t="e">
        <f>'All regions'!C628+"$F;@!l{"</f>
        <v>#VALUE!</v>
      </c>
      <c r="EG25" t="e">
        <f>'All regions'!D628+"$F;@!l|"</f>
        <v>#VALUE!</v>
      </c>
      <c r="EH25" t="e">
        <f>'All regions'!E628+"$F;@!l}"</f>
        <v>#VALUE!</v>
      </c>
      <c r="EI25" t="e">
        <f>'All regions'!F628+"$F;@!l~"</f>
        <v>#VALUE!</v>
      </c>
      <c r="EJ25" t="e">
        <f>'All regions'!G628+"$F;@!m#"</f>
        <v>#VALUE!</v>
      </c>
      <c r="EK25" t="e">
        <f>'All regions'!H628+"$F;@!m$"</f>
        <v>#VALUE!</v>
      </c>
      <c r="EL25" t="e">
        <f>'All regions'!I628+"$F;@!m%"</f>
        <v>#VALUE!</v>
      </c>
      <c r="EM25" t="e">
        <f>'All regions'!A629+"$F;@!m&amp;"</f>
        <v>#VALUE!</v>
      </c>
      <c r="EN25" t="e">
        <f>'All regions'!B629+"$F;@!m'"</f>
        <v>#VALUE!</v>
      </c>
      <c r="EO25" t="e">
        <f>'All regions'!C629+"$F;@!m("</f>
        <v>#VALUE!</v>
      </c>
      <c r="EP25" t="e">
        <f>'All regions'!D629+"$F;@!m)"</f>
        <v>#VALUE!</v>
      </c>
      <c r="EQ25" t="e">
        <f>'All regions'!E629+"$F;@!m."</f>
        <v>#VALUE!</v>
      </c>
      <c r="ER25" t="e">
        <f>'All regions'!F629+"$F;@!m/"</f>
        <v>#VALUE!</v>
      </c>
      <c r="ES25" t="e">
        <f>'All regions'!G629+"$F;@!m0"</f>
        <v>#VALUE!</v>
      </c>
      <c r="ET25" t="e">
        <f>'All regions'!H629+"$F;@!m1"</f>
        <v>#VALUE!</v>
      </c>
      <c r="EU25" t="e">
        <f>'All regions'!I629+"$F;@!m2"</f>
        <v>#VALUE!</v>
      </c>
      <c r="EV25" t="e">
        <f>'All regions'!A630+"$F;@!m3"</f>
        <v>#VALUE!</v>
      </c>
      <c r="EW25" t="e">
        <f>'All regions'!B630+"$F;@!m4"</f>
        <v>#VALUE!</v>
      </c>
      <c r="EX25" t="e">
        <f>'All regions'!C630+"$F;@!m5"</f>
        <v>#VALUE!</v>
      </c>
      <c r="EY25" t="e">
        <f>'All regions'!D630+"$F;@!m6"</f>
        <v>#VALUE!</v>
      </c>
      <c r="EZ25" t="e">
        <f>'All regions'!E630+"$F;@!m7"</f>
        <v>#VALUE!</v>
      </c>
      <c r="FA25" t="e">
        <f>'All regions'!F630+"$F;@!m8"</f>
        <v>#VALUE!</v>
      </c>
      <c r="FB25" t="e">
        <f>'All regions'!G630+"$F;@!m9"</f>
        <v>#VALUE!</v>
      </c>
      <c r="FC25" t="e">
        <f>'All regions'!H630+"$F;@!m:"</f>
        <v>#VALUE!</v>
      </c>
      <c r="FD25" t="e">
        <f>'All regions'!I630+"$F;@!m;"</f>
        <v>#VALUE!</v>
      </c>
      <c r="FE25" t="e">
        <f>'All regions'!A631+"$F;@!m&lt;"</f>
        <v>#VALUE!</v>
      </c>
      <c r="FF25" t="e">
        <f>'All regions'!B631+"$F;@!m="</f>
        <v>#VALUE!</v>
      </c>
      <c r="FG25" t="e">
        <f>'All regions'!C631+"$F;@!m&gt;"</f>
        <v>#VALUE!</v>
      </c>
      <c r="FH25" t="e">
        <f>'All regions'!D631+"$F;@!m?"</f>
        <v>#VALUE!</v>
      </c>
      <c r="FI25" t="e">
        <f>'All regions'!E631+"$F;@!m@"</f>
        <v>#VALUE!</v>
      </c>
      <c r="FJ25" t="e">
        <f>'All regions'!F631+"$F;@!mA"</f>
        <v>#VALUE!</v>
      </c>
      <c r="FK25" t="e">
        <f>'All regions'!G631+"$F;@!mB"</f>
        <v>#VALUE!</v>
      </c>
      <c r="FL25" t="e">
        <f>'All regions'!H631+"$F;@!mC"</f>
        <v>#VALUE!</v>
      </c>
      <c r="FM25" t="e">
        <f>'All regions'!I631+"$F;@!mD"</f>
        <v>#VALUE!</v>
      </c>
      <c r="FN25" t="e">
        <f>'All regions'!A632+"$F;@!mE"</f>
        <v>#VALUE!</v>
      </c>
      <c r="FO25" t="e">
        <f>'All regions'!B632+"$F;@!mF"</f>
        <v>#VALUE!</v>
      </c>
      <c r="FP25" t="e">
        <f>'All regions'!C632+"$F;@!mG"</f>
        <v>#VALUE!</v>
      </c>
      <c r="FQ25" t="e">
        <f>'All regions'!D632+"$F;@!mH"</f>
        <v>#VALUE!</v>
      </c>
      <c r="FR25" t="e">
        <f>'All regions'!E632+"$F;@!mI"</f>
        <v>#VALUE!</v>
      </c>
      <c r="FS25" t="e">
        <f>'All regions'!F632+"$F;@!mJ"</f>
        <v>#VALUE!</v>
      </c>
      <c r="FT25" t="e">
        <f>'All regions'!G632+"$F;@!mK"</f>
        <v>#VALUE!</v>
      </c>
      <c r="FU25" t="e">
        <f>'All regions'!H632+"$F;@!mL"</f>
        <v>#VALUE!</v>
      </c>
      <c r="FV25" t="e">
        <f>'All regions'!I632+"$F;@!mM"</f>
        <v>#VALUE!</v>
      </c>
      <c r="FW25" t="e">
        <f>'All regions'!A633+"$F;@!mN"</f>
        <v>#VALUE!</v>
      </c>
      <c r="FX25" t="e">
        <f>'All regions'!B633+"$F;@!mO"</f>
        <v>#VALUE!</v>
      </c>
      <c r="FY25" t="e">
        <f>'All regions'!C633+"$F;@!mP"</f>
        <v>#VALUE!</v>
      </c>
      <c r="FZ25" t="e">
        <f>'All regions'!D633+"$F;@!mQ"</f>
        <v>#VALUE!</v>
      </c>
      <c r="GA25" t="e">
        <f>'All regions'!E633+"$F;@!mR"</f>
        <v>#VALUE!</v>
      </c>
      <c r="GB25" t="e">
        <f>'All regions'!F633+"$F;@!mS"</f>
        <v>#VALUE!</v>
      </c>
      <c r="GC25" t="e">
        <f>'All regions'!G633+"$F;@!mT"</f>
        <v>#VALUE!</v>
      </c>
      <c r="GD25" t="e">
        <f>'All regions'!H633+"$F;@!mU"</f>
        <v>#VALUE!</v>
      </c>
      <c r="GE25" t="e">
        <f>'All regions'!I633+"$F;@!mV"</f>
        <v>#VALUE!</v>
      </c>
      <c r="GF25" t="e">
        <f>'All regions'!A634+"$F;@!mW"</f>
        <v>#VALUE!</v>
      </c>
      <c r="GG25" t="e">
        <f>'All regions'!B634+"$F;@!mX"</f>
        <v>#VALUE!</v>
      </c>
      <c r="GH25" t="e">
        <f>'All regions'!C634+"$F;@!mY"</f>
        <v>#VALUE!</v>
      </c>
      <c r="GI25" t="e">
        <f>'All regions'!D634+"$F;@!mZ"</f>
        <v>#VALUE!</v>
      </c>
      <c r="GJ25" t="e">
        <f>'All regions'!E634+"$F;@!m["</f>
        <v>#VALUE!</v>
      </c>
      <c r="GK25" t="e">
        <f>'All regions'!F634+"$F;@!m\"</f>
        <v>#VALUE!</v>
      </c>
      <c r="GL25" t="e">
        <f>'All regions'!G634+"$F;@!m]"</f>
        <v>#VALUE!</v>
      </c>
      <c r="GM25" t="e">
        <f>'All regions'!H634+"$F;@!m^"</f>
        <v>#VALUE!</v>
      </c>
      <c r="GN25" t="e">
        <f>'All regions'!I634+"$F;@!m_"</f>
        <v>#VALUE!</v>
      </c>
      <c r="GO25" t="e">
        <f>'All regions'!A635+"$F;@!m`"</f>
        <v>#VALUE!</v>
      </c>
      <c r="GP25" t="e">
        <f>'All regions'!B635+"$F;@!ma"</f>
        <v>#VALUE!</v>
      </c>
      <c r="GQ25" t="e">
        <f>'All regions'!C635+"$F;@!mb"</f>
        <v>#VALUE!</v>
      </c>
      <c r="GR25" t="e">
        <f>'All regions'!D635+"$F;@!mc"</f>
        <v>#VALUE!</v>
      </c>
      <c r="GS25" t="e">
        <f>'All regions'!E635+"$F;@!md"</f>
        <v>#VALUE!</v>
      </c>
      <c r="GT25" t="e">
        <f>'All regions'!F635+"$F;@!me"</f>
        <v>#VALUE!</v>
      </c>
      <c r="GU25" t="e">
        <f>'All regions'!G635+"$F;@!mf"</f>
        <v>#VALUE!</v>
      </c>
      <c r="GV25" t="e">
        <f>'All regions'!H635+"$F;@!mg"</f>
        <v>#VALUE!</v>
      </c>
      <c r="GW25" t="e">
        <f>'All regions'!I635+"$F;@!mh"</f>
        <v>#VALUE!</v>
      </c>
      <c r="GX25" t="e">
        <f>'All regions'!A636+"$F;@!mi"</f>
        <v>#VALUE!</v>
      </c>
      <c r="GY25" t="e">
        <f>'All regions'!B636+"$F;@!mj"</f>
        <v>#VALUE!</v>
      </c>
      <c r="GZ25" t="e">
        <f>'All regions'!C636+"$F;@!mk"</f>
        <v>#VALUE!</v>
      </c>
      <c r="HA25" t="e">
        <f>'All regions'!D636+"$F;@!ml"</f>
        <v>#VALUE!</v>
      </c>
      <c r="HB25" t="e">
        <f>'All regions'!E636+"$F;@!mm"</f>
        <v>#VALUE!</v>
      </c>
      <c r="HC25" t="e">
        <f>'All regions'!F636+"$F;@!mn"</f>
        <v>#VALUE!</v>
      </c>
      <c r="HD25" t="e">
        <f>'All regions'!G636+"$F;@!mo"</f>
        <v>#VALUE!</v>
      </c>
      <c r="HE25" t="e">
        <f>'All regions'!H636+"$F;@!mp"</f>
        <v>#VALUE!</v>
      </c>
      <c r="HF25" t="e">
        <f>'All regions'!I636+"$F;@!mq"</f>
        <v>#VALUE!</v>
      </c>
      <c r="HG25" t="e">
        <f>'All regions'!A637+"$F;@!mr"</f>
        <v>#VALUE!</v>
      </c>
      <c r="HH25" t="e">
        <f>'All regions'!B637+"$F;@!ms"</f>
        <v>#VALUE!</v>
      </c>
      <c r="HI25" t="e">
        <f>'All regions'!C637+"$F;@!mt"</f>
        <v>#VALUE!</v>
      </c>
      <c r="HJ25" t="e">
        <f>'All regions'!D637+"$F;@!mu"</f>
        <v>#VALUE!</v>
      </c>
      <c r="HK25" t="e">
        <f>'All regions'!E637+"$F;@!mv"</f>
        <v>#VALUE!</v>
      </c>
      <c r="HL25" t="e">
        <f>'All regions'!F637+"$F;@!mw"</f>
        <v>#VALUE!</v>
      </c>
      <c r="HM25" t="e">
        <f>'All regions'!G637+"$F;@!mx"</f>
        <v>#VALUE!</v>
      </c>
      <c r="HN25" t="e">
        <f>'All regions'!H637+"$F;@!my"</f>
        <v>#VALUE!</v>
      </c>
      <c r="HO25" t="e">
        <f>'All regions'!I637+"$F;@!mz"</f>
        <v>#VALUE!</v>
      </c>
      <c r="HP25" t="e">
        <f>'All regions'!A638+"$F;@!m{"</f>
        <v>#VALUE!</v>
      </c>
      <c r="HQ25" t="e">
        <f>'All regions'!B638+"$F;@!m|"</f>
        <v>#VALUE!</v>
      </c>
      <c r="HR25" t="e">
        <f>'All regions'!C638+"$F;@!m}"</f>
        <v>#VALUE!</v>
      </c>
      <c r="HS25" t="e">
        <f>'All regions'!D638+"$F;@!m~"</f>
        <v>#VALUE!</v>
      </c>
      <c r="HT25" t="e">
        <f>'All regions'!E638+"$F;@!n#"</f>
        <v>#VALUE!</v>
      </c>
      <c r="HU25" t="e">
        <f>'All regions'!F638+"$F;@!n$"</f>
        <v>#VALUE!</v>
      </c>
      <c r="HV25" t="e">
        <f>'All regions'!G638+"$F;@!n%"</f>
        <v>#VALUE!</v>
      </c>
      <c r="HW25" t="e">
        <f>'All regions'!H638+"$F;@!n&amp;"</f>
        <v>#VALUE!</v>
      </c>
      <c r="HX25" t="e">
        <f>'All regions'!I638+"$F;@!n'"</f>
        <v>#VALUE!</v>
      </c>
      <c r="HY25" t="e">
        <f>'All regions'!A639+"$F;@!n("</f>
        <v>#VALUE!</v>
      </c>
      <c r="HZ25" t="e">
        <f>'All regions'!B639+"$F;@!n)"</f>
        <v>#VALUE!</v>
      </c>
      <c r="IA25" t="e">
        <f>'All regions'!C639+"$F;@!n."</f>
        <v>#VALUE!</v>
      </c>
      <c r="IB25" t="e">
        <f>'All regions'!D639+"$F;@!n/"</f>
        <v>#VALUE!</v>
      </c>
      <c r="IC25" t="e">
        <f>'All regions'!E639+"$F;@!n0"</f>
        <v>#VALUE!</v>
      </c>
      <c r="ID25" t="e">
        <f>'All regions'!F639+"$F;@!n1"</f>
        <v>#VALUE!</v>
      </c>
      <c r="IE25" t="e">
        <f>'All regions'!G639+"$F;@!n2"</f>
        <v>#VALUE!</v>
      </c>
      <c r="IF25" t="e">
        <f>'All regions'!H639+"$F;@!n3"</f>
        <v>#VALUE!</v>
      </c>
      <c r="IG25" t="e">
        <f>'All regions'!I639+"$F;@!n4"</f>
        <v>#VALUE!</v>
      </c>
      <c r="IH25" t="e">
        <f>'All regions'!A640+"$F;@!n5"</f>
        <v>#VALUE!</v>
      </c>
      <c r="II25" t="e">
        <f>'All regions'!B640+"$F;@!n6"</f>
        <v>#VALUE!</v>
      </c>
      <c r="IJ25" t="e">
        <f>'All regions'!C640+"$F;@!n7"</f>
        <v>#VALUE!</v>
      </c>
      <c r="IK25" t="e">
        <f>'All regions'!D640+"$F;@!n8"</f>
        <v>#VALUE!</v>
      </c>
      <c r="IL25" t="e">
        <f>'All regions'!E640+"$F;@!n9"</f>
        <v>#VALUE!</v>
      </c>
      <c r="IM25" t="e">
        <f>'All regions'!F640+"$F;@!n:"</f>
        <v>#VALUE!</v>
      </c>
      <c r="IN25" t="e">
        <f>'All regions'!G640+"$F;@!n;"</f>
        <v>#VALUE!</v>
      </c>
      <c r="IO25" t="e">
        <f>'All regions'!H640+"$F;@!n&lt;"</f>
        <v>#VALUE!</v>
      </c>
      <c r="IP25" t="e">
        <f>'All regions'!I640+"$F;@!n="</f>
        <v>#VALUE!</v>
      </c>
      <c r="IQ25" t="e">
        <f>'All regions'!A641+"$F;@!n&gt;"</f>
        <v>#VALUE!</v>
      </c>
      <c r="IR25" t="e">
        <f>'All regions'!B641+"$F;@!n?"</f>
        <v>#VALUE!</v>
      </c>
      <c r="IS25" t="e">
        <f>'All regions'!C641+"$F;@!n@"</f>
        <v>#VALUE!</v>
      </c>
      <c r="IT25" t="e">
        <f>'All regions'!D641+"$F;@!nA"</f>
        <v>#VALUE!</v>
      </c>
      <c r="IU25" t="e">
        <f>'All regions'!E641+"$F;@!nB"</f>
        <v>#VALUE!</v>
      </c>
      <c r="IV25" t="e">
        <f>'All regions'!F641+"$F;@!nC"</f>
        <v>#VALUE!</v>
      </c>
    </row>
    <row r="26" spans="6:256" x14ac:dyDescent="0.35">
      <c r="F26" t="e">
        <f>'All regions'!G641+"$F;@!nD"</f>
        <v>#VALUE!</v>
      </c>
      <c r="G26" t="e">
        <f>'All regions'!H641+"$F;@!nE"</f>
        <v>#VALUE!</v>
      </c>
      <c r="H26" t="e">
        <f>'All regions'!I641+"$F;@!nF"</f>
        <v>#VALUE!</v>
      </c>
      <c r="I26" t="e">
        <f>'All regions'!A642+"$F;@!nG"</f>
        <v>#VALUE!</v>
      </c>
      <c r="J26" t="e">
        <f>'All regions'!B642+"$F;@!nH"</f>
        <v>#VALUE!</v>
      </c>
      <c r="K26" t="e">
        <f>'All regions'!C642+"$F;@!nI"</f>
        <v>#VALUE!</v>
      </c>
      <c r="L26" t="e">
        <f>'All regions'!D642+"$F;@!nJ"</f>
        <v>#VALUE!</v>
      </c>
      <c r="M26" t="e">
        <f>'All regions'!E642+"$F;@!nK"</f>
        <v>#VALUE!</v>
      </c>
      <c r="N26" t="e">
        <f>'All regions'!F642+"$F;@!nL"</f>
        <v>#VALUE!</v>
      </c>
      <c r="O26" t="e">
        <f>'All regions'!G642+"$F;@!nM"</f>
        <v>#VALUE!</v>
      </c>
      <c r="P26" t="e">
        <f>'All regions'!H642+"$F;@!nN"</f>
        <v>#VALUE!</v>
      </c>
      <c r="Q26" t="e">
        <f>'All regions'!I642+"$F;@!nO"</f>
        <v>#VALUE!</v>
      </c>
      <c r="R26" t="e">
        <f>'All regions'!A643+"$F;@!nP"</f>
        <v>#VALUE!</v>
      </c>
      <c r="S26" t="e">
        <f>'All regions'!B643+"$F;@!nQ"</f>
        <v>#VALUE!</v>
      </c>
      <c r="T26" t="e">
        <f>'All regions'!C643+"$F;@!nR"</f>
        <v>#VALUE!</v>
      </c>
      <c r="U26" t="e">
        <f>'All regions'!D643+"$F;@!nS"</f>
        <v>#VALUE!</v>
      </c>
      <c r="V26" t="e">
        <f>'All regions'!E643+"$F;@!nT"</f>
        <v>#VALUE!</v>
      </c>
      <c r="W26" t="e">
        <f>'All regions'!F643+"$F;@!nU"</f>
        <v>#VALUE!</v>
      </c>
      <c r="X26" t="e">
        <f>'All regions'!G643+"$F;@!nV"</f>
        <v>#VALUE!</v>
      </c>
      <c r="Y26" t="e">
        <f>'All regions'!H643+"$F;@!nW"</f>
        <v>#VALUE!</v>
      </c>
      <c r="Z26" t="e">
        <f>'All regions'!I643+"$F;@!nX"</f>
        <v>#VALUE!</v>
      </c>
      <c r="AA26" t="e">
        <f>'All regions'!A644+"$F;@!nY"</f>
        <v>#VALUE!</v>
      </c>
      <c r="AB26" t="e">
        <f>'All regions'!B644+"$F;@!nZ"</f>
        <v>#VALUE!</v>
      </c>
      <c r="AC26" t="e">
        <f>'All regions'!C644+"$F;@!n["</f>
        <v>#VALUE!</v>
      </c>
      <c r="AD26" t="e">
        <f>'All regions'!D644+"$F;@!n\"</f>
        <v>#VALUE!</v>
      </c>
      <c r="AE26" t="e">
        <f>'All regions'!E644+"$F;@!n]"</f>
        <v>#VALUE!</v>
      </c>
      <c r="AF26" t="e">
        <f>'All regions'!F644+"$F;@!n^"</f>
        <v>#VALUE!</v>
      </c>
      <c r="AG26" t="e">
        <f>'All regions'!G644+"$F;@!n_"</f>
        <v>#VALUE!</v>
      </c>
      <c r="AH26" t="e">
        <f>'All regions'!H644+"$F;@!n`"</f>
        <v>#VALUE!</v>
      </c>
      <c r="AI26" t="e">
        <f>'All regions'!I644+"$F;@!na"</f>
        <v>#VALUE!</v>
      </c>
      <c r="AJ26" t="e">
        <f>'All regions'!A645+"$F;@!nb"</f>
        <v>#VALUE!</v>
      </c>
      <c r="AK26" t="e">
        <f>'All regions'!B645+"$F;@!nc"</f>
        <v>#VALUE!</v>
      </c>
      <c r="AL26" t="e">
        <f>'All regions'!C645+"$F;@!nd"</f>
        <v>#VALUE!</v>
      </c>
      <c r="AM26" t="e">
        <f>'All regions'!D645+"$F;@!ne"</f>
        <v>#VALUE!</v>
      </c>
      <c r="AN26" t="e">
        <f>'All regions'!E645+"$F;@!nf"</f>
        <v>#VALUE!</v>
      </c>
      <c r="AO26" t="e">
        <f>'All regions'!F645+"$F;@!ng"</f>
        <v>#VALUE!</v>
      </c>
      <c r="AP26" t="e">
        <f>'All regions'!G645+"$F;@!nh"</f>
        <v>#VALUE!</v>
      </c>
      <c r="AQ26" t="e">
        <f>'All regions'!H645+"$F;@!ni"</f>
        <v>#VALUE!</v>
      </c>
      <c r="AR26" t="e">
        <f>'All regions'!I645+"$F;@!nj"</f>
        <v>#VALUE!</v>
      </c>
      <c r="AS26" t="e">
        <f>'All regions'!A646+"$F;@!nk"</f>
        <v>#VALUE!</v>
      </c>
      <c r="AT26" t="e">
        <f>'All regions'!B646+"$F;@!nl"</f>
        <v>#VALUE!</v>
      </c>
      <c r="AU26" t="e">
        <f>'All regions'!C646+"$F;@!nm"</f>
        <v>#VALUE!</v>
      </c>
      <c r="AV26" t="e">
        <f>'All regions'!D646+"$F;@!nn"</f>
        <v>#VALUE!</v>
      </c>
      <c r="AW26" t="e">
        <f>'All regions'!E646+"$F;@!no"</f>
        <v>#VALUE!</v>
      </c>
      <c r="AX26" t="e">
        <f>'All regions'!F646+"$F;@!np"</f>
        <v>#VALUE!</v>
      </c>
      <c r="AY26" t="e">
        <f>'All regions'!G646+"$F;@!nq"</f>
        <v>#VALUE!</v>
      </c>
      <c r="AZ26" t="e">
        <f>'All regions'!H646+"$F;@!nr"</f>
        <v>#VALUE!</v>
      </c>
      <c r="BA26" t="e">
        <f>'All regions'!I646+"$F;@!ns"</f>
        <v>#VALUE!</v>
      </c>
      <c r="BB26" t="e">
        <f>'All regions'!A647+"$F;@!nt"</f>
        <v>#VALUE!</v>
      </c>
      <c r="BC26" t="e">
        <f>'All regions'!B647+"$F;@!nu"</f>
        <v>#VALUE!</v>
      </c>
      <c r="BD26" t="e">
        <f>'All regions'!C647+"$F;@!nv"</f>
        <v>#VALUE!</v>
      </c>
      <c r="BE26" t="e">
        <f>'All regions'!D647+"$F;@!nw"</f>
        <v>#VALUE!</v>
      </c>
      <c r="BF26" t="e">
        <f>'All regions'!E647+"$F;@!nx"</f>
        <v>#VALUE!</v>
      </c>
      <c r="BG26" t="e">
        <f>'All regions'!F647+"$F;@!ny"</f>
        <v>#VALUE!</v>
      </c>
      <c r="BH26" t="e">
        <f>'All regions'!G647+"$F;@!nz"</f>
        <v>#VALUE!</v>
      </c>
      <c r="BI26" t="e">
        <f>'All regions'!H647+"$F;@!n{"</f>
        <v>#VALUE!</v>
      </c>
      <c r="BJ26" t="e">
        <f>'All regions'!I647+"$F;@!n|"</f>
        <v>#VALUE!</v>
      </c>
      <c r="BK26" t="e">
        <f>'All regions'!A648+"$F;@!n}"</f>
        <v>#VALUE!</v>
      </c>
      <c r="BL26" t="e">
        <f>'All regions'!B648+"$F;@!n~"</f>
        <v>#VALUE!</v>
      </c>
      <c r="BM26" t="e">
        <f>'All regions'!C648+"$F;@!o#"</f>
        <v>#VALUE!</v>
      </c>
      <c r="BN26" t="e">
        <f>'All regions'!D648+"$F;@!o$"</f>
        <v>#VALUE!</v>
      </c>
      <c r="BO26" t="e">
        <f>'All regions'!E648+"$F;@!o%"</f>
        <v>#VALUE!</v>
      </c>
      <c r="BP26" t="e">
        <f>'All regions'!F648+"$F;@!o&amp;"</f>
        <v>#VALUE!</v>
      </c>
      <c r="BQ26" t="e">
        <f>'All regions'!G648+"$F;@!o'"</f>
        <v>#VALUE!</v>
      </c>
      <c r="BR26" t="e">
        <f>'All regions'!H648+"$F;@!o("</f>
        <v>#VALUE!</v>
      </c>
      <c r="BS26" t="e">
        <f>'All regions'!I648+"$F;@!o)"</f>
        <v>#VALUE!</v>
      </c>
      <c r="BT26" t="e">
        <f>'All regions'!A649+"$F;@!o."</f>
        <v>#VALUE!</v>
      </c>
      <c r="BU26" t="e">
        <f>'All regions'!B649+"$F;@!o/"</f>
        <v>#VALUE!</v>
      </c>
      <c r="BV26" t="e">
        <f>'All regions'!C649+"$F;@!o0"</f>
        <v>#VALUE!</v>
      </c>
      <c r="BW26" t="e">
        <f>'All regions'!D649+"$F;@!o1"</f>
        <v>#VALUE!</v>
      </c>
      <c r="BX26" t="e">
        <f>'All regions'!E649+"$F;@!o2"</f>
        <v>#VALUE!</v>
      </c>
      <c r="BY26" t="e">
        <f>'All regions'!F649+"$F;@!o3"</f>
        <v>#VALUE!</v>
      </c>
      <c r="BZ26" t="e">
        <f>'All regions'!G649+"$F;@!o4"</f>
        <v>#VALUE!</v>
      </c>
      <c r="CA26" t="e">
        <f>'All regions'!H649+"$F;@!o5"</f>
        <v>#VALUE!</v>
      </c>
      <c r="CB26" t="e">
        <f>'All regions'!I649+"$F;@!o6"</f>
        <v>#VALUE!</v>
      </c>
      <c r="CC26" t="e">
        <f>'All regions'!A650+"$F;@!o7"</f>
        <v>#VALUE!</v>
      </c>
      <c r="CD26" t="e">
        <f>'All regions'!B650+"$F;@!o8"</f>
        <v>#VALUE!</v>
      </c>
      <c r="CE26" t="e">
        <f>'All regions'!C650+"$F;@!o9"</f>
        <v>#VALUE!</v>
      </c>
      <c r="CF26" t="e">
        <f>'All regions'!D650+"$F;@!o:"</f>
        <v>#VALUE!</v>
      </c>
      <c r="CG26" t="e">
        <f>'All regions'!E650+"$F;@!o;"</f>
        <v>#VALUE!</v>
      </c>
      <c r="CH26" t="e">
        <f>'All regions'!F650+"$F;@!o&lt;"</f>
        <v>#VALUE!</v>
      </c>
      <c r="CI26" t="e">
        <f>'All regions'!G650+"$F;@!o="</f>
        <v>#VALUE!</v>
      </c>
      <c r="CJ26" t="e">
        <f>'All regions'!H650+"$F;@!o&gt;"</f>
        <v>#VALUE!</v>
      </c>
      <c r="CK26" t="e">
        <f>'All regions'!I650+"$F;@!o?"</f>
        <v>#VALUE!</v>
      </c>
      <c r="CL26" t="e">
        <f>'All regions'!A651+"$F;@!o@"</f>
        <v>#VALUE!</v>
      </c>
      <c r="CM26" t="e">
        <f>'All regions'!B651+"$F;@!oA"</f>
        <v>#VALUE!</v>
      </c>
      <c r="CN26" t="e">
        <f>'All regions'!C651+"$F;@!oB"</f>
        <v>#VALUE!</v>
      </c>
      <c r="CO26" t="e">
        <f>'All regions'!D651+"$F;@!oC"</f>
        <v>#VALUE!</v>
      </c>
      <c r="CP26" t="e">
        <f>'All regions'!E651+"$F;@!oD"</f>
        <v>#VALUE!</v>
      </c>
      <c r="CQ26" t="e">
        <f>'All regions'!F651+"$F;@!oE"</f>
        <v>#VALUE!</v>
      </c>
      <c r="CR26" t="e">
        <f>'All regions'!G651+"$F;@!oF"</f>
        <v>#VALUE!</v>
      </c>
      <c r="CS26" t="e">
        <f>'All regions'!H651+"$F;@!oG"</f>
        <v>#VALUE!</v>
      </c>
      <c r="CT26" t="e">
        <f>'All regions'!I651+"$F;@!oH"</f>
        <v>#VALUE!</v>
      </c>
      <c r="CU26" t="e">
        <f>'All regions'!A652+"$F;@!oI"</f>
        <v>#VALUE!</v>
      </c>
      <c r="CV26" t="e">
        <f>'All regions'!B652+"$F;@!oJ"</f>
        <v>#VALUE!</v>
      </c>
      <c r="CW26" t="e">
        <f>'All regions'!C652+"$F;@!oK"</f>
        <v>#VALUE!</v>
      </c>
      <c r="CX26" t="e">
        <f>'All regions'!D652+"$F;@!oL"</f>
        <v>#VALUE!</v>
      </c>
      <c r="CY26" t="e">
        <f>'All regions'!E652+"$F;@!oM"</f>
        <v>#VALUE!</v>
      </c>
      <c r="CZ26" t="e">
        <f>'All regions'!F652+"$F;@!oN"</f>
        <v>#VALUE!</v>
      </c>
      <c r="DA26" t="e">
        <f>'All regions'!G652+"$F;@!oO"</f>
        <v>#VALUE!</v>
      </c>
      <c r="DB26" t="e">
        <f>'All regions'!H652+"$F;@!oP"</f>
        <v>#VALUE!</v>
      </c>
      <c r="DC26" t="e">
        <f>'All regions'!I652+"$F;@!oQ"</f>
        <v>#VALUE!</v>
      </c>
      <c r="DD26" t="e">
        <f>'All regions'!A653+"$F;@!oR"</f>
        <v>#VALUE!</v>
      </c>
      <c r="DE26" t="e">
        <f>'All regions'!B653+"$F;@!oS"</f>
        <v>#VALUE!</v>
      </c>
      <c r="DF26" t="e">
        <f>'All regions'!C653+"$F;@!oT"</f>
        <v>#VALUE!</v>
      </c>
      <c r="DG26" t="e">
        <f>'All regions'!D653+"$F;@!oU"</f>
        <v>#VALUE!</v>
      </c>
      <c r="DH26" t="e">
        <f>'All regions'!E653+"$F;@!oV"</f>
        <v>#VALUE!</v>
      </c>
      <c r="DI26" t="e">
        <f>'All regions'!F653+"$F;@!oW"</f>
        <v>#VALUE!</v>
      </c>
      <c r="DJ26" t="e">
        <f>'All regions'!G653+"$F;@!oX"</f>
        <v>#VALUE!</v>
      </c>
      <c r="DK26" t="e">
        <f>'All regions'!H653+"$F;@!oY"</f>
        <v>#VALUE!</v>
      </c>
      <c r="DL26" t="e">
        <f>'All regions'!I653+"$F;@!oZ"</f>
        <v>#VALUE!</v>
      </c>
      <c r="DM26" t="e">
        <f>'All regions'!A654+"$F;@!o["</f>
        <v>#VALUE!</v>
      </c>
      <c r="DN26" t="e">
        <f>'All regions'!B654+"$F;@!o\"</f>
        <v>#VALUE!</v>
      </c>
      <c r="DO26" t="e">
        <f>'All regions'!C654+"$F;@!o]"</f>
        <v>#VALUE!</v>
      </c>
      <c r="DP26" t="e">
        <f>'All regions'!D654+"$F;@!o^"</f>
        <v>#VALUE!</v>
      </c>
      <c r="DQ26" t="e">
        <f>'All regions'!E654+"$F;@!o_"</f>
        <v>#VALUE!</v>
      </c>
      <c r="DR26" t="e">
        <f>'All regions'!F654+"$F;@!o`"</f>
        <v>#VALUE!</v>
      </c>
      <c r="DS26" t="e">
        <f>'All regions'!G654+"$F;@!oa"</f>
        <v>#VALUE!</v>
      </c>
      <c r="DT26" t="e">
        <f>'All regions'!H654+"$F;@!ob"</f>
        <v>#VALUE!</v>
      </c>
      <c r="DU26" t="e">
        <f>'All regions'!I654+"$F;@!oc"</f>
        <v>#VALUE!</v>
      </c>
      <c r="DV26" t="e">
        <f>'All regions'!A655+"$F;@!od"</f>
        <v>#VALUE!</v>
      </c>
      <c r="DW26" t="e">
        <f>'All regions'!B655+"$F;@!oe"</f>
        <v>#VALUE!</v>
      </c>
      <c r="DX26" t="e">
        <f>'All regions'!C655+"$F;@!of"</f>
        <v>#VALUE!</v>
      </c>
      <c r="DY26" t="e">
        <f>'All regions'!D655+"$F;@!og"</f>
        <v>#VALUE!</v>
      </c>
      <c r="DZ26" t="e">
        <f>'All regions'!E655+"$F;@!oh"</f>
        <v>#VALUE!</v>
      </c>
      <c r="EA26" t="e">
        <f>'All regions'!F655+"$F;@!oi"</f>
        <v>#VALUE!</v>
      </c>
      <c r="EB26" t="e">
        <f>'All regions'!G655+"$F;@!oj"</f>
        <v>#VALUE!</v>
      </c>
      <c r="EC26" t="e">
        <f>'All regions'!H655+"$F;@!ok"</f>
        <v>#VALUE!</v>
      </c>
      <c r="ED26" t="e">
        <f>'All regions'!I655+"$F;@!ol"</f>
        <v>#VALUE!</v>
      </c>
      <c r="EE26" t="e">
        <f>'All regions'!A656+"$F;@!om"</f>
        <v>#VALUE!</v>
      </c>
      <c r="EF26" t="e">
        <f>'All regions'!B656+"$F;@!on"</f>
        <v>#VALUE!</v>
      </c>
      <c r="EG26" t="e">
        <f>'All regions'!C656+"$F;@!oo"</f>
        <v>#VALUE!</v>
      </c>
      <c r="EH26" t="e">
        <f>'All regions'!D656+"$F;@!op"</f>
        <v>#VALUE!</v>
      </c>
      <c r="EI26" t="e">
        <f>'All regions'!E656+"$F;@!oq"</f>
        <v>#VALUE!</v>
      </c>
      <c r="EJ26" t="e">
        <f>'All regions'!F656+"$F;@!or"</f>
        <v>#VALUE!</v>
      </c>
      <c r="EK26" t="e">
        <f>'All regions'!G656+"$F;@!os"</f>
        <v>#VALUE!</v>
      </c>
      <c r="EL26" t="e">
        <f>'All regions'!H656+"$F;@!ot"</f>
        <v>#VALUE!</v>
      </c>
      <c r="EM26" t="e">
        <f>'All regions'!I656+"$F;@!ou"</f>
        <v>#VALUE!</v>
      </c>
      <c r="EN26" t="e">
        <f>'All regions'!A657+"$F;@!ov"</f>
        <v>#VALUE!</v>
      </c>
      <c r="EO26" t="e">
        <f>'All regions'!B657+"$F;@!ow"</f>
        <v>#VALUE!</v>
      </c>
      <c r="EP26" t="e">
        <f>'All regions'!C657+"$F;@!ox"</f>
        <v>#VALUE!</v>
      </c>
      <c r="EQ26" t="e">
        <f>'All regions'!D657+"$F;@!oy"</f>
        <v>#VALUE!</v>
      </c>
      <c r="ER26" t="e">
        <f>'All regions'!E657+"$F;@!oz"</f>
        <v>#VALUE!</v>
      </c>
      <c r="ES26" t="e">
        <f>'All regions'!F657+"$F;@!o{"</f>
        <v>#VALUE!</v>
      </c>
      <c r="ET26" t="e">
        <f>'All regions'!G657+"$F;@!o|"</f>
        <v>#VALUE!</v>
      </c>
      <c r="EU26" t="e">
        <f>'All regions'!H657+"$F;@!o}"</f>
        <v>#VALUE!</v>
      </c>
      <c r="EV26" t="e">
        <f>'All regions'!I657+"$F;@!o~"</f>
        <v>#VALUE!</v>
      </c>
      <c r="EW26" t="e">
        <f>'All regions'!A658+"$F;@!p#"</f>
        <v>#VALUE!</v>
      </c>
      <c r="EX26" t="e">
        <f>'All regions'!B658+"$F;@!p$"</f>
        <v>#VALUE!</v>
      </c>
      <c r="EY26" t="e">
        <f>'All regions'!C658+"$F;@!p%"</f>
        <v>#VALUE!</v>
      </c>
      <c r="EZ26" t="e">
        <f>'All regions'!D658+"$F;@!p&amp;"</f>
        <v>#VALUE!</v>
      </c>
      <c r="FA26" t="e">
        <f>'All regions'!E658+"$F;@!p'"</f>
        <v>#VALUE!</v>
      </c>
      <c r="FB26" t="e">
        <f>'All regions'!F658+"$F;@!p("</f>
        <v>#VALUE!</v>
      </c>
      <c r="FC26" t="e">
        <f>'All regions'!G658+"$F;@!p)"</f>
        <v>#VALUE!</v>
      </c>
      <c r="FD26" t="e">
        <f>'All regions'!H658+"$F;@!p."</f>
        <v>#VALUE!</v>
      </c>
      <c r="FE26" t="e">
        <f>'All regions'!I658+"$F;@!p/"</f>
        <v>#VALUE!</v>
      </c>
      <c r="FF26" t="e">
        <f>'All regions'!A659+"$F;@!p0"</f>
        <v>#VALUE!</v>
      </c>
      <c r="FG26" t="e">
        <f>'All regions'!B659+"$F;@!p1"</f>
        <v>#VALUE!</v>
      </c>
      <c r="FH26" t="e">
        <f>'All regions'!C659+"$F;@!p2"</f>
        <v>#VALUE!</v>
      </c>
      <c r="FI26" t="e">
        <f>'All regions'!D659+"$F;@!p3"</f>
        <v>#VALUE!</v>
      </c>
      <c r="FJ26" t="e">
        <f>'All regions'!E659+"$F;@!p4"</f>
        <v>#VALUE!</v>
      </c>
      <c r="FK26" t="e">
        <f>'All regions'!F659+"$F;@!p5"</f>
        <v>#VALUE!</v>
      </c>
      <c r="FL26" t="e">
        <f>'All regions'!G659+"$F;@!p6"</f>
        <v>#VALUE!</v>
      </c>
      <c r="FM26" t="e">
        <f>'All regions'!H659+"$F;@!p7"</f>
        <v>#VALUE!</v>
      </c>
      <c r="FN26" t="e">
        <f>'All regions'!I659+"$F;@!p8"</f>
        <v>#VALUE!</v>
      </c>
      <c r="FO26" t="e">
        <f>'All regions'!A660+"$F;@!p9"</f>
        <v>#VALUE!</v>
      </c>
      <c r="FP26" t="e">
        <f>'All regions'!B660+"$F;@!p:"</f>
        <v>#VALUE!</v>
      </c>
      <c r="FQ26" t="e">
        <f>'All regions'!C660+"$F;@!p;"</f>
        <v>#VALUE!</v>
      </c>
      <c r="FR26" t="e">
        <f>'All regions'!D660+"$F;@!p&lt;"</f>
        <v>#VALUE!</v>
      </c>
      <c r="FS26" t="e">
        <f>'All regions'!E660+"$F;@!p="</f>
        <v>#VALUE!</v>
      </c>
      <c r="FT26" t="e">
        <f>'All regions'!F660+"$F;@!p&gt;"</f>
        <v>#VALUE!</v>
      </c>
      <c r="FU26" t="e">
        <f>'All regions'!G660+"$F;@!p?"</f>
        <v>#VALUE!</v>
      </c>
      <c r="FV26" t="e">
        <f>'All regions'!H660+"$F;@!p@"</f>
        <v>#VALUE!</v>
      </c>
      <c r="FW26" t="e">
        <f>'All regions'!I660+"$F;@!pA"</f>
        <v>#VALUE!</v>
      </c>
      <c r="FX26" t="e">
        <f>'All regions'!A661+"$F;@!pB"</f>
        <v>#VALUE!</v>
      </c>
      <c r="FY26" t="e">
        <f>'All regions'!B661+"$F;@!pC"</f>
        <v>#VALUE!</v>
      </c>
      <c r="FZ26" t="e">
        <f>'All regions'!C661+"$F;@!pD"</f>
        <v>#VALUE!</v>
      </c>
      <c r="GA26" t="e">
        <f>'All regions'!D661+"$F;@!pE"</f>
        <v>#VALUE!</v>
      </c>
      <c r="GB26" t="e">
        <f>'All regions'!E661+"$F;@!pF"</f>
        <v>#VALUE!</v>
      </c>
      <c r="GC26" t="e">
        <f>'All regions'!F661+"$F;@!pG"</f>
        <v>#VALUE!</v>
      </c>
      <c r="GD26" t="e">
        <f>'All regions'!G661+"$F;@!pH"</f>
        <v>#VALUE!</v>
      </c>
      <c r="GE26" t="e">
        <f>'All regions'!H661+"$F;@!pI"</f>
        <v>#VALUE!</v>
      </c>
      <c r="GF26" t="e">
        <f>'All regions'!I661+"$F;@!pJ"</f>
        <v>#VALUE!</v>
      </c>
      <c r="GG26" t="e">
        <f>'All regions'!A662+"$F;@!pK"</f>
        <v>#VALUE!</v>
      </c>
      <c r="GH26" t="e">
        <f>'All regions'!B662+"$F;@!pL"</f>
        <v>#VALUE!</v>
      </c>
      <c r="GI26" t="e">
        <f>'All regions'!C662+"$F;@!pM"</f>
        <v>#VALUE!</v>
      </c>
      <c r="GJ26" t="e">
        <f>'All regions'!D662+"$F;@!pN"</f>
        <v>#VALUE!</v>
      </c>
      <c r="GK26" t="e">
        <f>'All regions'!E662+"$F;@!pO"</f>
        <v>#VALUE!</v>
      </c>
      <c r="GL26" t="e">
        <f>'All regions'!F662+"$F;@!pP"</f>
        <v>#VALUE!</v>
      </c>
      <c r="GM26" t="e">
        <f>'All regions'!G662+"$F;@!pQ"</f>
        <v>#VALUE!</v>
      </c>
      <c r="GN26" t="e">
        <f>'All regions'!H662+"$F;@!pR"</f>
        <v>#VALUE!</v>
      </c>
      <c r="GO26" t="e">
        <f>'All regions'!I662+"$F;@!pS"</f>
        <v>#VALUE!</v>
      </c>
      <c r="GP26" t="e">
        <f>'All regions'!A663+"$F;@!pT"</f>
        <v>#VALUE!</v>
      </c>
      <c r="GQ26" t="e">
        <f>'All regions'!B663+"$F;@!pU"</f>
        <v>#VALUE!</v>
      </c>
      <c r="GR26" t="e">
        <f>'All regions'!C663+"$F;@!pV"</f>
        <v>#VALUE!</v>
      </c>
      <c r="GS26" t="e">
        <f>'All regions'!D663+"$F;@!pW"</f>
        <v>#VALUE!</v>
      </c>
      <c r="GT26" t="e">
        <f>'All regions'!E663+"$F;@!pX"</f>
        <v>#VALUE!</v>
      </c>
      <c r="GU26" t="e">
        <f>'All regions'!F663+"$F;@!pY"</f>
        <v>#VALUE!</v>
      </c>
      <c r="GV26" t="e">
        <f>'All regions'!G663+"$F;@!pZ"</f>
        <v>#VALUE!</v>
      </c>
      <c r="GW26" t="e">
        <f>'All regions'!H663+"$F;@!p["</f>
        <v>#VALUE!</v>
      </c>
      <c r="GX26" t="e">
        <f>'All regions'!I663+"$F;@!p\"</f>
        <v>#VALUE!</v>
      </c>
      <c r="GY26" t="e">
        <f>'All regions'!A664+"$F;@!p]"</f>
        <v>#VALUE!</v>
      </c>
      <c r="GZ26" t="e">
        <f>'All regions'!B664+"$F;@!p^"</f>
        <v>#VALUE!</v>
      </c>
      <c r="HA26" t="e">
        <f>'All regions'!C664+"$F;@!p_"</f>
        <v>#VALUE!</v>
      </c>
      <c r="HB26" t="e">
        <f>'All regions'!D664+"$F;@!p`"</f>
        <v>#VALUE!</v>
      </c>
      <c r="HC26" t="e">
        <f>'All regions'!E664+"$F;@!pa"</f>
        <v>#VALUE!</v>
      </c>
      <c r="HD26" t="e">
        <f>'All regions'!F664+"$F;@!pb"</f>
        <v>#VALUE!</v>
      </c>
      <c r="HE26" t="e">
        <f>'All regions'!G664+"$F;@!pc"</f>
        <v>#VALUE!</v>
      </c>
      <c r="HF26" t="e">
        <f>'All regions'!H664+"$F;@!pd"</f>
        <v>#VALUE!</v>
      </c>
      <c r="HG26" t="e">
        <f>'All regions'!I664+"$F;@!pe"</f>
        <v>#VALUE!</v>
      </c>
      <c r="HH26" t="e">
        <f>'All regions'!A665+"$F;@!pf"</f>
        <v>#VALUE!</v>
      </c>
      <c r="HI26" t="e">
        <f>'All regions'!B665+"$F;@!pg"</f>
        <v>#VALUE!</v>
      </c>
      <c r="HJ26" t="e">
        <f>'All regions'!C665+"$F;@!ph"</f>
        <v>#VALUE!</v>
      </c>
      <c r="HK26" t="e">
        <f>'All regions'!D665+"$F;@!pi"</f>
        <v>#VALUE!</v>
      </c>
      <c r="HL26" t="e">
        <f>'All regions'!E665+"$F;@!pj"</f>
        <v>#VALUE!</v>
      </c>
      <c r="HM26" t="e">
        <f>'All regions'!F665+"$F;@!pk"</f>
        <v>#VALUE!</v>
      </c>
      <c r="HN26" t="e">
        <f>'All regions'!G665+"$F;@!pl"</f>
        <v>#VALUE!</v>
      </c>
      <c r="HO26" t="e">
        <f>'All regions'!H665+"$F;@!pm"</f>
        <v>#VALUE!</v>
      </c>
      <c r="HP26" t="e">
        <f>'All regions'!I665+"$F;@!pn"</f>
        <v>#VALUE!</v>
      </c>
      <c r="HQ26" t="e">
        <f>'All regions'!A666+"$F;@!po"</f>
        <v>#VALUE!</v>
      </c>
      <c r="HR26" t="e">
        <f>'All regions'!B666+"$F;@!pp"</f>
        <v>#VALUE!</v>
      </c>
      <c r="HS26" t="e">
        <f>'All regions'!C666+"$F;@!pq"</f>
        <v>#VALUE!</v>
      </c>
      <c r="HT26" t="e">
        <f>'All regions'!D666+"$F;@!pr"</f>
        <v>#VALUE!</v>
      </c>
      <c r="HU26" t="e">
        <f>'All regions'!E666+"$F;@!ps"</f>
        <v>#VALUE!</v>
      </c>
      <c r="HV26" t="e">
        <f>'All regions'!F666+"$F;@!pt"</f>
        <v>#VALUE!</v>
      </c>
      <c r="HW26" t="e">
        <f>'All regions'!G666+"$F;@!pu"</f>
        <v>#VALUE!</v>
      </c>
      <c r="HX26" t="e">
        <f>'All regions'!H666+"$F;@!pv"</f>
        <v>#VALUE!</v>
      </c>
      <c r="HY26" t="e">
        <f>'All regions'!I666+"$F;@!pw"</f>
        <v>#VALUE!</v>
      </c>
      <c r="HZ26" t="e">
        <f>'All regions'!A667+"$F;@!px"</f>
        <v>#VALUE!</v>
      </c>
      <c r="IA26" t="e">
        <f>'All regions'!B667+"$F;@!py"</f>
        <v>#VALUE!</v>
      </c>
      <c r="IB26" t="e">
        <f>'All regions'!C667+"$F;@!pz"</f>
        <v>#VALUE!</v>
      </c>
      <c r="IC26" t="e">
        <f>'All regions'!D667+"$F;@!p{"</f>
        <v>#VALUE!</v>
      </c>
      <c r="ID26" t="e">
        <f>'All regions'!E667+"$F;@!p|"</f>
        <v>#VALUE!</v>
      </c>
      <c r="IE26" t="e">
        <f>'All regions'!F667+"$F;@!p}"</f>
        <v>#VALUE!</v>
      </c>
      <c r="IF26" t="e">
        <f>'All regions'!G667+"$F;@!p~"</f>
        <v>#VALUE!</v>
      </c>
      <c r="IG26" t="e">
        <f>'All regions'!H667+"$F;@!q#"</f>
        <v>#VALUE!</v>
      </c>
      <c r="IH26" t="e">
        <f>'All regions'!I667+"$F;@!q$"</f>
        <v>#VALUE!</v>
      </c>
      <c r="II26" t="e">
        <f>'All regions'!A668+"$F;@!q%"</f>
        <v>#VALUE!</v>
      </c>
      <c r="IJ26" t="e">
        <f>'All regions'!B668+"$F;@!q&amp;"</f>
        <v>#VALUE!</v>
      </c>
      <c r="IK26" t="e">
        <f>'All regions'!C668+"$F;@!q'"</f>
        <v>#VALUE!</v>
      </c>
      <c r="IL26" t="e">
        <f>'All regions'!D668+"$F;@!q("</f>
        <v>#VALUE!</v>
      </c>
      <c r="IM26" t="e">
        <f>'All regions'!E668+"$F;@!q)"</f>
        <v>#VALUE!</v>
      </c>
      <c r="IN26" t="e">
        <f>'All regions'!F668+"$F;@!q."</f>
        <v>#VALUE!</v>
      </c>
      <c r="IO26" t="e">
        <f>'All regions'!G668+"$F;@!q/"</f>
        <v>#VALUE!</v>
      </c>
      <c r="IP26" t="e">
        <f>'All regions'!H668+"$F;@!q0"</f>
        <v>#VALUE!</v>
      </c>
      <c r="IQ26" t="e">
        <f>'All regions'!I668+"$F;@!q1"</f>
        <v>#VALUE!</v>
      </c>
      <c r="IR26" t="e">
        <f>'All regions'!A669+"$F;@!q2"</f>
        <v>#VALUE!</v>
      </c>
      <c r="IS26" t="e">
        <f>'All regions'!B669+"$F;@!q3"</f>
        <v>#VALUE!</v>
      </c>
      <c r="IT26" t="e">
        <f>'All regions'!C669+"$F;@!q4"</f>
        <v>#VALUE!</v>
      </c>
      <c r="IU26" t="e">
        <f>'All regions'!D669+"$F;@!q5"</f>
        <v>#VALUE!</v>
      </c>
      <c r="IV26" t="e">
        <f>'All regions'!E669+"$F;@!q6"</f>
        <v>#VALUE!</v>
      </c>
    </row>
    <row r="27" spans="6:256" x14ac:dyDescent="0.35">
      <c r="F27" t="e">
        <f>'All regions'!F669+"$F;@!q7"</f>
        <v>#VALUE!</v>
      </c>
      <c r="G27" t="e">
        <f>'All regions'!G669+"$F;@!q8"</f>
        <v>#VALUE!</v>
      </c>
      <c r="H27" t="e">
        <f>'All regions'!H669+"$F;@!q9"</f>
        <v>#VALUE!</v>
      </c>
      <c r="I27" t="e">
        <f>'All regions'!I669+"$F;@!q:"</f>
        <v>#VALUE!</v>
      </c>
      <c r="J27" t="e">
        <f>'All regions'!A670+"$F;@!q;"</f>
        <v>#VALUE!</v>
      </c>
      <c r="K27" t="e">
        <f>'All regions'!B670+"$F;@!q&lt;"</f>
        <v>#VALUE!</v>
      </c>
      <c r="L27" t="e">
        <f>'All regions'!C670+"$F;@!q="</f>
        <v>#VALUE!</v>
      </c>
      <c r="M27" t="e">
        <f>'All regions'!D670+"$F;@!q&gt;"</f>
        <v>#VALUE!</v>
      </c>
      <c r="N27" t="e">
        <f>'All regions'!E670+"$F;@!q?"</f>
        <v>#VALUE!</v>
      </c>
      <c r="O27" t="e">
        <f>'All regions'!F670+"$F;@!q@"</f>
        <v>#VALUE!</v>
      </c>
      <c r="P27" t="e">
        <f>'All regions'!G670+"$F;@!qA"</f>
        <v>#VALUE!</v>
      </c>
      <c r="Q27" t="e">
        <f>'All regions'!H670+"$F;@!qB"</f>
        <v>#VALUE!</v>
      </c>
      <c r="R27" t="e">
        <f>'All regions'!I670+"$F;@!qC"</f>
        <v>#VALUE!</v>
      </c>
      <c r="S27" t="e">
        <f>'All regions'!A671+"$F;@!qD"</f>
        <v>#VALUE!</v>
      </c>
      <c r="T27" t="e">
        <f>'All regions'!B671+"$F;@!qE"</f>
        <v>#VALUE!</v>
      </c>
      <c r="U27" t="e">
        <f>'All regions'!C671+"$F;@!qF"</f>
        <v>#VALUE!</v>
      </c>
      <c r="V27" t="e">
        <f>'All regions'!D671+"$F;@!qG"</f>
        <v>#VALUE!</v>
      </c>
      <c r="W27" t="e">
        <f>'All regions'!E671+"$F;@!qH"</f>
        <v>#VALUE!</v>
      </c>
      <c r="X27" t="e">
        <f>'All regions'!F671+"$F;@!qI"</f>
        <v>#VALUE!</v>
      </c>
      <c r="Y27" t="e">
        <f>'All regions'!G671+"$F;@!qJ"</f>
        <v>#VALUE!</v>
      </c>
      <c r="Z27" t="e">
        <f>'All regions'!H671+"$F;@!qK"</f>
        <v>#VALUE!</v>
      </c>
      <c r="AA27" t="e">
        <f>'All regions'!I671+"$F;@!qL"</f>
        <v>#VALUE!</v>
      </c>
      <c r="AB27" t="e">
        <f>'All regions'!A672+"$F;@!qM"</f>
        <v>#VALUE!</v>
      </c>
      <c r="AC27" t="e">
        <f>'All regions'!B672+"$F;@!qN"</f>
        <v>#VALUE!</v>
      </c>
      <c r="AD27" t="e">
        <f>'All regions'!C672+"$F;@!qO"</f>
        <v>#VALUE!</v>
      </c>
      <c r="AE27" t="e">
        <f>'All regions'!D672+"$F;@!qP"</f>
        <v>#VALUE!</v>
      </c>
      <c r="AF27" t="e">
        <f>'All regions'!E672+"$F;@!qQ"</f>
        <v>#VALUE!</v>
      </c>
      <c r="AG27" t="e">
        <f>'All regions'!F672+"$F;@!qR"</f>
        <v>#VALUE!</v>
      </c>
      <c r="AH27" t="e">
        <f>'All regions'!G672+"$F;@!qS"</f>
        <v>#VALUE!</v>
      </c>
      <c r="AI27" t="e">
        <f>'All regions'!H672+"$F;@!qT"</f>
        <v>#VALUE!</v>
      </c>
      <c r="AJ27" t="e">
        <f>'All regions'!I672+"$F;@!qU"</f>
        <v>#VALUE!</v>
      </c>
      <c r="AK27" t="e">
        <f>'All regions'!A673+"$F;@!qV"</f>
        <v>#VALUE!</v>
      </c>
      <c r="AL27" t="e">
        <f>'All regions'!B673+"$F;@!qW"</f>
        <v>#VALUE!</v>
      </c>
      <c r="AM27" t="e">
        <f>'All regions'!C673+"$F;@!qX"</f>
        <v>#VALUE!</v>
      </c>
      <c r="AN27" t="e">
        <f>'All regions'!D673+"$F;@!qY"</f>
        <v>#VALUE!</v>
      </c>
      <c r="AO27" t="e">
        <f>'All regions'!E673+"$F;@!qZ"</f>
        <v>#VALUE!</v>
      </c>
      <c r="AP27" t="e">
        <f>'All regions'!F673+"$F;@!q["</f>
        <v>#VALUE!</v>
      </c>
      <c r="AQ27" t="e">
        <f>'All regions'!G673+"$F;@!q\"</f>
        <v>#VALUE!</v>
      </c>
      <c r="AR27" t="e">
        <f>'All regions'!H673+"$F;@!q]"</f>
        <v>#VALUE!</v>
      </c>
      <c r="AS27" t="e">
        <f>'All regions'!I673+"$F;@!q^"</f>
        <v>#VALUE!</v>
      </c>
      <c r="AT27" t="e">
        <f>'All regions'!A674+"$F;@!q_"</f>
        <v>#VALUE!</v>
      </c>
      <c r="AU27" t="e">
        <f>'All regions'!B674+"$F;@!q`"</f>
        <v>#VALUE!</v>
      </c>
      <c r="AV27" t="e">
        <f>'All regions'!C674+"$F;@!qa"</f>
        <v>#VALUE!</v>
      </c>
      <c r="AW27" t="e">
        <f>'All regions'!D674+"$F;@!qb"</f>
        <v>#VALUE!</v>
      </c>
      <c r="AX27" t="e">
        <f>'All regions'!E674+"$F;@!qc"</f>
        <v>#VALUE!</v>
      </c>
      <c r="AY27" t="e">
        <f>'All regions'!F674+"$F;@!qd"</f>
        <v>#VALUE!</v>
      </c>
      <c r="AZ27" t="e">
        <f>'All regions'!G674+"$F;@!qe"</f>
        <v>#VALUE!</v>
      </c>
      <c r="BA27" t="e">
        <f>'All regions'!H674+"$F;@!qf"</f>
        <v>#VALUE!</v>
      </c>
      <c r="BB27" t="e">
        <f>'All regions'!I674+"$F;@!qg"</f>
        <v>#VALUE!</v>
      </c>
      <c r="BC27" t="e">
        <f>'All regions'!A675+"$F;@!qh"</f>
        <v>#VALUE!</v>
      </c>
      <c r="BD27" t="e">
        <f>'All regions'!B675+"$F;@!qi"</f>
        <v>#VALUE!</v>
      </c>
      <c r="BE27" t="e">
        <f>'All regions'!C675+"$F;@!qj"</f>
        <v>#VALUE!</v>
      </c>
      <c r="BF27" t="e">
        <f>'All regions'!D675+"$F;@!qk"</f>
        <v>#VALUE!</v>
      </c>
      <c r="BG27" t="e">
        <f>'All regions'!E675+"$F;@!ql"</f>
        <v>#VALUE!</v>
      </c>
      <c r="BH27" t="e">
        <f>'All regions'!F675+"$F;@!qm"</f>
        <v>#VALUE!</v>
      </c>
      <c r="BI27" t="e">
        <f>'All regions'!G675+"$F;@!qn"</f>
        <v>#VALUE!</v>
      </c>
      <c r="BJ27" t="e">
        <f>'All regions'!H675+"$F;@!qo"</f>
        <v>#VALUE!</v>
      </c>
      <c r="BK27" t="e">
        <f>'All regions'!I675+"$F;@!qp"</f>
        <v>#VALUE!</v>
      </c>
      <c r="BL27" t="e">
        <f>'All regions'!A676+"$F;@!qq"</f>
        <v>#VALUE!</v>
      </c>
      <c r="BM27" t="e">
        <f>'All regions'!B676+"$F;@!qr"</f>
        <v>#VALUE!</v>
      </c>
      <c r="BN27" t="e">
        <f>'All regions'!C676+"$F;@!qs"</f>
        <v>#VALUE!</v>
      </c>
      <c r="BO27" t="e">
        <f>'All regions'!D676+"$F;@!qt"</f>
        <v>#VALUE!</v>
      </c>
      <c r="BP27" t="e">
        <f>'All regions'!E676+"$F;@!qu"</f>
        <v>#VALUE!</v>
      </c>
      <c r="BQ27" t="e">
        <f>'All regions'!F676+"$F;@!qv"</f>
        <v>#VALUE!</v>
      </c>
      <c r="BR27" t="e">
        <f>'All regions'!G676+"$F;@!qw"</f>
        <v>#VALUE!</v>
      </c>
      <c r="BS27" t="e">
        <f>'All regions'!H676+"$F;@!qx"</f>
        <v>#VALUE!</v>
      </c>
      <c r="BT27" t="e">
        <f>'All regions'!I676+"$F;@!qy"</f>
        <v>#VALUE!</v>
      </c>
      <c r="BU27" t="e">
        <f>'All regions'!A677+"$F;@!qz"</f>
        <v>#VALUE!</v>
      </c>
      <c r="BV27" t="e">
        <f>'All regions'!B677+"$F;@!q{"</f>
        <v>#VALUE!</v>
      </c>
      <c r="BW27" t="e">
        <f>'All regions'!C677+"$F;@!q|"</f>
        <v>#VALUE!</v>
      </c>
      <c r="BX27" t="e">
        <f>'All regions'!D677+"$F;@!q}"</f>
        <v>#VALUE!</v>
      </c>
      <c r="BY27" t="e">
        <f>'All regions'!E677+"$F;@!q~"</f>
        <v>#VALUE!</v>
      </c>
      <c r="BZ27" t="e">
        <f>'All regions'!F677+"$F;@!r#"</f>
        <v>#VALUE!</v>
      </c>
      <c r="CA27" t="e">
        <f>'All regions'!G677+"$F;@!r$"</f>
        <v>#VALUE!</v>
      </c>
      <c r="CB27" t="e">
        <f>'All regions'!H677+"$F;@!r%"</f>
        <v>#VALUE!</v>
      </c>
      <c r="CC27" t="e">
        <f>'All regions'!I677+"$F;@!r&amp;"</f>
        <v>#VALUE!</v>
      </c>
      <c r="CD27" t="e">
        <f>'All regions'!A678+"$F;@!r'"</f>
        <v>#VALUE!</v>
      </c>
      <c r="CE27" t="e">
        <f>'All regions'!B678+"$F;@!r("</f>
        <v>#VALUE!</v>
      </c>
      <c r="CF27" t="e">
        <f>'All regions'!C678+"$F;@!r)"</f>
        <v>#VALUE!</v>
      </c>
      <c r="CG27" t="e">
        <f>'All regions'!D678+"$F;@!r."</f>
        <v>#VALUE!</v>
      </c>
      <c r="CH27" t="e">
        <f>'All regions'!E678+"$F;@!r/"</f>
        <v>#VALUE!</v>
      </c>
      <c r="CI27" t="e">
        <f>'All regions'!F678+"$F;@!r0"</f>
        <v>#VALUE!</v>
      </c>
      <c r="CJ27" t="e">
        <f>'All regions'!G678+"$F;@!r1"</f>
        <v>#VALUE!</v>
      </c>
      <c r="CK27" t="e">
        <f>'All regions'!H678+"$F;@!r2"</f>
        <v>#VALUE!</v>
      </c>
      <c r="CL27" t="e">
        <f>'All regions'!I678+"$F;@!r3"</f>
        <v>#VALUE!</v>
      </c>
      <c r="CM27" t="e">
        <f>'All regions'!A679+"$F;@!r4"</f>
        <v>#VALUE!</v>
      </c>
      <c r="CN27" t="e">
        <f>'All regions'!B679+"$F;@!r5"</f>
        <v>#VALUE!</v>
      </c>
      <c r="CO27" t="e">
        <f>'All regions'!C679+"$F;@!r6"</f>
        <v>#VALUE!</v>
      </c>
      <c r="CP27" t="e">
        <f>'All regions'!D679+"$F;@!r7"</f>
        <v>#VALUE!</v>
      </c>
      <c r="CQ27" t="e">
        <f>'All regions'!E679+"$F;@!r8"</f>
        <v>#VALUE!</v>
      </c>
      <c r="CR27" t="e">
        <f>'All regions'!F679+"$F;@!r9"</f>
        <v>#VALUE!</v>
      </c>
      <c r="CS27" t="e">
        <f>'All regions'!G679+"$F;@!r:"</f>
        <v>#VALUE!</v>
      </c>
      <c r="CT27" t="e">
        <f>'All regions'!H679+"$F;@!r;"</f>
        <v>#VALUE!</v>
      </c>
      <c r="CU27" t="e">
        <f>'All regions'!I679+"$F;@!r&lt;"</f>
        <v>#VALUE!</v>
      </c>
      <c r="CV27" t="e">
        <f>'All regions'!A680+"$F;@!r="</f>
        <v>#VALUE!</v>
      </c>
      <c r="CW27" t="e">
        <f>'All regions'!B680+"$F;@!r&gt;"</f>
        <v>#VALUE!</v>
      </c>
      <c r="CX27" t="e">
        <f>'All regions'!C680+"$F;@!r?"</f>
        <v>#VALUE!</v>
      </c>
      <c r="CY27" t="e">
        <f>'All regions'!D680+"$F;@!r@"</f>
        <v>#VALUE!</v>
      </c>
      <c r="CZ27" t="e">
        <f>'All regions'!E680+"$F;@!rA"</f>
        <v>#VALUE!</v>
      </c>
      <c r="DA27" t="e">
        <f>'All regions'!F680+"$F;@!rB"</f>
        <v>#VALUE!</v>
      </c>
      <c r="DB27" t="e">
        <f>'All regions'!G680+"$F;@!rC"</f>
        <v>#VALUE!</v>
      </c>
      <c r="DC27" t="e">
        <f>'All regions'!H680+"$F;@!rD"</f>
        <v>#VALUE!</v>
      </c>
      <c r="DD27" t="e">
        <f>'All regions'!I680+"$F;@!rE"</f>
        <v>#VALUE!</v>
      </c>
      <c r="DE27" t="e">
        <f>'All regions'!A681+"$F;@!rF"</f>
        <v>#VALUE!</v>
      </c>
      <c r="DF27" t="e">
        <f>'All regions'!B681+"$F;@!rG"</f>
        <v>#VALUE!</v>
      </c>
      <c r="DG27" t="e">
        <f>'All regions'!C681+"$F;@!rH"</f>
        <v>#VALUE!</v>
      </c>
      <c r="DH27" t="e">
        <f>'All regions'!D681+"$F;@!rI"</f>
        <v>#VALUE!</v>
      </c>
      <c r="DI27" t="e">
        <f>'All regions'!E681+"$F;@!rJ"</f>
        <v>#VALUE!</v>
      </c>
      <c r="DJ27" t="e">
        <f>'All regions'!F681+"$F;@!rK"</f>
        <v>#VALUE!</v>
      </c>
      <c r="DK27" t="e">
        <f>'All regions'!G681+"$F;@!rL"</f>
        <v>#VALUE!</v>
      </c>
      <c r="DL27" t="e">
        <f>'All regions'!H681+"$F;@!rM"</f>
        <v>#VALUE!</v>
      </c>
      <c r="DM27" t="e">
        <f>'All regions'!I681+"$F;@!rN"</f>
        <v>#VALUE!</v>
      </c>
      <c r="DN27" t="e">
        <f>'All regions'!A682+"$F;@!rO"</f>
        <v>#VALUE!</v>
      </c>
      <c r="DO27" t="e">
        <f>'All regions'!B682+"$F;@!rP"</f>
        <v>#VALUE!</v>
      </c>
      <c r="DP27" t="e">
        <f>'All regions'!C682+"$F;@!rQ"</f>
        <v>#VALUE!</v>
      </c>
      <c r="DQ27" t="e">
        <f>'All regions'!D682+"$F;@!rR"</f>
        <v>#VALUE!</v>
      </c>
      <c r="DR27" t="e">
        <f>'All regions'!E682+"$F;@!rS"</f>
        <v>#VALUE!</v>
      </c>
      <c r="DS27" t="e">
        <f>'All regions'!F682+"$F;@!rT"</f>
        <v>#VALUE!</v>
      </c>
      <c r="DT27" t="e">
        <f>'All regions'!G682+"$F;@!rU"</f>
        <v>#VALUE!</v>
      </c>
      <c r="DU27" t="e">
        <f>'All regions'!H682+"$F;@!rV"</f>
        <v>#VALUE!</v>
      </c>
      <c r="DV27" t="e">
        <f>'All regions'!I682+"$F;@!rW"</f>
        <v>#VALUE!</v>
      </c>
      <c r="DW27" t="e">
        <f>'All regions'!A683+"$F;@!rX"</f>
        <v>#VALUE!</v>
      </c>
      <c r="DX27" t="e">
        <f>'All regions'!B683+"$F;@!rY"</f>
        <v>#VALUE!</v>
      </c>
      <c r="DY27" t="e">
        <f>'All regions'!C683+"$F;@!rZ"</f>
        <v>#VALUE!</v>
      </c>
      <c r="DZ27" t="e">
        <f>'All regions'!D683+"$F;@!r["</f>
        <v>#VALUE!</v>
      </c>
      <c r="EA27" t="e">
        <f>'All regions'!E683+"$F;@!r\"</f>
        <v>#VALUE!</v>
      </c>
      <c r="EB27" t="e">
        <f>'All regions'!F683+"$F;@!r]"</f>
        <v>#VALUE!</v>
      </c>
      <c r="EC27" t="e">
        <f>'All regions'!G683+"$F;@!r^"</f>
        <v>#VALUE!</v>
      </c>
      <c r="ED27" t="e">
        <f>'All regions'!H683+"$F;@!r_"</f>
        <v>#VALUE!</v>
      </c>
      <c r="EE27" t="e">
        <f>'All regions'!I683+"$F;@!r`"</f>
        <v>#VALUE!</v>
      </c>
      <c r="EF27" t="e">
        <f>'All regions'!A684+"$F;@!ra"</f>
        <v>#VALUE!</v>
      </c>
      <c r="EG27" t="e">
        <f>'All regions'!B684+"$F;@!rb"</f>
        <v>#VALUE!</v>
      </c>
      <c r="EH27" t="e">
        <f>'All regions'!C684+"$F;@!rc"</f>
        <v>#VALUE!</v>
      </c>
      <c r="EI27" t="e">
        <f>'All regions'!D684+"$F;@!rd"</f>
        <v>#VALUE!</v>
      </c>
      <c r="EJ27" t="e">
        <f>'All regions'!E684+"$F;@!re"</f>
        <v>#VALUE!</v>
      </c>
      <c r="EK27" t="e">
        <f>'All regions'!F684+"$F;@!rf"</f>
        <v>#VALUE!</v>
      </c>
      <c r="EL27" t="e">
        <f>'All regions'!G684+"$F;@!rg"</f>
        <v>#VALUE!</v>
      </c>
      <c r="EM27" t="e">
        <f>'All regions'!H684+"$F;@!rh"</f>
        <v>#VALUE!</v>
      </c>
      <c r="EN27" t="e">
        <f>'All regions'!I684+"$F;@!ri"</f>
        <v>#VALUE!</v>
      </c>
      <c r="EO27" t="e">
        <f>'All regions'!A685+"$F;@!rj"</f>
        <v>#VALUE!</v>
      </c>
      <c r="EP27" t="e">
        <f>'All regions'!B685+"$F;@!rk"</f>
        <v>#VALUE!</v>
      </c>
      <c r="EQ27" t="e">
        <f>'All regions'!C685+"$F;@!rl"</f>
        <v>#VALUE!</v>
      </c>
      <c r="ER27" t="e">
        <f>'All regions'!D685+"$F;@!rm"</f>
        <v>#VALUE!</v>
      </c>
      <c r="ES27" t="e">
        <f>'All regions'!E685+"$F;@!rn"</f>
        <v>#VALUE!</v>
      </c>
      <c r="ET27" t="e">
        <f>'All regions'!F685+"$F;@!ro"</f>
        <v>#VALUE!</v>
      </c>
      <c r="EU27" t="e">
        <f>'All regions'!G685+"$F;@!rp"</f>
        <v>#VALUE!</v>
      </c>
      <c r="EV27" t="e">
        <f>'All regions'!H685+"$F;@!rq"</f>
        <v>#VALUE!</v>
      </c>
      <c r="EW27" t="e">
        <f>'All regions'!I685+"$F;@!rr"</f>
        <v>#VALUE!</v>
      </c>
      <c r="EX27" t="e">
        <f>'All regions'!A686+"$F;@!rs"</f>
        <v>#VALUE!</v>
      </c>
      <c r="EY27" t="e">
        <f>'All regions'!B686+"$F;@!rt"</f>
        <v>#VALUE!</v>
      </c>
      <c r="EZ27" t="e">
        <f>'All regions'!C686+"$F;@!ru"</f>
        <v>#VALUE!</v>
      </c>
      <c r="FA27" t="e">
        <f>'All regions'!D686+"$F;@!rv"</f>
        <v>#VALUE!</v>
      </c>
      <c r="FB27" t="e">
        <f>'All regions'!E686+"$F;@!rw"</f>
        <v>#VALUE!</v>
      </c>
      <c r="FC27" t="e">
        <f>'All regions'!F686+"$F;@!rx"</f>
        <v>#VALUE!</v>
      </c>
      <c r="FD27" t="e">
        <f>'All regions'!G686+"$F;@!ry"</f>
        <v>#VALUE!</v>
      </c>
      <c r="FE27" t="e">
        <f>'All regions'!H686+"$F;@!rz"</f>
        <v>#VALUE!</v>
      </c>
      <c r="FF27" t="e">
        <f>'All regions'!I686+"$F;@!r{"</f>
        <v>#VALUE!</v>
      </c>
      <c r="FG27" t="e">
        <f>'All regions'!A687+"$F;@!r|"</f>
        <v>#VALUE!</v>
      </c>
      <c r="FH27" t="e">
        <f>'All regions'!B687+"$F;@!r}"</f>
        <v>#VALUE!</v>
      </c>
      <c r="FI27" t="e">
        <f>'All regions'!C687+"$F;@!r~"</f>
        <v>#VALUE!</v>
      </c>
      <c r="FJ27" t="e">
        <f>'All regions'!D687+"$F;@!s#"</f>
        <v>#VALUE!</v>
      </c>
      <c r="FK27" t="e">
        <f>'All regions'!E687+"$F;@!s$"</f>
        <v>#VALUE!</v>
      </c>
      <c r="FL27" t="e">
        <f>'All regions'!F687+"$F;@!s%"</f>
        <v>#VALUE!</v>
      </c>
      <c r="FM27" t="e">
        <f>'All regions'!G687+"$F;@!s&amp;"</f>
        <v>#VALUE!</v>
      </c>
      <c r="FN27" t="e">
        <f>'All regions'!H687+"$F;@!s'"</f>
        <v>#VALUE!</v>
      </c>
      <c r="FO27" t="e">
        <f>'All regions'!I687+"$F;@!s("</f>
        <v>#VALUE!</v>
      </c>
      <c r="FP27" t="e">
        <f>'All regions'!A688+"$F;@!s)"</f>
        <v>#VALUE!</v>
      </c>
      <c r="FQ27" t="e">
        <f>'All regions'!B688+"$F;@!s."</f>
        <v>#VALUE!</v>
      </c>
      <c r="FR27" t="e">
        <f>'All regions'!C688+"$F;@!s/"</f>
        <v>#VALUE!</v>
      </c>
      <c r="FS27" t="e">
        <f>'All regions'!D688+"$F;@!s0"</f>
        <v>#VALUE!</v>
      </c>
      <c r="FT27" t="e">
        <f>'All regions'!E688+"$F;@!s1"</f>
        <v>#VALUE!</v>
      </c>
      <c r="FU27" t="e">
        <f>'All regions'!F688+"$F;@!s2"</f>
        <v>#VALUE!</v>
      </c>
      <c r="FV27" t="e">
        <f>'All regions'!G688+"$F;@!s3"</f>
        <v>#VALUE!</v>
      </c>
      <c r="FW27" t="e">
        <f>'All regions'!H688+"$F;@!s4"</f>
        <v>#VALUE!</v>
      </c>
      <c r="FX27" t="e">
        <f>'All regions'!I688+"$F;@!s5"</f>
        <v>#VALUE!</v>
      </c>
      <c r="FY27" t="e">
        <f>'All regions'!A689+"$F;@!s6"</f>
        <v>#VALUE!</v>
      </c>
      <c r="FZ27" t="e">
        <f>'All regions'!B689+"$F;@!s7"</f>
        <v>#VALUE!</v>
      </c>
      <c r="GA27" t="e">
        <f>'All regions'!C689+"$F;@!s8"</f>
        <v>#VALUE!</v>
      </c>
      <c r="GB27" t="e">
        <f>'All regions'!D689+"$F;@!s9"</f>
        <v>#VALUE!</v>
      </c>
      <c r="GC27" t="e">
        <f>'All regions'!E689+"$F;@!s:"</f>
        <v>#VALUE!</v>
      </c>
      <c r="GD27" t="e">
        <f>'All regions'!F689+"$F;@!s;"</f>
        <v>#VALUE!</v>
      </c>
      <c r="GE27" t="e">
        <f>'All regions'!G689+"$F;@!s&lt;"</f>
        <v>#VALUE!</v>
      </c>
      <c r="GF27" t="e">
        <f>'All regions'!H689+"$F;@!s="</f>
        <v>#VALUE!</v>
      </c>
      <c r="GG27" t="e">
        <f>'All regions'!I689+"$F;@!s&gt;"</f>
        <v>#VALUE!</v>
      </c>
      <c r="GH27" t="e">
        <f>'All regions'!A690+"$F;@!s?"</f>
        <v>#VALUE!</v>
      </c>
      <c r="GI27" t="e">
        <f>'All regions'!B690+"$F;@!s@"</f>
        <v>#VALUE!</v>
      </c>
      <c r="GJ27" t="e">
        <f>'All regions'!C690+"$F;@!sA"</f>
        <v>#VALUE!</v>
      </c>
      <c r="GK27" t="e">
        <f>'All regions'!D690+"$F;@!sB"</f>
        <v>#VALUE!</v>
      </c>
      <c r="GL27" t="e">
        <f>'All regions'!E690+"$F;@!sC"</f>
        <v>#VALUE!</v>
      </c>
      <c r="GM27" t="e">
        <f>'All regions'!F690+"$F;@!sD"</f>
        <v>#VALUE!</v>
      </c>
      <c r="GN27" t="e">
        <f>'All regions'!G690+"$F;@!sE"</f>
        <v>#VALUE!</v>
      </c>
      <c r="GO27" t="e">
        <f>'All regions'!H690+"$F;@!sF"</f>
        <v>#VALUE!</v>
      </c>
      <c r="GP27" t="e">
        <f>'All regions'!I690+"$F;@!sG"</f>
        <v>#VALUE!</v>
      </c>
      <c r="GQ27" t="e">
        <f>'All regions'!A691+"$F;@!sH"</f>
        <v>#VALUE!</v>
      </c>
      <c r="GR27" t="e">
        <f>'All regions'!B691+"$F;@!sI"</f>
        <v>#VALUE!</v>
      </c>
      <c r="GS27" t="e">
        <f>'All regions'!C691+"$F;@!sJ"</f>
        <v>#VALUE!</v>
      </c>
      <c r="GT27" t="e">
        <f>'All regions'!D691+"$F;@!sK"</f>
        <v>#VALUE!</v>
      </c>
      <c r="GU27" t="e">
        <f>'All regions'!E691+"$F;@!sL"</f>
        <v>#VALUE!</v>
      </c>
      <c r="GV27" t="e">
        <f>'All regions'!F691+"$F;@!sM"</f>
        <v>#VALUE!</v>
      </c>
      <c r="GW27" t="e">
        <f>'All regions'!G691+"$F;@!sN"</f>
        <v>#VALUE!</v>
      </c>
      <c r="GX27" t="e">
        <f>'All regions'!H691+"$F;@!sO"</f>
        <v>#VALUE!</v>
      </c>
      <c r="GY27" t="e">
        <f>'All regions'!I691+"$F;@!sP"</f>
        <v>#VALUE!</v>
      </c>
      <c r="GZ27" t="e">
        <f>'All regions'!A693+"$F;@!sQ"</f>
        <v>#VALUE!</v>
      </c>
      <c r="HA27" t="e">
        <f>'All regions'!B693+"$F;@!sR"</f>
        <v>#VALUE!</v>
      </c>
      <c r="HB27" t="e">
        <f>'All regions'!C693+"$F;@!sS"</f>
        <v>#VALUE!</v>
      </c>
      <c r="HC27" t="e">
        <f>'All regions'!D693+"$F;@!sT"</f>
        <v>#VALUE!</v>
      </c>
      <c r="HD27" t="e">
        <f>'All regions'!E693+"$F;@!sU"</f>
        <v>#VALUE!</v>
      </c>
      <c r="HE27" t="e">
        <f>'All regions'!F693+"$F;@!sV"</f>
        <v>#VALUE!</v>
      </c>
      <c r="HF27" t="e">
        <f>'All regions'!G693+"$F;@!sW"</f>
        <v>#VALUE!</v>
      </c>
      <c r="HG27" t="e">
        <f>'All regions'!H693+"$F;@!sX"</f>
        <v>#VALUE!</v>
      </c>
      <c r="HH27" t="e">
        <f>'All regions'!I693+"$F;@!sY"</f>
        <v>#VALUE!</v>
      </c>
      <c r="HI27" t="e">
        <f>'All regions'!A694+"$F;@!sZ"</f>
        <v>#VALUE!</v>
      </c>
      <c r="HJ27" t="e">
        <f>'All regions'!B694+"$F;@!s["</f>
        <v>#VALUE!</v>
      </c>
      <c r="HK27" t="e">
        <f>'All regions'!C694+"$F;@!s\"</f>
        <v>#VALUE!</v>
      </c>
      <c r="HL27" t="e">
        <f>'All regions'!D694+"$F;@!s]"</f>
        <v>#VALUE!</v>
      </c>
      <c r="HM27" t="e">
        <f>'All regions'!E694+"$F;@!s^"</f>
        <v>#VALUE!</v>
      </c>
      <c r="HN27" t="e">
        <f>'All regions'!F694+"$F;@!s_"</f>
        <v>#VALUE!</v>
      </c>
      <c r="HO27" t="e">
        <f>'All regions'!G694+"$F;@!s`"</f>
        <v>#VALUE!</v>
      </c>
      <c r="HP27" t="e">
        <f>'All regions'!H694+"$F;@!sa"</f>
        <v>#VALUE!</v>
      </c>
      <c r="HQ27" t="e">
        <f>'All regions'!I694+"$F;@!sb"</f>
        <v>#VALUE!</v>
      </c>
      <c r="HR27" t="e">
        <f>'All regions'!A695+"$F;@!sc"</f>
        <v>#VALUE!</v>
      </c>
      <c r="HS27" t="e">
        <f>'All regions'!B695+"$F;@!sd"</f>
        <v>#VALUE!</v>
      </c>
      <c r="HT27" t="e">
        <f>'All regions'!C695+"$F;@!se"</f>
        <v>#VALUE!</v>
      </c>
      <c r="HU27" t="e">
        <f>'All regions'!D695+"$F;@!sf"</f>
        <v>#VALUE!</v>
      </c>
      <c r="HV27" t="e">
        <f>'All regions'!E695+"$F;@!sg"</f>
        <v>#VALUE!</v>
      </c>
      <c r="HW27" t="e">
        <f>'All regions'!F695+"$F;@!sh"</f>
        <v>#VALUE!</v>
      </c>
      <c r="HX27" t="e">
        <f>'All regions'!G695+"$F;@!si"</f>
        <v>#VALUE!</v>
      </c>
      <c r="HY27" t="e">
        <f>'All regions'!H695+"$F;@!sj"</f>
        <v>#VALUE!</v>
      </c>
      <c r="HZ27" t="e">
        <f>'All regions'!I695+"$F;@!sk"</f>
        <v>#VALUE!</v>
      </c>
      <c r="IA27" t="e">
        <f>'All regions'!A696+"$F;@!sl"</f>
        <v>#VALUE!</v>
      </c>
      <c r="IB27" t="e">
        <f>'All regions'!B696+"$F;@!sm"</f>
        <v>#VALUE!</v>
      </c>
      <c r="IC27" t="e">
        <f>'All regions'!C696+"$F;@!sn"</f>
        <v>#VALUE!</v>
      </c>
      <c r="ID27" t="e">
        <f>'All regions'!D696+"$F;@!so"</f>
        <v>#VALUE!</v>
      </c>
      <c r="IE27" t="e">
        <f>'All regions'!E696+"$F;@!sp"</f>
        <v>#VALUE!</v>
      </c>
      <c r="IF27" t="e">
        <f>'All regions'!F696+"$F;@!sq"</f>
        <v>#VALUE!</v>
      </c>
      <c r="IG27" t="e">
        <f>'All regions'!G696+"$F;@!sr"</f>
        <v>#VALUE!</v>
      </c>
      <c r="IH27" t="e">
        <f>'All regions'!H696+"$F;@!ss"</f>
        <v>#VALUE!</v>
      </c>
      <c r="II27" t="e">
        <f>'All regions'!I696+"$F;@!st"</f>
        <v>#VALUE!</v>
      </c>
      <c r="IJ27" t="e">
        <f>'All regions'!A697+"$F;@!su"</f>
        <v>#VALUE!</v>
      </c>
      <c r="IK27" t="e">
        <f>'All regions'!B697+"$F;@!sv"</f>
        <v>#VALUE!</v>
      </c>
      <c r="IL27" t="e">
        <f>'All regions'!C697+"$F;@!sw"</f>
        <v>#VALUE!</v>
      </c>
      <c r="IM27" t="e">
        <f>'All regions'!D697+"$F;@!sx"</f>
        <v>#VALUE!</v>
      </c>
      <c r="IN27" t="e">
        <f>'All regions'!E697+"$F;@!sy"</f>
        <v>#VALUE!</v>
      </c>
      <c r="IO27" t="e">
        <f>'All regions'!F697+"$F;@!sz"</f>
        <v>#VALUE!</v>
      </c>
      <c r="IP27" t="e">
        <f>'All regions'!G697+"$F;@!s{"</f>
        <v>#VALUE!</v>
      </c>
      <c r="IQ27" t="e">
        <f>'All regions'!H697+"$F;@!s|"</f>
        <v>#VALUE!</v>
      </c>
      <c r="IR27" t="e">
        <f>'All regions'!I697+"$F;@!s}"</f>
        <v>#VALUE!</v>
      </c>
      <c r="IS27" t="e">
        <f>'All regions'!A698+"$F;@!s~"</f>
        <v>#VALUE!</v>
      </c>
      <c r="IT27" t="e">
        <f>'All regions'!B698+"$F;@!t#"</f>
        <v>#VALUE!</v>
      </c>
      <c r="IU27" t="e">
        <f>'All regions'!C698+"$F;@!t$"</f>
        <v>#VALUE!</v>
      </c>
      <c r="IV27" t="e">
        <f>'All regions'!D698+"$F;@!t%"</f>
        <v>#VALUE!</v>
      </c>
    </row>
    <row r="28" spans="6:256" x14ac:dyDescent="0.35">
      <c r="F28" t="e">
        <f>'All regions'!E698+"$F;@!t&amp;"</f>
        <v>#VALUE!</v>
      </c>
      <c r="G28" t="e">
        <f>'All regions'!F698+"$F;@!t'"</f>
        <v>#VALUE!</v>
      </c>
      <c r="H28" t="e">
        <f>'All regions'!G698+"$F;@!t("</f>
        <v>#VALUE!</v>
      </c>
      <c r="I28" t="e">
        <f>'All regions'!H698+"$F;@!t)"</f>
        <v>#VALUE!</v>
      </c>
      <c r="J28" t="e">
        <f>'All regions'!I698+"$F;@!t."</f>
        <v>#VALUE!</v>
      </c>
      <c r="K28" t="e">
        <f>'All regions'!A699+"$F;@!t/"</f>
        <v>#VALUE!</v>
      </c>
      <c r="L28" t="e">
        <f>'All regions'!B699+"$F;@!t0"</f>
        <v>#VALUE!</v>
      </c>
      <c r="M28" t="e">
        <f>'All regions'!C699+"$F;@!t1"</f>
        <v>#VALUE!</v>
      </c>
      <c r="N28" t="e">
        <f>'All regions'!D699+"$F;@!t2"</f>
        <v>#VALUE!</v>
      </c>
      <c r="O28" t="e">
        <f>'All regions'!E699+"$F;@!t3"</f>
        <v>#VALUE!</v>
      </c>
      <c r="P28" t="e">
        <f>'All regions'!F699+"$F;@!t4"</f>
        <v>#VALUE!</v>
      </c>
      <c r="Q28" t="e">
        <f>'All regions'!G699+"$F;@!t5"</f>
        <v>#VALUE!</v>
      </c>
      <c r="R28" t="e">
        <f>'All regions'!H699+"$F;@!t6"</f>
        <v>#VALUE!</v>
      </c>
      <c r="S28" t="e">
        <f>'All regions'!I699+"$F;@!t7"</f>
        <v>#VALUE!</v>
      </c>
      <c r="T28" t="e">
        <f>'All regions'!A700+"$F;@!t8"</f>
        <v>#VALUE!</v>
      </c>
      <c r="U28" t="e">
        <f>'All regions'!B700+"$F;@!t9"</f>
        <v>#VALUE!</v>
      </c>
      <c r="V28" t="e">
        <f>'All regions'!C700+"$F;@!t:"</f>
        <v>#VALUE!</v>
      </c>
      <c r="W28" t="e">
        <f>'All regions'!D700+"$F;@!t;"</f>
        <v>#VALUE!</v>
      </c>
      <c r="X28" t="e">
        <f>'All regions'!E700+"$F;@!t&lt;"</f>
        <v>#VALUE!</v>
      </c>
      <c r="Y28" t="e">
        <f>'All regions'!F700+"$F;@!t="</f>
        <v>#VALUE!</v>
      </c>
      <c r="Z28" t="e">
        <f>'All regions'!G700+"$F;@!t&gt;"</f>
        <v>#VALUE!</v>
      </c>
      <c r="AA28" t="e">
        <f>'All regions'!H700+"$F;@!t?"</f>
        <v>#VALUE!</v>
      </c>
      <c r="AB28" t="e">
        <f>'All regions'!I700+"$F;@!t@"</f>
        <v>#VALUE!</v>
      </c>
      <c r="AC28" t="e">
        <f>'All regions'!A701+"$F;@!tA"</f>
        <v>#VALUE!</v>
      </c>
      <c r="AD28" t="e">
        <f>'All regions'!B701+"$F;@!tB"</f>
        <v>#VALUE!</v>
      </c>
      <c r="AE28" t="e">
        <f>'All regions'!C701+"$F;@!tC"</f>
        <v>#VALUE!</v>
      </c>
      <c r="AF28" t="e">
        <f>'All regions'!D701+"$F;@!tD"</f>
        <v>#VALUE!</v>
      </c>
      <c r="AG28" t="e">
        <f>'All regions'!E701+"$F;@!tE"</f>
        <v>#VALUE!</v>
      </c>
      <c r="AH28" t="e">
        <f>'All regions'!F701+"$F;@!tF"</f>
        <v>#VALUE!</v>
      </c>
      <c r="AI28" t="e">
        <f>'All regions'!G701+"$F;@!tG"</f>
        <v>#VALUE!</v>
      </c>
      <c r="AJ28" t="e">
        <f>'All regions'!H701+"$F;@!tH"</f>
        <v>#VALUE!</v>
      </c>
      <c r="AK28" t="e">
        <f>'All regions'!I701+"$F;@!tI"</f>
        <v>#VALUE!</v>
      </c>
      <c r="AL28" t="e">
        <f>'All regions'!A702+"$F;@!tJ"</f>
        <v>#VALUE!</v>
      </c>
      <c r="AM28" t="e">
        <f>'All regions'!B702+"$F;@!tK"</f>
        <v>#VALUE!</v>
      </c>
      <c r="AN28" t="e">
        <f>'All regions'!C702+"$F;@!tL"</f>
        <v>#VALUE!</v>
      </c>
      <c r="AO28" t="e">
        <f>'All regions'!D702+"$F;@!tM"</f>
        <v>#VALUE!</v>
      </c>
      <c r="AP28" t="e">
        <f>'All regions'!E702+"$F;@!tN"</f>
        <v>#VALUE!</v>
      </c>
      <c r="AQ28" t="e">
        <f>'All regions'!F702+"$F;@!tO"</f>
        <v>#VALUE!</v>
      </c>
      <c r="AR28" t="e">
        <f>'All regions'!G702+"$F;@!tP"</f>
        <v>#VALUE!</v>
      </c>
      <c r="AS28" t="e">
        <f>'All regions'!H702+"$F;@!tQ"</f>
        <v>#VALUE!</v>
      </c>
      <c r="AT28" t="e">
        <f>'All regions'!I702+"$F;@!tR"</f>
        <v>#VALUE!</v>
      </c>
      <c r="AU28" t="e">
        <f>'All regions'!A703+"$F;@!tS"</f>
        <v>#VALUE!</v>
      </c>
      <c r="AV28" t="e">
        <f>'All regions'!B703+"$F;@!tT"</f>
        <v>#VALUE!</v>
      </c>
      <c r="AW28" t="e">
        <f>'All regions'!C703+"$F;@!tU"</f>
        <v>#VALUE!</v>
      </c>
      <c r="AX28" t="e">
        <f>'All regions'!D703+"$F;@!tV"</f>
        <v>#VALUE!</v>
      </c>
      <c r="AY28" t="e">
        <f>'All regions'!E703+"$F;@!tW"</f>
        <v>#VALUE!</v>
      </c>
      <c r="AZ28" t="e">
        <f>'All regions'!F703+"$F;@!tX"</f>
        <v>#VALUE!</v>
      </c>
      <c r="BA28" t="e">
        <f>'All regions'!G703+"$F;@!tY"</f>
        <v>#VALUE!</v>
      </c>
      <c r="BB28" t="e">
        <f>'All regions'!H703+"$F;@!tZ"</f>
        <v>#VALUE!</v>
      </c>
      <c r="BC28" t="e">
        <f>'All regions'!I703+"$F;@!t["</f>
        <v>#VALUE!</v>
      </c>
      <c r="BD28" t="e">
        <f>'All regions'!A704+"$F;@!t\"</f>
        <v>#VALUE!</v>
      </c>
      <c r="BE28" t="e">
        <f>'All regions'!B704+"$F;@!t]"</f>
        <v>#VALUE!</v>
      </c>
      <c r="BF28" t="e">
        <f>'All regions'!C704+"$F;@!t^"</f>
        <v>#VALUE!</v>
      </c>
      <c r="BG28" t="e">
        <f>'All regions'!D704+"$F;@!t_"</f>
        <v>#VALUE!</v>
      </c>
      <c r="BH28" t="e">
        <f>'All regions'!E704+"$F;@!t`"</f>
        <v>#VALUE!</v>
      </c>
      <c r="BI28" t="e">
        <f>'All regions'!F704+"$F;@!ta"</f>
        <v>#VALUE!</v>
      </c>
      <c r="BJ28" t="e">
        <f>'All regions'!G704+"$F;@!tb"</f>
        <v>#VALUE!</v>
      </c>
      <c r="BK28" t="e">
        <f>'All regions'!H704+"$F;@!tc"</f>
        <v>#VALUE!</v>
      </c>
      <c r="BL28" t="e">
        <f>'All regions'!I704+"$F;@!td"</f>
        <v>#VALUE!</v>
      </c>
      <c r="BM28" t="e">
        <f>'All regions'!A705+"$F;@!te"</f>
        <v>#VALUE!</v>
      </c>
      <c r="BN28" t="e">
        <f>'All regions'!B705+"$F;@!tf"</f>
        <v>#VALUE!</v>
      </c>
      <c r="BO28" t="e">
        <f>'All regions'!C705+"$F;@!tg"</f>
        <v>#VALUE!</v>
      </c>
      <c r="BP28" t="e">
        <f>'All regions'!D705+"$F;@!th"</f>
        <v>#VALUE!</v>
      </c>
      <c r="BQ28" t="e">
        <f>'All regions'!E705+"$F;@!ti"</f>
        <v>#VALUE!</v>
      </c>
      <c r="BR28" t="e">
        <f>'All regions'!F705+"$F;@!tj"</f>
        <v>#VALUE!</v>
      </c>
      <c r="BS28" t="e">
        <f>'All regions'!G705+"$F;@!tk"</f>
        <v>#VALUE!</v>
      </c>
      <c r="BT28" t="e">
        <f>'All regions'!H705+"$F;@!tl"</f>
        <v>#VALUE!</v>
      </c>
      <c r="BU28" t="e">
        <f>'All regions'!I705+"$F;@!tm"</f>
        <v>#VALUE!</v>
      </c>
      <c r="BV28" t="e">
        <f>'All regions'!A706+"$F;@!tn"</f>
        <v>#VALUE!</v>
      </c>
      <c r="BW28" t="e">
        <f>'All regions'!B706+"$F;@!to"</f>
        <v>#VALUE!</v>
      </c>
      <c r="BX28" t="e">
        <f>'All regions'!C706+"$F;@!tp"</f>
        <v>#VALUE!</v>
      </c>
      <c r="BY28" t="e">
        <f>'All regions'!D706+"$F;@!tq"</f>
        <v>#VALUE!</v>
      </c>
      <c r="BZ28" t="e">
        <f>'All regions'!E706+"$F;@!tr"</f>
        <v>#VALUE!</v>
      </c>
      <c r="CA28" t="e">
        <f>'All regions'!F706+"$F;@!ts"</f>
        <v>#VALUE!</v>
      </c>
      <c r="CB28" t="e">
        <f>'All regions'!G706+"$F;@!tt"</f>
        <v>#VALUE!</v>
      </c>
      <c r="CC28" t="e">
        <f>'All regions'!H706+"$F;@!tu"</f>
        <v>#VALUE!</v>
      </c>
      <c r="CD28" t="e">
        <f>'All regions'!I706+"$F;@!tv"</f>
        <v>#VALUE!</v>
      </c>
      <c r="CE28" t="e">
        <f>'All regions'!A707+"$F;@!tw"</f>
        <v>#VALUE!</v>
      </c>
      <c r="CF28" t="e">
        <f>'All regions'!B707+"$F;@!tx"</f>
        <v>#VALUE!</v>
      </c>
      <c r="CG28" t="e">
        <f>'All regions'!C707+"$F;@!ty"</f>
        <v>#VALUE!</v>
      </c>
      <c r="CH28" t="e">
        <f>'All regions'!D707+"$F;@!tz"</f>
        <v>#VALUE!</v>
      </c>
      <c r="CI28" t="e">
        <f>'All regions'!E707+"$F;@!t{"</f>
        <v>#VALUE!</v>
      </c>
      <c r="CJ28" t="e">
        <f>'All regions'!F707+"$F;@!t|"</f>
        <v>#VALUE!</v>
      </c>
      <c r="CK28" t="e">
        <f>'All regions'!G707+"$F;@!t}"</f>
        <v>#VALUE!</v>
      </c>
      <c r="CL28" t="e">
        <f>'All regions'!H707+"$F;@!t~"</f>
        <v>#VALUE!</v>
      </c>
      <c r="CM28" t="e">
        <f>'All regions'!I707+"$F;@!u#"</f>
        <v>#VALUE!</v>
      </c>
      <c r="CN28" t="e">
        <f>'All regions'!A708+"$F;@!u$"</f>
        <v>#VALUE!</v>
      </c>
      <c r="CO28" t="e">
        <f>'All regions'!B708+"$F;@!u%"</f>
        <v>#VALUE!</v>
      </c>
      <c r="CP28" t="e">
        <f>'All regions'!C708+"$F;@!u&amp;"</f>
        <v>#VALUE!</v>
      </c>
      <c r="CQ28" t="e">
        <f>'All regions'!D708+"$F;@!u'"</f>
        <v>#VALUE!</v>
      </c>
      <c r="CR28" t="e">
        <f>'All regions'!E708+"$F;@!u("</f>
        <v>#VALUE!</v>
      </c>
      <c r="CS28" t="e">
        <f>'All regions'!F708+"$F;@!u)"</f>
        <v>#VALUE!</v>
      </c>
      <c r="CT28" t="e">
        <f>'All regions'!G708+"$F;@!u."</f>
        <v>#VALUE!</v>
      </c>
      <c r="CU28" t="e">
        <f>'All regions'!H708+"$F;@!u/"</f>
        <v>#VALUE!</v>
      </c>
      <c r="CV28" t="e">
        <f>'All regions'!I708+"$F;@!u0"</f>
        <v>#VALUE!</v>
      </c>
      <c r="CW28" t="e">
        <f>'All regions'!A709+"$F;@!u1"</f>
        <v>#VALUE!</v>
      </c>
      <c r="CX28" t="e">
        <f>'All regions'!B709+"$F;@!u2"</f>
        <v>#VALUE!</v>
      </c>
      <c r="CY28" t="e">
        <f>'All regions'!C709+"$F;@!u3"</f>
        <v>#VALUE!</v>
      </c>
      <c r="CZ28" t="e">
        <f>'All regions'!D709+"$F;@!u4"</f>
        <v>#VALUE!</v>
      </c>
      <c r="DA28" t="e">
        <f>'All regions'!E709+"$F;@!u5"</f>
        <v>#VALUE!</v>
      </c>
      <c r="DB28" t="e">
        <f>'All regions'!F709+"$F;@!u6"</f>
        <v>#VALUE!</v>
      </c>
      <c r="DC28" t="e">
        <f>'All regions'!G709+"$F;@!u7"</f>
        <v>#VALUE!</v>
      </c>
      <c r="DD28" t="e">
        <f>'All regions'!H709+"$F;@!u8"</f>
        <v>#VALUE!</v>
      </c>
      <c r="DE28" t="e">
        <f>'All regions'!I709+"$F;@!u9"</f>
        <v>#VALUE!</v>
      </c>
      <c r="DF28" t="e">
        <f>'All regions'!A710+"$F;@!u:"</f>
        <v>#VALUE!</v>
      </c>
      <c r="DG28" t="e">
        <f>'All regions'!B710+"$F;@!u;"</f>
        <v>#VALUE!</v>
      </c>
      <c r="DH28" t="e">
        <f>'All regions'!C710+"$F;@!u&lt;"</f>
        <v>#VALUE!</v>
      </c>
      <c r="DI28" t="e">
        <f>'All regions'!D710+"$F;@!u="</f>
        <v>#VALUE!</v>
      </c>
      <c r="DJ28" t="e">
        <f>'All regions'!E710+"$F;@!u&gt;"</f>
        <v>#VALUE!</v>
      </c>
      <c r="DK28" t="e">
        <f>'All regions'!F710+"$F;@!u?"</f>
        <v>#VALUE!</v>
      </c>
      <c r="DL28" t="e">
        <f>'All regions'!G710+"$F;@!u@"</f>
        <v>#VALUE!</v>
      </c>
      <c r="DM28" t="e">
        <f>'All regions'!H710+"$F;@!uA"</f>
        <v>#VALUE!</v>
      </c>
      <c r="DN28" t="e">
        <f>'All regions'!I710+"$F;@!uB"</f>
        <v>#VALUE!</v>
      </c>
      <c r="DO28" t="e">
        <f>'All regions'!A711+"$F;@!uC"</f>
        <v>#VALUE!</v>
      </c>
      <c r="DP28" t="e">
        <f>'All regions'!B711+"$F;@!uD"</f>
        <v>#VALUE!</v>
      </c>
      <c r="DQ28" t="e">
        <f>'All regions'!C711+"$F;@!uE"</f>
        <v>#VALUE!</v>
      </c>
      <c r="DR28" t="e">
        <f>'All regions'!D711+"$F;@!uF"</f>
        <v>#VALUE!</v>
      </c>
      <c r="DS28" t="e">
        <f>'All regions'!E711+"$F;@!uG"</f>
        <v>#VALUE!</v>
      </c>
      <c r="DT28" t="e">
        <f>'All regions'!F711+"$F;@!uH"</f>
        <v>#VALUE!</v>
      </c>
      <c r="DU28" t="e">
        <f>'All regions'!G711+"$F;@!uI"</f>
        <v>#VALUE!</v>
      </c>
      <c r="DV28" t="e">
        <f>'All regions'!H711+"$F;@!uJ"</f>
        <v>#VALUE!</v>
      </c>
      <c r="DW28" t="e">
        <f>'All regions'!I711+"$F;@!uK"</f>
        <v>#VALUE!</v>
      </c>
      <c r="DX28" t="e">
        <f>'All regions'!A712+"$F;@!uL"</f>
        <v>#VALUE!</v>
      </c>
      <c r="DY28" t="e">
        <f>'All regions'!B712+"$F;@!uM"</f>
        <v>#VALUE!</v>
      </c>
      <c r="DZ28" t="e">
        <f>'All regions'!C712+"$F;@!uN"</f>
        <v>#VALUE!</v>
      </c>
      <c r="EA28" t="e">
        <f>'All regions'!D712+"$F;@!uO"</f>
        <v>#VALUE!</v>
      </c>
      <c r="EB28" t="e">
        <f>'All regions'!E712+"$F;@!uP"</f>
        <v>#VALUE!</v>
      </c>
      <c r="EC28" t="e">
        <f>'All regions'!F712+"$F;@!uQ"</f>
        <v>#VALUE!</v>
      </c>
      <c r="ED28" t="e">
        <f>'All regions'!G712+"$F;@!uR"</f>
        <v>#VALUE!</v>
      </c>
      <c r="EE28" t="e">
        <f>'All regions'!H712+"$F;@!uS"</f>
        <v>#VALUE!</v>
      </c>
      <c r="EF28" t="e">
        <f>'All regions'!I712+"$F;@!uT"</f>
        <v>#VALUE!</v>
      </c>
      <c r="EG28" t="e">
        <f>'All regions'!A713+"$F;@!uU"</f>
        <v>#VALUE!</v>
      </c>
      <c r="EH28" t="e">
        <f>'All regions'!B713+"$F;@!uV"</f>
        <v>#VALUE!</v>
      </c>
      <c r="EI28" t="e">
        <f>'All regions'!C713+"$F;@!uW"</f>
        <v>#VALUE!</v>
      </c>
      <c r="EJ28" t="e">
        <f>'All regions'!D713+"$F;@!uX"</f>
        <v>#VALUE!</v>
      </c>
      <c r="EK28" t="e">
        <f>'All regions'!E713+"$F;@!uY"</f>
        <v>#VALUE!</v>
      </c>
      <c r="EL28" t="e">
        <f>'All regions'!F713+"$F;@!uZ"</f>
        <v>#VALUE!</v>
      </c>
      <c r="EM28" t="e">
        <f>'All regions'!G713+"$F;@!u["</f>
        <v>#VALUE!</v>
      </c>
      <c r="EN28" t="e">
        <f>'All regions'!H713+"$F;@!u\"</f>
        <v>#VALUE!</v>
      </c>
      <c r="EO28" t="e">
        <f>'All regions'!I713+"$F;@!u]"</f>
        <v>#VALUE!</v>
      </c>
      <c r="EP28" t="e">
        <f>'All regions'!A714+"$F;@!u^"</f>
        <v>#VALUE!</v>
      </c>
      <c r="EQ28" t="e">
        <f>'All regions'!B714+"$F;@!u_"</f>
        <v>#VALUE!</v>
      </c>
      <c r="ER28" t="e">
        <f>'All regions'!C714+"$F;@!u`"</f>
        <v>#VALUE!</v>
      </c>
      <c r="ES28" t="e">
        <f>'All regions'!D714+"$F;@!ua"</f>
        <v>#VALUE!</v>
      </c>
      <c r="ET28" t="e">
        <f>'All regions'!E714+"$F;@!ub"</f>
        <v>#VALUE!</v>
      </c>
      <c r="EU28" t="e">
        <f>'All regions'!F714+"$F;@!uc"</f>
        <v>#VALUE!</v>
      </c>
      <c r="EV28" t="e">
        <f>'All regions'!G714+"$F;@!ud"</f>
        <v>#VALUE!</v>
      </c>
      <c r="EW28" t="e">
        <f>'All regions'!H714+"$F;@!ue"</f>
        <v>#VALUE!</v>
      </c>
      <c r="EX28" t="e">
        <f>'All regions'!I714+"$F;@!uf"</f>
        <v>#VALUE!</v>
      </c>
      <c r="EY28" t="e">
        <f>'All regions'!A715+"$F;@!ug"</f>
        <v>#VALUE!</v>
      </c>
      <c r="EZ28" t="e">
        <f>'All regions'!B715+"$F;@!uh"</f>
        <v>#VALUE!</v>
      </c>
      <c r="FA28" t="e">
        <f>'All regions'!C715+"$F;@!ui"</f>
        <v>#VALUE!</v>
      </c>
      <c r="FB28" t="e">
        <f>'All regions'!D715+"$F;@!uj"</f>
        <v>#VALUE!</v>
      </c>
      <c r="FC28" t="e">
        <f>'All regions'!E715+"$F;@!uk"</f>
        <v>#VALUE!</v>
      </c>
      <c r="FD28" t="e">
        <f>'All regions'!F715+"$F;@!ul"</f>
        <v>#VALUE!</v>
      </c>
      <c r="FE28" t="e">
        <f>'All regions'!G715+"$F;@!um"</f>
        <v>#VALUE!</v>
      </c>
      <c r="FF28" t="e">
        <f>'All regions'!H715+"$F;@!un"</f>
        <v>#VALUE!</v>
      </c>
      <c r="FG28" t="e">
        <f>'All regions'!I715+"$F;@!uo"</f>
        <v>#VALUE!</v>
      </c>
      <c r="FH28" t="e">
        <f>'All regions'!A716+"$F;@!up"</f>
        <v>#VALUE!</v>
      </c>
      <c r="FI28" t="e">
        <f>'All regions'!B716+"$F;@!uq"</f>
        <v>#VALUE!</v>
      </c>
      <c r="FJ28" t="e">
        <f>'All regions'!C716+"$F;@!ur"</f>
        <v>#VALUE!</v>
      </c>
      <c r="FK28" t="e">
        <f>'All regions'!D716+"$F;@!us"</f>
        <v>#VALUE!</v>
      </c>
      <c r="FL28" t="e">
        <f>'All regions'!E716+"$F;@!ut"</f>
        <v>#VALUE!</v>
      </c>
      <c r="FM28" t="e">
        <f>'All regions'!F716+"$F;@!uu"</f>
        <v>#VALUE!</v>
      </c>
      <c r="FN28" t="e">
        <f>'All regions'!G716+"$F;@!uv"</f>
        <v>#VALUE!</v>
      </c>
      <c r="FO28" t="e">
        <f>'All regions'!H716+"$F;@!uw"</f>
        <v>#VALUE!</v>
      </c>
      <c r="FP28" t="e">
        <f>'All regions'!I716+"$F;@!ux"</f>
        <v>#VALUE!</v>
      </c>
      <c r="FQ28" t="e">
        <f>'All regions'!A717+"$F;@!uy"</f>
        <v>#VALUE!</v>
      </c>
      <c r="FR28" t="e">
        <f>'All regions'!B717+"$F;@!uz"</f>
        <v>#VALUE!</v>
      </c>
      <c r="FS28" t="e">
        <f>'All regions'!C717+"$F;@!u{"</f>
        <v>#VALUE!</v>
      </c>
      <c r="FT28" t="e">
        <f>'All regions'!D717+"$F;@!u|"</f>
        <v>#VALUE!</v>
      </c>
      <c r="FU28" t="e">
        <f>'All regions'!E717+"$F;@!u}"</f>
        <v>#VALUE!</v>
      </c>
      <c r="FV28" t="e">
        <f>'All regions'!F717+"$F;@!u~"</f>
        <v>#VALUE!</v>
      </c>
      <c r="FW28" t="e">
        <f>'All regions'!G717+"$F;@!v#"</f>
        <v>#VALUE!</v>
      </c>
      <c r="FX28" t="e">
        <f>'All regions'!H717+"$F;@!v$"</f>
        <v>#VALUE!</v>
      </c>
      <c r="FY28" t="e">
        <f>'All regions'!I717+"$F;@!v%"</f>
        <v>#VALUE!</v>
      </c>
      <c r="FZ28" t="e">
        <f>'All regions'!A718+"$F;@!v&amp;"</f>
        <v>#VALUE!</v>
      </c>
      <c r="GA28" t="e">
        <f>'All regions'!B718+"$F;@!v'"</f>
        <v>#VALUE!</v>
      </c>
      <c r="GB28" t="e">
        <f>'All regions'!C718+"$F;@!v("</f>
        <v>#VALUE!</v>
      </c>
      <c r="GC28" t="e">
        <f>'All regions'!D718+"$F;@!v)"</f>
        <v>#VALUE!</v>
      </c>
      <c r="GD28" t="e">
        <f>'All regions'!E718+"$F;@!v."</f>
        <v>#VALUE!</v>
      </c>
      <c r="GE28" t="e">
        <f>'All regions'!F718+"$F;@!v/"</f>
        <v>#VALUE!</v>
      </c>
      <c r="GF28" t="e">
        <f>'All regions'!G718+"$F;@!v0"</f>
        <v>#VALUE!</v>
      </c>
      <c r="GG28" t="e">
        <f>'All regions'!H718+"$F;@!v1"</f>
        <v>#VALUE!</v>
      </c>
      <c r="GH28" t="e">
        <f>'All regions'!I718+"$F;@!v2"</f>
        <v>#VALUE!</v>
      </c>
      <c r="GI28" t="e">
        <f>'All regions'!A719+"$F;@!v3"</f>
        <v>#VALUE!</v>
      </c>
      <c r="GJ28" t="e">
        <f>'All regions'!B719+"$F;@!v4"</f>
        <v>#VALUE!</v>
      </c>
      <c r="GK28" t="e">
        <f>'All regions'!C719+"$F;@!v5"</f>
        <v>#VALUE!</v>
      </c>
      <c r="GL28" t="e">
        <f>'All regions'!D719+"$F;@!v6"</f>
        <v>#VALUE!</v>
      </c>
      <c r="GM28" t="e">
        <f>'All regions'!E719+"$F;@!v7"</f>
        <v>#VALUE!</v>
      </c>
      <c r="GN28" t="e">
        <f>'All regions'!F719+"$F;@!v8"</f>
        <v>#VALUE!</v>
      </c>
      <c r="GO28" t="e">
        <f>'All regions'!G719+"$F;@!v9"</f>
        <v>#VALUE!</v>
      </c>
      <c r="GP28" t="e">
        <f>'All regions'!H719+"$F;@!v:"</f>
        <v>#VALUE!</v>
      </c>
      <c r="GQ28" t="e">
        <f>'All regions'!I719+"$F;@!v;"</f>
        <v>#VALUE!</v>
      </c>
      <c r="GR28" t="e">
        <f>'All regions'!A720+"$F;@!v&lt;"</f>
        <v>#VALUE!</v>
      </c>
      <c r="GS28" t="e">
        <f>'All regions'!B720+"$F;@!v="</f>
        <v>#VALUE!</v>
      </c>
      <c r="GT28" t="e">
        <f>'All regions'!C720+"$F;@!v&gt;"</f>
        <v>#VALUE!</v>
      </c>
      <c r="GU28" t="e">
        <f>'All regions'!D720+"$F;@!v?"</f>
        <v>#VALUE!</v>
      </c>
      <c r="GV28" t="e">
        <f>'All regions'!E720+"$F;@!v@"</f>
        <v>#VALUE!</v>
      </c>
      <c r="GW28" t="e">
        <f>'All regions'!F720+"$F;@!vA"</f>
        <v>#VALUE!</v>
      </c>
      <c r="GX28" t="e">
        <f>'All regions'!G720+"$F;@!vB"</f>
        <v>#VALUE!</v>
      </c>
      <c r="GY28" t="e">
        <f>'All regions'!H720+"$F;@!vC"</f>
        <v>#VALUE!</v>
      </c>
      <c r="GZ28" t="e">
        <f>'All regions'!I720+"$F;@!vD"</f>
        <v>#VALUE!</v>
      </c>
      <c r="HA28" t="e">
        <f>'All regions'!A721+"$F;@!vE"</f>
        <v>#VALUE!</v>
      </c>
      <c r="HB28" t="e">
        <f>'All regions'!B721+"$F;@!vF"</f>
        <v>#VALUE!</v>
      </c>
      <c r="HC28" t="e">
        <f>'All regions'!C721+"$F;@!vG"</f>
        <v>#VALUE!</v>
      </c>
      <c r="HD28" t="e">
        <f>'All regions'!D721+"$F;@!vH"</f>
        <v>#VALUE!</v>
      </c>
      <c r="HE28" t="e">
        <f>'All regions'!E721+"$F;@!vI"</f>
        <v>#VALUE!</v>
      </c>
      <c r="HF28" t="e">
        <f>'All regions'!F721+"$F;@!vJ"</f>
        <v>#VALUE!</v>
      </c>
      <c r="HG28" t="e">
        <f>'All regions'!G721+"$F;@!vK"</f>
        <v>#VALUE!</v>
      </c>
      <c r="HH28" t="e">
        <f>'All regions'!H721+"$F;@!vL"</f>
        <v>#VALUE!</v>
      </c>
      <c r="HI28" t="e">
        <f>'All regions'!I721+"$F;@!vM"</f>
        <v>#VALUE!</v>
      </c>
      <c r="HJ28" t="e">
        <f>'All regions'!A722+"$F;@!vN"</f>
        <v>#VALUE!</v>
      </c>
      <c r="HK28" t="e">
        <f>'All regions'!B722+"$F;@!vO"</f>
        <v>#VALUE!</v>
      </c>
      <c r="HL28" t="e">
        <f>'All regions'!C722+"$F;@!vP"</f>
        <v>#VALUE!</v>
      </c>
      <c r="HM28" t="e">
        <f>'All regions'!D722+"$F;@!vQ"</f>
        <v>#VALUE!</v>
      </c>
      <c r="HN28" t="e">
        <f>'All regions'!E722+"$F;@!vR"</f>
        <v>#VALUE!</v>
      </c>
      <c r="HO28" t="e">
        <f>'All regions'!F722+"$F;@!vS"</f>
        <v>#VALUE!</v>
      </c>
      <c r="HP28" t="e">
        <f>'All regions'!G722+"$F;@!vT"</f>
        <v>#VALUE!</v>
      </c>
      <c r="HQ28" t="e">
        <f>'All regions'!H722+"$F;@!vU"</f>
        <v>#VALUE!</v>
      </c>
      <c r="HR28" t="e">
        <f>'All regions'!I722+"$F;@!vV"</f>
        <v>#VALUE!</v>
      </c>
      <c r="HS28" t="e">
        <f>'All regions'!A723+"$F;@!vW"</f>
        <v>#VALUE!</v>
      </c>
      <c r="HT28" t="e">
        <f>'All regions'!B723+"$F;@!vX"</f>
        <v>#VALUE!</v>
      </c>
      <c r="HU28" t="e">
        <f>'All regions'!C723+"$F;@!vY"</f>
        <v>#VALUE!</v>
      </c>
      <c r="HV28" t="e">
        <f>'All regions'!D723+"$F;@!vZ"</f>
        <v>#VALUE!</v>
      </c>
      <c r="HW28" t="e">
        <f>'All regions'!E723+"$F;@!v["</f>
        <v>#VALUE!</v>
      </c>
      <c r="HX28" t="e">
        <f>'All regions'!F723+"$F;@!v\"</f>
        <v>#VALUE!</v>
      </c>
      <c r="HY28" t="e">
        <f>'All regions'!G723+"$F;@!v]"</f>
        <v>#VALUE!</v>
      </c>
      <c r="HZ28" t="e">
        <f>'All regions'!H723+"$F;@!v^"</f>
        <v>#VALUE!</v>
      </c>
      <c r="IA28" t="e">
        <f>'All regions'!I723+"$F;@!v_"</f>
        <v>#VALUE!</v>
      </c>
      <c r="IB28" t="e">
        <f>'All regions'!A724+"$F;@!v`"</f>
        <v>#VALUE!</v>
      </c>
      <c r="IC28" t="e">
        <f>'All regions'!B724+"$F;@!va"</f>
        <v>#VALUE!</v>
      </c>
      <c r="ID28" t="e">
        <f>'All regions'!C724+"$F;@!vb"</f>
        <v>#VALUE!</v>
      </c>
      <c r="IE28" t="e">
        <f>'All regions'!D724+"$F;@!vc"</f>
        <v>#VALUE!</v>
      </c>
      <c r="IF28" t="e">
        <f>'All regions'!E724+"$F;@!vd"</f>
        <v>#VALUE!</v>
      </c>
      <c r="IG28" t="e">
        <f>'All regions'!F724+"$F;@!ve"</f>
        <v>#VALUE!</v>
      </c>
      <c r="IH28" t="e">
        <f>'All regions'!G724+"$F;@!vf"</f>
        <v>#VALUE!</v>
      </c>
      <c r="II28" t="e">
        <f>'All regions'!H724+"$F;@!vg"</f>
        <v>#VALUE!</v>
      </c>
      <c r="IJ28" t="e">
        <f>'All regions'!I724+"$F;@!vh"</f>
        <v>#VALUE!</v>
      </c>
      <c r="IK28" t="e">
        <f>'All regions'!A725+"$F;@!vi"</f>
        <v>#VALUE!</v>
      </c>
      <c r="IL28" t="e">
        <f>'All regions'!B725+"$F;@!vj"</f>
        <v>#VALUE!</v>
      </c>
      <c r="IM28" t="e">
        <f>'All regions'!C725+"$F;@!vk"</f>
        <v>#VALUE!</v>
      </c>
      <c r="IN28" t="e">
        <f>'All regions'!D725+"$F;@!vl"</f>
        <v>#VALUE!</v>
      </c>
      <c r="IO28" t="e">
        <f>'All regions'!E725+"$F;@!vm"</f>
        <v>#VALUE!</v>
      </c>
      <c r="IP28" t="e">
        <f>'All regions'!F725+"$F;@!vn"</f>
        <v>#VALUE!</v>
      </c>
      <c r="IQ28" t="e">
        <f>'All regions'!G725+"$F;@!vo"</f>
        <v>#VALUE!</v>
      </c>
      <c r="IR28" t="e">
        <f>'All regions'!H725+"$F;@!vp"</f>
        <v>#VALUE!</v>
      </c>
      <c r="IS28" t="e">
        <f>'All regions'!I725+"$F;@!vq"</f>
        <v>#VALUE!</v>
      </c>
      <c r="IT28" t="e">
        <f>'All regions'!A726+"$F;@!vr"</f>
        <v>#VALUE!</v>
      </c>
      <c r="IU28" t="e">
        <f>'All regions'!B726+"$F;@!vs"</f>
        <v>#VALUE!</v>
      </c>
      <c r="IV28" t="e">
        <f>'All regions'!C726+"$F;@!vt"</f>
        <v>#VALUE!</v>
      </c>
    </row>
    <row r="29" spans="6:256" x14ac:dyDescent="0.35">
      <c r="F29" t="e">
        <f>'All regions'!D726+"$F;@!vu"</f>
        <v>#VALUE!</v>
      </c>
      <c r="G29" t="e">
        <f>'All regions'!E726+"$F;@!vv"</f>
        <v>#VALUE!</v>
      </c>
      <c r="H29" t="e">
        <f>'All regions'!F726+"$F;@!vw"</f>
        <v>#VALUE!</v>
      </c>
      <c r="I29" t="e">
        <f>'All regions'!G726+"$F;@!vx"</f>
        <v>#VALUE!</v>
      </c>
      <c r="J29" t="e">
        <f>'All regions'!H726+"$F;@!vy"</f>
        <v>#VALUE!</v>
      </c>
      <c r="K29" t="e">
        <f>'All regions'!I726+"$F;@!vz"</f>
        <v>#VALUE!</v>
      </c>
      <c r="L29" t="e">
        <f>'All regions'!A727+"$F;@!v{"</f>
        <v>#VALUE!</v>
      </c>
      <c r="M29" t="e">
        <f>'All regions'!B727+"$F;@!v|"</f>
        <v>#VALUE!</v>
      </c>
      <c r="N29" t="e">
        <f>'All regions'!C727+"$F;@!v}"</f>
        <v>#VALUE!</v>
      </c>
      <c r="O29" t="e">
        <f>'All regions'!D727+"$F;@!v~"</f>
        <v>#VALUE!</v>
      </c>
      <c r="P29" t="e">
        <f>'All regions'!E727+"$F;@!w#"</f>
        <v>#VALUE!</v>
      </c>
      <c r="Q29" t="e">
        <f>'All regions'!F727+"$F;@!w$"</f>
        <v>#VALUE!</v>
      </c>
      <c r="R29" t="e">
        <f>'All regions'!G727+"$F;@!w%"</f>
        <v>#VALUE!</v>
      </c>
      <c r="S29" t="e">
        <f>'All regions'!H727+"$F;@!w&amp;"</f>
        <v>#VALUE!</v>
      </c>
      <c r="T29" t="e">
        <f>'All regions'!I727+"$F;@!w'"</f>
        <v>#VALUE!</v>
      </c>
      <c r="U29" t="e">
        <f>'All regions'!A728+"$F;@!w("</f>
        <v>#VALUE!</v>
      </c>
      <c r="V29" t="e">
        <f>'All regions'!B728+"$F;@!w)"</f>
        <v>#VALUE!</v>
      </c>
      <c r="W29" t="e">
        <f>'All regions'!C728+"$F;@!w."</f>
        <v>#VALUE!</v>
      </c>
      <c r="X29" t="e">
        <f>'All regions'!D728+"$F;@!w/"</f>
        <v>#VALUE!</v>
      </c>
      <c r="Y29" t="e">
        <f>'All regions'!E728+"$F;@!w0"</f>
        <v>#VALUE!</v>
      </c>
      <c r="Z29" t="e">
        <f>'All regions'!F728+"$F;@!w1"</f>
        <v>#VALUE!</v>
      </c>
      <c r="AA29" t="e">
        <f>'All regions'!G728+"$F;@!w2"</f>
        <v>#VALUE!</v>
      </c>
      <c r="AB29" t="e">
        <f>'All regions'!H728+"$F;@!w3"</f>
        <v>#VALUE!</v>
      </c>
      <c r="AC29" t="e">
        <f>'All regions'!I728+"$F;@!w4"</f>
        <v>#VALUE!</v>
      </c>
      <c r="AD29" t="e">
        <f>'All regions'!A729+"$F;@!w5"</f>
        <v>#VALUE!</v>
      </c>
      <c r="AE29" t="e">
        <f>'All regions'!B729+"$F;@!w6"</f>
        <v>#VALUE!</v>
      </c>
      <c r="AF29" t="e">
        <f>'All regions'!C729+"$F;@!w7"</f>
        <v>#VALUE!</v>
      </c>
      <c r="AG29" t="e">
        <f>'All regions'!D729+"$F;@!w8"</f>
        <v>#VALUE!</v>
      </c>
      <c r="AH29" t="e">
        <f>'All regions'!E729+"$F;@!w9"</f>
        <v>#VALUE!</v>
      </c>
      <c r="AI29" t="e">
        <f>'All regions'!F729+"$F;@!w:"</f>
        <v>#VALUE!</v>
      </c>
      <c r="AJ29" t="e">
        <f>'All regions'!G729+"$F;@!w;"</f>
        <v>#VALUE!</v>
      </c>
      <c r="AK29" t="e">
        <f>'All regions'!H729+"$F;@!w&lt;"</f>
        <v>#VALUE!</v>
      </c>
      <c r="AL29" t="e">
        <f>'All regions'!I729+"$F;@!w="</f>
        <v>#VALUE!</v>
      </c>
      <c r="AM29" t="e">
        <f>'All regions'!A730+"$F;@!w&gt;"</f>
        <v>#VALUE!</v>
      </c>
      <c r="AN29" t="e">
        <f>'All regions'!B730+"$F;@!w?"</f>
        <v>#VALUE!</v>
      </c>
      <c r="AO29" t="e">
        <f>'All regions'!C730+"$F;@!w@"</f>
        <v>#VALUE!</v>
      </c>
      <c r="AP29" t="e">
        <f>'All regions'!D730+"$F;@!wA"</f>
        <v>#VALUE!</v>
      </c>
      <c r="AQ29" t="e">
        <f>'All regions'!E730+"$F;@!wB"</f>
        <v>#VALUE!</v>
      </c>
      <c r="AR29" t="e">
        <f>'All regions'!F730+"$F;@!wC"</f>
        <v>#VALUE!</v>
      </c>
      <c r="AS29" t="e">
        <f>'All regions'!G730+"$F;@!wD"</f>
        <v>#VALUE!</v>
      </c>
      <c r="AT29" t="e">
        <f>'All regions'!H730+"$F;@!wE"</f>
        <v>#VALUE!</v>
      </c>
      <c r="AU29" t="e">
        <f>'All regions'!I730+"$F;@!wF"</f>
        <v>#VALUE!</v>
      </c>
      <c r="AV29" t="e">
        <f>'All regions'!A731+"$F;@!wG"</f>
        <v>#VALUE!</v>
      </c>
      <c r="AW29" t="e">
        <f>'All regions'!B731+"$F;@!wH"</f>
        <v>#VALUE!</v>
      </c>
      <c r="AX29" t="e">
        <f>'All regions'!C731+"$F;@!wI"</f>
        <v>#VALUE!</v>
      </c>
      <c r="AY29" t="e">
        <f>'All regions'!D731+"$F;@!wJ"</f>
        <v>#VALUE!</v>
      </c>
      <c r="AZ29" t="e">
        <f>'All regions'!E731+"$F;@!wK"</f>
        <v>#VALUE!</v>
      </c>
      <c r="BA29" t="e">
        <f>'All regions'!F731+"$F;@!wL"</f>
        <v>#VALUE!</v>
      </c>
      <c r="BB29" t="e">
        <f>'All regions'!G731+"$F;@!wM"</f>
        <v>#VALUE!</v>
      </c>
      <c r="BC29" t="e">
        <f>'All regions'!H731+"$F;@!wN"</f>
        <v>#VALUE!</v>
      </c>
      <c r="BD29" t="e">
        <f>'All regions'!I731+"$F;@!wO"</f>
        <v>#VALUE!</v>
      </c>
      <c r="BE29" t="e">
        <f>'All regions'!A732+"$F;@!wP"</f>
        <v>#VALUE!</v>
      </c>
      <c r="BF29" t="e">
        <f>'All regions'!B732+"$F;@!wQ"</f>
        <v>#VALUE!</v>
      </c>
      <c r="BG29" t="e">
        <f>'All regions'!C732+"$F;@!wR"</f>
        <v>#VALUE!</v>
      </c>
      <c r="BH29" t="e">
        <f>'All regions'!D732+"$F;@!wS"</f>
        <v>#VALUE!</v>
      </c>
      <c r="BI29" t="e">
        <f>'All regions'!E732+"$F;@!wT"</f>
        <v>#VALUE!</v>
      </c>
      <c r="BJ29" t="e">
        <f>'All regions'!F732+"$F;@!wU"</f>
        <v>#VALUE!</v>
      </c>
      <c r="BK29" t="e">
        <f>'All regions'!G732+"$F;@!wV"</f>
        <v>#VALUE!</v>
      </c>
      <c r="BL29" t="e">
        <f>'All regions'!H732+"$F;@!wW"</f>
        <v>#VALUE!</v>
      </c>
      <c r="BM29" t="e">
        <f>'All regions'!I732+"$F;@!wX"</f>
        <v>#VALUE!</v>
      </c>
      <c r="BN29" t="e">
        <f>'All regions'!A733+"$F;@!wY"</f>
        <v>#VALUE!</v>
      </c>
      <c r="BO29" t="e">
        <f>'All regions'!B733+"$F;@!wZ"</f>
        <v>#VALUE!</v>
      </c>
      <c r="BP29" t="e">
        <f>'All regions'!C733+"$F;@!w["</f>
        <v>#VALUE!</v>
      </c>
      <c r="BQ29" t="e">
        <f>'All regions'!D733+"$F;@!w\"</f>
        <v>#VALUE!</v>
      </c>
      <c r="BR29" t="e">
        <f>'All regions'!E733+"$F;@!w]"</f>
        <v>#VALUE!</v>
      </c>
      <c r="BS29" t="e">
        <f>'All regions'!F733+"$F;@!w^"</f>
        <v>#VALUE!</v>
      </c>
      <c r="BT29" t="e">
        <f>'All regions'!G733+"$F;@!w_"</f>
        <v>#VALUE!</v>
      </c>
      <c r="BU29" t="e">
        <f>'All regions'!H733+"$F;@!w`"</f>
        <v>#VALUE!</v>
      </c>
      <c r="BV29" t="e">
        <f>'All regions'!I733+"$F;@!wa"</f>
        <v>#VALUE!</v>
      </c>
      <c r="BW29" t="e">
        <f>'All regions'!A734+"$F;@!wb"</f>
        <v>#VALUE!</v>
      </c>
      <c r="BX29" t="e">
        <f>'All regions'!B734+"$F;@!wc"</f>
        <v>#VALUE!</v>
      </c>
      <c r="BY29" t="e">
        <f>'All regions'!C734+"$F;@!wd"</f>
        <v>#VALUE!</v>
      </c>
      <c r="BZ29" t="e">
        <f>'All regions'!D734+"$F;@!we"</f>
        <v>#VALUE!</v>
      </c>
      <c r="CA29" t="e">
        <f>'All regions'!E734+"$F;@!wf"</f>
        <v>#VALUE!</v>
      </c>
      <c r="CB29" t="e">
        <f>'All regions'!F734+"$F;@!wg"</f>
        <v>#VALUE!</v>
      </c>
      <c r="CC29" t="e">
        <f>'All regions'!G734+"$F;@!wh"</f>
        <v>#VALUE!</v>
      </c>
      <c r="CD29" t="e">
        <f>'All regions'!H734+"$F;@!wi"</f>
        <v>#VALUE!</v>
      </c>
      <c r="CE29" t="e">
        <f>'All regions'!I734+"$F;@!wj"</f>
        <v>#VALUE!</v>
      </c>
      <c r="CF29" t="e">
        <f>'All regions'!A735+"$F;@!wk"</f>
        <v>#VALUE!</v>
      </c>
      <c r="CG29" t="e">
        <f>'All regions'!B735+"$F;@!wl"</f>
        <v>#VALUE!</v>
      </c>
      <c r="CH29" t="e">
        <f>'All regions'!C735+"$F;@!wm"</f>
        <v>#VALUE!</v>
      </c>
      <c r="CI29" t="e">
        <f>'All regions'!D735+"$F;@!wn"</f>
        <v>#VALUE!</v>
      </c>
      <c r="CJ29" t="e">
        <f>'All regions'!E735+"$F;@!wo"</f>
        <v>#VALUE!</v>
      </c>
      <c r="CK29" t="e">
        <f>'All regions'!F735+"$F;@!wp"</f>
        <v>#VALUE!</v>
      </c>
      <c r="CL29" t="e">
        <f>'All regions'!G735+"$F;@!wq"</f>
        <v>#VALUE!</v>
      </c>
      <c r="CM29" t="e">
        <f>'All regions'!H735+"$F;@!wr"</f>
        <v>#VALUE!</v>
      </c>
      <c r="CN29" t="e">
        <f>'All regions'!I735+"$F;@!ws"</f>
        <v>#VALUE!</v>
      </c>
      <c r="CO29" t="e">
        <f>'All regions'!A736+"$F;@!wt"</f>
        <v>#VALUE!</v>
      </c>
      <c r="CP29" t="e">
        <f>'All regions'!B736+"$F;@!wu"</f>
        <v>#VALUE!</v>
      </c>
      <c r="CQ29" t="e">
        <f>'All regions'!C736+"$F;@!wv"</f>
        <v>#VALUE!</v>
      </c>
      <c r="CR29" t="e">
        <f>'All regions'!D736+"$F;@!ww"</f>
        <v>#VALUE!</v>
      </c>
      <c r="CS29" t="e">
        <f>'All regions'!E736+"$F;@!wx"</f>
        <v>#VALUE!</v>
      </c>
      <c r="CT29" t="e">
        <f>'All regions'!F736+"$F;@!wy"</f>
        <v>#VALUE!</v>
      </c>
      <c r="CU29" t="e">
        <f>'All regions'!G736+"$F;@!wz"</f>
        <v>#VALUE!</v>
      </c>
      <c r="CV29" t="e">
        <f>'All regions'!H736+"$F;@!w{"</f>
        <v>#VALUE!</v>
      </c>
      <c r="CW29" t="e">
        <f>'All regions'!I736+"$F;@!w|"</f>
        <v>#VALUE!</v>
      </c>
      <c r="CX29" t="e">
        <f>'All regions'!A737+"$F;@!w}"</f>
        <v>#VALUE!</v>
      </c>
      <c r="CY29" t="e">
        <f>'All regions'!B737+"$F;@!w~"</f>
        <v>#VALUE!</v>
      </c>
      <c r="CZ29" t="e">
        <f>'All regions'!C737+"$F;@!x#"</f>
        <v>#VALUE!</v>
      </c>
      <c r="DA29" t="e">
        <f>'All regions'!D737+"$F;@!x$"</f>
        <v>#VALUE!</v>
      </c>
      <c r="DB29" t="e">
        <f>'All regions'!E737+"$F;@!x%"</f>
        <v>#VALUE!</v>
      </c>
      <c r="DC29" t="e">
        <f>'All regions'!F737+"$F;@!x&amp;"</f>
        <v>#VALUE!</v>
      </c>
      <c r="DD29" t="e">
        <f>'All regions'!G737+"$F;@!x'"</f>
        <v>#VALUE!</v>
      </c>
      <c r="DE29" t="e">
        <f>'All regions'!H737+"$F;@!x("</f>
        <v>#VALUE!</v>
      </c>
      <c r="DF29" t="e">
        <f>'All regions'!I737+"$F;@!x)"</f>
        <v>#VALUE!</v>
      </c>
      <c r="DG29" t="e">
        <f>'All regions'!A738+"$F;@!x."</f>
        <v>#VALUE!</v>
      </c>
      <c r="DH29" t="e">
        <f>'All regions'!B738+"$F;@!x/"</f>
        <v>#VALUE!</v>
      </c>
      <c r="DI29" t="e">
        <f>'All regions'!C738+"$F;@!x0"</f>
        <v>#VALUE!</v>
      </c>
      <c r="DJ29" t="e">
        <f>'All regions'!D738+"$F;@!x1"</f>
        <v>#VALUE!</v>
      </c>
      <c r="DK29" t="e">
        <f>'All regions'!E738+"$F;@!x2"</f>
        <v>#VALUE!</v>
      </c>
      <c r="DL29" t="e">
        <f>'All regions'!F738+"$F;@!x3"</f>
        <v>#VALUE!</v>
      </c>
      <c r="DM29" t="e">
        <f>'All regions'!G738+"$F;@!x4"</f>
        <v>#VALUE!</v>
      </c>
      <c r="DN29" t="e">
        <f>'All regions'!H738+"$F;@!x5"</f>
        <v>#VALUE!</v>
      </c>
      <c r="DO29" t="e">
        <f>'All regions'!I738+"$F;@!x6"</f>
        <v>#VALUE!</v>
      </c>
      <c r="DP29" t="e">
        <f>'All regions'!A739+"$F;@!x7"</f>
        <v>#VALUE!</v>
      </c>
      <c r="DQ29" t="e">
        <f>'All regions'!B739+"$F;@!x8"</f>
        <v>#VALUE!</v>
      </c>
      <c r="DR29" t="e">
        <f>'All regions'!C739+"$F;@!x9"</f>
        <v>#VALUE!</v>
      </c>
      <c r="DS29" t="e">
        <f>'All regions'!D739+"$F;@!x:"</f>
        <v>#VALUE!</v>
      </c>
      <c r="DT29" t="e">
        <f>'All regions'!E739+"$F;@!x;"</f>
        <v>#VALUE!</v>
      </c>
      <c r="DU29" t="e">
        <f>'All regions'!F739+"$F;@!x&lt;"</f>
        <v>#VALUE!</v>
      </c>
      <c r="DV29" t="e">
        <f>'All regions'!G739+"$F;@!x="</f>
        <v>#VALUE!</v>
      </c>
      <c r="DW29" t="e">
        <f>'All regions'!H739+"$F;@!x&gt;"</f>
        <v>#VALUE!</v>
      </c>
      <c r="DX29" t="e">
        <f>'All regions'!I739+"$F;@!x?"</f>
        <v>#VALUE!</v>
      </c>
      <c r="DY29" t="e">
        <f>'All regions'!A740+"$F;@!x@"</f>
        <v>#VALUE!</v>
      </c>
      <c r="DZ29" t="e">
        <f>'All regions'!B740+"$F;@!xA"</f>
        <v>#VALUE!</v>
      </c>
      <c r="EA29" t="e">
        <f>'All regions'!C740+"$F;@!xB"</f>
        <v>#VALUE!</v>
      </c>
      <c r="EB29" t="e">
        <f>'All regions'!D740+"$F;@!xC"</f>
        <v>#VALUE!</v>
      </c>
      <c r="EC29" t="e">
        <f>'All regions'!E740+"$F;@!xD"</f>
        <v>#VALUE!</v>
      </c>
      <c r="ED29" t="e">
        <f>'All regions'!F740+"$F;@!xE"</f>
        <v>#VALUE!</v>
      </c>
      <c r="EE29" t="e">
        <f>'All regions'!G740+"$F;@!xF"</f>
        <v>#VALUE!</v>
      </c>
      <c r="EF29" t="e">
        <f>'All regions'!H740+"$F;@!xG"</f>
        <v>#VALUE!</v>
      </c>
      <c r="EG29" t="e">
        <f>'All regions'!I740+"$F;@!xH"</f>
        <v>#VALUE!</v>
      </c>
      <c r="EH29" t="e">
        <f>'All regions'!A741+"$F;@!xI"</f>
        <v>#VALUE!</v>
      </c>
      <c r="EI29" t="e">
        <f>'All regions'!B741+"$F;@!xJ"</f>
        <v>#VALUE!</v>
      </c>
      <c r="EJ29" t="e">
        <f>'All regions'!C741+"$F;@!xK"</f>
        <v>#VALUE!</v>
      </c>
      <c r="EK29" t="e">
        <f>'All regions'!D741+"$F;@!xL"</f>
        <v>#VALUE!</v>
      </c>
      <c r="EL29" t="e">
        <f>'All regions'!E741+"$F;@!xM"</f>
        <v>#VALUE!</v>
      </c>
      <c r="EM29" t="e">
        <f>'All regions'!F741+"$F;@!xN"</f>
        <v>#VALUE!</v>
      </c>
      <c r="EN29" t="e">
        <f>'All regions'!G741+"$F;@!xO"</f>
        <v>#VALUE!</v>
      </c>
      <c r="EO29" t="e">
        <f>'All regions'!H741+"$F;@!xP"</f>
        <v>#VALUE!</v>
      </c>
      <c r="EP29" t="e">
        <f>'All regions'!I741+"$F;@!xQ"</f>
        <v>#VALUE!</v>
      </c>
      <c r="EQ29" t="e">
        <f>'All regions'!A742+"$F;@!xR"</f>
        <v>#VALUE!</v>
      </c>
      <c r="ER29" t="e">
        <f>'All regions'!B742+"$F;@!xS"</f>
        <v>#VALUE!</v>
      </c>
      <c r="ES29" t="e">
        <f>'All regions'!C742+"$F;@!xT"</f>
        <v>#VALUE!</v>
      </c>
      <c r="ET29" t="e">
        <f>'All regions'!D742+"$F;@!xU"</f>
        <v>#VALUE!</v>
      </c>
      <c r="EU29" t="e">
        <f>'All regions'!E742+"$F;@!xV"</f>
        <v>#VALUE!</v>
      </c>
      <c r="EV29" t="e">
        <f>'All regions'!F742+"$F;@!xW"</f>
        <v>#VALUE!</v>
      </c>
      <c r="EW29" t="e">
        <f>'All regions'!G742+"$F;@!xX"</f>
        <v>#VALUE!</v>
      </c>
      <c r="EX29" t="e">
        <f>'All regions'!H742+"$F;@!xY"</f>
        <v>#VALUE!</v>
      </c>
      <c r="EY29" t="e">
        <f>'All regions'!I742+"$F;@!xZ"</f>
        <v>#VALUE!</v>
      </c>
      <c r="EZ29" t="e">
        <f>'All regions'!A743+"$F;@!x["</f>
        <v>#VALUE!</v>
      </c>
      <c r="FA29" t="e">
        <f>'All regions'!B743+"$F;@!x\"</f>
        <v>#VALUE!</v>
      </c>
      <c r="FB29" t="e">
        <f>'All regions'!C743+"$F;@!x]"</f>
        <v>#VALUE!</v>
      </c>
      <c r="FC29" t="e">
        <f>'All regions'!D743+"$F;@!x^"</f>
        <v>#VALUE!</v>
      </c>
      <c r="FD29" t="e">
        <f>'All regions'!E743+"$F;@!x_"</f>
        <v>#VALUE!</v>
      </c>
      <c r="FE29" t="e">
        <f>'All regions'!F743+"$F;@!x`"</f>
        <v>#VALUE!</v>
      </c>
      <c r="FF29" t="e">
        <f>'All regions'!G743+"$F;@!xa"</f>
        <v>#VALUE!</v>
      </c>
      <c r="FG29" t="e">
        <f>'All regions'!H743+"$F;@!xb"</f>
        <v>#VALUE!</v>
      </c>
      <c r="FH29" t="e">
        <f>'All regions'!I743+"$F;@!xc"</f>
        <v>#VALUE!</v>
      </c>
      <c r="FI29" t="e">
        <f>'All regions'!A744+"$F;@!xd"</f>
        <v>#VALUE!</v>
      </c>
      <c r="FJ29" t="e">
        <f>'All regions'!B744+"$F;@!xe"</f>
        <v>#VALUE!</v>
      </c>
      <c r="FK29" t="e">
        <f>'All regions'!C744+"$F;@!xf"</f>
        <v>#VALUE!</v>
      </c>
      <c r="FL29" t="e">
        <f>'All regions'!D744+"$F;@!xg"</f>
        <v>#VALUE!</v>
      </c>
      <c r="FM29" t="e">
        <f>'All regions'!E744+"$F;@!xh"</f>
        <v>#VALUE!</v>
      </c>
      <c r="FN29" t="e">
        <f>'All regions'!F744+"$F;@!xi"</f>
        <v>#VALUE!</v>
      </c>
      <c r="FO29" t="e">
        <f>'All regions'!G744+"$F;@!xj"</f>
        <v>#VALUE!</v>
      </c>
      <c r="FP29" t="e">
        <f>'All regions'!H744+"$F;@!xk"</f>
        <v>#VALUE!</v>
      </c>
      <c r="FQ29" t="e">
        <f>'All regions'!I744+"$F;@!xl"</f>
        <v>#VALUE!</v>
      </c>
      <c r="FR29" t="e">
        <f>'All regions'!A745+"$F;@!xm"</f>
        <v>#VALUE!</v>
      </c>
      <c r="FS29" t="e">
        <f>'All regions'!B745+"$F;@!xn"</f>
        <v>#VALUE!</v>
      </c>
      <c r="FT29" t="e">
        <f>'All regions'!C745+"$F;@!xo"</f>
        <v>#VALUE!</v>
      </c>
      <c r="FU29" t="e">
        <f>'All regions'!D745+"$F;@!xp"</f>
        <v>#VALUE!</v>
      </c>
      <c r="FV29" t="e">
        <f>'All regions'!E745+"$F;@!xq"</f>
        <v>#VALUE!</v>
      </c>
      <c r="FW29" t="e">
        <f>'All regions'!F745+"$F;@!xr"</f>
        <v>#VALUE!</v>
      </c>
      <c r="FX29" t="e">
        <f>'All regions'!G745+"$F;@!xs"</f>
        <v>#VALUE!</v>
      </c>
      <c r="FY29" t="e">
        <f>'All regions'!H745+"$F;@!xt"</f>
        <v>#VALUE!</v>
      </c>
      <c r="FZ29" t="e">
        <f>'All regions'!I745+"$F;@!xu"</f>
        <v>#VALUE!</v>
      </c>
      <c r="GA29" t="e">
        <f>'All regions'!A746+"$F;@!xv"</f>
        <v>#VALUE!</v>
      </c>
      <c r="GB29" t="e">
        <f>'All regions'!B746+"$F;@!xw"</f>
        <v>#VALUE!</v>
      </c>
      <c r="GC29" t="e">
        <f>'All regions'!C746+"$F;@!xx"</f>
        <v>#VALUE!</v>
      </c>
      <c r="GD29" t="e">
        <f>'All regions'!D746+"$F;@!xy"</f>
        <v>#VALUE!</v>
      </c>
      <c r="GE29" t="e">
        <f>'All regions'!E746+"$F;@!xz"</f>
        <v>#VALUE!</v>
      </c>
      <c r="GF29" t="e">
        <f>'All regions'!F746+"$F;@!x{"</f>
        <v>#VALUE!</v>
      </c>
      <c r="GG29" t="e">
        <f>'All regions'!G746+"$F;@!x|"</f>
        <v>#VALUE!</v>
      </c>
      <c r="GH29" t="e">
        <f>'All regions'!H746+"$F;@!x}"</f>
        <v>#VALUE!</v>
      </c>
      <c r="GI29" t="e">
        <f>'All regions'!I746+"$F;@!x~"</f>
        <v>#VALUE!</v>
      </c>
      <c r="GJ29" t="e">
        <f>'All regions'!A747+"$F;@!y#"</f>
        <v>#VALUE!</v>
      </c>
      <c r="GK29" t="e">
        <f>'All regions'!B747+"$F;@!y$"</f>
        <v>#VALUE!</v>
      </c>
      <c r="GL29" t="e">
        <f>'All regions'!C747+"$F;@!y%"</f>
        <v>#VALUE!</v>
      </c>
      <c r="GM29" t="e">
        <f>'All regions'!D747+"$F;@!y&amp;"</f>
        <v>#VALUE!</v>
      </c>
      <c r="GN29" t="e">
        <f>'All regions'!E747+"$F;@!y'"</f>
        <v>#VALUE!</v>
      </c>
      <c r="GO29" t="e">
        <f>'All regions'!F747+"$F;@!y("</f>
        <v>#VALUE!</v>
      </c>
      <c r="GP29" t="e">
        <f>'All regions'!G747+"$F;@!y)"</f>
        <v>#VALUE!</v>
      </c>
      <c r="GQ29" t="e">
        <f>'All regions'!H747+"$F;@!y."</f>
        <v>#VALUE!</v>
      </c>
      <c r="GR29" t="e">
        <f>'All regions'!I747+"$F;@!y/"</f>
        <v>#VALUE!</v>
      </c>
      <c r="GS29" t="e">
        <f>'All regions'!A748+"$F;@!y0"</f>
        <v>#VALUE!</v>
      </c>
      <c r="GT29" t="e">
        <f>'All regions'!B748+"$F;@!y1"</f>
        <v>#VALUE!</v>
      </c>
      <c r="GU29" t="e">
        <f>'All regions'!C748+"$F;@!y2"</f>
        <v>#VALUE!</v>
      </c>
      <c r="GV29" t="e">
        <f>'All regions'!D748+"$F;@!y3"</f>
        <v>#VALUE!</v>
      </c>
      <c r="GW29" t="e">
        <f>'All regions'!E748+"$F;@!y4"</f>
        <v>#VALUE!</v>
      </c>
      <c r="GX29" t="e">
        <f>'All regions'!F748+"$F;@!y5"</f>
        <v>#VALUE!</v>
      </c>
      <c r="GY29" t="e">
        <f>'All regions'!G748+"$F;@!y6"</f>
        <v>#VALUE!</v>
      </c>
      <c r="GZ29" t="e">
        <f>'All regions'!H748+"$F;@!y7"</f>
        <v>#VALUE!</v>
      </c>
      <c r="HA29" t="e">
        <f>'All regions'!I748+"$F;@!y8"</f>
        <v>#VALUE!</v>
      </c>
      <c r="HB29" t="e">
        <f>'All regions'!A749+"$F;@!y9"</f>
        <v>#VALUE!</v>
      </c>
      <c r="HC29" t="e">
        <f>'All regions'!B749+"$F;@!y:"</f>
        <v>#VALUE!</v>
      </c>
      <c r="HD29" t="e">
        <f>'All regions'!C749+"$F;@!y;"</f>
        <v>#VALUE!</v>
      </c>
      <c r="HE29" t="e">
        <f>'All regions'!D749+"$F;@!y&lt;"</f>
        <v>#VALUE!</v>
      </c>
      <c r="HF29" t="e">
        <f>'All regions'!E749+"$F;@!y="</f>
        <v>#VALUE!</v>
      </c>
      <c r="HG29" t="e">
        <f>'All regions'!F749+"$F;@!y&gt;"</f>
        <v>#VALUE!</v>
      </c>
      <c r="HH29" t="e">
        <f>'All regions'!G749+"$F;@!y?"</f>
        <v>#VALUE!</v>
      </c>
      <c r="HI29" t="e">
        <f>'All regions'!H749+"$F;@!y@"</f>
        <v>#VALUE!</v>
      </c>
      <c r="HJ29" t="e">
        <f>'All regions'!I749+"$F;@!yA"</f>
        <v>#VALUE!</v>
      </c>
      <c r="HK29" t="e">
        <f>'All regions'!A750+"$F;@!yB"</f>
        <v>#VALUE!</v>
      </c>
      <c r="HL29" t="e">
        <f>'All regions'!B750+"$F;@!yC"</f>
        <v>#VALUE!</v>
      </c>
      <c r="HM29" t="e">
        <f>'All regions'!C750+"$F;@!yD"</f>
        <v>#VALUE!</v>
      </c>
      <c r="HN29" t="e">
        <f>'All regions'!D750+"$F;@!yE"</f>
        <v>#VALUE!</v>
      </c>
      <c r="HO29" t="e">
        <f>'All regions'!E750+"$F;@!yF"</f>
        <v>#VALUE!</v>
      </c>
      <c r="HP29" t="e">
        <f>'All regions'!F750+"$F;@!yG"</f>
        <v>#VALUE!</v>
      </c>
      <c r="HQ29" t="e">
        <f>'All regions'!G750+"$F;@!yH"</f>
        <v>#VALUE!</v>
      </c>
      <c r="HR29" t="e">
        <f>'All regions'!H750+"$F;@!yI"</f>
        <v>#VALUE!</v>
      </c>
      <c r="HS29" t="e">
        <f>'All regions'!I750+"$F;@!yJ"</f>
        <v>#VALUE!</v>
      </c>
      <c r="HT29" t="e">
        <f>'All regions'!A751+"$F;@!yK"</f>
        <v>#VALUE!</v>
      </c>
      <c r="HU29" t="e">
        <f>'All regions'!B751+"$F;@!yL"</f>
        <v>#VALUE!</v>
      </c>
      <c r="HV29" t="e">
        <f>'All regions'!C751+"$F;@!yM"</f>
        <v>#VALUE!</v>
      </c>
      <c r="HW29" t="e">
        <f>'All regions'!D751+"$F;@!yN"</f>
        <v>#VALUE!</v>
      </c>
      <c r="HX29" t="e">
        <f>'All regions'!E751+"$F;@!yO"</f>
        <v>#VALUE!</v>
      </c>
      <c r="HY29" t="e">
        <f>'All regions'!F751+"$F;@!yP"</f>
        <v>#VALUE!</v>
      </c>
      <c r="HZ29" t="e">
        <f>'All regions'!G751+"$F;@!yQ"</f>
        <v>#VALUE!</v>
      </c>
      <c r="IA29" t="e">
        <f>'All regions'!H751+"$F;@!yR"</f>
        <v>#VALUE!</v>
      </c>
      <c r="IB29" t="e">
        <f>'All regions'!I751+"$F;@!yS"</f>
        <v>#VALUE!</v>
      </c>
      <c r="IC29" t="e">
        <f>'All regions'!A752+"$F;@!yT"</f>
        <v>#VALUE!</v>
      </c>
      <c r="ID29" t="e">
        <f>'All regions'!B752+"$F;@!yU"</f>
        <v>#VALUE!</v>
      </c>
      <c r="IE29" t="e">
        <f>'All regions'!C752+"$F;@!yV"</f>
        <v>#VALUE!</v>
      </c>
      <c r="IF29" t="e">
        <f>'All regions'!D752+"$F;@!yW"</f>
        <v>#VALUE!</v>
      </c>
      <c r="IG29" t="e">
        <f>'All regions'!E752+"$F;@!yX"</f>
        <v>#VALUE!</v>
      </c>
      <c r="IH29" t="e">
        <f>'All regions'!F752+"$F;@!yY"</f>
        <v>#VALUE!</v>
      </c>
      <c r="II29" t="e">
        <f>'All regions'!G752+"$F;@!yZ"</f>
        <v>#VALUE!</v>
      </c>
      <c r="IJ29" t="e">
        <f>'All regions'!H752+"$F;@!y["</f>
        <v>#VALUE!</v>
      </c>
      <c r="IK29" t="e">
        <f>'All regions'!I752+"$F;@!y\"</f>
        <v>#VALUE!</v>
      </c>
      <c r="IL29" t="e">
        <f>'All regions'!A753+"$F;@!y]"</f>
        <v>#VALUE!</v>
      </c>
      <c r="IM29" t="e">
        <f>'All regions'!B753+"$F;@!y^"</f>
        <v>#VALUE!</v>
      </c>
      <c r="IN29" t="e">
        <f>'All regions'!C753+"$F;@!y_"</f>
        <v>#VALUE!</v>
      </c>
      <c r="IO29" t="e">
        <f>'All regions'!D753+"$F;@!y`"</f>
        <v>#VALUE!</v>
      </c>
      <c r="IP29" t="e">
        <f>'All regions'!E753+"$F;@!ya"</f>
        <v>#VALUE!</v>
      </c>
      <c r="IQ29" t="e">
        <f>'All regions'!F753+"$F;@!yb"</f>
        <v>#VALUE!</v>
      </c>
      <c r="IR29" t="e">
        <f>'All regions'!G753+"$F;@!yc"</f>
        <v>#VALUE!</v>
      </c>
      <c r="IS29" t="e">
        <f>'All regions'!H753+"$F;@!yd"</f>
        <v>#VALUE!</v>
      </c>
      <c r="IT29" t="e">
        <f>'All regions'!I753+"$F;@!ye"</f>
        <v>#VALUE!</v>
      </c>
      <c r="IU29" t="e">
        <f>'All regions'!A754+"$F;@!yf"</f>
        <v>#VALUE!</v>
      </c>
      <c r="IV29" t="e">
        <f>'All regions'!B754+"$F;@!yg"</f>
        <v>#VALUE!</v>
      </c>
    </row>
    <row r="30" spans="6:256" x14ac:dyDescent="0.35">
      <c r="F30" t="e">
        <f>'All regions'!C754+"$F;@!yh"</f>
        <v>#VALUE!</v>
      </c>
      <c r="G30" t="e">
        <f>'All regions'!D754+"$F;@!yi"</f>
        <v>#VALUE!</v>
      </c>
      <c r="H30" t="e">
        <f>'All regions'!E754+"$F;@!yj"</f>
        <v>#VALUE!</v>
      </c>
      <c r="I30" t="e">
        <f>'All regions'!F754+"$F;@!yk"</f>
        <v>#VALUE!</v>
      </c>
      <c r="J30" t="e">
        <f>'All regions'!G754+"$F;@!yl"</f>
        <v>#VALUE!</v>
      </c>
      <c r="K30" t="e">
        <f>'All regions'!H754+"$F;@!ym"</f>
        <v>#VALUE!</v>
      </c>
      <c r="L30" t="e">
        <f>'All regions'!I754+"$F;@!yn"</f>
        <v>#VALUE!</v>
      </c>
      <c r="M30" t="e">
        <f>'All regions'!A755+"$F;@!yo"</f>
        <v>#VALUE!</v>
      </c>
      <c r="N30" t="e">
        <f>'All regions'!B755+"$F;@!yp"</f>
        <v>#VALUE!</v>
      </c>
      <c r="O30" t="e">
        <f>'All regions'!C755+"$F;@!yq"</f>
        <v>#VALUE!</v>
      </c>
      <c r="P30" t="e">
        <f>'All regions'!D755+"$F;@!yr"</f>
        <v>#VALUE!</v>
      </c>
      <c r="Q30" t="e">
        <f>'All regions'!E755+"$F;@!ys"</f>
        <v>#VALUE!</v>
      </c>
      <c r="R30" t="e">
        <f>'All regions'!F755+"$F;@!yt"</f>
        <v>#VALUE!</v>
      </c>
      <c r="S30" t="e">
        <f>'All regions'!G755+"$F;@!yu"</f>
        <v>#VALUE!</v>
      </c>
      <c r="T30" t="e">
        <f>'All regions'!H755+"$F;@!yv"</f>
        <v>#VALUE!</v>
      </c>
      <c r="U30" t="e">
        <f>'All regions'!I755+"$F;@!yw"</f>
        <v>#VALUE!</v>
      </c>
      <c r="V30" t="e">
        <f>'All regions'!A756+"$F;@!yx"</f>
        <v>#VALUE!</v>
      </c>
      <c r="W30" t="e">
        <f>'All regions'!B756+"$F;@!yy"</f>
        <v>#VALUE!</v>
      </c>
      <c r="X30" t="e">
        <f>'All regions'!C756+"$F;@!yz"</f>
        <v>#VALUE!</v>
      </c>
      <c r="Y30" t="e">
        <f>'All regions'!D756+"$F;@!y{"</f>
        <v>#VALUE!</v>
      </c>
      <c r="Z30" t="e">
        <f>'All regions'!E756+"$F;@!y|"</f>
        <v>#VALUE!</v>
      </c>
      <c r="AA30" t="e">
        <f>'All regions'!F756+"$F;@!y}"</f>
        <v>#VALUE!</v>
      </c>
      <c r="AB30" t="e">
        <f>'All regions'!G756+"$F;@!y~"</f>
        <v>#VALUE!</v>
      </c>
      <c r="AC30" t="e">
        <f>'All regions'!H756+"$F;@!z#"</f>
        <v>#VALUE!</v>
      </c>
      <c r="AD30" t="e">
        <f>'All regions'!I756+"$F;@!z$"</f>
        <v>#VALUE!</v>
      </c>
      <c r="AE30" t="e">
        <f>'All regions'!A757+"$F;@!z%"</f>
        <v>#VALUE!</v>
      </c>
      <c r="AF30" t="e">
        <f>'All regions'!B757+"$F;@!z&amp;"</f>
        <v>#VALUE!</v>
      </c>
      <c r="AG30" t="e">
        <f>'All regions'!C757+"$F;@!z'"</f>
        <v>#VALUE!</v>
      </c>
      <c r="AH30" t="e">
        <f>'All regions'!D757+"$F;@!z("</f>
        <v>#VALUE!</v>
      </c>
      <c r="AI30" t="e">
        <f>'All regions'!E757+"$F;@!z)"</f>
        <v>#VALUE!</v>
      </c>
      <c r="AJ30" t="e">
        <f>'All regions'!F757+"$F;@!z."</f>
        <v>#VALUE!</v>
      </c>
      <c r="AK30" t="e">
        <f>'All regions'!G757+"$F;@!z/"</f>
        <v>#VALUE!</v>
      </c>
      <c r="AL30" t="e">
        <f>'All regions'!H757+"$F;@!z0"</f>
        <v>#VALUE!</v>
      </c>
      <c r="AM30" t="e">
        <f>'All regions'!I757+"$F;@!z1"</f>
        <v>#VALUE!</v>
      </c>
      <c r="AN30" t="e">
        <f>'All regions'!A758+"$F;@!z2"</f>
        <v>#VALUE!</v>
      </c>
      <c r="AO30" t="e">
        <f>'All regions'!B758+"$F;@!z3"</f>
        <v>#VALUE!</v>
      </c>
      <c r="AP30" t="e">
        <f>'All regions'!C758+"$F;@!z4"</f>
        <v>#VALUE!</v>
      </c>
      <c r="AQ30" t="e">
        <f>'All regions'!D758+"$F;@!z5"</f>
        <v>#VALUE!</v>
      </c>
      <c r="AR30" t="e">
        <f>'All regions'!E758+"$F;@!z6"</f>
        <v>#VALUE!</v>
      </c>
      <c r="AS30" t="e">
        <f>'All regions'!F758+"$F;@!z7"</f>
        <v>#VALUE!</v>
      </c>
      <c r="AT30" t="e">
        <f>'All regions'!G758+"$F;@!z8"</f>
        <v>#VALUE!</v>
      </c>
      <c r="AU30" t="e">
        <f>'All regions'!H758+"$F;@!z9"</f>
        <v>#VALUE!</v>
      </c>
      <c r="AV30" t="e">
        <f>'All regions'!I758+"$F;@!z:"</f>
        <v>#VALUE!</v>
      </c>
      <c r="AW30" t="e">
        <f>'All regions'!A759+"$F;@!z;"</f>
        <v>#VALUE!</v>
      </c>
      <c r="AX30" t="e">
        <f>'All regions'!B759+"$F;@!z&lt;"</f>
        <v>#VALUE!</v>
      </c>
      <c r="AY30" t="e">
        <f>'All regions'!C759+"$F;@!z="</f>
        <v>#VALUE!</v>
      </c>
      <c r="AZ30" t="e">
        <f>'All regions'!D759+"$F;@!z&gt;"</f>
        <v>#VALUE!</v>
      </c>
      <c r="BA30" t="e">
        <f>'All regions'!E759+"$F;@!z?"</f>
        <v>#VALUE!</v>
      </c>
      <c r="BB30" t="e">
        <f>'All regions'!F759+"$F;@!z@"</f>
        <v>#VALUE!</v>
      </c>
      <c r="BC30" t="e">
        <f>'All regions'!G759+"$F;@!zA"</f>
        <v>#VALUE!</v>
      </c>
      <c r="BD30" t="e">
        <f>'All regions'!H759+"$F;@!zB"</f>
        <v>#VALUE!</v>
      </c>
      <c r="BE30" t="e">
        <f>'All regions'!I759+"$F;@!zC"</f>
        <v>#VALUE!</v>
      </c>
      <c r="BF30" t="e">
        <f>'All regions'!A760+"$F;@!zD"</f>
        <v>#VALUE!</v>
      </c>
      <c r="BG30" t="e">
        <f>'All regions'!B760+"$F;@!zE"</f>
        <v>#VALUE!</v>
      </c>
      <c r="BH30" t="e">
        <f>'All regions'!C760+"$F;@!zF"</f>
        <v>#VALUE!</v>
      </c>
      <c r="BI30" t="e">
        <f>'All regions'!D760+"$F;@!zG"</f>
        <v>#VALUE!</v>
      </c>
      <c r="BJ30" t="e">
        <f>'All regions'!E760+"$F;@!zH"</f>
        <v>#VALUE!</v>
      </c>
      <c r="BK30" t="e">
        <f>'All regions'!F760+"$F;@!zI"</f>
        <v>#VALUE!</v>
      </c>
      <c r="BL30" t="e">
        <f>'All regions'!G760+"$F;@!zJ"</f>
        <v>#VALUE!</v>
      </c>
      <c r="BM30" t="e">
        <f>'All regions'!H760+"$F;@!zK"</f>
        <v>#VALUE!</v>
      </c>
      <c r="BN30" t="e">
        <f>'All regions'!I760+"$F;@!zL"</f>
        <v>#VALUE!</v>
      </c>
      <c r="BO30" t="e">
        <f>'All regions'!A761+"$F;@!zM"</f>
        <v>#VALUE!</v>
      </c>
      <c r="BP30" t="e">
        <f>'All regions'!B761+"$F;@!zN"</f>
        <v>#VALUE!</v>
      </c>
      <c r="BQ30" t="e">
        <f>'All regions'!C761+"$F;@!zO"</f>
        <v>#VALUE!</v>
      </c>
      <c r="BR30" t="e">
        <f>'All regions'!D761+"$F;@!zP"</f>
        <v>#VALUE!</v>
      </c>
      <c r="BS30" t="e">
        <f>'All regions'!E761+"$F;@!zQ"</f>
        <v>#VALUE!</v>
      </c>
      <c r="BT30" t="e">
        <f>'All regions'!F761+"$F;@!zR"</f>
        <v>#VALUE!</v>
      </c>
      <c r="BU30" t="e">
        <f>'All regions'!G761+"$F;@!zS"</f>
        <v>#VALUE!</v>
      </c>
      <c r="BV30" t="e">
        <f>'All regions'!H761+"$F;@!zT"</f>
        <v>#VALUE!</v>
      </c>
      <c r="BW30" t="e">
        <f>'All regions'!I761+"$F;@!zU"</f>
        <v>#VALUE!</v>
      </c>
      <c r="BX30" t="e">
        <f>'All regions'!A762+"$F;@!zV"</f>
        <v>#VALUE!</v>
      </c>
      <c r="BY30" t="e">
        <f>'All regions'!B762+"$F;@!zW"</f>
        <v>#VALUE!</v>
      </c>
      <c r="BZ30" t="e">
        <f>'All regions'!C762+"$F;@!zX"</f>
        <v>#VALUE!</v>
      </c>
      <c r="CA30" t="e">
        <f>'All regions'!D762+"$F;@!zY"</f>
        <v>#VALUE!</v>
      </c>
      <c r="CB30" t="e">
        <f>'All regions'!E762+"$F;@!zZ"</f>
        <v>#VALUE!</v>
      </c>
      <c r="CC30" t="e">
        <f>'All regions'!F762+"$F;@!z["</f>
        <v>#VALUE!</v>
      </c>
      <c r="CD30" t="e">
        <f>'All regions'!G762+"$F;@!z\"</f>
        <v>#VALUE!</v>
      </c>
      <c r="CE30" t="e">
        <f>'All regions'!H762+"$F;@!z]"</f>
        <v>#VALUE!</v>
      </c>
      <c r="CF30" t="e">
        <f>'All regions'!I762+"$F;@!z^"</f>
        <v>#VALUE!</v>
      </c>
      <c r="CG30" t="e">
        <f>'All regions'!A763+"$F;@!z_"</f>
        <v>#VALUE!</v>
      </c>
      <c r="CH30" t="e">
        <f>'All regions'!B763+"$F;@!z`"</f>
        <v>#VALUE!</v>
      </c>
      <c r="CI30" t="e">
        <f>'All regions'!C763+"$F;@!za"</f>
        <v>#VALUE!</v>
      </c>
      <c r="CJ30" t="e">
        <f>'All regions'!D763+"$F;@!zb"</f>
        <v>#VALUE!</v>
      </c>
      <c r="CK30" t="e">
        <f>'All regions'!E763+"$F;@!zc"</f>
        <v>#VALUE!</v>
      </c>
      <c r="CL30" t="e">
        <f>'All regions'!F763+"$F;@!zd"</f>
        <v>#VALUE!</v>
      </c>
      <c r="CM30" t="e">
        <f>'All regions'!G763+"$F;@!ze"</f>
        <v>#VALUE!</v>
      </c>
      <c r="CN30" t="e">
        <f>'All regions'!H763+"$F;@!zf"</f>
        <v>#VALUE!</v>
      </c>
      <c r="CO30" t="e">
        <f>'All regions'!I763+"$F;@!zg"</f>
        <v>#VALUE!</v>
      </c>
      <c r="CP30" t="e">
        <f>'All regions'!A764+"$F;@!zh"</f>
        <v>#VALUE!</v>
      </c>
      <c r="CQ30" t="e">
        <f>'All regions'!B764+"$F;@!zi"</f>
        <v>#VALUE!</v>
      </c>
      <c r="CR30" t="e">
        <f>'All regions'!C764+"$F;@!zj"</f>
        <v>#VALUE!</v>
      </c>
      <c r="CS30" t="e">
        <f>'All regions'!D764+"$F;@!zk"</f>
        <v>#VALUE!</v>
      </c>
      <c r="CT30" t="e">
        <f>'All regions'!E764+"$F;@!zl"</f>
        <v>#VALUE!</v>
      </c>
      <c r="CU30" t="e">
        <f>'All regions'!F764+"$F;@!zm"</f>
        <v>#VALUE!</v>
      </c>
      <c r="CV30" t="e">
        <f>'All regions'!G764+"$F;@!zn"</f>
        <v>#VALUE!</v>
      </c>
      <c r="CW30" t="e">
        <f>'All regions'!H764+"$F;@!zo"</f>
        <v>#VALUE!</v>
      </c>
      <c r="CX30" t="e">
        <f>'All regions'!I764+"$F;@!zp"</f>
        <v>#VALUE!</v>
      </c>
      <c r="CY30" t="e">
        <f>'All regions'!A765+"$F;@!zq"</f>
        <v>#VALUE!</v>
      </c>
      <c r="CZ30" t="e">
        <f>'All regions'!B765+"$F;@!zr"</f>
        <v>#VALUE!</v>
      </c>
      <c r="DA30" t="e">
        <f>'All regions'!C765+"$F;@!zs"</f>
        <v>#VALUE!</v>
      </c>
      <c r="DB30" t="e">
        <f>'All regions'!D765+"$F;@!zt"</f>
        <v>#VALUE!</v>
      </c>
      <c r="DC30" t="e">
        <f>'All regions'!E765+"$F;@!zu"</f>
        <v>#VALUE!</v>
      </c>
      <c r="DD30" t="e">
        <f>'All regions'!F765+"$F;@!zv"</f>
        <v>#VALUE!</v>
      </c>
      <c r="DE30" t="e">
        <f>'All regions'!G765+"$F;@!zw"</f>
        <v>#VALUE!</v>
      </c>
      <c r="DF30" t="e">
        <f>'All regions'!H765+"$F;@!zx"</f>
        <v>#VALUE!</v>
      </c>
      <c r="DG30" t="e">
        <f>'All regions'!I765+"$F;@!zy"</f>
        <v>#VALUE!</v>
      </c>
      <c r="DH30" t="e">
        <f>'All regions'!A766+"$F;@!zz"</f>
        <v>#VALUE!</v>
      </c>
      <c r="DI30" t="e">
        <f>'All regions'!B766+"$F;@!z{"</f>
        <v>#VALUE!</v>
      </c>
      <c r="DJ30" t="e">
        <f>'All regions'!C766+"$F;@!z|"</f>
        <v>#VALUE!</v>
      </c>
      <c r="DK30" t="e">
        <f>'All regions'!D766+"$F;@!z}"</f>
        <v>#VALUE!</v>
      </c>
      <c r="DL30" t="e">
        <f>'All regions'!E766+"$F;@!z~"</f>
        <v>#VALUE!</v>
      </c>
      <c r="DM30" t="e">
        <f>'All regions'!F766+"$F;@!{#"</f>
        <v>#VALUE!</v>
      </c>
      <c r="DN30" t="e">
        <f>'All regions'!G766+"$F;@!{$"</f>
        <v>#VALUE!</v>
      </c>
      <c r="DO30" t="e">
        <f>'All regions'!H766+"$F;@!{%"</f>
        <v>#VALUE!</v>
      </c>
      <c r="DP30" t="e">
        <f>'All regions'!I766+"$F;@!{&amp;"</f>
        <v>#VALUE!</v>
      </c>
      <c r="DQ30" t="e">
        <f>'All regions'!A767+"$F;@!{'"</f>
        <v>#VALUE!</v>
      </c>
      <c r="DR30" t="e">
        <f>'All regions'!B767+"$F;@!{("</f>
        <v>#VALUE!</v>
      </c>
      <c r="DS30" t="e">
        <f>'All regions'!C767+"$F;@!{)"</f>
        <v>#VALUE!</v>
      </c>
      <c r="DT30" t="e">
        <f>'All regions'!D767+"$F;@!{."</f>
        <v>#VALUE!</v>
      </c>
      <c r="DU30" t="e">
        <f>'All regions'!E767+"$F;@!{/"</f>
        <v>#VALUE!</v>
      </c>
      <c r="DV30" t="e">
        <f>'All regions'!F767+"$F;@!{0"</f>
        <v>#VALUE!</v>
      </c>
      <c r="DW30" t="e">
        <f>'All regions'!G767+"$F;@!{1"</f>
        <v>#VALUE!</v>
      </c>
      <c r="DX30" t="e">
        <f>'All regions'!H767+"$F;@!{2"</f>
        <v>#VALUE!</v>
      </c>
      <c r="DY30" t="e">
        <f>'All regions'!I767+"$F;@!{3"</f>
        <v>#VALUE!</v>
      </c>
      <c r="DZ30" t="e">
        <f>'All regions'!A768+"$F;@!{4"</f>
        <v>#VALUE!</v>
      </c>
      <c r="EA30" t="e">
        <f>'All regions'!B768+"$F;@!{5"</f>
        <v>#VALUE!</v>
      </c>
      <c r="EB30" t="e">
        <f>'All regions'!C768+"$F;@!{6"</f>
        <v>#VALUE!</v>
      </c>
      <c r="EC30" t="e">
        <f>'All regions'!D768+"$F;@!{7"</f>
        <v>#VALUE!</v>
      </c>
      <c r="ED30" t="e">
        <f>'All regions'!E768+"$F;@!{8"</f>
        <v>#VALUE!</v>
      </c>
      <c r="EE30" t="e">
        <f>'All regions'!F768+"$F;@!{9"</f>
        <v>#VALUE!</v>
      </c>
      <c r="EF30" t="e">
        <f>'All regions'!G768+"$F;@!{:"</f>
        <v>#VALUE!</v>
      </c>
      <c r="EG30" t="e">
        <f>'All regions'!H768+"$F;@!{;"</f>
        <v>#VALUE!</v>
      </c>
      <c r="EH30" t="e">
        <f>'All regions'!I768+"$F;@!{&lt;"</f>
        <v>#VALUE!</v>
      </c>
      <c r="EI30" t="e">
        <f>'All regions'!A769+"$F;@!{="</f>
        <v>#VALUE!</v>
      </c>
      <c r="EJ30" t="e">
        <f>'All regions'!B769+"$F;@!{&gt;"</f>
        <v>#VALUE!</v>
      </c>
      <c r="EK30" t="e">
        <f>'All regions'!C769+"$F;@!{?"</f>
        <v>#VALUE!</v>
      </c>
      <c r="EL30" t="e">
        <f>'All regions'!D769+"$F;@!{@"</f>
        <v>#VALUE!</v>
      </c>
      <c r="EM30" t="e">
        <f>'All regions'!E769+"$F;@!{A"</f>
        <v>#VALUE!</v>
      </c>
      <c r="EN30" t="e">
        <f>'All regions'!F769+"$F;@!{B"</f>
        <v>#VALUE!</v>
      </c>
      <c r="EO30" t="e">
        <f>'All regions'!G769+"$F;@!{C"</f>
        <v>#VALUE!</v>
      </c>
      <c r="EP30" t="e">
        <f>'All regions'!H769+"$F;@!{D"</f>
        <v>#VALUE!</v>
      </c>
      <c r="EQ30" t="e">
        <f>'All regions'!I769+"$F;@!{E"</f>
        <v>#VALUE!</v>
      </c>
      <c r="ER30" t="e">
        <f>'All regions'!A770+"$F;@!{F"</f>
        <v>#VALUE!</v>
      </c>
      <c r="ES30" t="e">
        <f>'All regions'!B770+"$F;@!{G"</f>
        <v>#VALUE!</v>
      </c>
      <c r="ET30" t="e">
        <f>'All regions'!C770+"$F;@!{H"</f>
        <v>#VALUE!</v>
      </c>
      <c r="EU30" t="e">
        <f>'All regions'!D770+"$F;@!{I"</f>
        <v>#VALUE!</v>
      </c>
      <c r="EV30" t="e">
        <f>'All regions'!E770+"$F;@!{J"</f>
        <v>#VALUE!</v>
      </c>
      <c r="EW30" t="e">
        <f>'All regions'!F770+"$F;@!{K"</f>
        <v>#VALUE!</v>
      </c>
      <c r="EX30" t="e">
        <f>'All regions'!G770+"$F;@!{L"</f>
        <v>#VALUE!</v>
      </c>
      <c r="EY30" t="e">
        <f>'All regions'!H770+"$F;@!{M"</f>
        <v>#VALUE!</v>
      </c>
      <c r="EZ30" t="e">
        <f>'All regions'!I770+"$F;@!{N"</f>
        <v>#VALUE!</v>
      </c>
      <c r="FA30" t="e">
        <f>'All regions'!A771+"$F;@!{O"</f>
        <v>#VALUE!</v>
      </c>
      <c r="FB30" t="e">
        <f>'All regions'!B771+"$F;@!{P"</f>
        <v>#VALUE!</v>
      </c>
      <c r="FC30" t="e">
        <f>'All regions'!C771+"$F;@!{Q"</f>
        <v>#VALUE!</v>
      </c>
      <c r="FD30" t="e">
        <f>'All regions'!D771+"$F;@!{R"</f>
        <v>#VALUE!</v>
      </c>
      <c r="FE30" t="e">
        <f>'All regions'!E771+"$F;@!{S"</f>
        <v>#VALUE!</v>
      </c>
      <c r="FF30" t="e">
        <f>'All regions'!F771+"$F;@!{T"</f>
        <v>#VALUE!</v>
      </c>
      <c r="FG30" t="e">
        <f>'All regions'!G771+"$F;@!{U"</f>
        <v>#VALUE!</v>
      </c>
      <c r="FH30" t="e">
        <f>'All regions'!H771+"$F;@!{V"</f>
        <v>#VALUE!</v>
      </c>
      <c r="FI30" t="e">
        <f>'All regions'!I771+"$F;@!{W"</f>
        <v>#VALUE!</v>
      </c>
      <c r="FJ30" t="e">
        <f>'All regions'!A772+"$F;@!{X"</f>
        <v>#VALUE!</v>
      </c>
      <c r="FK30" t="e">
        <f>'All regions'!B772+"$F;@!{Y"</f>
        <v>#VALUE!</v>
      </c>
      <c r="FL30" t="e">
        <f>'All regions'!C772+"$F;@!{Z"</f>
        <v>#VALUE!</v>
      </c>
      <c r="FM30" t="e">
        <f>'All regions'!D772+"$F;@!{["</f>
        <v>#VALUE!</v>
      </c>
      <c r="FN30" t="e">
        <f>'All regions'!E772+"$F;@!{\"</f>
        <v>#VALUE!</v>
      </c>
      <c r="FO30" t="e">
        <f>'All regions'!F772+"$F;@!{]"</f>
        <v>#VALUE!</v>
      </c>
      <c r="FP30" t="e">
        <f>'All regions'!G772+"$F;@!{^"</f>
        <v>#VALUE!</v>
      </c>
      <c r="FQ30" t="e">
        <f>'All regions'!H772+"$F;@!{_"</f>
        <v>#VALUE!</v>
      </c>
      <c r="FR30" t="e">
        <f>'All regions'!I772+"$F;@!{`"</f>
        <v>#VALUE!</v>
      </c>
      <c r="FS30" t="e">
        <f>'All regions'!A773+"$F;@!{a"</f>
        <v>#VALUE!</v>
      </c>
      <c r="FT30" t="e">
        <f>'All regions'!B773+"$F;@!{b"</f>
        <v>#VALUE!</v>
      </c>
      <c r="FU30" t="e">
        <f>'All regions'!C773+"$F;@!{c"</f>
        <v>#VALUE!</v>
      </c>
      <c r="FV30" t="e">
        <f>'All regions'!D773+"$F;@!{d"</f>
        <v>#VALUE!</v>
      </c>
      <c r="FW30" t="e">
        <f>'All regions'!E773+"$F;@!{e"</f>
        <v>#VALUE!</v>
      </c>
      <c r="FX30" t="e">
        <f>'All regions'!F773+"$F;@!{f"</f>
        <v>#VALUE!</v>
      </c>
      <c r="FY30" t="e">
        <f>'All regions'!G773+"$F;@!{g"</f>
        <v>#VALUE!</v>
      </c>
      <c r="FZ30" t="e">
        <f>'All regions'!H773+"$F;@!{h"</f>
        <v>#VALUE!</v>
      </c>
      <c r="GA30" t="e">
        <f>'All regions'!I773+"$F;@!{i"</f>
        <v>#VALUE!</v>
      </c>
      <c r="GB30" t="e">
        <f>'All regions'!A774+"$F;@!{j"</f>
        <v>#VALUE!</v>
      </c>
      <c r="GC30" t="e">
        <f>'All regions'!B774+"$F;@!{k"</f>
        <v>#VALUE!</v>
      </c>
      <c r="GD30" t="e">
        <f>'All regions'!C774+"$F;@!{l"</f>
        <v>#VALUE!</v>
      </c>
      <c r="GE30" t="e">
        <f>'All regions'!D774+"$F;@!{m"</f>
        <v>#VALUE!</v>
      </c>
      <c r="GF30" t="e">
        <f>'All regions'!E774+"$F;@!{n"</f>
        <v>#VALUE!</v>
      </c>
      <c r="GG30" t="e">
        <f>'All regions'!F774+"$F;@!{o"</f>
        <v>#VALUE!</v>
      </c>
      <c r="GH30" t="e">
        <f>'All regions'!G774+"$F;@!{p"</f>
        <v>#VALUE!</v>
      </c>
      <c r="GI30" t="e">
        <f>'All regions'!H774+"$F;@!{q"</f>
        <v>#VALUE!</v>
      </c>
      <c r="GJ30" t="e">
        <f>'All regions'!I774+"$F;@!{r"</f>
        <v>#VALUE!</v>
      </c>
      <c r="GK30" t="e">
        <f>'All regions'!A775+"$F;@!{s"</f>
        <v>#VALUE!</v>
      </c>
      <c r="GL30" t="e">
        <f>'All regions'!B775+"$F;@!{t"</f>
        <v>#VALUE!</v>
      </c>
      <c r="GM30" t="e">
        <f>'All regions'!C775+"$F;@!{u"</f>
        <v>#VALUE!</v>
      </c>
      <c r="GN30" t="e">
        <f>'All regions'!D775+"$F;@!{v"</f>
        <v>#VALUE!</v>
      </c>
      <c r="GO30" t="e">
        <f>'All regions'!E775+"$F;@!{w"</f>
        <v>#VALUE!</v>
      </c>
      <c r="GP30" t="e">
        <f>'All regions'!F775+"$F;@!{x"</f>
        <v>#VALUE!</v>
      </c>
      <c r="GQ30" t="e">
        <f>'All regions'!G775+"$F;@!{y"</f>
        <v>#VALUE!</v>
      </c>
      <c r="GR30" t="e">
        <f>'All regions'!H775+"$F;@!{z"</f>
        <v>#VALUE!</v>
      </c>
      <c r="GS30" t="e">
        <f>'All regions'!I775+"$F;@!{{"</f>
        <v>#VALUE!</v>
      </c>
      <c r="GT30" t="e">
        <f>'All regions'!A776+"$F;@!{|"</f>
        <v>#VALUE!</v>
      </c>
      <c r="GU30" t="e">
        <f>'All regions'!B776+"$F;@!{}"</f>
        <v>#VALUE!</v>
      </c>
      <c r="GV30" t="e">
        <f>'All regions'!C776+"$F;@!{~"</f>
        <v>#VALUE!</v>
      </c>
      <c r="GW30" t="e">
        <f>'All regions'!D776+"$F;@!|#"</f>
        <v>#VALUE!</v>
      </c>
      <c r="GX30" t="e">
        <f>'All regions'!E776+"$F;@!|$"</f>
        <v>#VALUE!</v>
      </c>
      <c r="GY30" t="e">
        <f>'All regions'!F776+"$F;@!|%"</f>
        <v>#VALUE!</v>
      </c>
      <c r="GZ30" t="e">
        <f>'All regions'!G776+"$F;@!|&amp;"</f>
        <v>#VALUE!</v>
      </c>
      <c r="HA30" t="e">
        <f>'All regions'!H776+"$F;@!|'"</f>
        <v>#VALUE!</v>
      </c>
      <c r="HB30" t="e">
        <f>'All regions'!I776+"$F;@!|("</f>
        <v>#VALUE!</v>
      </c>
      <c r="HC30" t="e">
        <f>'All regions'!A777+"$F;@!|)"</f>
        <v>#VALUE!</v>
      </c>
      <c r="HD30" t="e">
        <f>'All regions'!B777+"$F;@!|."</f>
        <v>#VALUE!</v>
      </c>
      <c r="HE30" t="e">
        <f>'All regions'!C777+"$F;@!|/"</f>
        <v>#VALUE!</v>
      </c>
      <c r="HF30" t="e">
        <f>'All regions'!D777+"$F;@!|0"</f>
        <v>#VALUE!</v>
      </c>
      <c r="HG30" t="e">
        <f>'All regions'!E777+"$F;@!|1"</f>
        <v>#VALUE!</v>
      </c>
      <c r="HH30" t="e">
        <f>'All regions'!F777+"$F;@!|2"</f>
        <v>#VALUE!</v>
      </c>
      <c r="HI30" t="e">
        <f>'All regions'!G777+"$F;@!|3"</f>
        <v>#VALUE!</v>
      </c>
      <c r="HJ30" t="e">
        <f>'All regions'!H777+"$F;@!|4"</f>
        <v>#VALUE!</v>
      </c>
      <c r="HK30" t="e">
        <f>'All regions'!I777+"$F;@!|5"</f>
        <v>#VALUE!</v>
      </c>
      <c r="HL30" t="e">
        <f>'All regions'!A778+"$F;@!|6"</f>
        <v>#VALUE!</v>
      </c>
      <c r="HM30" t="e">
        <f>'All regions'!B778+"$F;@!|7"</f>
        <v>#VALUE!</v>
      </c>
      <c r="HN30" t="e">
        <f>'All regions'!C778+"$F;@!|8"</f>
        <v>#VALUE!</v>
      </c>
      <c r="HO30" t="e">
        <f>'All regions'!D778+"$F;@!|9"</f>
        <v>#VALUE!</v>
      </c>
      <c r="HP30" t="e">
        <f>'All regions'!E778+"$F;@!|:"</f>
        <v>#VALUE!</v>
      </c>
      <c r="HQ30" t="e">
        <f>'All regions'!F778+"$F;@!|;"</f>
        <v>#VALUE!</v>
      </c>
      <c r="HR30" t="e">
        <f>'All regions'!G778+"$F;@!|&lt;"</f>
        <v>#VALUE!</v>
      </c>
      <c r="HS30" t="e">
        <f>'All regions'!H778+"$F;@!|="</f>
        <v>#VALUE!</v>
      </c>
      <c r="HT30" t="e">
        <f>'All regions'!I778+"$F;@!|&gt;"</f>
        <v>#VALUE!</v>
      </c>
      <c r="HU30" t="e">
        <f>'All regions'!A779+"$F;@!|?"</f>
        <v>#VALUE!</v>
      </c>
      <c r="HV30" t="e">
        <f>'All regions'!B779+"$F;@!|@"</f>
        <v>#VALUE!</v>
      </c>
      <c r="HW30" t="e">
        <f>'All regions'!C779+"$F;@!|A"</f>
        <v>#VALUE!</v>
      </c>
      <c r="HX30" t="e">
        <f>'All regions'!D779+"$F;@!|B"</f>
        <v>#VALUE!</v>
      </c>
      <c r="HY30" t="e">
        <f>'All regions'!E779+"$F;@!|C"</f>
        <v>#VALUE!</v>
      </c>
      <c r="HZ30" t="e">
        <f>'All regions'!F779+"$F;@!|D"</f>
        <v>#VALUE!</v>
      </c>
      <c r="IA30" t="e">
        <f>'All regions'!G779+"$F;@!|E"</f>
        <v>#VALUE!</v>
      </c>
      <c r="IB30" t="e">
        <f>'All regions'!H779+"$F;@!|F"</f>
        <v>#VALUE!</v>
      </c>
      <c r="IC30" t="e">
        <f>'All regions'!I779+"$F;@!|G"</f>
        <v>#VALUE!</v>
      </c>
      <c r="ID30" t="e">
        <f>'All regions'!A780+"$F;@!|H"</f>
        <v>#VALUE!</v>
      </c>
      <c r="IE30" t="e">
        <f>'All regions'!B780+"$F;@!|I"</f>
        <v>#VALUE!</v>
      </c>
      <c r="IF30" t="e">
        <f>'All regions'!C780+"$F;@!|J"</f>
        <v>#VALUE!</v>
      </c>
      <c r="IG30" t="e">
        <f>'All regions'!D780+"$F;@!|K"</f>
        <v>#VALUE!</v>
      </c>
      <c r="IH30" t="e">
        <f>'All regions'!E780+"$F;@!|L"</f>
        <v>#VALUE!</v>
      </c>
      <c r="II30" t="e">
        <f>'All regions'!F780+"$F;@!|M"</f>
        <v>#VALUE!</v>
      </c>
      <c r="IJ30" t="e">
        <f>'All regions'!G780+"$F;@!|N"</f>
        <v>#VALUE!</v>
      </c>
      <c r="IK30" t="e">
        <f>'All regions'!H780+"$F;@!|O"</f>
        <v>#VALUE!</v>
      </c>
      <c r="IL30" t="e">
        <f>'All regions'!I780+"$F;@!|P"</f>
        <v>#VALUE!</v>
      </c>
      <c r="IM30" t="e">
        <f>'All regions'!A781+"$F;@!|Q"</f>
        <v>#VALUE!</v>
      </c>
      <c r="IN30" t="e">
        <f>'All regions'!B781+"$F;@!|R"</f>
        <v>#VALUE!</v>
      </c>
      <c r="IO30" t="e">
        <f>'All regions'!C781+"$F;@!|S"</f>
        <v>#VALUE!</v>
      </c>
      <c r="IP30" t="e">
        <f>'All regions'!D781+"$F;@!|T"</f>
        <v>#VALUE!</v>
      </c>
      <c r="IQ30" t="e">
        <f>'All regions'!E781+"$F;@!|U"</f>
        <v>#VALUE!</v>
      </c>
      <c r="IR30" t="e">
        <f>'All regions'!F781+"$F;@!|V"</f>
        <v>#VALUE!</v>
      </c>
      <c r="IS30" t="e">
        <f>'All regions'!G781+"$F;@!|W"</f>
        <v>#VALUE!</v>
      </c>
      <c r="IT30" t="e">
        <f>'All regions'!H781+"$F;@!|X"</f>
        <v>#VALUE!</v>
      </c>
      <c r="IU30" t="e">
        <f>'All regions'!I781+"$F;@!|Y"</f>
        <v>#VALUE!</v>
      </c>
      <c r="IV30" t="e">
        <f>'All regions'!A782+"$F;@!|Z"</f>
        <v>#VALUE!</v>
      </c>
    </row>
    <row r="31" spans="6:256" x14ac:dyDescent="0.35">
      <c r="F31" t="e">
        <f>'All regions'!B782+"$F;@!|["</f>
        <v>#VALUE!</v>
      </c>
      <c r="G31" t="e">
        <f>'All regions'!C782+"$F;@!|\"</f>
        <v>#VALUE!</v>
      </c>
      <c r="H31" t="e">
        <f>'All regions'!D782+"$F;@!|]"</f>
        <v>#VALUE!</v>
      </c>
      <c r="I31" t="e">
        <f>'All regions'!E782+"$F;@!|^"</f>
        <v>#VALUE!</v>
      </c>
      <c r="J31" t="e">
        <f>'All regions'!F782+"$F;@!|_"</f>
        <v>#VALUE!</v>
      </c>
      <c r="K31" t="e">
        <f>'All regions'!G782+"$F;@!|`"</f>
        <v>#VALUE!</v>
      </c>
      <c r="L31" t="e">
        <f>'All regions'!H782+"$F;@!|a"</f>
        <v>#VALUE!</v>
      </c>
      <c r="M31" t="e">
        <f>'All regions'!I782+"$F;@!|b"</f>
        <v>#VALUE!</v>
      </c>
      <c r="N31" t="e">
        <f>'All regions'!A783+"$F;@!|c"</f>
        <v>#VALUE!</v>
      </c>
      <c r="O31" t="e">
        <f>'All regions'!B783+"$F;@!|d"</f>
        <v>#VALUE!</v>
      </c>
      <c r="P31" t="e">
        <f>'All regions'!C783+"$F;@!|e"</f>
        <v>#VALUE!</v>
      </c>
      <c r="Q31" t="e">
        <f>'All regions'!D783+"$F;@!|f"</f>
        <v>#VALUE!</v>
      </c>
      <c r="R31" t="e">
        <f>'All regions'!E783+"$F;@!|g"</f>
        <v>#VALUE!</v>
      </c>
      <c r="S31" t="e">
        <f>'All regions'!F783+"$F;@!|h"</f>
        <v>#VALUE!</v>
      </c>
      <c r="T31" t="e">
        <f>'All regions'!G783+"$F;@!|i"</f>
        <v>#VALUE!</v>
      </c>
      <c r="U31" t="e">
        <f>'All regions'!H783+"$F;@!|j"</f>
        <v>#VALUE!</v>
      </c>
      <c r="V31" t="e">
        <f>'All regions'!I783+"$F;@!|k"</f>
        <v>#VALUE!</v>
      </c>
      <c r="W31" t="e">
        <f>'All regions'!A784+"$F;@!|l"</f>
        <v>#VALUE!</v>
      </c>
      <c r="X31" t="e">
        <f>'All regions'!B784+"$F;@!|m"</f>
        <v>#VALUE!</v>
      </c>
      <c r="Y31" t="e">
        <f>'All regions'!C784+"$F;@!|n"</f>
        <v>#VALUE!</v>
      </c>
      <c r="Z31" t="e">
        <f>'All regions'!D784+"$F;@!|o"</f>
        <v>#VALUE!</v>
      </c>
      <c r="AA31" t="e">
        <f>'All regions'!E784+"$F;@!|p"</f>
        <v>#VALUE!</v>
      </c>
      <c r="AB31" t="e">
        <f>'All regions'!F784+"$F;@!|q"</f>
        <v>#VALUE!</v>
      </c>
      <c r="AC31" t="e">
        <f>'All regions'!G784+"$F;@!|r"</f>
        <v>#VALUE!</v>
      </c>
      <c r="AD31" t="e">
        <f>'All regions'!H784+"$F;@!|s"</f>
        <v>#VALUE!</v>
      </c>
      <c r="AE31" t="e">
        <f>'All regions'!I784+"$F;@!|t"</f>
        <v>#VALUE!</v>
      </c>
      <c r="AF31" t="e">
        <f>'All regions'!A785+"$F;@!|u"</f>
        <v>#VALUE!</v>
      </c>
      <c r="AG31" t="e">
        <f>'All regions'!B785+"$F;@!|v"</f>
        <v>#VALUE!</v>
      </c>
      <c r="AH31" t="e">
        <f>'All regions'!C785+"$F;@!|w"</f>
        <v>#VALUE!</v>
      </c>
      <c r="AI31" t="e">
        <f>'All regions'!D785+"$F;@!|x"</f>
        <v>#VALUE!</v>
      </c>
      <c r="AJ31" t="e">
        <f>'All regions'!E785+"$F;@!|y"</f>
        <v>#VALUE!</v>
      </c>
      <c r="AK31" t="e">
        <f>'All regions'!F785+"$F;@!|z"</f>
        <v>#VALUE!</v>
      </c>
      <c r="AL31" t="e">
        <f>'All regions'!G785+"$F;@!|{"</f>
        <v>#VALUE!</v>
      </c>
      <c r="AM31" t="e">
        <f>'All regions'!H785+"$F;@!||"</f>
        <v>#VALUE!</v>
      </c>
      <c r="AN31" t="e">
        <f>'All regions'!I785+"$F;@!|}"</f>
        <v>#VALUE!</v>
      </c>
      <c r="AO31" t="e">
        <f>'All regions'!A786+"$F;@!|~"</f>
        <v>#VALUE!</v>
      </c>
      <c r="AP31" t="e">
        <f>'All regions'!B786+"$F;@!}#"</f>
        <v>#VALUE!</v>
      </c>
      <c r="AQ31" t="e">
        <f>'All regions'!C786+"$F;@!}$"</f>
        <v>#VALUE!</v>
      </c>
      <c r="AR31" t="e">
        <f>'All regions'!D786+"$F;@!}%"</f>
        <v>#VALUE!</v>
      </c>
      <c r="AS31" t="e">
        <f>'All regions'!E786+"$F;@!}&amp;"</f>
        <v>#VALUE!</v>
      </c>
      <c r="AT31" t="e">
        <f>'All regions'!F786+"$F;@!}'"</f>
        <v>#VALUE!</v>
      </c>
      <c r="AU31" t="e">
        <f>'All regions'!G786+"$F;@!}("</f>
        <v>#VALUE!</v>
      </c>
      <c r="AV31" t="e">
        <f>'All regions'!H786+"$F;@!})"</f>
        <v>#VALUE!</v>
      </c>
      <c r="AW31" t="e">
        <f>'All regions'!I786+"$F;@!}."</f>
        <v>#VALUE!</v>
      </c>
      <c r="AX31" t="e">
        <f>'All regions'!A787+"$F;@!}/"</f>
        <v>#VALUE!</v>
      </c>
      <c r="AY31" t="e">
        <f>'All regions'!B787+"$F;@!}0"</f>
        <v>#VALUE!</v>
      </c>
      <c r="AZ31" t="e">
        <f>'All regions'!C787+"$F;@!}1"</f>
        <v>#VALUE!</v>
      </c>
      <c r="BA31" t="e">
        <f>'All regions'!D787+"$F;@!}2"</f>
        <v>#VALUE!</v>
      </c>
      <c r="BB31" t="e">
        <f>'All regions'!E787+"$F;@!}3"</f>
        <v>#VALUE!</v>
      </c>
      <c r="BC31" t="e">
        <f>'All regions'!F787+"$F;@!}4"</f>
        <v>#VALUE!</v>
      </c>
      <c r="BD31" t="e">
        <f>'All regions'!G787+"$F;@!}5"</f>
        <v>#VALUE!</v>
      </c>
      <c r="BE31" t="e">
        <f>'All regions'!H787+"$F;@!}6"</f>
        <v>#VALUE!</v>
      </c>
      <c r="BF31" t="e">
        <f>'All regions'!I787+"$F;@!}7"</f>
        <v>#VALUE!</v>
      </c>
      <c r="BG31" t="e">
        <f>'All regions'!A788+"$F;@!}8"</f>
        <v>#VALUE!</v>
      </c>
      <c r="BH31" t="e">
        <f>'All regions'!B788+"$F;@!}9"</f>
        <v>#VALUE!</v>
      </c>
      <c r="BI31" t="e">
        <f>'All regions'!C788+"$F;@!}:"</f>
        <v>#VALUE!</v>
      </c>
      <c r="BJ31" t="e">
        <f>'All regions'!D788+"$F;@!};"</f>
        <v>#VALUE!</v>
      </c>
      <c r="BK31" t="e">
        <f>'All regions'!E788+"$F;@!}&lt;"</f>
        <v>#VALUE!</v>
      </c>
      <c r="BL31" t="e">
        <f>'All regions'!F788+"$F;@!}="</f>
        <v>#VALUE!</v>
      </c>
      <c r="BM31" t="e">
        <f>'All regions'!G788+"$F;@!}&gt;"</f>
        <v>#VALUE!</v>
      </c>
      <c r="BN31" t="e">
        <f>'All regions'!H788+"$F;@!}?"</f>
        <v>#VALUE!</v>
      </c>
      <c r="BO31" t="e">
        <f>'All regions'!I788+"$F;@!}@"</f>
        <v>#VALUE!</v>
      </c>
      <c r="BP31" t="e">
        <f>'All regions'!A789+"$F;@!}A"</f>
        <v>#VALUE!</v>
      </c>
      <c r="BQ31" t="e">
        <f>'All regions'!B789+"$F;@!}B"</f>
        <v>#VALUE!</v>
      </c>
      <c r="BR31" t="e">
        <f>'All regions'!C789+"$F;@!}C"</f>
        <v>#VALUE!</v>
      </c>
      <c r="BS31" t="e">
        <f>'All regions'!D789+"$F;@!}D"</f>
        <v>#VALUE!</v>
      </c>
      <c r="BT31" t="e">
        <f>'All regions'!E789+"$F;@!}E"</f>
        <v>#VALUE!</v>
      </c>
      <c r="BU31" t="e">
        <f>'All regions'!F789+"$F;@!}F"</f>
        <v>#VALUE!</v>
      </c>
      <c r="BV31" t="e">
        <f>'All regions'!G789+"$F;@!}G"</f>
        <v>#VALUE!</v>
      </c>
      <c r="BW31" t="e">
        <f>'All regions'!H789+"$F;@!}H"</f>
        <v>#VALUE!</v>
      </c>
      <c r="BX31" t="e">
        <f>'All regions'!I789+"$F;@!}I"</f>
        <v>#VALUE!</v>
      </c>
      <c r="BY31" t="e">
        <f>'All regions'!A790+"$F;@!}J"</f>
        <v>#VALUE!</v>
      </c>
      <c r="BZ31" t="e">
        <f>'All regions'!B790+"$F;@!}K"</f>
        <v>#VALUE!</v>
      </c>
      <c r="CA31" t="e">
        <f>'All regions'!C790+"$F;@!}L"</f>
        <v>#VALUE!</v>
      </c>
      <c r="CB31" t="e">
        <f>'All regions'!D790+"$F;@!}M"</f>
        <v>#VALUE!</v>
      </c>
      <c r="CC31" t="e">
        <f>'All regions'!E790+"$F;@!}N"</f>
        <v>#VALUE!</v>
      </c>
      <c r="CD31" t="e">
        <f>'All regions'!F790+"$F;@!}O"</f>
        <v>#VALUE!</v>
      </c>
      <c r="CE31" t="e">
        <f>'All regions'!G790+"$F;@!}P"</f>
        <v>#VALUE!</v>
      </c>
      <c r="CF31" t="e">
        <f>'All regions'!H790+"$F;@!}Q"</f>
        <v>#VALUE!</v>
      </c>
      <c r="CG31" t="e">
        <f>'All regions'!I790+"$F;@!}R"</f>
        <v>#VALUE!</v>
      </c>
      <c r="CH31" t="e">
        <f>'All regions'!A791+"$F;@!}S"</f>
        <v>#VALUE!</v>
      </c>
      <c r="CI31" t="e">
        <f>'All regions'!B791+"$F;@!}T"</f>
        <v>#VALUE!</v>
      </c>
      <c r="CJ31" t="e">
        <f>'All regions'!C791+"$F;@!}U"</f>
        <v>#VALUE!</v>
      </c>
      <c r="CK31" t="e">
        <f>'All regions'!D791+"$F;@!}V"</f>
        <v>#VALUE!</v>
      </c>
      <c r="CL31" t="e">
        <f>'All regions'!E791+"$F;@!}W"</f>
        <v>#VALUE!</v>
      </c>
      <c r="CM31" t="e">
        <f>'All regions'!F791+"$F;@!}X"</f>
        <v>#VALUE!</v>
      </c>
      <c r="CN31" t="e">
        <f>'All regions'!G791+"$F;@!}Y"</f>
        <v>#VALUE!</v>
      </c>
      <c r="CO31" t="e">
        <f>'All regions'!H791+"$F;@!}Z"</f>
        <v>#VALUE!</v>
      </c>
      <c r="CP31" t="e">
        <f>'All regions'!I791+"$F;@!}["</f>
        <v>#VALUE!</v>
      </c>
      <c r="CQ31" t="e">
        <f>'All regions'!A792+"$F;@!}\"</f>
        <v>#VALUE!</v>
      </c>
      <c r="CR31" t="e">
        <f>'All regions'!B792+"$F;@!}]"</f>
        <v>#VALUE!</v>
      </c>
      <c r="CS31" t="e">
        <f>'All regions'!C792+"$F;@!}^"</f>
        <v>#VALUE!</v>
      </c>
      <c r="CT31" t="e">
        <f>'All regions'!D792+"$F;@!}_"</f>
        <v>#VALUE!</v>
      </c>
      <c r="CU31" t="e">
        <f>'All regions'!E792+"$F;@!}`"</f>
        <v>#VALUE!</v>
      </c>
      <c r="CV31" t="e">
        <f>'All regions'!F792+"$F;@!}a"</f>
        <v>#VALUE!</v>
      </c>
      <c r="CW31" t="e">
        <f>'All regions'!G792+"$F;@!}b"</f>
        <v>#VALUE!</v>
      </c>
      <c r="CX31" t="e">
        <f>'All regions'!H792+"$F;@!}c"</f>
        <v>#VALUE!</v>
      </c>
      <c r="CY31" t="e">
        <f>'All regions'!I792+"$F;@!}d"</f>
        <v>#VALUE!</v>
      </c>
      <c r="CZ31" t="e">
        <f>'All regions'!A793+"$F;@!}e"</f>
        <v>#VALUE!</v>
      </c>
      <c r="DA31" t="e">
        <f>'All regions'!B793+"$F;@!}f"</f>
        <v>#VALUE!</v>
      </c>
      <c r="DB31" t="e">
        <f>'All regions'!C793+"$F;@!}g"</f>
        <v>#VALUE!</v>
      </c>
      <c r="DC31" t="e">
        <f>'All regions'!D793+"$F;@!}h"</f>
        <v>#VALUE!</v>
      </c>
      <c r="DD31" t="e">
        <f>'All regions'!E793+"$F;@!}i"</f>
        <v>#VALUE!</v>
      </c>
      <c r="DE31" t="e">
        <f>'All regions'!F793+"$F;@!}j"</f>
        <v>#VALUE!</v>
      </c>
      <c r="DF31" t="e">
        <f>'All regions'!G793+"$F;@!}k"</f>
        <v>#VALUE!</v>
      </c>
      <c r="DG31" t="e">
        <f>'All regions'!H793+"$F;@!}l"</f>
        <v>#VALUE!</v>
      </c>
      <c r="DH31" t="e">
        <f>'All regions'!I793+"$F;@!}m"</f>
        <v>#VALUE!</v>
      </c>
      <c r="DI31" t="e">
        <f>'All regions'!A794+"$F;@!}n"</f>
        <v>#VALUE!</v>
      </c>
      <c r="DJ31" t="e">
        <f>'All regions'!B794+"$F;@!}o"</f>
        <v>#VALUE!</v>
      </c>
      <c r="DK31" t="e">
        <f>'All regions'!C794+"$F;@!}p"</f>
        <v>#VALUE!</v>
      </c>
      <c r="DL31" t="e">
        <f>'All regions'!D794+"$F;@!}q"</f>
        <v>#VALUE!</v>
      </c>
      <c r="DM31" t="e">
        <f>'All regions'!E794+"$F;@!}r"</f>
        <v>#VALUE!</v>
      </c>
      <c r="DN31" t="e">
        <f>'All regions'!F794+"$F;@!}s"</f>
        <v>#VALUE!</v>
      </c>
      <c r="DO31" t="e">
        <f>'All regions'!G794+"$F;@!}t"</f>
        <v>#VALUE!</v>
      </c>
      <c r="DP31" t="e">
        <f>'All regions'!H794+"$F;@!}u"</f>
        <v>#VALUE!</v>
      </c>
      <c r="DQ31" t="e">
        <f>'All regions'!I794+"$F;@!}v"</f>
        <v>#VALUE!</v>
      </c>
      <c r="DR31" t="e">
        <f>'All regions'!A795+"$F;@!}w"</f>
        <v>#VALUE!</v>
      </c>
      <c r="DS31" t="e">
        <f>'All regions'!B795+"$F;@!}x"</f>
        <v>#VALUE!</v>
      </c>
      <c r="DT31" t="e">
        <f>'All regions'!C795+"$F;@!}y"</f>
        <v>#VALUE!</v>
      </c>
      <c r="DU31" t="e">
        <f>'All regions'!D795+"$F;@!}z"</f>
        <v>#VALUE!</v>
      </c>
      <c r="DV31" t="e">
        <f>'All regions'!E795+"$F;@!}{"</f>
        <v>#VALUE!</v>
      </c>
      <c r="DW31" t="e">
        <f>'All regions'!F795+"$F;@!}|"</f>
        <v>#VALUE!</v>
      </c>
      <c r="DX31" t="e">
        <f>'All regions'!G795+"$F;@!}}"</f>
        <v>#VALUE!</v>
      </c>
      <c r="DY31" t="e">
        <f>'All regions'!H795+"$F;@!}~"</f>
        <v>#VALUE!</v>
      </c>
      <c r="DZ31" t="e">
        <f>'All regions'!I795+"$F;@!~#"</f>
        <v>#VALUE!</v>
      </c>
      <c r="EA31" t="e">
        <f>'All regions'!A796+"$F;@!~$"</f>
        <v>#VALUE!</v>
      </c>
      <c r="EB31" t="e">
        <f>'All regions'!B796+"$F;@!~%"</f>
        <v>#VALUE!</v>
      </c>
      <c r="EC31" t="e">
        <f>'All regions'!C796+"$F;@!~&amp;"</f>
        <v>#VALUE!</v>
      </c>
      <c r="ED31" t="e">
        <f>'All regions'!D796+"$F;@!~'"</f>
        <v>#VALUE!</v>
      </c>
      <c r="EE31" t="e">
        <f>'All regions'!E796+"$F;@!~("</f>
        <v>#VALUE!</v>
      </c>
      <c r="EF31" t="e">
        <f>'All regions'!F796+"$F;@!~)"</f>
        <v>#VALUE!</v>
      </c>
      <c r="EG31" t="e">
        <f>'All regions'!G796+"$F;@!~."</f>
        <v>#VALUE!</v>
      </c>
      <c r="EH31" t="e">
        <f>'All regions'!H796+"$F;@!~/"</f>
        <v>#VALUE!</v>
      </c>
      <c r="EI31" t="e">
        <f>'All regions'!I796+"$F;@!~0"</f>
        <v>#VALUE!</v>
      </c>
      <c r="EJ31" t="e">
        <f>'All regions'!A797+"$F;@!~1"</f>
        <v>#VALUE!</v>
      </c>
      <c r="EK31" t="e">
        <f>'All regions'!B797+"$F;@!~2"</f>
        <v>#VALUE!</v>
      </c>
      <c r="EL31" t="e">
        <f>'All regions'!C797+"$F;@!~3"</f>
        <v>#VALUE!</v>
      </c>
      <c r="EM31" t="e">
        <f>'All regions'!D797+"$F;@!~4"</f>
        <v>#VALUE!</v>
      </c>
      <c r="EN31" t="e">
        <f>'All regions'!E797+"$F;@!~5"</f>
        <v>#VALUE!</v>
      </c>
      <c r="EO31" t="e">
        <f>'All regions'!F797+"$F;@!~6"</f>
        <v>#VALUE!</v>
      </c>
      <c r="EP31" t="e">
        <f>'All regions'!G797+"$F;@!~7"</f>
        <v>#VALUE!</v>
      </c>
      <c r="EQ31" t="e">
        <f>'All regions'!H797+"$F;@!~8"</f>
        <v>#VALUE!</v>
      </c>
      <c r="ER31" t="e">
        <f>'All regions'!I797+"$F;@!~9"</f>
        <v>#VALUE!</v>
      </c>
      <c r="ES31" t="e">
        <f>'All regions'!A799+"$F;@!~:"</f>
        <v>#VALUE!</v>
      </c>
      <c r="ET31" t="e">
        <f>'All regions'!B799+"$F;@!~;"</f>
        <v>#VALUE!</v>
      </c>
      <c r="EU31" t="e">
        <f>'All regions'!C799+"$F;@!~&lt;"</f>
        <v>#VALUE!</v>
      </c>
      <c r="EV31" t="e">
        <f>'All regions'!D799+"$F;@!~="</f>
        <v>#VALUE!</v>
      </c>
      <c r="EW31" t="e">
        <f>'All regions'!E799+"$F;@!~&gt;"</f>
        <v>#VALUE!</v>
      </c>
      <c r="EX31" t="e">
        <f>'All regions'!G799+"$F;@!~?"</f>
        <v>#VALUE!</v>
      </c>
      <c r="EY31" t="e">
        <f>'All regions'!H799+"$F;@!~@"</f>
        <v>#VALUE!</v>
      </c>
      <c r="EZ31" t="e">
        <f>'All regions'!I799+"$F;@!~A"</f>
        <v>#VALUE!</v>
      </c>
      <c r="FA31" t="e">
        <f>'All regions'!A801+"$F;@!~B"</f>
        <v>#VALUE!</v>
      </c>
      <c r="FB31" t="e">
        <f>'All regions'!B801+"$F;@!~C"</f>
        <v>#VALUE!</v>
      </c>
      <c r="FC31" t="e">
        <f>'All regions'!C801+"$F;@!~D"</f>
        <v>#VALUE!</v>
      </c>
      <c r="FD31" t="e">
        <f>'All regions'!D801+"$F;@!~E"</f>
        <v>#VALUE!</v>
      </c>
      <c r="FE31" t="e">
        <f>'All regions'!E801+"$F;@!~F"</f>
        <v>#VALUE!</v>
      </c>
      <c r="FF31" t="e">
        <f>'All regions'!G801+"$F;@!~G"</f>
        <v>#VALUE!</v>
      </c>
      <c r="FG31" t="e">
        <f>'All regions'!H801+"$F;@!~H"</f>
        <v>#VALUE!</v>
      </c>
      <c r="FH31" t="e">
        <f>'All regions'!I801+"$F;@!~I"</f>
        <v>#VALUE!</v>
      </c>
      <c r="FI31" t="e">
        <f>'All regions'!A802+"$F;@!~J"</f>
        <v>#VALUE!</v>
      </c>
      <c r="FJ31" t="e">
        <f>'All regions'!B802+"$F;@!~K"</f>
        <v>#VALUE!</v>
      </c>
      <c r="FK31" t="e">
        <f>'All regions'!C802+"$F;@!~L"</f>
        <v>#VALUE!</v>
      </c>
      <c r="FL31" t="e">
        <f>'All regions'!D802+"$F;@!~M"</f>
        <v>#VALUE!</v>
      </c>
      <c r="FM31" t="e">
        <f>'All regions'!E802+"$F;@!~N"</f>
        <v>#VALUE!</v>
      </c>
      <c r="FN31" t="e">
        <f>'All regions'!G802+"$F;@!~O"</f>
        <v>#VALUE!</v>
      </c>
      <c r="FO31" t="e">
        <f>'All regions'!H802+"$F;@!~P"</f>
        <v>#VALUE!</v>
      </c>
      <c r="FP31" t="e">
        <f>'All regions'!I802+"$F;@!~Q"</f>
        <v>#VALUE!</v>
      </c>
      <c r="FQ31" t="e">
        <f>'All regions'!A803+"$F;@!~R"</f>
        <v>#VALUE!</v>
      </c>
      <c r="FR31" t="e">
        <f>'All regions'!B803+"$F;@!~S"</f>
        <v>#VALUE!</v>
      </c>
      <c r="FS31" t="e">
        <f>'All regions'!C803+"$F;@!~T"</f>
        <v>#VALUE!</v>
      </c>
      <c r="FT31" t="e">
        <f>'All regions'!D803+"$F;@!~U"</f>
        <v>#VALUE!</v>
      </c>
      <c r="FU31" t="e">
        <f>'All regions'!E803+"$F;@!~V"</f>
        <v>#VALUE!</v>
      </c>
      <c r="FV31" t="e">
        <f>'All regions'!G803+"$F;@!~W"</f>
        <v>#VALUE!</v>
      </c>
      <c r="FW31" t="e">
        <f>'All regions'!H803+"$F;@!~X"</f>
        <v>#VALUE!</v>
      </c>
      <c r="FX31" t="e">
        <f>'All regions'!I803+"$F;@!~Y"</f>
        <v>#VALUE!</v>
      </c>
      <c r="FY31" t="e">
        <f>'All regions'!A804+"$F;@!~Z"</f>
        <v>#VALUE!</v>
      </c>
      <c r="FZ31" t="e">
        <f>'All regions'!B804+"$F;@!~["</f>
        <v>#VALUE!</v>
      </c>
      <c r="GA31" t="e">
        <f>'All regions'!C804+"$F;@!~\"</f>
        <v>#VALUE!</v>
      </c>
      <c r="GB31" t="e">
        <f>'All regions'!D804+"$F;@!~]"</f>
        <v>#VALUE!</v>
      </c>
      <c r="GC31" t="e">
        <f>'All regions'!E804+"$F;@!~^"</f>
        <v>#VALUE!</v>
      </c>
      <c r="GD31" t="e">
        <f>'All regions'!F804+"$F;@!~_"</f>
        <v>#VALUE!</v>
      </c>
      <c r="GE31" t="e">
        <f>'All regions'!G804+"$F;@!~`"</f>
        <v>#VALUE!</v>
      </c>
      <c r="GF31" t="e">
        <f>'All regions'!H804+"$F;@!~a"</f>
        <v>#VALUE!</v>
      </c>
      <c r="GG31" t="e">
        <f>'All regions'!I804+"$F;@!~b"</f>
        <v>#VALUE!</v>
      </c>
      <c r="GH31" t="e">
        <f>'All regions'!A805+"$F;@!~c"</f>
        <v>#VALUE!</v>
      </c>
      <c r="GI31" t="e">
        <f>'All regions'!B805+"$F;@!~d"</f>
        <v>#VALUE!</v>
      </c>
      <c r="GJ31" t="e">
        <f>'All regions'!C805+"$F;@!~e"</f>
        <v>#VALUE!</v>
      </c>
      <c r="GK31" t="e">
        <f>'All regions'!D805+"$F;@!~f"</f>
        <v>#VALUE!</v>
      </c>
      <c r="GL31" t="e">
        <f>'All regions'!E805+"$F;@!~g"</f>
        <v>#VALUE!</v>
      </c>
      <c r="GM31" t="e">
        <f>'All regions'!F805+"$F;@!~h"</f>
        <v>#VALUE!</v>
      </c>
      <c r="GN31" t="e">
        <f>'All regions'!G805+"$F;@!~i"</f>
        <v>#VALUE!</v>
      </c>
      <c r="GO31" t="e">
        <f>'All regions'!H805+"$F;@!~j"</f>
        <v>#VALUE!</v>
      </c>
      <c r="GP31" t="e">
        <f>'All regions'!I805+"$F;@!~k"</f>
        <v>#VALUE!</v>
      </c>
      <c r="GQ31" t="e">
        <f>'All regions'!A806+"$F;@!~l"</f>
        <v>#VALUE!</v>
      </c>
      <c r="GR31" t="e">
        <f>'All regions'!B806+"$F;@!~m"</f>
        <v>#VALUE!</v>
      </c>
      <c r="GS31" t="e">
        <f>'All regions'!C806+"$F;@!~n"</f>
        <v>#VALUE!</v>
      </c>
      <c r="GT31" t="e">
        <f>'All regions'!D806+"$F;@!~o"</f>
        <v>#VALUE!</v>
      </c>
      <c r="GU31" t="e">
        <f>'All regions'!E806+"$F;@!~p"</f>
        <v>#VALUE!</v>
      </c>
      <c r="GV31" t="e">
        <f>'All regions'!F806+"$F;@!~q"</f>
        <v>#VALUE!</v>
      </c>
      <c r="GW31" t="e">
        <f>'All regions'!G806+"$F;@!~r"</f>
        <v>#VALUE!</v>
      </c>
      <c r="GX31" t="e">
        <f>'All regions'!H806+"$F;@!~s"</f>
        <v>#VALUE!</v>
      </c>
      <c r="GY31" t="e">
        <f>'All regions'!I806+"$F;@!~t"</f>
        <v>#VALUE!</v>
      </c>
      <c r="GZ31" t="e">
        <f>'All regions'!A807+"$F;@!~u"</f>
        <v>#VALUE!</v>
      </c>
      <c r="HA31" t="e">
        <f>'All regions'!B807+"$F;@!~v"</f>
        <v>#VALUE!</v>
      </c>
      <c r="HB31" t="e">
        <f>'All regions'!C807+"$F;@!~w"</f>
        <v>#VALUE!</v>
      </c>
      <c r="HC31" t="e">
        <f>'All regions'!D807+"$F;@!~x"</f>
        <v>#VALUE!</v>
      </c>
      <c r="HD31" t="e">
        <f>'All regions'!E807+"$F;@!~y"</f>
        <v>#VALUE!</v>
      </c>
      <c r="HE31" t="e">
        <f>'All regions'!F807+"$F;@!~z"</f>
        <v>#VALUE!</v>
      </c>
      <c r="HF31" t="e">
        <f>'All regions'!G807+"$F;@!~{"</f>
        <v>#VALUE!</v>
      </c>
      <c r="HG31" t="e">
        <f>'All regions'!H807+"$F;@!~|"</f>
        <v>#VALUE!</v>
      </c>
      <c r="HH31" t="e">
        <f>'All regions'!I807+"$F;@!~}"</f>
        <v>#VALUE!</v>
      </c>
      <c r="HI31" t="e">
        <f>'All regions'!A808+"$F;@!~~"</f>
        <v>#VALUE!</v>
      </c>
      <c r="HJ31" t="e">
        <f>'All regions'!B808+"$F;@!$##"</f>
        <v>#VALUE!</v>
      </c>
      <c r="HK31" t="e">
        <f>'All regions'!C808+"$F;@!$#$"</f>
        <v>#VALUE!</v>
      </c>
      <c r="HL31" t="e">
        <f>'All regions'!D808+"$F;@!$#%"</f>
        <v>#VALUE!</v>
      </c>
      <c r="HM31" t="e">
        <f>'All regions'!E808+"$F;@!$#&amp;"</f>
        <v>#VALUE!</v>
      </c>
      <c r="HN31" t="e">
        <f>'All regions'!F808+"$F;@!$#'"</f>
        <v>#VALUE!</v>
      </c>
      <c r="HO31" t="e">
        <f>'All regions'!G808+"$F;@!$#("</f>
        <v>#VALUE!</v>
      </c>
      <c r="HP31" t="e">
        <f>'All regions'!H808+"$F;@!$#)"</f>
        <v>#VALUE!</v>
      </c>
      <c r="HQ31" t="e">
        <f>'All regions'!I808+"$F;@!$#."</f>
        <v>#VALUE!</v>
      </c>
      <c r="HR31" t="e">
        <f>'All regions'!A809+"$F;@!$#/"</f>
        <v>#VALUE!</v>
      </c>
      <c r="HS31" t="e">
        <f>'All regions'!B809+"$F;@!$#0"</f>
        <v>#VALUE!</v>
      </c>
      <c r="HT31" t="e">
        <f>'All regions'!C809+"$F;@!$#1"</f>
        <v>#VALUE!</v>
      </c>
      <c r="HU31" t="e">
        <f>'All regions'!D809+"$F;@!$#2"</f>
        <v>#VALUE!</v>
      </c>
      <c r="HV31" t="e">
        <f>'All regions'!E809+"$F;@!$#3"</f>
        <v>#VALUE!</v>
      </c>
      <c r="HW31" t="e">
        <f>'All regions'!F809+"$F;@!$#4"</f>
        <v>#VALUE!</v>
      </c>
      <c r="HX31" t="e">
        <f>'All regions'!G809+"$F;@!$#5"</f>
        <v>#VALUE!</v>
      </c>
      <c r="HY31" t="e">
        <f>'All regions'!H809+"$F;@!$#6"</f>
        <v>#VALUE!</v>
      </c>
      <c r="HZ31" t="e">
        <f>'All regions'!I809+"$F;@!$#7"</f>
        <v>#VALUE!</v>
      </c>
      <c r="IA31" t="e">
        <f>'All regions'!A810+"$F;@!$#8"</f>
        <v>#VALUE!</v>
      </c>
      <c r="IB31" t="e">
        <f>'All regions'!B810+"$F;@!$#9"</f>
        <v>#VALUE!</v>
      </c>
      <c r="IC31" t="e">
        <f>'All regions'!C810+"$F;@!$#:"</f>
        <v>#VALUE!</v>
      </c>
      <c r="ID31" t="e">
        <f>'All regions'!D810+"$F;@!$#;"</f>
        <v>#VALUE!</v>
      </c>
      <c r="IE31" t="e">
        <f>'All regions'!E810+"$F;@!$#&lt;"</f>
        <v>#VALUE!</v>
      </c>
      <c r="IF31" t="e">
        <f>'All regions'!F810+"$F;@!$#="</f>
        <v>#VALUE!</v>
      </c>
      <c r="IG31" t="e">
        <f>'All regions'!G810+"$F;@!$#&gt;"</f>
        <v>#VALUE!</v>
      </c>
      <c r="IH31" t="e">
        <f>'All regions'!H810+"$F;@!$#?"</f>
        <v>#VALUE!</v>
      </c>
      <c r="II31" t="e">
        <f>'All regions'!I810+"$F;@!$#@"</f>
        <v>#VALUE!</v>
      </c>
      <c r="IJ31" t="e">
        <f>'All regions'!A811+"$F;@!$#A"</f>
        <v>#VALUE!</v>
      </c>
      <c r="IK31" t="e">
        <f>'All regions'!B811+"$F;@!$#B"</f>
        <v>#VALUE!</v>
      </c>
      <c r="IL31" t="e">
        <f>'All regions'!C811+"$F;@!$#C"</f>
        <v>#VALUE!</v>
      </c>
      <c r="IM31" t="e">
        <f>'All regions'!D811+"$F;@!$#D"</f>
        <v>#VALUE!</v>
      </c>
      <c r="IN31" t="e">
        <f>'All regions'!E811+"$F;@!$#E"</f>
        <v>#VALUE!</v>
      </c>
      <c r="IO31" t="e">
        <f>'All regions'!F811+"$F;@!$#F"</f>
        <v>#VALUE!</v>
      </c>
      <c r="IP31" t="e">
        <f>'All regions'!G811+"$F;@!$#G"</f>
        <v>#VALUE!</v>
      </c>
      <c r="IQ31" t="e">
        <f>'All regions'!H811+"$F;@!$#H"</f>
        <v>#VALUE!</v>
      </c>
      <c r="IR31" t="e">
        <f>'All regions'!I811+"$F;@!$#I"</f>
        <v>#VALUE!</v>
      </c>
      <c r="IS31" t="e">
        <f>'All regions'!A812+"$F;@!$#J"</f>
        <v>#VALUE!</v>
      </c>
      <c r="IT31" t="e">
        <f>'All regions'!B812+"$F;@!$#K"</f>
        <v>#VALUE!</v>
      </c>
      <c r="IU31" t="e">
        <f>'All regions'!C812+"$F;@!$#L"</f>
        <v>#VALUE!</v>
      </c>
      <c r="IV31" t="e">
        <f>'All regions'!D812+"$F;@!$#M"</f>
        <v>#VALUE!</v>
      </c>
    </row>
    <row r="32" spans="6:256" x14ac:dyDescent="0.35">
      <c r="F32" t="e">
        <f>'All regions'!E812+"$F;@!$#N"</f>
        <v>#VALUE!</v>
      </c>
      <c r="G32" t="e">
        <f>'All regions'!F812+"$F;@!$#O"</f>
        <v>#VALUE!</v>
      </c>
      <c r="H32" t="e">
        <f>'All regions'!G812+"$F;@!$#P"</f>
        <v>#VALUE!</v>
      </c>
      <c r="I32" t="e">
        <f>'All regions'!H812+"$F;@!$#Q"</f>
        <v>#VALUE!</v>
      </c>
      <c r="J32" t="e">
        <f>'All regions'!I812+"$F;@!$#R"</f>
        <v>#VALUE!</v>
      </c>
      <c r="K32" t="e">
        <f>'All regions'!A813+"$F;@!$#S"</f>
        <v>#VALUE!</v>
      </c>
      <c r="L32" t="e">
        <f>'All regions'!B813+"$F;@!$#T"</f>
        <v>#VALUE!</v>
      </c>
      <c r="M32" t="e">
        <f>'All regions'!C813+"$F;@!$#U"</f>
        <v>#VALUE!</v>
      </c>
      <c r="N32" t="e">
        <f>'All regions'!D813+"$F;@!$#V"</f>
        <v>#VALUE!</v>
      </c>
      <c r="O32" t="e">
        <f>'All regions'!E813+"$F;@!$#W"</f>
        <v>#VALUE!</v>
      </c>
      <c r="P32" t="e">
        <f>'All regions'!F813+"$F;@!$#X"</f>
        <v>#VALUE!</v>
      </c>
      <c r="Q32" t="e">
        <f>'All regions'!G813+"$F;@!$#Y"</f>
        <v>#VALUE!</v>
      </c>
      <c r="R32" t="e">
        <f>'All regions'!H813+"$F;@!$#Z"</f>
        <v>#VALUE!</v>
      </c>
      <c r="S32" t="e">
        <f>'All regions'!I813+"$F;@!$#["</f>
        <v>#VALUE!</v>
      </c>
      <c r="T32" t="e">
        <f>'All regions'!A814+"$F;@!$#\"</f>
        <v>#VALUE!</v>
      </c>
      <c r="U32" t="e">
        <f>'All regions'!B814+"$F;@!$#]"</f>
        <v>#VALUE!</v>
      </c>
      <c r="V32" t="e">
        <f>'All regions'!C814+"$F;@!$#^"</f>
        <v>#VALUE!</v>
      </c>
      <c r="W32" t="e">
        <f>'All regions'!D814+"$F;@!$#_"</f>
        <v>#VALUE!</v>
      </c>
      <c r="X32" t="e">
        <f>'All regions'!E814+"$F;@!$#`"</f>
        <v>#VALUE!</v>
      </c>
      <c r="Y32" t="e">
        <f>'All regions'!F814+"$F;@!$#a"</f>
        <v>#VALUE!</v>
      </c>
      <c r="Z32" t="e">
        <f>'All regions'!G814+"$F;@!$#b"</f>
        <v>#VALUE!</v>
      </c>
      <c r="AA32" t="e">
        <f>'All regions'!H814+"$F;@!$#c"</f>
        <v>#VALUE!</v>
      </c>
      <c r="AB32" t="e">
        <f>'All regions'!I814+"$F;@!$#d"</f>
        <v>#VALUE!</v>
      </c>
      <c r="AC32" t="e">
        <f>'All regions'!A815+"$F;@!$#e"</f>
        <v>#VALUE!</v>
      </c>
      <c r="AD32" t="e">
        <f>'All regions'!B815+"$F;@!$#f"</f>
        <v>#VALUE!</v>
      </c>
      <c r="AE32" t="e">
        <f>'All regions'!C815+"$F;@!$#g"</f>
        <v>#VALUE!</v>
      </c>
      <c r="AF32" t="e">
        <f>'All regions'!D815+"$F;@!$#h"</f>
        <v>#VALUE!</v>
      </c>
      <c r="AG32" t="e">
        <f>'All regions'!E815+"$F;@!$#i"</f>
        <v>#VALUE!</v>
      </c>
      <c r="AH32" t="e">
        <f>'All regions'!F815+"$F;@!$#j"</f>
        <v>#VALUE!</v>
      </c>
      <c r="AI32" t="e">
        <f>'All regions'!G815+"$F;@!$#k"</f>
        <v>#VALUE!</v>
      </c>
      <c r="AJ32" t="e">
        <f>'All regions'!H815+"$F;@!$#l"</f>
        <v>#VALUE!</v>
      </c>
      <c r="AK32" t="e">
        <f>'All regions'!I815+"$F;@!$#m"</f>
        <v>#VALUE!</v>
      </c>
      <c r="AL32" t="e">
        <f>'All regions'!A816+"$F;@!$#n"</f>
        <v>#VALUE!</v>
      </c>
      <c r="AM32" t="e">
        <f>'All regions'!B816+"$F;@!$#o"</f>
        <v>#VALUE!</v>
      </c>
      <c r="AN32" t="e">
        <f>'All regions'!C816+"$F;@!$#p"</f>
        <v>#VALUE!</v>
      </c>
      <c r="AO32" t="e">
        <f>'All regions'!D816+"$F;@!$#q"</f>
        <v>#VALUE!</v>
      </c>
      <c r="AP32" t="e">
        <f>'All regions'!E816+"$F;@!$#r"</f>
        <v>#VALUE!</v>
      </c>
      <c r="AQ32" t="e">
        <f>'All regions'!G816+"$F;@!$#s"</f>
        <v>#VALUE!</v>
      </c>
      <c r="AR32" t="e">
        <f>'All regions'!H816+"$F;@!$#t"</f>
        <v>#VALUE!</v>
      </c>
      <c r="AS32" t="e">
        <f>'All regions'!I816+"$F;@!$#u"</f>
        <v>#VALUE!</v>
      </c>
      <c r="AT32" t="e">
        <f>'All regions'!A817+"$F;@!$#v"</f>
        <v>#VALUE!</v>
      </c>
      <c r="AU32" t="e">
        <f>'All regions'!B817+"$F;@!$#w"</f>
        <v>#VALUE!</v>
      </c>
      <c r="AV32" t="e">
        <f>'All regions'!C817+"$F;@!$#x"</f>
        <v>#VALUE!</v>
      </c>
      <c r="AW32" t="e">
        <f>'All regions'!D817+"$F;@!$#y"</f>
        <v>#VALUE!</v>
      </c>
      <c r="AX32" t="e">
        <f>'All regions'!E817+"$F;@!$#z"</f>
        <v>#VALUE!</v>
      </c>
      <c r="AY32" t="e">
        <f>'All regions'!G817+"$F;@!$#{"</f>
        <v>#VALUE!</v>
      </c>
      <c r="AZ32" t="e">
        <f>'All regions'!H817+"$F;@!$#|"</f>
        <v>#VALUE!</v>
      </c>
      <c r="BA32" t="e">
        <f>'All regions'!I817+"$F;@!$#}"</f>
        <v>#VALUE!</v>
      </c>
      <c r="BB32" t="e">
        <f>'All regions'!A818+"$F;@!$#~"</f>
        <v>#VALUE!</v>
      </c>
      <c r="BC32" t="e">
        <f>'All regions'!B818+"$F;@!$$#"</f>
        <v>#VALUE!</v>
      </c>
      <c r="BD32" t="e">
        <f>'All regions'!C818+"$F;@!$$$"</f>
        <v>#VALUE!</v>
      </c>
      <c r="BE32" t="e">
        <f>'All regions'!D818+"$F;@!$$%"</f>
        <v>#VALUE!</v>
      </c>
      <c r="BF32" t="e">
        <f>'All regions'!E818+"$F;@!$$&amp;"</f>
        <v>#VALUE!</v>
      </c>
      <c r="BG32" t="e">
        <f>'All regions'!F818+"$F;@!$$'"</f>
        <v>#VALUE!</v>
      </c>
      <c r="BH32" t="e">
        <f>'All regions'!G818+"$F;@!$$("</f>
        <v>#VALUE!</v>
      </c>
      <c r="BI32" t="e">
        <f>'All regions'!H818+"$F;@!$$)"</f>
        <v>#VALUE!</v>
      </c>
      <c r="BJ32" t="e">
        <f>'All regions'!I818+"$F;@!$$."</f>
        <v>#VALUE!</v>
      </c>
      <c r="BK32" t="e">
        <f>'All regions'!A819+"$F;@!$$/"</f>
        <v>#VALUE!</v>
      </c>
      <c r="BL32" t="e">
        <f>'All regions'!B819+"$F;@!$$0"</f>
        <v>#VALUE!</v>
      </c>
      <c r="BM32" t="e">
        <f>'All regions'!C819+"$F;@!$$1"</f>
        <v>#VALUE!</v>
      </c>
      <c r="BN32" t="e">
        <f>'All regions'!D819+"$F;@!$$2"</f>
        <v>#VALUE!</v>
      </c>
      <c r="BO32" t="e">
        <f>'All regions'!E819+"$F;@!$$3"</f>
        <v>#VALUE!</v>
      </c>
      <c r="BP32" t="e">
        <f>'All regions'!F819+"$F;@!$$4"</f>
        <v>#VALUE!</v>
      </c>
      <c r="BQ32" t="e">
        <f>'All regions'!G819+"$F;@!$$5"</f>
        <v>#VALUE!</v>
      </c>
      <c r="BR32" t="e">
        <f>'All regions'!H819+"$F;@!$$6"</f>
        <v>#VALUE!</v>
      </c>
      <c r="BS32" t="e">
        <f>'All regions'!I819+"$F;@!$$7"</f>
        <v>#VALUE!</v>
      </c>
      <c r="BT32" t="e">
        <f>'All regions'!A820+"$F;@!$$8"</f>
        <v>#VALUE!</v>
      </c>
      <c r="BU32" t="e">
        <f>'All regions'!B820+"$F;@!$$9"</f>
        <v>#VALUE!</v>
      </c>
      <c r="BV32" t="e">
        <f>'All regions'!C820+"$F;@!$$:"</f>
        <v>#VALUE!</v>
      </c>
      <c r="BW32" t="e">
        <f>'All regions'!D820+"$F;@!$$;"</f>
        <v>#VALUE!</v>
      </c>
      <c r="BX32" t="e">
        <f>'All regions'!E820+"$F;@!$$&lt;"</f>
        <v>#VALUE!</v>
      </c>
      <c r="BY32" t="e">
        <f>'All regions'!F820+"$F;@!$$="</f>
        <v>#VALUE!</v>
      </c>
      <c r="BZ32" t="e">
        <f>'All regions'!G820+"$F;@!$$&gt;"</f>
        <v>#VALUE!</v>
      </c>
      <c r="CA32" t="e">
        <f>'All regions'!H820+"$F;@!$$?"</f>
        <v>#VALUE!</v>
      </c>
      <c r="CB32" t="e">
        <f>'All regions'!I820+"$F;@!$$@"</f>
        <v>#VALUE!</v>
      </c>
      <c r="CC32" t="e">
        <f>'All regions'!A821+"$F;@!$$A"</f>
        <v>#VALUE!</v>
      </c>
      <c r="CD32" t="e">
        <f>'All regions'!B821+"$F;@!$$B"</f>
        <v>#VALUE!</v>
      </c>
      <c r="CE32" t="e">
        <f>'All regions'!C821+"$F;@!$$C"</f>
        <v>#VALUE!</v>
      </c>
      <c r="CF32" t="e">
        <f>'All regions'!D821+"$F;@!$$D"</f>
        <v>#VALUE!</v>
      </c>
      <c r="CG32" t="e">
        <f>'All regions'!E821+"$F;@!$$E"</f>
        <v>#VALUE!</v>
      </c>
      <c r="CH32" t="e">
        <f>'All regions'!F821+"$F;@!$$F"</f>
        <v>#VALUE!</v>
      </c>
      <c r="CI32" t="e">
        <f>'All regions'!G821+"$F;@!$$G"</f>
        <v>#VALUE!</v>
      </c>
      <c r="CJ32" t="e">
        <f>'All regions'!H821+"$F;@!$$H"</f>
        <v>#VALUE!</v>
      </c>
      <c r="CK32" t="e">
        <f>'All regions'!I821+"$F;@!$$I"</f>
        <v>#VALUE!</v>
      </c>
      <c r="CL32" t="e">
        <f>'All regions'!A822+"$F;@!$$J"</f>
        <v>#VALUE!</v>
      </c>
      <c r="CM32" t="e">
        <f>'All regions'!B822+"$F;@!$$K"</f>
        <v>#VALUE!</v>
      </c>
      <c r="CN32" t="e">
        <f>'All regions'!C822+"$F;@!$$L"</f>
        <v>#VALUE!</v>
      </c>
      <c r="CO32" t="e">
        <f>'All regions'!D822+"$F;@!$$M"</f>
        <v>#VALUE!</v>
      </c>
      <c r="CP32" t="e">
        <f>'All regions'!E822+"$F;@!$$N"</f>
        <v>#VALUE!</v>
      </c>
      <c r="CQ32" t="e">
        <f>'All regions'!F822+"$F;@!$$O"</f>
        <v>#VALUE!</v>
      </c>
      <c r="CR32" t="e">
        <f>'All regions'!G822+"$F;@!$$P"</f>
        <v>#VALUE!</v>
      </c>
      <c r="CS32" t="e">
        <f>'All regions'!H822+"$F;@!$$Q"</f>
        <v>#VALUE!</v>
      </c>
      <c r="CT32" t="e">
        <f>'All regions'!I822+"$F;@!$$R"</f>
        <v>#VALUE!</v>
      </c>
      <c r="CU32" t="e">
        <f>'All regions'!A823+"$F;@!$$S"</f>
        <v>#VALUE!</v>
      </c>
      <c r="CV32" t="e">
        <f>'All regions'!B823+"$F;@!$$T"</f>
        <v>#VALUE!</v>
      </c>
      <c r="CW32" t="e">
        <f>'All regions'!C823+"$F;@!$$U"</f>
        <v>#VALUE!</v>
      </c>
      <c r="CX32" t="e">
        <f>'All regions'!D823+"$F;@!$$V"</f>
        <v>#VALUE!</v>
      </c>
      <c r="CY32" t="e">
        <f>'All regions'!E823+"$F;@!$$W"</f>
        <v>#VALUE!</v>
      </c>
      <c r="CZ32" t="e">
        <f>'All regions'!F823+"$F;@!$$X"</f>
        <v>#VALUE!</v>
      </c>
      <c r="DA32" t="e">
        <f>'All regions'!G823+"$F;@!$$Y"</f>
        <v>#VALUE!</v>
      </c>
      <c r="DB32" t="e">
        <f>'All regions'!H823+"$F;@!$$Z"</f>
        <v>#VALUE!</v>
      </c>
      <c r="DC32" t="e">
        <f>'All regions'!I823+"$F;@!$$["</f>
        <v>#VALUE!</v>
      </c>
      <c r="DD32" t="e">
        <f>'All regions'!A824+"$F;@!$$\"</f>
        <v>#VALUE!</v>
      </c>
      <c r="DE32" t="e">
        <f>'All regions'!B824+"$F;@!$$]"</f>
        <v>#VALUE!</v>
      </c>
      <c r="DF32" t="e">
        <f>'All regions'!C824+"$F;@!$$^"</f>
        <v>#VALUE!</v>
      </c>
      <c r="DG32" t="e">
        <f>'All regions'!D824+"$F;@!$$_"</f>
        <v>#VALUE!</v>
      </c>
      <c r="DH32" t="e">
        <f>'All regions'!E824+"$F;@!$$`"</f>
        <v>#VALUE!</v>
      </c>
      <c r="DI32" t="e">
        <f>'All regions'!F824+"$F;@!$$a"</f>
        <v>#VALUE!</v>
      </c>
      <c r="DJ32" t="e">
        <f>'All regions'!G824+"$F;@!$$b"</f>
        <v>#VALUE!</v>
      </c>
      <c r="DK32" t="e">
        <f>'All regions'!H824+"$F;@!$$c"</f>
        <v>#VALUE!</v>
      </c>
      <c r="DL32" t="e">
        <f>'All regions'!I824+"$F;@!$$d"</f>
        <v>#VALUE!</v>
      </c>
      <c r="DM32" t="e">
        <f>'All regions'!A825+"$F;@!$$e"</f>
        <v>#VALUE!</v>
      </c>
      <c r="DN32" t="e">
        <f>'All regions'!B825+"$F;@!$$f"</f>
        <v>#VALUE!</v>
      </c>
      <c r="DO32" t="e">
        <f>'All regions'!C825+"$F;@!$$g"</f>
        <v>#VALUE!</v>
      </c>
      <c r="DP32" t="e">
        <f>'All regions'!D825+"$F;@!$$h"</f>
        <v>#VALUE!</v>
      </c>
      <c r="DQ32" t="e">
        <f>'All regions'!E825+"$F;@!$$i"</f>
        <v>#VALUE!</v>
      </c>
      <c r="DR32" t="e">
        <f>'All regions'!F825+"$F;@!$$j"</f>
        <v>#VALUE!</v>
      </c>
      <c r="DS32" t="e">
        <f>'All regions'!G825+"$F;@!$$k"</f>
        <v>#VALUE!</v>
      </c>
      <c r="DT32" t="e">
        <f>'All regions'!H825+"$F;@!$$l"</f>
        <v>#VALUE!</v>
      </c>
      <c r="DU32" t="e">
        <f>'All regions'!I825+"$F;@!$$m"</f>
        <v>#VALUE!</v>
      </c>
      <c r="DV32" t="e">
        <f>'All regions'!A826+"$F;@!$$n"</f>
        <v>#VALUE!</v>
      </c>
      <c r="DW32" t="e">
        <f>'All regions'!B826+"$F;@!$$o"</f>
        <v>#VALUE!</v>
      </c>
      <c r="DX32" t="e">
        <f>'All regions'!C826+"$F;@!$$p"</f>
        <v>#VALUE!</v>
      </c>
      <c r="DY32" t="e">
        <f>'All regions'!D826+"$F;@!$$q"</f>
        <v>#VALUE!</v>
      </c>
      <c r="DZ32" t="e">
        <f>'All regions'!E826+"$F;@!$$r"</f>
        <v>#VALUE!</v>
      </c>
      <c r="EA32" t="e">
        <f>'All regions'!F826+"$F;@!$$s"</f>
        <v>#VALUE!</v>
      </c>
      <c r="EB32" t="e">
        <f>'All regions'!G826+"$F;@!$$t"</f>
        <v>#VALUE!</v>
      </c>
      <c r="EC32" t="e">
        <f>'All regions'!H826+"$F;@!$$u"</f>
        <v>#VALUE!</v>
      </c>
      <c r="ED32" t="e">
        <f>'All regions'!I826+"$F;@!$$v"</f>
        <v>#VALUE!</v>
      </c>
      <c r="EE32" t="e">
        <f>'All regions'!A827+"$F;@!$$w"</f>
        <v>#VALUE!</v>
      </c>
      <c r="EF32" t="e">
        <f>'All regions'!B827+"$F;@!$$x"</f>
        <v>#VALUE!</v>
      </c>
      <c r="EG32" t="e">
        <f>'All regions'!C827+"$F;@!$$y"</f>
        <v>#VALUE!</v>
      </c>
      <c r="EH32" t="e">
        <f>'All regions'!D827+"$F;@!$$z"</f>
        <v>#VALUE!</v>
      </c>
      <c r="EI32" t="e">
        <f>'All regions'!E827+"$F;@!$${"</f>
        <v>#VALUE!</v>
      </c>
      <c r="EJ32" t="e">
        <f>'All regions'!F827+"$F;@!$$|"</f>
        <v>#VALUE!</v>
      </c>
      <c r="EK32" t="e">
        <f>'All regions'!G827+"$F;@!$$}"</f>
        <v>#VALUE!</v>
      </c>
      <c r="EL32" t="e">
        <f>'All regions'!H827+"$F;@!$$~"</f>
        <v>#VALUE!</v>
      </c>
      <c r="EM32" t="e">
        <f>'All regions'!I827+"$F;@!$%#"</f>
        <v>#VALUE!</v>
      </c>
      <c r="EN32" t="e">
        <f>'All regions'!A828+"$F;@!$%$"</f>
        <v>#VALUE!</v>
      </c>
      <c r="EO32" t="e">
        <f>'All regions'!B828+"$F;@!$%%"</f>
        <v>#VALUE!</v>
      </c>
      <c r="EP32" t="e">
        <f>'All regions'!C828+"$F;@!$%&amp;"</f>
        <v>#VALUE!</v>
      </c>
      <c r="EQ32" t="e">
        <f>'All regions'!D828+"$F;@!$%'"</f>
        <v>#VALUE!</v>
      </c>
      <c r="ER32" t="e">
        <f>'All regions'!E828+"$F;@!$%("</f>
        <v>#VALUE!</v>
      </c>
      <c r="ES32" t="e">
        <f>'All regions'!F828+"$F;@!$%)"</f>
        <v>#VALUE!</v>
      </c>
      <c r="ET32" t="e">
        <f>'All regions'!G828+"$F;@!$%."</f>
        <v>#VALUE!</v>
      </c>
      <c r="EU32" t="e">
        <f>'All regions'!H828+"$F;@!$%/"</f>
        <v>#VALUE!</v>
      </c>
      <c r="EV32" t="e">
        <f>'All regions'!I828+"$F;@!$%0"</f>
        <v>#VALUE!</v>
      </c>
      <c r="EW32" t="e">
        <f>'All regions'!A829+"$F;@!$%1"</f>
        <v>#VALUE!</v>
      </c>
      <c r="EX32" t="e">
        <f>'All regions'!B829+"$F;@!$%2"</f>
        <v>#VALUE!</v>
      </c>
      <c r="EY32" t="e">
        <f>'All regions'!C829+"$F;@!$%3"</f>
        <v>#VALUE!</v>
      </c>
      <c r="EZ32" t="e">
        <f>'All regions'!D829+"$F;@!$%4"</f>
        <v>#VALUE!</v>
      </c>
      <c r="FA32" t="e">
        <f>'All regions'!E829+"$F;@!$%5"</f>
        <v>#VALUE!</v>
      </c>
      <c r="FB32" t="e">
        <f>'All regions'!F829+"$F;@!$%6"</f>
        <v>#VALUE!</v>
      </c>
      <c r="FC32" t="e">
        <f>'All regions'!G829+"$F;@!$%7"</f>
        <v>#VALUE!</v>
      </c>
      <c r="FD32" t="e">
        <f>'All regions'!H829+"$F;@!$%8"</f>
        <v>#VALUE!</v>
      </c>
      <c r="FE32" t="e">
        <f>'All regions'!I829+"$F;@!$%9"</f>
        <v>#VALUE!</v>
      </c>
      <c r="FF32" t="e">
        <f>'All regions'!A830+"$F;@!$%:"</f>
        <v>#VALUE!</v>
      </c>
      <c r="FG32" t="e">
        <f>'All regions'!B830+"$F;@!$%;"</f>
        <v>#VALUE!</v>
      </c>
      <c r="FH32" t="e">
        <f>'All regions'!C830+"$F;@!$%&lt;"</f>
        <v>#VALUE!</v>
      </c>
      <c r="FI32" t="e">
        <f>'All regions'!D830+"$F;@!$%="</f>
        <v>#VALUE!</v>
      </c>
      <c r="FJ32" t="e">
        <f>'All regions'!E830+"$F;@!$%&gt;"</f>
        <v>#VALUE!</v>
      </c>
      <c r="FK32" t="e">
        <f>'All regions'!F830+"$F;@!$%?"</f>
        <v>#VALUE!</v>
      </c>
      <c r="FL32" t="e">
        <f>'All regions'!G830+"$F;@!$%@"</f>
        <v>#VALUE!</v>
      </c>
      <c r="FM32" t="e">
        <f>'All regions'!H830+"$F;@!$%A"</f>
        <v>#VALUE!</v>
      </c>
      <c r="FN32" t="e">
        <f>'All regions'!I830+"$F;@!$%B"</f>
        <v>#VALUE!</v>
      </c>
      <c r="FO32" t="e">
        <f>'All regions'!A831+"$F;@!$%C"</f>
        <v>#VALUE!</v>
      </c>
      <c r="FP32" t="e">
        <f>'All regions'!B831+"$F;@!$%D"</f>
        <v>#VALUE!</v>
      </c>
      <c r="FQ32" t="e">
        <f>'All regions'!C831+"$F;@!$%E"</f>
        <v>#VALUE!</v>
      </c>
      <c r="FR32" t="e">
        <f>'All regions'!D831+"$F;@!$%F"</f>
        <v>#VALUE!</v>
      </c>
      <c r="FS32" t="e">
        <f>'All regions'!E831+"$F;@!$%G"</f>
        <v>#VALUE!</v>
      </c>
      <c r="FT32" t="e">
        <f>'All regions'!F831+"$F;@!$%H"</f>
        <v>#VALUE!</v>
      </c>
      <c r="FU32" t="e">
        <f>'All regions'!G831+"$F;@!$%I"</f>
        <v>#VALUE!</v>
      </c>
      <c r="FV32" t="e">
        <f>'All regions'!H831+"$F;@!$%J"</f>
        <v>#VALUE!</v>
      </c>
      <c r="FW32" t="e">
        <f>'All regions'!I831+"$F;@!$%K"</f>
        <v>#VALUE!</v>
      </c>
      <c r="FX32" t="e">
        <f>'All regions'!A832+"$F;@!$%L"</f>
        <v>#VALUE!</v>
      </c>
      <c r="FY32" t="e">
        <f>'All regions'!B832+"$F;@!$%M"</f>
        <v>#VALUE!</v>
      </c>
      <c r="FZ32" t="e">
        <f>'All regions'!C832+"$F;@!$%N"</f>
        <v>#VALUE!</v>
      </c>
      <c r="GA32" t="e">
        <f>'All regions'!D832+"$F;@!$%O"</f>
        <v>#VALUE!</v>
      </c>
      <c r="GB32" t="e">
        <f>'All regions'!E832+"$F;@!$%P"</f>
        <v>#VALUE!</v>
      </c>
      <c r="GC32" t="e">
        <f>'All regions'!F832+"$F;@!$%Q"</f>
        <v>#VALUE!</v>
      </c>
      <c r="GD32" t="e">
        <f>'All regions'!G832+"$F;@!$%R"</f>
        <v>#VALUE!</v>
      </c>
      <c r="GE32" t="e">
        <f>'All regions'!H832+"$F;@!$%S"</f>
        <v>#VALUE!</v>
      </c>
      <c r="GF32" t="e">
        <f>'All regions'!I832+"$F;@!$%T"</f>
        <v>#VALUE!</v>
      </c>
      <c r="GG32" t="e">
        <f>'All regions'!A833+"$F;@!$%U"</f>
        <v>#VALUE!</v>
      </c>
      <c r="GH32" t="e">
        <f>'All regions'!B833+"$F;@!$%V"</f>
        <v>#VALUE!</v>
      </c>
      <c r="GI32" t="e">
        <f>'All regions'!C833+"$F;@!$%W"</f>
        <v>#VALUE!</v>
      </c>
      <c r="GJ32" t="e">
        <f>'All regions'!D833+"$F;@!$%X"</f>
        <v>#VALUE!</v>
      </c>
      <c r="GK32" t="e">
        <f>'All regions'!E833+"$F;@!$%Y"</f>
        <v>#VALUE!</v>
      </c>
      <c r="GL32" t="e">
        <f>'All regions'!F833+"$F;@!$%Z"</f>
        <v>#VALUE!</v>
      </c>
      <c r="GM32" t="e">
        <f>'All regions'!G833+"$F;@!$%["</f>
        <v>#VALUE!</v>
      </c>
      <c r="GN32" t="e">
        <f>'All regions'!H833+"$F;@!$%\"</f>
        <v>#VALUE!</v>
      </c>
      <c r="GO32" t="e">
        <f>'All regions'!I833+"$F;@!$%]"</f>
        <v>#VALUE!</v>
      </c>
      <c r="GP32" t="e">
        <f>'All regions'!A834+"$F;@!$%^"</f>
        <v>#VALUE!</v>
      </c>
      <c r="GQ32" t="e">
        <f>'All regions'!B834+"$F;@!$%_"</f>
        <v>#VALUE!</v>
      </c>
      <c r="GR32" t="e">
        <f>'All regions'!C834+"$F;@!$%`"</f>
        <v>#VALUE!</v>
      </c>
      <c r="GS32" t="e">
        <f>'All regions'!D834+"$F;@!$%a"</f>
        <v>#VALUE!</v>
      </c>
      <c r="GT32" t="e">
        <f>'All regions'!E834+"$F;@!$%b"</f>
        <v>#VALUE!</v>
      </c>
      <c r="GU32" t="e">
        <f>'All regions'!F834+"$F;@!$%c"</f>
        <v>#VALUE!</v>
      </c>
      <c r="GV32" t="e">
        <f>'All regions'!G834+"$F;@!$%d"</f>
        <v>#VALUE!</v>
      </c>
      <c r="GW32" t="e">
        <f>'All regions'!H834+"$F;@!$%e"</f>
        <v>#VALUE!</v>
      </c>
      <c r="GX32" t="e">
        <f>'All regions'!I834+"$F;@!$%f"</f>
        <v>#VALUE!</v>
      </c>
      <c r="GY32" t="e">
        <f>'All regions'!A835+"$F;@!$%g"</f>
        <v>#VALUE!</v>
      </c>
      <c r="GZ32" t="e">
        <f>'All regions'!B835+"$F;@!$%h"</f>
        <v>#VALUE!</v>
      </c>
      <c r="HA32" t="e">
        <f>'All regions'!C835+"$F;@!$%i"</f>
        <v>#VALUE!</v>
      </c>
      <c r="HB32" t="e">
        <f>'All regions'!D835+"$F;@!$%j"</f>
        <v>#VALUE!</v>
      </c>
      <c r="HC32" t="e">
        <f>'All regions'!E835+"$F;@!$%k"</f>
        <v>#VALUE!</v>
      </c>
      <c r="HD32" t="e">
        <f>'All regions'!F835+"$F;@!$%l"</f>
        <v>#VALUE!</v>
      </c>
      <c r="HE32" t="e">
        <f>'All regions'!G835+"$F;@!$%m"</f>
        <v>#VALUE!</v>
      </c>
      <c r="HF32" t="e">
        <f>'All regions'!H835+"$F;@!$%n"</f>
        <v>#VALUE!</v>
      </c>
      <c r="HG32" t="e">
        <f>'All regions'!I835+"$F;@!$%o"</f>
        <v>#VALUE!</v>
      </c>
      <c r="HH32" t="e">
        <f>'All regions'!A836+"$F;@!$%p"</f>
        <v>#VALUE!</v>
      </c>
      <c r="HI32" t="e">
        <f>'All regions'!B836+"$F;@!$%q"</f>
        <v>#VALUE!</v>
      </c>
      <c r="HJ32" t="e">
        <f>'All regions'!C836+"$F;@!$%r"</f>
        <v>#VALUE!</v>
      </c>
      <c r="HK32" t="e">
        <f>'All regions'!D836+"$F;@!$%s"</f>
        <v>#VALUE!</v>
      </c>
      <c r="HL32" t="e">
        <f>'All regions'!E836+"$F;@!$%t"</f>
        <v>#VALUE!</v>
      </c>
      <c r="HM32" t="e">
        <f>'All regions'!F836+"$F;@!$%u"</f>
        <v>#VALUE!</v>
      </c>
      <c r="HN32" t="e">
        <f>'All regions'!G836+"$F;@!$%v"</f>
        <v>#VALUE!</v>
      </c>
      <c r="HO32" t="e">
        <f>'All regions'!H836+"$F;@!$%w"</f>
        <v>#VALUE!</v>
      </c>
      <c r="HP32" t="e">
        <f>'All regions'!I836+"$F;@!$%x"</f>
        <v>#VALUE!</v>
      </c>
      <c r="HQ32" t="e">
        <f>'All regions'!A837+"$F;@!$%y"</f>
        <v>#VALUE!</v>
      </c>
      <c r="HR32" t="e">
        <f>'All regions'!B837+"$F;@!$%z"</f>
        <v>#VALUE!</v>
      </c>
      <c r="HS32" t="e">
        <f>'All regions'!C837+"$F;@!$%{"</f>
        <v>#VALUE!</v>
      </c>
      <c r="HT32" t="e">
        <f>'All regions'!D837+"$F;@!$%|"</f>
        <v>#VALUE!</v>
      </c>
      <c r="HU32" t="e">
        <f>'All regions'!E837+"$F;@!$%}"</f>
        <v>#VALUE!</v>
      </c>
      <c r="HV32" t="e">
        <f>'All regions'!F837+"$F;@!$%~"</f>
        <v>#VALUE!</v>
      </c>
      <c r="HW32" t="e">
        <f>'All regions'!G837+"$F;@!$&amp;#"</f>
        <v>#VALUE!</v>
      </c>
      <c r="HX32" t="e">
        <f>'All regions'!H837+"$F;@!$&amp;$"</f>
        <v>#VALUE!</v>
      </c>
      <c r="HY32" t="e">
        <f>'All regions'!I837+"$F;@!$&amp;%"</f>
        <v>#VALUE!</v>
      </c>
      <c r="HZ32" t="e">
        <f>'All regions'!A838+"$F;@!$&amp;&amp;"</f>
        <v>#VALUE!</v>
      </c>
      <c r="IA32" t="e">
        <f>'All regions'!B838+"$F;@!$&amp;'"</f>
        <v>#VALUE!</v>
      </c>
      <c r="IB32" t="e">
        <f>'All regions'!C838+"$F;@!$&amp;("</f>
        <v>#VALUE!</v>
      </c>
      <c r="IC32" t="e">
        <f>'All regions'!D838+"$F;@!$&amp;)"</f>
        <v>#VALUE!</v>
      </c>
      <c r="ID32" t="e">
        <f>'All regions'!E838+"$F;@!$&amp;."</f>
        <v>#VALUE!</v>
      </c>
      <c r="IE32" t="e">
        <f>'All regions'!F838+"$F;@!$&amp;/"</f>
        <v>#VALUE!</v>
      </c>
      <c r="IF32" t="e">
        <f>'All regions'!G838+"$F;@!$&amp;0"</f>
        <v>#VALUE!</v>
      </c>
      <c r="IG32" t="e">
        <f>'All regions'!H838+"$F;@!$&amp;1"</f>
        <v>#VALUE!</v>
      </c>
      <c r="IH32" t="e">
        <f>'All regions'!I838+"$F;@!$&amp;2"</f>
        <v>#VALUE!</v>
      </c>
      <c r="II32" t="e">
        <f>'All regions'!A839+"$F;@!$&amp;3"</f>
        <v>#VALUE!</v>
      </c>
      <c r="IJ32" t="e">
        <f>'All regions'!B839+"$F;@!$&amp;4"</f>
        <v>#VALUE!</v>
      </c>
      <c r="IK32" t="e">
        <f>'All regions'!C839+"$F;@!$&amp;5"</f>
        <v>#VALUE!</v>
      </c>
      <c r="IL32" t="e">
        <f>'All regions'!D839+"$F;@!$&amp;6"</f>
        <v>#VALUE!</v>
      </c>
      <c r="IM32" t="e">
        <f>'All regions'!E839+"$F;@!$&amp;7"</f>
        <v>#VALUE!</v>
      </c>
      <c r="IN32" t="e">
        <f>'All regions'!F839+"$F;@!$&amp;8"</f>
        <v>#VALUE!</v>
      </c>
      <c r="IO32" t="e">
        <f>'All regions'!G839+"$F;@!$&amp;9"</f>
        <v>#VALUE!</v>
      </c>
      <c r="IP32" t="e">
        <f>'All regions'!H839+"$F;@!$&amp;:"</f>
        <v>#VALUE!</v>
      </c>
      <c r="IQ32" t="e">
        <f>'All regions'!I839+"$F;@!$&amp;;"</f>
        <v>#VALUE!</v>
      </c>
      <c r="IR32" t="e">
        <f>'All regions'!A840+"$F;@!$&amp;&lt;"</f>
        <v>#VALUE!</v>
      </c>
      <c r="IS32" t="e">
        <f>'All regions'!B840+"$F;@!$&amp;="</f>
        <v>#VALUE!</v>
      </c>
      <c r="IT32" t="e">
        <f>'All regions'!C840+"$F;@!$&amp;&gt;"</f>
        <v>#VALUE!</v>
      </c>
      <c r="IU32" t="e">
        <f>'All regions'!D840+"$F;@!$&amp;?"</f>
        <v>#VALUE!</v>
      </c>
      <c r="IV32" t="e">
        <f>'All regions'!E840+"$F;@!$&amp;@"</f>
        <v>#VALUE!</v>
      </c>
    </row>
    <row r="33" spans="6:256" x14ac:dyDescent="0.35">
      <c r="F33" t="e">
        <f>'All regions'!F840+"$F;@!$&amp;A"</f>
        <v>#VALUE!</v>
      </c>
      <c r="G33" t="e">
        <f>'All regions'!G840+"$F;@!$&amp;B"</f>
        <v>#VALUE!</v>
      </c>
      <c r="H33" t="e">
        <f>'All regions'!H840+"$F;@!$&amp;C"</f>
        <v>#VALUE!</v>
      </c>
      <c r="I33" t="e">
        <f>'All regions'!I840+"$F;@!$&amp;D"</f>
        <v>#VALUE!</v>
      </c>
      <c r="J33" t="e">
        <f>'All regions'!A841+"$F;@!$&amp;E"</f>
        <v>#VALUE!</v>
      </c>
      <c r="K33" t="e">
        <f>'All regions'!B841+"$F;@!$&amp;F"</f>
        <v>#VALUE!</v>
      </c>
      <c r="L33" t="e">
        <f>'All regions'!C841+"$F;@!$&amp;G"</f>
        <v>#VALUE!</v>
      </c>
      <c r="M33" t="e">
        <f>'All regions'!D841+"$F;@!$&amp;H"</f>
        <v>#VALUE!</v>
      </c>
      <c r="N33" t="e">
        <f>'All regions'!E841+"$F;@!$&amp;I"</f>
        <v>#VALUE!</v>
      </c>
      <c r="O33" t="e">
        <f>'All regions'!F841+"$F;@!$&amp;J"</f>
        <v>#VALUE!</v>
      </c>
      <c r="P33" t="e">
        <f>'All regions'!G841+"$F;@!$&amp;K"</f>
        <v>#VALUE!</v>
      </c>
      <c r="Q33" t="e">
        <f>'All regions'!H841+"$F;@!$&amp;L"</f>
        <v>#VALUE!</v>
      </c>
      <c r="R33" t="e">
        <f>'All regions'!I841+"$F;@!$&amp;M"</f>
        <v>#VALUE!</v>
      </c>
      <c r="S33" t="e">
        <f>'All regions'!A842+"$F;@!$&amp;N"</f>
        <v>#VALUE!</v>
      </c>
      <c r="T33" t="e">
        <f>'All regions'!B842+"$F;@!$&amp;O"</f>
        <v>#VALUE!</v>
      </c>
      <c r="U33" t="e">
        <f>'All regions'!C842+"$F;@!$&amp;P"</f>
        <v>#VALUE!</v>
      </c>
      <c r="V33" t="e">
        <f>'All regions'!D842+"$F;@!$&amp;Q"</f>
        <v>#VALUE!</v>
      </c>
      <c r="W33" t="e">
        <f>'All regions'!E842+"$F;@!$&amp;R"</f>
        <v>#VALUE!</v>
      </c>
      <c r="X33" t="e">
        <f>'All regions'!F842+"$F;@!$&amp;S"</f>
        <v>#VALUE!</v>
      </c>
      <c r="Y33" t="e">
        <f>'All regions'!G842+"$F;@!$&amp;T"</f>
        <v>#VALUE!</v>
      </c>
      <c r="Z33" t="e">
        <f>'All regions'!H842+"$F;@!$&amp;U"</f>
        <v>#VALUE!</v>
      </c>
      <c r="AA33" t="e">
        <f>'All regions'!I842+"$F;@!$&amp;V"</f>
        <v>#VALUE!</v>
      </c>
      <c r="AB33" t="e">
        <f>'All regions'!A843+"$F;@!$&amp;W"</f>
        <v>#VALUE!</v>
      </c>
      <c r="AC33" t="e">
        <f>'All regions'!B843+"$F;@!$&amp;X"</f>
        <v>#VALUE!</v>
      </c>
      <c r="AD33" t="e">
        <f>'All regions'!C843+"$F;@!$&amp;Y"</f>
        <v>#VALUE!</v>
      </c>
      <c r="AE33" t="e">
        <f>'All regions'!D843+"$F;@!$&amp;Z"</f>
        <v>#VALUE!</v>
      </c>
      <c r="AF33" t="e">
        <f>'All regions'!E843+"$F;@!$&amp;["</f>
        <v>#VALUE!</v>
      </c>
      <c r="AG33" t="e">
        <f>'All regions'!F843+"$F;@!$&amp;\"</f>
        <v>#VALUE!</v>
      </c>
      <c r="AH33" t="e">
        <f>'All regions'!G843+"$F;@!$&amp;]"</f>
        <v>#VALUE!</v>
      </c>
      <c r="AI33" t="e">
        <f>'All regions'!H843+"$F;@!$&amp;^"</f>
        <v>#VALUE!</v>
      </c>
      <c r="AJ33" t="e">
        <f>'All regions'!I843+"$F;@!$&amp;_"</f>
        <v>#VALUE!</v>
      </c>
      <c r="AK33" t="e">
        <f>'All regions'!A844+"$F;@!$&amp;`"</f>
        <v>#VALUE!</v>
      </c>
      <c r="AL33" t="e">
        <f>'All regions'!B844+"$F;@!$&amp;a"</f>
        <v>#VALUE!</v>
      </c>
      <c r="AM33" t="e">
        <f>'All regions'!C844+"$F;@!$&amp;b"</f>
        <v>#VALUE!</v>
      </c>
      <c r="AN33" t="e">
        <f>'All regions'!D844+"$F;@!$&amp;c"</f>
        <v>#VALUE!</v>
      </c>
      <c r="AO33" t="e">
        <f>'All regions'!E844+"$F;@!$&amp;d"</f>
        <v>#VALUE!</v>
      </c>
      <c r="AP33" t="e">
        <f>'All regions'!F844+"$F;@!$&amp;e"</f>
        <v>#VALUE!</v>
      </c>
      <c r="AQ33" t="e">
        <f>'All regions'!G844+"$F;@!$&amp;f"</f>
        <v>#VALUE!</v>
      </c>
      <c r="AR33" t="e">
        <f>'All regions'!H844+"$F;@!$&amp;g"</f>
        <v>#VALUE!</v>
      </c>
      <c r="AS33" t="e">
        <f>'All regions'!I844+"$F;@!$&amp;h"</f>
        <v>#VALUE!</v>
      </c>
      <c r="AT33" t="e">
        <f>'All regions'!A845+"$F;@!$&amp;i"</f>
        <v>#VALUE!</v>
      </c>
      <c r="AU33" t="e">
        <f>'All regions'!B845+"$F;@!$&amp;j"</f>
        <v>#VALUE!</v>
      </c>
      <c r="AV33" t="e">
        <f>'All regions'!C845+"$F;@!$&amp;k"</f>
        <v>#VALUE!</v>
      </c>
      <c r="AW33" t="e">
        <f>'All regions'!D845+"$F;@!$&amp;l"</f>
        <v>#VALUE!</v>
      </c>
      <c r="AX33" t="e">
        <f>'All regions'!E845+"$F;@!$&amp;m"</f>
        <v>#VALUE!</v>
      </c>
      <c r="AY33" t="e">
        <f>'All regions'!F845+"$F;@!$&amp;n"</f>
        <v>#VALUE!</v>
      </c>
      <c r="AZ33" t="e">
        <f>'All regions'!G845+"$F;@!$&amp;o"</f>
        <v>#VALUE!</v>
      </c>
      <c r="BA33" t="e">
        <f>'All regions'!H845+"$F;@!$&amp;p"</f>
        <v>#VALUE!</v>
      </c>
      <c r="BB33" t="e">
        <f>'All regions'!I845+"$F;@!$&amp;q"</f>
        <v>#VALUE!</v>
      </c>
      <c r="BC33" t="e">
        <f>'All regions'!A846+"$F;@!$&amp;r"</f>
        <v>#VALUE!</v>
      </c>
      <c r="BD33" t="e">
        <f>'All regions'!B846+"$F;@!$&amp;s"</f>
        <v>#VALUE!</v>
      </c>
      <c r="BE33" t="e">
        <f>'All regions'!C846+"$F;@!$&amp;t"</f>
        <v>#VALUE!</v>
      </c>
      <c r="BF33" t="e">
        <f>'All regions'!D846+"$F;@!$&amp;u"</f>
        <v>#VALUE!</v>
      </c>
      <c r="BG33" t="e">
        <f>'All regions'!E846+"$F;@!$&amp;v"</f>
        <v>#VALUE!</v>
      </c>
      <c r="BH33" t="e">
        <f>'All regions'!F846+"$F;@!$&amp;w"</f>
        <v>#VALUE!</v>
      </c>
      <c r="BI33" t="e">
        <f>'All regions'!G846+"$F;@!$&amp;x"</f>
        <v>#VALUE!</v>
      </c>
      <c r="BJ33" t="e">
        <f>'All regions'!H846+"$F;@!$&amp;y"</f>
        <v>#VALUE!</v>
      </c>
      <c r="BK33" t="e">
        <f>'All regions'!I846+"$F;@!$&amp;z"</f>
        <v>#VALUE!</v>
      </c>
      <c r="BL33" t="e">
        <f>'All regions'!A847+"$F;@!$&amp;{"</f>
        <v>#VALUE!</v>
      </c>
      <c r="BM33" t="e">
        <f>'All regions'!B847+"$F;@!$&amp;|"</f>
        <v>#VALUE!</v>
      </c>
      <c r="BN33" t="e">
        <f>'All regions'!C847+"$F;@!$&amp;}"</f>
        <v>#VALUE!</v>
      </c>
      <c r="BO33" t="e">
        <f>'All regions'!D847+"$F;@!$&amp;~"</f>
        <v>#VALUE!</v>
      </c>
      <c r="BP33" t="e">
        <f>'All regions'!E847+"$F;@!$'#"</f>
        <v>#VALUE!</v>
      </c>
      <c r="BQ33" t="e">
        <f>'All regions'!F847+"$F;@!$'$"</f>
        <v>#VALUE!</v>
      </c>
      <c r="BR33" t="e">
        <f>'All regions'!G847+"$F;@!$'%"</f>
        <v>#VALUE!</v>
      </c>
      <c r="BS33" t="e">
        <f>'All regions'!H847+"$F;@!$'&amp;"</f>
        <v>#VALUE!</v>
      </c>
      <c r="BT33" t="e">
        <f>'All regions'!I847+"$F;@!$''"</f>
        <v>#VALUE!</v>
      </c>
      <c r="BU33" t="e">
        <f>'All regions'!A848+"$F;@!$'("</f>
        <v>#VALUE!</v>
      </c>
      <c r="BV33" t="e">
        <f>'All regions'!B848+"$F;@!$')"</f>
        <v>#VALUE!</v>
      </c>
      <c r="BW33" t="e">
        <f>'All regions'!C848+"$F;@!$'."</f>
        <v>#VALUE!</v>
      </c>
      <c r="BX33" t="e">
        <f>'All regions'!D848+"$F;@!$'/"</f>
        <v>#VALUE!</v>
      </c>
      <c r="BY33" t="e">
        <f>'All regions'!E848+"$F;@!$'0"</f>
        <v>#VALUE!</v>
      </c>
      <c r="BZ33" t="e">
        <f>'All regions'!F848+"$F;@!$'1"</f>
        <v>#VALUE!</v>
      </c>
      <c r="CA33" t="e">
        <f>'All regions'!G848+"$F;@!$'2"</f>
        <v>#VALUE!</v>
      </c>
      <c r="CB33" t="e">
        <f>'All regions'!H848+"$F;@!$'3"</f>
        <v>#VALUE!</v>
      </c>
      <c r="CC33" t="e">
        <f>'All regions'!I848+"$F;@!$'4"</f>
        <v>#VALUE!</v>
      </c>
      <c r="CD33" t="e">
        <f>'All regions'!A849+"$F;@!$'5"</f>
        <v>#VALUE!</v>
      </c>
      <c r="CE33" t="e">
        <f>'All regions'!B849+"$F;@!$'6"</f>
        <v>#VALUE!</v>
      </c>
      <c r="CF33" t="e">
        <f>'All regions'!C849+"$F;@!$'7"</f>
        <v>#VALUE!</v>
      </c>
      <c r="CG33" t="e">
        <f>'All regions'!D849+"$F;@!$'8"</f>
        <v>#VALUE!</v>
      </c>
      <c r="CH33" t="e">
        <f>'All regions'!E849+"$F;@!$'9"</f>
        <v>#VALUE!</v>
      </c>
      <c r="CI33" t="e">
        <f>'All regions'!F849+"$F;@!$':"</f>
        <v>#VALUE!</v>
      </c>
      <c r="CJ33" t="e">
        <f>'All regions'!G849+"$F;@!$';"</f>
        <v>#VALUE!</v>
      </c>
      <c r="CK33" t="e">
        <f>'All regions'!H849+"$F;@!$'&lt;"</f>
        <v>#VALUE!</v>
      </c>
      <c r="CL33" t="e">
        <f>'All regions'!I849+"$F;@!$'="</f>
        <v>#VALUE!</v>
      </c>
      <c r="CM33" t="e">
        <f>'All regions'!A850+"$F;@!$'&gt;"</f>
        <v>#VALUE!</v>
      </c>
      <c r="CN33" t="e">
        <f>'All regions'!B850+"$F;@!$'?"</f>
        <v>#VALUE!</v>
      </c>
      <c r="CO33" t="e">
        <f>'All regions'!C850+"$F;@!$'@"</f>
        <v>#VALUE!</v>
      </c>
      <c r="CP33" t="e">
        <f>'All regions'!D850+"$F;@!$'A"</f>
        <v>#VALUE!</v>
      </c>
      <c r="CQ33" t="e">
        <f>'All regions'!E850+"$F;@!$'B"</f>
        <v>#VALUE!</v>
      </c>
      <c r="CR33" t="e">
        <f>'All regions'!F850+"$F;@!$'C"</f>
        <v>#VALUE!</v>
      </c>
      <c r="CS33" t="e">
        <f>'All regions'!G850+"$F;@!$'D"</f>
        <v>#VALUE!</v>
      </c>
      <c r="CT33" t="e">
        <f>'All regions'!H850+"$F;@!$'E"</f>
        <v>#VALUE!</v>
      </c>
      <c r="CU33" t="e">
        <f>'All regions'!I850+"$F;@!$'F"</f>
        <v>#VALUE!</v>
      </c>
      <c r="CV33" t="e">
        <f>'All regions'!A851+"$F;@!$'G"</f>
        <v>#VALUE!</v>
      </c>
      <c r="CW33" t="e">
        <f>'All regions'!B851+"$F;@!$'H"</f>
        <v>#VALUE!</v>
      </c>
      <c r="CX33" t="e">
        <f>'All regions'!C851+"$F;@!$'I"</f>
        <v>#VALUE!</v>
      </c>
      <c r="CY33" t="e">
        <f>'All regions'!D851+"$F;@!$'J"</f>
        <v>#VALUE!</v>
      </c>
      <c r="CZ33" t="e">
        <f>'All regions'!E851+"$F;@!$'K"</f>
        <v>#VALUE!</v>
      </c>
      <c r="DA33" t="e">
        <f>'All regions'!F851+"$F;@!$'L"</f>
        <v>#VALUE!</v>
      </c>
      <c r="DB33" t="e">
        <f>'All regions'!G851+"$F;@!$'M"</f>
        <v>#VALUE!</v>
      </c>
      <c r="DC33" t="e">
        <f>'All regions'!H851+"$F;@!$'N"</f>
        <v>#VALUE!</v>
      </c>
      <c r="DD33" t="e">
        <f>'All regions'!I851+"$F;@!$'O"</f>
        <v>#VALUE!</v>
      </c>
      <c r="DE33" t="e">
        <f>'All regions'!A852+"$F;@!$'P"</f>
        <v>#VALUE!</v>
      </c>
      <c r="DF33" t="e">
        <f>'All regions'!B852+"$F;@!$'Q"</f>
        <v>#VALUE!</v>
      </c>
      <c r="DG33" t="e">
        <f>'All regions'!C852+"$F;@!$'R"</f>
        <v>#VALUE!</v>
      </c>
      <c r="DH33" t="e">
        <f>'All regions'!D852+"$F;@!$'S"</f>
        <v>#VALUE!</v>
      </c>
      <c r="DI33" t="e">
        <f>'All regions'!E852+"$F;@!$'T"</f>
        <v>#VALUE!</v>
      </c>
      <c r="DJ33" t="e">
        <f>'All regions'!F852+"$F;@!$'U"</f>
        <v>#VALUE!</v>
      </c>
      <c r="DK33" t="e">
        <f>'All regions'!G852+"$F;@!$'V"</f>
        <v>#VALUE!</v>
      </c>
      <c r="DL33" t="e">
        <f>'All regions'!H852+"$F;@!$'W"</f>
        <v>#VALUE!</v>
      </c>
      <c r="DM33" t="e">
        <f>'All regions'!I852+"$F;@!$'X"</f>
        <v>#VALUE!</v>
      </c>
      <c r="DN33" t="e">
        <f>'All regions'!A853+"$F;@!$'Y"</f>
        <v>#VALUE!</v>
      </c>
      <c r="DO33" t="e">
        <f>'All regions'!B853+"$F;@!$'Z"</f>
        <v>#VALUE!</v>
      </c>
      <c r="DP33" t="e">
        <f>'All regions'!C853+"$F;@!$'["</f>
        <v>#VALUE!</v>
      </c>
      <c r="DQ33" t="e">
        <f>'All regions'!D853+"$F;@!$'\"</f>
        <v>#VALUE!</v>
      </c>
      <c r="DR33" t="e">
        <f>'All regions'!E853+"$F;@!$']"</f>
        <v>#VALUE!</v>
      </c>
      <c r="DS33" t="e">
        <f>'All regions'!F853+"$F;@!$'^"</f>
        <v>#VALUE!</v>
      </c>
      <c r="DT33" t="e">
        <f>'All regions'!G853+"$F;@!$'_"</f>
        <v>#VALUE!</v>
      </c>
      <c r="DU33" t="e">
        <f>'All regions'!H853+"$F;@!$'`"</f>
        <v>#VALUE!</v>
      </c>
      <c r="DV33" t="e">
        <f>'All regions'!I853+"$F;@!$'a"</f>
        <v>#VALUE!</v>
      </c>
      <c r="DW33" t="e">
        <f>'All regions'!A854+"$F;@!$'b"</f>
        <v>#VALUE!</v>
      </c>
      <c r="DX33" t="e">
        <f>'All regions'!B854+"$F;@!$'c"</f>
        <v>#VALUE!</v>
      </c>
      <c r="DY33" t="e">
        <f>'All regions'!C854+"$F;@!$'d"</f>
        <v>#VALUE!</v>
      </c>
      <c r="DZ33" t="e">
        <f>'All regions'!D854+"$F;@!$'e"</f>
        <v>#VALUE!</v>
      </c>
      <c r="EA33" t="e">
        <f>'All regions'!E854+"$F;@!$'f"</f>
        <v>#VALUE!</v>
      </c>
      <c r="EB33" t="e">
        <f>'All regions'!F854+"$F;@!$'g"</f>
        <v>#VALUE!</v>
      </c>
      <c r="EC33" t="e">
        <f>'All regions'!G854+"$F;@!$'h"</f>
        <v>#VALUE!</v>
      </c>
      <c r="ED33" t="e">
        <f>'All regions'!H854+"$F;@!$'i"</f>
        <v>#VALUE!</v>
      </c>
      <c r="EE33" t="e">
        <f>'All regions'!I854+"$F;@!$'j"</f>
        <v>#VALUE!</v>
      </c>
      <c r="EF33" t="e">
        <f>'All regions'!A855+"$F;@!$'k"</f>
        <v>#VALUE!</v>
      </c>
      <c r="EG33" t="e">
        <f>'All regions'!B855+"$F;@!$'l"</f>
        <v>#VALUE!</v>
      </c>
      <c r="EH33" t="e">
        <f>'All regions'!C855+"$F;@!$'m"</f>
        <v>#VALUE!</v>
      </c>
      <c r="EI33" t="e">
        <f>'All regions'!D855+"$F;@!$'n"</f>
        <v>#VALUE!</v>
      </c>
      <c r="EJ33" t="e">
        <f>'All regions'!E855+"$F;@!$'o"</f>
        <v>#VALUE!</v>
      </c>
      <c r="EK33" t="e">
        <f>'All regions'!F855+"$F;@!$'p"</f>
        <v>#VALUE!</v>
      </c>
      <c r="EL33" t="e">
        <f>'All regions'!G855+"$F;@!$'q"</f>
        <v>#VALUE!</v>
      </c>
      <c r="EM33" t="e">
        <f>'All regions'!H855+"$F;@!$'r"</f>
        <v>#VALUE!</v>
      </c>
      <c r="EN33" t="e">
        <f>'All regions'!I855+"$F;@!$'s"</f>
        <v>#VALUE!</v>
      </c>
      <c r="EO33" t="e">
        <f>'All regions'!A856+"$F;@!$'t"</f>
        <v>#VALUE!</v>
      </c>
      <c r="EP33" t="e">
        <f>'All regions'!B856+"$F;@!$'u"</f>
        <v>#VALUE!</v>
      </c>
      <c r="EQ33" t="e">
        <f>'All regions'!C856+"$F;@!$'v"</f>
        <v>#VALUE!</v>
      </c>
      <c r="ER33" t="e">
        <f>'All regions'!D856+"$F;@!$'w"</f>
        <v>#VALUE!</v>
      </c>
      <c r="ES33" t="e">
        <f>'All regions'!E856+"$F;@!$'x"</f>
        <v>#VALUE!</v>
      </c>
      <c r="ET33" t="e">
        <f>'All regions'!F856+"$F;@!$'y"</f>
        <v>#VALUE!</v>
      </c>
      <c r="EU33" t="e">
        <f>'All regions'!G856+"$F;@!$'z"</f>
        <v>#VALUE!</v>
      </c>
      <c r="EV33" t="e">
        <f>'All regions'!H856+"$F;@!$'{"</f>
        <v>#VALUE!</v>
      </c>
      <c r="EW33" t="e">
        <f>'All regions'!I856+"$F;@!$'|"</f>
        <v>#VALUE!</v>
      </c>
      <c r="EX33" t="e">
        <f>'All regions'!A857+"$F;@!$'}"</f>
        <v>#VALUE!</v>
      </c>
      <c r="EY33" t="e">
        <f>'All regions'!B857+"$F;@!$'~"</f>
        <v>#VALUE!</v>
      </c>
      <c r="EZ33" t="e">
        <f>'All regions'!C857+"$F;@!$(#"</f>
        <v>#VALUE!</v>
      </c>
      <c r="FA33" t="e">
        <f>'All regions'!D857+"$F;@!$($"</f>
        <v>#VALUE!</v>
      </c>
      <c r="FB33" t="e">
        <f>'All regions'!E857+"$F;@!$(%"</f>
        <v>#VALUE!</v>
      </c>
      <c r="FC33" t="e">
        <f>'All regions'!F857+"$F;@!$(&amp;"</f>
        <v>#VALUE!</v>
      </c>
      <c r="FD33" t="e">
        <f>'All regions'!G857+"$F;@!$('"</f>
        <v>#VALUE!</v>
      </c>
      <c r="FE33" t="e">
        <f>'All regions'!H857+"$F;@!$(("</f>
        <v>#VALUE!</v>
      </c>
      <c r="FF33" t="e">
        <f>'All regions'!I857+"$F;@!$()"</f>
        <v>#VALUE!</v>
      </c>
      <c r="FG33" t="e">
        <f>'All regions'!A858+"$F;@!$(."</f>
        <v>#VALUE!</v>
      </c>
      <c r="FH33" t="e">
        <f>'All regions'!B858+"$F;@!$(/"</f>
        <v>#VALUE!</v>
      </c>
      <c r="FI33" t="e">
        <f>'All regions'!C858+"$F;@!$(0"</f>
        <v>#VALUE!</v>
      </c>
      <c r="FJ33" t="e">
        <f>'All regions'!D858+"$F;@!$(1"</f>
        <v>#VALUE!</v>
      </c>
      <c r="FK33" t="e">
        <f>'All regions'!E858+"$F;@!$(2"</f>
        <v>#VALUE!</v>
      </c>
      <c r="FL33" t="e">
        <f>'All regions'!F858+"$F;@!$(3"</f>
        <v>#VALUE!</v>
      </c>
      <c r="FM33" t="e">
        <f>'All regions'!G858+"$F;@!$(4"</f>
        <v>#VALUE!</v>
      </c>
      <c r="FN33" t="e">
        <f>'All regions'!H858+"$F;@!$(5"</f>
        <v>#VALUE!</v>
      </c>
      <c r="FO33" t="e">
        <f>'All regions'!I858+"$F;@!$(6"</f>
        <v>#VALUE!</v>
      </c>
      <c r="FP33" t="e">
        <f>'All regions'!A859+"$F;@!$(7"</f>
        <v>#VALUE!</v>
      </c>
      <c r="FQ33" t="e">
        <f>'All regions'!B859+"$F;@!$(8"</f>
        <v>#VALUE!</v>
      </c>
      <c r="FR33" t="e">
        <f>'All regions'!C859+"$F;@!$(9"</f>
        <v>#VALUE!</v>
      </c>
      <c r="FS33" t="e">
        <f>'All regions'!D859+"$F;@!$(:"</f>
        <v>#VALUE!</v>
      </c>
      <c r="FT33" t="e">
        <f>'All regions'!E859+"$F;@!$(;"</f>
        <v>#VALUE!</v>
      </c>
      <c r="FU33" t="e">
        <f>'All regions'!F859+"$F;@!$(&lt;"</f>
        <v>#VALUE!</v>
      </c>
      <c r="FV33" t="e">
        <f>'All regions'!G859+"$F;@!$(="</f>
        <v>#VALUE!</v>
      </c>
      <c r="FW33" t="e">
        <f>'All regions'!H859+"$F;@!$(&gt;"</f>
        <v>#VALUE!</v>
      </c>
      <c r="FX33" t="e">
        <f>'All regions'!I859+"$F;@!$(?"</f>
        <v>#VALUE!</v>
      </c>
      <c r="FY33" t="e">
        <f>'All regions'!A860+"$F;@!$(@"</f>
        <v>#VALUE!</v>
      </c>
      <c r="FZ33" t="e">
        <f>'All regions'!B860+"$F;@!$(A"</f>
        <v>#VALUE!</v>
      </c>
      <c r="GA33" t="e">
        <f>'All regions'!C860+"$F;@!$(B"</f>
        <v>#VALUE!</v>
      </c>
      <c r="GB33" t="e">
        <f>'All regions'!D860+"$F;@!$(C"</f>
        <v>#VALUE!</v>
      </c>
      <c r="GC33" t="e">
        <f>'All regions'!E860+"$F;@!$(D"</f>
        <v>#VALUE!</v>
      </c>
      <c r="GD33" t="e">
        <f>'All regions'!F860+"$F;@!$(E"</f>
        <v>#VALUE!</v>
      </c>
      <c r="GE33" t="e">
        <f>'All regions'!G860+"$F;@!$(F"</f>
        <v>#VALUE!</v>
      </c>
      <c r="GF33" t="e">
        <f>'All regions'!H860+"$F;@!$(G"</f>
        <v>#VALUE!</v>
      </c>
      <c r="GG33" t="e">
        <f>'All regions'!I860+"$F;@!$(H"</f>
        <v>#VALUE!</v>
      </c>
      <c r="GH33" t="e">
        <f>'All regions'!A861+"$F;@!$(I"</f>
        <v>#VALUE!</v>
      </c>
      <c r="GI33" t="e">
        <f>'All regions'!B861+"$F;@!$(J"</f>
        <v>#VALUE!</v>
      </c>
      <c r="GJ33" t="e">
        <f>'All regions'!C861+"$F;@!$(K"</f>
        <v>#VALUE!</v>
      </c>
      <c r="GK33" t="e">
        <f>'All regions'!D861+"$F;@!$(L"</f>
        <v>#VALUE!</v>
      </c>
      <c r="GL33" t="e">
        <f>'All regions'!E861+"$F;@!$(M"</f>
        <v>#VALUE!</v>
      </c>
      <c r="GM33" t="e">
        <f>'All regions'!F861+"$F;@!$(N"</f>
        <v>#VALUE!</v>
      </c>
      <c r="GN33" t="e">
        <f>'All regions'!G861+"$F;@!$(O"</f>
        <v>#VALUE!</v>
      </c>
      <c r="GO33" t="e">
        <f>'All regions'!H861+"$F;@!$(P"</f>
        <v>#VALUE!</v>
      </c>
      <c r="GP33" t="e">
        <f>'All regions'!I861+"$F;@!$(Q"</f>
        <v>#VALUE!</v>
      </c>
      <c r="GQ33" t="e">
        <f>'All regions'!A862+"$F;@!$(R"</f>
        <v>#VALUE!</v>
      </c>
      <c r="GR33" t="e">
        <f>'All regions'!B862+"$F;@!$(S"</f>
        <v>#VALUE!</v>
      </c>
      <c r="GS33" t="e">
        <f>'All regions'!C862+"$F;@!$(T"</f>
        <v>#VALUE!</v>
      </c>
      <c r="GT33" t="e">
        <f>'All regions'!D862+"$F;@!$(U"</f>
        <v>#VALUE!</v>
      </c>
      <c r="GU33" t="e">
        <f>'All regions'!E862+"$F;@!$(V"</f>
        <v>#VALUE!</v>
      </c>
      <c r="GV33" t="e">
        <f>'All regions'!F862+"$F;@!$(W"</f>
        <v>#VALUE!</v>
      </c>
      <c r="GW33" t="e">
        <f>'All regions'!G862+"$F;@!$(X"</f>
        <v>#VALUE!</v>
      </c>
      <c r="GX33" t="e">
        <f>'All regions'!H862+"$F;@!$(Y"</f>
        <v>#VALUE!</v>
      </c>
      <c r="GY33" t="e">
        <f>'All regions'!I862+"$F;@!$(Z"</f>
        <v>#VALUE!</v>
      </c>
      <c r="GZ33" t="e">
        <f>'All regions'!A863+"$F;@!$(["</f>
        <v>#VALUE!</v>
      </c>
      <c r="HA33" t="e">
        <f>'All regions'!B863+"$F;@!$(\"</f>
        <v>#VALUE!</v>
      </c>
      <c r="HB33" t="e">
        <f>'All regions'!C863+"$F;@!$(]"</f>
        <v>#VALUE!</v>
      </c>
      <c r="HC33" t="e">
        <f>'All regions'!D863+"$F;@!$(^"</f>
        <v>#VALUE!</v>
      </c>
      <c r="HD33" t="e">
        <f>'All regions'!E863+"$F;@!$(_"</f>
        <v>#VALUE!</v>
      </c>
      <c r="HE33" t="e">
        <f>'All regions'!F863+"$F;@!$(`"</f>
        <v>#VALUE!</v>
      </c>
      <c r="HF33" t="e">
        <f>'All regions'!G863+"$F;@!$(a"</f>
        <v>#VALUE!</v>
      </c>
      <c r="HG33" t="e">
        <f>'All regions'!H863+"$F;@!$(b"</f>
        <v>#VALUE!</v>
      </c>
      <c r="HH33" t="e">
        <f>'All regions'!I863+"$F;@!$(c"</f>
        <v>#VALUE!</v>
      </c>
      <c r="HI33" t="e">
        <f>'All regions'!A864+"$F;@!$(d"</f>
        <v>#VALUE!</v>
      </c>
      <c r="HJ33" t="e">
        <f>'All regions'!B864+"$F;@!$(e"</f>
        <v>#VALUE!</v>
      </c>
      <c r="HK33" t="e">
        <f>'All regions'!C864+"$F;@!$(f"</f>
        <v>#VALUE!</v>
      </c>
      <c r="HL33" t="e">
        <f>'All regions'!D864+"$F;@!$(g"</f>
        <v>#VALUE!</v>
      </c>
      <c r="HM33" t="e">
        <f>'All regions'!E864+"$F;@!$(h"</f>
        <v>#VALUE!</v>
      </c>
      <c r="HN33" t="e">
        <f>'All regions'!F864+"$F;@!$(i"</f>
        <v>#VALUE!</v>
      </c>
      <c r="HO33" t="e">
        <f>'All regions'!G864+"$F;@!$(j"</f>
        <v>#VALUE!</v>
      </c>
      <c r="HP33" t="e">
        <f>'All regions'!H864+"$F;@!$(k"</f>
        <v>#VALUE!</v>
      </c>
      <c r="HQ33" t="e">
        <f>'All regions'!I864+"$F;@!$(l"</f>
        <v>#VALUE!</v>
      </c>
      <c r="HR33" t="e">
        <f>'All regions'!A865+"$F;@!$(m"</f>
        <v>#VALUE!</v>
      </c>
      <c r="HS33" t="e">
        <f>'All regions'!B865+"$F;@!$(n"</f>
        <v>#VALUE!</v>
      </c>
      <c r="HT33" t="e">
        <f>'All regions'!C865+"$F;@!$(o"</f>
        <v>#VALUE!</v>
      </c>
      <c r="HU33" t="e">
        <f>'All regions'!D865+"$F;@!$(p"</f>
        <v>#VALUE!</v>
      </c>
      <c r="HV33" t="e">
        <f>'All regions'!E865+"$F;@!$(q"</f>
        <v>#VALUE!</v>
      </c>
      <c r="HW33" t="e">
        <f>'All regions'!F865+"$F;@!$(r"</f>
        <v>#VALUE!</v>
      </c>
      <c r="HX33" t="e">
        <f>'All regions'!G865+"$F;@!$(s"</f>
        <v>#VALUE!</v>
      </c>
      <c r="HY33" t="e">
        <f>'All regions'!H865+"$F;@!$(t"</f>
        <v>#VALUE!</v>
      </c>
      <c r="HZ33" t="e">
        <f>'All regions'!I865+"$F;@!$(u"</f>
        <v>#VALUE!</v>
      </c>
      <c r="IA33" t="e">
        <f>'All regions'!A866+"$F;@!$(v"</f>
        <v>#VALUE!</v>
      </c>
      <c r="IB33" t="e">
        <f>'All regions'!B866+"$F;@!$(w"</f>
        <v>#VALUE!</v>
      </c>
      <c r="IC33" t="e">
        <f>'All regions'!C866+"$F;@!$(x"</f>
        <v>#VALUE!</v>
      </c>
      <c r="ID33" t="e">
        <f>'All regions'!D866+"$F;@!$(y"</f>
        <v>#VALUE!</v>
      </c>
      <c r="IE33" t="e">
        <f>'All regions'!E866+"$F;@!$(z"</f>
        <v>#VALUE!</v>
      </c>
      <c r="IF33" t="e">
        <f>'All regions'!F866+"$F;@!$({"</f>
        <v>#VALUE!</v>
      </c>
      <c r="IG33" t="e">
        <f>'All regions'!G866+"$F;@!$(|"</f>
        <v>#VALUE!</v>
      </c>
      <c r="IH33" t="e">
        <f>'All regions'!H866+"$F;@!$(}"</f>
        <v>#VALUE!</v>
      </c>
      <c r="II33" t="e">
        <f>'All regions'!I866+"$F;@!$(~"</f>
        <v>#VALUE!</v>
      </c>
      <c r="IJ33" t="e">
        <f>'All regions'!A867+"$F;@!$)#"</f>
        <v>#VALUE!</v>
      </c>
      <c r="IK33" t="e">
        <f>'All regions'!B867+"$F;@!$)$"</f>
        <v>#VALUE!</v>
      </c>
      <c r="IL33" t="e">
        <f>'All regions'!C867+"$F;@!$)%"</f>
        <v>#VALUE!</v>
      </c>
      <c r="IM33" t="e">
        <f>'All regions'!D867+"$F;@!$)&amp;"</f>
        <v>#VALUE!</v>
      </c>
      <c r="IN33" t="e">
        <f>'All regions'!E867+"$F;@!$)'"</f>
        <v>#VALUE!</v>
      </c>
      <c r="IO33" t="e">
        <f>'All regions'!F867+"$F;@!$)("</f>
        <v>#VALUE!</v>
      </c>
      <c r="IP33" t="e">
        <f>'All regions'!G867+"$F;@!$))"</f>
        <v>#VALUE!</v>
      </c>
      <c r="IQ33" t="e">
        <f>'All regions'!H867+"$F;@!$)."</f>
        <v>#VALUE!</v>
      </c>
      <c r="IR33" t="e">
        <f>'All regions'!I867+"$F;@!$)/"</f>
        <v>#VALUE!</v>
      </c>
      <c r="IS33" t="e">
        <f>'All regions'!A868+"$F;@!$)0"</f>
        <v>#VALUE!</v>
      </c>
      <c r="IT33" t="e">
        <f>'All regions'!B868+"$F;@!$)1"</f>
        <v>#VALUE!</v>
      </c>
      <c r="IU33" t="e">
        <f>'All regions'!C868+"$F;@!$)2"</f>
        <v>#VALUE!</v>
      </c>
      <c r="IV33" t="e">
        <f>'All regions'!D868+"$F;@!$)3"</f>
        <v>#VALUE!</v>
      </c>
    </row>
    <row r="34" spans="6:256" x14ac:dyDescent="0.35">
      <c r="F34" t="e">
        <f>'All regions'!E868+"$F;@!$)4"</f>
        <v>#VALUE!</v>
      </c>
      <c r="G34" t="e">
        <f>'All regions'!F868+"$F;@!$)5"</f>
        <v>#VALUE!</v>
      </c>
      <c r="H34" t="e">
        <f>'All regions'!G868+"$F;@!$)6"</f>
        <v>#VALUE!</v>
      </c>
      <c r="I34" t="e">
        <f>'All regions'!H868+"$F;@!$)7"</f>
        <v>#VALUE!</v>
      </c>
      <c r="J34" t="e">
        <f>'All regions'!I868+"$F;@!$)8"</f>
        <v>#VALUE!</v>
      </c>
      <c r="K34" t="e">
        <f>'All regions'!A869+"$F;@!$)9"</f>
        <v>#VALUE!</v>
      </c>
      <c r="L34" t="e">
        <f>'All regions'!B869+"$F;@!$):"</f>
        <v>#VALUE!</v>
      </c>
      <c r="M34" t="e">
        <f>'All regions'!C869+"$F;@!$);"</f>
        <v>#VALUE!</v>
      </c>
      <c r="N34" t="e">
        <f>'All regions'!D869+"$F;@!$)&lt;"</f>
        <v>#VALUE!</v>
      </c>
      <c r="O34" t="e">
        <f>'All regions'!E869+"$F;@!$)="</f>
        <v>#VALUE!</v>
      </c>
      <c r="P34" t="e">
        <f>'All regions'!F869+"$F;@!$)&gt;"</f>
        <v>#VALUE!</v>
      </c>
      <c r="Q34" t="e">
        <f>'All regions'!G869+"$F;@!$)?"</f>
        <v>#VALUE!</v>
      </c>
      <c r="R34" t="e">
        <f>'All regions'!H869+"$F;@!$)@"</f>
        <v>#VALUE!</v>
      </c>
      <c r="S34" t="e">
        <f>'All regions'!I869+"$F;@!$)A"</f>
        <v>#VALUE!</v>
      </c>
      <c r="T34" t="e">
        <f>'All regions'!A870+"$F;@!$)B"</f>
        <v>#VALUE!</v>
      </c>
      <c r="U34" t="e">
        <f>'All regions'!B870+"$F;@!$)C"</f>
        <v>#VALUE!</v>
      </c>
      <c r="V34" t="e">
        <f>'All regions'!C870+"$F;@!$)D"</f>
        <v>#VALUE!</v>
      </c>
      <c r="W34" t="e">
        <f>'All regions'!D870+"$F;@!$)E"</f>
        <v>#VALUE!</v>
      </c>
      <c r="X34" t="e">
        <f>'All regions'!E870+"$F;@!$)F"</f>
        <v>#VALUE!</v>
      </c>
      <c r="Y34" t="e">
        <f>'All regions'!F870+"$F;@!$)G"</f>
        <v>#VALUE!</v>
      </c>
      <c r="Z34" t="e">
        <f>'All regions'!G870+"$F;@!$)H"</f>
        <v>#VALUE!</v>
      </c>
      <c r="AA34" t="e">
        <f>'All regions'!H870+"$F;@!$)I"</f>
        <v>#VALUE!</v>
      </c>
      <c r="AB34" t="e">
        <f>'All regions'!I870+"$F;@!$)J"</f>
        <v>#VALUE!</v>
      </c>
      <c r="AC34" t="e">
        <f>'All regions'!A871+"$F;@!$)K"</f>
        <v>#VALUE!</v>
      </c>
      <c r="AD34" t="e">
        <f>'All regions'!B871+"$F;@!$)L"</f>
        <v>#VALUE!</v>
      </c>
      <c r="AE34" t="e">
        <f>'All regions'!C871+"$F;@!$)M"</f>
        <v>#VALUE!</v>
      </c>
      <c r="AF34" t="e">
        <f>'All regions'!D871+"$F;@!$)N"</f>
        <v>#VALUE!</v>
      </c>
      <c r="AG34" t="e">
        <f>'All regions'!E871+"$F;@!$)O"</f>
        <v>#VALUE!</v>
      </c>
      <c r="AH34" t="e">
        <f>'All regions'!F871+"$F;@!$)P"</f>
        <v>#VALUE!</v>
      </c>
      <c r="AI34" t="e">
        <f>'All regions'!G871+"$F;@!$)Q"</f>
        <v>#VALUE!</v>
      </c>
      <c r="AJ34" t="e">
        <f>'All regions'!H871+"$F;@!$)R"</f>
        <v>#VALUE!</v>
      </c>
      <c r="AK34" t="e">
        <f>'All regions'!I871+"$F;@!$)S"</f>
        <v>#VALUE!</v>
      </c>
      <c r="AL34" t="e">
        <f>'All regions'!A872+"$F;@!$)T"</f>
        <v>#VALUE!</v>
      </c>
      <c r="AM34" t="e">
        <f>'All regions'!B872+"$F;@!$)U"</f>
        <v>#VALUE!</v>
      </c>
      <c r="AN34" t="e">
        <f>'All regions'!C872+"$F;@!$)V"</f>
        <v>#VALUE!</v>
      </c>
      <c r="AO34" t="e">
        <f>'All regions'!D872+"$F;@!$)W"</f>
        <v>#VALUE!</v>
      </c>
      <c r="AP34" t="e">
        <f>'All regions'!E872+"$F;@!$)X"</f>
        <v>#VALUE!</v>
      </c>
      <c r="AQ34" t="e">
        <f>'All regions'!F872+"$F;@!$)Y"</f>
        <v>#VALUE!</v>
      </c>
      <c r="AR34" t="e">
        <f>'All regions'!G872+"$F;@!$)Z"</f>
        <v>#VALUE!</v>
      </c>
      <c r="AS34" t="e">
        <f>'All regions'!H872+"$F;@!$)["</f>
        <v>#VALUE!</v>
      </c>
      <c r="AT34" t="e">
        <f>'All regions'!I872+"$F;@!$)\"</f>
        <v>#VALUE!</v>
      </c>
      <c r="AU34" t="e">
        <f>'All regions'!A873+"$F;@!$)]"</f>
        <v>#VALUE!</v>
      </c>
      <c r="AV34" t="e">
        <f>'All regions'!B873+"$F;@!$)^"</f>
        <v>#VALUE!</v>
      </c>
      <c r="AW34" t="e">
        <f>'All regions'!C873+"$F;@!$)_"</f>
        <v>#VALUE!</v>
      </c>
      <c r="AX34" t="e">
        <f>'All regions'!D873+"$F;@!$)`"</f>
        <v>#VALUE!</v>
      </c>
      <c r="AY34" t="e">
        <f>'All regions'!E873+"$F;@!$)a"</f>
        <v>#VALUE!</v>
      </c>
      <c r="AZ34" t="e">
        <f>'All regions'!F873+"$F;@!$)b"</f>
        <v>#VALUE!</v>
      </c>
      <c r="BA34" t="e">
        <f>'All regions'!G873+"$F;@!$)c"</f>
        <v>#VALUE!</v>
      </c>
      <c r="BB34" t="e">
        <f>'All regions'!H873+"$F;@!$)d"</f>
        <v>#VALUE!</v>
      </c>
      <c r="BC34" t="e">
        <f>'All regions'!I873+"$F;@!$)e"</f>
        <v>#VALUE!</v>
      </c>
      <c r="BD34" t="e">
        <f>'All regions'!A874+"$F;@!$)f"</f>
        <v>#VALUE!</v>
      </c>
      <c r="BE34" t="e">
        <f>'All regions'!B874+"$F;@!$)g"</f>
        <v>#VALUE!</v>
      </c>
      <c r="BF34" t="e">
        <f>'All regions'!C874+"$F;@!$)h"</f>
        <v>#VALUE!</v>
      </c>
      <c r="BG34" t="e">
        <f>'All regions'!D874+"$F;@!$)i"</f>
        <v>#VALUE!</v>
      </c>
      <c r="BH34" t="e">
        <f>'All regions'!E874+"$F;@!$)j"</f>
        <v>#VALUE!</v>
      </c>
      <c r="BI34" t="e">
        <f>'All regions'!F874+"$F;@!$)k"</f>
        <v>#VALUE!</v>
      </c>
      <c r="BJ34" t="e">
        <f>'All regions'!G874+"$F;@!$)l"</f>
        <v>#VALUE!</v>
      </c>
      <c r="BK34" t="e">
        <f>'All regions'!H874+"$F;@!$)m"</f>
        <v>#VALUE!</v>
      </c>
      <c r="BL34" t="e">
        <f>'All regions'!I874+"$F;@!$)n"</f>
        <v>#VALUE!</v>
      </c>
      <c r="BM34" t="e">
        <f>'All regions'!A875+"$F;@!$)o"</f>
        <v>#VALUE!</v>
      </c>
      <c r="BN34" t="e">
        <f>'All regions'!B875+"$F;@!$)p"</f>
        <v>#VALUE!</v>
      </c>
      <c r="BO34" t="e">
        <f>'All regions'!C875+"$F;@!$)q"</f>
        <v>#VALUE!</v>
      </c>
      <c r="BP34" t="e">
        <f>'All regions'!D875+"$F;@!$)r"</f>
        <v>#VALUE!</v>
      </c>
      <c r="BQ34" t="e">
        <f>'All regions'!E875+"$F;@!$)s"</f>
        <v>#VALUE!</v>
      </c>
      <c r="BR34" t="e">
        <f>'All regions'!F875+"$F;@!$)t"</f>
        <v>#VALUE!</v>
      </c>
      <c r="BS34" t="e">
        <f>'All regions'!G875+"$F;@!$)u"</f>
        <v>#VALUE!</v>
      </c>
      <c r="BT34" t="e">
        <f>'All regions'!H875+"$F;@!$)v"</f>
        <v>#VALUE!</v>
      </c>
      <c r="BU34" t="e">
        <f>'All regions'!I875+"$F;@!$)w"</f>
        <v>#VALUE!</v>
      </c>
      <c r="BV34" t="e">
        <f>'All regions'!A876+"$F;@!$)x"</f>
        <v>#VALUE!</v>
      </c>
      <c r="BW34" t="e">
        <f>'All regions'!B876+"$F;@!$)y"</f>
        <v>#VALUE!</v>
      </c>
      <c r="BX34" t="e">
        <f>'All regions'!C876+"$F;@!$)z"</f>
        <v>#VALUE!</v>
      </c>
      <c r="BY34" t="e">
        <f>'All regions'!D876+"$F;@!$){"</f>
        <v>#VALUE!</v>
      </c>
      <c r="BZ34" t="e">
        <f>'All regions'!E876+"$F;@!$)|"</f>
        <v>#VALUE!</v>
      </c>
      <c r="CA34" t="e">
        <f>'All regions'!F876+"$F;@!$)}"</f>
        <v>#VALUE!</v>
      </c>
      <c r="CB34" t="e">
        <f>'All regions'!G876+"$F;@!$)~"</f>
        <v>#VALUE!</v>
      </c>
      <c r="CC34" t="e">
        <f>'All regions'!H876+"$F;@!$.#"</f>
        <v>#VALUE!</v>
      </c>
      <c r="CD34" t="e">
        <f>'All regions'!I876+"$F;@!$.$"</f>
        <v>#VALUE!</v>
      </c>
      <c r="CE34" t="e">
        <f>'All regions'!A877+"$F;@!$.%"</f>
        <v>#VALUE!</v>
      </c>
      <c r="CF34" t="e">
        <f>'All regions'!B877+"$F;@!$.&amp;"</f>
        <v>#VALUE!</v>
      </c>
      <c r="CG34" t="e">
        <f>'All regions'!C877+"$F;@!$.'"</f>
        <v>#VALUE!</v>
      </c>
      <c r="CH34" t="e">
        <f>'All regions'!D877+"$F;@!$.("</f>
        <v>#VALUE!</v>
      </c>
      <c r="CI34" t="e">
        <f>'All regions'!E877+"$F;@!$.)"</f>
        <v>#VALUE!</v>
      </c>
      <c r="CJ34" t="e">
        <f>'All regions'!F877+"$F;@!$.."</f>
        <v>#VALUE!</v>
      </c>
      <c r="CK34" t="e">
        <f>'All regions'!G877+"$F;@!$./"</f>
        <v>#VALUE!</v>
      </c>
      <c r="CL34" t="e">
        <f>'All regions'!H877+"$F;@!$.0"</f>
        <v>#VALUE!</v>
      </c>
      <c r="CM34" t="e">
        <f>'All regions'!I877+"$F;@!$.1"</f>
        <v>#VALUE!</v>
      </c>
      <c r="CN34" t="e">
        <f>'All regions'!A878+"$F;@!$.2"</f>
        <v>#VALUE!</v>
      </c>
      <c r="CO34" t="e">
        <f>'All regions'!B878+"$F;@!$.3"</f>
        <v>#VALUE!</v>
      </c>
      <c r="CP34" t="e">
        <f>'All regions'!C878+"$F;@!$.4"</f>
        <v>#VALUE!</v>
      </c>
      <c r="CQ34" t="e">
        <f>'All regions'!D878+"$F;@!$.5"</f>
        <v>#VALUE!</v>
      </c>
      <c r="CR34" t="e">
        <f>'All regions'!E878+"$F;@!$.6"</f>
        <v>#VALUE!</v>
      </c>
      <c r="CS34" t="e">
        <f>'All regions'!F878+"$F;@!$.7"</f>
        <v>#VALUE!</v>
      </c>
      <c r="CT34" t="e">
        <f>'All regions'!G878+"$F;@!$.8"</f>
        <v>#VALUE!</v>
      </c>
      <c r="CU34" t="e">
        <f>'All regions'!H878+"$F;@!$.9"</f>
        <v>#VALUE!</v>
      </c>
      <c r="CV34" t="e">
        <f>'All regions'!I878+"$F;@!$.:"</f>
        <v>#VALUE!</v>
      </c>
      <c r="CW34" t="e">
        <f>'All regions'!A879+"$F;@!$.;"</f>
        <v>#VALUE!</v>
      </c>
      <c r="CX34" t="e">
        <f>'All regions'!B879+"$F;@!$.&lt;"</f>
        <v>#VALUE!</v>
      </c>
      <c r="CY34" t="e">
        <f>'All regions'!C879+"$F;@!$.="</f>
        <v>#VALUE!</v>
      </c>
      <c r="CZ34" t="e">
        <f>'All regions'!D879+"$F;@!$.&gt;"</f>
        <v>#VALUE!</v>
      </c>
      <c r="DA34" t="e">
        <f>'All regions'!E879+"$F;@!$.?"</f>
        <v>#VALUE!</v>
      </c>
      <c r="DB34" t="e">
        <f>'All regions'!F879+"$F;@!$.@"</f>
        <v>#VALUE!</v>
      </c>
      <c r="DC34" t="e">
        <f>'All regions'!G879+"$F;@!$.A"</f>
        <v>#VALUE!</v>
      </c>
      <c r="DD34" t="e">
        <f>'All regions'!H879+"$F;@!$.B"</f>
        <v>#VALUE!</v>
      </c>
      <c r="DE34" t="e">
        <f>'All regions'!I879+"$F;@!$.C"</f>
        <v>#VALUE!</v>
      </c>
      <c r="DF34" t="e">
        <f>'All regions'!A880+"$F;@!$.D"</f>
        <v>#VALUE!</v>
      </c>
      <c r="DG34" t="e">
        <f>'All regions'!B880+"$F;@!$.E"</f>
        <v>#VALUE!</v>
      </c>
      <c r="DH34" t="e">
        <f>'All regions'!C880+"$F;@!$.F"</f>
        <v>#VALUE!</v>
      </c>
      <c r="DI34" t="e">
        <f>'All regions'!D880+"$F;@!$.G"</f>
        <v>#VALUE!</v>
      </c>
      <c r="DJ34" t="e">
        <f>'All regions'!E880+"$F;@!$.H"</f>
        <v>#VALUE!</v>
      </c>
      <c r="DK34" t="e">
        <f>'All regions'!F880+"$F;@!$.I"</f>
        <v>#VALUE!</v>
      </c>
      <c r="DL34" t="e">
        <f>'All regions'!G880+"$F;@!$.J"</f>
        <v>#VALUE!</v>
      </c>
      <c r="DM34" t="e">
        <f>'All regions'!H880+"$F;@!$.K"</f>
        <v>#VALUE!</v>
      </c>
      <c r="DN34" t="e">
        <f>'All regions'!I880+"$F;@!$.L"</f>
        <v>#VALUE!</v>
      </c>
      <c r="DO34" t="e">
        <f>'All regions'!A881+"$F;@!$.M"</f>
        <v>#VALUE!</v>
      </c>
      <c r="DP34" t="e">
        <f>'All regions'!B881+"$F;@!$.N"</f>
        <v>#VALUE!</v>
      </c>
      <c r="DQ34" t="e">
        <f>'All regions'!C881+"$F;@!$.O"</f>
        <v>#VALUE!</v>
      </c>
      <c r="DR34" t="e">
        <f>'All regions'!D881+"$F;@!$.P"</f>
        <v>#VALUE!</v>
      </c>
      <c r="DS34" t="e">
        <f>'All regions'!E881+"$F;@!$.Q"</f>
        <v>#VALUE!</v>
      </c>
      <c r="DT34" t="e">
        <f>'All regions'!F881+"$F;@!$.R"</f>
        <v>#VALUE!</v>
      </c>
      <c r="DU34" t="e">
        <f>'All regions'!G881+"$F;@!$.S"</f>
        <v>#VALUE!</v>
      </c>
      <c r="DV34" t="e">
        <f>'All regions'!H881+"$F;@!$.T"</f>
        <v>#VALUE!</v>
      </c>
      <c r="DW34" t="e">
        <f>'All regions'!I881+"$F;@!$.U"</f>
        <v>#VALUE!</v>
      </c>
      <c r="DX34" t="e">
        <f>'All regions'!A882+"$F;@!$.V"</f>
        <v>#VALUE!</v>
      </c>
      <c r="DY34" t="e">
        <f>'All regions'!B882+"$F;@!$.W"</f>
        <v>#VALUE!</v>
      </c>
      <c r="DZ34" t="e">
        <f>'All regions'!C882+"$F;@!$.X"</f>
        <v>#VALUE!</v>
      </c>
      <c r="EA34" t="e">
        <f>'All regions'!D882+"$F;@!$.Y"</f>
        <v>#VALUE!</v>
      </c>
      <c r="EB34" t="e">
        <f>'All regions'!E882+"$F;@!$.Z"</f>
        <v>#VALUE!</v>
      </c>
      <c r="EC34" t="e">
        <f>'All regions'!F882+"$F;@!$.["</f>
        <v>#VALUE!</v>
      </c>
      <c r="ED34" t="e">
        <f>'All regions'!G882+"$F;@!$.\"</f>
        <v>#VALUE!</v>
      </c>
      <c r="EE34" t="e">
        <f>'All regions'!H882+"$F;@!$.]"</f>
        <v>#VALUE!</v>
      </c>
      <c r="EF34" t="e">
        <f>'All regions'!I882+"$F;@!$.^"</f>
        <v>#VALUE!</v>
      </c>
      <c r="EG34" t="e">
        <f>'All regions'!A883+"$F;@!$._"</f>
        <v>#VALUE!</v>
      </c>
      <c r="EH34" t="e">
        <f>'All regions'!B883+"$F;@!$.`"</f>
        <v>#VALUE!</v>
      </c>
      <c r="EI34" t="e">
        <f>'All regions'!C883+"$F;@!$.a"</f>
        <v>#VALUE!</v>
      </c>
      <c r="EJ34" t="e">
        <f>'All regions'!D883+"$F;@!$.b"</f>
        <v>#VALUE!</v>
      </c>
      <c r="EK34" t="e">
        <f>'All regions'!E883+"$F;@!$.c"</f>
        <v>#VALUE!</v>
      </c>
      <c r="EL34" t="e">
        <f>'All regions'!F883+"$F;@!$.d"</f>
        <v>#VALUE!</v>
      </c>
      <c r="EM34" t="e">
        <f>'All regions'!G883+"$F;@!$.e"</f>
        <v>#VALUE!</v>
      </c>
      <c r="EN34" t="e">
        <f>'All regions'!H883+"$F;@!$.f"</f>
        <v>#VALUE!</v>
      </c>
      <c r="EO34" t="e">
        <f>'All regions'!I883+"$F;@!$.g"</f>
        <v>#VALUE!</v>
      </c>
      <c r="EP34" t="e">
        <f>'All regions'!A884+"$F;@!$.h"</f>
        <v>#VALUE!</v>
      </c>
      <c r="EQ34" t="e">
        <f>'All regions'!B884+"$F;@!$.i"</f>
        <v>#VALUE!</v>
      </c>
      <c r="ER34" t="e">
        <f>'All regions'!C884+"$F;@!$.j"</f>
        <v>#VALUE!</v>
      </c>
      <c r="ES34" t="e">
        <f>'All regions'!D884+"$F;@!$.k"</f>
        <v>#VALUE!</v>
      </c>
      <c r="ET34" t="e">
        <f>'All regions'!E884+"$F;@!$.l"</f>
        <v>#VALUE!</v>
      </c>
      <c r="EU34" t="e">
        <f>'All regions'!F884+"$F;@!$.m"</f>
        <v>#VALUE!</v>
      </c>
      <c r="EV34" t="e">
        <f>'All regions'!G884+"$F;@!$.n"</f>
        <v>#VALUE!</v>
      </c>
      <c r="EW34" t="e">
        <f>'All regions'!H884+"$F;@!$.o"</f>
        <v>#VALUE!</v>
      </c>
      <c r="EX34" t="e">
        <f>'All regions'!I884+"$F;@!$.p"</f>
        <v>#VALUE!</v>
      </c>
      <c r="EY34" t="e">
        <f>'All regions'!A885+"$F;@!$.q"</f>
        <v>#VALUE!</v>
      </c>
      <c r="EZ34" t="e">
        <f>'All regions'!B885+"$F;@!$.r"</f>
        <v>#VALUE!</v>
      </c>
      <c r="FA34" t="e">
        <f>'All regions'!C885+"$F;@!$.s"</f>
        <v>#VALUE!</v>
      </c>
      <c r="FB34" t="e">
        <f>'All regions'!D885+"$F;@!$.t"</f>
        <v>#VALUE!</v>
      </c>
      <c r="FC34" t="e">
        <f>'All regions'!E885+"$F;@!$.u"</f>
        <v>#VALUE!</v>
      </c>
      <c r="FD34" t="e">
        <f>'All regions'!F885+"$F;@!$.v"</f>
        <v>#VALUE!</v>
      </c>
      <c r="FE34" t="e">
        <f>'All regions'!G885+"$F;@!$.w"</f>
        <v>#VALUE!</v>
      </c>
      <c r="FF34" t="e">
        <f>'All regions'!H885+"$F;@!$.x"</f>
        <v>#VALUE!</v>
      </c>
      <c r="FG34" t="e">
        <f>'All regions'!I885+"$F;@!$.y"</f>
        <v>#VALUE!</v>
      </c>
      <c r="FH34" t="e">
        <f>'All regions'!A886+"$F;@!$.z"</f>
        <v>#VALUE!</v>
      </c>
      <c r="FI34" t="e">
        <f>'All regions'!B886+"$F;@!$.{"</f>
        <v>#VALUE!</v>
      </c>
      <c r="FJ34" t="e">
        <f>'All regions'!C886+"$F;@!$.|"</f>
        <v>#VALUE!</v>
      </c>
      <c r="FK34" t="e">
        <f>'All regions'!D886+"$F;@!$.}"</f>
        <v>#VALUE!</v>
      </c>
      <c r="FL34" t="e">
        <f>'All regions'!E886+"$F;@!$.~"</f>
        <v>#VALUE!</v>
      </c>
      <c r="FM34" t="e">
        <f>'All regions'!F886+"$F;@!$/#"</f>
        <v>#VALUE!</v>
      </c>
      <c r="FN34" t="e">
        <f>'All regions'!G886+"$F;@!$/$"</f>
        <v>#VALUE!</v>
      </c>
      <c r="FO34" t="e">
        <f>'All regions'!H886+"$F;@!$/%"</f>
        <v>#VALUE!</v>
      </c>
      <c r="FP34" t="e">
        <f>'All regions'!I886+"$F;@!$/&amp;"</f>
        <v>#VALUE!</v>
      </c>
      <c r="FQ34" t="e">
        <f>'All regions'!A887+"$F;@!$/'"</f>
        <v>#VALUE!</v>
      </c>
      <c r="FR34" t="e">
        <f>'All regions'!B887+"$F;@!$/("</f>
        <v>#VALUE!</v>
      </c>
      <c r="FS34" t="e">
        <f>'All regions'!C887+"$F;@!$/)"</f>
        <v>#VALUE!</v>
      </c>
      <c r="FT34" t="e">
        <f>'All regions'!D887+"$F;@!$/."</f>
        <v>#VALUE!</v>
      </c>
      <c r="FU34" t="e">
        <f>'All regions'!E887+"$F;@!$//"</f>
        <v>#VALUE!</v>
      </c>
      <c r="FV34" t="e">
        <f>'All regions'!F887+"$F;@!$/0"</f>
        <v>#VALUE!</v>
      </c>
      <c r="FW34" t="e">
        <f>'All regions'!G887+"$F;@!$/1"</f>
        <v>#VALUE!</v>
      </c>
      <c r="FX34" t="e">
        <f>'All regions'!H887+"$F;@!$/2"</f>
        <v>#VALUE!</v>
      </c>
      <c r="FY34" t="e">
        <f>'All regions'!I887+"$F;@!$/3"</f>
        <v>#VALUE!</v>
      </c>
      <c r="FZ34" t="e">
        <f>'All regions'!A888+"$F;@!$/4"</f>
        <v>#VALUE!</v>
      </c>
      <c r="GA34" t="e">
        <f>'All regions'!B888+"$F;@!$/5"</f>
        <v>#VALUE!</v>
      </c>
      <c r="GB34" t="e">
        <f>'All regions'!C888+"$F;@!$/6"</f>
        <v>#VALUE!</v>
      </c>
      <c r="GC34" t="e">
        <f>'All regions'!D888+"$F;@!$/7"</f>
        <v>#VALUE!</v>
      </c>
      <c r="GD34" t="e">
        <f>'All regions'!E888+"$F;@!$/8"</f>
        <v>#VALUE!</v>
      </c>
      <c r="GE34" t="e">
        <f>'All regions'!F888+"$F;@!$/9"</f>
        <v>#VALUE!</v>
      </c>
      <c r="GF34" t="e">
        <f>'All regions'!G888+"$F;@!$/:"</f>
        <v>#VALUE!</v>
      </c>
      <c r="GG34" t="e">
        <f>'All regions'!H888+"$F;@!$/;"</f>
        <v>#VALUE!</v>
      </c>
      <c r="GH34" t="e">
        <f>'All regions'!I888+"$F;@!$/&lt;"</f>
        <v>#VALUE!</v>
      </c>
      <c r="GI34" t="e">
        <f>'All regions'!A889+"$F;@!$/="</f>
        <v>#VALUE!</v>
      </c>
      <c r="GJ34" t="e">
        <f>'All regions'!B889+"$F;@!$/&gt;"</f>
        <v>#VALUE!</v>
      </c>
      <c r="GK34" t="e">
        <f>'All regions'!C889+"$F;@!$/?"</f>
        <v>#VALUE!</v>
      </c>
      <c r="GL34" t="e">
        <f>'All regions'!D889+"$F;@!$/@"</f>
        <v>#VALUE!</v>
      </c>
      <c r="GM34" t="e">
        <f>'All regions'!E889+"$F;@!$/A"</f>
        <v>#VALUE!</v>
      </c>
      <c r="GN34" t="e">
        <f>'All regions'!F889+"$F;@!$/B"</f>
        <v>#VALUE!</v>
      </c>
      <c r="GO34" t="e">
        <f>'All regions'!G889+"$F;@!$/C"</f>
        <v>#VALUE!</v>
      </c>
      <c r="GP34" t="e">
        <f>'All regions'!H889+"$F;@!$/D"</f>
        <v>#VALUE!</v>
      </c>
      <c r="GQ34" t="e">
        <f>'All regions'!I889+"$F;@!$/E"</f>
        <v>#VALUE!</v>
      </c>
      <c r="GR34" t="e">
        <f>'All regions'!A890+"$F;@!$/F"</f>
        <v>#VALUE!</v>
      </c>
      <c r="GS34" t="e">
        <f>'All regions'!B890+"$F;@!$/G"</f>
        <v>#VALUE!</v>
      </c>
      <c r="GT34" t="e">
        <f>'All regions'!C890+"$F;@!$/H"</f>
        <v>#VALUE!</v>
      </c>
      <c r="GU34" t="e">
        <f>'All regions'!D890+"$F;@!$/I"</f>
        <v>#VALUE!</v>
      </c>
      <c r="GV34" t="e">
        <f>'All regions'!E890+"$F;@!$/J"</f>
        <v>#VALUE!</v>
      </c>
      <c r="GW34" t="e">
        <f>'All regions'!F890+"$F;@!$/K"</f>
        <v>#VALUE!</v>
      </c>
      <c r="GX34" t="e">
        <f>'All regions'!G890+"$F;@!$/L"</f>
        <v>#VALUE!</v>
      </c>
      <c r="GY34" t="e">
        <f>'All regions'!H890+"$F;@!$/M"</f>
        <v>#VALUE!</v>
      </c>
      <c r="GZ34" t="e">
        <f>'All regions'!I890+"$F;@!$/N"</f>
        <v>#VALUE!</v>
      </c>
      <c r="HA34" t="e">
        <f>'All regions'!A891+"$F;@!$/O"</f>
        <v>#VALUE!</v>
      </c>
      <c r="HB34" t="e">
        <f>'All regions'!B891+"$F;@!$/P"</f>
        <v>#VALUE!</v>
      </c>
      <c r="HC34" t="e">
        <f>'All regions'!C891+"$F;@!$/Q"</f>
        <v>#VALUE!</v>
      </c>
      <c r="HD34" t="e">
        <f>'All regions'!D891+"$F;@!$/R"</f>
        <v>#VALUE!</v>
      </c>
      <c r="HE34" t="e">
        <f>'All regions'!E891+"$F;@!$/S"</f>
        <v>#VALUE!</v>
      </c>
      <c r="HF34" t="e">
        <f>'All regions'!F891+"$F;@!$/T"</f>
        <v>#VALUE!</v>
      </c>
      <c r="HG34" t="e">
        <f>'All regions'!G891+"$F;@!$/U"</f>
        <v>#VALUE!</v>
      </c>
      <c r="HH34" t="e">
        <f>'All regions'!H891+"$F;@!$/V"</f>
        <v>#VALUE!</v>
      </c>
      <c r="HI34" t="e">
        <f>'All regions'!I891+"$F;@!$/W"</f>
        <v>#VALUE!</v>
      </c>
      <c r="HJ34" t="e">
        <f>'All regions'!A892+"$F;@!$/X"</f>
        <v>#VALUE!</v>
      </c>
      <c r="HK34" t="e">
        <f>'All regions'!B892+"$F;@!$/Y"</f>
        <v>#VALUE!</v>
      </c>
      <c r="HL34" t="e">
        <f>'All regions'!C892+"$F;@!$/Z"</f>
        <v>#VALUE!</v>
      </c>
      <c r="HM34" t="e">
        <f>'All regions'!D892+"$F;@!$/["</f>
        <v>#VALUE!</v>
      </c>
      <c r="HN34" t="e">
        <f>'All regions'!E892+"$F;@!$/\"</f>
        <v>#VALUE!</v>
      </c>
      <c r="HO34" t="e">
        <f>'All regions'!F892+"$F;@!$/]"</f>
        <v>#VALUE!</v>
      </c>
      <c r="HP34" t="e">
        <f>'All regions'!G892+"$F;@!$/^"</f>
        <v>#VALUE!</v>
      </c>
      <c r="HQ34" t="e">
        <f>'All regions'!H892+"$F;@!$/_"</f>
        <v>#VALUE!</v>
      </c>
      <c r="HR34" t="e">
        <f>'All regions'!I892+"$F;@!$/`"</f>
        <v>#VALUE!</v>
      </c>
      <c r="HS34" t="e">
        <f>'All regions'!A893+"$F;@!$/a"</f>
        <v>#VALUE!</v>
      </c>
      <c r="HT34" t="e">
        <f>'All regions'!B893+"$F;@!$/b"</f>
        <v>#VALUE!</v>
      </c>
      <c r="HU34" t="e">
        <f>'All regions'!C893+"$F;@!$/c"</f>
        <v>#VALUE!</v>
      </c>
      <c r="HV34" t="e">
        <f>'All regions'!D893+"$F;@!$/d"</f>
        <v>#VALUE!</v>
      </c>
      <c r="HW34" t="e">
        <f>'All regions'!E893+"$F;@!$/e"</f>
        <v>#VALUE!</v>
      </c>
      <c r="HX34" t="e">
        <f>'All regions'!F893+"$F;@!$/f"</f>
        <v>#VALUE!</v>
      </c>
      <c r="HY34" t="e">
        <f>'All regions'!G893+"$F;@!$/g"</f>
        <v>#VALUE!</v>
      </c>
      <c r="HZ34" t="e">
        <f>'All regions'!H893+"$F;@!$/h"</f>
        <v>#VALUE!</v>
      </c>
      <c r="IA34" t="e">
        <f>'All regions'!I893+"$F;@!$/i"</f>
        <v>#VALUE!</v>
      </c>
      <c r="IB34" t="e">
        <f>'All regions'!A894+"$F;@!$/j"</f>
        <v>#VALUE!</v>
      </c>
      <c r="IC34" t="e">
        <f>'All regions'!B894+"$F;@!$/k"</f>
        <v>#VALUE!</v>
      </c>
      <c r="ID34" t="e">
        <f>'All regions'!C894+"$F;@!$/l"</f>
        <v>#VALUE!</v>
      </c>
      <c r="IE34" t="e">
        <f>'All regions'!D894+"$F;@!$/m"</f>
        <v>#VALUE!</v>
      </c>
      <c r="IF34" t="e">
        <f>'All regions'!E894+"$F;@!$/n"</f>
        <v>#VALUE!</v>
      </c>
      <c r="IG34" t="e">
        <f>'All regions'!F894+"$F;@!$/o"</f>
        <v>#VALUE!</v>
      </c>
      <c r="IH34" t="e">
        <f>'All regions'!G894+"$F;@!$/p"</f>
        <v>#VALUE!</v>
      </c>
      <c r="II34" t="e">
        <f>'All regions'!H894+"$F;@!$/q"</f>
        <v>#VALUE!</v>
      </c>
      <c r="IJ34" t="e">
        <f>'All regions'!I894+"$F;@!$/r"</f>
        <v>#VALUE!</v>
      </c>
      <c r="IK34" t="e">
        <f>'All regions'!A895+"$F;@!$/s"</f>
        <v>#VALUE!</v>
      </c>
      <c r="IL34" t="e">
        <f>'All regions'!B895+"$F;@!$/t"</f>
        <v>#VALUE!</v>
      </c>
      <c r="IM34" t="e">
        <f>'All regions'!C895+"$F;@!$/u"</f>
        <v>#VALUE!</v>
      </c>
      <c r="IN34" t="e">
        <f>'All regions'!D895+"$F;@!$/v"</f>
        <v>#VALUE!</v>
      </c>
      <c r="IO34" t="e">
        <f>'All regions'!E895+"$F;@!$/w"</f>
        <v>#VALUE!</v>
      </c>
      <c r="IP34" t="e">
        <f>'All regions'!F895+"$F;@!$/x"</f>
        <v>#VALUE!</v>
      </c>
      <c r="IQ34" t="e">
        <f>'All regions'!G895+"$F;@!$/y"</f>
        <v>#VALUE!</v>
      </c>
      <c r="IR34" t="e">
        <f>'All regions'!H895+"$F;@!$/z"</f>
        <v>#VALUE!</v>
      </c>
      <c r="IS34" t="e">
        <f>'All regions'!I895+"$F;@!$/{"</f>
        <v>#VALUE!</v>
      </c>
      <c r="IT34" t="e">
        <f>'All regions'!A896+"$F;@!$/|"</f>
        <v>#VALUE!</v>
      </c>
      <c r="IU34" t="e">
        <f>'All regions'!B896+"$F;@!$/}"</f>
        <v>#VALUE!</v>
      </c>
      <c r="IV34" t="e">
        <f>'All regions'!C896+"$F;@!$/~"</f>
        <v>#VALUE!</v>
      </c>
    </row>
    <row r="35" spans="6:256" x14ac:dyDescent="0.35">
      <c r="F35" t="e">
        <f>'All regions'!D896+"$F;@!$0#"</f>
        <v>#VALUE!</v>
      </c>
      <c r="G35" t="e">
        <f>'All regions'!E896+"$F;@!$0$"</f>
        <v>#VALUE!</v>
      </c>
      <c r="H35" t="e">
        <f>'All regions'!F896+"$F;@!$0%"</f>
        <v>#VALUE!</v>
      </c>
      <c r="I35" t="e">
        <f>'All regions'!G896+"$F;@!$0&amp;"</f>
        <v>#VALUE!</v>
      </c>
      <c r="J35" t="e">
        <f>'All regions'!H896+"$F;@!$0'"</f>
        <v>#VALUE!</v>
      </c>
      <c r="K35" t="e">
        <f>'All regions'!I896+"$F;@!$0("</f>
        <v>#VALUE!</v>
      </c>
      <c r="L35" t="e">
        <f>'All regions'!A897+"$F;@!$0)"</f>
        <v>#VALUE!</v>
      </c>
      <c r="M35" t="e">
        <f>'All regions'!B897+"$F;@!$0."</f>
        <v>#VALUE!</v>
      </c>
      <c r="N35" t="e">
        <f>'All regions'!C897+"$F;@!$0/"</f>
        <v>#VALUE!</v>
      </c>
      <c r="O35" t="e">
        <f>'All regions'!D897+"$F;@!$00"</f>
        <v>#VALUE!</v>
      </c>
      <c r="P35" t="e">
        <f>'All regions'!E897+"$F;@!$01"</f>
        <v>#VALUE!</v>
      </c>
      <c r="Q35" t="e">
        <f>'All regions'!F897+"$F;@!$02"</f>
        <v>#VALUE!</v>
      </c>
      <c r="R35" t="e">
        <f>'All regions'!G897+"$F;@!$03"</f>
        <v>#VALUE!</v>
      </c>
      <c r="S35" t="e">
        <f>'All regions'!H897+"$F;@!$04"</f>
        <v>#VALUE!</v>
      </c>
      <c r="T35" t="e">
        <f>'All regions'!I897+"$F;@!$05"</f>
        <v>#VALUE!</v>
      </c>
      <c r="U35" t="e">
        <f>'All regions'!A898+"$F;@!$06"</f>
        <v>#VALUE!</v>
      </c>
      <c r="V35" t="e">
        <f>'All regions'!B898+"$F;@!$07"</f>
        <v>#VALUE!</v>
      </c>
      <c r="W35" t="e">
        <f>'All regions'!C898+"$F;@!$08"</f>
        <v>#VALUE!</v>
      </c>
      <c r="X35" t="e">
        <f>'All regions'!D898+"$F;@!$09"</f>
        <v>#VALUE!</v>
      </c>
      <c r="Y35" t="e">
        <f>'All regions'!E898+"$F;@!$0:"</f>
        <v>#VALUE!</v>
      </c>
      <c r="Z35" t="e">
        <f>'All regions'!F898+"$F;@!$0;"</f>
        <v>#VALUE!</v>
      </c>
      <c r="AA35" t="e">
        <f>'All regions'!G898+"$F;@!$0&lt;"</f>
        <v>#VALUE!</v>
      </c>
      <c r="AB35" t="e">
        <f>'All regions'!H898+"$F;@!$0="</f>
        <v>#VALUE!</v>
      </c>
      <c r="AC35" t="e">
        <f>'All regions'!I898+"$F;@!$0&gt;"</f>
        <v>#VALUE!</v>
      </c>
      <c r="AD35" t="e">
        <f>'All regions'!A899+"$F;@!$0?"</f>
        <v>#VALUE!</v>
      </c>
      <c r="AE35" t="e">
        <f>'All regions'!B899+"$F;@!$0@"</f>
        <v>#VALUE!</v>
      </c>
      <c r="AF35" t="e">
        <f>'All regions'!C899+"$F;@!$0A"</f>
        <v>#VALUE!</v>
      </c>
      <c r="AG35" t="e">
        <f>'All regions'!D899+"$F;@!$0B"</f>
        <v>#VALUE!</v>
      </c>
      <c r="AH35" t="e">
        <f>'All regions'!E899+"$F;@!$0C"</f>
        <v>#VALUE!</v>
      </c>
      <c r="AI35" t="e">
        <f>'All regions'!F899+"$F;@!$0D"</f>
        <v>#VALUE!</v>
      </c>
      <c r="AJ35" t="e">
        <f>'All regions'!G899+"$F;@!$0E"</f>
        <v>#VALUE!</v>
      </c>
      <c r="AK35" t="e">
        <f>'All regions'!H899+"$F;@!$0F"</f>
        <v>#VALUE!</v>
      </c>
      <c r="AL35" t="e">
        <f>'All regions'!I899+"$F;@!$0G"</f>
        <v>#VALUE!</v>
      </c>
      <c r="AM35" t="e">
        <f>'All regions'!A900+"$F;@!$0H"</f>
        <v>#VALUE!</v>
      </c>
      <c r="AN35" t="e">
        <f>'All regions'!B900+"$F;@!$0I"</f>
        <v>#VALUE!</v>
      </c>
      <c r="AO35" t="e">
        <f>'All regions'!C900+"$F;@!$0J"</f>
        <v>#VALUE!</v>
      </c>
      <c r="AP35" t="e">
        <f>'All regions'!D900+"$F;@!$0K"</f>
        <v>#VALUE!</v>
      </c>
      <c r="AQ35" t="e">
        <f>'All regions'!E900+"$F;@!$0L"</f>
        <v>#VALUE!</v>
      </c>
      <c r="AR35" t="e">
        <f>'All regions'!F900+"$F;@!$0M"</f>
        <v>#VALUE!</v>
      </c>
      <c r="AS35" t="e">
        <f>'All regions'!G900+"$F;@!$0N"</f>
        <v>#VALUE!</v>
      </c>
      <c r="AT35" t="e">
        <f>'All regions'!H900+"$F;@!$0O"</f>
        <v>#VALUE!</v>
      </c>
      <c r="AU35" t="e">
        <f>'All regions'!I900+"$F;@!$0P"</f>
        <v>#VALUE!</v>
      </c>
      <c r="AV35" t="e">
        <f>'All regions'!A901+"$F;@!$0Q"</f>
        <v>#VALUE!</v>
      </c>
      <c r="AW35" t="e">
        <f>'All regions'!B901+"$F;@!$0R"</f>
        <v>#VALUE!</v>
      </c>
      <c r="AX35" t="e">
        <f>'All regions'!C901+"$F;@!$0S"</f>
        <v>#VALUE!</v>
      </c>
      <c r="AY35" t="e">
        <f>'All regions'!D901+"$F;@!$0T"</f>
        <v>#VALUE!</v>
      </c>
      <c r="AZ35" t="e">
        <f>'All regions'!E901+"$F;@!$0U"</f>
        <v>#VALUE!</v>
      </c>
      <c r="BA35" t="e">
        <f>'All regions'!F901+"$F;@!$0V"</f>
        <v>#VALUE!</v>
      </c>
      <c r="BB35" t="e">
        <f>'All regions'!G901+"$F;@!$0W"</f>
        <v>#VALUE!</v>
      </c>
      <c r="BC35" t="e">
        <f>'All regions'!H901+"$F;@!$0X"</f>
        <v>#VALUE!</v>
      </c>
      <c r="BD35" t="e">
        <f>'All regions'!I901+"$F;@!$0Y"</f>
        <v>#VALUE!</v>
      </c>
      <c r="BE35" t="e">
        <f>'All regions'!A902+"$F;@!$0Z"</f>
        <v>#VALUE!</v>
      </c>
      <c r="BF35" t="e">
        <f>'All regions'!B902+"$F;@!$0["</f>
        <v>#VALUE!</v>
      </c>
      <c r="BG35" t="e">
        <f>'All regions'!C902+"$F;@!$0\"</f>
        <v>#VALUE!</v>
      </c>
      <c r="BH35" t="e">
        <f>'All regions'!D902+"$F;@!$0]"</f>
        <v>#VALUE!</v>
      </c>
      <c r="BI35" t="e">
        <f>'All regions'!E902+"$F;@!$0^"</f>
        <v>#VALUE!</v>
      </c>
      <c r="BJ35" t="e">
        <f>'All regions'!F902+"$F;@!$0_"</f>
        <v>#VALUE!</v>
      </c>
      <c r="BK35" t="e">
        <f>'All regions'!G902+"$F;@!$0`"</f>
        <v>#VALUE!</v>
      </c>
      <c r="BL35" t="e">
        <f>'All regions'!H902+"$F;@!$0a"</f>
        <v>#VALUE!</v>
      </c>
      <c r="BM35" t="e">
        <f>'All regions'!I902+"$F;@!$0b"</f>
        <v>#VALUE!</v>
      </c>
      <c r="BN35" t="e">
        <f>'All regions'!A903+"$F;@!$0c"</f>
        <v>#VALUE!</v>
      </c>
      <c r="BO35" t="e">
        <f>'All regions'!B903+"$F;@!$0d"</f>
        <v>#VALUE!</v>
      </c>
      <c r="BP35" t="e">
        <f>'All regions'!C903+"$F;@!$0e"</f>
        <v>#VALUE!</v>
      </c>
      <c r="BQ35" t="e">
        <f>'All regions'!D903+"$F;@!$0f"</f>
        <v>#VALUE!</v>
      </c>
      <c r="BR35" t="e">
        <f>'All regions'!E903+"$F;@!$0g"</f>
        <v>#VALUE!</v>
      </c>
      <c r="BS35" t="e">
        <f>'All regions'!F903+"$F;@!$0h"</f>
        <v>#VALUE!</v>
      </c>
      <c r="BT35" t="e">
        <f>'All regions'!G903+"$F;@!$0i"</f>
        <v>#VALUE!</v>
      </c>
      <c r="BU35" t="e">
        <f>'All regions'!H903+"$F;@!$0j"</f>
        <v>#VALUE!</v>
      </c>
      <c r="BV35" t="e">
        <f>'All regions'!I903+"$F;@!$0k"</f>
        <v>#VALUE!</v>
      </c>
      <c r="BW35" t="e">
        <f>'All regions'!A904+"$F;@!$0l"</f>
        <v>#VALUE!</v>
      </c>
      <c r="BX35" t="e">
        <f>'All regions'!B904+"$F;@!$0m"</f>
        <v>#VALUE!</v>
      </c>
      <c r="BY35" t="e">
        <f>'All regions'!C904+"$F;@!$0n"</f>
        <v>#VALUE!</v>
      </c>
      <c r="BZ35" t="e">
        <f>'All regions'!D904+"$F;@!$0o"</f>
        <v>#VALUE!</v>
      </c>
      <c r="CA35" t="e">
        <f>'All regions'!E904+"$F;@!$0p"</f>
        <v>#VALUE!</v>
      </c>
      <c r="CB35" t="e">
        <f>'All regions'!F904+"$F;@!$0q"</f>
        <v>#VALUE!</v>
      </c>
      <c r="CC35" t="e">
        <f>'All regions'!G904+"$F;@!$0r"</f>
        <v>#VALUE!</v>
      </c>
      <c r="CD35" t="e">
        <f>'All regions'!H904+"$F;@!$0s"</f>
        <v>#VALUE!</v>
      </c>
      <c r="CE35" t="e">
        <f>'All regions'!I904+"$F;@!$0t"</f>
        <v>#VALUE!</v>
      </c>
      <c r="CF35" t="e">
        <f>'All regions'!A905+"$F;@!$0u"</f>
        <v>#VALUE!</v>
      </c>
      <c r="CG35" t="e">
        <f>'All regions'!B905+"$F;@!$0v"</f>
        <v>#VALUE!</v>
      </c>
      <c r="CH35" t="e">
        <f>'All regions'!C905+"$F;@!$0w"</f>
        <v>#VALUE!</v>
      </c>
      <c r="CI35" t="e">
        <f>'All regions'!D905+"$F;@!$0x"</f>
        <v>#VALUE!</v>
      </c>
      <c r="CJ35" t="e">
        <f>'All regions'!E905+"$F;@!$0y"</f>
        <v>#VALUE!</v>
      </c>
      <c r="CK35" t="e">
        <f>'All regions'!F905+"$F;@!$0z"</f>
        <v>#VALUE!</v>
      </c>
      <c r="CL35" t="e">
        <f>'All regions'!G905+"$F;@!$0{"</f>
        <v>#VALUE!</v>
      </c>
      <c r="CM35" t="e">
        <f>'All regions'!H905+"$F;@!$0|"</f>
        <v>#VALUE!</v>
      </c>
      <c r="CN35" t="e">
        <f>'All regions'!I905+"$F;@!$0}"</f>
        <v>#VALUE!</v>
      </c>
      <c r="CO35" t="e">
        <f>'All regions'!A906+"$F;@!$0~"</f>
        <v>#VALUE!</v>
      </c>
      <c r="CP35" t="e">
        <f>'All regions'!B906+"$F;@!$1#"</f>
        <v>#VALUE!</v>
      </c>
      <c r="CQ35" t="e">
        <f>'All regions'!C906+"$F;@!$1$"</f>
        <v>#VALUE!</v>
      </c>
      <c r="CR35" t="e">
        <f>'All regions'!D906+"$F;@!$1%"</f>
        <v>#VALUE!</v>
      </c>
      <c r="CS35" t="e">
        <f>'All regions'!E906+"$F;@!$1&amp;"</f>
        <v>#VALUE!</v>
      </c>
      <c r="CT35" t="e">
        <f>'All regions'!F906+"$F;@!$1'"</f>
        <v>#VALUE!</v>
      </c>
      <c r="CU35" t="e">
        <f>'All regions'!G906+"$F;@!$1("</f>
        <v>#VALUE!</v>
      </c>
      <c r="CV35" t="e">
        <f>'All regions'!H906+"$F;@!$1)"</f>
        <v>#VALUE!</v>
      </c>
      <c r="CW35" t="e">
        <f>'All regions'!I906+"$F;@!$1."</f>
        <v>#VALUE!</v>
      </c>
      <c r="CX35" t="e">
        <f>'All regions'!A907+"$F;@!$1/"</f>
        <v>#VALUE!</v>
      </c>
      <c r="CY35" t="e">
        <f>'All regions'!B907+"$F;@!$10"</f>
        <v>#VALUE!</v>
      </c>
      <c r="CZ35" t="e">
        <f>'All regions'!C907+"$F;@!$11"</f>
        <v>#VALUE!</v>
      </c>
      <c r="DA35" t="e">
        <f>'All regions'!D907+"$F;@!$12"</f>
        <v>#VALUE!</v>
      </c>
      <c r="DB35" t="e">
        <f>'All regions'!E907+"$F;@!$13"</f>
        <v>#VALUE!</v>
      </c>
      <c r="DC35" t="e">
        <f>'All regions'!F907+"$F;@!$14"</f>
        <v>#VALUE!</v>
      </c>
      <c r="DD35" t="e">
        <f>'All regions'!G907+"$F;@!$15"</f>
        <v>#VALUE!</v>
      </c>
      <c r="DE35" t="e">
        <f>'All regions'!H907+"$F;@!$16"</f>
        <v>#VALUE!</v>
      </c>
      <c r="DF35" t="e">
        <f>'All regions'!I907+"$F;@!$17"</f>
        <v>#VALUE!</v>
      </c>
      <c r="DG35" t="e">
        <f>'All regions'!A908+"$F;@!$18"</f>
        <v>#VALUE!</v>
      </c>
      <c r="DH35" t="e">
        <f>'All regions'!B908+"$F;@!$19"</f>
        <v>#VALUE!</v>
      </c>
      <c r="DI35" t="e">
        <f>'All regions'!C908+"$F;@!$1:"</f>
        <v>#VALUE!</v>
      </c>
      <c r="DJ35" t="e">
        <f>'All regions'!D908+"$F;@!$1;"</f>
        <v>#VALUE!</v>
      </c>
      <c r="DK35" t="e">
        <f>'All regions'!E908+"$F;@!$1&lt;"</f>
        <v>#VALUE!</v>
      </c>
      <c r="DL35" t="e">
        <f>'All regions'!F908+"$F;@!$1="</f>
        <v>#VALUE!</v>
      </c>
      <c r="DM35" t="e">
        <f>'All regions'!G908+"$F;@!$1&gt;"</f>
        <v>#VALUE!</v>
      </c>
      <c r="DN35" t="e">
        <f>'All regions'!H908+"$F;@!$1?"</f>
        <v>#VALUE!</v>
      </c>
      <c r="DO35" t="e">
        <f>'All regions'!I908+"$F;@!$1@"</f>
        <v>#VALUE!</v>
      </c>
      <c r="DP35" t="e">
        <f>'All regions'!A909+"$F;@!$1A"</f>
        <v>#VALUE!</v>
      </c>
      <c r="DQ35" t="e">
        <f>'All regions'!B909+"$F;@!$1B"</f>
        <v>#VALUE!</v>
      </c>
      <c r="DR35" t="e">
        <f>'All regions'!C909+"$F;@!$1C"</f>
        <v>#VALUE!</v>
      </c>
      <c r="DS35" t="e">
        <f>'All regions'!D909+"$F;@!$1D"</f>
        <v>#VALUE!</v>
      </c>
      <c r="DT35" t="e">
        <f>'All regions'!E909+"$F;@!$1E"</f>
        <v>#VALUE!</v>
      </c>
      <c r="DU35" t="e">
        <f>'All regions'!F909+"$F;@!$1F"</f>
        <v>#VALUE!</v>
      </c>
      <c r="DV35" t="e">
        <f>'All regions'!G909+"$F;@!$1G"</f>
        <v>#VALUE!</v>
      </c>
      <c r="DW35" t="e">
        <f>'All regions'!H909+"$F;@!$1H"</f>
        <v>#VALUE!</v>
      </c>
      <c r="DX35" t="e">
        <f>'All regions'!I909+"$F;@!$1I"</f>
        <v>#VALUE!</v>
      </c>
      <c r="DY35" t="e">
        <f>'All regions'!A910+"$F;@!$1J"</f>
        <v>#VALUE!</v>
      </c>
      <c r="DZ35" t="e">
        <f>'All regions'!B910+"$F;@!$1K"</f>
        <v>#VALUE!</v>
      </c>
      <c r="EA35" t="e">
        <f>'All regions'!C910+"$F;@!$1L"</f>
        <v>#VALUE!</v>
      </c>
      <c r="EB35" t="e">
        <f>'All regions'!D910+"$F;@!$1M"</f>
        <v>#VALUE!</v>
      </c>
      <c r="EC35" t="e">
        <f>'All regions'!E910+"$F;@!$1N"</f>
        <v>#VALUE!</v>
      </c>
      <c r="ED35" t="e">
        <f>'All regions'!F910+"$F;@!$1O"</f>
        <v>#VALUE!</v>
      </c>
      <c r="EE35" t="e">
        <f>'All regions'!G910+"$F;@!$1P"</f>
        <v>#VALUE!</v>
      </c>
      <c r="EF35" t="e">
        <f>'All regions'!H910+"$F;@!$1Q"</f>
        <v>#VALUE!</v>
      </c>
      <c r="EG35" t="e">
        <f>'All regions'!I910+"$F;@!$1R"</f>
        <v>#VALUE!</v>
      </c>
      <c r="EH35" t="e">
        <f>'All regions'!A911+"$F;@!$1S"</f>
        <v>#VALUE!</v>
      </c>
      <c r="EI35" t="e">
        <f>'All regions'!B911+"$F;@!$1T"</f>
        <v>#VALUE!</v>
      </c>
      <c r="EJ35" t="e">
        <f>'All regions'!C911+"$F;@!$1U"</f>
        <v>#VALUE!</v>
      </c>
      <c r="EK35" t="e">
        <f>'All regions'!D911+"$F;@!$1V"</f>
        <v>#VALUE!</v>
      </c>
      <c r="EL35" t="e">
        <f>'All regions'!E911+"$F;@!$1W"</f>
        <v>#VALUE!</v>
      </c>
      <c r="EM35" t="e">
        <f>'All regions'!F911+"$F;@!$1X"</f>
        <v>#VALUE!</v>
      </c>
      <c r="EN35" t="e">
        <f>'All regions'!G911+"$F;@!$1Y"</f>
        <v>#VALUE!</v>
      </c>
      <c r="EO35" t="e">
        <f>'All regions'!H911+"$F;@!$1Z"</f>
        <v>#VALUE!</v>
      </c>
      <c r="EP35" t="e">
        <f>'All regions'!I911+"$F;@!$1["</f>
        <v>#VALUE!</v>
      </c>
      <c r="EQ35" t="e">
        <f>'All regions'!A912+"$F;@!$1\"</f>
        <v>#VALUE!</v>
      </c>
      <c r="ER35" t="e">
        <f>'All regions'!B912+"$F;@!$1]"</f>
        <v>#VALUE!</v>
      </c>
      <c r="ES35" t="e">
        <f>'All regions'!C912+"$F;@!$1^"</f>
        <v>#VALUE!</v>
      </c>
      <c r="ET35" t="e">
        <f>'All regions'!D912+"$F;@!$1_"</f>
        <v>#VALUE!</v>
      </c>
      <c r="EU35" t="e">
        <f>'All regions'!E912+"$F;@!$1`"</f>
        <v>#VALUE!</v>
      </c>
      <c r="EV35" t="e">
        <f>'All regions'!F912+"$F;@!$1a"</f>
        <v>#VALUE!</v>
      </c>
      <c r="EW35" t="e">
        <f>'All regions'!G912+"$F;@!$1b"</f>
        <v>#VALUE!</v>
      </c>
      <c r="EX35" t="e">
        <f>'All regions'!H912+"$F;@!$1c"</f>
        <v>#VALUE!</v>
      </c>
      <c r="EY35" t="e">
        <f>'All regions'!I912+"$F;@!$1d"</f>
        <v>#VALUE!</v>
      </c>
      <c r="EZ35" t="e">
        <f>'All regions'!A913+"$F;@!$1e"</f>
        <v>#VALUE!</v>
      </c>
      <c r="FA35" t="e">
        <f>'All regions'!B913+"$F;@!$1f"</f>
        <v>#VALUE!</v>
      </c>
      <c r="FB35" t="e">
        <f>'All regions'!C913+"$F;@!$1g"</f>
        <v>#VALUE!</v>
      </c>
      <c r="FC35" t="e">
        <f>'All regions'!D913+"$F;@!$1h"</f>
        <v>#VALUE!</v>
      </c>
      <c r="FD35" t="e">
        <f>'All regions'!E913+"$F;@!$1i"</f>
        <v>#VALUE!</v>
      </c>
      <c r="FE35" t="e">
        <f>'All regions'!F913+"$F;@!$1j"</f>
        <v>#VALUE!</v>
      </c>
      <c r="FF35" t="e">
        <f>'All regions'!G913+"$F;@!$1k"</f>
        <v>#VALUE!</v>
      </c>
      <c r="FG35" t="e">
        <f>'All regions'!H913+"$F;@!$1l"</f>
        <v>#VALUE!</v>
      </c>
      <c r="FH35" t="e">
        <f>'All regions'!I913+"$F;@!$1m"</f>
        <v>#VALUE!</v>
      </c>
      <c r="FI35" t="e">
        <f>'All regions'!A914+"$F;@!$1n"</f>
        <v>#VALUE!</v>
      </c>
      <c r="FJ35" t="e">
        <f>'All regions'!B914+"$F;@!$1o"</f>
        <v>#VALUE!</v>
      </c>
      <c r="FK35" t="e">
        <f>'All regions'!C914+"$F;@!$1p"</f>
        <v>#VALUE!</v>
      </c>
      <c r="FL35" t="e">
        <f>'All regions'!D914+"$F;@!$1q"</f>
        <v>#VALUE!</v>
      </c>
      <c r="FM35" t="e">
        <f>'All regions'!E914+"$F;@!$1r"</f>
        <v>#VALUE!</v>
      </c>
      <c r="FN35" t="e">
        <f>'All regions'!F914+"$F;@!$1s"</f>
        <v>#VALUE!</v>
      </c>
      <c r="FO35" t="e">
        <f>'All regions'!G914+"$F;@!$1t"</f>
        <v>#VALUE!</v>
      </c>
      <c r="FP35" t="e">
        <f>'All regions'!H914+"$F;@!$1u"</f>
        <v>#VALUE!</v>
      </c>
      <c r="FQ35" t="e">
        <f>'All regions'!I914+"$F;@!$1v"</f>
        <v>#VALUE!</v>
      </c>
      <c r="FR35" t="e">
        <f>'All regions'!A915+"$F;@!$1w"</f>
        <v>#VALUE!</v>
      </c>
      <c r="FS35" t="e">
        <f>'All regions'!B915+"$F;@!$1x"</f>
        <v>#VALUE!</v>
      </c>
      <c r="FT35" t="e">
        <f>'All regions'!C915+"$F;@!$1y"</f>
        <v>#VALUE!</v>
      </c>
      <c r="FU35" t="e">
        <f>'All regions'!D915+"$F;@!$1z"</f>
        <v>#VALUE!</v>
      </c>
      <c r="FV35" t="e">
        <f>'All regions'!E915+"$F;@!$1{"</f>
        <v>#VALUE!</v>
      </c>
      <c r="FW35" t="e">
        <f>'All regions'!F915+"$F;@!$1|"</f>
        <v>#VALUE!</v>
      </c>
      <c r="FX35" t="e">
        <f>'All regions'!G915+"$F;@!$1}"</f>
        <v>#VALUE!</v>
      </c>
      <c r="FY35" t="e">
        <f>'All regions'!H915+"$F;@!$1~"</f>
        <v>#VALUE!</v>
      </c>
      <c r="FZ35" t="e">
        <f>'All regions'!I915+"$F;@!$2#"</f>
        <v>#VALUE!</v>
      </c>
      <c r="GA35" t="e">
        <f>'All regions'!A916+"$F;@!$2$"</f>
        <v>#VALUE!</v>
      </c>
      <c r="GB35" t="e">
        <f>'All regions'!B916+"$F;@!$2%"</f>
        <v>#VALUE!</v>
      </c>
      <c r="GC35" t="e">
        <f>'All regions'!C916+"$F;@!$2&amp;"</f>
        <v>#VALUE!</v>
      </c>
      <c r="GD35" t="e">
        <f>'All regions'!D916+"$F;@!$2'"</f>
        <v>#VALUE!</v>
      </c>
      <c r="GE35" t="e">
        <f>'All regions'!E916+"$F;@!$2("</f>
        <v>#VALUE!</v>
      </c>
      <c r="GF35" t="e">
        <f>'All regions'!F916+"$F;@!$2)"</f>
        <v>#VALUE!</v>
      </c>
      <c r="GG35" t="e">
        <f>'All regions'!G916+"$F;@!$2."</f>
        <v>#VALUE!</v>
      </c>
      <c r="GH35" t="e">
        <f>'All regions'!H916+"$F;@!$2/"</f>
        <v>#VALUE!</v>
      </c>
      <c r="GI35" t="e">
        <f>'All regions'!I916+"$F;@!$20"</f>
        <v>#VALUE!</v>
      </c>
      <c r="GJ35" t="e">
        <f>'All regions'!A917+"$F;@!$21"</f>
        <v>#VALUE!</v>
      </c>
      <c r="GK35" t="e">
        <f>'All regions'!B917+"$F;@!$22"</f>
        <v>#VALUE!</v>
      </c>
      <c r="GL35" t="e">
        <f>'All regions'!C917+"$F;@!$23"</f>
        <v>#VALUE!</v>
      </c>
      <c r="GM35" t="e">
        <f>'All regions'!D917+"$F;@!$24"</f>
        <v>#VALUE!</v>
      </c>
      <c r="GN35" t="e">
        <f>'All regions'!E917+"$F;@!$25"</f>
        <v>#VALUE!</v>
      </c>
      <c r="GO35" t="e">
        <f>'All regions'!F917+"$F;@!$26"</f>
        <v>#VALUE!</v>
      </c>
      <c r="GP35" t="e">
        <f>'All regions'!G917+"$F;@!$27"</f>
        <v>#VALUE!</v>
      </c>
      <c r="GQ35" t="e">
        <f>'All regions'!H917+"$F;@!$28"</f>
        <v>#VALUE!</v>
      </c>
      <c r="GR35" t="e">
        <f>'All regions'!I917+"$F;@!$29"</f>
        <v>#VALUE!</v>
      </c>
      <c r="GS35" t="e">
        <f>'All regions'!A918+"$F;@!$2:"</f>
        <v>#VALUE!</v>
      </c>
      <c r="GT35" t="e">
        <f>'All regions'!B918+"$F;@!$2;"</f>
        <v>#VALUE!</v>
      </c>
      <c r="GU35" t="e">
        <f>'All regions'!C918+"$F;@!$2&lt;"</f>
        <v>#VALUE!</v>
      </c>
      <c r="GV35" t="e">
        <f>'All regions'!D918+"$F;@!$2="</f>
        <v>#VALUE!</v>
      </c>
      <c r="GW35" t="e">
        <f>'All regions'!E918+"$F;@!$2&gt;"</f>
        <v>#VALUE!</v>
      </c>
      <c r="GX35" t="e">
        <f>'All regions'!F918+"$F;@!$2?"</f>
        <v>#VALUE!</v>
      </c>
      <c r="GY35" t="e">
        <f>'All regions'!G918+"$F;@!$2@"</f>
        <v>#VALUE!</v>
      </c>
      <c r="GZ35" t="e">
        <f>'All regions'!H918+"$F;@!$2A"</f>
        <v>#VALUE!</v>
      </c>
      <c r="HA35" t="e">
        <f>'All regions'!I918+"$F;@!$2B"</f>
        <v>#VALUE!</v>
      </c>
      <c r="HB35" t="e">
        <f>'All regions'!A919+"$F;@!$2C"</f>
        <v>#VALUE!</v>
      </c>
      <c r="HC35" t="e">
        <f>'All regions'!B919+"$F;@!$2D"</f>
        <v>#VALUE!</v>
      </c>
      <c r="HD35" t="e">
        <f>'All regions'!C919+"$F;@!$2E"</f>
        <v>#VALUE!</v>
      </c>
      <c r="HE35" t="e">
        <f>'All regions'!D919+"$F;@!$2F"</f>
        <v>#VALUE!</v>
      </c>
      <c r="HF35" t="e">
        <f>'All regions'!E919+"$F;@!$2G"</f>
        <v>#VALUE!</v>
      </c>
      <c r="HG35" t="e">
        <f>'All regions'!F919+"$F;@!$2H"</f>
        <v>#VALUE!</v>
      </c>
      <c r="HH35" t="e">
        <f>'All regions'!G919+"$F;@!$2I"</f>
        <v>#VALUE!</v>
      </c>
      <c r="HI35" t="e">
        <f>'All regions'!H919+"$F;@!$2J"</f>
        <v>#VALUE!</v>
      </c>
      <c r="HJ35" t="e">
        <f>'All regions'!I919+"$F;@!$2K"</f>
        <v>#VALUE!</v>
      </c>
      <c r="HK35" t="e">
        <f>'All regions'!A920+"$F;@!$2L"</f>
        <v>#VALUE!</v>
      </c>
      <c r="HL35" t="e">
        <f>'All regions'!B920+"$F;@!$2M"</f>
        <v>#VALUE!</v>
      </c>
      <c r="HM35" t="e">
        <f>'All regions'!C920+"$F;@!$2N"</f>
        <v>#VALUE!</v>
      </c>
      <c r="HN35" t="e">
        <f>'All regions'!D920+"$F;@!$2O"</f>
        <v>#VALUE!</v>
      </c>
      <c r="HO35" t="e">
        <f>'All regions'!E920+"$F;@!$2P"</f>
        <v>#VALUE!</v>
      </c>
      <c r="HP35" t="e">
        <f>'All regions'!F920+"$F;@!$2Q"</f>
        <v>#VALUE!</v>
      </c>
      <c r="HQ35" t="e">
        <f>'All regions'!G920+"$F;@!$2R"</f>
        <v>#VALUE!</v>
      </c>
      <c r="HR35" t="e">
        <f>'All regions'!H920+"$F;@!$2S"</f>
        <v>#VALUE!</v>
      </c>
      <c r="HS35" t="e">
        <f>'All regions'!I920+"$F;@!$2T"</f>
        <v>#VALUE!</v>
      </c>
      <c r="HT35" t="e">
        <f>'All regions'!A921+"$F;@!$2U"</f>
        <v>#VALUE!</v>
      </c>
      <c r="HU35" t="e">
        <f>'All regions'!B921+"$F;@!$2V"</f>
        <v>#VALUE!</v>
      </c>
      <c r="HV35" t="e">
        <f>'All regions'!C921+"$F;@!$2W"</f>
        <v>#VALUE!</v>
      </c>
      <c r="HW35" t="e">
        <f>'All regions'!D921+"$F;@!$2X"</f>
        <v>#VALUE!</v>
      </c>
      <c r="HX35" t="e">
        <f>'All regions'!E921+"$F;@!$2Y"</f>
        <v>#VALUE!</v>
      </c>
      <c r="HY35" t="e">
        <f>'All regions'!F921+"$F;@!$2Z"</f>
        <v>#VALUE!</v>
      </c>
      <c r="HZ35" t="e">
        <f>'All regions'!G921+"$F;@!$2["</f>
        <v>#VALUE!</v>
      </c>
      <c r="IA35" t="e">
        <f>'All regions'!H921+"$F;@!$2\"</f>
        <v>#VALUE!</v>
      </c>
      <c r="IB35" t="e">
        <f>'All regions'!I921+"$F;@!$2]"</f>
        <v>#VALUE!</v>
      </c>
      <c r="IC35" t="e">
        <f>'All regions'!A922+"$F;@!$2^"</f>
        <v>#VALUE!</v>
      </c>
      <c r="ID35" t="e">
        <f>'All regions'!B922+"$F;@!$2_"</f>
        <v>#VALUE!</v>
      </c>
      <c r="IE35" t="e">
        <f>'All regions'!C922+"$F;@!$2`"</f>
        <v>#VALUE!</v>
      </c>
      <c r="IF35" t="e">
        <f>'All regions'!D922+"$F;@!$2a"</f>
        <v>#VALUE!</v>
      </c>
      <c r="IG35" t="e">
        <f>'All regions'!E922+"$F;@!$2b"</f>
        <v>#VALUE!</v>
      </c>
      <c r="IH35" t="e">
        <f>'All regions'!F922+"$F;@!$2c"</f>
        <v>#VALUE!</v>
      </c>
      <c r="II35" t="e">
        <f>'All regions'!G922+"$F;@!$2d"</f>
        <v>#VALUE!</v>
      </c>
      <c r="IJ35" t="e">
        <f>'All regions'!H922+"$F;@!$2e"</f>
        <v>#VALUE!</v>
      </c>
      <c r="IK35" t="e">
        <f>'All regions'!I922+"$F;@!$2f"</f>
        <v>#VALUE!</v>
      </c>
      <c r="IL35" t="e">
        <f>'All regions'!A923+"$F;@!$2g"</f>
        <v>#VALUE!</v>
      </c>
      <c r="IM35" t="e">
        <f>'All regions'!B923+"$F;@!$2h"</f>
        <v>#VALUE!</v>
      </c>
      <c r="IN35" t="e">
        <f>'All regions'!C923+"$F;@!$2i"</f>
        <v>#VALUE!</v>
      </c>
      <c r="IO35" t="e">
        <f>'All regions'!D923+"$F;@!$2j"</f>
        <v>#VALUE!</v>
      </c>
      <c r="IP35" t="e">
        <f>'All regions'!E923+"$F;@!$2k"</f>
        <v>#VALUE!</v>
      </c>
      <c r="IQ35" t="e">
        <f>'All regions'!F923+"$F;@!$2l"</f>
        <v>#VALUE!</v>
      </c>
      <c r="IR35" t="e">
        <f>'All regions'!G923+"$F;@!$2m"</f>
        <v>#VALUE!</v>
      </c>
      <c r="IS35" t="e">
        <f>'All regions'!H923+"$F;@!$2n"</f>
        <v>#VALUE!</v>
      </c>
      <c r="IT35" t="e">
        <f>'All regions'!I923+"$F;@!$2o"</f>
        <v>#VALUE!</v>
      </c>
      <c r="IU35" t="e">
        <f>'All regions'!A924+"$F;@!$2p"</f>
        <v>#VALUE!</v>
      </c>
      <c r="IV35" t="e">
        <f>'All regions'!B924+"$F;@!$2q"</f>
        <v>#VALUE!</v>
      </c>
    </row>
    <row r="36" spans="6:256" x14ac:dyDescent="0.35">
      <c r="F36" t="e">
        <f>'All regions'!C924+"$F;@!$2r"</f>
        <v>#VALUE!</v>
      </c>
      <c r="G36" t="e">
        <f>'All regions'!D924+"$F;@!$2s"</f>
        <v>#VALUE!</v>
      </c>
      <c r="H36" t="e">
        <f>'All regions'!E924+"$F;@!$2t"</f>
        <v>#VALUE!</v>
      </c>
      <c r="I36" t="e">
        <f>'All regions'!F924+"$F;@!$2u"</f>
        <v>#VALUE!</v>
      </c>
      <c r="J36" t="e">
        <f>'All regions'!G924+"$F;@!$2v"</f>
        <v>#VALUE!</v>
      </c>
      <c r="K36" t="e">
        <f>'All regions'!H924+"$F;@!$2w"</f>
        <v>#VALUE!</v>
      </c>
      <c r="L36" t="e">
        <f>'All regions'!I924+"$F;@!$2x"</f>
        <v>#VALUE!</v>
      </c>
      <c r="M36" t="e">
        <f>'All regions'!A925+"$F;@!$2y"</f>
        <v>#VALUE!</v>
      </c>
      <c r="N36" t="e">
        <f>'All regions'!B925+"$F;@!$2z"</f>
        <v>#VALUE!</v>
      </c>
      <c r="O36" t="e">
        <f>'All regions'!C925+"$F;@!$2{"</f>
        <v>#VALUE!</v>
      </c>
      <c r="P36" t="e">
        <f>'All regions'!D925+"$F;@!$2|"</f>
        <v>#VALUE!</v>
      </c>
      <c r="Q36" t="e">
        <f>'All regions'!E925+"$F;@!$2}"</f>
        <v>#VALUE!</v>
      </c>
      <c r="R36" t="e">
        <f>'All regions'!F925+"$F;@!$2~"</f>
        <v>#VALUE!</v>
      </c>
      <c r="S36" t="e">
        <f>'All regions'!G925+"$F;@!$3#"</f>
        <v>#VALUE!</v>
      </c>
      <c r="T36" t="e">
        <f>'All regions'!H925+"$F;@!$3$"</f>
        <v>#VALUE!</v>
      </c>
      <c r="U36" t="e">
        <f>'All regions'!I925+"$F;@!$3%"</f>
        <v>#VALUE!</v>
      </c>
      <c r="V36" t="e">
        <f>'All regions'!A926+"$F;@!$3&amp;"</f>
        <v>#VALUE!</v>
      </c>
      <c r="W36" t="e">
        <f>'All regions'!B926+"$F;@!$3'"</f>
        <v>#VALUE!</v>
      </c>
      <c r="X36" t="e">
        <f>'All regions'!C926+"$F;@!$3("</f>
        <v>#VALUE!</v>
      </c>
      <c r="Y36" t="e">
        <f>'All regions'!D926+"$F;@!$3)"</f>
        <v>#VALUE!</v>
      </c>
      <c r="Z36" t="e">
        <f>'All regions'!E926+"$F;@!$3."</f>
        <v>#VALUE!</v>
      </c>
      <c r="AA36" t="e">
        <f>'All regions'!F926+"$F;@!$3/"</f>
        <v>#VALUE!</v>
      </c>
      <c r="AB36" t="e">
        <f>'All regions'!G926+"$F;@!$30"</f>
        <v>#VALUE!</v>
      </c>
      <c r="AC36" t="e">
        <f>'All regions'!H926+"$F;@!$31"</f>
        <v>#VALUE!</v>
      </c>
      <c r="AD36" t="e">
        <f>'All regions'!I926+"$F;@!$32"</f>
        <v>#VALUE!</v>
      </c>
      <c r="AE36" t="e">
        <f>'All regions'!A927+"$F;@!$33"</f>
        <v>#VALUE!</v>
      </c>
      <c r="AF36" t="e">
        <f>'All regions'!B927+"$F;@!$34"</f>
        <v>#VALUE!</v>
      </c>
      <c r="AG36" t="e">
        <f>'All regions'!C927+"$F;@!$35"</f>
        <v>#VALUE!</v>
      </c>
      <c r="AH36" t="e">
        <f>'All regions'!D927+"$F;@!$36"</f>
        <v>#VALUE!</v>
      </c>
      <c r="AI36" t="e">
        <f>'All regions'!E927+"$F;@!$37"</f>
        <v>#VALUE!</v>
      </c>
      <c r="AJ36" t="e">
        <f>'All regions'!F927+"$F;@!$38"</f>
        <v>#VALUE!</v>
      </c>
      <c r="AK36" t="e">
        <f>'All regions'!G927+"$F;@!$39"</f>
        <v>#VALUE!</v>
      </c>
      <c r="AL36" t="e">
        <f>'All regions'!H927+"$F;@!$3:"</f>
        <v>#VALUE!</v>
      </c>
      <c r="AM36" t="e">
        <f>'All regions'!I927+"$F;@!$3;"</f>
        <v>#VALUE!</v>
      </c>
      <c r="AN36" t="e">
        <f>'All regions'!A928+"$F;@!$3&lt;"</f>
        <v>#VALUE!</v>
      </c>
      <c r="AO36" t="e">
        <f>'All regions'!B928+"$F;@!$3="</f>
        <v>#VALUE!</v>
      </c>
      <c r="AP36" t="e">
        <f>'All regions'!C928+"$F;@!$3&gt;"</f>
        <v>#VALUE!</v>
      </c>
      <c r="AQ36" t="e">
        <f>'All regions'!D928+"$F;@!$3?"</f>
        <v>#VALUE!</v>
      </c>
      <c r="AR36" t="e">
        <f>'All regions'!E928+"$F;@!$3@"</f>
        <v>#VALUE!</v>
      </c>
      <c r="AS36" t="e">
        <f>'All regions'!F928+"$F;@!$3A"</f>
        <v>#VALUE!</v>
      </c>
      <c r="AT36" t="e">
        <f>'All regions'!G928+"$F;@!$3B"</f>
        <v>#VALUE!</v>
      </c>
      <c r="AU36" t="e">
        <f>'All regions'!H928+"$F;@!$3C"</f>
        <v>#VALUE!</v>
      </c>
      <c r="AV36" t="e">
        <f>'All regions'!I928+"$F;@!$3D"</f>
        <v>#VALUE!</v>
      </c>
      <c r="AW36" t="e">
        <f>'All regions'!A929+"$F;@!$3E"</f>
        <v>#VALUE!</v>
      </c>
      <c r="AX36" t="e">
        <f>'All regions'!B929+"$F;@!$3F"</f>
        <v>#VALUE!</v>
      </c>
      <c r="AY36" t="e">
        <f>'All regions'!C929+"$F;@!$3G"</f>
        <v>#VALUE!</v>
      </c>
      <c r="AZ36" t="e">
        <f>'All regions'!D929+"$F;@!$3H"</f>
        <v>#VALUE!</v>
      </c>
      <c r="BA36" t="e">
        <f>'All regions'!E929+"$F;@!$3I"</f>
        <v>#VALUE!</v>
      </c>
      <c r="BB36" t="e">
        <f>'All regions'!F929+"$F;@!$3J"</f>
        <v>#VALUE!</v>
      </c>
      <c r="BC36" t="e">
        <f>'All regions'!G929+"$F;@!$3K"</f>
        <v>#VALUE!</v>
      </c>
      <c r="BD36" t="e">
        <f>'All regions'!H929+"$F;@!$3L"</f>
        <v>#VALUE!</v>
      </c>
      <c r="BE36" t="e">
        <f>'All regions'!I929+"$F;@!$3M"</f>
        <v>#VALUE!</v>
      </c>
      <c r="BF36" t="e">
        <f>'All regions'!A930+"$F;@!$3N"</f>
        <v>#VALUE!</v>
      </c>
      <c r="BG36" t="e">
        <f>'All regions'!B930+"$F;@!$3O"</f>
        <v>#VALUE!</v>
      </c>
      <c r="BH36" t="e">
        <f>'All regions'!C930+"$F;@!$3P"</f>
        <v>#VALUE!</v>
      </c>
      <c r="BI36" t="e">
        <f>'All regions'!D930+"$F;@!$3Q"</f>
        <v>#VALUE!</v>
      </c>
      <c r="BJ36" t="e">
        <f>'All regions'!E930+"$F;@!$3R"</f>
        <v>#VALUE!</v>
      </c>
      <c r="BK36" t="e">
        <f>'All regions'!F930+"$F;@!$3S"</f>
        <v>#VALUE!</v>
      </c>
      <c r="BL36" t="e">
        <f>'All regions'!G930+"$F;@!$3T"</f>
        <v>#VALUE!</v>
      </c>
      <c r="BM36" t="e">
        <f>'All regions'!H930+"$F;@!$3U"</f>
        <v>#VALUE!</v>
      </c>
      <c r="BN36" t="e">
        <f>'All regions'!I930+"$F;@!$3V"</f>
        <v>#VALUE!</v>
      </c>
      <c r="BO36" t="e">
        <f>'All regions'!A931+"$F;@!$3W"</f>
        <v>#VALUE!</v>
      </c>
      <c r="BP36" t="e">
        <f>'All regions'!B931+"$F;@!$3X"</f>
        <v>#VALUE!</v>
      </c>
      <c r="BQ36" t="e">
        <f>'All regions'!C931+"$F;@!$3Y"</f>
        <v>#VALUE!</v>
      </c>
      <c r="BR36" t="e">
        <f>'All regions'!D931+"$F;@!$3Z"</f>
        <v>#VALUE!</v>
      </c>
      <c r="BS36" t="e">
        <f>'All regions'!E931+"$F;@!$3["</f>
        <v>#VALUE!</v>
      </c>
      <c r="BT36" t="e">
        <f>'All regions'!F931+"$F;@!$3\"</f>
        <v>#VALUE!</v>
      </c>
      <c r="BU36" t="e">
        <f>'All regions'!G931+"$F;@!$3]"</f>
        <v>#VALUE!</v>
      </c>
      <c r="BV36" t="e">
        <f>'All regions'!H931+"$F;@!$3^"</f>
        <v>#VALUE!</v>
      </c>
      <c r="BW36" t="e">
        <f>'All regions'!I931+"$F;@!$3_"</f>
        <v>#VALUE!</v>
      </c>
      <c r="BX36" t="e">
        <f>'All regions'!A932+"$F;@!$3`"</f>
        <v>#VALUE!</v>
      </c>
      <c r="BY36" t="e">
        <f>'All regions'!B932+"$F;@!$3a"</f>
        <v>#VALUE!</v>
      </c>
      <c r="BZ36" t="e">
        <f>'All regions'!C932+"$F;@!$3b"</f>
        <v>#VALUE!</v>
      </c>
      <c r="CA36" t="e">
        <f>'All regions'!D932+"$F;@!$3c"</f>
        <v>#VALUE!</v>
      </c>
      <c r="CB36" t="e">
        <f>'All regions'!E932+"$F;@!$3d"</f>
        <v>#VALUE!</v>
      </c>
      <c r="CC36" t="e">
        <f>'All regions'!F932+"$F;@!$3e"</f>
        <v>#VALUE!</v>
      </c>
      <c r="CD36" t="e">
        <f>'All regions'!G932+"$F;@!$3f"</f>
        <v>#VALUE!</v>
      </c>
      <c r="CE36" t="e">
        <f>'All regions'!H932+"$F;@!$3g"</f>
        <v>#VALUE!</v>
      </c>
      <c r="CF36" t="e">
        <f>'All regions'!I932+"$F;@!$3h"</f>
        <v>#VALUE!</v>
      </c>
      <c r="CG36" t="e">
        <f>'All regions'!A933+"$F;@!$3i"</f>
        <v>#VALUE!</v>
      </c>
      <c r="CH36" t="e">
        <f>'All regions'!B933+"$F;@!$3j"</f>
        <v>#VALUE!</v>
      </c>
      <c r="CI36" t="e">
        <f>'All regions'!C933+"$F;@!$3k"</f>
        <v>#VALUE!</v>
      </c>
      <c r="CJ36" t="e">
        <f>'All regions'!D933+"$F;@!$3l"</f>
        <v>#VALUE!</v>
      </c>
      <c r="CK36" t="e">
        <f>'All regions'!E933+"$F;@!$3m"</f>
        <v>#VALUE!</v>
      </c>
      <c r="CL36" t="e">
        <f>'All regions'!F933+"$F;@!$3n"</f>
        <v>#VALUE!</v>
      </c>
      <c r="CM36" t="e">
        <f>'All regions'!G933+"$F;@!$3o"</f>
        <v>#VALUE!</v>
      </c>
      <c r="CN36" t="e">
        <f>'All regions'!H933+"$F;@!$3p"</f>
        <v>#VALUE!</v>
      </c>
      <c r="CO36" t="e">
        <f>'All regions'!I933+"$F;@!$3q"</f>
        <v>#VALUE!</v>
      </c>
      <c r="CP36" t="e">
        <f>'All regions'!A934+"$F;@!$3r"</f>
        <v>#VALUE!</v>
      </c>
      <c r="CQ36" t="e">
        <f>'All regions'!B934+"$F;@!$3s"</f>
        <v>#VALUE!</v>
      </c>
      <c r="CR36" t="e">
        <f>'All regions'!C934+"$F;@!$3t"</f>
        <v>#VALUE!</v>
      </c>
      <c r="CS36" t="e">
        <f>'All regions'!D934+"$F;@!$3u"</f>
        <v>#VALUE!</v>
      </c>
      <c r="CT36" t="e">
        <f>'All regions'!E934+"$F;@!$3v"</f>
        <v>#VALUE!</v>
      </c>
      <c r="CU36" t="e">
        <f>'All regions'!F934+"$F;@!$3w"</f>
        <v>#VALUE!</v>
      </c>
      <c r="CV36" t="e">
        <f>'All regions'!G934+"$F;@!$3x"</f>
        <v>#VALUE!</v>
      </c>
      <c r="CW36" t="e">
        <f>'All regions'!H934+"$F;@!$3y"</f>
        <v>#VALUE!</v>
      </c>
      <c r="CX36" t="e">
        <f>'All regions'!I934+"$F;@!$3z"</f>
        <v>#VALUE!</v>
      </c>
      <c r="CY36" t="e">
        <f>'All regions'!A935+"$F;@!$3{"</f>
        <v>#VALUE!</v>
      </c>
      <c r="CZ36" t="e">
        <f>'All regions'!B935+"$F;@!$3|"</f>
        <v>#VALUE!</v>
      </c>
      <c r="DA36" t="e">
        <f>'All regions'!C935+"$F;@!$3}"</f>
        <v>#VALUE!</v>
      </c>
      <c r="DB36" t="e">
        <f>'All regions'!D935+"$F;@!$3~"</f>
        <v>#VALUE!</v>
      </c>
      <c r="DC36" t="e">
        <f>'All regions'!E935+"$F;@!$4#"</f>
        <v>#VALUE!</v>
      </c>
      <c r="DD36" t="e">
        <f>'All regions'!F935+"$F;@!$4$"</f>
        <v>#VALUE!</v>
      </c>
      <c r="DE36" t="e">
        <f>'All regions'!G935+"$F;@!$4%"</f>
        <v>#VALUE!</v>
      </c>
      <c r="DF36" t="e">
        <f>'All regions'!H935+"$F;@!$4&amp;"</f>
        <v>#VALUE!</v>
      </c>
      <c r="DG36" t="e">
        <f>'All regions'!I935+"$F;@!$4'"</f>
        <v>#VALUE!</v>
      </c>
      <c r="DH36" t="e">
        <f>'All regions'!A936+"$F;@!$4("</f>
        <v>#VALUE!</v>
      </c>
      <c r="DI36" t="e">
        <f>'All regions'!B936+"$F;@!$4)"</f>
        <v>#VALUE!</v>
      </c>
      <c r="DJ36" t="e">
        <f>'All regions'!C936+"$F;@!$4."</f>
        <v>#VALUE!</v>
      </c>
      <c r="DK36" t="e">
        <f>'All regions'!D936+"$F;@!$4/"</f>
        <v>#VALUE!</v>
      </c>
      <c r="DL36" t="e">
        <f>'All regions'!E936+"$F;@!$40"</f>
        <v>#VALUE!</v>
      </c>
      <c r="DM36" t="e">
        <f>'All regions'!F936+"$F;@!$41"</f>
        <v>#VALUE!</v>
      </c>
      <c r="DN36" t="e">
        <f>'All regions'!G936+"$F;@!$42"</f>
        <v>#VALUE!</v>
      </c>
      <c r="DO36" t="e">
        <f>'All regions'!H936+"$F;@!$43"</f>
        <v>#VALUE!</v>
      </c>
      <c r="DP36" t="e">
        <f>'All regions'!I936+"$F;@!$44"</f>
        <v>#VALUE!</v>
      </c>
      <c r="DQ36" t="e">
        <f>'All regions'!A937+"$F;@!$45"</f>
        <v>#VALUE!</v>
      </c>
      <c r="DR36" t="e">
        <f>'All regions'!B937+"$F;@!$46"</f>
        <v>#VALUE!</v>
      </c>
      <c r="DS36" t="e">
        <f>'All regions'!C937+"$F;@!$47"</f>
        <v>#VALUE!</v>
      </c>
      <c r="DT36" t="e">
        <f>'All regions'!D937+"$F;@!$48"</f>
        <v>#VALUE!</v>
      </c>
      <c r="DU36" t="e">
        <f>'All regions'!E937+"$F;@!$49"</f>
        <v>#VALUE!</v>
      </c>
      <c r="DV36" t="e">
        <f>'All regions'!F937+"$F;@!$4:"</f>
        <v>#VALUE!</v>
      </c>
      <c r="DW36" t="e">
        <f>'All regions'!G937+"$F;@!$4;"</f>
        <v>#VALUE!</v>
      </c>
      <c r="DX36" t="e">
        <f>'All regions'!H937+"$F;@!$4&lt;"</f>
        <v>#VALUE!</v>
      </c>
      <c r="DY36" t="e">
        <f>'All regions'!I937+"$F;@!$4="</f>
        <v>#VALUE!</v>
      </c>
      <c r="DZ36" t="e">
        <f>'All regions'!A938+"$F;@!$4&gt;"</f>
        <v>#VALUE!</v>
      </c>
      <c r="EA36" t="e">
        <f>'All regions'!B938+"$F;@!$4?"</f>
        <v>#VALUE!</v>
      </c>
      <c r="EB36" t="e">
        <f>'All regions'!C938+"$F;@!$4@"</f>
        <v>#VALUE!</v>
      </c>
      <c r="EC36" t="e">
        <f>'All regions'!D938+"$F;@!$4A"</f>
        <v>#VALUE!</v>
      </c>
      <c r="ED36" t="e">
        <f>'All regions'!E938+"$F;@!$4B"</f>
        <v>#VALUE!</v>
      </c>
      <c r="EE36" t="e">
        <f>'All regions'!F938+"$F;@!$4C"</f>
        <v>#VALUE!</v>
      </c>
      <c r="EF36" t="e">
        <f>'All regions'!G938+"$F;@!$4D"</f>
        <v>#VALUE!</v>
      </c>
      <c r="EG36" t="e">
        <f>'All regions'!H938+"$F;@!$4E"</f>
        <v>#VALUE!</v>
      </c>
      <c r="EH36" t="e">
        <f>'All regions'!I938+"$F;@!$4F"</f>
        <v>#VALUE!</v>
      </c>
      <c r="EI36" t="e">
        <f>'All regions'!A939+"$F;@!$4G"</f>
        <v>#VALUE!</v>
      </c>
      <c r="EJ36" t="e">
        <f>'All regions'!B939+"$F;@!$4H"</f>
        <v>#VALUE!</v>
      </c>
      <c r="EK36" t="e">
        <f>'All regions'!C939+"$F;@!$4I"</f>
        <v>#VALUE!</v>
      </c>
      <c r="EL36" t="e">
        <f>'All regions'!D939+"$F;@!$4J"</f>
        <v>#VALUE!</v>
      </c>
      <c r="EM36" t="e">
        <f>'All regions'!E939+"$F;@!$4K"</f>
        <v>#VALUE!</v>
      </c>
      <c r="EN36" t="e">
        <f>'All regions'!F939+"$F;@!$4L"</f>
        <v>#VALUE!</v>
      </c>
      <c r="EO36" t="e">
        <f>'All regions'!G939+"$F;@!$4M"</f>
        <v>#VALUE!</v>
      </c>
      <c r="EP36" t="e">
        <f>'All regions'!H939+"$F;@!$4N"</f>
        <v>#VALUE!</v>
      </c>
      <c r="EQ36" t="e">
        <f>'All regions'!I939+"$F;@!$4O"</f>
        <v>#VALUE!</v>
      </c>
      <c r="ER36" t="e">
        <f>'All regions'!A940+"$F;@!$4P"</f>
        <v>#VALUE!</v>
      </c>
      <c r="ES36" t="e">
        <f>'All regions'!B940+"$F;@!$4Q"</f>
        <v>#VALUE!</v>
      </c>
      <c r="ET36" t="e">
        <f>'All regions'!C940+"$F;@!$4R"</f>
        <v>#VALUE!</v>
      </c>
      <c r="EU36" t="e">
        <f>'All regions'!D940+"$F;@!$4S"</f>
        <v>#VALUE!</v>
      </c>
      <c r="EV36" t="e">
        <f>'All regions'!E940+"$F;@!$4T"</f>
        <v>#VALUE!</v>
      </c>
      <c r="EW36" t="e">
        <f>'All regions'!F940+"$F;@!$4U"</f>
        <v>#VALUE!</v>
      </c>
      <c r="EX36" t="e">
        <f>'All regions'!G940+"$F;@!$4V"</f>
        <v>#VALUE!</v>
      </c>
      <c r="EY36" t="e">
        <f>'All regions'!H940+"$F;@!$4W"</f>
        <v>#VALUE!</v>
      </c>
      <c r="EZ36" t="e">
        <f>'All regions'!I940+"$F;@!$4X"</f>
        <v>#VALUE!</v>
      </c>
      <c r="FA36" t="e">
        <f>'All regions'!A941+"$F;@!$4Y"</f>
        <v>#VALUE!</v>
      </c>
      <c r="FB36" t="e">
        <f>'All regions'!B941+"$F;@!$4Z"</f>
        <v>#VALUE!</v>
      </c>
      <c r="FC36" t="e">
        <f>'All regions'!C941+"$F;@!$4["</f>
        <v>#VALUE!</v>
      </c>
      <c r="FD36" t="e">
        <f>'All regions'!D941+"$F;@!$4\"</f>
        <v>#VALUE!</v>
      </c>
      <c r="FE36" t="e">
        <f>'All regions'!E941+"$F;@!$4]"</f>
        <v>#VALUE!</v>
      </c>
      <c r="FF36" t="e">
        <f>'All regions'!F941+"$F;@!$4^"</f>
        <v>#VALUE!</v>
      </c>
      <c r="FG36" t="e">
        <f>'All regions'!G941+"$F;@!$4_"</f>
        <v>#VALUE!</v>
      </c>
      <c r="FH36" t="e">
        <f>'All regions'!H941+"$F;@!$4`"</f>
        <v>#VALUE!</v>
      </c>
      <c r="FI36" t="e">
        <f>'All regions'!I941+"$F;@!$4a"</f>
        <v>#VALUE!</v>
      </c>
      <c r="FJ36" t="e">
        <f>'All regions'!A942+"$F;@!$4b"</f>
        <v>#VALUE!</v>
      </c>
      <c r="FK36" t="e">
        <f>'All regions'!B942+"$F;@!$4c"</f>
        <v>#VALUE!</v>
      </c>
      <c r="FL36" t="e">
        <f>'All regions'!C942+"$F;@!$4d"</f>
        <v>#VALUE!</v>
      </c>
      <c r="FM36" t="e">
        <f>'All regions'!D942+"$F;@!$4e"</f>
        <v>#VALUE!</v>
      </c>
      <c r="FN36" t="e">
        <f>'All regions'!E942+"$F;@!$4f"</f>
        <v>#VALUE!</v>
      </c>
      <c r="FO36" t="e">
        <f>'All regions'!F942+"$F;@!$4g"</f>
        <v>#VALUE!</v>
      </c>
      <c r="FP36" t="e">
        <f>'All regions'!G942+"$F;@!$4h"</f>
        <v>#VALUE!</v>
      </c>
      <c r="FQ36" t="e">
        <f>'All regions'!H942+"$F;@!$4i"</f>
        <v>#VALUE!</v>
      </c>
      <c r="FR36" t="e">
        <f>'All regions'!I942+"$F;@!$4j"</f>
        <v>#VALUE!</v>
      </c>
      <c r="FS36" t="e">
        <f>'All regions'!A943+"$F;@!$4k"</f>
        <v>#VALUE!</v>
      </c>
      <c r="FT36" t="e">
        <f>'All regions'!B943+"$F;@!$4l"</f>
        <v>#VALUE!</v>
      </c>
      <c r="FU36" t="e">
        <f>'All regions'!C943+"$F;@!$4m"</f>
        <v>#VALUE!</v>
      </c>
      <c r="FV36" t="e">
        <f>'All regions'!D943+"$F;@!$4n"</f>
        <v>#VALUE!</v>
      </c>
      <c r="FW36" t="e">
        <f>'All regions'!E943+"$F;@!$4o"</f>
        <v>#VALUE!</v>
      </c>
      <c r="FX36" t="e">
        <f>'All regions'!F943+"$F;@!$4p"</f>
        <v>#VALUE!</v>
      </c>
      <c r="FY36" t="e">
        <f>'All regions'!G943+"$F;@!$4q"</f>
        <v>#VALUE!</v>
      </c>
      <c r="FZ36" t="e">
        <f>'All regions'!H943+"$F;@!$4r"</f>
        <v>#VALUE!</v>
      </c>
      <c r="GA36" t="e">
        <f>'All regions'!I943+"$F;@!$4s"</f>
        <v>#VALUE!</v>
      </c>
      <c r="GB36" t="e">
        <f>'All regions'!A944+"$F;@!$4t"</f>
        <v>#VALUE!</v>
      </c>
      <c r="GC36" t="e">
        <f>'All regions'!B944+"$F;@!$4u"</f>
        <v>#VALUE!</v>
      </c>
      <c r="GD36" t="e">
        <f>'All regions'!C944+"$F;@!$4v"</f>
        <v>#VALUE!</v>
      </c>
      <c r="GE36" t="e">
        <f>'All regions'!D944+"$F;@!$4w"</f>
        <v>#VALUE!</v>
      </c>
      <c r="GF36" t="e">
        <f>'All regions'!E944+"$F;@!$4x"</f>
        <v>#VALUE!</v>
      </c>
      <c r="GG36" t="e">
        <f>'All regions'!F944+"$F;@!$4y"</f>
        <v>#VALUE!</v>
      </c>
      <c r="GH36" t="e">
        <f>'All regions'!G944+"$F;@!$4z"</f>
        <v>#VALUE!</v>
      </c>
      <c r="GI36" t="e">
        <f>'All regions'!H944+"$F;@!$4{"</f>
        <v>#VALUE!</v>
      </c>
      <c r="GJ36" t="e">
        <f>'All regions'!I944+"$F;@!$4|"</f>
        <v>#VALUE!</v>
      </c>
      <c r="GK36" t="e">
        <f>'All regions'!A945+"$F;@!$4}"</f>
        <v>#VALUE!</v>
      </c>
      <c r="GL36" t="e">
        <f>'All regions'!B945+"$F;@!$4~"</f>
        <v>#VALUE!</v>
      </c>
      <c r="GM36" t="e">
        <f>'All regions'!C945+"$F;@!$5#"</f>
        <v>#VALUE!</v>
      </c>
      <c r="GN36" t="e">
        <f>'All regions'!D945+"$F;@!$5$"</f>
        <v>#VALUE!</v>
      </c>
      <c r="GO36" t="e">
        <f>'All regions'!E945+"$F;@!$5%"</f>
        <v>#VALUE!</v>
      </c>
      <c r="GP36" t="e">
        <f>'All regions'!F945+"$F;@!$5&amp;"</f>
        <v>#VALUE!</v>
      </c>
      <c r="GQ36" t="e">
        <f>'All regions'!G945+"$F;@!$5'"</f>
        <v>#VALUE!</v>
      </c>
      <c r="GR36" t="e">
        <f>'All regions'!H945+"$F;@!$5("</f>
        <v>#VALUE!</v>
      </c>
      <c r="GS36" t="e">
        <f>'All regions'!I945+"$F;@!$5)"</f>
        <v>#VALUE!</v>
      </c>
      <c r="GT36" t="e">
        <f>'All regions'!A946+"$F;@!$5."</f>
        <v>#VALUE!</v>
      </c>
      <c r="GU36" t="e">
        <f>'All regions'!B946+"$F;@!$5/"</f>
        <v>#VALUE!</v>
      </c>
      <c r="GV36" t="e">
        <f>'All regions'!C946+"$F;@!$50"</f>
        <v>#VALUE!</v>
      </c>
      <c r="GW36" t="e">
        <f>'All regions'!D946+"$F;@!$51"</f>
        <v>#VALUE!</v>
      </c>
      <c r="GX36" t="e">
        <f>'All regions'!E946+"$F;@!$52"</f>
        <v>#VALUE!</v>
      </c>
      <c r="GY36" t="e">
        <f>'All regions'!F946+"$F;@!$53"</f>
        <v>#VALUE!</v>
      </c>
      <c r="GZ36" t="e">
        <f>'All regions'!G946+"$F;@!$54"</f>
        <v>#VALUE!</v>
      </c>
      <c r="HA36" t="e">
        <f>'All regions'!H946+"$F;@!$55"</f>
        <v>#VALUE!</v>
      </c>
      <c r="HB36" t="e">
        <f>'All regions'!I946+"$F;@!$56"</f>
        <v>#VALUE!</v>
      </c>
      <c r="HC36" t="e">
        <f>'All regions'!A947+"$F;@!$57"</f>
        <v>#VALUE!</v>
      </c>
      <c r="HD36" t="e">
        <f>'All regions'!B947+"$F;@!$58"</f>
        <v>#VALUE!</v>
      </c>
      <c r="HE36" t="e">
        <f>'All regions'!C947+"$F;@!$59"</f>
        <v>#VALUE!</v>
      </c>
      <c r="HF36" t="e">
        <f>'All regions'!D947+"$F;@!$5:"</f>
        <v>#VALUE!</v>
      </c>
      <c r="HG36" t="e">
        <f>'All regions'!E947+"$F;@!$5;"</f>
        <v>#VALUE!</v>
      </c>
      <c r="HH36" t="e">
        <f>'All regions'!F947+"$F;@!$5&lt;"</f>
        <v>#VALUE!</v>
      </c>
      <c r="HI36" t="e">
        <f>'All regions'!G947+"$F;@!$5="</f>
        <v>#VALUE!</v>
      </c>
      <c r="HJ36" t="e">
        <f>'All regions'!H947+"$F;@!$5&gt;"</f>
        <v>#VALUE!</v>
      </c>
      <c r="HK36" t="e">
        <f>'All regions'!I947+"$F;@!$5?"</f>
        <v>#VALUE!</v>
      </c>
      <c r="HL36" t="e">
        <f>'All regions'!A948+"$F;@!$5@"</f>
        <v>#VALUE!</v>
      </c>
      <c r="HM36" t="e">
        <f>'All regions'!B948+"$F;@!$5A"</f>
        <v>#VALUE!</v>
      </c>
      <c r="HN36" t="e">
        <f>'All regions'!C948+"$F;@!$5B"</f>
        <v>#VALUE!</v>
      </c>
      <c r="HO36" t="e">
        <f>'All regions'!D948+"$F;@!$5C"</f>
        <v>#VALUE!</v>
      </c>
      <c r="HP36" t="e">
        <f>'All regions'!E948+"$F;@!$5D"</f>
        <v>#VALUE!</v>
      </c>
      <c r="HQ36" t="e">
        <f>'All regions'!F948+"$F;@!$5E"</f>
        <v>#VALUE!</v>
      </c>
      <c r="HR36" t="e">
        <f>'All regions'!G948+"$F;@!$5F"</f>
        <v>#VALUE!</v>
      </c>
      <c r="HS36" t="e">
        <f>'All regions'!H948+"$F;@!$5G"</f>
        <v>#VALUE!</v>
      </c>
      <c r="HT36" t="e">
        <f>'All regions'!I948+"$F;@!$5H"</f>
        <v>#VALUE!</v>
      </c>
      <c r="HU36" t="e">
        <f>'All regions'!A949+"$F;@!$5I"</f>
        <v>#VALUE!</v>
      </c>
      <c r="HV36" t="e">
        <f>'All regions'!B949+"$F;@!$5J"</f>
        <v>#VALUE!</v>
      </c>
      <c r="HW36" t="e">
        <f>'All regions'!C949+"$F;@!$5K"</f>
        <v>#VALUE!</v>
      </c>
      <c r="HX36" t="e">
        <f>'All regions'!D949+"$F;@!$5L"</f>
        <v>#VALUE!</v>
      </c>
      <c r="HY36" t="e">
        <f>'All regions'!E949+"$F;@!$5M"</f>
        <v>#VALUE!</v>
      </c>
      <c r="HZ36" t="e">
        <f>'All regions'!F949+"$F;@!$5N"</f>
        <v>#VALUE!</v>
      </c>
      <c r="IA36" t="e">
        <f>'All regions'!G949+"$F;@!$5O"</f>
        <v>#VALUE!</v>
      </c>
      <c r="IB36" t="e">
        <f>'All regions'!H949+"$F;@!$5P"</f>
        <v>#VALUE!</v>
      </c>
      <c r="IC36" t="e">
        <f>'All regions'!I949+"$F;@!$5Q"</f>
        <v>#VALUE!</v>
      </c>
      <c r="ID36" t="e">
        <f>'All regions'!A950+"$F;@!$5R"</f>
        <v>#VALUE!</v>
      </c>
      <c r="IE36" t="e">
        <f>'All regions'!B950+"$F;@!$5S"</f>
        <v>#VALUE!</v>
      </c>
      <c r="IF36" t="e">
        <f>'All regions'!C950+"$F;@!$5T"</f>
        <v>#VALUE!</v>
      </c>
      <c r="IG36" t="e">
        <f>'All regions'!D950+"$F;@!$5U"</f>
        <v>#VALUE!</v>
      </c>
      <c r="IH36" t="e">
        <f>'All regions'!E950+"$F;@!$5V"</f>
        <v>#VALUE!</v>
      </c>
      <c r="II36" t="e">
        <f>'All regions'!F950+"$F;@!$5W"</f>
        <v>#VALUE!</v>
      </c>
      <c r="IJ36" t="e">
        <f>'All regions'!G950+"$F;@!$5X"</f>
        <v>#VALUE!</v>
      </c>
      <c r="IK36" t="e">
        <f>'All regions'!H950+"$F;@!$5Y"</f>
        <v>#VALUE!</v>
      </c>
      <c r="IL36" t="e">
        <f>'All regions'!I950+"$F;@!$5Z"</f>
        <v>#VALUE!</v>
      </c>
      <c r="IM36" t="e">
        <f>'All regions'!A951+"$F;@!$5["</f>
        <v>#VALUE!</v>
      </c>
      <c r="IN36" t="e">
        <f>'All regions'!B951+"$F;@!$5\"</f>
        <v>#VALUE!</v>
      </c>
      <c r="IO36" t="e">
        <f>'All regions'!C951+"$F;@!$5]"</f>
        <v>#VALUE!</v>
      </c>
      <c r="IP36" t="e">
        <f>'All regions'!D951+"$F;@!$5^"</f>
        <v>#VALUE!</v>
      </c>
      <c r="IQ36" t="e">
        <f>'All regions'!E951+"$F;@!$5_"</f>
        <v>#VALUE!</v>
      </c>
      <c r="IR36" t="e">
        <f>'All regions'!F951+"$F;@!$5`"</f>
        <v>#VALUE!</v>
      </c>
      <c r="IS36" t="e">
        <f>'All regions'!G951+"$F;@!$5a"</f>
        <v>#VALUE!</v>
      </c>
      <c r="IT36" t="e">
        <f>'All regions'!H951+"$F;@!$5b"</f>
        <v>#VALUE!</v>
      </c>
      <c r="IU36" t="e">
        <f>'All regions'!I951+"$F;@!$5c"</f>
        <v>#VALUE!</v>
      </c>
      <c r="IV36" t="e">
        <f>'All regions'!A952+"$F;@!$5d"</f>
        <v>#VALUE!</v>
      </c>
    </row>
    <row r="37" spans="6:256" x14ac:dyDescent="0.35">
      <c r="F37" t="e">
        <f>'All regions'!B952+"$F;@!$5e"</f>
        <v>#VALUE!</v>
      </c>
      <c r="G37" t="e">
        <f>'All regions'!C952+"$F;@!$5f"</f>
        <v>#VALUE!</v>
      </c>
      <c r="H37" t="e">
        <f>'All regions'!D952+"$F;@!$5g"</f>
        <v>#VALUE!</v>
      </c>
      <c r="I37" t="e">
        <f>'All regions'!E952+"$F;@!$5h"</f>
        <v>#VALUE!</v>
      </c>
      <c r="J37" t="e">
        <f>'All regions'!F952+"$F;@!$5i"</f>
        <v>#VALUE!</v>
      </c>
      <c r="K37" t="e">
        <f>'All regions'!G952+"$F;@!$5j"</f>
        <v>#VALUE!</v>
      </c>
      <c r="L37" t="e">
        <f>'All regions'!H952+"$F;@!$5k"</f>
        <v>#VALUE!</v>
      </c>
      <c r="M37" t="e">
        <f>'All regions'!I952+"$F;@!$5l"</f>
        <v>#VALUE!</v>
      </c>
      <c r="N37" t="e">
        <f>'All regions'!A953+"$F;@!$5m"</f>
        <v>#VALUE!</v>
      </c>
      <c r="O37" t="e">
        <f>'All regions'!B953+"$F;@!$5n"</f>
        <v>#VALUE!</v>
      </c>
      <c r="P37" t="e">
        <f>'All regions'!C953+"$F;@!$5o"</f>
        <v>#VALUE!</v>
      </c>
      <c r="Q37" t="e">
        <f>'All regions'!D953+"$F;@!$5p"</f>
        <v>#VALUE!</v>
      </c>
      <c r="R37" t="e">
        <f>'All regions'!E953+"$F;@!$5q"</f>
        <v>#VALUE!</v>
      </c>
      <c r="S37" t="e">
        <f>'All regions'!F953+"$F;@!$5r"</f>
        <v>#VALUE!</v>
      </c>
      <c r="T37" t="e">
        <f>'All regions'!G953+"$F;@!$5s"</f>
        <v>#VALUE!</v>
      </c>
      <c r="U37" t="e">
        <f>'All regions'!H953+"$F;@!$5t"</f>
        <v>#VALUE!</v>
      </c>
      <c r="V37" t="e">
        <f>'All regions'!I953+"$F;@!$5u"</f>
        <v>#VALUE!</v>
      </c>
      <c r="W37" t="e">
        <f>'All regions'!A954+"$F;@!$5v"</f>
        <v>#VALUE!</v>
      </c>
      <c r="X37" t="e">
        <f>'All regions'!B954+"$F;@!$5w"</f>
        <v>#VALUE!</v>
      </c>
      <c r="Y37" t="e">
        <f>'All regions'!C954+"$F;@!$5x"</f>
        <v>#VALUE!</v>
      </c>
      <c r="Z37" t="e">
        <f>'All regions'!D954+"$F;@!$5y"</f>
        <v>#VALUE!</v>
      </c>
      <c r="AA37" t="e">
        <f>'All regions'!E954+"$F;@!$5z"</f>
        <v>#VALUE!</v>
      </c>
      <c r="AB37" t="e">
        <f>'All regions'!F954+"$F;@!$5{"</f>
        <v>#VALUE!</v>
      </c>
      <c r="AC37" t="e">
        <f>'All regions'!G954+"$F;@!$5|"</f>
        <v>#VALUE!</v>
      </c>
      <c r="AD37" t="e">
        <f>'All regions'!H954+"$F;@!$5}"</f>
        <v>#VALUE!</v>
      </c>
      <c r="AE37" t="e">
        <f>'All regions'!I954+"$F;@!$5~"</f>
        <v>#VALUE!</v>
      </c>
      <c r="AF37" t="e">
        <f>'All regions'!A955+"$F;@!$6#"</f>
        <v>#VALUE!</v>
      </c>
      <c r="AG37" t="e">
        <f>'All regions'!B955+"$F;@!$6$"</f>
        <v>#VALUE!</v>
      </c>
      <c r="AH37" t="e">
        <f>'All regions'!C955+"$F;@!$6%"</f>
        <v>#VALUE!</v>
      </c>
      <c r="AI37" t="e">
        <f>'All regions'!D955+"$F;@!$6&amp;"</f>
        <v>#VALUE!</v>
      </c>
      <c r="AJ37" t="e">
        <f>'All regions'!E955+"$F;@!$6'"</f>
        <v>#VALUE!</v>
      </c>
      <c r="AK37" t="e">
        <f>'All regions'!F955+"$F;@!$6("</f>
        <v>#VALUE!</v>
      </c>
      <c r="AL37" t="e">
        <f>'All regions'!G955+"$F;@!$6)"</f>
        <v>#VALUE!</v>
      </c>
      <c r="AM37" t="e">
        <f>'All regions'!H955+"$F;@!$6."</f>
        <v>#VALUE!</v>
      </c>
      <c r="AN37" t="e">
        <f>'All regions'!I955+"$F;@!$6/"</f>
        <v>#VALUE!</v>
      </c>
      <c r="AO37" t="e">
        <f>'All regions'!A956+"$F;@!$60"</f>
        <v>#VALUE!</v>
      </c>
      <c r="AP37" t="e">
        <f>'All regions'!B956+"$F;@!$61"</f>
        <v>#VALUE!</v>
      </c>
      <c r="AQ37" t="e">
        <f>'All regions'!C956+"$F;@!$62"</f>
        <v>#VALUE!</v>
      </c>
      <c r="AR37" t="e">
        <f>'All regions'!D956+"$F;@!$63"</f>
        <v>#VALUE!</v>
      </c>
      <c r="AS37" t="e">
        <f>'All regions'!E956+"$F;@!$64"</f>
        <v>#VALUE!</v>
      </c>
      <c r="AT37" t="e">
        <f>'All regions'!F956+"$F;@!$65"</f>
        <v>#VALUE!</v>
      </c>
      <c r="AU37" t="e">
        <f>'All regions'!G956+"$F;@!$66"</f>
        <v>#VALUE!</v>
      </c>
      <c r="AV37" t="e">
        <f>'All regions'!H956+"$F;@!$67"</f>
        <v>#VALUE!</v>
      </c>
      <c r="AW37" t="e">
        <f>'All regions'!I956+"$F;@!$68"</f>
        <v>#VALUE!</v>
      </c>
      <c r="AX37" t="e">
        <f>'All regions'!A957+"$F;@!$69"</f>
        <v>#VALUE!</v>
      </c>
      <c r="AY37" t="e">
        <f>'All regions'!B957+"$F;@!$6:"</f>
        <v>#VALUE!</v>
      </c>
      <c r="AZ37" t="e">
        <f>'All regions'!C957+"$F;@!$6;"</f>
        <v>#VALUE!</v>
      </c>
      <c r="BA37" t="e">
        <f>'All regions'!D957+"$F;@!$6&lt;"</f>
        <v>#VALUE!</v>
      </c>
      <c r="BB37" t="e">
        <f>'All regions'!E957+"$F;@!$6="</f>
        <v>#VALUE!</v>
      </c>
      <c r="BC37" t="e">
        <f>'All regions'!F957+"$F;@!$6&gt;"</f>
        <v>#VALUE!</v>
      </c>
      <c r="BD37" t="e">
        <f>'All regions'!G957+"$F;@!$6?"</f>
        <v>#VALUE!</v>
      </c>
      <c r="BE37" t="e">
        <f>'All regions'!H957+"$F;@!$6@"</f>
        <v>#VALUE!</v>
      </c>
      <c r="BF37" t="e">
        <f>'All regions'!I957+"$F;@!$6A"</f>
        <v>#VALUE!</v>
      </c>
      <c r="BG37" t="e">
        <f>'All regions'!A958+"$F;@!$6B"</f>
        <v>#VALUE!</v>
      </c>
      <c r="BH37" t="e">
        <f>'All regions'!B958+"$F;@!$6C"</f>
        <v>#VALUE!</v>
      </c>
      <c r="BI37" t="e">
        <f>'All regions'!C958+"$F;@!$6D"</f>
        <v>#VALUE!</v>
      </c>
      <c r="BJ37" t="e">
        <f>'All regions'!D958+"$F;@!$6E"</f>
        <v>#VALUE!</v>
      </c>
      <c r="BK37" t="e">
        <f>'All regions'!E958+"$F;@!$6F"</f>
        <v>#VALUE!</v>
      </c>
      <c r="BL37" t="e">
        <f>'All regions'!F958+"$F;@!$6G"</f>
        <v>#VALUE!</v>
      </c>
      <c r="BM37" t="e">
        <f>'All regions'!G958+"$F;@!$6H"</f>
        <v>#VALUE!</v>
      </c>
      <c r="BN37" t="e">
        <f>'All regions'!H958+"$F;@!$6I"</f>
        <v>#VALUE!</v>
      </c>
      <c r="BO37" t="e">
        <f>'All regions'!I958+"$F;@!$6J"</f>
        <v>#VALUE!</v>
      </c>
      <c r="BP37" t="e">
        <f>'All regions'!A959+"$F;@!$6K"</f>
        <v>#VALUE!</v>
      </c>
      <c r="BQ37" t="e">
        <f>'All regions'!B959+"$F;@!$6L"</f>
        <v>#VALUE!</v>
      </c>
      <c r="BR37" t="e">
        <f>'All regions'!C959+"$F;@!$6M"</f>
        <v>#VALUE!</v>
      </c>
      <c r="BS37" t="e">
        <f>'All regions'!D959+"$F;@!$6N"</f>
        <v>#VALUE!</v>
      </c>
      <c r="BT37" t="e">
        <f>'All regions'!E959+"$F;@!$6O"</f>
        <v>#VALUE!</v>
      </c>
      <c r="BU37" t="e">
        <f>'All regions'!F959+"$F;@!$6P"</f>
        <v>#VALUE!</v>
      </c>
      <c r="BV37" t="e">
        <f>'All regions'!G959+"$F;@!$6Q"</f>
        <v>#VALUE!</v>
      </c>
      <c r="BW37" t="e">
        <f>'All regions'!H959+"$F;@!$6R"</f>
        <v>#VALUE!</v>
      </c>
      <c r="BX37" t="e">
        <f>'All regions'!I959+"$F;@!$6S"</f>
        <v>#VALUE!</v>
      </c>
      <c r="BY37" t="e">
        <f>'All regions'!A960+"$F;@!$6T"</f>
        <v>#VALUE!</v>
      </c>
      <c r="BZ37" t="e">
        <f>'All regions'!B960+"$F;@!$6U"</f>
        <v>#VALUE!</v>
      </c>
      <c r="CA37" t="e">
        <f>'All regions'!C960+"$F;@!$6V"</f>
        <v>#VALUE!</v>
      </c>
      <c r="CB37" t="e">
        <f>'All regions'!D960+"$F;@!$6W"</f>
        <v>#VALUE!</v>
      </c>
      <c r="CC37" t="e">
        <f>'All regions'!E960+"$F;@!$6X"</f>
        <v>#VALUE!</v>
      </c>
      <c r="CD37" t="e">
        <f>'All regions'!F960+"$F;@!$6Y"</f>
        <v>#VALUE!</v>
      </c>
      <c r="CE37" t="e">
        <f>'All regions'!G960+"$F;@!$6Z"</f>
        <v>#VALUE!</v>
      </c>
      <c r="CF37" t="e">
        <f>'All regions'!H960+"$F;@!$6["</f>
        <v>#VALUE!</v>
      </c>
      <c r="CG37" t="e">
        <f>'All regions'!I960+"$F;@!$6\"</f>
        <v>#VALUE!</v>
      </c>
      <c r="CH37" t="e">
        <f>'All regions'!A961+"$F;@!$6]"</f>
        <v>#VALUE!</v>
      </c>
      <c r="CI37" t="e">
        <f>'All regions'!B961+"$F;@!$6^"</f>
        <v>#VALUE!</v>
      </c>
      <c r="CJ37" t="e">
        <f>'All regions'!C961+"$F;@!$6_"</f>
        <v>#VALUE!</v>
      </c>
      <c r="CK37" t="e">
        <f>'All regions'!D961+"$F;@!$6`"</f>
        <v>#VALUE!</v>
      </c>
      <c r="CL37" t="e">
        <f>'All regions'!E961+"$F;@!$6a"</f>
        <v>#VALUE!</v>
      </c>
      <c r="CM37" t="e">
        <f>'All regions'!F961+"$F;@!$6b"</f>
        <v>#VALUE!</v>
      </c>
      <c r="CN37" t="e">
        <f>'All regions'!G961+"$F;@!$6c"</f>
        <v>#VALUE!</v>
      </c>
      <c r="CO37" t="e">
        <f>'All regions'!H961+"$F;@!$6d"</f>
        <v>#VALUE!</v>
      </c>
      <c r="CP37" t="e">
        <f>'All regions'!I961+"$F;@!$6e"</f>
        <v>#VALUE!</v>
      </c>
      <c r="CQ37" t="e">
        <f>'All regions'!A962+"$F;@!$6f"</f>
        <v>#VALUE!</v>
      </c>
      <c r="CR37" t="e">
        <f>'All regions'!B962+"$F;@!$6g"</f>
        <v>#VALUE!</v>
      </c>
      <c r="CS37" t="e">
        <f>'All regions'!C962+"$F;@!$6h"</f>
        <v>#VALUE!</v>
      </c>
      <c r="CT37" t="e">
        <f>'All regions'!D962+"$F;@!$6i"</f>
        <v>#VALUE!</v>
      </c>
      <c r="CU37" t="e">
        <f>'All regions'!E962+"$F;@!$6j"</f>
        <v>#VALUE!</v>
      </c>
      <c r="CV37" t="e">
        <f>'All regions'!F962+"$F;@!$6k"</f>
        <v>#VALUE!</v>
      </c>
      <c r="CW37" t="e">
        <f>'All regions'!G962+"$F;@!$6l"</f>
        <v>#VALUE!</v>
      </c>
      <c r="CX37" t="e">
        <f>'All regions'!H962+"$F;@!$6m"</f>
        <v>#VALUE!</v>
      </c>
      <c r="CY37" t="e">
        <f>'All regions'!I962+"$F;@!$6n"</f>
        <v>#VALUE!</v>
      </c>
      <c r="CZ37" t="e">
        <f>'All regions'!A963+"$F;@!$6o"</f>
        <v>#VALUE!</v>
      </c>
      <c r="DA37" t="e">
        <f>'All regions'!B963+"$F;@!$6p"</f>
        <v>#VALUE!</v>
      </c>
      <c r="DB37" t="e">
        <f>'All regions'!C963+"$F;@!$6q"</f>
        <v>#VALUE!</v>
      </c>
      <c r="DC37" t="e">
        <f>'All regions'!D963+"$F;@!$6r"</f>
        <v>#VALUE!</v>
      </c>
      <c r="DD37" t="e">
        <f>'All regions'!E963+"$F;@!$6s"</f>
        <v>#VALUE!</v>
      </c>
      <c r="DE37" t="e">
        <f>'All regions'!F963+"$F;@!$6t"</f>
        <v>#VALUE!</v>
      </c>
      <c r="DF37" t="e">
        <f>'All regions'!G963+"$F;@!$6u"</f>
        <v>#VALUE!</v>
      </c>
      <c r="DG37" t="e">
        <f>'All regions'!H963+"$F;@!$6v"</f>
        <v>#VALUE!</v>
      </c>
      <c r="DH37" t="e">
        <f>'All regions'!I963+"$F;@!$6w"</f>
        <v>#VALUE!</v>
      </c>
      <c r="DI37" t="e">
        <f>'All regions'!A964+"$F;@!$6x"</f>
        <v>#VALUE!</v>
      </c>
      <c r="DJ37" t="e">
        <f>'All regions'!B964+"$F;@!$6y"</f>
        <v>#VALUE!</v>
      </c>
      <c r="DK37" t="e">
        <f>'All regions'!C964+"$F;@!$6z"</f>
        <v>#VALUE!</v>
      </c>
      <c r="DL37" t="e">
        <f>'All regions'!D964+"$F;@!$6{"</f>
        <v>#VALUE!</v>
      </c>
      <c r="DM37" t="e">
        <f>'All regions'!E964+"$F;@!$6|"</f>
        <v>#VALUE!</v>
      </c>
      <c r="DN37" t="e">
        <f>'All regions'!F964+"$F;@!$6}"</f>
        <v>#VALUE!</v>
      </c>
      <c r="DO37" t="e">
        <f>'All regions'!G964+"$F;@!$6~"</f>
        <v>#VALUE!</v>
      </c>
      <c r="DP37" t="e">
        <f>'All regions'!H964+"$F;@!$7#"</f>
        <v>#VALUE!</v>
      </c>
      <c r="DQ37" t="e">
        <f>'All regions'!I964+"$F;@!$7$"</f>
        <v>#VALUE!</v>
      </c>
      <c r="DR37" t="e">
        <f>'All regions'!A965+"$F;@!$7%"</f>
        <v>#VALUE!</v>
      </c>
      <c r="DS37" t="e">
        <f>'All regions'!B965+"$F;@!$7&amp;"</f>
        <v>#VALUE!</v>
      </c>
      <c r="DT37" t="e">
        <f>'All regions'!C965+"$F;@!$7'"</f>
        <v>#VALUE!</v>
      </c>
      <c r="DU37" t="e">
        <f>'All regions'!D965+"$F;@!$7("</f>
        <v>#VALUE!</v>
      </c>
      <c r="DV37" t="e">
        <f>'All regions'!E965+"$F;@!$7)"</f>
        <v>#VALUE!</v>
      </c>
      <c r="DW37" t="e">
        <f>'All regions'!F965+"$F;@!$7."</f>
        <v>#VALUE!</v>
      </c>
      <c r="DX37" t="e">
        <f>'All regions'!G965+"$F;@!$7/"</f>
        <v>#VALUE!</v>
      </c>
      <c r="DY37" t="e">
        <f>'All regions'!H965+"$F;@!$70"</f>
        <v>#VALUE!</v>
      </c>
      <c r="DZ37" t="e">
        <f>'All regions'!I965+"$F;@!$71"</f>
        <v>#VALUE!</v>
      </c>
      <c r="EA37" t="e">
        <f>'All regions'!A966+"$F;@!$72"</f>
        <v>#VALUE!</v>
      </c>
      <c r="EB37" t="e">
        <f>'All regions'!B966+"$F;@!$73"</f>
        <v>#VALUE!</v>
      </c>
      <c r="EC37" t="e">
        <f>'All regions'!C966+"$F;@!$74"</f>
        <v>#VALUE!</v>
      </c>
      <c r="ED37" t="e">
        <f>'All regions'!D966+"$F;@!$75"</f>
        <v>#VALUE!</v>
      </c>
      <c r="EE37" t="e">
        <f>'All regions'!E966+"$F;@!$76"</f>
        <v>#VALUE!</v>
      </c>
      <c r="EF37" t="e">
        <f>'All regions'!F966+"$F;@!$77"</f>
        <v>#VALUE!</v>
      </c>
      <c r="EG37" t="e">
        <f>'All regions'!G966+"$F;@!$78"</f>
        <v>#VALUE!</v>
      </c>
      <c r="EH37" t="e">
        <f>'All regions'!H966+"$F;@!$79"</f>
        <v>#VALUE!</v>
      </c>
      <c r="EI37" t="e">
        <f>'All regions'!I966+"$F;@!$7:"</f>
        <v>#VALUE!</v>
      </c>
      <c r="EJ37" t="e">
        <f>'All regions'!A967+"$F;@!$7;"</f>
        <v>#VALUE!</v>
      </c>
      <c r="EK37" t="e">
        <f>'All regions'!B967+"$F;@!$7&lt;"</f>
        <v>#VALUE!</v>
      </c>
      <c r="EL37" t="e">
        <f>'All regions'!C967+"$F;@!$7="</f>
        <v>#VALUE!</v>
      </c>
      <c r="EM37" t="e">
        <f>'All regions'!D967+"$F;@!$7&gt;"</f>
        <v>#VALUE!</v>
      </c>
      <c r="EN37" t="e">
        <f>'All regions'!E967+"$F;@!$7?"</f>
        <v>#VALUE!</v>
      </c>
      <c r="EO37" t="e">
        <f>'All regions'!F967+"$F;@!$7@"</f>
        <v>#VALUE!</v>
      </c>
      <c r="EP37" t="e">
        <f>'All regions'!G967+"$F;@!$7A"</f>
        <v>#VALUE!</v>
      </c>
      <c r="EQ37" t="e">
        <f>'All regions'!H967+"$F;@!$7B"</f>
        <v>#VALUE!</v>
      </c>
      <c r="ER37" t="e">
        <f>'All regions'!I967+"$F;@!$7C"</f>
        <v>#VALUE!</v>
      </c>
      <c r="ES37" t="e">
        <f>'All regions'!A968+"$F;@!$7D"</f>
        <v>#VALUE!</v>
      </c>
      <c r="ET37" t="e">
        <f>'All regions'!B968+"$F;@!$7E"</f>
        <v>#VALUE!</v>
      </c>
      <c r="EU37" t="e">
        <f>'All regions'!C968+"$F;@!$7F"</f>
        <v>#VALUE!</v>
      </c>
      <c r="EV37" t="e">
        <f>'All regions'!D968+"$F;@!$7G"</f>
        <v>#VALUE!</v>
      </c>
      <c r="EW37" t="e">
        <f>'All regions'!E968+"$F;@!$7H"</f>
        <v>#VALUE!</v>
      </c>
      <c r="EX37" t="e">
        <f>'All regions'!F968+"$F;@!$7I"</f>
        <v>#VALUE!</v>
      </c>
      <c r="EY37" t="e">
        <f>'All regions'!G968+"$F;@!$7J"</f>
        <v>#VALUE!</v>
      </c>
      <c r="EZ37" t="e">
        <f>'All regions'!H968+"$F;@!$7K"</f>
        <v>#VALUE!</v>
      </c>
      <c r="FA37" t="e">
        <f>'All regions'!I968+"$F;@!$7L"</f>
        <v>#VALUE!</v>
      </c>
      <c r="FB37" t="e">
        <f>'All regions'!A969+"$F;@!$7M"</f>
        <v>#VALUE!</v>
      </c>
      <c r="FC37" t="e">
        <f>'All regions'!B969+"$F;@!$7N"</f>
        <v>#VALUE!</v>
      </c>
      <c r="FD37" t="e">
        <f>'All regions'!C969+"$F;@!$7O"</f>
        <v>#VALUE!</v>
      </c>
      <c r="FE37" t="e">
        <f>'All regions'!D969+"$F;@!$7P"</f>
        <v>#VALUE!</v>
      </c>
      <c r="FF37" t="e">
        <f>'All regions'!E969+"$F;@!$7Q"</f>
        <v>#VALUE!</v>
      </c>
      <c r="FG37" t="e">
        <f>'All regions'!F969+"$F;@!$7R"</f>
        <v>#VALUE!</v>
      </c>
      <c r="FH37" t="e">
        <f>'All regions'!G969+"$F;@!$7S"</f>
        <v>#VALUE!</v>
      </c>
      <c r="FI37" t="e">
        <f>'All regions'!H969+"$F;@!$7T"</f>
        <v>#VALUE!</v>
      </c>
      <c r="FJ37" t="e">
        <f>'All regions'!I969+"$F;@!$7U"</f>
        <v>#VALUE!</v>
      </c>
      <c r="FK37" t="e">
        <f>'All regions'!A970+"$F;@!$7V"</f>
        <v>#VALUE!</v>
      </c>
      <c r="FL37" t="e">
        <f>'All regions'!B970+"$F;@!$7W"</f>
        <v>#VALUE!</v>
      </c>
      <c r="FM37" t="e">
        <f>'All regions'!C970+"$F;@!$7X"</f>
        <v>#VALUE!</v>
      </c>
      <c r="FN37" t="e">
        <f>'All regions'!D970+"$F;@!$7Y"</f>
        <v>#VALUE!</v>
      </c>
      <c r="FO37" t="e">
        <f>'All regions'!E970+"$F;@!$7Z"</f>
        <v>#VALUE!</v>
      </c>
      <c r="FP37" t="e">
        <f>'All regions'!F970+"$F;@!$7["</f>
        <v>#VALUE!</v>
      </c>
      <c r="FQ37" t="e">
        <f>'All regions'!G970+"$F;@!$7\"</f>
        <v>#VALUE!</v>
      </c>
      <c r="FR37" t="e">
        <f>'All regions'!H970+"$F;@!$7]"</f>
        <v>#VALUE!</v>
      </c>
      <c r="FS37" t="e">
        <f>'All regions'!I970+"$F;@!$7^"</f>
        <v>#VALUE!</v>
      </c>
      <c r="FT37" t="e">
        <f>'All regions'!A971+"$F;@!$7_"</f>
        <v>#VALUE!</v>
      </c>
      <c r="FU37" t="e">
        <f>'All regions'!B971+"$F;@!$7`"</f>
        <v>#VALUE!</v>
      </c>
      <c r="FV37" t="e">
        <f>'All regions'!C971+"$F;@!$7a"</f>
        <v>#VALUE!</v>
      </c>
      <c r="FW37" t="e">
        <f>'All regions'!D971+"$F;@!$7b"</f>
        <v>#VALUE!</v>
      </c>
      <c r="FX37" t="e">
        <f>'All regions'!E971+"$F;@!$7c"</f>
        <v>#VALUE!</v>
      </c>
      <c r="FY37" t="e">
        <f>'All regions'!F971+"$F;@!$7d"</f>
        <v>#VALUE!</v>
      </c>
      <c r="FZ37" t="e">
        <f>'All regions'!G971+"$F;@!$7e"</f>
        <v>#VALUE!</v>
      </c>
      <c r="GA37" t="e">
        <f>'All regions'!H971+"$F;@!$7f"</f>
        <v>#VALUE!</v>
      </c>
      <c r="GB37" t="e">
        <f>'All regions'!I971+"$F;@!$7g"</f>
        <v>#VALUE!</v>
      </c>
      <c r="GC37" t="e">
        <f>'All regions'!A972+"$F;@!$7h"</f>
        <v>#VALUE!</v>
      </c>
      <c r="GD37" t="e">
        <f>'All regions'!B972+"$F;@!$7i"</f>
        <v>#VALUE!</v>
      </c>
      <c r="GE37" t="e">
        <f>'All regions'!C972+"$F;@!$7j"</f>
        <v>#VALUE!</v>
      </c>
      <c r="GF37" t="e">
        <f>'All regions'!D972+"$F;@!$7k"</f>
        <v>#VALUE!</v>
      </c>
      <c r="GG37" t="e">
        <f>'All regions'!E972+"$F;@!$7l"</f>
        <v>#VALUE!</v>
      </c>
      <c r="GH37" t="e">
        <f>'All regions'!F972+"$F;@!$7m"</f>
        <v>#VALUE!</v>
      </c>
      <c r="GI37" t="e">
        <f>'All regions'!G972+"$F;@!$7n"</f>
        <v>#VALUE!</v>
      </c>
      <c r="GJ37" t="e">
        <f>'All regions'!H972+"$F;@!$7o"</f>
        <v>#VALUE!</v>
      </c>
      <c r="GK37" t="e">
        <f>'All regions'!I972+"$F;@!$7p"</f>
        <v>#VALUE!</v>
      </c>
      <c r="GL37" t="e">
        <f>'All regions'!A973+"$F;@!$7q"</f>
        <v>#VALUE!</v>
      </c>
      <c r="GM37" t="e">
        <f>'All regions'!B973+"$F;@!$7r"</f>
        <v>#VALUE!</v>
      </c>
      <c r="GN37" t="e">
        <f>'All regions'!C973+"$F;@!$7s"</f>
        <v>#VALUE!</v>
      </c>
      <c r="GO37" t="e">
        <f>'All regions'!D973+"$F;@!$7t"</f>
        <v>#VALUE!</v>
      </c>
      <c r="GP37" t="e">
        <f>'All regions'!E973+"$F;@!$7u"</f>
        <v>#VALUE!</v>
      </c>
      <c r="GQ37" t="e">
        <f>'All regions'!F973+"$F;@!$7v"</f>
        <v>#VALUE!</v>
      </c>
      <c r="GR37" t="e">
        <f>'All regions'!G973+"$F;@!$7w"</f>
        <v>#VALUE!</v>
      </c>
      <c r="GS37" t="e">
        <f>'All regions'!H973+"$F;@!$7x"</f>
        <v>#VALUE!</v>
      </c>
      <c r="GT37" t="e">
        <f>'All regions'!I973+"$F;@!$7y"</f>
        <v>#VALUE!</v>
      </c>
      <c r="GU37" t="e">
        <f>'All regions'!A974+"$F;@!$7z"</f>
        <v>#VALUE!</v>
      </c>
      <c r="GV37" t="e">
        <f>'All regions'!B974+"$F;@!$7{"</f>
        <v>#VALUE!</v>
      </c>
      <c r="GW37" t="e">
        <f>'All regions'!C974+"$F;@!$7|"</f>
        <v>#VALUE!</v>
      </c>
      <c r="GX37" t="e">
        <f>'All regions'!D974+"$F;@!$7}"</f>
        <v>#VALUE!</v>
      </c>
      <c r="GY37" t="e">
        <f>'All regions'!E974+"$F;@!$7~"</f>
        <v>#VALUE!</v>
      </c>
      <c r="GZ37" t="e">
        <f>'All regions'!F974+"$F;@!$8#"</f>
        <v>#VALUE!</v>
      </c>
      <c r="HA37" t="e">
        <f>'All regions'!G974+"$F;@!$8$"</f>
        <v>#VALUE!</v>
      </c>
      <c r="HB37" t="e">
        <f>'All regions'!H974+"$F;@!$8%"</f>
        <v>#VALUE!</v>
      </c>
      <c r="HC37" t="e">
        <f>'All regions'!I974+"$F;@!$8&amp;"</f>
        <v>#VALUE!</v>
      </c>
      <c r="HD37" t="e">
        <f>'All regions'!A975+"$F;@!$8'"</f>
        <v>#VALUE!</v>
      </c>
      <c r="HE37" t="e">
        <f>'All regions'!B975+"$F;@!$8("</f>
        <v>#VALUE!</v>
      </c>
      <c r="HF37" t="e">
        <f>'All regions'!C975+"$F;@!$8)"</f>
        <v>#VALUE!</v>
      </c>
      <c r="HG37" t="e">
        <f>'All regions'!D975+"$F;@!$8."</f>
        <v>#VALUE!</v>
      </c>
      <c r="HH37" t="e">
        <f>'All regions'!E975+"$F;@!$8/"</f>
        <v>#VALUE!</v>
      </c>
      <c r="HI37" t="e">
        <f>'All regions'!F975+"$F;@!$80"</f>
        <v>#VALUE!</v>
      </c>
      <c r="HJ37" t="e">
        <f>'All regions'!G975+"$F;@!$81"</f>
        <v>#VALUE!</v>
      </c>
      <c r="HK37" t="e">
        <f>'All regions'!H975+"$F;@!$82"</f>
        <v>#VALUE!</v>
      </c>
      <c r="HL37" t="e">
        <f>'All regions'!I975+"$F;@!$83"</f>
        <v>#VALUE!</v>
      </c>
      <c r="HM37" t="e">
        <f>'All regions'!A976+"$F;@!$84"</f>
        <v>#VALUE!</v>
      </c>
      <c r="HN37" t="e">
        <f>'All regions'!B976+"$F;@!$85"</f>
        <v>#VALUE!</v>
      </c>
      <c r="HO37" t="e">
        <f>'All regions'!C976+"$F;@!$86"</f>
        <v>#VALUE!</v>
      </c>
      <c r="HP37" t="e">
        <f>'All regions'!D976+"$F;@!$87"</f>
        <v>#VALUE!</v>
      </c>
      <c r="HQ37" t="e">
        <f>'All regions'!E976+"$F;@!$88"</f>
        <v>#VALUE!</v>
      </c>
      <c r="HR37" t="e">
        <f>'All regions'!F976+"$F;@!$89"</f>
        <v>#VALUE!</v>
      </c>
      <c r="HS37" t="e">
        <f>'All regions'!G976+"$F;@!$8:"</f>
        <v>#VALUE!</v>
      </c>
      <c r="HT37" t="e">
        <f>'All regions'!H976+"$F;@!$8;"</f>
        <v>#VALUE!</v>
      </c>
      <c r="HU37" t="e">
        <f>'All regions'!I976+"$F;@!$8&lt;"</f>
        <v>#VALUE!</v>
      </c>
      <c r="HV37" t="e">
        <f>'All regions'!A977+"$F;@!$8="</f>
        <v>#VALUE!</v>
      </c>
      <c r="HW37" t="e">
        <f>'All regions'!B977+"$F;@!$8&gt;"</f>
        <v>#VALUE!</v>
      </c>
      <c r="HX37" t="e">
        <f>'All regions'!C977+"$F;@!$8?"</f>
        <v>#VALUE!</v>
      </c>
      <c r="HY37" t="e">
        <f>'All regions'!D977+"$F;@!$8@"</f>
        <v>#VALUE!</v>
      </c>
      <c r="HZ37" t="e">
        <f>'All regions'!E977+"$F;@!$8A"</f>
        <v>#VALUE!</v>
      </c>
      <c r="IA37" t="e">
        <f>'All regions'!F977+"$F;@!$8B"</f>
        <v>#VALUE!</v>
      </c>
      <c r="IB37" t="e">
        <f>'All regions'!G977+"$F;@!$8C"</f>
        <v>#VALUE!</v>
      </c>
      <c r="IC37" t="e">
        <f>'All regions'!H977+"$F;@!$8D"</f>
        <v>#VALUE!</v>
      </c>
      <c r="ID37" t="e">
        <f>'All regions'!I977+"$F;@!$8E"</f>
        <v>#VALUE!</v>
      </c>
      <c r="IE37" t="e">
        <f>'All regions'!A978+"$F;@!$8F"</f>
        <v>#VALUE!</v>
      </c>
      <c r="IF37" t="e">
        <f>'All regions'!B978+"$F;@!$8G"</f>
        <v>#VALUE!</v>
      </c>
      <c r="IG37" t="e">
        <f>'All regions'!C978+"$F;@!$8H"</f>
        <v>#VALUE!</v>
      </c>
      <c r="IH37" t="e">
        <f>'All regions'!D978+"$F;@!$8I"</f>
        <v>#VALUE!</v>
      </c>
      <c r="II37" t="e">
        <f>'All regions'!E978+"$F;@!$8J"</f>
        <v>#VALUE!</v>
      </c>
      <c r="IJ37" t="e">
        <f>'All regions'!F978+"$F;@!$8K"</f>
        <v>#VALUE!</v>
      </c>
      <c r="IK37" t="e">
        <f>'All regions'!G978+"$F;@!$8L"</f>
        <v>#VALUE!</v>
      </c>
      <c r="IL37" t="e">
        <f>'All regions'!H978+"$F;@!$8M"</f>
        <v>#VALUE!</v>
      </c>
      <c r="IM37" t="e">
        <f>'All regions'!I978+"$F;@!$8N"</f>
        <v>#VALUE!</v>
      </c>
      <c r="IN37" t="e">
        <f>'All regions'!A979+"$F;@!$8O"</f>
        <v>#VALUE!</v>
      </c>
      <c r="IO37" t="e">
        <f>'All regions'!B979+"$F;@!$8P"</f>
        <v>#VALUE!</v>
      </c>
      <c r="IP37" t="e">
        <f>'All regions'!C979+"$F;@!$8Q"</f>
        <v>#VALUE!</v>
      </c>
      <c r="IQ37" t="e">
        <f>'All regions'!D979+"$F;@!$8R"</f>
        <v>#VALUE!</v>
      </c>
      <c r="IR37" t="e">
        <f>'All regions'!E979+"$F;@!$8S"</f>
        <v>#VALUE!</v>
      </c>
      <c r="IS37" t="e">
        <f>'All regions'!F979+"$F;@!$8T"</f>
        <v>#VALUE!</v>
      </c>
      <c r="IT37" t="e">
        <f>'All regions'!G979+"$F;@!$8U"</f>
        <v>#VALUE!</v>
      </c>
      <c r="IU37" t="e">
        <f>'All regions'!H979+"$F;@!$8V"</f>
        <v>#VALUE!</v>
      </c>
      <c r="IV37" t="e">
        <f>'All regions'!I979+"$F;@!$8W"</f>
        <v>#VALUE!</v>
      </c>
    </row>
    <row r="38" spans="6:256" x14ac:dyDescent="0.35">
      <c r="F38" t="e">
        <f>'All regions'!A980+"$F;@!$8X"</f>
        <v>#VALUE!</v>
      </c>
      <c r="G38" t="e">
        <f>'All regions'!B980+"$F;@!$8Y"</f>
        <v>#VALUE!</v>
      </c>
      <c r="H38" t="e">
        <f>'All regions'!C980+"$F;@!$8Z"</f>
        <v>#VALUE!</v>
      </c>
      <c r="I38" t="e">
        <f>'All regions'!D980+"$F;@!$8["</f>
        <v>#VALUE!</v>
      </c>
      <c r="J38" t="e">
        <f>'All regions'!E980+"$F;@!$8\"</f>
        <v>#VALUE!</v>
      </c>
      <c r="K38" t="e">
        <f>'All regions'!F980+"$F;@!$8]"</f>
        <v>#VALUE!</v>
      </c>
      <c r="L38" t="e">
        <f>'All regions'!G980+"$F;@!$8^"</f>
        <v>#VALUE!</v>
      </c>
      <c r="M38" t="e">
        <f>'All regions'!H980+"$F;@!$8_"</f>
        <v>#VALUE!</v>
      </c>
      <c r="N38" t="e">
        <f>'All regions'!I980+"$F;@!$8`"</f>
        <v>#VALUE!</v>
      </c>
      <c r="O38" t="e">
        <f>'All regions'!A981+"$F;@!$8a"</f>
        <v>#VALUE!</v>
      </c>
      <c r="P38" t="e">
        <f>'All regions'!B981+"$F;@!$8b"</f>
        <v>#VALUE!</v>
      </c>
      <c r="Q38" t="e">
        <f>'All regions'!C981+"$F;@!$8c"</f>
        <v>#VALUE!</v>
      </c>
      <c r="R38" t="e">
        <f>'All regions'!D981+"$F;@!$8d"</f>
        <v>#VALUE!</v>
      </c>
      <c r="S38" t="e">
        <f>'All regions'!E981+"$F;@!$8e"</f>
        <v>#VALUE!</v>
      </c>
      <c r="T38" t="e">
        <f>'All regions'!F981+"$F;@!$8f"</f>
        <v>#VALUE!</v>
      </c>
      <c r="U38" t="e">
        <f>'All regions'!G981+"$F;@!$8g"</f>
        <v>#VALUE!</v>
      </c>
      <c r="V38" t="e">
        <f>'All regions'!H981+"$F;@!$8h"</f>
        <v>#VALUE!</v>
      </c>
      <c r="W38" t="e">
        <f>'All regions'!I981+"$F;@!$8i"</f>
        <v>#VALUE!</v>
      </c>
      <c r="X38" t="e">
        <f>'All regions'!A982+"$F;@!$8j"</f>
        <v>#VALUE!</v>
      </c>
      <c r="Y38" t="e">
        <f>'All regions'!B982+"$F;@!$8k"</f>
        <v>#VALUE!</v>
      </c>
      <c r="Z38" t="e">
        <f>'All regions'!C982+"$F;@!$8l"</f>
        <v>#VALUE!</v>
      </c>
      <c r="AA38" t="e">
        <f>'All regions'!D982+"$F;@!$8m"</f>
        <v>#VALUE!</v>
      </c>
      <c r="AB38" t="e">
        <f>'All regions'!E982+"$F;@!$8n"</f>
        <v>#VALUE!</v>
      </c>
      <c r="AC38" t="e">
        <f>'All regions'!F982+"$F;@!$8o"</f>
        <v>#VALUE!</v>
      </c>
      <c r="AD38" t="e">
        <f>'All regions'!G982+"$F;@!$8p"</f>
        <v>#VALUE!</v>
      </c>
      <c r="AE38" t="e">
        <f>'All regions'!H982+"$F;@!$8q"</f>
        <v>#VALUE!</v>
      </c>
      <c r="AF38" t="e">
        <f>'All regions'!I982+"$F;@!$8r"</f>
        <v>#VALUE!</v>
      </c>
      <c r="AG38" t="e">
        <f>'All regions'!A983+"$F;@!$8s"</f>
        <v>#VALUE!</v>
      </c>
      <c r="AH38" t="e">
        <f>'All regions'!B983+"$F;@!$8t"</f>
        <v>#VALUE!</v>
      </c>
      <c r="AI38" t="e">
        <f>'All regions'!C983+"$F;@!$8u"</f>
        <v>#VALUE!</v>
      </c>
      <c r="AJ38" t="e">
        <f>'All regions'!D983+"$F;@!$8v"</f>
        <v>#VALUE!</v>
      </c>
      <c r="AK38" t="e">
        <f>'All regions'!E983+"$F;@!$8w"</f>
        <v>#VALUE!</v>
      </c>
      <c r="AL38" t="e">
        <f>'All regions'!F983+"$F;@!$8x"</f>
        <v>#VALUE!</v>
      </c>
      <c r="AM38" t="e">
        <f>'All regions'!G983+"$F;@!$8y"</f>
        <v>#VALUE!</v>
      </c>
      <c r="AN38" t="e">
        <f>'All regions'!H983+"$F;@!$8z"</f>
        <v>#VALUE!</v>
      </c>
      <c r="AO38" t="e">
        <f>'All regions'!I983+"$F;@!$8{"</f>
        <v>#VALUE!</v>
      </c>
      <c r="AP38" t="e">
        <f>'All regions'!A984+"$F;@!$8|"</f>
        <v>#VALUE!</v>
      </c>
      <c r="AQ38" t="e">
        <f>'All regions'!B984+"$F;@!$8}"</f>
        <v>#VALUE!</v>
      </c>
      <c r="AR38" t="e">
        <f>'All regions'!C984+"$F;@!$8~"</f>
        <v>#VALUE!</v>
      </c>
      <c r="AS38" t="e">
        <f>'All regions'!D984+"$F;@!$9#"</f>
        <v>#VALUE!</v>
      </c>
      <c r="AT38" t="e">
        <f>'All regions'!E984+"$F;@!$9$"</f>
        <v>#VALUE!</v>
      </c>
      <c r="AU38" t="e">
        <f>'All regions'!F984+"$F;@!$9%"</f>
        <v>#VALUE!</v>
      </c>
      <c r="AV38" t="e">
        <f>'All regions'!G984+"$F;@!$9&amp;"</f>
        <v>#VALUE!</v>
      </c>
      <c r="AW38" t="e">
        <f>'All regions'!H984+"$F;@!$9'"</f>
        <v>#VALUE!</v>
      </c>
      <c r="AX38" t="e">
        <f>'All regions'!I984+"$F;@!$9("</f>
        <v>#VALUE!</v>
      </c>
      <c r="AY38" t="e">
        <f>'All regions'!A985+"$F;@!$9)"</f>
        <v>#VALUE!</v>
      </c>
      <c r="AZ38" t="e">
        <f>'All regions'!B985+"$F;@!$9."</f>
        <v>#VALUE!</v>
      </c>
      <c r="BA38" t="e">
        <f>'All regions'!C985+"$F;@!$9/"</f>
        <v>#VALUE!</v>
      </c>
      <c r="BB38" t="e">
        <f>'All regions'!D985+"$F;@!$90"</f>
        <v>#VALUE!</v>
      </c>
      <c r="BC38" t="e">
        <f>'All regions'!E985+"$F;@!$91"</f>
        <v>#VALUE!</v>
      </c>
      <c r="BD38" t="e">
        <f>'All regions'!F985+"$F;@!$92"</f>
        <v>#VALUE!</v>
      </c>
      <c r="BE38" t="e">
        <f>'All regions'!G985+"$F;@!$93"</f>
        <v>#VALUE!</v>
      </c>
      <c r="BF38" t="e">
        <f>'All regions'!H985+"$F;@!$94"</f>
        <v>#VALUE!</v>
      </c>
      <c r="BG38" t="e">
        <f>'All regions'!I985+"$F;@!$95"</f>
        <v>#VALUE!</v>
      </c>
      <c r="BH38" t="e">
        <f>'All regions'!A986+"$F;@!$96"</f>
        <v>#VALUE!</v>
      </c>
      <c r="BI38" t="e">
        <f>'All regions'!B986+"$F;@!$97"</f>
        <v>#VALUE!</v>
      </c>
      <c r="BJ38" t="e">
        <f>'All regions'!C986+"$F;@!$98"</f>
        <v>#VALUE!</v>
      </c>
      <c r="BK38" t="e">
        <f>'All regions'!D986+"$F;@!$99"</f>
        <v>#VALUE!</v>
      </c>
      <c r="BL38" t="e">
        <f>'All regions'!E986+"$F;@!$9:"</f>
        <v>#VALUE!</v>
      </c>
      <c r="BM38" t="e">
        <f>'All regions'!F986+"$F;@!$9;"</f>
        <v>#VALUE!</v>
      </c>
      <c r="BN38" t="e">
        <f>'All regions'!G986+"$F;@!$9&lt;"</f>
        <v>#VALUE!</v>
      </c>
      <c r="BO38" t="e">
        <f>'All regions'!H986+"$F;@!$9="</f>
        <v>#VALUE!</v>
      </c>
      <c r="BP38" t="e">
        <f>'All regions'!I986+"$F;@!$9&gt;"</f>
        <v>#VALUE!</v>
      </c>
      <c r="BQ38" t="e">
        <f>'All regions'!A987+"$F;@!$9?"</f>
        <v>#VALUE!</v>
      </c>
      <c r="BR38" t="e">
        <f>'All regions'!B987+"$F;@!$9@"</f>
        <v>#VALUE!</v>
      </c>
      <c r="BS38" t="e">
        <f>'All regions'!C987+"$F;@!$9A"</f>
        <v>#VALUE!</v>
      </c>
      <c r="BT38" t="e">
        <f>'All regions'!D987+"$F;@!$9B"</f>
        <v>#VALUE!</v>
      </c>
      <c r="BU38" t="e">
        <f>'All regions'!E987+"$F;@!$9C"</f>
        <v>#VALUE!</v>
      </c>
      <c r="BV38" t="e">
        <f>'All regions'!F987+"$F;@!$9D"</f>
        <v>#VALUE!</v>
      </c>
      <c r="BW38" t="e">
        <f>'All regions'!G987+"$F;@!$9E"</f>
        <v>#VALUE!</v>
      </c>
      <c r="BX38" t="e">
        <f>'All regions'!H987+"$F;@!$9F"</f>
        <v>#VALUE!</v>
      </c>
      <c r="BY38" t="e">
        <f>'All regions'!I987+"$F;@!$9G"</f>
        <v>#VALUE!</v>
      </c>
      <c r="BZ38" t="e">
        <f>'All regions'!A988+"$F;@!$9H"</f>
        <v>#VALUE!</v>
      </c>
      <c r="CA38" t="e">
        <f>'All regions'!B988+"$F;@!$9I"</f>
        <v>#VALUE!</v>
      </c>
      <c r="CB38" t="e">
        <f>'All regions'!C988+"$F;@!$9J"</f>
        <v>#VALUE!</v>
      </c>
      <c r="CC38" t="e">
        <f>'All regions'!D988+"$F;@!$9K"</f>
        <v>#VALUE!</v>
      </c>
      <c r="CD38" t="e">
        <f>'All regions'!E988+"$F;@!$9L"</f>
        <v>#VALUE!</v>
      </c>
      <c r="CE38" t="e">
        <f>'All regions'!F988+"$F;@!$9M"</f>
        <v>#VALUE!</v>
      </c>
      <c r="CF38" t="e">
        <f>'All regions'!G988+"$F;@!$9N"</f>
        <v>#VALUE!</v>
      </c>
      <c r="CG38" t="e">
        <f>'All regions'!H988+"$F;@!$9O"</f>
        <v>#VALUE!</v>
      </c>
      <c r="CH38" t="e">
        <f>'All regions'!I988+"$F;@!$9P"</f>
        <v>#VALUE!</v>
      </c>
      <c r="CI38" t="e">
        <f>'All regions'!A989+"$F;@!$9Q"</f>
        <v>#VALUE!</v>
      </c>
      <c r="CJ38" t="e">
        <f>'All regions'!B989+"$F;@!$9R"</f>
        <v>#VALUE!</v>
      </c>
      <c r="CK38" t="e">
        <f>'All regions'!C989+"$F;@!$9S"</f>
        <v>#VALUE!</v>
      </c>
      <c r="CL38" t="e">
        <f>'All regions'!D989+"$F;@!$9T"</f>
        <v>#VALUE!</v>
      </c>
      <c r="CM38" t="e">
        <f>'All regions'!E989+"$F;@!$9U"</f>
        <v>#VALUE!</v>
      </c>
      <c r="CN38" t="e">
        <f>'All regions'!F989+"$F;@!$9V"</f>
        <v>#VALUE!</v>
      </c>
      <c r="CO38" t="e">
        <f>'All regions'!G989+"$F;@!$9W"</f>
        <v>#VALUE!</v>
      </c>
      <c r="CP38" t="e">
        <f>'All regions'!H989+"$F;@!$9X"</f>
        <v>#VALUE!</v>
      </c>
      <c r="CQ38" t="e">
        <f>'All regions'!I989+"$F;@!$9Y"</f>
        <v>#VALUE!</v>
      </c>
      <c r="CR38" t="e">
        <f>'All regions'!A990+"$F;@!$9Z"</f>
        <v>#VALUE!</v>
      </c>
      <c r="CS38" t="e">
        <f>'All regions'!B990+"$F;@!$9["</f>
        <v>#VALUE!</v>
      </c>
      <c r="CT38" t="e">
        <f>'All regions'!C990+"$F;@!$9\"</f>
        <v>#VALUE!</v>
      </c>
      <c r="CU38" t="e">
        <f>'All regions'!D990+"$F;@!$9]"</f>
        <v>#VALUE!</v>
      </c>
      <c r="CV38" t="e">
        <f>'All regions'!E990+"$F;@!$9^"</f>
        <v>#VALUE!</v>
      </c>
      <c r="CW38" t="e">
        <f>'All regions'!F990+"$F;@!$9_"</f>
        <v>#VALUE!</v>
      </c>
      <c r="CX38" t="e">
        <f>'All regions'!G990+"$F;@!$9`"</f>
        <v>#VALUE!</v>
      </c>
      <c r="CY38" t="e">
        <f>'All regions'!H990+"$F;@!$9a"</f>
        <v>#VALUE!</v>
      </c>
      <c r="CZ38" t="e">
        <f>'All regions'!I990+"$F;@!$9b"</f>
        <v>#VALUE!</v>
      </c>
      <c r="DA38" t="e">
        <f>'All regions'!A991+"$F;@!$9c"</f>
        <v>#VALUE!</v>
      </c>
      <c r="DB38" t="e">
        <f>'All regions'!B991+"$F;@!$9d"</f>
        <v>#VALUE!</v>
      </c>
      <c r="DC38" t="e">
        <f>'All regions'!C991+"$F;@!$9e"</f>
        <v>#VALUE!</v>
      </c>
      <c r="DD38" t="e">
        <f>'All regions'!D991+"$F;@!$9f"</f>
        <v>#VALUE!</v>
      </c>
      <c r="DE38" t="e">
        <f>'All regions'!E991+"$F;@!$9g"</f>
        <v>#VALUE!</v>
      </c>
      <c r="DF38" t="e">
        <f>'All regions'!F991+"$F;@!$9h"</f>
        <v>#VALUE!</v>
      </c>
      <c r="DG38" t="e">
        <f>'All regions'!G991+"$F;@!$9i"</f>
        <v>#VALUE!</v>
      </c>
      <c r="DH38" t="e">
        <f>'All regions'!H991+"$F;@!$9j"</f>
        <v>#VALUE!</v>
      </c>
      <c r="DI38" t="e">
        <f>'All regions'!I991+"$F;@!$9k"</f>
        <v>#VALUE!</v>
      </c>
      <c r="DJ38" t="e">
        <f>'All regions'!A992+"$F;@!$9l"</f>
        <v>#VALUE!</v>
      </c>
      <c r="DK38" t="e">
        <f>'All regions'!B992+"$F;@!$9m"</f>
        <v>#VALUE!</v>
      </c>
      <c r="DL38" t="e">
        <f>'All regions'!C992+"$F;@!$9n"</f>
        <v>#VALUE!</v>
      </c>
      <c r="DM38" t="e">
        <f>'All regions'!D992+"$F;@!$9o"</f>
        <v>#VALUE!</v>
      </c>
      <c r="DN38" t="e">
        <f>'All regions'!E992+"$F;@!$9p"</f>
        <v>#VALUE!</v>
      </c>
      <c r="DO38" t="e">
        <f>'All regions'!F992+"$F;@!$9q"</f>
        <v>#VALUE!</v>
      </c>
      <c r="DP38" t="e">
        <f>'All regions'!G992+"$F;@!$9r"</f>
        <v>#VALUE!</v>
      </c>
      <c r="DQ38" t="e">
        <f>'All regions'!H992+"$F;@!$9s"</f>
        <v>#VALUE!</v>
      </c>
      <c r="DR38" t="e">
        <f>'All regions'!I992+"$F;@!$9t"</f>
        <v>#VALUE!</v>
      </c>
      <c r="DS38" t="e">
        <f>'All regions'!A993+"$F;@!$9u"</f>
        <v>#VALUE!</v>
      </c>
      <c r="DT38" t="e">
        <f>'All regions'!B993+"$F;@!$9v"</f>
        <v>#VALUE!</v>
      </c>
      <c r="DU38" t="e">
        <f>'All regions'!C993+"$F;@!$9w"</f>
        <v>#VALUE!</v>
      </c>
      <c r="DV38" t="e">
        <f>'All regions'!D993+"$F;@!$9x"</f>
        <v>#VALUE!</v>
      </c>
      <c r="DW38" t="e">
        <f>'All regions'!E993+"$F;@!$9y"</f>
        <v>#VALUE!</v>
      </c>
      <c r="DX38" t="e">
        <f>'All regions'!F993+"$F;@!$9z"</f>
        <v>#VALUE!</v>
      </c>
      <c r="DY38" t="e">
        <f>'All regions'!G993+"$F;@!$9{"</f>
        <v>#VALUE!</v>
      </c>
      <c r="DZ38" t="e">
        <f>'All regions'!H993+"$F;@!$9|"</f>
        <v>#VALUE!</v>
      </c>
      <c r="EA38" t="e">
        <f>'All regions'!I993+"$F;@!$9}"</f>
        <v>#VALUE!</v>
      </c>
      <c r="EB38" t="e">
        <f>'All regions'!A994+"$F;@!$9~"</f>
        <v>#VALUE!</v>
      </c>
      <c r="EC38" t="e">
        <f>'All regions'!B994+"$F;@!$:#"</f>
        <v>#VALUE!</v>
      </c>
      <c r="ED38" t="e">
        <f>'All regions'!C994+"$F;@!$:$"</f>
        <v>#VALUE!</v>
      </c>
      <c r="EE38" t="e">
        <f>'All regions'!D994+"$F;@!$:%"</f>
        <v>#VALUE!</v>
      </c>
      <c r="EF38" t="e">
        <f>'All regions'!E994+"$F;@!$:&amp;"</f>
        <v>#VALUE!</v>
      </c>
      <c r="EG38" t="e">
        <f>'All regions'!F994+"$F;@!$:'"</f>
        <v>#VALUE!</v>
      </c>
      <c r="EH38" t="e">
        <f>'All regions'!G994+"$F;@!$:("</f>
        <v>#VALUE!</v>
      </c>
      <c r="EI38" t="e">
        <f>'All regions'!H994+"$F;@!$:)"</f>
        <v>#VALUE!</v>
      </c>
      <c r="EJ38" t="e">
        <f>'All regions'!I994+"$F;@!$:."</f>
        <v>#VALUE!</v>
      </c>
      <c r="EK38" t="e">
        <f>'All regions'!A995+"$F;@!$:/"</f>
        <v>#VALUE!</v>
      </c>
      <c r="EL38" t="e">
        <f>'All regions'!B995+"$F;@!$:0"</f>
        <v>#VALUE!</v>
      </c>
      <c r="EM38" t="e">
        <f>'All regions'!C995+"$F;@!$:1"</f>
        <v>#VALUE!</v>
      </c>
      <c r="EN38" t="e">
        <f>'All regions'!D995+"$F;@!$:2"</f>
        <v>#VALUE!</v>
      </c>
      <c r="EO38" t="e">
        <f>'All regions'!E995+"$F;@!$:3"</f>
        <v>#VALUE!</v>
      </c>
      <c r="EP38" t="e">
        <f>'All regions'!F995+"$F;@!$:4"</f>
        <v>#VALUE!</v>
      </c>
      <c r="EQ38" t="e">
        <f>'All regions'!G995+"$F;@!$:5"</f>
        <v>#VALUE!</v>
      </c>
      <c r="ER38" t="e">
        <f>'All regions'!H995+"$F;@!$:6"</f>
        <v>#VALUE!</v>
      </c>
      <c r="ES38" t="e">
        <f>'All regions'!I995+"$F;@!$:7"</f>
        <v>#VALUE!</v>
      </c>
      <c r="ET38" t="e">
        <f>'All regions'!A996+"$F;@!$:8"</f>
        <v>#VALUE!</v>
      </c>
      <c r="EU38" t="e">
        <f>'All regions'!B996+"$F;@!$:9"</f>
        <v>#VALUE!</v>
      </c>
      <c r="EV38" t="e">
        <f>'All regions'!C996+"$F;@!$::"</f>
        <v>#VALUE!</v>
      </c>
      <c r="EW38" t="e">
        <f>'All regions'!D996+"$F;@!$:;"</f>
        <v>#VALUE!</v>
      </c>
      <c r="EX38" t="e">
        <f>'All regions'!E996+"$F;@!$:&lt;"</f>
        <v>#VALUE!</v>
      </c>
      <c r="EY38" t="e">
        <f>'All regions'!F996+"$F;@!$:="</f>
        <v>#VALUE!</v>
      </c>
      <c r="EZ38" t="e">
        <f>'All regions'!G996+"$F;@!$:&gt;"</f>
        <v>#VALUE!</v>
      </c>
      <c r="FA38" t="e">
        <f>'All regions'!H996+"$F;@!$:?"</f>
        <v>#VALUE!</v>
      </c>
      <c r="FB38" t="e">
        <f>'All regions'!I996+"$F;@!$:@"</f>
        <v>#VALUE!</v>
      </c>
      <c r="FC38" t="e">
        <f>'All regions'!A997+"$F;@!$:A"</f>
        <v>#VALUE!</v>
      </c>
      <c r="FD38" t="e">
        <f>'All regions'!B997+"$F;@!$:B"</f>
        <v>#VALUE!</v>
      </c>
      <c r="FE38" t="e">
        <f>'All regions'!C997+"$F;@!$:C"</f>
        <v>#VALUE!</v>
      </c>
      <c r="FF38" t="e">
        <f>'All regions'!D997+"$F;@!$:D"</f>
        <v>#VALUE!</v>
      </c>
      <c r="FG38" t="e">
        <f>'All regions'!E997+"$F;@!$:E"</f>
        <v>#VALUE!</v>
      </c>
      <c r="FH38" t="e">
        <f>'All regions'!F997+"$F;@!$:F"</f>
        <v>#VALUE!</v>
      </c>
      <c r="FI38" t="e">
        <f>'All regions'!G997+"$F;@!$:G"</f>
        <v>#VALUE!</v>
      </c>
      <c r="FJ38" t="e">
        <f>'All regions'!H997+"$F;@!$:H"</f>
        <v>#VALUE!</v>
      </c>
      <c r="FK38" t="e">
        <f>'All regions'!I997+"$F;@!$:I"</f>
        <v>#VALUE!</v>
      </c>
      <c r="FL38" t="e">
        <f>'All regions'!A998+"$F;@!$:J"</f>
        <v>#VALUE!</v>
      </c>
      <c r="FM38" t="e">
        <f>'All regions'!B998+"$F;@!$:K"</f>
        <v>#VALUE!</v>
      </c>
      <c r="FN38" t="e">
        <f>'All regions'!C998+"$F;@!$:L"</f>
        <v>#VALUE!</v>
      </c>
      <c r="FO38" t="e">
        <f>'All regions'!D998+"$F;@!$:M"</f>
        <v>#VALUE!</v>
      </c>
      <c r="FP38" t="e">
        <f>'All regions'!E998+"$F;@!$:N"</f>
        <v>#VALUE!</v>
      </c>
      <c r="FQ38" t="e">
        <f>'All regions'!F998+"$F;@!$:O"</f>
        <v>#VALUE!</v>
      </c>
      <c r="FR38" t="e">
        <f>'All regions'!G998+"$F;@!$:P"</f>
        <v>#VALUE!</v>
      </c>
      <c r="FS38" t="e">
        <f>'All regions'!H998+"$F;@!$:Q"</f>
        <v>#VALUE!</v>
      </c>
      <c r="FT38" t="e">
        <f>'All regions'!I998+"$F;@!$:R"</f>
        <v>#VALUE!</v>
      </c>
      <c r="FU38" t="e">
        <f>'All regions'!A999+"$F;@!$:S"</f>
        <v>#VALUE!</v>
      </c>
      <c r="FV38" t="e">
        <f>'All regions'!B999+"$F;@!$:T"</f>
        <v>#VALUE!</v>
      </c>
      <c r="FW38" t="e">
        <f>'All regions'!C999+"$F;@!$:U"</f>
        <v>#VALUE!</v>
      </c>
      <c r="FX38" t="e">
        <f>'All regions'!D999+"$F;@!$:V"</f>
        <v>#VALUE!</v>
      </c>
      <c r="FY38" t="e">
        <f>'All regions'!E999+"$F;@!$:W"</f>
        <v>#VALUE!</v>
      </c>
      <c r="FZ38" t="e">
        <f>'All regions'!F999+"$F;@!$:X"</f>
        <v>#VALUE!</v>
      </c>
      <c r="GA38" t="e">
        <f>'All regions'!G999+"$F;@!$:Y"</f>
        <v>#VALUE!</v>
      </c>
      <c r="GB38" t="e">
        <f>'All regions'!H999+"$F;@!$:Z"</f>
        <v>#VALUE!</v>
      </c>
      <c r="GC38" t="e">
        <f>'All regions'!I999+"$F;@!$:["</f>
        <v>#VALUE!</v>
      </c>
      <c r="GD38" t="e">
        <f>'All regions'!A1000+"$F;@!$:\"</f>
        <v>#VALUE!</v>
      </c>
      <c r="GE38" t="e">
        <f>'All regions'!B1000+"$F;@!$:]"</f>
        <v>#VALUE!</v>
      </c>
      <c r="GF38" t="e">
        <f>'All regions'!C1000+"$F;@!$:^"</f>
        <v>#VALUE!</v>
      </c>
      <c r="GG38" t="e">
        <f>'All regions'!D1000+"$F;@!$:_"</f>
        <v>#VALUE!</v>
      </c>
      <c r="GH38" t="e">
        <f>'All regions'!E1000+"$F;@!$:`"</f>
        <v>#VALUE!</v>
      </c>
      <c r="GI38" t="e">
        <f>'All regions'!F1000+"$F;@!$:a"</f>
        <v>#VALUE!</v>
      </c>
      <c r="GJ38" t="e">
        <f>'All regions'!G1000+"$F;@!$:b"</f>
        <v>#VALUE!</v>
      </c>
      <c r="GK38" t="e">
        <f>'All regions'!H1000+"$F;@!$:c"</f>
        <v>#VALUE!</v>
      </c>
      <c r="GL38" t="e">
        <f>'All regions'!I1000+"$F;@!$:d"</f>
        <v>#VALUE!</v>
      </c>
      <c r="GM38" t="e">
        <f>'All regions'!A1001+"$F;@!$:e"</f>
        <v>#VALUE!</v>
      </c>
      <c r="GN38" t="e">
        <f>'All regions'!B1001+"$F;@!$:f"</f>
        <v>#VALUE!</v>
      </c>
      <c r="GO38" t="e">
        <f>'All regions'!C1001+"$F;@!$:g"</f>
        <v>#VALUE!</v>
      </c>
      <c r="GP38" t="e">
        <f>'All regions'!D1001+"$F;@!$:h"</f>
        <v>#VALUE!</v>
      </c>
      <c r="GQ38" t="e">
        <f>'All regions'!E1001+"$F;@!$:i"</f>
        <v>#VALUE!</v>
      </c>
      <c r="GR38" t="e">
        <f>'All regions'!F1001+"$F;@!$:j"</f>
        <v>#VALUE!</v>
      </c>
      <c r="GS38" t="e">
        <f>'All regions'!G1001+"$F;@!$:k"</f>
        <v>#VALUE!</v>
      </c>
      <c r="GT38" t="e">
        <f>'All regions'!H1001+"$F;@!$:l"</f>
        <v>#VALUE!</v>
      </c>
      <c r="GU38" t="e">
        <f>'All regions'!I1001+"$F;@!$:m"</f>
        <v>#VALUE!</v>
      </c>
      <c r="GV38" t="e">
        <f>'All regions'!A1002+"$F;@!$:n"</f>
        <v>#VALUE!</v>
      </c>
      <c r="GW38" t="e">
        <f>'All regions'!B1002+"$F;@!$:o"</f>
        <v>#VALUE!</v>
      </c>
      <c r="GX38" t="e">
        <f>'All regions'!C1002+"$F;@!$:p"</f>
        <v>#VALUE!</v>
      </c>
      <c r="GY38" t="e">
        <f>'All regions'!D1002+"$F;@!$:q"</f>
        <v>#VALUE!</v>
      </c>
      <c r="GZ38" t="e">
        <f>'All regions'!E1002+"$F;@!$:r"</f>
        <v>#VALUE!</v>
      </c>
      <c r="HA38" t="e">
        <f>'All regions'!F1002+"$F;@!$:s"</f>
        <v>#VALUE!</v>
      </c>
      <c r="HB38" t="e">
        <f>'All regions'!G1002+"$F;@!$:t"</f>
        <v>#VALUE!</v>
      </c>
      <c r="HC38" t="e">
        <f>'All regions'!H1002+"$F;@!$:u"</f>
        <v>#VALUE!</v>
      </c>
      <c r="HD38" t="e">
        <f>'All regions'!I1002+"$F;@!$:v"</f>
        <v>#VALUE!</v>
      </c>
      <c r="HE38" t="e">
        <f>'All regions'!A1003+"$F;@!$:w"</f>
        <v>#VALUE!</v>
      </c>
      <c r="HF38" t="e">
        <f>'All regions'!B1003+"$F;@!$:x"</f>
        <v>#VALUE!</v>
      </c>
      <c r="HG38" t="e">
        <f>'All regions'!C1003+"$F;@!$:y"</f>
        <v>#VALUE!</v>
      </c>
      <c r="HH38" t="e">
        <f>'All regions'!D1003+"$F;@!$:z"</f>
        <v>#VALUE!</v>
      </c>
      <c r="HI38" t="e">
        <f>'All regions'!E1003+"$F;@!$:{"</f>
        <v>#VALUE!</v>
      </c>
      <c r="HJ38" t="e">
        <f>'All regions'!F1003+"$F;@!$:|"</f>
        <v>#VALUE!</v>
      </c>
      <c r="HK38" t="e">
        <f>'All regions'!G1003+"$F;@!$:}"</f>
        <v>#VALUE!</v>
      </c>
      <c r="HL38" t="e">
        <f>'All regions'!H1003+"$F;@!$:~"</f>
        <v>#VALUE!</v>
      </c>
      <c r="HM38" t="e">
        <f>'All regions'!I1003+"$F;@!$;#"</f>
        <v>#VALUE!</v>
      </c>
      <c r="HN38" t="e">
        <f>'All regions'!A1004+"$F;@!$;$"</f>
        <v>#VALUE!</v>
      </c>
      <c r="HO38" t="e">
        <f>'All regions'!B1004+"$F;@!$;%"</f>
        <v>#VALUE!</v>
      </c>
      <c r="HP38" t="e">
        <f>'All regions'!C1004+"$F;@!$;&amp;"</f>
        <v>#VALUE!</v>
      </c>
      <c r="HQ38" t="e">
        <f>'All regions'!D1004+"$F;@!$;'"</f>
        <v>#VALUE!</v>
      </c>
      <c r="HR38" t="e">
        <f>'All regions'!E1004+"$F;@!$;("</f>
        <v>#VALUE!</v>
      </c>
      <c r="HS38" t="e">
        <f>'All regions'!F1004+"$F;@!$;)"</f>
        <v>#VALUE!</v>
      </c>
      <c r="HT38" t="e">
        <f>'All regions'!G1004+"$F;@!$;."</f>
        <v>#VALUE!</v>
      </c>
      <c r="HU38" t="e">
        <f>'All regions'!H1004+"$F;@!$;/"</f>
        <v>#VALUE!</v>
      </c>
      <c r="HV38" t="e">
        <f>'All regions'!I1004+"$F;@!$;0"</f>
        <v>#VALUE!</v>
      </c>
      <c r="HW38" t="e">
        <f>'All regions'!A1005+"$F;@!$;1"</f>
        <v>#VALUE!</v>
      </c>
      <c r="HX38" t="e">
        <f>'All regions'!B1005+"$F;@!$;2"</f>
        <v>#VALUE!</v>
      </c>
      <c r="HY38" t="e">
        <f>'All regions'!C1005+"$F;@!$;3"</f>
        <v>#VALUE!</v>
      </c>
      <c r="HZ38" t="e">
        <f>'All regions'!D1005+"$F;@!$;4"</f>
        <v>#VALUE!</v>
      </c>
      <c r="IA38" t="e">
        <f>'All regions'!E1005+"$F;@!$;5"</f>
        <v>#VALUE!</v>
      </c>
      <c r="IB38" t="e">
        <f>'All regions'!F1005+"$F;@!$;6"</f>
        <v>#VALUE!</v>
      </c>
      <c r="IC38" t="e">
        <f>'All regions'!G1005+"$F;@!$;7"</f>
        <v>#VALUE!</v>
      </c>
      <c r="ID38" t="e">
        <f>'All regions'!H1005+"$F;@!$;8"</f>
        <v>#VALUE!</v>
      </c>
      <c r="IE38" t="e">
        <f>'All regions'!I1005+"$F;@!$;9"</f>
        <v>#VALUE!</v>
      </c>
      <c r="IF38" t="e">
        <f>'All regions'!A1006+"$F;@!$;:"</f>
        <v>#VALUE!</v>
      </c>
      <c r="IG38" t="e">
        <f>'All regions'!B1006+"$F;@!$;;"</f>
        <v>#VALUE!</v>
      </c>
      <c r="IH38" t="e">
        <f>'All regions'!C1006+"$F;@!$;&lt;"</f>
        <v>#VALUE!</v>
      </c>
      <c r="II38" t="e">
        <f>'All regions'!D1006+"$F;@!$;="</f>
        <v>#VALUE!</v>
      </c>
      <c r="IJ38" t="e">
        <f>'All regions'!E1006+"$F;@!$;&gt;"</f>
        <v>#VALUE!</v>
      </c>
      <c r="IK38" t="e">
        <f>'All regions'!F1006+"$F;@!$;?"</f>
        <v>#VALUE!</v>
      </c>
      <c r="IL38" t="e">
        <f>'All regions'!G1006+"$F;@!$;@"</f>
        <v>#VALUE!</v>
      </c>
      <c r="IM38" t="e">
        <f>'All regions'!H1006+"$F;@!$;A"</f>
        <v>#VALUE!</v>
      </c>
      <c r="IN38" t="e">
        <f>'All regions'!I1006+"$F;@!$;B"</f>
        <v>#VALUE!</v>
      </c>
      <c r="IO38" t="e">
        <f>'All regions'!A1007+"$F;@!$;C"</f>
        <v>#VALUE!</v>
      </c>
      <c r="IP38" t="e">
        <f>'All regions'!B1007+"$F;@!$;D"</f>
        <v>#VALUE!</v>
      </c>
      <c r="IQ38" t="e">
        <f>'All regions'!C1007+"$F;@!$;E"</f>
        <v>#VALUE!</v>
      </c>
      <c r="IR38" t="e">
        <f>'All regions'!D1007+"$F;@!$;F"</f>
        <v>#VALUE!</v>
      </c>
      <c r="IS38" t="e">
        <f>'All regions'!E1007+"$F;@!$;G"</f>
        <v>#VALUE!</v>
      </c>
      <c r="IT38" t="e">
        <f>'All regions'!F1007+"$F;@!$;H"</f>
        <v>#VALUE!</v>
      </c>
      <c r="IU38" t="e">
        <f>'All regions'!G1007+"$F;@!$;I"</f>
        <v>#VALUE!</v>
      </c>
      <c r="IV38" t="e">
        <f>'All regions'!H1007+"$F;@!$;J"</f>
        <v>#VALUE!</v>
      </c>
    </row>
    <row r="39" spans="6:256" x14ac:dyDescent="0.35">
      <c r="F39" t="e">
        <f>'All regions'!I1007+"$F;@!$;K"</f>
        <v>#VALUE!</v>
      </c>
      <c r="G39" t="e">
        <f>'All regions'!A1008+"$F;@!$;L"</f>
        <v>#VALUE!</v>
      </c>
      <c r="H39" t="e">
        <f>'All regions'!B1008+"$F;@!$;M"</f>
        <v>#VALUE!</v>
      </c>
      <c r="I39" t="e">
        <f>'All regions'!C1008+"$F;@!$;N"</f>
        <v>#VALUE!</v>
      </c>
      <c r="J39" t="e">
        <f>'All regions'!D1008+"$F;@!$;O"</f>
        <v>#VALUE!</v>
      </c>
      <c r="K39" t="e">
        <f>'All regions'!E1008+"$F;@!$;P"</f>
        <v>#VALUE!</v>
      </c>
      <c r="L39" t="e">
        <f>'All regions'!F1008+"$F;@!$;Q"</f>
        <v>#VALUE!</v>
      </c>
      <c r="M39" t="e">
        <f>'All regions'!G1008+"$F;@!$;R"</f>
        <v>#VALUE!</v>
      </c>
      <c r="N39" t="e">
        <f>'All regions'!H1008+"$F;@!$;S"</f>
        <v>#VALUE!</v>
      </c>
      <c r="O39" t="e">
        <f>'All regions'!I1008+"$F;@!$;T"</f>
        <v>#VALUE!</v>
      </c>
      <c r="P39" t="e">
        <f>'All regions'!A1009+"$F;@!$;U"</f>
        <v>#VALUE!</v>
      </c>
      <c r="Q39" t="e">
        <f>'All regions'!B1009+"$F;@!$;V"</f>
        <v>#VALUE!</v>
      </c>
      <c r="R39" t="e">
        <f>'All regions'!C1009+"$F;@!$;W"</f>
        <v>#VALUE!</v>
      </c>
      <c r="S39" t="e">
        <f>'All regions'!D1009+"$F;@!$;X"</f>
        <v>#VALUE!</v>
      </c>
      <c r="T39" t="e">
        <f>'All regions'!E1009+"$F;@!$;Y"</f>
        <v>#VALUE!</v>
      </c>
      <c r="U39" t="e">
        <f>'All regions'!F1009+"$F;@!$;Z"</f>
        <v>#VALUE!</v>
      </c>
      <c r="V39" t="e">
        <f>'All regions'!G1009+"$F;@!$;["</f>
        <v>#VALUE!</v>
      </c>
      <c r="W39" t="e">
        <f>'All regions'!H1009+"$F;@!$;\"</f>
        <v>#VALUE!</v>
      </c>
      <c r="X39" t="e">
        <f>'All regions'!I1009+"$F;@!$;]"</f>
        <v>#VALUE!</v>
      </c>
      <c r="Y39" t="e">
        <f>'All regions'!A1010+"$F;@!$;^"</f>
        <v>#VALUE!</v>
      </c>
      <c r="Z39" t="e">
        <f>'All regions'!B1010+"$F;@!$;_"</f>
        <v>#VALUE!</v>
      </c>
      <c r="AA39" t="e">
        <f>'All regions'!C1010+"$F;@!$;`"</f>
        <v>#VALUE!</v>
      </c>
      <c r="AB39" t="e">
        <f>'All regions'!D1010+"$F;@!$;a"</f>
        <v>#VALUE!</v>
      </c>
      <c r="AC39" t="e">
        <f>'All regions'!E1010+"$F;@!$;b"</f>
        <v>#VALUE!</v>
      </c>
      <c r="AD39" t="e">
        <f>'All regions'!F1010+"$F;@!$;c"</f>
        <v>#VALUE!</v>
      </c>
      <c r="AE39" t="e">
        <f>'All regions'!G1010+"$F;@!$;d"</f>
        <v>#VALUE!</v>
      </c>
      <c r="AF39" t="e">
        <f>'All regions'!H1010+"$F;@!$;e"</f>
        <v>#VALUE!</v>
      </c>
      <c r="AG39" t="e">
        <f>'All regions'!I1010+"$F;@!$;f"</f>
        <v>#VALUE!</v>
      </c>
      <c r="AH39" t="e">
        <f>'All regions'!A1011+"$F;@!$;g"</f>
        <v>#VALUE!</v>
      </c>
      <c r="AI39" t="e">
        <f>'All regions'!B1011+"$F;@!$;h"</f>
        <v>#VALUE!</v>
      </c>
      <c r="AJ39" t="e">
        <f>'All regions'!C1011+"$F;@!$;i"</f>
        <v>#VALUE!</v>
      </c>
      <c r="AK39" t="e">
        <f>'All regions'!D1011+"$F;@!$;j"</f>
        <v>#VALUE!</v>
      </c>
      <c r="AL39" t="e">
        <f>'All regions'!E1011+"$F;@!$;k"</f>
        <v>#VALUE!</v>
      </c>
      <c r="AM39" t="e">
        <f>'All regions'!F1011+"$F;@!$;l"</f>
        <v>#VALUE!</v>
      </c>
      <c r="AN39" t="e">
        <f>'All regions'!G1011+"$F;@!$;m"</f>
        <v>#VALUE!</v>
      </c>
      <c r="AO39" t="e">
        <f>'All regions'!H1011+"$F;@!$;n"</f>
        <v>#VALUE!</v>
      </c>
      <c r="AP39" t="e">
        <f>'All regions'!I1011+"$F;@!$;o"</f>
        <v>#VALUE!</v>
      </c>
      <c r="AQ39" t="e">
        <f>'All regions'!A1012+"$F;@!$;p"</f>
        <v>#VALUE!</v>
      </c>
      <c r="AR39" t="e">
        <f>'All regions'!B1012+"$F;@!$;q"</f>
        <v>#VALUE!</v>
      </c>
      <c r="AS39" t="e">
        <f>'All regions'!C1012+"$F;@!$;r"</f>
        <v>#VALUE!</v>
      </c>
      <c r="AT39" t="e">
        <f>'All regions'!D1012+"$F;@!$;s"</f>
        <v>#VALUE!</v>
      </c>
      <c r="AU39" t="e">
        <f>'All regions'!E1012+"$F;@!$;t"</f>
        <v>#VALUE!</v>
      </c>
      <c r="AV39" t="e">
        <f>'All regions'!F1012+"$F;@!$;u"</f>
        <v>#VALUE!</v>
      </c>
      <c r="AW39" t="e">
        <f>'All regions'!G1012+"$F;@!$;v"</f>
        <v>#VALUE!</v>
      </c>
      <c r="AX39" t="e">
        <f>'All regions'!H1012+"$F;@!$;w"</f>
        <v>#VALUE!</v>
      </c>
      <c r="AY39" t="e">
        <f>'All regions'!I1012+"$F;@!$;x"</f>
        <v>#VALUE!</v>
      </c>
      <c r="AZ39" t="e">
        <f>'All regions'!A1013+"$F;@!$;y"</f>
        <v>#VALUE!</v>
      </c>
      <c r="BA39" t="e">
        <f>'All regions'!B1013+"$F;@!$;z"</f>
        <v>#VALUE!</v>
      </c>
      <c r="BB39" t="e">
        <f>'All regions'!C1013+"$F;@!$;{"</f>
        <v>#VALUE!</v>
      </c>
      <c r="BC39" t="e">
        <f>'All regions'!D1013+"$F;@!$;|"</f>
        <v>#VALUE!</v>
      </c>
      <c r="BD39" t="e">
        <f>'All regions'!E1013+"$F;@!$;}"</f>
        <v>#VALUE!</v>
      </c>
      <c r="BE39" t="e">
        <f>'All regions'!F1013+"$F;@!$;~"</f>
        <v>#VALUE!</v>
      </c>
      <c r="BF39" t="e">
        <f>'All regions'!G1013+"$F;@!$&lt;#"</f>
        <v>#VALUE!</v>
      </c>
      <c r="BG39" t="e">
        <f>'All regions'!H1013+"$F;@!$&lt;$"</f>
        <v>#VALUE!</v>
      </c>
      <c r="BH39" t="e">
        <f>'All regions'!I1013+"$F;@!$&lt;%"</f>
        <v>#VALUE!</v>
      </c>
      <c r="BI39" t="e">
        <f>'All regions'!A1014+"$F;@!$&lt;&amp;"</f>
        <v>#VALUE!</v>
      </c>
      <c r="BJ39" t="e">
        <f>'All regions'!B1014+"$F;@!$&lt;'"</f>
        <v>#VALUE!</v>
      </c>
      <c r="BK39" t="e">
        <f>'All regions'!C1014+"$F;@!$&lt;("</f>
        <v>#VALUE!</v>
      </c>
      <c r="BL39" t="e">
        <f>'All regions'!D1014+"$F;@!$&lt;)"</f>
        <v>#VALUE!</v>
      </c>
      <c r="BM39" t="e">
        <f>'All regions'!E1014+"$F;@!$&lt;."</f>
        <v>#VALUE!</v>
      </c>
      <c r="BN39" t="e">
        <f>'All regions'!F1014+"$F;@!$&lt;/"</f>
        <v>#VALUE!</v>
      </c>
      <c r="BO39" t="e">
        <f>'All regions'!G1014+"$F;@!$&lt;0"</f>
        <v>#VALUE!</v>
      </c>
      <c r="BP39" t="e">
        <f>'All regions'!H1014+"$F;@!$&lt;1"</f>
        <v>#VALUE!</v>
      </c>
      <c r="BQ39" t="e">
        <f>'All regions'!I1014+"$F;@!$&lt;2"</f>
        <v>#VALUE!</v>
      </c>
      <c r="BR39" t="e">
        <f>'All regions'!A1015+"$F;@!$&lt;3"</f>
        <v>#VALUE!</v>
      </c>
      <c r="BS39" t="e">
        <f>'All regions'!B1015+"$F;@!$&lt;4"</f>
        <v>#VALUE!</v>
      </c>
      <c r="BT39" t="e">
        <f>'All regions'!C1015+"$F;@!$&lt;5"</f>
        <v>#VALUE!</v>
      </c>
      <c r="BU39" t="e">
        <f>'All regions'!D1015+"$F;@!$&lt;6"</f>
        <v>#VALUE!</v>
      </c>
      <c r="BV39" t="e">
        <f>'All regions'!E1015+"$F;@!$&lt;7"</f>
        <v>#VALUE!</v>
      </c>
      <c r="BW39" t="e">
        <f>'All regions'!F1015+"$F;@!$&lt;8"</f>
        <v>#VALUE!</v>
      </c>
      <c r="BX39" t="e">
        <f>'All regions'!G1015+"$F;@!$&lt;9"</f>
        <v>#VALUE!</v>
      </c>
      <c r="BY39" t="e">
        <f>'All regions'!H1015+"$F;@!$&lt;:"</f>
        <v>#VALUE!</v>
      </c>
      <c r="BZ39" t="e">
        <f>'All regions'!I1015+"$F;@!$&lt;;"</f>
        <v>#VALUE!</v>
      </c>
      <c r="CA39" t="e">
        <f>'All regions'!A1016+"$F;@!$&lt;&lt;"</f>
        <v>#VALUE!</v>
      </c>
      <c r="CB39" t="e">
        <f>'All regions'!B1016+"$F;@!$&lt;="</f>
        <v>#VALUE!</v>
      </c>
      <c r="CC39" t="e">
        <f>'All regions'!C1016+"$F;@!$&lt;&gt;"</f>
        <v>#VALUE!</v>
      </c>
      <c r="CD39" t="e">
        <f>'All regions'!D1016+"$F;@!$&lt;?"</f>
        <v>#VALUE!</v>
      </c>
      <c r="CE39" t="e">
        <f>'All regions'!E1016+"$F;@!$&lt;@"</f>
        <v>#VALUE!</v>
      </c>
      <c r="CF39" t="e">
        <f>'All regions'!F1016+"$F;@!$&lt;A"</f>
        <v>#VALUE!</v>
      </c>
      <c r="CG39" t="e">
        <f>'All regions'!G1016+"$F;@!$&lt;B"</f>
        <v>#VALUE!</v>
      </c>
      <c r="CH39" t="e">
        <f>'All regions'!H1016+"$F;@!$&lt;C"</f>
        <v>#VALUE!</v>
      </c>
      <c r="CI39" t="e">
        <f>'All regions'!I1016+"$F;@!$&lt;D"</f>
        <v>#VALUE!</v>
      </c>
      <c r="CJ39" t="e">
        <f>'All regions'!A1017+"$F;@!$&lt;E"</f>
        <v>#VALUE!</v>
      </c>
      <c r="CK39" t="e">
        <f>'All regions'!B1017+"$F;@!$&lt;F"</f>
        <v>#VALUE!</v>
      </c>
      <c r="CL39" t="e">
        <f>'All regions'!C1017+"$F;@!$&lt;G"</f>
        <v>#VALUE!</v>
      </c>
      <c r="CM39" t="e">
        <f>'All regions'!D1017+"$F;@!$&lt;H"</f>
        <v>#VALUE!</v>
      </c>
      <c r="CN39" t="e">
        <f>'All regions'!E1017+"$F;@!$&lt;I"</f>
        <v>#VALUE!</v>
      </c>
      <c r="CO39" t="e">
        <f>'All regions'!F1017+"$F;@!$&lt;J"</f>
        <v>#VALUE!</v>
      </c>
      <c r="CP39" t="e">
        <f>'All regions'!G1017+"$F;@!$&lt;K"</f>
        <v>#VALUE!</v>
      </c>
      <c r="CQ39" t="e">
        <f>'All regions'!H1017+"$F;@!$&lt;L"</f>
        <v>#VALUE!</v>
      </c>
      <c r="CR39" t="e">
        <f>'All regions'!I1017+"$F;@!$&lt;M"</f>
        <v>#VALUE!</v>
      </c>
      <c r="CS39" t="e">
        <f>'All regions'!A1018+"$F;@!$&lt;N"</f>
        <v>#VALUE!</v>
      </c>
      <c r="CT39" t="e">
        <f>'All regions'!B1018+"$F;@!$&lt;O"</f>
        <v>#VALUE!</v>
      </c>
      <c r="CU39" t="e">
        <f>'All regions'!C1018+"$F;@!$&lt;P"</f>
        <v>#VALUE!</v>
      </c>
      <c r="CV39" t="e">
        <f>'All regions'!D1018+"$F;@!$&lt;Q"</f>
        <v>#VALUE!</v>
      </c>
      <c r="CW39" t="e">
        <f>'All regions'!E1018+"$F;@!$&lt;R"</f>
        <v>#VALUE!</v>
      </c>
      <c r="CX39" t="e">
        <f>'All regions'!F1018+"$F;@!$&lt;S"</f>
        <v>#VALUE!</v>
      </c>
      <c r="CY39" t="e">
        <f>'All regions'!G1018+"$F;@!$&lt;T"</f>
        <v>#VALUE!</v>
      </c>
      <c r="CZ39" t="e">
        <f>'All regions'!H1018+"$F;@!$&lt;U"</f>
        <v>#VALUE!</v>
      </c>
      <c r="DA39" t="e">
        <f>'All regions'!I1018+"$F;@!$&lt;V"</f>
        <v>#VALUE!</v>
      </c>
      <c r="DB39" t="e">
        <f>'All regions'!A1019+"$F;@!$&lt;W"</f>
        <v>#VALUE!</v>
      </c>
      <c r="DC39" t="e">
        <f>'All regions'!B1019+"$F;@!$&lt;X"</f>
        <v>#VALUE!</v>
      </c>
      <c r="DD39" t="e">
        <f>'All regions'!C1019+"$F;@!$&lt;Y"</f>
        <v>#VALUE!</v>
      </c>
      <c r="DE39" t="e">
        <f>'All regions'!D1019+"$F;@!$&lt;Z"</f>
        <v>#VALUE!</v>
      </c>
      <c r="DF39" t="e">
        <f>'All regions'!E1019+"$F;@!$&lt;["</f>
        <v>#VALUE!</v>
      </c>
      <c r="DG39" t="e">
        <f>'All regions'!F1019+"$F;@!$&lt;\"</f>
        <v>#VALUE!</v>
      </c>
      <c r="DH39" t="e">
        <f>'All regions'!G1019+"$F;@!$&lt;]"</f>
        <v>#VALUE!</v>
      </c>
      <c r="DI39" t="e">
        <f>'All regions'!H1019+"$F;@!$&lt;^"</f>
        <v>#VALUE!</v>
      </c>
      <c r="DJ39" t="e">
        <f>'All regions'!I1019+"$F;@!$&lt;_"</f>
        <v>#VALUE!</v>
      </c>
      <c r="DK39" t="e">
        <f>'All regions'!A1020+"$F;@!$&lt;`"</f>
        <v>#VALUE!</v>
      </c>
      <c r="DL39" t="e">
        <f>'All regions'!B1020+"$F;@!$&lt;a"</f>
        <v>#VALUE!</v>
      </c>
      <c r="DM39" t="e">
        <f>'All regions'!C1020+"$F;@!$&lt;b"</f>
        <v>#VALUE!</v>
      </c>
      <c r="DN39" t="e">
        <f>'All regions'!D1020+"$F;@!$&lt;c"</f>
        <v>#VALUE!</v>
      </c>
      <c r="DO39" t="e">
        <f>'All regions'!E1020+"$F;@!$&lt;d"</f>
        <v>#VALUE!</v>
      </c>
      <c r="DP39" t="e">
        <f>'All regions'!F1020+"$F;@!$&lt;e"</f>
        <v>#VALUE!</v>
      </c>
      <c r="DQ39" t="e">
        <f>'All regions'!G1020+"$F;@!$&lt;f"</f>
        <v>#VALUE!</v>
      </c>
      <c r="DR39" t="e">
        <f>'All regions'!H1020+"$F;@!$&lt;g"</f>
        <v>#VALUE!</v>
      </c>
      <c r="DS39" t="e">
        <f>'All regions'!I1020+"$F;@!$&lt;h"</f>
        <v>#VALUE!</v>
      </c>
      <c r="DT39" t="e">
        <f>'All regions'!A1021+"$F;@!$&lt;i"</f>
        <v>#VALUE!</v>
      </c>
      <c r="DU39" t="e">
        <f>'All regions'!B1021+"$F;@!$&lt;j"</f>
        <v>#VALUE!</v>
      </c>
      <c r="DV39" t="e">
        <f>'All regions'!C1021+"$F;@!$&lt;k"</f>
        <v>#VALUE!</v>
      </c>
      <c r="DW39" t="e">
        <f>'All regions'!D1021+"$F;@!$&lt;l"</f>
        <v>#VALUE!</v>
      </c>
      <c r="DX39" t="e">
        <f>'All regions'!E1021+"$F;@!$&lt;m"</f>
        <v>#VALUE!</v>
      </c>
      <c r="DY39" t="e">
        <f>'All regions'!F1021+"$F;@!$&lt;n"</f>
        <v>#VALUE!</v>
      </c>
      <c r="DZ39" t="e">
        <f>'All regions'!G1021+"$F;@!$&lt;o"</f>
        <v>#VALUE!</v>
      </c>
      <c r="EA39" t="e">
        <f>'All regions'!H1021+"$F;@!$&lt;p"</f>
        <v>#VALUE!</v>
      </c>
      <c r="EB39" t="e">
        <f>'All regions'!I1021+"$F;@!$&lt;q"</f>
        <v>#VALUE!</v>
      </c>
      <c r="EC39" t="e">
        <f>'All regions'!A1022+"$F;@!$&lt;r"</f>
        <v>#VALUE!</v>
      </c>
      <c r="ED39" t="e">
        <f>'All regions'!B1022+"$F;@!$&lt;s"</f>
        <v>#VALUE!</v>
      </c>
      <c r="EE39" t="e">
        <f>'All regions'!C1022+"$F;@!$&lt;t"</f>
        <v>#VALUE!</v>
      </c>
      <c r="EF39" t="e">
        <f>'All regions'!D1022+"$F;@!$&lt;u"</f>
        <v>#VALUE!</v>
      </c>
      <c r="EG39" t="e">
        <f>'All regions'!E1022+"$F;@!$&lt;v"</f>
        <v>#VALUE!</v>
      </c>
      <c r="EH39" t="e">
        <f>'All regions'!F1022+"$F;@!$&lt;w"</f>
        <v>#VALUE!</v>
      </c>
      <c r="EI39" t="e">
        <f>'All regions'!G1022+"$F;@!$&lt;x"</f>
        <v>#VALUE!</v>
      </c>
      <c r="EJ39" t="e">
        <f>'All regions'!H1022+"$F;@!$&lt;y"</f>
        <v>#VALUE!</v>
      </c>
      <c r="EK39" t="e">
        <f>'All regions'!I1022+"$F;@!$&lt;z"</f>
        <v>#VALUE!</v>
      </c>
      <c r="EL39" t="e">
        <f>'All regions'!A1023+"$F;@!$&lt;{"</f>
        <v>#VALUE!</v>
      </c>
      <c r="EM39" t="e">
        <f>'All regions'!B1023+"$F;@!$&lt;|"</f>
        <v>#VALUE!</v>
      </c>
      <c r="EN39" t="e">
        <f>'All regions'!C1023+"$F;@!$&lt;}"</f>
        <v>#VALUE!</v>
      </c>
      <c r="EO39" t="e">
        <f>'All regions'!D1023+"$F;@!$&lt;~"</f>
        <v>#VALUE!</v>
      </c>
      <c r="EP39" t="e">
        <f>'All regions'!E1023+"$F;@!$=#"</f>
        <v>#VALUE!</v>
      </c>
      <c r="EQ39" t="e">
        <f>'All regions'!F1023+"$F;@!$=$"</f>
        <v>#VALUE!</v>
      </c>
      <c r="ER39" t="e">
        <f>'All regions'!G1023+"$F;@!$=%"</f>
        <v>#VALUE!</v>
      </c>
      <c r="ES39" t="e">
        <f>'All regions'!H1023+"$F;@!$=&amp;"</f>
        <v>#VALUE!</v>
      </c>
      <c r="ET39" t="e">
        <f>'All regions'!I1023+"$F;@!$='"</f>
        <v>#VALUE!</v>
      </c>
      <c r="EU39" t="e">
        <f>'All regions'!A1024+"$F;@!$=("</f>
        <v>#VALUE!</v>
      </c>
      <c r="EV39" t="e">
        <f>'All regions'!B1024+"$F;@!$=)"</f>
        <v>#VALUE!</v>
      </c>
      <c r="EW39" t="e">
        <f>'All regions'!C1024+"$F;@!$=."</f>
        <v>#VALUE!</v>
      </c>
      <c r="EX39" t="e">
        <f>'All regions'!D1024+"$F;@!$=/"</f>
        <v>#VALUE!</v>
      </c>
      <c r="EY39" t="e">
        <f>'All regions'!E1024+"$F;@!$=0"</f>
        <v>#VALUE!</v>
      </c>
      <c r="EZ39" t="e">
        <f>'All regions'!F1024+"$F;@!$=1"</f>
        <v>#VALUE!</v>
      </c>
      <c r="FA39" t="e">
        <f>'All regions'!G1024+"$F;@!$=2"</f>
        <v>#VALUE!</v>
      </c>
      <c r="FB39" t="e">
        <f>'All regions'!H1024+"$F;@!$=3"</f>
        <v>#VALUE!</v>
      </c>
      <c r="FC39" t="e">
        <f>'All regions'!I1024+"$F;@!$=4"</f>
        <v>#VALUE!</v>
      </c>
      <c r="FD39" t="e">
        <f>'All regions'!A1025+"$F;@!$=5"</f>
        <v>#VALUE!</v>
      </c>
      <c r="FE39" t="e">
        <f>'All regions'!B1025+"$F;@!$=6"</f>
        <v>#VALUE!</v>
      </c>
      <c r="FF39" t="e">
        <f>'All regions'!C1025+"$F;@!$=7"</f>
        <v>#VALUE!</v>
      </c>
      <c r="FG39" t="e">
        <f>'All regions'!D1025+"$F;@!$=8"</f>
        <v>#VALUE!</v>
      </c>
      <c r="FH39" t="e">
        <f>'All regions'!E1025+"$F;@!$=9"</f>
        <v>#VALUE!</v>
      </c>
      <c r="FI39" t="e">
        <f>'All regions'!F1025+"$F;@!$=:"</f>
        <v>#VALUE!</v>
      </c>
      <c r="FJ39" t="e">
        <f>'All regions'!G1025+"$F;@!$=;"</f>
        <v>#VALUE!</v>
      </c>
      <c r="FK39" t="e">
        <f>'All regions'!H1025+"$F;@!$=&lt;"</f>
        <v>#VALUE!</v>
      </c>
      <c r="FL39" t="e">
        <f>'All regions'!I1025+"$F;@!$=="</f>
        <v>#VALUE!</v>
      </c>
      <c r="FM39" t="e">
        <f>'All regions'!A1026+"$F;@!$=&gt;"</f>
        <v>#VALUE!</v>
      </c>
      <c r="FN39" t="e">
        <f>'All regions'!B1026+"$F;@!$=?"</f>
        <v>#VALUE!</v>
      </c>
      <c r="FO39" t="e">
        <f>'All regions'!C1026+"$F;@!$=@"</f>
        <v>#VALUE!</v>
      </c>
      <c r="FP39" t="e">
        <f>'All regions'!D1026+"$F;@!$=A"</f>
        <v>#VALUE!</v>
      </c>
      <c r="FQ39" t="e">
        <f>'All regions'!E1026+"$F;@!$=B"</f>
        <v>#VALUE!</v>
      </c>
      <c r="FR39" t="e">
        <f>'All regions'!F1026+"$F;@!$=C"</f>
        <v>#VALUE!</v>
      </c>
      <c r="FS39" t="e">
        <f>'All regions'!G1026+"$F;@!$=D"</f>
        <v>#VALUE!</v>
      </c>
      <c r="FT39" t="e">
        <f>'All regions'!H1026+"$F;@!$=E"</f>
        <v>#VALUE!</v>
      </c>
      <c r="FU39" t="e">
        <f>'All regions'!I1026+"$F;@!$=F"</f>
        <v>#VALUE!</v>
      </c>
      <c r="FV39" t="e">
        <f>'All regions'!A1027+"$F;@!$=G"</f>
        <v>#VALUE!</v>
      </c>
      <c r="FW39" t="e">
        <f>'All regions'!B1027+"$F;@!$=H"</f>
        <v>#VALUE!</v>
      </c>
      <c r="FX39" t="e">
        <f>'All regions'!C1027+"$F;@!$=I"</f>
        <v>#VALUE!</v>
      </c>
      <c r="FY39" t="e">
        <f>'All regions'!D1027+"$F;@!$=J"</f>
        <v>#VALUE!</v>
      </c>
      <c r="FZ39" t="e">
        <f>'All regions'!E1027+"$F;@!$=K"</f>
        <v>#VALUE!</v>
      </c>
      <c r="GA39" t="e">
        <f>'All regions'!F1027+"$F;@!$=L"</f>
        <v>#VALUE!</v>
      </c>
      <c r="GB39" t="e">
        <f>'All regions'!G1027+"$F;@!$=M"</f>
        <v>#VALUE!</v>
      </c>
      <c r="GC39" t="e">
        <f>'All regions'!H1027+"$F;@!$=N"</f>
        <v>#VALUE!</v>
      </c>
      <c r="GD39" t="e">
        <f>'All regions'!I1027+"$F;@!$=O"</f>
        <v>#VALUE!</v>
      </c>
      <c r="GE39" t="e">
        <f>'All regions'!A1028+"$F;@!$=P"</f>
        <v>#VALUE!</v>
      </c>
      <c r="GF39" t="e">
        <f>'All regions'!B1028+"$F;@!$=Q"</f>
        <v>#VALUE!</v>
      </c>
      <c r="GG39" t="e">
        <f>'All regions'!C1028+"$F;@!$=R"</f>
        <v>#VALUE!</v>
      </c>
      <c r="GH39" t="e">
        <f>'All regions'!D1028+"$F;@!$=S"</f>
        <v>#VALUE!</v>
      </c>
      <c r="GI39" t="e">
        <f>'All regions'!E1028+"$F;@!$=T"</f>
        <v>#VALUE!</v>
      </c>
      <c r="GJ39" t="e">
        <f>'All regions'!F1028+"$F;@!$=U"</f>
        <v>#VALUE!</v>
      </c>
      <c r="GK39" t="e">
        <f>'All regions'!G1028+"$F;@!$=V"</f>
        <v>#VALUE!</v>
      </c>
      <c r="GL39" t="e">
        <f>'All regions'!H1028+"$F;@!$=W"</f>
        <v>#VALUE!</v>
      </c>
      <c r="GM39" t="e">
        <f>'All regions'!I1028+"$F;@!$=X"</f>
        <v>#VALUE!</v>
      </c>
      <c r="GN39" t="e">
        <f>'All regions'!A1029+"$F;@!$=Y"</f>
        <v>#VALUE!</v>
      </c>
      <c r="GO39" t="e">
        <f>'All regions'!B1029+"$F;@!$=Z"</f>
        <v>#VALUE!</v>
      </c>
      <c r="GP39" t="e">
        <f>'All regions'!C1029+"$F;@!$=["</f>
        <v>#VALUE!</v>
      </c>
      <c r="GQ39" t="e">
        <f>'All regions'!D1029+"$F;@!$=\"</f>
        <v>#VALUE!</v>
      </c>
      <c r="GR39" t="e">
        <f>'All regions'!E1029+"$F;@!$=]"</f>
        <v>#VALUE!</v>
      </c>
      <c r="GS39" t="e">
        <f>'All regions'!F1029+"$F;@!$=^"</f>
        <v>#VALUE!</v>
      </c>
      <c r="GT39" t="e">
        <f>'All regions'!G1029+"$F;@!$=_"</f>
        <v>#VALUE!</v>
      </c>
      <c r="GU39" t="e">
        <f>'All regions'!H1029+"$F;@!$=`"</f>
        <v>#VALUE!</v>
      </c>
      <c r="GV39" t="e">
        <f>'All regions'!I1029+"$F;@!$=a"</f>
        <v>#VALUE!</v>
      </c>
      <c r="GW39" t="e">
        <f>'All regions'!A1030+"$F;@!$=b"</f>
        <v>#VALUE!</v>
      </c>
      <c r="GX39" t="e">
        <f>'All regions'!B1030+"$F;@!$=c"</f>
        <v>#VALUE!</v>
      </c>
      <c r="GY39" t="e">
        <f>'All regions'!C1030+"$F;@!$=d"</f>
        <v>#VALUE!</v>
      </c>
      <c r="GZ39" t="e">
        <f>'All regions'!D1030+"$F;@!$=e"</f>
        <v>#VALUE!</v>
      </c>
      <c r="HA39" t="e">
        <f>'All regions'!E1030+"$F;@!$=f"</f>
        <v>#VALUE!</v>
      </c>
      <c r="HB39" t="e">
        <f>'All regions'!F1030+"$F;@!$=g"</f>
        <v>#VALUE!</v>
      </c>
      <c r="HC39" t="e">
        <f>'All regions'!G1030+"$F;@!$=h"</f>
        <v>#VALUE!</v>
      </c>
      <c r="HD39" t="e">
        <f>'All regions'!H1030+"$F;@!$=i"</f>
        <v>#VALUE!</v>
      </c>
      <c r="HE39" t="e">
        <f>'All regions'!I1030+"$F;@!$=j"</f>
        <v>#VALUE!</v>
      </c>
      <c r="HF39" t="e">
        <f>'All regions'!A1031+"$F;@!$=k"</f>
        <v>#VALUE!</v>
      </c>
      <c r="HG39" t="e">
        <f>'All regions'!B1031+"$F;@!$=l"</f>
        <v>#VALUE!</v>
      </c>
      <c r="HH39" t="e">
        <f>'All regions'!C1031+"$F;@!$=m"</f>
        <v>#VALUE!</v>
      </c>
      <c r="HI39" t="e">
        <f>'All regions'!D1031+"$F;@!$=n"</f>
        <v>#VALUE!</v>
      </c>
      <c r="HJ39" t="e">
        <f>'All regions'!E1031+"$F;@!$=o"</f>
        <v>#VALUE!</v>
      </c>
      <c r="HK39" t="e">
        <f>'All regions'!F1031+"$F;@!$=p"</f>
        <v>#VALUE!</v>
      </c>
      <c r="HL39" t="e">
        <f>'All regions'!G1031+"$F;@!$=q"</f>
        <v>#VALUE!</v>
      </c>
      <c r="HM39" t="e">
        <f>'All regions'!H1031+"$F;@!$=r"</f>
        <v>#VALUE!</v>
      </c>
      <c r="HN39" t="e">
        <f>'All regions'!I1031+"$F;@!$=s"</f>
        <v>#VALUE!</v>
      </c>
      <c r="HO39" t="e">
        <f>'All regions'!A1032+"$F;@!$=t"</f>
        <v>#VALUE!</v>
      </c>
      <c r="HP39" t="e">
        <f>'All regions'!B1032+"$F;@!$=u"</f>
        <v>#VALUE!</v>
      </c>
      <c r="HQ39" t="e">
        <f>'All regions'!C1032+"$F;@!$=v"</f>
        <v>#VALUE!</v>
      </c>
      <c r="HR39" t="e">
        <f>'All regions'!D1032+"$F;@!$=w"</f>
        <v>#VALUE!</v>
      </c>
      <c r="HS39" t="e">
        <f>'All regions'!E1032+"$F;@!$=x"</f>
        <v>#VALUE!</v>
      </c>
      <c r="HT39" t="e">
        <f>'All regions'!F1032+"$F;@!$=y"</f>
        <v>#VALUE!</v>
      </c>
      <c r="HU39" t="e">
        <f>'All regions'!G1032+"$F;@!$=z"</f>
        <v>#VALUE!</v>
      </c>
      <c r="HV39" t="e">
        <f>'All regions'!H1032+"$F;@!$={"</f>
        <v>#VALUE!</v>
      </c>
      <c r="HW39" t="e">
        <f>'All regions'!I1032+"$F;@!$=|"</f>
        <v>#VALUE!</v>
      </c>
      <c r="HX39" t="e">
        <f>'All regions'!A1033+"$F;@!$=}"</f>
        <v>#VALUE!</v>
      </c>
      <c r="HY39" t="e">
        <f>'All regions'!B1033+"$F;@!$=~"</f>
        <v>#VALUE!</v>
      </c>
      <c r="HZ39" t="e">
        <f>'All regions'!C1033+"$F;@!$&gt;#"</f>
        <v>#VALUE!</v>
      </c>
      <c r="IA39" t="e">
        <f>'All regions'!D1033+"$F;@!$&gt;$"</f>
        <v>#VALUE!</v>
      </c>
      <c r="IB39" t="e">
        <f>'All regions'!E1033+"$F;@!$&gt;%"</f>
        <v>#VALUE!</v>
      </c>
      <c r="IC39" t="e">
        <f>'All regions'!F1033+"$F;@!$&gt;&amp;"</f>
        <v>#VALUE!</v>
      </c>
      <c r="ID39" t="e">
        <f>'All regions'!G1033+"$F;@!$&gt;'"</f>
        <v>#VALUE!</v>
      </c>
      <c r="IE39" t="e">
        <f>'All regions'!H1033+"$F;@!$&gt;("</f>
        <v>#VALUE!</v>
      </c>
      <c r="IF39" t="e">
        <f>'All regions'!I1033+"$F;@!$&gt;)"</f>
        <v>#VALUE!</v>
      </c>
      <c r="IG39" t="e">
        <f>'All regions'!A1034+"$F;@!$&gt;."</f>
        <v>#VALUE!</v>
      </c>
      <c r="IH39" t="e">
        <f>'All regions'!B1034+"$F;@!$&gt;/"</f>
        <v>#VALUE!</v>
      </c>
      <c r="II39" t="e">
        <f>'All regions'!C1034+"$F;@!$&gt;0"</f>
        <v>#VALUE!</v>
      </c>
      <c r="IJ39" t="e">
        <f>'All regions'!D1034+"$F;@!$&gt;1"</f>
        <v>#VALUE!</v>
      </c>
      <c r="IK39" t="e">
        <f>'All regions'!E1034+"$F;@!$&gt;2"</f>
        <v>#VALUE!</v>
      </c>
      <c r="IL39" t="e">
        <f>'All regions'!F1034+"$F;@!$&gt;3"</f>
        <v>#VALUE!</v>
      </c>
      <c r="IM39" t="e">
        <f>'All regions'!G1034+"$F;@!$&gt;4"</f>
        <v>#VALUE!</v>
      </c>
      <c r="IN39" t="e">
        <f>'All regions'!H1034+"$F;@!$&gt;5"</f>
        <v>#VALUE!</v>
      </c>
      <c r="IO39" t="e">
        <f>'All regions'!I1034+"$F;@!$&gt;6"</f>
        <v>#VALUE!</v>
      </c>
      <c r="IP39" t="e">
        <f>'All regions'!A1035+"$F;@!$&gt;7"</f>
        <v>#VALUE!</v>
      </c>
      <c r="IQ39" t="e">
        <f>'All regions'!B1035+"$F;@!$&gt;8"</f>
        <v>#VALUE!</v>
      </c>
      <c r="IR39" t="e">
        <f>'All regions'!C1035+"$F;@!$&gt;9"</f>
        <v>#VALUE!</v>
      </c>
      <c r="IS39" t="e">
        <f>'All regions'!D1035+"$F;@!$&gt;:"</f>
        <v>#VALUE!</v>
      </c>
      <c r="IT39" t="e">
        <f>'All regions'!E1035+"$F;@!$&gt;;"</f>
        <v>#VALUE!</v>
      </c>
      <c r="IU39" t="e">
        <f>'All regions'!F1035+"$F;@!$&gt;&lt;"</f>
        <v>#VALUE!</v>
      </c>
      <c r="IV39" t="e">
        <f>'All regions'!G1035+"$F;@!$&gt;="</f>
        <v>#VALUE!</v>
      </c>
    </row>
    <row r="40" spans="6:256" x14ac:dyDescent="0.35">
      <c r="F40" t="e">
        <f>'All regions'!H1035+"$F;@!$&gt;&gt;"</f>
        <v>#VALUE!</v>
      </c>
      <c r="G40" t="e">
        <f>'All regions'!I1035+"$F;@!$&gt;?"</f>
        <v>#VALUE!</v>
      </c>
      <c r="H40" t="e">
        <f>'All regions'!A1036+"$F;@!$&gt;@"</f>
        <v>#VALUE!</v>
      </c>
      <c r="I40" t="e">
        <f>'All regions'!B1036+"$F;@!$&gt;A"</f>
        <v>#VALUE!</v>
      </c>
      <c r="J40" t="e">
        <f>'All regions'!C1036+"$F;@!$&gt;B"</f>
        <v>#VALUE!</v>
      </c>
      <c r="K40" t="e">
        <f>'All regions'!D1036+"$F;@!$&gt;C"</f>
        <v>#VALUE!</v>
      </c>
      <c r="L40" t="e">
        <f>'All regions'!E1036+"$F;@!$&gt;D"</f>
        <v>#VALUE!</v>
      </c>
      <c r="M40" t="e">
        <f>'All regions'!F1036+"$F;@!$&gt;E"</f>
        <v>#VALUE!</v>
      </c>
      <c r="N40" t="e">
        <f>'All regions'!G1036+"$F;@!$&gt;F"</f>
        <v>#VALUE!</v>
      </c>
      <c r="O40" t="e">
        <f>'All regions'!H1036+"$F;@!$&gt;G"</f>
        <v>#VALUE!</v>
      </c>
      <c r="P40" t="e">
        <f>'All regions'!I1036+"$F;@!$&gt;H"</f>
        <v>#VALUE!</v>
      </c>
      <c r="Q40" t="e">
        <f>'All regions'!A1037+"$F;@!$&gt;I"</f>
        <v>#VALUE!</v>
      </c>
      <c r="R40" t="e">
        <f>'All regions'!B1037+"$F;@!$&gt;J"</f>
        <v>#VALUE!</v>
      </c>
      <c r="S40" t="e">
        <f>'All regions'!C1037+"$F;@!$&gt;K"</f>
        <v>#VALUE!</v>
      </c>
      <c r="T40" t="e">
        <f>'All regions'!D1037+"$F;@!$&gt;L"</f>
        <v>#VALUE!</v>
      </c>
      <c r="U40" t="e">
        <f>'All regions'!E1037+"$F;@!$&gt;M"</f>
        <v>#VALUE!</v>
      </c>
      <c r="V40" t="e">
        <f>'All regions'!F1037+"$F;@!$&gt;N"</f>
        <v>#VALUE!</v>
      </c>
      <c r="W40" t="e">
        <f>'All regions'!G1037+"$F;@!$&gt;O"</f>
        <v>#VALUE!</v>
      </c>
      <c r="X40" t="e">
        <f>'All regions'!H1037+"$F;@!$&gt;P"</f>
        <v>#VALUE!</v>
      </c>
      <c r="Y40" t="e">
        <f>'All regions'!I1037+"$F;@!$&gt;Q"</f>
        <v>#VALUE!</v>
      </c>
      <c r="Z40" t="e">
        <f>'All regions'!A1038+"$F;@!$&gt;R"</f>
        <v>#VALUE!</v>
      </c>
      <c r="AA40" t="e">
        <f>'All regions'!B1038+"$F;@!$&gt;S"</f>
        <v>#VALUE!</v>
      </c>
      <c r="AB40" t="e">
        <f>'All regions'!C1038+"$F;@!$&gt;T"</f>
        <v>#VALUE!</v>
      </c>
      <c r="AC40" t="e">
        <f>'All regions'!D1038+"$F;@!$&gt;U"</f>
        <v>#VALUE!</v>
      </c>
      <c r="AD40" t="e">
        <f>'All regions'!E1038+"$F;@!$&gt;V"</f>
        <v>#VALUE!</v>
      </c>
      <c r="AE40" t="e">
        <f>'All regions'!F1038+"$F;@!$&gt;W"</f>
        <v>#VALUE!</v>
      </c>
      <c r="AF40" t="e">
        <f>'All regions'!G1038+"$F;@!$&gt;X"</f>
        <v>#VALUE!</v>
      </c>
      <c r="AG40" t="e">
        <f>'All regions'!H1038+"$F;@!$&gt;Y"</f>
        <v>#VALUE!</v>
      </c>
      <c r="AH40" t="e">
        <f>'All regions'!I1038+"$F;@!$&gt;Z"</f>
        <v>#VALUE!</v>
      </c>
      <c r="AI40" t="e">
        <f>'All regions'!A1039+"$F;@!$&gt;["</f>
        <v>#VALUE!</v>
      </c>
      <c r="AJ40" t="e">
        <f>'All regions'!B1039+"$F;@!$&gt;\"</f>
        <v>#VALUE!</v>
      </c>
      <c r="AK40" t="e">
        <f>'All regions'!C1039+"$F;@!$&gt;]"</f>
        <v>#VALUE!</v>
      </c>
      <c r="AL40" t="e">
        <f>'All regions'!D1039+"$F;@!$&gt;^"</f>
        <v>#VALUE!</v>
      </c>
      <c r="AM40" t="e">
        <f>'All regions'!E1039+"$F;@!$&gt;_"</f>
        <v>#VALUE!</v>
      </c>
      <c r="AN40" t="e">
        <f>'All regions'!F1039+"$F;@!$&gt;`"</f>
        <v>#VALUE!</v>
      </c>
      <c r="AO40" t="e">
        <f>'All regions'!G1039+"$F;@!$&gt;a"</f>
        <v>#VALUE!</v>
      </c>
      <c r="AP40" t="e">
        <f>'All regions'!H1039+"$F;@!$&gt;b"</f>
        <v>#VALUE!</v>
      </c>
      <c r="AQ40" t="e">
        <f>'All regions'!I1039+"$F;@!$&gt;c"</f>
        <v>#VALUE!</v>
      </c>
      <c r="AR40" t="e">
        <f>'All regions'!A1040+"$F;@!$&gt;d"</f>
        <v>#VALUE!</v>
      </c>
      <c r="AS40" t="e">
        <f>'All regions'!B1040+"$F;@!$&gt;e"</f>
        <v>#VALUE!</v>
      </c>
      <c r="AT40" t="e">
        <f>'All regions'!C1040+"$F;@!$&gt;f"</f>
        <v>#VALUE!</v>
      </c>
      <c r="AU40" t="e">
        <f>'All regions'!D1040+"$F;@!$&gt;g"</f>
        <v>#VALUE!</v>
      </c>
      <c r="AV40" t="e">
        <f>'All regions'!E1040+"$F;@!$&gt;h"</f>
        <v>#VALUE!</v>
      </c>
      <c r="AW40" t="e">
        <f>'All regions'!F1040+"$F;@!$&gt;i"</f>
        <v>#VALUE!</v>
      </c>
      <c r="AX40" t="e">
        <f>'All regions'!G1040+"$F;@!$&gt;j"</f>
        <v>#VALUE!</v>
      </c>
      <c r="AY40" t="e">
        <f>'All regions'!H1040+"$F;@!$&gt;k"</f>
        <v>#VALUE!</v>
      </c>
      <c r="AZ40" t="e">
        <f>'All regions'!I1040+"$F;@!$&gt;l"</f>
        <v>#VALUE!</v>
      </c>
      <c r="BA40" t="e">
        <f>'All regions'!A1041+"$F;@!$&gt;m"</f>
        <v>#VALUE!</v>
      </c>
      <c r="BB40" t="e">
        <f>'All regions'!B1041+"$F;@!$&gt;n"</f>
        <v>#VALUE!</v>
      </c>
      <c r="BC40" t="e">
        <f>'All regions'!C1041+"$F;@!$&gt;o"</f>
        <v>#VALUE!</v>
      </c>
      <c r="BD40" t="e">
        <f>'All regions'!D1041+"$F;@!$&gt;p"</f>
        <v>#VALUE!</v>
      </c>
      <c r="BE40" t="e">
        <f>'All regions'!E1041+"$F;@!$&gt;q"</f>
        <v>#VALUE!</v>
      </c>
      <c r="BF40" t="e">
        <f>'All regions'!F1041+"$F;@!$&gt;r"</f>
        <v>#VALUE!</v>
      </c>
      <c r="BG40" t="e">
        <f>'All regions'!G1041+"$F;@!$&gt;s"</f>
        <v>#VALUE!</v>
      </c>
      <c r="BH40" t="e">
        <f>'All regions'!H1041+"$F;@!$&gt;t"</f>
        <v>#VALUE!</v>
      </c>
      <c r="BI40" t="e">
        <f>'All regions'!I1041+"$F;@!$&gt;u"</f>
        <v>#VALUE!</v>
      </c>
      <c r="BJ40" t="e">
        <f>'All regions'!A1042+"$F;@!$&gt;v"</f>
        <v>#VALUE!</v>
      </c>
      <c r="BK40" t="e">
        <f>'All regions'!B1042+"$F;@!$&gt;w"</f>
        <v>#VALUE!</v>
      </c>
      <c r="BL40" t="e">
        <f>'All regions'!C1042+"$F;@!$&gt;x"</f>
        <v>#VALUE!</v>
      </c>
      <c r="BM40" t="e">
        <f>'All regions'!D1042+"$F;@!$&gt;y"</f>
        <v>#VALUE!</v>
      </c>
      <c r="BN40" t="e">
        <f>'All regions'!E1042+"$F;@!$&gt;z"</f>
        <v>#VALUE!</v>
      </c>
      <c r="BO40" t="e">
        <f>'All regions'!F1042+"$F;@!$&gt;{"</f>
        <v>#VALUE!</v>
      </c>
      <c r="BP40" t="e">
        <f>'All regions'!G1042+"$F;@!$&gt;|"</f>
        <v>#VALUE!</v>
      </c>
      <c r="BQ40" t="e">
        <f>'All regions'!H1042+"$F;@!$&gt;}"</f>
        <v>#VALUE!</v>
      </c>
      <c r="BR40" t="e">
        <f>'All regions'!I1042+"$F;@!$&gt;~"</f>
        <v>#VALUE!</v>
      </c>
      <c r="BS40" t="e">
        <f>'All regions'!A1043+"$F;@!$?#"</f>
        <v>#VALUE!</v>
      </c>
      <c r="BT40" t="e">
        <f>'All regions'!B1043+"$F;@!$?$"</f>
        <v>#VALUE!</v>
      </c>
      <c r="BU40" t="e">
        <f>'All regions'!C1043+"$F;@!$?%"</f>
        <v>#VALUE!</v>
      </c>
      <c r="BV40" t="e">
        <f>'All regions'!D1043+"$F;@!$?&amp;"</f>
        <v>#VALUE!</v>
      </c>
      <c r="BW40" t="e">
        <f>'All regions'!E1043+"$F;@!$?'"</f>
        <v>#VALUE!</v>
      </c>
      <c r="BX40" t="e">
        <f>'All regions'!F1043+"$F;@!$?("</f>
        <v>#VALUE!</v>
      </c>
      <c r="BY40" t="e">
        <f>'All regions'!G1043+"$F;@!$?)"</f>
        <v>#VALUE!</v>
      </c>
      <c r="BZ40" t="e">
        <f>'All regions'!H1043+"$F;@!$?."</f>
        <v>#VALUE!</v>
      </c>
      <c r="CA40" t="e">
        <f>'All regions'!I1043+"$F;@!$?/"</f>
        <v>#VALUE!</v>
      </c>
      <c r="CB40" t="e">
        <f>'All regions'!A1044+"$F;@!$?0"</f>
        <v>#VALUE!</v>
      </c>
      <c r="CC40" t="e">
        <f>'All regions'!B1044+"$F;@!$?1"</f>
        <v>#VALUE!</v>
      </c>
      <c r="CD40" t="e">
        <f>'All regions'!C1044+"$F;@!$?2"</f>
        <v>#VALUE!</v>
      </c>
      <c r="CE40" t="e">
        <f>'All regions'!D1044+"$F;@!$?3"</f>
        <v>#VALUE!</v>
      </c>
      <c r="CF40" t="e">
        <f>'All regions'!E1044+"$F;@!$?4"</f>
        <v>#VALUE!</v>
      </c>
      <c r="CG40" t="e">
        <f>'All regions'!F1044+"$F;@!$?5"</f>
        <v>#VALUE!</v>
      </c>
      <c r="CH40" t="e">
        <f>'All regions'!G1044+"$F;@!$?6"</f>
        <v>#VALUE!</v>
      </c>
      <c r="CI40" t="e">
        <f>'All regions'!H1044+"$F;@!$?7"</f>
        <v>#VALUE!</v>
      </c>
      <c r="CJ40" t="e">
        <f>'All regions'!I1044+"$F;@!$?8"</f>
        <v>#VALUE!</v>
      </c>
      <c r="CK40" t="e">
        <f>'All regions'!A1045+"$F;@!$?9"</f>
        <v>#VALUE!</v>
      </c>
      <c r="CL40" t="e">
        <f>'All regions'!B1045+"$F;@!$?:"</f>
        <v>#VALUE!</v>
      </c>
      <c r="CM40" t="e">
        <f>'All regions'!C1045+"$F;@!$?;"</f>
        <v>#VALUE!</v>
      </c>
      <c r="CN40" t="e">
        <f>'All regions'!D1045+"$F;@!$?&lt;"</f>
        <v>#VALUE!</v>
      </c>
      <c r="CO40" t="e">
        <f>'All regions'!E1045+"$F;@!$?="</f>
        <v>#VALUE!</v>
      </c>
      <c r="CP40" t="e">
        <f>'All regions'!F1045+"$F;@!$?&gt;"</f>
        <v>#VALUE!</v>
      </c>
      <c r="CQ40" t="e">
        <f>'All regions'!G1045+"$F;@!$??"</f>
        <v>#VALUE!</v>
      </c>
      <c r="CR40" t="e">
        <f>'All regions'!H1045+"$F;@!$?@"</f>
        <v>#VALUE!</v>
      </c>
      <c r="CS40" t="e">
        <f>'All regions'!I1045+"$F;@!$?A"</f>
        <v>#VALUE!</v>
      </c>
      <c r="CT40" t="e">
        <f>'All regions'!A1046+"$F;@!$?B"</f>
        <v>#VALUE!</v>
      </c>
      <c r="CU40" t="e">
        <f>'All regions'!B1046+"$F;@!$?C"</f>
        <v>#VALUE!</v>
      </c>
      <c r="CV40" t="e">
        <f>'All regions'!C1046+"$F;@!$?D"</f>
        <v>#VALUE!</v>
      </c>
      <c r="CW40" t="e">
        <f>'All regions'!D1046+"$F;@!$?E"</f>
        <v>#VALUE!</v>
      </c>
      <c r="CX40" t="e">
        <f>'All regions'!E1046+"$F;@!$?F"</f>
        <v>#VALUE!</v>
      </c>
      <c r="CY40" t="e">
        <f>'All regions'!F1046+"$F;@!$?G"</f>
        <v>#VALUE!</v>
      </c>
      <c r="CZ40" t="e">
        <f>'All regions'!G1046+"$F;@!$?H"</f>
        <v>#VALUE!</v>
      </c>
      <c r="DA40" t="e">
        <f>'All regions'!H1046+"$F;@!$?I"</f>
        <v>#VALUE!</v>
      </c>
      <c r="DB40" t="e">
        <f>'All regions'!I1046+"$F;@!$?J"</f>
        <v>#VALUE!</v>
      </c>
      <c r="DC40" t="e">
        <f>'All regions'!A1047+"$F;@!$?K"</f>
        <v>#VALUE!</v>
      </c>
      <c r="DD40" t="e">
        <f>'All regions'!B1047+"$F;@!$?L"</f>
        <v>#VALUE!</v>
      </c>
      <c r="DE40" t="e">
        <f>'All regions'!C1047+"$F;@!$?M"</f>
        <v>#VALUE!</v>
      </c>
      <c r="DF40" t="e">
        <f>'All regions'!D1047+"$F;@!$?N"</f>
        <v>#VALUE!</v>
      </c>
      <c r="DG40" t="e">
        <f>'All regions'!E1047+"$F;@!$?O"</f>
        <v>#VALUE!</v>
      </c>
      <c r="DH40" t="e">
        <f>'All regions'!F1047+"$F;@!$?P"</f>
        <v>#VALUE!</v>
      </c>
      <c r="DI40" t="e">
        <f>'All regions'!G1047+"$F;@!$?Q"</f>
        <v>#VALUE!</v>
      </c>
      <c r="DJ40" t="e">
        <f>'All regions'!H1047+"$F;@!$?R"</f>
        <v>#VALUE!</v>
      </c>
      <c r="DK40" t="e">
        <f>'All regions'!I1047+"$F;@!$?S"</f>
        <v>#VALUE!</v>
      </c>
      <c r="DL40" t="e">
        <f>'All regions'!A1048+"$F;@!$?T"</f>
        <v>#VALUE!</v>
      </c>
      <c r="DM40" t="e">
        <f>'All regions'!B1048+"$F;@!$?U"</f>
        <v>#VALUE!</v>
      </c>
      <c r="DN40" t="e">
        <f>'All regions'!C1048+"$F;@!$?V"</f>
        <v>#VALUE!</v>
      </c>
      <c r="DO40" t="e">
        <f>'All regions'!D1048+"$F;@!$?W"</f>
        <v>#VALUE!</v>
      </c>
      <c r="DP40" t="e">
        <f>'All regions'!E1048+"$F;@!$?X"</f>
        <v>#VALUE!</v>
      </c>
      <c r="DQ40" t="e">
        <f>'All regions'!F1048+"$F;@!$?Y"</f>
        <v>#VALUE!</v>
      </c>
      <c r="DR40" t="e">
        <f>'All regions'!G1048+"$F;@!$?Z"</f>
        <v>#VALUE!</v>
      </c>
      <c r="DS40" t="e">
        <f>'All regions'!H1048+"$F;@!$?["</f>
        <v>#VALUE!</v>
      </c>
      <c r="DT40" t="e">
        <f>'All regions'!I1048+"$F;@!$?\"</f>
        <v>#VALUE!</v>
      </c>
      <c r="DU40" t="e">
        <f>'All regions'!A1049+"$F;@!$?]"</f>
        <v>#VALUE!</v>
      </c>
      <c r="DV40" t="e">
        <f>'All regions'!B1049+"$F;@!$?^"</f>
        <v>#VALUE!</v>
      </c>
      <c r="DW40" t="e">
        <f>'All regions'!C1049+"$F;@!$?_"</f>
        <v>#VALUE!</v>
      </c>
      <c r="DX40" t="e">
        <f>'All regions'!D1049+"$F;@!$?`"</f>
        <v>#VALUE!</v>
      </c>
      <c r="DY40" t="e">
        <f>'All regions'!E1049+"$F;@!$?a"</f>
        <v>#VALUE!</v>
      </c>
      <c r="DZ40" t="e">
        <f>'All regions'!F1049+"$F;@!$?b"</f>
        <v>#VALUE!</v>
      </c>
      <c r="EA40" t="e">
        <f>'All regions'!G1049+"$F;@!$?c"</f>
        <v>#VALUE!</v>
      </c>
      <c r="EB40" t="e">
        <f>'All regions'!H1049+"$F;@!$?d"</f>
        <v>#VALUE!</v>
      </c>
      <c r="EC40" t="e">
        <f>'All regions'!I1049+"$F;@!$?e"</f>
        <v>#VALUE!</v>
      </c>
      <c r="ED40" t="e">
        <f>'All regions'!A1050+"$F;@!$?f"</f>
        <v>#VALUE!</v>
      </c>
      <c r="EE40" t="e">
        <f>'All regions'!B1050+"$F;@!$?g"</f>
        <v>#VALUE!</v>
      </c>
      <c r="EF40" t="e">
        <f>'All regions'!C1050+"$F;@!$?h"</f>
        <v>#VALUE!</v>
      </c>
      <c r="EG40" t="e">
        <f>'All regions'!D1050+"$F;@!$?i"</f>
        <v>#VALUE!</v>
      </c>
      <c r="EH40" t="e">
        <f>'All regions'!E1050+"$F;@!$?j"</f>
        <v>#VALUE!</v>
      </c>
      <c r="EI40" t="e">
        <f>'All regions'!F1050+"$F;@!$?k"</f>
        <v>#VALUE!</v>
      </c>
      <c r="EJ40" t="e">
        <f>'All regions'!G1050+"$F;@!$?l"</f>
        <v>#VALUE!</v>
      </c>
      <c r="EK40" t="e">
        <f>'All regions'!H1050+"$F;@!$?m"</f>
        <v>#VALUE!</v>
      </c>
      <c r="EL40" t="e">
        <f>'All regions'!I1050+"$F;@!$?n"</f>
        <v>#VALUE!</v>
      </c>
      <c r="EM40" t="e">
        <f>'All regions'!A1051+"$F;@!$?o"</f>
        <v>#VALUE!</v>
      </c>
      <c r="EN40" t="e">
        <f>'All regions'!B1051+"$F;@!$?p"</f>
        <v>#VALUE!</v>
      </c>
      <c r="EO40" t="e">
        <f>'All regions'!C1051+"$F;@!$?q"</f>
        <v>#VALUE!</v>
      </c>
      <c r="EP40" t="e">
        <f>'All regions'!D1051+"$F;@!$?r"</f>
        <v>#VALUE!</v>
      </c>
      <c r="EQ40" t="e">
        <f>'All regions'!E1051+"$F;@!$?s"</f>
        <v>#VALUE!</v>
      </c>
      <c r="ER40" t="e">
        <f>'All regions'!F1051+"$F;@!$?t"</f>
        <v>#VALUE!</v>
      </c>
      <c r="ES40" t="e">
        <f>'All regions'!G1051+"$F;@!$?u"</f>
        <v>#VALUE!</v>
      </c>
      <c r="ET40" t="e">
        <f>'All regions'!H1051+"$F;@!$?v"</f>
        <v>#VALUE!</v>
      </c>
      <c r="EU40" t="e">
        <f>'All regions'!I1051+"$F;@!$?w"</f>
        <v>#VALUE!</v>
      </c>
      <c r="EV40" t="e">
        <f>'All regions'!A1052+"$F;@!$?x"</f>
        <v>#VALUE!</v>
      </c>
      <c r="EW40" t="e">
        <f>'All regions'!B1052+"$F;@!$?y"</f>
        <v>#VALUE!</v>
      </c>
      <c r="EX40" t="e">
        <f>'All regions'!C1052+"$F;@!$?z"</f>
        <v>#VALUE!</v>
      </c>
      <c r="EY40" t="e">
        <f>'All regions'!D1052+"$F;@!$?{"</f>
        <v>#VALUE!</v>
      </c>
      <c r="EZ40" t="e">
        <f>'All regions'!E1052+"$F;@!$?|"</f>
        <v>#VALUE!</v>
      </c>
      <c r="FA40" t="e">
        <f>'All regions'!F1052+"$F;@!$?}"</f>
        <v>#VALUE!</v>
      </c>
      <c r="FB40" t="e">
        <f>'All regions'!G1052+"$F;@!$?~"</f>
        <v>#VALUE!</v>
      </c>
      <c r="FC40" t="e">
        <f>'All regions'!H1052+"$F;@!$@#"</f>
        <v>#VALUE!</v>
      </c>
      <c r="FD40" t="e">
        <f>'All regions'!I1052+"$F;@!$@$"</f>
        <v>#VALUE!</v>
      </c>
      <c r="FE40" t="e">
        <f>'All regions'!A1053+"$F;@!$@%"</f>
        <v>#VALUE!</v>
      </c>
      <c r="FF40" t="e">
        <f>'All regions'!B1053+"$F;@!$@&amp;"</f>
        <v>#VALUE!</v>
      </c>
      <c r="FG40" t="e">
        <f>'All regions'!C1053+"$F;@!$@'"</f>
        <v>#VALUE!</v>
      </c>
      <c r="FH40" t="e">
        <f>'All regions'!D1053+"$F;@!$@("</f>
        <v>#VALUE!</v>
      </c>
      <c r="FI40" t="e">
        <f>'All regions'!E1053+"$F;@!$@)"</f>
        <v>#VALUE!</v>
      </c>
      <c r="FJ40" t="e">
        <f>'All regions'!F1053+"$F;@!$@."</f>
        <v>#VALUE!</v>
      </c>
      <c r="FK40" t="e">
        <f>'All regions'!G1053+"$F;@!$@/"</f>
        <v>#VALUE!</v>
      </c>
      <c r="FL40" t="e">
        <f>'All regions'!H1053+"$F;@!$@0"</f>
        <v>#VALUE!</v>
      </c>
      <c r="FM40" t="e">
        <f>'All regions'!I1053+"$F;@!$@1"</f>
        <v>#VALUE!</v>
      </c>
      <c r="FN40" t="e">
        <f>'All regions'!A1054+"$F;@!$@2"</f>
        <v>#VALUE!</v>
      </c>
      <c r="FO40" t="e">
        <f>'All regions'!B1054+"$F;@!$@3"</f>
        <v>#VALUE!</v>
      </c>
      <c r="FP40" t="e">
        <f>'All regions'!C1054+"$F;@!$@4"</f>
        <v>#VALUE!</v>
      </c>
      <c r="FQ40" t="e">
        <f>'All regions'!D1054+"$F;@!$@5"</f>
        <v>#VALUE!</v>
      </c>
      <c r="FR40" t="e">
        <f>'All regions'!E1054+"$F;@!$@6"</f>
        <v>#VALUE!</v>
      </c>
      <c r="FS40" t="e">
        <f>'All regions'!F1054+"$F;@!$@7"</f>
        <v>#VALUE!</v>
      </c>
      <c r="FT40" t="e">
        <f>'All regions'!G1054+"$F;@!$@8"</f>
        <v>#VALUE!</v>
      </c>
      <c r="FU40" t="e">
        <f>'All regions'!H1054+"$F;@!$@9"</f>
        <v>#VALUE!</v>
      </c>
      <c r="FV40" t="e">
        <f>'All regions'!I1054+"$F;@!$@:"</f>
        <v>#VALUE!</v>
      </c>
      <c r="FW40" t="e">
        <f>'All regions'!A1055+"$F;@!$@;"</f>
        <v>#VALUE!</v>
      </c>
      <c r="FX40" t="e">
        <f>'All regions'!B1055+"$F;@!$@&lt;"</f>
        <v>#VALUE!</v>
      </c>
      <c r="FY40" t="e">
        <f>'All regions'!C1055+"$F;@!$@="</f>
        <v>#VALUE!</v>
      </c>
      <c r="FZ40" t="e">
        <f>'All regions'!D1055+"$F;@!$@&gt;"</f>
        <v>#VALUE!</v>
      </c>
      <c r="GA40" t="e">
        <f>'All regions'!E1055+"$F;@!$@?"</f>
        <v>#VALUE!</v>
      </c>
      <c r="GB40" t="e">
        <f>'All regions'!F1055+"$F;@!$@@"</f>
        <v>#VALUE!</v>
      </c>
      <c r="GC40" t="e">
        <f>'All regions'!G1055+"$F;@!$@A"</f>
        <v>#VALUE!</v>
      </c>
      <c r="GD40" t="e">
        <f>'All regions'!H1055+"$F;@!$@B"</f>
        <v>#VALUE!</v>
      </c>
      <c r="GE40" t="e">
        <f>'All regions'!I1055+"$F;@!$@C"</f>
        <v>#VALUE!</v>
      </c>
      <c r="GF40" t="e">
        <f>'All regions'!A1056+"$F;@!$@D"</f>
        <v>#VALUE!</v>
      </c>
      <c r="GG40" t="e">
        <f>'All regions'!B1056+"$F;@!$@E"</f>
        <v>#VALUE!</v>
      </c>
      <c r="GH40" t="e">
        <f>'All regions'!C1056+"$F;@!$@F"</f>
        <v>#VALUE!</v>
      </c>
      <c r="GI40" t="e">
        <f>'All regions'!D1056+"$F;@!$@G"</f>
        <v>#VALUE!</v>
      </c>
      <c r="GJ40" t="e">
        <f>'All regions'!E1056+"$F;@!$@H"</f>
        <v>#VALUE!</v>
      </c>
      <c r="GK40" t="e">
        <f>'All regions'!F1056+"$F;@!$@I"</f>
        <v>#VALUE!</v>
      </c>
      <c r="GL40" t="e">
        <f>'All regions'!G1056+"$F;@!$@J"</f>
        <v>#VALUE!</v>
      </c>
      <c r="GM40" t="e">
        <f>'All regions'!H1056+"$F;@!$@K"</f>
        <v>#VALUE!</v>
      </c>
      <c r="GN40" t="e">
        <f>'All regions'!I1056+"$F;@!$@L"</f>
        <v>#VALUE!</v>
      </c>
      <c r="GO40" t="e">
        <f>'All regions'!A1057+"$F;@!$@M"</f>
        <v>#VALUE!</v>
      </c>
      <c r="GP40" t="e">
        <f>'All regions'!B1057+"$F;@!$@N"</f>
        <v>#VALUE!</v>
      </c>
      <c r="GQ40" t="e">
        <f>'All regions'!C1057+"$F;@!$@O"</f>
        <v>#VALUE!</v>
      </c>
      <c r="GR40" t="e">
        <f>'All regions'!D1057+"$F;@!$@P"</f>
        <v>#VALUE!</v>
      </c>
      <c r="GS40" t="e">
        <f>'All regions'!E1057+"$F;@!$@Q"</f>
        <v>#VALUE!</v>
      </c>
      <c r="GT40" t="e">
        <f>'All regions'!F1057+"$F;@!$@R"</f>
        <v>#VALUE!</v>
      </c>
      <c r="GU40" t="e">
        <f>'All regions'!G1057+"$F;@!$@S"</f>
        <v>#VALUE!</v>
      </c>
      <c r="GV40" t="e">
        <f>'All regions'!H1057+"$F;@!$@T"</f>
        <v>#VALUE!</v>
      </c>
      <c r="GW40" t="e">
        <f>'All regions'!I1057+"$F;@!$@U"</f>
        <v>#VALUE!</v>
      </c>
      <c r="GX40" t="e">
        <f>'All regions'!A1058+"$F;@!$@V"</f>
        <v>#VALUE!</v>
      </c>
      <c r="GY40" t="e">
        <f>'All regions'!B1058+"$F;@!$@W"</f>
        <v>#VALUE!</v>
      </c>
      <c r="GZ40" t="e">
        <f>'All regions'!C1058+"$F;@!$@X"</f>
        <v>#VALUE!</v>
      </c>
      <c r="HA40" t="e">
        <f>'All regions'!D1058+"$F;@!$@Y"</f>
        <v>#VALUE!</v>
      </c>
      <c r="HB40" t="e">
        <f>'All regions'!E1058+"$F;@!$@Z"</f>
        <v>#VALUE!</v>
      </c>
      <c r="HC40" t="e">
        <f>'All regions'!F1058+"$F;@!$@["</f>
        <v>#VALUE!</v>
      </c>
      <c r="HD40" t="e">
        <f>'All regions'!G1058+"$F;@!$@\"</f>
        <v>#VALUE!</v>
      </c>
      <c r="HE40" t="e">
        <f>'All regions'!H1058+"$F;@!$@]"</f>
        <v>#VALUE!</v>
      </c>
      <c r="HF40" t="e">
        <f>'All regions'!I1058+"$F;@!$@^"</f>
        <v>#VALUE!</v>
      </c>
      <c r="HG40" t="e">
        <f>'All regions'!A1059+"$F;@!$@_"</f>
        <v>#VALUE!</v>
      </c>
      <c r="HH40" t="e">
        <f>'All regions'!B1059+"$F;@!$@`"</f>
        <v>#VALUE!</v>
      </c>
      <c r="HI40" t="e">
        <f>'All regions'!C1059+"$F;@!$@a"</f>
        <v>#VALUE!</v>
      </c>
      <c r="HJ40" t="e">
        <f>'All regions'!D1059+"$F;@!$@b"</f>
        <v>#VALUE!</v>
      </c>
      <c r="HK40" t="e">
        <f>'All regions'!E1059+"$F;@!$@c"</f>
        <v>#VALUE!</v>
      </c>
      <c r="HL40" t="e">
        <f>'All regions'!F1059+"$F;@!$@d"</f>
        <v>#VALUE!</v>
      </c>
      <c r="HM40" t="e">
        <f>'All regions'!G1059+"$F;@!$@e"</f>
        <v>#VALUE!</v>
      </c>
      <c r="HN40" t="e">
        <f>'All regions'!H1059+"$F;@!$@f"</f>
        <v>#VALUE!</v>
      </c>
      <c r="HO40" t="e">
        <f>'All regions'!I1059+"$F;@!$@g"</f>
        <v>#VALUE!</v>
      </c>
      <c r="HP40" t="e">
        <f>'All regions'!A1060+"$F;@!$@h"</f>
        <v>#VALUE!</v>
      </c>
      <c r="HQ40" t="e">
        <f>'All regions'!B1060+"$F;@!$@i"</f>
        <v>#VALUE!</v>
      </c>
      <c r="HR40" t="e">
        <f>'All regions'!C1060+"$F;@!$@j"</f>
        <v>#VALUE!</v>
      </c>
      <c r="HS40" t="e">
        <f>'All regions'!D1060+"$F;@!$@k"</f>
        <v>#VALUE!</v>
      </c>
      <c r="HT40" t="e">
        <f>'All regions'!E1060+"$F;@!$@l"</f>
        <v>#VALUE!</v>
      </c>
      <c r="HU40" t="e">
        <f>'All regions'!F1060+"$F;@!$@m"</f>
        <v>#VALUE!</v>
      </c>
      <c r="HV40" t="e">
        <f>'All regions'!G1060+"$F;@!$@n"</f>
        <v>#VALUE!</v>
      </c>
      <c r="HW40" t="e">
        <f>'All regions'!H1060+"$F;@!$@o"</f>
        <v>#VALUE!</v>
      </c>
      <c r="HX40" t="e">
        <f>'All regions'!I1060+"$F;@!$@p"</f>
        <v>#VALUE!</v>
      </c>
      <c r="HY40" t="e">
        <f>'All regions'!A1061+"$F;@!$@q"</f>
        <v>#VALUE!</v>
      </c>
      <c r="HZ40" t="e">
        <f>'All regions'!B1061+"$F;@!$@r"</f>
        <v>#VALUE!</v>
      </c>
      <c r="IA40" t="e">
        <f>'All regions'!C1061+"$F;@!$@s"</f>
        <v>#VALUE!</v>
      </c>
      <c r="IB40" t="e">
        <f>'All regions'!D1061+"$F;@!$@t"</f>
        <v>#VALUE!</v>
      </c>
      <c r="IC40" t="e">
        <f>'All regions'!E1061+"$F;@!$@u"</f>
        <v>#VALUE!</v>
      </c>
      <c r="ID40" t="e">
        <f>'All regions'!F1061+"$F;@!$@v"</f>
        <v>#VALUE!</v>
      </c>
      <c r="IE40" t="e">
        <f>'All regions'!G1061+"$F;@!$@w"</f>
        <v>#VALUE!</v>
      </c>
      <c r="IF40" t="e">
        <f>'All regions'!H1061+"$F;@!$@x"</f>
        <v>#VALUE!</v>
      </c>
      <c r="IG40" t="e">
        <f>'All regions'!I1061+"$F;@!$@y"</f>
        <v>#VALUE!</v>
      </c>
      <c r="IH40" t="e">
        <f>'All regions'!A1062+"$F;@!$@z"</f>
        <v>#VALUE!</v>
      </c>
      <c r="II40" t="e">
        <f>'All regions'!B1062+"$F;@!$@{"</f>
        <v>#VALUE!</v>
      </c>
      <c r="IJ40" t="e">
        <f>'All regions'!C1062+"$F;@!$@|"</f>
        <v>#VALUE!</v>
      </c>
      <c r="IK40" t="e">
        <f>'All regions'!D1062+"$F;@!$@}"</f>
        <v>#VALUE!</v>
      </c>
      <c r="IL40" t="e">
        <f>'All regions'!E1062+"$F;@!$@~"</f>
        <v>#VALUE!</v>
      </c>
      <c r="IM40" t="e">
        <f>'All regions'!F1062+"$F;@!$A#"</f>
        <v>#VALUE!</v>
      </c>
      <c r="IN40" t="e">
        <f>'All regions'!G1062+"$F;@!$A$"</f>
        <v>#VALUE!</v>
      </c>
      <c r="IO40" t="e">
        <f>'All regions'!H1062+"$F;@!$A%"</f>
        <v>#VALUE!</v>
      </c>
      <c r="IP40" t="e">
        <f>'All regions'!I1062+"$F;@!$A&amp;"</f>
        <v>#VALUE!</v>
      </c>
      <c r="IQ40" t="e">
        <f>'All regions'!A1063+"$F;@!$A'"</f>
        <v>#VALUE!</v>
      </c>
      <c r="IR40" t="e">
        <f>'All regions'!B1063+"$F;@!$A("</f>
        <v>#VALUE!</v>
      </c>
      <c r="IS40" t="e">
        <f>'All regions'!C1063+"$F;@!$A)"</f>
        <v>#VALUE!</v>
      </c>
      <c r="IT40" t="e">
        <f>'All regions'!D1063+"$F;@!$A."</f>
        <v>#VALUE!</v>
      </c>
      <c r="IU40" t="e">
        <f>'All regions'!E1063+"$F;@!$A/"</f>
        <v>#VALUE!</v>
      </c>
      <c r="IV40" t="e">
        <f>'All regions'!F1063+"$F;@!$A0"</f>
        <v>#VALUE!</v>
      </c>
    </row>
    <row r="41" spans="6:256" x14ac:dyDescent="0.35">
      <c r="F41" t="e">
        <f>'All regions'!G1063+"$F;@!$A1"</f>
        <v>#VALUE!</v>
      </c>
      <c r="G41" t="e">
        <f>'All regions'!H1063+"$F;@!$A2"</f>
        <v>#VALUE!</v>
      </c>
      <c r="H41" t="e">
        <f>'All regions'!I1063+"$F;@!$A3"</f>
        <v>#VALUE!</v>
      </c>
      <c r="I41" t="e">
        <f>'All regions'!A1064+"$F;@!$A4"</f>
        <v>#VALUE!</v>
      </c>
      <c r="J41" t="e">
        <f>'All regions'!B1064+"$F;@!$A5"</f>
        <v>#VALUE!</v>
      </c>
      <c r="K41" t="e">
        <f>'All regions'!C1064+"$F;@!$A6"</f>
        <v>#VALUE!</v>
      </c>
      <c r="L41" t="e">
        <f>'All regions'!D1064+"$F;@!$A7"</f>
        <v>#VALUE!</v>
      </c>
      <c r="M41" t="e">
        <f>'All regions'!E1064+"$F;@!$A8"</f>
        <v>#VALUE!</v>
      </c>
      <c r="N41" t="e">
        <f>'All regions'!F1064+"$F;@!$A9"</f>
        <v>#VALUE!</v>
      </c>
      <c r="O41" t="e">
        <f>'All regions'!G1064+"$F;@!$A:"</f>
        <v>#VALUE!</v>
      </c>
      <c r="P41" t="e">
        <f>'All regions'!H1064+"$F;@!$A;"</f>
        <v>#VALUE!</v>
      </c>
      <c r="Q41" t="e">
        <f>'All regions'!I1064+"$F;@!$A&lt;"</f>
        <v>#VALUE!</v>
      </c>
      <c r="R41" t="e">
        <f>'All regions'!A1065+"$F;@!$A="</f>
        <v>#VALUE!</v>
      </c>
      <c r="S41" t="e">
        <f>'All regions'!B1065+"$F;@!$A&gt;"</f>
        <v>#VALUE!</v>
      </c>
      <c r="T41" t="e">
        <f>'All regions'!C1065+"$F;@!$A?"</f>
        <v>#VALUE!</v>
      </c>
      <c r="U41" t="e">
        <f>'All regions'!D1065+"$F;@!$A@"</f>
        <v>#VALUE!</v>
      </c>
      <c r="V41" t="e">
        <f>'All regions'!E1065+"$F;@!$AA"</f>
        <v>#VALUE!</v>
      </c>
      <c r="W41" t="e">
        <f>'All regions'!F1065+"$F;@!$AB"</f>
        <v>#VALUE!</v>
      </c>
      <c r="X41" t="e">
        <f>'All regions'!G1065+"$F;@!$AC"</f>
        <v>#VALUE!</v>
      </c>
      <c r="Y41" t="e">
        <f>'All regions'!H1065+"$F;@!$AD"</f>
        <v>#VALUE!</v>
      </c>
      <c r="Z41" t="e">
        <f>'All regions'!I1065+"$F;@!$AE"</f>
        <v>#VALUE!</v>
      </c>
      <c r="AA41" t="e">
        <f>'All regions'!A1066+"$F;@!$AF"</f>
        <v>#VALUE!</v>
      </c>
      <c r="AB41" t="e">
        <f>'All regions'!B1066+"$F;@!$AG"</f>
        <v>#VALUE!</v>
      </c>
      <c r="AC41" t="e">
        <f>'All regions'!C1066+"$F;@!$AH"</f>
        <v>#VALUE!</v>
      </c>
      <c r="AD41" t="e">
        <f>'All regions'!D1066+"$F;@!$AI"</f>
        <v>#VALUE!</v>
      </c>
      <c r="AE41" t="e">
        <f>'All regions'!E1066+"$F;@!$AJ"</f>
        <v>#VALUE!</v>
      </c>
      <c r="AF41" t="e">
        <f>'All regions'!F1066+"$F;@!$AK"</f>
        <v>#VALUE!</v>
      </c>
      <c r="AG41" t="e">
        <f>'All regions'!G1066+"$F;@!$AL"</f>
        <v>#VALUE!</v>
      </c>
      <c r="AH41" t="e">
        <f>'All regions'!H1066+"$F;@!$AM"</f>
        <v>#VALUE!</v>
      </c>
      <c r="AI41" t="e">
        <f>'All regions'!I1066+"$F;@!$AN"</f>
        <v>#VALUE!</v>
      </c>
      <c r="AJ41" t="e">
        <f>'All regions'!A1067+"$F;@!$AO"</f>
        <v>#VALUE!</v>
      </c>
      <c r="AK41" t="e">
        <f>'All regions'!B1067+"$F;@!$AP"</f>
        <v>#VALUE!</v>
      </c>
      <c r="AL41" t="e">
        <f>'All regions'!C1067+"$F;@!$AQ"</f>
        <v>#VALUE!</v>
      </c>
      <c r="AM41" t="e">
        <f>'All regions'!D1067+"$F;@!$AR"</f>
        <v>#VALUE!</v>
      </c>
      <c r="AN41" t="e">
        <f>'All regions'!E1067+"$F;@!$AS"</f>
        <v>#VALUE!</v>
      </c>
      <c r="AO41" t="e">
        <f>'All regions'!F1067+"$F;@!$AT"</f>
        <v>#VALUE!</v>
      </c>
      <c r="AP41" t="e">
        <f>'All regions'!G1067+"$F;@!$AU"</f>
        <v>#VALUE!</v>
      </c>
      <c r="AQ41" t="e">
        <f>'All regions'!H1067+"$F;@!$AV"</f>
        <v>#VALUE!</v>
      </c>
      <c r="AR41" t="e">
        <f>'All regions'!I1067+"$F;@!$AW"</f>
        <v>#VALUE!</v>
      </c>
      <c r="AS41" t="e">
        <f>'All regions'!A1068+"$F;@!$AX"</f>
        <v>#VALUE!</v>
      </c>
      <c r="AT41" t="e">
        <f>'All regions'!B1068+"$F;@!$AY"</f>
        <v>#VALUE!</v>
      </c>
      <c r="AU41" t="e">
        <f>'All regions'!C1068+"$F;@!$AZ"</f>
        <v>#VALUE!</v>
      </c>
      <c r="AV41" t="e">
        <f>'All regions'!D1068+"$F;@!$A["</f>
        <v>#VALUE!</v>
      </c>
      <c r="AW41" t="e">
        <f>'All regions'!E1068+"$F;@!$A\"</f>
        <v>#VALUE!</v>
      </c>
      <c r="AX41" t="e">
        <f>'All regions'!F1068+"$F;@!$A]"</f>
        <v>#VALUE!</v>
      </c>
      <c r="AY41" t="e">
        <f>'All regions'!G1068+"$F;@!$A^"</f>
        <v>#VALUE!</v>
      </c>
      <c r="AZ41" t="e">
        <f>'All regions'!H1068+"$F;@!$A_"</f>
        <v>#VALUE!</v>
      </c>
      <c r="BA41" t="e">
        <f>'All regions'!I1068+"$F;@!$A`"</f>
        <v>#VALUE!</v>
      </c>
      <c r="BB41" t="e">
        <f>'All regions'!A1069+"$F;@!$Aa"</f>
        <v>#VALUE!</v>
      </c>
      <c r="BC41" t="e">
        <f>'All regions'!B1069+"$F;@!$Ab"</f>
        <v>#VALUE!</v>
      </c>
      <c r="BD41" t="e">
        <f>'All regions'!C1069+"$F;@!$Ac"</f>
        <v>#VALUE!</v>
      </c>
      <c r="BE41" t="e">
        <f>'All regions'!D1069+"$F;@!$Ad"</f>
        <v>#VALUE!</v>
      </c>
      <c r="BF41" t="e">
        <f>'All regions'!E1069+"$F;@!$Ae"</f>
        <v>#VALUE!</v>
      </c>
      <c r="BG41" t="e">
        <f>'All regions'!F1069+"$F;@!$Af"</f>
        <v>#VALUE!</v>
      </c>
      <c r="BH41" t="e">
        <f>'All regions'!G1069+"$F;@!$Ag"</f>
        <v>#VALUE!</v>
      </c>
      <c r="BI41" t="e">
        <f>'All regions'!H1069+"$F;@!$Ah"</f>
        <v>#VALUE!</v>
      </c>
      <c r="BJ41" t="e">
        <f>'All regions'!I1069+"$F;@!$Ai"</f>
        <v>#VALUE!</v>
      </c>
      <c r="BK41" t="e">
        <f>'All regions'!A1070+"$F;@!$Aj"</f>
        <v>#VALUE!</v>
      </c>
      <c r="BL41" t="e">
        <f>'All regions'!B1070+"$F;@!$Ak"</f>
        <v>#VALUE!</v>
      </c>
      <c r="BM41" t="e">
        <f>'All regions'!C1070+"$F;@!$Al"</f>
        <v>#VALUE!</v>
      </c>
      <c r="BN41" t="e">
        <f>'All regions'!D1070+"$F;@!$Am"</f>
        <v>#VALUE!</v>
      </c>
      <c r="BO41" t="e">
        <f>'All regions'!E1070+"$F;@!$An"</f>
        <v>#VALUE!</v>
      </c>
      <c r="BP41" t="e">
        <f>'All regions'!F1070+"$F;@!$Ao"</f>
        <v>#VALUE!</v>
      </c>
      <c r="BQ41" t="e">
        <f>'All regions'!G1070+"$F;@!$Ap"</f>
        <v>#VALUE!</v>
      </c>
      <c r="BR41" t="e">
        <f>'All regions'!H1070+"$F;@!$Aq"</f>
        <v>#VALUE!</v>
      </c>
      <c r="BS41" t="e">
        <f>'All regions'!I1070+"$F;@!$Ar"</f>
        <v>#VALUE!</v>
      </c>
      <c r="BT41" t="e">
        <f>'All regions'!A1071+"$F;@!$As"</f>
        <v>#VALUE!</v>
      </c>
      <c r="BU41" t="e">
        <f>'All regions'!B1071+"$F;@!$At"</f>
        <v>#VALUE!</v>
      </c>
      <c r="BV41" t="e">
        <f>'All regions'!C1071+"$F;@!$Au"</f>
        <v>#VALUE!</v>
      </c>
      <c r="BW41" t="e">
        <f>'All regions'!D1071+"$F;@!$Av"</f>
        <v>#VALUE!</v>
      </c>
      <c r="BX41" t="e">
        <f>'All regions'!E1071+"$F;@!$Aw"</f>
        <v>#VALUE!</v>
      </c>
      <c r="BY41" t="e">
        <f>'All regions'!F1071+"$F;@!$Ax"</f>
        <v>#VALUE!</v>
      </c>
      <c r="BZ41" t="e">
        <f>'All regions'!G1071+"$F;@!$Ay"</f>
        <v>#VALUE!</v>
      </c>
      <c r="CA41" t="e">
        <f>'All regions'!H1071+"$F;@!$Az"</f>
        <v>#VALUE!</v>
      </c>
      <c r="CB41" t="e">
        <f>'All regions'!I1071+"$F;@!$A{"</f>
        <v>#VALUE!</v>
      </c>
      <c r="CC41" t="e">
        <f>'All regions'!A1072+"$F;@!$A|"</f>
        <v>#VALUE!</v>
      </c>
      <c r="CD41" t="e">
        <f>'All regions'!B1072+"$F;@!$A}"</f>
        <v>#VALUE!</v>
      </c>
      <c r="CE41" t="e">
        <f>'All regions'!C1072+"$F;@!$A~"</f>
        <v>#VALUE!</v>
      </c>
      <c r="CF41" t="e">
        <f>'All regions'!D1072+"$F;@!$B#"</f>
        <v>#VALUE!</v>
      </c>
      <c r="CG41" t="e">
        <f>'All regions'!E1072+"$F;@!$B$"</f>
        <v>#VALUE!</v>
      </c>
      <c r="CH41" t="e">
        <f>'All regions'!F1072+"$F;@!$B%"</f>
        <v>#VALUE!</v>
      </c>
      <c r="CI41" t="e">
        <f>'All regions'!G1072+"$F;@!$B&amp;"</f>
        <v>#VALUE!</v>
      </c>
      <c r="CJ41" t="e">
        <f>'All regions'!H1072+"$F;@!$B'"</f>
        <v>#VALUE!</v>
      </c>
      <c r="CK41" t="e">
        <f>'All regions'!I1072+"$F;@!$B("</f>
        <v>#VALUE!</v>
      </c>
      <c r="CL41" t="e">
        <f>'All regions'!A1073+"$F;@!$B)"</f>
        <v>#VALUE!</v>
      </c>
      <c r="CM41" t="e">
        <f>'All regions'!B1073+"$F;@!$B."</f>
        <v>#VALUE!</v>
      </c>
      <c r="CN41" t="e">
        <f>'All regions'!C1073+"$F;@!$B/"</f>
        <v>#VALUE!</v>
      </c>
      <c r="CO41" t="e">
        <f>'All regions'!D1073+"$F;@!$B0"</f>
        <v>#VALUE!</v>
      </c>
      <c r="CP41" t="e">
        <f>'All regions'!E1073+"$F;@!$B1"</f>
        <v>#VALUE!</v>
      </c>
      <c r="CQ41" t="e">
        <f>'All regions'!F1073+"$F;@!$B2"</f>
        <v>#VALUE!</v>
      </c>
      <c r="CR41" t="e">
        <f>'All regions'!G1073+"$F;@!$B3"</f>
        <v>#VALUE!</v>
      </c>
      <c r="CS41" t="e">
        <f>'All regions'!H1073+"$F;@!$B4"</f>
        <v>#VALUE!</v>
      </c>
      <c r="CT41" t="e">
        <f>'All regions'!I1073+"$F;@!$B5"</f>
        <v>#VALUE!</v>
      </c>
      <c r="CU41" t="e">
        <f>'All regions'!A1074+"$F;@!$B6"</f>
        <v>#VALUE!</v>
      </c>
      <c r="CV41" t="e">
        <f>'All regions'!B1074+"$F;@!$B7"</f>
        <v>#VALUE!</v>
      </c>
      <c r="CW41" t="e">
        <f>'All regions'!C1074+"$F;@!$B8"</f>
        <v>#VALUE!</v>
      </c>
      <c r="CX41" t="e">
        <f>'All regions'!D1074+"$F;@!$B9"</f>
        <v>#VALUE!</v>
      </c>
      <c r="CY41" t="e">
        <f>'All regions'!E1074+"$F;@!$B:"</f>
        <v>#VALUE!</v>
      </c>
      <c r="CZ41" t="e">
        <f>'All regions'!F1074+"$F;@!$B;"</f>
        <v>#VALUE!</v>
      </c>
      <c r="DA41" t="e">
        <f>'All regions'!G1074+"$F;@!$B&lt;"</f>
        <v>#VALUE!</v>
      </c>
      <c r="DB41" t="e">
        <f>'All regions'!H1074+"$F;@!$B="</f>
        <v>#VALUE!</v>
      </c>
      <c r="DC41" t="e">
        <f>'All regions'!I1074+"$F;@!$B&gt;"</f>
        <v>#VALUE!</v>
      </c>
      <c r="DD41" t="e">
        <f>'All regions'!A1075+"$F;@!$B?"</f>
        <v>#VALUE!</v>
      </c>
      <c r="DE41" t="e">
        <f>'All regions'!B1075+"$F;@!$B@"</f>
        <v>#VALUE!</v>
      </c>
      <c r="DF41" t="e">
        <f>'All regions'!C1075+"$F;@!$BA"</f>
        <v>#VALUE!</v>
      </c>
      <c r="DG41" t="e">
        <f>'All regions'!D1075+"$F;@!$BB"</f>
        <v>#VALUE!</v>
      </c>
      <c r="DH41" t="e">
        <f>'All regions'!E1075+"$F;@!$BC"</f>
        <v>#VALUE!</v>
      </c>
      <c r="DI41" t="e">
        <f>'All regions'!F1075+"$F;@!$BD"</f>
        <v>#VALUE!</v>
      </c>
      <c r="DJ41" t="e">
        <f>'All regions'!G1075+"$F;@!$BE"</f>
        <v>#VALUE!</v>
      </c>
      <c r="DK41" t="e">
        <f>'All regions'!H1075+"$F;@!$BF"</f>
        <v>#VALUE!</v>
      </c>
      <c r="DL41" t="e">
        <f>'All regions'!I1075+"$F;@!$BG"</f>
        <v>#VALUE!</v>
      </c>
      <c r="DM41" t="e">
        <f>'All regions'!A1076+"$F;@!$BH"</f>
        <v>#VALUE!</v>
      </c>
      <c r="DN41" t="e">
        <f>'All regions'!B1076+"$F;@!$BI"</f>
        <v>#VALUE!</v>
      </c>
      <c r="DO41" t="e">
        <f>'All regions'!C1076+"$F;@!$BJ"</f>
        <v>#VALUE!</v>
      </c>
      <c r="DP41" t="e">
        <f>'All regions'!D1076+"$F;@!$BK"</f>
        <v>#VALUE!</v>
      </c>
      <c r="DQ41" t="e">
        <f>'All regions'!E1076+"$F;@!$BL"</f>
        <v>#VALUE!</v>
      </c>
      <c r="DR41" t="e">
        <f>'All regions'!F1076+"$F;@!$BM"</f>
        <v>#VALUE!</v>
      </c>
      <c r="DS41" t="e">
        <f>'All regions'!G1076+"$F;@!$BN"</f>
        <v>#VALUE!</v>
      </c>
      <c r="DT41" t="e">
        <f>'All regions'!H1076+"$F;@!$BO"</f>
        <v>#VALUE!</v>
      </c>
      <c r="DU41" t="e">
        <f>'All regions'!I1076+"$F;@!$BP"</f>
        <v>#VALUE!</v>
      </c>
      <c r="DV41" t="e">
        <f>'All regions'!A1077+"$F;@!$BQ"</f>
        <v>#VALUE!</v>
      </c>
      <c r="DW41" t="e">
        <f>'All regions'!B1077+"$F;@!$BR"</f>
        <v>#VALUE!</v>
      </c>
      <c r="DX41" t="e">
        <f>'All regions'!C1077+"$F;@!$BS"</f>
        <v>#VALUE!</v>
      </c>
      <c r="DY41" t="e">
        <f>'All regions'!D1077+"$F;@!$BT"</f>
        <v>#VALUE!</v>
      </c>
      <c r="DZ41" t="e">
        <f>'All regions'!E1077+"$F;@!$BU"</f>
        <v>#VALUE!</v>
      </c>
      <c r="EA41" t="e">
        <f>'All regions'!F1077+"$F;@!$BV"</f>
        <v>#VALUE!</v>
      </c>
      <c r="EB41" t="e">
        <f>'All regions'!G1077+"$F;@!$BW"</f>
        <v>#VALUE!</v>
      </c>
      <c r="EC41" t="e">
        <f>'All regions'!H1077+"$F;@!$BX"</f>
        <v>#VALUE!</v>
      </c>
      <c r="ED41" t="e">
        <f>'All regions'!I1077+"$F;@!$BY"</f>
        <v>#VALUE!</v>
      </c>
      <c r="EE41" t="e">
        <f>'All regions'!A1078+"$F;@!$BZ"</f>
        <v>#VALUE!</v>
      </c>
      <c r="EF41" t="e">
        <f>'All regions'!B1078+"$F;@!$B["</f>
        <v>#VALUE!</v>
      </c>
      <c r="EG41" t="e">
        <f>'All regions'!C1078+"$F;@!$B\"</f>
        <v>#VALUE!</v>
      </c>
      <c r="EH41" t="e">
        <f>'All regions'!D1078+"$F;@!$B]"</f>
        <v>#VALUE!</v>
      </c>
      <c r="EI41" t="e">
        <f>'All regions'!E1078+"$F;@!$B^"</f>
        <v>#VALUE!</v>
      </c>
      <c r="EJ41" t="e">
        <f>'All regions'!F1078+"$F;@!$B_"</f>
        <v>#VALUE!</v>
      </c>
      <c r="EK41" t="e">
        <f>'All regions'!G1078+"$F;@!$B`"</f>
        <v>#VALUE!</v>
      </c>
      <c r="EL41" t="e">
        <f>'All regions'!H1078+"$F;@!$Ba"</f>
        <v>#VALUE!</v>
      </c>
      <c r="EM41" t="e">
        <f>'All regions'!I1078+"$F;@!$Bb"</f>
        <v>#VALUE!</v>
      </c>
      <c r="EN41" t="e">
        <f>'All regions'!A1079+"$F;@!$Bc"</f>
        <v>#VALUE!</v>
      </c>
      <c r="EO41" t="e">
        <f>'All regions'!B1079+"$F;@!$Bd"</f>
        <v>#VALUE!</v>
      </c>
      <c r="EP41" t="e">
        <f>'All regions'!C1079+"$F;@!$Be"</f>
        <v>#VALUE!</v>
      </c>
      <c r="EQ41" t="e">
        <f>'All regions'!D1079+"$F;@!$Bf"</f>
        <v>#VALUE!</v>
      </c>
      <c r="ER41" t="e">
        <f>'All regions'!E1079+"$F;@!$Bg"</f>
        <v>#VALUE!</v>
      </c>
      <c r="ES41" t="e">
        <f>'All regions'!F1079+"$F;@!$Bh"</f>
        <v>#VALUE!</v>
      </c>
      <c r="ET41" t="e">
        <f>'All regions'!G1079+"$F;@!$Bi"</f>
        <v>#VALUE!</v>
      </c>
      <c r="EU41" t="e">
        <f>'All regions'!H1079+"$F;@!$Bj"</f>
        <v>#VALUE!</v>
      </c>
      <c r="EV41" t="e">
        <f>'All regions'!I1079+"$F;@!$Bk"</f>
        <v>#VALUE!</v>
      </c>
      <c r="EW41" t="e">
        <f>'All regions'!A1080+"$F;@!$Bl"</f>
        <v>#VALUE!</v>
      </c>
      <c r="EX41" t="e">
        <f>'All regions'!B1080+"$F;@!$Bm"</f>
        <v>#VALUE!</v>
      </c>
      <c r="EY41" t="e">
        <f>'All regions'!C1080+"$F;@!$Bn"</f>
        <v>#VALUE!</v>
      </c>
      <c r="EZ41" t="e">
        <f>'All regions'!D1080+"$F;@!$Bo"</f>
        <v>#VALUE!</v>
      </c>
      <c r="FA41" t="e">
        <f>'All regions'!E1080+"$F;@!$Bp"</f>
        <v>#VALUE!</v>
      </c>
      <c r="FB41" t="e">
        <f>'All regions'!F1080+"$F;@!$Bq"</f>
        <v>#VALUE!</v>
      </c>
      <c r="FC41" t="e">
        <f>'All regions'!G1080+"$F;@!$Br"</f>
        <v>#VALUE!</v>
      </c>
      <c r="FD41" t="e">
        <f>'All regions'!H1080+"$F;@!$Bs"</f>
        <v>#VALUE!</v>
      </c>
      <c r="FE41" t="e">
        <f>'All regions'!I1080+"$F;@!$Bt"</f>
        <v>#VALUE!</v>
      </c>
      <c r="FF41" t="e">
        <f>'All regions'!A1081+"$F;@!$Bu"</f>
        <v>#VALUE!</v>
      </c>
      <c r="FG41" t="e">
        <f>'All regions'!B1081+"$F;@!$Bv"</f>
        <v>#VALUE!</v>
      </c>
      <c r="FH41" t="e">
        <f>'All regions'!C1081+"$F;@!$Bw"</f>
        <v>#VALUE!</v>
      </c>
      <c r="FI41" t="e">
        <f>'All regions'!D1081+"$F;@!$Bx"</f>
        <v>#VALUE!</v>
      </c>
      <c r="FJ41" t="e">
        <f>'All regions'!E1081+"$F;@!$By"</f>
        <v>#VALUE!</v>
      </c>
      <c r="FK41" t="e">
        <f>'All regions'!F1081+"$F;@!$Bz"</f>
        <v>#VALUE!</v>
      </c>
      <c r="FL41" t="e">
        <f>'All regions'!G1081+"$F;@!$B{"</f>
        <v>#VALUE!</v>
      </c>
      <c r="FM41" t="e">
        <f>'All regions'!H1081+"$F;@!$B|"</f>
        <v>#VALUE!</v>
      </c>
      <c r="FN41" t="e">
        <f>'All regions'!I1081+"$F;@!$B}"</f>
        <v>#VALUE!</v>
      </c>
      <c r="FO41" t="e">
        <f>'All regions'!A1082+"$F;@!$B~"</f>
        <v>#VALUE!</v>
      </c>
      <c r="FP41" t="e">
        <f>'All regions'!B1082+"$F;@!$C#"</f>
        <v>#VALUE!</v>
      </c>
      <c r="FQ41" t="e">
        <f>'All regions'!C1082+"$F;@!$C$"</f>
        <v>#VALUE!</v>
      </c>
      <c r="FR41" t="e">
        <f>'All regions'!D1082+"$F;@!$C%"</f>
        <v>#VALUE!</v>
      </c>
      <c r="FS41" t="e">
        <f>'All regions'!E1082+"$F;@!$C&amp;"</f>
        <v>#VALUE!</v>
      </c>
      <c r="FT41" t="e">
        <f>'All regions'!F1082+"$F;@!$C'"</f>
        <v>#VALUE!</v>
      </c>
      <c r="FU41" t="e">
        <f>'All regions'!G1082+"$F;@!$C("</f>
        <v>#VALUE!</v>
      </c>
      <c r="FV41" t="e">
        <f>'All regions'!H1082+"$F;@!$C)"</f>
        <v>#VALUE!</v>
      </c>
      <c r="FW41" t="e">
        <f>'All regions'!I1082+"$F;@!$C."</f>
        <v>#VALUE!</v>
      </c>
      <c r="FX41" t="e">
        <f>'All regions'!A1083+"$F;@!$C/"</f>
        <v>#VALUE!</v>
      </c>
      <c r="FY41" t="e">
        <f>'All regions'!B1083+"$F;@!$C0"</f>
        <v>#VALUE!</v>
      </c>
      <c r="FZ41" t="e">
        <f>'All regions'!C1083+"$F;@!$C1"</f>
        <v>#VALUE!</v>
      </c>
      <c r="GA41" t="e">
        <f>'All regions'!D1083+"$F;@!$C2"</f>
        <v>#VALUE!</v>
      </c>
      <c r="GB41" t="e">
        <f>'All regions'!E1083+"$F;@!$C3"</f>
        <v>#VALUE!</v>
      </c>
      <c r="GC41" t="e">
        <f>'All regions'!F1083+"$F;@!$C4"</f>
        <v>#VALUE!</v>
      </c>
      <c r="GD41" t="e">
        <f>'All regions'!G1083+"$F;@!$C5"</f>
        <v>#VALUE!</v>
      </c>
      <c r="GE41" t="e">
        <f>'All regions'!H1083+"$F;@!$C6"</f>
        <v>#VALUE!</v>
      </c>
      <c r="GF41" t="e">
        <f>'All regions'!I1083+"$F;@!$C7"</f>
        <v>#VALUE!</v>
      </c>
      <c r="GG41" t="e">
        <f>'All regions'!A1084+"$F;@!$C8"</f>
        <v>#VALUE!</v>
      </c>
      <c r="GH41" t="e">
        <f>'All regions'!B1084+"$F;@!$C9"</f>
        <v>#VALUE!</v>
      </c>
      <c r="GI41" t="e">
        <f>'All regions'!C1084+"$F;@!$C:"</f>
        <v>#VALUE!</v>
      </c>
      <c r="GJ41" t="e">
        <f>'All regions'!D1084+"$F;@!$C;"</f>
        <v>#VALUE!</v>
      </c>
      <c r="GK41" t="e">
        <f>'All regions'!E1084+"$F;@!$C&lt;"</f>
        <v>#VALUE!</v>
      </c>
      <c r="GL41" t="e">
        <f>'All regions'!F1084+"$F;@!$C="</f>
        <v>#VALUE!</v>
      </c>
      <c r="GM41" t="e">
        <f>'All regions'!G1084+"$F;@!$C&gt;"</f>
        <v>#VALUE!</v>
      </c>
      <c r="GN41" t="e">
        <f>'All regions'!H1084+"$F;@!$C?"</f>
        <v>#VALUE!</v>
      </c>
      <c r="GO41" t="e">
        <f>'All regions'!I1084+"$F;@!$C@"</f>
        <v>#VALUE!</v>
      </c>
      <c r="GP41" t="e">
        <f>'All regions'!A1085+"$F;@!$CA"</f>
        <v>#VALUE!</v>
      </c>
      <c r="GQ41" t="e">
        <f>'All regions'!B1085+"$F;@!$CB"</f>
        <v>#VALUE!</v>
      </c>
      <c r="GR41" t="e">
        <f>'All regions'!C1085+"$F;@!$CC"</f>
        <v>#VALUE!</v>
      </c>
      <c r="GS41" t="e">
        <f>'All regions'!D1085+"$F;@!$CD"</f>
        <v>#VALUE!</v>
      </c>
      <c r="GT41" t="e">
        <f>'All regions'!E1085+"$F;@!$CE"</f>
        <v>#VALUE!</v>
      </c>
      <c r="GU41" t="e">
        <f>'All regions'!F1085+"$F;@!$CF"</f>
        <v>#VALUE!</v>
      </c>
      <c r="GV41" t="e">
        <f>'All regions'!G1085+"$F;@!$CG"</f>
        <v>#VALUE!</v>
      </c>
      <c r="GW41" t="e">
        <f>'All regions'!H1085+"$F;@!$CH"</f>
        <v>#VALUE!</v>
      </c>
      <c r="GX41" t="e">
        <f>'All regions'!I1085+"$F;@!$CI"</f>
        <v>#VALUE!</v>
      </c>
      <c r="GY41" t="e">
        <f>'All regions'!A1086+"$F;@!$CJ"</f>
        <v>#VALUE!</v>
      </c>
      <c r="GZ41" t="e">
        <f>'All regions'!B1086+"$F;@!$CK"</f>
        <v>#VALUE!</v>
      </c>
      <c r="HA41" t="e">
        <f>'All regions'!C1086+"$F;@!$CL"</f>
        <v>#VALUE!</v>
      </c>
      <c r="HB41" t="e">
        <f>'All regions'!D1086+"$F;@!$CM"</f>
        <v>#VALUE!</v>
      </c>
      <c r="HC41" t="e">
        <f>'All regions'!E1086+"$F;@!$CN"</f>
        <v>#VALUE!</v>
      </c>
      <c r="HD41" t="e">
        <f>'All regions'!F1086+"$F;@!$CO"</f>
        <v>#VALUE!</v>
      </c>
      <c r="HE41" t="e">
        <f>'All regions'!G1086+"$F;@!$CP"</f>
        <v>#VALUE!</v>
      </c>
      <c r="HF41" t="e">
        <f>'All regions'!H1086+"$F;@!$CQ"</f>
        <v>#VALUE!</v>
      </c>
      <c r="HG41" t="e">
        <f>'All regions'!I1086+"$F;@!$CR"</f>
        <v>#VALUE!</v>
      </c>
      <c r="HH41" t="e">
        <f>'All regions'!A1087+"$F;@!$CS"</f>
        <v>#VALUE!</v>
      </c>
      <c r="HI41" t="e">
        <f>'All regions'!B1087+"$F;@!$CT"</f>
        <v>#VALUE!</v>
      </c>
      <c r="HJ41" t="e">
        <f>'All regions'!C1087+"$F;@!$CU"</f>
        <v>#VALUE!</v>
      </c>
      <c r="HK41" t="e">
        <f>'All regions'!D1087+"$F;@!$CV"</f>
        <v>#VALUE!</v>
      </c>
      <c r="HL41" t="e">
        <f>'All regions'!E1087+"$F;@!$CW"</f>
        <v>#VALUE!</v>
      </c>
      <c r="HM41" t="e">
        <f>'All regions'!F1087+"$F;@!$CX"</f>
        <v>#VALUE!</v>
      </c>
      <c r="HN41" t="e">
        <f>'All regions'!G1087+"$F;@!$CY"</f>
        <v>#VALUE!</v>
      </c>
      <c r="HO41" t="e">
        <f>'All regions'!H1087+"$F;@!$CZ"</f>
        <v>#VALUE!</v>
      </c>
      <c r="HP41" t="e">
        <f>'All regions'!I1087+"$F;@!$C["</f>
        <v>#VALUE!</v>
      </c>
      <c r="HQ41" t="e">
        <f>'All regions'!A1088+"$F;@!$C\"</f>
        <v>#VALUE!</v>
      </c>
      <c r="HR41" t="e">
        <f>'All regions'!B1088+"$F;@!$C]"</f>
        <v>#VALUE!</v>
      </c>
      <c r="HS41" t="e">
        <f>'All regions'!C1088+"$F;@!$C^"</f>
        <v>#VALUE!</v>
      </c>
      <c r="HT41" t="e">
        <f>'All regions'!D1088+"$F;@!$C_"</f>
        <v>#VALUE!</v>
      </c>
      <c r="HU41" t="e">
        <f>'All regions'!E1088+"$F;@!$C`"</f>
        <v>#VALUE!</v>
      </c>
      <c r="HV41" t="e">
        <f>'All regions'!F1088+"$F;@!$Ca"</f>
        <v>#VALUE!</v>
      </c>
      <c r="HW41" t="e">
        <f>'All regions'!G1088+"$F;@!$Cb"</f>
        <v>#VALUE!</v>
      </c>
      <c r="HX41" t="e">
        <f>'All regions'!H1088+"$F;@!$Cc"</f>
        <v>#VALUE!</v>
      </c>
      <c r="HY41" t="e">
        <f>'All regions'!I1088+"$F;@!$Cd"</f>
        <v>#VALUE!</v>
      </c>
      <c r="HZ41" t="e">
        <f>'All regions'!A1089+"$F;@!$Ce"</f>
        <v>#VALUE!</v>
      </c>
      <c r="IA41" t="e">
        <f>'All regions'!B1089+"$F;@!$Cf"</f>
        <v>#VALUE!</v>
      </c>
      <c r="IB41" t="e">
        <f>'All regions'!C1089+"$F;@!$Cg"</f>
        <v>#VALUE!</v>
      </c>
      <c r="IC41" t="e">
        <f>'All regions'!D1089+"$F;@!$Ch"</f>
        <v>#VALUE!</v>
      </c>
      <c r="ID41" t="e">
        <f>'All regions'!E1089+"$F;@!$Ci"</f>
        <v>#VALUE!</v>
      </c>
      <c r="IE41" t="e">
        <f>'All regions'!F1089+"$F;@!$Cj"</f>
        <v>#VALUE!</v>
      </c>
      <c r="IF41" t="e">
        <f>'All regions'!G1089+"$F;@!$Ck"</f>
        <v>#VALUE!</v>
      </c>
      <c r="IG41" t="e">
        <f>'All regions'!H1089+"$F;@!$Cl"</f>
        <v>#VALUE!</v>
      </c>
      <c r="IH41" t="e">
        <f>'All regions'!I1089+"$F;@!$Cm"</f>
        <v>#VALUE!</v>
      </c>
      <c r="II41" t="e">
        <f>'All regions'!A1090+"$F;@!$Cn"</f>
        <v>#VALUE!</v>
      </c>
      <c r="IJ41" t="e">
        <f>'All regions'!B1090+"$F;@!$Co"</f>
        <v>#VALUE!</v>
      </c>
      <c r="IK41" t="e">
        <f>'All regions'!C1090+"$F;@!$Cp"</f>
        <v>#VALUE!</v>
      </c>
      <c r="IL41" t="e">
        <f>'All regions'!D1090+"$F;@!$Cq"</f>
        <v>#VALUE!</v>
      </c>
      <c r="IM41" t="e">
        <f>'All regions'!E1090+"$F;@!$Cr"</f>
        <v>#VALUE!</v>
      </c>
      <c r="IN41" t="e">
        <f>'All regions'!F1090+"$F;@!$Cs"</f>
        <v>#VALUE!</v>
      </c>
      <c r="IO41" t="e">
        <f>'All regions'!G1090+"$F;@!$Ct"</f>
        <v>#VALUE!</v>
      </c>
      <c r="IP41" t="e">
        <f>'All regions'!H1090+"$F;@!$Cu"</f>
        <v>#VALUE!</v>
      </c>
      <c r="IQ41" t="e">
        <f>'All regions'!I1090+"$F;@!$Cv"</f>
        <v>#VALUE!</v>
      </c>
      <c r="IR41" t="e">
        <f>'All regions'!A1091+"$F;@!$Cw"</f>
        <v>#VALUE!</v>
      </c>
      <c r="IS41" t="e">
        <f>'All regions'!B1091+"$F;@!$Cx"</f>
        <v>#VALUE!</v>
      </c>
      <c r="IT41" t="e">
        <f>'All regions'!C1091+"$F;@!$Cy"</f>
        <v>#VALUE!</v>
      </c>
      <c r="IU41" t="e">
        <f>'All regions'!D1091+"$F;@!$Cz"</f>
        <v>#VALUE!</v>
      </c>
      <c r="IV41" t="e">
        <f>'All regions'!E1091+"$F;@!$C{"</f>
        <v>#VALUE!</v>
      </c>
    </row>
    <row r="42" spans="6:256" x14ac:dyDescent="0.35">
      <c r="F42" t="e">
        <f>'All regions'!F1091+"$F;@!$C|"</f>
        <v>#VALUE!</v>
      </c>
      <c r="G42" t="e">
        <f>'All regions'!G1091+"$F;@!$C}"</f>
        <v>#VALUE!</v>
      </c>
      <c r="H42" t="e">
        <f>'All regions'!H1091+"$F;@!$C~"</f>
        <v>#VALUE!</v>
      </c>
      <c r="I42" t="e">
        <f>'All regions'!I1091+"$F;@!$D#"</f>
        <v>#VALUE!</v>
      </c>
      <c r="J42" t="e">
        <f>'All regions'!A1092+"$F;@!$D$"</f>
        <v>#VALUE!</v>
      </c>
      <c r="K42" t="e">
        <f>'All regions'!B1092+"$F;@!$D%"</f>
        <v>#VALUE!</v>
      </c>
      <c r="L42" t="e">
        <f>'All regions'!C1092+"$F;@!$D&amp;"</f>
        <v>#VALUE!</v>
      </c>
      <c r="M42" t="e">
        <f>'All regions'!D1092+"$F;@!$D'"</f>
        <v>#VALUE!</v>
      </c>
      <c r="N42" t="e">
        <f>'All regions'!E1092+"$F;@!$D("</f>
        <v>#VALUE!</v>
      </c>
      <c r="O42" t="e">
        <f>'All regions'!F1092+"$F;@!$D)"</f>
        <v>#VALUE!</v>
      </c>
      <c r="P42" t="e">
        <f>'All regions'!G1092+"$F;@!$D."</f>
        <v>#VALUE!</v>
      </c>
      <c r="Q42" t="e">
        <f>'All regions'!H1092+"$F;@!$D/"</f>
        <v>#VALUE!</v>
      </c>
      <c r="R42" t="e">
        <f>'All regions'!I1092+"$F;@!$D0"</f>
        <v>#VALUE!</v>
      </c>
      <c r="S42" t="e">
        <f>'All regions'!A1093+"$F;@!$D1"</f>
        <v>#VALUE!</v>
      </c>
      <c r="T42" t="e">
        <f>'All regions'!B1093+"$F;@!$D2"</f>
        <v>#VALUE!</v>
      </c>
      <c r="U42" t="e">
        <f>'All regions'!C1093+"$F;@!$D3"</f>
        <v>#VALUE!</v>
      </c>
      <c r="V42" t="e">
        <f>'All regions'!D1093+"$F;@!$D4"</f>
        <v>#VALUE!</v>
      </c>
      <c r="W42" t="e">
        <f>'All regions'!E1093+"$F;@!$D5"</f>
        <v>#VALUE!</v>
      </c>
      <c r="X42" t="e">
        <f>'All regions'!F1093+"$F;@!$D6"</f>
        <v>#VALUE!</v>
      </c>
      <c r="Y42" t="e">
        <f>'All regions'!G1093+"$F;@!$D7"</f>
        <v>#VALUE!</v>
      </c>
      <c r="Z42" t="e">
        <f>'All regions'!H1093+"$F;@!$D8"</f>
        <v>#VALUE!</v>
      </c>
      <c r="AA42" t="e">
        <f>'All regions'!I1093+"$F;@!$D9"</f>
        <v>#VALUE!</v>
      </c>
      <c r="AB42" t="e">
        <f>'All regions'!A1094+"$F;@!$D:"</f>
        <v>#VALUE!</v>
      </c>
      <c r="AC42" t="e">
        <f>'All regions'!B1094+"$F;@!$D;"</f>
        <v>#VALUE!</v>
      </c>
      <c r="AD42" t="e">
        <f>'All regions'!C1094+"$F;@!$D&lt;"</f>
        <v>#VALUE!</v>
      </c>
      <c r="AE42" t="e">
        <f>'All regions'!D1094+"$F;@!$D="</f>
        <v>#VALUE!</v>
      </c>
      <c r="AF42" t="e">
        <f>'All regions'!E1094+"$F;@!$D&gt;"</f>
        <v>#VALUE!</v>
      </c>
      <c r="AG42" t="e">
        <f>'All regions'!F1094+"$F;@!$D?"</f>
        <v>#VALUE!</v>
      </c>
      <c r="AH42" t="e">
        <f>'All regions'!G1094+"$F;@!$D@"</f>
        <v>#VALUE!</v>
      </c>
      <c r="AI42" t="e">
        <f>'All regions'!H1094+"$F;@!$DA"</f>
        <v>#VALUE!</v>
      </c>
      <c r="AJ42" t="e">
        <f>'All regions'!I1094+"$F;@!$DB"</f>
        <v>#VALUE!</v>
      </c>
      <c r="AK42" t="e">
        <f>'All regions'!A1095+"$F;@!$DC"</f>
        <v>#VALUE!</v>
      </c>
      <c r="AL42" t="e">
        <f>'All regions'!B1095+"$F;@!$DD"</f>
        <v>#VALUE!</v>
      </c>
      <c r="AM42" t="e">
        <f>'All regions'!C1095+"$F;@!$DE"</f>
        <v>#VALUE!</v>
      </c>
      <c r="AN42" t="e">
        <f>'All regions'!D1095+"$F;@!$DF"</f>
        <v>#VALUE!</v>
      </c>
      <c r="AO42" t="e">
        <f>'All regions'!E1095+"$F;@!$DG"</f>
        <v>#VALUE!</v>
      </c>
      <c r="AP42" t="e">
        <f>'All regions'!F1095+"$F;@!$DH"</f>
        <v>#VALUE!</v>
      </c>
      <c r="AQ42" t="e">
        <f>'All regions'!G1095+"$F;@!$DI"</f>
        <v>#VALUE!</v>
      </c>
      <c r="AR42" t="e">
        <f>'All regions'!H1095+"$F;@!$DJ"</f>
        <v>#VALUE!</v>
      </c>
      <c r="AS42" t="e">
        <f>'All regions'!I1095+"$F;@!$DK"</f>
        <v>#VALUE!</v>
      </c>
      <c r="AT42" t="e">
        <f>'All regions'!A1096+"$F;@!$DL"</f>
        <v>#VALUE!</v>
      </c>
      <c r="AU42" t="e">
        <f>'All regions'!B1096+"$F;@!$DM"</f>
        <v>#VALUE!</v>
      </c>
      <c r="AV42" t="e">
        <f>'All regions'!C1096+"$F;@!$DN"</f>
        <v>#VALUE!</v>
      </c>
      <c r="AW42" t="e">
        <f>'All regions'!D1096+"$F;@!$DO"</f>
        <v>#VALUE!</v>
      </c>
      <c r="AX42" t="e">
        <f>'All regions'!E1096+"$F;@!$DP"</f>
        <v>#VALUE!</v>
      </c>
      <c r="AY42" t="e">
        <f>'All regions'!F1096+"$F;@!$DQ"</f>
        <v>#VALUE!</v>
      </c>
      <c r="AZ42" t="e">
        <f>'All regions'!G1096+"$F;@!$DR"</f>
        <v>#VALUE!</v>
      </c>
      <c r="BA42" t="e">
        <f>'All regions'!H1096+"$F;@!$DS"</f>
        <v>#VALUE!</v>
      </c>
      <c r="BB42" t="e">
        <f>'All regions'!I1096+"$F;@!$DT"</f>
        <v>#VALUE!</v>
      </c>
      <c r="BC42" t="e">
        <f>'All regions'!A1097+"$F;@!$DU"</f>
        <v>#VALUE!</v>
      </c>
      <c r="BD42" t="e">
        <f>'All regions'!B1097+"$F;@!$DV"</f>
        <v>#VALUE!</v>
      </c>
      <c r="BE42" t="e">
        <f>'All regions'!C1097+"$F;@!$DW"</f>
        <v>#VALUE!</v>
      </c>
      <c r="BF42" t="e">
        <f>'All regions'!D1097+"$F;@!$DX"</f>
        <v>#VALUE!</v>
      </c>
      <c r="BG42" t="e">
        <f>'All regions'!E1097+"$F;@!$DY"</f>
        <v>#VALUE!</v>
      </c>
      <c r="BH42" t="e">
        <f>'All regions'!F1097+"$F;@!$DZ"</f>
        <v>#VALUE!</v>
      </c>
      <c r="BI42" t="e">
        <f>'All regions'!G1097+"$F;@!$D["</f>
        <v>#VALUE!</v>
      </c>
      <c r="BJ42" t="e">
        <f>'All regions'!H1097+"$F;@!$D\"</f>
        <v>#VALUE!</v>
      </c>
      <c r="BK42" t="e">
        <f>'All regions'!I1097+"$F;@!$D]"</f>
        <v>#VALUE!</v>
      </c>
      <c r="BL42" t="e">
        <f>'All regions'!A1098+"$F;@!$D^"</f>
        <v>#VALUE!</v>
      </c>
      <c r="BM42" t="e">
        <f>'All regions'!B1098+"$F;@!$D_"</f>
        <v>#VALUE!</v>
      </c>
      <c r="BN42" t="e">
        <f>'All regions'!C1098+"$F;@!$D`"</f>
        <v>#VALUE!</v>
      </c>
      <c r="BO42" t="e">
        <f>'All regions'!D1098+"$F;@!$Da"</f>
        <v>#VALUE!</v>
      </c>
      <c r="BP42" t="e">
        <f>'All regions'!E1098+"$F;@!$Db"</f>
        <v>#VALUE!</v>
      </c>
      <c r="BQ42" t="e">
        <f>'All regions'!F1098+"$F;@!$Dc"</f>
        <v>#VALUE!</v>
      </c>
      <c r="BR42" t="e">
        <f>'All regions'!G1098+"$F;@!$Dd"</f>
        <v>#VALUE!</v>
      </c>
      <c r="BS42" t="e">
        <f>'All regions'!H1098+"$F;@!$De"</f>
        <v>#VALUE!</v>
      </c>
      <c r="BT42" t="e">
        <f>'All regions'!I1098+"$F;@!$Df"</f>
        <v>#VALUE!</v>
      </c>
      <c r="BU42" t="e">
        <f>'All regions'!A1099+"$F;@!$Dg"</f>
        <v>#VALUE!</v>
      </c>
      <c r="BV42" t="e">
        <f>'All regions'!B1099+"$F;@!$Dh"</f>
        <v>#VALUE!</v>
      </c>
      <c r="BW42" t="e">
        <f>'All regions'!C1099+"$F;@!$Di"</f>
        <v>#VALUE!</v>
      </c>
      <c r="BX42" t="e">
        <f>'All regions'!D1099+"$F;@!$Dj"</f>
        <v>#VALUE!</v>
      </c>
      <c r="BY42" t="e">
        <f>'All regions'!E1099+"$F;@!$Dk"</f>
        <v>#VALUE!</v>
      </c>
      <c r="BZ42" t="e">
        <f>'All regions'!F1099+"$F;@!$Dl"</f>
        <v>#VALUE!</v>
      </c>
      <c r="CA42" t="e">
        <f>'All regions'!G1099+"$F;@!$Dm"</f>
        <v>#VALUE!</v>
      </c>
      <c r="CB42" t="e">
        <f>'All regions'!H1099+"$F;@!$Dn"</f>
        <v>#VALUE!</v>
      </c>
      <c r="CC42" t="e">
        <f>'All regions'!I1099+"$F;@!$Do"</f>
        <v>#VALUE!</v>
      </c>
      <c r="CD42" t="e">
        <f>'All regions'!A1100+"$F;@!$Dp"</f>
        <v>#VALUE!</v>
      </c>
      <c r="CE42" t="e">
        <f>'All regions'!B1100+"$F;@!$Dq"</f>
        <v>#VALUE!</v>
      </c>
      <c r="CF42" t="e">
        <f>'All regions'!C1100+"$F;@!$Dr"</f>
        <v>#VALUE!</v>
      </c>
      <c r="CG42" t="e">
        <f>'All regions'!D1100+"$F;@!$Ds"</f>
        <v>#VALUE!</v>
      </c>
      <c r="CH42" t="e">
        <f>'All regions'!E1100+"$F;@!$Dt"</f>
        <v>#VALUE!</v>
      </c>
      <c r="CI42" t="e">
        <f>'All regions'!F1100+"$F;@!$Du"</f>
        <v>#VALUE!</v>
      </c>
      <c r="CJ42" t="e">
        <f>'All regions'!G1100+"$F;@!$Dv"</f>
        <v>#VALUE!</v>
      </c>
      <c r="CK42" t="e">
        <f>'All regions'!H1100+"$F;@!$Dw"</f>
        <v>#VALUE!</v>
      </c>
      <c r="CL42" t="e">
        <f>'All regions'!I1100+"$F;@!$Dx"</f>
        <v>#VALUE!</v>
      </c>
      <c r="CM42" t="e">
        <f>'All regions'!A1101+"$F;@!$Dy"</f>
        <v>#VALUE!</v>
      </c>
      <c r="CN42" t="e">
        <f>'All regions'!B1101+"$F;@!$Dz"</f>
        <v>#VALUE!</v>
      </c>
      <c r="CO42" t="e">
        <f>'All regions'!C1101+"$F;@!$D{"</f>
        <v>#VALUE!</v>
      </c>
      <c r="CP42" t="e">
        <f>'All regions'!D1101+"$F;@!$D|"</f>
        <v>#VALUE!</v>
      </c>
      <c r="CQ42" t="e">
        <f>'All regions'!E1101+"$F;@!$D}"</f>
        <v>#VALUE!</v>
      </c>
      <c r="CR42" t="e">
        <f>'All regions'!F1101+"$F;@!$D~"</f>
        <v>#VALUE!</v>
      </c>
      <c r="CS42" t="e">
        <f>'All regions'!G1101+"$F;@!$E#"</f>
        <v>#VALUE!</v>
      </c>
      <c r="CT42" t="e">
        <f>'All regions'!H1101+"$F;@!$E$"</f>
        <v>#VALUE!</v>
      </c>
      <c r="CU42" t="e">
        <f>'All regions'!I1101+"$F;@!$E%"</f>
        <v>#VALUE!</v>
      </c>
      <c r="CV42" t="e">
        <f>'All regions'!A1102+"$F;@!$E&amp;"</f>
        <v>#VALUE!</v>
      </c>
      <c r="CW42" t="e">
        <f>'All regions'!B1102+"$F;@!$E'"</f>
        <v>#VALUE!</v>
      </c>
      <c r="CX42" t="e">
        <f>'All regions'!C1102+"$F;@!$E("</f>
        <v>#VALUE!</v>
      </c>
      <c r="CY42" t="e">
        <f>'All regions'!D1102+"$F;@!$E)"</f>
        <v>#VALUE!</v>
      </c>
      <c r="CZ42" t="e">
        <f>'All regions'!E1102+"$F;@!$E."</f>
        <v>#VALUE!</v>
      </c>
      <c r="DA42" t="e">
        <f>'All regions'!F1102+"$F;@!$E/"</f>
        <v>#VALUE!</v>
      </c>
      <c r="DB42" t="e">
        <f>'All regions'!G1102+"$F;@!$E0"</f>
        <v>#VALUE!</v>
      </c>
      <c r="DC42" t="e">
        <f>'All regions'!H1102+"$F;@!$E1"</f>
        <v>#VALUE!</v>
      </c>
      <c r="DD42" t="e">
        <f>'All regions'!I1102+"$F;@!$E2"</f>
        <v>#VALUE!</v>
      </c>
      <c r="DE42" t="e">
        <f>'All regions'!A1103+"$F;@!$E3"</f>
        <v>#VALUE!</v>
      </c>
      <c r="DF42" t="e">
        <f>'All regions'!B1103+"$F;@!$E4"</f>
        <v>#VALUE!</v>
      </c>
      <c r="DG42" t="e">
        <f>'All regions'!C1103+"$F;@!$E5"</f>
        <v>#VALUE!</v>
      </c>
      <c r="DH42" t="e">
        <f>'All regions'!D1103+"$F;@!$E6"</f>
        <v>#VALUE!</v>
      </c>
      <c r="DI42" t="e">
        <f>'All regions'!E1103+"$F;@!$E7"</f>
        <v>#VALUE!</v>
      </c>
      <c r="DJ42" t="e">
        <f>'All regions'!F1103+"$F;@!$E8"</f>
        <v>#VALUE!</v>
      </c>
      <c r="DK42" t="e">
        <f>'All regions'!G1103+"$F;@!$E9"</f>
        <v>#VALUE!</v>
      </c>
      <c r="DL42" t="e">
        <f>'All regions'!H1103+"$F;@!$E:"</f>
        <v>#VALUE!</v>
      </c>
      <c r="DM42" t="e">
        <f>'All regions'!I1103+"$F;@!$E;"</f>
        <v>#VALUE!</v>
      </c>
      <c r="DN42" t="e">
        <f>'All regions'!A1104+"$F;@!$E&lt;"</f>
        <v>#VALUE!</v>
      </c>
      <c r="DO42" t="e">
        <f>'All regions'!B1104+"$F;@!$E="</f>
        <v>#VALUE!</v>
      </c>
      <c r="DP42" t="e">
        <f>'All regions'!C1104+"$F;@!$E&gt;"</f>
        <v>#VALUE!</v>
      </c>
      <c r="DQ42" t="e">
        <f>'All regions'!D1104+"$F;@!$E?"</f>
        <v>#VALUE!</v>
      </c>
      <c r="DR42" t="e">
        <f>'All regions'!E1104+"$F;@!$E@"</f>
        <v>#VALUE!</v>
      </c>
      <c r="DS42" t="e">
        <f>'All regions'!F1104+"$F;@!$EA"</f>
        <v>#VALUE!</v>
      </c>
      <c r="DT42" t="e">
        <f>'All regions'!G1104+"$F;@!$EB"</f>
        <v>#VALUE!</v>
      </c>
      <c r="DU42" t="e">
        <f>'All regions'!H1104+"$F;@!$EC"</f>
        <v>#VALUE!</v>
      </c>
      <c r="DV42" t="e">
        <f>'All regions'!I1104+"$F;@!$ED"</f>
        <v>#VALUE!</v>
      </c>
      <c r="DW42" t="e">
        <f>'All regions'!A1105+"$F;@!$EE"</f>
        <v>#VALUE!</v>
      </c>
      <c r="DX42" t="e">
        <f>'All regions'!B1105+"$F;@!$EF"</f>
        <v>#VALUE!</v>
      </c>
      <c r="DY42" t="e">
        <f>'All regions'!C1105+"$F;@!$EG"</f>
        <v>#VALUE!</v>
      </c>
      <c r="DZ42" t="e">
        <f>'All regions'!D1105+"$F;@!$EH"</f>
        <v>#VALUE!</v>
      </c>
      <c r="EA42" t="e">
        <f>'All regions'!E1105+"$F;@!$EI"</f>
        <v>#VALUE!</v>
      </c>
      <c r="EB42" t="e">
        <f>'All regions'!F1105+"$F;@!$EJ"</f>
        <v>#VALUE!</v>
      </c>
      <c r="EC42" t="e">
        <f>'All regions'!G1105+"$F;@!$EK"</f>
        <v>#VALUE!</v>
      </c>
      <c r="ED42" t="e">
        <f>'All regions'!H1105+"$F;@!$EL"</f>
        <v>#VALUE!</v>
      </c>
      <c r="EE42" t="e">
        <f>'All regions'!I1105+"$F;@!$EM"</f>
        <v>#VALUE!</v>
      </c>
      <c r="EF42" t="e">
        <f>'All regions'!A1106+"$F;@!$EN"</f>
        <v>#VALUE!</v>
      </c>
      <c r="EG42" t="e">
        <f>'All regions'!B1106+"$F;@!$EO"</f>
        <v>#VALUE!</v>
      </c>
      <c r="EH42" t="e">
        <f>'All regions'!C1106+"$F;@!$EP"</f>
        <v>#VALUE!</v>
      </c>
      <c r="EI42" t="e">
        <f>'All regions'!D1106+"$F;@!$EQ"</f>
        <v>#VALUE!</v>
      </c>
      <c r="EJ42" t="e">
        <f>'All regions'!E1106+"$F;@!$ER"</f>
        <v>#VALUE!</v>
      </c>
      <c r="EK42" t="e">
        <f>'All regions'!F1106+"$F;@!$ES"</f>
        <v>#VALUE!</v>
      </c>
      <c r="EL42" t="e">
        <f>'All regions'!G1106+"$F;@!$ET"</f>
        <v>#VALUE!</v>
      </c>
      <c r="EM42" t="e">
        <f>'All regions'!H1106+"$F;@!$EU"</f>
        <v>#VALUE!</v>
      </c>
      <c r="EN42" t="e">
        <f>'All regions'!I1106+"$F;@!$EV"</f>
        <v>#VALUE!</v>
      </c>
      <c r="EO42" t="e">
        <f>'All regions'!A1107+"$F;@!$EW"</f>
        <v>#VALUE!</v>
      </c>
      <c r="EP42" t="e">
        <f>'All regions'!B1107+"$F;@!$EX"</f>
        <v>#VALUE!</v>
      </c>
      <c r="EQ42" t="e">
        <f>'All regions'!C1107+"$F;@!$EY"</f>
        <v>#VALUE!</v>
      </c>
      <c r="ER42" t="e">
        <f>'All regions'!D1107+"$F;@!$EZ"</f>
        <v>#VALUE!</v>
      </c>
      <c r="ES42" t="e">
        <f>'All regions'!E1107+"$F;@!$E["</f>
        <v>#VALUE!</v>
      </c>
      <c r="ET42" t="e">
        <f>'All regions'!F1107+"$F;@!$E\"</f>
        <v>#VALUE!</v>
      </c>
      <c r="EU42" t="e">
        <f>'All regions'!G1107+"$F;@!$E]"</f>
        <v>#VALUE!</v>
      </c>
      <c r="EV42" t="e">
        <f>'All regions'!H1107+"$F;@!$E^"</f>
        <v>#VALUE!</v>
      </c>
      <c r="EW42" t="e">
        <f>'All regions'!I1107+"$F;@!$E_"</f>
        <v>#VALUE!</v>
      </c>
      <c r="EX42" t="e">
        <f>'All regions'!A1108+"$F;@!$E`"</f>
        <v>#VALUE!</v>
      </c>
      <c r="EY42" t="e">
        <f>'All regions'!B1108+"$F;@!$Ea"</f>
        <v>#VALUE!</v>
      </c>
      <c r="EZ42" t="e">
        <f>'All regions'!C1108+"$F;@!$Eb"</f>
        <v>#VALUE!</v>
      </c>
      <c r="FA42" t="e">
        <f>'All regions'!D1108+"$F;@!$Ec"</f>
        <v>#VALUE!</v>
      </c>
      <c r="FB42" t="e">
        <f>'All regions'!E1108+"$F;@!$Ed"</f>
        <v>#VALUE!</v>
      </c>
      <c r="FC42" t="e">
        <f>'All regions'!F1108+"$F;@!$Ee"</f>
        <v>#VALUE!</v>
      </c>
      <c r="FD42" t="e">
        <f>'All regions'!G1108+"$F;@!$Ef"</f>
        <v>#VALUE!</v>
      </c>
      <c r="FE42" t="e">
        <f>'All regions'!H1108+"$F;@!$Eg"</f>
        <v>#VALUE!</v>
      </c>
      <c r="FF42" t="e">
        <f>'All regions'!I1108+"$F;@!$Eh"</f>
        <v>#VALUE!</v>
      </c>
      <c r="FG42" t="e">
        <f>'All regions'!A1109+"$F;@!$Ei"</f>
        <v>#VALUE!</v>
      </c>
      <c r="FH42" t="e">
        <f>'All regions'!B1109+"$F;@!$Ej"</f>
        <v>#VALUE!</v>
      </c>
      <c r="FI42" t="e">
        <f>'All regions'!C1109+"$F;@!$Ek"</f>
        <v>#VALUE!</v>
      </c>
      <c r="FJ42" t="e">
        <f>'All regions'!D1109+"$F;@!$El"</f>
        <v>#VALUE!</v>
      </c>
      <c r="FK42" t="e">
        <f>'All regions'!E1109+"$F;@!$Em"</f>
        <v>#VALUE!</v>
      </c>
      <c r="FL42" t="e">
        <f>'All regions'!F1109+"$F;@!$En"</f>
        <v>#VALUE!</v>
      </c>
      <c r="FM42" t="e">
        <f>'All regions'!G1109+"$F;@!$Eo"</f>
        <v>#VALUE!</v>
      </c>
      <c r="FN42" t="e">
        <f>'All regions'!H1109+"$F;@!$Ep"</f>
        <v>#VALUE!</v>
      </c>
      <c r="FO42" t="e">
        <f>'All regions'!I1109+"$F;@!$Eq"</f>
        <v>#VALUE!</v>
      </c>
      <c r="FP42" t="e">
        <f>'All regions'!A1110+"$F;@!$Er"</f>
        <v>#VALUE!</v>
      </c>
      <c r="FQ42" t="e">
        <f>'All regions'!B1110+"$F;@!$Es"</f>
        <v>#VALUE!</v>
      </c>
      <c r="FR42" t="e">
        <f>'All regions'!C1110+"$F;@!$Et"</f>
        <v>#VALUE!</v>
      </c>
      <c r="FS42" t="e">
        <f>'All regions'!D1110+"$F;@!$Eu"</f>
        <v>#VALUE!</v>
      </c>
      <c r="FT42" t="e">
        <f>'All regions'!E1110+"$F;@!$Ev"</f>
        <v>#VALUE!</v>
      </c>
      <c r="FU42" t="e">
        <f>'All regions'!F1110+"$F;@!$Ew"</f>
        <v>#VALUE!</v>
      </c>
      <c r="FV42" t="e">
        <f>'All regions'!G1110+"$F;@!$Ex"</f>
        <v>#VALUE!</v>
      </c>
      <c r="FW42" t="e">
        <f>'All regions'!H1110+"$F;@!$Ey"</f>
        <v>#VALUE!</v>
      </c>
      <c r="FX42" t="e">
        <f>'All regions'!I1110+"$F;@!$Ez"</f>
        <v>#VALUE!</v>
      </c>
      <c r="FY42" t="e">
        <f>'All regions'!A1111+"$F;@!$E{"</f>
        <v>#VALUE!</v>
      </c>
      <c r="FZ42" t="e">
        <f>'All regions'!B1111+"$F;@!$E|"</f>
        <v>#VALUE!</v>
      </c>
      <c r="GA42" t="e">
        <f>'All regions'!C1111+"$F;@!$E}"</f>
        <v>#VALUE!</v>
      </c>
      <c r="GB42" t="e">
        <f>'All regions'!D1111+"$F;@!$E~"</f>
        <v>#VALUE!</v>
      </c>
      <c r="GC42" t="e">
        <f>'All regions'!E1111+"$F;@!$F#"</f>
        <v>#VALUE!</v>
      </c>
      <c r="GD42" t="e">
        <f>'All regions'!F1111+"$F;@!$F$"</f>
        <v>#VALUE!</v>
      </c>
      <c r="GE42" t="e">
        <f>'All regions'!G1111+"$F;@!$F%"</f>
        <v>#VALUE!</v>
      </c>
      <c r="GF42" t="e">
        <f>'All regions'!H1111+"$F;@!$F&amp;"</f>
        <v>#VALUE!</v>
      </c>
      <c r="GG42" t="e">
        <f>'All regions'!I1111+"$F;@!$F'"</f>
        <v>#VALUE!</v>
      </c>
      <c r="GH42" t="e">
        <f>'All regions'!A1112+"$F;@!$F("</f>
        <v>#VALUE!</v>
      </c>
      <c r="GI42" t="e">
        <f>'All regions'!B1112+"$F;@!$F)"</f>
        <v>#VALUE!</v>
      </c>
      <c r="GJ42" t="e">
        <f>'All regions'!C1112+"$F;@!$F."</f>
        <v>#VALUE!</v>
      </c>
      <c r="GK42" t="e">
        <f>'All regions'!D1112+"$F;@!$F/"</f>
        <v>#VALUE!</v>
      </c>
      <c r="GL42" t="e">
        <f>'All regions'!E1112+"$F;@!$F0"</f>
        <v>#VALUE!</v>
      </c>
      <c r="GM42" t="e">
        <f>'All regions'!F1112+"$F;@!$F1"</f>
        <v>#VALUE!</v>
      </c>
      <c r="GN42" t="e">
        <f>'All regions'!G1112+"$F;@!$F2"</f>
        <v>#VALUE!</v>
      </c>
      <c r="GO42" t="e">
        <f>'All regions'!H1112+"$F;@!$F3"</f>
        <v>#VALUE!</v>
      </c>
      <c r="GP42" t="e">
        <f>'All regions'!I1112+"$F;@!$F4"</f>
        <v>#VALUE!</v>
      </c>
      <c r="GQ42" t="e">
        <f>'All regions'!A1113+"$F;@!$F5"</f>
        <v>#VALUE!</v>
      </c>
      <c r="GR42" t="e">
        <f>'All regions'!B1113+"$F;@!$F6"</f>
        <v>#VALUE!</v>
      </c>
      <c r="GS42" t="e">
        <f>'All regions'!C1113+"$F;@!$F7"</f>
        <v>#VALUE!</v>
      </c>
      <c r="GT42" t="e">
        <f>'All regions'!D1113+"$F;@!$F8"</f>
        <v>#VALUE!</v>
      </c>
      <c r="GU42" t="e">
        <f>'All regions'!E1113+"$F;@!$F9"</f>
        <v>#VALUE!</v>
      </c>
      <c r="GV42" t="e">
        <f>'All regions'!F1113+"$F;@!$F:"</f>
        <v>#VALUE!</v>
      </c>
      <c r="GW42" t="e">
        <f>'All regions'!G1113+"$F;@!$F;"</f>
        <v>#VALUE!</v>
      </c>
      <c r="GX42" t="e">
        <f>'All regions'!H1113+"$F;@!$F&lt;"</f>
        <v>#VALUE!</v>
      </c>
      <c r="GY42" t="e">
        <f>'All regions'!I1113+"$F;@!$F="</f>
        <v>#VALUE!</v>
      </c>
      <c r="GZ42" t="e">
        <f>'All regions'!A1114+"$F;@!$F&gt;"</f>
        <v>#VALUE!</v>
      </c>
      <c r="HA42" t="e">
        <f>'All regions'!B1114+"$F;@!$F?"</f>
        <v>#VALUE!</v>
      </c>
      <c r="HB42" t="e">
        <f>'All regions'!C1114+"$F;@!$F@"</f>
        <v>#VALUE!</v>
      </c>
      <c r="HC42" t="e">
        <f>'All regions'!D1114+"$F;@!$FA"</f>
        <v>#VALUE!</v>
      </c>
      <c r="HD42" t="e">
        <f>'All regions'!E1114+"$F;@!$FB"</f>
        <v>#VALUE!</v>
      </c>
      <c r="HE42" t="e">
        <f>'All regions'!F1114+"$F;@!$FC"</f>
        <v>#VALUE!</v>
      </c>
      <c r="HF42" t="e">
        <f>'All regions'!G1114+"$F;@!$FD"</f>
        <v>#VALUE!</v>
      </c>
      <c r="HG42" t="e">
        <f>'All regions'!H1114+"$F;@!$FE"</f>
        <v>#VALUE!</v>
      </c>
      <c r="HH42" t="e">
        <f>'All regions'!I1114+"$F;@!$FF"</f>
        <v>#VALUE!</v>
      </c>
      <c r="HI42" t="e">
        <f>'All regions'!A1115+"$F;@!$FG"</f>
        <v>#VALUE!</v>
      </c>
      <c r="HJ42" t="e">
        <f>'All regions'!B1115+"$F;@!$FH"</f>
        <v>#VALUE!</v>
      </c>
      <c r="HK42" t="e">
        <f>'All regions'!C1115+"$F;@!$FI"</f>
        <v>#VALUE!</v>
      </c>
      <c r="HL42" t="e">
        <f>'All regions'!D1115+"$F;@!$FJ"</f>
        <v>#VALUE!</v>
      </c>
      <c r="HM42" t="e">
        <f>'All regions'!E1115+"$F;@!$FK"</f>
        <v>#VALUE!</v>
      </c>
      <c r="HN42" t="e">
        <f>'All regions'!F1115+"$F;@!$FL"</f>
        <v>#VALUE!</v>
      </c>
      <c r="HO42" t="e">
        <f>'All regions'!G1115+"$F;@!$FM"</f>
        <v>#VALUE!</v>
      </c>
      <c r="HP42" t="e">
        <f>'All regions'!H1115+"$F;@!$FN"</f>
        <v>#VALUE!</v>
      </c>
      <c r="HQ42" t="e">
        <f>'All regions'!I1115+"$F;@!$FO"</f>
        <v>#VALUE!</v>
      </c>
      <c r="HR42" t="e">
        <f>'All regions'!A1116+"$F;@!$FP"</f>
        <v>#VALUE!</v>
      </c>
      <c r="HS42" t="e">
        <f>'All regions'!B1116+"$F;@!$FQ"</f>
        <v>#VALUE!</v>
      </c>
      <c r="HT42" t="e">
        <f>'All regions'!C1116+"$F;@!$FR"</f>
        <v>#VALUE!</v>
      </c>
      <c r="HU42" t="e">
        <f>'All regions'!D1116+"$F;@!$FS"</f>
        <v>#VALUE!</v>
      </c>
      <c r="HV42" t="e">
        <f>'All regions'!E1116+"$F;@!$FT"</f>
        <v>#VALUE!</v>
      </c>
      <c r="HW42" t="e">
        <f>'All regions'!F1116+"$F;@!$FU"</f>
        <v>#VALUE!</v>
      </c>
      <c r="HX42" t="e">
        <f>'All regions'!G1116+"$F;@!$FV"</f>
        <v>#VALUE!</v>
      </c>
      <c r="HY42" t="e">
        <f>'All regions'!H1116+"$F;@!$FW"</f>
        <v>#VALUE!</v>
      </c>
      <c r="HZ42" t="e">
        <f>'All regions'!I1116+"$F;@!$FX"</f>
        <v>#VALUE!</v>
      </c>
      <c r="IA42" t="e">
        <f>'All regions'!A1117+"$F;@!$FY"</f>
        <v>#VALUE!</v>
      </c>
      <c r="IB42" t="e">
        <f>'All regions'!B1117+"$F;@!$FZ"</f>
        <v>#VALUE!</v>
      </c>
      <c r="IC42" t="e">
        <f>'All regions'!C1117+"$F;@!$F["</f>
        <v>#VALUE!</v>
      </c>
      <c r="ID42" t="e">
        <f>'All regions'!D1117+"$F;@!$F\"</f>
        <v>#VALUE!</v>
      </c>
      <c r="IE42" t="e">
        <f>'All regions'!E1117+"$F;@!$F]"</f>
        <v>#VALUE!</v>
      </c>
      <c r="IF42" t="e">
        <f>'All regions'!F1117+"$F;@!$F^"</f>
        <v>#VALUE!</v>
      </c>
      <c r="IG42" t="e">
        <f>'All regions'!G1117+"$F;@!$F_"</f>
        <v>#VALUE!</v>
      </c>
      <c r="IH42" t="e">
        <f>'All regions'!H1117+"$F;@!$F`"</f>
        <v>#VALUE!</v>
      </c>
      <c r="II42" t="e">
        <f>'All regions'!I1117+"$F;@!$Fa"</f>
        <v>#VALUE!</v>
      </c>
      <c r="IJ42" t="e">
        <f>'All regions'!A1118+"$F;@!$Fb"</f>
        <v>#VALUE!</v>
      </c>
      <c r="IK42" t="e">
        <f>'All regions'!B1118+"$F;@!$Fc"</f>
        <v>#VALUE!</v>
      </c>
      <c r="IL42" t="e">
        <f>'All regions'!C1118+"$F;@!$Fd"</f>
        <v>#VALUE!</v>
      </c>
      <c r="IM42" t="e">
        <f>'All regions'!D1118+"$F;@!$Fe"</f>
        <v>#VALUE!</v>
      </c>
      <c r="IN42" t="e">
        <f>'All regions'!E1118+"$F;@!$Ff"</f>
        <v>#VALUE!</v>
      </c>
      <c r="IO42" t="e">
        <f>'All regions'!F1118+"$F;@!$Fg"</f>
        <v>#VALUE!</v>
      </c>
      <c r="IP42" t="e">
        <f>'All regions'!G1118+"$F;@!$Fh"</f>
        <v>#VALUE!</v>
      </c>
      <c r="IQ42" t="e">
        <f>'All regions'!H1118+"$F;@!$Fi"</f>
        <v>#VALUE!</v>
      </c>
      <c r="IR42" t="e">
        <f>'All regions'!I1118+"$F;@!$Fj"</f>
        <v>#VALUE!</v>
      </c>
      <c r="IS42" t="e">
        <f>'All regions'!A1119+"$F;@!$Fk"</f>
        <v>#VALUE!</v>
      </c>
      <c r="IT42" t="e">
        <f>'All regions'!B1119+"$F;@!$Fl"</f>
        <v>#VALUE!</v>
      </c>
      <c r="IU42" t="e">
        <f>'All regions'!C1119+"$F;@!$Fm"</f>
        <v>#VALUE!</v>
      </c>
      <c r="IV42" t="e">
        <f>'All regions'!D1119+"$F;@!$Fn"</f>
        <v>#VALUE!</v>
      </c>
    </row>
    <row r="43" spans="6:256" x14ac:dyDescent="0.35">
      <c r="F43" t="e">
        <f>'All regions'!E1119+"$F;@!$Fo"</f>
        <v>#VALUE!</v>
      </c>
      <c r="G43" t="e">
        <f>'All regions'!F1119+"$F;@!$Fp"</f>
        <v>#VALUE!</v>
      </c>
      <c r="H43" t="e">
        <f>'All regions'!G1119+"$F;@!$Fq"</f>
        <v>#VALUE!</v>
      </c>
      <c r="I43" t="e">
        <f>'All regions'!H1119+"$F;@!$Fr"</f>
        <v>#VALUE!</v>
      </c>
      <c r="J43" t="e">
        <f>'All regions'!I1119+"$F;@!$Fs"</f>
        <v>#VALUE!</v>
      </c>
      <c r="K43" t="e">
        <f>'All regions'!A1120+"$F;@!$Ft"</f>
        <v>#VALUE!</v>
      </c>
      <c r="L43" t="e">
        <f>'All regions'!B1120+"$F;@!$Fu"</f>
        <v>#VALUE!</v>
      </c>
      <c r="M43" t="e">
        <f>'All regions'!C1120+"$F;@!$Fv"</f>
        <v>#VALUE!</v>
      </c>
      <c r="N43" t="e">
        <f>'All regions'!D1120+"$F;@!$Fw"</f>
        <v>#VALUE!</v>
      </c>
      <c r="O43" t="e">
        <f>'All regions'!E1120+"$F;@!$Fx"</f>
        <v>#VALUE!</v>
      </c>
      <c r="P43" t="e">
        <f>'All regions'!F1120+"$F;@!$Fy"</f>
        <v>#VALUE!</v>
      </c>
      <c r="Q43" t="e">
        <f>'All regions'!G1120+"$F;@!$Fz"</f>
        <v>#VALUE!</v>
      </c>
      <c r="R43" t="e">
        <f>'All regions'!H1120+"$F;@!$F{"</f>
        <v>#VALUE!</v>
      </c>
      <c r="S43" t="e">
        <f>'All regions'!I1120+"$F;@!$F|"</f>
        <v>#VALUE!</v>
      </c>
      <c r="T43" t="e">
        <f>'All regions'!A1121+"$F;@!$F}"</f>
        <v>#VALUE!</v>
      </c>
      <c r="U43" t="e">
        <f>'All regions'!B1121+"$F;@!$F~"</f>
        <v>#VALUE!</v>
      </c>
      <c r="V43" t="e">
        <f>'All regions'!C1121+"$F;@!$G#"</f>
        <v>#VALUE!</v>
      </c>
      <c r="W43" t="e">
        <f>'All regions'!D1121+"$F;@!$G$"</f>
        <v>#VALUE!</v>
      </c>
      <c r="X43" t="e">
        <f>'All regions'!E1121+"$F;@!$G%"</f>
        <v>#VALUE!</v>
      </c>
      <c r="Y43" t="e">
        <f>'All regions'!F1121+"$F;@!$G&amp;"</f>
        <v>#VALUE!</v>
      </c>
      <c r="Z43" t="e">
        <f>'All regions'!G1121+"$F;@!$G'"</f>
        <v>#VALUE!</v>
      </c>
      <c r="AA43" t="e">
        <f>'All regions'!H1121+"$F;@!$G("</f>
        <v>#VALUE!</v>
      </c>
      <c r="AB43" t="e">
        <f>'All regions'!I1121+"$F;@!$G)"</f>
        <v>#VALUE!</v>
      </c>
      <c r="AC43" t="e">
        <f>'All regions'!A1122+"$F;@!$G."</f>
        <v>#VALUE!</v>
      </c>
      <c r="AD43" t="e">
        <f>'All regions'!B1122+"$F;@!$G/"</f>
        <v>#VALUE!</v>
      </c>
      <c r="AE43" t="e">
        <f>'All regions'!C1122+"$F;@!$G0"</f>
        <v>#VALUE!</v>
      </c>
      <c r="AF43" t="e">
        <f>'All regions'!D1122+"$F;@!$G1"</f>
        <v>#VALUE!</v>
      </c>
      <c r="AG43" t="e">
        <f>'All regions'!E1122+"$F;@!$G2"</f>
        <v>#VALUE!</v>
      </c>
      <c r="AH43" t="e">
        <f>'All regions'!F1122+"$F;@!$G3"</f>
        <v>#VALUE!</v>
      </c>
      <c r="AI43" t="e">
        <f>'All regions'!G1122+"$F;@!$G4"</f>
        <v>#VALUE!</v>
      </c>
      <c r="AJ43" t="e">
        <f>'All regions'!H1122+"$F;@!$G5"</f>
        <v>#VALUE!</v>
      </c>
      <c r="AK43" t="e">
        <f>'All regions'!I1122+"$F;@!$G6"</f>
        <v>#VALUE!</v>
      </c>
      <c r="AL43" t="e">
        <f>'All regions'!A1123+"$F;@!$G7"</f>
        <v>#VALUE!</v>
      </c>
      <c r="AM43" t="e">
        <f>'All regions'!B1123+"$F;@!$G8"</f>
        <v>#VALUE!</v>
      </c>
      <c r="AN43" t="e">
        <f>'All regions'!C1123+"$F;@!$G9"</f>
        <v>#VALUE!</v>
      </c>
      <c r="AO43" t="e">
        <f>'All regions'!D1123+"$F;@!$G:"</f>
        <v>#VALUE!</v>
      </c>
      <c r="AP43" t="e">
        <f>'All regions'!E1123+"$F;@!$G;"</f>
        <v>#VALUE!</v>
      </c>
      <c r="AQ43" t="e">
        <f>'All regions'!F1123+"$F;@!$G&lt;"</f>
        <v>#VALUE!</v>
      </c>
      <c r="AR43" t="e">
        <f>'All regions'!G1123+"$F;@!$G="</f>
        <v>#VALUE!</v>
      </c>
      <c r="AS43" t="e">
        <f>'All regions'!H1123+"$F;@!$G&gt;"</f>
        <v>#VALUE!</v>
      </c>
      <c r="AT43" t="e">
        <f>'All regions'!I1123+"$F;@!$G?"</f>
        <v>#VALUE!</v>
      </c>
      <c r="AU43" t="e">
        <f>'All regions'!A1124+"$F;@!$G@"</f>
        <v>#VALUE!</v>
      </c>
      <c r="AV43" t="e">
        <f>'All regions'!B1124+"$F;@!$GA"</f>
        <v>#VALUE!</v>
      </c>
      <c r="AW43" t="e">
        <f>'All regions'!C1124+"$F;@!$GB"</f>
        <v>#VALUE!</v>
      </c>
      <c r="AX43" t="e">
        <f>'All regions'!D1124+"$F;@!$GC"</f>
        <v>#VALUE!</v>
      </c>
      <c r="AY43" t="e">
        <f>'All regions'!E1124+"$F;@!$GD"</f>
        <v>#VALUE!</v>
      </c>
      <c r="AZ43" t="e">
        <f>'All regions'!F1124+"$F;@!$GE"</f>
        <v>#VALUE!</v>
      </c>
      <c r="BA43" t="e">
        <f>'All regions'!G1124+"$F;@!$GF"</f>
        <v>#VALUE!</v>
      </c>
      <c r="BB43" t="e">
        <f>'All regions'!H1124+"$F;@!$GG"</f>
        <v>#VALUE!</v>
      </c>
      <c r="BC43" t="e">
        <f>'All regions'!I1124+"$F;@!$GH"</f>
        <v>#VALUE!</v>
      </c>
      <c r="BD43" t="e">
        <f>'All regions'!A1125+"$F;@!$GI"</f>
        <v>#VALUE!</v>
      </c>
      <c r="BE43" t="e">
        <f>'All regions'!B1125+"$F;@!$GJ"</f>
        <v>#VALUE!</v>
      </c>
      <c r="BF43" t="e">
        <f>'All regions'!C1125+"$F;@!$GK"</f>
        <v>#VALUE!</v>
      </c>
      <c r="BG43" t="e">
        <f>'All regions'!D1125+"$F;@!$GL"</f>
        <v>#VALUE!</v>
      </c>
      <c r="BH43" t="e">
        <f>'All regions'!E1125+"$F;@!$GM"</f>
        <v>#VALUE!</v>
      </c>
      <c r="BI43" t="e">
        <f>'All regions'!F1125+"$F;@!$GN"</f>
        <v>#VALUE!</v>
      </c>
      <c r="BJ43" t="e">
        <f>'All regions'!G1125+"$F;@!$GO"</f>
        <v>#VALUE!</v>
      </c>
      <c r="BK43" t="e">
        <f>'All regions'!H1125+"$F;@!$GP"</f>
        <v>#VALUE!</v>
      </c>
      <c r="BL43" t="e">
        <f>'All regions'!I1125+"$F;@!$GQ"</f>
        <v>#VALUE!</v>
      </c>
      <c r="BM43" t="e">
        <f>'All regions'!A1126+"$F;@!$GR"</f>
        <v>#VALUE!</v>
      </c>
      <c r="BN43" t="e">
        <f>'All regions'!B1126+"$F;@!$GS"</f>
        <v>#VALUE!</v>
      </c>
      <c r="BO43" t="e">
        <f>'All regions'!C1126+"$F;@!$GT"</f>
        <v>#VALUE!</v>
      </c>
      <c r="BP43" t="e">
        <f>'All regions'!D1126+"$F;@!$GU"</f>
        <v>#VALUE!</v>
      </c>
      <c r="BQ43" t="e">
        <f>'All regions'!E1126+"$F;@!$GV"</f>
        <v>#VALUE!</v>
      </c>
      <c r="BR43" t="e">
        <f>'All regions'!F1126+"$F;@!$GW"</f>
        <v>#VALUE!</v>
      </c>
      <c r="BS43" t="e">
        <f>'All regions'!G1126+"$F;@!$GX"</f>
        <v>#VALUE!</v>
      </c>
      <c r="BT43" t="e">
        <f>'All regions'!H1126+"$F;@!$GY"</f>
        <v>#VALUE!</v>
      </c>
      <c r="BU43" t="e">
        <f>'All regions'!I1126+"$F;@!$GZ"</f>
        <v>#VALUE!</v>
      </c>
      <c r="BV43" t="e">
        <f>'All regions'!A1127+"$F;@!$G["</f>
        <v>#VALUE!</v>
      </c>
      <c r="BW43" t="e">
        <f>'All regions'!B1127+"$F;@!$G\"</f>
        <v>#VALUE!</v>
      </c>
      <c r="BX43" t="e">
        <f>'All regions'!C1127+"$F;@!$G]"</f>
        <v>#VALUE!</v>
      </c>
      <c r="BY43" t="e">
        <f>'All regions'!D1127+"$F;@!$G^"</f>
        <v>#VALUE!</v>
      </c>
      <c r="BZ43" t="e">
        <f>'All regions'!E1127+"$F;@!$G_"</f>
        <v>#VALUE!</v>
      </c>
      <c r="CA43" t="e">
        <f>'All regions'!F1127+"$F;@!$G`"</f>
        <v>#VALUE!</v>
      </c>
      <c r="CB43" t="e">
        <f>'All regions'!G1127+"$F;@!$Ga"</f>
        <v>#VALUE!</v>
      </c>
      <c r="CC43" t="e">
        <f>'All regions'!H1127+"$F;@!$Gb"</f>
        <v>#VALUE!</v>
      </c>
      <c r="CD43" t="e">
        <f>'All regions'!I1127+"$F;@!$Gc"</f>
        <v>#VALUE!</v>
      </c>
      <c r="CE43" t="e">
        <f>'All regions'!A1128+"$F;@!$Gd"</f>
        <v>#VALUE!</v>
      </c>
      <c r="CF43" t="e">
        <f>'All regions'!B1128+"$F;@!$Ge"</f>
        <v>#VALUE!</v>
      </c>
      <c r="CG43" t="e">
        <f>'All regions'!C1128+"$F;@!$Gf"</f>
        <v>#VALUE!</v>
      </c>
      <c r="CH43" t="e">
        <f>'All regions'!D1128+"$F;@!$Gg"</f>
        <v>#VALUE!</v>
      </c>
      <c r="CI43" t="e">
        <f>'All regions'!E1128+"$F;@!$Gh"</f>
        <v>#VALUE!</v>
      </c>
      <c r="CJ43" t="e">
        <f>'All regions'!F1128+"$F;@!$Gi"</f>
        <v>#VALUE!</v>
      </c>
      <c r="CK43" t="e">
        <f>'All regions'!G1128+"$F;@!$Gj"</f>
        <v>#VALUE!</v>
      </c>
      <c r="CL43" t="e">
        <f>'All regions'!H1128+"$F;@!$Gk"</f>
        <v>#VALUE!</v>
      </c>
      <c r="CM43" t="e">
        <f>'All regions'!I1128+"$F;@!$Gl"</f>
        <v>#VALUE!</v>
      </c>
      <c r="CN43" t="e">
        <f>'All regions'!A1129+"$F;@!$Gm"</f>
        <v>#VALUE!</v>
      </c>
      <c r="CO43" t="e">
        <f>'All regions'!B1129+"$F;@!$Gn"</f>
        <v>#VALUE!</v>
      </c>
      <c r="CP43" t="e">
        <f>'All regions'!C1129+"$F;@!$Go"</f>
        <v>#VALUE!</v>
      </c>
      <c r="CQ43" t="e">
        <f>'All regions'!D1129+"$F;@!$Gp"</f>
        <v>#VALUE!</v>
      </c>
      <c r="CR43" t="e">
        <f>'All regions'!E1129+"$F;@!$Gq"</f>
        <v>#VALUE!</v>
      </c>
      <c r="CS43" t="e">
        <f>'All regions'!F1129+"$F;@!$Gr"</f>
        <v>#VALUE!</v>
      </c>
      <c r="CT43" t="e">
        <f>'All regions'!G1129+"$F;@!$Gs"</f>
        <v>#VALUE!</v>
      </c>
      <c r="CU43" t="e">
        <f>'All regions'!H1129+"$F;@!$Gt"</f>
        <v>#VALUE!</v>
      </c>
      <c r="CV43" t="e">
        <f>'All regions'!I1129+"$F;@!$Gu"</f>
        <v>#VALUE!</v>
      </c>
      <c r="CW43" t="e">
        <f>'All regions'!A1130+"$F;@!$Gv"</f>
        <v>#VALUE!</v>
      </c>
      <c r="CX43" t="e">
        <f>'All regions'!B1130+"$F;@!$Gw"</f>
        <v>#VALUE!</v>
      </c>
      <c r="CY43" t="e">
        <f>'All regions'!C1130+"$F;@!$Gx"</f>
        <v>#VALUE!</v>
      </c>
      <c r="CZ43" t="e">
        <f>'All regions'!D1130+"$F;@!$Gy"</f>
        <v>#VALUE!</v>
      </c>
      <c r="DA43" t="e">
        <f>'All regions'!E1130+"$F;@!$Gz"</f>
        <v>#VALUE!</v>
      </c>
      <c r="DB43" t="e">
        <f>'All regions'!F1130+"$F;@!$G{"</f>
        <v>#VALUE!</v>
      </c>
      <c r="DC43" t="e">
        <f>'All regions'!G1130+"$F;@!$G|"</f>
        <v>#VALUE!</v>
      </c>
      <c r="DD43" t="e">
        <f>'All regions'!H1130+"$F;@!$G}"</f>
        <v>#VALUE!</v>
      </c>
      <c r="DE43" t="e">
        <f>'All regions'!I1130+"$F;@!$G~"</f>
        <v>#VALUE!</v>
      </c>
      <c r="DF43" t="e">
        <f>'All regions'!A1131+"$F;@!$H#"</f>
        <v>#VALUE!</v>
      </c>
      <c r="DG43" t="e">
        <f>'All regions'!B1131+"$F;@!$H$"</f>
        <v>#VALUE!</v>
      </c>
      <c r="DH43" t="e">
        <f>'All regions'!C1131+"$F;@!$H%"</f>
        <v>#VALUE!</v>
      </c>
      <c r="DI43" t="e">
        <f>'All regions'!D1131+"$F;@!$H&amp;"</f>
        <v>#VALUE!</v>
      </c>
      <c r="DJ43" t="e">
        <f>'All regions'!E1131+"$F;@!$H'"</f>
        <v>#VALUE!</v>
      </c>
      <c r="DK43" t="e">
        <f>'All regions'!F1131+"$F;@!$H("</f>
        <v>#VALUE!</v>
      </c>
      <c r="DL43" t="e">
        <f>'All regions'!G1131+"$F;@!$H)"</f>
        <v>#VALUE!</v>
      </c>
      <c r="DM43" t="e">
        <f>'All regions'!H1131+"$F;@!$H."</f>
        <v>#VALUE!</v>
      </c>
      <c r="DN43" t="e">
        <f>'All regions'!I1131+"$F;@!$H/"</f>
        <v>#VALUE!</v>
      </c>
      <c r="DO43" t="e">
        <f>'All regions'!A1132+"$F;@!$H0"</f>
        <v>#VALUE!</v>
      </c>
      <c r="DP43" t="e">
        <f>'All regions'!B1132+"$F;@!$H1"</f>
        <v>#VALUE!</v>
      </c>
      <c r="DQ43" t="e">
        <f>'All regions'!C1132+"$F;@!$H2"</f>
        <v>#VALUE!</v>
      </c>
      <c r="DR43" t="e">
        <f>'All regions'!D1132+"$F;@!$H3"</f>
        <v>#VALUE!</v>
      </c>
      <c r="DS43" t="e">
        <f>'All regions'!E1132+"$F;@!$H4"</f>
        <v>#VALUE!</v>
      </c>
      <c r="DT43" t="e">
        <f>'All regions'!F1132+"$F;@!$H5"</f>
        <v>#VALUE!</v>
      </c>
      <c r="DU43" t="e">
        <f>'All regions'!G1132+"$F;@!$H6"</f>
        <v>#VALUE!</v>
      </c>
      <c r="DV43" t="e">
        <f>'All regions'!H1132+"$F;@!$H7"</f>
        <v>#VALUE!</v>
      </c>
      <c r="DW43" t="e">
        <f>'All regions'!I1132+"$F;@!$H8"</f>
        <v>#VALUE!</v>
      </c>
      <c r="DX43" t="e">
        <f>'All regions'!A1133+"$F;@!$H9"</f>
        <v>#VALUE!</v>
      </c>
      <c r="DY43" t="e">
        <f>'All regions'!B1133+"$F;@!$H:"</f>
        <v>#VALUE!</v>
      </c>
      <c r="DZ43" t="e">
        <f>'All regions'!C1133+"$F;@!$H;"</f>
        <v>#VALUE!</v>
      </c>
      <c r="EA43" t="e">
        <f>'All regions'!D1133+"$F;@!$H&lt;"</f>
        <v>#VALUE!</v>
      </c>
      <c r="EB43" t="e">
        <f>'All regions'!E1133+"$F;@!$H="</f>
        <v>#VALUE!</v>
      </c>
      <c r="EC43" t="e">
        <f>'All regions'!F1133+"$F;@!$H&gt;"</f>
        <v>#VALUE!</v>
      </c>
      <c r="ED43" t="e">
        <f>'All regions'!G1133+"$F;@!$H?"</f>
        <v>#VALUE!</v>
      </c>
      <c r="EE43" t="e">
        <f>'All regions'!H1133+"$F;@!$H@"</f>
        <v>#VALUE!</v>
      </c>
      <c r="EF43" t="e">
        <f>'All regions'!I1133+"$F;@!$HA"</f>
        <v>#VALUE!</v>
      </c>
      <c r="EG43" t="e">
        <f>'All regions'!A1134+"$F;@!$HB"</f>
        <v>#VALUE!</v>
      </c>
      <c r="EH43" t="e">
        <f>'All regions'!B1134+"$F;@!$HC"</f>
        <v>#VALUE!</v>
      </c>
      <c r="EI43" t="e">
        <f>'All regions'!C1134+"$F;@!$HD"</f>
        <v>#VALUE!</v>
      </c>
      <c r="EJ43" t="e">
        <f>'All regions'!D1134+"$F;@!$HE"</f>
        <v>#VALUE!</v>
      </c>
      <c r="EK43" t="e">
        <f>'All regions'!E1134+"$F;@!$HF"</f>
        <v>#VALUE!</v>
      </c>
      <c r="EL43" t="e">
        <f>'All regions'!F1134+"$F;@!$HG"</f>
        <v>#VALUE!</v>
      </c>
      <c r="EM43" t="e">
        <f>'All regions'!G1134+"$F;@!$HH"</f>
        <v>#VALUE!</v>
      </c>
      <c r="EN43" t="e">
        <f>'All regions'!H1134+"$F;@!$HI"</f>
        <v>#VALUE!</v>
      </c>
      <c r="EO43" t="e">
        <f>'All regions'!I1134+"$F;@!$HJ"</f>
        <v>#VALUE!</v>
      </c>
      <c r="EP43" t="e">
        <f>'All regions'!A1135+"$F;@!$HK"</f>
        <v>#VALUE!</v>
      </c>
      <c r="EQ43" t="e">
        <f>'All regions'!B1135+"$F;@!$HL"</f>
        <v>#VALUE!</v>
      </c>
      <c r="ER43" t="e">
        <f>'All regions'!C1135+"$F;@!$HM"</f>
        <v>#VALUE!</v>
      </c>
      <c r="ES43" t="e">
        <f>'All regions'!D1135+"$F;@!$HN"</f>
        <v>#VALUE!</v>
      </c>
      <c r="ET43" t="e">
        <f>'All regions'!E1135+"$F;@!$HO"</f>
        <v>#VALUE!</v>
      </c>
      <c r="EU43" t="e">
        <f>'All regions'!F1135+"$F;@!$HP"</f>
        <v>#VALUE!</v>
      </c>
      <c r="EV43" t="e">
        <f>'All regions'!G1135+"$F;@!$HQ"</f>
        <v>#VALUE!</v>
      </c>
      <c r="EW43" t="e">
        <f>'All regions'!H1135+"$F;@!$HR"</f>
        <v>#VALUE!</v>
      </c>
      <c r="EX43" t="e">
        <f>'All regions'!I1135+"$F;@!$HS"</f>
        <v>#VALUE!</v>
      </c>
      <c r="EY43" t="e">
        <f>'All regions'!A1136+"$F;@!$HT"</f>
        <v>#VALUE!</v>
      </c>
      <c r="EZ43" t="e">
        <f>'All regions'!B1136+"$F;@!$HU"</f>
        <v>#VALUE!</v>
      </c>
      <c r="FA43" t="e">
        <f>'All regions'!C1136+"$F;@!$HV"</f>
        <v>#VALUE!</v>
      </c>
      <c r="FB43" t="e">
        <f>'All regions'!D1136+"$F;@!$HW"</f>
        <v>#VALUE!</v>
      </c>
      <c r="FC43" t="e">
        <f>'All regions'!E1136+"$F;@!$HX"</f>
        <v>#VALUE!</v>
      </c>
      <c r="FD43" t="e">
        <f>'All regions'!F1136+"$F;@!$HY"</f>
        <v>#VALUE!</v>
      </c>
      <c r="FE43" t="e">
        <f>'All regions'!G1136+"$F;@!$HZ"</f>
        <v>#VALUE!</v>
      </c>
      <c r="FF43" t="e">
        <f>'All regions'!H1136+"$F;@!$H["</f>
        <v>#VALUE!</v>
      </c>
      <c r="FG43" t="e">
        <f>'All regions'!I1136+"$F;@!$H\"</f>
        <v>#VALUE!</v>
      </c>
      <c r="FH43" t="e">
        <f>'All regions'!A1137+"$F;@!$H]"</f>
        <v>#VALUE!</v>
      </c>
      <c r="FI43" t="e">
        <f>'All regions'!B1137+"$F;@!$H^"</f>
        <v>#VALUE!</v>
      </c>
      <c r="FJ43" t="e">
        <f>'All regions'!C1137+"$F;@!$H_"</f>
        <v>#VALUE!</v>
      </c>
      <c r="FK43" t="e">
        <f>'All regions'!D1137+"$F;@!$H`"</f>
        <v>#VALUE!</v>
      </c>
      <c r="FL43" t="e">
        <f>'All regions'!E1137+"$F;@!$Ha"</f>
        <v>#VALUE!</v>
      </c>
      <c r="FM43" t="e">
        <f>'All regions'!F1137+"$F;@!$Hb"</f>
        <v>#VALUE!</v>
      </c>
      <c r="FN43" t="e">
        <f>'All regions'!G1137+"$F;@!$Hc"</f>
        <v>#VALUE!</v>
      </c>
      <c r="FO43" t="e">
        <f>'All regions'!H1137+"$F;@!$Hd"</f>
        <v>#VALUE!</v>
      </c>
      <c r="FP43" t="e">
        <f>'All regions'!I1137+"$F;@!$He"</f>
        <v>#VALUE!</v>
      </c>
      <c r="FQ43" t="e">
        <f>'All regions'!A1138+"$F;@!$Hf"</f>
        <v>#VALUE!</v>
      </c>
      <c r="FR43" t="e">
        <f>'All regions'!B1138+"$F;@!$Hg"</f>
        <v>#VALUE!</v>
      </c>
      <c r="FS43" t="e">
        <f>'All regions'!C1138+"$F;@!$Hh"</f>
        <v>#VALUE!</v>
      </c>
      <c r="FT43" t="e">
        <f>'All regions'!D1138+"$F;@!$Hi"</f>
        <v>#VALUE!</v>
      </c>
      <c r="FU43" t="e">
        <f>'All regions'!E1138+"$F;@!$Hj"</f>
        <v>#VALUE!</v>
      </c>
      <c r="FV43" t="e">
        <f>'All regions'!F1138+"$F;@!$Hk"</f>
        <v>#VALUE!</v>
      </c>
      <c r="FW43" t="e">
        <f>'All regions'!G1138+"$F;@!$Hl"</f>
        <v>#VALUE!</v>
      </c>
      <c r="FX43" t="e">
        <f>'All regions'!H1138+"$F;@!$Hm"</f>
        <v>#VALUE!</v>
      </c>
      <c r="FY43" t="e">
        <f>'All regions'!I1138+"$F;@!$Hn"</f>
        <v>#VALUE!</v>
      </c>
      <c r="FZ43" t="e">
        <f>'All regions'!A1139+"$F;@!$Ho"</f>
        <v>#VALUE!</v>
      </c>
      <c r="GA43" t="e">
        <f>'All regions'!B1139+"$F;@!$Hp"</f>
        <v>#VALUE!</v>
      </c>
      <c r="GB43" t="e">
        <f>'All regions'!C1139+"$F;@!$Hq"</f>
        <v>#VALUE!</v>
      </c>
      <c r="GC43" t="e">
        <f>'All regions'!D1139+"$F;@!$Hr"</f>
        <v>#VALUE!</v>
      </c>
      <c r="GD43" t="e">
        <f>'All regions'!E1139+"$F;@!$Hs"</f>
        <v>#VALUE!</v>
      </c>
      <c r="GE43" t="e">
        <f>'All regions'!F1139+"$F;@!$Ht"</f>
        <v>#VALUE!</v>
      </c>
      <c r="GF43" t="e">
        <f>'All regions'!G1139+"$F;@!$Hu"</f>
        <v>#VALUE!</v>
      </c>
      <c r="GG43" t="e">
        <f>'All regions'!H1139+"$F;@!$Hv"</f>
        <v>#VALUE!</v>
      </c>
      <c r="GH43" t="e">
        <f>'All regions'!I1139+"$F;@!$Hw"</f>
        <v>#VALUE!</v>
      </c>
      <c r="GI43" t="e">
        <f>'All regions'!A1140+"$F;@!$Hx"</f>
        <v>#VALUE!</v>
      </c>
      <c r="GJ43" t="e">
        <f>'All regions'!B1140+"$F;@!$Hy"</f>
        <v>#VALUE!</v>
      </c>
      <c r="GK43" t="e">
        <f>'All regions'!C1140+"$F;@!$Hz"</f>
        <v>#VALUE!</v>
      </c>
      <c r="GL43" t="e">
        <f>'All regions'!D1140+"$F;@!$H{"</f>
        <v>#VALUE!</v>
      </c>
      <c r="GM43" t="e">
        <f>'All regions'!E1140+"$F;@!$H|"</f>
        <v>#VALUE!</v>
      </c>
      <c r="GN43" t="e">
        <f>'All regions'!F1140+"$F;@!$H}"</f>
        <v>#VALUE!</v>
      </c>
      <c r="GO43" t="e">
        <f>'All regions'!G1140+"$F;@!$H~"</f>
        <v>#VALUE!</v>
      </c>
      <c r="GP43" t="e">
        <f>'All regions'!H1140+"$F;@!$I#"</f>
        <v>#VALUE!</v>
      </c>
      <c r="GQ43" t="e">
        <f>'All regions'!I1140+"$F;@!$I$"</f>
        <v>#VALUE!</v>
      </c>
      <c r="GR43" t="e">
        <f>'All regions'!A1143+"$F;@!$I%"</f>
        <v>#VALUE!</v>
      </c>
      <c r="GS43" t="e">
        <f>'All regions'!B1143+"$F;@!$I&amp;"</f>
        <v>#VALUE!</v>
      </c>
      <c r="GT43" t="e">
        <f>'All regions'!C1143+"$F;@!$I'"</f>
        <v>#VALUE!</v>
      </c>
      <c r="GU43" t="e">
        <f>'All regions'!D1143+"$F;@!$I("</f>
        <v>#VALUE!</v>
      </c>
      <c r="GV43" t="e">
        <f>'All regions'!E1143+"$F;@!$I)"</f>
        <v>#VALUE!</v>
      </c>
      <c r="GW43" t="e">
        <f>'All regions'!F1143+"$F;@!$I."</f>
        <v>#VALUE!</v>
      </c>
      <c r="GX43" t="e">
        <f>'All regions'!G1143+"$F;@!$I/"</f>
        <v>#VALUE!</v>
      </c>
      <c r="GY43" t="e">
        <f>'All regions'!H1143+"$F;@!$I0"</f>
        <v>#VALUE!</v>
      </c>
      <c r="GZ43" t="e">
        <f>'All regions'!I1143+"$F;@!$I1"</f>
        <v>#VALUE!</v>
      </c>
      <c r="HA43" t="e">
        <f>'All regions'!A1144+"$F;@!$I2"</f>
        <v>#VALUE!</v>
      </c>
      <c r="HB43" t="e">
        <f>'All regions'!B1144+"$F;@!$I3"</f>
        <v>#VALUE!</v>
      </c>
      <c r="HC43" t="e">
        <f>'All regions'!C1144+"$F;@!$I4"</f>
        <v>#VALUE!</v>
      </c>
      <c r="HD43" t="e">
        <f>'All regions'!D1144+"$F;@!$I5"</f>
        <v>#VALUE!</v>
      </c>
      <c r="HE43" t="e">
        <f>'All regions'!E1144+"$F;@!$I6"</f>
        <v>#VALUE!</v>
      </c>
      <c r="HF43" t="e">
        <f>'All regions'!F1144+"$F;@!$I7"</f>
        <v>#VALUE!</v>
      </c>
      <c r="HG43" t="e">
        <f>'All regions'!G1144+"$F;@!$I8"</f>
        <v>#VALUE!</v>
      </c>
      <c r="HH43" t="e">
        <f>'All regions'!H1144+"$F;@!$I9"</f>
        <v>#VALUE!</v>
      </c>
      <c r="HI43" t="e">
        <f>'All regions'!I1144+"$F;@!$I:"</f>
        <v>#VALUE!</v>
      </c>
      <c r="HJ43" t="e">
        <f>'All regions'!A1145+"$F;@!$I;"</f>
        <v>#VALUE!</v>
      </c>
      <c r="HK43" t="e">
        <f>'All regions'!B1145+"$F;@!$I&lt;"</f>
        <v>#VALUE!</v>
      </c>
      <c r="HL43" t="e">
        <f>'All regions'!C1145+"$F;@!$I="</f>
        <v>#VALUE!</v>
      </c>
      <c r="HM43" t="e">
        <f>'All regions'!D1145+"$F;@!$I&gt;"</f>
        <v>#VALUE!</v>
      </c>
      <c r="HN43" t="e">
        <f>'All regions'!E1145+"$F;@!$I?"</f>
        <v>#VALUE!</v>
      </c>
      <c r="HO43" t="e">
        <f>'All regions'!F1145+"$F;@!$I@"</f>
        <v>#VALUE!</v>
      </c>
      <c r="HP43" t="e">
        <f>'All regions'!G1145+"$F;@!$IA"</f>
        <v>#VALUE!</v>
      </c>
      <c r="HQ43" t="e">
        <f>'All regions'!H1145+"$F;@!$IB"</f>
        <v>#VALUE!</v>
      </c>
      <c r="HR43" t="e">
        <f>'All regions'!I1145+"$F;@!$IC"</f>
        <v>#VALUE!</v>
      </c>
      <c r="HS43" t="e">
        <f>'All regions'!A1146+"$F;@!$ID"</f>
        <v>#VALUE!</v>
      </c>
      <c r="HT43" t="e">
        <f>'All regions'!B1146+"$F;@!$IE"</f>
        <v>#VALUE!</v>
      </c>
      <c r="HU43" t="e">
        <f>'All regions'!C1146+"$F;@!$IF"</f>
        <v>#VALUE!</v>
      </c>
      <c r="HV43" t="e">
        <f>'All regions'!D1146+"$F;@!$IG"</f>
        <v>#VALUE!</v>
      </c>
      <c r="HW43" t="e">
        <f>'All regions'!E1146+"$F;@!$IH"</f>
        <v>#VALUE!</v>
      </c>
      <c r="HX43" t="e">
        <f>'All regions'!F1146+"$F;@!$II"</f>
        <v>#VALUE!</v>
      </c>
      <c r="HY43" t="e">
        <f>'All regions'!G1146+"$F;@!$IJ"</f>
        <v>#VALUE!</v>
      </c>
      <c r="HZ43" t="e">
        <f>'All regions'!H1146+"$F;@!$IK"</f>
        <v>#VALUE!</v>
      </c>
      <c r="IA43" t="e">
        <f>'All regions'!I1146+"$F;@!$IL"</f>
        <v>#VALUE!</v>
      </c>
      <c r="IB43" t="e">
        <f>'All regions'!A1147+"$F;@!$IM"</f>
        <v>#VALUE!</v>
      </c>
      <c r="IC43" t="e">
        <f>'All regions'!B1147+"$F;@!$IN"</f>
        <v>#VALUE!</v>
      </c>
      <c r="ID43" t="e">
        <f>'All regions'!C1147+"$F;@!$IO"</f>
        <v>#VALUE!</v>
      </c>
      <c r="IE43" t="e">
        <f>'All regions'!D1147+"$F;@!$IP"</f>
        <v>#VALUE!</v>
      </c>
      <c r="IF43" t="e">
        <f>'All regions'!E1147+"$F;@!$IQ"</f>
        <v>#VALUE!</v>
      </c>
      <c r="IG43" t="e">
        <f>'All regions'!F1147+"$F;@!$IR"</f>
        <v>#VALUE!</v>
      </c>
      <c r="IH43" t="e">
        <f>'All regions'!G1147+"$F;@!$IS"</f>
        <v>#VALUE!</v>
      </c>
      <c r="II43" t="e">
        <f>'All regions'!H1147+"$F;@!$IT"</f>
        <v>#VALUE!</v>
      </c>
      <c r="IJ43" t="e">
        <f>'All regions'!I1147+"$F;@!$IU"</f>
        <v>#VALUE!</v>
      </c>
      <c r="IK43" t="e">
        <f>'All regions'!A1148+"$F;@!$IV"</f>
        <v>#VALUE!</v>
      </c>
      <c r="IL43" t="e">
        <f>'All regions'!B1148+"$F;@!$IW"</f>
        <v>#VALUE!</v>
      </c>
      <c r="IM43" t="e">
        <f>'All regions'!C1148+"$F;@!$IX"</f>
        <v>#VALUE!</v>
      </c>
      <c r="IN43" t="e">
        <f>'All regions'!D1148+"$F;@!$IY"</f>
        <v>#VALUE!</v>
      </c>
      <c r="IO43" t="e">
        <f>'All regions'!E1148+"$F;@!$IZ"</f>
        <v>#VALUE!</v>
      </c>
      <c r="IP43" t="e">
        <f>'All regions'!F1148+"$F;@!$I["</f>
        <v>#VALUE!</v>
      </c>
      <c r="IQ43" t="e">
        <f>'All regions'!G1148+"$F;@!$I\"</f>
        <v>#VALUE!</v>
      </c>
      <c r="IR43" t="e">
        <f>'All regions'!H1148+"$F;@!$I]"</f>
        <v>#VALUE!</v>
      </c>
      <c r="IS43" t="e">
        <f>'All regions'!I1148+"$F;@!$I^"</f>
        <v>#VALUE!</v>
      </c>
      <c r="IT43" t="e">
        <f>'All regions'!A1149+"$F;@!$I_"</f>
        <v>#VALUE!</v>
      </c>
      <c r="IU43" t="e">
        <f>'All regions'!B1149+"$F;@!$I`"</f>
        <v>#VALUE!</v>
      </c>
      <c r="IV43" t="e">
        <f>'All regions'!C1149+"$F;@!$Ia"</f>
        <v>#VALUE!</v>
      </c>
    </row>
    <row r="44" spans="6:256" x14ac:dyDescent="0.35">
      <c r="F44" t="e">
        <f>'All regions'!D1149+"$F;@!$Ib"</f>
        <v>#VALUE!</v>
      </c>
      <c r="G44" t="e">
        <f>'All regions'!E1149+"$F;@!$Ic"</f>
        <v>#VALUE!</v>
      </c>
      <c r="H44" t="e">
        <f>'All regions'!F1149+"$F;@!$Id"</f>
        <v>#VALUE!</v>
      </c>
      <c r="I44" t="e">
        <f>'All regions'!G1149+"$F;@!$Ie"</f>
        <v>#VALUE!</v>
      </c>
      <c r="J44" t="e">
        <f>'All regions'!H1149+"$F;@!$If"</f>
        <v>#VALUE!</v>
      </c>
      <c r="K44" t="e">
        <f>'All regions'!I1149+"$F;@!$Ig"</f>
        <v>#VALUE!</v>
      </c>
      <c r="L44" t="e">
        <f>'All regions'!A1150+"$F;@!$Ih"</f>
        <v>#VALUE!</v>
      </c>
      <c r="M44" t="e">
        <f>'All regions'!B1150+"$F;@!$Ii"</f>
        <v>#VALUE!</v>
      </c>
      <c r="N44" t="e">
        <f>'All regions'!C1150+"$F;@!$Ij"</f>
        <v>#VALUE!</v>
      </c>
      <c r="O44" t="e">
        <f>'All regions'!D1150+"$F;@!$Ik"</f>
        <v>#VALUE!</v>
      </c>
      <c r="P44" t="e">
        <f>'All regions'!E1150+"$F;@!$Il"</f>
        <v>#VALUE!</v>
      </c>
      <c r="Q44" t="e">
        <f>'All regions'!F1150+"$F;@!$Im"</f>
        <v>#VALUE!</v>
      </c>
      <c r="R44" t="e">
        <f>'All regions'!G1150+"$F;@!$In"</f>
        <v>#VALUE!</v>
      </c>
      <c r="S44" t="e">
        <f>'All regions'!H1150+"$F;@!$Io"</f>
        <v>#VALUE!</v>
      </c>
      <c r="T44" t="e">
        <f>'All regions'!I1150+"$F;@!$Ip"</f>
        <v>#VALUE!</v>
      </c>
      <c r="U44" t="e">
        <f>'All regions'!A1151+"$F;@!$Iq"</f>
        <v>#VALUE!</v>
      </c>
      <c r="V44" t="e">
        <f>'All regions'!B1151+"$F;@!$Ir"</f>
        <v>#VALUE!</v>
      </c>
      <c r="W44" t="e">
        <f>'All regions'!C1151+"$F;@!$Is"</f>
        <v>#VALUE!</v>
      </c>
      <c r="X44" t="e">
        <f>'All regions'!D1151+"$F;@!$It"</f>
        <v>#VALUE!</v>
      </c>
      <c r="Y44" t="e">
        <f>'All regions'!E1151+"$F;@!$Iu"</f>
        <v>#VALUE!</v>
      </c>
      <c r="Z44" t="e">
        <f>'All regions'!F1151+"$F;@!$Iv"</f>
        <v>#VALUE!</v>
      </c>
      <c r="AA44" t="e">
        <f>'All regions'!G1151+"$F;@!$Iw"</f>
        <v>#VALUE!</v>
      </c>
      <c r="AB44" t="e">
        <f>'All regions'!H1151+"$F;@!$Ix"</f>
        <v>#VALUE!</v>
      </c>
      <c r="AC44" t="e">
        <f>'All regions'!I1151+"$F;@!$Iy"</f>
        <v>#VALUE!</v>
      </c>
      <c r="AD44" t="e">
        <f>'All regions'!A1152+"$F;@!$Iz"</f>
        <v>#VALUE!</v>
      </c>
      <c r="AE44" t="e">
        <f>'All regions'!B1152+"$F;@!$I{"</f>
        <v>#VALUE!</v>
      </c>
      <c r="AF44" t="e">
        <f>'All regions'!C1152+"$F;@!$I|"</f>
        <v>#VALUE!</v>
      </c>
      <c r="AG44" t="e">
        <f>'All regions'!D1152+"$F;@!$I}"</f>
        <v>#VALUE!</v>
      </c>
      <c r="AH44" t="e">
        <f>'All regions'!E1152+"$F;@!$I~"</f>
        <v>#VALUE!</v>
      </c>
      <c r="AI44" t="e">
        <f>'All regions'!F1152+"$F;@!$J#"</f>
        <v>#VALUE!</v>
      </c>
      <c r="AJ44" t="e">
        <f>'All regions'!G1152+"$F;@!$J$"</f>
        <v>#VALUE!</v>
      </c>
      <c r="AK44" t="e">
        <f>'All regions'!H1152+"$F;@!$J%"</f>
        <v>#VALUE!</v>
      </c>
      <c r="AL44" t="e">
        <f>'All regions'!I1152+"$F;@!$J&amp;"</f>
        <v>#VALUE!</v>
      </c>
      <c r="AM44" t="e">
        <f>'All regions'!A1153+"$F;@!$J'"</f>
        <v>#VALUE!</v>
      </c>
      <c r="AN44" t="e">
        <f>'All regions'!B1153+"$F;@!$J("</f>
        <v>#VALUE!</v>
      </c>
      <c r="AO44" t="e">
        <f>'All regions'!C1153+"$F;@!$J)"</f>
        <v>#VALUE!</v>
      </c>
      <c r="AP44" t="e">
        <f>'All regions'!D1153+"$F;@!$J."</f>
        <v>#VALUE!</v>
      </c>
      <c r="AQ44" t="e">
        <f>'All regions'!E1153+"$F;@!$J/"</f>
        <v>#VALUE!</v>
      </c>
      <c r="AR44" t="e">
        <f>'All regions'!F1153+"$F;@!$J0"</f>
        <v>#VALUE!</v>
      </c>
      <c r="AS44" t="e">
        <f>'All regions'!G1153+"$F;@!$J1"</f>
        <v>#VALUE!</v>
      </c>
      <c r="AT44" t="e">
        <f>'All regions'!H1153+"$F;@!$J2"</f>
        <v>#VALUE!</v>
      </c>
      <c r="AU44" t="e">
        <f>'All regions'!I1153+"$F;@!$J3"</f>
        <v>#VALUE!</v>
      </c>
      <c r="AV44" t="e">
        <f>'All regions'!A1154+"$F;@!$J4"</f>
        <v>#VALUE!</v>
      </c>
      <c r="AW44" t="e">
        <f>'All regions'!B1154+"$F;@!$J5"</f>
        <v>#VALUE!</v>
      </c>
      <c r="AX44" t="e">
        <f>'All regions'!C1154+"$F;@!$J6"</f>
        <v>#VALUE!</v>
      </c>
      <c r="AY44" t="e">
        <f>'All regions'!D1154+"$F;@!$J7"</f>
        <v>#VALUE!</v>
      </c>
      <c r="AZ44" t="e">
        <f>'All regions'!E1154+"$F;@!$J8"</f>
        <v>#VALUE!</v>
      </c>
      <c r="BA44" t="e">
        <f>'All regions'!F1154+"$F;@!$J9"</f>
        <v>#VALUE!</v>
      </c>
      <c r="BB44" t="e">
        <f>'All regions'!G1154+"$F;@!$J:"</f>
        <v>#VALUE!</v>
      </c>
      <c r="BC44" t="e">
        <f>'All regions'!H1154+"$F;@!$J;"</f>
        <v>#VALUE!</v>
      </c>
      <c r="BD44" t="e">
        <f>'All regions'!I1154+"$F;@!$J&lt;"</f>
        <v>#VALUE!</v>
      </c>
      <c r="BE44" t="e">
        <f>'All regions'!A1155+"$F;@!$J="</f>
        <v>#VALUE!</v>
      </c>
      <c r="BF44" t="e">
        <f>'All regions'!B1155+"$F;@!$J&gt;"</f>
        <v>#VALUE!</v>
      </c>
      <c r="BG44" t="e">
        <f>'All regions'!C1155+"$F;@!$J?"</f>
        <v>#VALUE!</v>
      </c>
      <c r="BH44" t="e">
        <f>'All regions'!D1155+"$F;@!$J@"</f>
        <v>#VALUE!</v>
      </c>
      <c r="BI44" t="e">
        <f>'All regions'!E1155+"$F;@!$JA"</f>
        <v>#VALUE!</v>
      </c>
      <c r="BJ44" t="e">
        <f>'All regions'!F1155+"$F;@!$JB"</f>
        <v>#VALUE!</v>
      </c>
      <c r="BK44" t="e">
        <f>'All regions'!G1155+"$F;@!$JC"</f>
        <v>#VALUE!</v>
      </c>
      <c r="BL44" t="e">
        <f>'All regions'!H1155+"$F;@!$JD"</f>
        <v>#VALUE!</v>
      </c>
      <c r="BM44" t="e">
        <f>'All regions'!I1155+"$F;@!$JE"</f>
        <v>#VALUE!</v>
      </c>
      <c r="BN44" t="e">
        <f>'All regions'!A1156+"$F;@!$JF"</f>
        <v>#VALUE!</v>
      </c>
      <c r="BO44" t="e">
        <f>'All regions'!B1156+"$F;@!$JG"</f>
        <v>#VALUE!</v>
      </c>
      <c r="BP44" t="e">
        <f>'All regions'!C1156+"$F;@!$JH"</f>
        <v>#VALUE!</v>
      </c>
      <c r="BQ44" t="e">
        <f>'All regions'!D1156+"$F;@!$JI"</f>
        <v>#VALUE!</v>
      </c>
      <c r="BR44" t="e">
        <f>'All regions'!E1156+"$F;@!$JJ"</f>
        <v>#VALUE!</v>
      </c>
      <c r="BS44" t="e">
        <f>'All regions'!F1156+"$F;@!$JK"</f>
        <v>#VALUE!</v>
      </c>
      <c r="BT44" t="e">
        <f>'All regions'!G1156+"$F;@!$JL"</f>
        <v>#VALUE!</v>
      </c>
      <c r="BU44" t="e">
        <f>'All regions'!H1156+"$F;@!$JM"</f>
        <v>#VALUE!</v>
      </c>
      <c r="BV44" t="e">
        <f>'All regions'!I1156+"$F;@!$JN"</f>
        <v>#VALUE!</v>
      </c>
      <c r="BW44" t="e">
        <f>'All regions'!A1157+"$F;@!$JO"</f>
        <v>#VALUE!</v>
      </c>
      <c r="BX44" t="e">
        <f>'All regions'!B1157+"$F;@!$JP"</f>
        <v>#VALUE!</v>
      </c>
      <c r="BY44" t="e">
        <f>'All regions'!C1157+"$F;@!$JQ"</f>
        <v>#VALUE!</v>
      </c>
      <c r="BZ44" t="e">
        <f>'All regions'!D1157+"$F;@!$JR"</f>
        <v>#VALUE!</v>
      </c>
      <c r="CA44" t="e">
        <f>'All regions'!E1157+"$F;@!$JS"</f>
        <v>#VALUE!</v>
      </c>
      <c r="CB44" t="e">
        <f>'All regions'!F1157+"$F;@!$JT"</f>
        <v>#VALUE!</v>
      </c>
      <c r="CC44" t="e">
        <f>'All regions'!G1157+"$F;@!$JU"</f>
        <v>#VALUE!</v>
      </c>
      <c r="CD44" t="e">
        <f>'All regions'!H1157+"$F;@!$JV"</f>
        <v>#VALUE!</v>
      </c>
      <c r="CE44" t="e">
        <f>'All regions'!I1157+"$F;@!$JW"</f>
        <v>#VALUE!</v>
      </c>
      <c r="CF44" t="e">
        <f>'All regions'!A1158+"$F;@!$JX"</f>
        <v>#VALUE!</v>
      </c>
      <c r="CG44" t="e">
        <f>'All regions'!B1158+"$F;@!$JY"</f>
        <v>#VALUE!</v>
      </c>
      <c r="CH44" t="e">
        <f>'All regions'!C1158+"$F;@!$JZ"</f>
        <v>#VALUE!</v>
      </c>
      <c r="CI44" t="e">
        <f>'All regions'!D1158+"$F;@!$J["</f>
        <v>#VALUE!</v>
      </c>
      <c r="CJ44" t="e">
        <f>'All regions'!E1158+"$F;@!$J\"</f>
        <v>#VALUE!</v>
      </c>
      <c r="CK44" t="e">
        <f>'All regions'!F1158+"$F;@!$J]"</f>
        <v>#VALUE!</v>
      </c>
      <c r="CL44" t="e">
        <f>'All regions'!G1158+"$F;@!$J^"</f>
        <v>#VALUE!</v>
      </c>
      <c r="CM44" t="e">
        <f>'All regions'!H1158+"$F;@!$J_"</f>
        <v>#VALUE!</v>
      </c>
      <c r="CN44" t="e">
        <f>'All regions'!I1158+"$F;@!$J`"</f>
        <v>#VALUE!</v>
      </c>
      <c r="CO44" t="e">
        <f>'All regions'!A1159+"$F;@!$Ja"</f>
        <v>#VALUE!</v>
      </c>
      <c r="CP44" t="e">
        <f>'All regions'!B1159+"$F;@!$Jb"</f>
        <v>#VALUE!</v>
      </c>
      <c r="CQ44" t="e">
        <f>'All regions'!C1159+"$F;@!$Jc"</f>
        <v>#VALUE!</v>
      </c>
      <c r="CR44" t="e">
        <f>'All regions'!D1159+"$F;@!$Jd"</f>
        <v>#VALUE!</v>
      </c>
      <c r="CS44" t="e">
        <f>'All regions'!E1159+"$F;@!$Je"</f>
        <v>#VALUE!</v>
      </c>
      <c r="CT44" t="e">
        <f>'All regions'!F1159+"$F;@!$Jf"</f>
        <v>#VALUE!</v>
      </c>
      <c r="CU44" t="e">
        <f>'All regions'!G1159+"$F;@!$Jg"</f>
        <v>#VALUE!</v>
      </c>
      <c r="CV44" t="e">
        <f>'All regions'!H1159+"$F;@!$Jh"</f>
        <v>#VALUE!</v>
      </c>
      <c r="CW44" t="e">
        <f>'All regions'!I1159+"$F;@!$Ji"</f>
        <v>#VALUE!</v>
      </c>
      <c r="CX44" t="e">
        <f>'All regions'!A1160+"$F;@!$Jj"</f>
        <v>#VALUE!</v>
      </c>
      <c r="CY44" t="e">
        <f>'All regions'!B1160+"$F;@!$Jk"</f>
        <v>#VALUE!</v>
      </c>
      <c r="CZ44" t="e">
        <f>'All regions'!C1160+"$F;@!$Jl"</f>
        <v>#VALUE!</v>
      </c>
      <c r="DA44" t="e">
        <f>'All regions'!D1160+"$F;@!$Jm"</f>
        <v>#VALUE!</v>
      </c>
      <c r="DB44" t="e">
        <f>'All regions'!E1160+"$F;@!$Jn"</f>
        <v>#VALUE!</v>
      </c>
      <c r="DC44" t="e">
        <f>'All regions'!F1160+"$F;@!$Jo"</f>
        <v>#VALUE!</v>
      </c>
      <c r="DD44" t="e">
        <f>'All regions'!G1160+"$F;@!$Jp"</f>
        <v>#VALUE!</v>
      </c>
      <c r="DE44" t="e">
        <f>'All regions'!H1160+"$F;@!$Jq"</f>
        <v>#VALUE!</v>
      </c>
      <c r="DF44" t="e">
        <f>'All regions'!I1160+"$F;@!$Jr"</f>
        <v>#VALUE!</v>
      </c>
      <c r="DG44" t="e">
        <f>'All regions'!A1161+"$F;@!$Js"</f>
        <v>#VALUE!</v>
      </c>
      <c r="DH44" t="e">
        <f>'All regions'!B1161+"$F;@!$Jt"</f>
        <v>#VALUE!</v>
      </c>
      <c r="DI44" t="e">
        <f>'All regions'!C1161+"$F;@!$Ju"</f>
        <v>#VALUE!</v>
      </c>
      <c r="DJ44" t="e">
        <f>'All regions'!D1161+"$F;@!$Jv"</f>
        <v>#VALUE!</v>
      </c>
      <c r="DK44" t="e">
        <f>'All regions'!E1161+"$F;@!$Jw"</f>
        <v>#VALUE!</v>
      </c>
      <c r="DL44" t="e">
        <f>'All regions'!F1161+"$F;@!$Jx"</f>
        <v>#VALUE!</v>
      </c>
      <c r="DM44" t="e">
        <f>'All regions'!G1161+"$F;@!$Jy"</f>
        <v>#VALUE!</v>
      </c>
      <c r="DN44" t="e">
        <f>'All regions'!H1161+"$F;@!$Jz"</f>
        <v>#VALUE!</v>
      </c>
      <c r="DO44" t="e">
        <f>'All regions'!I1161+"$F;@!$J{"</f>
        <v>#VALUE!</v>
      </c>
      <c r="DP44" t="e">
        <f>'All regions'!A1162+"$F;@!$J|"</f>
        <v>#VALUE!</v>
      </c>
      <c r="DQ44" t="e">
        <f>'All regions'!B1162+"$F;@!$J}"</f>
        <v>#VALUE!</v>
      </c>
      <c r="DR44" t="e">
        <f>'All regions'!C1162+"$F;@!$J~"</f>
        <v>#VALUE!</v>
      </c>
      <c r="DS44" t="e">
        <f>'All regions'!D1162+"$F;@!$K#"</f>
        <v>#VALUE!</v>
      </c>
      <c r="DT44" t="e">
        <f>'All regions'!E1162+"$F;@!$K$"</f>
        <v>#VALUE!</v>
      </c>
      <c r="DU44" t="e">
        <f>'All regions'!F1162+"$F;@!$K%"</f>
        <v>#VALUE!</v>
      </c>
      <c r="DV44" t="e">
        <f>'All regions'!G1162+"$F;@!$K&amp;"</f>
        <v>#VALUE!</v>
      </c>
      <c r="DW44" t="e">
        <f>'All regions'!H1162+"$F;@!$K'"</f>
        <v>#VALUE!</v>
      </c>
      <c r="DX44" t="e">
        <f>'All regions'!I1162+"$F;@!$K("</f>
        <v>#VALUE!</v>
      </c>
      <c r="DY44" t="e">
        <f>'All regions'!A1163+"$F;@!$K)"</f>
        <v>#VALUE!</v>
      </c>
      <c r="DZ44" t="e">
        <f>'All regions'!B1163+"$F;@!$K."</f>
        <v>#VALUE!</v>
      </c>
      <c r="EA44" t="e">
        <f>'All regions'!C1163+"$F;@!$K/"</f>
        <v>#VALUE!</v>
      </c>
      <c r="EB44" t="e">
        <f>'All regions'!D1163+"$F;@!$K0"</f>
        <v>#VALUE!</v>
      </c>
      <c r="EC44" t="e">
        <f>'All regions'!E1163+"$F;@!$K1"</f>
        <v>#VALUE!</v>
      </c>
      <c r="ED44" t="e">
        <f>'All regions'!F1163+"$F;@!$K2"</f>
        <v>#VALUE!</v>
      </c>
      <c r="EE44" t="e">
        <f>'All regions'!G1163+"$F;@!$K3"</f>
        <v>#VALUE!</v>
      </c>
      <c r="EF44" t="e">
        <f>'All regions'!H1163+"$F;@!$K4"</f>
        <v>#VALUE!</v>
      </c>
      <c r="EG44" t="e">
        <f>'All regions'!I1163+"$F;@!$K5"</f>
        <v>#VALUE!</v>
      </c>
      <c r="EH44" t="e">
        <f>'All regions'!A1164+"$F;@!$K6"</f>
        <v>#VALUE!</v>
      </c>
      <c r="EI44" t="e">
        <f>'All regions'!B1164+"$F;@!$K7"</f>
        <v>#VALUE!</v>
      </c>
      <c r="EJ44" t="e">
        <f>'All regions'!C1164+"$F;@!$K8"</f>
        <v>#VALUE!</v>
      </c>
      <c r="EK44" t="e">
        <f>'All regions'!D1164+"$F;@!$K9"</f>
        <v>#VALUE!</v>
      </c>
      <c r="EL44" t="e">
        <f>'All regions'!E1164+"$F;@!$K:"</f>
        <v>#VALUE!</v>
      </c>
      <c r="EM44" t="e">
        <f>'All regions'!F1164+"$F;@!$K;"</f>
        <v>#VALUE!</v>
      </c>
      <c r="EN44" t="e">
        <f>'All regions'!G1164+"$F;@!$K&lt;"</f>
        <v>#VALUE!</v>
      </c>
      <c r="EO44" t="e">
        <f>'All regions'!H1164+"$F;@!$K="</f>
        <v>#VALUE!</v>
      </c>
      <c r="EP44" t="e">
        <f>'All regions'!I1164+"$F;@!$K&gt;"</f>
        <v>#VALUE!</v>
      </c>
      <c r="EQ44" t="e">
        <f>'All regions'!A1165+"$F;@!$K?"</f>
        <v>#VALUE!</v>
      </c>
      <c r="ER44" t="e">
        <f>'All regions'!B1165+"$F;@!$K@"</f>
        <v>#VALUE!</v>
      </c>
      <c r="ES44" t="e">
        <f>'All regions'!C1165+"$F;@!$KA"</f>
        <v>#VALUE!</v>
      </c>
      <c r="ET44" t="e">
        <f>'All regions'!D1165+"$F;@!$KB"</f>
        <v>#VALUE!</v>
      </c>
      <c r="EU44" t="e">
        <f>'All regions'!E1165+"$F;@!$KC"</f>
        <v>#VALUE!</v>
      </c>
      <c r="EV44" t="e">
        <f>'All regions'!F1165+"$F;@!$KD"</f>
        <v>#VALUE!</v>
      </c>
      <c r="EW44" t="e">
        <f>'All regions'!G1165+"$F;@!$KE"</f>
        <v>#VALUE!</v>
      </c>
      <c r="EX44" t="e">
        <f>'All regions'!H1165+"$F;@!$KF"</f>
        <v>#VALUE!</v>
      </c>
      <c r="EY44" t="e">
        <f>'All regions'!I1165+"$F;@!$KG"</f>
        <v>#VALUE!</v>
      </c>
      <c r="EZ44" t="e">
        <f>'All regions'!A1166+"$F;@!$KH"</f>
        <v>#VALUE!</v>
      </c>
      <c r="FA44" t="e">
        <f>'All regions'!B1166+"$F;@!$KI"</f>
        <v>#VALUE!</v>
      </c>
      <c r="FB44" t="e">
        <f>'All regions'!C1166+"$F;@!$KJ"</f>
        <v>#VALUE!</v>
      </c>
      <c r="FC44" t="e">
        <f>'All regions'!D1166+"$F;@!$KK"</f>
        <v>#VALUE!</v>
      </c>
      <c r="FD44" t="e">
        <f>'All regions'!E1166+"$F;@!$KL"</f>
        <v>#VALUE!</v>
      </c>
      <c r="FE44" t="e">
        <f>'All regions'!F1166+"$F;@!$KM"</f>
        <v>#VALUE!</v>
      </c>
      <c r="FF44" t="e">
        <f>'All regions'!G1166+"$F;@!$KN"</f>
        <v>#VALUE!</v>
      </c>
      <c r="FG44" t="e">
        <f>'All regions'!H1166+"$F;@!$KO"</f>
        <v>#VALUE!</v>
      </c>
      <c r="FH44" t="e">
        <f>'All regions'!I1166+"$F;@!$KP"</f>
        <v>#VALUE!</v>
      </c>
      <c r="FI44" t="e">
        <f>'All regions'!A1167+"$F;@!$KQ"</f>
        <v>#VALUE!</v>
      </c>
      <c r="FJ44" t="e">
        <f>'All regions'!B1167+"$F;@!$KR"</f>
        <v>#VALUE!</v>
      </c>
      <c r="FK44" t="e">
        <f>'All regions'!C1167+"$F;@!$KS"</f>
        <v>#VALUE!</v>
      </c>
      <c r="FL44" t="e">
        <f>'All regions'!D1167+"$F;@!$KT"</f>
        <v>#VALUE!</v>
      </c>
      <c r="FM44" t="e">
        <f>'All regions'!E1167+"$F;@!$KU"</f>
        <v>#VALUE!</v>
      </c>
      <c r="FN44" t="e">
        <f>'All regions'!F1167+"$F;@!$KV"</f>
        <v>#VALUE!</v>
      </c>
      <c r="FO44" t="e">
        <f>'All regions'!G1167+"$F;@!$KW"</f>
        <v>#VALUE!</v>
      </c>
      <c r="FP44" t="e">
        <f>'All regions'!H1167+"$F;@!$KX"</f>
        <v>#VALUE!</v>
      </c>
      <c r="FQ44" t="e">
        <f>'All regions'!I1167+"$F;@!$KY"</f>
        <v>#VALUE!</v>
      </c>
      <c r="FR44" t="e">
        <f>'All regions'!A1168+"$F;@!$KZ"</f>
        <v>#VALUE!</v>
      </c>
      <c r="FS44" t="e">
        <f>'All regions'!B1168+"$F;@!$K["</f>
        <v>#VALUE!</v>
      </c>
      <c r="FT44" t="e">
        <f>'All regions'!C1168+"$F;@!$K\"</f>
        <v>#VALUE!</v>
      </c>
      <c r="FU44" t="e">
        <f>'All regions'!D1168+"$F;@!$K]"</f>
        <v>#VALUE!</v>
      </c>
      <c r="FV44" t="e">
        <f>'All regions'!E1168+"$F;@!$K^"</f>
        <v>#VALUE!</v>
      </c>
      <c r="FW44" t="e">
        <f>'All regions'!F1168+"$F;@!$K_"</f>
        <v>#VALUE!</v>
      </c>
      <c r="FX44" t="e">
        <f>'All regions'!G1168+"$F;@!$K`"</f>
        <v>#VALUE!</v>
      </c>
      <c r="FY44" t="e">
        <f>'All regions'!H1168+"$F;@!$Ka"</f>
        <v>#VALUE!</v>
      </c>
      <c r="FZ44" t="e">
        <f>'All regions'!I1168+"$F;@!$Kb"</f>
        <v>#VALUE!</v>
      </c>
      <c r="GA44" t="e">
        <f>'All regions'!A1169+"$F;@!$Kc"</f>
        <v>#VALUE!</v>
      </c>
      <c r="GB44" t="e">
        <f>'All regions'!B1169+"$F;@!$Kd"</f>
        <v>#VALUE!</v>
      </c>
      <c r="GC44" t="e">
        <f>'All regions'!C1169+"$F;@!$Ke"</f>
        <v>#VALUE!</v>
      </c>
      <c r="GD44" t="e">
        <f>'All regions'!D1169+"$F;@!$Kf"</f>
        <v>#VALUE!</v>
      </c>
      <c r="GE44" t="e">
        <f>'All regions'!E1169+"$F;@!$Kg"</f>
        <v>#VALUE!</v>
      </c>
      <c r="GF44" t="e">
        <f>'All regions'!F1169+"$F;@!$Kh"</f>
        <v>#VALUE!</v>
      </c>
      <c r="GG44" t="e">
        <f>'All regions'!G1169+"$F;@!$Ki"</f>
        <v>#VALUE!</v>
      </c>
      <c r="GH44" t="e">
        <f>'All regions'!H1169+"$F;@!$Kj"</f>
        <v>#VALUE!</v>
      </c>
      <c r="GI44" t="e">
        <f>'All regions'!I1169+"$F;@!$Kk"</f>
        <v>#VALUE!</v>
      </c>
      <c r="GJ44" t="e">
        <f>'All regions'!A1170+"$F;@!$Kl"</f>
        <v>#VALUE!</v>
      </c>
      <c r="GK44" t="e">
        <f>'All regions'!B1170+"$F;@!$Km"</f>
        <v>#VALUE!</v>
      </c>
      <c r="GL44" t="e">
        <f>'All regions'!C1170+"$F;@!$Kn"</f>
        <v>#VALUE!</v>
      </c>
      <c r="GM44" t="e">
        <f>'All regions'!D1170+"$F;@!$Ko"</f>
        <v>#VALUE!</v>
      </c>
      <c r="GN44" t="e">
        <f>'All regions'!E1170+"$F;@!$Kp"</f>
        <v>#VALUE!</v>
      </c>
      <c r="GO44" t="e">
        <f>'All regions'!F1170+"$F;@!$Kq"</f>
        <v>#VALUE!</v>
      </c>
      <c r="GP44" t="e">
        <f>'All regions'!G1170+"$F;@!$Kr"</f>
        <v>#VALUE!</v>
      </c>
      <c r="GQ44" t="e">
        <f>'All regions'!H1170+"$F;@!$Ks"</f>
        <v>#VALUE!</v>
      </c>
      <c r="GR44" t="e">
        <f>'All regions'!I1170+"$F;@!$Kt"</f>
        <v>#VALUE!</v>
      </c>
      <c r="GS44" t="e">
        <f>'All regions'!A1171+"$F;@!$Ku"</f>
        <v>#VALUE!</v>
      </c>
      <c r="GT44" t="e">
        <f>'All regions'!B1171+"$F;@!$Kv"</f>
        <v>#VALUE!</v>
      </c>
      <c r="GU44" t="e">
        <f>'All regions'!C1171+"$F;@!$Kw"</f>
        <v>#VALUE!</v>
      </c>
      <c r="GV44" t="e">
        <f>'All regions'!D1171+"$F;@!$Kx"</f>
        <v>#VALUE!</v>
      </c>
      <c r="GW44" t="e">
        <f>'All regions'!E1171+"$F;@!$Ky"</f>
        <v>#VALUE!</v>
      </c>
      <c r="GX44" t="e">
        <f>'All regions'!F1171+"$F;@!$Kz"</f>
        <v>#VALUE!</v>
      </c>
      <c r="GY44" t="e">
        <f>'All regions'!G1171+"$F;@!$K{"</f>
        <v>#VALUE!</v>
      </c>
      <c r="GZ44" t="e">
        <f>'All regions'!H1171+"$F;@!$K|"</f>
        <v>#VALUE!</v>
      </c>
      <c r="HA44" t="e">
        <f>'All regions'!I1171+"$F;@!$K}"</f>
        <v>#VALUE!</v>
      </c>
      <c r="HB44" t="e">
        <f>'All regions'!A1172+"$F;@!$K~"</f>
        <v>#VALUE!</v>
      </c>
      <c r="HC44" t="e">
        <f>'All regions'!B1172+"$F;@!$L#"</f>
        <v>#VALUE!</v>
      </c>
      <c r="HD44" t="e">
        <f>'All regions'!C1172+"$F;@!$L$"</f>
        <v>#VALUE!</v>
      </c>
      <c r="HE44" t="e">
        <f>'All regions'!D1172+"$F;@!$L%"</f>
        <v>#VALUE!</v>
      </c>
      <c r="HF44" t="e">
        <f>'All regions'!E1172+"$F;@!$L&amp;"</f>
        <v>#VALUE!</v>
      </c>
      <c r="HG44" t="e">
        <f>'All regions'!F1172+"$F;@!$L'"</f>
        <v>#VALUE!</v>
      </c>
      <c r="HH44" t="e">
        <f>'All regions'!G1172+"$F;@!$L("</f>
        <v>#VALUE!</v>
      </c>
      <c r="HI44" t="e">
        <f>'All regions'!H1172+"$F;@!$L)"</f>
        <v>#VALUE!</v>
      </c>
      <c r="HJ44" t="e">
        <f>'All regions'!I1172+"$F;@!$L."</f>
        <v>#VALUE!</v>
      </c>
      <c r="HK44" t="e">
        <f>'All regions'!A1173+"$F;@!$L/"</f>
        <v>#VALUE!</v>
      </c>
      <c r="HL44" t="e">
        <f>'All regions'!B1173+"$F;@!$L0"</f>
        <v>#VALUE!</v>
      </c>
      <c r="HM44" t="e">
        <f>'All regions'!C1173+"$F;@!$L1"</f>
        <v>#VALUE!</v>
      </c>
      <c r="HN44" t="e">
        <f>'All regions'!D1173+"$F;@!$L2"</f>
        <v>#VALUE!</v>
      </c>
      <c r="HO44" t="e">
        <f>'All regions'!E1173+"$F;@!$L3"</f>
        <v>#VALUE!</v>
      </c>
      <c r="HP44" t="e">
        <f>'All regions'!F1173+"$F;@!$L4"</f>
        <v>#VALUE!</v>
      </c>
      <c r="HQ44" t="e">
        <f>'All regions'!G1173+"$F;@!$L5"</f>
        <v>#VALUE!</v>
      </c>
      <c r="HR44" t="e">
        <f>'All regions'!H1173+"$F;@!$L6"</f>
        <v>#VALUE!</v>
      </c>
      <c r="HS44" t="e">
        <f>'All regions'!I1173+"$F;@!$L7"</f>
        <v>#VALUE!</v>
      </c>
      <c r="HT44" t="e">
        <f>'All regions'!A1174+"$F;@!$L8"</f>
        <v>#VALUE!</v>
      </c>
      <c r="HU44" t="e">
        <f>'All regions'!B1174+"$F;@!$L9"</f>
        <v>#VALUE!</v>
      </c>
      <c r="HV44" t="e">
        <f>'All regions'!C1174+"$F;@!$L:"</f>
        <v>#VALUE!</v>
      </c>
      <c r="HW44" t="e">
        <f>'All regions'!D1174+"$F;@!$L;"</f>
        <v>#VALUE!</v>
      </c>
      <c r="HX44" t="e">
        <f>'All regions'!E1174+"$F;@!$L&lt;"</f>
        <v>#VALUE!</v>
      </c>
      <c r="HY44" t="e">
        <f>'All regions'!F1174+"$F;@!$L="</f>
        <v>#VALUE!</v>
      </c>
      <c r="HZ44" t="e">
        <f>'All regions'!G1174+"$F;@!$L&gt;"</f>
        <v>#VALUE!</v>
      </c>
      <c r="IA44" t="e">
        <f>'All regions'!H1174+"$F;@!$L?"</f>
        <v>#VALUE!</v>
      </c>
      <c r="IB44" t="e">
        <f>'All regions'!I1174+"$F;@!$L@"</f>
        <v>#VALUE!</v>
      </c>
      <c r="IC44" t="e">
        <f>'All regions'!A1175+"$F;@!$LA"</f>
        <v>#VALUE!</v>
      </c>
      <c r="ID44" t="e">
        <f>'All regions'!B1175+"$F;@!$LB"</f>
        <v>#VALUE!</v>
      </c>
      <c r="IE44" t="e">
        <f>'All regions'!C1175+"$F;@!$LC"</f>
        <v>#VALUE!</v>
      </c>
      <c r="IF44" t="e">
        <f>'All regions'!D1175+"$F;@!$LD"</f>
        <v>#VALUE!</v>
      </c>
      <c r="IG44" t="e">
        <f>'All regions'!E1175+"$F;@!$LE"</f>
        <v>#VALUE!</v>
      </c>
      <c r="IH44" t="e">
        <f>'All regions'!F1175+"$F;@!$LF"</f>
        <v>#VALUE!</v>
      </c>
      <c r="II44" t="e">
        <f>'All regions'!G1175+"$F;@!$LG"</f>
        <v>#VALUE!</v>
      </c>
      <c r="IJ44" t="e">
        <f>'All regions'!H1175+"$F;@!$LH"</f>
        <v>#VALUE!</v>
      </c>
      <c r="IK44" t="e">
        <f>'All regions'!I1175+"$F;@!$LI"</f>
        <v>#VALUE!</v>
      </c>
      <c r="IL44" t="e">
        <f>'All regions'!A1176+"$F;@!$LJ"</f>
        <v>#VALUE!</v>
      </c>
      <c r="IM44" t="e">
        <f>'All regions'!B1176+"$F;@!$LK"</f>
        <v>#VALUE!</v>
      </c>
      <c r="IN44" t="e">
        <f>'All regions'!C1176+"$F;@!$LL"</f>
        <v>#VALUE!</v>
      </c>
      <c r="IO44" t="e">
        <f>'All regions'!D1176+"$F;@!$LM"</f>
        <v>#VALUE!</v>
      </c>
      <c r="IP44" t="e">
        <f>'All regions'!E1176+"$F;@!$LN"</f>
        <v>#VALUE!</v>
      </c>
      <c r="IQ44" t="e">
        <f>'All regions'!F1176+"$F;@!$LO"</f>
        <v>#VALUE!</v>
      </c>
      <c r="IR44" t="e">
        <f>'All regions'!G1176+"$F;@!$LP"</f>
        <v>#VALUE!</v>
      </c>
      <c r="IS44" t="e">
        <f>'All regions'!H1176+"$F;@!$LQ"</f>
        <v>#VALUE!</v>
      </c>
      <c r="IT44" t="e">
        <f>'All regions'!I1176+"$F;@!$LR"</f>
        <v>#VALUE!</v>
      </c>
      <c r="IU44" t="e">
        <f>'All regions'!A1177+"$F;@!$LS"</f>
        <v>#VALUE!</v>
      </c>
      <c r="IV44" t="e">
        <f>'All regions'!B1177+"$F;@!$LT"</f>
        <v>#VALUE!</v>
      </c>
    </row>
    <row r="45" spans="6:256" x14ac:dyDescent="0.35">
      <c r="F45" t="e">
        <f>'All regions'!C1177+"$F;@!$LU"</f>
        <v>#VALUE!</v>
      </c>
      <c r="G45" t="e">
        <f>'All regions'!D1177+"$F;@!$LV"</f>
        <v>#VALUE!</v>
      </c>
      <c r="H45" t="e">
        <f>'All regions'!E1177+"$F;@!$LW"</f>
        <v>#VALUE!</v>
      </c>
      <c r="I45" t="e">
        <f>'All regions'!F1177+"$F;@!$LX"</f>
        <v>#VALUE!</v>
      </c>
      <c r="J45" t="e">
        <f>'All regions'!G1177+"$F;@!$LY"</f>
        <v>#VALUE!</v>
      </c>
      <c r="K45" t="e">
        <f>'All regions'!H1177+"$F;@!$LZ"</f>
        <v>#VALUE!</v>
      </c>
      <c r="L45" t="e">
        <f>'All regions'!I1177+"$F;@!$L["</f>
        <v>#VALUE!</v>
      </c>
      <c r="M45" t="e">
        <f>'All regions'!A1178+"$F;@!$L\"</f>
        <v>#VALUE!</v>
      </c>
      <c r="N45" t="e">
        <f>'All regions'!B1178+"$F;@!$L]"</f>
        <v>#VALUE!</v>
      </c>
      <c r="O45" t="e">
        <f>'All regions'!C1178+"$F;@!$L^"</f>
        <v>#VALUE!</v>
      </c>
      <c r="P45" t="e">
        <f>'All regions'!D1178+"$F;@!$L_"</f>
        <v>#VALUE!</v>
      </c>
      <c r="Q45" t="e">
        <f>'All regions'!E1178+"$F;@!$L`"</f>
        <v>#VALUE!</v>
      </c>
      <c r="R45" t="e">
        <f>'All regions'!F1178+"$F;@!$La"</f>
        <v>#VALUE!</v>
      </c>
      <c r="S45" t="e">
        <f>'All regions'!G1178+"$F;@!$Lb"</f>
        <v>#VALUE!</v>
      </c>
      <c r="T45" t="e">
        <f>'All regions'!H1178+"$F;@!$Lc"</f>
        <v>#VALUE!</v>
      </c>
      <c r="U45" t="e">
        <f>'All regions'!I1178+"$F;@!$Ld"</f>
        <v>#VALUE!</v>
      </c>
      <c r="V45" t="e">
        <f>'All regions'!A1179+"$F;@!$Le"</f>
        <v>#VALUE!</v>
      </c>
      <c r="W45" t="e">
        <f>'All regions'!B1179+"$F;@!$Lf"</f>
        <v>#VALUE!</v>
      </c>
      <c r="X45" t="e">
        <f>'All regions'!C1179+"$F;@!$Lg"</f>
        <v>#VALUE!</v>
      </c>
      <c r="Y45" t="e">
        <f>'All regions'!D1179+"$F;@!$Lh"</f>
        <v>#VALUE!</v>
      </c>
      <c r="Z45" t="e">
        <f>'All regions'!E1179+"$F;@!$Li"</f>
        <v>#VALUE!</v>
      </c>
      <c r="AA45" t="e">
        <f>'All regions'!F1179+"$F;@!$Lj"</f>
        <v>#VALUE!</v>
      </c>
      <c r="AB45" t="e">
        <f>'All regions'!G1179+"$F;@!$Lk"</f>
        <v>#VALUE!</v>
      </c>
      <c r="AC45" t="e">
        <f>'All regions'!H1179+"$F;@!$Ll"</f>
        <v>#VALUE!</v>
      </c>
      <c r="AD45" t="e">
        <f>'All regions'!I1179+"$F;@!$Lm"</f>
        <v>#VALUE!</v>
      </c>
      <c r="AE45" t="e">
        <f>'All regions'!A1180+"$F;@!$Ln"</f>
        <v>#VALUE!</v>
      </c>
      <c r="AF45" t="e">
        <f>'All regions'!B1180+"$F;@!$Lo"</f>
        <v>#VALUE!</v>
      </c>
      <c r="AG45" t="e">
        <f>'All regions'!C1180+"$F;@!$Lp"</f>
        <v>#VALUE!</v>
      </c>
      <c r="AH45" t="e">
        <f>'All regions'!D1180+"$F;@!$Lq"</f>
        <v>#VALUE!</v>
      </c>
      <c r="AI45" t="e">
        <f>'All regions'!E1180+"$F;@!$Lr"</f>
        <v>#VALUE!</v>
      </c>
      <c r="AJ45" t="e">
        <f>'All regions'!F1180+"$F;@!$Ls"</f>
        <v>#VALUE!</v>
      </c>
      <c r="AK45" t="e">
        <f>'All regions'!G1180+"$F;@!$Lt"</f>
        <v>#VALUE!</v>
      </c>
      <c r="AL45" t="e">
        <f>'All regions'!H1180+"$F;@!$Lu"</f>
        <v>#VALUE!</v>
      </c>
      <c r="AM45" t="e">
        <f>'All regions'!I1180+"$F;@!$Lv"</f>
        <v>#VALUE!</v>
      </c>
      <c r="AN45" t="e">
        <f>'All regions'!A1181+"$F;@!$Lw"</f>
        <v>#VALUE!</v>
      </c>
      <c r="AO45" t="e">
        <f>'All regions'!B1181+"$F;@!$Lx"</f>
        <v>#VALUE!</v>
      </c>
      <c r="AP45" t="e">
        <f>'All regions'!C1181+"$F;@!$Ly"</f>
        <v>#VALUE!</v>
      </c>
      <c r="AQ45" t="e">
        <f>'All regions'!D1181+"$F;@!$Lz"</f>
        <v>#VALUE!</v>
      </c>
      <c r="AR45" t="e">
        <f>'All regions'!E1181+"$F;@!$L{"</f>
        <v>#VALUE!</v>
      </c>
      <c r="AS45" t="e">
        <f>'All regions'!F1181+"$F;@!$L|"</f>
        <v>#VALUE!</v>
      </c>
      <c r="AT45" t="e">
        <f>'All regions'!G1181+"$F;@!$L}"</f>
        <v>#VALUE!</v>
      </c>
      <c r="AU45" t="e">
        <f>'All regions'!H1181+"$F;@!$L~"</f>
        <v>#VALUE!</v>
      </c>
      <c r="AV45" t="e">
        <f>'All regions'!I1181+"$F;@!$M#"</f>
        <v>#VALUE!</v>
      </c>
      <c r="AW45" t="e">
        <f>'All regions'!A1182+"$F;@!$M$"</f>
        <v>#VALUE!</v>
      </c>
      <c r="AX45" t="e">
        <f>'All regions'!B1182+"$F;@!$M%"</f>
        <v>#VALUE!</v>
      </c>
      <c r="AY45" t="e">
        <f>'All regions'!C1182+"$F;@!$M&amp;"</f>
        <v>#VALUE!</v>
      </c>
      <c r="AZ45" t="e">
        <f>'All regions'!D1182+"$F;@!$M'"</f>
        <v>#VALUE!</v>
      </c>
      <c r="BA45" t="e">
        <f>'All regions'!E1182+"$F;@!$M("</f>
        <v>#VALUE!</v>
      </c>
      <c r="BB45" t="e">
        <f>'All regions'!F1182+"$F;@!$M)"</f>
        <v>#VALUE!</v>
      </c>
      <c r="BC45" t="e">
        <f>'All regions'!G1182+"$F;@!$M."</f>
        <v>#VALUE!</v>
      </c>
      <c r="BD45" t="e">
        <f>'All regions'!H1182+"$F;@!$M/"</f>
        <v>#VALUE!</v>
      </c>
      <c r="BE45" t="e">
        <f>'All regions'!I1182+"$F;@!$M0"</f>
        <v>#VALUE!</v>
      </c>
      <c r="BF45" t="e">
        <f>'All regions'!A1183+"$F;@!$M1"</f>
        <v>#VALUE!</v>
      </c>
      <c r="BG45" t="e">
        <f>'All regions'!B1183+"$F;@!$M2"</f>
        <v>#VALUE!</v>
      </c>
      <c r="BH45" t="e">
        <f>'All regions'!C1183+"$F;@!$M3"</f>
        <v>#VALUE!</v>
      </c>
      <c r="BI45" t="e">
        <f>'All regions'!D1183+"$F;@!$M4"</f>
        <v>#VALUE!</v>
      </c>
      <c r="BJ45" t="e">
        <f>'All regions'!E1183+"$F;@!$M5"</f>
        <v>#VALUE!</v>
      </c>
      <c r="BK45" t="e">
        <f>'All regions'!F1183+"$F;@!$M6"</f>
        <v>#VALUE!</v>
      </c>
      <c r="BL45" t="e">
        <f>'All regions'!G1183+"$F;@!$M7"</f>
        <v>#VALUE!</v>
      </c>
      <c r="BM45" t="e">
        <f>'All regions'!H1183+"$F;@!$M8"</f>
        <v>#VALUE!</v>
      </c>
      <c r="BN45" t="e">
        <f>'All regions'!I1183+"$F;@!$M9"</f>
        <v>#VALUE!</v>
      </c>
      <c r="BO45" t="e">
        <f>'All regions'!A1184+"$F;@!$M:"</f>
        <v>#VALUE!</v>
      </c>
      <c r="BP45" t="e">
        <f>'All regions'!B1184+"$F;@!$M;"</f>
        <v>#VALUE!</v>
      </c>
      <c r="BQ45" t="e">
        <f>'All regions'!C1184+"$F;@!$M&lt;"</f>
        <v>#VALUE!</v>
      </c>
      <c r="BR45" t="e">
        <f>'All regions'!D1184+"$F;@!$M="</f>
        <v>#VALUE!</v>
      </c>
      <c r="BS45" t="e">
        <f>'All regions'!E1184+"$F;@!$M&gt;"</f>
        <v>#VALUE!</v>
      </c>
      <c r="BT45" t="e">
        <f>'All regions'!F1184+"$F;@!$M?"</f>
        <v>#VALUE!</v>
      </c>
      <c r="BU45" t="e">
        <f>'All regions'!G1184+"$F;@!$M@"</f>
        <v>#VALUE!</v>
      </c>
      <c r="BV45" t="e">
        <f>'All regions'!H1184+"$F;@!$MA"</f>
        <v>#VALUE!</v>
      </c>
      <c r="BW45" t="e">
        <f>'All regions'!I1184+"$F;@!$MB"</f>
        <v>#VALUE!</v>
      </c>
      <c r="BX45" t="e">
        <f>'All regions'!A1185+"$F;@!$MC"</f>
        <v>#VALUE!</v>
      </c>
      <c r="BY45" t="e">
        <f>'All regions'!B1185+"$F;@!$MD"</f>
        <v>#VALUE!</v>
      </c>
      <c r="BZ45" t="e">
        <f>'All regions'!C1185+"$F;@!$ME"</f>
        <v>#VALUE!</v>
      </c>
      <c r="CA45" t="e">
        <f>'All regions'!D1185+"$F;@!$MF"</f>
        <v>#VALUE!</v>
      </c>
      <c r="CB45" t="e">
        <f>'All regions'!E1185+"$F;@!$MG"</f>
        <v>#VALUE!</v>
      </c>
      <c r="CC45" t="e">
        <f>'All regions'!F1185+"$F;@!$MH"</f>
        <v>#VALUE!</v>
      </c>
      <c r="CD45" t="e">
        <f>'All regions'!G1185+"$F;@!$MI"</f>
        <v>#VALUE!</v>
      </c>
      <c r="CE45" t="e">
        <f>'All regions'!H1185+"$F;@!$MJ"</f>
        <v>#VALUE!</v>
      </c>
      <c r="CF45" t="e">
        <f>'All regions'!I1185+"$F;@!$MK"</f>
        <v>#VALUE!</v>
      </c>
      <c r="CG45" t="e">
        <f>'All regions'!A1186+"$F;@!$ML"</f>
        <v>#VALUE!</v>
      </c>
      <c r="CH45" t="e">
        <f>'All regions'!B1186+"$F;@!$MM"</f>
        <v>#VALUE!</v>
      </c>
      <c r="CI45" t="e">
        <f>'All regions'!C1186+"$F;@!$MN"</f>
        <v>#VALUE!</v>
      </c>
      <c r="CJ45" t="e">
        <f>'All regions'!D1186+"$F;@!$MO"</f>
        <v>#VALUE!</v>
      </c>
      <c r="CK45" t="e">
        <f>'All regions'!E1186+"$F;@!$MP"</f>
        <v>#VALUE!</v>
      </c>
      <c r="CL45" t="e">
        <f>'All regions'!F1186+"$F;@!$MQ"</f>
        <v>#VALUE!</v>
      </c>
      <c r="CM45" t="e">
        <f>'All regions'!G1186+"$F;@!$MR"</f>
        <v>#VALUE!</v>
      </c>
      <c r="CN45" t="e">
        <f>'All regions'!H1186+"$F;@!$MS"</f>
        <v>#VALUE!</v>
      </c>
      <c r="CO45" t="e">
        <f>'All regions'!I1186+"$F;@!$MT"</f>
        <v>#VALUE!</v>
      </c>
      <c r="CP45" t="e">
        <f>'All regions'!A1187+"$F;@!$MU"</f>
        <v>#VALUE!</v>
      </c>
      <c r="CQ45" t="e">
        <f>'All regions'!B1187+"$F;@!$MV"</f>
        <v>#VALUE!</v>
      </c>
      <c r="CR45" t="e">
        <f>'All regions'!C1187+"$F;@!$MW"</f>
        <v>#VALUE!</v>
      </c>
      <c r="CS45" t="e">
        <f>'All regions'!D1187+"$F;@!$MX"</f>
        <v>#VALUE!</v>
      </c>
      <c r="CT45" t="e">
        <f>'All regions'!E1187+"$F;@!$MY"</f>
        <v>#VALUE!</v>
      </c>
      <c r="CU45" t="e">
        <f>'All regions'!F1187+"$F;@!$MZ"</f>
        <v>#VALUE!</v>
      </c>
      <c r="CV45" t="e">
        <f>'All regions'!G1187+"$F;@!$M["</f>
        <v>#VALUE!</v>
      </c>
      <c r="CW45" t="e">
        <f>'All regions'!H1187+"$F;@!$M\"</f>
        <v>#VALUE!</v>
      </c>
      <c r="CX45" t="e">
        <f>'All regions'!I1187+"$F;@!$M]"</f>
        <v>#VALUE!</v>
      </c>
      <c r="CY45" t="e">
        <f>'All regions'!A1188+"$F;@!$M^"</f>
        <v>#VALUE!</v>
      </c>
      <c r="CZ45" t="e">
        <f>'All regions'!B1188+"$F;@!$M_"</f>
        <v>#VALUE!</v>
      </c>
      <c r="DA45" t="e">
        <f>'All regions'!C1188+"$F;@!$M`"</f>
        <v>#VALUE!</v>
      </c>
      <c r="DB45" t="e">
        <f>'All regions'!D1188+"$F;@!$Ma"</f>
        <v>#VALUE!</v>
      </c>
      <c r="DC45" t="e">
        <f>'All regions'!E1188+"$F;@!$Mb"</f>
        <v>#VALUE!</v>
      </c>
      <c r="DD45" t="e">
        <f>'All regions'!F1188+"$F;@!$Mc"</f>
        <v>#VALUE!</v>
      </c>
      <c r="DE45" t="e">
        <f>'All regions'!G1188+"$F;@!$Md"</f>
        <v>#VALUE!</v>
      </c>
      <c r="DF45" t="e">
        <f>'All regions'!H1188+"$F;@!$Me"</f>
        <v>#VALUE!</v>
      </c>
      <c r="DG45" t="e">
        <f>'All regions'!I1188+"$F;@!$Mf"</f>
        <v>#VALUE!</v>
      </c>
      <c r="DH45" t="e">
        <f>'All regions'!A1189+"$F;@!$Mg"</f>
        <v>#VALUE!</v>
      </c>
      <c r="DI45" t="e">
        <f>'All regions'!B1189+"$F;@!$Mh"</f>
        <v>#VALUE!</v>
      </c>
      <c r="DJ45" t="e">
        <f>'All regions'!C1189+"$F;@!$Mi"</f>
        <v>#VALUE!</v>
      </c>
      <c r="DK45" t="e">
        <f>'All regions'!D1189+"$F;@!$Mj"</f>
        <v>#VALUE!</v>
      </c>
      <c r="DL45" t="e">
        <f>'All regions'!E1189+"$F;@!$Mk"</f>
        <v>#VALUE!</v>
      </c>
      <c r="DM45" t="e">
        <f>'All regions'!F1189+"$F;@!$Ml"</f>
        <v>#VALUE!</v>
      </c>
      <c r="DN45" t="e">
        <f>'All regions'!G1189+"$F;@!$Mm"</f>
        <v>#VALUE!</v>
      </c>
      <c r="DO45" t="e">
        <f>'All regions'!H1189+"$F;@!$Mn"</f>
        <v>#VALUE!</v>
      </c>
      <c r="DP45" t="e">
        <f>'All regions'!I1189+"$F;@!$Mo"</f>
        <v>#VALUE!</v>
      </c>
      <c r="DQ45" t="e">
        <f>'All regions'!A1190+"$F;@!$Mp"</f>
        <v>#VALUE!</v>
      </c>
      <c r="DR45" t="e">
        <f>'All regions'!B1190+"$F;@!$Mq"</f>
        <v>#VALUE!</v>
      </c>
      <c r="DS45" t="e">
        <f>'All regions'!C1190+"$F;@!$Mr"</f>
        <v>#VALUE!</v>
      </c>
      <c r="DT45" t="e">
        <f>'All regions'!D1190+"$F;@!$Ms"</f>
        <v>#VALUE!</v>
      </c>
      <c r="DU45" t="e">
        <f>'All regions'!E1190+"$F;@!$Mt"</f>
        <v>#VALUE!</v>
      </c>
      <c r="DV45" t="e">
        <f>'All regions'!F1190+"$F;@!$Mu"</f>
        <v>#VALUE!</v>
      </c>
      <c r="DW45" t="e">
        <f>'All regions'!G1190+"$F;@!$Mv"</f>
        <v>#VALUE!</v>
      </c>
      <c r="DX45" t="e">
        <f>'All regions'!H1190+"$F;@!$Mw"</f>
        <v>#VALUE!</v>
      </c>
      <c r="DY45" t="e">
        <f>'All regions'!I1190+"$F;@!$Mx"</f>
        <v>#VALUE!</v>
      </c>
      <c r="DZ45" t="e">
        <f>'All regions'!A1191+"$F;@!$My"</f>
        <v>#VALUE!</v>
      </c>
      <c r="EA45" t="e">
        <f>'All regions'!B1191+"$F;@!$Mz"</f>
        <v>#VALUE!</v>
      </c>
      <c r="EB45" t="e">
        <f>'All regions'!C1191+"$F;@!$M{"</f>
        <v>#VALUE!</v>
      </c>
      <c r="EC45" t="e">
        <f>'All regions'!D1191+"$F;@!$M|"</f>
        <v>#VALUE!</v>
      </c>
      <c r="ED45" t="e">
        <f>'All regions'!E1191+"$F;@!$M}"</f>
        <v>#VALUE!</v>
      </c>
      <c r="EE45" t="e">
        <f>'All regions'!F1191+"$F;@!$M~"</f>
        <v>#VALUE!</v>
      </c>
      <c r="EF45" t="e">
        <f>'All regions'!G1191+"$F;@!$N#"</f>
        <v>#VALUE!</v>
      </c>
      <c r="EG45" t="e">
        <f>'All regions'!H1191+"$F;@!$N$"</f>
        <v>#VALUE!</v>
      </c>
      <c r="EH45" t="e">
        <f>'All regions'!I1191+"$F;@!$N%"</f>
        <v>#VALUE!</v>
      </c>
      <c r="EI45" t="e">
        <f>'All regions'!A1192+"$F;@!$N&amp;"</f>
        <v>#VALUE!</v>
      </c>
      <c r="EJ45" t="e">
        <f>'All regions'!B1192+"$F;@!$N'"</f>
        <v>#VALUE!</v>
      </c>
      <c r="EK45" t="e">
        <f>'All regions'!C1192+"$F;@!$N("</f>
        <v>#VALUE!</v>
      </c>
      <c r="EL45" t="e">
        <f>'All regions'!D1192+"$F;@!$N)"</f>
        <v>#VALUE!</v>
      </c>
      <c r="EM45" t="e">
        <f>'All regions'!E1192+"$F;@!$N."</f>
        <v>#VALUE!</v>
      </c>
      <c r="EN45" t="e">
        <f>'All regions'!F1192+"$F;@!$N/"</f>
        <v>#VALUE!</v>
      </c>
      <c r="EO45" t="e">
        <f>'All regions'!G1192+"$F;@!$N0"</f>
        <v>#VALUE!</v>
      </c>
      <c r="EP45" t="e">
        <f>'All regions'!H1192+"$F;@!$N1"</f>
        <v>#VALUE!</v>
      </c>
      <c r="EQ45" t="e">
        <f>'All regions'!I1192+"$F;@!$N2"</f>
        <v>#VALUE!</v>
      </c>
      <c r="ER45" t="e">
        <f>'All regions'!A1193+"$F;@!$N3"</f>
        <v>#VALUE!</v>
      </c>
      <c r="ES45" t="e">
        <f>'All regions'!B1193+"$F;@!$N4"</f>
        <v>#VALUE!</v>
      </c>
      <c r="ET45" t="e">
        <f>'All regions'!C1193+"$F;@!$N5"</f>
        <v>#VALUE!</v>
      </c>
      <c r="EU45" t="e">
        <f>'All regions'!D1193+"$F;@!$N6"</f>
        <v>#VALUE!</v>
      </c>
      <c r="EV45" t="e">
        <f>'All regions'!E1193+"$F;@!$N7"</f>
        <v>#VALUE!</v>
      </c>
      <c r="EW45" t="e">
        <f>'All regions'!F1193+"$F;@!$N8"</f>
        <v>#VALUE!</v>
      </c>
      <c r="EX45" t="e">
        <f>'All regions'!G1193+"$F;@!$N9"</f>
        <v>#VALUE!</v>
      </c>
      <c r="EY45" t="e">
        <f>'All regions'!H1193+"$F;@!$N:"</f>
        <v>#VALUE!</v>
      </c>
      <c r="EZ45" t="e">
        <f>'All regions'!I1193+"$F;@!$N;"</f>
        <v>#VALUE!</v>
      </c>
      <c r="FA45" t="e">
        <f>'All regions'!A1194+"$F;@!$N&lt;"</f>
        <v>#VALUE!</v>
      </c>
      <c r="FB45" t="e">
        <f>'All regions'!B1194+"$F;@!$N="</f>
        <v>#VALUE!</v>
      </c>
      <c r="FC45" t="e">
        <f>'All regions'!C1194+"$F;@!$N&gt;"</f>
        <v>#VALUE!</v>
      </c>
      <c r="FD45" t="e">
        <f>'All regions'!D1194+"$F;@!$N?"</f>
        <v>#VALUE!</v>
      </c>
      <c r="FE45" t="e">
        <f>'All regions'!E1194+"$F;@!$N@"</f>
        <v>#VALUE!</v>
      </c>
      <c r="FF45" t="e">
        <f>'All regions'!F1194+"$F;@!$NA"</f>
        <v>#VALUE!</v>
      </c>
      <c r="FG45" t="e">
        <f>'All regions'!G1194+"$F;@!$NB"</f>
        <v>#VALUE!</v>
      </c>
      <c r="FH45" t="e">
        <f>'All regions'!H1194+"$F;@!$NC"</f>
        <v>#VALUE!</v>
      </c>
      <c r="FI45" t="e">
        <f>'All regions'!I1194+"$F;@!$ND"</f>
        <v>#VALUE!</v>
      </c>
      <c r="FJ45" t="e">
        <f>'All regions'!A1195+"$F;@!$NE"</f>
        <v>#VALUE!</v>
      </c>
      <c r="FK45" t="e">
        <f>'All regions'!B1195+"$F;@!$NF"</f>
        <v>#VALUE!</v>
      </c>
      <c r="FL45" t="e">
        <f>'All regions'!C1195+"$F;@!$NG"</f>
        <v>#VALUE!</v>
      </c>
      <c r="FM45" t="e">
        <f>'All regions'!D1195+"$F;@!$NH"</f>
        <v>#VALUE!</v>
      </c>
      <c r="FN45" t="e">
        <f>'All regions'!E1195+"$F;@!$NI"</f>
        <v>#VALUE!</v>
      </c>
      <c r="FO45" t="e">
        <f>'All regions'!F1195+"$F;@!$NJ"</f>
        <v>#VALUE!</v>
      </c>
      <c r="FP45" t="e">
        <f>'All regions'!G1195+"$F;@!$NK"</f>
        <v>#VALUE!</v>
      </c>
      <c r="FQ45" t="e">
        <f>'All regions'!H1195+"$F;@!$NL"</f>
        <v>#VALUE!</v>
      </c>
      <c r="FR45" t="e">
        <f>'All regions'!I1195+"$F;@!$NM"</f>
        <v>#VALUE!</v>
      </c>
      <c r="FS45" t="e">
        <f>'All regions'!A1196+"$F;@!$NN"</f>
        <v>#VALUE!</v>
      </c>
      <c r="FT45" t="e">
        <f>'All regions'!B1196+"$F;@!$NO"</f>
        <v>#VALUE!</v>
      </c>
      <c r="FU45" t="e">
        <f>'All regions'!C1196+"$F;@!$NP"</f>
        <v>#VALUE!</v>
      </c>
      <c r="FV45" t="e">
        <f>'All regions'!D1196+"$F;@!$NQ"</f>
        <v>#VALUE!</v>
      </c>
      <c r="FW45" t="e">
        <f>'All regions'!E1196+"$F;@!$NR"</f>
        <v>#VALUE!</v>
      </c>
      <c r="FX45" t="e">
        <f>'All regions'!F1196+"$F;@!$NS"</f>
        <v>#VALUE!</v>
      </c>
      <c r="FY45" t="e">
        <f>'All regions'!G1196+"$F;@!$NT"</f>
        <v>#VALUE!</v>
      </c>
      <c r="FZ45" t="e">
        <f>'All regions'!H1196+"$F;@!$NU"</f>
        <v>#VALUE!</v>
      </c>
      <c r="GA45" t="e">
        <f>'All regions'!I1196+"$F;@!$NV"</f>
        <v>#VALUE!</v>
      </c>
      <c r="GB45" t="e">
        <f>'All regions'!A1197+"$F;@!$NW"</f>
        <v>#VALUE!</v>
      </c>
      <c r="GC45" t="e">
        <f>'All regions'!B1197+"$F;@!$NX"</f>
        <v>#VALUE!</v>
      </c>
      <c r="GD45" t="e">
        <f>'All regions'!C1197+"$F;@!$NY"</f>
        <v>#VALUE!</v>
      </c>
      <c r="GE45" t="e">
        <f>'All regions'!D1197+"$F;@!$NZ"</f>
        <v>#VALUE!</v>
      </c>
      <c r="GF45" t="e">
        <f>'All regions'!E1197+"$F;@!$N["</f>
        <v>#VALUE!</v>
      </c>
      <c r="GG45" t="e">
        <f>'All regions'!F1197+"$F;@!$N\"</f>
        <v>#VALUE!</v>
      </c>
      <c r="GH45" t="e">
        <f>'All regions'!G1197+"$F;@!$N]"</f>
        <v>#VALUE!</v>
      </c>
      <c r="GI45" t="e">
        <f>'All regions'!H1197+"$F;@!$N^"</f>
        <v>#VALUE!</v>
      </c>
      <c r="GJ45" t="e">
        <f>'All regions'!I1197+"$F;@!$N_"</f>
        <v>#VALUE!</v>
      </c>
      <c r="GK45" t="e">
        <f>'All regions'!A1198+"$F;@!$N`"</f>
        <v>#VALUE!</v>
      </c>
      <c r="GL45" t="e">
        <f>'All regions'!B1198+"$F;@!$Na"</f>
        <v>#VALUE!</v>
      </c>
      <c r="GM45" t="e">
        <f>'All regions'!C1198+"$F;@!$Nb"</f>
        <v>#VALUE!</v>
      </c>
      <c r="GN45" t="e">
        <f>'All regions'!D1198+"$F;@!$Nc"</f>
        <v>#VALUE!</v>
      </c>
      <c r="GO45" t="e">
        <f>'All regions'!E1198+"$F;@!$Nd"</f>
        <v>#VALUE!</v>
      </c>
      <c r="GP45" t="e">
        <f>'All regions'!F1198+"$F;@!$Ne"</f>
        <v>#VALUE!</v>
      </c>
      <c r="GQ45" t="e">
        <f>'All regions'!G1198+"$F;@!$Nf"</f>
        <v>#VALUE!</v>
      </c>
      <c r="GR45" t="e">
        <f>'All regions'!H1198+"$F;@!$Ng"</f>
        <v>#VALUE!</v>
      </c>
      <c r="GS45" t="e">
        <f>'All regions'!I1198+"$F;@!$Nh"</f>
        <v>#VALUE!</v>
      </c>
      <c r="GT45" t="e">
        <f>'All regions'!A1199+"$F;@!$Ni"</f>
        <v>#VALUE!</v>
      </c>
      <c r="GU45" t="e">
        <f>'All regions'!B1199+"$F;@!$Nj"</f>
        <v>#VALUE!</v>
      </c>
      <c r="GV45" t="e">
        <f>'All regions'!C1199+"$F;@!$Nk"</f>
        <v>#VALUE!</v>
      </c>
      <c r="GW45" t="e">
        <f>'All regions'!D1199+"$F;@!$Nl"</f>
        <v>#VALUE!</v>
      </c>
      <c r="GX45" t="e">
        <f>'All regions'!E1199+"$F;@!$Nm"</f>
        <v>#VALUE!</v>
      </c>
      <c r="GY45" t="e">
        <f>'All regions'!F1199+"$F;@!$Nn"</f>
        <v>#VALUE!</v>
      </c>
      <c r="GZ45" t="e">
        <f>'All regions'!G1199+"$F;@!$No"</f>
        <v>#VALUE!</v>
      </c>
      <c r="HA45" t="e">
        <f>'All regions'!H1199+"$F;@!$Np"</f>
        <v>#VALUE!</v>
      </c>
      <c r="HB45" t="e">
        <f>'All regions'!I1199+"$F;@!$Nq"</f>
        <v>#VALUE!</v>
      </c>
      <c r="HC45" t="e">
        <f>'All regions'!A1200+"$F;@!$Nr"</f>
        <v>#VALUE!</v>
      </c>
      <c r="HD45" t="e">
        <f>'All regions'!B1200+"$F;@!$Ns"</f>
        <v>#VALUE!</v>
      </c>
      <c r="HE45" t="e">
        <f>'All regions'!C1200+"$F;@!$Nt"</f>
        <v>#VALUE!</v>
      </c>
      <c r="HF45" t="e">
        <f>'All regions'!D1200+"$F;@!$Nu"</f>
        <v>#VALUE!</v>
      </c>
      <c r="HG45" t="e">
        <f>'All regions'!E1200+"$F;@!$Nv"</f>
        <v>#VALUE!</v>
      </c>
      <c r="HH45" t="e">
        <f>'All regions'!F1200+"$F;@!$Nw"</f>
        <v>#VALUE!</v>
      </c>
      <c r="HI45" t="e">
        <f>'All regions'!G1200+"$F;@!$Nx"</f>
        <v>#VALUE!</v>
      </c>
      <c r="HJ45" t="e">
        <f>'All regions'!H1200+"$F;@!$Ny"</f>
        <v>#VALUE!</v>
      </c>
      <c r="HK45" t="e">
        <f>'All regions'!I1200+"$F;@!$Nz"</f>
        <v>#VALUE!</v>
      </c>
      <c r="HL45" t="e">
        <f>'All regions'!A1201+"$F;@!$N{"</f>
        <v>#VALUE!</v>
      </c>
      <c r="HM45" t="e">
        <f>'All regions'!B1201+"$F;@!$N|"</f>
        <v>#VALUE!</v>
      </c>
      <c r="HN45" t="e">
        <f>'All regions'!C1201+"$F;@!$N}"</f>
        <v>#VALUE!</v>
      </c>
      <c r="HO45" t="e">
        <f>'All regions'!D1201+"$F;@!$N~"</f>
        <v>#VALUE!</v>
      </c>
      <c r="HP45" t="e">
        <f>'All regions'!E1201+"$F;@!$O#"</f>
        <v>#VALUE!</v>
      </c>
      <c r="HQ45" t="e">
        <f>'All regions'!F1201+"$F;@!$O$"</f>
        <v>#VALUE!</v>
      </c>
      <c r="HR45" t="e">
        <f>'All regions'!G1201+"$F;@!$O%"</f>
        <v>#VALUE!</v>
      </c>
      <c r="HS45" t="e">
        <f>'All regions'!H1201+"$F;@!$O&amp;"</f>
        <v>#VALUE!</v>
      </c>
      <c r="HT45" t="e">
        <f>'All regions'!I1201+"$F;@!$O'"</f>
        <v>#VALUE!</v>
      </c>
      <c r="HU45" t="e">
        <f>'All regions'!A1202+"$F;@!$O("</f>
        <v>#VALUE!</v>
      </c>
      <c r="HV45" t="e">
        <f>'All regions'!B1202+"$F;@!$O)"</f>
        <v>#VALUE!</v>
      </c>
      <c r="HW45" t="e">
        <f>'All regions'!C1202+"$F;@!$O."</f>
        <v>#VALUE!</v>
      </c>
      <c r="HX45" t="e">
        <f>'All regions'!D1202+"$F;@!$O/"</f>
        <v>#VALUE!</v>
      </c>
      <c r="HY45" t="e">
        <f>'All regions'!E1202+"$F;@!$O0"</f>
        <v>#VALUE!</v>
      </c>
      <c r="HZ45" t="e">
        <f>'All regions'!F1202+"$F;@!$O1"</f>
        <v>#VALUE!</v>
      </c>
      <c r="IA45" t="e">
        <f>'All regions'!G1202+"$F;@!$O2"</f>
        <v>#VALUE!</v>
      </c>
      <c r="IB45" t="e">
        <f>'All regions'!H1202+"$F;@!$O3"</f>
        <v>#VALUE!</v>
      </c>
      <c r="IC45" t="e">
        <f>'All regions'!I1202+"$F;@!$O4"</f>
        <v>#VALUE!</v>
      </c>
      <c r="ID45" t="e">
        <f>'All regions'!A1203+"$F;@!$O5"</f>
        <v>#VALUE!</v>
      </c>
      <c r="IE45" t="e">
        <f>'All regions'!B1203+"$F;@!$O6"</f>
        <v>#VALUE!</v>
      </c>
      <c r="IF45" t="e">
        <f>'All regions'!C1203+"$F;@!$O7"</f>
        <v>#VALUE!</v>
      </c>
      <c r="IG45" t="e">
        <f>'All regions'!D1203+"$F;@!$O8"</f>
        <v>#VALUE!</v>
      </c>
      <c r="IH45" t="e">
        <f>'All regions'!E1203+"$F;@!$O9"</f>
        <v>#VALUE!</v>
      </c>
      <c r="II45" t="e">
        <f>'All regions'!F1203+"$F;@!$O:"</f>
        <v>#VALUE!</v>
      </c>
      <c r="IJ45" t="e">
        <f>'All regions'!G1203+"$F;@!$O;"</f>
        <v>#VALUE!</v>
      </c>
      <c r="IK45" t="e">
        <f>'All regions'!H1203+"$F;@!$O&lt;"</f>
        <v>#VALUE!</v>
      </c>
      <c r="IL45" t="e">
        <f>'All regions'!I1203+"$F;@!$O="</f>
        <v>#VALUE!</v>
      </c>
      <c r="IM45" t="e">
        <f>'All regions'!A1204+"$F;@!$O&gt;"</f>
        <v>#VALUE!</v>
      </c>
      <c r="IN45" t="e">
        <f>'All regions'!B1204+"$F;@!$O?"</f>
        <v>#VALUE!</v>
      </c>
      <c r="IO45" t="e">
        <f>'All regions'!C1204+"$F;@!$O@"</f>
        <v>#VALUE!</v>
      </c>
      <c r="IP45" t="e">
        <f>'All regions'!D1204+"$F;@!$OA"</f>
        <v>#VALUE!</v>
      </c>
      <c r="IQ45" t="e">
        <f>'All regions'!E1204+"$F;@!$OB"</f>
        <v>#VALUE!</v>
      </c>
      <c r="IR45" t="e">
        <f>'All regions'!F1204+"$F;@!$OC"</f>
        <v>#VALUE!</v>
      </c>
      <c r="IS45" t="e">
        <f>'All regions'!G1204+"$F;@!$OD"</f>
        <v>#VALUE!</v>
      </c>
      <c r="IT45" t="e">
        <f>'All regions'!H1204+"$F;@!$OE"</f>
        <v>#VALUE!</v>
      </c>
      <c r="IU45" t="e">
        <f>'All regions'!I1204+"$F;@!$OF"</f>
        <v>#VALUE!</v>
      </c>
      <c r="IV45" t="e">
        <f>'All regions'!A1205+"$F;@!$OG"</f>
        <v>#VALUE!</v>
      </c>
    </row>
    <row r="46" spans="6:256" x14ac:dyDescent="0.35">
      <c r="F46" t="e">
        <f>'All regions'!B1205+"$F;@!$OH"</f>
        <v>#VALUE!</v>
      </c>
      <c r="G46" t="e">
        <f>'All regions'!C1205+"$F;@!$OI"</f>
        <v>#VALUE!</v>
      </c>
      <c r="H46" t="e">
        <f>'All regions'!D1205+"$F;@!$OJ"</f>
        <v>#VALUE!</v>
      </c>
      <c r="I46" t="e">
        <f>'All regions'!E1205+"$F;@!$OK"</f>
        <v>#VALUE!</v>
      </c>
      <c r="J46" t="e">
        <f>'All regions'!F1205+"$F;@!$OL"</f>
        <v>#VALUE!</v>
      </c>
      <c r="K46" t="e">
        <f>'All regions'!G1205+"$F;@!$OM"</f>
        <v>#VALUE!</v>
      </c>
      <c r="L46" t="e">
        <f>'All regions'!H1205+"$F;@!$ON"</f>
        <v>#VALUE!</v>
      </c>
      <c r="M46" t="e">
        <f>'All regions'!I1205+"$F;@!$OO"</f>
        <v>#VALUE!</v>
      </c>
      <c r="N46" t="e">
        <f>'All regions'!A1206+"$F;@!$OP"</f>
        <v>#VALUE!</v>
      </c>
      <c r="O46" t="e">
        <f>'All regions'!B1206+"$F;@!$OQ"</f>
        <v>#VALUE!</v>
      </c>
      <c r="P46" t="e">
        <f>'All regions'!C1206+"$F;@!$OR"</f>
        <v>#VALUE!</v>
      </c>
      <c r="Q46" t="e">
        <f>'All regions'!D1206+"$F;@!$OS"</f>
        <v>#VALUE!</v>
      </c>
      <c r="R46" t="e">
        <f>'All regions'!E1206+"$F;@!$OT"</f>
        <v>#VALUE!</v>
      </c>
      <c r="S46" t="e">
        <f>'All regions'!F1206+"$F;@!$OU"</f>
        <v>#VALUE!</v>
      </c>
      <c r="T46" t="e">
        <f>'All regions'!G1206+"$F;@!$OV"</f>
        <v>#VALUE!</v>
      </c>
      <c r="U46" t="e">
        <f>'All regions'!H1206+"$F;@!$OW"</f>
        <v>#VALUE!</v>
      </c>
      <c r="V46" t="e">
        <f>'All regions'!I1206+"$F;@!$OX"</f>
        <v>#VALUE!</v>
      </c>
      <c r="W46" t="e">
        <f>'All regions'!A1207+"$F;@!$OY"</f>
        <v>#VALUE!</v>
      </c>
      <c r="X46" t="e">
        <f>'All regions'!B1207+"$F;@!$OZ"</f>
        <v>#VALUE!</v>
      </c>
      <c r="Y46" t="e">
        <f>'All regions'!C1207+"$F;@!$O["</f>
        <v>#VALUE!</v>
      </c>
      <c r="Z46" t="e">
        <f>'All regions'!D1207+"$F;@!$O\"</f>
        <v>#VALUE!</v>
      </c>
      <c r="AA46" t="e">
        <f>'All regions'!E1207+"$F;@!$O]"</f>
        <v>#VALUE!</v>
      </c>
      <c r="AB46" t="e">
        <f>'All regions'!F1207+"$F;@!$O^"</f>
        <v>#VALUE!</v>
      </c>
      <c r="AC46" t="e">
        <f>'All regions'!G1207+"$F;@!$O_"</f>
        <v>#VALUE!</v>
      </c>
      <c r="AD46" t="e">
        <f>'All regions'!H1207+"$F;@!$O`"</f>
        <v>#VALUE!</v>
      </c>
      <c r="AE46" t="e">
        <f>'All regions'!I1207+"$F;@!$Oa"</f>
        <v>#VALUE!</v>
      </c>
      <c r="AF46" t="e">
        <f>'All regions'!A1210+"$F;@!$Ob"</f>
        <v>#VALUE!</v>
      </c>
      <c r="AG46" t="e">
        <f>'All regions'!B1210+"$F;@!$Oc"</f>
        <v>#VALUE!</v>
      </c>
      <c r="AH46" t="e">
        <f>'All regions'!C1210+"$F;@!$Od"</f>
        <v>#VALUE!</v>
      </c>
      <c r="AI46" t="e">
        <f>'All regions'!D1210+"$F;@!$Oe"</f>
        <v>#VALUE!</v>
      </c>
      <c r="AJ46" t="e">
        <f>'All regions'!E1210+"$F;@!$Of"</f>
        <v>#VALUE!</v>
      </c>
      <c r="AK46" t="e">
        <f>'All regions'!F1210+"$F;@!$Og"</f>
        <v>#VALUE!</v>
      </c>
      <c r="AL46" t="e">
        <f>'All regions'!G1210+"$F;@!$Oh"</f>
        <v>#VALUE!</v>
      </c>
      <c r="AM46" t="e">
        <f>'All regions'!H1210+"$F;@!$Oi"</f>
        <v>#VALUE!</v>
      </c>
      <c r="AN46" t="e">
        <f>'All regions'!I1210+"$F;@!$Oj"</f>
        <v>#VALUE!</v>
      </c>
      <c r="AO46" t="e">
        <f>'All regions'!A1211+"$F;@!$Ok"</f>
        <v>#VALUE!</v>
      </c>
      <c r="AP46" t="e">
        <f>'All regions'!B1211+"$F;@!$Ol"</f>
        <v>#VALUE!</v>
      </c>
      <c r="AQ46" t="e">
        <f>'All regions'!C1211+"$F;@!$Om"</f>
        <v>#VALUE!</v>
      </c>
      <c r="AR46" t="e">
        <f>'All regions'!D1211+"$F;@!$On"</f>
        <v>#VALUE!</v>
      </c>
      <c r="AS46" t="e">
        <f>'All regions'!E1211+"$F;@!$Oo"</f>
        <v>#VALUE!</v>
      </c>
      <c r="AT46" t="e">
        <f>'All regions'!F1211+"$F;@!$Op"</f>
        <v>#VALUE!</v>
      </c>
      <c r="AU46" t="e">
        <f>'All regions'!G1211+"$F;@!$Oq"</f>
        <v>#VALUE!</v>
      </c>
      <c r="AV46" t="e">
        <f>'All regions'!H1211+"$F;@!$Or"</f>
        <v>#VALUE!</v>
      </c>
      <c r="AW46" t="e">
        <f>'All regions'!I1211+"$F;@!$Os"</f>
        <v>#VALUE!</v>
      </c>
      <c r="AX46" t="e">
        <f>'All regions'!A1212+"$F;@!$Ot"</f>
        <v>#VALUE!</v>
      </c>
      <c r="AY46" t="e">
        <f>'All regions'!B1212+"$F;@!$Ou"</f>
        <v>#VALUE!</v>
      </c>
      <c r="AZ46" t="e">
        <f>'All regions'!C1212+"$F;@!$Ov"</f>
        <v>#VALUE!</v>
      </c>
      <c r="BA46" t="e">
        <f>'All regions'!D1212+"$F;@!$Ow"</f>
        <v>#VALUE!</v>
      </c>
      <c r="BB46" t="e">
        <f>'All regions'!E1212+"$F;@!$Ox"</f>
        <v>#VALUE!</v>
      </c>
      <c r="BC46" t="e">
        <f>'All regions'!F1212+"$F;@!$Oy"</f>
        <v>#VALUE!</v>
      </c>
      <c r="BD46" t="e">
        <f>'All regions'!G1212+"$F;@!$Oz"</f>
        <v>#VALUE!</v>
      </c>
      <c r="BE46" t="e">
        <f>'All regions'!H1212+"$F;@!$O{"</f>
        <v>#VALUE!</v>
      </c>
      <c r="BF46" t="e">
        <f>'All regions'!I1212+"$F;@!$O|"</f>
        <v>#VALUE!</v>
      </c>
      <c r="BG46" t="e">
        <f>'All regions'!A1213+"$F;@!$O}"</f>
        <v>#VALUE!</v>
      </c>
      <c r="BH46" t="e">
        <f>'All regions'!B1213+"$F;@!$O~"</f>
        <v>#VALUE!</v>
      </c>
      <c r="BI46" t="e">
        <f>'All regions'!C1213+"$F;@!$P#"</f>
        <v>#VALUE!</v>
      </c>
      <c r="BJ46" t="e">
        <f>'All regions'!D1213+"$F;@!$P$"</f>
        <v>#VALUE!</v>
      </c>
      <c r="BK46" t="e">
        <f>'All regions'!E1213+"$F;@!$P%"</f>
        <v>#VALUE!</v>
      </c>
      <c r="BL46" t="e">
        <f>'All regions'!F1213+"$F;@!$P&amp;"</f>
        <v>#VALUE!</v>
      </c>
      <c r="BM46" t="e">
        <f>'All regions'!G1213+"$F;@!$P'"</f>
        <v>#VALUE!</v>
      </c>
      <c r="BN46" t="e">
        <f>'All regions'!H1213+"$F;@!$P("</f>
        <v>#VALUE!</v>
      </c>
      <c r="BO46" t="e">
        <f>'All regions'!I1213+"$F;@!$P)"</f>
        <v>#VALUE!</v>
      </c>
      <c r="BP46" t="e">
        <f>'All regions'!A1214+"$F;@!$P."</f>
        <v>#VALUE!</v>
      </c>
      <c r="BQ46" t="e">
        <f>'All regions'!B1214+"$F;@!$P/"</f>
        <v>#VALUE!</v>
      </c>
      <c r="BR46" t="e">
        <f>'All regions'!C1214+"$F;@!$P0"</f>
        <v>#VALUE!</v>
      </c>
      <c r="BS46" t="e">
        <f>'All regions'!D1214+"$F;@!$P1"</f>
        <v>#VALUE!</v>
      </c>
      <c r="BT46" t="e">
        <f>'All regions'!E1214+"$F;@!$P2"</f>
        <v>#VALUE!</v>
      </c>
      <c r="BU46" t="e">
        <f>'All regions'!F1214+"$F;@!$P3"</f>
        <v>#VALUE!</v>
      </c>
      <c r="BV46" t="e">
        <f>'All regions'!G1214+"$F;@!$P4"</f>
        <v>#VALUE!</v>
      </c>
      <c r="BW46" t="e">
        <f>'All regions'!H1214+"$F;@!$P5"</f>
        <v>#VALUE!</v>
      </c>
      <c r="BX46" t="e">
        <f>'All regions'!I1214+"$F;@!$P6"</f>
        <v>#VALUE!</v>
      </c>
      <c r="BY46" t="e">
        <f>'All regions'!A1215+"$F;@!$P7"</f>
        <v>#VALUE!</v>
      </c>
      <c r="BZ46" t="e">
        <f>'All regions'!B1215+"$F;@!$P8"</f>
        <v>#VALUE!</v>
      </c>
      <c r="CA46" t="e">
        <f>'All regions'!C1215+"$F;@!$P9"</f>
        <v>#VALUE!</v>
      </c>
      <c r="CB46" t="e">
        <f>'All regions'!D1215+"$F;@!$P:"</f>
        <v>#VALUE!</v>
      </c>
      <c r="CC46" t="e">
        <f>'All regions'!E1215+"$F;@!$P;"</f>
        <v>#VALUE!</v>
      </c>
      <c r="CD46" t="e">
        <f>'All regions'!F1215+"$F;@!$P&lt;"</f>
        <v>#VALUE!</v>
      </c>
      <c r="CE46" t="e">
        <f>'All regions'!G1215+"$F;@!$P="</f>
        <v>#VALUE!</v>
      </c>
      <c r="CF46" t="e">
        <f>'All regions'!H1215+"$F;@!$P&gt;"</f>
        <v>#VALUE!</v>
      </c>
      <c r="CG46" t="e">
        <f>'All regions'!I1215+"$F;@!$P?"</f>
        <v>#VALUE!</v>
      </c>
      <c r="CH46" t="e">
        <f>'All regions'!A1216+"$F;@!$P@"</f>
        <v>#VALUE!</v>
      </c>
      <c r="CI46" t="e">
        <f>'All regions'!B1216+"$F;@!$PA"</f>
        <v>#VALUE!</v>
      </c>
      <c r="CJ46" t="e">
        <f>'All regions'!C1216+"$F;@!$PB"</f>
        <v>#VALUE!</v>
      </c>
      <c r="CK46" t="e">
        <f>'All regions'!D1216+"$F;@!$PC"</f>
        <v>#VALUE!</v>
      </c>
      <c r="CL46" t="e">
        <f>'All regions'!E1216+"$F;@!$PD"</f>
        <v>#VALUE!</v>
      </c>
      <c r="CM46" t="e">
        <f>'All regions'!F1216+"$F;@!$PE"</f>
        <v>#VALUE!</v>
      </c>
      <c r="CN46" t="e">
        <f>'All regions'!G1216+"$F;@!$PF"</f>
        <v>#VALUE!</v>
      </c>
      <c r="CO46" t="e">
        <f>'All regions'!H1216+"$F;@!$PG"</f>
        <v>#VALUE!</v>
      </c>
      <c r="CP46" t="e">
        <f>'All regions'!I1216+"$F;@!$PH"</f>
        <v>#VALUE!</v>
      </c>
      <c r="CQ46" t="e">
        <f>'All regions'!A1217+"$F;@!$PI"</f>
        <v>#VALUE!</v>
      </c>
      <c r="CR46" t="e">
        <f>'All regions'!B1217+"$F;@!$PJ"</f>
        <v>#VALUE!</v>
      </c>
      <c r="CS46" t="e">
        <f>'All regions'!C1217+"$F;@!$PK"</f>
        <v>#VALUE!</v>
      </c>
      <c r="CT46" t="e">
        <f>'All regions'!D1217+"$F;@!$PL"</f>
        <v>#VALUE!</v>
      </c>
      <c r="CU46" t="e">
        <f>'All regions'!E1217+"$F;@!$PM"</f>
        <v>#VALUE!</v>
      </c>
      <c r="CV46" t="e">
        <f>'All regions'!F1217+"$F;@!$PN"</f>
        <v>#VALUE!</v>
      </c>
      <c r="CW46" t="e">
        <f>'All regions'!G1217+"$F;@!$PO"</f>
        <v>#VALUE!</v>
      </c>
      <c r="CX46" t="e">
        <f>'All regions'!H1217+"$F;@!$PP"</f>
        <v>#VALUE!</v>
      </c>
      <c r="CY46" t="e">
        <f>'All regions'!I1217+"$F;@!$PQ"</f>
        <v>#VALUE!</v>
      </c>
      <c r="CZ46" t="e">
        <f>'All regions'!A1218+"$F;@!$PR"</f>
        <v>#VALUE!</v>
      </c>
      <c r="DA46" t="e">
        <f>'All regions'!B1218+"$F;@!$PS"</f>
        <v>#VALUE!</v>
      </c>
      <c r="DB46" t="e">
        <f>'All regions'!C1218+"$F;@!$PT"</f>
        <v>#VALUE!</v>
      </c>
      <c r="DC46" t="e">
        <f>'All regions'!D1218+"$F;@!$PU"</f>
        <v>#VALUE!</v>
      </c>
      <c r="DD46" t="e">
        <f>'All regions'!E1218+"$F;@!$PV"</f>
        <v>#VALUE!</v>
      </c>
      <c r="DE46" t="e">
        <f>'All regions'!F1218+"$F;@!$PW"</f>
        <v>#VALUE!</v>
      </c>
      <c r="DF46" t="e">
        <f>'All regions'!G1218+"$F;@!$PX"</f>
        <v>#VALUE!</v>
      </c>
      <c r="DG46" t="e">
        <f>'All regions'!H1218+"$F;@!$PY"</f>
        <v>#VALUE!</v>
      </c>
      <c r="DH46" t="e">
        <f>'All regions'!I1218+"$F;@!$PZ"</f>
        <v>#VALUE!</v>
      </c>
      <c r="DI46" t="e">
        <f>'All regions'!A1219+"$F;@!$P["</f>
        <v>#VALUE!</v>
      </c>
      <c r="DJ46" t="e">
        <f>'All regions'!B1219+"$F;@!$P\"</f>
        <v>#VALUE!</v>
      </c>
      <c r="DK46" t="e">
        <f>'All regions'!C1219+"$F;@!$P]"</f>
        <v>#VALUE!</v>
      </c>
      <c r="DL46" t="e">
        <f>'All regions'!D1219+"$F;@!$P^"</f>
        <v>#VALUE!</v>
      </c>
      <c r="DM46" t="e">
        <f>'All regions'!E1219+"$F;@!$P_"</f>
        <v>#VALUE!</v>
      </c>
      <c r="DN46" t="e">
        <f>'All regions'!F1219+"$F;@!$P`"</f>
        <v>#VALUE!</v>
      </c>
      <c r="DO46" t="e">
        <f>'All regions'!G1219+"$F;@!$Pa"</f>
        <v>#VALUE!</v>
      </c>
      <c r="DP46" t="e">
        <f>'All regions'!H1219+"$F;@!$Pb"</f>
        <v>#VALUE!</v>
      </c>
      <c r="DQ46" t="e">
        <f>'All regions'!I1219+"$F;@!$Pc"</f>
        <v>#VALUE!</v>
      </c>
      <c r="DR46" t="e">
        <f>'All regions'!A1220+"$F;@!$Pd"</f>
        <v>#VALUE!</v>
      </c>
      <c r="DS46" t="e">
        <f>'All regions'!B1220+"$F;@!$Pe"</f>
        <v>#VALUE!</v>
      </c>
      <c r="DT46" t="e">
        <f>'All regions'!C1220+"$F;@!$Pf"</f>
        <v>#VALUE!</v>
      </c>
      <c r="DU46" t="e">
        <f>'All regions'!D1220+"$F;@!$Pg"</f>
        <v>#VALUE!</v>
      </c>
      <c r="DV46" t="e">
        <f>'All regions'!E1220+"$F;@!$Ph"</f>
        <v>#VALUE!</v>
      </c>
      <c r="DW46" t="e">
        <f>'All regions'!F1220+"$F;@!$Pi"</f>
        <v>#VALUE!</v>
      </c>
      <c r="DX46" t="e">
        <f>'All regions'!G1220+"$F;@!$Pj"</f>
        <v>#VALUE!</v>
      </c>
      <c r="DY46" t="e">
        <f>'All regions'!H1220+"$F;@!$Pk"</f>
        <v>#VALUE!</v>
      </c>
      <c r="DZ46" t="e">
        <f>'All regions'!I1220+"$F;@!$Pl"</f>
        <v>#VALUE!</v>
      </c>
      <c r="EA46" t="e">
        <f>'All regions'!A1221+"$F;@!$Pm"</f>
        <v>#VALUE!</v>
      </c>
      <c r="EB46" t="e">
        <f>'All regions'!B1221+"$F;@!$Pn"</f>
        <v>#VALUE!</v>
      </c>
      <c r="EC46" t="e">
        <f>'All regions'!C1221+"$F;@!$Po"</f>
        <v>#VALUE!</v>
      </c>
      <c r="ED46" t="e">
        <f>'All regions'!D1221+"$F;@!$Pp"</f>
        <v>#VALUE!</v>
      </c>
      <c r="EE46" t="e">
        <f>'All regions'!E1221+"$F;@!$Pq"</f>
        <v>#VALUE!</v>
      </c>
      <c r="EF46" t="e">
        <f>'All regions'!F1221+"$F;@!$Pr"</f>
        <v>#VALUE!</v>
      </c>
      <c r="EG46" t="e">
        <f>'All regions'!G1221+"$F;@!$Ps"</f>
        <v>#VALUE!</v>
      </c>
      <c r="EH46" t="e">
        <f>'All regions'!H1221+"$F;@!$Pt"</f>
        <v>#VALUE!</v>
      </c>
      <c r="EI46" t="e">
        <f>'All regions'!I1221+"$F;@!$Pu"</f>
        <v>#VALUE!</v>
      </c>
      <c r="EJ46" t="e">
        <f>'All regions'!A1222+"$F;@!$Pv"</f>
        <v>#VALUE!</v>
      </c>
      <c r="EK46" t="e">
        <f>'All regions'!B1222+"$F;@!$Pw"</f>
        <v>#VALUE!</v>
      </c>
      <c r="EL46" t="e">
        <f>'All regions'!C1222+"$F;@!$Px"</f>
        <v>#VALUE!</v>
      </c>
      <c r="EM46" t="e">
        <f>'All regions'!D1222+"$F;@!$Py"</f>
        <v>#VALUE!</v>
      </c>
      <c r="EN46" t="e">
        <f>'All regions'!E1222+"$F;@!$Pz"</f>
        <v>#VALUE!</v>
      </c>
      <c r="EO46" t="e">
        <f>'All regions'!F1222+"$F;@!$P{"</f>
        <v>#VALUE!</v>
      </c>
      <c r="EP46" t="e">
        <f>'All regions'!G1222+"$F;@!$P|"</f>
        <v>#VALUE!</v>
      </c>
      <c r="EQ46" t="e">
        <f>'All regions'!H1222+"$F;@!$P}"</f>
        <v>#VALUE!</v>
      </c>
      <c r="ER46" t="e">
        <f>'All regions'!I1222+"$F;@!$P~"</f>
        <v>#VALUE!</v>
      </c>
      <c r="ES46" t="e">
        <f>'All regions'!A1223+"$F;@!$Q#"</f>
        <v>#VALUE!</v>
      </c>
      <c r="ET46" t="e">
        <f>'All regions'!B1223+"$F;@!$Q$"</f>
        <v>#VALUE!</v>
      </c>
      <c r="EU46" t="e">
        <f>'All regions'!C1223+"$F;@!$Q%"</f>
        <v>#VALUE!</v>
      </c>
      <c r="EV46" t="e">
        <f>'All regions'!D1223+"$F;@!$Q&amp;"</f>
        <v>#VALUE!</v>
      </c>
      <c r="EW46" t="e">
        <f>'All regions'!E1223+"$F;@!$Q'"</f>
        <v>#VALUE!</v>
      </c>
      <c r="EX46" t="e">
        <f>'All regions'!F1223+"$F;@!$Q("</f>
        <v>#VALUE!</v>
      </c>
      <c r="EY46" t="e">
        <f>'All regions'!G1223+"$F;@!$Q)"</f>
        <v>#VALUE!</v>
      </c>
      <c r="EZ46" t="e">
        <f>'All regions'!H1223+"$F;@!$Q."</f>
        <v>#VALUE!</v>
      </c>
      <c r="FA46" t="e">
        <f>'All regions'!I1223+"$F;@!$Q/"</f>
        <v>#VALUE!</v>
      </c>
      <c r="FB46" t="e">
        <f>'All regions'!A1224+"$F;@!$Q0"</f>
        <v>#VALUE!</v>
      </c>
      <c r="FC46" t="e">
        <f>'All regions'!B1224+"$F;@!$Q1"</f>
        <v>#VALUE!</v>
      </c>
      <c r="FD46" t="e">
        <f>'All regions'!C1224+"$F;@!$Q2"</f>
        <v>#VALUE!</v>
      </c>
      <c r="FE46" t="e">
        <f>'All regions'!D1224+"$F;@!$Q3"</f>
        <v>#VALUE!</v>
      </c>
      <c r="FF46" t="e">
        <f>'All regions'!E1224+"$F;@!$Q4"</f>
        <v>#VALUE!</v>
      </c>
      <c r="FG46" t="e">
        <f>'All regions'!F1224+"$F;@!$Q5"</f>
        <v>#VALUE!</v>
      </c>
      <c r="FH46" t="e">
        <f>'All regions'!G1224+"$F;@!$Q6"</f>
        <v>#VALUE!</v>
      </c>
      <c r="FI46" t="e">
        <f>'All regions'!H1224+"$F;@!$Q7"</f>
        <v>#VALUE!</v>
      </c>
      <c r="FJ46" t="e">
        <f>'All regions'!I1224+"$F;@!$Q8"</f>
        <v>#VALUE!</v>
      </c>
      <c r="FK46" t="e">
        <f>'All regions'!A1225+"$F;@!$Q9"</f>
        <v>#VALUE!</v>
      </c>
      <c r="FL46" t="e">
        <f>'All regions'!B1225+"$F;@!$Q:"</f>
        <v>#VALUE!</v>
      </c>
      <c r="FM46" t="e">
        <f>'All regions'!C1225+"$F;@!$Q;"</f>
        <v>#VALUE!</v>
      </c>
      <c r="FN46" t="e">
        <f>'All regions'!D1225+"$F;@!$Q&lt;"</f>
        <v>#VALUE!</v>
      </c>
      <c r="FO46" t="e">
        <f>'All regions'!E1225+"$F;@!$Q="</f>
        <v>#VALUE!</v>
      </c>
      <c r="FP46" t="e">
        <f>'All regions'!F1225+"$F;@!$Q&gt;"</f>
        <v>#VALUE!</v>
      </c>
      <c r="FQ46" t="e">
        <f>'All regions'!G1225+"$F;@!$Q?"</f>
        <v>#VALUE!</v>
      </c>
      <c r="FR46" t="e">
        <f>'All regions'!H1225+"$F;@!$Q@"</f>
        <v>#VALUE!</v>
      </c>
      <c r="FS46" t="e">
        <f>'All regions'!I1225+"$F;@!$QA"</f>
        <v>#VALUE!</v>
      </c>
      <c r="FT46" t="e">
        <f>'All regions'!A1226+"$F;@!$QB"</f>
        <v>#VALUE!</v>
      </c>
      <c r="FU46" t="e">
        <f>'All regions'!B1226+"$F;@!$QC"</f>
        <v>#VALUE!</v>
      </c>
      <c r="FV46" t="e">
        <f>'All regions'!C1226+"$F;@!$QD"</f>
        <v>#VALUE!</v>
      </c>
      <c r="FW46" t="e">
        <f>'All regions'!D1226+"$F;@!$QE"</f>
        <v>#VALUE!</v>
      </c>
      <c r="FX46" t="e">
        <f>'All regions'!E1226+"$F;@!$QF"</f>
        <v>#VALUE!</v>
      </c>
      <c r="FY46" t="e">
        <f>'All regions'!F1226+"$F;@!$QG"</f>
        <v>#VALUE!</v>
      </c>
      <c r="FZ46" t="e">
        <f>'All regions'!G1226+"$F;@!$QH"</f>
        <v>#VALUE!</v>
      </c>
      <c r="GA46" t="e">
        <f>'All regions'!H1226+"$F;@!$QI"</f>
        <v>#VALUE!</v>
      </c>
      <c r="GB46" t="e">
        <f>'All regions'!I1226+"$F;@!$QJ"</f>
        <v>#VALUE!</v>
      </c>
      <c r="GC46" t="e">
        <f>'All regions'!A1227+"$F;@!$QK"</f>
        <v>#VALUE!</v>
      </c>
      <c r="GD46" t="e">
        <f>'All regions'!B1227+"$F;@!$QL"</f>
        <v>#VALUE!</v>
      </c>
      <c r="GE46" t="e">
        <f>'All regions'!C1227+"$F;@!$QM"</f>
        <v>#VALUE!</v>
      </c>
      <c r="GF46" t="e">
        <f>'All regions'!D1227+"$F;@!$QN"</f>
        <v>#VALUE!</v>
      </c>
      <c r="GG46" t="e">
        <f>'All regions'!E1227+"$F;@!$QO"</f>
        <v>#VALUE!</v>
      </c>
      <c r="GH46" t="e">
        <f>'All regions'!F1227+"$F;@!$QP"</f>
        <v>#VALUE!</v>
      </c>
      <c r="GI46" t="e">
        <f>'All regions'!G1227+"$F;@!$QQ"</f>
        <v>#VALUE!</v>
      </c>
      <c r="GJ46" t="e">
        <f>'All regions'!H1227+"$F;@!$QR"</f>
        <v>#VALUE!</v>
      </c>
      <c r="GK46" t="e">
        <f>'All regions'!I1227+"$F;@!$QS"</f>
        <v>#VALUE!</v>
      </c>
      <c r="GL46" t="e">
        <f>'All regions'!A1228+"$F;@!$QT"</f>
        <v>#VALUE!</v>
      </c>
      <c r="GM46" t="e">
        <f>'All regions'!B1228+"$F;@!$QU"</f>
        <v>#VALUE!</v>
      </c>
      <c r="GN46" t="e">
        <f>'All regions'!C1228+"$F;@!$QV"</f>
        <v>#VALUE!</v>
      </c>
      <c r="GO46" t="e">
        <f>'All regions'!D1228+"$F;@!$QW"</f>
        <v>#VALUE!</v>
      </c>
      <c r="GP46" t="e">
        <f>'All regions'!E1228+"$F;@!$QX"</f>
        <v>#VALUE!</v>
      </c>
      <c r="GQ46" t="e">
        <f>'All regions'!F1228+"$F;@!$QY"</f>
        <v>#VALUE!</v>
      </c>
      <c r="GR46" t="e">
        <f>'All regions'!G1228+"$F;@!$QZ"</f>
        <v>#VALUE!</v>
      </c>
      <c r="GS46" t="e">
        <f>'All regions'!H1228+"$F;@!$Q["</f>
        <v>#VALUE!</v>
      </c>
      <c r="GT46" t="e">
        <f>'All regions'!I1228+"$F;@!$Q\"</f>
        <v>#VALUE!</v>
      </c>
      <c r="GU46" t="e">
        <f>'All regions'!A1229+"$F;@!$Q]"</f>
        <v>#VALUE!</v>
      </c>
      <c r="GV46" t="e">
        <f>'All regions'!B1229+"$F;@!$Q^"</f>
        <v>#VALUE!</v>
      </c>
      <c r="GW46" t="e">
        <f>'All regions'!C1229+"$F;@!$Q_"</f>
        <v>#VALUE!</v>
      </c>
      <c r="GX46" t="e">
        <f>'All regions'!D1229+"$F;@!$Q`"</f>
        <v>#VALUE!</v>
      </c>
      <c r="GY46" t="e">
        <f>'All regions'!E1229+"$F;@!$Qa"</f>
        <v>#VALUE!</v>
      </c>
      <c r="GZ46" t="e">
        <f>'All regions'!F1229+"$F;@!$Qb"</f>
        <v>#VALUE!</v>
      </c>
      <c r="HA46" t="e">
        <f>'All regions'!G1229+"$F;@!$Qc"</f>
        <v>#VALUE!</v>
      </c>
      <c r="HB46" t="e">
        <f>'All regions'!H1229+"$F;@!$Qd"</f>
        <v>#VALUE!</v>
      </c>
      <c r="HC46" t="e">
        <f>'All regions'!I1229+"$F;@!$Qe"</f>
        <v>#VALUE!</v>
      </c>
      <c r="HD46" t="e">
        <f>'All regions'!A1230+"$F;@!$Qf"</f>
        <v>#VALUE!</v>
      </c>
      <c r="HE46" t="e">
        <f>'All regions'!B1230+"$F;@!$Qg"</f>
        <v>#VALUE!</v>
      </c>
      <c r="HF46" t="e">
        <f>'All regions'!C1230+"$F;@!$Qh"</f>
        <v>#VALUE!</v>
      </c>
      <c r="HG46" t="e">
        <f>'All regions'!D1230+"$F;@!$Qi"</f>
        <v>#VALUE!</v>
      </c>
      <c r="HH46" t="e">
        <f>'All regions'!E1230+"$F;@!$Qj"</f>
        <v>#VALUE!</v>
      </c>
      <c r="HI46" t="e">
        <f>'All regions'!F1230+"$F;@!$Qk"</f>
        <v>#VALUE!</v>
      </c>
      <c r="HJ46" t="e">
        <f>'All regions'!G1230+"$F;@!$Ql"</f>
        <v>#VALUE!</v>
      </c>
      <c r="HK46" t="e">
        <f>'All regions'!H1230+"$F;@!$Qm"</f>
        <v>#VALUE!</v>
      </c>
      <c r="HL46" t="e">
        <f>'All regions'!I1230+"$F;@!$Qn"</f>
        <v>#VALUE!</v>
      </c>
      <c r="HM46" t="e">
        <f>'All regions'!A1231+"$F;@!$Qo"</f>
        <v>#VALUE!</v>
      </c>
      <c r="HN46" t="e">
        <f>'All regions'!B1231+"$F;@!$Qp"</f>
        <v>#VALUE!</v>
      </c>
      <c r="HO46" t="e">
        <f>'All regions'!C1231+"$F;@!$Qq"</f>
        <v>#VALUE!</v>
      </c>
      <c r="HP46" t="e">
        <f>'All regions'!D1231+"$F;@!$Qr"</f>
        <v>#VALUE!</v>
      </c>
      <c r="HQ46" t="e">
        <f>'All regions'!E1231+"$F;@!$Qs"</f>
        <v>#VALUE!</v>
      </c>
      <c r="HR46" t="e">
        <f>'All regions'!F1231+"$F;@!$Qt"</f>
        <v>#VALUE!</v>
      </c>
      <c r="HS46" t="e">
        <f>'All regions'!G1231+"$F;@!$Qu"</f>
        <v>#VALUE!</v>
      </c>
      <c r="HT46" t="e">
        <f>'All regions'!H1231+"$F;@!$Qv"</f>
        <v>#VALUE!</v>
      </c>
      <c r="HU46" t="e">
        <f>'All regions'!I1231+"$F;@!$Qw"</f>
        <v>#VALUE!</v>
      </c>
      <c r="HV46" t="e">
        <f>'All regions'!A1232+"$F;@!$Qx"</f>
        <v>#VALUE!</v>
      </c>
      <c r="HW46" t="e">
        <f>'All regions'!B1232+"$F;@!$Qy"</f>
        <v>#VALUE!</v>
      </c>
      <c r="HX46" t="e">
        <f>'All regions'!C1232+"$F;@!$Qz"</f>
        <v>#VALUE!</v>
      </c>
      <c r="HY46" t="e">
        <f>'All regions'!D1232+"$F;@!$Q{"</f>
        <v>#VALUE!</v>
      </c>
      <c r="HZ46" t="e">
        <f>'All regions'!E1232+"$F;@!$Q|"</f>
        <v>#VALUE!</v>
      </c>
      <c r="IA46" t="e">
        <f>'All regions'!F1232+"$F;@!$Q}"</f>
        <v>#VALUE!</v>
      </c>
      <c r="IB46" t="e">
        <f>'All regions'!G1232+"$F;@!$Q~"</f>
        <v>#VALUE!</v>
      </c>
      <c r="IC46" t="e">
        <f>'All regions'!H1232+"$F;@!$R#"</f>
        <v>#VALUE!</v>
      </c>
      <c r="ID46" t="e">
        <f>'All regions'!I1232+"$F;@!$R$"</f>
        <v>#VALUE!</v>
      </c>
      <c r="IE46" t="e">
        <f>'All regions'!A1233+"$F;@!$R%"</f>
        <v>#VALUE!</v>
      </c>
      <c r="IF46" t="e">
        <f>'All regions'!B1233+"$F;@!$R&amp;"</f>
        <v>#VALUE!</v>
      </c>
      <c r="IG46" t="e">
        <f>'All regions'!C1233+"$F;@!$R'"</f>
        <v>#VALUE!</v>
      </c>
      <c r="IH46" t="e">
        <f>'All regions'!D1233+"$F;@!$R("</f>
        <v>#VALUE!</v>
      </c>
      <c r="II46" t="e">
        <f>'All regions'!E1233+"$F;@!$R)"</f>
        <v>#VALUE!</v>
      </c>
      <c r="IJ46" t="e">
        <f>'All regions'!F1233+"$F;@!$R."</f>
        <v>#VALUE!</v>
      </c>
      <c r="IK46" t="e">
        <f>'All regions'!G1233+"$F;@!$R/"</f>
        <v>#VALUE!</v>
      </c>
      <c r="IL46" t="e">
        <f>'All regions'!H1233+"$F;@!$R0"</f>
        <v>#VALUE!</v>
      </c>
      <c r="IM46" t="e">
        <f>'All regions'!I1233+"$F;@!$R1"</f>
        <v>#VALUE!</v>
      </c>
      <c r="IN46" t="e">
        <f>'All regions'!A1234+"$F;@!$R2"</f>
        <v>#VALUE!</v>
      </c>
      <c r="IO46" t="e">
        <f>'All regions'!B1234+"$F;@!$R3"</f>
        <v>#VALUE!</v>
      </c>
      <c r="IP46" t="e">
        <f>'All regions'!C1234+"$F;@!$R4"</f>
        <v>#VALUE!</v>
      </c>
      <c r="IQ46" t="e">
        <f>'All regions'!D1234+"$F;@!$R5"</f>
        <v>#VALUE!</v>
      </c>
      <c r="IR46" t="e">
        <f>'All regions'!E1234+"$F;@!$R6"</f>
        <v>#VALUE!</v>
      </c>
      <c r="IS46" t="e">
        <f>'All regions'!F1234+"$F;@!$R7"</f>
        <v>#VALUE!</v>
      </c>
      <c r="IT46" t="e">
        <f>'All regions'!G1234+"$F;@!$R8"</f>
        <v>#VALUE!</v>
      </c>
      <c r="IU46" t="e">
        <f>'All regions'!H1234+"$F;@!$R9"</f>
        <v>#VALUE!</v>
      </c>
      <c r="IV46" t="e">
        <f>'All regions'!I1234+"$F;@!$R:"</f>
        <v>#VALUE!</v>
      </c>
    </row>
    <row r="47" spans="6:256" x14ac:dyDescent="0.35">
      <c r="F47" t="e">
        <f>'All regions'!A1235+"$F;@!$R;"</f>
        <v>#VALUE!</v>
      </c>
      <c r="G47" t="e">
        <f>'All regions'!B1235+"$F;@!$R&lt;"</f>
        <v>#VALUE!</v>
      </c>
      <c r="H47" t="e">
        <f>'All regions'!C1235+"$F;@!$R="</f>
        <v>#VALUE!</v>
      </c>
      <c r="I47" t="e">
        <f>'All regions'!D1235+"$F;@!$R&gt;"</f>
        <v>#VALUE!</v>
      </c>
      <c r="J47" t="e">
        <f>'All regions'!E1235+"$F;@!$R?"</f>
        <v>#VALUE!</v>
      </c>
      <c r="K47" t="e">
        <f>'All regions'!F1235+"$F;@!$R@"</f>
        <v>#VALUE!</v>
      </c>
      <c r="L47" t="e">
        <f>'All regions'!G1235+"$F;@!$RA"</f>
        <v>#VALUE!</v>
      </c>
      <c r="M47" t="e">
        <f>'All regions'!H1235+"$F;@!$RB"</f>
        <v>#VALUE!</v>
      </c>
      <c r="N47" t="e">
        <f>'All regions'!I1235+"$F;@!$RC"</f>
        <v>#VALUE!</v>
      </c>
      <c r="O47" t="e">
        <f>'All regions'!A1236+"$F;@!$RD"</f>
        <v>#VALUE!</v>
      </c>
      <c r="P47" t="e">
        <f>'All regions'!B1236+"$F;@!$RE"</f>
        <v>#VALUE!</v>
      </c>
      <c r="Q47" t="e">
        <f>'All regions'!C1236+"$F;@!$RF"</f>
        <v>#VALUE!</v>
      </c>
      <c r="R47" t="e">
        <f>'All regions'!D1236+"$F;@!$RG"</f>
        <v>#VALUE!</v>
      </c>
      <c r="S47" t="e">
        <f>'All regions'!E1236+"$F;@!$RH"</f>
        <v>#VALUE!</v>
      </c>
      <c r="T47" t="e">
        <f>'All regions'!F1236+"$F;@!$RI"</f>
        <v>#VALUE!</v>
      </c>
      <c r="U47" t="e">
        <f>'All regions'!G1236+"$F;@!$RJ"</f>
        <v>#VALUE!</v>
      </c>
      <c r="V47" t="e">
        <f>'All regions'!H1236+"$F;@!$RK"</f>
        <v>#VALUE!</v>
      </c>
      <c r="W47" t="e">
        <f>'All regions'!I1236+"$F;@!$RL"</f>
        <v>#VALUE!</v>
      </c>
      <c r="X47" t="e">
        <f>'All regions'!A1237+"$F;@!$RM"</f>
        <v>#VALUE!</v>
      </c>
      <c r="Y47" t="e">
        <f>'All regions'!B1237+"$F;@!$RN"</f>
        <v>#VALUE!</v>
      </c>
      <c r="Z47" t="e">
        <f>'All regions'!C1237+"$F;@!$RO"</f>
        <v>#VALUE!</v>
      </c>
      <c r="AA47" t="e">
        <f>'All regions'!D1237+"$F;@!$RP"</f>
        <v>#VALUE!</v>
      </c>
      <c r="AB47" t="e">
        <f>'All regions'!E1237+"$F;@!$RQ"</f>
        <v>#VALUE!</v>
      </c>
      <c r="AC47" t="e">
        <f>'All regions'!F1237+"$F;@!$RR"</f>
        <v>#VALUE!</v>
      </c>
      <c r="AD47" t="e">
        <f>'All regions'!G1237+"$F;@!$RS"</f>
        <v>#VALUE!</v>
      </c>
      <c r="AE47" t="e">
        <f>'All regions'!H1237+"$F;@!$RT"</f>
        <v>#VALUE!</v>
      </c>
      <c r="AF47" t="e">
        <f>'All regions'!I1237+"$F;@!$RU"</f>
        <v>#VALUE!</v>
      </c>
      <c r="AG47" t="e">
        <f>'All regions'!A1238+"$F;@!$RV"</f>
        <v>#VALUE!</v>
      </c>
      <c r="AH47" t="e">
        <f>'All regions'!B1238+"$F;@!$RW"</f>
        <v>#VALUE!</v>
      </c>
      <c r="AI47" t="e">
        <f>'All regions'!C1238+"$F;@!$RX"</f>
        <v>#VALUE!</v>
      </c>
      <c r="AJ47" t="e">
        <f>'All regions'!D1238+"$F;@!$RY"</f>
        <v>#VALUE!</v>
      </c>
      <c r="AK47" t="e">
        <f>'All regions'!E1238+"$F;@!$RZ"</f>
        <v>#VALUE!</v>
      </c>
      <c r="AL47" t="e">
        <f>'All regions'!F1238+"$F;@!$R["</f>
        <v>#VALUE!</v>
      </c>
      <c r="AM47" t="e">
        <f>'All regions'!G1238+"$F;@!$R\"</f>
        <v>#VALUE!</v>
      </c>
      <c r="AN47" t="e">
        <f>'All regions'!H1238+"$F;@!$R]"</f>
        <v>#VALUE!</v>
      </c>
      <c r="AO47" t="e">
        <f>'All regions'!I1238+"$F;@!$R^"</f>
        <v>#VALUE!</v>
      </c>
      <c r="AP47" t="e">
        <f>'All regions'!A1239+"$F;@!$R_"</f>
        <v>#VALUE!</v>
      </c>
      <c r="AQ47" t="e">
        <f>'All regions'!B1239+"$F;@!$R`"</f>
        <v>#VALUE!</v>
      </c>
      <c r="AR47" t="e">
        <f>'All regions'!C1239+"$F;@!$Ra"</f>
        <v>#VALUE!</v>
      </c>
      <c r="AS47" t="e">
        <f>'All regions'!D1239+"$F;@!$Rb"</f>
        <v>#VALUE!</v>
      </c>
      <c r="AT47" t="e">
        <f>'All regions'!E1239+"$F;@!$Rc"</f>
        <v>#VALUE!</v>
      </c>
      <c r="AU47" t="e">
        <f>'All regions'!F1239+"$F;@!$Rd"</f>
        <v>#VALUE!</v>
      </c>
      <c r="AV47" t="e">
        <f>'All regions'!G1239+"$F;@!$Re"</f>
        <v>#VALUE!</v>
      </c>
      <c r="AW47" t="e">
        <f>'All regions'!H1239+"$F;@!$Rf"</f>
        <v>#VALUE!</v>
      </c>
      <c r="AX47" t="e">
        <f>'All regions'!I1239+"$F;@!$Rg"</f>
        <v>#VALUE!</v>
      </c>
      <c r="AY47" t="e">
        <f>'All regions'!A1240+"$F;@!$Rh"</f>
        <v>#VALUE!</v>
      </c>
      <c r="AZ47" t="e">
        <f>'All regions'!B1240+"$F;@!$Ri"</f>
        <v>#VALUE!</v>
      </c>
      <c r="BA47" t="e">
        <f>'All regions'!C1240+"$F;@!$Rj"</f>
        <v>#VALUE!</v>
      </c>
      <c r="BB47" t="e">
        <f>'All regions'!D1240+"$F;@!$Rk"</f>
        <v>#VALUE!</v>
      </c>
      <c r="BC47" t="e">
        <f>'All regions'!E1240+"$F;@!$Rl"</f>
        <v>#VALUE!</v>
      </c>
      <c r="BD47" t="e">
        <f>'All regions'!F1240+"$F;@!$Rm"</f>
        <v>#VALUE!</v>
      </c>
      <c r="BE47" t="e">
        <f>'All regions'!G1240+"$F;@!$Rn"</f>
        <v>#VALUE!</v>
      </c>
      <c r="BF47" t="e">
        <f>'All regions'!H1240+"$F;@!$Ro"</f>
        <v>#VALUE!</v>
      </c>
      <c r="BG47" t="e">
        <f>'All regions'!I1240+"$F;@!$Rp"</f>
        <v>#VALUE!</v>
      </c>
      <c r="BH47" t="e">
        <f>'All regions'!A1241+"$F;@!$Rq"</f>
        <v>#VALUE!</v>
      </c>
      <c r="BI47" t="e">
        <f>'All regions'!B1241+"$F;@!$Rr"</f>
        <v>#VALUE!</v>
      </c>
      <c r="BJ47" t="e">
        <f>'All regions'!C1241+"$F;@!$Rs"</f>
        <v>#VALUE!</v>
      </c>
      <c r="BK47" t="e">
        <f>'All regions'!D1241+"$F;@!$Rt"</f>
        <v>#VALUE!</v>
      </c>
      <c r="BL47" t="e">
        <f>'All regions'!E1241+"$F;@!$Ru"</f>
        <v>#VALUE!</v>
      </c>
      <c r="BM47" t="e">
        <f>'All regions'!F1241+"$F;@!$Rv"</f>
        <v>#VALUE!</v>
      </c>
      <c r="BN47" t="e">
        <f>'All regions'!G1241+"$F;@!$Rw"</f>
        <v>#VALUE!</v>
      </c>
      <c r="BO47" t="e">
        <f>'All regions'!H1241+"$F;@!$Rx"</f>
        <v>#VALUE!</v>
      </c>
      <c r="BP47" t="e">
        <f>'All regions'!I1241+"$F;@!$Ry"</f>
        <v>#VALUE!</v>
      </c>
      <c r="BQ47" t="e">
        <f>'All regions'!A1242+"$F;@!$Rz"</f>
        <v>#VALUE!</v>
      </c>
      <c r="BR47" t="e">
        <f>'All regions'!B1242+"$F;@!$R{"</f>
        <v>#VALUE!</v>
      </c>
      <c r="BS47" t="e">
        <f>'All regions'!C1242+"$F;@!$R|"</f>
        <v>#VALUE!</v>
      </c>
      <c r="BT47" t="e">
        <f>'All regions'!D1242+"$F;@!$R}"</f>
        <v>#VALUE!</v>
      </c>
      <c r="BU47" t="e">
        <f>'All regions'!E1242+"$F;@!$R~"</f>
        <v>#VALUE!</v>
      </c>
      <c r="BV47" t="e">
        <f>'All regions'!F1242+"$F;@!$S#"</f>
        <v>#VALUE!</v>
      </c>
      <c r="BW47" t="e">
        <f>'All regions'!G1242+"$F;@!$S$"</f>
        <v>#VALUE!</v>
      </c>
      <c r="BX47" t="e">
        <f>'All regions'!H1242+"$F;@!$S%"</f>
        <v>#VALUE!</v>
      </c>
      <c r="BY47" t="e">
        <f>'All regions'!I1242+"$F;@!$S&amp;"</f>
        <v>#VALUE!</v>
      </c>
      <c r="BZ47" t="e">
        <f>'All regions'!A1243+"$F;@!$S'"</f>
        <v>#VALUE!</v>
      </c>
      <c r="CA47" t="e">
        <f>'All regions'!B1243+"$F;@!$S("</f>
        <v>#VALUE!</v>
      </c>
      <c r="CB47" t="e">
        <f>'All regions'!C1243+"$F;@!$S)"</f>
        <v>#VALUE!</v>
      </c>
      <c r="CC47" t="e">
        <f>'All regions'!D1243+"$F;@!$S."</f>
        <v>#VALUE!</v>
      </c>
      <c r="CD47" t="e">
        <f>'All regions'!E1243+"$F;@!$S/"</f>
        <v>#VALUE!</v>
      </c>
      <c r="CE47" t="e">
        <f>'All regions'!F1243+"$F;@!$S0"</f>
        <v>#VALUE!</v>
      </c>
      <c r="CF47" t="e">
        <f>'All regions'!G1243+"$F;@!$S1"</f>
        <v>#VALUE!</v>
      </c>
      <c r="CG47" t="e">
        <f>'All regions'!H1243+"$F;@!$S2"</f>
        <v>#VALUE!</v>
      </c>
      <c r="CH47" t="e">
        <f>'All regions'!I1243+"$F;@!$S3"</f>
        <v>#VALUE!</v>
      </c>
      <c r="CI47" t="e">
        <f>'All regions'!A1244+"$F;@!$S4"</f>
        <v>#VALUE!</v>
      </c>
      <c r="CJ47" t="e">
        <f>'All regions'!B1244+"$F;@!$S5"</f>
        <v>#VALUE!</v>
      </c>
      <c r="CK47" t="e">
        <f>'All regions'!C1244+"$F;@!$S6"</f>
        <v>#VALUE!</v>
      </c>
      <c r="CL47" t="e">
        <f>'All regions'!D1244+"$F;@!$S7"</f>
        <v>#VALUE!</v>
      </c>
      <c r="CM47" t="e">
        <f>'All regions'!E1244+"$F;@!$S8"</f>
        <v>#VALUE!</v>
      </c>
      <c r="CN47" t="e">
        <f>'All regions'!F1244+"$F;@!$S9"</f>
        <v>#VALUE!</v>
      </c>
      <c r="CO47" t="e">
        <f>'All regions'!G1244+"$F;@!$S:"</f>
        <v>#VALUE!</v>
      </c>
      <c r="CP47" t="e">
        <f>'All regions'!H1244+"$F;@!$S;"</f>
        <v>#VALUE!</v>
      </c>
      <c r="CQ47" t="e">
        <f>'All regions'!I1244+"$F;@!$S&lt;"</f>
        <v>#VALUE!</v>
      </c>
      <c r="CR47" t="e">
        <f>'All regions'!A1245+"$F;@!$S="</f>
        <v>#VALUE!</v>
      </c>
      <c r="CS47" t="e">
        <f>'All regions'!B1245+"$F;@!$S&gt;"</f>
        <v>#VALUE!</v>
      </c>
      <c r="CT47" t="e">
        <f>'All regions'!C1245+"$F;@!$S?"</f>
        <v>#VALUE!</v>
      </c>
      <c r="CU47" t="e">
        <f>'All regions'!D1245+"$F;@!$S@"</f>
        <v>#VALUE!</v>
      </c>
      <c r="CV47" t="e">
        <f>'All regions'!E1245+"$F;@!$SA"</f>
        <v>#VALUE!</v>
      </c>
      <c r="CW47" t="e">
        <f>'All regions'!F1245+"$F;@!$SB"</f>
        <v>#VALUE!</v>
      </c>
      <c r="CX47" t="e">
        <f>'All regions'!G1245+"$F;@!$SC"</f>
        <v>#VALUE!</v>
      </c>
      <c r="CY47" t="e">
        <f>'All regions'!H1245+"$F;@!$SD"</f>
        <v>#VALUE!</v>
      </c>
      <c r="CZ47" t="e">
        <f>'All regions'!I1245+"$F;@!$SE"</f>
        <v>#VALUE!</v>
      </c>
      <c r="DA47" t="e">
        <f>'All regions'!A1246+"$F;@!$SF"</f>
        <v>#VALUE!</v>
      </c>
      <c r="DB47" t="e">
        <f>'All regions'!B1246+"$F;@!$SG"</f>
        <v>#VALUE!</v>
      </c>
      <c r="DC47" t="e">
        <f>'All regions'!C1246+"$F;@!$SH"</f>
        <v>#VALUE!</v>
      </c>
      <c r="DD47" t="e">
        <f>'All regions'!D1246+"$F;@!$SI"</f>
        <v>#VALUE!</v>
      </c>
      <c r="DE47" t="e">
        <f>'All regions'!E1246+"$F;@!$SJ"</f>
        <v>#VALUE!</v>
      </c>
      <c r="DF47" t="e">
        <f>'All regions'!F1246+"$F;@!$SK"</f>
        <v>#VALUE!</v>
      </c>
      <c r="DG47" t="e">
        <f>'All regions'!G1246+"$F;@!$SL"</f>
        <v>#VALUE!</v>
      </c>
      <c r="DH47" t="e">
        <f>'All regions'!H1246+"$F;@!$SM"</f>
        <v>#VALUE!</v>
      </c>
      <c r="DI47" t="e">
        <f>'All regions'!I1246+"$F;@!$SN"</f>
        <v>#VALUE!</v>
      </c>
      <c r="DJ47" t="e">
        <f>'All regions'!A1247+"$F;@!$SO"</f>
        <v>#VALUE!</v>
      </c>
      <c r="DK47" t="e">
        <f>'All regions'!B1247+"$F;@!$SP"</f>
        <v>#VALUE!</v>
      </c>
      <c r="DL47" t="e">
        <f>'All regions'!C1247+"$F;@!$SQ"</f>
        <v>#VALUE!</v>
      </c>
      <c r="DM47" t="e">
        <f>'All regions'!D1247+"$F;@!$SR"</f>
        <v>#VALUE!</v>
      </c>
      <c r="DN47" t="e">
        <f>'All regions'!E1247+"$F;@!$SS"</f>
        <v>#VALUE!</v>
      </c>
      <c r="DO47" t="e">
        <f>'All regions'!F1247+"$F;@!$ST"</f>
        <v>#VALUE!</v>
      </c>
      <c r="DP47" t="e">
        <f>'All regions'!G1247+"$F;@!$SU"</f>
        <v>#VALUE!</v>
      </c>
      <c r="DQ47" t="e">
        <f>'All regions'!H1247+"$F;@!$SV"</f>
        <v>#VALUE!</v>
      </c>
      <c r="DR47" t="e">
        <f>'All regions'!I1247+"$F;@!$SW"</f>
        <v>#VALUE!</v>
      </c>
      <c r="DS47" t="e">
        <f>'All regions'!A1248+"$F;@!$SX"</f>
        <v>#VALUE!</v>
      </c>
      <c r="DT47" t="e">
        <f>'All regions'!B1248+"$F;@!$SY"</f>
        <v>#VALUE!</v>
      </c>
      <c r="DU47" t="e">
        <f>'All regions'!C1248+"$F;@!$SZ"</f>
        <v>#VALUE!</v>
      </c>
      <c r="DV47" t="e">
        <f>'All regions'!D1248+"$F;@!$S["</f>
        <v>#VALUE!</v>
      </c>
      <c r="DW47" t="e">
        <f>'All regions'!E1248+"$F;@!$S\"</f>
        <v>#VALUE!</v>
      </c>
      <c r="DX47" t="e">
        <f>'All regions'!F1248+"$F;@!$S]"</f>
        <v>#VALUE!</v>
      </c>
      <c r="DY47" t="e">
        <f>'All regions'!G1248+"$F;@!$S^"</f>
        <v>#VALUE!</v>
      </c>
      <c r="DZ47" t="e">
        <f>'All regions'!H1248+"$F;@!$S_"</f>
        <v>#VALUE!</v>
      </c>
      <c r="EA47" t="e">
        <f>'All regions'!I1248+"$F;@!$S`"</f>
        <v>#VALUE!</v>
      </c>
      <c r="EB47" t="e">
        <f>'All regions'!A1249+"$F;@!$Sa"</f>
        <v>#VALUE!</v>
      </c>
      <c r="EC47" t="e">
        <f>'All regions'!B1249+"$F;@!$Sb"</f>
        <v>#VALUE!</v>
      </c>
      <c r="ED47" t="e">
        <f>'All regions'!C1249+"$F;@!$Sc"</f>
        <v>#VALUE!</v>
      </c>
      <c r="EE47" t="e">
        <f>'All regions'!D1249+"$F;@!$Sd"</f>
        <v>#VALUE!</v>
      </c>
      <c r="EF47" t="e">
        <f>'All regions'!E1249+"$F;@!$Se"</f>
        <v>#VALUE!</v>
      </c>
      <c r="EG47" t="e">
        <f>'All regions'!F1249+"$F;@!$Sf"</f>
        <v>#VALUE!</v>
      </c>
      <c r="EH47" t="e">
        <f>'All regions'!G1249+"$F;@!$Sg"</f>
        <v>#VALUE!</v>
      </c>
      <c r="EI47" t="e">
        <f>'All regions'!H1249+"$F;@!$Sh"</f>
        <v>#VALUE!</v>
      </c>
      <c r="EJ47" t="e">
        <f>'All regions'!I1249+"$F;@!$Si"</f>
        <v>#VALUE!</v>
      </c>
      <c r="EK47" t="e">
        <f>'All regions'!A1250+"$F;@!$Sj"</f>
        <v>#VALUE!</v>
      </c>
      <c r="EL47" t="e">
        <f>'All regions'!B1250+"$F;@!$Sk"</f>
        <v>#VALUE!</v>
      </c>
      <c r="EM47" t="e">
        <f>'All regions'!C1250+"$F;@!$Sl"</f>
        <v>#VALUE!</v>
      </c>
      <c r="EN47" t="e">
        <f>'All regions'!D1250+"$F;@!$Sm"</f>
        <v>#VALUE!</v>
      </c>
      <c r="EO47" t="e">
        <f>'All regions'!E1250+"$F;@!$Sn"</f>
        <v>#VALUE!</v>
      </c>
      <c r="EP47" t="e">
        <f>'All regions'!F1250+"$F;@!$So"</f>
        <v>#VALUE!</v>
      </c>
      <c r="EQ47" t="e">
        <f>'All regions'!G1250+"$F;@!$Sp"</f>
        <v>#VALUE!</v>
      </c>
      <c r="ER47" t="e">
        <f>'All regions'!H1250+"$F;@!$Sq"</f>
        <v>#VALUE!</v>
      </c>
      <c r="ES47" t="e">
        <f>'All regions'!I1250+"$F;@!$Sr"</f>
        <v>#VALUE!</v>
      </c>
      <c r="ET47" t="e">
        <f>'All regions'!A1251+"$F;@!$Ss"</f>
        <v>#VALUE!</v>
      </c>
      <c r="EU47" t="e">
        <f>'All regions'!B1251+"$F;@!$St"</f>
        <v>#VALUE!</v>
      </c>
      <c r="EV47" t="e">
        <f>'All regions'!C1251+"$F;@!$Su"</f>
        <v>#VALUE!</v>
      </c>
      <c r="EW47" t="e">
        <f>'All regions'!D1251+"$F;@!$Sv"</f>
        <v>#VALUE!</v>
      </c>
      <c r="EX47" t="e">
        <f>'All regions'!E1251+"$F;@!$Sw"</f>
        <v>#VALUE!</v>
      </c>
      <c r="EY47" t="e">
        <f>'All regions'!F1251+"$F;@!$Sx"</f>
        <v>#VALUE!</v>
      </c>
      <c r="EZ47" t="e">
        <f>'All regions'!G1251+"$F;@!$Sy"</f>
        <v>#VALUE!</v>
      </c>
      <c r="FA47" t="e">
        <f>'All regions'!H1251+"$F;@!$Sz"</f>
        <v>#VALUE!</v>
      </c>
      <c r="FB47" t="e">
        <f>'All regions'!I1251+"$F;@!$S{"</f>
        <v>#VALUE!</v>
      </c>
      <c r="FC47" t="e">
        <f>'All regions'!A1252+"$F;@!$S|"</f>
        <v>#VALUE!</v>
      </c>
      <c r="FD47" t="e">
        <f>'All regions'!B1252+"$F;@!$S}"</f>
        <v>#VALUE!</v>
      </c>
      <c r="FE47" t="e">
        <f>'All regions'!C1252+"$F;@!$S~"</f>
        <v>#VALUE!</v>
      </c>
      <c r="FF47" t="e">
        <f>'All regions'!D1252+"$F;@!$T#"</f>
        <v>#VALUE!</v>
      </c>
      <c r="FG47" t="e">
        <f>'All regions'!E1252+"$F;@!$T$"</f>
        <v>#VALUE!</v>
      </c>
      <c r="FH47" t="e">
        <f>'All regions'!F1252+"$F;@!$T%"</f>
        <v>#VALUE!</v>
      </c>
      <c r="FI47" t="e">
        <f>'All regions'!G1252+"$F;@!$T&amp;"</f>
        <v>#VALUE!</v>
      </c>
      <c r="FJ47" t="e">
        <f>'All regions'!H1252+"$F;@!$T'"</f>
        <v>#VALUE!</v>
      </c>
      <c r="FK47" t="e">
        <f>'All regions'!I1252+"$F;@!$T("</f>
        <v>#VALUE!</v>
      </c>
      <c r="FL47" t="e">
        <f>'All regions'!A1253+"$F;@!$T)"</f>
        <v>#VALUE!</v>
      </c>
      <c r="FM47" t="e">
        <f>'All regions'!B1253+"$F;@!$T."</f>
        <v>#VALUE!</v>
      </c>
      <c r="FN47" t="e">
        <f>'All regions'!C1253+"$F;@!$T/"</f>
        <v>#VALUE!</v>
      </c>
      <c r="FO47" t="e">
        <f>'All regions'!D1253+"$F;@!$T0"</f>
        <v>#VALUE!</v>
      </c>
      <c r="FP47" t="e">
        <f>'All regions'!E1253+"$F;@!$T1"</f>
        <v>#VALUE!</v>
      </c>
      <c r="FQ47" t="e">
        <f>'All regions'!F1253+"$F;@!$T2"</f>
        <v>#VALUE!</v>
      </c>
      <c r="FR47" t="e">
        <f>'All regions'!G1253+"$F;@!$T3"</f>
        <v>#VALUE!</v>
      </c>
      <c r="FS47" t="e">
        <f>'All regions'!H1253+"$F;@!$T4"</f>
        <v>#VALUE!</v>
      </c>
      <c r="FT47" t="e">
        <f>'All regions'!I1253+"$F;@!$T5"</f>
        <v>#VALUE!</v>
      </c>
      <c r="FU47" t="e">
        <f>'All regions'!A1254+"$F;@!$T6"</f>
        <v>#VALUE!</v>
      </c>
      <c r="FV47" t="e">
        <f>'All regions'!B1254+"$F;@!$T7"</f>
        <v>#VALUE!</v>
      </c>
      <c r="FW47" t="e">
        <f>'All regions'!C1254+"$F;@!$T8"</f>
        <v>#VALUE!</v>
      </c>
      <c r="FX47" t="e">
        <f>'All regions'!D1254+"$F;@!$T9"</f>
        <v>#VALUE!</v>
      </c>
      <c r="FY47" t="e">
        <f>'All regions'!E1254+"$F;@!$T:"</f>
        <v>#VALUE!</v>
      </c>
      <c r="FZ47" t="e">
        <f>'All regions'!F1254+"$F;@!$T;"</f>
        <v>#VALUE!</v>
      </c>
      <c r="GA47" t="e">
        <f>'All regions'!G1254+"$F;@!$T&lt;"</f>
        <v>#VALUE!</v>
      </c>
      <c r="GB47" t="e">
        <f>'All regions'!H1254+"$F;@!$T="</f>
        <v>#VALUE!</v>
      </c>
      <c r="GC47" t="e">
        <f>'All regions'!I1254+"$F;@!$T&gt;"</f>
        <v>#VALUE!</v>
      </c>
      <c r="GD47" t="e">
        <f>'All regions'!A1255+"$F;@!$T?"</f>
        <v>#VALUE!</v>
      </c>
      <c r="GE47" t="e">
        <f>'All regions'!B1255+"$F;@!$T@"</f>
        <v>#VALUE!</v>
      </c>
      <c r="GF47" t="e">
        <f>'All regions'!C1255+"$F;@!$TA"</f>
        <v>#VALUE!</v>
      </c>
      <c r="GG47" t="e">
        <f>'All regions'!D1255+"$F;@!$TB"</f>
        <v>#VALUE!</v>
      </c>
      <c r="GH47" t="e">
        <f>'All regions'!E1255+"$F;@!$TC"</f>
        <v>#VALUE!</v>
      </c>
      <c r="GI47" t="e">
        <f>'All regions'!F1255+"$F;@!$TD"</f>
        <v>#VALUE!</v>
      </c>
      <c r="GJ47" t="e">
        <f>'All regions'!G1255+"$F;@!$TE"</f>
        <v>#VALUE!</v>
      </c>
      <c r="GK47" t="e">
        <f>'All regions'!H1255+"$F;@!$TF"</f>
        <v>#VALUE!</v>
      </c>
      <c r="GL47" t="e">
        <f>'All regions'!I1255+"$F;@!$TG"</f>
        <v>#VALUE!</v>
      </c>
      <c r="GM47" t="e">
        <f>'All regions'!A1256+"$F;@!$TH"</f>
        <v>#VALUE!</v>
      </c>
      <c r="GN47" t="e">
        <f>'All regions'!B1256+"$F;@!$TI"</f>
        <v>#VALUE!</v>
      </c>
      <c r="GO47" t="e">
        <f>'All regions'!C1256+"$F;@!$TJ"</f>
        <v>#VALUE!</v>
      </c>
      <c r="GP47" t="e">
        <f>'All regions'!D1256+"$F;@!$TK"</f>
        <v>#VALUE!</v>
      </c>
      <c r="GQ47" t="e">
        <f>'All regions'!E1256+"$F;@!$TL"</f>
        <v>#VALUE!</v>
      </c>
      <c r="GR47" t="e">
        <f>'All regions'!F1256+"$F;@!$TM"</f>
        <v>#VALUE!</v>
      </c>
      <c r="GS47" t="e">
        <f>'All regions'!G1256+"$F;@!$TN"</f>
        <v>#VALUE!</v>
      </c>
      <c r="GT47" t="e">
        <f>'All regions'!H1256+"$F;@!$TO"</f>
        <v>#VALUE!</v>
      </c>
      <c r="GU47" t="e">
        <f>'All regions'!I1256+"$F;@!$TP"</f>
        <v>#VALUE!</v>
      </c>
      <c r="GV47" t="e">
        <f>'All regions'!A1257+"$F;@!$TQ"</f>
        <v>#VALUE!</v>
      </c>
      <c r="GW47" t="e">
        <f>'All regions'!B1257+"$F;@!$TR"</f>
        <v>#VALUE!</v>
      </c>
      <c r="GX47" t="e">
        <f>'All regions'!C1257+"$F;@!$TS"</f>
        <v>#VALUE!</v>
      </c>
      <c r="GY47" t="e">
        <f>'All regions'!D1257+"$F;@!$TT"</f>
        <v>#VALUE!</v>
      </c>
      <c r="GZ47" t="e">
        <f>'All regions'!E1257+"$F;@!$TU"</f>
        <v>#VALUE!</v>
      </c>
      <c r="HA47" t="e">
        <f>'All regions'!F1257+"$F;@!$TV"</f>
        <v>#VALUE!</v>
      </c>
      <c r="HB47" t="e">
        <f>'All regions'!G1257+"$F;@!$TW"</f>
        <v>#VALUE!</v>
      </c>
      <c r="HC47" t="e">
        <f>'All regions'!H1257+"$F;@!$TX"</f>
        <v>#VALUE!</v>
      </c>
      <c r="HD47" t="e">
        <f>'All regions'!I1257+"$F;@!$TY"</f>
        <v>#VALUE!</v>
      </c>
      <c r="HE47" t="e">
        <f>'All regions'!A1258+"$F;@!$TZ"</f>
        <v>#VALUE!</v>
      </c>
      <c r="HF47" t="e">
        <f>'All regions'!B1258+"$F;@!$T["</f>
        <v>#VALUE!</v>
      </c>
      <c r="HG47" t="e">
        <f>'All regions'!C1258+"$F;@!$T\"</f>
        <v>#VALUE!</v>
      </c>
      <c r="HH47" t="e">
        <f>'All regions'!D1258+"$F;@!$T]"</f>
        <v>#VALUE!</v>
      </c>
      <c r="HI47" t="e">
        <f>'All regions'!E1258+"$F;@!$T^"</f>
        <v>#VALUE!</v>
      </c>
      <c r="HJ47" t="e">
        <f>'All regions'!F1258+"$F;@!$T_"</f>
        <v>#VALUE!</v>
      </c>
      <c r="HK47" t="e">
        <f>'All regions'!G1258+"$F;@!$T`"</f>
        <v>#VALUE!</v>
      </c>
      <c r="HL47" t="e">
        <f>'All regions'!H1258+"$F;@!$Ta"</f>
        <v>#VALUE!</v>
      </c>
      <c r="HM47" t="e">
        <f>'All regions'!I1258+"$F;@!$Tb"</f>
        <v>#VALUE!</v>
      </c>
      <c r="HN47" t="e">
        <f>'All regions'!A1259+"$F;@!$Tc"</f>
        <v>#VALUE!</v>
      </c>
      <c r="HO47" t="e">
        <f>'All regions'!B1259+"$F;@!$Td"</f>
        <v>#VALUE!</v>
      </c>
      <c r="HP47" t="e">
        <f>'All regions'!C1259+"$F;@!$Te"</f>
        <v>#VALUE!</v>
      </c>
      <c r="HQ47" t="e">
        <f>'All regions'!D1259+"$F;@!$Tf"</f>
        <v>#VALUE!</v>
      </c>
      <c r="HR47" t="e">
        <f>'All regions'!E1259+"$F;@!$Tg"</f>
        <v>#VALUE!</v>
      </c>
      <c r="HS47" t="e">
        <f>'All regions'!F1259+"$F;@!$Th"</f>
        <v>#VALUE!</v>
      </c>
      <c r="HT47" t="e">
        <f>'All regions'!G1259+"$F;@!$Ti"</f>
        <v>#VALUE!</v>
      </c>
      <c r="HU47" t="e">
        <f>'All regions'!H1259+"$F;@!$Tj"</f>
        <v>#VALUE!</v>
      </c>
      <c r="HV47" t="e">
        <f>'All regions'!I1259+"$F;@!$Tk"</f>
        <v>#VALUE!</v>
      </c>
      <c r="HW47" t="e">
        <f>'All regions'!A1260+"$F;@!$Tl"</f>
        <v>#VALUE!</v>
      </c>
      <c r="HX47" t="e">
        <f>'All regions'!B1260+"$F;@!$Tm"</f>
        <v>#VALUE!</v>
      </c>
      <c r="HY47" t="e">
        <f>'All regions'!C1260+"$F;@!$Tn"</f>
        <v>#VALUE!</v>
      </c>
      <c r="HZ47" t="e">
        <f>'All regions'!D1260+"$F;@!$To"</f>
        <v>#VALUE!</v>
      </c>
      <c r="IA47" t="e">
        <f>'All regions'!E1260+"$F;@!$Tp"</f>
        <v>#VALUE!</v>
      </c>
      <c r="IB47" t="e">
        <f>'All regions'!F1260+"$F;@!$Tq"</f>
        <v>#VALUE!</v>
      </c>
      <c r="IC47" t="e">
        <f>'All regions'!G1260+"$F;@!$Tr"</f>
        <v>#VALUE!</v>
      </c>
      <c r="ID47" t="e">
        <f>'All regions'!H1260+"$F;@!$Ts"</f>
        <v>#VALUE!</v>
      </c>
      <c r="IE47" t="e">
        <f>'All regions'!I1260+"$F;@!$Tt"</f>
        <v>#VALUE!</v>
      </c>
      <c r="IF47" t="e">
        <f>'All regions'!A1261+"$F;@!$Tu"</f>
        <v>#VALUE!</v>
      </c>
      <c r="IG47" t="e">
        <f>'All regions'!B1261+"$F;@!$Tv"</f>
        <v>#VALUE!</v>
      </c>
      <c r="IH47" t="e">
        <f>'All regions'!C1261+"$F;@!$Tw"</f>
        <v>#VALUE!</v>
      </c>
      <c r="II47" t="e">
        <f>'All regions'!D1261+"$F;@!$Tx"</f>
        <v>#VALUE!</v>
      </c>
      <c r="IJ47" t="e">
        <f>'All regions'!E1261+"$F;@!$Ty"</f>
        <v>#VALUE!</v>
      </c>
      <c r="IK47" t="e">
        <f>'All regions'!F1261+"$F;@!$Tz"</f>
        <v>#VALUE!</v>
      </c>
      <c r="IL47" t="e">
        <f>'All regions'!G1261+"$F;@!$T{"</f>
        <v>#VALUE!</v>
      </c>
      <c r="IM47" t="e">
        <f>'All regions'!H1261+"$F;@!$T|"</f>
        <v>#VALUE!</v>
      </c>
      <c r="IN47" t="e">
        <f>'All regions'!I1261+"$F;@!$T}"</f>
        <v>#VALUE!</v>
      </c>
      <c r="IO47" t="e">
        <f>'All regions'!A1262+"$F;@!$T~"</f>
        <v>#VALUE!</v>
      </c>
      <c r="IP47" t="e">
        <f>'All regions'!B1262+"$F;@!$U#"</f>
        <v>#VALUE!</v>
      </c>
      <c r="IQ47" t="e">
        <f>'All regions'!C1262+"$F;@!$U$"</f>
        <v>#VALUE!</v>
      </c>
      <c r="IR47" t="e">
        <f>'All regions'!D1262+"$F;@!$U%"</f>
        <v>#VALUE!</v>
      </c>
      <c r="IS47" t="e">
        <f>'All regions'!E1262+"$F;@!$U&amp;"</f>
        <v>#VALUE!</v>
      </c>
      <c r="IT47" t="e">
        <f>'All regions'!F1262+"$F;@!$U'"</f>
        <v>#VALUE!</v>
      </c>
      <c r="IU47" t="e">
        <f>'All regions'!G1262+"$F;@!$U("</f>
        <v>#VALUE!</v>
      </c>
      <c r="IV47" t="e">
        <f>'All regions'!H1262+"$F;@!$U)"</f>
        <v>#VALUE!</v>
      </c>
    </row>
    <row r="48" spans="6:256" x14ac:dyDescent="0.35">
      <c r="F48" t="e">
        <f>'All regions'!I1262+"$F;@!$U."</f>
        <v>#VALUE!</v>
      </c>
      <c r="G48" t="e">
        <f>'All regions'!A1263+"$F;@!$U/"</f>
        <v>#VALUE!</v>
      </c>
      <c r="H48" t="e">
        <f>'All regions'!B1263+"$F;@!$U0"</f>
        <v>#VALUE!</v>
      </c>
      <c r="I48" t="e">
        <f>'All regions'!C1263+"$F;@!$U1"</f>
        <v>#VALUE!</v>
      </c>
      <c r="J48" t="e">
        <f>'All regions'!D1263+"$F;@!$U2"</f>
        <v>#VALUE!</v>
      </c>
      <c r="K48" t="e">
        <f>'All regions'!E1263+"$F;@!$U3"</f>
        <v>#VALUE!</v>
      </c>
      <c r="L48" t="e">
        <f>'All regions'!F1263+"$F;@!$U4"</f>
        <v>#VALUE!</v>
      </c>
      <c r="M48" t="e">
        <f>'All regions'!G1263+"$F;@!$U5"</f>
        <v>#VALUE!</v>
      </c>
      <c r="N48" t="e">
        <f>'All regions'!H1263+"$F;@!$U6"</f>
        <v>#VALUE!</v>
      </c>
      <c r="O48" t="e">
        <f>'All regions'!I1263+"$F;@!$U7"</f>
        <v>#VALUE!</v>
      </c>
      <c r="P48" t="e">
        <f>'All regions'!A1264+"$F;@!$U8"</f>
        <v>#VALUE!</v>
      </c>
      <c r="Q48" t="e">
        <f>'All regions'!B1264+"$F;@!$U9"</f>
        <v>#VALUE!</v>
      </c>
      <c r="R48" t="e">
        <f>'All regions'!C1264+"$F;@!$U:"</f>
        <v>#VALUE!</v>
      </c>
      <c r="S48" t="e">
        <f>'All regions'!D1264+"$F;@!$U;"</f>
        <v>#VALUE!</v>
      </c>
      <c r="T48" t="e">
        <f>'All regions'!E1264+"$F;@!$U&lt;"</f>
        <v>#VALUE!</v>
      </c>
      <c r="U48" t="e">
        <f>'All regions'!F1264+"$F;@!$U="</f>
        <v>#VALUE!</v>
      </c>
      <c r="V48" t="e">
        <f>'All regions'!G1264+"$F;@!$U&gt;"</f>
        <v>#VALUE!</v>
      </c>
      <c r="W48" t="e">
        <f>'All regions'!H1264+"$F;@!$U?"</f>
        <v>#VALUE!</v>
      </c>
      <c r="X48" t="e">
        <f>'All regions'!I1264+"$F;@!$U@"</f>
        <v>#VALUE!</v>
      </c>
      <c r="Y48" t="e">
        <f>'All regions'!A1265+"$F;@!$UA"</f>
        <v>#VALUE!</v>
      </c>
      <c r="Z48" t="e">
        <f>'All regions'!B1265+"$F;@!$UB"</f>
        <v>#VALUE!</v>
      </c>
      <c r="AA48" t="e">
        <f>'All regions'!C1265+"$F;@!$UC"</f>
        <v>#VALUE!</v>
      </c>
      <c r="AB48" t="e">
        <f>'All regions'!D1265+"$F;@!$UD"</f>
        <v>#VALUE!</v>
      </c>
      <c r="AC48" t="e">
        <f>'All regions'!E1265+"$F;@!$UE"</f>
        <v>#VALUE!</v>
      </c>
      <c r="AD48" t="e">
        <f>'All regions'!F1265+"$F;@!$UF"</f>
        <v>#VALUE!</v>
      </c>
      <c r="AE48" t="e">
        <f>'All regions'!G1265+"$F;@!$UG"</f>
        <v>#VALUE!</v>
      </c>
      <c r="AF48" t="e">
        <f>'All regions'!H1265+"$F;@!$UH"</f>
        <v>#VALUE!</v>
      </c>
      <c r="AG48" t="e">
        <f>'All regions'!I1265+"$F;@!$UI"</f>
        <v>#VALUE!</v>
      </c>
      <c r="AH48" t="e">
        <f>'All regions'!A1266+"$F;@!$UJ"</f>
        <v>#VALUE!</v>
      </c>
      <c r="AI48" t="e">
        <f>'All regions'!B1266+"$F;@!$UK"</f>
        <v>#VALUE!</v>
      </c>
      <c r="AJ48" t="e">
        <f>'All regions'!C1266+"$F;@!$UL"</f>
        <v>#VALUE!</v>
      </c>
      <c r="AK48" t="e">
        <f>'All regions'!D1266+"$F;@!$UM"</f>
        <v>#VALUE!</v>
      </c>
      <c r="AL48" t="e">
        <f>'All regions'!E1266+"$F;@!$UN"</f>
        <v>#VALUE!</v>
      </c>
      <c r="AM48" t="e">
        <f>'All regions'!F1266+"$F;@!$UO"</f>
        <v>#VALUE!</v>
      </c>
      <c r="AN48" t="e">
        <f>'All regions'!G1266+"$F;@!$UP"</f>
        <v>#VALUE!</v>
      </c>
      <c r="AO48" t="e">
        <f>'All regions'!H1266+"$F;@!$UQ"</f>
        <v>#VALUE!</v>
      </c>
      <c r="AP48" t="e">
        <f>'All regions'!I1266+"$F;@!$UR"</f>
        <v>#VALUE!</v>
      </c>
      <c r="AQ48" t="e">
        <f>'All regions'!A1267+"$F;@!$US"</f>
        <v>#VALUE!</v>
      </c>
      <c r="AR48" t="e">
        <f>'All regions'!B1267+"$F;@!$UT"</f>
        <v>#VALUE!</v>
      </c>
      <c r="AS48" t="e">
        <f>'All regions'!C1267+"$F;@!$UU"</f>
        <v>#VALUE!</v>
      </c>
      <c r="AT48" t="e">
        <f>'All regions'!D1267+"$F;@!$UV"</f>
        <v>#VALUE!</v>
      </c>
      <c r="AU48" t="e">
        <f>'All regions'!E1267+"$F;@!$UW"</f>
        <v>#VALUE!</v>
      </c>
      <c r="AV48" t="e">
        <f>'All regions'!F1267+"$F;@!$UX"</f>
        <v>#VALUE!</v>
      </c>
      <c r="AW48" t="e">
        <f>'All regions'!G1267+"$F;@!$UY"</f>
        <v>#VALUE!</v>
      </c>
      <c r="AX48" t="e">
        <f>'All regions'!H1267+"$F;@!$UZ"</f>
        <v>#VALUE!</v>
      </c>
      <c r="AY48" t="e">
        <f>'All regions'!I1267+"$F;@!$U["</f>
        <v>#VALUE!</v>
      </c>
      <c r="AZ48" t="e">
        <f>'All regions'!A1268+"$F;@!$U\"</f>
        <v>#VALUE!</v>
      </c>
      <c r="BA48" t="e">
        <f>'All regions'!B1268+"$F;@!$U]"</f>
        <v>#VALUE!</v>
      </c>
      <c r="BB48" t="e">
        <f>'All regions'!C1268+"$F;@!$U^"</f>
        <v>#VALUE!</v>
      </c>
      <c r="BC48" t="e">
        <f>'All regions'!D1268+"$F;@!$U_"</f>
        <v>#VALUE!</v>
      </c>
      <c r="BD48" t="e">
        <f>'All regions'!E1268+"$F;@!$U`"</f>
        <v>#VALUE!</v>
      </c>
      <c r="BE48" t="e">
        <f>'All regions'!F1268+"$F;@!$Ua"</f>
        <v>#VALUE!</v>
      </c>
      <c r="BF48" t="e">
        <f>'All regions'!G1268+"$F;@!$Ub"</f>
        <v>#VALUE!</v>
      </c>
      <c r="BG48" t="e">
        <f>'All regions'!H1268+"$F;@!$Uc"</f>
        <v>#VALUE!</v>
      </c>
      <c r="BH48" t="e">
        <f>'All regions'!I1268+"$F;@!$Ud"</f>
        <v>#VALUE!</v>
      </c>
      <c r="BI48" t="e">
        <f>'All regions'!A1269+"$F;@!$Ue"</f>
        <v>#VALUE!</v>
      </c>
      <c r="BJ48" t="e">
        <f>'All regions'!B1269+"$F;@!$Uf"</f>
        <v>#VALUE!</v>
      </c>
      <c r="BK48" t="e">
        <f>'All regions'!C1269+"$F;@!$Ug"</f>
        <v>#VALUE!</v>
      </c>
      <c r="BL48" t="e">
        <f>'All regions'!D1269+"$F;@!$Uh"</f>
        <v>#VALUE!</v>
      </c>
      <c r="BM48" t="e">
        <f>'All regions'!E1269+"$F;@!$Ui"</f>
        <v>#VALUE!</v>
      </c>
      <c r="BN48" t="e">
        <f>'All regions'!F1269+"$F;@!$Uj"</f>
        <v>#VALUE!</v>
      </c>
      <c r="BO48" t="e">
        <f>'All regions'!G1269+"$F;@!$Uk"</f>
        <v>#VALUE!</v>
      </c>
      <c r="BP48" t="e">
        <f>'All regions'!H1269+"$F;@!$Ul"</f>
        <v>#VALUE!</v>
      </c>
      <c r="BQ48" t="e">
        <f>'All regions'!I1269+"$F;@!$Um"</f>
        <v>#VALUE!</v>
      </c>
      <c r="BR48" t="e">
        <f>'All regions'!A1270+"$F;@!$Un"</f>
        <v>#VALUE!</v>
      </c>
      <c r="BS48" t="e">
        <f>'All regions'!B1270+"$F;@!$Uo"</f>
        <v>#VALUE!</v>
      </c>
      <c r="BT48" t="e">
        <f>'All regions'!C1270+"$F;@!$Up"</f>
        <v>#VALUE!</v>
      </c>
      <c r="BU48" t="e">
        <f>'All regions'!D1270+"$F;@!$Uq"</f>
        <v>#VALUE!</v>
      </c>
      <c r="BV48" t="e">
        <f>'All regions'!E1270+"$F;@!$Ur"</f>
        <v>#VALUE!</v>
      </c>
      <c r="BW48" t="e">
        <f>'All regions'!F1270+"$F;@!$Us"</f>
        <v>#VALUE!</v>
      </c>
      <c r="BX48" t="e">
        <f>'All regions'!G1270+"$F;@!$Ut"</f>
        <v>#VALUE!</v>
      </c>
      <c r="BY48" t="e">
        <f>'All regions'!H1270+"$F;@!$Uu"</f>
        <v>#VALUE!</v>
      </c>
      <c r="BZ48" t="e">
        <f>'All regions'!I1270+"$F;@!$Uv"</f>
        <v>#VALUE!</v>
      </c>
      <c r="CA48" t="e">
        <f>'All regions'!A1271+"$F;@!$Uw"</f>
        <v>#VALUE!</v>
      </c>
      <c r="CB48" t="e">
        <f>'All regions'!B1271+"$F;@!$Ux"</f>
        <v>#VALUE!</v>
      </c>
      <c r="CC48" t="e">
        <f>'All regions'!C1271+"$F;@!$Uy"</f>
        <v>#VALUE!</v>
      </c>
      <c r="CD48" t="e">
        <f>'All regions'!D1271+"$F;@!$Uz"</f>
        <v>#VALUE!</v>
      </c>
      <c r="CE48" t="e">
        <f>'All regions'!E1271+"$F;@!$U{"</f>
        <v>#VALUE!</v>
      </c>
      <c r="CF48" t="e">
        <f>'All regions'!F1271+"$F;@!$U|"</f>
        <v>#VALUE!</v>
      </c>
      <c r="CG48" t="e">
        <f>'All regions'!G1271+"$F;@!$U}"</f>
        <v>#VALUE!</v>
      </c>
      <c r="CH48" t="e">
        <f>'All regions'!H1271+"$F;@!$U~"</f>
        <v>#VALUE!</v>
      </c>
      <c r="CI48" t="e">
        <f>'All regions'!I1271+"$F;@!$V#"</f>
        <v>#VALUE!</v>
      </c>
      <c r="CJ48" t="e">
        <f>'All regions'!A1272+"$F;@!$V$"</f>
        <v>#VALUE!</v>
      </c>
      <c r="CK48" t="e">
        <f>'All regions'!B1272+"$F;@!$V%"</f>
        <v>#VALUE!</v>
      </c>
      <c r="CL48" t="e">
        <f>'All regions'!C1272+"$F;@!$V&amp;"</f>
        <v>#VALUE!</v>
      </c>
      <c r="CM48" t="e">
        <f>'All regions'!D1272+"$F;@!$V'"</f>
        <v>#VALUE!</v>
      </c>
      <c r="CN48" t="e">
        <f>'All regions'!E1272+"$F;@!$V("</f>
        <v>#VALUE!</v>
      </c>
      <c r="CO48" t="e">
        <f>'All regions'!F1272+"$F;@!$V)"</f>
        <v>#VALUE!</v>
      </c>
      <c r="CP48" t="e">
        <f>'All regions'!G1272+"$F;@!$V."</f>
        <v>#VALUE!</v>
      </c>
      <c r="CQ48" t="e">
        <f>'All regions'!H1272+"$F;@!$V/"</f>
        <v>#VALUE!</v>
      </c>
      <c r="CR48" t="e">
        <f>'All regions'!I1272+"$F;@!$V0"</f>
        <v>#VALUE!</v>
      </c>
      <c r="CS48" t="e">
        <f>'All regions'!A1273+"$F;@!$V1"</f>
        <v>#VALUE!</v>
      </c>
      <c r="CT48" t="e">
        <f>'All regions'!B1273+"$F;@!$V2"</f>
        <v>#VALUE!</v>
      </c>
      <c r="CU48" t="e">
        <f>'All regions'!C1273+"$F;@!$V3"</f>
        <v>#VALUE!</v>
      </c>
      <c r="CV48" t="e">
        <f>'All regions'!D1273+"$F;@!$V4"</f>
        <v>#VALUE!</v>
      </c>
      <c r="CW48" t="e">
        <f>'All regions'!E1273+"$F;@!$V5"</f>
        <v>#VALUE!</v>
      </c>
      <c r="CX48" t="e">
        <f>'All regions'!F1273+"$F;@!$V6"</f>
        <v>#VALUE!</v>
      </c>
      <c r="CY48" t="e">
        <f>'All regions'!G1273+"$F;@!$V7"</f>
        <v>#VALUE!</v>
      </c>
      <c r="CZ48" t="e">
        <f>'All regions'!H1273+"$F;@!$V8"</f>
        <v>#VALUE!</v>
      </c>
      <c r="DA48" t="e">
        <f>'All regions'!I1273+"$F;@!$V9"</f>
        <v>#VALUE!</v>
      </c>
      <c r="DB48" t="e">
        <f>'All regions'!A1274+"$F;@!$V:"</f>
        <v>#VALUE!</v>
      </c>
      <c r="DC48" t="e">
        <f>'All regions'!B1274+"$F;@!$V;"</f>
        <v>#VALUE!</v>
      </c>
      <c r="DD48" t="e">
        <f>'All regions'!C1274+"$F;@!$V&lt;"</f>
        <v>#VALUE!</v>
      </c>
      <c r="DE48" t="e">
        <f>'All regions'!D1274+"$F;@!$V="</f>
        <v>#VALUE!</v>
      </c>
      <c r="DF48" t="e">
        <f>'All regions'!E1274+"$F;@!$V&gt;"</f>
        <v>#VALUE!</v>
      </c>
      <c r="DG48" t="e">
        <f>'All regions'!F1274+"$F;@!$V?"</f>
        <v>#VALUE!</v>
      </c>
      <c r="DH48" t="e">
        <f>'All regions'!G1274+"$F;@!$V@"</f>
        <v>#VALUE!</v>
      </c>
      <c r="DI48" t="e">
        <f>'All regions'!H1274+"$F;@!$VA"</f>
        <v>#VALUE!</v>
      </c>
      <c r="DJ48" t="e">
        <f>'All regions'!I1274+"$F;@!$VB"</f>
        <v>#VALUE!</v>
      </c>
      <c r="DK48" t="e">
        <f>'All regions'!A1275+"$F;@!$VC"</f>
        <v>#VALUE!</v>
      </c>
      <c r="DL48" t="e">
        <f>'All regions'!B1275+"$F;@!$VD"</f>
        <v>#VALUE!</v>
      </c>
      <c r="DM48" t="e">
        <f>'All regions'!C1275+"$F;@!$VE"</f>
        <v>#VALUE!</v>
      </c>
      <c r="DN48" t="e">
        <f>'All regions'!D1275+"$F;@!$VF"</f>
        <v>#VALUE!</v>
      </c>
      <c r="DO48" t="e">
        <f>'All regions'!E1275+"$F;@!$VG"</f>
        <v>#VALUE!</v>
      </c>
      <c r="DP48" t="e">
        <f>'All regions'!F1275+"$F;@!$VH"</f>
        <v>#VALUE!</v>
      </c>
      <c r="DQ48" t="e">
        <f>'All regions'!G1275+"$F;@!$VI"</f>
        <v>#VALUE!</v>
      </c>
      <c r="DR48" t="e">
        <f>'All regions'!H1275+"$F;@!$VJ"</f>
        <v>#VALUE!</v>
      </c>
      <c r="DS48" t="e">
        <f>'All regions'!I1275+"$F;@!$VK"</f>
        <v>#VALUE!</v>
      </c>
      <c r="DT48" t="e">
        <f>'All regions'!A1276+"$F;@!$VL"</f>
        <v>#VALUE!</v>
      </c>
      <c r="DU48" t="e">
        <f>'All regions'!B1276+"$F;@!$VM"</f>
        <v>#VALUE!</v>
      </c>
      <c r="DV48" t="e">
        <f>'All regions'!C1276+"$F;@!$VN"</f>
        <v>#VALUE!</v>
      </c>
      <c r="DW48" t="e">
        <f>'All regions'!D1276+"$F;@!$VO"</f>
        <v>#VALUE!</v>
      </c>
      <c r="DX48" t="e">
        <f>'All regions'!E1276+"$F;@!$VP"</f>
        <v>#VALUE!</v>
      </c>
      <c r="DY48" t="e">
        <f>'All regions'!F1276+"$F;@!$VQ"</f>
        <v>#VALUE!</v>
      </c>
      <c r="DZ48" t="e">
        <f>'All regions'!G1276+"$F;@!$VR"</f>
        <v>#VALUE!</v>
      </c>
      <c r="EA48" t="e">
        <f>'All regions'!H1276+"$F;@!$VS"</f>
        <v>#VALUE!</v>
      </c>
      <c r="EB48" t="e">
        <f>'All regions'!I1276+"$F;@!$VT"</f>
        <v>#VALUE!</v>
      </c>
      <c r="EC48" t="e">
        <f>'All regions'!A1277+"$F;@!$VU"</f>
        <v>#VALUE!</v>
      </c>
      <c r="ED48" t="e">
        <f>'All regions'!B1277+"$F;@!$VV"</f>
        <v>#VALUE!</v>
      </c>
      <c r="EE48" t="e">
        <f>'All regions'!C1277+"$F;@!$VW"</f>
        <v>#VALUE!</v>
      </c>
      <c r="EF48" t="e">
        <f>'All regions'!D1277+"$F;@!$VX"</f>
        <v>#VALUE!</v>
      </c>
      <c r="EG48" t="e">
        <f>'All regions'!E1277+"$F;@!$VY"</f>
        <v>#VALUE!</v>
      </c>
      <c r="EH48" t="e">
        <f>'All regions'!F1277+"$F;@!$VZ"</f>
        <v>#VALUE!</v>
      </c>
      <c r="EI48" t="e">
        <f>'All regions'!G1277+"$F;@!$V["</f>
        <v>#VALUE!</v>
      </c>
      <c r="EJ48" t="e">
        <f>'All regions'!H1277+"$F;@!$V\"</f>
        <v>#VALUE!</v>
      </c>
      <c r="EK48" t="e">
        <f>'All regions'!I1277+"$F;@!$V]"</f>
        <v>#VALUE!</v>
      </c>
      <c r="EL48" t="e">
        <f>'All regions'!A1278+"$F;@!$V^"</f>
        <v>#VALUE!</v>
      </c>
      <c r="EM48" t="e">
        <f>'All regions'!B1278+"$F;@!$V_"</f>
        <v>#VALUE!</v>
      </c>
      <c r="EN48" t="e">
        <f>'All regions'!C1278+"$F;@!$V`"</f>
        <v>#VALUE!</v>
      </c>
      <c r="EO48" t="e">
        <f>'All regions'!D1278+"$F;@!$Va"</f>
        <v>#VALUE!</v>
      </c>
      <c r="EP48" t="e">
        <f>'All regions'!E1278+"$F;@!$Vb"</f>
        <v>#VALUE!</v>
      </c>
      <c r="EQ48" t="e">
        <f>'All regions'!F1278+"$F;@!$Vc"</f>
        <v>#VALUE!</v>
      </c>
      <c r="ER48" t="e">
        <f>'All regions'!G1278+"$F;@!$Vd"</f>
        <v>#VALUE!</v>
      </c>
      <c r="ES48" t="e">
        <f>'All regions'!H1278+"$F;@!$Ve"</f>
        <v>#VALUE!</v>
      </c>
      <c r="ET48" t="e">
        <f>'All regions'!I1278+"$F;@!$Vf"</f>
        <v>#VALUE!</v>
      </c>
      <c r="EU48" t="e">
        <f>'All regions'!A1279+"$F;@!$Vg"</f>
        <v>#VALUE!</v>
      </c>
      <c r="EV48" t="e">
        <f>'All regions'!B1279+"$F;@!$Vh"</f>
        <v>#VALUE!</v>
      </c>
      <c r="EW48" t="e">
        <f>'All regions'!C1279+"$F;@!$Vi"</f>
        <v>#VALUE!</v>
      </c>
      <c r="EX48" t="e">
        <f>'All regions'!D1279+"$F;@!$Vj"</f>
        <v>#VALUE!</v>
      </c>
      <c r="EY48" t="e">
        <f>'All regions'!E1279+"$F;@!$Vk"</f>
        <v>#VALUE!</v>
      </c>
      <c r="EZ48" t="e">
        <f>'All regions'!F1279+"$F;@!$Vl"</f>
        <v>#VALUE!</v>
      </c>
      <c r="FA48" t="e">
        <f>'All regions'!G1279+"$F;@!$Vm"</f>
        <v>#VALUE!</v>
      </c>
      <c r="FB48" t="e">
        <f>'All regions'!H1279+"$F;@!$Vn"</f>
        <v>#VALUE!</v>
      </c>
      <c r="FC48" t="e">
        <f>'All regions'!I1279+"$F;@!$Vo"</f>
        <v>#VALUE!</v>
      </c>
      <c r="FD48" t="e">
        <f>'All regions'!A1280+"$F;@!$Vp"</f>
        <v>#VALUE!</v>
      </c>
      <c r="FE48" t="e">
        <f>'All regions'!B1280+"$F;@!$Vq"</f>
        <v>#VALUE!</v>
      </c>
      <c r="FF48" t="e">
        <f>'All regions'!C1280+"$F;@!$Vr"</f>
        <v>#VALUE!</v>
      </c>
      <c r="FG48" t="e">
        <f>'All regions'!D1280+"$F;@!$Vs"</f>
        <v>#VALUE!</v>
      </c>
      <c r="FH48" t="e">
        <f>'All regions'!E1280+"$F;@!$Vt"</f>
        <v>#VALUE!</v>
      </c>
      <c r="FI48" t="e">
        <f>'All regions'!F1280+"$F;@!$Vu"</f>
        <v>#VALUE!</v>
      </c>
      <c r="FJ48" t="e">
        <f>'All regions'!G1280+"$F;@!$Vv"</f>
        <v>#VALUE!</v>
      </c>
      <c r="FK48" t="e">
        <f>'All regions'!H1280+"$F;@!$Vw"</f>
        <v>#VALUE!</v>
      </c>
      <c r="FL48" t="e">
        <f>'All regions'!I1280+"$F;@!$Vx"</f>
        <v>#VALUE!</v>
      </c>
      <c r="FM48" t="e">
        <f>'All regions'!A1281+"$F;@!$Vy"</f>
        <v>#VALUE!</v>
      </c>
      <c r="FN48" t="e">
        <f>'All regions'!B1281+"$F;@!$Vz"</f>
        <v>#VALUE!</v>
      </c>
      <c r="FO48" t="e">
        <f>'All regions'!C1281+"$F;@!$V{"</f>
        <v>#VALUE!</v>
      </c>
      <c r="FP48" t="e">
        <f>'All regions'!D1281+"$F;@!$V|"</f>
        <v>#VALUE!</v>
      </c>
      <c r="FQ48" t="e">
        <f>'All regions'!E1281+"$F;@!$V}"</f>
        <v>#VALUE!</v>
      </c>
      <c r="FR48" t="e">
        <f>'All regions'!F1281+"$F;@!$V~"</f>
        <v>#VALUE!</v>
      </c>
      <c r="FS48" t="e">
        <f>'All regions'!G1281+"$F;@!$W#"</f>
        <v>#VALUE!</v>
      </c>
      <c r="FT48" t="e">
        <f>'All regions'!H1281+"$F;@!$W$"</f>
        <v>#VALUE!</v>
      </c>
      <c r="FU48" t="e">
        <f>'All regions'!I1281+"$F;@!$W%"</f>
        <v>#VALUE!</v>
      </c>
      <c r="FV48" t="e">
        <f>'All regions'!A1282+"$F;@!$W&amp;"</f>
        <v>#VALUE!</v>
      </c>
      <c r="FW48" t="e">
        <f>'All regions'!B1282+"$F;@!$W'"</f>
        <v>#VALUE!</v>
      </c>
      <c r="FX48" t="e">
        <f>'All regions'!C1282+"$F;@!$W("</f>
        <v>#VALUE!</v>
      </c>
      <c r="FY48" t="e">
        <f>'All regions'!D1282+"$F;@!$W)"</f>
        <v>#VALUE!</v>
      </c>
      <c r="FZ48" t="e">
        <f>'All regions'!E1282+"$F;@!$W."</f>
        <v>#VALUE!</v>
      </c>
      <c r="GA48" t="e">
        <f>'All regions'!F1282+"$F;@!$W/"</f>
        <v>#VALUE!</v>
      </c>
      <c r="GB48" t="e">
        <f>'All regions'!G1282+"$F;@!$W0"</f>
        <v>#VALUE!</v>
      </c>
      <c r="GC48" t="e">
        <f>'All regions'!H1282+"$F;@!$W1"</f>
        <v>#VALUE!</v>
      </c>
      <c r="GD48" t="e">
        <f>'All regions'!I1282+"$F;@!$W2"</f>
        <v>#VALUE!</v>
      </c>
      <c r="GE48" t="e">
        <f>'All regions'!A1283+"$F;@!$W3"</f>
        <v>#VALUE!</v>
      </c>
      <c r="GF48" t="e">
        <f>'All regions'!B1283+"$F;@!$W4"</f>
        <v>#VALUE!</v>
      </c>
      <c r="GG48" t="e">
        <f>'All regions'!C1283+"$F;@!$W5"</f>
        <v>#VALUE!</v>
      </c>
      <c r="GH48" t="e">
        <f>'All regions'!D1283+"$F;@!$W6"</f>
        <v>#VALUE!</v>
      </c>
      <c r="GI48" t="e">
        <f>'All regions'!E1283+"$F;@!$W7"</f>
        <v>#VALUE!</v>
      </c>
      <c r="GJ48" t="e">
        <f>'All regions'!F1283+"$F;@!$W8"</f>
        <v>#VALUE!</v>
      </c>
      <c r="GK48" t="e">
        <f>'All regions'!G1283+"$F;@!$W9"</f>
        <v>#VALUE!</v>
      </c>
      <c r="GL48" t="e">
        <f>'All regions'!H1283+"$F;@!$W:"</f>
        <v>#VALUE!</v>
      </c>
      <c r="GM48" t="e">
        <f>'All regions'!I1283+"$F;@!$W;"</f>
        <v>#VALUE!</v>
      </c>
      <c r="GN48" t="e">
        <f>'All regions'!A1284+"$F;@!$W&lt;"</f>
        <v>#VALUE!</v>
      </c>
      <c r="GO48" t="e">
        <f>'All regions'!B1284+"$F;@!$W="</f>
        <v>#VALUE!</v>
      </c>
      <c r="GP48" t="e">
        <f>'All regions'!C1284+"$F;@!$W&gt;"</f>
        <v>#VALUE!</v>
      </c>
      <c r="GQ48" t="e">
        <f>'All regions'!D1284+"$F;@!$W?"</f>
        <v>#VALUE!</v>
      </c>
      <c r="GR48" t="e">
        <f>'All regions'!E1284+"$F;@!$W@"</f>
        <v>#VALUE!</v>
      </c>
      <c r="GS48" t="e">
        <f>'All regions'!F1284+"$F;@!$WA"</f>
        <v>#VALUE!</v>
      </c>
      <c r="GT48" t="e">
        <f>'All regions'!G1284+"$F;@!$WB"</f>
        <v>#VALUE!</v>
      </c>
      <c r="GU48" t="e">
        <f>'All regions'!H1284+"$F;@!$WC"</f>
        <v>#VALUE!</v>
      </c>
      <c r="GV48" t="e">
        <f>'All regions'!I1284+"$F;@!$WD"</f>
        <v>#VALUE!</v>
      </c>
      <c r="GW48" t="e">
        <f>'All regions'!A1285+"$F;@!$WE"</f>
        <v>#VALUE!</v>
      </c>
      <c r="GX48" t="e">
        <f>'All regions'!B1285+"$F;@!$WF"</f>
        <v>#VALUE!</v>
      </c>
      <c r="GY48" t="e">
        <f>'All regions'!C1285+"$F;@!$WG"</f>
        <v>#VALUE!</v>
      </c>
      <c r="GZ48" t="e">
        <f>'All regions'!D1285+"$F;@!$WH"</f>
        <v>#VALUE!</v>
      </c>
      <c r="HA48" t="e">
        <f>'All regions'!E1285+"$F;@!$WI"</f>
        <v>#VALUE!</v>
      </c>
      <c r="HB48" t="e">
        <f>'All regions'!F1285+"$F;@!$WJ"</f>
        <v>#VALUE!</v>
      </c>
      <c r="HC48" t="e">
        <f>'All regions'!G1285+"$F;@!$WK"</f>
        <v>#VALUE!</v>
      </c>
      <c r="HD48" t="e">
        <f>'All regions'!H1285+"$F;@!$WL"</f>
        <v>#VALUE!</v>
      </c>
      <c r="HE48" t="e">
        <f>'All regions'!I1285+"$F;@!$WM"</f>
        <v>#VALUE!</v>
      </c>
      <c r="HF48" t="e">
        <f>'All regions'!A1286+"$F;@!$WN"</f>
        <v>#VALUE!</v>
      </c>
      <c r="HG48" t="e">
        <f>'All regions'!B1286+"$F;@!$WO"</f>
        <v>#VALUE!</v>
      </c>
      <c r="HH48" t="e">
        <f>'All regions'!C1286+"$F;@!$WP"</f>
        <v>#VALUE!</v>
      </c>
      <c r="HI48" t="e">
        <f>'All regions'!D1286+"$F;@!$WQ"</f>
        <v>#VALUE!</v>
      </c>
      <c r="HJ48" t="e">
        <f>'All regions'!E1286+"$F;@!$WR"</f>
        <v>#VALUE!</v>
      </c>
      <c r="HK48" t="e">
        <f>'All regions'!F1286+"$F;@!$WS"</f>
        <v>#VALUE!</v>
      </c>
      <c r="HL48" t="e">
        <f>'All regions'!G1286+"$F;@!$WT"</f>
        <v>#VALUE!</v>
      </c>
      <c r="HM48" t="e">
        <f>'All regions'!H1286+"$F;@!$WU"</f>
        <v>#VALUE!</v>
      </c>
      <c r="HN48" t="e">
        <f>'All regions'!I1286+"$F;@!$WV"</f>
        <v>#VALUE!</v>
      </c>
      <c r="HO48" t="e">
        <f>'All regions'!A1287+"$F;@!$WW"</f>
        <v>#VALUE!</v>
      </c>
      <c r="HP48" t="e">
        <f>'All regions'!B1287+"$F;@!$WX"</f>
        <v>#VALUE!</v>
      </c>
      <c r="HQ48" t="e">
        <f>'All regions'!C1287+"$F;@!$WY"</f>
        <v>#VALUE!</v>
      </c>
      <c r="HR48" t="e">
        <f>'All regions'!D1287+"$F;@!$WZ"</f>
        <v>#VALUE!</v>
      </c>
      <c r="HS48" t="e">
        <f>'All regions'!E1287+"$F;@!$W["</f>
        <v>#VALUE!</v>
      </c>
      <c r="HT48" t="e">
        <f>'All regions'!F1287+"$F;@!$W\"</f>
        <v>#VALUE!</v>
      </c>
      <c r="HU48" t="e">
        <f>'All regions'!G1287+"$F;@!$W]"</f>
        <v>#VALUE!</v>
      </c>
      <c r="HV48" t="e">
        <f>'All regions'!H1287+"$F;@!$W^"</f>
        <v>#VALUE!</v>
      </c>
      <c r="HW48" t="e">
        <f>'All regions'!I1287+"$F;@!$W_"</f>
        <v>#VALUE!</v>
      </c>
      <c r="HX48" t="e">
        <f>'All regions'!A1288+"$F;@!$W`"</f>
        <v>#VALUE!</v>
      </c>
      <c r="HY48" t="e">
        <f>'All regions'!B1288+"$F;@!$Wa"</f>
        <v>#VALUE!</v>
      </c>
      <c r="HZ48" t="e">
        <f>'All regions'!C1288+"$F;@!$Wb"</f>
        <v>#VALUE!</v>
      </c>
      <c r="IA48" t="e">
        <f>'All regions'!D1288+"$F;@!$Wc"</f>
        <v>#VALUE!</v>
      </c>
      <c r="IB48" t="e">
        <f>'All regions'!E1288+"$F;@!$Wd"</f>
        <v>#VALUE!</v>
      </c>
      <c r="IC48" t="e">
        <f>'All regions'!F1288+"$F;@!$We"</f>
        <v>#VALUE!</v>
      </c>
      <c r="ID48" t="e">
        <f>'All regions'!G1288+"$F;@!$Wf"</f>
        <v>#VALUE!</v>
      </c>
      <c r="IE48" t="e">
        <f>'All regions'!H1288+"$F;@!$Wg"</f>
        <v>#VALUE!</v>
      </c>
      <c r="IF48" t="e">
        <f>'All regions'!I1288+"$F;@!$Wh"</f>
        <v>#VALUE!</v>
      </c>
      <c r="IG48" t="e">
        <f>'All regions'!A1289+"$F;@!$Wi"</f>
        <v>#VALUE!</v>
      </c>
      <c r="IH48" t="e">
        <f>'All regions'!B1289+"$F;@!$Wj"</f>
        <v>#VALUE!</v>
      </c>
      <c r="II48" t="e">
        <f>'All regions'!C1289+"$F;@!$Wk"</f>
        <v>#VALUE!</v>
      </c>
      <c r="IJ48" t="e">
        <f>'All regions'!D1289+"$F;@!$Wl"</f>
        <v>#VALUE!</v>
      </c>
      <c r="IK48" t="e">
        <f>'All regions'!E1289+"$F;@!$Wm"</f>
        <v>#VALUE!</v>
      </c>
      <c r="IL48" t="e">
        <f>'All regions'!F1289+"$F;@!$Wn"</f>
        <v>#VALUE!</v>
      </c>
      <c r="IM48" t="e">
        <f>'All regions'!G1289+"$F;@!$Wo"</f>
        <v>#VALUE!</v>
      </c>
      <c r="IN48" t="e">
        <f>'All regions'!H1289+"$F;@!$Wp"</f>
        <v>#VALUE!</v>
      </c>
      <c r="IO48" t="e">
        <f>'All regions'!I1289+"$F;@!$Wq"</f>
        <v>#VALUE!</v>
      </c>
      <c r="IP48" t="e">
        <f>'All regions'!A1290+"$F;@!$Wr"</f>
        <v>#VALUE!</v>
      </c>
      <c r="IQ48" t="e">
        <f>'All regions'!B1290+"$F;@!$Ws"</f>
        <v>#VALUE!</v>
      </c>
      <c r="IR48" t="e">
        <f>'All regions'!C1290+"$F;@!$Wt"</f>
        <v>#VALUE!</v>
      </c>
      <c r="IS48" t="e">
        <f>'All regions'!D1290+"$F;@!$Wu"</f>
        <v>#VALUE!</v>
      </c>
      <c r="IT48" t="e">
        <f>'All regions'!E1290+"$F;@!$Wv"</f>
        <v>#VALUE!</v>
      </c>
      <c r="IU48" t="e">
        <f>'All regions'!F1290+"$F;@!$Ww"</f>
        <v>#VALUE!</v>
      </c>
      <c r="IV48" t="e">
        <f>'All regions'!G1290+"$F;@!$Wx"</f>
        <v>#VALUE!</v>
      </c>
    </row>
    <row r="49" spans="6:256" x14ac:dyDescent="0.35">
      <c r="F49" t="e">
        <f>'All regions'!H1290+"$F;@!$Wy"</f>
        <v>#VALUE!</v>
      </c>
      <c r="G49" t="e">
        <f>'All regions'!I1290+"$F;@!$Wz"</f>
        <v>#VALUE!</v>
      </c>
      <c r="H49" t="e">
        <f>'All regions'!A1291+"$F;@!$W{"</f>
        <v>#VALUE!</v>
      </c>
      <c r="I49" t="e">
        <f>'All regions'!B1291+"$F;@!$W|"</f>
        <v>#VALUE!</v>
      </c>
      <c r="J49" t="e">
        <f>'All regions'!C1291+"$F;@!$W}"</f>
        <v>#VALUE!</v>
      </c>
      <c r="K49" t="e">
        <f>'All regions'!D1291+"$F;@!$W~"</f>
        <v>#VALUE!</v>
      </c>
      <c r="L49" t="e">
        <f>'All regions'!E1291+"$F;@!$X#"</f>
        <v>#VALUE!</v>
      </c>
      <c r="M49" t="e">
        <f>'All regions'!F1291+"$F;@!$X$"</f>
        <v>#VALUE!</v>
      </c>
      <c r="N49" t="e">
        <f>'All regions'!G1291+"$F;@!$X%"</f>
        <v>#VALUE!</v>
      </c>
      <c r="O49" t="e">
        <f>'All regions'!H1291+"$F;@!$X&amp;"</f>
        <v>#VALUE!</v>
      </c>
      <c r="P49" t="e">
        <f>'All regions'!I1291+"$F;@!$X'"</f>
        <v>#VALUE!</v>
      </c>
      <c r="Q49" t="e">
        <f>'All regions'!A1292+"$F;@!$X("</f>
        <v>#VALUE!</v>
      </c>
      <c r="R49" t="e">
        <f>'All regions'!B1292+"$F;@!$X)"</f>
        <v>#VALUE!</v>
      </c>
      <c r="S49" t="e">
        <f>'All regions'!C1292+"$F;@!$X."</f>
        <v>#VALUE!</v>
      </c>
      <c r="T49" t="e">
        <f>'All regions'!D1292+"$F;@!$X/"</f>
        <v>#VALUE!</v>
      </c>
      <c r="U49" t="e">
        <f>'All regions'!E1292+"$F;@!$X0"</f>
        <v>#VALUE!</v>
      </c>
      <c r="V49" t="e">
        <f>'All regions'!F1292+"$F;@!$X1"</f>
        <v>#VALUE!</v>
      </c>
      <c r="W49" t="e">
        <f>'All regions'!G1292+"$F;@!$X2"</f>
        <v>#VALUE!</v>
      </c>
      <c r="X49" t="e">
        <f>'All regions'!H1292+"$F;@!$X3"</f>
        <v>#VALUE!</v>
      </c>
      <c r="Y49" t="e">
        <f>'All regions'!I1292+"$F;@!$X4"</f>
        <v>#VALUE!</v>
      </c>
      <c r="Z49" t="e">
        <f>'All regions'!A1293+"$F;@!$X5"</f>
        <v>#VALUE!</v>
      </c>
      <c r="AA49" t="e">
        <f>'All regions'!B1293+"$F;@!$X6"</f>
        <v>#VALUE!</v>
      </c>
      <c r="AB49" t="e">
        <f>'All regions'!C1293+"$F;@!$X7"</f>
        <v>#VALUE!</v>
      </c>
      <c r="AC49" t="e">
        <f>'All regions'!D1293+"$F;@!$X8"</f>
        <v>#VALUE!</v>
      </c>
      <c r="AD49" t="e">
        <f>'All regions'!E1293+"$F;@!$X9"</f>
        <v>#VALUE!</v>
      </c>
      <c r="AE49" t="e">
        <f>'All regions'!F1293+"$F;@!$X:"</f>
        <v>#VALUE!</v>
      </c>
      <c r="AF49" t="e">
        <f>'All regions'!G1293+"$F;@!$X;"</f>
        <v>#VALUE!</v>
      </c>
      <c r="AG49" t="e">
        <f>'All regions'!H1293+"$F;@!$X&lt;"</f>
        <v>#VALUE!</v>
      </c>
      <c r="AH49" t="e">
        <f>'All regions'!I1293+"$F;@!$X="</f>
        <v>#VALUE!</v>
      </c>
      <c r="AI49" t="e">
        <f>'All regions'!A1294+"$F;@!$X&gt;"</f>
        <v>#VALUE!</v>
      </c>
      <c r="AJ49" t="e">
        <f>'All regions'!B1294+"$F;@!$X?"</f>
        <v>#VALUE!</v>
      </c>
      <c r="AK49" t="e">
        <f>'All regions'!C1294+"$F;@!$X@"</f>
        <v>#VALUE!</v>
      </c>
      <c r="AL49" t="e">
        <f>'All regions'!D1294+"$F;@!$XA"</f>
        <v>#VALUE!</v>
      </c>
      <c r="AM49" t="e">
        <f>'All regions'!E1294+"$F;@!$XB"</f>
        <v>#VALUE!</v>
      </c>
      <c r="AN49" t="e">
        <f>'All regions'!F1294+"$F;@!$XC"</f>
        <v>#VALUE!</v>
      </c>
      <c r="AO49" t="e">
        <f>'All regions'!G1294+"$F;@!$XD"</f>
        <v>#VALUE!</v>
      </c>
      <c r="AP49" t="e">
        <f>'All regions'!H1294+"$F;@!$XE"</f>
        <v>#VALUE!</v>
      </c>
      <c r="AQ49" t="e">
        <f>'All regions'!I1294+"$F;@!$XF"</f>
        <v>#VALUE!</v>
      </c>
      <c r="AR49" t="e">
        <f>'All regions'!A1295+"$F;@!$XG"</f>
        <v>#VALUE!</v>
      </c>
      <c r="AS49" t="e">
        <f>'All regions'!B1295+"$F;@!$XH"</f>
        <v>#VALUE!</v>
      </c>
      <c r="AT49" t="e">
        <f>'All regions'!C1295+"$F;@!$XI"</f>
        <v>#VALUE!</v>
      </c>
      <c r="AU49" t="e">
        <f>'All regions'!D1295+"$F;@!$XJ"</f>
        <v>#VALUE!</v>
      </c>
      <c r="AV49" t="e">
        <f>'All regions'!E1295+"$F;@!$XK"</f>
        <v>#VALUE!</v>
      </c>
      <c r="AW49" t="e">
        <f>'All regions'!F1295+"$F;@!$XL"</f>
        <v>#VALUE!</v>
      </c>
      <c r="AX49" t="e">
        <f>'All regions'!G1295+"$F;@!$XM"</f>
        <v>#VALUE!</v>
      </c>
      <c r="AY49" t="e">
        <f>'All regions'!H1295+"$F;@!$XN"</f>
        <v>#VALUE!</v>
      </c>
      <c r="AZ49" t="e">
        <f>'All regions'!I1295+"$F;@!$XO"</f>
        <v>#VALUE!</v>
      </c>
      <c r="BA49" t="e">
        <f>'All regions'!A1296+"$F;@!$XP"</f>
        <v>#VALUE!</v>
      </c>
      <c r="BB49" t="e">
        <f>'All regions'!B1296+"$F;@!$XQ"</f>
        <v>#VALUE!</v>
      </c>
      <c r="BC49" t="e">
        <f>'All regions'!C1296+"$F;@!$XR"</f>
        <v>#VALUE!</v>
      </c>
      <c r="BD49" t="e">
        <f>'All regions'!D1296+"$F;@!$XS"</f>
        <v>#VALUE!</v>
      </c>
      <c r="BE49" t="e">
        <f>'All regions'!E1296+"$F;@!$XT"</f>
        <v>#VALUE!</v>
      </c>
      <c r="BF49" t="e">
        <f>'All regions'!F1296+"$F;@!$XU"</f>
        <v>#VALUE!</v>
      </c>
      <c r="BG49" t="e">
        <f>'All regions'!G1296+"$F;@!$XV"</f>
        <v>#VALUE!</v>
      </c>
      <c r="BH49" t="e">
        <f>'All regions'!H1296+"$F;@!$XW"</f>
        <v>#VALUE!</v>
      </c>
      <c r="BI49" t="e">
        <f>'All regions'!I1296+"$F;@!$XX"</f>
        <v>#VALUE!</v>
      </c>
      <c r="BJ49" t="e">
        <f>'All regions'!A1297+"$F;@!$XY"</f>
        <v>#VALUE!</v>
      </c>
      <c r="BK49" t="e">
        <f>'All regions'!B1297+"$F;@!$XZ"</f>
        <v>#VALUE!</v>
      </c>
      <c r="BL49" t="e">
        <f>'All regions'!C1297+"$F;@!$X["</f>
        <v>#VALUE!</v>
      </c>
      <c r="BM49" t="e">
        <f>'All regions'!D1297+"$F;@!$X\"</f>
        <v>#VALUE!</v>
      </c>
      <c r="BN49" t="e">
        <f>'All regions'!E1297+"$F;@!$X]"</f>
        <v>#VALUE!</v>
      </c>
      <c r="BO49" t="e">
        <f>'All regions'!F1297+"$F;@!$X^"</f>
        <v>#VALUE!</v>
      </c>
      <c r="BP49" t="e">
        <f>'All regions'!G1297+"$F;@!$X_"</f>
        <v>#VALUE!</v>
      </c>
      <c r="BQ49" t="e">
        <f>'All regions'!H1297+"$F;@!$X`"</f>
        <v>#VALUE!</v>
      </c>
      <c r="BR49" t="e">
        <f>'All regions'!I1297+"$F;@!$Xa"</f>
        <v>#VALUE!</v>
      </c>
      <c r="BS49" t="e">
        <f>'All regions'!A1298+"$F;@!$Xb"</f>
        <v>#VALUE!</v>
      </c>
      <c r="BT49" t="e">
        <f>'All regions'!B1298+"$F;@!$Xc"</f>
        <v>#VALUE!</v>
      </c>
      <c r="BU49" t="e">
        <f>'All regions'!C1298+"$F;@!$Xd"</f>
        <v>#VALUE!</v>
      </c>
      <c r="BV49" t="e">
        <f>'All regions'!D1298+"$F;@!$Xe"</f>
        <v>#VALUE!</v>
      </c>
      <c r="BW49" t="e">
        <f>'All regions'!E1298+"$F;@!$Xf"</f>
        <v>#VALUE!</v>
      </c>
      <c r="BX49" t="e">
        <f>'All regions'!F1298+"$F;@!$Xg"</f>
        <v>#VALUE!</v>
      </c>
      <c r="BY49" t="e">
        <f>'All regions'!G1298+"$F;@!$Xh"</f>
        <v>#VALUE!</v>
      </c>
      <c r="BZ49" t="e">
        <f>'All regions'!H1298+"$F;@!$Xi"</f>
        <v>#VALUE!</v>
      </c>
      <c r="CA49" t="e">
        <f>'All regions'!I1298+"$F;@!$Xj"</f>
        <v>#VALUE!</v>
      </c>
      <c r="CB49" t="e">
        <f>'All regions'!A1299+"$F;@!$Xk"</f>
        <v>#VALUE!</v>
      </c>
      <c r="CC49" t="e">
        <f>'All regions'!B1299+"$F;@!$Xl"</f>
        <v>#VALUE!</v>
      </c>
      <c r="CD49" t="e">
        <f>'All regions'!C1299+"$F;@!$Xm"</f>
        <v>#VALUE!</v>
      </c>
      <c r="CE49" t="e">
        <f>'All regions'!D1299+"$F;@!$Xn"</f>
        <v>#VALUE!</v>
      </c>
      <c r="CF49" t="e">
        <f>'All regions'!E1299+"$F;@!$Xo"</f>
        <v>#VALUE!</v>
      </c>
      <c r="CG49" t="e">
        <f>'All regions'!F1299+"$F;@!$Xp"</f>
        <v>#VALUE!</v>
      </c>
      <c r="CH49" t="e">
        <f>'All regions'!G1299+"$F;@!$Xq"</f>
        <v>#VALUE!</v>
      </c>
      <c r="CI49" t="e">
        <f>'All regions'!H1299+"$F;@!$Xr"</f>
        <v>#VALUE!</v>
      </c>
      <c r="CJ49" t="e">
        <f>'All regions'!I1299+"$F;@!$Xs"</f>
        <v>#VALUE!</v>
      </c>
      <c r="CK49" t="e">
        <f>'All regions'!A1300+"$F;@!$Xt"</f>
        <v>#VALUE!</v>
      </c>
      <c r="CL49" t="e">
        <f>'All regions'!B1300+"$F;@!$Xu"</f>
        <v>#VALUE!</v>
      </c>
      <c r="CM49" t="e">
        <f>'All regions'!C1300+"$F;@!$Xv"</f>
        <v>#VALUE!</v>
      </c>
      <c r="CN49" t="e">
        <f>'All regions'!D1300+"$F;@!$Xw"</f>
        <v>#VALUE!</v>
      </c>
      <c r="CO49" t="e">
        <f>'All regions'!E1300+"$F;@!$Xx"</f>
        <v>#VALUE!</v>
      </c>
      <c r="CP49" t="e">
        <f>'All regions'!F1300+"$F;@!$Xy"</f>
        <v>#VALUE!</v>
      </c>
      <c r="CQ49" t="e">
        <f>'All regions'!G1300+"$F;@!$Xz"</f>
        <v>#VALUE!</v>
      </c>
      <c r="CR49" t="e">
        <f>'All regions'!H1300+"$F;@!$X{"</f>
        <v>#VALUE!</v>
      </c>
      <c r="CS49" t="e">
        <f>'All regions'!I1300+"$F;@!$X|"</f>
        <v>#VALUE!</v>
      </c>
      <c r="CT49" t="e">
        <f>'All regions'!A1301+"$F;@!$X}"</f>
        <v>#VALUE!</v>
      </c>
      <c r="CU49" t="e">
        <f>'All regions'!B1301+"$F;@!$X~"</f>
        <v>#VALUE!</v>
      </c>
      <c r="CV49" t="e">
        <f>'All regions'!C1301+"$F;@!$Y#"</f>
        <v>#VALUE!</v>
      </c>
      <c r="CW49" t="e">
        <f>'All regions'!D1301+"$F;@!$Y$"</f>
        <v>#VALUE!</v>
      </c>
      <c r="CX49" t="e">
        <f>'All regions'!E1301+"$F;@!$Y%"</f>
        <v>#VALUE!</v>
      </c>
      <c r="CY49" t="e">
        <f>'All regions'!F1301+"$F;@!$Y&amp;"</f>
        <v>#VALUE!</v>
      </c>
      <c r="CZ49" t="e">
        <f>'All regions'!G1301+"$F;@!$Y'"</f>
        <v>#VALUE!</v>
      </c>
      <c r="DA49" t="e">
        <f>'All regions'!H1301+"$F;@!$Y("</f>
        <v>#VALUE!</v>
      </c>
      <c r="DB49" t="e">
        <f>'All regions'!I1301+"$F;@!$Y)"</f>
        <v>#VALUE!</v>
      </c>
      <c r="DC49" t="e">
        <f>'All regions'!A1302+"$F;@!$Y."</f>
        <v>#VALUE!</v>
      </c>
      <c r="DD49" t="e">
        <f>'All regions'!B1302+"$F;@!$Y/"</f>
        <v>#VALUE!</v>
      </c>
      <c r="DE49" t="e">
        <f>'All regions'!C1302+"$F;@!$Y0"</f>
        <v>#VALUE!</v>
      </c>
      <c r="DF49" t="e">
        <f>'All regions'!D1302+"$F;@!$Y1"</f>
        <v>#VALUE!</v>
      </c>
      <c r="DG49" t="e">
        <f>'All regions'!E1302+"$F;@!$Y2"</f>
        <v>#VALUE!</v>
      </c>
      <c r="DH49" t="e">
        <f>'All regions'!F1302+"$F;@!$Y3"</f>
        <v>#VALUE!</v>
      </c>
      <c r="DI49" t="e">
        <f>'All regions'!G1302+"$F;@!$Y4"</f>
        <v>#VALUE!</v>
      </c>
      <c r="DJ49" t="e">
        <f>'All regions'!H1302+"$F;@!$Y5"</f>
        <v>#VALUE!</v>
      </c>
      <c r="DK49" t="e">
        <f>'All regions'!I1302+"$F;@!$Y6"</f>
        <v>#VALUE!</v>
      </c>
      <c r="DL49" t="e">
        <f>'All regions'!A1303+"$F;@!$Y7"</f>
        <v>#VALUE!</v>
      </c>
      <c r="DM49" t="e">
        <f>'All regions'!B1303+"$F;@!$Y8"</f>
        <v>#VALUE!</v>
      </c>
      <c r="DN49" t="e">
        <f>'All regions'!C1303+"$F;@!$Y9"</f>
        <v>#VALUE!</v>
      </c>
      <c r="DO49" t="e">
        <f>'All regions'!D1303+"$F;@!$Y:"</f>
        <v>#VALUE!</v>
      </c>
      <c r="DP49" t="e">
        <f>'All regions'!E1303+"$F;@!$Y;"</f>
        <v>#VALUE!</v>
      </c>
      <c r="DQ49" t="e">
        <f>'All regions'!F1303+"$F;@!$Y&lt;"</f>
        <v>#VALUE!</v>
      </c>
      <c r="DR49" t="e">
        <f>'All regions'!G1303+"$F;@!$Y="</f>
        <v>#VALUE!</v>
      </c>
      <c r="DS49" t="e">
        <f>'All regions'!H1303+"$F;@!$Y&gt;"</f>
        <v>#VALUE!</v>
      </c>
      <c r="DT49" t="e">
        <f>'All regions'!I1303+"$F;@!$Y?"</f>
        <v>#VALUE!</v>
      </c>
      <c r="DU49" t="e">
        <f>'All regions'!A1304+"$F;@!$Y@"</f>
        <v>#VALUE!</v>
      </c>
      <c r="DV49" t="e">
        <f>'All regions'!B1304+"$F;@!$YA"</f>
        <v>#VALUE!</v>
      </c>
      <c r="DW49" t="e">
        <f>'All regions'!C1304+"$F;@!$YB"</f>
        <v>#VALUE!</v>
      </c>
      <c r="DX49" t="e">
        <f>'All regions'!D1304+"$F;@!$YC"</f>
        <v>#VALUE!</v>
      </c>
      <c r="DY49" t="e">
        <f>'All regions'!E1304+"$F;@!$YD"</f>
        <v>#VALUE!</v>
      </c>
      <c r="DZ49" t="e">
        <f>'All regions'!F1304+"$F;@!$YE"</f>
        <v>#VALUE!</v>
      </c>
      <c r="EA49" t="e">
        <f>'All regions'!G1304+"$F;@!$YF"</f>
        <v>#VALUE!</v>
      </c>
      <c r="EB49" t="e">
        <f>'All regions'!H1304+"$F;@!$YG"</f>
        <v>#VALUE!</v>
      </c>
      <c r="EC49" t="e">
        <f>'All regions'!I1304+"$F;@!$YH"</f>
        <v>#VALUE!</v>
      </c>
      <c r="ED49" t="e">
        <f>'All regions'!A1305+"$F;@!$YI"</f>
        <v>#VALUE!</v>
      </c>
      <c r="EE49" t="e">
        <f>'All regions'!B1305+"$F;@!$YJ"</f>
        <v>#VALUE!</v>
      </c>
      <c r="EF49" t="e">
        <f>'All regions'!C1305+"$F;@!$YK"</f>
        <v>#VALUE!</v>
      </c>
      <c r="EG49" t="e">
        <f>'All regions'!D1305+"$F;@!$YL"</f>
        <v>#VALUE!</v>
      </c>
      <c r="EH49" t="e">
        <f>'All regions'!E1305+"$F;@!$YM"</f>
        <v>#VALUE!</v>
      </c>
      <c r="EI49" t="e">
        <f>'All regions'!F1305+"$F;@!$YN"</f>
        <v>#VALUE!</v>
      </c>
      <c r="EJ49" t="e">
        <f>'All regions'!G1305+"$F;@!$YO"</f>
        <v>#VALUE!</v>
      </c>
      <c r="EK49" t="e">
        <f>'All regions'!H1305+"$F;@!$YP"</f>
        <v>#VALUE!</v>
      </c>
      <c r="EL49" t="e">
        <f>'All regions'!I1305+"$F;@!$YQ"</f>
        <v>#VALUE!</v>
      </c>
      <c r="EM49" t="e">
        <f>'All regions'!A1306+"$F;@!$YR"</f>
        <v>#VALUE!</v>
      </c>
      <c r="EN49" t="e">
        <f>'All regions'!B1306+"$F;@!$YS"</f>
        <v>#VALUE!</v>
      </c>
      <c r="EO49" t="e">
        <f>'All regions'!C1306+"$F;@!$YT"</f>
        <v>#VALUE!</v>
      </c>
      <c r="EP49" t="e">
        <f>'All regions'!D1306+"$F;@!$YU"</f>
        <v>#VALUE!</v>
      </c>
      <c r="EQ49" t="e">
        <f>'All regions'!E1306+"$F;@!$YV"</f>
        <v>#VALUE!</v>
      </c>
      <c r="ER49" t="e">
        <f>'All regions'!F1306+"$F;@!$YW"</f>
        <v>#VALUE!</v>
      </c>
      <c r="ES49" t="e">
        <f>'All regions'!G1306+"$F;@!$YX"</f>
        <v>#VALUE!</v>
      </c>
      <c r="ET49" t="e">
        <f>'All regions'!H1306+"$F;@!$YY"</f>
        <v>#VALUE!</v>
      </c>
      <c r="EU49" t="e">
        <f>'All regions'!I1306+"$F;@!$YZ"</f>
        <v>#VALUE!</v>
      </c>
      <c r="EV49" t="e">
        <f>'All regions'!A1307+"$F;@!$Y["</f>
        <v>#VALUE!</v>
      </c>
      <c r="EW49" t="e">
        <f>'All regions'!B1307+"$F;@!$Y\"</f>
        <v>#VALUE!</v>
      </c>
      <c r="EX49" t="e">
        <f>'All regions'!C1307+"$F;@!$Y]"</f>
        <v>#VALUE!</v>
      </c>
      <c r="EY49" t="e">
        <f>'All regions'!D1307+"$F;@!$Y^"</f>
        <v>#VALUE!</v>
      </c>
      <c r="EZ49" t="e">
        <f>'All regions'!E1307+"$F;@!$Y_"</f>
        <v>#VALUE!</v>
      </c>
      <c r="FA49" t="e">
        <f>'All regions'!F1307+"$F;@!$Y`"</f>
        <v>#VALUE!</v>
      </c>
      <c r="FB49" t="e">
        <f>'All regions'!G1307+"$F;@!$Ya"</f>
        <v>#VALUE!</v>
      </c>
      <c r="FC49" t="e">
        <f>'All regions'!H1307+"$F;@!$Yb"</f>
        <v>#VALUE!</v>
      </c>
      <c r="FD49" t="e">
        <f>'All regions'!I1307+"$F;@!$Yc"</f>
        <v>#VALUE!</v>
      </c>
      <c r="FE49" t="e">
        <f>'All regions'!A1308+"$F;@!$Yd"</f>
        <v>#VALUE!</v>
      </c>
      <c r="FF49" t="e">
        <f>'All regions'!B1308+"$F;@!$Ye"</f>
        <v>#VALUE!</v>
      </c>
      <c r="FG49" t="e">
        <f>'All regions'!C1308+"$F;@!$Yf"</f>
        <v>#VALUE!</v>
      </c>
      <c r="FH49" t="e">
        <f>'All regions'!D1308+"$F;@!$Yg"</f>
        <v>#VALUE!</v>
      </c>
      <c r="FI49" t="e">
        <f>'All regions'!E1308+"$F;@!$Yh"</f>
        <v>#VALUE!</v>
      </c>
      <c r="FJ49" t="e">
        <f>'All regions'!F1308+"$F;@!$Yi"</f>
        <v>#VALUE!</v>
      </c>
      <c r="FK49" t="e">
        <f>'All regions'!G1308+"$F;@!$Yj"</f>
        <v>#VALUE!</v>
      </c>
      <c r="FL49" t="e">
        <f>'All regions'!H1308+"$F;@!$Yk"</f>
        <v>#VALUE!</v>
      </c>
      <c r="FM49" t="e">
        <f>'All regions'!I1308+"$F;@!$Yl"</f>
        <v>#VALUE!</v>
      </c>
      <c r="FN49" t="e">
        <f>'All regions'!A1309+"$F;@!$Ym"</f>
        <v>#VALUE!</v>
      </c>
      <c r="FO49" t="e">
        <f>'All regions'!B1309+"$F;@!$Yn"</f>
        <v>#VALUE!</v>
      </c>
      <c r="FP49" t="e">
        <f>'All regions'!C1309+"$F;@!$Yo"</f>
        <v>#VALUE!</v>
      </c>
      <c r="FQ49" t="e">
        <f>'All regions'!D1309+"$F;@!$Yp"</f>
        <v>#VALUE!</v>
      </c>
      <c r="FR49" t="e">
        <f>'All regions'!E1309+"$F;@!$Yq"</f>
        <v>#VALUE!</v>
      </c>
      <c r="FS49" t="e">
        <f>'All regions'!F1309+"$F;@!$Yr"</f>
        <v>#VALUE!</v>
      </c>
      <c r="FT49" t="e">
        <f>'All regions'!G1309+"$F;@!$Ys"</f>
        <v>#VALUE!</v>
      </c>
      <c r="FU49" t="e">
        <f>'All regions'!H1309+"$F;@!$Yt"</f>
        <v>#VALUE!</v>
      </c>
      <c r="FV49" t="e">
        <f>'All regions'!I1309+"$F;@!$Yu"</f>
        <v>#VALUE!</v>
      </c>
      <c r="FW49" t="e">
        <f>'All regions'!A1310+"$F;@!$Yv"</f>
        <v>#VALUE!</v>
      </c>
      <c r="FX49" t="e">
        <f>'All regions'!B1310+"$F;@!$Yw"</f>
        <v>#VALUE!</v>
      </c>
      <c r="FY49" t="e">
        <f>'All regions'!C1310+"$F;@!$Yx"</f>
        <v>#VALUE!</v>
      </c>
      <c r="FZ49" t="e">
        <f>'All regions'!D1310+"$F;@!$Yy"</f>
        <v>#VALUE!</v>
      </c>
      <c r="GA49" t="e">
        <f>'All regions'!E1310+"$F;@!$Yz"</f>
        <v>#VALUE!</v>
      </c>
      <c r="GB49" t="e">
        <f>'All regions'!F1310+"$F;@!$Y{"</f>
        <v>#VALUE!</v>
      </c>
      <c r="GC49" t="e">
        <f>'All regions'!G1310+"$F;@!$Y|"</f>
        <v>#VALUE!</v>
      </c>
      <c r="GD49" t="e">
        <f>'All regions'!H1310+"$F;@!$Y}"</f>
        <v>#VALUE!</v>
      </c>
      <c r="GE49" t="e">
        <f>'All regions'!I1310+"$F;@!$Y~"</f>
        <v>#VALUE!</v>
      </c>
      <c r="GF49" t="e">
        <f>'All regions'!A1311+"$F;@!$Z#"</f>
        <v>#VALUE!</v>
      </c>
      <c r="GG49" t="e">
        <f>'All regions'!B1311+"$F;@!$Z$"</f>
        <v>#VALUE!</v>
      </c>
      <c r="GH49" t="e">
        <f>'All regions'!C1311+"$F;@!$Z%"</f>
        <v>#VALUE!</v>
      </c>
      <c r="GI49" t="e">
        <f>'All regions'!D1311+"$F;@!$Z&amp;"</f>
        <v>#VALUE!</v>
      </c>
      <c r="GJ49" t="e">
        <f>'All regions'!E1311+"$F;@!$Z'"</f>
        <v>#VALUE!</v>
      </c>
      <c r="GK49" t="e">
        <f>'All regions'!F1311+"$F;@!$Z("</f>
        <v>#VALUE!</v>
      </c>
      <c r="GL49" t="e">
        <f>'All regions'!G1311+"$F;@!$Z)"</f>
        <v>#VALUE!</v>
      </c>
      <c r="GM49" t="e">
        <f>'All regions'!H1311+"$F;@!$Z."</f>
        <v>#VALUE!</v>
      </c>
      <c r="GN49" t="e">
        <f>'All regions'!I1311+"$F;@!$Z/"</f>
        <v>#VALUE!</v>
      </c>
      <c r="GO49" t="e">
        <f>'All regions'!A1312+"$F;@!$Z0"</f>
        <v>#VALUE!</v>
      </c>
      <c r="GP49" t="e">
        <f>'All regions'!B1312+"$F;@!$Z1"</f>
        <v>#VALUE!</v>
      </c>
      <c r="GQ49" t="e">
        <f>'All regions'!C1312+"$F;@!$Z2"</f>
        <v>#VALUE!</v>
      </c>
      <c r="GR49" t="e">
        <f>'All regions'!D1312+"$F;@!$Z3"</f>
        <v>#VALUE!</v>
      </c>
      <c r="GS49" t="e">
        <f>'All regions'!E1312+"$F;@!$Z4"</f>
        <v>#VALUE!</v>
      </c>
      <c r="GT49" t="e">
        <f>'All regions'!F1312+"$F;@!$Z5"</f>
        <v>#VALUE!</v>
      </c>
      <c r="GU49" t="e">
        <f>'All regions'!G1312+"$F;@!$Z6"</f>
        <v>#VALUE!</v>
      </c>
      <c r="GV49" t="e">
        <f>'All regions'!H1312+"$F;@!$Z7"</f>
        <v>#VALUE!</v>
      </c>
      <c r="GW49" t="e">
        <f>'All regions'!I1312+"$F;@!$Z8"</f>
        <v>#VALUE!</v>
      </c>
      <c r="GX49" t="e">
        <f>'All regions'!A1313+"$F;@!$Z9"</f>
        <v>#VALUE!</v>
      </c>
      <c r="GY49" t="e">
        <f>'All regions'!B1313+"$F;@!$Z:"</f>
        <v>#VALUE!</v>
      </c>
      <c r="GZ49" t="e">
        <f>'All regions'!C1313+"$F;@!$Z;"</f>
        <v>#VALUE!</v>
      </c>
      <c r="HA49" t="e">
        <f>'All regions'!D1313+"$F;@!$Z&lt;"</f>
        <v>#VALUE!</v>
      </c>
      <c r="HB49" t="e">
        <f>'All regions'!E1313+"$F;@!$Z="</f>
        <v>#VALUE!</v>
      </c>
      <c r="HC49" t="e">
        <f>'All regions'!F1313+"$F;@!$Z&gt;"</f>
        <v>#VALUE!</v>
      </c>
      <c r="HD49" t="e">
        <f>'All regions'!G1313+"$F;@!$Z?"</f>
        <v>#VALUE!</v>
      </c>
      <c r="HE49" t="e">
        <f>'All regions'!H1313+"$F;@!$Z@"</f>
        <v>#VALUE!</v>
      </c>
      <c r="HF49" t="e">
        <f>'All regions'!I1313+"$F;@!$ZA"</f>
        <v>#VALUE!</v>
      </c>
      <c r="HG49" t="e">
        <f>'All regions'!A1314+"$F;@!$ZB"</f>
        <v>#VALUE!</v>
      </c>
      <c r="HH49" t="e">
        <f>'All regions'!B1314+"$F;@!$ZC"</f>
        <v>#VALUE!</v>
      </c>
      <c r="HI49" t="e">
        <f>'All regions'!C1314+"$F;@!$ZD"</f>
        <v>#VALUE!</v>
      </c>
      <c r="HJ49" t="e">
        <f>'All regions'!D1314+"$F;@!$ZE"</f>
        <v>#VALUE!</v>
      </c>
      <c r="HK49" t="e">
        <f>'All regions'!E1314+"$F;@!$ZF"</f>
        <v>#VALUE!</v>
      </c>
      <c r="HL49" t="e">
        <f>'All regions'!F1314+"$F;@!$ZG"</f>
        <v>#VALUE!</v>
      </c>
      <c r="HM49" t="e">
        <f>'All regions'!G1314+"$F;@!$ZH"</f>
        <v>#VALUE!</v>
      </c>
      <c r="HN49" t="e">
        <f>'All regions'!H1314+"$F;@!$ZI"</f>
        <v>#VALUE!</v>
      </c>
      <c r="HO49" t="e">
        <f>'All regions'!I1314+"$F;@!$ZJ"</f>
        <v>#VALUE!</v>
      </c>
      <c r="HP49" t="e">
        <f>'All regions'!A1315+"$F;@!$ZK"</f>
        <v>#VALUE!</v>
      </c>
      <c r="HQ49" t="e">
        <f>'All regions'!B1315+"$F;@!$ZL"</f>
        <v>#VALUE!</v>
      </c>
      <c r="HR49" t="e">
        <f>'All regions'!C1315+"$F;@!$ZM"</f>
        <v>#VALUE!</v>
      </c>
      <c r="HS49" t="e">
        <f>'All regions'!D1315+"$F;@!$ZN"</f>
        <v>#VALUE!</v>
      </c>
      <c r="HT49" t="e">
        <f>'All regions'!E1315+"$F;@!$ZO"</f>
        <v>#VALUE!</v>
      </c>
      <c r="HU49" t="e">
        <f>'All regions'!F1315+"$F;@!$ZP"</f>
        <v>#VALUE!</v>
      </c>
      <c r="HV49" t="e">
        <f>'All regions'!G1315+"$F;@!$ZQ"</f>
        <v>#VALUE!</v>
      </c>
      <c r="HW49" t="e">
        <f>'All regions'!H1315+"$F;@!$ZR"</f>
        <v>#VALUE!</v>
      </c>
      <c r="HX49" t="e">
        <f>'All regions'!I1315+"$F;@!$ZS"</f>
        <v>#VALUE!</v>
      </c>
      <c r="HY49" t="e">
        <f>'All regions'!A1316+"$F;@!$ZT"</f>
        <v>#VALUE!</v>
      </c>
      <c r="HZ49" t="e">
        <f>'All regions'!B1316+"$F;@!$ZU"</f>
        <v>#VALUE!</v>
      </c>
      <c r="IA49" t="e">
        <f>'All regions'!C1316+"$F;@!$ZV"</f>
        <v>#VALUE!</v>
      </c>
      <c r="IB49" t="e">
        <f>'All regions'!D1316+"$F;@!$ZW"</f>
        <v>#VALUE!</v>
      </c>
      <c r="IC49" t="e">
        <f>'All regions'!E1316+"$F;@!$ZX"</f>
        <v>#VALUE!</v>
      </c>
      <c r="ID49" t="e">
        <f>'All regions'!F1316+"$F;@!$ZY"</f>
        <v>#VALUE!</v>
      </c>
      <c r="IE49" t="e">
        <f>'All regions'!G1316+"$F;@!$ZZ"</f>
        <v>#VALUE!</v>
      </c>
      <c r="IF49" t="e">
        <f>'All regions'!H1316+"$F;@!$Z["</f>
        <v>#VALUE!</v>
      </c>
      <c r="IG49" t="e">
        <f>'All regions'!I1316+"$F;@!$Z\"</f>
        <v>#VALUE!</v>
      </c>
      <c r="IH49" t="e">
        <f>'All regions'!A1317+"$F;@!$Z]"</f>
        <v>#VALUE!</v>
      </c>
      <c r="II49" t="e">
        <f>'All regions'!B1317+"$F;@!$Z^"</f>
        <v>#VALUE!</v>
      </c>
      <c r="IJ49" t="e">
        <f>'All regions'!C1317+"$F;@!$Z_"</f>
        <v>#VALUE!</v>
      </c>
      <c r="IK49" t="e">
        <f>'All regions'!D1317+"$F;@!$Z`"</f>
        <v>#VALUE!</v>
      </c>
      <c r="IL49" t="e">
        <f>'All regions'!E1317+"$F;@!$Za"</f>
        <v>#VALUE!</v>
      </c>
      <c r="IM49" t="e">
        <f>'All regions'!F1317+"$F;@!$Zb"</f>
        <v>#VALUE!</v>
      </c>
      <c r="IN49" t="e">
        <f>'All regions'!G1317+"$F;@!$Zc"</f>
        <v>#VALUE!</v>
      </c>
      <c r="IO49" t="e">
        <f>'All regions'!H1317+"$F;@!$Zd"</f>
        <v>#VALUE!</v>
      </c>
      <c r="IP49" t="e">
        <f>'All regions'!I1317+"$F;@!$Ze"</f>
        <v>#VALUE!</v>
      </c>
      <c r="IQ49" t="e">
        <f>'All regions'!A1318+"$F;@!$Zf"</f>
        <v>#VALUE!</v>
      </c>
      <c r="IR49" t="e">
        <f>'All regions'!B1318+"$F;@!$Zg"</f>
        <v>#VALUE!</v>
      </c>
      <c r="IS49" t="e">
        <f>'All regions'!C1318+"$F;@!$Zh"</f>
        <v>#VALUE!</v>
      </c>
      <c r="IT49" t="e">
        <f>'All regions'!D1318+"$F;@!$Zi"</f>
        <v>#VALUE!</v>
      </c>
      <c r="IU49" t="e">
        <f>'All regions'!E1318+"$F;@!$Zj"</f>
        <v>#VALUE!</v>
      </c>
      <c r="IV49" t="e">
        <f>'All regions'!F1318+"$F;@!$Zk"</f>
        <v>#VALUE!</v>
      </c>
    </row>
    <row r="50" spans="6:256" x14ac:dyDescent="0.35">
      <c r="F50" t="e">
        <f>'All regions'!G1318+"$F;@!$Zl"</f>
        <v>#VALUE!</v>
      </c>
      <c r="G50" t="e">
        <f>'All regions'!H1318+"$F;@!$Zm"</f>
        <v>#VALUE!</v>
      </c>
      <c r="H50" t="e">
        <f>'All regions'!I1318+"$F;@!$Zn"</f>
        <v>#VALUE!</v>
      </c>
      <c r="I50" t="e">
        <f>'All regions'!A1319+"$F;@!$Zo"</f>
        <v>#VALUE!</v>
      </c>
      <c r="J50" t="e">
        <f>'All regions'!B1319+"$F;@!$Zp"</f>
        <v>#VALUE!</v>
      </c>
      <c r="K50" t="e">
        <f>'All regions'!C1319+"$F;@!$Zq"</f>
        <v>#VALUE!</v>
      </c>
      <c r="L50" t="e">
        <f>'All regions'!D1319+"$F;@!$Zr"</f>
        <v>#VALUE!</v>
      </c>
      <c r="M50" t="e">
        <f>'All regions'!E1319+"$F;@!$Zs"</f>
        <v>#VALUE!</v>
      </c>
      <c r="N50" t="e">
        <f>'All regions'!F1319+"$F;@!$Zt"</f>
        <v>#VALUE!</v>
      </c>
      <c r="O50" t="e">
        <f>'All regions'!G1319+"$F;@!$Zu"</f>
        <v>#VALUE!</v>
      </c>
      <c r="P50" t="e">
        <f>'All regions'!H1319+"$F;@!$Zv"</f>
        <v>#VALUE!</v>
      </c>
      <c r="Q50" t="e">
        <f>'All regions'!I1319+"$F;@!$Zw"</f>
        <v>#VALUE!</v>
      </c>
      <c r="R50" t="e">
        <f>'All regions'!A1320+"$F;@!$Zx"</f>
        <v>#VALUE!</v>
      </c>
      <c r="S50" t="e">
        <f>'All regions'!B1320+"$F;@!$Zy"</f>
        <v>#VALUE!</v>
      </c>
      <c r="T50" t="e">
        <f>'All regions'!C1320+"$F;@!$Zz"</f>
        <v>#VALUE!</v>
      </c>
      <c r="U50" t="e">
        <f>'All regions'!D1320+"$F;@!$Z{"</f>
        <v>#VALUE!</v>
      </c>
      <c r="V50" t="e">
        <f>'All regions'!E1320+"$F;@!$Z|"</f>
        <v>#VALUE!</v>
      </c>
      <c r="W50" t="e">
        <f>'All regions'!F1320+"$F;@!$Z}"</f>
        <v>#VALUE!</v>
      </c>
      <c r="X50" t="e">
        <f>'All regions'!G1320+"$F;@!$Z~"</f>
        <v>#VALUE!</v>
      </c>
      <c r="Y50" t="e">
        <f>'All regions'!H1320+"$F;@!$[#"</f>
        <v>#VALUE!</v>
      </c>
      <c r="Z50" t="e">
        <f>'All regions'!I1320+"$F;@!$[$"</f>
        <v>#VALUE!</v>
      </c>
      <c r="AA50" t="e">
        <f>'All regions'!A1321+"$F;@!$[%"</f>
        <v>#VALUE!</v>
      </c>
      <c r="AB50" t="e">
        <f>'All regions'!B1321+"$F;@!$[&amp;"</f>
        <v>#VALUE!</v>
      </c>
      <c r="AC50" t="e">
        <f>'All regions'!C1321+"$F;@!$['"</f>
        <v>#VALUE!</v>
      </c>
      <c r="AD50" t="e">
        <f>'All regions'!D1321+"$F;@!$[("</f>
        <v>#VALUE!</v>
      </c>
      <c r="AE50" t="e">
        <f>'All regions'!E1321+"$F;@!$[)"</f>
        <v>#VALUE!</v>
      </c>
      <c r="AF50" t="e">
        <f>'All regions'!F1321+"$F;@!$[."</f>
        <v>#VALUE!</v>
      </c>
      <c r="AG50" t="e">
        <f>'All regions'!G1321+"$F;@!$[/"</f>
        <v>#VALUE!</v>
      </c>
      <c r="AH50" t="e">
        <f>'All regions'!H1321+"$F;@!$[0"</f>
        <v>#VALUE!</v>
      </c>
      <c r="AI50" t="e">
        <f>'All regions'!I1321+"$F;@!$[1"</f>
        <v>#VALUE!</v>
      </c>
      <c r="AJ50" t="e">
        <f>'All regions'!A1322+"$F;@!$[2"</f>
        <v>#VALUE!</v>
      </c>
      <c r="AK50" t="e">
        <f>'All regions'!B1322+"$F;@!$[3"</f>
        <v>#VALUE!</v>
      </c>
      <c r="AL50" t="e">
        <f>'All regions'!C1322+"$F;@!$[4"</f>
        <v>#VALUE!</v>
      </c>
      <c r="AM50" t="e">
        <f>'All regions'!D1322+"$F;@!$[5"</f>
        <v>#VALUE!</v>
      </c>
      <c r="AN50" t="e">
        <f>'All regions'!E1322+"$F;@!$[6"</f>
        <v>#VALUE!</v>
      </c>
      <c r="AO50" t="e">
        <f>'All regions'!F1322+"$F;@!$[7"</f>
        <v>#VALUE!</v>
      </c>
      <c r="AP50" t="e">
        <f>'All regions'!G1322+"$F;@!$[8"</f>
        <v>#VALUE!</v>
      </c>
      <c r="AQ50" t="e">
        <f>'All regions'!H1322+"$F;@!$[9"</f>
        <v>#VALUE!</v>
      </c>
      <c r="AR50" t="e">
        <f>'All regions'!I1322+"$F;@!$[:"</f>
        <v>#VALUE!</v>
      </c>
      <c r="AS50" t="e">
        <f>'All regions'!A1323+"$F;@!$[;"</f>
        <v>#VALUE!</v>
      </c>
      <c r="AT50" t="e">
        <f>'All regions'!B1323+"$F;@!$[&lt;"</f>
        <v>#VALUE!</v>
      </c>
      <c r="AU50" t="e">
        <f>'All regions'!C1323+"$F;@!$[="</f>
        <v>#VALUE!</v>
      </c>
      <c r="AV50" t="e">
        <f>'All regions'!D1323+"$F;@!$[&gt;"</f>
        <v>#VALUE!</v>
      </c>
      <c r="AW50" t="e">
        <f>'All regions'!E1323+"$F;@!$[?"</f>
        <v>#VALUE!</v>
      </c>
      <c r="AX50" t="e">
        <f>'All regions'!F1323+"$F;@!$[@"</f>
        <v>#VALUE!</v>
      </c>
      <c r="AY50" t="e">
        <f>'All regions'!G1323+"$F;@!$[A"</f>
        <v>#VALUE!</v>
      </c>
      <c r="AZ50" t="e">
        <f>'All regions'!H1323+"$F;@!$[B"</f>
        <v>#VALUE!</v>
      </c>
      <c r="BA50" t="e">
        <f>'All regions'!I1323+"$F;@!$[C"</f>
        <v>#VALUE!</v>
      </c>
      <c r="BB50" t="e">
        <f>'All regions'!A1324+"$F;@!$[D"</f>
        <v>#VALUE!</v>
      </c>
      <c r="BC50" t="e">
        <f>'All regions'!B1324+"$F;@!$[E"</f>
        <v>#VALUE!</v>
      </c>
      <c r="BD50" t="e">
        <f>'All regions'!C1324+"$F;@!$[F"</f>
        <v>#VALUE!</v>
      </c>
      <c r="BE50" t="e">
        <f>'All regions'!D1324+"$F;@!$[G"</f>
        <v>#VALUE!</v>
      </c>
      <c r="BF50" t="e">
        <f>'All regions'!E1324+"$F;@!$[H"</f>
        <v>#VALUE!</v>
      </c>
      <c r="BG50" t="e">
        <f>'All regions'!F1324+"$F;@!$[I"</f>
        <v>#VALUE!</v>
      </c>
      <c r="BH50" t="e">
        <f>'All regions'!G1324+"$F;@!$[J"</f>
        <v>#VALUE!</v>
      </c>
      <c r="BI50" t="e">
        <f>'All regions'!H1324+"$F;@!$[K"</f>
        <v>#VALUE!</v>
      </c>
      <c r="BJ50" t="e">
        <f>'All regions'!I1324+"$F;@!$[L"</f>
        <v>#VALUE!</v>
      </c>
      <c r="BK50" t="e">
        <f>'All regions'!A1325+"$F;@!$[M"</f>
        <v>#VALUE!</v>
      </c>
      <c r="BL50" t="e">
        <f>'All regions'!B1325+"$F;@!$[N"</f>
        <v>#VALUE!</v>
      </c>
      <c r="BM50" t="e">
        <f>'All regions'!C1325+"$F;@!$[O"</f>
        <v>#VALUE!</v>
      </c>
      <c r="BN50" t="e">
        <f>'All regions'!D1325+"$F;@!$[P"</f>
        <v>#VALUE!</v>
      </c>
      <c r="BO50" t="e">
        <f>'All regions'!E1325+"$F;@!$[Q"</f>
        <v>#VALUE!</v>
      </c>
      <c r="BP50" t="e">
        <f>'All regions'!F1325+"$F;@!$[R"</f>
        <v>#VALUE!</v>
      </c>
      <c r="BQ50" t="e">
        <f>'All regions'!G1325+"$F;@!$[S"</f>
        <v>#VALUE!</v>
      </c>
      <c r="BR50" t="e">
        <f>'All regions'!H1325+"$F;@!$[T"</f>
        <v>#VALUE!</v>
      </c>
      <c r="BS50" t="e">
        <f>'All regions'!I1325+"$F;@!$[U"</f>
        <v>#VALUE!</v>
      </c>
      <c r="BT50" t="e">
        <f>'All regions'!A1326+"$F;@!$[V"</f>
        <v>#VALUE!</v>
      </c>
      <c r="BU50" t="e">
        <f>'All regions'!B1326+"$F;@!$[W"</f>
        <v>#VALUE!</v>
      </c>
      <c r="BV50" t="e">
        <f>'All regions'!C1326+"$F;@!$[X"</f>
        <v>#VALUE!</v>
      </c>
      <c r="BW50" t="e">
        <f>'All regions'!D1326+"$F;@!$[Y"</f>
        <v>#VALUE!</v>
      </c>
      <c r="BX50" t="e">
        <f>'All regions'!E1326+"$F;@!$[Z"</f>
        <v>#VALUE!</v>
      </c>
      <c r="BY50" t="e">
        <f>'All regions'!F1326+"$F;@!$[["</f>
        <v>#VALUE!</v>
      </c>
      <c r="BZ50" t="e">
        <f>'All regions'!G1326+"$F;@!$[\"</f>
        <v>#VALUE!</v>
      </c>
      <c r="CA50" t="e">
        <f>'All regions'!H1326+"$F;@!$[]"</f>
        <v>#VALUE!</v>
      </c>
      <c r="CB50" t="e">
        <f>'All regions'!I1326+"$F;@!$[^"</f>
        <v>#VALUE!</v>
      </c>
      <c r="CC50" t="e">
        <f>'All regions'!A1327+"$F;@!$[_"</f>
        <v>#VALUE!</v>
      </c>
      <c r="CD50" t="e">
        <f>'All regions'!B1327+"$F;@!$[`"</f>
        <v>#VALUE!</v>
      </c>
      <c r="CE50" t="e">
        <f>'All regions'!C1327+"$F;@!$[a"</f>
        <v>#VALUE!</v>
      </c>
      <c r="CF50" t="e">
        <f>'All regions'!D1327+"$F;@!$[b"</f>
        <v>#VALUE!</v>
      </c>
      <c r="CG50" t="e">
        <f>'All regions'!E1327+"$F;@!$[c"</f>
        <v>#VALUE!</v>
      </c>
      <c r="CH50" t="e">
        <f>'All regions'!F1327+"$F;@!$[d"</f>
        <v>#VALUE!</v>
      </c>
      <c r="CI50" t="e">
        <f>'All regions'!G1327+"$F;@!$[e"</f>
        <v>#VALUE!</v>
      </c>
      <c r="CJ50" t="e">
        <f>'All regions'!H1327+"$F;@!$[f"</f>
        <v>#VALUE!</v>
      </c>
      <c r="CK50" t="e">
        <f>'All regions'!I1327+"$F;@!$[g"</f>
        <v>#VALUE!</v>
      </c>
      <c r="CL50" t="e">
        <f>'All regions'!A1328+"$F;@!$[h"</f>
        <v>#VALUE!</v>
      </c>
      <c r="CM50" t="e">
        <f>'All regions'!B1328+"$F;@!$[i"</f>
        <v>#VALUE!</v>
      </c>
      <c r="CN50" t="e">
        <f>'All regions'!C1328+"$F;@!$[j"</f>
        <v>#VALUE!</v>
      </c>
      <c r="CO50" t="e">
        <f>'All regions'!D1328+"$F;@!$[k"</f>
        <v>#VALUE!</v>
      </c>
      <c r="CP50" t="e">
        <f>'All regions'!E1328+"$F;@!$[l"</f>
        <v>#VALUE!</v>
      </c>
      <c r="CQ50" t="e">
        <f>'All regions'!F1328+"$F;@!$[m"</f>
        <v>#VALUE!</v>
      </c>
      <c r="CR50" t="e">
        <f>'All regions'!G1328+"$F;@!$[n"</f>
        <v>#VALUE!</v>
      </c>
      <c r="CS50" t="e">
        <f>'All regions'!H1328+"$F;@!$[o"</f>
        <v>#VALUE!</v>
      </c>
      <c r="CT50" t="e">
        <f>'All regions'!I1328+"$F;@!$[p"</f>
        <v>#VALUE!</v>
      </c>
      <c r="CU50" t="e">
        <f>'All regions'!A1329+"$F;@!$[q"</f>
        <v>#VALUE!</v>
      </c>
      <c r="CV50" t="e">
        <f>'All regions'!B1329+"$F;@!$[r"</f>
        <v>#VALUE!</v>
      </c>
      <c r="CW50" t="e">
        <f>'All regions'!C1329+"$F;@!$[s"</f>
        <v>#VALUE!</v>
      </c>
      <c r="CX50" t="e">
        <f>'All regions'!D1329+"$F;@!$[t"</f>
        <v>#VALUE!</v>
      </c>
      <c r="CY50" t="e">
        <f>'All regions'!E1329+"$F;@!$[u"</f>
        <v>#VALUE!</v>
      </c>
      <c r="CZ50" t="e">
        <f>'All regions'!F1329+"$F;@!$[v"</f>
        <v>#VALUE!</v>
      </c>
      <c r="DA50" t="e">
        <f>'All regions'!G1329+"$F;@!$[w"</f>
        <v>#VALUE!</v>
      </c>
      <c r="DB50" t="e">
        <f>'All regions'!H1329+"$F;@!$[x"</f>
        <v>#VALUE!</v>
      </c>
      <c r="DC50" t="e">
        <f>'All regions'!I1329+"$F;@!$[y"</f>
        <v>#VALUE!</v>
      </c>
      <c r="DD50" t="e">
        <f>'All regions'!A1330+"$F;@!$[z"</f>
        <v>#VALUE!</v>
      </c>
      <c r="DE50" t="e">
        <f>'All regions'!B1330+"$F;@!$[{"</f>
        <v>#VALUE!</v>
      </c>
      <c r="DF50" t="e">
        <f>'All regions'!C1330+"$F;@!$[|"</f>
        <v>#VALUE!</v>
      </c>
      <c r="DG50" t="e">
        <f>'All regions'!D1330+"$F;@!$[}"</f>
        <v>#VALUE!</v>
      </c>
      <c r="DH50" t="e">
        <f>'All regions'!E1330+"$F;@!$[~"</f>
        <v>#VALUE!</v>
      </c>
      <c r="DI50" t="e">
        <f>'All regions'!F1330+"$F;@!$\#"</f>
        <v>#VALUE!</v>
      </c>
      <c r="DJ50" t="e">
        <f>'All regions'!G1330+"$F;@!$\$"</f>
        <v>#VALUE!</v>
      </c>
      <c r="DK50" t="e">
        <f>'All regions'!H1330+"$F;@!$\%"</f>
        <v>#VALUE!</v>
      </c>
      <c r="DL50" t="e">
        <f>'All regions'!I1330+"$F;@!$\&amp;"</f>
        <v>#VALUE!</v>
      </c>
      <c r="DM50" t="e">
        <f>'All regions'!A1331+"$F;@!$\'"</f>
        <v>#VALUE!</v>
      </c>
      <c r="DN50" t="e">
        <f>'All regions'!B1331+"$F;@!$\("</f>
        <v>#VALUE!</v>
      </c>
      <c r="DO50" t="e">
        <f>'All regions'!C1331+"$F;@!$\)"</f>
        <v>#VALUE!</v>
      </c>
      <c r="DP50" t="e">
        <f>'All regions'!D1331+"$F;@!$\."</f>
        <v>#VALUE!</v>
      </c>
      <c r="DQ50" t="e">
        <f>'All regions'!E1331+"$F;@!$\/"</f>
        <v>#VALUE!</v>
      </c>
      <c r="DR50" t="e">
        <f>'All regions'!F1331+"$F;@!$\0"</f>
        <v>#VALUE!</v>
      </c>
      <c r="DS50" t="e">
        <f>'All regions'!G1331+"$F;@!$\1"</f>
        <v>#VALUE!</v>
      </c>
      <c r="DT50" t="e">
        <f>'All regions'!H1331+"$F;@!$\2"</f>
        <v>#VALUE!</v>
      </c>
      <c r="DU50" t="e">
        <f>'All regions'!I1331+"$F;@!$\3"</f>
        <v>#VALUE!</v>
      </c>
      <c r="DV50" t="e">
        <f>'All regions'!A1332+"$F;@!$\4"</f>
        <v>#VALUE!</v>
      </c>
      <c r="DW50" t="e">
        <f>'All regions'!B1332+"$F;@!$\5"</f>
        <v>#VALUE!</v>
      </c>
      <c r="DX50" t="e">
        <f>'All regions'!C1332+"$F;@!$\6"</f>
        <v>#VALUE!</v>
      </c>
      <c r="DY50" t="e">
        <f>'All regions'!D1332+"$F;@!$\7"</f>
        <v>#VALUE!</v>
      </c>
      <c r="DZ50" t="e">
        <f>'All regions'!E1332+"$F;@!$\8"</f>
        <v>#VALUE!</v>
      </c>
      <c r="EA50" t="e">
        <f>'All regions'!F1332+"$F;@!$\9"</f>
        <v>#VALUE!</v>
      </c>
      <c r="EB50" t="e">
        <f>'All regions'!G1332+"$F;@!$\:"</f>
        <v>#VALUE!</v>
      </c>
      <c r="EC50" t="e">
        <f>'All regions'!H1332+"$F;@!$\;"</f>
        <v>#VALUE!</v>
      </c>
      <c r="ED50" t="e">
        <f>'All regions'!I1332+"$F;@!$\&lt;"</f>
        <v>#VALUE!</v>
      </c>
      <c r="EE50" t="e">
        <f>'All regions'!A1333+"$F;@!$\="</f>
        <v>#VALUE!</v>
      </c>
      <c r="EF50" t="e">
        <f>'All regions'!B1333+"$F;@!$\&gt;"</f>
        <v>#VALUE!</v>
      </c>
      <c r="EG50" t="e">
        <f>'All regions'!C1333+"$F;@!$\?"</f>
        <v>#VALUE!</v>
      </c>
      <c r="EH50" t="e">
        <f>'All regions'!D1333+"$F;@!$\@"</f>
        <v>#VALUE!</v>
      </c>
      <c r="EI50" t="e">
        <f>'All regions'!E1333+"$F;@!$\A"</f>
        <v>#VALUE!</v>
      </c>
      <c r="EJ50" t="e">
        <f>'All regions'!F1333+"$F;@!$\B"</f>
        <v>#VALUE!</v>
      </c>
      <c r="EK50" t="e">
        <f>'All regions'!G1333+"$F;@!$\C"</f>
        <v>#VALUE!</v>
      </c>
      <c r="EL50" t="e">
        <f>'All regions'!H1333+"$F;@!$\D"</f>
        <v>#VALUE!</v>
      </c>
      <c r="EM50" t="e">
        <f>'All regions'!I1333+"$F;@!$\E"</f>
        <v>#VALUE!</v>
      </c>
      <c r="EN50" t="e">
        <f>'All regions'!A1334+"$F;@!$\F"</f>
        <v>#VALUE!</v>
      </c>
      <c r="EO50" t="e">
        <f>'All regions'!B1334+"$F;@!$\G"</f>
        <v>#VALUE!</v>
      </c>
      <c r="EP50" t="e">
        <f>'All regions'!C1334+"$F;@!$\H"</f>
        <v>#VALUE!</v>
      </c>
      <c r="EQ50" t="e">
        <f>'All regions'!D1334+"$F;@!$\I"</f>
        <v>#VALUE!</v>
      </c>
      <c r="ER50" t="e">
        <f>'All regions'!E1334+"$F;@!$\J"</f>
        <v>#VALUE!</v>
      </c>
      <c r="ES50" t="e">
        <f>'All regions'!F1334+"$F;@!$\K"</f>
        <v>#VALUE!</v>
      </c>
      <c r="ET50" t="e">
        <f>'All regions'!G1334+"$F;@!$\L"</f>
        <v>#VALUE!</v>
      </c>
      <c r="EU50" t="e">
        <f>'All regions'!H1334+"$F;@!$\M"</f>
        <v>#VALUE!</v>
      </c>
      <c r="EV50" t="e">
        <f>'All regions'!I1334+"$F;@!$\N"</f>
        <v>#VALUE!</v>
      </c>
      <c r="EW50" t="e">
        <f>'All regions'!A1335+"$F;@!$\O"</f>
        <v>#VALUE!</v>
      </c>
      <c r="EX50" t="e">
        <f>'All regions'!B1335+"$F;@!$\P"</f>
        <v>#VALUE!</v>
      </c>
      <c r="EY50" t="e">
        <f>'All regions'!C1335+"$F;@!$\Q"</f>
        <v>#VALUE!</v>
      </c>
      <c r="EZ50" t="e">
        <f>'All regions'!D1335+"$F;@!$\R"</f>
        <v>#VALUE!</v>
      </c>
      <c r="FA50" t="e">
        <f>'All regions'!E1335+"$F;@!$\S"</f>
        <v>#VALUE!</v>
      </c>
      <c r="FB50" t="e">
        <f>'All regions'!F1335+"$F;@!$\T"</f>
        <v>#VALUE!</v>
      </c>
      <c r="FC50" t="e">
        <f>'All regions'!G1335+"$F;@!$\U"</f>
        <v>#VALUE!</v>
      </c>
      <c r="FD50" t="e">
        <f>'All regions'!H1335+"$F;@!$\V"</f>
        <v>#VALUE!</v>
      </c>
      <c r="FE50" t="e">
        <f>'All regions'!I1335+"$F;@!$\W"</f>
        <v>#VALUE!</v>
      </c>
      <c r="FF50" t="e">
        <f>'All regions'!A1336+"$F;@!$\X"</f>
        <v>#VALUE!</v>
      </c>
      <c r="FG50" t="e">
        <f>'All regions'!B1336+"$F;@!$\Y"</f>
        <v>#VALUE!</v>
      </c>
      <c r="FH50" t="e">
        <f>'All regions'!C1336+"$F;@!$\Z"</f>
        <v>#VALUE!</v>
      </c>
      <c r="FI50" t="e">
        <f>'All regions'!D1336+"$F;@!$\["</f>
        <v>#VALUE!</v>
      </c>
      <c r="FJ50" t="e">
        <f>'All regions'!E1336+"$F;@!$\\"</f>
        <v>#VALUE!</v>
      </c>
      <c r="FK50" t="e">
        <f>'All regions'!F1336+"$F;@!$\]"</f>
        <v>#VALUE!</v>
      </c>
      <c r="FL50" t="e">
        <f>'All regions'!G1336+"$F;@!$\^"</f>
        <v>#VALUE!</v>
      </c>
      <c r="FM50" t="e">
        <f>'All regions'!H1336+"$F;@!$\_"</f>
        <v>#VALUE!</v>
      </c>
      <c r="FN50" t="e">
        <f>'All regions'!I1336+"$F;@!$\`"</f>
        <v>#VALUE!</v>
      </c>
      <c r="FO50" t="e">
        <f>'All regions'!A1337+"$F;@!$\a"</f>
        <v>#VALUE!</v>
      </c>
      <c r="FP50" t="e">
        <f>'All regions'!B1337+"$F;@!$\b"</f>
        <v>#VALUE!</v>
      </c>
      <c r="FQ50" t="e">
        <f>'All regions'!C1337+"$F;@!$\c"</f>
        <v>#VALUE!</v>
      </c>
      <c r="FR50" t="e">
        <f>'All regions'!D1337+"$F;@!$\d"</f>
        <v>#VALUE!</v>
      </c>
      <c r="FS50" t="e">
        <f>'All regions'!E1337+"$F;@!$\e"</f>
        <v>#VALUE!</v>
      </c>
      <c r="FT50" t="e">
        <f>'All regions'!F1337+"$F;@!$\f"</f>
        <v>#VALUE!</v>
      </c>
      <c r="FU50" t="e">
        <f>'All regions'!G1337+"$F;@!$\g"</f>
        <v>#VALUE!</v>
      </c>
      <c r="FV50" t="e">
        <f>'All regions'!H1337+"$F;@!$\h"</f>
        <v>#VALUE!</v>
      </c>
      <c r="FW50" t="e">
        <f>'All regions'!I1337+"$F;@!$\i"</f>
        <v>#VALUE!</v>
      </c>
      <c r="FX50" t="e">
        <f>'All regions'!A1338+"$F;@!$\j"</f>
        <v>#VALUE!</v>
      </c>
      <c r="FY50" t="e">
        <f>'All regions'!B1338+"$F;@!$\k"</f>
        <v>#VALUE!</v>
      </c>
      <c r="FZ50" t="e">
        <f>'All regions'!C1338+"$F;@!$\l"</f>
        <v>#VALUE!</v>
      </c>
      <c r="GA50" t="e">
        <f>'All regions'!D1338+"$F;@!$\m"</f>
        <v>#VALUE!</v>
      </c>
      <c r="GB50" t="e">
        <f>'All regions'!E1338+"$F;@!$\n"</f>
        <v>#VALUE!</v>
      </c>
      <c r="GC50" t="e">
        <f>'All regions'!F1338+"$F;@!$\o"</f>
        <v>#VALUE!</v>
      </c>
      <c r="GD50" t="e">
        <f>'All regions'!G1338+"$F;@!$\p"</f>
        <v>#VALUE!</v>
      </c>
      <c r="GE50" t="e">
        <f>'All regions'!H1338+"$F;@!$\q"</f>
        <v>#VALUE!</v>
      </c>
      <c r="GF50" t="e">
        <f>'All regions'!I1338+"$F;@!$\r"</f>
        <v>#VALUE!</v>
      </c>
      <c r="GG50" t="e">
        <f>'All regions'!A1339+"$F;@!$\s"</f>
        <v>#VALUE!</v>
      </c>
      <c r="GH50" t="e">
        <f>'All regions'!B1339+"$F;@!$\t"</f>
        <v>#VALUE!</v>
      </c>
      <c r="GI50" t="e">
        <f>'All regions'!C1339+"$F;@!$\u"</f>
        <v>#VALUE!</v>
      </c>
      <c r="GJ50" t="e">
        <f>'All regions'!D1339+"$F;@!$\v"</f>
        <v>#VALUE!</v>
      </c>
      <c r="GK50" t="e">
        <f>'All regions'!E1339+"$F;@!$\w"</f>
        <v>#VALUE!</v>
      </c>
      <c r="GL50" t="e">
        <f>'All regions'!F1339+"$F;@!$\x"</f>
        <v>#VALUE!</v>
      </c>
      <c r="GM50" t="e">
        <f>'All regions'!G1339+"$F;@!$\y"</f>
        <v>#VALUE!</v>
      </c>
      <c r="GN50" t="e">
        <f>'All regions'!H1339+"$F;@!$\z"</f>
        <v>#VALUE!</v>
      </c>
      <c r="GO50" t="e">
        <f>'All regions'!I1339+"$F;@!$\{"</f>
        <v>#VALUE!</v>
      </c>
      <c r="GP50" t="e">
        <f>'All regions'!A1340+"$F;@!$\|"</f>
        <v>#VALUE!</v>
      </c>
      <c r="GQ50" t="e">
        <f>'All regions'!B1340+"$F;@!$\}"</f>
        <v>#VALUE!</v>
      </c>
      <c r="GR50" t="e">
        <f>'All regions'!C1340+"$F;@!$\~"</f>
        <v>#VALUE!</v>
      </c>
      <c r="GS50" t="e">
        <f>'All regions'!D1340+"$F;@!$]#"</f>
        <v>#VALUE!</v>
      </c>
      <c r="GT50" t="e">
        <f>'All regions'!E1340+"$F;@!$]$"</f>
        <v>#VALUE!</v>
      </c>
      <c r="GU50" t="e">
        <f>'All regions'!F1340+"$F;@!$]%"</f>
        <v>#VALUE!</v>
      </c>
      <c r="GV50" t="e">
        <f>'All regions'!G1340+"$F;@!$]&amp;"</f>
        <v>#VALUE!</v>
      </c>
      <c r="GW50" t="e">
        <f>'All regions'!H1340+"$F;@!$]'"</f>
        <v>#VALUE!</v>
      </c>
      <c r="GX50" t="e">
        <f>'All regions'!I1340+"$F;@!$]("</f>
        <v>#VALUE!</v>
      </c>
      <c r="GY50" t="e">
        <f>'All regions'!A1341+"$F;@!$])"</f>
        <v>#VALUE!</v>
      </c>
      <c r="GZ50" t="e">
        <f>'All regions'!B1341+"$F;@!$]."</f>
        <v>#VALUE!</v>
      </c>
      <c r="HA50" t="e">
        <f>'All regions'!C1341+"$F;@!$]/"</f>
        <v>#VALUE!</v>
      </c>
      <c r="HB50" t="e">
        <f>'All regions'!D1341+"$F;@!$]0"</f>
        <v>#VALUE!</v>
      </c>
      <c r="HC50" t="e">
        <f>'All regions'!E1341+"$F;@!$]1"</f>
        <v>#VALUE!</v>
      </c>
      <c r="HD50" t="e">
        <f>'All regions'!F1341+"$F;@!$]2"</f>
        <v>#VALUE!</v>
      </c>
      <c r="HE50" t="e">
        <f>'All regions'!G1341+"$F;@!$]3"</f>
        <v>#VALUE!</v>
      </c>
      <c r="HF50" t="e">
        <f>'All regions'!H1341+"$F;@!$]4"</f>
        <v>#VALUE!</v>
      </c>
      <c r="HG50" t="e">
        <f>'All regions'!I1341+"$F;@!$]5"</f>
        <v>#VALUE!</v>
      </c>
      <c r="HH50" t="e">
        <f>'All regions'!A1342+"$F;@!$]6"</f>
        <v>#VALUE!</v>
      </c>
      <c r="HI50" t="e">
        <f>'All regions'!B1342+"$F;@!$]7"</f>
        <v>#VALUE!</v>
      </c>
      <c r="HJ50" t="e">
        <f>'All regions'!C1342+"$F;@!$]8"</f>
        <v>#VALUE!</v>
      </c>
      <c r="HK50" t="e">
        <f>'All regions'!D1342+"$F;@!$]9"</f>
        <v>#VALUE!</v>
      </c>
      <c r="HL50" t="e">
        <f>'All regions'!E1342+"$F;@!$]:"</f>
        <v>#VALUE!</v>
      </c>
      <c r="HM50" t="e">
        <f>'All regions'!F1342+"$F;@!$];"</f>
        <v>#VALUE!</v>
      </c>
      <c r="HN50" t="e">
        <f>'All regions'!G1342+"$F;@!$]&lt;"</f>
        <v>#VALUE!</v>
      </c>
      <c r="HO50" t="e">
        <f>'All regions'!H1342+"$F;@!$]="</f>
        <v>#VALUE!</v>
      </c>
      <c r="HP50" t="e">
        <f>'All regions'!I1342+"$F;@!$]&gt;"</f>
        <v>#VALUE!</v>
      </c>
      <c r="HQ50" t="e">
        <f>'All regions'!A1343+"$F;@!$]?"</f>
        <v>#VALUE!</v>
      </c>
      <c r="HR50" t="e">
        <f>'All regions'!B1343+"$F;@!$]@"</f>
        <v>#VALUE!</v>
      </c>
      <c r="HS50" t="e">
        <f>'All regions'!C1343+"$F;@!$]A"</f>
        <v>#VALUE!</v>
      </c>
      <c r="HT50" t="e">
        <f>'All regions'!D1343+"$F;@!$]B"</f>
        <v>#VALUE!</v>
      </c>
      <c r="HU50" t="e">
        <f>'All regions'!E1343+"$F;@!$]C"</f>
        <v>#VALUE!</v>
      </c>
      <c r="HV50" t="e">
        <f>'All regions'!F1343+"$F;@!$]D"</f>
        <v>#VALUE!</v>
      </c>
      <c r="HW50" t="e">
        <f>'All regions'!G1343+"$F;@!$]E"</f>
        <v>#VALUE!</v>
      </c>
      <c r="HX50" t="e">
        <f>'All regions'!H1343+"$F;@!$]F"</f>
        <v>#VALUE!</v>
      </c>
      <c r="HY50" t="e">
        <f>'All regions'!I1343+"$F;@!$]G"</f>
        <v>#VALUE!</v>
      </c>
      <c r="HZ50" t="e">
        <f>'All regions'!A1344+"$F;@!$]H"</f>
        <v>#VALUE!</v>
      </c>
      <c r="IA50" t="e">
        <f>'All regions'!B1344+"$F;@!$]I"</f>
        <v>#VALUE!</v>
      </c>
      <c r="IB50" t="e">
        <f>'All regions'!C1344+"$F;@!$]J"</f>
        <v>#VALUE!</v>
      </c>
      <c r="IC50" t="e">
        <f>'All regions'!D1344+"$F;@!$]K"</f>
        <v>#VALUE!</v>
      </c>
      <c r="ID50" t="e">
        <f>'All regions'!E1344+"$F;@!$]L"</f>
        <v>#VALUE!</v>
      </c>
      <c r="IE50" t="e">
        <f>'All regions'!F1344+"$F;@!$]M"</f>
        <v>#VALUE!</v>
      </c>
      <c r="IF50" t="e">
        <f>'All regions'!G1344+"$F;@!$]N"</f>
        <v>#VALUE!</v>
      </c>
      <c r="IG50" t="e">
        <f>'All regions'!H1344+"$F;@!$]O"</f>
        <v>#VALUE!</v>
      </c>
      <c r="IH50" t="e">
        <f>'All regions'!I1344+"$F;@!$]P"</f>
        <v>#VALUE!</v>
      </c>
      <c r="II50" t="e">
        <f>'All regions'!A1345+"$F;@!$]Q"</f>
        <v>#VALUE!</v>
      </c>
      <c r="IJ50" t="e">
        <f>'All regions'!B1345+"$F;@!$]R"</f>
        <v>#VALUE!</v>
      </c>
      <c r="IK50" t="e">
        <f>'All regions'!C1345+"$F;@!$]S"</f>
        <v>#VALUE!</v>
      </c>
      <c r="IL50" t="e">
        <f>'All regions'!D1345+"$F;@!$]T"</f>
        <v>#VALUE!</v>
      </c>
      <c r="IM50" t="e">
        <f>'All regions'!E1345+"$F;@!$]U"</f>
        <v>#VALUE!</v>
      </c>
      <c r="IN50" t="e">
        <f>'All regions'!F1345+"$F;@!$]V"</f>
        <v>#VALUE!</v>
      </c>
      <c r="IO50" t="e">
        <f>'All regions'!G1345+"$F;@!$]W"</f>
        <v>#VALUE!</v>
      </c>
      <c r="IP50" t="e">
        <f>'All regions'!H1345+"$F;@!$]X"</f>
        <v>#VALUE!</v>
      </c>
      <c r="IQ50" t="e">
        <f>'All regions'!I1345+"$F;@!$]Y"</f>
        <v>#VALUE!</v>
      </c>
      <c r="IR50" t="e">
        <f>'All regions'!A1346+"$F;@!$]Z"</f>
        <v>#VALUE!</v>
      </c>
      <c r="IS50" t="e">
        <f>'All regions'!B1346+"$F;@!$]["</f>
        <v>#VALUE!</v>
      </c>
      <c r="IT50" t="e">
        <f>'All regions'!C1346+"$F;@!$]\"</f>
        <v>#VALUE!</v>
      </c>
      <c r="IU50" t="e">
        <f>'All regions'!D1346+"$F;@!$]]"</f>
        <v>#VALUE!</v>
      </c>
      <c r="IV50" t="e">
        <f>'All regions'!E1346+"$F;@!$]^"</f>
        <v>#VALUE!</v>
      </c>
    </row>
    <row r="51" spans="6:256" x14ac:dyDescent="0.35">
      <c r="F51" t="e">
        <f>'All regions'!F1346+"$F;@!$]_"</f>
        <v>#VALUE!</v>
      </c>
      <c r="G51" t="e">
        <f>'All regions'!G1346+"$F;@!$]`"</f>
        <v>#VALUE!</v>
      </c>
      <c r="H51" t="e">
        <f>'All regions'!H1346+"$F;@!$]a"</f>
        <v>#VALUE!</v>
      </c>
      <c r="I51" t="e">
        <f>'All regions'!I1346+"$F;@!$]b"</f>
        <v>#VALUE!</v>
      </c>
      <c r="J51" t="e">
        <f>'All regions'!A1347+"$F;@!$]c"</f>
        <v>#VALUE!</v>
      </c>
      <c r="K51" t="e">
        <f>'All regions'!B1347+"$F;@!$]d"</f>
        <v>#VALUE!</v>
      </c>
      <c r="L51" t="e">
        <f>'All regions'!C1347+"$F;@!$]e"</f>
        <v>#VALUE!</v>
      </c>
      <c r="M51" t="e">
        <f>'All regions'!D1347+"$F;@!$]f"</f>
        <v>#VALUE!</v>
      </c>
      <c r="N51" t="e">
        <f>'All regions'!E1347+"$F;@!$]g"</f>
        <v>#VALUE!</v>
      </c>
      <c r="O51" t="e">
        <f>'All regions'!F1347+"$F;@!$]h"</f>
        <v>#VALUE!</v>
      </c>
      <c r="P51" t="e">
        <f>'All regions'!G1347+"$F;@!$]i"</f>
        <v>#VALUE!</v>
      </c>
      <c r="Q51" t="e">
        <f>'All regions'!H1347+"$F;@!$]j"</f>
        <v>#VALUE!</v>
      </c>
      <c r="R51" t="e">
        <f>'All regions'!I1347+"$F;@!$]k"</f>
        <v>#VALUE!</v>
      </c>
      <c r="S51" t="e">
        <f>'All regions'!A1348+"$F;@!$]l"</f>
        <v>#VALUE!</v>
      </c>
      <c r="T51" t="e">
        <f>'All regions'!B1348+"$F;@!$]m"</f>
        <v>#VALUE!</v>
      </c>
      <c r="U51" t="e">
        <f>'All regions'!C1348+"$F;@!$]n"</f>
        <v>#VALUE!</v>
      </c>
      <c r="V51" t="e">
        <f>'All regions'!D1348+"$F;@!$]o"</f>
        <v>#VALUE!</v>
      </c>
      <c r="W51" t="e">
        <f>'All regions'!E1348+"$F;@!$]p"</f>
        <v>#VALUE!</v>
      </c>
      <c r="X51" t="e">
        <f>'All regions'!F1348+"$F;@!$]q"</f>
        <v>#VALUE!</v>
      </c>
      <c r="Y51" t="e">
        <f>'All regions'!G1348+"$F;@!$]r"</f>
        <v>#VALUE!</v>
      </c>
      <c r="Z51" t="e">
        <f>'All regions'!H1348+"$F;@!$]s"</f>
        <v>#VALUE!</v>
      </c>
      <c r="AA51" t="e">
        <f>'All regions'!I1348+"$F;@!$]t"</f>
        <v>#VALUE!</v>
      </c>
      <c r="AB51" t="e">
        <f>'All regions'!A1349+"$F;@!$]u"</f>
        <v>#VALUE!</v>
      </c>
      <c r="AC51" t="e">
        <f>'All regions'!B1349+"$F;@!$]v"</f>
        <v>#VALUE!</v>
      </c>
      <c r="AD51" t="e">
        <f>'All regions'!C1349+"$F;@!$]w"</f>
        <v>#VALUE!</v>
      </c>
      <c r="AE51" t="e">
        <f>'All regions'!D1349+"$F;@!$]x"</f>
        <v>#VALUE!</v>
      </c>
      <c r="AF51" t="e">
        <f>'All regions'!E1349+"$F;@!$]y"</f>
        <v>#VALUE!</v>
      </c>
      <c r="AG51" t="e">
        <f>'All regions'!F1349+"$F;@!$]z"</f>
        <v>#VALUE!</v>
      </c>
      <c r="AH51" t="e">
        <f>'All regions'!G1349+"$F;@!$]{"</f>
        <v>#VALUE!</v>
      </c>
      <c r="AI51" t="e">
        <f>'All regions'!H1349+"$F;@!$]|"</f>
        <v>#VALUE!</v>
      </c>
      <c r="AJ51" t="e">
        <f>'All regions'!I1349+"$F;@!$]}"</f>
        <v>#VALUE!</v>
      </c>
      <c r="AK51" t="e">
        <f>'All regions'!A1350+"$F;@!$]~"</f>
        <v>#VALUE!</v>
      </c>
      <c r="AL51" t="e">
        <f>'All regions'!B1350+"$F;@!$^#"</f>
        <v>#VALUE!</v>
      </c>
      <c r="AM51" t="e">
        <f>'All regions'!C1350+"$F;@!$^$"</f>
        <v>#VALUE!</v>
      </c>
      <c r="AN51" t="e">
        <f>'All regions'!D1350+"$F;@!$^%"</f>
        <v>#VALUE!</v>
      </c>
      <c r="AO51" t="e">
        <f>'All regions'!E1350+"$F;@!$^&amp;"</f>
        <v>#VALUE!</v>
      </c>
      <c r="AP51" t="e">
        <f>'All regions'!F1350+"$F;@!$^'"</f>
        <v>#VALUE!</v>
      </c>
      <c r="AQ51" t="e">
        <f>'All regions'!G1350+"$F;@!$^("</f>
        <v>#VALUE!</v>
      </c>
      <c r="AR51" t="e">
        <f>'All regions'!H1350+"$F;@!$^)"</f>
        <v>#VALUE!</v>
      </c>
      <c r="AS51" t="e">
        <f>'All regions'!I1350+"$F;@!$^."</f>
        <v>#VALUE!</v>
      </c>
      <c r="AT51" t="e">
        <f>'All regions'!A1351+"$F;@!$^/"</f>
        <v>#VALUE!</v>
      </c>
      <c r="AU51" t="e">
        <f>'All regions'!B1351+"$F;@!$^0"</f>
        <v>#VALUE!</v>
      </c>
      <c r="AV51" t="e">
        <f>'All regions'!C1351+"$F;@!$^1"</f>
        <v>#VALUE!</v>
      </c>
      <c r="AW51" t="e">
        <f>'All regions'!D1351+"$F;@!$^2"</f>
        <v>#VALUE!</v>
      </c>
      <c r="AX51" t="e">
        <f>'All regions'!E1351+"$F;@!$^3"</f>
        <v>#VALUE!</v>
      </c>
      <c r="AY51" t="e">
        <f>'All regions'!F1351+"$F;@!$^4"</f>
        <v>#VALUE!</v>
      </c>
      <c r="AZ51" t="e">
        <f>'All regions'!G1351+"$F;@!$^5"</f>
        <v>#VALUE!</v>
      </c>
      <c r="BA51" t="e">
        <f>'All regions'!H1351+"$F;@!$^6"</f>
        <v>#VALUE!</v>
      </c>
      <c r="BB51" t="e">
        <f>'All regions'!I1351+"$F;@!$^7"</f>
        <v>#VALUE!</v>
      </c>
      <c r="BC51" t="e">
        <f>'All regions'!A1352+"$F;@!$^8"</f>
        <v>#VALUE!</v>
      </c>
      <c r="BD51" t="e">
        <f>'All regions'!B1352+"$F;@!$^9"</f>
        <v>#VALUE!</v>
      </c>
      <c r="BE51" t="e">
        <f>'All regions'!C1352+"$F;@!$^:"</f>
        <v>#VALUE!</v>
      </c>
      <c r="BF51" t="e">
        <f>'All regions'!D1352+"$F;@!$^;"</f>
        <v>#VALUE!</v>
      </c>
      <c r="BG51" t="e">
        <f>'All regions'!E1352+"$F;@!$^&lt;"</f>
        <v>#VALUE!</v>
      </c>
      <c r="BH51" t="e">
        <f>'All regions'!F1352+"$F;@!$^="</f>
        <v>#VALUE!</v>
      </c>
      <c r="BI51" t="e">
        <f>'All regions'!G1352+"$F;@!$^&gt;"</f>
        <v>#VALUE!</v>
      </c>
      <c r="BJ51" t="e">
        <f>'All regions'!H1352+"$F;@!$^?"</f>
        <v>#VALUE!</v>
      </c>
      <c r="BK51" t="e">
        <f>'All regions'!I1352+"$F;@!$^@"</f>
        <v>#VALUE!</v>
      </c>
      <c r="BL51" t="e">
        <f>'All regions'!A1353+"$F;@!$^A"</f>
        <v>#VALUE!</v>
      </c>
      <c r="BM51" t="e">
        <f>'All regions'!B1353+"$F;@!$^B"</f>
        <v>#VALUE!</v>
      </c>
      <c r="BN51" t="e">
        <f>'All regions'!C1353+"$F;@!$^C"</f>
        <v>#VALUE!</v>
      </c>
      <c r="BO51" t="e">
        <f>'All regions'!D1353+"$F;@!$^D"</f>
        <v>#VALUE!</v>
      </c>
      <c r="BP51" t="e">
        <f>'All regions'!E1353+"$F;@!$^E"</f>
        <v>#VALUE!</v>
      </c>
      <c r="BQ51" t="e">
        <f>'All regions'!F1353+"$F;@!$^F"</f>
        <v>#VALUE!</v>
      </c>
      <c r="BR51" t="e">
        <f>'All regions'!G1353+"$F;@!$^G"</f>
        <v>#VALUE!</v>
      </c>
      <c r="BS51" t="e">
        <f>'All regions'!H1353+"$F;@!$^H"</f>
        <v>#VALUE!</v>
      </c>
      <c r="BT51" t="e">
        <f>'All regions'!I1353+"$F;@!$^I"</f>
        <v>#VALUE!</v>
      </c>
      <c r="BU51" t="e">
        <f>'All regions'!A1354+"$F;@!$^J"</f>
        <v>#VALUE!</v>
      </c>
      <c r="BV51" t="e">
        <f>'All regions'!B1354+"$F;@!$^K"</f>
        <v>#VALUE!</v>
      </c>
      <c r="BW51" t="e">
        <f>'All regions'!C1354+"$F;@!$^L"</f>
        <v>#VALUE!</v>
      </c>
      <c r="BX51" t="e">
        <f>'All regions'!D1354+"$F;@!$^M"</f>
        <v>#VALUE!</v>
      </c>
      <c r="BY51" t="e">
        <f>'All regions'!E1354+"$F;@!$^N"</f>
        <v>#VALUE!</v>
      </c>
      <c r="BZ51" t="e">
        <f>'All regions'!F1354+"$F;@!$^O"</f>
        <v>#VALUE!</v>
      </c>
      <c r="CA51" t="e">
        <f>'All regions'!G1354+"$F;@!$^P"</f>
        <v>#VALUE!</v>
      </c>
      <c r="CB51" t="e">
        <f>'All regions'!H1354+"$F;@!$^Q"</f>
        <v>#VALUE!</v>
      </c>
      <c r="CC51" t="e">
        <f>'All regions'!I1354+"$F;@!$^R"</f>
        <v>#VALUE!</v>
      </c>
      <c r="CD51" t="e">
        <f>'All regions'!A1355+"$F;@!$^S"</f>
        <v>#VALUE!</v>
      </c>
      <c r="CE51" t="e">
        <f>'All regions'!B1355+"$F;@!$^T"</f>
        <v>#VALUE!</v>
      </c>
      <c r="CF51" t="e">
        <f>'All regions'!C1355+"$F;@!$^U"</f>
        <v>#VALUE!</v>
      </c>
      <c r="CG51" t="e">
        <f>'All regions'!D1355+"$F;@!$^V"</f>
        <v>#VALUE!</v>
      </c>
      <c r="CH51" t="e">
        <f>'All regions'!E1355+"$F;@!$^W"</f>
        <v>#VALUE!</v>
      </c>
      <c r="CI51" t="e">
        <f>'All regions'!F1355+"$F;@!$^X"</f>
        <v>#VALUE!</v>
      </c>
      <c r="CJ51" t="e">
        <f>'All regions'!G1355+"$F;@!$^Y"</f>
        <v>#VALUE!</v>
      </c>
      <c r="CK51" t="e">
        <f>'All regions'!H1355+"$F;@!$^Z"</f>
        <v>#VALUE!</v>
      </c>
      <c r="CL51" t="e">
        <f>'All regions'!I1355+"$F;@!$^["</f>
        <v>#VALUE!</v>
      </c>
      <c r="CM51" t="e">
        <f>'All regions'!A1356+"$F;@!$^\"</f>
        <v>#VALUE!</v>
      </c>
      <c r="CN51" t="e">
        <f>'All regions'!B1356+"$F;@!$^]"</f>
        <v>#VALUE!</v>
      </c>
      <c r="CO51" t="e">
        <f>'All regions'!C1356+"$F;@!$^^"</f>
        <v>#VALUE!</v>
      </c>
      <c r="CP51" t="e">
        <f>'All regions'!D1356+"$F;@!$^_"</f>
        <v>#VALUE!</v>
      </c>
      <c r="CQ51" t="e">
        <f>'All regions'!E1356+"$F;@!$^`"</f>
        <v>#VALUE!</v>
      </c>
      <c r="CR51" t="e">
        <f>'All regions'!F1356+"$F;@!$^a"</f>
        <v>#VALUE!</v>
      </c>
      <c r="CS51" t="e">
        <f>'All regions'!G1356+"$F;@!$^b"</f>
        <v>#VALUE!</v>
      </c>
      <c r="CT51" t="e">
        <f>'All regions'!H1356+"$F;@!$^c"</f>
        <v>#VALUE!</v>
      </c>
      <c r="CU51" t="e">
        <f>'All regions'!I1356+"$F;@!$^d"</f>
        <v>#VALUE!</v>
      </c>
      <c r="CV51" t="e">
        <f>'All regions'!A1357+"$F;@!$^e"</f>
        <v>#VALUE!</v>
      </c>
      <c r="CW51" t="e">
        <f>'All regions'!B1357+"$F;@!$^f"</f>
        <v>#VALUE!</v>
      </c>
      <c r="CX51" t="e">
        <f>'All regions'!C1357+"$F;@!$^g"</f>
        <v>#VALUE!</v>
      </c>
      <c r="CY51" t="e">
        <f>'All regions'!D1357+"$F;@!$^h"</f>
        <v>#VALUE!</v>
      </c>
      <c r="CZ51" t="e">
        <f>'All regions'!E1357+"$F;@!$^i"</f>
        <v>#VALUE!</v>
      </c>
      <c r="DA51" t="e">
        <f>'All regions'!F1357+"$F;@!$^j"</f>
        <v>#VALUE!</v>
      </c>
      <c r="DB51" t="e">
        <f>'All regions'!G1357+"$F;@!$^k"</f>
        <v>#VALUE!</v>
      </c>
      <c r="DC51" t="e">
        <f>'All regions'!H1357+"$F;@!$^l"</f>
        <v>#VALUE!</v>
      </c>
      <c r="DD51" t="e">
        <f>'All regions'!I1357+"$F;@!$^m"</f>
        <v>#VALUE!</v>
      </c>
      <c r="DE51" t="e">
        <f>'All regions'!A1358+"$F;@!$^n"</f>
        <v>#VALUE!</v>
      </c>
      <c r="DF51" t="e">
        <f>'All regions'!B1358+"$F;@!$^o"</f>
        <v>#VALUE!</v>
      </c>
      <c r="DG51" t="e">
        <f>'All regions'!C1358+"$F;@!$^p"</f>
        <v>#VALUE!</v>
      </c>
      <c r="DH51" t="e">
        <f>'All regions'!D1358+"$F;@!$^q"</f>
        <v>#VALUE!</v>
      </c>
      <c r="DI51" t="e">
        <f>'All regions'!E1358+"$F;@!$^r"</f>
        <v>#VALUE!</v>
      </c>
      <c r="DJ51" t="e">
        <f>'All regions'!F1358+"$F;@!$^s"</f>
        <v>#VALUE!</v>
      </c>
      <c r="DK51" t="e">
        <f>'All regions'!G1358+"$F;@!$^t"</f>
        <v>#VALUE!</v>
      </c>
      <c r="DL51" t="e">
        <f>'All regions'!H1358+"$F;@!$^u"</f>
        <v>#VALUE!</v>
      </c>
      <c r="DM51" t="e">
        <f>'All regions'!I1358+"$F;@!$^v"</f>
        <v>#VALUE!</v>
      </c>
      <c r="DN51" t="e">
        <f>'All regions'!A1359+"$F;@!$^w"</f>
        <v>#VALUE!</v>
      </c>
      <c r="DO51" t="e">
        <f>'All regions'!B1359+"$F;@!$^x"</f>
        <v>#VALUE!</v>
      </c>
      <c r="DP51" t="e">
        <f>'All regions'!C1359+"$F;@!$^y"</f>
        <v>#VALUE!</v>
      </c>
      <c r="DQ51" t="e">
        <f>'All regions'!D1359+"$F;@!$^z"</f>
        <v>#VALUE!</v>
      </c>
      <c r="DR51" t="e">
        <f>'All regions'!E1359+"$F;@!$^{"</f>
        <v>#VALUE!</v>
      </c>
      <c r="DS51" t="e">
        <f>'All regions'!F1359+"$F;@!$^|"</f>
        <v>#VALUE!</v>
      </c>
      <c r="DT51" t="e">
        <f>'All regions'!G1359+"$F;@!$^}"</f>
        <v>#VALUE!</v>
      </c>
      <c r="DU51" t="e">
        <f>'All regions'!H1359+"$F;@!$^~"</f>
        <v>#VALUE!</v>
      </c>
      <c r="DV51" t="e">
        <f>'All regions'!I1359+"$F;@!$_#"</f>
        <v>#VALUE!</v>
      </c>
      <c r="DW51" t="e">
        <f>'All regions'!A1360+"$F;@!$_$"</f>
        <v>#VALUE!</v>
      </c>
      <c r="DX51" t="e">
        <f>'All regions'!B1360+"$F;@!$_%"</f>
        <v>#VALUE!</v>
      </c>
      <c r="DY51" t="e">
        <f>'All regions'!C1360+"$F;@!$_&amp;"</f>
        <v>#VALUE!</v>
      </c>
      <c r="DZ51" t="e">
        <f>'All regions'!D1360+"$F;@!$_'"</f>
        <v>#VALUE!</v>
      </c>
      <c r="EA51" t="e">
        <f>'All regions'!E1360+"$F;@!$_("</f>
        <v>#VALUE!</v>
      </c>
      <c r="EB51" t="e">
        <f>'All regions'!F1360+"$F;@!$_)"</f>
        <v>#VALUE!</v>
      </c>
      <c r="EC51" t="e">
        <f>'All regions'!G1360+"$F;@!$_."</f>
        <v>#VALUE!</v>
      </c>
      <c r="ED51" t="e">
        <f>'All regions'!H1360+"$F;@!$_/"</f>
        <v>#VALUE!</v>
      </c>
      <c r="EE51" t="e">
        <f>'All regions'!I1360+"$F;@!$_0"</f>
        <v>#VALUE!</v>
      </c>
      <c r="EF51" t="e">
        <f>'All regions'!A1361+"$F;@!$_1"</f>
        <v>#VALUE!</v>
      </c>
      <c r="EG51" t="e">
        <f>'All regions'!B1361+"$F;@!$_2"</f>
        <v>#VALUE!</v>
      </c>
      <c r="EH51" t="e">
        <f>'All regions'!C1361+"$F;@!$_3"</f>
        <v>#VALUE!</v>
      </c>
      <c r="EI51" t="e">
        <f>'All regions'!D1361+"$F;@!$_4"</f>
        <v>#VALUE!</v>
      </c>
      <c r="EJ51" t="e">
        <f>'All regions'!E1361+"$F;@!$_5"</f>
        <v>#VALUE!</v>
      </c>
      <c r="EK51" t="e">
        <f>'All regions'!F1361+"$F;@!$_6"</f>
        <v>#VALUE!</v>
      </c>
      <c r="EL51" t="e">
        <f>'All regions'!G1361+"$F;@!$_7"</f>
        <v>#VALUE!</v>
      </c>
      <c r="EM51" t="e">
        <f>'All regions'!H1361+"$F;@!$_8"</f>
        <v>#VALUE!</v>
      </c>
      <c r="EN51" t="e">
        <f>'All regions'!I1361+"$F;@!$_9"</f>
        <v>#VALUE!</v>
      </c>
      <c r="EO51" t="e">
        <f>'All regions'!A1362+"$F;@!$_:"</f>
        <v>#VALUE!</v>
      </c>
      <c r="EP51" t="e">
        <f>'All regions'!B1362+"$F;@!$_;"</f>
        <v>#VALUE!</v>
      </c>
      <c r="EQ51" t="e">
        <f>'All regions'!C1362+"$F;@!$_&lt;"</f>
        <v>#VALUE!</v>
      </c>
      <c r="ER51" t="e">
        <f>'All regions'!D1362+"$F;@!$_="</f>
        <v>#VALUE!</v>
      </c>
      <c r="ES51" t="e">
        <f>'All regions'!E1362+"$F;@!$_&gt;"</f>
        <v>#VALUE!</v>
      </c>
      <c r="ET51" t="e">
        <f>'All regions'!F1362+"$F;@!$_?"</f>
        <v>#VALUE!</v>
      </c>
      <c r="EU51" t="e">
        <f>'All regions'!G1362+"$F;@!$_@"</f>
        <v>#VALUE!</v>
      </c>
      <c r="EV51" t="e">
        <f>'All regions'!H1362+"$F;@!$_A"</f>
        <v>#VALUE!</v>
      </c>
      <c r="EW51" t="e">
        <f>'All regions'!I1362+"$F;@!$_B"</f>
        <v>#VALUE!</v>
      </c>
      <c r="EX51" t="e">
        <f>'All regions'!A1363+"$F;@!$_C"</f>
        <v>#VALUE!</v>
      </c>
      <c r="EY51" t="e">
        <f>'All regions'!B1363+"$F;@!$_D"</f>
        <v>#VALUE!</v>
      </c>
      <c r="EZ51" t="e">
        <f>'All regions'!C1363+"$F;@!$_E"</f>
        <v>#VALUE!</v>
      </c>
      <c r="FA51" t="e">
        <f>'All regions'!D1363+"$F;@!$_F"</f>
        <v>#VALUE!</v>
      </c>
      <c r="FB51" t="e">
        <f>'All regions'!E1363+"$F;@!$_G"</f>
        <v>#VALUE!</v>
      </c>
      <c r="FC51" t="e">
        <f>'All regions'!F1363+"$F;@!$_H"</f>
        <v>#VALUE!</v>
      </c>
      <c r="FD51" t="e">
        <f>'All regions'!G1363+"$F;@!$_I"</f>
        <v>#VALUE!</v>
      </c>
      <c r="FE51" t="e">
        <f>'All regions'!H1363+"$F;@!$_J"</f>
        <v>#VALUE!</v>
      </c>
      <c r="FF51" t="e">
        <f>'All regions'!I1363+"$F;@!$_K"</f>
        <v>#VALUE!</v>
      </c>
      <c r="FG51" t="e">
        <f>'All regions'!A1364+"$F;@!$_L"</f>
        <v>#VALUE!</v>
      </c>
      <c r="FH51" t="e">
        <f>'All regions'!B1364+"$F;@!$_M"</f>
        <v>#VALUE!</v>
      </c>
      <c r="FI51" t="e">
        <f>'All regions'!C1364+"$F;@!$_N"</f>
        <v>#VALUE!</v>
      </c>
      <c r="FJ51" t="e">
        <f>'All regions'!D1364+"$F;@!$_O"</f>
        <v>#VALUE!</v>
      </c>
      <c r="FK51" t="e">
        <f>'All regions'!E1364+"$F;@!$_P"</f>
        <v>#VALUE!</v>
      </c>
      <c r="FL51" t="e">
        <f>'All regions'!F1364+"$F;@!$_Q"</f>
        <v>#VALUE!</v>
      </c>
      <c r="FM51" t="e">
        <f>'All regions'!G1364+"$F;@!$_R"</f>
        <v>#VALUE!</v>
      </c>
      <c r="FN51" t="e">
        <f>'All regions'!H1364+"$F;@!$_S"</f>
        <v>#VALUE!</v>
      </c>
      <c r="FO51" t="e">
        <f>'All regions'!I1364+"$F;@!$_T"</f>
        <v>#VALUE!</v>
      </c>
      <c r="FP51" t="e">
        <f>'All regions'!A1365+"$F;@!$_U"</f>
        <v>#VALUE!</v>
      </c>
      <c r="FQ51" t="e">
        <f>'All regions'!B1365+"$F;@!$_V"</f>
        <v>#VALUE!</v>
      </c>
      <c r="FR51" t="e">
        <f>'All regions'!C1365+"$F;@!$_W"</f>
        <v>#VALUE!</v>
      </c>
      <c r="FS51" t="e">
        <f>'All regions'!D1365+"$F;@!$_X"</f>
        <v>#VALUE!</v>
      </c>
      <c r="FT51" t="e">
        <f>'All regions'!E1365+"$F;@!$_Y"</f>
        <v>#VALUE!</v>
      </c>
      <c r="FU51" t="e">
        <f>'All regions'!F1365+"$F;@!$_Z"</f>
        <v>#VALUE!</v>
      </c>
      <c r="FV51" t="e">
        <f>'All regions'!G1365+"$F;@!$_["</f>
        <v>#VALUE!</v>
      </c>
      <c r="FW51" t="e">
        <f>'All regions'!H1365+"$F;@!$_\"</f>
        <v>#VALUE!</v>
      </c>
      <c r="FX51" t="e">
        <f>'All regions'!I1365+"$F;@!$_]"</f>
        <v>#VALUE!</v>
      </c>
      <c r="FY51" t="e">
        <f>'All regions'!A1366+"$F;@!$_^"</f>
        <v>#VALUE!</v>
      </c>
      <c r="FZ51" t="e">
        <f>'All regions'!B1366+"$F;@!$__"</f>
        <v>#VALUE!</v>
      </c>
      <c r="GA51" t="e">
        <f>'All regions'!C1366+"$F;@!$_`"</f>
        <v>#VALUE!</v>
      </c>
      <c r="GB51" t="e">
        <f>'All regions'!D1366+"$F;@!$_a"</f>
        <v>#VALUE!</v>
      </c>
      <c r="GC51" t="e">
        <f>'All regions'!E1366+"$F;@!$_b"</f>
        <v>#VALUE!</v>
      </c>
      <c r="GD51" t="e">
        <f>'All regions'!F1366+"$F;@!$_c"</f>
        <v>#VALUE!</v>
      </c>
      <c r="GE51" t="e">
        <f>'All regions'!G1366+"$F;@!$_d"</f>
        <v>#VALUE!</v>
      </c>
      <c r="GF51" t="e">
        <f>'All regions'!H1366+"$F;@!$_e"</f>
        <v>#VALUE!</v>
      </c>
      <c r="GG51" t="e">
        <f>'All regions'!I1366+"$F;@!$_f"</f>
        <v>#VALUE!</v>
      </c>
      <c r="GH51" t="e">
        <f>'All regions'!A1367+"$F;@!$_g"</f>
        <v>#VALUE!</v>
      </c>
      <c r="GI51" t="e">
        <f>'All regions'!B1367+"$F;@!$_h"</f>
        <v>#VALUE!</v>
      </c>
      <c r="GJ51" t="e">
        <f>'All regions'!C1367+"$F;@!$_i"</f>
        <v>#VALUE!</v>
      </c>
      <c r="GK51" t="e">
        <f>'All regions'!D1367+"$F;@!$_j"</f>
        <v>#VALUE!</v>
      </c>
      <c r="GL51" t="e">
        <f>'All regions'!E1367+"$F;@!$_k"</f>
        <v>#VALUE!</v>
      </c>
      <c r="GM51" t="e">
        <f>'All regions'!F1367+"$F;@!$_l"</f>
        <v>#VALUE!</v>
      </c>
      <c r="GN51" t="e">
        <f>'All regions'!G1367+"$F;@!$_m"</f>
        <v>#VALUE!</v>
      </c>
      <c r="GO51" t="e">
        <f>'All regions'!H1367+"$F;@!$_n"</f>
        <v>#VALUE!</v>
      </c>
      <c r="GP51" t="e">
        <f>'All regions'!I1367+"$F;@!$_o"</f>
        <v>#VALUE!</v>
      </c>
      <c r="GQ51" t="e">
        <f>'All regions'!A1368+"$F;@!$_p"</f>
        <v>#VALUE!</v>
      </c>
      <c r="GR51" t="e">
        <f>'All regions'!B1368+"$F;@!$_q"</f>
        <v>#VALUE!</v>
      </c>
      <c r="GS51" t="e">
        <f>'All regions'!C1368+"$F;@!$_r"</f>
        <v>#VALUE!</v>
      </c>
      <c r="GT51" t="e">
        <f>'All regions'!D1368+"$F;@!$_s"</f>
        <v>#VALUE!</v>
      </c>
      <c r="GU51" t="e">
        <f>'All regions'!E1368+"$F;@!$_t"</f>
        <v>#VALUE!</v>
      </c>
      <c r="GV51" t="e">
        <f>'All regions'!F1368+"$F;@!$_u"</f>
        <v>#VALUE!</v>
      </c>
      <c r="GW51" t="e">
        <f>'All regions'!G1368+"$F;@!$_v"</f>
        <v>#VALUE!</v>
      </c>
      <c r="GX51" t="e">
        <f>'All regions'!H1368+"$F;@!$_w"</f>
        <v>#VALUE!</v>
      </c>
      <c r="GY51" t="e">
        <f>'All regions'!I1368+"$F;@!$_x"</f>
        <v>#VALUE!</v>
      </c>
      <c r="GZ51" t="e">
        <f>'All regions'!A1369+"$F;@!$_y"</f>
        <v>#VALUE!</v>
      </c>
      <c r="HA51" t="e">
        <f>'All regions'!B1369+"$F;@!$_z"</f>
        <v>#VALUE!</v>
      </c>
      <c r="HB51" t="e">
        <f>'All regions'!C1369+"$F;@!$_{"</f>
        <v>#VALUE!</v>
      </c>
      <c r="HC51" t="e">
        <f>'All regions'!D1369+"$F;@!$_|"</f>
        <v>#VALUE!</v>
      </c>
      <c r="HD51" t="e">
        <f>'All regions'!E1369+"$F;@!$_}"</f>
        <v>#VALUE!</v>
      </c>
      <c r="HE51" t="e">
        <f>'All regions'!F1369+"$F;@!$_~"</f>
        <v>#VALUE!</v>
      </c>
      <c r="HF51" t="e">
        <f>'All regions'!G1369+"$F;@!$`#"</f>
        <v>#VALUE!</v>
      </c>
      <c r="HG51" t="e">
        <f>'All regions'!H1369+"$F;@!$`$"</f>
        <v>#VALUE!</v>
      </c>
      <c r="HH51" t="e">
        <f>'All regions'!I1369+"$F;@!$`%"</f>
        <v>#VALUE!</v>
      </c>
      <c r="HI51" t="e">
        <f>'All regions'!A1370+"$F;@!$`&amp;"</f>
        <v>#VALUE!</v>
      </c>
      <c r="HJ51" t="e">
        <f>'All regions'!B1370+"$F;@!$`'"</f>
        <v>#VALUE!</v>
      </c>
      <c r="HK51" t="e">
        <f>'All regions'!C1370+"$F;@!$`("</f>
        <v>#VALUE!</v>
      </c>
      <c r="HL51" t="e">
        <f>'All regions'!D1370+"$F;@!$`)"</f>
        <v>#VALUE!</v>
      </c>
      <c r="HM51" t="e">
        <f>'All regions'!E1370+"$F;@!$`."</f>
        <v>#VALUE!</v>
      </c>
      <c r="HN51" t="e">
        <f>'All regions'!F1370+"$F;@!$`/"</f>
        <v>#VALUE!</v>
      </c>
      <c r="HO51" t="e">
        <f>'All regions'!G1370+"$F;@!$`0"</f>
        <v>#VALUE!</v>
      </c>
      <c r="HP51" t="e">
        <f>'All regions'!H1370+"$F;@!$`1"</f>
        <v>#VALUE!</v>
      </c>
      <c r="HQ51" t="e">
        <f>'All regions'!I1370+"$F;@!$`2"</f>
        <v>#VALUE!</v>
      </c>
      <c r="HR51" t="e">
        <f>'All regions'!A1371+"$F;@!$`3"</f>
        <v>#VALUE!</v>
      </c>
      <c r="HS51" t="e">
        <f>'All regions'!B1371+"$F;@!$`4"</f>
        <v>#VALUE!</v>
      </c>
      <c r="HT51" t="e">
        <f>'All regions'!C1371+"$F;@!$`5"</f>
        <v>#VALUE!</v>
      </c>
      <c r="HU51" t="e">
        <f>'All regions'!D1371+"$F;@!$`6"</f>
        <v>#VALUE!</v>
      </c>
      <c r="HV51" t="e">
        <f>'All regions'!E1371+"$F;@!$`7"</f>
        <v>#VALUE!</v>
      </c>
      <c r="HW51" t="e">
        <f>'All regions'!F1371+"$F;@!$`8"</f>
        <v>#VALUE!</v>
      </c>
      <c r="HX51" t="e">
        <f>'All regions'!G1371+"$F;@!$`9"</f>
        <v>#VALUE!</v>
      </c>
      <c r="HY51" t="e">
        <f>'All regions'!H1371+"$F;@!$`:"</f>
        <v>#VALUE!</v>
      </c>
      <c r="HZ51" t="e">
        <f>'All regions'!I1371+"$F;@!$`;"</f>
        <v>#VALUE!</v>
      </c>
      <c r="IA51" t="e">
        <f>'All regions'!A1372+"$F;@!$`&lt;"</f>
        <v>#VALUE!</v>
      </c>
      <c r="IB51" t="e">
        <f>'All regions'!B1372+"$F;@!$`="</f>
        <v>#VALUE!</v>
      </c>
      <c r="IC51" t="e">
        <f>'All regions'!C1372+"$F;@!$`&gt;"</f>
        <v>#VALUE!</v>
      </c>
      <c r="ID51" t="e">
        <f>'All regions'!D1372+"$F;@!$`?"</f>
        <v>#VALUE!</v>
      </c>
      <c r="IE51" t="e">
        <f>'All regions'!E1372+"$F;@!$`@"</f>
        <v>#VALUE!</v>
      </c>
      <c r="IF51" t="e">
        <f>'All regions'!F1372+"$F;@!$`A"</f>
        <v>#VALUE!</v>
      </c>
      <c r="IG51" t="e">
        <f>'All regions'!G1372+"$F;@!$`B"</f>
        <v>#VALUE!</v>
      </c>
      <c r="IH51" t="e">
        <f>'All regions'!H1372+"$F;@!$`C"</f>
        <v>#VALUE!</v>
      </c>
      <c r="II51" t="e">
        <f>'All regions'!I1372+"$F;@!$`D"</f>
        <v>#VALUE!</v>
      </c>
      <c r="IJ51" t="e">
        <f>'All regions'!A1373+"$F;@!$`E"</f>
        <v>#VALUE!</v>
      </c>
      <c r="IK51" t="e">
        <f>'All regions'!B1373+"$F;@!$`F"</f>
        <v>#VALUE!</v>
      </c>
      <c r="IL51" t="e">
        <f>'All regions'!C1373+"$F;@!$`G"</f>
        <v>#VALUE!</v>
      </c>
      <c r="IM51" t="e">
        <f>'All regions'!D1373+"$F;@!$`H"</f>
        <v>#VALUE!</v>
      </c>
      <c r="IN51" t="e">
        <f>'All regions'!E1373+"$F;@!$`I"</f>
        <v>#VALUE!</v>
      </c>
      <c r="IO51" t="e">
        <f>'All regions'!F1373+"$F;@!$`J"</f>
        <v>#VALUE!</v>
      </c>
      <c r="IP51" t="e">
        <f>'All regions'!G1373+"$F;@!$`K"</f>
        <v>#VALUE!</v>
      </c>
      <c r="IQ51" t="e">
        <f>'All regions'!H1373+"$F;@!$`L"</f>
        <v>#VALUE!</v>
      </c>
      <c r="IR51" t="e">
        <f>'All regions'!I1373+"$F;@!$`M"</f>
        <v>#VALUE!</v>
      </c>
      <c r="IS51" t="e">
        <f>'All regions'!A1374+"$F;@!$`N"</f>
        <v>#VALUE!</v>
      </c>
      <c r="IT51" t="e">
        <f>'All regions'!B1374+"$F;@!$`O"</f>
        <v>#VALUE!</v>
      </c>
      <c r="IU51" t="e">
        <f>'All regions'!C1374+"$F;@!$`P"</f>
        <v>#VALUE!</v>
      </c>
      <c r="IV51" t="e">
        <f>'All regions'!D1374+"$F;@!$`Q"</f>
        <v>#VALUE!</v>
      </c>
    </row>
    <row r="52" spans="6:256" x14ac:dyDescent="0.35">
      <c r="F52" t="e">
        <f>'All regions'!E1374+"$F;@!$`R"</f>
        <v>#VALUE!</v>
      </c>
      <c r="G52" t="e">
        <f>'All regions'!F1374+"$F;@!$`S"</f>
        <v>#VALUE!</v>
      </c>
      <c r="H52" t="e">
        <f>'All regions'!G1374+"$F;@!$`T"</f>
        <v>#VALUE!</v>
      </c>
      <c r="I52" t="e">
        <f>'All regions'!H1374+"$F;@!$`U"</f>
        <v>#VALUE!</v>
      </c>
      <c r="J52" t="e">
        <f>'All regions'!I1374+"$F;@!$`V"</f>
        <v>#VALUE!</v>
      </c>
      <c r="K52" t="e">
        <f>'All regions'!A1375+"$F;@!$`W"</f>
        <v>#VALUE!</v>
      </c>
      <c r="L52" t="e">
        <f>'All regions'!B1375+"$F;@!$`X"</f>
        <v>#VALUE!</v>
      </c>
      <c r="M52" t="e">
        <f>'All regions'!C1375+"$F;@!$`Y"</f>
        <v>#VALUE!</v>
      </c>
      <c r="N52" t="e">
        <f>'All regions'!D1375+"$F;@!$`Z"</f>
        <v>#VALUE!</v>
      </c>
      <c r="O52" t="e">
        <f>'All regions'!E1375+"$F;@!$`["</f>
        <v>#VALUE!</v>
      </c>
      <c r="P52" t="e">
        <f>'All regions'!F1375+"$F;@!$`\"</f>
        <v>#VALUE!</v>
      </c>
      <c r="Q52" t="e">
        <f>'All regions'!G1375+"$F;@!$`]"</f>
        <v>#VALUE!</v>
      </c>
      <c r="R52" t="e">
        <f>'All regions'!H1375+"$F;@!$`^"</f>
        <v>#VALUE!</v>
      </c>
      <c r="S52" t="e">
        <f>'All regions'!I1375+"$F;@!$`_"</f>
        <v>#VALUE!</v>
      </c>
      <c r="T52" t="e">
        <f>'All regions'!A1376+"$F;@!$``"</f>
        <v>#VALUE!</v>
      </c>
      <c r="U52" t="e">
        <f>'All regions'!B1376+"$F;@!$`a"</f>
        <v>#VALUE!</v>
      </c>
      <c r="V52" t="e">
        <f>'All regions'!C1376+"$F;@!$`b"</f>
        <v>#VALUE!</v>
      </c>
      <c r="W52" t="e">
        <f>'All regions'!D1376+"$F;@!$`c"</f>
        <v>#VALUE!</v>
      </c>
      <c r="X52" t="e">
        <f>'All regions'!E1376+"$F;@!$`d"</f>
        <v>#VALUE!</v>
      </c>
      <c r="Y52" t="e">
        <f>'All regions'!F1376+"$F;@!$`e"</f>
        <v>#VALUE!</v>
      </c>
      <c r="Z52" t="e">
        <f>'All regions'!G1376+"$F;@!$`f"</f>
        <v>#VALUE!</v>
      </c>
      <c r="AA52" t="e">
        <f>'All regions'!H1376+"$F;@!$`g"</f>
        <v>#VALUE!</v>
      </c>
      <c r="AB52" t="e">
        <f>'All regions'!I1376+"$F;@!$`h"</f>
        <v>#VALUE!</v>
      </c>
      <c r="AC52" t="e">
        <f>'All regions'!A1377+"$F;@!$`i"</f>
        <v>#VALUE!</v>
      </c>
      <c r="AD52" t="e">
        <f>'All regions'!B1377+"$F;@!$`j"</f>
        <v>#VALUE!</v>
      </c>
      <c r="AE52" t="e">
        <f>'All regions'!C1377+"$F;@!$`k"</f>
        <v>#VALUE!</v>
      </c>
      <c r="AF52" t="e">
        <f>'All regions'!D1377+"$F;@!$`l"</f>
        <v>#VALUE!</v>
      </c>
      <c r="AG52" t="e">
        <f>'All regions'!E1377+"$F;@!$`m"</f>
        <v>#VALUE!</v>
      </c>
      <c r="AH52" t="e">
        <f>'All regions'!F1377+"$F;@!$`n"</f>
        <v>#VALUE!</v>
      </c>
      <c r="AI52" t="e">
        <f>'All regions'!G1377+"$F;@!$`o"</f>
        <v>#VALUE!</v>
      </c>
      <c r="AJ52" t="e">
        <f>'All regions'!H1377+"$F;@!$`p"</f>
        <v>#VALUE!</v>
      </c>
      <c r="AK52" t="e">
        <f>'All regions'!I1377+"$F;@!$`q"</f>
        <v>#VALUE!</v>
      </c>
      <c r="AL52" t="e">
        <f>'All regions'!A1378+"$F;@!$`r"</f>
        <v>#VALUE!</v>
      </c>
      <c r="AM52" t="e">
        <f>'All regions'!B1378+"$F;@!$`s"</f>
        <v>#VALUE!</v>
      </c>
      <c r="AN52" t="e">
        <f>'All regions'!C1378+"$F;@!$`t"</f>
        <v>#VALUE!</v>
      </c>
      <c r="AO52" t="e">
        <f>'All regions'!D1378+"$F;@!$`u"</f>
        <v>#VALUE!</v>
      </c>
      <c r="AP52" t="e">
        <f>'All regions'!E1378+"$F;@!$`v"</f>
        <v>#VALUE!</v>
      </c>
      <c r="AQ52" t="e">
        <f>'All regions'!F1378+"$F;@!$`w"</f>
        <v>#VALUE!</v>
      </c>
      <c r="AR52" t="e">
        <f>'All regions'!G1378+"$F;@!$`x"</f>
        <v>#VALUE!</v>
      </c>
      <c r="AS52" t="e">
        <f>'All regions'!H1378+"$F;@!$`y"</f>
        <v>#VALUE!</v>
      </c>
      <c r="AT52" t="e">
        <f>'All regions'!I1378+"$F;@!$`z"</f>
        <v>#VALUE!</v>
      </c>
      <c r="AU52" t="e">
        <f>'All regions'!A1379+"$F;@!$`{"</f>
        <v>#VALUE!</v>
      </c>
      <c r="AV52" t="e">
        <f>'All regions'!B1379+"$F;@!$`|"</f>
        <v>#VALUE!</v>
      </c>
      <c r="AW52" t="e">
        <f>'All regions'!C1379+"$F;@!$`}"</f>
        <v>#VALUE!</v>
      </c>
      <c r="AX52" t="e">
        <f>'All regions'!D1379+"$F;@!$`~"</f>
        <v>#VALUE!</v>
      </c>
      <c r="AY52" t="e">
        <f>'All regions'!E1379+"$F;@!$a#"</f>
        <v>#VALUE!</v>
      </c>
      <c r="AZ52" t="e">
        <f>'All regions'!F1379+"$F;@!$a$"</f>
        <v>#VALUE!</v>
      </c>
      <c r="BA52" t="e">
        <f>'All regions'!G1379+"$F;@!$a%"</f>
        <v>#VALUE!</v>
      </c>
      <c r="BB52" t="e">
        <f>'All regions'!H1379+"$F;@!$a&amp;"</f>
        <v>#VALUE!</v>
      </c>
      <c r="BC52" t="e">
        <f>'All regions'!I1379+"$F;@!$a'"</f>
        <v>#VALUE!</v>
      </c>
      <c r="BD52" t="e">
        <f>'All regions'!A1380+"$F;@!$a("</f>
        <v>#VALUE!</v>
      </c>
      <c r="BE52" t="e">
        <f>'All regions'!B1380+"$F;@!$a)"</f>
        <v>#VALUE!</v>
      </c>
      <c r="BF52" t="e">
        <f>'All regions'!C1380+"$F;@!$a."</f>
        <v>#VALUE!</v>
      </c>
      <c r="BG52" t="e">
        <f>'All regions'!D1380+"$F;@!$a/"</f>
        <v>#VALUE!</v>
      </c>
      <c r="BH52" t="e">
        <f>'All regions'!E1380+"$F;@!$a0"</f>
        <v>#VALUE!</v>
      </c>
      <c r="BI52" t="e">
        <f>'All regions'!F1380+"$F;@!$a1"</f>
        <v>#VALUE!</v>
      </c>
      <c r="BJ52" t="e">
        <f>'All regions'!G1380+"$F;@!$a2"</f>
        <v>#VALUE!</v>
      </c>
      <c r="BK52" t="e">
        <f>'All regions'!H1380+"$F;@!$a3"</f>
        <v>#VALUE!</v>
      </c>
      <c r="BL52" t="e">
        <f>'All regions'!I1380+"$F;@!$a4"</f>
        <v>#VALUE!</v>
      </c>
      <c r="BM52" t="e">
        <f>'All regions'!A1381+"$F;@!$a5"</f>
        <v>#VALUE!</v>
      </c>
      <c r="BN52" t="e">
        <f>'All regions'!B1381+"$F;@!$a6"</f>
        <v>#VALUE!</v>
      </c>
      <c r="BO52" t="e">
        <f>'All regions'!C1381+"$F;@!$a7"</f>
        <v>#VALUE!</v>
      </c>
      <c r="BP52" t="e">
        <f>'All regions'!D1381+"$F;@!$a8"</f>
        <v>#VALUE!</v>
      </c>
      <c r="BQ52" t="e">
        <f>'All regions'!E1381+"$F;@!$a9"</f>
        <v>#VALUE!</v>
      </c>
      <c r="BR52" t="e">
        <f>'All regions'!F1381+"$F;@!$a:"</f>
        <v>#VALUE!</v>
      </c>
      <c r="BS52" t="e">
        <f>'All regions'!G1381+"$F;@!$a;"</f>
        <v>#VALUE!</v>
      </c>
      <c r="BT52" t="e">
        <f>'All regions'!H1381+"$F;@!$a&lt;"</f>
        <v>#VALUE!</v>
      </c>
      <c r="BU52" t="e">
        <f>'All regions'!I1381+"$F;@!$a="</f>
        <v>#VALUE!</v>
      </c>
      <c r="BV52" t="e">
        <f>'All regions'!A1382+"$F;@!$a&gt;"</f>
        <v>#VALUE!</v>
      </c>
      <c r="BW52" t="e">
        <f>'All regions'!B1382+"$F;@!$a?"</f>
        <v>#VALUE!</v>
      </c>
      <c r="BX52" t="e">
        <f>'All regions'!C1382+"$F;@!$a@"</f>
        <v>#VALUE!</v>
      </c>
      <c r="BY52" t="e">
        <f>'All regions'!D1382+"$F;@!$aA"</f>
        <v>#VALUE!</v>
      </c>
      <c r="BZ52" t="e">
        <f>'All regions'!E1382+"$F;@!$aB"</f>
        <v>#VALUE!</v>
      </c>
      <c r="CA52" t="e">
        <f>'All regions'!F1382+"$F;@!$aC"</f>
        <v>#VALUE!</v>
      </c>
      <c r="CB52" t="e">
        <f>'All regions'!G1382+"$F;@!$aD"</f>
        <v>#VALUE!</v>
      </c>
      <c r="CC52" t="e">
        <f>'All regions'!H1382+"$F;@!$aE"</f>
        <v>#VALUE!</v>
      </c>
      <c r="CD52" t="e">
        <f>'All regions'!I1382+"$F;@!$aF"</f>
        <v>#VALUE!</v>
      </c>
      <c r="CE52" t="e">
        <f>'All regions'!A1383+"$F;@!$aG"</f>
        <v>#VALUE!</v>
      </c>
      <c r="CF52" t="e">
        <f>'All regions'!B1383+"$F;@!$aH"</f>
        <v>#VALUE!</v>
      </c>
      <c r="CG52" t="e">
        <f>'All regions'!C1383+"$F;@!$aI"</f>
        <v>#VALUE!</v>
      </c>
      <c r="CH52" t="e">
        <f>'All regions'!D1383+"$F;@!$aJ"</f>
        <v>#VALUE!</v>
      </c>
      <c r="CI52" t="e">
        <f>'All regions'!E1383+"$F;@!$aK"</f>
        <v>#VALUE!</v>
      </c>
      <c r="CJ52" t="e">
        <f>'All regions'!F1383+"$F;@!$aL"</f>
        <v>#VALUE!</v>
      </c>
      <c r="CK52" t="e">
        <f>'All regions'!G1383+"$F;@!$aM"</f>
        <v>#VALUE!</v>
      </c>
      <c r="CL52" t="e">
        <f>'All regions'!H1383+"$F;@!$aN"</f>
        <v>#VALUE!</v>
      </c>
      <c r="CM52" t="e">
        <f>'All regions'!I1383+"$F;@!$aO"</f>
        <v>#VALUE!</v>
      </c>
      <c r="CN52" t="e">
        <f>'All regions'!A1384+"$F;@!$aP"</f>
        <v>#VALUE!</v>
      </c>
      <c r="CO52" t="e">
        <f>'All regions'!B1384+"$F;@!$aQ"</f>
        <v>#VALUE!</v>
      </c>
      <c r="CP52" t="e">
        <f>'All regions'!C1384+"$F;@!$aR"</f>
        <v>#VALUE!</v>
      </c>
      <c r="CQ52" t="e">
        <f>'All regions'!D1384+"$F;@!$aS"</f>
        <v>#VALUE!</v>
      </c>
      <c r="CR52" t="e">
        <f>'All regions'!E1384+"$F;@!$aT"</f>
        <v>#VALUE!</v>
      </c>
      <c r="CS52" t="e">
        <f>'All regions'!F1384+"$F;@!$aU"</f>
        <v>#VALUE!</v>
      </c>
      <c r="CT52" t="e">
        <f>'All regions'!G1384+"$F;@!$aV"</f>
        <v>#VALUE!</v>
      </c>
      <c r="CU52" t="e">
        <f>'All regions'!H1384+"$F;@!$aW"</f>
        <v>#VALUE!</v>
      </c>
      <c r="CV52" t="e">
        <f>'All regions'!I1384+"$F;@!$aX"</f>
        <v>#VALUE!</v>
      </c>
      <c r="CW52" t="e">
        <f>'All regions'!A1385+"$F;@!$aY"</f>
        <v>#VALUE!</v>
      </c>
      <c r="CX52" t="e">
        <f>'All regions'!B1385+"$F;@!$aZ"</f>
        <v>#VALUE!</v>
      </c>
      <c r="CY52" t="e">
        <f>'All regions'!C1385+"$F;@!$a["</f>
        <v>#VALUE!</v>
      </c>
      <c r="CZ52" t="e">
        <f>'All regions'!D1385+"$F;@!$a\"</f>
        <v>#VALUE!</v>
      </c>
      <c r="DA52" t="e">
        <f>'All regions'!E1385+"$F;@!$a]"</f>
        <v>#VALUE!</v>
      </c>
      <c r="DB52" t="e">
        <f>'All regions'!F1385+"$F;@!$a^"</f>
        <v>#VALUE!</v>
      </c>
      <c r="DC52" t="e">
        <f>'All regions'!G1385+"$F;@!$a_"</f>
        <v>#VALUE!</v>
      </c>
      <c r="DD52" t="e">
        <f>'All regions'!H1385+"$F;@!$a`"</f>
        <v>#VALUE!</v>
      </c>
      <c r="DE52" t="e">
        <f>'All regions'!I1385+"$F;@!$aa"</f>
        <v>#VALUE!</v>
      </c>
      <c r="DF52" t="e">
        <f>'All regions'!A1386+"$F;@!$ab"</f>
        <v>#VALUE!</v>
      </c>
      <c r="DG52" t="e">
        <f>'All regions'!B1386+"$F;@!$ac"</f>
        <v>#VALUE!</v>
      </c>
      <c r="DH52" t="e">
        <f>'All regions'!C1386+"$F;@!$ad"</f>
        <v>#VALUE!</v>
      </c>
      <c r="DI52" t="e">
        <f>'All regions'!D1386+"$F;@!$ae"</f>
        <v>#VALUE!</v>
      </c>
      <c r="DJ52" t="e">
        <f>'All regions'!E1386+"$F;@!$af"</f>
        <v>#VALUE!</v>
      </c>
      <c r="DK52" t="e">
        <f>'All regions'!F1386+"$F;@!$ag"</f>
        <v>#VALUE!</v>
      </c>
      <c r="DL52" t="e">
        <f>'All regions'!G1386+"$F;@!$ah"</f>
        <v>#VALUE!</v>
      </c>
      <c r="DM52" t="e">
        <f>'All regions'!H1386+"$F;@!$ai"</f>
        <v>#VALUE!</v>
      </c>
      <c r="DN52" t="e">
        <f>'All regions'!I1386+"$F;@!$aj"</f>
        <v>#VALUE!</v>
      </c>
      <c r="DO52" t="e">
        <f>'All regions'!A1387+"$F;@!$ak"</f>
        <v>#VALUE!</v>
      </c>
      <c r="DP52" t="e">
        <f>'All regions'!B1387+"$F;@!$al"</f>
        <v>#VALUE!</v>
      </c>
      <c r="DQ52" t="e">
        <f>'All regions'!C1387+"$F;@!$am"</f>
        <v>#VALUE!</v>
      </c>
      <c r="DR52" t="e">
        <f>'All regions'!D1387+"$F;@!$an"</f>
        <v>#VALUE!</v>
      </c>
      <c r="DS52" t="e">
        <f>'All regions'!E1387+"$F;@!$ao"</f>
        <v>#VALUE!</v>
      </c>
      <c r="DT52" t="e">
        <f>'All regions'!F1387+"$F;@!$ap"</f>
        <v>#VALUE!</v>
      </c>
      <c r="DU52" t="e">
        <f>'All regions'!G1387+"$F;@!$aq"</f>
        <v>#VALUE!</v>
      </c>
      <c r="DV52" t="e">
        <f>'All regions'!H1387+"$F;@!$ar"</f>
        <v>#VALUE!</v>
      </c>
      <c r="DW52" t="e">
        <f>'All regions'!I1387+"$F;@!$as"</f>
        <v>#VALUE!</v>
      </c>
      <c r="DX52" t="e">
        <f>'All regions'!A1388+"$F;@!$at"</f>
        <v>#VALUE!</v>
      </c>
      <c r="DY52" t="e">
        <f>'All regions'!B1388+"$F;@!$au"</f>
        <v>#VALUE!</v>
      </c>
      <c r="DZ52" t="e">
        <f>'All regions'!C1388+"$F;@!$av"</f>
        <v>#VALUE!</v>
      </c>
      <c r="EA52" t="e">
        <f>'All regions'!D1388+"$F;@!$aw"</f>
        <v>#VALUE!</v>
      </c>
      <c r="EB52" t="e">
        <f>'All regions'!E1388+"$F;@!$ax"</f>
        <v>#VALUE!</v>
      </c>
      <c r="EC52" t="e">
        <f>'All regions'!F1388+"$F;@!$ay"</f>
        <v>#VALUE!</v>
      </c>
      <c r="ED52" t="e">
        <f>'All regions'!G1388+"$F;@!$az"</f>
        <v>#VALUE!</v>
      </c>
      <c r="EE52" t="e">
        <f>'All regions'!H1388+"$F;@!$a{"</f>
        <v>#VALUE!</v>
      </c>
      <c r="EF52" t="e">
        <f>'All regions'!I1388+"$F;@!$a|"</f>
        <v>#VALUE!</v>
      </c>
      <c r="EG52" t="e">
        <f>'All regions'!A1389+"$F;@!$a}"</f>
        <v>#VALUE!</v>
      </c>
      <c r="EH52" t="e">
        <f>'All regions'!B1389+"$F;@!$a~"</f>
        <v>#VALUE!</v>
      </c>
      <c r="EI52" t="e">
        <f>'All regions'!C1389+"$F;@!$b#"</f>
        <v>#VALUE!</v>
      </c>
      <c r="EJ52" t="e">
        <f>'All regions'!D1389+"$F;@!$b$"</f>
        <v>#VALUE!</v>
      </c>
      <c r="EK52" t="e">
        <f>'All regions'!E1389+"$F;@!$b%"</f>
        <v>#VALUE!</v>
      </c>
      <c r="EL52" t="e">
        <f>'All regions'!F1389+"$F;@!$b&amp;"</f>
        <v>#VALUE!</v>
      </c>
      <c r="EM52" t="e">
        <f>'All regions'!G1389+"$F;@!$b'"</f>
        <v>#VALUE!</v>
      </c>
      <c r="EN52" t="e">
        <f>'All regions'!H1389+"$F;@!$b("</f>
        <v>#VALUE!</v>
      </c>
      <c r="EO52" t="e">
        <f>'All regions'!I1389+"$F;@!$b)"</f>
        <v>#VALUE!</v>
      </c>
      <c r="EP52" t="e">
        <f>'All regions'!A1390+"$F;@!$b."</f>
        <v>#VALUE!</v>
      </c>
      <c r="EQ52" t="e">
        <f>'All regions'!B1390+"$F;@!$b/"</f>
        <v>#VALUE!</v>
      </c>
      <c r="ER52" t="e">
        <f>'All regions'!C1390+"$F;@!$b0"</f>
        <v>#VALUE!</v>
      </c>
      <c r="ES52" t="e">
        <f>'All regions'!D1390+"$F;@!$b1"</f>
        <v>#VALUE!</v>
      </c>
      <c r="ET52" t="e">
        <f>'All regions'!E1390+"$F;@!$b2"</f>
        <v>#VALUE!</v>
      </c>
      <c r="EU52" t="e">
        <f>'All regions'!F1390+"$F;@!$b3"</f>
        <v>#VALUE!</v>
      </c>
      <c r="EV52" t="e">
        <f>'All regions'!G1390+"$F;@!$b4"</f>
        <v>#VALUE!</v>
      </c>
      <c r="EW52" t="e">
        <f>'All regions'!H1390+"$F;@!$b5"</f>
        <v>#VALUE!</v>
      </c>
      <c r="EX52" t="e">
        <f>'All regions'!I1390+"$F;@!$b6"</f>
        <v>#VALUE!</v>
      </c>
      <c r="EY52" t="e">
        <f>'All regions'!A1391+"$F;@!$b7"</f>
        <v>#VALUE!</v>
      </c>
      <c r="EZ52" t="e">
        <f>'All regions'!B1391+"$F;@!$b8"</f>
        <v>#VALUE!</v>
      </c>
      <c r="FA52" t="e">
        <f>'All regions'!C1391+"$F;@!$b9"</f>
        <v>#VALUE!</v>
      </c>
      <c r="FB52" t="e">
        <f>'All regions'!D1391+"$F;@!$b:"</f>
        <v>#VALUE!</v>
      </c>
      <c r="FC52" t="e">
        <f>'All regions'!E1391+"$F;@!$b;"</f>
        <v>#VALUE!</v>
      </c>
      <c r="FD52" t="e">
        <f>'All regions'!F1391+"$F;@!$b&lt;"</f>
        <v>#VALUE!</v>
      </c>
      <c r="FE52" t="e">
        <f>'All regions'!G1391+"$F;@!$b="</f>
        <v>#VALUE!</v>
      </c>
      <c r="FF52" t="e">
        <f>'All regions'!H1391+"$F;@!$b&gt;"</f>
        <v>#VALUE!</v>
      </c>
      <c r="FG52" t="e">
        <f>'All regions'!I1391+"$F;@!$b?"</f>
        <v>#VALUE!</v>
      </c>
      <c r="FH52" t="e">
        <f>'All regions'!A1392+"$F;@!$b@"</f>
        <v>#VALUE!</v>
      </c>
      <c r="FI52" t="e">
        <f>'All regions'!B1392+"$F;@!$bA"</f>
        <v>#VALUE!</v>
      </c>
      <c r="FJ52" t="e">
        <f>'All regions'!C1392+"$F;@!$bB"</f>
        <v>#VALUE!</v>
      </c>
      <c r="FK52" t="e">
        <f>'All regions'!D1392+"$F;@!$bC"</f>
        <v>#VALUE!</v>
      </c>
      <c r="FL52" t="e">
        <f>'All regions'!E1392+"$F;@!$bD"</f>
        <v>#VALUE!</v>
      </c>
      <c r="FM52" t="e">
        <f>'All regions'!F1392+"$F;@!$bE"</f>
        <v>#VALUE!</v>
      </c>
      <c r="FN52" t="e">
        <f>'All regions'!G1392+"$F;@!$bF"</f>
        <v>#VALUE!</v>
      </c>
      <c r="FO52" t="e">
        <f>'All regions'!H1392+"$F;@!$bG"</f>
        <v>#VALUE!</v>
      </c>
      <c r="FP52" t="e">
        <f>'All regions'!I1392+"$F;@!$bH"</f>
        <v>#VALUE!</v>
      </c>
      <c r="FQ52" t="e">
        <f>'All regions'!A1393+"$F;@!$bI"</f>
        <v>#VALUE!</v>
      </c>
      <c r="FR52" t="e">
        <f>'All regions'!B1393+"$F;@!$bJ"</f>
        <v>#VALUE!</v>
      </c>
      <c r="FS52" t="e">
        <f>'All regions'!C1393+"$F;@!$bK"</f>
        <v>#VALUE!</v>
      </c>
      <c r="FT52" t="e">
        <f>'All regions'!D1393+"$F;@!$bL"</f>
        <v>#VALUE!</v>
      </c>
      <c r="FU52" t="e">
        <f>'All regions'!E1393+"$F;@!$bM"</f>
        <v>#VALUE!</v>
      </c>
      <c r="FV52" t="e">
        <f>'All regions'!F1393+"$F;@!$bN"</f>
        <v>#VALUE!</v>
      </c>
      <c r="FW52" t="e">
        <f>'All regions'!G1393+"$F;@!$bO"</f>
        <v>#VALUE!</v>
      </c>
      <c r="FX52" t="e">
        <f>'All regions'!H1393+"$F;@!$bP"</f>
        <v>#VALUE!</v>
      </c>
      <c r="FY52" t="e">
        <f>'All regions'!I1393+"$F;@!$bQ"</f>
        <v>#VALUE!</v>
      </c>
      <c r="FZ52" t="e">
        <f>'All regions'!A1394+"$F;@!$bR"</f>
        <v>#VALUE!</v>
      </c>
      <c r="GA52" t="e">
        <f>'All regions'!B1394+"$F;@!$bS"</f>
        <v>#VALUE!</v>
      </c>
      <c r="GB52" t="e">
        <f>'All regions'!C1394+"$F;@!$bT"</f>
        <v>#VALUE!</v>
      </c>
      <c r="GC52" t="e">
        <f>'All regions'!D1394+"$F;@!$bU"</f>
        <v>#VALUE!</v>
      </c>
      <c r="GD52" t="e">
        <f>'All regions'!E1394+"$F;@!$bV"</f>
        <v>#VALUE!</v>
      </c>
      <c r="GE52" t="e">
        <f>'All regions'!F1394+"$F;@!$bW"</f>
        <v>#VALUE!</v>
      </c>
      <c r="GF52" t="e">
        <f>'All regions'!G1394+"$F;@!$bX"</f>
        <v>#VALUE!</v>
      </c>
      <c r="GG52" t="e">
        <f>'All regions'!H1394+"$F;@!$bY"</f>
        <v>#VALUE!</v>
      </c>
      <c r="GH52" t="e">
        <f>'All regions'!I1394+"$F;@!$bZ"</f>
        <v>#VALUE!</v>
      </c>
      <c r="GI52" t="e">
        <f>'All regions'!A1395+"$F;@!$b["</f>
        <v>#VALUE!</v>
      </c>
      <c r="GJ52" t="e">
        <f>'All regions'!B1395+"$F;@!$b\"</f>
        <v>#VALUE!</v>
      </c>
      <c r="GK52" t="e">
        <f>'All regions'!C1395+"$F;@!$b]"</f>
        <v>#VALUE!</v>
      </c>
      <c r="GL52" t="e">
        <f>'All regions'!D1395+"$F;@!$b^"</f>
        <v>#VALUE!</v>
      </c>
      <c r="GM52" t="e">
        <f>'All regions'!E1395+"$F;@!$b_"</f>
        <v>#VALUE!</v>
      </c>
      <c r="GN52" t="e">
        <f>'All regions'!F1395+"$F;@!$b`"</f>
        <v>#VALUE!</v>
      </c>
      <c r="GO52" t="e">
        <f>'All regions'!G1395+"$F;@!$ba"</f>
        <v>#VALUE!</v>
      </c>
      <c r="GP52" t="e">
        <f>'All regions'!H1395+"$F;@!$bb"</f>
        <v>#VALUE!</v>
      </c>
      <c r="GQ52" t="e">
        <f>'All regions'!I1395+"$F;@!$bc"</f>
        <v>#VALUE!</v>
      </c>
      <c r="GR52" t="e">
        <f>'All regions'!A1396+"$F;@!$bd"</f>
        <v>#VALUE!</v>
      </c>
      <c r="GS52" t="e">
        <f>'All regions'!B1396+"$F;@!$be"</f>
        <v>#VALUE!</v>
      </c>
      <c r="GT52" t="e">
        <f>'All regions'!C1396+"$F;@!$bf"</f>
        <v>#VALUE!</v>
      </c>
      <c r="GU52" t="e">
        <f>'All regions'!D1396+"$F;@!$bg"</f>
        <v>#VALUE!</v>
      </c>
      <c r="GV52" t="e">
        <f>'All regions'!E1396+"$F;@!$bh"</f>
        <v>#VALUE!</v>
      </c>
      <c r="GW52" t="e">
        <f>'All regions'!F1396+"$F;@!$bi"</f>
        <v>#VALUE!</v>
      </c>
      <c r="GX52" t="e">
        <f>'All regions'!G1396+"$F;@!$bj"</f>
        <v>#VALUE!</v>
      </c>
      <c r="GY52" t="e">
        <f>'All regions'!H1396+"$F;@!$bk"</f>
        <v>#VALUE!</v>
      </c>
      <c r="GZ52" t="e">
        <f>'All regions'!I1396+"$F;@!$bl"</f>
        <v>#VALUE!</v>
      </c>
      <c r="HA52" t="e">
        <f>'All regions'!A1397+"$F;@!$bm"</f>
        <v>#VALUE!</v>
      </c>
      <c r="HB52" t="e">
        <f>'All regions'!B1397+"$F;@!$bn"</f>
        <v>#VALUE!</v>
      </c>
      <c r="HC52" t="e">
        <f>'All regions'!C1397+"$F;@!$bo"</f>
        <v>#VALUE!</v>
      </c>
      <c r="HD52" t="e">
        <f>'All regions'!D1397+"$F;@!$bp"</f>
        <v>#VALUE!</v>
      </c>
      <c r="HE52" t="e">
        <f>'All regions'!E1397+"$F;@!$bq"</f>
        <v>#VALUE!</v>
      </c>
      <c r="HF52" t="e">
        <f>'All regions'!F1397+"$F;@!$br"</f>
        <v>#VALUE!</v>
      </c>
      <c r="HG52" t="e">
        <f>'All regions'!G1397+"$F;@!$bs"</f>
        <v>#VALUE!</v>
      </c>
      <c r="HH52" t="e">
        <f>'All regions'!H1397+"$F;@!$bt"</f>
        <v>#VALUE!</v>
      </c>
      <c r="HI52" t="e">
        <f>'All regions'!I1397+"$F;@!$bu"</f>
        <v>#VALUE!</v>
      </c>
      <c r="HJ52" t="e">
        <f>'All regions'!A1398+"$F;@!$bv"</f>
        <v>#VALUE!</v>
      </c>
      <c r="HK52" t="e">
        <f>'All regions'!B1398+"$F;@!$bw"</f>
        <v>#VALUE!</v>
      </c>
      <c r="HL52" t="e">
        <f>'All regions'!C1398+"$F;@!$bx"</f>
        <v>#VALUE!</v>
      </c>
      <c r="HM52" t="e">
        <f>'All regions'!D1398+"$F;@!$by"</f>
        <v>#VALUE!</v>
      </c>
      <c r="HN52" t="e">
        <f>'All regions'!E1398+"$F;@!$bz"</f>
        <v>#VALUE!</v>
      </c>
      <c r="HO52" t="e">
        <f>'All regions'!F1398+"$F;@!$b{"</f>
        <v>#VALUE!</v>
      </c>
      <c r="HP52" t="e">
        <f>'All regions'!G1398+"$F;@!$b|"</f>
        <v>#VALUE!</v>
      </c>
      <c r="HQ52" t="e">
        <f>'All regions'!H1398+"$F;@!$b}"</f>
        <v>#VALUE!</v>
      </c>
      <c r="HR52" t="e">
        <f>'All regions'!I1398+"$F;@!$b~"</f>
        <v>#VALUE!</v>
      </c>
      <c r="HS52" t="e">
        <f>'All regions'!A1399+"$F;@!$c#"</f>
        <v>#VALUE!</v>
      </c>
      <c r="HT52" t="e">
        <f>'All regions'!B1399+"$F;@!$c$"</f>
        <v>#VALUE!</v>
      </c>
      <c r="HU52" t="e">
        <f>'All regions'!C1399+"$F;@!$c%"</f>
        <v>#VALUE!</v>
      </c>
      <c r="HV52" t="e">
        <f>'All regions'!D1399+"$F;@!$c&amp;"</f>
        <v>#VALUE!</v>
      </c>
      <c r="HW52" t="e">
        <f>'All regions'!E1399+"$F;@!$c'"</f>
        <v>#VALUE!</v>
      </c>
      <c r="HX52" t="e">
        <f>'All regions'!F1399+"$F;@!$c("</f>
        <v>#VALUE!</v>
      </c>
      <c r="HY52" t="e">
        <f>'All regions'!G1399+"$F;@!$c)"</f>
        <v>#VALUE!</v>
      </c>
      <c r="HZ52" t="e">
        <f>'All regions'!H1399+"$F;@!$c."</f>
        <v>#VALUE!</v>
      </c>
      <c r="IA52" t="e">
        <f>'All regions'!I1399+"$F;@!$c/"</f>
        <v>#VALUE!</v>
      </c>
      <c r="IB52" t="e">
        <f>'All regions'!A1400+"$F;@!$c0"</f>
        <v>#VALUE!</v>
      </c>
      <c r="IC52" t="e">
        <f>'All regions'!B1400+"$F;@!$c1"</f>
        <v>#VALUE!</v>
      </c>
      <c r="ID52" t="e">
        <f>'All regions'!C1400+"$F;@!$c2"</f>
        <v>#VALUE!</v>
      </c>
      <c r="IE52" t="e">
        <f>'All regions'!D1400+"$F;@!$c3"</f>
        <v>#VALUE!</v>
      </c>
      <c r="IF52" t="e">
        <f>'All regions'!E1400+"$F;@!$c4"</f>
        <v>#VALUE!</v>
      </c>
      <c r="IG52" t="e">
        <f>'All regions'!F1400+"$F;@!$c5"</f>
        <v>#VALUE!</v>
      </c>
      <c r="IH52" t="e">
        <f>'All regions'!G1400+"$F;@!$c6"</f>
        <v>#VALUE!</v>
      </c>
      <c r="II52" t="e">
        <f>'All regions'!H1400+"$F;@!$c7"</f>
        <v>#VALUE!</v>
      </c>
      <c r="IJ52" t="e">
        <f>'All regions'!I1400+"$F;@!$c8"</f>
        <v>#VALUE!</v>
      </c>
      <c r="IK52" t="e">
        <f>'All regions'!A1401+"$F;@!$c9"</f>
        <v>#VALUE!</v>
      </c>
      <c r="IL52" t="e">
        <f>'All regions'!B1401+"$F;@!$c:"</f>
        <v>#VALUE!</v>
      </c>
      <c r="IM52" t="e">
        <f>'All regions'!C1401+"$F;@!$c;"</f>
        <v>#VALUE!</v>
      </c>
      <c r="IN52" t="e">
        <f>'All regions'!D1401+"$F;@!$c&lt;"</f>
        <v>#VALUE!</v>
      </c>
      <c r="IO52" t="e">
        <f>'All regions'!E1401+"$F;@!$c="</f>
        <v>#VALUE!</v>
      </c>
      <c r="IP52" t="e">
        <f>'All regions'!F1401+"$F;@!$c&gt;"</f>
        <v>#VALUE!</v>
      </c>
      <c r="IQ52" t="e">
        <f>'All regions'!G1401+"$F;@!$c?"</f>
        <v>#VALUE!</v>
      </c>
      <c r="IR52" t="e">
        <f>'All regions'!H1401+"$F;@!$c@"</f>
        <v>#VALUE!</v>
      </c>
      <c r="IS52" t="e">
        <f>'All regions'!I1401+"$F;@!$cA"</f>
        <v>#VALUE!</v>
      </c>
      <c r="IT52" t="e">
        <f>'All regions'!A1402+"$F;@!$cB"</f>
        <v>#VALUE!</v>
      </c>
      <c r="IU52" t="e">
        <f>'All regions'!B1402+"$F;@!$cC"</f>
        <v>#VALUE!</v>
      </c>
      <c r="IV52" t="e">
        <f>'All regions'!C1402+"$F;@!$cD"</f>
        <v>#VALUE!</v>
      </c>
    </row>
    <row r="53" spans="6:256" x14ac:dyDescent="0.35">
      <c r="F53" t="e">
        <f>'All regions'!D1402+"$F;@!$cE"</f>
        <v>#VALUE!</v>
      </c>
      <c r="G53" t="e">
        <f>'All regions'!E1402+"$F;@!$cF"</f>
        <v>#VALUE!</v>
      </c>
      <c r="H53" t="e">
        <f>'All regions'!F1402+"$F;@!$cG"</f>
        <v>#VALUE!</v>
      </c>
      <c r="I53" t="e">
        <f>'All regions'!G1402+"$F;@!$cH"</f>
        <v>#VALUE!</v>
      </c>
      <c r="J53" t="e">
        <f>'All regions'!H1402+"$F;@!$cI"</f>
        <v>#VALUE!</v>
      </c>
      <c r="K53" t="e">
        <f>'All regions'!I1402+"$F;@!$cJ"</f>
        <v>#VALUE!</v>
      </c>
      <c r="L53" t="e">
        <f>'All regions'!A1403+"$F;@!$cK"</f>
        <v>#VALUE!</v>
      </c>
      <c r="M53" t="e">
        <f>'All regions'!B1403+"$F;@!$cL"</f>
        <v>#VALUE!</v>
      </c>
      <c r="N53" t="e">
        <f>'All regions'!C1403+"$F;@!$cM"</f>
        <v>#VALUE!</v>
      </c>
      <c r="O53" t="e">
        <f>'All regions'!D1403+"$F;@!$cN"</f>
        <v>#VALUE!</v>
      </c>
      <c r="P53" t="e">
        <f>'All regions'!E1403+"$F;@!$cO"</f>
        <v>#VALUE!</v>
      </c>
      <c r="Q53" t="e">
        <f>'All regions'!F1403+"$F;@!$cP"</f>
        <v>#VALUE!</v>
      </c>
      <c r="R53" t="e">
        <f>'All regions'!G1403+"$F;@!$cQ"</f>
        <v>#VALUE!</v>
      </c>
      <c r="S53" t="e">
        <f>'All regions'!H1403+"$F;@!$cR"</f>
        <v>#VALUE!</v>
      </c>
      <c r="T53" t="e">
        <f>'All regions'!I1403+"$F;@!$cS"</f>
        <v>#VALUE!</v>
      </c>
      <c r="U53" t="e">
        <f>'All regions'!A1404+"$F;@!$cT"</f>
        <v>#VALUE!</v>
      </c>
      <c r="V53" t="e">
        <f>'All regions'!B1404+"$F;@!$cU"</f>
        <v>#VALUE!</v>
      </c>
      <c r="W53" t="e">
        <f>'All regions'!C1404+"$F;@!$cV"</f>
        <v>#VALUE!</v>
      </c>
      <c r="X53" t="e">
        <f>'All regions'!D1404+"$F;@!$cW"</f>
        <v>#VALUE!</v>
      </c>
      <c r="Y53" t="e">
        <f>'All regions'!E1404+"$F;@!$cX"</f>
        <v>#VALUE!</v>
      </c>
      <c r="Z53" t="e">
        <f>'All regions'!F1404+"$F;@!$cY"</f>
        <v>#VALUE!</v>
      </c>
      <c r="AA53" t="e">
        <f>'All regions'!G1404+"$F;@!$cZ"</f>
        <v>#VALUE!</v>
      </c>
      <c r="AB53" t="e">
        <f>'All regions'!H1404+"$F;@!$c["</f>
        <v>#VALUE!</v>
      </c>
      <c r="AC53" t="e">
        <f>'All regions'!I1404+"$F;@!$c\"</f>
        <v>#VALUE!</v>
      </c>
      <c r="AD53" t="e">
        <f>'All regions'!A1405+"$F;@!$c]"</f>
        <v>#VALUE!</v>
      </c>
      <c r="AE53" t="e">
        <f>'All regions'!B1405+"$F;@!$c^"</f>
        <v>#VALUE!</v>
      </c>
      <c r="AF53" t="e">
        <f>'All regions'!C1405+"$F;@!$c_"</f>
        <v>#VALUE!</v>
      </c>
      <c r="AG53" t="e">
        <f>'All regions'!D1405+"$F;@!$c`"</f>
        <v>#VALUE!</v>
      </c>
      <c r="AH53" t="e">
        <f>'All regions'!E1405+"$F;@!$ca"</f>
        <v>#VALUE!</v>
      </c>
      <c r="AI53" t="e">
        <f>'All regions'!F1405+"$F;@!$cb"</f>
        <v>#VALUE!</v>
      </c>
      <c r="AJ53" t="e">
        <f>'All regions'!G1405+"$F;@!$cc"</f>
        <v>#VALUE!</v>
      </c>
      <c r="AK53" t="e">
        <f>'All regions'!H1405+"$F;@!$cd"</f>
        <v>#VALUE!</v>
      </c>
      <c r="AL53" t="e">
        <f>'All regions'!I1405+"$F;@!$ce"</f>
        <v>#VALUE!</v>
      </c>
      <c r="AM53" t="e">
        <f>'All regions'!A1406+"$F;@!$cf"</f>
        <v>#VALUE!</v>
      </c>
      <c r="AN53" t="e">
        <f>'All regions'!B1406+"$F;@!$cg"</f>
        <v>#VALUE!</v>
      </c>
      <c r="AO53" t="e">
        <f>'All regions'!C1406+"$F;@!$ch"</f>
        <v>#VALUE!</v>
      </c>
      <c r="AP53" t="e">
        <f>'All regions'!D1406+"$F;@!$ci"</f>
        <v>#VALUE!</v>
      </c>
      <c r="AQ53" t="e">
        <f>'All regions'!E1406+"$F;@!$cj"</f>
        <v>#VALUE!</v>
      </c>
      <c r="AR53" t="e">
        <f>'All regions'!F1406+"$F;@!$ck"</f>
        <v>#VALUE!</v>
      </c>
      <c r="AS53" t="e">
        <f>'All regions'!G1406+"$F;@!$cl"</f>
        <v>#VALUE!</v>
      </c>
      <c r="AT53" t="e">
        <f>'All regions'!H1406+"$F;@!$cm"</f>
        <v>#VALUE!</v>
      </c>
      <c r="AU53" t="e">
        <f>'All regions'!I1406+"$F;@!$cn"</f>
        <v>#VALUE!</v>
      </c>
      <c r="AV53" t="e">
        <f>'All regions'!A1407+"$F;@!$co"</f>
        <v>#VALUE!</v>
      </c>
      <c r="AW53" t="e">
        <f>'All regions'!B1407+"$F;@!$cp"</f>
        <v>#VALUE!</v>
      </c>
      <c r="AX53" t="e">
        <f>'All regions'!C1407+"$F;@!$cq"</f>
        <v>#VALUE!</v>
      </c>
      <c r="AY53" t="e">
        <f>'All regions'!D1407+"$F;@!$cr"</f>
        <v>#VALUE!</v>
      </c>
      <c r="AZ53" t="e">
        <f>'All regions'!E1407+"$F;@!$cs"</f>
        <v>#VALUE!</v>
      </c>
      <c r="BA53" t="e">
        <f>'All regions'!F1407+"$F;@!$ct"</f>
        <v>#VALUE!</v>
      </c>
      <c r="BB53" t="e">
        <f>'All regions'!G1407+"$F;@!$cu"</f>
        <v>#VALUE!</v>
      </c>
      <c r="BC53" t="e">
        <f>'All regions'!H1407+"$F;@!$cv"</f>
        <v>#VALUE!</v>
      </c>
      <c r="BD53" t="e">
        <f>'All regions'!I1407+"$F;@!$cw"</f>
        <v>#VALUE!</v>
      </c>
      <c r="BE53" t="e">
        <f>'All regions'!A1408+"$F;@!$cx"</f>
        <v>#VALUE!</v>
      </c>
      <c r="BF53" t="e">
        <f>'All regions'!B1408+"$F;@!$cy"</f>
        <v>#VALUE!</v>
      </c>
      <c r="BG53" t="e">
        <f>'All regions'!C1408+"$F;@!$cz"</f>
        <v>#VALUE!</v>
      </c>
      <c r="BH53" t="e">
        <f>'All regions'!D1408+"$F;@!$c{"</f>
        <v>#VALUE!</v>
      </c>
      <c r="BI53" t="e">
        <f>'All regions'!E1408+"$F;@!$c|"</f>
        <v>#VALUE!</v>
      </c>
      <c r="BJ53" t="e">
        <f>'All regions'!F1408+"$F;@!$c}"</f>
        <v>#VALUE!</v>
      </c>
      <c r="BK53" t="e">
        <f>'All regions'!G1408+"$F;@!$c~"</f>
        <v>#VALUE!</v>
      </c>
      <c r="BL53" t="e">
        <f>'All regions'!H1408+"$F;@!$d#"</f>
        <v>#VALUE!</v>
      </c>
      <c r="BM53" t="e">
        <f>'All regions'!I1408+"$F;@!$d$"</f>
        <v>#VALUE!</v>
      </c>
      <c r="BN53" t="e">
        <f>'All regions'!A1409+"$F;@!$d%"</f>
        <v>#VALUE!</v>
      </c>
      <c r="BO53" t="e">
        <f>'All regions'!B1409+"$F;@!$d&amp;"</f>
        <v>#VALUE!</v>
      </c>
      <c r="BP53" t="e">
        <f>'All regions'!C1409+"$F;@!$d'"</f>
        <v>#VALUE!</v>
      </c>
      <c r="BQ53" t="e">
        <f>'All regions'!D1409+"$F;@!$d("</f>
        <v>#VALUE!</v>
      </c>
      <c r="BR53" t="e">
        <f>'All regions'!E1409+"$F;@!$d)"</f>
        <v>#VALUE!</v>
      </c>
      <c r="BS53" t="e">
        <f>'All regions'!F1409+"$F;@!$d."</f>
        <v>#VALUE!</v>
      </c>
      <c r="BT53" t="e">
        <f>'All regions'!G1409+"$F;@!$d/"</f>
        <v>#VALUE!</v>
      </c>
      <c r="BU53" t="e">
        <f>'All regions'!H1409+"$F;@!$d0"</f>
        <v>#VALUE!</v>
      </c>
      <c r="BV53" t="e">
        <f>'All regions'!I1409+"$F;@!$d1"</f>
        <v>#VALUE!</v>
      </c>
      <c r="BW53" t="e">
        <f>'All regions'!A1410+"$F;@!$d2"</f>
        <v>#VALUE!</v>
      </c>
      <c r="BX53" t="e">
        <f>'All regions'!B1410+"$F;@!$d3"</f>
        <v>#VALUE!</v>
      </c>
      <c r="BY53" t="e">
        <f>'All regions'!C1410+"$F;@!$d4"</f>
        <v>#VALUE!</v>
      </c>
      <c r="BZ53" t="e">
        <f>'All regions'!D1410+"$F;@!$d5"</f>
        <v>#VALUE!</v>
      </c>
      <c r="CA53" t="e">
        <f>'All regions'!E1410+"$F;@!$d6"</f>
        <v>#VALUE!</v>
      </c>
      <c r="CB53" t="e">
        <f>'All regions'!F1410+"$F;@!$d7"</f>
        <v>#VALUE!</v>
      </c>
      <c r="CC53" t="e">
        <f>'All regions'!G1410+"$F;@!$d8"</f>
        <v>#VALUE!</v>
      </c>
      <c r="CD53" t="e">
        <f>'All regions'!H1410+"$F;@!$d9"</f>
        <v>#VALUE!</v>
      </c>
      <c r="CE53" t="e">
        <f>'All regions'!I1410+"$F;@!$d:"</f>
        <v>#VALUE!</v>
      </c>
      <c r="CF53" t="e">
        <f>'All regions'!A1411+"$F;@!$d;"</f>
        <v>#VALUE!</v>
      </c>
      <c r="CG53" t="e">
        <f>'All regions'!B1411+"$F;@!$d&lt;"</f>
        <v>#VALUE!</v>
      </c>
      <c r="CH53" t="e">
        <f>'All regions'!C1411+"$F;@!$d="</f>
        <v>#VALUE!</v>
      </c>
      <c r="CI53" t="e">
        <f>'All regions'!D1411+"$F;@!$d&gt;"</f>
        <v>#VALUE!</v>
      </c>
      <c r="CJ53" t="e">
        <f>'All regions'!E1411+"$F;@!$d?"</f>
        <v>#VALUE!</v>
      </c>
      <c r="CK53" t="e">
        <f>'All regions'!F1411+"$F;@!$d@"</f>
        <v>#VALUE!</v>
      </c>
      <c r="CL53" t="e">
        <f>'All regions'!G1411+"$F;@!$dA"</f>
        <v>#VALUE!</v>
      </c>
      <c r="CM53" t="e">
        <f>'All regions'!H1411+"$F;@!$dB"</f>
        <v>#VALUE!</v>
      </c>
      <c r="CN53" t="e">
        <f>'All regions'!I1411+"$F;@!$dC"</f>
        <v>#VALUE!</v>
      </c>
      <c r="CO53" t="e">
        <f>'All regions'!A1412+"$F;@!$dD"</f>
        <v>#VALUE!</v>
      </c>
      <c r="CP53" t="e">
        <f>'All regions'!B1412+"$F;@!$dE"</f>
        <v>#VALUE!</v>
      </c>
      <c r="CQ53" t="e">
        <f>'All regions'!C1412+"$F;@!$dF"</f>
        <v>#VALUE!</v>
      </c>
      <c r="CR53" t="e">
        <f>'All regions'!D1412+"$F;@!$dG"</f>
        <v>#VALUE!</v>
      </c>
      <c r="CS53" t="e">
        <f>'All regions'!E1412+"$F;@!$dH"</f>
        <v>#VALUE!</v>
      </c>
      <c r="CT53" t="e">
        <f>'All regions'!F1412+"$F;@!$dI"</f>
        <v>#VALUE!</v>
      </c>
      <c r="CU53" t="e">
        <f>'All regions'!G1412+"$F;@!$dJ"</f>
        <v>#VALUE!</v>
      </c>
      <c r="CV53" t="e">
        <f>'All regions'!H1412+"$F;@!$dK"</f>
        <v>#VALUE!</v>
      </c>
      <c r="CW53" t="e">
        <f>'All regions'!I1412+"$F;@!$dL"</f>
        <v>#VALUE!</v>
      </c>
      <c r="CX53" t="e">
        <f>'All regions'!A1413+"$F;@!$dM"</f>
        <v>#VALUE!</v>
      </c>
      <c r="CY53" t="e">
        <f>'All regions'!B1413+"$F;@!$dN"</f>
        <v>#VALUE!</v>
      </c>
      <c r="CZ53" t="e">
        <f>'All regions'!C1413+"$F;@!$dO"</f>
        <v>#VALUE!</v>
      </c>
      <c r="DA53" t="e">
        <f>'All regions'!D1413+"$F;@!$dP"</f>
        <v>#VALUE!</v>
      </c>
      <c r="DB53" t="e">
        <f>'All regions'!E1413+"$F;@!$dQ"</f>
        <v>#VALUE!</v>
      </c>
      <c r="DC53" t="e">
        <f>'All regions'!F1413+"$F;@!$dR"</f>
        <v>#VALUE!</v>
      </c>
      <c r="DD53" t="e">
        <f>'All regions'!G1413+"$F;@!$dS"</f>
        <v>#VALUE!</v>
      </c>
      <c r="DE53" t="e">
        <f>'All regions'!H1413+"$F;@!$dT"</f>
        <v>#VALUE!</v>
      </c>
      <c r="DF53" t="e">
        <f>'All regions'!I1413+"$F;@!$dU"</f>
        <v>#VALUE!</v>
      </c>
      <c r="DG53" t="e">
        <f>'All regions'!A1414+"$F;@!$dV"</f>
        <v>#VALUE!</v>
      </c>
      <c r="DH53" t="e">
        <f>'All regions'!B1414+"$F;@!$dW"</f>
        <v>#VALUE!</v>
      </c>
      <c r="DI53" t="e">
        <f>'All regions'!C1414+"$F;@!$dX"</f>
        <v>#VALUE!</v>
      </c>
      <c r="DJ53" t="e">
        <f>'All regions'!D1414+"$F;@!$dY"</f>
        <v>#VALUE!</v>
      </c>
      <c r="DK53" t="e">
        <f>'All regions'!E1414+"$F;@!$dZ"</f>
        <v>#VALUE!</v>
      </c>
      <c r="DL53" t="e">
        <f>'All regions'!F1414+"$F;@!$d["</f>
        <v>#VALUE!</v>
      </c>
      <c r="DM53" t="e">
        <f>'All regions'!G1414+"$F;@!$d\"</f>
        <v>#VALUE!</v>
      </c>
      <c r="DN53" t="e">
        <f>'All regions'!H1414+"$F;@!$d]"</f>
        <v>#VALUE!</v>
      </c>
      <c r="DO53" t="e">
        <f>'All regions'!I1414+"$F;@!$d^"</f>
        <v>#VALUE!</v>
      </c>
      <c r="DP53" t="e">
        <f>'All regions'!A1415+"$F;@!$d_"</f>
        <v>#VALUE!</v>
      </c>
      <c r="DQ53" t="e">
        <f>'All regions'!B1415+"$F;@!$d`"</f>
        <v>#VALUE!</v>
      </c>
      <c r="DR53" t="e">
        <f>'All regions'!C1415+"$F;@!$da"</f>
        <v>#VALUE!</v>
      </c>
      <c r="DS53" t="e">
        <f>'All regions'!D1415+"$F;@!$db"</f>
        <v>#VALUE!</v>
      </c>
      <c r="DT53" t="e">
        <f>'All regions'!E1415+"$F;@!$dc"</f>
        <v>#VALUE!</v>
      </c>
      <c r="DU53" t="e">
        <f>'All regions'!F1415+"$F;@!$dd"</f>
        <v>#VALUE!</v>
      </c>
      <c r="DV53" t="e">
        <f>'All regions'!G1415+"$F;@!$de"</f>
        <v>#VALUE!</v>
      </c>
      <c r="DW53" t="e">
        <f>'All regions'!H1415+"$F;@!$df"</f>
        <v>#VALUE!</v>
      </c>
      <c r="DX53" t="e">
        <f>'All regions'!I1415+"$F;@!$dg"</f>
        <v>#VALUE!</v>
      </c>
      <c r="DY53" t="e">
        <f>'All regions'!A1416+"$F;@!$dh"</f>
        <v>#VALUE!</v>
      </c>
      <c r="DZ53" t="e">
        <f>'All regions'!B1416+"$F;@!$di"</f>
        <v>#VALUE!</v>
      </c>
      <c r="EA53" t="e">
        <f>'All regions'!C1416+"$F;@!$dj"</f>
        <v>#VALUE!</v>
      </c>
      <c r="EB53" t="e">
        <f>'All regions'!D1416+"$F;@!$dk"</f>
        <v>#VALUE!</v>
      </c>
      <c r="EC53" t="e">
        <f>'All regions'!E1416+"$F;@!$dl"</f>
        <v>#VALUE!</v>
      </c>
      <c r="ED53" t="e">
        <f>'All regions'!F1416+"$F;@!$dm"</f>
        <v>#VALUE!</v>
      </c>
      <c r="EE53" t="e">
        <f>'All regions'!G1416+"$F;@!$dn"</f>
        <v>#VALUE!</v>
      </c>
      <c r="EF53" t="e">
        <f>'All regions'!H1416+"$F;@!$do"</f>
        <v>#VALUE!</v>
      </c>
      <c r="EG53" t="e">
        <f>'All regions'!I1416+"$F;@!$dp"</f>
        <v>#VALUE!</v>
      </c>
      <c r="EH53" t="e">
        <f>'All regions'!A1417+"$F;@!$dq"</f>
        <v>#VALUE!</v>
      </c>
      <c r="EI53" t="e">
        <f>'All regions'!B1417+"$F;@!$dr"</f>
        <v>#VALUE!</v>
      </c>
      <c r="EJ53" t="e">
        <f>'All regions'!C1417+"$F;@!$ds"</f>
        <v>#VALUE!</v>
      </c>
      <c r="EK53" t="e">
        <f>'All regions'!D1417+"$F;@!$dt"</f>
        <v>#VALUE!</v>
      </c>
      <c r="EL53" t="e">
        <f>'All regions'!E1417+"$F;@!$du"</f>
        <v>#VALUE!</v>
      </c>
      <c r="EM53" t="e">
        <f>'All regions'!F1417+"$F;@!$dv"</f>
        <v>#VALUE!</v>
      </c>
      <c r="EN53" t="e">
        <f>'All regions'!G1417+"$F;@!$dw"</f>
        <v>#VALUE!</v>
      </c>
      <c r="EO53" t="e">
        <f>'All regions'!H1417+"$F;@!$dx"</f>
        <v>#VALUE!</v>
      </c>
      <c r="EP53" t="e">
        <f>'All regions'!I1417+"$F;@!$dy"</f>
        <v>#VALUE!</v>
      </c>
      <c r="EQ53" t="e">
        <f>'All regions'!A1418+"$F;@!$dz"</f>
        <v>#VALUE!</v>
      </c>
      <c r="ER53" t="e">
        <f>'All regions'!B1418+"$F;@!$d{"</f>
        <v>#VALUE!</v>
      </c>
      <c r="ES53" t="e">
        <f>'All regions'!C1418+"$F;@!$d|"</f>
        <v>#VALUE!</v>
      </c>
      <c r="ET53" t="e">
        <f>'All regions'!D1418+"$F;@!$d}"</f>
        <v>#VALUE!</v>
      </c>
      <c r="EU53" t="e">
        <f>'All regions'!E1418+"$F;@!$d~"</f>
        <v>#VALUE!</v>
      </c>
      <c r="EV53" t="e">
        <f>'All regions'!F1418+"$F;@!$e#"</f>
        <v>#VALUE!</v>
      </c>
      <c r="EW53" t="e">
        <f>'All regions'!G1418+"$F;@!$e$"</f>
        <v>#VALUE!</v>
      </c>
      <c r="EX53" t="e">
        <f>'All regions'!H1418+"$F;@!$e%"</f>
        <v>#VALUE!</v>
      </c>
      <c r="EY53" t="e">
        <f>'All regions'!I1418+"$F;@!$e&amp;"</f>
        <v>#VALUE!</v>
      </c>
      <c r="EZ53" t="e">
        <f>'All regions'!A1419+"$F;@!$e'"</f>
        <v>#VALUE!</v>
      </c>
      <c r="FA53" t="e">
        <f>'All regions'!B1419+"$F;@!$e("</f>
        <v>#VALUE!</v>
      </c>
      <c r="FB53" t="e">
        <f>'All regions'!C1419+"$F;@!$e)"</f>
        <v>#VALUE!</v>
      </c>
      <c r="FC53" t="e">
        <f>'All regions'!D1419+"$F;@!$e."</f>
        <v>#VALUE!</v>
      </c>
      <c r="FD53" t="e">
        <f>'All regions'!E1419+"$F;@!$e/"</f>
        <v>#VALUE!</v>
      </c>
      <c r="FE53" t="e">
        <f>'All regions'!F1419+"$F;@!$e0"</f>
        <v>#VALUE!</v>
      </c>
      <c r="FF53" t="e">
        <f>'All regions'!G1419+"$F;@!$e1"</f>
        <v>#VALUE!</v>
      </c>
      <c r="FG53" t="e">
        <f>'All regions'!H1419+"$F;@!$e2"</f>
        <v>#VALUE!</v>
      </c>
      <c r="FH53" t="e">
        <f>'All regions'!I1419+"$F;@!$e3"</f>
        <v>#VALUE!</v>
      </c>
      <c r="FI53" t="e">
        <f>'All regions'!A1420+"$F;@!$e4"</f>
        <v>#VALUE!</v>
      </c>
      <c r="FJ53" t="e">
        <f>'All regions'!B1420+"$F;@!$e5"</f>
        <v>#VALUE!</v>
      </c>
      <c r="FK53" t="e">
        <f>'All regions'!C1420+"$F;@!$e6"</f>
        <v>#VALUE!</v>
      </c>
      <c r="FL53" t="e">
        <f>'All regions'!D1420+"$F;@!$e7"</f>
        <v>#VALUE!</v>
      </c>
      <c r="FM53" t="e">
        <f>'All regions'!E1420+"$F;@!$e8"</f>
        <v>#VALUE!</v>
      </c>
      <c r="FN53" t="e">
        <f>'All regions'!F1420+"$F;@!$e9"</f>
        <v>#VALUE!</v>
      </c>
      <c r="FO53" t="e">
        <f>'All regions'!G1420+"$F;@!$e:"</f>
        <v>#VALUE!</v>
      </c>
      <c r="FP53" t="e">
        <f>'All regions'!H1420+"$F;@!$e;"</f>
        <v>#VALUE!</v>
      </c>
      <c r="FQ53" t="e">
        <f>'All regions'!I1420+"$F;@!$e&lt;"</f>
        <v>#VALUE!</v>
      </c>
      <c r="FR53" t="e">
        <f>'All regions'!A1421+"$F;@!$e="</f>
        <v>#VALUE!</v>
      </c>
      <c r="FS53" t="e">
        <f>'All regions'!B1421+"$F;@!$e&gt;"</f>
        <v>#VALUE!</v>
      </c>
      <c r="FT53" t="e">
        <f>'All regions'!C1421+"$F;@!$e?"</f>
        <v>#VALUE!</v>
      </c>
      <c r="FU53" t="e">
        <f>'All regions'!D1421+"$F;@!$e@"</f>
        <v>#VALUE!</v>
      </c>
      <c r="FV53" t="e">
        <f>'All regions'!E1421+"$F;@!$eA"</f>
        <v>#VALUE!</v>
      </c>
      <c r="FW53" t="e">
        <f>'All regions'!F1421+"$F;@!$eB"</f>
        <v>#VALUE!</v>
      </c>
      <c r="FX53" t="e">
        <f>'All regions'!G1421+"$F;@!$eC"</f>
        <v>#VALUE!</v>
      </c>
      <c r="FY53" t="e">
        <f>'All regions'!H1421+"$F;@!$eD"</f>
        <v>#VALUE!</v>
      </c>
      <c r="FZ53" t="e">
        <f>'All regions'!I1421+"$F;@!$eE"</f>
        <v>#VALUE!</v>
      </c>
      <c r="GA53" t="e">
        <f>'All regions'!A1422+"$F;@!$eF"</f>
        <v>#VALUE!</v>
      </c>
      <c r="GB53" t="e">
        <f>'All regions'!B1422+"$F;@!$eG"</f>
        <v>#VALUE!</v>
      </c>
      <c r="GC53" t="e">
        <f>'All regions'!C1422+"$F;@!$eH"</f>
        <v>#VALUE!</v>
      </c>
      <c r="GD53" t="e">
        <f>'All regions'!D1422+"$F;@!$eI"</f>
        <v>#VALUE!</v>
      </c>
      <c r="GE53" t="e">
        <f>'All regions'!E1422+"$F;@!$eJ"</f>
        <v>#VALUE!</v>
      </c>
      <c r="GF53" t="e">
        <f>'All regions'!F1422+"$F;@!$eK"</f>
        <v>#VALUE!</v>
      </c>
      <c r="GG53" t="e">
        <f>'All regions'!G1422+"$F;@!$eL"</f>
        <v>#VALUE!</v>
      </c>
      <c r="GH53" t="e">
        <f>'All regions'!H1422+"$F;@!$eM"</f>
        <v>#VALUE!</v>
      </c>
      <c r="GI53" t="e">
        <f>'All regions'!I1422+"$F;@!$eN"</f>
        <v>#VALUE!</v>
      </c>
      <c r="GJ53" t="e">
        <f>'All regions'!A1423+"$F;@!$eO"</f>
        <v>#VALUE!</v>
      </c>
      <c r="GK53" t="e">
        <f>'All regions'!B1423+"$F;@!$eP"</f>
        <v>#VALUE!</v>
      </c>
      <c r="GL53" t="e">
        <f>'All regions'!C1423+"$F;@!$eQ"</f>
        <v>#VALUE!</v>
      </c>
      <c r="GM53" t="e">
        <f>'All regions'!D1423+"$F;@!$eR"</f>
        <v>#VALUE!</v>
      </c>
      <c r="GN53" t="e">
        <f>'All regions'!E1423+"$F;@!$eS"</f>
        <v>#VALUE!</v>
      </c>
      <c r="GO53" t="e">
        <f>'All regions'!F1423+"$F;@!$eT"</f>
        <v>#VALUE!</v>
      </c>
      <c r="GP53" t="e">
        <f>'All regions'!G1423+"$F;@!$eU"</f>
        <v>#VALUE!</v>
      </c>
      <c r="GQ53" t="e">
        <f>'All regions'!H1423+"$F;@!$eV"</f>
        <v>#VALUE!</v>
      </c>
      <c r="GR53" t="e">
        <f>'All regions'!I1423+"$F;@!$eW"</f>
        <v>#VALUE!</v>
      </c>
      <c r="GS53" t="e">
        <f>'All regions'!A1424+"$F;@!$eX"</f>
        <v>#VALUE!</v>
      </c>
      <c r="GT53" t="e">
        <f>'All regions'!B1424+"$F;@!$eY"</f>
        <v>#VALUE!</v>
      </c>
      <c r="GU53" t="e">
        <f>'All regions'!C1424+"$F;@!$eZ"</f>
        <v>#VALUE!</v>
      </c>
      <c r="GV53" t="e">
        <f>'All regions'!D1424+"$F;@!$e["</f>
        <v>#VALUE!</v>
      </c>
      <c r="GW53" t="e">
        <f>'All regions'!E1424+"$F;@!$e\"</f>
        <v>#VALUE!</v>
      </c>
      <c r="GX53" t="e">
        <f>'All regions'!F1424+"$F;@!$e]"</f>
        <v>#VALUE!</v>
      </c>
      <c r="GY53" t="e">
        <f>'All regions'!G1424+"$F;@!$e^"</f>
        <v>#VALUE!</v>
      </c>
      <c r="GZ53" t="e">
        <f>'All regions'!H1424+"$F;@!$e_"</f>
        <v>#VALUE!</v>
      </c>
      <c r="HA53" t="e">
        <f>'All regions'!I1424+"$F;@!$e`"</f>
        <v>#VALUE!</v>
      </c>
      <c r="HB53" t="e">
        <f>'All regions'!A1425+"$F;@!$ea"</f>
        <v>#VALUE!</v>
      </c>
      <c r="HC53" t="e">
        <f>'All regions'!B1425+"$F;@!$eb"</f>
        <v>#VALUE!</v>
      </c>
      <c r="HD53" t="e">
        <f>'All regions'!C1425+"$F;@!$ec"</f>
        <v>#VALUE!</v>
      </c>
      <c r="HE53" t="e">
        <f>'All regions'!D1425+"$F;@!$ed"</f>
        <v>#VALUE!</v>
      </c>
      <c r="HF53" t="e">
        <f>'All regions'!E1425+"$F;@!$ee"</f>
        <v>#VALUE!</v>
      </c>
      <c r="HG53" t="e">
        <f>'All regions'!F1425+"$F;@!$ef"</f>
        <v>#VALUE!</v>
      </c>
      <c r="HH53" t="e">
        <f>'All regions'!G1425+"$F;@!$eg"</f>
        <v>#VALUE!</v>
      </c>
      <c r="HI53" t="e">
        <f>'All regions'!H1425+"$F;@!$eh"</f>
        <v>#VALUE!</v>
      </c>
      <c r="HJ53" t="e">
        <f>'All regions'!I1425+"$F;@!$ei"</f>
        <v>#VALUE!</v>
      </c>
      <c r="HK53" t="e">
        <f>'All regions'!A1426+"$F;@!$ej"</f>
        <v>#VALUE!</v>
      </c>
      <c r="HL53" t="e">
        <f>'All regions'!B1426+"$F;@!$ek"</f>
        <v>#VALUE!</v>
      </c>
      <c r="HM53" t="e">
        <f>'All regions'!C1426+"$F;@!$el"</f>
        <v>#VALUE!</v>
      </c>
      <c r="HN53" t="e">
        <f>'All regions'!D1426+"$F;@!$em"</f>
        <v>#VALUE!</v>
      </c>
      <c r="HO53" t="e">
        <f>'All regions'!E1426+"$F;@!$en"</f>
        <v>#VALUE!</v>
      </c>
      <c r="HP53" t="e">
        <f>'All regions'!F1426+"$F;@!$eo"</f>
        <v>#VALUE!</v>
      </c>
      <c r="HQ53" t="e">
        <f>'All regions'!G1426+"$F;@!$ep"</f>
        <v>#VALUE!</v>
      </c>
      <c r="HR53" t="e">
        <f>'All regions'!H1426+"$F;@!$eq"</f>
        <v>#VALUE!</v>
      </c>
      <c r="HS53" t="e">
        <f>'All regions'!I1426+"$F;@!$er"</f>
        <v>#VALUE!</v>
      </c>
      <c r="HT53" t="e">
        <f>'All regions'!A1427+"$F;@!$es"</f>
        <v>#VALUE!</v>
      </c>
      <c r="HU53" t="e">
        <f>'All regions'!B1427+"$F;@!$et"</f>
        <v>#VALUE!</v>
      </c>
      <c r="HV53" t="e">
        <f>'All regions'!C1427+"$F;@!$eu"</f>
        <v>#VALUE!</v>
      </c>
      <c r="HW53" t="e">
        <f>'All regions'!D1427+"$F;@!$ev"</f>
        <v>#VALUE!</v>
      </c>
      <c r="HX53" t="e">
        <f>'All regions'!E1427+"$F;@!$ew"</f>
        <v>#VALUE!</v>
      </c>
      <c r="HY53" t="e">
        <f>'All regions'!F1427+"$F;@!$ex"</f>
        <v>#VALUE!</v>
      </c>
      <c r="HZ53" t="e">
        <f>'All regions'!G1427+"$F;@!$ey"</f>
        <v>#VALUE!</v>
      </c>
      <c r="IA53" t="e">
        <f>'All regions'!H1427+"$F;@!$ez"</f>
        <v>#VALUE!</v>
      </c>
      <c r="IB53" t="e">
        <f>'All regions'!I1427+"$F;@!$e{"</f>
        <v>#VALUE!</v>
      </c>
      <c r="IC53" t="e">
        <f>'All regions'!A1428+"$F;@!$e|"</f>
        <v>#VALUE!</v>
      </c>
      <c r="ID53" t="e">
        <f>'All regions'!B1428+"$F;@!$e}"</f>
        <v>#VALUE!</v>
      </c>
      <c r="IE53" t="e">
        <f>'All regions'!C1428+"$F;@!$e~"</f>
        <v>#VALUE!</v>
      </c>
      <c r="IF53" t="e">
        <f>'All regions'!D1428+"$F;@!$f#"</f>
        <v>#VALUE!</v>
      </c>
      <c r="IG53" t="e">
        <f>'All regions'!E1428+"$F;@!$f$"</f>
        <v>#VALUE!</v>
      </c>
      <c r="IH53" t="e">
        <f>'All regions'!F1428+"$F;@!$f%"</f>
        <v>#VALUE!</v>
      </c>
      <c r="II53" t="e">
        <f>'All regions'!G1428+"$F;@!$f&amp;"</f>
        <v>#VALUE!</v>
      </c>
      <c r="IJ53" t="e">
        <f>'All regions'!H1428+"$F;@!$f'"</f>
        <v>#VALUE!</v>
      </c>
      <c r="IK53" t="e">
        <f>'All regions'!I1428+"$F;@!$f("</f>
        <v>#VALUE!</v>
      </c>
      <c r="IL53" t="e">
        <f>'All regions'!A1429+"$F;@!$f)"</f>
        <v>#VALUE!</v>
      </c>
      <c r="IM53" t="e">
        <f>'All regions'!B1429+"$F;@!$f."</f>
        <v>#VALUE!</v>
      </c>
      <c r="IN53" t="e">
        <f>'All regions'!C1429+"$F;@!$f/"</f>
        <v>#VALUE!</v>
      </c>
      <c r="IO53" t="e">
        <f>'All regions'!D1429+"$F;@!$f0"</f>
        <v>#VALUE!</v>
      </c>
      <c r="IP53" t="e">
        <f>'All regions'!E1429+"$F;@!$f1"</f>
        <v>#VALUE!</v>
      </c>
      <c r="IQ53" t="e">
        <f>'All regions'!F1429+"$F;@!$f2"</f>
        <v>#VALUE!</v>
      </c>
      <c r="IR53" t="e">
        <f>'All regions'!G1429+"$F;@!$f3"</f>
        <v>#VALUE!</v>
      </c>
      <c r="IS53" t="e">
        <f>'All regions'!H1429+"$F;@!$f4"</f>
        <v>#VALUE!</v>
      </c>
      <c r="IT53" t="e">
        <f>'All regions'!I1429+"$F;@!$f5"</f>
        <v>#VALUE!</v>
      </c>
      <c r="IU53" t="e">
        <f>'All regions'!A1430+"$F;@!$f6"</f>
        <v>#VALUE!</v>
      </c>
      <c r="IV53" t="e">
        <f>'All regions'!B1430+"$F;@!$f7"</f>
        <v>#VALUE!</v>
      </c>
    </row>
    <row r="54" spans="6:256" x14ac:dyDescent="0.35">
      <c r="F54" t="e">
        <f>'All regions'!C1430+"$F;@!$f8"</f>
        <v>#VALUE!</v>
      </c>
      <c r="G54" t="e">
        <f>'All regions'!D1430+"$F;@!$f9"</f>
        <v>#VALUE!</v>
      </c>
      <c r="H54" t="e">
        <f>'All regions'!E1430+"$F;@!$f:"</f>
        <v>#VALUE!</v>
      </c>
      <c r="I54" t="e">
        <f>'All regions'!F1430+"$F;@!$f;"</f>
        <v>#VALUE!</v>
      </c>
      <c r="J54" t="e">
        <f>'All regions'!G1430+"$F;@!$f&lt;"</f>
        <v>#VALUE!</v>
      </c>
      <c r="K54" t="e">
        <f>'All regions'!H1430+"$F;@!$f="</f>
        <v>#VALUE!</v>
      </c>
      <c r="L54" t="e">
        <f>'All regions'!I1430+"$F;@!$f&gt;"</f>
        <v>#VALUE!</v>
      </c>
      <c r="M54" t="e">
        <f>'All regions'!A1431+"$F;@!$f?"</f>
        <v>#VALUE!</v>
      </c>
      <c r="N54" t="e">
        <f>'All regions'!B1431+"$F;@!$f@"</f>
        <v>#VALUE!</v>
      </c>
      <c r="O54" t="e">
        <f>'All regions'!C1431+"$F;@!$fA"</f>
        <v>#VALUE!</v>
      </c>
      <c r="P54" t="e">
        <f>'All regions'!D1431+"$F;@!$fB"</f>
        <v>#VALUE!</v>
      </c>
      <c r="Q54" t="e">
        <f>'All regions'!E1431+"$F;@!$fC"</f>
        <v>#VALUE!</v>
      </c>
      <c r="R54" t="e">
        <f>'All regions'!F1431+"$F;@!$fD"</f>
        <v>#VALUE!</v>
      </c>
      <c r="S54" t="e">
        <f>'All regions'!G1431+"$F;@!$fE"</f>
        <v>#VALUE!</v>
      </c>
      <c r="T54" t="e">
        <f>'All regions'!H1431+"$F;@!$fF"</f>
        <v>#VALUE!</v>
      </c>
      <c r="U54" t="e">
        <f>'All regions'!I1431+"$F;@!$fG"</f>
        <v>#VALUE!</v>
      </c>
      <c r="V54" t="e">
        <f>'All regions'!A1432+"$F;@!$fH"</f>
        <v>#VALUE!</v>
      </c>
      <c r="W54" t="e">
        <f>'All regions'!B1432+"$F;@!$fI"</f>
        <v>#VALUE!</v>
      </c>
      <c r="X54" t="e">
        <f>'All regions'!C1432+"$F;@!$fJ"</f>
        <v>#VALUE!</v>
      </c>
      <c r="Y54" t="e">
        <f>'All regions'!D1432+"$F;@!$fK"</f>
        <v>#VALUE!</v>
      </c>
      <c r="Z54" t="e">
        <f>'All regions'!E1432+"$F;@!$fL"</f>
        <v>#VALUE!</v>
      </c>
      <c r="AA54" t="e">
        <f>'All regions'!F1432+"$F;@!$fM"</f>
        <v>#VALUE!</v>
      </c>
      <c r="AB54" t="e">
        <f>'All regions'!G1432+"$F;@!$fN"</f>
        <v>#VALUE!</v>
      </c>
      <c r="AC54" t="e">
        <f>'All regions'!H1432+"$F;@!$fO"</f>
        <v>#VALUE!</v>
      </c>
      <c r="AD54" t="e">
        <f>'All regions'!I1432+"$F;@!$fP"</f>
        <v>#VALUE!</v>
      </c>
      <c r="AE54" t="e">
        <f>'All regions'!A1433+"$F;@!$fQ"</f>
        <v>#VALUE!</v>
      </c>
      <c r="AF54" t="e">
        <f>'All regions'!B1433+"$F;@!$fR"</f>
        <v>#VALUE!</v>
      </c>
      <c r="AG54" t="e">
        <f>'All regions'!C1433+"$F;@!$fS"</f>
        <v>#VALUE!</v>
      </c>
      <c r="AH54" t="e">
        <f>'All regions'!D1433+"$F;@!$fT"</f>
        <v>#VALUE!</v>
      </c>
      <c r="AI54" t="e">
        <f>'All regions'!E1433+"$F;@!$fU"</f>
        <v>#VALUE!</v>
      </c>
      <c r="AJ54" t="e">
        <f>'All regions'!F1433+"$F;@!$fV"</f>
        <v>#VALUE!</v>
      </c>
      <c r="AK54" t="e">
        <f>'All regions'!G1433+"$F;@!$fW"</f>
        <v>#VALUE!</v>
      </c>
      <c r="AL54" t="e">
        <f>'All regions'!H1433+"$F;@!$fX"</f>
        <v>#VALUE!</v>
      </c>
      <c r="AM54" t="e">
        <f>'All regions'!I1433+"$F;@!$fY"</f>
        <v>#VALUE!</v>
      </c>
      <c r="AN54" t="e">
        <f>'All regions'!A1434+"$F;@!$fZ"</f>
        <v>#VALUE!</v>
      </c>
      <c r="AO54" t="e">
        <f>'All regions'!B1434+"$F;@!$f["</f>
        <v>#VALUE!</v>
      </c>
      <c r="AP54" t="e">
        <f>'All regions'!C1434+"$F;@!$f\"</f>
        <v>#VALUE!</v>
      </c>
      <c r="AQ54" t="e">
        <f>'All regions'!D1434+"$F;@!$f]"</f>
        <v>#VALUE!</v>
      </c>
      <c r="AR54" t="e">
        <f>'All regions'!E1434+"$F;@!$f^"</f>
        <v>#VALUE!</v>
      </c>
      <c r="AS54" t="e">
        <f>'All regions'!F1434+"$F;@!$f_"</f>
        <v>#VALUE!</v>
      </c>
      <c r="AT54" t="e">
        <f>'All regions'!G1434+"$F;@!$f`"</f>
        <v>#VALUE!</v>
      </c>
      <c r="AU54" t="e">
        <f>'All regions'!H1434+"$F;@!$fa"</f>
        <v>#VALUE!</v>
      </c>
      <c r="AV54" t="e">
        <f>'All regions'!I1434+"$F;@!$fb"</f>
        <v>#VALUE!</v>
      </c>
      <c r="AW54" t="e">
        <f>'All regions'!A1435+"$F;@!$fc"</f>
        <v>#VALUE!</v>
      </c>
      <c r="AX54" t="e">
        <f>'All regions'!B1435+"$F;@!$fd"</f>
        <v>#VALUE!</v>
      </c>
      <c r="AY54" t="e">
        <f>'All regions'!C1435+"$F;@!$fe"</f>
        <v>#VALUE!</v>
      </c>
      <c r="AZ54" t="e">
        <f>'All regions'!D1435+"$F;@!$ff"</f>
        <v>#VALUE!</v>
      </c>
      <c r="BA54" t="e">
        <f>'All regions'!E1435+"$F;@!$fg"</f>
        <v>#VALUE!</v>
      </c>
      <c r="BB54" t="e">
        <f>'All regions'!F1435+"$F;@!$fh"</f>
        <v>#VALUE!</v>
      </c>
      <c r="BC54" t="e">
        <f>'All regions'!G1435+"$F;@!$fi"</f>
        <v>#VALUE!</v>
      </c>
      <c r="BD54" t="e">
        <f>'All regions'!H1435+"$F;@!$fj"</f>
        <v>#VALUE!</v>
      </c>
      <c r="BE54" t="e">
        <f>'All regions'!I1435+"$F;@!$fk"</f>
        <v>#VALUE!</v>
      </c>
      <c r="BF54" t="e">
        <f>'All regions'!A1436+"$F;@!$fl"</f>
        <v>#VALUE!</v>
      </c>
      <c r="BG54" t="e">
        <f>'All regions'!B1436+"$F;@!$fm"</f>
        <v>#VALUE!</v>
      </c>
      <c r="BH54" t="e">
        <f>'All regions'!C1436+"$F;@!$fn"</f>
        <v>#VALUE!</v>
      </c>
      <c r="BI54" t="e">
        <f>'All regions'!D1436+"$F;@!$fo"</f>
        <v>#VALUE!</v>
      </c>
      <c r="BJ54" t="e">
        <f>'All regions'!E1436+"$F;@!$fp"</f>
        <v>#VALUE!</v>
      </c>
      <c r="BK54" t="e">
        <f>'All regions'!F1436+"$F;@!$fq"</f>
        <v>#VALUE!</v>
      </c>
      <c r="BL54" t="e">
        <f>'All regions'!G1436+"$F;@!$fr"</f>
        <v>#VALUE!</v>
      </c>
      <c r="BM54" t="e">
        <f>'All regions'!H1436+"$F;@!$fs"</f>
        <v>#VALUE!</v>
      </c>
      <c r="BN54" t="e">
        <f>'All regions'!I1436+"$F;@!$ft"</f>
        <v>#VALUE!</v>
      </c>
      <c r="BO54" t="e">
        <f>'All regions'!A1437+"$F;@!$fu"</f>
        <v>#VALUE!</v>
      </c>
      <c r="BP54" t="e">
        <f>'All regions'!B1437+"$F;@!$fv"</f>
        <v>#VALUE!</v>
      </c>
      <c r="BQ54" t="e">
        <f>'All regions'!C1437+"$F;@!$fw"</f>
        <v>#VALUE!</v>
      </c>
      <c r="BR54" t="e">
        <f>'All regions'!D1437+"$F;@!$fx"</f>
        <v>#VALUE!</v>
      </c>
      <c r="BS54" t="e">
        <f>'All regions'!E1437+"$F;@!$fy"</f>
        <v>#VALUE!</v>
      </c>
      <c r="BT54" t="e">
        <f>'All regions'!F1437+"$F;@!$fz"</f>
        <v>#VALUE!</v>
      </c>
      <c r="BU54" t="e">
        <f>'All regions'!G1437+"$F;@!$f{"</f>
        <v>#VALUE!</v>
      </c>
      <c r="BV54" t="e">
        <f>'All regions'!H1437+"$F;@!$f|"</f>
        <v>#VALUE!</v>
      </c>
      <c r="BW54" t="e">
        <f>'All regions'!I1437+"$F;@!$f}"</f>
        <v>#VALUE!</v>
      </c>
      <c r="BX54" t="e">
        <f>'All regions'!A1438+"$F;@!$f~"</f>
        <v>#VALUE!</v>
      </c>
      <c r="BY54" t="e">
        <f>'All regions'!B1438+"$F;@!$g#"</f>
        <v>#VALUE!</v>
      </c>
      <c r="BZ54" t="e">
        <f>'All regions'!C1438+"$F;@!$g$"</f>
        <v>#VALUE!</v>
      </c>
      <c r="CA54" t="e">
        <f>'All regions'!D1438+"$F;@!$g%"</f>
        <v>#VALUE!</v>
      </c>
      <c r="CB54" t="e">
        <f>'All regions'!E1438+"$F;@!$g&amp;"</f>
        <v>#VALUE!</v>
      </c>
      <c r="CC54" t="e">
        <f>'All regions'!F1438+"$F;@!$g'"</f>
        <v>#VALUE!</v>
      </c>
      <c r="CD54" t="e">
        <f>'All regions'!G1438+"$F;@!$g("</f>
        <v>#VALUE!</v>
      </c>
      <c r="CE54" t="e">
        <f>'All regions'!H1438+"$F;@!$g)"</f>
        <v>#VALUE!</v>
      </c>
      <c r="CF54" t="e">
        <f>'All regions'!I1438+"$F;@!$g."</f>
        <v>#VALUE!</v>
      </c>
      <c r="CG54" t="e">
        <f>'All regions'!A1439+"$F;@!$g/"</f>
        <v>#VALUE!</v>
      </c>
      <c r="CH54" t="e">
        <f>'All regions'!B1439+"$F;@!$g0"</f>
        <v>#VALUE!</v>
      </c>
      <c r="CI54" t="e">
        <f>'All regions'!C1439+"$F;@!$g1"</f>
        <v>#VALUE!</v>
      </c>
      <c r="CJ54" t="e">
        <f>'All regions'!D1439+"$F;@!$g2"</f>
        <v>#VALUE!</v>
      </c>
      <c r="CK54" t="e">
        <f>'All regions'!E1439+"$F;@!$g3"</f>
        <v>#VALUE!</v>
      </c>
      <c r="CL54" t="e">
        <f>'All regions'!F1439+"$F;@!$g4"</f>
        <v>#VALUE!</v>
      </c>
      <c r="CM54" t="e">
        <f>'All regions'!G1439+"$F;@!$g5"</f>
        <v>#VALUE!</v>
      </c>
      <c r="CN54" t="e">
        <f>'All regions'!H1439+"$F;@!$g6"</f>
        <v>#VALUE!</v>
      </c>
      <c r="CO54" t="e">
        <f>'All regions'!I1439+"$F;@!$g7"</f>
        <v>#VALUE!</v>
      </c>
      <c r="CP54" t="e">
        <f>'All regions'!A1440+"$F;@!$g8"</f>
        <v>#VALUE!</v>
      </c>
      <c r="CQ54" t="e">
        <f>'All regions'!B1440+"$F;@!$g9"</f>
        <v>#VALUE!</v>
      </c>
      <c r="CR54" t="e">
        <f>'All regions'!C1440+"$F;@!$g:"</f>
        <v>#VALUE!</v>
      </c>
      <c r="CS54" t="e">
        <f>'All regions'!D1440+"$F;@!$g;"</f>
        <v>#VALUE!</v>
      </c>
      <c r="CT54" t="e">
        <f>'All regions'!E1440+"$F;@!$g&lt;"</f>
        <v>#VALUE!</v>
      </c>
      <c r="CU54" t="e">
        <f>'All regions'!F1440+"$F;@!$g="</f>
        <v>#VALUE!</v>
      </c>
      <c r="CV54" t="e">
        <f>'All regions'!G1440+"$F;@!$g&gt;"</f>
        <v>#VALUE!</v>
      </c>
      <c r="CW54" t="e">
        <f>'All regions'!H1440+"$F;@!$g?"</f>
        <v>#VALUE!</v>
      </c>
      <c r="CX54" t="e">
        <f>'All regions'!I1440+"$F;@!$g@"</f>
        <v>#VALUE!</v>
      </c>
      <c r="CY54" t="e">
        <f>'All regions'!A1441+"$F;@!$gA"</f>
        <v>#VALUE!</v>
      </c>
      <c r="CZ54" t="e">
        <f>'All regions'!B1441+"$F;@!$gB"</f>
        <v>#VALUE!</v>
      </c>
      <c r="DA54" t="e">
        <f>'All regions'!C1441+"$F;@!$gC"</f>
        <v>#VALUE!</v>
      </c>
      <c r="DB54" t="e">
        <f>'All regions'!D1441+"$F;@!$gD"</f>
        <v>#VALUE!</v>
      </c>
      <c r="DC54" t="e">
        <f>'All regions'!E1441+"$F;@!$gE"</f>
        <v>#VALUE!</v>
      </c>
      <c r="DD54" t="e">
        <f>'All regions'!F1441+"$F;@!$gF"</f>
        <v>#VALUE!</v>
      </c>
      <c r="DE54" t="e">
        <f>'All regions'!G1441+"$F;@!$gG"</f>
        <v>#VALUE!</v>
      </c>
      <c r="DF54" t="e">
        <f>'All regions'!H1441+"$F;@!$gH"</f>
        <v>#VALUE!</v>
      </c>
      <c r="DG54" t="e">
        <f>'All regions'!I1441+"$F;@!$gI"</f>
        <v>#VALUE!</v>
      </c>
      <c r="DH54" t="e">
        <f>'All regions'!A1442+"$F;@!$gJ"</f>
        <v>#VALUE!</v>
      </c>
      <c r="DI54" t="e">
        <f>'All regions'!B1442+"$F;@!$gK"</f>
        <v>#VALUE!</v>
      </c>
      <c r="DJ54" t="e">
        <f>'All regions'!C1442+"$F;@!$gL"</f>
        <v>#VALUE!</v>
      </c>
      <c r="DK54" t="e">
        <f>'All regions'!D1442+"$F;@!$gM"</f>
        <v>#VALUE!</v>
      </c>
      <c r="DL54" t="e">
        <f>'All regions'!E1442+"$F;@!$gN"</f>
        <v>#VALUE!</v>
      </c>
      <c r="DM54" t="e">
        <f>'All regions'!F1442+"$F;@!$gO"</f>
        <v>#VALUE!</v>
      </c>
      <c r="DN54" t="e">
        <f>'All regions'!G1442+"$F;@!$gP"</f>
        <v>#VALUE!</v>
      </c>
      <c r="DO54" t="e">
        <f>'All regions'!H1442+"$F;@!$gQ"</f>
        <v>#VALUE!</v>
      </c>
      <c r="DP54" t="e">
        <f>'All regions'!I1442+"$F;@!$gR"</f>
        <v>#VALUE!</v>
      </c>
      <c r="DQ54" t="e">
        <f>'All regions'!A1443+"$F;@!$gS"</f>
        <v>#VALUE!</v>
      </c>
      <c r="DR54" t="e">
        <f>'All regions'!B1443+"$F;@!$gT"</f>
        <v>#VALUE!</v>
      </c>
      <c r="DS54" t="e">
        <f>'All regions'!C1443+"$F;@!$gU"</f>
        <v>#VALUE!</v>
      </c>
      <c r="DT54" t="e">
        <f>'All regions'!D1443+"$F;@!$gV"</f>
        <v>#VALUE!</v>
      </c>
      <c r="DU54" t="e">
        <f>'All regions'!E1443+"$F;@!$gW"</f>
        <v>#VALUE!</v>
      </c>
      <c r="DV54" t="e">
        <f>'All regions'!F1443+"$F;@!$gX"</f>
        <v>#VALUE!</v>
      </c>
      <c r="DW54" t="e">
        <f>'All regions'!G1443+"$F;@!$gY"</f>
        <v>#VALUE!</v>
      </c>
      <c r="DX54" t="e">
        <f>'All regions'!H1443+"$F;@!$gZ"</f>
        <v>#VALUE!</v>
      </c>
      <c r="DY54" t="e">
        <f>'All regions'!I1443+"$F;@!$g["</f>
        <v>#VALUE!</v>
      </c>
      <c r="DZ54" t="e">
        <f>'All regions'!A1444+"$F;@!$g\"</f>
        <v>#VALUE!</v>
      </c>
      <c r="EA54" t="e">
        <f>'All regions'!B1444+"$F;@!$g]"</f>
        <v>#VALUE!</v>
      </c>
      <c r="EB54" t="e">
        <f>'All regions'!C1444+"$F;@!$g^"</f>
        <v>#VALUE!</v>
      </c>
      <c r="EC54" t="e">
        <f>'All regions'!D1444+"$F;@!$g_"</f>
        <v>#VALUE!</v>
      </c>
      <c r="ED54" t="e">
        <f>'All regions'!E1444+"$F;@!$g`"</f>
        <v>#VALUE!</v>
      </c>
      <c r="EE54" t="e">
        <f>'All regions'!F1444+"$F;@!$ga"</f>
        <v>#VALUE!</v>
      </c>
      <c r="EF54" t="e">
        <f>'All regions'!G1444+"$F;@!$gb"</f>
        <v>#VALUE!</v>
      </c>
      <c r="EG54" t="e">
        <f>'All regions'!H1444+"$F;@!$gc"</f>
        <v>#VALUE!</v>
      </c>
      <c r="EH54" t="e">
        <f>'All regions'!I1444+"$F;@!$gd"</f>
        <v>#VALUE!</v>
      </c>
      <c r="EI54" t="e">
        <f>'All regions'!A1445+"$F;@!$ge"</f>
        <v>#VALUE!</v>
      </c>
      <c r="EJ54" t="e">
        <f>'All regions'!B1445+"$F;@!$gf"</f>
        <v>#VALUE!</v>
      </c>
      <c r="EK54" t="e">
        <f>'All regions'!C1445+"$F;@!$gg"</f>
        <v>#VALUE!</v>
      </c>
      <c r="EL54" t="e">
        <f>'All regions'!D1445+"$F;@!$gh"</f>
        <v>#VALUE!</v>
      </c>
      <c r="EM54" t="e">
        <f>'All regions'!E1445+"$F;@!$gi"</f>
        <v>#VALUE!</v>
      </c>
      <c r="EN54" t="e">
        <f>'All regions'!F1445+"$F;@!$gj"</f>
        <v>#VALUE!</v>
      </c>
      <c r="EO54" t="e">
        <f>'All regions'!G1445+"$F;@!$gk"</f>
        <v>#VALUE!</v>
      </c>
      <c r="EP54" t="e">
        <f>'All regions'!H1445+"$F;@!$gl"</f>
        <v>#VALUE!</v>
      </c>
      <c r="EQ54" t="e">
        <f>'All regions'!I1445+"$F;@!$gm"</f>
        <v>#VALUE!</v>
      </c>
      <c r="ER54" t="e">
        <f>'All regions'!A1446+"$F;@!$gn"</f>
        <v>#VALUE!</v>
      </c>
      <c r="ES54" t="e">
        <f>'All regions'!B1446+"$F;@!$go"</f>
        <v>#VALUE!</v>
      </c>
      <c r="ET54" t="e">
        <f>'All regions'!C1446+"$F;@!$gp"</f>
        <v>#VALUE!</v>
      </c>
      <c r="EU54" t="e">
        <f>'All regions'!D1446+"$F;@!$gq"</f>
        <v>#VALUE!</v>
      </c>
      <c r="EV54" t="e">
        <f>'All regions'!E1446+"$F;@!$gr"</f>
        <v>#VALUE!</v>
      </c>
      <c r="EW54" t="e">
        <f>'All regions'!F1446+"$F;@!$gs"</f>
        <v>#VALUE!</v>
      </c>
      <c r="EX54" t="e">
        <f>'All regions'!G1446+"$F;@!$gt"</f>
        <v>#VALUE!</v>
      </c>
      <c r="EY54" t="e">
        <f>'All regions'!H1446+"$F;@!$gu"</f>
        <v>#VALUE!</v>
      </c>
      <c r="EZ54" t="e">
        <f>'All regions'!I1446+"$F;@!$gv"</f>
        <v>#VALUE!</v>
      </c>
      <c r="FA54" t="e">
        <f>'All regions'!A1447+"$F;@!$gw"</f>
        <v>#VALUE!</v>
      </c>
      <c r="FB54" t="e">
        <f>'All regions'!B1447+"$F;@!$gx"</f>
        <v>#VALUE!</v>
      </c>
      <c r="FC54" t="e">
        <f>'All regions'!C1447+"$F;@!$gy"</f>
        <v>#VALUE!</v>
      </c>
      <c r="FD54" t="e">
        <f>'All regions'!D1447+"$F;@!$gz"</f>
        <v>#VALUE!</v>
      </c>
      <c r="FE54" t="e">
        <f>'All regions'!E1447+"$F;@!$g{"</f>
        <v>#VALUE!</v>
      </c>
      <c r="FF54" t="e">
        <f>'All regions'!F1447+"$F;@!$g|"</f>
        <v>#VALUE!</v>
      </c>
      <c r="FG54" t="e">
        <f>'All regions'!G1447+"$F;@!$g}"</f>
        <v>#VALUE!</v>
      </c>
      <c r="FH54" t="e">
        <f>'All regions'!H1447+"$F;@!$g~"</f>
        <v>#VALUE!</v>
      </c>
      <c r="FI54" t="e">
        <f>'All regions'!I1447+"$F;@!$h#"</f>
        <v>#VALUE!</v>
      </c>
      <c r="FJ54" t="e">
        <f>'All regions'!A1448+"$F;@!$h$"</f>
        <v>#VALUE!</v>
      </c>
      <c r="FK54" t="e">
        <f>'All regions'!B1448+"$F;@!$h%"</f>
        <v>#VALUE!</v>
      </c>
      <c r="FL54" t="e">
        <f>'All regions'!C1448+"$F;@!$h&amp;"</f>
        <v>#VALUE!</v>
      </c>
      <c r="FM54" t="e">
        <f>'All regions'!D1448+"$F;@!$h'"</f>
        <v>#VALUE!</v>
      </c>
      <c r="FN54" t="e">
        <f>'All regions'!E1448+"$F;@!$h("</f>
        <v>#VALUE!</v>
      </c>
      <c r="FO54" t="e">
        <f>'All regions'!F1448+"$F;@!$h)"</f>
        <v>#VALUE!</v>
      </c>
      <c r="FP54" t="e">
        <f>'All regions'!G1448+"$F;@!$h."</f>
        <v>#VALUE!</v>
      </c>
      <c r="FQ54" t="e">
        <f>'All regions'!H1448+"$F;@!$h/"</f>
        <v>#VALUE!</v>
      </c>
      <c r="FR54" t="e">
        <f>'All regions'!I1448+"$F;@!$h0"</f>
        <v>#VALUE!</v>
      </c>
      <c r="FS54" t="e">
        <f>'All regions'!A1449+"$F;@!$h1"</f>
        <v>#VALUE!</v>
      </c>
      <c r="FT54" t="e">
        <f>'All regions'!B1449+"$F;@!$h2"</f>
        <v>#VALUE!</v>
      </c>
      <c r="FU54" t="e">
        <f>'All regions'!C1449+"$F;@!$h3"</f>
        <v>#VALUE!</v>
      </c>
      <c r="FV54" t="e">
        <f>'All regions'!D1449+"$F;@!$h4"</f>
        <v>#VALUE!</v>
      </c>
      <c r="FW54" t="e">
        <f>'All regions'!E1449+"$F;@!$h5"</f>
        <v>#VALUE!</v>
      </c>
      <c r="FX54" t="e">
        <f>'All regions'!F1449+"$F;@!$h6"</f>
        <v>#VALUE!</v>
      </c>
      <c r="FY54" t="e">
        <f>'All regions'!G1449+"$F;@!$h7"</f>
        <v>#VALUE!</v>
      </c>
      <c r="FZ54" t="e">
        <f>'All regions'!H1449+"$F;@!$h8"</f>
        <v>#VALUE!</v>
      </c>
      <c r="GA54" t="e">
        <f>'All regions'!I1449+"$F;@!$h9"</f>
        <v>#VALUE!</v>
      </c>
      <c r="GB54" t="e">
        <f>'All regions'!A1450+"$F;@!$h:"</f>
        <v>#VALUE!</v>
      </c>
      <c r="GC54" t="e">
        <f>'All regions'!B1450+"$F;@!$h;"</f>
        <v>#VALUE!</v>
      </c>
      <c r="GD54" t="e">
        <f>'All regions'!C1450+"$F;@!$h&lt;"</f>
        <v>#VALUE!</v>
      </c>
      <c r="GE54" t="e">
        <f>'All regions'!D1450+"$F;@!$h="</f>
        <v>#VALUE!</v>
      </c>
      <c r="GF54" t="e">
        <f>'All regions'!E1450+"$F;@!$h&gt;"</f>
        <v>#VALUE!</v>
      </c>
      <c r="GG54" t="e">
        <f>'All regions'!F1450+"$F;@!$h?"</f>
        <v>#VALUE!</v>
      </c>
      <c r="GH54" t="e">
        <f>'All regions'!G1450+"$F;@!$h@"</f>
        <v>#VALUE!</v>
      </c>
      <c r="GI54" t="e">
        <f>'All regions'!H1450+"$F;@!$hA"</f>
        <v>#VALUE!</v>
      </c>
      <c r="GJ54" t="e">
        <f>'All regions'!I1450+"$F;@!$hB"</f>
        <v>#VALUE!</v>
      </c>
      <c r="GK54" t="e">
        <f>'All regions'!A1451+"$F;@!$hC"</f>
        <v>#VALUE!</v>
      </c>
      <c r="GL54" t="e">
        <f>'All regions'!B1451+"$F;@!$hD"</f>
        <v>#VALUE!</v>
      </c>
      <c r="GM54" t="e">
        <f>'All regions'!C1451+"$F;@!$hE"</f>
        <v>#VALUE!</v>
      </c>
      <c r="GN54" t="e">
        <f>'All regions'!D1451+"$F;@!$hF"</f>
        <v>#VALUE!</v>
      </c>
      <c r="GO54" t="e">
        <f>'All regions'!E1451+"$F;@!$hG"</f>
        <v>#VALUE!</v>
      </c>
      <c r="GP54" t="e">
        <f>'All regions'!F1451+"$F;@!$hH"</f>
        <v>#VALUE!</v>
      </c>
      <c r="GQ54" t="e">
        <f>'All regions'!G1451+"$F;@!$hI"</f>
        <v>#VALUE!</v>
      </c>
      <c r="GR54" t="e">
        <f>'All regions'!H1451+"$F;@!$hJ"</f>
        <v>#VALUE!</v>
      </c>
      <c r="GS54" t="e">
        <f>'All regions'!I1451+"$F;@!$hK"</f>
        <v>#VALUE!</v>
      </c>
      <c r="GT54" t="e">
        <f>'All regions'!A1452+"$F;@!$hL"</f>
        <v>#VALUE!</v>
      </c>
      <c r="GU54" t="e">
        <f>'All regions'!B1452+"$F;@!$hM"</f>
        <v>#VALUE!</v>
      </c>
      <c r="GV54" t="e">
        <f>'All regions'!C1452+"$F;@!$hN"</f>
        <v>#VALUE!</v>
      </c>
      <c r="GW54" t="e">
        <f>'All regions'!D1452+"$F;@!$hO"</f>
        <v>#VALUE!</v>
      </c>
      <c r="GX54" t="e">
        <f>'All regions'!E1452+"$F;@!$hP"</f>
        <v>#VALUE!</v>
      </c>
      <c r="GY54" t="e">
        <f>'All regions'!F1452+"$F;@!$hQ"</f>
        <v>#VALUE!</v>
      </c>
      <c r="GZ54" t="e">
        <f>'All regions'!G1452+"$F;@!$hR"</f>
        <v>#VALUE!</v>
      </c>
      <c r="HA54" t="e">
        <f>'All regions'!H1452+"$F;@!$hS"</f>
        <v>#VALUE!</v>
      </c>
      <c r="HB54" t="e">
        <f>'All regions'!I1452+"$F;@!$hT"</f>
        <v>#VALUE!</v>
      </c>
      <c r="HC54" t="e">
        <f>'All regions'!A1453+"$F;@!$hU"</f>
        <v>#VALUE!</v>
      </c>
      <c r="HD54" t="e">
        <f>'All regions'!B1453+"$F;@!$hV"</f>
        <v>#VALUE!</v>
      </c>
      <c r="HE54" t="e">
        <f>'All regions'!C1453+"$F;@!$hW"</f>
        <v>#VALUE!</v>
      </c>
      <c r="HF54" t="e">
        <f>'All regions'!D1453+"$F;@!$hX"</f>
        <v>#VALUE!</v>
      </c>
      <c r="HG54" t="e">
        <f>'All regions'!E1453+"$F;@!$hY"</f>
        <v>#VALUE!</v>
      </c>
      <c r="HH54" t="e">
        <f>'All regions'!F1453+"$F;@!$hZ"</f>
        <v>#VALUE!</v>
      </c>
      <c r="HI54" t="e">
        <f>'All regions'!G1453+"$F;@!$h["</f>
        <v>#VALUE!</v>
      </c>
      <c r="HJ54" t="e">
        <f>'All regions'!H1453+"$F;@!$h\"</f>
        <v>#VALUE!</v>
      </c>
      <c r="HK54" t="e">
        <f>'All regions'!I1453+"$F;@!$h]"</f>
        <v>#VALUE!</v>
      </c>
      <c r="HL54" t="e">
        <f>'All regions'!A1454+"$F;@!$h^"</f>
        <v>#VALUE!</v>
      </c>
      <c r="HM54" t="e">
        <f>'All regions'!B1454+"$F;@!$h_"</f>
        <v>#VALUE!</v>
      </c>
      <c r="HN54" t="e">
        <f>'All regions'!C1454+"$F;@!$h`"</f>
        <v>#VALUE!</v>
      </c>
      <c r="HO54" t="e">
        <f>'All regions'!D1454+"$F;@!$ha"</f>
        <v>#VALUE!</v>
      </c>
      <c r="HP54" t="e">
        <f>'All regions'!E1454+"$F;@!$hb"</f>
        <v>#VALUE!</v>
      </c>
      <c r="HQ54" t="e">
        <f>'All regions'!F1454+"$F;@!$hc"</f>
        <v>#VALUE!</v>
      </c>
      <c r="HR54" t="e">
        <f>'All regions'!G1454+"$F;@!$hd"</f>
        <v>#VALUE!</v>
      </c>
      <c r="HS54" t="e">
        <f>'All regions'!H1454+"$F;@!$he"</f>
        <v>#VALUE!</v>
      </c>
      <c r="HT54" t="e">
        <f>'All regions'!I1454+"$F;@!$hf"</f>
        <v>#VALUE!</v>
      </c>
      <c r="HU54" t="e">
        <f>'All regions'!A1455+"$F;@!$hg"</f>
        <v>#VALUE!</v>
      </c>
      <c r="HV54" t="e">
        <f>'All regions'!B1455+"$F;@!$hh"</f>
        <v>#VALUE!</v>
      </c>
      <c r="HW54" t="e">
        <f>'All regions'!C1455+"$F;@!$hi"</f>
        <v>#VALUE!</v>
      </c>
      <c r="HX54" t="e">
        <f>'All regions'!D1455+"$F;@!$hj"</f>
        <v>#VALUE!</v>
      </c>
      <c r="HY54" t="e">
        <f>'All regions'!E1455+"$F;@!$hk"</f>
        <v>#VALUE!</v>
      </c>
      <c r="HZ54" t="e">
        <f>'All regions'!F1455+"$F;@!$hl"</f>
        <v>#VALUE!</v>
      </c>
      <c r="IA54" t="e">
        <f>'All regions'!G1455+"$F;@!$hm"</f>
        <v>#VALUE!</v>
      </c>
      <c r="IB54" t="e">
        <f>'All regions'!H1455+"$F;@!$hn"</f>
        <v>#VALUE!</v>
      </c>
      <c r="IC54" t="e">
        <f>'All regions'!I1455+"$F;@!$ho"</f>
        <v>#VALUE!</v>
      </c>
      <c r="ID54" t="e">
        <f>'All regions'!A1456+"$F;@!$hp"</f>
        <v>#VALUE!</v>
      </c>
      <c r="IE54" t="e">
        <f>'All regions'!B1456+"$F;@!$hq"</f>
        <v>#VALUE!</v>
      </c>
      <c r="IF54" t="e">
        <f>'All regions'!C1456+"$F;@!$hr"</f>
        <v>#VALUE!</v>
      </c>
      <c r="IG54" t="e">
        <f>'All regions'!D1456+"$F;@!$hs"</f>
        <v>#VALUE!</v>
      </c>
      <c r="IH54" t="e">
        <f>'All regions'!E1456+"$F;@!$ht"</f>
        <v>#VALUE!</v>
      </c>
      <c r="II54" t="e">
        <f>'All regions'!F1456+"$F;@!$hu"</f>
        <v>#VALUE!</v>
      </c>
      <c r="IJ54" t="e">
        <f>'All regions'!G1456+"$F;@!$hv"</f>
        <v>#VALUE!</v>
      </c>
      <c r="IK54" t="e">
        <f>'All regions'!H1456+"$F;@!$hw"</f>
        <v>#VALUE!</v>
      </c>
      <c r="IL54" t="e">
        <f>'All regions'!I1456+"$F;@!$hx"</f>
        <v>#VALUE!</v>
      </c>
      <c r="IM54" t="e">
        <f>'All regions'!A1457+"$F;@!$hy"</f>
        <v>#VALUE!</v>
      </c>
      <c r="IN54" t="e">
        <f>'All regions'!B1457+"$F;@!$hz"</f>
        <v>#VALUE!</v>
      </c>
      <c r="IO54" t="e">
        <f>'All regions'!C1457+"$F;@!$h{"</f>
        <v>#VALUE!</v>
      </c>
      <c r="IP54" t="e">
        <f>'All regions'!D1457+"$F;@!$h|"</f>
        <v>#VALUE!</v>
      </c>
      <c r="IQ54" t="e">
        <f>'All regions'!E1457+"$F;@!$h}"</f>
        <v>#VALUE!</v>
      </c>
      <c r="IR54" t="e">
        <f>'All regions'!F1457+"$F;@!$h~"</f>
        <v>#VALUE!</v>
      </c>
      <c r="IS54" t="e">
        <f>'All regions'!G1457+"$F;@!$i#"</f>
        <v>#VALUE!</v>
      </c>
      <c r="IT54" t="e">
        <f>'All regions'!H1457+"$F;@!$i$"</f>
        <v>#VALUE!</v>
      </c>
      <c r="IU54" t="e">
        <f>'All regions'!I1457+"$F;@!$i%"</f>
        <v>#VALUE!</v>
      </c>
      <c r="IV54" t="e">
        <f>'All regions'!A1458+"$F;@!$i&amp;"</f>
        <v>#VALUE!</v>
      </c>
    </row>
    <row r="55" spans="6:256" x14ac:dyDescent="0.35">
      <c r="F55" t="e">
        <f>'All regions'!B1458+"$F;@!$i'"</f>
        <v>#VALUE!</v>
      </c>
      <c r="G55" t="e">
        <f>'All regions'!C1458+"$F;@!$i("</f>
        <v>#VALUE!</v>
      </c>
      <c r="H55" t="e">
        <f>'All regions'!D1458+"$F;@!$i)"</f>
        <v>#VALUE!</v>
      </c>
      <c r="I55" t="e">
        <f>'All regions'!E1458+"$F;@!$i."</f>
        <v>#VALUE!</v>
      </c>
      <c r="J55" t="e">
        <f>'All regions'!F1458+"$F;@!$i/"</f>
        <v>#VALUE!</v>
      </c>
      <c r="K55" t="e">
        <f>'All regions'!G1458+"$F;@!$i0"</f>
        <v>#VALUE!</v>
      </c>
      <c r="L55" t="e">
        <f>'All regions'!H1458+"$F;@!$i1"</f>
        <v>#VALUE!</v>
      </c>
      <c r="M55" t="e">
        <f>'All regions'!I1458+"$F;@!$i2"</f>
        <v>#VALUE!</v>
      </c>
      <c r="N55" t="e">
        <f>'All regions'!A1459+"$F;@!$i3"</f>
        <v>#VALUE!</v>
      </c>
      <c r="O55" t="e">
        <f>'All regions'!B1459+"$F;@!$i4"</f>
        <v>#VALUE!</v>
      </c>
      <c r="P55" t="e">
        <f>'All regions'!C1459+"$F;@!$i5"</f>
        <v>#VALUE!</v>
      </c>
      <c r="Q55" t="e">
        <f>'All regions'!D1459+"$F;@!$i6"</f>
        <v>#VALUE!</v>
      </c>
      <c r="R55" t="e">
        <f>'All regions'!E1459+"$F;@!$i7"</f>
        <v>#VALUE!</v>
      </c>
      <c r="S55" t="e">
        <f>'All regions'!F1459+"$F;@!$i8"</f>
        <v>#VALUE!</v>
      </c>
      <c r="T55" t="e">
        <f>'All regions'!G1459+"$F;@!$i9"</f>
        <v>#VALUE!</v>
      </c>
      <c r="U55" t="e">
        <f>'All regions'!H1459+"$F;@!$i:"</f>
        <v>#VALUE!</v>
      </c>
      <c r="V55" t="e">
        <f>'All regions'!I1459+"$F;@!$i;"</f>
        <v>#VALUE!</v>
      </c>
      <c r="W55" t="e">
        <f>'All regions'!A1460+"$F;@!$i&lt;"</f>
        <v>#VALUE!</v>
      </c>
      <c r="X55" t="e">
        <f>'All regions'!B1460+"$F;@!$i="</f>
        <v>#VALUE!</v>
      </c>
      <c r="Y55" t="e">
        <f>'All regions'!C1460+"$F;@!$i&gt;"</f>
        <v>#VALUE!</v>
      </c>
      <c r="Z55" t="e">
        <f>'All regions'!D1460+"$F;@!$i?"</f>
        <v>#VALUE!</v>
      </c>
      <c r="AA55" t="e">
        <f>'All regions'!E1460+"$F;@!$i@"</f>
        <v>#VALUE!</v>
      </c>
      <c r="AB55" t="e">
        <f>'All regions'!F1460+"$F;@!$iA"</f>
        <v>#VALUE!</v>
      </c>
      <c r="AC55" t="e">
        <f>'All regions'!G1460+"$F;@!$iB"</f>
        <v>#VALUE!</v>
      </c>
      <c r="AD55" t="e">
        <f>'All regions'!H1460+"$F;@!$iC"</f>
        <v>#VALUE!</v>
      </c>
      <c r="AE55" t="e">
        <f>'All regions'!I1460+"$F;@!$iD"</f>
        <v>#VALUE!</v>
      </c>
      <c r="AF55" t="e">
        <f>'All regions'!A1461+"$F;@!$iE"</f>
        <v>#VALUE!</v>
      </c>
      <c r="AG55" t="e">
        <f>'All regions'!B1461+"$F;@!$iF"</f>
        <v>#VALUE!</v>
      </c>
      <c r="AH55" t="e">
        <f>'All regions'!C1461+"$F;@!$iG"</f>
        <v>#VALUE!</v>
      </c>
      <c r="AI55" t="e">
        <f>'All regions'!D1461+"$F;@!$iH"</f>
        <v>#VALUE!</v>
      </c>
      <c r="AJ55" t="e">
        <f>'All regions'!E1461+"$F;@!$iI"</f>
        <v>#VALUE!</v>
      </c>
      <c r="AK55" t="e">
        <f>'All regions'!F1461+"$F;@!$iJ"</f>
        <v>#VALUE!</v>
      </c>
      <c r="AL55" t="e">
        <f>'All regions'!G1461+"$F;@!$iK"</f>
        <v>#VALUE!</v>
      </c>
      <c r="AM55" t="e">
        <f>'All regions'!H1461+"$F;@!$iL"</f>
        <v>#VALUE!</v>
      </c>
      <c r="AN55" t="e">
        <f>'All regions'!I1461+"$F;@!$iM"</f>
        <v>#VALUE!</v>
      </c>
      <c r="AO55" t="e">
        <f>'All regions'!A1462+"$F;@!$iN"</f>
        <v>#VALUE!</v>
      </c>
      <c r="AP55" t="e">
        <f>'All regions'!B1462+"$F;@!$iO"</f>
        <v>#VALUE!</v>
      </c>
      <c r="AQ55" t="e">
        <f>'All regions'!C1462+"$F;@!$iP"</f>
        <v>#VALUE!</v>
      </c>
      <c r="AR55" t="e">
        <f>'All regions'!D1462+"$F;@!$iQ"</f>
        <v>#VALUE!</v>
      </c>
      <c r="AS55" t="e">
        <f>'All regions'!E1462+"$F;@!$iR"</f>
        <v>#VALUE!</v>
      </c>
      <c r="AT55" t="e">
        <f>'All regions'!F1462+"$F;@!$iS"</f>
        <v>#VALUE!</v>
      </c>
      <c r="AU55" t="e">
        <f>'All regions'!G1462+"$F;@!$iT"</f>
        <v>#VALUE!</v>
      </c>
      <c r="AV55" t="e">
        <f>'All regions'!H1462+"$F;@!$iU"</f>
        <v>#VALUE!</v>
      </c>
      <c r="AW55" t="e">
        <f>'All regions'!I1462+"$F;@!$iV"</f>
        <v>#VALUE!</v>
      </c>
      <c r="AX55" t="e">
        <f>'All regions'!A1463+"$F;@!$iW"</f>
        <v>#VALUE!</v>
      </c>
      <c r="AY55" t="e">
        <f>'All regions'!B1463+"$F;@!$iX"</f>
        <v>#VALUE!</v>
      </c>
      <c r="AZ55" t="e">
        <f>'All regions'!C1463+"$F;@!$iY"</f>
        <v>#VALUE!</v>
      </c>
      <c r="BA55" t="e">
        <f>'All regions'!D1463+"$F;@!$iZ"</f>
        <v>#VALUE!</v>
      </c>
      <c r="BB55" t="e">
        <f>'All regions'!E1463+"$F;@!$i["</f>
        <v>#VALUE!</v>
      </c>
      <c r="BC55" t="e">
        <f>'All regions'!F1463+"$F;@!$i\"</f>
        <v>#VALUE!</v>
      </c>
      <c r="BD55" t="e">
        <f>'All regions'!G1463+"$F;@!$i]"</f>
        <v>#VALUE!</v>
      </c>
      <c r="BE55" t="e">
        <f>'All regions'!H1463+"$F;@!$i^"</f>
        <v>#VALUE!</v>
      </c>
      <c r="BF55" t="e">
        <f>'All regions'!I1463+"$F;@!$i_"</f>
        <v>#VALUE!</v>
      </c>
      <c r="BG55" t="e">
        <f>'All regions'!A1464+"$F;@!$i`"</f>
        <v>#VALUE!</v>
      </c>
      <c r="BH55" t="e">
        <f>'All regions'!B1464+"$F;@!$ia"</f>
        <v>#VALUE!</v>
      </c>
      <c r="BI55" t="e">
        <f>'All regions'!C1464+"$F;@!$ib"</f>
        <v>#VALUE!</v>
      </c>
      <c r="BJ55" t="e">
        <f>'All regions'!D1464+"$F;@!$ic"</f>
        <v>#VALUE!</v>
      </c>
      <c r="BK55" t="e">
        <f>'All regions'!E1464+"$F;@!$id"</f>
        <v>#VALUE!</v>
      </c>
      <c r="BL55" t="e">
        <f>'All regions'!F1464+"$F;@!$ie"</f>
        <v>#VALUE!</v>
      </c>
      <c r="BM55" t="e">
        <f>'All regions'!G1464+"$F;@!$if"</f>
        <v>#VALUE!</v>
      </c>
      <c r="BN55" t="e">
        <f>'All regions'!H1464+"$F;@!$ig"</f>
        <v>#VALUE!</v>
      </c>
      <c r="BO55" t="e">
        <f>'All regions'!I1464+"$F;@!$ih"</f>
        <v>#VALUE!</v>
      </c>
      <c r="BP55" t="e">
        <f>'All regions'!A1465+"$F;@!$ii"</f>
        <v>#VALUE!</v>
      </c>
      <c r="BQ55" t="e">
        <f>'All regions'!B1465+"$F;@!$ij"</f>
        <v>#VALUE!</v>
      </c>
      <c r="BR55" t="e">
        <f>'All regions'!C1465+"$F;@!$ik"</f>
        <v>#VALUE!</v>
      </c>
      <c r="BS55" t="e">
        <f>'All regions'!D1465+"$F;@!$il"</f>
        <v>#VALUE!</v>
      </c>
      <c r="BT55" t="e">
        <f>'All regions'!E1465+"$F;@!$im"</f>
        <v>#VALUE!</v>
      </c>
      <c r="BU55" t="e">
        <f>'All regions'!F1465+"$F;@!$in"</f>
        <v>#VALUE!</v>
      </c>
      <c r="BV55" t="e">
        <f>'All regions'!G1465+"$F;@!$io"</f>
        <v>#VALUE!</v>
      </c>
      <c r="BW55" t="e">
        <f>'All regions'!H1465+"$F;@!$ip"</f>
        <v>#VALUE!</v>
      </c>
      <c r="BX55" t="e">
        <f>'All regions'!I1465+"$F;@!$iq"</f>
        <v>#VALUE!</v>
      </c>
      <c r="BY55" t="e">
        <f>'All regions'!A1466+"$F;@!$ir"</f>
        <v>#VALUE!</v>
      </c>
      <c r="BZ55" t="e">
        <f>'All regions'!B1466+"$F;@!$is"</f>
        <v>#VALUE!</v>
      </c>
      <c r="CA55" t="e">
        <f>'All regions'!C1466+"$F;@!$it"</f>
        <v>#VALUE!</v>
      </c>
      <c r="CB55" t="e">
        <f>'All regions'!D1466+"$F;@!$iu"</f>
        <v>#VALUE!</v>
      </c>
      <c r="CC55" t="e">
        <f>'All regions'!E1466+"$F;@!$iv"</f>
        <v>#VALUE!</v>
      </c>
      <c r="CD55" t="e">
        <f>'All regions'!F1466+"$F;@!$iw"</f>
        <v>#VALUE!</v>
      </c>
      <c r="CE55" t="e">
        <f>'All regions'!G1466+"$F;@!$ix"</f>
        <v>#VALUE!</v>
      </c>
      <c r="CF55" t="e">
        <f>'All regions'!H1466+"$F;@!$iy"</f>
        <v>#VALUE!</v>
      </c>
      <c r="CG55" t="e">
        <f>'All regions'!I1466+"$F;@!$iz"</f>
        <v>#VALUE!</v>
      </c>
      <c r="CH55" t="e">
        <f>'All regions'!A1467+"$F;@!$i{"</f>
        <v>#VALUE!</v>
      </c>
      <c r="CI55" t="e">
        <f>'All regions'!B1467+"$F;@!$i|"</f>
        <v>#VALUE!</v>
      </c>
      <c r="CJ55" t="e">
        <f>'All regions'!C1467+"$F;@!$i}"</f>
        <v>#VALUE!</v>
      </c>
      <c r="CK55" t="e">
        <f>'All regions'!D1467+"$F;@!$i~"</f>
        <v>#VALUE!</v>
      </c>
      <c r="CL55" t="e">
        <f>'All regions'!E1467+"$F;@!$j#"</f>
        <v>#VALUE!</v>
      </c>
      <c r="CM55" t="e">
        <f>'All regions'!F1467+"$F;@!$j$"</f>
        <v>#VALUE!</v>
      </c>
      <c r="CN55" t="e">
        <f>'All regions'!G1467+"$F;@!$j%"</f>
        <v>#VALUE!</v>
      </c>
      <c r="CO55" t="e">
        <f>'All regions'!H1467+"$F;@!$j&amp;"</f>
        <v>#VALUE!</v>
      </c>
      <c r="CP55" t="e">
        <f>'All regions'!I1467+"$F;@!$j'"</f>
        <v>#VALUE!</v>
      </c>
      <c r="CQ55" t="e">
        <f>'All regions'!A1468+"$F;@!$j("</f>
        <v>#VALUE!</v>
      </c>
      <c r="CR55" t="e">
        <f>'All regions'!B1468+"$F;@!$j)"</f>
        <v>#VALUE!</v>
      </c>
      <c r="CS55" t="e">
        <f>'All regions'!C1468+"$F;@!$j."</f>
        <v>#VALUE!</v>
      </c>
      <c r="CT55" t="e">
        <f>'All regions'!D1468+"$F;@!$j/"</f>
        <v>#VALUE!</v>
      </c>
      <c r="CU55" t="e">
        <f>'All regions'!E1468+"$F;@!$j0"</f>
        <v>#VALUE!</v>
      </c>
      <c r="CV55" t="e">
        <f>'All regions'!F1468+"$F;@!$j1"</f>
        <v>#VALUE!</v>
      </c>
      <c r="CW55" t="e">
        <f>'All regions'!G1468+"$F;@!$j2"</f>
        <v>#VALUE!</v>
      </c>
      <c r="CX55" t="e">
        <f>'All regions'!H1468+"$F;@!$j3"</f>
        <v>#VALUE!</v>
      </c>
      <c r="CY55" t="e">
        <f>'All regions'!I1468+"$F;@!$j4"</f>
        <v>#VALUE!</v>
      </c>
      <c r="CZ55" t="e">
        <f>'All regions'!A1469+"$F;@!$j5"</f>
        <v>#VALUE!</v>
      </c>
      <c r="DA55" t="e">
        <f>'All regions'!B1469+"$F;@!$j6"</f>
        <v>#VALUE!</v>
      </c>
      <c r="DB55" t="e">
        <f>'All regions'!C1469+"$F;@!$j7"</f>
        <v>#VALUE!</v>
      </c>
      <c r="DC55" t="e">
        <f>'All regions'!D1469+"$F;@!$j8"</f>
        <v>#VALUE!</v>
      </c>
      <c r="DD55" t="e">
        <f>'All regions'!E1469+"$F;@!$j9"</f>
        <v>#VALUE!</v>
      </c>
      <c r="DE55" t="e">
        <f>'All regions'!F1469+"$F;@!$j:"</f>
        <v>#VALUE!</v>
      </c>
      <c r="DF55" t="e">
        <f>'All regions'!G1469+"$F;@!$j;"</f>
        <v>#VALUE!</v>
      </c>
      <c r="DG55" t="e">
        <f>'All regions'!H1469+"$F;@!$j&lt;"</f>
        <v>#VALUE!</v>
      </c>
      <c r="DH55" t="e">
        <f>'All regions'!I1469+"$F;@!$j="</f>
        <v>#VALUE!</v>
      </c>
      <c r="DI55" t="e">
        <f>'All regions'!A1471+"$F;@!$j&gt;"</f>
        <v>#VALUE!</v>
      </c>
      <c r="DJ55" t="e">
        <f>'All regions'!B1471+"$F;@!$j?"</f>
        <v>#VALUE!</v>
      </c>
      <c r="DK55" t="e">
        <f>'All regions'!C1471+"$F;@!$j@"</f>
        <v>#VALUE!</v>
      </c>
      <c r="DL55" t="e">
        <f>'All regions'!D1471+"$F;@!$jA"</f>
        <v>#VALUE!</v>
      </c>
      <c r="DM55" t="e">
        <f>'All regions'!E1471+"$F;@!$jB"</f>
        <v>#VALUE!</v>
      </c>
      <c r="DN55" t="e">
        <f>'All regions'!F1471+"$F;@!$jC"</f>
        <v>#VALUE!</v>
      </c>
      <c r="DO55" t="e">
        <f>'All regions'!G1471+"$F;@!$jD"</f>
        <v>#VALUE!</v>
      </c>
      <c r="DP55" t="e">
        <f>'All regions'!H1471+"$F;@!$jE"</f>
        <v>#VALUE!</v>
      </c>
      <c r="DQ55" t="e">
        <f>'All regions'!I1471+"$F;@!$jF"</f>
        <v>#VALUE!</v>
      </c>
      <c r="DR55" t="e">
        <f>'All regions'!A1473+"$F;@!$jG"</f>
        <v>#VALUE!</v>
      </c>
      <c r="DS55" t="e">
        <f>'All regions'!B1473+"$F;@!$jH"</f>
        <v>#VALUE!</v>
      </c>
      <c r="DT55" t="e">
        <f>'All regions'!C1473+"$F;@!$jI"</f>
        <v>#VALUE!</v>
      </c>
      <c r="DU55" t="e">
        <f>'All regions'!D1473+"$F;@!$jJ"</f>
        <v>#VALUE!</v>
      </c>
      <c r="DV55" t="e">
        <f>'All regions'!E1473+"$F;@!$jK"</f>
        <v>#VALUE!</v>
      </c>
      <c r="DW55" t="e">
        <f>'All regions'!F1473+"$F;@!$jL"</f>
        <v>#VALUE!</v>
      </c>
      <c r="DX55" t="e">
        <f>'All regions'!G1473+"$F;@!$jM"</f>
        <v>#VALUE!</v>
      </c>
      <c r="DY55" t="e">
        <f>'All regions'!H1473+"$F;@!$jN"</f>
        <v>#VALUE!</v>
      </c>
      <c r="DZ55" t="e">
        <f>'All regions'!I1473+"$F;@!$jO"</f>
        <v>#VALUE!</v>
      </c>
      <c r="EA55" t="e">
        <f>'All regions'!A1474+"$F;@!$jP"</f>
        <v>#VALUE!</v>
      </c>
      <c r="EB55" t="e">
        <f>'All regions'!B1474+"$F;@!$jQ"</f>
        <v>#VALUE!</v>
      </c>
      <c r="EC55" t="e">
        <f>'All regions'!C1474+"$F;@!$jR"</f>
        <v>#VALUE!</v>
      </c>
      <c r="ED55" t="e">
        <f>'All regions'!D1474+"$F;@!$jS"</f>
        <v>#VALUE!</v>
      </c>
      <c r="EE55" t="e">
        <f>'All regions'!E1474+"$F;@!$jT"</f>
        <v>#VALUE!</v>
      </c>
      <c r="EF55" t="e">
        <f>'All regions'!F1474+"$F;@!$jU"</f>
        <v>#VALUE!</v>
      </c>
      <c r="EG55" t="e">
        <f>'All regions'!G1474+"$F;@!$jV"</f>
        <v>#VALUE!</v>
      </c>
      <c r="EH55" t="e">
        <f>'All regions'!H1474+"$F;@!$jW"</f>
        <v>#VALUE!</v>
      </c>
      <c r="EI55" t="e">
        <f>'All regions'!I1474+"$F;@!$jX"</f>
        <v>#VALUE!</v>
      </c>
      <c r="EJ55" t="e">
        <f>'All regions'!A1475+"$F;@!$jY"</f>
        <v>#VALUE!</v>
      </c>
      <c r="EK55" t="e">
        <f>'All regions'!B1475+"$F;@!$jZ"</f>
        <v>#VALUE!</v>
      </c>
      <c r="EL55" t="e">
        <f>'All regions'!C1475+"$F;@!$j["</f>
        <v>#VALUE!</v>
      </c>
      <c r="EM55" t="e">
        <f>'All regions'!D1475+"$F;@!$j\"</f>
        <v>#VALUE!</v>
      </c>
      <c r="EN55" t="e">
        <f>'All regions'!E1475+"$F;@!$j]"</f>
        <v>#VALUE!</v>
      </c>
      <c r="EO55" t="e">
        <f>'All regions'!F1475+"$F;@!$j^"</f>
        <v>#VALUE!</v>
      </c>
      <c r="EP55" t="e">
        <f>'All regions'!G1475+"$F;@!$j_"</f>
        <v>#VALUE!</v>
      </c>
      <c r="EQ55" t="e">
        <f>'All regions'!H1475+"$F;@!$j`"</f>
        <v>#VALUE!</v>
      </c>
      <c r="ER55" t="e">
        <f>'All regions'!I1475+"$F;@!$ja"</f>
        <v>#VALUE!</v>
      </c>
      <c r="ES55" t="e">
        <f>'All regions'!A1476+"$F;@!$jb"</f>
        <v>#VALUE!</v>
      </c>
      <c r="ET55" t="e">
        <f>'All regions'!B1476+"$F;@!$jc"</f>
        <v>#VALUE!</v>
      </c>
      <c r="EU55" t="e">
        <f>'All regions'!C1476+"$F;@!$jd"</f>
        <v>#VALUE!</v>
      </c>
      <c r="EV55" t="e">
        <f>'All regions'!D1476+"$F;@!$je"</f>
        <v>#VALUE!</v>
      </c>
      <c r="EW55" t="e">
        <f>'All regions'!E1476+"$F;@!$jf"</f>
        <v>#VALUE!</v>
      </c>
      <c r="EX55" t="e">
        <f>'All regions'!F1476+"$F;@!$jg"</f>
        <v>#VALUE!</v>
      </c>
      <c r="EY55" t="e">
        <f>'All regions'!G1476+"$F;@!$jh"</f>
        <v>#VALUE!</v>
      </c>
      <c r="EZ55" t="e">
        <f>'All regions'!H1476+"$F;@!$ji"</f>
        <v>#VALUE!</v>
      </c>
      <c r="FA55" t="e">
        <f>'All regions'!I1476+"$F;@!$jj"</f>
        <v>#VALUE!</v>
      </c>
      <c r="FB55" t="e">
        <f>'All regions'!A1477+"$F;@!$jk"</f>
        <v>#VALUE!</v>
      </c>
      <c r="FC55" t="e">
        <f>'All regions'!B1477+"$F;@!$jl"</f>
        <v>#VALUE!</v>
      </c>
      <c r="FD55" t="e">
        <f>'All regions'!C1477+"$F;@!$jm"</f>
        <v>#VALUE!</v>
      </c>
      <c r="FE55" t="e">
        <f>'All regions'!D1477+"$F;@!$jn"</f>
        <v>#VALUE!</v>
      </c>
      <c r="FF55" t="e">
        <f>'All regions'!E1477+"$F;@!$jo"</f>
        <v>#VALUE!</v>
      </c>
      <c r="FG55" t="e">
        <f>'All regions'!F1477+"$F;@!$jp"</f>
        <v>#VALUE!</v>
      </c>
      <c r="FH55" t="e">
        <f>'All regions'!G1477+"$F;@!$jq"</f>
        <v>#VALUE!</v>
      </c>
      <c r="FI55" t="e">
        <f>'All regions'!H1477+"$F;@!$jr"</f>
        <v>#VALUE!</v>
      </c>
      <c r="FJ55" t="e">
        <f>'All regions'!I1477+"$F;@!$js"</f>
        <v>#VALUE!</v>
      </c>
      <c r="FK55" t="e">
        <f>'All regions'!A1478+"$F;@!$jt"</f>
        <v>#VALUE!</v>
      </c>
      <c r="FL55" t="e">
        <f>'All regions'!B1478+"$F;@!$ju"</f>
        <v>#VALUE!</v>
      </c>
      <c r="FM55" t="e">
        <f>'All regions'!C1478+"$F;@!$jv"</f>
        <v>#VALUE!</v>
      </c>
      <c r="FN55" t="e">
        <f>'All regions'!D1478+"$F;@!$jw"</f>
        <v>#VALUE!</v>
      </c>
      <c r="FO55" t="e">
        <f>'All regions'!E1478+"$F;@!$jx"</f>
        <v>#VALUE!</v>
      </c>
      <c r="FP55" t="e">
        <f>'All regions'!F1478+"$F;@!$jy"</f>
        <v>#VALUE!</v>
      </c>
      <c r="FQ55" t="e">
        <f>'All regions'!G1478+"$F;@!$jz"</f>
        <v>#VALUE!</v>
      </c>
      <c r="FR55" t="e">
        <f>'All regions'!H1478+"$F;@!$j{"</f>
        <v>#VALUE!</v>
      </c>
      <c r="FS55" t="e">
        <f>'All regions'!I1478+"$F;@!$j|"</f>
        <v>#VALUE!</v>
      </c>
      <c r="FT55" t="e">
        <f>'All regions'!A1479+"$F;@!$j}"</f>
        <v>#VALUE!</v>
      </c>
      <c r="FU55" t="e">
        <f>'All regions'!B1479+"$F;@!$j~"</f>
        <v>#VALUE!</v>
      </c>
      <c r="FV55" t="e">
        <f>'All regions'!C1479+"$F;@!$k#"</f>
        <v>#VALUE!</v>
      </c>
      <c r="FW55" t="e">
        <f>'All regions'!D1479+"$F;@!$k$"</f>
        <v>#VALUE!</v>
      </c>
      <c r="FX55" t="e">
        <f>'All regions'!E1479+"$F;@!$k%"</f>
        <v>#VALUE!</v>
      </c>
      <c r="FY55" t="e">
        <f>'All regions'!F1479+"$F;@!$k&amp;"</f>
        <v>#VALUE!</v>
      </c>
      <c r="FZ55" t="e">
        <f>'All regions'!G1479+"$F;@!$k'"</f>
        <v>#VALUE!</v>
      </c>
      <c r="GA55" t="e">
        <f>'All regions'!H1479+"$F;@!$k("</f>
        <v>#VALUE!</v>
      </c>
      <c r="GB55" t="e">
        <f>'All regions'!I1479+"$F;@!$k)"</f>
        <v>#VALUE!</v>
      </c>
      <c r="GC55" t="e">
        <f>'All regions'!A1480+"$F;@!$k."</f>
        <v>#VALUE!</v>
      </c>
      <c r="GD55" t="e">
        <f>'All regions'!B1480+"$F;@!$k/"</f>
        <v>#VALUE!</v>
      </c>
      <c r="GE55" t="e">
        <f>'All regions'!C1480+"$F;@!$k0"</f>
        <v>#VALUE!</v>
      </c>
      <c r="GF55" t="e">
        <f>'All regions'!D1480+"$F;@!$k1"</f>
        <v>#VALUE!</v>
      </c>
      <c r="GG55" t="e">
        <f>'All regions'!E1480+"$F;@!$k2"</f>
        <v>#VALUE!</v>
      </c>
      <c r="GH55" t="e">
        <f>'All regions'!F1480+"$F;@!$k3"</f>
        <v>#VALUE!</v>
      </c>
      <c r="GI55" t="e">
        <f>'All regions'!G1480+"$F;@!$k4"</f>
        <v>#VALUE!</v>
      </c>
      <c r="GJ55" t="e">
        <f>'All regions'!H1480+"$F;@!$k5"</f>
        <v>#VALUE!</v>
      </c>
      <c r="GK55" t="e">
        <f>'All regions'!I1480+"$F;@!$k6"</f>
        <v>#VALUE!</v>
      </c>
      <c r="GL55" t="e">
        <f>'All regions'!A1481+"$F;@!$k7"</f>
        <v>#VALUE!</v>
      </c>
      <c r="GM55" t="e">
        <f>'All regions'!B1481+"$F;@!$k8"</f>
        <v>#VALUE!</v>
      </c>
      <c r="GN55" t="e">
        <f>'All regions'!C1481+"$F;@!$k9"</f>
        <v>#VALUE!</v>
      </c>
      <c r="GO55" t="e">
        <f>'All regions'!D1481+"$F;@!$k:"</f>
        <v>#VALUE!</v>
      </c>
      <c r="GP55" t="e">
        <f>'All regions'!E1481+"$F;@!$k;"</f>
        <v>#VALUE!</v>
      </c>
      <c r="GQ55" t="e">
        <f>'All regions'!F1481+"$F;@!$k&lt;"</f>
        <v>#VALUE!</v>
      </c>
      <c r="GR55" t="e">
        <f>'All regions'!G1481+"$F;@!$k="</f>
        <v>#VALUE!</v>
      </c>
      <c r="GS55" t="e">
        <f>'All regions'!H1481+"$F;@!$k&gt;"</f>
        <v>#VALUE!</v>
      </c>
      <c r="GT55" t="e">
        <f>'All regions'!I1481+"$F;@!$k?"</f>
        <v>#VALUE!</v>
      </c>
      <c r="GU55" t="e">
        <f>'All regions'!A1482+"$F;@!$k@"</f>
        <v>#VALUE!</v>
      </c>
      <c r="GV55" t="e">
        <f>'All regions'!B1482+"$F;@!$kA"</f>
        <v>#VALUE!</v>
      </c>
      <c r="GW55" t="e">
        <f>'All regions'!C1482+"$F;@!$kB"</f>
        <v>#VALUE!</v>
      </c>
      <c r="GX55" t="e">
        <f>'All regions'!D1482+"$F;@!$kC"</f>
        <v>#VALUE!</v>
      </c>
      <c r="GY55" t="e">
        <f>'All regions'!E1482+"$F;@!$kD"</f>
        <v>#VALUE!</v>
      </c>
      <c r="GZ55" t="e">
        <f>'All regions'!F1482+"$F;@!$kE"</f>
        <v>#VALUE!</v>
      </c>
      <c r="HA55" t="e">
        <f>'All regions'!G1482+"$F;@!$kF"</f>
        <v>#VALUE!</v>
      </c>
      <c r="HB55" t="e">
        <f>'All regions'!H1482+"$F;@!$kG"</f>
        <v>#VALUE!</v>
      </c>
      <c r="HC55" t="e">
        <f>'All regions'!I1482+"$F;@!$kH"</f>
        <v>#VALUE!</v>
      </c>
      <c r="HD55" t="e">
        <f>'All regions'!A1483+"$F;@!$kI"</f>
        <v>#VALUE!</v>
      </c>
      <c r="HE55" t="e">
        <f>'All regions'!B1483+"$F;@!$kJ"</f>
        <v>#VALUE!</v>
      </c>
      <c r="HF55" t="e">
        <f>'All regions'!C1483+"$F;@!$kK"</f>
        <v>#VALUE!</v>
      </c>
      <c r="HG55" t="e">
        <f>'All regions'!D1483+"$F;@!$kL"</f>
        <v>#VALUE!</v>
      </c>
      <c r="HH55" t="e">
        <f>'All regions'!E1483+"$F;@!$kM"</f>
        <v>#VALUE!</v>
      </c>
      <c r="HI55" t="e">
        <f>'All regions'!F1483+"$F;@!$kN"</f>
        <v>#VALUE!</v>
      </c>
      <c r="HJ55" t="e">
        <f>'All regions'!G1483+"$F;@!$kO"</f>
        <v>#VALUE!</v>
      </c>
      <c r="HK55" t="e">
        <f>'All regions'!H1483+"$F;@!$kP"</f>
        <v>#VALUE!</v>
      </c>
      <c r="HL55" t="e">
        <f>'All regions'!I1483+"$F;@!$kQ"</f>
        <v>#VALUE!</v>
      </c>
      <c r="HM55" t="e">
        <f>'All regions'!A1484+"$F;@!$kR"</f>
        <v>#VALUE!</v>
      </c>
      <c r="HN55" t="e">
        <f>'All regions'!B1484+"$F;@!$kS"</f>
        <v>#VALUE!</v>
      </c>
      <c r="HO55" t="e">
        <f>'All regions'!C1484+"$F;@!$kT"</f>
        <v>#VALUE!</v>
      </c>
      <c r="HP55" t="e">
        <f>'All regions'!D1484+"$F;@!$kU"</f>
        <v>#VALUE!</v>
      </c>
      <c r="HQ55" t="e">
        <f>'All regions'!E1484+"$F;@!$kV"</f>
        <v>#VALUE!</v>
      </c>
      <c r="HR55" t="e">
        <f>'All regions'!F1484+"$F;@!$kW"</f>
        <v>#VALUE!</v>
      </c>
      <c r="HS55" t="e">
        <f>'All regions'!G1484+"$F;@!$kX"</f>
        <v>#VALUE!</v>
      </c>
      <c r="HT55" t="e">
        <f>'All regions'!H1484+"$F;@!$kY"</f>
        <v>#VALUE!</v>
      </c>
      <c r="HU55" t="e">
        <f>'All regions'!I1484+"$F;@!$kZ"</f>
        <v>#VALUE!</v>
      </c>
      <c r="HV55" t="e">
        <f>'All regions'!A1485+"$F;@!$k["</f>
        <v>#VALUE!</v>
      </c>
      <c r="HW55" t="e">
        <f>'All regions'!B1485+"$F;@!$k\"</f>
        <v>#VALUE!</v>
      </c>
      <c r="HX55" t="e">
        <f>'All regions'!C1485+"$F;@!$k]"</f>
        <v>#VALUE!</v>
      </c>
      <c r="HY55" t="e">
        <f>'All regions'!D1485+"$F;@!$k^"</f>
        <v>#VALUE!</v>
      </c>
      <c r="HZ55" t="e">
        <f>'All regions'!E1485+"$F;@!$k_"</f>
        <v>#VALUE!</v>
      </c>
      <c r="IA55" t="e">
        <f>'All regions'!F1485+"$F;@!$k`"</f>
        <v>#VALUE!</v>
      </c>
      <c r="IB55" t="e">
        <f>'All regions'!G1485+"$F;@!$ka"</f>
        <v>#VALUE!</v>
      </c>
      <c r="IC55" t="e">
        <f>'All regions'!H1485+"$F;@!$kb"</f>
        <v>#VALUE!</v>
      </c>
      <c r="ID55" t="e">
        <f>'All regions'!I1485+"$F;@!$kc"</f>
        <v>#VALUE!</v>
      </c>
      <c r="IE55" t="e">
        <f>'All regions'!A1486+"$F;@!$kd"</f>
        <v>#VALUE!</v>
      </c>
      <c r="IF55" t="e">
        <f>'All regions'!B1486+"$F;@!$ke"</f>
        <v>#VALUE!</v>
      </c>
      <c r="IG55" t="e">
        <f>'All regions'!C1486+"$F;@!$kf"</f>
        <v>#VALUE!</v>
      </c>
      <c r="IH55" t="e">
        <f>'All regions'!D1486+"$F;@!$kg"</f>
        <v>#VALUE!</v>
      </c>
      <c r="II55" t="e">
        <f>'All regions'!E1486+"$F;@!$kh"</f>
        <v>#VALUE!</v>
      </c>
      <c r="IJ55" t="e">
        <f>'All regions'!F1486+"$F;@!$ki"</f>
        <v>#VALUE!</v>
      </c>
      <c r="IK55" t="e">
        <f>'All regions'!G1486+"$F;@!$kj"</f>
        <v>#VALUE!</v>
      </c>
      <c r="IL55" t="e">
        <f>'All regions'!H1486+"$F;@!$kk"</f>
        <v>#VALUE!</v>
      </c>
      <c r="IM55" t="e">
        <f>'All regions'!I1486+"$F;@!$kl"</f>
        <v>#VALUE!</v>
      </c>
      <c r="IN55" t="e">
        <f>'All regions'!A1487+"$F;@!$km"</f>
        <v>#VALUE!</v>
      </c>
      <c r="IO55" t="e">
        <f>'All regions'!B1487+"$F;@!$kn"</f>
        <v>#VALUE!</v>
      </c>
      <c r="IP55" t="e">
        <f>'All regions'!C1487+"$F;@!$ko"</f>
        <v>#VALUE!</v>
      </c>
      <c r="IQ55" t="e">
        <f>'All regions'!D1487+"$F;@!$kp"</f>
        <v>#VALUE!</v>
      </c>
      <c r="IR55" t="e">
        <f>'All regions'!E1487+"$F;@!$kq"</f>
        <v>#VALUE!</v>
      </c>
      <c r="IS55" t="e">
        <f>'All regions'!F1487+"$F;@!$kr"</f>
        <v>#VALUE!</v>
      </c>
      <c r="IT55" t="e">
        <f>'All regions'!G1487+"$F;@!$ks"</f>
        <v>#VALUE!</v>
      </c>
      <c r="IU55" t="e">
        <f>'All regions'!H1487+"$F;@!$kt"</f>
        <v>#VALUE!</v>
      </c>
      <c r="IV55" t="e">
        <f>'All regions'!I1487+"$F;@!$ku"</f>
        <v>#VALUE!</v>
      </c>
    </row>
    <row r="56" spans="6:256" x14ac:dyDescent="0.35">
      <c r="F56" t="e">
        <f>'All regions'!A1488+"$F;@!$kv"</f>
        <v>#VALUE!</v>
      </c>
      <c r="G56" t="e">
        <f>'All regions'!B1488+"$F;@!$kw"</f>
        <v>#VALUE!</v>
      </c>
      <c r="H56" t="e">
        <f>'All regions'!C1488+"$F;@!$kx"</f>
        <v>#VALUE!</v>
      </c>
      <c r="I56" t="e">
        <f>'All regions'!D1488+"$F;@!$ky"</f>
        <v>#VALUE!</v>
      </c>
      <c r="J56" t="e">
        <f>'All regions'!E1488+"$F;@!$kz"</f>
        <v>#VALUE!</v>
      </c>
      <c r="K56" t="e">
        <f>'All regions'!F1488+"$F;@!$k{"</f>
        <v>#VALUE!</v>
      </c>
      <c r="L56" t="e">
        <f>'All regions'!G1488+"$F;@!$k|"</f>
        <v>#VALUE!</v>
      </c>
      <c r="M56" t="e">
        <f>'All regions'!H1488+"$F;@!$k}"</f>
        <v>#VALUE!</v>
      </c>
      <c r="N56" t="e">
        <f>'All regions'!I1488+"$F;@!$k~"</f>
        <v>#VALUE!</v>
      </c>
      <c r="O56" t="e">
        <f>'All regions'!A1489+"$F;@!$l#"</f>
        <v>#VALUE!</v>
      </c>
      <c r="P56" t="e">
        <f>'All regions'!B1489+"$F;@!$l$"</f>
        <v>#VALUE!</v>
      </c>
      <c r="Q56" t="e">
        <f>'All regions'!C1489+"$F;@!$l%"</f>
        <v>#VALUE!</v>
      </c>
      <c r="R56" t="e">
        <f>'All regions'!D1489+"$F;@!$l&amp;"</f>
        <v>#VALUE!</v>
      </c>
      <c r="S56" t="e">
        <f>'All regions'!E1489+"$F;@!$l'"</f>
        <v>#VALUE!</v>
      </c>
      <c r="T56" t="e">
        <f>'All regions'!F1489+"$F;@!$l("</f>
        <v>#VALUE!</v>
      </c>
      <c r="U56" t="e">
        <f>'All regions'!G1489+"$F;@!$l)"</f>
        <v>#VALUE!</v>
      </c>
      <c r="V56" t="e">
        <f>'All regions'!H1489+"$F;@!$l."</f>
        <v>#VALUE!</v>
      </c>
      <c r="W56" t="e">
        <f>'All regions'!I1489+"$F;@!$l/"</f>
        <v>#VALUE!</v>
      </c>
      <c r="X56" t="e">
        <f>'All regions'!A1490+"$F;@!$l0"</f>
        <v>#VALUE!</v>
      </c>
      <c r="Y56" t="e">
        <f>'All regions'!B1490+"$F;@!$l1"</f>
        <v>#VALUE!</v>
      </c>
      <c r="Z56" t="e">
        <f>'All regions'!C1490+"$F;@!$l2"</f>
        <v>#VALUE!</v>
      </c>
      <c r="AA56" t="e">
        <f>'All regions'!D1490+"$F;@!$l3"</f>
        <v>#VALUE!</v>
      </c>
      <c r="AB56" t="e">
        <f>'All regions'!E1490+"$F;@!$l4"</f>
        <v>#VALUE!</v>
      </c>
      <c r="AC56" t="e">
        <f>'All regions'!F1490+"$F;@!$l5"</f>
        <v>#VALUE!</v>
      </c>
      <c r="AD56" t="e">
        <f>'All regions'!G1490+"$F;@!$l6"</f>
        <v>#VALUE!</v>
      </c>
      <c r="AE56" t="e">
        <f>'All regions'!H1490+"$F;@!$l7"</f>
        <v>#VALUE!</v>
      </c>
      <c r="AF56" t="e">
        <f>'All regions'!I1490+"$F;@!$l8"</f>
        <v>#VALUE!</v>
      </c>
      <c r="AG56" t="e">
        <f>'All regions'!A1491+"$F;@!$l9"</f>
        <v>#VALUE!</v>
      </c>
      <c r="AH56" t="e">
        <f>'All regions'!B1491+"$F;@!$l:"</f>
        <v>#VALUE!</v>
      </c>
      <c r="AI56" t="e">
        <f>'All regions'!C1491+"$F;@!$l;"</f>
        <v>#VALUE!</v>
      </c>
      <c r="AJ56" t="e">
        <f>'All regions'!D1491+"$F;@!$l&lt;"</f>
        <v>#VALUE!</v>
      </c>
      <c r="AK56" t="e">
        <f>'All regions'!E1491+"$F;@!$l="</f>
        <v>#VALUE!</v>
      </c>
      <c r="AL56" t="e">
        <f>'All regions'!F1491+"$F;@!$l&gt;"</f>
        <v>#VALUE!</v>
      </c>
      <c r="AM56" t="e">
        <f>'All regions'!G1491+"$F;@!$l?"</f>
        <v>#VALUE!</v>
      </c>
      <c r="AN56" t="e">
        <f>'All regions'!H1491+"$F;@!$l@"</f>
        <v>#VALUE!</v>
      </c>
      <c r="AO56" t="e">
        <f>'All regions'!I1491+"$F;@!$lA"</f>
        <v>#VALUE!</v>
      </c>
      <c r="AP56" t="e">
        <f>'All regions'!A1492+"$F;@!$lB"</f>
        <v>#VALUE!</v>
      </c>
      <c r="AQ56" t="e">
        <f>'All regions'!B1492+"$F;@!$lC"</f>
        <v>#VALUE!</v>
      </c>
      <c r="AR56" t="e">
        <f>'All regions'!C1492+"$F;@!$lD"</f>
        <v>#VALUE!</v>
      </c>
      <c r="AS56" t="e">
        <f>'All regions'!D1492+"$F;@!$lE"</f>
        <v>#VALUE!</v>
      </c>
      <c r="AT56" t="e">
        <f>'All regions'!E1492+"$F;@!$lF"</f>
        <v>#VALUE!</v>
      </c>
      <c r="AU56" t="e">
        <f>'All regions'!F1492+"$F;@!$lG"</f>
        <v>#VALUE!</v>
      </c>
      <c r="AV56" t="e">
        <f>'All regions'!G1492+"$F;@!$lH"</f>
        <v>#VALUE!</v>
      </c>
      <c r="AW56" t="e">
        <f>'All regions'!H1492+"$F;@!$lI"</f>
        <v>#VALUE!</v>
      </c>
      <c r="AX56" t="e">
        <f>'All regions'!I1492+"$F;@!$lJ"</f>
        <v>#VALUE!</v>
      </c>
      <c r="AY56" t="e">
        <f>'All regions'!A1493+"$F;@!$lK"</f>
        <v>#VALUE!</v>
      </c>
      <c r="AZ56" t="e">
        <f>'All regions'!B1493+"$F;@!$lL"</f>
        <v>#VALUE!</v>
      </c>
      <c r="BA56" t="e">
        <f>'All regions'!C1493+"$F;@!$lM"</f>
        <v>#VALUE!</v>
      </c>
      <c r="BB56" t="e">
        <f>'All regions'!D1493+"$F;@!$lN"</f>
        <v>#VALUE!</v>
      </c>
      <c r="BC56" t="e">
        <f>'All regions'!E1493+"$F;@!$lO"</f>
        <v>#VALUE!</v>
      </c>
      <c r="BD56" t="e">
        <f>'All regions'!F1493+"$F;@!$lP"</f>
        <v>#VALUE!</v>
      </c>
      <c r="BE56" t="e">
        <f>'All regions'!G1493+"$F;@!$lQ"</f>
        <v>#VALUE!</v>
      </c>
      <c r="BF56" t="e">
        <f>'All regions'!H1493+"$F;@!$lR"</f>
        <v>#VALUE!</v>
      </c>
      <c r="BG56" t="e">
        <f>'All regions'!I1493+"$F;@!$lS"</f>
        <v>#VALUE!</v>
      </c>
      <c r="BH56" t="e">
        <f>'All regions'!A1494+"$F;@!$lT"</f>
        <v>#VALUE!</v>
      </c>
      <c r="BI56" t="e">
        <f>'All regions'!B1494+"$F;@!$lU"</f>
        <v>#VALUE!</v>
      </c>
      <c r="BJ56" t="e">
        <f>'All regions'!C1494+"$F;@!$lV"</f>
        <v>#VALUE!</v>
      </c>
      <c r="BK56" t="e">
        <f>'All regions'!D1494+"$F;@!$lW"</f>
        <v>#VALUE!</v>
      </c>
      <c r="BL56" t="e">
        <f>'All regions'!E1494+"$F;@!$lX"</f>
        <v>#VALUE!</v>
      </c>
      <c r="BM56" t="e">
        <f>'All regions'!F1494+"$F;@!$lY"</f>
        <v>#VALUE!</v>
      </c>
      <c r="BN56" t="e">
        <f>'All regions'!G1494+"$F;@!$lZ"</f>
        <v>#VALUE!</v>
      </c>
      <c r="BO56" t="e">
        <f>'All regions'!H1494+"$F;@!$l["</f>
        <v>#VALUE!</v>
      </c>
      <c r="BP56" t="e">
        <f>'All regions'!I1494+"$F;@!$l\"</f>
        <v>#VALUE!</v>
      </c>
      <c r="BQ56" t="e">
        <f>'All regions'!A1495+"$F;@!$l]"</f>
        <v>#VALUE!</v>
      </c>
      <c r="BR56" t="e">
        <f>'All regions'!B1495+"$F;@!$l^"</f>
        <v>#VALUE!</v>
      </c>
      <c r="BS56" t="e">
        <f>'All regions'!C1495+"$F;@!$l_"</f>
        <v>#VALUE!</v>
      </c>
      <c r="BT56" t="e">
        <f>'All regions'!D1495+"$F;@!$l`"</f>
        <v>#VALUE!</v>
      </c>
      <c r="BU56" t="e">
        <f>'All regions'!E1495+"$F;@!$la"</f>
        <v>#VALUE!</v>
      </c>
      <c r="BV56" t="e">
        <f>'All regions'!F1495+"$F;@!$lb"</f>
        <v>#VALUE!</v>
      </c>
      <c r="BW56" t="e">
        <f>'All regions'!G1495+"$F;@!$lc"</f>
        <v>#VALUE!</v>
      </c>
      <c r="BX56" t="e">
        <f>'All regions'!H1495+"$F;@!$ld"</f>
        <v>#VALUE!</v>
      </c>
      <c r="BY56" t="e">
        <f>'All regions'!I1495+"$F;@!$le"</f>
        <v>#VALUE!</v>
      </c>
      <c r="BZ56" t="e">
        <f>'All regions'!A1496+"$F;@!$lf"</f>
        <v>#VALUE!</v>
      </c>
      <c r="CA56" t="e">
        <f>'All regions'!B1496+"$F;@!$lg"</f>
        <v>#VALUE!</v>
      </c>
      <c r="CB56" t="e">
        <f>'All regions'!C1496+"$F;@!$lh"</f>
        <v>#VALUE!</v>
      </c>
      <c r="CC56" t="e">
        <f>'All regions'!D1496+"$F;@!$li"</f>
        <v>#VALUE!</v>
      </c>
      <c r="CD56" t="e">
        <f>'All regions'!E1496+"$F;@!$lj"</f>
        <v>#VALUE!</v>
      </c>
      <c r="CE56" t="e">
        <f>'All regions'!F1496+"$F;@!$lk"</f>
        <v>#VALUE!</v>
      </c>
      <c r="CF56" t="e">
        <f>'All regions'!G1496+"$F;@!$ll"</f>
        <v>#VALUE!</v>
      </c>
      <c r="CG56" t="e">
        <f>'All regions'!H1496+"$F;@!$lm"</f>
        <v>#VALUE!</v>
      </c>
      <c r="CH56" t="e">
        <f>'All regions'!I1496+"$F;@!$ln"</f>
        <v>#VALUE!</v>
      </c>
      <c r="CI56" t="e">
        <f>'All regions'!A1497+"$F;@!$lo"</f>
        <v>#VALUE!</v>
      </c>
      <c r="CJ56" t="e">
        <f>'All regions'!B1497+"$F;@!$lp"</f>
        <v>#VALUE!</v>
      </c>
      <c r="CK56" t="e">
        <f>'All regions'!C1497+"$F;@!$lq"</f>
        <v>#VALUE!</v>
      </c>
      <c r="CL56" t="e">
        <f>'All regions'!D1497+"$F;@!$lr"</f>
        <v>#VALUE!</v>
      </c>
      <c r="CM56" t="e">
        <f>'All regions'!E1497+"$F;@!$ls"</f>
        <v>#VALUE!</v>
      </c>
      <c r="CN56" t="e">
        <f>'All regions'!F1497+"$F;@!$lt"</f>
        <v>#VALUE!</v>
      </c>
      <c r="CO56" t="e">
        <f>'All regions'!G1497+"$F;@!$lu"</f>
        <v>#VALUE!</v>
      </c>
      <c r="CP56" t="e">
        <f>'All regions'!H1497+"$F;@!$lv"</f>
        <v>#VALUE!</v>
      </c>
      <c r="CQ56" t="e">
        <f>'All regions'!I1497+"$F;@!$lw"</f>
        <v>#VALUE!</v>
      </c>
      <c r="CR56" t="e">
        <f>'All regions'!A1498+"$F;@!$lx"</f>
        <v>#VALUE!</v>
      </c>
      <c r="CS56" t="e">
        <f>'All regions'!B1498+"$F;@!$ly"</f>
        <v>#VALUE!</v>
      </c>
      <c r="CT56" t="e">
        <f>'All regions'!C1498+"$F;@!$lz"</f>
        <v>#VALUE!</v>
      </c>
      <c r="CU56" t="e">
        <f>'All regions'!D1498+"$F;@!$l{"</f>
        <v>#VALUE!</v>
      </c>
      <c r="CV56" t="e">
        <f>'All regions'!E1498+"$F;@!$l|"</f>
        <v>#VALUE!</v>
      </c>
      <c r="CW56" t="e">
        <f>'All regions'!F1498+"$F;@!$l}"</f>
        <v>#VALUE!</v>
      </c>
      <c r="CX56" t="e">
        <f>'All regions'!G1498+"$F;@!$l~"</f>
        <v>#VALUE!</v>
      </c>
      <c r="CY56" t="e">
        <f>'All regions'!H1498+"$F;@!$m#"</f>
        <v>#VALUE!</v>
      </c>
      <c r="CZ56" t="e">
        <f>'All regions'!I1498+"$F;@!$m$"</f>
        <v>#VALUE!</v>
      </c>
      <c r="DA56" t="e">
        <f>'All regions'!A1499+"$F;@!$m%"</f>
        <v>#VALUE!</v>
      </c>
      <c r="DB56" t="e">
        <f>'All regions'!B1499+"$F;@!$m&amp;"</f>
        <v>#VALUE!</v>
      </c>
      <c r="DC56" t="e">
        <f>'All regions'!C1499+"$F;@!$m'"</f>
        <v>#VALUE!</v>
      </c>
      <c r="DD56" t="e">
        <f>'All regions'!D1499+"$F;@!$m("</f>
        <v>#VALUE!</v>
      </c>
      <c r="DE56" t="e">
        <f>'All regions'!E1499+"$F;@!$m)"</f>
        <v>#VALUE!</v>
      </c>
      <c r="DF56" t="e">
        <f>'All regions'!F1499+"$F;@!$m."</f>
        <v>#VALUE!</v>
      </c>
      <c r="DG56" t="e">
        <f>'All regions'!G1499+"$F;@!$m/"</f>
        <v>#VALUE!</v>
      </c>
      <c r="DH56" t="e">
        <f>'All regions'!H1499+"$F;@!$m0"</f>
        <v>#VALUE!</v>
      </c>
      <c r="DI56" t="e">
        <f>'All regions'!I1499+"$F;@!$m1"</f>
        <v>#VALUE!</v>
      </c>
      <c r="DJ56" t="e">
        <f>'All regions'!A1500+"$F;@!$m2"</f>
        <v>#VALUE!</v>
      </c>
      <c r="DK56" t="e">
        <f>'All regions'!B1500+"$F;@!$m3"</f>
        <v>#VALUE!</v>
      </c>
      <c r="DL56" t="e">
        <f>'All regions'!C1500+"$F;@!$m4"</f>
        <v>#VALUE!</v>
      </c>
      <c r="DM56" t="e">
        <f>'All regions'!D1500+"$F;@!$m5"</f>
        <v>#VALUE!</v>
      </c>
      <c r="DN56" t="e">
        <f>'All regions'!E1500+"$F;@!$m6"</f>
        <v>#VALUE!</v>
      </c>
      <c r="DO56" t="e">
        <f>'All regions'!F1500+"$F;@!$m7"</f>
        <v>#VALUE!</v>
      </c>
      <c r="DP56" t="e">
        <f>'All regions'!G1500+"$F;@!$m8"</f>
        <v>#VALUE!</v>
      </c>
      <c r="DQ56" t="e">
        <f>'All regions'!H1500+"$F;@!$m9"</f>
        <v>#VALUE!</v>
      </c>
      <c r="DR56" t="e">
        <f>'All regions'!I1500+"$F;@!$m:"</f>
        <v>#VALUE!</v>
      </c>
      <c r="DS56" t="e">
        <f>'All regions'!A1501+"$F;@!$m;"</f>
        <v>#VALUE!</v>
      </c>
      <c r="DT56" t="e">
        <f>'All regions'!B1501+"$F;@!$m&lt;"</f>
        <v>#VALUE!</v>
      </c>
      <c r="DU56" t="e">
        <f>'All regions'!C1501+"$F;@!$m="</f>
        <v>#VALUE!</v>
      </c>
      <c r="DV56" t="e">
        <f>'All regions'!D1501+"$F;@!$m&gt;"</f>
        <v>#VALUE!</v>
      </c>
      <c r="DW56" t="e">
        <f>'All regions'!E1501+"$F;@!$m?"</f>
        <v>#VALUE!</v>
      </c>
      <c r="DX56" t="e">
        <f>'All regions'!F1501+"$F;@!$m@"</f>
        <v>#VALUE!</v>
      </c>
      <c r="DY56" t="e">
        <f>'All regions'!G1501+"$F;@!$mA"</f>
        <v>#VALUE!</v>
      </c>
      <c r="DZ56" t="e">
        <f>'All regions'!H1501+"$F;@!$mB"</f>
        <v>#VALUE!</v>
      </c>
      <c r="EA56" t="e">
        <f>'All regions'!I1501+"$F;@!$mC"</f>
        <v>#VALUE!</v>
      </c>
      <c r="EB56" t="e">
        <f>'All regions'!A1502+"$F;@!$mD"</f>
        <v>#VALUE!</v>
      </c>
      <c r="EC56" t="e">
        <f>'All regions'!B1502+"$F;@!$mE"</f>
        <v>#VALUE!</v>
      </c>
      <c r="ED56" t="e">
        <f>'All regions'!C1502+"$F;@!$mF"</f>
        <v>#VALUE!</v>
      </c>
      <c r="EE56" t="e">
        <f>'All regions'!D1502+"$F;@!$mG"</f>
        <v>#VALUE!</v>
      </c>
      <c r="EF56" t="e">
        <f>'All regions'!E1502+"$F;@!$mH"</f>
        <v>#VALUE!</v>
      </c>
      <c r="EG56" t="e">
        <f>'All regions'!F1502+"$F;@!$mI"</f>
        <v>#VALUE!</v>
      </c>
      <c r="EH56" t="e">
        <f>'All regions'!G1502+"$F;@!$mJ"</f>
        <v>#VALUE!</v>
      </c>
      <c r="EI56" t="e">
        <f>'All regions'!H1502+"$F;@!$mK"</f>
        <v>#VALUE!</v>
      </c>
      <c r="EJ56" t="e">
        <f>'All regions'!I1502+"$F;@!$mL"</f>
        <v>#VALUE!</v>
      </c>
      <c r="EK56" t="e">
        <f>'All regions'!A1503+"$F;@!$mM"</f>
        <v>#VALUE!</v>
      </c>
      <c r="EL56" t="e">
        <f>'All regions'!B1503+"$F;@!$mN"</f>
        <v>#VALUE!</v>
      </c>
      <c r="EM56" t="e">
        <f>'All regions'!C1503+"$F;@!$mO"</f>
        <v>#VALUE!</v>
      </c>
      <c r="EN56" t="e">
        <f>'All regions'!D1503+"$F;@!$mP"</f>
        <v>#VALUE!</v>
      </c>
      <c r="EO56" t="e">
        <f>'All regions'!E1503+"$F;@!$mQ"</f>
        <v>#VALUE!</v>
      </c>
      <c r="EP56" t="e">
        <f>'All regions'!F1503+"$F;@!$mR"</f>
        <v>#VALUE!</v>
      </c>
      <c r="EQ56" t="e">
        <f>'All regions'!G1503+"$F;@!$mS"</f>
        <v>#VALUE!</v>
      </c>
      <c r="ER56" t="e">
        <f>'All regions'!H1503+"$F;@!$mT"</f>
        <v>#VALUE!</v>
      </c>
      <c r="ES56" t="e">
        <f>'All regions'!I1503+"$F;@!$mU"</f>
        <v>#VALUE!</v>
      </c>
      <c r="ET56" t="e">
        <f>'All regions'!A1504+"$F;@!$mV"</f>
        <v>#VALUE!</v>
      </c>
      <c r="EU56" t="e">
        <f>'All regions'!B1504+"$F;@!$mW"</f>
        <v>#VALUE!</v>
      </c>
      <c r="EV56" t="e">
        <f>'All regions'!C1504+"$F;@!$mX"</f>
        <v>#VALUE!</v>
      </c>
      <c r="EW56" t="e">
        <f>'All regions'!D1504+"$F;@!$mY"</f>
        <v>#VALUE!</v>
      </c>
      <c r="EX56" t="e">
        <f>'All regions'!E1504+"$F;@!$mZ"</f>
        <v>#VALUE!</v>
      </c>
      <c r="EY56" t="e">
        <f>'All regions'!F1504+"$F;@!$m["</f>
        <v>#VALUE!</v>
      </c>
      <c r="EZ56" t="e">
        <f>'All regions'!G1504+"$F;@!$m\"</f>
        <v>#VALUE!</v>
      </c>
      <c r="FA56" t="e">
        <f>'All regions'!H1504+"$F;@!$m]"</f>
        <v>#VALUE!</v>
      </c>
      <c r="FB56" t="e">
        <f>'All regions'!I1504+"$F;@!$m^"</f>
        <v>#VALUE!</v>
      </c>
      <c r="FC56" t="e">
        <f>'All regions'!A1505+"$F;@!$m_"</f>
        <v>#VALUE!</v>
      </c>
      <c r="FD56" t="e">
        <f>'All regions'!B1505+"$F;@!$m`"</f>
        <v>#VALUE!</v>
      </c>
      <c r="FE56" t="e">
        <f>'All regions'!C1505+"$F;@!$ma"</f>
        <v>#VALUE!</v>
      </c>
      <c r="FF56" t="e">
        <f>'All regions'!D1505+"$F;@!$mb"</f>
        <v>#VALUE!</v>
      </c>
      <c r="FG56" t="e">
        <f>'All regions'!E1505+"$F;@!$mc"</f>
        <v>#VALUE!</v>
      </c>
      <c r="FH56" t="e">
        <f>'All regions'!F1505+"$F;@!$md"</f>
        <v>#VALUE!</v>
      </c>
      <c r="FI56" t="e">
        <f>'All regions'!G1505+"$F;@!$me"</f>
        <v>#VALUE!</v>
      </c>
      <c r="FJ56" t="e">
        <f>'All regions'!H1505+"$F;@!$mf"</f>
        <v>#VALUE!</v>
      </c>
      <c r="FK56" t="e">
        <f>'All regions'!I1505+"$F;@!$mg"</f>
        <v>#VALUE!</v>
      </c>
      <c r="FL56" t="e">
        <f>'All regions'!A1506+"$F;@!$mh"</f>
        <v>#VALUE!</v>
      </c>
      <c r="FM56" t="e">
        <f>'All regions'!B1506+"$F;@!$mi"</f>
        <v>#VALUE!</v>
      </c>
      <c r="FN56" t="e">
        <f>'All regions'!C1506+"$F;@!$mj"</f>
        <v>#VALUE!</v>
      </c>
      <c r="FO56" t="e">
        <f>'All regions'!D1506+"$F;@!$mk"</f>
        <v>#VALUE!</v>
      </c>
      <c r="FP56" t="e">
        <f>'All regions'!E1506+"$F;@!$ml"</f>
        <v>#VALUE!</v>
      </c>
      <c r="FQ56" t="e">
        <f>'All regions'!F1506+"$F;@!$mm"</f>
        <v>#VALUE!</v>
      </c>
      <c r="FR56" t="e">
        <f>'All regions'!G1506+"$F;@!$mn"</f>
        <v>#VALUE!</v>
      </c>
      <c r="FS56" t="e">
        <f>'All regions'!H1506+"$F;@!$mo"</f>
        <v>#VALUE!</v>
      </c>
      <c r="FT56" t="e">
        <f>'All regions'!I1506+"$F;@!$mp"</f>
        <v>#VALUE!</v>
      </c>
      <c r="FU56" t="e">
        <f>'All regions'!A1507+"$F;@!$mq"</f>
        <v>#VALUE!</v>
      </c>
      <c r="FV56" t="e">
        <f>'All regions'!B1507+"$F;@!$mr"</f>
        <v>#VALUE!</v>
      </c>
      <c r="FW56" t="e">
        <f>'All regions'!C1507+"$F;@!$ms"</f>
        <v>#VALUE!</v>
      </c>
      <c r="FX56" t="e">
        <f>'All regions'!D1507+"$F;@!$mt"</f>
        <v>#VALUE!</v>
      </c>
      <c r="FY56" t="e">
        <f>'All regions'!E1507+"$F;@!$mu"</f>
        <v>#VALUE!</v>
      </c>
      <c r="FZ56" t="e">
        <f>'All regions'!F1507+"$F;@!$mv"</f>
        <v>#VALUE!</v>
      </c>
      <c r="GA56" t="e">
        <f>'All regions'!G1507+"$F;@!$mw"</f>
        <v>#VALUE!</v>
      </c>
      <c r="GB56" t="e">
        <f>'All regions'!H1507+"$F;@!$mx"</f>
        <v>#VALUE!</v>
      </c>
      <c r="GC56" t="e">
        <f>'All regions'!I1507+"$F;@!$my"</f>
        <v>#VALUE!</v>
      </c>
      <c r="GD56" t="e">
        <f>'All regions'!A1508+"$F;@!$mz"</f>
        <v>#VALUE!</v>
      </c>
      <c r="GE56" t="e">
        <f>'All regions'!B1508+"$F;@!$m{"</f>
        <v>#VALUE!</v>
      </c>
      <c r="GF56" t="e">
        <f>'All regions'!C1508+"$F;@!$m|"</f>
        <v>#VALUE!</v>
      </c>
      <c r="GG56" t="e">
        <f>'All regions'!D1508+"$F;@!$m}"</f>
        <v>#VALUE!</v>
      </c>
      <c r="GH56" t="e">
        <f>'All regions'!E1508+"$F;@!$m~"</f>
        <v>#VALUE!</v>
      </c>
      <c r="GI56" t="e">
        <f>'All regions'!F1508+"$F;@!$n#"</f>
        <v>#VALUE!</v>
      </c>
      <c r="GJ56" t="e">
        <f>'All regions'!G1508+"$F;@!$n$"</f>
        <v>#VALUE!</v>
      </c>
      <c r="GK56" t="e">
        <f>'All regions'!H1508+"$F;@!$n%"</f>
        <v>#VALUE!</v>
      </c>
      <c r="GL56" t="e">
        <f>'All regions'!I1508+"$F;@!$n&amp;"</f>
        <v>#VALUE!</v>
      </c>
      <c r="GM56" t="e">
        <f>'All regions'!A1509+"$F;@!$n'"</f>
        <v>#VALUE!</v>
      </c>
      <c r="GN56" t="e">
        <f>'All regions'!B1509+"$F;@!$n("</f>
        <v>#VALUE!</v>
      </c>
      <c r="GO56" t="e">
        <f>'All regions'!C1509+"$F;@!$n)"</f>
        <v>#VALUE!</v>
      </c>
      <c r="GP56" t="e">
        <f>'All regions'!D1509+"$F;@!$n."</f>
        <v>#VALUE!</v>
      </c>
      <c r="GQ56" t="e">
        <f>'All regions'!E1509+"$F;@!$n/"</f>
        <v>#VALUE!</v>
      </c>
      <c r="GR56" t="e">
        <f>'All regions'!F1509+"$F;@!$n0"</f>
        <v>#VALUE!</v>
      </c>
      <c r="GS56" t="e">
        <f>'All regions'!G1509+"$F;@!$n1"</f>
        <v>#VALUE!</v>
      </c>
      <c r="GT56" t="e">
        <f>'All regions'!H1509+"$F;@!$n2"</f>
        <v>#VALUE!</v>
      </c>
      <c r="GU56" t="e">
        <f>'All regions'!I1509+"$F;@!$n3"</f>
        <v>#VALUE!</v>
      </c>
      <c r="GV56" t="e">
        <f>'All regions'!A1510+"$F;@!$n4"</f>
        <v>#VALUE!</v>
      </c>
      <c r="GW56" t="e">
        <f>'All regions'!B1510+"$F;@!$n5"</f>
        <v>#VALUE!</v>
      </c>
      <c r="GX56" t="e">
        <f>'All regions'!C1510+"$F;@!$n6"</f>
        <v>#VALUE!</v>
      </c>
      <c r="GY56" t="e">
        <f>'All regions'!D1510+"$F;@!$n7"</f>
        <v>#VALUE!</v>
      </c>
      <c r="GZ56" t="e">
        <f>'All regions'!E1510+"$F;@!$n8"</f>
        <v>#VALUE!</v>
      </c>
      <c r="HA56" t="e">
        <f>'All regions'!F1510+"$F;@!$n9"</f>
        <v>#VALUE!</v>
      </c>
      <c r="HB56" t="e">
        <f>'All regions'!G1510+"$F;@!$n:"</f>
        <v>#VALUE!</v>
      </c>
      <c r="HC56" t="e">
        <f>'All regions'!H1510+"$F;@!$n;"</f>
        <v>#VALUE!</v>
      </c>
      <c r="HD56" t="e">
        <f>'All regions'!I1510+"$F;@!$n&lt;"</f>
        <v>#VALUE!</v>
      </c>
      <c r="HE56" t="e">
        <f>'All regions'!A1511+"$F;@!$n="</f>
        <v>#VALUE!</v>
      </c>
      <c r="HF56" t="e">
        <f>'All regions'!B1511+"$F;@!$n&gt;"</f>
        <v>#VALUE!</v>
      </c>
      <c r="HG56" t="e">
        <f>'All regions'!C1511+"$F;@!$n?"</f>
        <v>#VALUE!</v>
      </c>
      <c r="HH56" t="e">
        <f>'All regions'!D1511+"$F;@!$n@"</f>
        <v>#VALUE!</v>
      </c>
      <c r="HI56" t="e">
        <f>'All regions'!E1511+"$F;@!$nA"</f>
        <v>#VALUE!</v>
      </c>
      <c r="HJ56" t="e">
        <f>'All regions'!F1511+"$F;@!$nB"</f>
        <v>#VALUE!</v>
      </c>
      <c r="HK56" t="e">
        <f>'All regions'!G1511+"$F;@!$nC"</f>
        <v>#VALUE!</v>
      </c>
      <c r="HL56" t="e">
        <f>'All regions'!H1511+"$F;@!$nD"</f>
        <v>#VALUE!</v>
      </c>
      <c r="HM56" t="e">
        <f>'All regions'!I1511+"$F;@!$nE"</f>
        <v>#VALUE!</v>
      </c>
      <c r="HN56" t="e">
        <f>'All regions'!A1512+"$F;@!$nF"</f>
        <v>#VALUE!</v>
      </c>
      <c r="HO56" t="e">
        <f>'All regions'!B1512+"$F;@!$nG"</f>
        <v>#VALUE!</v>
      </c>
      <c r="HP56" t="e">
        <f>'All regions'!C1512+"$F;@!$nH"</f>
        <v>#VALUE!</v>
      </c>
      <c r="HQ56" t="e">
        <f>'All regions'!D1512+"$F;@!$nI"</f>
        <v>#VALUE!</v>
      </c>
      <c r="HR56" t="e">
        <f>'All regions'!E1512+"$F;@!$nJ"</f>
        <v>#VALUE!</v>
      </c>
      <c r="HS56" t="e">
        <f>'All regions'!F1512+"$F;@!$nK"</f>
        <v>#VALUE!</v>
      </c>
      <c r="HT56" t="e">
        <f>'All regions'!G1512+"$F;@!$nL"</f>
        <v>#VALUE!</v>
      </c>
      <c r="HU56" t="e">
        <f>'All regions'!H1512+"$F;@!$nM"</f>
        <v>#VALUE!</v>
      </c>
      <c r="HV56" t="e">
        <f>'All regions'!I1512+"$F;@!$nN"</f>
        <v>#VALUE!</v>
      </c>
      <c r="HW56" t="e">
        <f>'All regions'!A1513+"$F;@!$nO"</f>
        <v>#VALUE!</v>
      </c>
      <c r="HX56" t="e">
        <f>'All regions'!B1513+"$F;@!$nP"</f>
        <v>#VALUE!</v>
      </c>
      <c r="HY56" t="e">
        <f>'All regions'!C1513+"$F;@!$nQ"</f>
        <v>#VALUE!</v>
      </c>
      <c r="HZ56" t="e">
        <f>'All regions'!D1513+"$F;@!$nR"</f>
        <v>#VALUE!</v>
      </c>
      <c r="IA56" t="e">
        <f>'All regions'!E1513+"$F;@!$nS"</f>
        <v>#VALUE!</v>
      </c>
      <c r="IB56" t="e">
        <f>'All regions'!F1513+"$F;@!$nT"</f>
        <v>#VALUE!</v>
      </c>
      <c r="IC56" t="e">
        <f>'All regions'!G1513+"$F;@!$nU"</f>
        <v>#VALUE!</v>
      </c>
      <c r="ID56" t="e">
        <f>'All regions'!H1513+"$F;@!$nV"</f>
        <v>#VALUE!</v>
      </c>
      <c r="IE56" t="e">
        <f>'All regions'!I1513+"$F;@!$nW"</f>
        <v>#VALUE!</v>
      </c>
      <c r="IF56" t="e">
        <f>'All regions'!A1514+"$F;@!$nX"</f>
        <v>#VALUE!</v>
      </c>
      <c r="IG56" t="e">
        <f>'All regions'!B1514+"$F;@!$nY"</f>
        <v>#VALUE!</v>
      </c>
      <c r="IH56" t="e">
        <f>'All regions'!C1514+"$F;@!$nZ"</f>
        <v>#VALUE!</v>
      </c>
      <c r="II56" t="e">
        <f>'All regions'!D1514+"$F;@!$n["</f>
        <v>#VALUE!</v>
      </c>
      <c r="IJ56" t="e">
        <f>'All regions'!E1514+"$F;@!$n\"</f>
        <v>#VALUE!</v>
      </c>
      <c r="IK56" t="e">
        <f>'All regions'!F1514+"$F;@!$n]"</f>
        <v>#VALUE!</v>
      </c>
      <c r="IL56" t="e">
        <f>'All regions'!G1514+"$F;@!$n^"</f>
        <v>#VALUE!</v>
      </c>
      <c r="IM56" t="e">
        <f>'All regions'!H1514+"$F;@!$n_"</f>
        <v>#VALUE!</v>
      </c>
      <c r="IN56" t="e">
        <f>'All regions'!I1514+"$F;@!$n`"</f>
        <v>#VALUE!</v>
      </c>
      <c r="IO56" t="e">
        <f>'All regions'!A1515+"$F;@!$na"</f>
        <v>#VALUE!</v>
      </c>
      <c r="IP56" t="e">
        <f>'All regions'!B1515+"$F;@!$nb"</f>
        <v>#VALUE!</v>
      </c>
      <c r="IQ56" t="e">
        <f>'All regions'!C1515+"$F;@!$nc"</f>
        <v>#VALUE!</v>
      </c>
      <c r="IR56" t="e">
        <f>'All regions'!D1515+"$F;@!$nd"</f>
        <v>#VALUE!</v>
      </c>
      <c r="IS56" t="e">
        <f>'All regions'!E1515+"$F;@!$ne"</f>
        <v>#VALUE!</v>
      </c>
      <c r="IT56" t="e">
        <f>'All regions'!F1515+"$F;@!$nf"</f>
        <v>#VALUE!</v>
      </c>
      <c r="IU56" t="e">
        <f>'All regions'!G1515+"$F;@!$ng"</f>
        <v>#VALUE!</v>
      </c>
      <c r="IV56" t="e">
        <f>'All regions'!H1515+"$F;@!$nh"</f>
        <v>#VALUE!</v>
      </c>
    </row>
    <row r="57" spans="6:256" x14ac:dyDescent="0.35">
      <c r="F57" t="e">
        <f>'All regions'!I1515+"$F;@!$ni"</f>
        <v>#VALUE!</v>
      </c>
      <c r="G57" t="e">
        <f>'All regions'!A1516+"$F;@!$nj"</f>
        <v>#VALUE!</v>
      </c>
      <c r="H57" t="e">
        <f>'All regions'!B1516+"$F;@!$nk"</f>
        <v>#VALUE!</v>
      </c>
      <c r="I57" t="e">
        <f>'All regions'!C1516+"$F;@!$nl"</f>
        <v>#VALUE!</v>
      </c>
      <c r="J57" t="e">
        <f>'All regions'!D1516+"$F;@!$nm"</f>
        <v>#VALUE!</v>
      </c>
      <c r="K57" t="e">
        <f>'All regions'!E1516+"$F;@!$nn"</f>
        <v>#VALUE!</v>
      </c>
      <c r="L57" t="e">
        <f>'All regions'!F1516+"$F;@!$no"</f>
        <v>#VALUE!</v>
      </c>
      <c r="M57" t="e">
        <f>'All regions'!G1516+"$F;@!$np"</f>
        <v>#VALUE!</v>
      </c>
      <c r="N57" t="e">
        <f>'All regions'!H1516+"$F;@!$nq"</f>
        <v>#VALUE!</v>
      </c>
      <c r="O57" t="e">
        <f>'All regions'!I1516+"$F;@!$nr"</f>
        <v>#VALUE!</v>
      </c>
      <c r="P57" t="e">
        <f>'All regions'!A1517+"$F;@!$ns"</f>
        <v>#VALUE!</v>
      </c>
      <c r="Q57" t="e">
        <f>'All regions'!B1517+"$F;@!$nt"</f>
        <v>#VALUE!</v>
      </c>
      <c r="R57" t="e">
        <f>'All regions'!C1517+"$F;@!$nu"</f>
        <v>#VALUE!</v>
      </c>
      <c r="S57" t="e">
        <f>'All regions'!D1517+"$F;@!$nv"</f>
        <v>#VALUE!</v>
      </c>
      <c r="T57" t="e">
        <f>'All regions'!E1517+"$F;@!$nw"</f>
        <v>#VALUE!</v>
      </c>
      <c r="U57" t="e">
        <f>'All regions'!F1517+"$F;@!$nx"</f>
        <v>#VALUE!</v>
      </c>
      <c r="V57" t="e">
        <f>'All regions'!G1517+"$F;@!$ny"</f>
        <v>#VALUE!</v>
      </c>
      <c r="W57" t="e">
        <f>'All regions'!H1517+"$F;@!$nz"</f>
        <v>#VALUE!</v>
      </c>
      <c r="X57" t="e">
        <f>'All regions'!I1517+"$F;@!$n{"</f>
        <v>#VALUE!</v>
      </c>
      <c r="Y57" t="e">
        <f>'All regions'!A1518+"$F;@!$n|"</f>
        <v>#VALUE!</v>
      </c>
      <c r="Z57" t="e">
        <f>'All regions'!B1518+"$F;@!$n}"</f>
        <v>#VALUE!</v>
      </c>
      <c r="AA57" t="e">
        <f>'All regions'!C1518+"$F;@!$n~"</f>
        <v>#VALUE!</v>
      </c>
      <c r="AB57" t="e">
        <f>'All regions'!D1518+"$F;@!$o#"</f>
        <v>#VALUE!</v>
      </c>
      <c r="AC57" t="e">
        <f>'All regions'!E1518+"$F;@!$o$"</f>
        <v>#VALUE!</v>
      </c>
      <c r="AD57" t="e">
        <f>'All regions'!F1518+"$F;@!$o%"</f>
        <v>#VALUE!</v>
      </c>
      <c r="AE57" t="e">
        <f>'All regions'!G1518+"$F;@!$o&amp;"</f>
        <v>#VALUE!</v>
      </c>
      <c r="AF57" t="e">
        <f>'All regions'!H1518+"$F;@!$o'"</f>
        <v>#VALUE!</v>
      </c>
      <c r="AG57" t="e">
        <f>'All regions'!I1518+"$F;@!$o("</f>
        <v>#VALUE!</v>
      </c>
      <c r="AH57" t="e">
        <f>'All regions'!A1519+"$F;@!$o)"</f>
        <v>#VALUE!</v>
      </c>
      <c r="AI57" t="e">
        <f>'All regions'!B1519+"$F;@!$o."</f>
        <v>#VALUE!</v>
      </c>
      <c r="AJ57" t="e">
        <f>'All regions'!C1519+"$F;@!$o/"</f>
        <v>#VALUE!</v>
      </c>
      <c r="AK57" t="e">
        <f>'All regions'!D1519+"$F;@!$o0"</f>
        <v>#VALUE!</v>
      </c>
      <c r="AL57" t="e">
        <f>'All regions'!E1519+"$F;@!$o1"</f>
        <v>#VALUE!</v>
      </c>
      <c r="AM57" t="e">
        <f>'All regions'!F1519+"$F;@!$o2"</f>
        <v>#VALUE!</v>
      </c>
      <c r="AN57" t="e">
        <f>'All regions'!G1519+"$F;@!$o3"</f>
        <v>#VALUE!</v>
      </c>
      <c r="AO57" t="e">
        <f>'All regions'!H1519+"$F;@!$o4"</f>
        <v>#VALUE!</v>
      </c>
      <c r="AP57" t="e">
        <f>'All regions'!I1519+"$F;@!$o5"</f>
        <v>#VALUE!</v>
      </c>
      <c r="AQ57" t="e">
        <f>'All regions'!A1520+"$F;@!$o6"</f>
        <v>#VALUE!</v>
      </c>
      <c r="AR57" t="e">
        <f>'All regions'!B1520+"$F;@!$o7"</f>
        <v>#VALUE!</v>
      </c>
      <c r="AS57" t="e">
        <f>'All regions'!C1520+"$F;@!$o8"</f>
        <v>#VALUE!</v>
      </c>
      <c r="AT57" t="e">
        <f>'All regions'!D1520+"$F;@!$o9"</f>
        <v>#VALUE!</v>
      </c>
      <c r="AU57" t="e">
        <f>'All regions'!E1520+"$F;@!$o:"</f>
        <v>#VALUE!</v>
      </c>
      <c r="AV57" t="e">
        <f>'All regions'!F1520+"$F;@!$o;"</f>
        <v>#VALUE!</v>
      </c>
      <c r="AW57" t="e">
        <f>'All regions'!G1520+"$F;@!$o&lt;"</f>
        <v>#VALUE!</v>
      </c>
      <c r="AX57" t="e">
        <f>'All regions'!H1520+"$F;@!$o="</f>
        <v>#VALUE!</v>
      </c>
      <c r="AY57" t="e">
        <f>'All regions'!I1520+"$F;@!$o&gt;"</f>
        <v>#VALUE!</v>
      </c>
      <c r="AZ57" t="e">
        <f>'All regions'!A1521+"$F;@!$o?"</f>
        <v>#VALUE!</v>
      </c>
      <c r="BA57" t="e">
        <f>'All regions'!B1521+"$F;@!$o@"</f>
        <v>#VALUE!</v>
      </c>
      <c r="BB57" t="e">
        <f>'All regions'!C1521+"$F;@!$oA"</f>
        <v>#VALUE!</v>
      </c>
      <c r="BC57" t="e">
        <f>'All regions'!D1521+"$F;@!$oB"</f>
        <v>#VALUE!</v>
      </c>
      <c r="BD57" t="e">
        <f>'All regions'!E1521+"$F;@!$oC"</f>
        <v>#VALUE!</v>
      </c>
      <c r="BE57" t="e">
        <f>'All regions'!F1521+"$F;@!$oD"</f>
        <v>#VALUE!</v>
      </c>
      <c r="BF57" t="e">
        <f>'All regions'!G1521+"$F;@!$oE"</f>
        <v>#VALUE!</v>
      </c>
      <c r="BG57" t="e">
        <f>'All regions'!H1521+"$F;@!$oF"</f>
        <v>#VALUE!</v>
      </c>
      <c r="BH57" t="e">
        <f>'All regions'!I1521+"$F;@!$oG"</f>
        <v>#VALUE!</v>
      </c>
      <c r="BI57" t="e">
        <f>'All regions'!A1522+"$F;@!$oH"</f>
        <v>#VALUE!</v>
      </c>
      <c r="BJ57" t="e">
        <f>'All regions'!B1522+"$F;@!$oI"</f>
        <v>#VALUE!</v>
      </c>
      <c r="BK57" t="e">
        <f>'All regions'!C1522+"$F;@!$oJ"</f>
        <v>#VALUE!</v>
      </c>
      <c r="BL57" t="e">
        <f>'All regions'!D1522+"$F;@!$oK"</f>
        <v>#VALUE!</v>
      </c>
      <c r="BM57" t="e">
        <f>'All regions'!E1522+"$F;@!$oL"</f>
        <v>#VALUE!</v>
      </c>
      <c r="BN57" t="e">
        <f>'All regions'!F1522+"$F;@!$oM"</f>
        <v>#VALUE!</v>
      </c>
      <c r="BO57" t="e">
        <f>'All regions'!G1522+"$F;@!$oN"</f>
        <v>#VALUE!</v>
      </c>
      <c r="BP57" t="e">
        <f>'All regions'!H1522+"$F;@!$oO"</f>
        <v>#VALUE!</v>
      </c>
      <c r="BQ57" t="e">
        <f>'All regions'!I1522+"$F;@!$oP"</f>
        <v>#VALUE!</v>
      </c>
      <c r="BR57" t="e">
        <f>'All regions'!A1523+"$F;@!$oQ"</f>
        <v>#VALUE!</v>
      </c>
      <c r="BS57" t="e">
        <f>'All regions'!B1523+"$F;@!$oR"</f>
        <v>#VALUE!</v>
      </c>
      <c r="BT57" t="e">
        <f>'All regions'!C1523+"$F;@!$oS"</f>
        <v>#VALUE!</v>
      </c>
      <c r="BU57" t="e">
        <f>'All regions'!D1523+"$F;@!$oT"</f>
        <v>#VALUE!</v>
      </c>
      <c r="BV57" t="e">
        <f>'All regions'!E1523+"$F;@!$oU"</f>
        <v>#VALUE!</v>
      </c>
      <c r="BW57" t="e">
        <f>'All regions'!F1523+"$F;@!$oV"</f>
        <v>#VALUE!</v>
      </c>
      <c r="BX57" t="e">
        <f>'All regions'!G1523+"$F;@!$oW"</f>
        <v>#VALUE!</v>
      </c>
      <c r="BY57" t="e">
        <f>'All regions'!H1523+"$F;@!$oX"</f>
        <v>#VALUE!</v>
      </c>
      <c r="BZ57" t="e">
        <f>'All regions'!I1523+"$F;@!$oY"</f>
        <v>#VALUE!</v>
      </c>
      <c r="CA57" t="e">
        <f>'All regions'!A1524+"$F;@!$oZ"</f>
        <v>#VALUE!</v>
      </c>
      <c r="CB57" t="e">
        <f>'All regions'!B1524+"$F;@!$o["</f>
        <v>#VALUE!</v>
      </c>
      <c r="CC57" t="e">
        <f>'All regions'!C1524+"$F;@!$o\"</f>
        <v>#VALUE!</v>
      </c>
      <c r="CD57" t="e">
        <f>'All regions'!D1524+"$F;@!$o]"</f>
        <v>#VALUE!</v>
      </c>
      <c r="CE57" t="e">
        <f>'All regions'!E1524+"$F;@!$o^"</f>
        <v>#VALUE!</v>
      </c>
      <c r="CF57" t="e">
        <f>'All regions'!F1524+"$F;@!$o_"</f>
        <v>#VALUE!</v>
      </c>
      <c r="CG57" t="e">
        <f>'All regions'!G1524+"$F;@!$o`"</f>
        <v>#VALUE!</v>
      </c>
      <c r="CH57" t="e">
        <f>'All regions'!H1524+"$F;@!$oa"</f>
        <v>#VALUE!</v>
      </c>
      <c r="CI57" t="e">
        <f>'All regions'!I1524+"$F;@!$ob"</f>
        <v>#VALUE!</v>
      </c>
      <c r="CJ57" t="e">
        <f>'All regions'!A1525+"$F;@!$oc"</f>
        <v>#VALUE!</v>
      </c>
      <c r="CK57" t="e">
        <f>'All regions'!B1525+"$F;@!$od"</f>
        <v>#VALUE!</v>
      </c>
      <c r="CL57" t="e">
        <f>'All regions'!C1525+"$F;@!$oe"</f>
        <v>#VALUE!</v>
      </c>
      <c r="CM57" t="e">
        <f>'All regions'!D1525+"$F;@!$of"</f>
        <v>#VALUE!</v>
      </c>
      <c r="CN57" t="e">
        <f>'All regions'!E1525+"$F;@!$og"</f>
        <v>#VALUE!</v>
      </c>
      <c r="CO57" t="e">
        <f>'All regions'!F1525+"$F;@!$oh"</f>
        <v>#VALUE!</v>
      </c>
      <c r="CP57" t="e">
        <f>'All regions'!G1525+"$F;@!$oi"</f>
        <v>#VALUE!</v>
      </c>
      <c r="CQ57" t="e">
        <f>'All regions'!H1525+"$F;@!$oj"</f>
        <v>#VALUE!</v>
      </c>
      <c r="CR57" t="e">
        <f>'All regions'!I1525+"$F;@!$ok"</f>
        <v>#VALUE!</v>
      </c>
      <c r="CS57" t="e">
        <f>'All regions'!A1526+"$F;@!$ol"</f>
        <v>#VALUE!</v>
      </c>
      <c r="CT57" t="e">
        <f>'All regions'!B1526+"$F;@!$om"</f>
        <v>#VALUE!</v>
      </c>
      <c r="CU57" t="e">
        <f>'All regions'!C1526+"$F;@!$on"</f>
        <v>#VALUE!</v>
      </c>
      <c r="CV57" t="e">
        <f>'All regions'!D1526+"$F;@!$oo"</f>
        <v>#VALUE!</v>
      </c>
      <c r="CW57" t="e">
        <f>'All regions'!E1526+"$F;@!$op"</f>
        <v>#VALUE!</v>
      </c>
      <c r="CX57" t="e">
        <f>'All regions'!F1526+"$F;@!$oq"</f>
        <v>#VALUE!</v>
      </c>
      <c r="CY57" t="e">
        <f>'All regions'!G1526+"$F;@!$or"</f>
        <v>#VALUE!</v>
      </c>
      <c r="CZ57" t="e">
        <f>'All regions'!H1526+"$F;@!$os"</f>
        <v>#VALUE!</v>
      </c>
      <c r="DA57" t="e">
        <f>'All regions'!I1526+"$F;@!$ot"</f>
        <v>#VALUE!</v>
      </c>
      <c r="DB57" t="e">
        <f>'All regions'!A1527+"$F;@!$ou"</f>
        <v>#VALUE!</v>
      </c>
      <c r="DC57" t="e">
        <f>'All regions'!B1527+"$F;@!$ov"</f>
        <v>#VALUE!</v>
      </c>
      <c r="DD57" t="e">
        <f>'All regions'!C1527+"$F;@!$ow"</f>
        <v>#VALUE!</v>
      </c>
      <c r="DE57" t="e">
        <f>'All regions'!D1527+"$F;@!$ox"</f>
        <v>#VALUE!</v>
      </c>
      <c r="DF57" t="e">
        <f>'All regions'!E1527+"$F;@!$oy"</f>
        <v>#VALUE!</v>
      </c>
      <c r="DG57" t="e">
        <f>'All regions'!F1527+"$F;@!$oz"</f>
        <v>#VALUE!</v>
      </c>
      <c r="DH57" t="e">
        <f>'All regions'!G1527+"$F;@!$o{"</f>
        <v>#VALUE!</v>
      </c>
      <c r="DI57" t="e">
        <f>'All regions'!H1527+"$F;@!$o|"</f>
        <v>#VALUE!</v>
      </c>
      <c r="DJ57" t="e">
        <f>'All regions'!I1527+"$F;@!$o}"</f>
        <v>#VALUE!</v>
      </c>
      <c r="DK57" t="e">
        <f>'All regions'!A1528+"$F;@!$o~"</f>
        <v>#VALUE!</v>
      </c>
      <c r="DL57" t="e">
        <f>'All regions'!B1528+"$F;@!$p#"</f>
        <v>#VALUE!</v>
      </c>
      <c r="DM57" t="e">
        <f>'All regions'!C1528+"$F;@!$p$"</f>
        <v>#VALUE!</v>
      </c>
      <c r="DN57" t="e">
        <f>'All regions'!D1528+"$F;@!$p%"</f>
        <v>#VALUE!</v>
      </c>
      <c r="DO57" t="e">
        <f>'All regions'!E1528+"$F;@!$p&amp;"</f>
        <v>#VALUE!</v>
      </c>
      <c r="DP57" t="e">
        <f>'All regions'!F1528+"$F;@!$p'"</f>
        <v>#VALUE!</v>
      </c>
      <c r="DQ57" t="e">
        <f>'All regions'!G1528+"$F;@!$p("</f>
        <v>#VALUE!</v>
      </c>
      <c r="DR57" t="e">
        <f>'All regions'!H1528+"$F;@!$p)"</f>
        <v>#VALUE!</v>
      </c>
      <c r="DS57" t="e">
        <f>'All regions'!I1528+"$F;@!$p."</f>
        <v>#VALUE!</v>
      </c>
      <c r="DT57" t="e">
        <f>'All regions'!A1529+"$F;@!$p/"</f>
        <v>#VALUE!</v>
      </c>
      <c r="DU57" t="e">
        <f>'All regions'!B1529+"$F;@!$p0"</f>
        <v>#VALUE!</v>
      </c>
      <c r="DV57" t="e">
        <f>'All regions'!C1529+"$F;@!$p1"</f>
        <v>#VALUE!</v>
      </c>
      <c r="DW57" t="e">
        <f>'All regions'!D1529+"$F;@!$p2"</f>
        <v>#VALUE!</v>
      </c>
      <c r="DX57" t="e">
        <f>'All regions'!E1529+"$F;@!$p3"</f>
        <v>#VALUE!</v>
      </c>
      <c r="DY57" t="e">
        <f>'All regions'!F1529+"$F;@!$p4"</f>
        <v>#VALUE!</v>
      </c>
      <c r="DZ57" t="e">
        <f>'All regions'!G1529+"$F;@!$p5"</f>
        <v>#VALUE!</v>
      </c>
      <c r="EA57" t="e">
        <f>'All regions'!H1529+"$F;@!$p6"</f>
        <v>#VALUE!</v>
      </c>
      <c r="EB57" t="e">
        <f>'All regions'!I1529+"$F;@!$p7"</f>
        <v>#VALUE!</v>
      </c>
      <c r="EC57" t="e">
        <f>'All regions'!A1530+"$F;@!$p8"</f>
        <v>#VALUE!</v>
      </c>
      <c r="ED57" t="e">
        <f>'All regions'!B1530+"$F;@!$p9"</f>
        <v>#VALUE!</v>
      </c>
      <c r="EE57" t="e">
        <f>'All regions'!C1530+"$F;@!$p:"</f>
        <v>#VALUE!</v>
      </c>
      <c r="EF57" t="e">
        <f>'All regions'!D1530+"$F;@!$p;"</f>
        <v>#VALUE!</v>
      </c>
      <c r="EG57" t="e">
        <f>'All regions'!E1530+"$F;@!$p&lt;"</f>
        <v>#VALUE!</v>
      </c>
      <c r="EH57" t="e">
        <f>'All regions'!F1530+"$F;@!$p="</f>
        <v>#VALUE!</v>
      </c>
      <c r="EI57" t="e">
        <f>'All regions'!G1530+"$F;@!$p&gt;"</f>
        <v>#VALUE!</v>
      </c>
      <c r="EJ57" t="e">
        <f>'All regions'!H1530+"$F;@!$p?"</f>
        <v>#VALUE!</v>
      </c>
      <c r="EK57" t="e">
        <f>'All regions'!I1530+"$F;@!$p@"</f>
        <v>#VALUE!</v>
      </c>
      <c r="EL57" t="e">
        <f>'All regions'!A1531+"$F;@!$pA"</f>
        <v>#VALUE!</v>
      </c>
      <c r="EM57" t="e">
        <f>'All regions'!B1531+"$F;@!$pB"</f>
        <v>#VALUE!</v>
      </c>
      <c r="EN57" t="e">
        <f>'All regions'!C1531+"$F;@!$pC"</f>
        <v>#VALUE!</v>
      </c>
      <c r="EO57" t="e">
        <f>'All regions'!D1531+"$F;@!$pD"</f>
        <v>#VALUE!</v>
      </c>
      <c r="EP57" t="e">
        <f>'All regions'!E1531+"$F;@!$pE"</f>
        <v>#VALUE!</v>
      </c>
      <c r="EQ57" t="e">
        <f>'All regions'!F1531+"$F;@!$pF"</f>
        <v>#VALUE!</v>
      </c>
      <c r="ER57" t="e">
        <f>'All regions'!G1531+"$F;@!$pG"</f>
        <v>#VALUE!</v>
      </c>
      <c r="ES57" t="e">
        <f>'All regions'!H1531+"$F;@!$pH"</f>
        <v>#VALUE!</v>
      </c>
      <c r="ET57" t="e">
        <f>'All regions'!I1531+"$F;@!$pI"</f>
        <v>#VALUE!</v>
      </c>
      <c r="EU57" t="e">
        <f>'All regions'!A1532+"$F;@!$pJ"</f>
        <v>#VALUE!</v>
      </c>
      <c r="EV57" t="e">
        <f>'All regions'!B1532+"$F;@!$pK"</f>
        <v>#VALUE!</v>
      </c>
      <c r="EW57" t="e">
        <f>'All regions'!C1532+"$F;@!$pL"</f>
        <v>#VALUE!</v>
      </c>
      <c r="EX57" t="e">
        <f>'All regions'!D1532+"$F;@!$pM"</f>
        <v>#VALUE!</v>
      </c>
      <c r="EY57" t="e">
        <f>'All regions'!E1532+"$F;@!$pN"</f>
        <v>#VALUE!</v>
      </c>
      <c r="EZ57" t="e">
        <f>'All regions'!F1532+"$F;@!$pO"</f>
        <v>#VALUE!</v>
      </c>
      <c r="FA57" t="e">
        <f>'All regions'!G1532+"$F;@!$pP"</f>
        <v>#VALUE!</v>
      </c>
      <c r="FB57" t="e">
        <f>'All regions'!H1532+"$F;@!$pQ"</f>
        <v>#VALUE!</v>
      </c>
      <c r="FC57" t="e">
        <f>'All regions'!I1532+"$F;@!$pR"</f>
        <v>#VALUE!</v>
      </c>
      <c r="FD57" t="e">
        <f>'All regions'!A1533+"$F;@!$pS"</f>
        <v>#VALUE!</v>
      </c>
      <c r="FE57" t="e">
        <f>'All regions'!B1533+"$F;@!$pT"</f>
        <v>#VALUE!</v>
      </c>
      <c r="FF57" t="e">
        <f>'All regions'!C1533+"$F;@!$pU"</f>
        <v>#VALUE!</v>
      </c>
      <c r="FG57" t="e">
        <f>'All regions'!D1533+"$F;@!$pV"</f>
        <v>#VALUE!</v>
      </c>
      <c r="FH57" t="e">
        <f>'All regions'!E1533+"$F;@!$pW"</f>
        <v>#VALUE!</v>
      </c>
      <c r="FI57" t="e">
        <f>'All regions'!F1533+"$F;@!$pX"</f>
        <v>#VALUE!</v>
      </c>
      <c r="FJ57" t="e">
        <f>'All regions'!G1533+"$F;@!$pY"</f>
        <v>#VALUE!</v>
      </c>
      <c r="FK57" t="e">
        <f>'All regions'!H1533+"$F;@!$pZ"</f>
        <v>#VALUE!</v>
      </c>
      <c r="FL57" t="e">
        <f>'All regions'!I1533+"$F;@!$p["</f>
        <v>#VALUE!</v>
      </c>
      <c r="FM57" t="e">
        <f>'All regions'!A1534+"$F;@!$p\"</f>
        <v>#VALUE!</v>
      </c>
      <c r="FN57" t="e">
        <f>'All regions'!B1534+"$F;@!$p]"</f>
        <v>#VALUE!</v>
      </c>
      <c r="FO57" t="e">
        <f>'All regions'!C1534+"$F;@!$p^"</f>
        <v>#VALUE!</v>
      </c>
      <c r="FP57" t="e">
        <f>'All regions'!D1534+"$F;@!$p_"</f>
        <v>#VALUE!</v>
      </c>
      <c r="FQ57" t="e">
        <f>'All regions'!E1534+"$F;@!$p`"</f>
        <v>#VALUE!</v>
      </c>
      <c r="FR57" t="e">
        <f>'All regions'!F1534+"$F;@!$pa"</f>
        <v>#VALUE!</v>
      </c>
      <c r="FS57" t="e">
        <f>'All regions'!G1534+"$F;@!$pb"</f>
        <v>#VALUE!</v>
      </c>
      <c r="FT57" t="e">
        <f>'All regions'!H1534+"$F;@!$pc"</f>
        <v>#VALUE!</v>
      </c>
      <c r="FU57" t="e">
        <f>'All regions'!I1534+"$F;@!$pd"</f>
        <v>#VALUE!</v>
      </c>
      <c r="FV57" t="e">
        <f>'All regions'!A1535+"$F;@!$pe"</f>
        <v>#VALUE!</v>
      </c>
      <c r="FW57" t="e">
        <f>'All regions'!B1535+"$F;@!$pf"</f>
        <v>#VALUE!</v>
      </c>
      <c r="FX57" t="e">
        <f>'All regions'!C1535+"$F;@!$pg"</f>
        <v>#VALUE!</v>
      </c>
      <c r="FY57" t="e">
        <f>'All regions'!D1535+"$F;@!$ph"</f>
        <v>#VALUE!</v>
      </c>
      <c r="FZ57" t="e">
        <f>'All regions'!E1535+"$F;@!$pi"</f>
        <v>#VALUE!</v>
      </c>
      <c r="GA57" t="e">
        <f>'All regions'!F1535+"$F;@!$pj"</f>
        <v>#VALUE!</v>
      </c>
      <c r="GB57" t="e">
        <f>'All regions'!G1535+"$F;@!$pk"</f>
        <v>#VALUE!</v>
      </c>
      <c r="GC57" t="e">
        <f>'All regions'!H1535+"$F;@!$pl"</f>
        <v>#VALUE!</v>
      </c>
      <c r="GD57" t="e">
        <f>'All regions'!I1535+"$F;@!$pm"</f>
        <v>#VALUE!</v>
      </c>
      <c r="GE57" t="e">
        <f>'All regions'!A1536+"$F;@!$pn"</f>
        <v>#VALUE!</v>
      </c>
      <c r="GF57" t="e">
        <f>'All regions'!B1536+"$F;@!$po"</f>
        <v>#VALUE!</v>
      </c>
      <c r="GG57" t="e">
        <f>'All regions'!C1536+"$F;@!$pp"</f>
        <v>#VALUE!</v>
      </c>
      <c r="GH57" t="e">
        <f>'All regions'!D1536+"$F;@!$pq"</f>
        <v>#VALUE!</v>
      </c>
      <c r="GI57" t="e">
        <f>'All regions'!E1536+"$F;@!$pr"</f>
        <v>#VALUE!</v>
      </c>
      <c r="GJ57" t="e">
        <f>'All regions'!F1536+"$F;@!$ps"</f>
        <v>#VALUE!</v>
      </c>
      <c r="GK57" t="e">
        <f>'All regions'!G1536+"$F;@!$pt"</f>
        <v>#VALUE!</v>
      </c>
      <c r="GL57" t="e">
        <f>'All regions'!H1536+"$F;@!$pu"</f>
        <v>#VALUE!</v>
      </c>
      <c r="GM57" t="e">
        <f>'All regions'!I1536+"$F;@!$pv"</f>
        <v>#VALUE!</v>
      </c>
      <c r="GN57" t="e">
        <f>'All regions'!A1537+"$F;@!$pw"</f>
        <v>#VALUE!</v>
      </c>
      <c r="GO57" t="e">
        <f>'All regions'!B1537+"$F;@!$px"</f>
        <v>#VALUE!</v>
      </c>
      <c r="GP57" t="e">
        <f>'All regions'!C1537+"$F;@!$py"</f>
        <v>#VALUE!</v>
      </c>
      <c r="GQ57" t="e">
        <f>'All regions'!D1537+"$F;@!$pz"</f>
        <v>#VALUE!</v>
      </c>
      <c r="GR57" t="e">
        <f>'All regions'!E1537+"$F;@!$p{"</f>
        <v>#VALUE!</v>
      </c>
      <c r="GS57" t="e">
        <f>'All regions'!F1537+"$F;@!$p|"</f>
        <v>#VALUE!</v>
      </c>
      <c r="GT57" t="e">
        <f>'All regions'!G1537+"$F;@!$p}"</f>
        <v>#VALUE!</v>
      </c>
      <c r="GU57" t="e">
        <f>'All regions'!H1537+"$F;@!$p~"</f>
        <v>#VALUE!</v>
      </c>
      <c r="GV57" t="e">
        <f>'All regions'!I1537+"$F;@!$q#"</f>
        <v>#VALUE!</v>
      </c>
      <c r="GW57" t="e">
        <f>'All regions'!A1538+"$F;@!$q$"</f>
        <v>#VALUE!</v>
      </c>
      <c r="GX57" t="e">
        <f>'All regions'!B1538+"$F;@!$q%"</f>
        <v>#VALUE!</v>
      </c>
      <c r="GY57" t="e">
        <f>'All regions'!C1538+"$F;@!$q&amp;"</f>
        <v>#VALUE!</v>
      </c>
      <c r="GZ57" t="e">
        <f>'All regions'!D1538+"$F;@!$q'"</f>
        <v>#VALUE!</v>
      </c>
      <c r="HA57" t="e">
        <f>'All regions'!E1538+"$F;@!$q("</f>
        <v>#VALUE!</v>
      </c>
      <c r="HB57" t="e">
        <f>'All regions'!F1538+"$F;@!$q)"</f>
        <v>#VALUE!</v>
      </c>
      <c r="HC57" t="e">
        <f>'All regions'!G1538+"$F;@!$q."</f>
        <v>#VALUE!</v>
      </c>
      <c r="HD57" t="e">
        <f>'All regions'!H1538+"$F;@!$q/"</f>
        <v>#VALUE!</v>
      </c>
      <c r="HE57" t="e">
        <f>'All regions'!I1538+"$F;@!$q0"</f>
        <v>#VALUE!</v>
      </c>
      <c r="HF57" t="e">
        <f>'All regions'!A1539+"$F;@!$q1"</f>
        <v>#VALUE!</v>
      </c>
      <c r="HG57" t="e">
        <f>'All regions'!B1539+"$F;@!$q2"</f>
        <v>#VALUE!</v>
      </c>
      <c r="HH57" t="e">
        <f>'All regions'!C1539+"$F;@!$q3"</f>
        <v>#VALUE!</v>
      </c>
      <c r="HI57" t="e">
        <f>'All regions'!D1539+"$F;@!$q4"</f>
        <v>#VALUE!</v>
      </c>
      <c r="HJ57" t="e">
        <f>'All regions'!E1539+"$F;@!$q5"</f>
        <v>#VALUE!</v>
      </c>
      <c r="HK57" t="e">
        <f>'All regions'!F1539+"$F;@!$q6"</f>
        <v>#VALUE!</v>
      </c>
      <c r="HL57" t="e">
        <f>'All regions'!G1539+"$F;@!$q7"</f>
        <v>#VALUE!</v>
      </c>
      <c r="HM57" t="e">
        <f>'All regions'!H1539+"$F;@!$q8"</f>
        <v>#VALUE!</v>
      </c>
      <c r="HN57" t="e">
        <f>'All regions'!I1539+"$F;@!$q9"</f>
        <v>#VALUE!</v>
      </c>
      <c r="HO57" t="e">
        <f>'All regions'!A1540+"$F;@!$q:"</f>
        <v>#VALUE!</v>
      </c>
      <c r="HP57" t="e">
        <f>'All regions'!B1540+"$F;@!$q;"</f>
        <v>#VALUE!</v>
      </c>
      <c r="HQ57" t="e">
        <f>'All regions'!C1540+"$F;@!$q&lt;"</f>
        <v>#VALUE!</v>
      </c>
      <c r="HR57" t="e">
        <f>'All regions'!D1540+"$F;@!$q="</f>
        <v>#VALUE!</v>
      </c>
      <c r="HS57" t="e">
        <f>'All regions'!E1540+"$F;@!$q&gt;"</f>
        <v>#VALUE!</v>
      </c>
      <c r="HT57" t="e">
        <f>'All regions'!F1540+"$F;@!$q?"</f>
        <v>#VALUE!</v>
      </c>
      <c r="HU57" t="e">
        <f>'All regions'!G1540+"$F;@!$q@"</f>
        <v>#VALUE!</v>
      </c>
      <c r="HV57" t="e">
        <f>'All regions'!H1540+"$F;@!$qA"</f>
        <v>#VALUE!</v>
      </c>
      <c r="HW57" t="e">
        <f>'All regions'!I1540+"$F;@!$qB"</f>
        <v>#VALUE!</v>
      </c>
      <c r="HX57" t="e">
        <f>'All regions'!A1541+"$F;@!$qC"</f>
        <v>#VALUE!</v>
      </c>
      <c r="HY57" t="e">
        <f>'All regions'!B1541+"$F;@!$qD"</f>
        <v>#VALUE!</v>
      </c>
      <c r="HZ57" t="e">
        <f>'All regions'!C1541+"$F;@!$qE"</f>
        <v>#VALUE!</v>
      </c>
      <c r="IA57" t="e">
        <f>'All regions'!D1541+"$F;@!$qF"</f>
        <v>#VALUE!</v>
      </c>
      <c r="IB57" t="e">
        <f>'All regions'!E1541+"$F;@!$qG"</f>
        <v>#VALUE!</v>
      </c>
      <c r="IC57" t="e">
        <f>'All regions'!F1541+"$F;@!$qH"</f>
        <v>#VALUE!</v>
      </c>
      <c r="ID57" t="e">
        <f>'All regions'!G1541+"$F;@!$qI"</f>
        <v>#VALUE!</v>
      </c>
      <c r="IE57" t="e">
        <f>'All regions'!H1541+"$F;@!$qJ"</f>
        <v>#VALUE!</v>
      </c>
      <c r="IF57" t="e">
        <f>'All regions'!I1541+"$F;@!$qK"</f>
        <v>#VALUE!</v>
      </c>
      <c r="IG57" t="e">
        <f>'All regions'!A1542+"$F;@!$qL"</f>
        <v>#VALUE!</v>
      </c>
      <c r="IH57" t="e">
        <f>'All regions'!B1542+"$F;@!$qM"</f>
        <v>#VALUE!</v>
      </c>
      <c r="II57" t="e">
        <f>'All regions'!C1542+"$F;@!$qN"</f>
        <v>#VALUE!</v>
      </c>
      <c r="IJ57" t="e">
        <f>'All regions'!D1542+"$F;@!$qO"</f>
        <v>#VALUE!</v>
      </c>
      <c r="IK57" t="e">
        <f>'All regions'!E1542+"$F;@!$qP"</f>
        <v>#VALUE!</v>
      </c>
      <c r="IL57" t="e">
        <f>'All regions'!F1542+"$F;@!$qQ"</f>
        <v>#VALUE!</v>
      </c>
      <c r="IM57" t="e">
        <f>'All regions'!G1542+"$F;@!$qR"</f>
        <v>#VALUE!</v>
      </c>
      <c r="IN57" t="e">
        <f>'All regions'!H1542+"$F;@!$qS"</f>
        <v>#VALUE!</v>
      </c>
      <c r="IO57" t="e">
        <f>'All regions'!I1542+"$F;@!$qT"</f>
        <v>#VALUE!</v>
      </c>
      <c r="IP57" t="e">
        <f>'All regions'!A1543+"$F;@!$qU"</f>
        <v>#VALUE!</v>
      </c>
      <c r="IQ57" t="e">
        <f>'All regions'!B1543+"$F;@!$qV"</f>
        <v>#VALUE!</v>
      </c>
      <c r="IR57" t="e">
        <f>'All regions'!C1543+"$F;@!$qW"</f>
        <v>#VALUE!</v>
      </c>
      <c r="IS57" t="e">
        <f>'All regions'!D1543+"$F;@!$qX"</f>
        <v>#VALUE!</v>
      </c>
      <c r="IT57" t="e">
        <f>'All regions'!E1543+"$F;@!$qY"</f>
        <v>#VALUE!</v>
      </c>
      <c r="IU57" t="e">
        <f>'All regions'!F1543+"$F;@!$qZ"</f>
        <v>#VALUE!</v>
      </c>
      <c r="IV57" t="e">
        <f>'All regions'!G1543+"$F;@!$q["</f>
        <v>#VALUE!</v>
      </c>
    </row>
    <row r="58" spans="6:256" x14ac:dyDescent="0.35">
      <c r="F58" t="e">
        <f>'All regions'!H1543+"$F;@!$q\"</f>
        <v>#VALUE!</v>
      </c>
      <c r="G58" t="e">
        <f>'All regions'!I1543+"$F;@!$q]"</f>
        <v>#VALUE!</v>
      </c>
      <c r="H58" t="e">
        <f>'All regions'!A1544+"$F;@!$q^"</f>
        <v>#VALUE!</v>
      </c>
      <c r="I58" t="e">
        <f>'All regions'!B1544+"$F;@!$q_"</f>
        <v>#VALUE!</v>
      </c>
      <c r="J58" t="e">
        <f>'All regions'!C1544+"$F;@!$q`"</f>
        <v>#VALUE!</v>
      </c>
      <c r="K58" t="e">
        <f>'All regions'!D1544+"$F;@!$qa"</f>
        <v>#VALUE!</v>
      </c>
      <c r="L58" t="e">
        <f>'All regions'!E1544+"$F;@!$qb"</f>
        <v>#VALUE!</v>
      </c>
      <c r="M58" t="e">
        <f>'All regions'!F1544+"$F;@!$qc"</f>
        <v>#VALUE!</v>
      </c>
      <c r="N58" t="e">
        <f>'All regions'!G1544+"$F;@!$qd"</f>
        <v>#VALUE!</v>
      </c>
      <c r="O58" t="e">
        <f>'All regions'!H1544+"$F;@!$qe"</f>
        <v>#VALUE!</v>
      </c>
      <c r="P58" t="e">
        <f>'All regions'!I1544+"$F;@!$qf"</f>
        <v>#VALUE!</v>
      </c>
      <c r="Q58" t="e">
        <f>'All regions'!A1545+"$F;@!$qg"</f>
        <v>#VALUE!</v>
      </c>
      <c r="R58" t="e">
        <f>'All regions'!B1545+"$F;@!$qh"</f>
        <v>#VALUE!</v>
      </c>
      <c r="S58" t="e">
        <f>'All regions'!C1545+"$F;@!$qi"</f>
        <v>#VALUE!</v>
      </c>
      <c r="T58" t="e">
        <f>'All regions'!D1545+"$F;@!$qj"</f>
        <v>#VALUE!</v>
      </c>
      <c r="U58" t="e">
        <f>'All regions'!E1545+"$F;@!$qk"</f>
        <v>#VALUE!</v>
      </c>
      <c r="V58" t="e">
        <f>'All regions'!F1545+"$F;@!$ql"</f>
        <v>#VALUE!</v>
      </c>
      <c r="W58" t="e">
        <f>'All regions'!G1545+"$F;@!$qm"</f>
        <v>#VALUE!</v>
      </c>
      <c r="X58" t="e">
        <f>'All regions'!H1545+"$F;@!$qn"</f>
        <v>#VALUE!</v>
      </c>
      <c r="Y58" t="e">
        <f>'All regions'!I1545+"$F;@!$qo"</f>
        <v>#VALUE!</v>
      </c>
      <c r="Z58" t="e">
        <f>'All regions'!A1546+"$F;@!$qp"</f>
        <v>#VALUE!</v>
      </c>
      <c r="AA58" t="e">
        <f>'All regions'!B1546+"$F;@!$qq"</f>
        <v>#VALUE!</v>
      </c>
      <c r="AB58" t="e">
        <f>'All regions'!C1546+"$F;@!$qr"</f>
        <v>#VALUE!</v>
      </c>
      <c r="AC58" t="e">
        <f>'All regions'!D1546+"$F;@!$qs"</f>
        <v>#VALUE!</v>
      </c>
      <c r="AD58" t="e">
        <f>'All regions'!E1546+"$F;@!$qt"</f>
        <v>#VALUE!</v>
      </c>
      <c r="AE58" t="e">
        <f>'All regions'!F1546+"$F;@!$qu"</f>
        <v>#VALUE!</v>
      </c>
      <c r="AF58" t="e">
        <f>'All regions'!G1546+"$F;@!$qv"</f>
        <v>#VALUE!</v>
      </c>
      <c r="AG58" t="e">
        <f>'All regions'!H1546+"$F;@!$qw"</f>
        <v>#VALUE!</v>
      </c>
      <c r="AH58" t="e">
        <f>'All regions'!I1546+"$F;@!$qx"</f>
        <v>#VALUE!</v>
      </c>
      <c r="AI58" t="e">
        <f>'All regions'!A1547+"$F;@!$qy"</f>
        <v>#VALUE!</v>
      </c>
      <c r="AJ58" t="e">
        <f>'All regions'!B1547+"$F;@!$qz"</f>
        <v>#VALUE!</v>
      </c>
      <c r="AK58" t="e">
        <f>'All regions'!C1547+"$F;@!$q{"</f>
        <v>#VALUE!</v>
      </c>
      <c r="AL58" t="e">
        <f>'All regions'!D1547+"$F;@!$q|"</f>
        <v>#VALUE!</v>
      </c>
      <c r="AM58" t="e">
        <f>'All regions'!E1547+"$F;@!$q}"</f>
        <v>#VALUE!</v>
      </c>
      <c r="AN58" t="e">
        <f>'All regions'!F1547+"$F;@!$q~"</f>
        <v>#VALUE!</v>
      </c>
      <c r="AO58" t="e">
        <f>'All regions'!G1547+"$F;@!$r#"</f>
        <v>#VALUE!</v>
      </c>
      <c r="AP58" t="e">
        <f>'All regions'!H1547+"$F;@!$r$"</f>
        <v>#VALUE!</v>
      </c>
      <c r="AQ58" t="e">
        <f>'All regions'!I1547+"$F;@!$r%"</f>
        <v>#VALUE!</v>
      </c>
      <c r="AR58" t="e">
        <f>'All regions'!A1548+"$F;@!$r&amp;"</f>
        <v>#VALUE!</v>
      </c>
      <c r="AS58" t="e">
        <f>'All regions'!B1548+"$F;@!$r'"</f>
        <v>#VALUE!</v>
      </c>
      <c r="AT58" t="e">
        <f>'All regions'!C1548+"$F;@!$r("</f>
        <v>#VALUE!</v>
      </c>
      <c r="AU58" t="e">
        <f>'All regions'!D1548+"$F;@!$r)"</f>
        <v>#VALUE!</v>
      </c>
      <c r="AV58" t="e">
        <f>'All regions'!E1548+"$F;@!$r."</f>
        <v>#VALUE!</v>
      </c>
      <c r="AW58" t="e">
        <f>'All regions'!F1548+"$F;@!$r/"</f>
        <v>#VALUE!</v>
      </c>
      <c r="AX58" t="e">
        <f>'All regions'!G1548+"$F;@!$r0"</f>
        <v>#VALUE!</v>
      </c>
      <c r="AY58" t="e">
        <f>'All regions'!H1548+"$F;@!$r1"</f>
        <v>#VALUE!</v>
      </c>
      <c r="AZ58" t="e">
        <f>'All regions'!I1548+"$F;@!$r2"</f>
        <v>#VALUE!</v>
      </c>
      <c r="BA58" t="e">
        <f>'All regions'!A1549+"$F;@!$r3"</f>
        <v>#VALUE!</v>
      </c>
      <c r="BB58" t="e">
        <f>'All regions'!B1549+"$F;@!$r4"</f>
        <v>#VALUE!</v>
      </c>
      <c r="BC58" t="e">
        <f>'All regions'!C1549+"$F;@!$r5"</f>
        <v>#VALUE!</v>
      </c>
      <c r="BD58" t="e">
        <f>'All regions'!D1549+"$F;@!$r6"</f>
        <v>#VALUE!</v>
      </c>
      <c r="BE58" t="e">
        <f>'All regions'!E1549+"$F;@!$r7"</f>
        <v>#VALUE!</v>
      </c>
      <c r="BF58" t="e">
        <f>'All regions'!F1549+"$F;@!$r8"</f>
        <v>#VALUE!</v>
      </c>
      <c r="BG58" t="e">
        <f>'All regions'!G1549+"$F;@!$r9"</f>
        <v>#VALUE!</v>
      </c>
      <c r="BH58" t="e">
        <f>'All regions'!H1549+"$F;@!$r:"</f>
        <v>#VALUE!</v>
      </c>
      <c r="BI58" t="e">
        <f>'All regions'!I1549+"$F;@!$r;"</f>
        <v>#VALUE!</v>
      </c>
      <c r="BJ58" t="e">
        <f>'All regions'!A1550+"$F;@!$r&lt;"</f>
        <v>#VALUE!</v>
      </c>
      <c r="BK58" t="e">
        <f>'All regions'!B1550+"$F;@!$r="</f>
        <v>#VALUE!</v>
      </c>
      <c r="BL58" t="e">
        <f>'All regions'!C1550+"$F;@!$r&gt;"</f>
        <v>#VALUE!</v>
      </c>
      <c r="BM58" t="e">
        <f>'All regions'!D1550+"$F;@!$r?"</f>
        <v>#VALUE!</v>
      </c>
      <c r="BN58" t="e">
        <f>'All regions'!E1550+"$F;@!$r@"</f>
        <v>#VALUE!</v>
      </c>
      <c r="BO58" t="e">
        <f>'All regions'!F1550+"$F;@!$rA"</f>
        <v>#VALUE!</v>
      </c>
      <c r="BP58" t="e">
        <f>'All regions'!G1550+"$F;@!$rB"</f>
        <v>#VALUE!</v>
      </c>
      <c r="BQ58" t="e">
        <f>'All regions'!H1550+"$F;@!$rC"</f>
        <v>#VALUE!</v>
      </c>
      <c r="BR58" t="e">
        <f>'All regions'!I1550+"$F;@!$rD"</f>
        <v>#VALUE!</v>
      </c>
      <c r="BS58" t="e">
        <f>'All regions'!A1551+"$F;@!$rE"</f>
        <v>#VALUE!</v>
      </c>
      <c r="BT58" t="e">
        <f>'All regions'!B1551+"$F;@!$rF"</f>
        <v>#VALUE!</v>
      </c>
      <c r="BU58" t="e">
        <f>'All regions'!C1551+"$F;@!$rG"</f>
        <v>#VALUE!</v>
      </c>
      <c r="BV58" t="e">
        <f>'All regions'!D1551+"$F;@!$rH"</f>
        <v>#VALUE!</v>
      </c>
      <c r="BW58" t="e">
        <f>'All regions'!E1551+"$F;@!$rI"</f>
        <v>#VALUE!</v>
      </c>
      <c r="BX58" t="e">
        <f>'All regions'!F1551+"$F;@!$rJ"</f>
        <v>#VALUE!</v>
      </c>
      <c r="BY58" t="e">
        <f>'All regions'!G1551+"$F;@!$rK"</f>
        <v>#VALUE!</v>
      </c>
      <c r="BZ58" t="e">
        <f>'All regions'!H1551+"$F;@!$rL"</f>
        <v>#VALUE!</v>
      </c>
      <c r="CA58" t="e">
        <f>'All regions'!I1551+"$F;@!$rM"</f>
        <v>#VALUE!</v>
      </c>
      <c r="CB58" t="e">
        <f>'All regions'!A1552+"$F;@!$rN"</f>
        <v>#VALUE!</v>
      </c>
      <c r="CC58" t="e">
        <f>'All regions'!B1552+"$F;@!$rO"</f>
        <v>#VALUE!</v>
      </c>
      <c r="CD58" t="e">
        <f>'All regions'!C1552+"$F;@!$rP"</f>
        <v>#VALUE!</v>
      </c>
      <c r="CE58" t="e">
        <f>'All regions'!D1552+"$F;@!$rQ"</f>
        <v>#VALUE!</v>
      </c>
      <c r="CF58" t="e">
        <f>'All regions'!E1552+"$F;@!$rR"</f>
        <v>#VALUE!</v>
      </c>
      <c r="CG58" t="e">
        <f>'All regions'!F1552+"$F;@!$rS"</f>
        <v>#VALUE!</v>
      </c>
      <c r="CH58" t="e">
        <f>'All regions'!G1552+"$F;@!$rT"</f>
        <v>#VALUE!</v>
      </c>
      <c r="CI58" t="e">
        <f>'All regions'!H1552+"$F;@!$rU"</f>
        <v>#VALUE!</v>
      </c>
      <c r="CJ58" t="e">
        <f>'All regions'!I1552+"$F;@!$rV"</f>
        <v>#VALUE!</v>
      </c>
      <c r="CK58" t="e">
        <f>'All regions'!A1553+"$F;@!$rW"</f>
        <v>#VALUE!</v>
      </c>
      <c r="CL58" t="e">
        <f>'All regions'!B1553+"$F;@!$rX"</f>
        <v>#VALUE!</v>
      </c>
      <c r="CM58" t="e">
        <f>'All regions'!C1553+"$F;@!$rY"</f>
        <v>#VALUE!</v>
      </c>
      <c r="CN58" t="e">
        <f>'All regions'!D1553+"$F;@!$rZ"</f>
        <v>#VALUE!</v>
      </c>
      <c r="CO58" t="e">
        <f>'All regions'!E1553+"$F;@!$r["</f>
        <v>#VALUE!</v>
      </c>
      <c r="CP58" t="e">
        <f>'All regions'!F1553+"$F;@!$r\"</f>
        <v>#VALUE!</v>
      </c>
      <c r="CQ58" t="e">
        <f>'All regions'!G1553+"$F;@!$r]"</f>
        <v>#VALUE!</v>
      </c>
      <c r="CR58" t="e">
        <f>'All regions'!H1553+"$F;@!$r^"</f>
        <v>#VALUE!</v>
      </c>
      <c r="CS58" t="e">
        <f>'All regions'!I1553+"$F;@!$r_"</f>
        <v>#VALUE!</v>
      </c>
      <c r="CT58" t="e">
        <f>'All regions'!A1554+"$F;@!$r`"</f>
        <v>#VALUE!</v>
      </c>
      <c r="CU58" t="e">
        <f>'All regions'!B1554+"$F;@!$ra"</f>
        <v>#VALUE!</v>
      </c>
      <c r="CV58" t="e">
        <f>'All regions'!C1554+"$F;@!$rb"</f>
        <v>#VALUE!</v>
      </c>
      <c r="CW58" t="e">
        <f>'All regions'!D1554+"$F;@!$rc"</f>
        <v>#VALUE!</v>
      </c>
      <c r="CX58" t="e">
        <f>'All regions'!E1554+"$F;@!$rd"</f>
        <v>#VALUE!</v>
      </c>
      <c r="CY58" t="e">
        <f>'All regions'!F1554+"$F;@!$re"</f>
        <v>#VALUE!</v>
      </c>
      <c r="CZ58" t="e">
        <f>'All regions'!G1554+"$F;@!$rf"</f>
        <v>#VALUE!</v>
      </c>
      <c r="DA58" t="e">
        <f>'All regions'!H1554+"$F;@!$rg"</f>
        <v>#VALUE!</v>
      </c>
      <c r="DB58" t="e">
        <f>'All regions'!I1554+"$F;@!$rh"</f>
        <v>#VALUE!</v>
      </c>
      <c r="DC58" t="e">
        <f>'All regions'!A1555+"$F;@!$ri"</f>
        <v>#VALUE!</v>
      </c>
      <c r="DD58" t="e">
        <f>'All regions'!B1555+"$F;@!$rj"</f>
        <v>#VALUE!</v>
      </c>
      <c r="DE58" t="e">
        <f>'All regions'!C1555+"$F;@!$rk"</f>
        <v>#VALUE!</v>
      </c>
      <c r="DF58" t="e">
        <f>'All regions'!D1555+"$F;@!$rl"</f>
        <v>#VALUE!</v>
      </c>
      <c r="DG58" t="e">
        <f>'All regions'!E1555+"$F;@!$rm"</f>
        <v>#VALUE!</v>
      </c>
      <c r="DH58" t="e">
        <f>'All regions'!F1555+"$F;@!$rn"</f>
        <v>#VALUE!</v>
      </c>
      <c r="DI58" t="e">
        <f>'All regions'!G1555+"$F;@!$ro"</f>
        <v>#VALUE!</v>
      </c>
      <c r="DJ58" t="e">
        <f>'All regions'!H1555+"$F;@!$rp"</f>
        <v>#VALUE!</v>
      </c>
      <c r="DK58" t="e">
        <f>'All regions'!I1555+"$F;@!$rq"</f>
        <v>#VALUE!</v>
      </c>
      <c r="DL58" t="e">
        <f>'All regions'!A1556+"$F;@!$rr"</f>
        <v>#VALUE!</v>
      </c>
      <c r="DM58" t="e">
        <f>'All regions'!B1556+"$F;@!$rs"</f>
        <v>#VALUE!</v>
      </c>
      <c r="DN58" t="e">
        <f>'All regions'!C1556+"$F;@!$rt"</f>
        <v>#VALUE!</v>
      </c>
      <c r="DO58" t="e">
        <f>'All regions'!D1556+"$F;@!$ru"</f>
        <v>#VALUE!</v>
      </c>
      <c r="DP58" t="e">
        <f>'All regions'!E1556+"$F;@!$rv"</f>
        <v>#VALUE!</v>
      </c>
      <c r="DQ58" t="e">
        <f>'All regions'!F1556+"$F;@!$rw"</f>
        <v>#VALUE!</v>
      </c>
      <c r="DR58" t="e">
        <f>'All regions'!G1556+"$F;@!$rx"</f>
        <v>#VALUE!</v>
      </c>
      <c r="DS58" t="e">
        <f>'All regions'!H1556+"$F;@!$ry"</f>
        <v>#VALUE!</v>
      </c>
      <c r="DT58" t="e">
        <f>'All regions'!I1556+"$F;@!$rz"</f>
        <v>#VALUE!</v>
      </c>
      <c r="DU58" t="e">
        <f>'All regions'!A1557+"$F;@!$r{"</f>
        <v>#VALUE!</v>
      </c>
      <c r="DV58" t="e">
        <f>'All regions'!B1557+"$F;@!$r|"</f>
        <v>#VALUE!</v>
      </c>
      <c r="DW58" t="e">
        <f>'All regions'!C1557+"$F;@!$r}"</f>
        <v>#VALUE!</v>
      </c>
      <c r="DX58" t="e">
        <f>'All regions'!D1557+"$F;@!$r~"</f>
        <v>#VALUE!</v>
      </c>
      <c r="DY58" t="e">
        <f>'All regions'!E1557+"$F;@!$s#"</f>
        <v>#VALUE!</v>
      </c>
      <c r="DZ58" t="e">
        <f>'All regions'!F1557+"$F;@!$s$"</f>
        <v>#VALUE!</v>
      </c>
      <c r="EA58" t="e">
        <f>'All regions'!G1557+"$F;@!$s%"</f>
        <v>#VALUE!</v>
      </c>
      <c r="EB58" t="e">
        <f>'All regions'!H1557+"$F;@!$s&amp;"</f>
        <v>#VALUE!</v>
      </c>
      <c r="EC58" t="e">
        <f>'All regions'!I1557+"$F;@!$s'"</f>
        <v>#VALUE!</v>
      </c>
      <c r="ED58" t="e">
        <f>'All regions'!A1558+"$F;@!$s("</f>
        <v>#VALUE!</v>
      </c>
      <c r="EE58" t="e">
        <f>'All regions'!B1558+"$F;@!$s)"</f>
        <v>#VALUE!</v>
      </c>
      <c r="EF58" t="e">
        <f>'All regions'!C1558+"$F;@!$s."</f>
        <v>#VALUE!</v>
      </c>
      <c r="EG58" t="e">
        <f>'All regions'!D1558+"$F;@!$s/"</f>
        <v>#VALUE!</v>
      </c>
      <c r="EH58" t="e">
        <f>'All regions'!E1558+"$F;@!$s0"</f>
        <v>#VALUE!</v>
      </c>
      <c r="EI58" t="e">
        <f>'All regions'!F1558+"$F;@!$s1"</f>
        <v>#VALUE!</v>
      </c>
      <c r="EJ58" t="e">
        <f>'All regions'!G1558+"$F;@!$s2"</f>
        <v>#VALUE!</v>
      </c>
      <c r="EK58" t="e">
        <f>'All regions'!H1558+"$F;@!$s3"</f>
        <v>#VALUE!</v>
      </c>
      <c r="EL58" t="e">
        <f>'All regions'!I1558+"$F;@!$s4"</f>
        <v>#VALUE!</v>
      </c>
      <c r="EM58" t="e">
        <f>'All regions'!A1559+"$F;@!$s5"</f>
        <v>#VALUE!</v>
      </c>
      <c r="EN58" t="e">
        <f>'All regions'!B1559+"$F;@!$s6"</f>
        <v>#VALUE!</v>
      </c>
      <c r="EO58" t="e">
        <f>'All regions'!C1559+"$F;@!$s7"</f>
        <v>#VALUE!</v>
      </c>
      <c r="EP58" t="e">
        <f>'All regions'!D1559+"$F;@!$s8"</f>
        <v>#VALUE!</v>
      </c>
      <c r="EQ58" t="e">
        <f>'All regions'!E1559+"$F;@!$s9"</f>
        <v>#VALUE!</v>
      </c>
      <c r="ER58" t="e">
        <f>'All regions'!F1559+"$F;@!$s:"</f>
        <v>#VALUE!</v>
      </c>
      <c r="ES58" t="e">
        <f>'All regions'!G1559+"$F;@!$s;"</f>
        <v>#VALUE!</v>
      </c>
      <c r="ET58" t="e">
        <f>'All regions'!H1559+"$F;@!$s&lt;"</f>
        <v>#VALUE!</v>
      </c>
      <c r="EU58" t="e">
        <f>'All regions'!I1559+"$F;@!$s="</f>
        <v>#VALUE!</v>
      </c>
      <c r="EV58" t="e">
        <f>'All regions'!A1560+"$F;@!$s&gt;"</f>
        <v>#VALUE!</v>
      </c>
      <c r="EW58" t="e">
        <f>'All regions'!B1560+"$F;@!$s?"</f>
        <v>#VALUE!</v>
      </c>
      <c r="EX58" t="e">
        <f>'All regions'!C1560+"$F;@!$s@"</f>
        <v>#VALUE!</v>
      </c>
      <c r="EY58" t="e">
        <f>'All regions'!D1560+"$F;@!$sA"</f>
        <v>#VALUE!</v>
      </c>
      <c r="EZ58" t="e">
        <f>'All regions'!E1560+"$F;@!$sB"</f>
        <v>#VALUE!</v>
      </c>
      <c r="FA58" t="e">
        <f>'All regions'!F1560+"$F;@!$sC"</f>
        <v>#VALUE!</v>
      </c>
      <c r="FB58" t="e">
        <f>'All regions'!G1560+"$F;@!$sD"</f>
        <v>#VALUE!</v>
      </c>
      <c r="FC58" t="e">
        <f>'All regions'!H1560+"$F;@!$sE"</f>
        <v>#VALUE!</v>
      </c>
      <c r="FD58" t="e">
        <f>'All regions'!I1560+"$F;@!$sF"</f>
        <v>#VALUE!</v>
      </c>
      <c r="FE58" t="e">
        <f>'All regions'!A1561+"$F;@!$sG"</f>
        <v>#VALUE!</v>
      </c>
      <c r="FF58" t="e">
        <f>'All regions'!B1561+"$F;@!$sH"</f>
        <v>#VALUE!</v>
      </c>
      <c r="FG58" t="e">
        <f>'All regions'!C1561+"$F;@!$sI"</f>
        <v>#VALUE!</v>
      </c>
      <c r="FH58" t="e">
        <f>'All regions'!D1561+"$F;@!$sJ"</f>
        <v>#VALUE!</v>
      </c>
      <c r="FI58" t="e">
        <f>'All regions'!E1561+"$F;@!$sK"</f>
        <v>#VALUE!</v>
      </c>
      <c r="FJ58" t="e">
        <f>'All regions'!F1561+"$F;@!$sL"</f>
        <v>#VALUE!</v>
      </c>
      <c r="FK58" t="e">
        <f>'All regions'!G1561+"$F;@!$sM"</f>
        <v>#VALUE!</v>
      </c>
      <c r="FL58" t="e">
        <f>'All regions'!H1561+"$F;@!$sN"</f>
        <v>#VALUE!</v>
      </c>
      <c r="FM58" t="e">
        <f>'All regions'!I1561+"$F;@!$sO"</f>
        <v>#VALUE!</v>
      </c>
      <c r="FN58" t="e">
        <f>'All regions'!A1562+"$F;@!$sP"</f>
        <v>#VALUE!</v>
      </c>
      <c r="FO58" t="e">
        <f>'All regions'!B1562+"$F;@!$sQ"</f>
        <v>#VALUE!</v>
      </c>
      <c r="FP58" t="e">
        <f>'All regions'!C1562+"$F;@!$sR"</f>
        <v>#VALUE!</v>
      </c>
      <c r="FQ58" t="e">
        <f>'All regions'!D1562+"$F;@!$sS"</f>
        <v>#VALUE!</v>
      </c>
      <c r="FR58" t="e">
        <f>'All regions'!E1562+"$F;@!$sT"</f>
        <v>#VALUE!</v>
      </c>
      <c r="FS58" t="e">
        <f>'All regions'!F1562+"$F;@!$sU"</f>
        <v>#VALUE!</v>
      </c>
      <c r="FT58" t="e">
        <f>'All regions'!G1562+"$F;@!$sV"</f>
        <v>#VALUE!</v>
      </c>
      <c r="FU58" t="e">
        <f>'All regions'!H1562+"$F;@!$sW"</f>
        <v>#VALUE!</v>
      </c>
      <c r="FV58" t="e">
        <f>'All regions'!I1562+"$F;@!$sX"</f>
        <v>#VALUE!</v>
      </c>
      <c r="FW58" t="e">
        <f>'All regions'!A1563+"$F;@!$sY"</f>
        <v>#VALUE!</v>
      </c>
      <c r="FX58" t="e">
        <f>'All regions'!B1563+"$F;@!$sZ"</f>
        <v>#VALUE!</v>
      </c>
      <c r="FY58" t="e">
        <f>'All regions'!C1563+"$F;@!$s["</f>
        <v>#VALUE!</v>
      </c>
      <c r="FZ58" t="e">
        <f>'All regions'!D1563+"$F;@!$s\"</f>
        <v>#VALUE!</v>
      </c>
      <c r="GA58" t="e">
        <f>'All regions'!E1563+"$F;@!$s]"</f>
        <v>#VALUE!</v>
      </c>
      <c r="GB58" t="e">
        <f>'All regions'!F1563+"$F;@!$s^"</f>
        <v>#VALUE!</v>
      </c>
      <c r="GC58" t="e">
        <f>'All regions'!G1563+"$F;@!$s_"</f>
        <v>#VALUE!</v>
      </c>
      <c r="GD58" t="e">
        <f>'All regions'!H1563+"$F;@!$s`"</f>
        <v>#VALUE!</v>
      </c>
      <c r="GE58" t="e">
        <f>'All regions'!I1563+"$F;@!$sa"</f>
        <v>#VALUE!</v>
      </c>
      <c r="GF58" t="e">
        <f>'All regions'!A1564+"$F;@!$sb"</f>
        <v>#VALUE!</v>
      </c>
      <c r="GG58" t="e">
        <f>'All regions'!B1564+"$F;@!$sc"</f>
        <v>#VALUE!</v>
      </c>
      <c r="GH58" t="e">
        <f>'All regions'!C1564+"$F;@!$sd"</f>
        <v>#VALUE!</v>
      </c>
      <c r="GI58" t="e">
        <f>'All regions'!D1564+"$F;@!$se"</f>
        <v>#VALUE!</v>
      </c>
      <c r="GJ58" t="e">
        <f>'All regions'!E1564+"$F;@!$sf"</f>
        <v>#VALUE!</v>
      </c>
      <c r="GK58" t="e">
        <f>'All regions'!F1564+"$F;@!$sg"</f>
        <v>#VALUE!</v>
      </c>
      <c r="GL58" t="e">
        <f>'All regions'!G1564+"$F;@!$sh"</f>
        <v>#VALUE!</v>
      </c>
      <c r="GM58" t="e">
        <f>'All regions'!H1564+"$F;@!$si"</f>
        <v>#VALUE!</v>
      </c>
      <c r="GN58" t="e">
        <f>'All regions'!I1564+"$F;@!$sj"</f>
        <v>#VALUE!</v>
      </c>
      <c r="GO58" t="e">
        <f>'All regions'!A1565+"$F;@!$sk"</f>
        <v>#VALUE!</v>
      </c>
      <c r="GP58" t="e">
        <f>'All regions'!B1565+"$F;@!$sl"</f>
        <v>#VALUE!</v>
      </c>
      <c r="GQ58" t="e">
        <f>'All regions'!C1565+"$F;@!$sm"</f>
        <v>#VALUE!</v>
      </c>
      <c r="GR58" t="e">
        <f>'All regions'!D1565+"$F;@!$sn"</f>
        <v>#VALUE!</v>
      </c>
      <c r="GS58" t="e">
        <f>'All regions'!E1565+"$F;@!$so"</f>
        <v>#VALUE!</v>
      </c>
      <c r="GT58" t="e">
        <f>'All regions'!F1565+"$F;@!$sp"</f>
        <v>#VALUE!</v>
      </c>
      <c r="GU58" t="e">
        <f>'All regions'!G1565+"$F;@!$sq"</f>
        <v>#VALUE!</v>
      </c>
      <c r="GV58" t="e">
        <f>'All regions'!H1565+"$F;@!$sr"</f>
        <v>#VALUE!</v>
      </c>
      <c r="GW58" t="e">
        <f>'All regions'!I1565+"$F;@!$ss"</f>
        <v>#VALUE!</v>
      </c>
      <c r="GX58" t="e">
        <f>'All regions'!A1566+"$F;@!$st"</f>
        <v>#VALUE!</v>
      </c>
      <c r="GY58" t="e">
        <f>'All regions'!B1566+"$F;@!$su"</f>
        <v>#VALUE!</v>
      </c>
      <c r="GZ58" t="e">
        <f>'All regions'!C1566+"$F;@!$sv"</f>
        <v>#VALUE!</v>
      </c>
      <c r="HA58" t="e">
        <f>'All regions'!D1566+"$F;@!$sw"</f>
        <v>#VALUE!</v>
      </c>
      <c r="HB58" t="e">
        <f>'All regions'!E1566+"$F;@!$sx"</f>
        <v>#VALUE!</v>
      </c>
      <c r="HC58" t="e">
        <f>'All regions'!F1566+"$F;@!$sy"</f>
        <v>#VALUE!</v>
      </c>
      <c r="HD58" t="e">
        <f>'All regions'!G1566+"$F;@!$sz"</f>
        <v>#VALUE!</v>
      </c>
      <c r="HE58" t="e">
        <f>'All regions'!H1566+"$F;@!$s{"</f>
        <v>#VALUE!</v>
      </c>
      <c r="HF58" t="e">
        <f>'All regions'!I1566+"$F;@!$s|"</f>
        <v>#VALUE!</v>
      </c>
      <c r="HG58" t="e">
        <f>'All regions'!A1567+"$F;@!$s}"</f>
        <v>#VALUE!</v>
      </c>
      <c r="HH58" t="e">
        <f>'All regions'!B1567+"$F;@!$s~"</f>
        <v>#VALUE!</v>
      </c>
      <c r="HI58" t="e">
        <f>'All regions'!C1567+"$F;@!$t#"</f>
        <v>#VALUE!</v>
      </c>
      <c r="HJ58" t="e">
        <f>'All regions'!D1567+"$F;@!$t$"</f>
        <v>#VALUE!</v>
      </c>
      <c r="HK58" t="e">
        <f>'All regions'!E1567+"$F;@!$t%"</f>
        <v>#VALUE!</v>
      </c>
      <c r="HL58" t="e">
        <f>'All regions'!F1567+"$F;@!$t&amp;"</f>
        <v>#VALUE!</v>
      </c>
      <c r="HM58" t="e">
        <f>'All regions'!G1567+"$F;@!$t'"</f>
        <v>#VALUE!</v>
      </c>
      <c r="HN58" t="e">
        <f>'All regions'!H1567+"$F;@!$t("</f>
        <v>#VALUE!</v>
      </c>
      <c r="HO58" t="e">
        <f>'All regions'!I1567+"$F;@!$t)"</f>
        <v>#VALUE!</v>
      </c>
      <c r="HP58" t="e">
        <f>'All regions'!A1568+"$F;@!$t."</f>
        <v>#VALUE!</v>
      </c>
      <c r="HQ58" t="e">
        <f>'All regions'!B1568+"$F;@!$t/"</f>
        <v>#VALUE!</v>
      </c>
      <c r="HR58" t="e">
        <f>'All regions'!C1568+"$F;@!$t0"</f>
        <v>#VALUE!</v>
      </c>
      <c r="HS58" t="e">
        <f>'All regions'!D1568+"$F;@!$t1"</f>
        <v>#VALUE!</v>
      </c>
      <c r="HT58" t="e">
        <f>'All regions'!E1568+"$F;@!$t2"</f>
        <v>#VALUE!</v>
      </c>
      <c r="HU58" t="e">
        <f>'All regions'!F1568+"$F;@!$t3"</f>
        <v>#VALUE!</v>
      </c>
      <c r="HV58" t="e">
        <f>'All regions'!G1568+"$F;@!$t4"</f>
        <v>#VALUE!</v>
      </c>
      <c r="HW58" t="e">
        <f>'All regions'!H1568+"$F;@!$t5"</f>
        <v>#VALUE!</v>
      </c>
      <c r="HX58" t="e">
        <f>'All regions'!I1568+"$F;@!$t6"</f>
        <v>#VALUE!</v>
      </c>
      <c r="HY58" t="e">
        <f>'All regions'!A1569+"$F;@!$t7"</f>
        <v>#VALUE!</v>
      </c>
      <c r="HZ58" t="e">
        <f>'All regions'!B1569+"$F;@!$t8"</f>
        <v>#VALUE!</v>
      </c>
      <c r="IA58" t="e">
        <f>'All regions'!C1569+"$F;@!$t9"</f>
        <v>#VALUE!</v>
      </c>
      <c r="IB58" t="e">
        <f>'All regions'!D1569+"$F;@!$t:"</f>
        <v>#VALUE!</v>
      </c>
      <c r="IC58" t="e">
        <f>'All regions'!E1569+"$F;@!$t;"</f>
        <v>#VALUE!</v>
      </c>
      <c r="ID58" t="e">
        <f>'All regions'!F1569+"$F;@!$t&lt;"</f>
        <v>#VALUE!</v>
      </c>
      <c r="IE58" t="e">
        <f>'All regions'!G1569+"$F;@!$t="</f>
        <v>#VALUE!</v>
      </c>
      <c r="IF58" t="e">
        <f>'All regions'!H1569+"$F;@!$t&gt;"</f>
        <v>#VALUE!</v>
      </c>
      <c r="IG58" t="e">
        <f>'All regions'!I1569+"$F;@!$t?"</f>
        <v>#VALUE!</v>
      </c>
      <c r="IH58" t="e">
        <f>'All regions'!A1570+"$F;@!$t@"</f>
        <v>#VALUE!</v>
      </c>
      <c r="II58" t="e">
        <f>'All regions'!B1570+"$F;@!$tA"</f>
        <v>#VALUE!</v>
      </c>
      <c r="IJ58" t="e">
        <f>'All regions'!C1570+"$F;@!$tB"</f>
        <v>#VALUE!</v>
      </c>
      <c r="IK58" t="e">
        <f>'All regions'!D1570+"$F;@!$tC"</f>
        <v>#VALUE!</v>
      </c>
      <c r="IL58" t="e">
        <f>'All regions'!E1570+"$F;@!$tD"</f>
        <v>#VALUE!</v>
      </c>
      <c r="IM58" t="e">
        <f>'All regions'!F1570+"$F;@!$tE"</f>
        <v>#VALUE!</v>
      </c>
      <c r="IN58" t="e">
        <f>'All regions'!G1570+"$F;@!$tF"</f>
        <v>#VALUE!</v>
      </c>
      <c r="IO58" t="e">
        <f>'All regions'!H1570+"$F;@!$tG"</f>
        <v>#VALUE!</v>
      </c>
      <c r="IP58" t="e">
        <f>'All regions'!I1570+"$F;@!$tH"</f>
        <v>#VALUE!</v>
      </c>
      <c r="IQ58" t="e">
        <f>'All regions'!A1571+"$F;@!$tI"</f>
        <v>#VALUE!</v>
      </c>
      <c r="IR58" t="e">
        <f>'All regions'!B1571+"$F;@!$tJ"</f>
        <v>#VALUE!</v>
      </c>
      <c r="IS58" t="e">
        <f>'All regions'!C1571+"$F;@!$tK"</f>
        <v>#VALUE!</v>
      </c>
      <c r="IT58" t="e">
        <f>'All regions'!D1571+"$F;@!$tL"</f>
        <v>#VALUE!</v>
      </c>
      <c r="IU58" t="e">
        <f>'All regions'!E1571+"$F;@!$tM"</f>
        <v>#VALUE!</v>
      </c>
      <c r="IV58" t="e">
        <f>'All regions'!F1571+"$F;@!$tN"</f>
        <v>#VALUE!</v>
      </c>
    </row>
    <row r="59" spans="6:256" x14ac:dyDescent="0.35">
      <c r="F59" t="e">
        <f>'All regions'!G1571+"$F;@!$tO"</f>
        <v>#VALUE!</v>
      </c>
      <c r="G59" t="e">
        <f>'All regions'!H1571+"$F;@!$tP"</f>
        <v>#VALUE!</v>
      </c>
      <c r="H59" t="e">
        <f>'All regions'!I1571+"$F;@!$tQ"</f>
        <v>#VALUE!</v>
      </c>
      <c r="I59" t="e">
        <f>'All regions'!A1572+"$F;@!$tR"</f>
        <v>#VALUE!</v>
      </c>
      <c r="J59" t="e">
        <f>'All regions'!B1572+"$F;@!$tS"</f>
        <v>#VALUE!</v>
      </c>
      <c r="K59" t="e">
        <f>'All regions'!C1572+"$F;@!$tT"</f>
        <v>#VALUE!</v>
      </c>
      <c r="L59" t="e">
        <f>'All regions'!D1572+"$F;@!$tU"</f>
        <v>#VALUE!</v>
      </c>
      <c r="M59" t="e">
        <f>'All regions'!E1572+"$F;@!$tV"</f>
        <v>#VALUE!</v>
      </c>
      <c r="N59" t="e">
        <f>'All regions'!F1572+"$F;@!$tW"</f>
        <v>#VALUE!</v>
      </c>
      <c r="O59" t="e">
        <f>'All regions'!G1572+"$F;@!$tX"</f>
        <v>#VALUE!</v>
      </c>
      <c r="P59" t="e">
        <f>'All regions'!H1572+"$F;@!$tY"</f>
        <v>#VALUE!</v>
      </c>
      <c r="Q59" t="e">
        <f>'All regions'!I1572+"$F;@!$tZ"</f>
        <v>#VALUE!</v>
      </c>
      <c r="R59" t="e">
        <f>'All regions'!A1573+"$F;@!$t["</f>
        <v>#VALUE!</v>
      </c>
      <c r="S59" t="e">
        <f>'All regions'!B1573+"$F;@!$t\"</f>
        <v>#VALUE!</v>
      </c>
      <c r="T59" t="e">
        <f>'All regions'!C1573+"$F;@!$t]"</f>
        <v>#VALUE!</v>
      </c>
      <c r="U59" t="e">
        <f>'All regions'!D1573+"$F;@!$t^"</f>
        <v>#VALUE!</v>
      </c>
      <c r="V59" t="e">
        <f>'All regions'!E1573+"$F;@!$t_"</f>
        <v>#VALUE!</v>
      </c>
      <c r="W59" t="e">
        <f>'All regions'!F1573+"$F;@!$t`"</f>
        <v>#VALUE!</v>
      </c>
      <c r="X59" t="e">
        <f>'All regions'!G1573+"$F;@!$ta"</f>
        <v>#VALUE!</v>
      </c>
      <c r="Y59" t="e">
        <f>'All regions'!H1573+"$F;@!$tb"</f>
        <v>#VALUE!</v>
      </c>
      <c r="Z59" t="e">
        <f>'All regions'!I1573+"$F;@!$tc"</f>
        <v>#VALUE!</v>
      </c>
      <c r="AA59" t="e">
        <f>'All regions'!A1574+"$F;@!$td"</f>
        <v>#VALUE!</v>
      </c>
      <c r="AB59" t="e">
        <f>'All regions'!B1574+"$F;@!$te"</f>
        <v>#VALUE!</v>
      </c>
      <c r="AC59" t="e">
        <f>'All regions'!C1574+"$F;@!$tf"</f>
        <v>#VALUE!</v>
      </c>
      <c r="AD59" t="e">
        <f>'All regions'!D1574+"$F;@!$tg"</f>
        <v>#VALUE!</v>
      </c>
      <c r="AE59" t="e">
        <f>'All regions'!E1574+"$F;@!$th"</f>
        <v>#VALUE!</v>
      </c>
      <c r="AF59" t="e">
        <f>'All regions'!F1574+"$F;@!$ti"</f>
        <v>#VALUE!</v>
      </c>
      <c r="AG59" t="e">
        <f>'All regions'!G1574+"$F;@!$tj"</f>
        <v>#VALUE!</v>
      </c>
      <c r="AH59" t="e">
        <f>'All regions'!H1574+"$F;@!$tk"</f>
        <v>#VALUE!</v>
      </c>
      <c r="AI59" t="e">
        <f>'All regions'!I1574+"$F;@!$tl"</f>
        <v>#VALUE!</v>
      </c>
      <c r="AJ59" t="e">
        <f>'All regions'!A1575+"$F;@!$tm"</f>
        <v>#VALUE!</v>
      </c>
      <c r="AK59" t="e">
        <f>'All regions'!B1575+"$F;@!$tn"</f>
        <v>#VALUE!</v>
      </c>
      <c r="AL59" t="e">
        <f>'All regions'!C1575+"$F;@!$to"</f>
        <v>#VALUE!</v>
      </c>
      <c r="AM59" t="e">
        <f>'All regions'!D1575+"$F;@!$tp"</f>
        <v>#VALUE!</v>
      </c>
      <c r="AN59" t="e">
        <f>'All regions'!E1575+"$F;@!$tq"</f>
        <v>#VALUE!</v>
      </c>
      <c r="AO59" t="e">
        <f>'All regions'!F1575+"$F;@!$tr"</f>
        <v>#VALUE!</v>
      </c>
      <c r="AP59" t="e">
        <f>'All regions'!G1575+"$F;@!$ts"</f>
        <v>#VALUE!</v>
      </c>
      <c r="AQ59" t="e">
        <f>'All regions'!H1575+"$F;@!$tt"</f>
        <v>#VALUE!</v>
      </c>
      <c r="AR59" t="e">
        <f>'All regions'!I1575+"$F;@!$tu"</f>
        <v>#VALUE!</v>
      </c>
      <c r="AS59" t="e">
        <f>'All regions'!A1576+"$F;@!$tv"</f>
        <v>#VALUE!</v>
      </c>
      <c r="AT59" t="e">
        <f>'All regions'!B1576+"$F;@!$tw"</f>
        <v>#VALUE!</v>
      </c>
      <c r="AU59" t="e">
        <f>'All regions'!C1576+"$F;@!$tx"</f>
        <v>#VALUE!</v>
      </c>
      <c r="AV59" t="e">
        <f>'All regions'!D1576+"$F;@!$ty"</f>
        <v>#VALUE!</v>
      </c>
      <c r="AW59" t="e">
        <f>'All regions'!E1576+"$F;@!$tz"</f>
        <v>#VALUE!</v>
      </c>
      <c r="AX59" t="e">
        <f>'All regions'!F1576+"$F;@!$t{"</f>
        <v>#VALUE!</v>
      </c>
      <c r="AY59" t="e">
        <f>'All regions'!G1576+"$F;@!$t|"</f>
        <v>#VALUE!</v>
      </c>
      <c r="AZ59" t="e">
        <f>'All regions'!H1576+"$F;@!$t}"</f>
        <v>#VALUE!</v>
      </c>
      <c r="BA59" t="e">
        <f>'All regions'!I1576+"$F;@!$t~"</f>
        <v>#VALUE!</v>
      </c>
      <c r="BB59" t="e">
        <f>'All regions'!A1577+"$F;@!$u#"</f>
        <v>#VALUE!</v>
      </c>
      <c r="BC59" t="e">
        <f>'All regions'!B1577+"$F;@!$u$"</f>
        <v>#VALUE!</v>
      </c>
      <c r="BD59" t="e">
        <f>'All regions'!C1577+"$F;@!$u%"</f>
        <v>#VALUE!</v>
      </c>
      <c r="BE59" t="e">
        <f>'All regions'!D1577+"$F;@!$u&amp;"</f>
        <v>#VALUE!</v>
      </c>
      <c r="BF59" t="e">
        <f>'All regions'!E1577+"$F;@!$u'"</f>
        <v>#VALUE!</v>
      </c>
      <c r="BG59" t="e">
        <f>'All regions'!F1577+"$F;@!$u("</f>
        <v>#VALUE!</v>
      </c>
      <c r="BH59" t="e">
        <f>'All regions'!G1577+"$F;@!$u)"</f>
        <v>#VALUE!</v>
      </c>
      <c r="BI59" t="e">
        <f>'All regions'!H1577+"$F;@!$u."</f>
        <v>#VALUE!</v>
      </c>
      <c r="BJ59" t="e">
        <f>'All regions'!I1577+"$F;@!$u/"</f>
        <v>#VALUE!</v>
      </c>
      <c r="BK59" t="e">
        <f>'All regions'!A1578+"$F;@!$u0"</f>
        <v>#VALUE!</v>
      </c>
      <c r="BL59" t="e">
        <f>'All regions'!B1578+"$F;@!$u1"</f>
        <v>#VALUE!</v>
      </c>
      <c r="BM59" t="e">
        <f>'All regions'!C1578+"$F;@!$u2"</f>
        <v>#VALUE!</v>
      </c>
      <c r="BN59" t="e">
        <f>'All regions'!D1578+"$F;@!$u3"</f>
        <v>#VALUE!</v>
      </c>
      <c r="BO59" t="e">
        <f>'All regions'!E1578+"$F;@!$u4"</f>
        <v>#VALUE!</v>
      </c>
      <c r="BP59" t="e">
        <f>'All regions'!F1578+"$F;@!$u5"</f>
        <v>#VALUE!</v>
      </c>
      <c r="BQ59" t="e">
        <f>'All regions'!G1578+"$F;@!$u6"</f>
        <v>#VALUE!</v>
      </c>
      <c r="BR59" t="e">
        <f>'All regions'!H1578+"$F;@!$u7"</f>
        <v>#VALUE!</v>
      </c>
      <c r="BS59" t="e">
        <f>'All regions'!I1578+"$F;@!$u8"</f>
        <v>#VALUE!</v>
      </c>
      <c r="BT59" t="e">
        <f>'All regions'!A1579+"$F;@!$u9"</f>
        <v>#VALUE!</v>
      </c>
      <c r="BU59" t="e">
        <f>'All regions'!B1579+"$F;@!$u:"</f>
        <v>#VALUE!</v>
      </c>
      <c r="BV59" t="e">
        <f>'All regions'!C1579+"$F;@!$u;"</f>
        <v>#VALUE!</v>
      </c>
      <c r="BW59" t="e">
        <f>'All regions'!D1579+"$F;@!$u&lt;"</f>
        <v>#VALUE!</v>
      </c>
      <c r="BX59" t="e">
        <f>'All regions'!E1579+"$F;@!$u="</f>
        <v>#VALUE!</v>
      </c>
      <c r="BY59" t="e">
        <f>'All regions'!F1579+"$F;@!$u&gt;"</f>
        <v>#VALUE!</v>
      </c>
      <c r="BZ59" t="e">
        <f>'All regions'!G1579+"$F;@!$u?"</f>
        <v>#VALUE!</v>
      </c>
      <c r="CA59" t="e">
        <f>'All regions'!H1579+"$F;@!$u@"</f>
        <v>#VALUE!</v>
      </c>
      <c r="CB59" t="e">
        <f>'All regions'!I1579+"$F;@!$uA"</f>
        <v>#VALUE!</v>
      </c>
      <c r="CC59" t="e">
        <f>'All regions'!A1580+"$F;@!$uB"</f>
        <v>#VALUE!</v>
      </c>
      <c r="CD59" t="e">
        <f>'All regions'!B1580+"$F;@!$uC"</f>
        <v>#VALUE!</v>
      </c>
      <c r="CE59" t="e">
        <f>'All regions'!C1580+"$F;@!$uD"</f>
        <v>#VALUE!</v>
      </c>
      <c r="CF59" t="e">
        <f>'All regions'!D1580+"$F;@!$uE"</f>
        <v>#VALUE!</v>
      </c>
      <c r="CG59" t="e">
        <f>'All regions'!E1580+"$F;@!$uF"</f>
        <v>#VALUE!</v>
      </c>
      <c r="CH59" t="e">
        <f>'All regions'!F1580+"$F;@!$uG"</f>
        <v>#VALUE!</v>
      </c>
      <c r="CI59" t="e">
        <f>'All regions'!G1580+"$F;@!$uH"</f>
        <v>#VALUE!</v>
      </c>
      <c r="CJ59" t="e">
        <f>'All regions'!H1580+"$F;@!$uI"</f>
        <v>#VALUE!</v>
      </c>
      <c r="CK59" t="e">
        <f>'All regions'!I1580+"$F;@!$uJ"</f>
        <v>#VALUE!</v>
      </c>
      <c r="CL59" t="e">
        <f>'All regions'!A1581+"$F;@!$uK"</f>
        <v>#VALUE!</v>
      </c>
      <c r="CM59" t="e">
        <f>'All regions'!B1581+"$F;@!$uL"</f>
        <v>#VALUE!</v>
      </c>
      <c r="CN59" t="e">
        <f>'All regions'!C1581+"$F;@!$uM"</f>
        <v>#VALUE!</v>
      </c>
      <c r="CO59" t="e">
        <f>'All regions'!D1581+"$F;@!$uN"</f>
        <v>#VALUE!</v>
      </c>
      <c r="CP59" t="e">
        <f>'All regions'!E1581+"$F;@!$uO"</f>
        <v>#VALUE!</v>
      </c>
      <c r="CQ59" t="e">
        <f>'All regions'!F1581+"$F;@!$uP"</f>
        <v>#VALUE!</v>
      </c>
      <c r="CR59" t="e">
        <f>'All regions'!G1581+"$F;@!$uQ"</f>
        <v>#VALUE!</v>
      </c>
      <c r="CS59" t="e">
        <f>'All regions'!H1581+"$F;@!$uR"</f>
        <v>#VALUE!</v>
      </c>
      <c r="CT59" t="e">
        <f>'All regions'!I1581+"$F;@!$uS"</f>
        <v>#VALUE!</v>
      </c>
      <c r="CU59" t="e">
        <f>'All regions'!A1582+"$F;@!$uT"</f>
        <v>#VALUE!</v>
      </c>
      <c r="CV59" t="e">
        <f>'All regions'!B1582+"$F;@!$uU"</f>
        <v>#VALUE!</v>
      </c>
      <c r="CW59" t="e">
        <f>'All regions'!C1582+"$F;@!$uV"</f>
        <v>#VALUE!</v>
      </c>
      <c r="CX59" t="e">
        <f>'All regions'!D1582+"$F;@!$uW"</f>
        <v>#VALUE!</v>
      </c>
      <c r="CY59" t="e">
        <f>'All regions'!E1582+"$F;@!$uX"</f>
        <v>#VALUE!</v>
      </c>
      <c r="CZ59" t="e">
        <f>'All regions'!F1582+"$F;@!$uY"</f>
        <v>#VALUE!</v>
      </c>
      <c r="DA59" t="e">
        <f>'All regions'!G1582+"$F;@!$uZ"</f>
        <v>#VALUE!</v>
      </c>
      <c r="DB59" t="e">
        <f>'All regions'!H1582+"$F;@!$u["</f>
        <v>#VALUE!</v>
      </c>
      <c r="DC59" t="e">
        <f>'All regions'!I1582+"$F;@!$u\"</f>
        <v>#VALUE!</v>
      </c>
      <c r="DD59" t="e">
        <f>'All regions'!A1583+"$F;@!$u]"</f>
        <v>#VALUE!</v>
      </c>
      <c r="DE59" t="e">
        <f>'All regions'!B1583+"$F;@!$u^"</f>
        <v>#VALUE!</v>
      </c>
      <c r="DF59" t="e">
        <f>'All regions'!C1583+"$F;@!$u_"</f>
        <v>#VALUE!</v>
      </c>
      <c r="DG59" t="e">
        <f>'All regions'!D1583+"$F;@!$u`"</f>
        <v>#VALUE!</v>
      </c>
      <c r="DH59" t="e">
        <f>'All regions'!E1583+"$F;@!$ua"</f>
        <v>#VALUE!</v>
      </c>
      <c r="DI59" t="e">
        <f>'All regions'!F1583+"$F;@!$ub"</f>
        <v>#VALUE!</v>
      </c>
      <c r="DJ59" t="e">
        <f>'All regions'!G1583+"$F;@!$uc"</f>
        <v>#VALUE!</v>
      </c>
      <c r="DK59" t="e">
        <f>'All regions'!H1583+"$F;@!$ud"</f>
        <v>#VALUE!</v>
      </c>
      <c r="DL59" t="e">
        <f>'All regions'!I1583+"$F;@!$ue"</f>
        <v>#VALUE!</v>
      </c>
      <c r="DM59" t="e">
        <f>'All regions'!A1584+"$F;@!$uf"</f>
        <v>#VALUE!</v>
      </c>
      <c r="DN59" t="e">
        <f>'All regions'!B1584+"$F;@!$ug"</f>
        <v>#VALUE!</v>
      </c>
      <c r="DO59" t="e">
        <f>'All regions'!C1584+"$F;@!$uh"</f>
        <v>#VALUE!</v>
      </c>
      <c r="DP59" t="e">
        <f>'All regions'!D1584+"$F;@!$ui"</f>
        <v>#VALUE!</v>
      </c>
      <c r="DQ59" t="e">
        <f>'All regions'!E1584+"$F;@!$uj"</f>
        <v>#VALUE!</v>
      </c>
      <c r="DR59" t="e">
        <f>'All regions'!F1584+"$F;@!$uk"</f>
        <v>#VALUE!</v>
      </c>
      <c r="DS59" t="e">
        <f>'All regions'!G1584+"$F;@!$ul"</f>
        <v>#VALUE!</v>
      </c>
      <c r="DT59" t="e">
        <f>'All regions'!H1584+"$F;@!$um"</f>
        <v>#VALUE!</v>
      </c>
      <c r="DU59" t="e">
        <f>'All regions'!I1584+"$F;@!$un"</f>
        <v>#VALUE!</v>
      </c>
      <c r="DV59" t="e">
        <f>'All regions'!A1585+"$F;@!$uo"</f>
        <v>#VALUE!</v>
      </c>
      <c r="DW59" t="e">
        <f>'All regions'!B1585+"$F;@!$up"</f>
        <v>#VALUE!</v>
      </c>
      <c r="DX59" t="e">
        <f>'All regions'!C1585+"$F;@!$uq"</f>
        <v>#VALUE!</v>
      </c>
      <c r="DY59" t="e">
        <f>'All regions'!D1585+"$F;@!$ur"</f>
        <v>#VALUE!</v>
      </c>
      <c r="DZ59" t="e">
        <f>'All regions'!E1585+"$F;@!$us"</f>
        <v>#VALUE!</v>
      </c>
      <c r="EA59" t="e">
        <f>'All regions'!F1585+"$F;@!$ut"</f>
        <v>#VALUE!</v>
      </c>
      <c r="EB59" t="e">
        <f>'All regions'!G1585+"$F;@!$uu"</f>
        <v>#VALUE!</v>
      </c>
      <c r="EC59" t="e">
        <f>'All regions'!H1585+"$F;@!$uv"</f>
        <v>#VALUE!</v>
      </c>
      <c r="ED59" t="e">
        <f>'All regions'!I1585+"$F;@!$uw"</f>
        <v>#VALUE!</v>
      </c>
      <c r="EE59" t="e">
        <f>'All regions'!A1586+"$F;@!$ux"</f>
        <v>#VALUE!</v>
      </c>
      <c r="EF59" t="e">
        <f>'All regions'!B1586+"$F;@!$uy"</f>
        <v>#VALUE!</v>
      </c>
      <c r="EG59" t="e">
        <f>'All regions'!C1586+"$F;@!$uz"</f>
        <v>#VALUE!</v>
      </c>
      <c r="EH59" t="e">
        <f>'All regions'!D1586+"$F;@!$u{"</f>
        <v>#VALUE!</v>
      </c>
      <c r="EI59" t="e">
        <f>'All regions'!E1586+"$F;@!$u|"</f>
        <v>#VALUE!</v>
      </c>
      <c r="EJ59" t="e">
        <f>'All regions'!F1586+"$F;@!$u}"</f>
        <v>#VALUE!</v>
      </c>
      <c r="EK59" t="e">
        <f>'All regions'!G1586+"$F;@!$u~"</f>
        <v>#VALUE!</v>
      </c>
      <c r="EL59" t="e">
        <f>'All regions'!H1586+"$F;@!$v#"</f>
        <v>#VALUE!</v>
      </c>
      <c r="EM59" t="e">
        <f>'All regions'!I1586+"$F;@!$v$"</f>
        <v>#VALUE!</v>
      </c>
      <c r="EN59" t="e">
        <f>'All regions'!A1587+"$F;@!$v%"</f>
        <v>#VALUE!</v>
      </c>
      <c r="EO59" t="e">
        <f>'All regions'!B1587+"$F;@!$v&amp;"</f>
        <v>#VALUE!</v>
      </c>
      <c r="EP59" t="e">
        <f>'All regions'!C1587+"$F;@!$v'"</f>
        <v>#VALUE!</v>
      </c>
      <c r="EQ59" t="e">
        <f>'All regions'!D1587+"$F;@!$v("</f>
        <v>#VALUE!</v>
      </c>
      <c r="ER59" t="e">
        <f>'All regions'!E1587+"$F;@!$v)"</f>
        <v>#VALUE!</v>
      </c>
      <c r="ES59" t="e">
        <f>'All regions'!F1587+"$F;@!$v."</f>
        <v>#VALUE!</v>
      </c>
      <c r="ET59" t="e">
        <f>'All regions'!G1587+"$F;@!$v/"</f>
        <v>#VALUE!</v>
      </c>
      <c r="EU59" t="e">
        <f>'All regions'!H1587+"$F;@!$v0"</f>
        <v>#VALUE!</v>
      </c>
      <c r="EV59" t="e">
        <f>'All regions'!I1587+"$F;@!$v1"</f>
        <v>#VALUE!</v>
      </c>
      <c r="EW59" t="e">
        <f>'All regions'!A1588+"$F;@!$v2"</f>
        <v>#VALUE!</v>
      </c>
      <c r="EX59" t="e">
        <f>'All regions'!B1588+"$F;@!$v3"</f>
        <v>#VALUE!</v>
      </c>
      <c r="EY59" t="e">
        <f>'All regions'!C1588+"$F;@!$v4"</f>
        <v>#VALUE!</v>
      </c>
      <c r="EZ59" t="e">
        <f>'All regions'!D1588+"$F;@!$v5"</f>
        <v>#VALUE!</v>
      </c>
      <c r="FA59" t="e">
        <f>'All regions'!E1588+"$F;@!$v6"</f>
        <v>#VALUE!</v>
      </c>
      <c r="FB59" t="e">
        <f>'All regions'!F1588+"$F;@!$v7"</f>
        <v>#VALUE!</v>
      </c>
      <c r="FC59" t="e">
        <f>'All regions'!G1588+"$F;@!$v8"</f>
        <v>#VALUE!</v>
      </c>
      <c r="FD59" t="e">
        <f>'All regions'!H1588+"$F;@!$v9"</f>
        <v>#VALUE!</v>
      </c>
      <c r="FE59" t="e">
        <f>'All regions'!I1588+"$F;@!$v:"</f>
        <v>#VALUE!</v>
      </c>
      <c r="FF59" t="e">
        <f>'All regions'!A1589+"$F;@!$v;"</f>
        <v>#VALUE!</v>
      </c>
      <c r="FG59" t="e">
        <f>'All regions'!B1589+"$F;@!$v&lt;"</f>
        <v>#VALUE!</v>
      </c>
      <c r="FH59" t="e">
        <f>'All regions'!C1589+"$F;@!$v="</f>
        <v>#VALUE!</v>
      </c>
      <c r="FI59" t="e">
        <f>'All regions'!D1589+"$F;@!$v&gt;"</f>
        <v>#VALUE!</v>
      </c>
      <c r="FJ59" t="e">
        <f>'All regions'!E1589+"$F;@!$v?"</f>
        <v>#VALUE!</v>
      </c>
      <c r="FK59" t="e">
        <f>'All regions'!F1589+"$F;@!$v@"</f>
        <v>#VALUE!</v>
      </c>
      <c r="FL59" t="e">
        <f>'All regions'!G1589+"$F;@!$vA"</f>
        <v>#VALUE!</v>
      </c>
      <c r="FM59" t="e">
        <f>'All regions'!H1589+"$F;@!$vB"</f>
        <v>#VALUE!</v>
      </c>
      <c r="FN59" t="e">
        <f>'All regions'!I1589+"$F;@!$vC"</f>
        <v>#VALUE!</v>
      </c>
      <c r="FO59" t="e">
        <f>'All regions'!A1590+"$F;@!$vD"</f>
        <v>#VALUE!</v>
      </c>
      <c r="FP59" t="e">
        <f>'All regions'!B1590+"$F;@!$vE"</f>
        <v>#VALUE!</v>
      </c>
      <c r="FQ59" t="e">
        <f>'All regions'!C1590+"$F;@!$vF"</f>
        <v>#VALUE!</v>
      </c>
      <c r="FR59" t="e">
        <f>'All regions'!D1590+"$F;@!$vG"</f>
        <v>#VALUE!</v>
      </c>
      <c r="FS59" t="e">
        <f>'All regions'!E1590+"$F;@!$vH"</f>
        <v>#VALUE!</v>
      </c>
      <c r="FT59" t="e">
        <f>'All regions'!F1590+"$F;@!$vI"</f>
        <v>#VALUE!</v>
      </c>
      <c r="FU59" t="e">
        <f>'All regions'!G1590+"$F;@!$vJ"</f>
        <v>#VALUE!</v>
      </c>
      <c r="FV59" t="e">
        <f>'All regions'!H1590+"$F;@!$vK"</f>
        <v>#VALUE!</v>
      </c>
      <c r="FW59" t="e">
        <f>'All regions'!I1590+"$F;@!$vL"</f>
        <v>#VALUE!</v>
      </c>
      <c r="FX59" t="e">
        <f>'All regions'!A1591+"$F;@!$vM"</f>
        <v>#VALUE!</v>
      </c>
      <c r="FY59" t="e">
        <f>'All regions'!B1591+"$F;@!$vN"</f>
        <v>#VALUE!</v>
      </c>
      <c r="FZ59" t="e">
        <f>'All regions'!C1591+"$F;@!$vO"</f>
        <v>#VALUE!</v>
      </c>
      <c r="GA59" t="e">
        <f>'All regions'!D1591+"$F;@!$vP"</f>
        <v>#VALUE!</v>
      </c>
      <c r="GB59" t="e">
        <f>'All regions'!E1591+"$F;@!$vQ"</f>
        <v>#VALUE!</v>
      </c>
      <c r="GC59" t="e">
        <f>'All regions'!F1591+"$F;@!$vR"</f>
        <v>#VALUE!</v>
      </c>
      <c r="GD59" t="e">
        <f>'All regions'!G1591+"$F;@!$vS"</f>
        <v>#VALUE!</v>
      </c>
      <c r="GE59" t="e">
        <f>'All regions'!H1591+"$F;@!$vT"</f>
        <v>#VALUE!</v>
      </c>
      <c r="GF59" t="e">
        <f>'All regions'!I1591+"$F;@!$vU"</f>
        <v>#VALUE!</v>
      </c>
      <c r="GG59" t="e">
        <f>'All regions'!A1592+"$F;@!$vV"</f>
        <v>#VALUE!</v>
      </c>
      <c r="GH59" t="e">
        <f>'All regions'!B1592+"$F;@!$vW"</f>
        <v>#VALUE!</v>
      </c>
      <c r="GI59" t="e">
        <f>'All regions'!C1592+"$F;@!$vX"</f>
        <v>#VALUE!</v>
      </c>
      <c r="GJ59" t="e">
        <f>'All regions'!D1592+"$F;@!$vY"</f>
        <v>#VALUE!</v>
      </c>
      <c r="GK59" t="e">
        <f>'All regions'!E1592+"$F;@!$vZ"</f>
        <v>#VALUE!</v>
      </c>
      <c r="GL59" t="e">
        <f>'All regions'!F1592+"$F;@!$v["</f>
        <v>#VALUE!</v>
      </c>
      <c r="GM59" t="e">
        <f>'All regions'!G1592+"$F;@!$v\"</f>
        <v>#VALUE!</v>
      </c>
      <c r="GN59" t="e">
        <f>'All regions'!H1592+"$F;@!$v]"</f>
        <v>#VALUE!</v>
      </c>
      <c r="GO59" t="e">
        <f>'All regions'!I1592+"$F;@!$v^"</f>
        <v>#VALUE!</v>
      </c>
      <c r="GP59" t="e">
        <f>'All regions'!A1593+"$F;@!$v_"</f>
        <v>#VALUE!</v>
      </c>
      <c r="GQ59" t="e">
        <f>'All regions'!B1593+"$F;@!$v`"</f>
        <v>#VALUE!</v>
      </c>
      <c r="GR59" t="e">
        <f>'All regions'!C1593+"$F;@!$va"</f>
        <v>#VALUE!</v>
      </c>
      <c r="GS59" t="e">
        <f>'All regions'!D1593+"$F;@!$vb"</f>
        <v>#VALUE!</v>
      </c>
      <c r="GT59" t="e">
        <f>'All regions'!E1593+"$F;@!$vc"</f>
        <v>#VALUE!</v>
      </c>
      <c r="GU59" t="e">
        <f>'All regions'!F1593+"$F;@!$vd"</f>
        <v>#VALUE!</v>
      </c>
      <c r="GV59" t="e">
        <f>'All regions'!G1593+"$F;@!$ve"</f>
        <v>#VALUE!</v>
      </c>
      <c r="GW59" t="e">
        <f>'All regions'!H1593+"$F;@!$vf"</f>
        <v>#VALUE!</v>
      </c>
      <c r="GX59" t="e">
        <f>'All regions'!I1593+"$F;@!$vg"</f>
        <v>#VALUE!</v>
      </c>
      <c r="GY59" t="e">
        <f>'All regions'!A1594+"$F;@!$vh"</f>
        <v>#VALUE!</v>
      </c>
      <c r="GZ59" t="e">
        <f>'All regions'!B1594+"$F;@!$vi"</f>
        <v>#VALUE!</v>
      </c>
      <c r="HA59" t="e">
        <f>'All regions'!C1594+"$F;@!$vj"</f>
        <v>#VALUE!</v>
      </c>
      <c r="HB59" t="e">
        <f>'All regions'!D1594+"$F;@!$vk"</f>
        <v>#VALUE!</v>
      </c>
      <c r="HC59" t="e">
        <f>'All regions'!E1594+"$F;@!$vl"</f>
        <v>#VALUE!</v>
      </c>
      <c r="HD59" t="e">
        <f>'All regions'!F1594+"$F;@!$vm"</f>
        <v>#VALUE!</v>
      </c>
      <c r="HE59" t="e">
        <f>'All regions'!G1594+"$F;@!$vn"</f>
        <v>#VALUE!</v>
      </c>
      <c r="HF59" t="e">
        <f>'All regions'!H1594+"$F;@!$vo"</f>
        <v>#VALUE!</v>
      </c>
      <c r="HG59" t="e">
        <f>'All regions'!I1594+"$F;@!$vp"</f>
        <v>#VALUE!</v>
      </c>
      <c r="HH59" t="e">
        <f>'All regions'!A1595+"$F;@!$vq"</f>
        <v>#VALUE!</v>
      </c>
      <c r="HI59" t="e">
        <f>'All regions'!B1595+"$F;@!$vr"</f>
        <v>#VALUE!</v>
      </c>
      <c r="HJ59" t="e">
        <f>'All regions'!C1595+"$F;@!$vs"</f>
        <v>#VALUE!</v>
      </c>
      <c r="HK59" t="e">
        <f>'All regions'!D1595+"$F;@!$vt"</f>
        <v>#VALUE!</v>
      </c>
      <c r="HL59" t="e">
        <f>'All regions'!E1595+"$F;@!$vu"</f>
        <v>#VALUE!</v>
      </c>
      <c r="HM59" t="e">
        <f>'All regions'!F1595+"$F;@!$vv"</f>
        <v>#VALUE!</v>
      </c>
      <c r="HN59" t="e">
        <f>'All regions'!G1595+"$F;@!$vw"</f>
        <v>#VALUE!</v>
      </c>
      <c r="HO59" t="e">
        <f>'All regions'!H1595+"$F;@!$vx"</f>
        <v>#VALUE!</v>
      </c>
      <c r="HP59" t="e">
        <f>'All regions'!I1595+"$F;@!$vy"</f>
        <v>#VALUE!</v>
      </c>
      <c r="HQ59" t="e">
        <f>'All regions'!A1596+"$F;@!$vz"</f>
        <v>#VALUE!</v>
      </c>
      <c r="HR59" t="e">
        <f>'All regions'!B1596+"$F;@!$v{"</f>
        <v>#VALUE!</v>
      </c>
      <c r="HS59" t="e">
        <f>'All regions'!C1596+"$F;@!$v|"</f>
        <v>#VALUE!</v>
      </c>
      <c r="HT59" t="e">
        <f>'All regions'!D1596+"$F;@!$v}"</f>
        <v>#VALUE!</v>
      </c>
      <c r="HU59" t="e">
        <f>'All regions'!E1596+"$F;@!$v~"</f>
        <v>#VALUE!</v>
      </c>
      <c r="HV59" t="e">
        <f>'All regions'!F1596+"$F;@!$w#"</f>
        <v>#VALUE!</v>
      </c>
      <c r="HW59" t="e">
        <f>'All regions'!G1596+"$F;@!$w$"</f>
        <v>#VALUE!</v>
      </c>
      <c r="HX59" t="e">
        <f>'All regions'!H1596+"$F;@!$w%"</f>
        <v>#VALUE!</v>
      </c>
      <c r="HY59" t="e">
        <f>'All regions'!I1596+"$F;@!$w&amp;"</f>
        <v>#VALUE!</v>
      </c>
      <c r="HZ59" t="e">
        <f>'All regions'!A1597+"$F;@!$w'"</f>
        <v>#VALUE!</v>
      </c>
      <c r="IA59" t="e">
        <f>'All regions'!B1597+"$F;@!$w("</f>
        <v>#VALUE!</v>
      </c>
      <c r="IB59" t="e">
        <f>'All regions'!C1597+"$F;@!$w)"</f>
        <v>#VALUE!</v>
      </c>
      <c r="IC59" t="e">
        <f>'All regions'!D1597+"$F;@!$w."</f>
        <v>#VALUE!</v>
      </c>
      <c r="ID59" t="e">
        <f>'All regions'!E1597+"$F;@!$w/"</f>
        <v>#VALUE!</v>
      </c>
      <c r="IE59" t="e">
        <f>'All regions'!F1597+"$F;@!$w0"</f>
        <v>#VALUE!</v>
      </c>
      <c r="IF59" t="e">
        <f>'All regions'!G1597+"$F;@!$w1"</f>
        <v>#VALUE!</v>
      </c>
      <c r="IG59" t="e">
        <f>'All regions'!H1597+"$F;@!$w2"</f>
        <v>#VALUE!</v>
      </c>
      <c r="IH59" t="e">
        <f>'All regions'!I1597+"$F;@!$w3"</f>
        <v>#VALUE!</v>
      </c>
      <c r="II59" t="e">
        <f>'All regions'!A1598+"$F;@!$w4"</f>
        <v>#VALUE!</v>
      </c>
      <c r="IJ59" t="e">
        <f>'All regions'!B1598+"$F;@!$w5"</f>
        <v>#VALUE!</v>
      </c>
      <c r="IK59" t="e">
        <f>'All regions'!C1598+"$F;@!$w6"</f>
        <v>#VALUE!</v>
      </c>
      <c r="IL59" t="e">
        <f>'All regions'!D1598+"$F;@!$w7"</f>
        <v>#VALUE!</v>
      </c>
      <c r="IM59" t="e">
        <f>'All regions'!E1598+"$F;@!$w8"</f>
        <v>#VALUE!</v>
      </c>
      <c r="IN59" t="e">
        <f>'All regions'!F1598+"$F;@!$w9"</f>
        <v>#VALUE!</v>
      </c>
      <c r="IO59" t="e">
        <f>'All regions'!G1598+"$F;@!$w:"</f>
        <v>#VALUE!</v>
      </c>
      <c r="IP59" t="e">
        <f>'All regions'!H1598+"$F;@!$w;"</f>
        <v>#VALUE!</v>
      </c>
      <c r="IQ59" t="e">
        <f>'All regions'!I1598+"$F;@!$w&lt;"</f>
        <v>#VALUE!</v>
      </c>
      <c r="IR59" t="e">
        <f>'All regions'!A1599+"$F;@!$w="</f>
        <v>#VALUE!</v>
      </c>
      <c r="IS59" t="e">
        <f>'All regions'!B1599+"$F;@!$w&gt;"</f>
        <v>#VALUE!</v>
      </c>
      <c r="IT59" t="e">
        <f>'All regions'!C1599+"$F;@!$w?"</f>
        <v>#VALUE!</v>
      </c>
      <c r="IU59" t="e">
        <f>'All regions'!D1599+"$F;@!$w@"</f>
        <v>#VALUE!</v>
      </c>
      <c r="IV59" t="e">
        <f>'All regions'!E1599+"$F;@!$wA"</f>
        <v>#VALUE!</v>
      </c>
    </row>
    <row r="60" spans="6:256" x14ac:dyDescent="0.35">
      <c r="F60" t="e">
        <f>'All regions'!F1599+"$F;@!$wB"</f>
        <v>#VALUE!</v>
      </c>
      <c r="G60" t="e">
        <f>'All regions'!G1599+"$F;@!$wC"</f>
        <v>#VALUE!</v>
      </c>
      <c r="H60" t="e">
        <f>'All regions'!H1599+"$F;@!$wD"</f>
        <v>#VALUE!</v>
      </c>
      <c r="I60" t="e">
        <f>'All regions'!I1599+"$F;@!$wE"</f>
        <v>#VALUE!</v>
      </c>
      <c r="J60" t="e">
        <f>'All regions'!A1600+"$F;@!$wF"</f>
        <v>#VALUE!</v>
      </c>
      <c r="K60" t="e">
        <f>'All regions'!B1600+"$F;@!$wG"</f>
        <v>#VALUE!</v>
      </c>
      <c r="L60" t="e">
        <f>'All regions'!C1600+"$F;@!$wH"</f>
        <v>#VALUE!</v>
      </c>
      <c r="M60" t="e">
        <f>'All regions'!D1600+"$F;@!$wI"</f>
        <v>#VALUE!</v>
      </c>
      <c r="N60" t="e">
        <f>'All regions'!E1600+"$F;@!$wJ"</f>
        <v>#VALUE!</v>
      </c>
      <c r="O60" t="e">
        <f>'All regions'!F1600+"$F;@!$wK"</f>
        <v>#VALUE!</v>
      </c>
      <c r="P60" t="e">
        <f>'All regions'!G1600+"$F;@!$wL"</f>
        <v>#VALUE!</v>
      </c>
      <c r="Q60" t="e">
        <f>'All regions'!H1600+"$F;@!$wM"</f>
        <v>#VALUE!</v>
      </c>
      <c r="R60" t="e">
        <f>'All regions'!I1600+"$F;@!$wN"</f>
        <v>#VALUE!</v>
      </c>
      <c r="S60" t="e">
        <f>'All regions'!A1601+"$F;@!$wO"</f>
        <v>#VALUE!</v>
      </c>
      <c r="T60" t="e">
        <f>'All regions'!B1601+"$F;@!$wP"</f>
        <v>#VALUE!</v>
      </c>
      <c r="U60" t="e">
        <f>'All regions'!C1601+"$F;@!$wQ"</f>
        <v>#VALUE!</v>
      </c>
      <c r="V60" t="e">
        <f>'All regions'!D1601+"$F;@!$wR"</f>
        <v>#VALUE!</v>
      </c>
      <c r="W60" t="e">
        <f>'All regions'!E1601+"$F;@!$wS"</f>
        <v>#VALUE!</v>
      </c>
      <c r="X60" t="e">
        <f>'All regions'!F1601+"$F;@!$wT"</f>
        <v>#VALUE!</v>
      </c>
      <c r="Y60" t="e">
        <f>'All regions'!G1601+"$F;@!$wU"</f>
        <v>#VALUE!</v>
      </c>
      <c r="Z60" t="e">
        <f>'All regions'!H1601+"$F;@!$wV"</f>
        <v>#VALUE!</v>
      </c>
      <c r="AA60" t="e">
        <f>'All regions'!I1601+"$F;@!$wW"</f>
        <v>#VALUE!</v>
      </c>
      <c r="AB60" t="e">
        <f>'All regions'!A1602+"$F;@!$wX"</f>
        <v>#VALUE!</v>
      </c>
      <c r="AC60" t="e">
        <f>'All regions'!B1602+"$F;@!$wY"</f>
        <v>#VALUE!</v>
      </c>
      <c r="AD60" t="e">
        <f>'All regions'!C1602+"$F;@!$wZ"</f>
        <v>#VALUE!</v>
      </c>
      <c r="AE60" t="e">
        <f>'All regions'!D1602+"$F;@!$w["</f>
        <v>#VALUE!</v>
      </c>
      <c r="AF60" t="e">
        <f>'All regions'!E1602+"$F;@!$w\"</f>
        <v>#VALUE!</v>
      </c>
      <c r="AG60" t="e">
        <f>'All regions'!F1602+"$F;@!$w]"</f>
        <v>#VALUE!</v>
      </c>
      <c r="AH60" t="e">
        <f>'All regions'!G1602+"$F;@!$w^"</f>
        <v>#VALUE!</v>
      </c>
      <c r="AI60" t="e">
        <f>'All regions'!H1602+"$F;@!$w_"</f>
        <v>#VALUE!</v>
      </c>
      <c r="AJ60" t="e">
        <f>'All regions'!I1602+"$F;@!$w`"</f>
        <v>#VALUE!</v>
      </c>
      <c r="AK60" t="e">
        <f>'All regions'!A1603+"$F;@!$wa"</f>
        <v>#VALUE!</v>
      </c>
      <c r="AL60" t="e">
        <f>'All regions'!B1603+"$F;@!$wb"</f>
        <v>#VALUE!</v>
      </c>
      <c r="AM60" t="e">
        <f>'All regions'!C1603+"$F;@!$wc"</f>
        <v>#VALUE!</v>
      </c>
      <c r="AN60" t="e">
        <f>'All regions'!D1603+"$F;@!$wd"</f>
        <v>#VALUE!</v>
      </c>
      <c r="AO60" t="e">
        <f>'All regions'!E1603+"$F;@!$we"</f>
        <v>#VALUE!</v>
      </c>
      <c r="AP60" t="e">
        <f>'All regions'!F1603+"$F;@!$wf"</f>
        <v>#VALUE!</v>
      </c>
      <c r="AQ60" t="e">
        <f>'All regions'!G1603+"$F;@!$wg"</f>
        <v>#VALUE!</v>
      </c>
      <c r="AR60" t="e">
        <f>'All regions'!H1603+"$F;@!$wh"</f>
        <v>#VALUE!</v>
      </c>
      <c r="AS60" t="e">
        <f>'All regions'!I1603+"$F;@!$wi"</f>
        <v>#VALUE!</v>
      </c>
      <c r="AT60" t="e">
        <f>'All regions'!A1604+"$F;@!$wj"</f>
        <v>#VALUE!</v>
      </c>
      <c r="AU60" t="e">
        <f>'All regions'!B1604+"$F;@!$wk"</f>
        <v>#VALUE!</v>
      </c>
      <c r="AV60" t="e">
        <f>'All regions'!C1604+"$F;@!$wl"</f>
        <v>#VALUE!</v>
      </c>
      <c r="AW60" t="e">
        <f>'All regions'!D1604+"$F;@!$wm"</f>
        <v>#VALUE!</v>
      </c>
      <c r="AX60" t="e">
        <f>'All regions'!E1604+"$F;@!$wn"</f>
        <v>#VALUE!</v>
      </c>
      <c r="AY60" t="e">
        <f>'All regions'!F1604+"$F;@!$wo"</f>
        <v>#VALUE!</v>
      </c>
      <c r="AZ60" t="e">
        <f>'All regions'!G1604+"$F;@!$wp"</f>
        <v>#VALUE!</v>
      </c>
      <c r="BA60" t="e">
        <f>'All regions'!H1604+"$F;@!$wq"</f>
        <v>#VALUE!</v>
      </c>
      <c r="BB60" t="e">
        <f>'All regions'!I1604+"$F;@!$wr"</f>
        <v>#VALUE!</v>
      </c>
      <c r="BC60" t="e">
        <f>'All regions'!A1605+"$F;@!$ws"</f>
        <v>#VALUE!</v>
      </c>
      <c r="BD60" t="e">
        <f>'All regions'!B1605+"$F;@!$wt"</f>
        <v>#VALUE!</v>
      </c>
      <c r="BE60" t="e">
        <f>'All regions'!C1605+"$F;@!$wu"</f>
        <v>#VALUE!</v>
      </c>
      <c r="BF60" t="e">
        <f>'All regions'!D1605+"$F;@!$wv"</f>
        <v>#VALUE!</v>
      </c>
      <c r="BG60" t="e">
        <f>'All regions'!E1605+"$F;@!$ww"</f>
        <v>#VALUE!</v>
      </c>
      <c r="BH60" t="e">
        <f>'All regions'!F1605+"$F;@!$wx"</f>
        <v>#VALUE!</v>
      </c>
      <c r="BI60" t="e">
        <f>'All regions'!G1605+"$F;@!$wy"</f>
        <v>#VALUE!</v>
      </c>
      <c r="BJ60" t="e">
        <f>'All regions'!H1605+"$F;@!$wz"</f>
        <v>#VALUE!</v>
      </c>
      <c r="BK60" t="e">
        <f>'All regions'!I1605+"$F;@!$w{"</f>
        <v>#VALUE!</v>
      </c>
      <c r="BL60" t="e">
        <f>'All regions'!A1606+"$F;@!$w|"</f>
        <v>#VALUE!</v>
      </c>
      <c r="BM60" t="e">
        <f>'All regions'!B1606+"$F;@!$w}"</f>
        <v>#VALUE!</v>
      </c>
      <c r="BN60" t="e">
        <f>'All regions'!C1606+"$F;@!$w~"</f>
        <v>#VALUE!</v>
      </c>
      <c r="BO60" t="e">
        <f>'All regions'!D1606+"$F;@!$x#"</f>
        <v>#VALUE!</v>
      </c>
      <c r="BP60" t="e">
        <f>'All regions'!E1606+"$F;@!$x$"</f>
        <v>#VALUE!</v>
      </c>
      <c r="BQ60" t="e">
        <f>'All regions'!F1606+"$F;@!$x%"</f>
        <v>#VALUE!</v>
      </c>
      <c r="BR60" t="e">
        <f>'All regions'!G1606+"$F;@!$x&amp;"</f>
        <v>#VALUE!</v>
      </c>
      <c r="BS60" t="e">
        <f>'All regions'!H1606+"$F;@!$x'"</f>
        <v>#VALUE!</v>
      </c>
      <c r="BT60" t="e">
        <f>'All regions'!I1606+"$F;@!$x("</f>
        <v>#VALUE!</v>
      </c>
      <c r="BU60" t="e">
        <f>'All regions'!A1607+"$F;@!$x)"</f>
        <v>#VALUE!</v>
      </c>
      <c r="BV60" t="e">
        <f>'All regions'!B1607+"$F;@!$x."</f>
        <v>#VALUE!</v>
      </c>
      <c r="BW60" t="e">
        <f>'All regions'!C1607+"$F;@!$x/"</f>
        <v>#VALUE!</v>
      </c>
      <c r="BX60" t="e">
        <f>'All regions'!D1607+"$F;@!$x0"</f>
        <v>#VALUE!</v>
      </c>
      <c r="BY60" t="e">
        <f>'All regions'!E1607+"$F;@!$x1"</f>
        <v>#VALUE!</v>
      </c>
      <c r="BZ60" t="e">
        <f>'All regions'!F1607+"$F;@!$x2"</f>
        <v>#VALUE!</v>
      </c>
      <c r="CA60" t="e">
        <f>'All regions'!G1607+"$F;@!$x3"</f>
        <v>#VALUE!</v>
      </c>
      <c r="CB60" t="e">
        <f>'All regions'!H1607+"$F;@!$x4"</f>
        <v>#VALUE!</v>
      </c>
      <c r="CC60" t="e">
        <f>'All regions'!I1607+"$F;@!$x5"</f>
        <v>#VALUE!</v>
      </c>
      <c r="CD60" t="e">
        <f>'All regions'!A1608+"$F;@!$x6"</f>
        <v>#VALUE!</v>
      </c>
      <c r="CE60" t="e">
        <f>'All regions'!B1608+"$F;@!$x7"</f>
        <v>#VALUE!</v>
      </c>
      <c r="CF60" t="e">
        <f>'All regions'!C1608+"$F;@!$x8"</f>
        <v>#VALUE!</v>
      </c>
      <c r="CG60" t="e">
        <f>'All regions'!D1608+"$F;@!$x9"</f>
        <v>#VALUE!</v>
      </c>
      <c r="CH60" t="e">
        <f>'All regions'!E1608+"$F;@!$x:"</f>
        <v>#VALUE!</v>
      </c>
      <c r="CI60" t="e">
        <f>'All regions'!F1608+"$F;@!$x;"</f>
        <v>#VALUE!</v>
      </c>
      <c r="CJ60" t="e">
        <f>'All regions'!G1608+"$F;@!$x&lt;"</f>
        <v>#VALUE!</v>
      </c>
      <c r="CK60" t="e">
        <f>'All regions'!H1608+"$F;@!$x="</f>
        <v>#VALUE!</v>
      </c>
      <c r="CL60" t="e">
        <f>'All regions'!I1608+"$F;@!$x&gt;"</f>
        <v>#VALUE!</v>
      </c>
      <c r="CM60" t="e">
        <f>'All regions'!A1609+"$F;@!$x?"</f>
        <v>#VALUE!</v>
      </c>
      <c r="CN60" t="e">
        <f>'All regions'!B1609+"$F;@!$x@"</f>
        <v>#VALUE!</v>
      </c>
      <c r="CO60" t="e">
        <f>'All regions'!C1609+"$F;@!$xA"</f>
        <v>#VALUE!</v>
      </c>
      <c r="CP60" t="e">
        <f>'All regions'!D1609+"$F;@!$xB"</f>
        <v>#VALUE!</v>
      </c>
      <c r="CQ60" t="e">
        <f>'All regions'!E1609+"$F;@!$xC"</f>
        <v>#VALUE!</v>
      </c>
      <c r="CR60" t="e">
        <f>'All regions'!F1609+"$F;@!$xD"</f>
        <v>#VALUE!</v>
      </c>
      <c r="CS60" t="e">
        <f>'All regions'!G1609+"$F;@!$xE"</f>
        <v>#VALUE!</v>
      </c>
      <c r="CT60" t="e">
        <f>'All regions'!H1609+"$F;@!$xF"</f>
        <v>#VALUE!</v>
      </c>
      <c r="CU60" t="e">
        <f>'All regions'!I1609+"$F;@!$xG"</f>
        <v>#VALUE!</v>
      </c>
      <c r="CV60" t="e">
        <f>'All regions'!A1610+"$F;@!$xH"</f>
        <v>#VALUE!</v>
      </c>
      <c r="CW60" t="e">
        <f>'All regions'!B1610+"$F;@!$xI"</f>
        <v>#VALUE!</v>
      </c>
      <c r="CX60" t="e">
        <f>'All regions'!C1610+"$F;@!$xJ"</f>
        <v>#VALUE!</v>
      </c>
      <c r="CY60" t="e">
        <f>'All regions'!D1610+"$F;@!$xK"</f>
        <v>#VALUE!</v>
      </c>
      <c r="CZ60" t="e">
        <f>'All regions'!E1610+"$F;@!$xL"</f>
        <v>#VALUE!</v>
      </c>
      <c r="DA60" t="e">
        <f>'All regions'!F1610+"$F;@!$xM"</f>
        <v>#VALUE!</v>
      </c>
      <c r="DB60" t="e">
        <f>'All regions'!G1610+"$F;@!$xN"</f>
        <v>#VALUE!</v>
      </c>
      <c r="DC60" t="e">
        <f>'All regions'!H1610+"$F;@!$xO"</f>
        <v>#VALUE!</v>
      </c>
      <c r="DD60" t="e">
        <f>'All regions'!I1610+"$F;@!$xP"</f>
        <v>#VALUE!</v>
      </c>
      <c r="DE60" t="e">
        <f>'All regions'!A1611+"$F;@!$xQ"</f>
        <v>#VALUE!</v>
      </c>
      <c r="DF60" t="e">
        <f>'All regions'!B1611+"$F;@!$xR"</f>
        <v>#VALUE!</v>
      </c>
      <c r="DG60" t="e">
        <f>'All regions'!C1611+"$F;@!$xS"</f>
        <v>#VALUE!</v>
      </c>
      <c r="DH60" t="e">
        <f>'All regions'!D1611+"$F;@!$xT"</f>
        <v>#VALUE!</v>
      </c>
      <c r="DI60" t="e">
        <f>'All regions'!E1611+"$F;@!$xU"</f>
        <v>#VALUE!</v>
      </c>
      <c r="DJ60" t="e">
        <f>'All regions'!F1611+"$F;@!$xV"</f>
        <v>#VALUE!</v>
      </c>
      <c r="DK60" t="e">
        <f>'All regions'!G1611+"$F;@!$xW"</f>
        <v>#VALUE!</v>
      </c>
      <c r="DL60" t="e">
        <f>'All regions'!H1611+"$F;@!$xX"</f>
        <v>#VALUE!</v>
      </c>
      <c r="DM60" t="e">
        <f>'All regions'!I1611+"$F;@!$xY"</f>
        <v>#VALUE!</v>
      </c>
      <c r="DN60" t="e">
        <f>'All regions'!A1612+"$F;@!$xZ"</f>
        <v>#VALUE!</v>
      </c>
      <c r="DO60" t="e">
        <f>'All regions'!B1612+"$F;@!$x["</f>
        <v>#VALUE!</v>
      </c>
      <c r="DP60" t="e">
        <f>'All regions'!C1612+"$F;@!$x\"</f>
        <v>#VALUE!</v>
      </c>
      <c r="DQ60" t="e">
        <f>'All regions'!D1612+"$F;@!$x]"</f>
        <v>#VALUE!</v>
      </c>
      <c r="DR60" t="e">
        <f>'All regions'!E1612+"$F;@!$x^"</f>
        <v>#VALUE!</v>
      </c>
      <c r="DS60" t="e">
        <f>'All regions'!F1612+"$F;@!$x_"</f>
        <v>#VALUE!</v>
      </c>
      <c r="DT60" t="e">
        <f>'All regions'!G1612+"$F;@!$x`"</f>
        <v>#VALUE!</v>
      </c>
      <c r="DU60" t="e">
        <f>'All regions'!H1612+"$F;@!$xa"</f>
        <v>#VALUE!</v>
      </c>
      <c r="DV60" t="e">
        <f>'All regions'!I1612+"$F;@!$xb"</f>
        <v>#VALUE!</v>
      </c>
      <c r="DW60" t="e">
        <f>'All regions'!A1613+"$F;@!$xc"</f>
        <v>#VALUE!</v>
      </c>
      <c r="DX60" t="e">
        <f>'All regions'!B1613+"$F;@!$xd"</f>
        <v>#VALUE!</v>
      </c>
      <c r="DY60" t="e">
        <f>'All regions'!C1613+"$F;@!$xe"</f>
        <v>#VALUE!</v>
      </c>
      <c r="DZ60" t="e">
        <f>'All regions'!D1613+"$F;@!$xf"</f>
        <v>#VALUE!</v>
      </c>
      <c r="EA60" t="e">
        <f>'All regions'!E1613+"$F;@!$xg"</f>
        <v>#VALUE!</v>
      </c>
      <c r="EB60" t="e">
        <f>'All regions'!F1613+"$F;@!$xh"</f>
        <v>#VALUE!</v>
      </c>
      <c r="EC60" t="e">
        <f>'All regions'!G1613+"$F;@!$xi"</f>
        <v>#VALUE!</v>
      </c>
      <c r="ED60" t="e">
        <f>'All regions'!H1613+"$F;@!$xj"</f>
        <v>#VALUE!</v>
      </c>
      <c r="EE60" t="e">
        <f>'All regions'!I1613+"$F;@!$xk"</f>
        <v>#VALUE!</v>
      </c>
      <c r="EF60" t="e">
        <f>'All regions'!A1614+"$F;@!$xl"</f>
        <v>#VALUE!</v>
      </c>
      <c r="EG60" t="e">
        <f>'All regions'!B1614+"$F;@!$xm"</f>
        <v>#VALUE!</v>
      </c>
      <c r="EH60" t="e">
        <f>'All regions'!C1614+"$F;@!$xn"</f>
        <v>#VALUE!</v>
      </c>
      <c r="EI60" t="e">
        <f>'All regions'!D1614+"$F;@!$xo"</f>
        <v>#VALUE!</v>
      </c>
      <c r="EJ60" t="e">
        <f>'All regions'!E1614+"$F;@!$xp"</f>
        <v>#VALUE!</v>
      </c>
      <c r="EK60" t="e">
        <f>'All regions'!F1614+"$F;@!$xq"</f>
        <v>#VALUE!</v>
      </c>
      <c r="EL60" t="e">
        <f>'All regions'!G1614+"$F;@!$xr"</f>
        <v>#VALUE!</v>
      </c>
      <c r="EM60" t="e">
        <f>'All regions'!H1614+"$F;@!$xs"</f>
        <v>#VALUE!</v>
      </c>
      <c r="EN60" t="e">
        <f>'All regions'!I1614+"$F;@!$xt"</f>
        <v>#VALUE!</v>
      </c>
      <c r="EO60" t="e">
        <f>'All regions'!A1615+"$F;@!$xu"</f>
        <v>#VALUE!</v>
      </c>
      <c r="EP60" t="e">
        <f>'All regions'!B1615+"$F;@!$xv"</f>
        <v>#VALUE!</v>
      </c>
      <c r="EQ60" t="e">
        <f>'All regions'!C1615+"$F;@!$xw"</f>
        <v>#VALUE!</v>
      </c>
      <c r="ER60" t="e">
        <f>'All regions'!D1615+"$F;@!$xx"</f>
        <v>#VALUE!</v>
      </c>
      <c r="ES60" t="e">
        <f>'All regions'!E1615+"$F;@!$xy"</f>
        <v>#VALUE!</v>
      </c>
      <c r="ET60" t="e">
        <f>'All regions'!F1615+"$F;@!$xz"</f>
        <v>#VALUE!</v>
      </c>
      <c r="EU60" t="e">
        <f>'All regions'!G1615+"$F;@!$x{"</f>
        <v>#VALUE!</v>
      </c>
      <c r="EV60" t="e">
        <f>'All regions'!H1615+"$F;@!$x|"</f>
        <v>#VALUE!</v>
      </c>
      <c r="EW60" t="e">
        <f>'All regions'!I1615+"$F;@!$x}"</f>
        <v>#VALUE!</v>
      </c>
      <c r="EX60" t="e">
        <f>'All regions'!A1616+"$F;@!$x~"</f>
        <v>#VALUE!</v>
      </c>
      <c r="EY60" t="e">
        <f>'All regions'!B1616+"$F;@!$y#"</f>
        <v>#VALUE!</v>
      </c>
      <c r="EZ60" t="e">
        <f>'All regions'!C1616+"$F;@!$y$"</f>
        <v>#VALUE!</v>
      </c>
      <c r="FA60" t="e">
        <f>'All regions'!D1616+"$F;@!$y%"</f>
        <v>#VALUE!</v>
      </c>
      <c r="FB60" t="e">
        <f>'All regions'!E1616+"$F;@!$y&amp;"</f>
        <v>#VALUE!</v>
      </c>
      <c r="FC60" t="e">
        <f>'All regions'!F1616+"$F;@!$y'"</f>
        <v>#VALUE!</v>
      </c>
      <c r="FD60" t="e">
        <f>'All regions'!G1616+"$F;@!$y("</f>
        <v>#VALUE!</v>
      </c>
      <c r="FE60" t="e">
        <f>'All regions'!H1616+"$F;@!$y)"</f>
        <v>#VALUE!</v>
      </c>
      <c r="FF60" t="e">
        <f>'All regions'!I1616+"$F;@!$y."</f>
        <v>#VALUE!</v>
      </c>
      <c r="FG60" t="e">
        <f>'All regions'!A1617+"$F;@!$y/"</f>
        <v>#VALUE!</v>
      </c>
      <c r="FH60" t="e">
        <f>'All regions'!B1617+"$F;@!$y0"</f>
        <v>#VALUE!</v>
      </c>
      <c r="FI60" t="e">
        <f>'All regions'!C1617+"$F;@!$y1"</f>
        <v>#VALUE!</v>
      </c>
      <c r="FJ60" t="e">
        <f>'All regions'!D1617+"$F;@!$y2"</f>
        <v>#VALUE!</v>
      </c>
      <c r="FK60" t="e">
        <f>'All regions'!E1617+"$F;@!$y3"</f>
        <v>#VALUE!</v>
      </c>
      <c r="FL60" t="e">
        <f>'All regions'!F1617+"$F;@!$y4"</f>
        <v>#VALUE!</v>
      </c>
      <c r="FM60" t="e">
        <f>'All regions'!G1617+"$F;@!$y5"</f>
        <v>#VALUE!</v>
      </c>
      <c r="FN60" t="e">
        <f>'All regions'!H1617+"$F;@!$y6"</f>
        <v>#VALUE!</v>
      </c>
      <c r="FO60" t="e">
        <f>'All regions'!I1617+"$F;@!$y7"</f>
        <v>#VALUE!</v>
      </c>
      <c r="FP60" t="e">
        <f>'All regions'!A1618+"$F;@!$y8"</f>
        <v>#VALUE!</v>
      </c>
      <c r="FQ60" t="e">
        <f>'All regions'!B1618+"$F;@!$y9"</f>
        <v>#VALUE!</v>
      </c>
      <c r="FR60" t="e">
        <f>'All regions'!C1618+"$F;@!$y:"</f>
        <v>#VALUE!</v>
      </c>
      <c r="FS60" t="e">
        <f>'All regions'!D1618+"$F;@!$y;"</f>
        <v>#VALUE!</v>
      </c>
      <c r="FT60" t="e">
        <f>'All regions'!E1618+"$F;@!$y&lt;"</f>
        <v>#VALUE!</v>
      </c>
      <c r="FU60" t="e">
        <f>'All regions'!F1618+"$F;@!$y="</f>
        <v>#VALUE!</v>
      </c>
      <c r="FV60" t="e">
        <f>'All regions'!G1618+"$F;@!$y&gt;"</f>
        <v>#VALUE!</v>
      </c>
      <c r="FW60" t="e">
        <f>'All regions'!H1618+"$F;@!$y?"</f>
        <v>#VALUE!</v>
      </c>
      <c r="FX60" t="e">
        <f>'All regions'!I1618+"$F;@!$y@"</f>
        <v>#VALUE!</v>
      </c>
      <c r="FY60" t="e">
        <f>'All regions'!A1619+"$F;@!$yA"</f>
        <v>#VALUE!</v>
      </c>
      <c r="FZ60" t="e">
        <f>'All regions'!B1619+"$F;@!$yB"</f>
        <v>#VALUE!</v>
      </c>
      <c r="GA60" t="e">
        <f>'All regions'!C1619+"$F;@!$yC"</f>
        <v>#VALUE!</v>
      </c>
      <c r="GB60" t="e">
        <f>'All regions'!D1619+"$F;@!$yD"</f>
        <v>#VALUE!</v>
      </c>
      <c r="GC60" t="e">
        <f>'All regions'!E1619+"$F;@!$yE"</f>
        <v>#VALUE!</v>
      </c>
      <c r="GD60" t="e">
        <f>'All regions'!F1619+"$F;@!$yF"</f>
        <v>#VALUE!</v>
      </c>
      <c r="GE60" t="e">
        <f>'All regions'!G1619+"$F;@!$yG"</f>
        <v>#VALUE!</v>
      </c>
      <c r="GF60" t="e">
        <f>'All regions'!H1619+"$F;@!$yH"</f>
        <v>#VALUE!</v>
      </c>
      <c r="GG60" t="e">
        <f>'All regions'!I1619+"$F;@!$yI"</f>
        <v>#VALUE!</v>
      </c>
      <c r="GH60" t="e">
        <f>'All regions'!A1620+"$F;@!$yJ"</f>
        <v>#VALUE!</v>
      </c>
      <c r="GI60" t="e">
        <f>'All regions'!B1620+"$F;@!$yK"</f>
        <v>#VALUE!</v>
      </c>
      <c r="GJ60" t="e">
        <f>'All regions'!C1620+"$F;@!$yL"</f>
        <v>#VALUE!</v>
      </c>
      <c r="GK60" t="e">
        <f>'All regions'!D1620+"$F;@!$yM"</f>
        <v>#VALUE!</v>
      </c>
      <c r="GL60" t="e">
        <f>'All regions'!E1620+"$F;@!$yN"</f>
        <v>#VALUE!</v>
      </c>
      <c r="GM60" t="e">
        <f>'All regions'!F1620+"$F;@!$yO"</f>
        <v>#VALUE!</v>
      </c>
      <c r="GN60" t="e">
        <f>'All regions'!G1620+"$F;@!$yP"</f>
        <v>#VALUE!</v>
      </c>
      <c r="GO60" t="e">
        <f>'All regions'!H1620+"$F;@!$yQ"</f>
        <v>#VALUE!</v>
      </c>
      <c r="GP60" t="e">
        <f>'All regions'!I1620+"$F;@!$yR"</f>
        <v>#VALUE!</v>
      </c>
      <c r="GQ60" t="e">
        <f>'All regions'!A1621+"$F;@!$yS"</f>
        <v>#VALUE!</v>
      </c>
      <c r="GR60" t="e">
        <f>'All regions'!B1621+"$F;@!$yT"</f>
        <v>#VALUE!</v>
      </c>
      <c r="GS60" t="e">
        <f>'All regions'!C1621+"$F;@!$yU"</f>
        <v>#VALUE!</v>
      </c>
      <c r="GT60" t="e">
        <f>'All regions'!D1621+"$F;@!$yV"</f>
        <v>#VALUE!</v>
      </c>
      <c r="GU60" t="e">
        <f>'All regions'!E1621+"$F;@!$yW"</f>
        <v>#VALUE!</v>
      </c>
      <c r="GV60" t="e">
        <f>'All regions'!F1621+"$F;@!$yX"</f>
        <v>#VALUE!</v>
      </c>
      <c r="GW60" t="e">
        <f>'All regions'!G1621+"$F;@!$yY"</f>
        <v>#VALUE!</v>
      </c>
      <c r="GX60" t="e">
        <f>'All regions'!H1621+"$F;@!$yZ"</f>
        <v>#VALUE!</v>
      </c>
      <c r="GY60" t="e">
        <f>'All regions'!I1621+"$F;@!$y["</f>
        <v>#VALUE!</v>
      </c>
      <c r="GZ60" t="e">
        <f>'All regions'!A1622+"$F;@!$y\"</f>
        <v>#VALUE!</v>
      </c>
      <c r="HA60" t="e">
        <f>'All regions'!B1622+"$F;@!$y]"</f>
        <v>#VALUE!</v>
      </c>
      <c r="HB60" t="e">
        <f>'All regions'!C1622+"$F;@!$y^"</f>
        <v>#VALUE!</v>
      </c>
      <c r="HC60" t="e">
        <f>'All regions'!D1622+"$F;@!$y_"</f>
        <v>#VALUE!</v>
      </c>
      <c r="HD60" t="e">
        <f>'All regions'!E1622+"$F;@!$y`"</f>
        <v>#VALUE!</v>
      </c>
      <c r="HE60" t="e">
        <f>'All regions'!F1622+"$F;@!$ya"</f>
        <v>#VALUE!</v>
      </c>
      <c r="HF60" t="e">
        <f>'All regions'!G1622+"$F;@!$yb"</f>
        <v>#VALUE!</v>
      </c>
      <c r="HG60" t="e">
        <f>'All regions'!H1622+"$F;@!$yc"</f>
        <v>#VALUE!</v>
      </c>
      <c r="HH60" t="e">
        <f>'All regions'!I1622+"$F;@!$yd"</f>
        <v>#VALUE!</v>
      </c>
      <c r="HI60" t="e">
        <f>'All regions'!A1623+"$F;@!$ye"</f>
        <v>#VALUE!</v>
      </c>
      <c r="HJ60" t="e">
        <f>'All regions'!B1623+"$F;@!$yf"</f>
        <v>#VALUE!</v>
      </c>
      <c r="HK60" t="e">
        <f>'All regions'!C1623+"$F;@!$yg"</f>
        <v>#VALUE!</v>
      </c>
      <c r="HL60" t="e">
        <f>'All regions'!D1623+"$F;@!$yh"</f>
        <v>#VALUE!</v>
      </c>
      <c r="HM60" t="e">
        <f>'All regions'!E1623+"$F;@!$yi"</f>
        <v>#VALUE!</v>
      </c>
      <c r="HN60" t="e">
        <f>'All regions'!F1623+"$F;@!$yj"</f>
        <v>#VALUE!</v>
      </c>
      <c r="HO60" t="e">
        <f>'All regions'!G1623+"$F;@!$yk"</f>
        <v>#VALUE!</v>
      </c>
      <c r="HP60" t="e">
        <f>'All regions'!H1623+"$F;@!$yl"</f>
        <v>#VALUE!</v>
      </c>
      <c r="HQ60" t="e">
        <f>'All regions'!I1623+"$F;@!$ym"</f>
        <v>#VALUE!</v>
      </c>
      <c r="HR60" t="e">
        <f>'All regions'!A1624+"$F;@!$yn"</f>
        <v>#VALUE!</v>
      </c>
      <c r="HS60" t="e">
        <f>'All regions'!B1624+"$F;@!$yo"</f>
        <v>#VALUE!</v>
      </c>
      <c r="HT60" t="e">
        <f>'All regions'!C1624+"$F;@!$yp"</f>
        <v>#VALUE!</v>
      </c>
      <c r="HU60" t="e">
        <f>'All regions'!D1624+"$F;@!$yq"</f>
        <v>#VALUE!</v>
      </c>
      <c r="HV60" t="e">
        <f>'All regions'!E1624+"$F;@!$yr"</f>
        <v>#VALUE!</v>
      </c>
      <c r="HW60" t="e">
        <f>'All regions'!F1624+"$F;@!$ys"</f>
        <v>#VALUE!</v>
      </c>
      <c r="HX60" t="e">
        <f>'All regions'!G1624+"$F;@!$yt"</f>
        <v>#VALUE!</v>
      </c>
      <c r="HY60" t="e">
        <f>'All regions'!H1624+"$F;@!$yu"</f>
        <v>#VALUE!</v>
      </c>
      <c r="HZ60" t="e">
        <f>'All regions'!I1624+"$F;@!$yv"</f>
        <v>#VALUE!</v>
      </c>
      <c r="IA60" t="e">
        <f>'All regions'!A1625+"$F;@!$yw"</f>
        <v>#VALUE!</v>
      </c>
      <c r="IB60" t="e">
        <f>'All regions'!B1625+"$F;@!$yx"</f>
        <v>#VALUE!</v>
      </c>
      <c r="IC60" t="e">
        <f>'All regions'!C1625+"$F;@!$yy"</f>
        <v>#VALUE!</v>
      </c>
      <c r="ID60" t="e">
        <f>'All regions'!D1625+"$F;@!$yz"</f>
        <v>#VALUE!</v>
      </c>
      <c r="IE60" t="e">
        <f>'All regions'!E1625+"$F;@!$y{"</f>
        <v>#VALUE!</v>
      </c>
      <c r="IF60" t="e">
        <f>'All regions'!F1625+"$F;@!$y|"</f>
        <v>#VALUE!</v>
      </c>
      <c r="IG60" t="e">
        <f>'All regions'!G1625+"$F;@!$y}"</f>
        <v>#VALUE!</v>
      </c>
      <c r="IH60" t="e">
        <f>'All regions'!H1625+"$F;@!$y~"</f>
        <v>#VALUE!</v>
      </c>
      <c r="II60" t="e">
        <f>'All regions'!I1625+"$F;@!$z#"</f>
        <v>#VALUE!</v>
      </c>
      <c r="IJ60" t="e">
        <f>'All regions'!A1626+"$F;@!$z$"</f>
        <v>#VALUE!</v>
      </c>
      <c r="IK60" t="e">
        <f>'All regions'!B1626+"$F;@!$z%"</f>
        <v>#VALUE!</v>
      </c>
      <c r="IL60" t="e">
        <f>'All regions'!C1626+"$F;@!$z&amp;"</f>
        <v>#VALUE!</v>
      </c>
      <c r="IM60" t="e">
        <f>'All regions'!D1626+"$F;@!$z'"</f>
        <v>#VALUE!</v>
      </c>
      <c r="IN60" t="e">
        <f>'All regions'!E1626+"$F;@!$z("</f>
        <v>#VALUE!</v>
      </c>
      <c r="IO60" t="e">
        <f>'All regions'!F1626+"$F;@!$z)"</f>
        <v>#VALUE!</v>
      </c>
      <c r="IP60" t="e">
        <f>'All regions'!G1626+"$F;@!$z."</f>
        <v>#VALUE!</v>
      </c>
      <c r="IQ60" t="e">
        <f>'All regions'!H1626+"$F;@!$z/"</f>
        <v>#VALUE!</v>
      </c>
      <c r="IR60" t="e">
        <f>'All regions'!I1626+"$F;@!$z0"</f>
        <v>#VALUE!</v>
      </c>
      <c r="IS60" t="e">
        <f>'All regions'!A1627+"$F;@!$z1"</f>
        <v>#VALUE!</v>
      </c>
      <c r="IT60" t="e">
        <f>'All regions'!B1627+"$F;@!$z2"</f>
        <v>#VALUE!</v>
      </c>
      <c r="IU60" t="e">
        <f>'All regions'!C1627+"$F;@!$z3"</f>
        <v>#VALUE!</v>
      </c>
      <c r="IV60" t="e">
        <f>'All regions'!D1627+"$F;@!$z4"</f>
        <v>#VALUE!</v>
      </c>
    </row>
    <row r="61" spans="6:256" x14ac:dyDescent="0.35">
      <c r="F61" t="e">
        <f>'All regions'!E1627+"$F;@!$z5"</f>
        <v>#VALUE!</v>
      </c>
      <c r="G61" t="e">
        <f>'All regions'!F1627+"$F;@!$z6"</f>
        <v>#VALUE!</v>
      </c>
      <c r="H61" t="e">
        <f>'All regions'!G1627+"$F;@!$z7"</f>
        <v>#VALUE!</v>
      </c>
      <c r="I61" t="e">
        <f>'All regions'!H1627+"$F;@!$z8"</f>
        <v>#VALUE!</v>
      </c>
      <c r="J61" t="e">
        <f>'All regions'!I1627+"$F;@!$z9"</f>
        <v>#VALUE!</v>
      </c>
      <c r="K61" t="e">
        <f>'All regions'!A1628+"$F;@!$z:"</f>
        <v>#VALUE!</v>
      </c>
      <c r="L61" t="e">
        <f>'All regions'!B1628+"$F;@!$z;"</f>
        <v>#VALUE!</v>
      </c>
      <c r="M61" t="e">
        <f>'All regions'!C1628+"$F;@!$z&lt;"</f>
        <v>#VALUE!</v>
      </c>
      <c r="N61" t="e">
        <f>'All regions'!D1628+"$F;@!$z="</f>
        <v>#VALUE!</v>
      </c>
      <c r="O61" t="e">
        <f>'All regions'!E1628+"$F;@!$z&gt;"</f>
        <v>#VALUE!</v>
      </c>
      <c r="P61" t="e">
        <f>'All regions'!F1628+"$F;@!$z?"</f>
        <v>#VALUE!</v>
      </c>
      <c r="Q61" t="e">
        <f>'All regions'!G1628+"$F;@!$z@"</f>
        <v>#VALUE!</v>
      </c>
      <c r="R61" t="e">
        <f>'All regions'!H1628+"$F;@!$zA"</f>
        <v>#VALUE!</v>
      </c>
      <c r="S61" t="e">
        <f>'All regions'!I1628+"$F;@!$zB"</f>
        <v>#VALUE!</v>
      </c>
      <c r="T61" t="e">
        <f>'All regions'!A1629+"$F;@!$zC"</f>
        <v>#VALUE!</v>
      </c>
      <c r="U61" t="e">
        <f>'All regions'!B1629+"$F;@!$zD"</f>
        <v>#VALUE!</v>
      </c>
      <c r="V61" t="e">
        <f>'All regions'!C1629+"$F;@!$zE"</f>
        <v>#VALUE!</v>
      </c>
      <c r="W61" t="e">
        <f>'All regions'!D1629+"$F;@!$zF"</f>
        <v>#VALUE!</v>
      </c>
      <c r="X61" t="e">
        <f>'All regions'!E1629+"$F;@!$zG"</f>
        <v>#VALUE!</v>
      </c>
      <c r="Y61" t="e">
        <f>'All regions'!F1629+"$F;@!$zH"</f>
        <v>#VALUE!</v>
      </c>
      <c r="Z61" t="e">
        <f>'All regions'!G1629+"$F;@!$zI"</f>
        <v>#VALUE!</v>
      </c>
      <c r="AA61" t="e">
        <f>'All regions'!H1629+"$F;@!$zJ"</f>
        <v>#VALUE!</v>
      </c>
      <c r="AB61" t="e">
        <f>'All regions'!I1629+"$F;@!$zK"</f>
        <v>#VALUE!</v>
      </c>
      <c r="AC61" t="e">
        <f>'All regions'!A1630+"$F;@!$zL"</f>
        <v>#VALUE!</v>
      </c>
      <c r="AD61" t="e">
        <f>'All regions'!B1630+"$F;@!$zM"</f>
        <v>#VALUE!</v>
      </c>
      <c r="AE61" t="e">
        <f>'All regions'!C1630+"$F;@!$zN"</f>
        <v>#VALUE!</v>
      </c>
      <c r="AF61" t="e">
        <f>'All regions'!D1630+"$F;@!$zO"</f>
        <v>#VALUE!</v>
      </c>
      <c r="AG61" t="e">
        <f>'All regions'!E1630+"$F;@!$zP"</f>
        <v>#VALUE!</v>
      </c>
      <c r="AH61" t="e">
        <f>'All regions'!F1630+"$F;@!$zQ"</f>
        <v>#VALUE!</v>
      </c>
      <c r="AI61" t="e">
        <f>'All regions'!G1630+"$F;@!$zR"</f>
        <v>#VALUE!</v>
      </c>
      <c r="AJ61" t="e">
        <f>'All regions'!H1630+"$F;@!$zS"</f>
        <v>#VALUE!</v>
      </c>
      <c r="AK61" t="e">
        <f>'All regions'!I1630+"$F;@!$zT"</f>
        <v>#VALUE!</v>
      </c>
      <c r="AL61" t="e">
        <f>'All regions'!A1631+"$F;@!$zU"</f>
        <v>#VALUE!</v>
      </c>
      <c r="AM61" t="e">
        <f>'All regions'!B1631+"$F;@!$zV"</f>
        <v>#VALUE!</v>
      </c>
      <c r="AN61" t="e">
        <f>'All regions'!C1631+"$F;@!$zW"</f>
        <v>#VALUE!</v>
      </c>
      <c r="AO61" t="e">
        <f>'All regions'!D1631+"$F;@!$zX"</f>
        <v>#VALUE!</v>
      </c>
      <c r="AP61" t="e">
        <f>'All regions'!E1631+"$F;@!$zY"</f>
        <v>#VALUE!</v>
      </c>
      <c r="AQ61" t="e">
        <f>'All regions'!F1631+"$F;@!$zZ"</f>
        <v>#VALUE!</v>
      </c>
      <c r="AR61" t="e">
        <f>'All regions'!G1631+"$F;@!$z["</f>
        <v>#VALUE!</v>
      </c>
      <c r="AS61" t="e">
        <f>'All regions'!H1631+"$F;@!$z\"</f>
        <v>#VALUE!</v>
      </c>
      <c r="AT61" t="e">
        <f>'All regions'!I1631+"$F;@!$z]"</f>
        <v>#VALUE!</v>
      </c>
      <c r="AU61" t="e">
        <f>'All regions'!A1632+"$F;@!$z^"</f>
        <v>#VALUE!</v>
      </c>
      <c r="AV61" t="e">
        <f>'All regions'!B1632+"$F;@!$z_"</f>
        <v>#VALUE!</v>
      </c>
      <c r="AW61" t="e">
        <f>'All regions'!C1632+"$F;@!$z`"</f>
        <v>#VALUE!</v>
      </c>
      <c r="AX61" t="e">
        <f>'All regions'!D1632+"$F;@!$za"</f>
        <v>#VALUE!</v>
      </c>
      <c r="AY61" t="e">
        <f>'All regions'!E1632+"$F;@!$zb"</f>
        <v>#VALUE!</v>
      </c>
      <c r="AZ61" t="e">
        <f>'All regions'!F1632+"$F;@!$zc"</f>
        <v>#VALUE!</v>
      </c>
      <c r="BA61" t="e">
        <f>'All regions'!G1632+"$F;@!$zd"</f>
        <v>#VALUE!</v>
      </c>
      <c r="BB61" t="e">
        <f>'All regions'!H1632+"$F;@!$ze"</f>
        <v>#VALUE!</v>
      </c>
      <c r="BC61" t="e">
        <f>'All regions'!I1632+"$F;@!$zf"</f>
        <v>#VALUE!</v>
      </c>
      <c r="BD61" t="e">
        <f>'All regions'!A1633+"$F;@!$zg"</f>
        <v>#VALUE!</v>
      </c>
      <c r="BE61" t="e">
        <f>'All regions'!B1633+"$F;@!$zh"</f>
        <v>#VALUE!</v>
      </c>
      <c r="BF61" t="e">
        <f>'All regions'!C1633+"$F;@!$zi"</f>
        <v>#VALUE!</v>
      </c>
      <c r="BG61" t="e">
        <f>'All regions'!D1633+"$F;@!$zj"</f>
        <v>#VALUE!</v>
      </c>
      <c r="BH61" t="e">
        <f>'All regions'!E1633+"$F;@!$zk"</f>
        <v>#VALUE!</v>
      </c>
      <c r="BI61" t="e">
        <f>'All regions'!F1633+"$F;@!$zl"</f>
        <v>#VALUE!</v>
      </c>
      <c r="BJ61" t="e">
        <f>'All regions'!G1633+"$F;@!$zm"</f>
        <v>#VALUE!</v>
      </c>
      <c r="BK61" t="e">
        <f>'All regions'!H1633+"$F;@!$zn"</f>
        <v>#VALUE!</v>
      </c>
      <c r="BL61" t="e">
        <f>'All regions'!I1633+"$F;@!$zo"</f>
        <v>#VALUE!</v>
      </c>
      <c r="BM61" t="e">
        <f>'All regions'!A1634+"$F;@!$zp"</f>
        <v>#VALUE!</v>
      </c>
      <c r="BN61" t="e">
        <f>'All regions'!B1634+"$F;@!$zq"</f>
        <v>#VALUE!</v>
      </c>
      <c r="BO61" t="e">
        <f>'All regions'!C1634+"$F;@!$zr"</f>
        <v>#VALUE!</v>
      </c>
      <c r="BP61" t="e">
        <f>'All regions'!D1634+"$F;@!$zs"</f>
        <v>#VALUE!</v>
      </c>
      <c r="BQ61" t="e">
        <f>'All regions'!E1634+"$F;@!$zt"</f>
        <v>#VALUE!</v>
      </c>
      <c r="BR61" t="e">
        <f>'All regions'!F1634+"$F;@!$zu"</f>
        <v>#VALUE!</v>
      </c>
      <c r="BS61" t="e">
        <f>'All regions'!G1634+"$F;@!$zv"</f>
        <v>#VALUE!</v>
      </c>
      <c r="BT61" t="e">
        <f>'All regions'!H1634+"$F;@!$zw"</f>
        <v>#VALUE!</v>
      </c>
      <c r="BU61" t="e">
        <f>'All regions'!I1634+"$F;@!$zx"</f>
        <v>#VALUE!</v>
      </c>
      <c r="BV61" t="e">
        <f>'All regions'!A1635+"$F;@!$zy"</f>
        <v>#VALUE!</v>
      </c>
      <c r="BW61" t="e">
        <f>'All regions'!B1635+"$F;@!$zz"</f>
        <v>#VALUE!</v>
      </c>
      <c r="BX61" t="e">
        <f>'All regions'!C1635+"$F;@!$z{"</f>
        <v>#VALUE!</v>
      </c>
      <c r="BY61" t="e">
        <f>'All regions'!D1635+"$F;@!$z|"</f>
        <v>#VALUE!</v>
      </c>
      <c r="BZ61" t="e">
        <f>'All regions'!E1635+"$F;@!$z}"</f>
        <v>#VALUE!</v>
      </c>
      <c r="CA61" t="e">
        <f>'All regions'!F1635+"$F;@!$z~"</f>
        <v>#VALUE!</v>
      </c>
      <c r="CB61" t="e">
        <f>'All regions'!G1635+"$F;@!${#"</f>
        <v>#VALUE!</v>
      </c>
      <c r="CC61" t="e">
        <f>'All regions'!H1635+"$F;@!${$"</f>
        <v>#VALUE!</v>
      </c>
      <c r="CD61" t="e">
        <f>'All regions'!I1635+"$F;@!${%"</f>
        <v>#VALUE!</v>
      </c>
      <c r="CE61" t="e">
        <f>'All regions'!A1636+"$F;@!${&amp;"</f>
        <v>#VALUE!</v>
      </c>
      <c r="CF61" t="e">
        <f>'All regions'!B1636+"$F;@!${'"</f>
        <v>#VALUE!</v>
      </c>
      <c r="CG61" t="e">
        <f>'All regions'!C1636+"$F;@!${("</f>
        <v>#VALUE!</v>
      </c>
      <c r="CH61" t="e">
        <f>'All regions'!D1636+"$F;@!${)"</f>
        <v>#VALUE!</v>
      </c>
      <c r="CI61" t="e">
        <f>'All regions'!E1636+"$F;@!${."</f>
        <v>#VALUE!</v>
      </c>
      <c r="CJ61" t="e">
        <f>'All regions'!F1636+"$F;@!${/"</f>
        <v>#VALUE!</v>
      </c>
      <c r="CK61" t="e">
        <f>'All regions'!G1636+"$F;@!${0"</f>
        <v>#VALUE!</v>
      </c>
      <c r="CL61" t="e">
        <f>'All regions'!H1636+"$F;@!${1"</f>
        <v>#VALUE!</v>
      </c>
      <c r="CM61" t="e">
        <f>'All regions'!I1636+"$F;@!${2"</f>
        <v>#VALUE!</v>
      </c>
      <c r="CN61" t="e">
        <f>'All regions'!A1637+"$F;@!${3"</f>
        <v>#VALUE!</v>
      </c>
      <c r="CO61" t="e">
        <f>'All regions'!B1637+"$F;@!${4"</f>
        <v>#VALUE!</v>
      </c>
      <c r="CP61" t="e">
        <f>'All regions'!C1637+"$F;@!${5"</f>
        <v>#VALUE!</v>
      </c>
      <c r="CQ61" t="e">
        <f>'All regions'!D1637+"$F;@!${6"</f>
        <v>#VALUE!</v>
      </c>
      <c r="CR61" t="e">
        <f>'All regions'!E1637+"$F;@!${7"</f>
        <v>#VALUE!</v>
      </c>
      <c r="CS61" t="e">
        <f>'All regions'!F1637+"$F;@!${8"</f>
        <v>#VALUE!</v>
      </c>
      <c r="CT61" t="e">
        <f>'All regions'!G1637+"$F;@!${9"</f>
        <v>#VALUE!</v>
      </c>
      <c r="CU61" t="e">
        <f>'All regions'!H1637+"$F;@!${:"</f>
        <v>#VALUE!</v>
      </c>
      <c r="CV61" t="e">
        <f>'All regions'!I1637+"$F;@!${;"</f>
        <v>#VALUE!</v>
      </c>
      <c r="CW61" t="e">
        <f>'All regions'!A1638+"$F;@!${&lt;"</f>
        <v>#VALUE!</v>
      </c>
      <c r="CX61" t="e">
        <f>'All regions'!B1638+"$F;@!${="</f>
        <v>#VALUE!</v>
      </c>
      <c r="CY61" t="e">
        <f>'All regions'!C1638+"$F;@!${&gt;"</f>
        <v>#VALUE!</v>
      </c>
      <c r="CZ61" t="e">
        <f>'All regions'!D1638+"$F;@!${?"</f>
        <v>#VALUE!</v>
      </c>
      <c r="DA61" t="e">
        <f>'All regions'!E1638+"$F;@!${@"</f>
        <v>#VALUE!</v>
      </c>
      <c r="DB61" t="e">
        <f>'All regions'!F1638+"$F;@!${A"</f>
        <v>#VALUE!</v>
      </c>
      <c r="DC61" t="e">
        <f>'All regions'!G1638+"$F;@!${B"</f>
        <v>#VALUE!</v>
      </c>
      <c r="DD61" t="e">
        <f>'All regions'!H1638+"$F;@!${C"</f>
        <v>#VALUE!</v>
      </c>
      <c r="DE61" t="e">
        <f>'All regions'!I1638+"$F;@!${D"</f>
        <v>#VALUE!</v>
      </c>
      <c r="DF61" t="e">
        <f>'All regions'!A1639+"$F;@!${E"</f>
        <v>#VALUE!</v>
      </c>
      <c r="DG61" t="e">
        <f>'All regions'!B1639+"$F;@!${F"</f>
        <v>#VALUE!</v>
      </c>
      <c r="DH61" t="e">
        <f>'All regions'!C1639+"$F;@!${G"</f>
        <v>#VALUE!</v>
      </c>
      <c r="DI61" t="e">
        <f>'All regions'!D1639+"$F;@!${H"</f>
        <v>#VALUE!</v>
      </c>
      <c r="DJ61" t="e">
        <f>'All regions'!E1639+"$F;@!${I"</f>
        <v>#VALUE!</v>
      </c>
      <c r="DK61" t="e">
        <f>'All regions'!F1639+"$F;@!${J"</f>
        <v>#VALUE!</v>
      </c>
      <c r="DL61" t="e">
        <f>'All regions'!G1639+"$F;@!${K"</f>
        <v>#VALUE!</v>
      </c>
      <c r="DM61" t="e">
        <f>'All regions'!H1639+"$F;@!${L"</f>
        <v>#VALUE!</v>
      </c>
      <c r="DN61" t="e">
        <f>'All regions'!I1639+"$F;@!${M"</f>
        <v>#VALUE!</v>
      </c>
      <c r="DO61" t="e">
        <f>'All regions'!A1640+"$F;@!${N"</f>
        <v>#VALUE!</v>
      </c>
      <c r="DP61" t="e">
        <f>'All regions'!B1640+"$F;@!${O"</f>
        <v>#VALUE!</v>
      </c>
      <c r="DQ61" t="e">
        <f>'All regions'!C1640+"$F;@!${P"</f>
        <v>#VALUE!</v>
      </c>
      <c r="DR61" t="e">
        <f>'All regions'!D1640+"$F;@!${Q"</f>
        <v>#VALUE!</v>
      </c>
      <c r="DS61" t="e">
        <f>'All regions'!E1640+"$F;@!${R"</f>
        <v>#VALUE!</v>
      </c>
      <c r="DT61" t="e">
        <f>'All regions'!F1640+"$F;@!${S"</f>
        <v>#VALUE!</v>
      </c>
      <c r="DU61" t="e">
        <f>'All regions'!G1640+"$F;@!${T"</f>
        <v>#VALUE!</v>
      </c>
      <c r="DV61" t="e">
        <f>'All regions'!H1640+"$F;@!${U"</f>
        <v>#VALUE!</v>
      </c>
      <c r="DW61" t="e">
        <f>'All regions'!I1640+"$F;@!${V"</f>
        <v>#VALUE!</v>
      </c>
      <c r="DX61" t="e">
        <f>'All regions'!A1641+"$F;@!${W"</f>
        <v>#VALUE!</v>
      </c>
      <c r="DY61" t="e">
        <f>'All regions'!B1641+"$F;@!${X"</f>
        <v>#VALUE!</v>
      </c>
      <c r="DZ61" t="e">
        <f>'All regions'!C1641+"$F;@!${Y"</f>
        <v>#VALUE!</v>
      </c>
      <c r="EA61" t="e">
        <f>'All regions'!D1641+"$F;@!${Z"</f>
        <v>#VALUE!</v>
      </c>
      <c r="EB61" t="e">
        <f>'All regions'!E1641+"$F;@!${["</f>
        <v>#VALUE!</v>
      </c>
      <c r="EC61" t="e">
        <f>'All regions'!F1641+"$F;@!${\"</f>
        <v>#VALUE!</v>
      </c>
      <c r="ED61" t="e">
        <f>'All regions'!G1641+"$F;@!${]"</f>
        <v>#VALUE!</v>
      </c>
      <c r="EE61" t="e">
        <f>'All regions'!H1641+"$F;@!${^"</f>
        <v>#VALUE!</v>
      </c>
      <c r="EF61" t="e">
        <f>'All regions'!I1641+"$F;@!${_"</f>
        <v>#VALUE!</v>
      </c>
      <c r="EG61" t="e">
        <f>'All regions'!A1642+"$F;@!${`"</f>
        <v>#VALUE!</v>
      </c>
      <c r="EH61" t="e">
        <f>'All regions'!B1642+"$F;@!${a"</f>
        <v>#VALUE!</v>
      </c>
      <c r="EI61" t="e">
        <f>'All regions'!C1642+"$F;@!${b"</f>
        <v>#VALUE!</v>
      </c>
      <c r="EJ61" t="e">
        <f>'All regions'!D1642+"$F;@!${c"</f>
        <v>#VALUE!</v>
      </c>
      <c r="EK61" t="e">
        <f>'All regions'!E1642+"$F;@!${d"</f>
        <v>#VALUE!</v>
      </c>
      <c r="EL61" t="e">
        <f>'All regions'!F1642+"$F;@!${e"</f>
        <v>#VALUE!</v>
      </c>
      <c r="EM61" t="e">
        <f>'All regions'!G1642+"$F;@!${f"</f>
        <v>#VALUE!</v>
      </c>
      <c r="EN61" t="e">
        <f>'All regions'!H1642+"$F;@!${g"</f>
        <v>#VALUE!</v>
      </c>
      <c r="EO61" t="e">
        <f>'All regions'!I1642+"$F;@!${h"</f>
        <v>#VALUE!</v>
      </c>
      <c r="EP61" t="e">
        <f>'All regions'!A1643+"$F;@!${i"</f>
        <v>#VALUE!</v>
      </c>
      <c r="EQ61" t="e">
        <f>'All regions'!B1643+"$F;@!${j"</f>
        <v>#VALUE!</v>
      </c>
      <c r="ER61" t="e">
        <f>'All regions'!C1643+"$F;@!${k"</f>
        <v>#VALUE!</v>
      </c>
      <c r="ES61" t="e">
        <f>'All regions'!D1643+"$F;@!${l"</f>
        <v>#VALUE!</v>
      </c>
      <c r="ET61" t="e">
        <f>'All regions'!E1643+"$F;@!${m"</f>
        <v>#VALUE!</v>
      </c>
      <c r="EU61" t="e">
        <f>'All regions'!F1643+"$F;@!${n"</f>
        <v>#VALUE!</v>
      </c>
      <c r="EV61" t="e">
        <f>'All regions'!G1643+"$F;@!${o"</f>
        <v>#VALUE!</v>
      </c>
      <c r="EW61" t="e">
        <f>'All regions'!H1643+"$F;@!${p"</f>
        <v>#VALUE!</v>
      </c>
      <c r="EX61" t="e">
        <f>'All regions'!I1643+"$F;@!${q"</f>
        <v>#VALUE!</v>
      </c>
      <c r="EY61" t="e">
        <f>'All regions'!A1644+"$F;@!${r"</f>
        <v>#VALUE!</v>
      </c>
      <c r="EZ61" t="e">
        <f>'All regions'!B1644+"$F;@!${s"</f>
        <v>#VALUE!</v>
      </c>
      <c r="FA61" t="e">
        <f>'All regions'!C1644+"$F;@!${t"</f>
        <v>#VALUE!</v>
      </c>
      <c r="FB61" t="e">
        <f>'All regions'!D1644+"$F;@!${u"</f>
        <v>#VALUE!</v>
      </c>
      <c r="FC61" t="e">
        <f>'All regions'!E1644+"$F;@!${v"</f>
        <v>#VALUE!</v>
      </c>
      <c r="FD61" t="e">
        <f>'All regions'!F1644+"$F;@!${w"</f>
        <v>#VALUE!</v>
      </c>
      <c r="FE61" t="e">
        <f>'All regions'!G1644+"$F;@!${x"</f>
        <v>#VALUE!</v>
      </c>
      <c r="FF61" t="e">
        <f>'All regions'!H1644+"$F;@!${y"</f>
        <v>#VALUE!</v>
      </c>
      <c r="FG61" t="e">
        <f>'All regions'!I1644+"$F;@!${z"</f>
        <v>#VALUE!</v>
      </c>
      <c r="FH61" t="e">
        <f>'All regions'!A1645+"$F;@!${{"</f>
        <v>#VALUE!</v>
      </c>
      <c r="FI61" t="e">
        <f>'All regions'!B1645+"$F;@!${|"</f>
        <v>#VALUE!</v>
      </c>
      <c r="FJ61" t="e">
        <f>'All regions'!C1645+"$F;@!${}"</f>
        <v>#VALUE!</v>
      </c>
      <c r="FK61" t="e">
        <f>'All regions'!D1645+"$F;@!${~"</f>
        <v>#VALUE!</v>
      </c>
      <c r="FL61" t="e">
        <f>'All regions'!E1645+"$F;@!$|#"</f>
        <v>#VALUE!</v>
      </c>
      <c r="FM61" t="e">
        <f>'All regions'!F1645+"$F;@!$|$"</f>
        <v>#VALUE!</v>
      </c>
      <c r="FN61" t="e">
        <f>'All regions'!G1645+"$F;@!$|%"</f>
        <v>#VALUE!</v>
      </c>
      <c r="FO61" t="e">
        <f>'All regions'!H1645+"$F;@!$|&amp;"</f>
        <v>#VALUE!</v>
      </c>
      <c r="FP61" t="e">
        <f>'All regions'!I1645+"$F;@!$|'"</f>
        <v>#VALUE!</v>
      </c>
      <c r="FQ61" t="e">
        <f>'All regions'!A1646+"$F;@!$|("</f>
        <v>#VALUE!</v>
      </c>
      <c r="FR61" t="e">
        <f>'All regions'!B1646+"$F;@!$|)"</f>
        <v>#VALUE!</v>
      </c>
      <c r="FS61" t="e">
        <f>'All regions'!C1646+"$F;@!$|."</f>
        <v>#VALUE!</v>
      </c>
      <c r="FT61" t="e">
        <f>'All regions'!D1646+"$F;@!$|/"</f>
        <v>#VALUE!</v>
      </c>
      <c r="FU61" t="e">
        <f>'All regions'!E1646+"$F;@!$|0"</f>
        <v>#VALUE!</v>
      </c>
      <c r="FV61" t="e">
        <f>'All regions'!F1646+"$F;@!$|1"</f>
        <v>#VALUE!</v>
      </c>
      <c r="FW61" t="e">
        <f>'All regions'!G1646+"$F;@!$|2"</f>
        <v>#VALUE!</v>
      </c>
      <c r="FX61" t="e">
        <f>'All regions'!H1646+"$F;@!$|3"</f>
        <v>#VALUE!</v>
      </c>
      <c r="FY61" t="e">
        <f>'All regions'!I1646+"$F;@!$|4"</f>
        <v>#VALUE!</v>
      </c>
      <c r="FZ61" t="e">
        <f>'All regions'!A1647+"$F;@!$|5"</f>
        <v>#VALUE!</v>
      </c>
      <c r="GA61" t="e">
        <f>'All regions'!B1647+"$F;@!$|6"</f>
        <v>#VALUE!</v>
      </c>
      <c r="GB61" t="e">
        <f>'All regions'!C1647+"$F;@!$|7"</f>
        <v>#VALUE!</v>
      </c>
      <c r="GC61" t="e">
        <f>'All regions'!D1647+"$F;@!$|8"</f>
        <v>#VALUE!</v>
      </c>
      <c r="GD61" t="e">
        <f>'All regions'!E1647+"$F;@!$|9"</f>
        <v>#VALUE!</v>
      </c>
      <c r="GE61" t="e">
        <f>'All regions'!F1647+"$F;@!$|:"</f>
        <v>#VALUE!</v>
      </c>
      <c r="GF61" t="e">
        <f>'All regions'!G1647+"$F;@!$|;"</f>
        <v>#VALUE!</v>
      </c>
      <c r="GG61" t="e">
        <f>'All regions'!H1647+"$F;@!$|&lt;"</f>
        <v>#VALUE!</v>
      </c>
      <c r="GH61" t="e">
        <f>'All regions'!I1647+"$F;@!$|="</f>
        <v>#VALUE!</v>
      </c>
      <c r="GI61" t="e">
        <f>'All regions'!A1648+"$F;@!$|&gt;"</f>
        <v>#VALUE!</v>
      </c>
      <c r="GJ61" t="e">
        <f>'All regions'!B1648+"$F;@!$|?"</f>
        <v>#VALUE!</v>
      </c>
      <c r="GK61" t="e">
        <f>'All regions'!C1648+"$F;@!$|@"</f>
        <v>#VALUE!</v>
      </c>
      <c r="GL61" t="e">
        <f>'All regions'!D1648+"$F;@!$|A"</f>
        <v>#VALUE!</v>
      </c>
      <c r="GM61" t="e">
        <f>'All regions'!E1648+"$F;@!$|B"</f>
        <v>#VALUE!</v>
      </c>
      <c r="GN61" t="e">
        <f>'All regions'!F1648+"$F;@!$|C"</f>
        <v>#VALUE!</v>
      </c>
      <c r="GO61" t="e">
        <f>'All regions'!G1648+"$F;@!$|D"</f>
        <v>#VALUE!</v>
      </c>
      <c r="GP61" t="e">
        <f>'All regions'!H1648+"$F;@!$|E"</f>
        <v>#VALUE!</v>
      </c>
      <c r="GQ61" t="e">
        <f>'All regions'!I1648+"$F;@!$|F"</f>
        <v>#VALUE!</v>
      </c>
      <c r="GR61" t="e">
        <f>'All regions'!A1649+"$F;@!$|G"</f>
        <v>#VALUE!</v>
      </c>
      <c r="GS61" t="e">
        <f>'All regions'!B1649+"$F;@!$|H"</f>
        <v>#VALUE!</v>
      </c>
      <c r="GT61" t="e">
        <f>'All regions'!C1649+"$F;@!$|I"</f>
        <v>#VALUE!</v>
      </c>
      <c r="GU61" t="e">
        <f>'All regions'!D1649+"$F;@!$|J"</f>
        <v>#VALUE!</v>
      </c>
      <c r="GV61" t="e">
        <f>'All regions'!E1649+"$F;@!$|K"</f>
        <v>#VALUE!</v>
      </c>
      <c r="GW61" t="e">
        <f>'All regions'!F1649+"$F;@!$|L"</f>
        <v>#VALUE!</v>
      </c>
      <c r="GX61" t="e">
        <f>'All regions'!G1649+"$F;@!$|M"</f>
        <v>#VALUE!</v>
      </c>
      <c r="GY61" t="e">
        <f>'All regions'!H1649+"$F;@!$|N"</f>
        <v>#VALUE!</v>
      </c>
      <c r="GZ61" t="e">
        <f>'All regions'!I1649+"$F;@!$|O"</f>
        <v>#VALUE!</v>
      </c>
      <c r="HA61" t="e">
        <f>'All regions'!A1650+"$F;@!$|P"</f>
        <v>#VALUE!</v>
      </c>
      <c r="HB61" t="e">
        <f>'All regions'!B1650+"$F;@!$|Q"</f>
        <v>#VALUE!</v>
      </c>
      <c r="HC61" t="e">
        <f>'All regions'!C1650+"$F;@!$|R"</f>
        <v>#VALUE!</v>
      </c>
      <c r="HD61" t="e">
        <f>'All regions'!D1650+"$F;@!$|S"</f>
        <v>#VALUE!</v>
      </c>
      <c r="HE61" t="e">
        <f>'All regions'!E1650+"$F;@!$|T"</f>
        <v>#VALUE!</v>
      </c>
      <c r="HF61" t="e">
        <f>'All regions'!F1650+"$F;@!$|U"</f>
        <v>#VALUE!</v>
      </c>
      <c r="HG61" t="e">
        <f>'All regions'!G1650+"$F;@!$|V"</f>
        <v>#VALUE!</v>
      </c>
      <c r="HH61" t="e">
        <f>'All regions'!H1650+"$F;@!$|W"</f>
        <v>#VALUE!</v>
      </c>
      <c r="HI61" t="e">
        <f>'All regions'!I1650+"$F;@!$|X"</f>
        <v>#VALUE!</v>
      </c>
      <c r="HJ61" t="e">
        <f>'All regions'!A1651+"$F;@!$|Y"</f>
        <v>#VALUE!</v>
      </c>
      <c r="HK61" t="e">
        <f>'All regions'!B1651+"$F;@!$|Z"</f>
        <v>#VALUE!</v>
      </c>
      <c r="HL61" t="e">
        <f>'All regions'!C1651+"$F;@!$|["</f>
        <v>#VALUE!</v>
      </c>
      <c r="HM61" t="e">
        <f>'All regions'!D1651+"$F;@!$|\"</f>
        <v>#VALUE!</v>
      </c>
      <c r="HN61" t="e">
        <f>'All regions'!E1651+"$F;@!$|]"</f>
        <v>#VALUE!</v>
      </c>
      <c r="HO61" t="e">
        <f>'All regions'!G1651+"$F;@!$|^"</f>
        <v>#VALUE!</v>
      </c>
      <c r="HP61" t="e">
        <f>'All regions'!H1651+"$F;@!$|_"</f>
        <v>#VALUE!</v>
      </c>
      <c r="HQ61" t="e">
        <f>'All regions'!I1651+"$F;@!$|`"</f>
        <v>#VALUE!</v>
      </c>
      <c r="HR61" t="e">
        <f>'All regions'!A1652+"$F;@!$|a"</f>
        <v>#VALUE!</v>
      </c>
      <c r="HS61" t="e">
        <f>'All regions'!B1652+"$F;@!$|b"</f>
        <v>#VALUE!</v>
      </c>
      <c r="HT61" t="e">
        <f>'All regions'!C1652+"$F;@!$|c"</f>
        <v>#VALUE!</v>
      </c>
      <c r="HU61" t="e">
        <f>'All regions'!D1652+"$F;@!$|d"</f>
        <v>#VALUE!</v>
      </c>
      <c r="HV61" t="e">
        <f>'All regions'!E1652+"$F;@!$|e"</f>
        <v>#VALUE!</v>
      </c>
      <c r="HW61" t="e">
        <f>'All regions'!F1652+"$F;@!$|f"</f>
        <v>#VALUE!</v>
      </c>
      <c r="HX61" t="e">
        <f>'All regions'!G1652+"$F;@!$|g"</f>
        <v>#VALUE!</v>
      </c>
      <c r="HY61" t="e">
        <f>'All regions'!H1652+"$F;@!$|h"</f>
        <v>#VALUE!</v>
      </c>
      <c r="HZ61" t="e">
        <f>'All regions'!I1652+"$F;@!$|i"</f>
        <v>#VALUE!</v>
      </c>
      <c r="IA61" t="e">
        <f>'All regions'!A1653+"$F;@!$|j"</f>
        <v>#VALUE!</v>
      </c>
      <c r="IB61" t="e">
        <f>'All regions'!B1653+"$F;@!$|k"</f>
        <v>#VALUE!</v>
      </c>
      <c r="IC61" t="e">
        <f>'All regions'!C1653+"$F;@!$|l"</f>
        <v>#VALUE!</v>
      </c>
      <c r="ID61" t="e">
        <f>'All regions'!D1653+"$F;@!$|m"</f>
        <v>#VALUE!</v>
      </c>
      <c r="IE61" t="e">
        <f>'All regions'!E1653+"$F;@!$|n"</f>
        <v>#VALUE!</v>
      </c>
      <c r="IF61" t="e">
        <f>'All regions'!F1653+"$F;@!$|o"</f>
        <v>#VALUE!</v>
      </c>
      <c r="IG61" t="e">
        <f>'All regions'!G1653+"$F;@!$|p"</f>
        <v>#VALUE!</v>
      </c>
      <c r="IH61" t="e">
        <f>'All regions'!H1653+"$F;@!$|q"</f>
        <v>#VALUE!</v>
      </c>
      <c r="II61" t="e">
        <f>'All regions'!I1653+"$F;@!$|r"</f>
        <v>#VALUE!</v>
      </c>
      <c r="IJ61" t="e">
        <f>'All regions'!A1654+"$F;@!$|s"</f>
        <v>#VALUE!</v>
      </c>
      <c r="IK61" t="e">
        <f>'All regions'!B1654+"$F;@!$|t"</f>
        <v>#VALUE!</v>
      </c>
      <c r="IL61" t="e">
        <f>'All regions'!C1654+"$F;@!$|u"</f>
        <v>#VALUE!</v>
      </c>
      <c r="IM61" t="e">
        <f>'All regions'!D1654+"$F;@!$|v"</f>
        <v>#VALUE!</v>
      </c>
      <c r="IN61" t="e">
        <f>'All regions'!E1654+"$F;@!$|w"</f>
        <v>#VALUE!</v>
      </c>
      <c r="IO61" t="e">
        <f>'All regions'!F1654+"$F;@!$|x"</f>
        <v>#VALUE!</v>
      </c>
      <c r="IP61" t="e">
        <f>'All regions'!G1654+"$F;@!$|y"</f>
        <v>#VALUE!</v>
      </c>
      <c r="IQ61" t="e">
        <f>'All regions'!H1654+"$F;@!$|z"</f>
        <v>#VALUE!</v>
      </c>
      <c r="IR61" t="e">
        <f>'All regions'!I1654+"$F;@!$|{"</f>
        <v>#VALUE!</v>
      </c>
      <c r="IS61" t="e">
        <f>'All regions'!A1655+"$F;@!$||"</f>
        <v>#VALUE!</v>
      </c>
      <c r="IT61" t="e">
        <f>'All regions'!B1655+"$F;@!$|}"</f>
        <v>#VALUE!</v>
      </c>
      <c r="IU61" t="e">
        <f>'All regions'!C1655+"$F;@!$|~"</f>
        <v>#VALUE!</v>
      </c>
      <c r="IV61" t="e">
        <f>'All regions'!D1655+"$F;@!$}#"</f>
        <v>#VALUE!</v>
      </c>
    </row>
    <row r="62" spans="6:256" x14ac:dyDescent="0.35">
      <c r="F62" t="e">
        <f>'All regions'!E1655+"$F;@!$}$"</f>
        <v>#VALUE!</v>
      </c>
      <c r="G62" t="e">
        <f>'All regions'!F1655+"$F;@!$}%"</f>
        <v>#VALUE!</v>
      </c>
      <c r="H62" t="e">
        <f>'All regions'!G1655+"$F;@!$}&amp;"</f>
        <v>#VALUE!</v>
      </c>
      <c r="I62" t="e">
        <f>'All regions'!H1655+"$F;@!$}'"</f>
        <v>#VALUE!</v>
      </c>
      <c r="J62" t="e">
        <f>'All regions'!I1655+"$F;@!$}("</f>
        <v>#VALUE!</v>
      </c>
      <c r="K62" t="e">
        <f>'All regions'!A1656+"$F;@!$})"</f>
        <v>#VALUE!</v>
      </c>
      <c r="L62" t="e">
        <f>'All regions'!B1656+"$F;@!$}."</f>
        <v>#VALUE!</v>
      </c>
      <c r="M62" t="e">
        <f>'All regions'!C1656+"$F;@!$}/"</f>
        <v>#VALUE!</v>
      </c>
      <c r="N62" t="e">
        <f>'All regions'!D1656+"$F;@!$}0"</f>
        <v>#VALUE!</v>
      </c>
      <c r="O62" t="e">
        <f>'All regions'!E1656+"$F;@!$}1"</f>
        <v>#VALUE!</v>
      </c>
      <c r="P62" t="e">
        <f>'All regions'!F1656+"$F;@!$}2"</f>
        <v>#VALUE!</v>
      </c>
      <c r="Q62" t="e">
        <f>'All regions'!G1656+"$F;@!$}3"</f>
        <v>#VALUE!</v>
      </c>
      <c r="R62" t="e">
        <f>'All regions'!H1656+"$F;@!$}4"</f>
        <v>#VALUE!</v>
      </c>
      <c r="S62" t="e">
        <f>'All regions'!I1656+"$F;@!$}5"</f>
        <v>#VALUE!</v>
      </c>
      <c r="T62" t="e">
        <f>'All regions'!A1657+"$F;@!$}6"</f>
        <v>#VALUE!</v>
      </c>
      <c r="U62" t="e">
        <f>'All regions'!B1657+"$F;@!$}7"</f>
        <v>#VALUE!</v>
      </c>
      <c r="V62" t="e">
        <f>'All regions'!C1657+"$F;@!$}8"</f>
        <v>#VALUE!</v>
      </c>
      <c r="W62" t="e">
        <f>'All regions'!D1657+"$F;@!$}9"</f>
        <v>#VALUE!</v>
      </c>
      <c r="X62" t="e">
        <f>'All regions'!E1657+"$F;@!$}:"</f>
        <v>#VALUE!</v>
      </c>
      <c r="Y62" t="e">
        <f>'All regions'!F1657+"$F;@!$};"</f>
        <v>#VALUE!</v>
      </c>
      <c r="Z62" t="e">
        <f>'All regions'!G1657+"$F;@!$}&lt;"</f>
        <v>#VALUE!</v>
      </c>
      <c r="AA62" t="e">
        <f>'All regions'!H1657+"$F;@!$}="</f>
        <v>#VALUE!</v>
      </c>
      <c r="AB62" t="e">
        <f>'All regions'!I1657+"$F;@!$}&gt;"</f>
        <v>#VALUE!</v>
      </c>
      <c r="AC62" t="e">
        <f>'All regions'!A1658+"$F;@!$}?"</f>
        <v>#VALUE!</v>
      </c>
      <c r="AD62" t="e">
        <f>'All regions'!B1658+"$F;@!$}@"</f>
        <v>#VALUE!</v>
      </c>
      <c r="AE62" t="e">
        <f>'All regions'!C1658+"$F;@!$}A"</f>
        <v>#VALUE!</v>
      </c>
      <c r="AF62" t="e">
        <f>'All regions'!D1658+"$F;@!$}B"</f>
        <v>#VALUE!</v>
      </c>
      <c r="AG62" t="e">
        <f>'All regions'!E1658+"$F;@!$}C"</f>
        <v>#VALUE!</v>
      </c>
      <c r="AH62" t="e">
        <f>'All regions'!F1658+"$F;@!$}D"</f>
        <v>#VALUE!</v>
      </c>
      <c r="AI62" t="e">
        <f>'All regions'!G1658+"$F;@!$}E"</f>
        <v>#VALUE!</v>
      </c>
      <c r="AJ62" t="e">
        <f>'All regions'!H1658+"$F;@!$}F"</f>
        <v>#VALUE!</v>
      </c>
      <c r="AK62" t="e">
        <f>'All regions'!I1658+"$F;@!$}G"</f>
        <v>#VALUE!</v>
      </c>
      <c r="AL62" t="e">
        <f>'All regions'!A1659+"$F;@!$}H"</f>
        <v>#VALUE!</v>
      </c>
      <c r="AM62" t="e">
        <f>'All regions'!B1659+"$F;@!$}I"</f>
        <v>#VALUE!</v>
      </c>
      <c r="AN62" t="e">
        <f>'All regions'!C1659+"$F;@!$}J"</f>
        <v>#VALUE!</v>
      </c>
      <c r="AO62" t="e">
        <f>'All regions'!D1659+"$F;@!$}K"</f>
        <v>#VALUE!</v>
      </c>
      <c r="AP62" t="e">
        <f>'All regions'!E1659+"$F;@!$}L"</f>
        <v>#VALUE!</v>
      </c>
      <c r="AQ62" t="e">
        <f>'All regions'!F1659+"$F;@!$}M"</f>
        <v>#VALUE!</v>
      </c>
      <c r="AR62" t="e">
        <f>'All regions'!G1659+"$F;@!$}N"</f>
        <v>#VALUE!</v>
      </c>
      <c r="AS62" t="e">
        <f>'All regions'!H1659+"$F;@!$}O"</f>
        <v>#VALUE!</v>
      </c>
      <c r="AT62" t="e">
        <f>'All regions'!I1659+"$F;@!$}P"</f>
        <v>#VALUE!</v>
      </c>
      <c r="AU62" t="e">
        <f>'All regions'!A1660+"$F;@!$}Q"</f>
        <v>#VALUE!</v>
      </c>
      <c r="AV62" t="e">
        <f>'All regions'!B1660+"$F;@!$}R"</f>
        <v>#VALUE!</v>
      </c>
      <c r="AW62" t="e">
        <f>'All regions'!C1660+"$F;@!$}S"</f>
        <v>#VALUE!</v>
      </c>
      <c r="AX62" t="e">
        <f>'All regions'!D1660+"$F;@!$}T"</f>
        <v>#VALUE!</v>
      </c>
      <c r="AY62" t="e">
        <f>'All regions'!E1660+"$F;@!$}U"</f>
        <v>#VALUE!</v>
      </c>
      <c r="AZ62" t="e">
        <f>'All regions'!F1660+"$F;@!$}V"</f>
        <v>#VALUE!</v>
      </c>
      <c r="BA62" t="e">
        <f>'All regions'!G1660+"$F;@!$}W"</f>
        <v>#VALUE!</v>
      </c>
      <c r="BB62" t="e">
        <f>'All regions'!H1660+"$F;@!$}X"</f>
        <v>#VALUE!</v>
      </c>
      <c r="BC62" t="e">
        <f>'All regions'!I1660+"$F;@!$}Y"</f>
        <v>#VALUE!</v>
      </c>
      <c r="BD62" t="e">
        <f>'All regions'!A1661+"$F;@!$}Z"</f>
        <v>#VALUE!</v>
      </c>
      <c r="BE62" t="e">
        <f>'All regions'!B1661+"$F;@!$}["</f>
        <v>#VALUE!</v>
      </c>
      <c r="BF62" t="e">
        <f>'All regions'!C1661+"$F;@!$}\"</f>
        <v>#VALUE!</v>
      </c>
      <c r="BG62" t="e">
        <f>'All regions'!D1661+"$F;@!$}]"</f>
        <v>#VALUE!</v>
      </c>
      <c r="BH62" t="e">
        <f>'All regions'!E1661+"$F;@!$}^"</f>
        <v>#VALUE!</v>
      </c>
      <c r="BI62" t="e">
        <f>'All regions'!F1661+"$F;@!$}_"</f>
        <v>#VALUE!</v>
      </c>
      <c r="BJ62" t="e">
        <f>'All regions'!G1661+"$F;@!$}`"</f>
        <v>#VALUE!</v>
      </c>
      <c r="BK62" t="e">
        <f>'All regions'!H1661+"$F;@!$}a"</f>
        <v>#VALUE!</v>
      </c>
      <c r="BL62" t="e">
        <f>'All regions'!I1661+"$F;@!$}b"</f>
        <v>#VALUE!</v>
      </c>
      <c r="BM62" t="e">
        <f>'All regions'!A1662+"$F;@!$}c"</f>
        <v>#VALUE!</v>
      </c>
      <c r="BN62" t="e">
        <f>'All regions'!B1662+"$F;@!$}d"</f>
        <v>#VALUE!</v>
      </c>
      <c r="BO62" t="e">
        <f>'All regions'!C1662+"$F;@!$}e"</f>
        <v>#VALUE!</v>
      </c>
      <c r="BP62" t="e">
        <f>'All regions'!D1662+"$F;@!$}f"</f>
        <v>#VALUE!</v>
      </c>
      <c r="BQ62" t="e">
        <f>'All regions'!E1662+"$F;@!$}g"</f>
        <v>#VALUE!</v>
      </c>
      <c r="BR62" t="e">
        <f>'All regions'!F1662+"$F;@!$}h"</f>
        <v>#VALUE!</v>
      </c>
      <c r="BS62" t="e">
        <f>'All regions'!G1662+"$F;@!$}i"</f>
        <v>#VALUE!</v>
      </c>
      <c r="BT62" t="e">
        <f>'All regions'!H1662+"$F;@!$}j"</f>
        <v>#VALUE!</v>
      </c>
      <c r="BU62" t="e">
        <f>'All regions'!I1662+"$F;@!$}k"</f>
        <v>#VALUE!</v>
      </c>
      <c r="BV62" t="e">
        <f>'All regions'!A1663+"$F;@!$}l"</f>
        <v>#VALUE!</v>
      </c>
      <c r="BW62" t="e">
        <f>'All regions'!B1663+"$F;@!$}m"</f>
        <v>#VALUE!</v>
      </c>
      <c r="BX62" t="e">
        <f>'All regions'!C1663+"$F;@!$}n"</f>
        <v>#VALUE!</v>
      </c>
      <c r="BY62" t="e">
        <f>'All regions'!D1663+"$F;@!$}o"</f>
        <v>#VALUE!</v>
      </c>
      <c r="BZ62" t="e">
        <f>'All regions'!E1663+"$F;@!$}p"</f>
        <v>#VALUE!</v>
      </c>
      <c r="CA62" t="e">
        <f>'All regions'!F1663+"$F;@!$}q"</f>
        <v>#VALUE!</v>
      </c>
      <c r="CB62" t="e">
        <f>'All regions'!G1663+"$F;@!$}r"</f>
        <v>#VALUE!</v>
      </c>
      <c r="CC62" t="e">
        <f>'All regions'!H1663+"$F;@!$}s"</f>
        <v>#VALUE!</v>
      </c>
      <c r="CD62" t="e">
        <f>'All regions'!I1663+"$F;@!$}t"</f>
        <v>#VALUE!</v>
      </c>
      <c r="CE62" t="e">
        <f>'All regions'!A1664+"$F;@!$}u"</f>
        <v>#VALUE!</v>
      </c>
      <c r="CF62" t="e">
        <f>'All regions'!B1664+"$F;@!$}v"</f>
        <v>#VALUE!</v>
      </c>
      <c r="CG62" t="e">
        <f>'All regions'!C1664+"$F;@!$}w"</f>
        <v>#VALUE!</v>
      </c>
      <c r="CH62" t="e">
        <f>'All regions'!D1664+"$F;@!$}x"</f>
        <v>#VALUE!</v>
      </c>
      <c r="CI62" t="e">
        <f>'All regions'!E1664+"$F;@!$}y"</f>
        <v>#VALUE!</v>
      </c>
      <c r="CJ62" t="e">
        <f>'All regions'!F1664+"$F;@!$}z"</f>
        <v>#VALUE!</v>
      </c>
      <c r="CK62" t="e">
        <f>'All regions'!G1664+"$F;@!$}{"</f>
        <v>#VALUE!</v>
      </c>
      <c r="CL62" t="e">
        <f>'All regions'!H1664+"$F;@!$}|"</f>
        <v>#VALUE!</v>
      </c>
      <c r="CM62" t="e">
        <f>'All regions'!I1664+"$F;@!$}}"</f>
        <v>#VALUE!</v>
      </c>
      <c r="CN62" t="e">
        <f>'All regions'!A1665+"$F;@!$}~"</f>
        <v>#VALUE!</v>
      </c>
      <c r="CO62" t="e">
        <f>'All regions'!B1665+"$F;@!$~#"</f>
        <v>#VALUE!</v>
      </c>
      <c r="CP62" t="e">
        <f>'All regions'!C1665+"$F;@!$~$"</f>
        <v>#VALUE!</v>
      </c>
      <c r="CQ62" t="e">
        <f>'All regions'!D1665+"$F;@!$~%"</f>
        <v>#VALUE!</v>
      </c>
      <c r="CR62" t="e">
        <f>'All regions'!E1665+"$F;@!$~&amp;"</f>
        <v>#VALUE!</v>
      </c>
      <c r="CS62" t="e">
        <f>'All regions'!F1665+"$F;@!$~'"</f>
        <v>#VALUE!</v>
      </c>
      <c r="CT62" t="e">
        <f>'All regions'!G1665+"$F;@!$~("</f>
        <v>#VALUE!</v>
      </c>
      <c r="CU62" t="e">
        <f>'All regions'!H1665+"$F;@!$~)"</f>
        <v>#VALUE!</v>
      </c>
      <c r="CV62" t="e">
        <f>'All regions'!I1665+"$F;@!$~."</f>
        <v>#VALUE!</v>
      </c>
      <c r="CW62" t="e">
        <f>'All regions'!A1666+"$F;@!$~/"</f>
        <v>#VALUE!</v>
      </c>
      <c r="CX62" t="e">
        <f>'All regions'!B1666+"$F;@!$~0"</f>
        <v>#VALUE!</v>
      </c>
      <c r="CY62" t="e">
        <f>'All regions'!C1666+"$F;@!$~1"</f>
        <v>#VALUE!</v>
      </c>
      <c r="CZ62" t="e">
        <f>'All regions'!D1666+"$F;@!$~2"</f>
        <v>#VALUE!</v>
      </c>
      <c r="DA62" t="e">
        <f>'All regions'!E1666+"$F;@!$~3"</f>
        <v>#VALUE!</v>
      </c>
      <c r="DB62" t="e">
        <f>'All regions'!F1666+"$F;@!$~4"</f>
        <v>#VALUE!</v>
      </c>
      <c r="DC62" t="e">
        <f>'All regions'!G1666+"$F;@!$~5"</f>
        <v>#VALUE!</v>
      </c>
      <c r="DD62" t="e">
        <f>'All regions'!H1666+"$F;@!$~6"</f>
        <v>#VALUE!</v>
      </c>
      <c r="DE62" t="e">
        <f>'All regions'!I1666+"$F;@!$~7"</f>
        <v>#VALUE!</v>
      </c>
      <c r="DF62" t="e">
        <f>'All regions'!A1667+"$F;@!$~8"</f>
        <v>#VALUE!</v>
      </c>
      <c r="DG62" t="e">
        <f>'All regions'!B1667+"$F;@!$~9"</f>
        <v>#VALUE!</v>
      </c>
      <c r="DH62" t="e">
        <f>'All regions'!C1667+"$F;@!$~:"</f>
        <v>#VALUE!</v>
      </c>
      <c r="DI62" t="e">
        <f>'All regions'!D1667+"$F;@!$~;"</f>
        <v>#VALUE!</v>
      </c>
      <c r="DJ62" t="e">
        <f>'All regions'!E1667+"$F;@!$~&lt;"</f>
        <v>#VALUE!</v>
      </c>
      <c r="DK62" t="e">
        <f>'All regions'!F1667+"$F;@!$~="</f>
        <v>#VALUE!</v>
      </c>
      <c r="DL62" t="e">
        <f>'All regions'!G1667+"$F;@!$~&gt;"</f>
        <v>#VALUE!</v>
      </c>
      <c r="DM62" t="e">
        <f>'All regions'!H1667+"$F;@!$~?"</f>
        <v>#VALUE!</v>
      </c>
      <c r="DN62" t="e">
        <f>'All regions'!I1667+"$F;@!$~@"</f>
        <v>#VALUE!</v>
      </c>
      <c r="DO62" t="e">
        <f>'All regions'!A1668+"$F;@!$~A"</f>
        <v>#VALUE!</v>
      </c>
      <c r="DP62" t="e">
        <f>'All regions'!B1668+"$F;@!$~B"</f>
        <v>#VALUE!</v>
      </c>
      <c r="DQ62" t="e">
        <f>'All regions'!C1668+"$F;@!$~C"</f>
        <v>#VALUE!</v>
      </c>
      <c r="DR62" t="e">
        <f>'All regions'!D1668+"$F;@!$~D"</f>
        <v>#VALUE!</v>
      </c>
      <c r="DS62" t="e">
        <f>'All regions'!E1668+"$F;@!$~E"</f>
        <v>#VALUE!</v>
      </c>
      <c r="DT62" t="e">
        <f>'All regions'!F1668+"$F;@!$~F"</f>
        <v>#VALUE!</v>
      </c>
      <c r="DU62" t="e">
        <f>'All regions'!G1668+"$F;@!$~G"</f>
        <v>#VALUE!</v>
      </c>
      <c r="DV62" t="e">
        <f>'All regions'!H1668+"$F;@!$~H"</f>
        <v>#VALUE!</v>
      </c>
      <c r="DW62" t="e">
        <f>'All regions'!I1668+"$F;@!$~I"</f>
        <v>#VALUE!</v>
      </c>
      <c r="DX62" t="e">
        <f>'All regions'!A1669+"$F;@!$~J"</f>
        <v>#VALUE!</v>
      </c>
      <c r="DY62" t="e">
        <f>'All regions'!B1669+"$F;@!$~K"</f>
        <v>#VALUE!</v>
      </c>
      <c r="DZ62" t="e">
        <f>'All regions'!C1669+"$F;@!$~L"</f>
        <v>#VALUE!</v>
      </c>
      <c r="EA62" t="e">
        <f>'All regions'!D1669+"$F;@!$~M"</f>
        <v>#VALUE!</v>
      </c>
      <c r="EB62" t="e">
        <f>'All regions'!E1669+"$F;@!$~N"</f>
        <v>#VALUE!</v>
      </c>
      <c r="EC62" t="e">
        <f>'All regions'!F1669+"$F;@!$~O"</f>
        <v>#VALUE!</v>
      </c>
      <c r="ED62" t="e">
        <f>'All regions'!G1669+"$F;@!$~P"</f>
        <v>#VALUE!</v>
      </c>
      <c r="EE62" t="e">
        <f>'All regions'!H1669+"$F;@!$~Q"</f>
        <v>#VALUE!</v>
      </c>
      <c r="EF62" t="e">
        <f>'All regions'!I1669+"$F;@!$~R"</f>
        <v>#VALUE!</v>
      </c>
      <c r="EG62" t="e">
        <f>'All regions'!A1670+"$F;@!$~S"</f>
        <v>#VALUE!</v>
      </c>
      <c r="EH62" t="e">
        <f>'All regions'!B1670+"$F;@!$~T"</f>
        <v>#VALUE!</v>
      </c>
      <c r="EI62" t="e">
        <f>'All regions'!C1670+"$F;@!$~U"</f>
        <v>#VALUE!</v>
      </c>
      <c r="EJ62" t="e">
        <f>'All regions'!D1670+"$F;@!$~V"</f>
        <v>#VALUE!</v>
      </c>
      <c r="EK62" t="e">
        <f>'All regions'!E1670+"$F;@!$~W"</f>
        <v>#VALUE!</v>
      </c>
      <c r="EL62" t="e">
        <f>'All regions'!F1670+"$F;@!$~X"</f>
        <v>#VALUE!</v>
      </c>
      <c r="EM62" t="e">
        <f>'All regions'!G1670+"$F;@!$~Y"</f>
        <v>#VALUE!</v>
      </c>
      <c r="EN62" t="e">
        <f>'All regions'!H1670+"$F;@!$~Z"</f>
        <v>#VALUE!</v>
      </c>
      <c r="EO62" t="e">
        <f>'All regions'!I1670+"$F;@!$~["</f>
        <v>#VALUE!</v>
      </c>
      <c r="EP62" t="e">
        <f>'All regions'!A1671+"$F;@!$~\"</f>
        <v>#VALUE!</v>
      </c>
      <c r="EQ62" t="e">
        <f>'All regions'!B1671+"$F;@!$~]"</f>
        <v>#VALUE!</v>
      </c>
      <c r="ER62" t="e">
        <f>'All regions'!C1671+"$F;@!$~^"</f>
        <v>#VALUE!</v>
      </c>
      <c r="ES62" t="e">
        <f>'All regions'!D1671+"$F;@!$~_"</f>
        <v>#VALUE!</v>
      </c>
      <c r="ET62" t="e">
        <f>'All regions'!E1671+"$F;@!$~`"</f>
        <v>#VALUE!</v>
      </c>
      <c r="EU62" t="e">
        <f>'All regions'!F1671+"$F;@!$~a"</f>
        <v>#VALUE!</v>
      </c>
      <c r="EV62" t="e">
        <f>'All regions'!G1671+"$F;@!$~b"</f>
        <v>#VALUE!</v>
      </c>
      <c r="EW62" t="e">
        <f>'All regions'!H1671+"$F;@!$~c"</f>
        <v>#VALUE!</v>
      </c>
      <c r="EX62" t="e">
        <f>'All regions'!I1671+"$F;@!$~d"</f>
        <v>#VALUE!</v>
      </c>
      <c r="EY62" t="e">
        <f>'All regions'!A1672+"$F;@!$~e"</f>
        <v>#VALUE!</v>
      </c>
      <c r="EZ62" t="e">
        <f>'All regions'!B1672+"$F;@!$~f"</f>
        <v>#VALUE!</v>
      </c>
      <c r="FA62" t="e">
        <f>'All regions'!C1672+"$F;@!$~g"</f>
        <v>#VALUE!</v>
      </c>
      <c r="FB62" t="e">
        <f>'All regions'!D1672+"$F;@!$~h"</f>
        <v>#VALUE!</v>
      </c>
      <c r="FC62" t="e">
        <f>'All regions'!E1672+"$F;@!$~i"</f>
        <v>#VALUE!</v>
      </c>
      <c r="FD62" t="e">
        <f>'All regions'!F1672+"$F;@!$~j"</f>
        <v>#VALUE!</v>
      </c>
      <c r="FE62" t="e">
        <f>'All regions'!G1672+"$F;@!$~k"</f>
        <v>#VALUE!</v>
      </c>
      <c r="FF62" t="e">
        <f>'All regions'!H1672+"$F;@!$~l"</f>
        <v>#VALUE!</v>
      </c>
      <c r="FG62" t="e">
        <f>'All regions'!I1672+"$F;@!$~m"</f>
        <v>#VALUE!</v>
      </c>
      <c r="FH62" t="e">
        <f>'All regions'!A1673+"$F;@!$~n"</f>
        <v>#VALUE!</v>
      </c>
      <c r="FI62" t="e">
        <f>'All regions'!B1673+"$F;@!$~o"</f>
        <v>#VALUE!</v>
      </c>
      <c r="FJ62" t="e">
        <f>'All regions'!C1673+"$F;@!$~p"</f>
        <v>#VALUE!</v>
      </c>
      <c r="FK62" t="e">
        <f>'All regions'!D1673+"$F;@!$~q"</f>
        <v>#VALUE!</v>
      </c>
      <c r="FL62" t="e">
        <f>'All regions'!E1673+"$F;@!$~r"</f>
        <v>#VALUE!</v>
      </c>
      <c r="FM62" t="e">
        <f>'All regions'!F1673+"$F;@!$~s"</f>
        <v>#VALUE!</v>
      </c>
      <c r="FN62" t="e">
        <f>'All regions'!G1673+"$F;@!$~t"</f>
        <v>#VALUE!</v>
      </c>
      <c r="FO62" t="e">
        <f>'All regions'!H1673+"$F;@!$~u"</f>
        <v>#VALUE!</v>
      </c>
      <c r="FP62" t="e">
        <f>'All regions'!I1673+"$F;@!$~v"</f>
        <v>#VALUE!</v>
      </c>
      <c r="FQ62" t="e">
        <f>'All regions'!A1674+"$F;@!$~w"</f>
        <v>#VALUE!</v>
      </c>
      <c r="FR62" t="e">
        <f>'All regions'!B1674+"$F;@!$~x"</f>
        <v>#VALUE!</v>
      </c>
      <c r="FS62" t="e">
        <f>'All regions'!C1674+"$F;@!$~y"</f>
        <v>#VALUE!</v>
      </c>
      <c r="FT62" t="e">
        <f>'All regions'!D1674+"$F;@!$~z"</f>
        <v>#VALUE!</v>
      </c>
      <c r="FU62" t="e">
        <f>'All regions'!E1674+"$F;@!$~{"</f>
        <v>#VALUE!</v>
      </c>
      <c r="FV62" t="e">
        <f>'All regions'!F1674+"$F;@!$~|"</f>
        <v>#VALUE!</v>
      </c>
      <c r="FW62" t="e">
        <f>'All regions'!G1674+"$F;@!$~}"</f>
        <v>#VALUE!</v>
      </c>
      <c r="FX62" t="e">
        <f>'All regions'!H1674+"$F;@!$~~"</f>
        <v>#VALUE!</v>
      </c>
      <c r="FY62" t="e">
        <f>'All regions'!I1674+"$F;@!%##"</f>
        <v>#VALUE!</v>
      </c>
      <c r="FZ62" t="e">
        <f>'All regions'!A1675+"$F;@!%#$"</f>
        <v>#VALUE!</v>
      </c>
      <c r="GA62" t="e">
        <f>'All regions'!B1675+"$F;@!%#%"</f>
        <v>#VALUE!</v>
      </c>
      <c r="GB62" t="e">
        <f>'All regions'!C1675+"$F;@!%#&amp;"</f>
        <v>#VALUE!</v>
      </c>
      <c r="GC62" t="e">
        <f>'All regions'!D1675+"$F;@!%#'"</f>
        <v>#VALUE!</v>
      </c>
      <c r="GD62" t="e">
        <f>'All regions'!E1675+"$F;@!%#("</f>
        <v>#VALUE!</v>
      </c>
      <c r="GE62" t="e">
        <f>'All regions'!F1675+"$F;@!%#)"</f>
        <v>#VALUE!</v>
      </c>
      <c r="GF62" t="e">
        <f>'All regions'!G1675+"$F;@!%#."</f>
        <v>#VALUE!</v>
      </c>
      <c r="GG62" t="e">
        <f>'All regions'!H1675+"$F;@!%#/"</f>
        <v>#VALUE!</v>
      </c>
      <c r="GH62" t="e">
        <f>'All regions'!I1675+"$F;@!%#0"</f>
        <v>#VALUE!</v>
      </c>
      <c r="GI62" t="e">
        <f>'All regions'!A1676+"$F;@!%#1"</f>
        <v>#VALUE!</v>
      </c>
      <c r="GJ62" t="e">
        <f>'All regions'!B1676+"$F;@!%#2"</f>
        <v>#VALUE!</v>
      </c>
      <c r="GK62" t="e">
        <f>'All regions'!C1676+"$F;@!%#3"</f>
        <v>#VALUE!</v>
      </c>
      <c r="GL62" t="e">
        <f>'All regions'!D1676+"$F;@!%#4"</f>
        <v>#VALUE!</v>
      </c>
      <c r="GM62" t="e">
        <f>'All regions'!E1676+"$F;@!%#5"</f>
        <v>#VALUE!</v>
      </c>
      <c r="GN62" t="e">
        <f>'All regions'!F1676+"$F;@!%#6"</f>
        <v>#VALUE!</v>
      </c>
      <c r="GO62" t="e">
        <f>'All regions'!G1676+"$F;@!%#7"</f>
        <v>#VALUE!</v>
      </c>
      <c r="GP62" t="e">
        <f>'All regions'!H1676+"$F;@!%#8"</f>
        <v>#VALUE!</v>
      </c>
      <c r="GQ62" t="e">
        <f>'All regions'!I1676+"$F;@!%#9"</f>
        <v>#VALUE!</v>
      </c>
      <c r="GR62" t="e">
        <f>'All regions'!A1677+"$F;@!%#:"</f>
        <v>#VALUE!</v>
      </c>
      <c r="GS62" t="e">
        <f>'All regions'!B1677+"$F;@!%#;"</f>
        <v>#VALUE!</v>
      </c>
      <c r="GT62" t="e">
        <f>'All regions'!C1677+"$F;@!%#&lt;"</f>
        <v>#VALUE!</v>
      </c>
      <c r="GU62" t="e">
        <f>'All regions'!D1677+"$F;@!%#="</f>
        <v>#VALUE!</v>
      </c>
      <c r="GV62" t="e">
        <f>'All regions'!E1677+"$F;@!%#&gt;"</f>
        <v>#VALUE!</v>
      </c>
      <c r="GW62" t="e">
        <f>'All regions'!F1677+"$F;@!%#?"</f>
        <v>#VALUE!</v>
      </c>
      <c r="GX62" t="e">
        <f>'All regions'!G1677+"$F;@!%#@"</f>
        <v>#VALUE!</v>
      </c>
      <c r="GY62" t="e">
        <f>'All regions'!H1677+"$F;@!%#A"</f>
        <v>#VALUE!</v>
      </c>
      <c r="GZ62" t="e">
        <f>'All regions'!I1677+"$F;@!%#B"</f>
        <v>#VALUE!</v>
      </c>
      <c r="HA62" t="e">
        <f>'All regions'!A1678+"$F;@!%#C"</f>
        <v>#VALUE!</v>
      </c>
      <c r="HB62" t="e">
        <f>'All regions'!B1678+"$F;@!%#D"</f>
        <v>#VALUE!</v>
      </c>
      <c r="HC62" t="e">
        <f>'All regions'!C1678+"$F;@!%#E"</f>
        <v>#VALUE!</v>
      </c>
      <c r="HD62" t="e">
        <f>'All regions'!D1678+"$F;@!%#F"</f>
        <v>#VALUE!</v>
      </c>
      <c r="HE62" t="e">
        <f>'All regions'!E1678+"$F;@!%#G"</f>
        <v>#VALUE!</v>
      </c>
      <c r="HF62" t="e">
        <f>'All regions'!F1678+"$F;@!%#H"</f>
        <v>#VALUE!</v>
      </c>
      <c r="HG62" t="e">
        <f>'All regions'!G1678+"$F;@!%#I"</f>
        <v>#VALUE!</v>
      </c>
      <c r="HH62" t="e">
        <f>'All regions'!H1678+"$F;@!%#J"</f>
        <v>#VALUE!</v>
      </c>
      <c r="HI62" t="e">
        <f>'All regions'!I1678+"$F;@!%#K"</f>
        <v>#VALUE!</v>
      </c>
      <c r="HJ62" t="e">
        <f>'All regions'!A1679+"$F;@!%#L"</f>
        <v>#VALUE!</v>
      </c>
      <c r="HK62" t="e">
        <f>'All regions'!B1679+"$F;@!%#M"</f>
        <v>#VALUE!</v>
      </c>
      <c r="HL62" t="e">
        <f>'All regions'!C1679+"$F;@!%#N"</f>
        <v>#VALUE!</v>
      </c>
      <c r="HM62" t="e">
        <f>'All regions'!D1679+"$F;@!%#O"</f>
        <v>#VALUE!</v>
      </c>
      <c r="HN62" t="e">
        <f>'All regions'!E1679+"$F;@!%#P"</f>
        <v>#VALUE!</v>
      </c>
      <c r="HO62" t="e">
        <f>'All regions'!F1679+"$F;@!%#Q"</f>
        <v>#VALUE!</v>
      </c>
      <c r="HP62" t="e">
        <f>'All regions'!G1679+"$F;@!%#R"</f>
        <v>#VALUE!</v>
      </c>
      <c r="HQ62" t="e">
        <f>'All regions'!H1679+"$F;@!%#S"</f>
        <v>#VALUE!</v>
      </c>
      <c r="HR62" t="e">
        <f>'All regions'!I1679+"$F;@!%#T"</f>
        <v>#VALUE!</v>
      </c>
      <c r="HS62" t="e">
        <f>'All regions'!A1680+"$F;@!%#U"</f>
        <v>#VALUE!</v>
      </c>
      <c r="HT62" t="e">
        <f>'All regions'!B1680+"$F;@!%#V"</f>
        <v>#VALUE!</v>
      </c>
      <c r="HU62" t="e">
        <f>'All regions'!C1680+"$F;@!%#W"</f>
        <v>#VALUE!</v>
      </c>
      <c r="HV62" t="e">
        <f>'All regions'!D1680+"$F;@!%#X"</f>
        <v>#VALUE!</v>
      </c>
      <c r="HW62" t="e">
        <f>'All regions'!E1680+"$F;@!%#Y"</f>
        <v>#VALUE!</v>
      </c>
      <c r="HX62" t="e">
        <f>'All regions'!F1680+"$F;@!%#Z"</f>
        <v>#VALUE!</v>
      </c>
      <c r="HY62" t="e">
        <f>'All regions'!G1680+"$F;@!%#["</f>
        <v>#VALUE!</v>
      </c>
      <c r="HZ62" t="e">
        <f>'All regions'!H1680+"$F;@!%#\"</f>
        <v>#VALUE!</v>
      </c>
      <c r="IA62" t="e">
        <f>'All regions'!I1680+"$F;@!%#]"</f>
        <v>#VALUE!</v>
      </c>
      <c r="IB62" t="e">
        <f>'All regions'!A1681+"$F;@!%#^"</f>
        <v>#VALUE!</v>
      </c>
      <c r="IC62" t="e">
        <f>'All regions'!B1681+"$F;@!%#_"</f>
        <v>#VALUE!</v>
      </c>
      <c r="ID62" t="e">
        <f>'All regions'!C1681+"$F;@!%#`"</f>
        <v>#VALUE!</v>
      </c>
      <c r="IE62" t="e">
        <f>'All regions'!D1681+"$F;@!%#a"</f>
        <v>#VALUE!</v>
      </c>
      <c r="IF62" t="e">
        <f>'All regions'!E1681+"$F;@!%#b"</f>
        <v>#VALUE!</v>
      </c>
      <c r="IG62" t="e">
        <f>'All regions'!F1681+"$F;@!%#c"</f>
        <v>#VALUE!</v>
      </c>
      <c r="IH62" t="e">
        <f>'All regions'!G1681+"$F;@!%#d"</f>
        <v>#VALUE!</v>
      </c>
      <c r="II62" t="e">
        <f>'All regions'!H1681+"$F;@!%#e"</f>
        <v>#VALUE!</v>
      </c>
      <c r="IJ62" t="e">
        <f>'All regions'!I1681+"$F;@!%#f"</f>
        <v>#VALUE!</v>
      </c>
      <c r="IK62" t="e">
        <f>'All regions'!A1682+"$F;@!%#g"</f>
        <v>#VALUE!</v>
      </c>
      <c r="IL62" t="e">
        <f>'All regions'!B1682+"$F;@!%#h"</f>
        <v>#VALUE!</v>
      </c>
      <c r="IM62" t="e">
        <f>'All regions'!C1682+"$F;@!%#i"</f>
        <v>#VALUE!</v>
      </c>
      <c r="IN62" t="e">
        <f>'All regions'!D1682+"$F;@!%#j"</f>
        <v>#VALUE!</v>
      </c>
      <c r="IO62" t="e">
        <f>'All regions'!E1682+"$F;@!%#k"</f>
        <v>#VALUE!</v>
      </c>
      <c r="IP62" t="e">
        <f>'All regions'!F1682+"$F;@!%#l"</f>
        <v>#VALUE!</v>
      </c>
      <c r="IQ62" t="e">
        <f>'All regions'!G1682+"$F;@!%#m"</f>
        <v>#VALUE!</v>
      </c>
      <c r="IR62" t="e">
        <f>'All regions'!H1682+"$F;@!%#n"</f>
        <v>#VALUE!</v>
      </c>
      <c r="IS62" t="e">
        <f>'All regions'!I1682+"$F;@!%#o"</f>
        <v>#VALUE!</v>
      </c>
      <c r="IT62" t="e">
        <f>'All regions'!A1683+"$F;@!%#p"</f>
        <v>#VALUE!</v>
      </c>
      <c r="IU62" t="e">
        <f>'All regions'!B1683+"$F;@!%#q"</f>
        <v>#VALUE!</v>
      </c>
      <c r="IV62" t="e">
        <f>'All regions'!C1683+"$F;@!%#r"</f>
        <v>#VALUE!</v>
      </c>
    </row>
    <row r="63" spans="6:256" x14ac:dyDescent="0.35">
      <c r="F63" t="e">
        <f>'All regions'!D1683+"$F;@!%#s"</f>
        <v>#VALUE!</v>
      </c>
      <c r="G63" t="e">
        <f>'All regions'!E1683+"$F;@!%#t"</f>
        <v>#VALUE!</v>
      </c>
      <c r="H63" t="e">
        <f>'All regions'!F1683+"$F;@!%#u"</f>
        <v>#VALUE!</v>
      </c>
      <c r="I63" t="e">
        <f>'All regions'!G1683+"$F;@!%#v"</f>
        <v>#VALUE!</v>
      </c>
      <c r="J63" t="e">
        <f>'All regions'!H1683+"$F;@!%#w"</f>
        <v>#VALUE!</v>
      </c>
      <c r="K63" t="e">
        <f>'All regions'!I1683+"$F;@!%#x"</f>
        <v>#VALUE!</v>
      </c>
      <c r="L63" t="e">
        <f>'All regions'!A1684+"$F;@!%#y"</f>
        <v>#VALUE!</v>
      </c>
      <c r="M63" t="e">
        <f>'All regions'!B1684+"$F;@!%#z"</f>
        <v>#VALUE!</v>
      </c>
      <c r="N63" t="e">
        <f>'All regions'!C1684+"$F;@!%#{"</f>
        <v>#VALUE!</v>
      </c>
      <c r="O63" t="e">
        <f>'All regions'!D1684+"$F;@!%#|"</f>
        <v>#VALUE!</v>
      </c>
      <c r="P63" t="e">
        <f>'All regions'!E1684+"$F;@!%#}"</f>
        <v>#VALUE!</v>
      </c>
      <c r="Q63" t="e">
        <f>'All regions'!F1684+"$F;@!%#~"</f>
        <v>#VALUE!</v>
      </c>
      <c r="R63" t="e">
        <f>'All regions'!G1684+"$F;@!%$#"</f>
        <v>#VALUE!</v>
      </c>
      <c r="S63" t="e">
        <f>'All regions'!H1684+"$F;@!%$$"</f>
        <v>#VALUE!</v>
      </c>
      <c r="T63" t="e">
        <f>'All regions'!I1684+"$F;@!%$%"</f>
        <v>#VALUE!</v>
      </c>
      <c r="U63" t="e">
        <f>'All regions'!A1685+"$F;@!%$&amp;"</f>
        <v>#VALUE!</v>
      </c>
      <c r="V63" t="e">
        <f>'All regions'!B1685+"$F;@!%$'"</f>
        <v>#VALUE!</v>
      </c>
      <c r="W63" t="e">
        <f>'All regions'!C1685+"$F;@!%$("</f>
        <v>#VALUE!</v>
      </c>
      <c r="X63" t="e">
        <f>'All regions'!D1685+"$F;@!%$)"</f>
        <v>#VALUE!</v>
      </c>
      <c r="Y63" t="e">
        <f>'All regions'!E1685+"$F;@!%$."</f>
        <v>#VALUE!</v>
      </c>
      <c r="Z63" t="e">
        <f>'All regions'!F1685+"$F;@!%$/"</f>
        <v>#VALUE!</v>
      </c>
      <c r="AA63" t="e">
        <f>'All regions'!G1685+"$F;@!%$0"</f>
        <v>#VALUE!</v>
      </c>
      <c r="AB63" t="e">
        <f>'All regions'!H1685+"$F;@!%$1"</f>
        <v>#VALUE!</v>
      </c>
      <c r="AC63" t="e">
        <f>'All regions'!I1685+"$F;@!%$2"</f>
        <v>#VALUE!</v>
      </c>
      <c r="AD63" t="e">
        <f>'All regions'!A1686+"$F;@!%$3"</f>
        <v>#VALUE!</v>
      </c>
      <c r="AE63" t="e">
        <f>'All regions'!B1686+"$F;@!%$4"</f>
        <v>#VALUE!</v>
      </c>
      <c r="AF63" t="e">
        <f>'All regions'!C1686+"$F;@!%$5"</f>
        <v>#VALUE!</v>
      </c>
      <c r="AG63" t="e">
        <f>'All regions'!D1686+"$F;@!%$6"</f>
        <v>#VALUE!</v>
      </c>
      <c r="AH63" t="e">
        <f>'All regions'!E1686+"$F;@!%$7"</f>
        <v>#VALUE!</v>
      </c>
      <c r="AI63" t="e">
        <f>'All regions'!F1686+"$F;@!%$8"</f>
        <v>#VALUE!</v>
      </c>
      <c r="AJ63" t="e">
        <f>'All regions'!G1686+"$F;@!%$9"</f>
        <v>#VALUE!</v>
      </c>
      <c r="AK63" t="e">
        <f>'All regions'!H1686+"$F;@!%$:"</f>
        <v>#VALUE!</v>
      </c>
      <c r="AL63" t="e">
        <f>'All regions'!I1686+"$F;@!%$;"</f>
        <v>#VALUE!</v>
      </c>
      <c r="AM63" t="e">
        <f>'All regions'!A1687+"$F;@!%$&lt;"</f>
        <v>#VALUE!</v>
      </c>
      <c r="AN63" t="e">
        <f>'All regions'!B1687+"$F;@!%$="</f>
        <v>#VALUE!</v>
      </c>
      <c r="AO63" t="e">
        <f>'All regions'!C1687+"$F;@!%$&gt;"</f>
        <v>#VALUE!</v>
      </c>
      <c r="AP63" t="e">
        <f>'All regions'!D1687+"$F;@!%$?"</f>
        <v>#VALUE!</v>
      </c>
      <c r="AQ63" t="e">
        <f>'All regions'!E1687+"$F;@!%$@"</f>
        <v>#VALUE!</v>
      </c>
      <c r="AR63" t="e">
        <f>'All regions'!F1687+"$F;@!%$A"</f>
        <v>#VALUE!</v>
      </c>
      <c r="AS63" t="e">
        <f>'All regions'!G1687+"$F;@!%$B"</f>
        <v>#VALUE!</v>
      </c>
      <c r="AT63" t="e">
        <f>'All regions'!H1687+"$F;@!%$C"</f>
        <v>#VALUE!</v>
      </c>
      <c r="AU63" t="e">
        <f>'All regions'!I1687+"$F;@!%$D"</f>
        <v>#VALUE!</v>
      </c>
      <c r="AV63" t="e">
        <f>'All regions'!A1688+"$F;@!%$E"</f>
        <v>#VALUE!</v>
      </c>
      <c r="AW63" t="e">
        <f>'All regions'!B1688+"$F;@!%$F"</f>
        <v>#VALUE!</v>
      </c>
      <c r="AX63" t="e">
        <f>'All regions'!C1688+"$F;@!%$G"</f>
        <v>#VALUE!</v>
      </c>
      <c r="AY63" t="e">
        <f>'All regions'!D1688+"$F;@!%$H"</f>
        <v>#VALUE!</v>
      </c>
      <c r="AZ63" t="e">
        <f>'All regions'!E1688+"$F;@!%$I"</f>
        <v>#VALUE!</v>
      </c>
      <c r="BA63" t="e">
        <f>'All regions'!F1688+"$F;@!%$J"</f>
        <v>#VALUE!</v>
      </c>
      <c r="BB63" t="e">
        <f>'All regions'!G1688+"$F;@!%$K"</f>
        <v>#VALUE!</v>
      </c>
      <c r="BC63" t="e">
        <f>'All regions'!H1688+"$F;@!%$L"</f>
        <v>#VALUE!</v>
      </c>
      <c r="BD63" t="e">
        <f>'All regions'!I1688+"$F;@!%$M"</f>
        <v>#VALUE!</v>
      </c>
      <c r="BE63" t="e">
        <f>'All regions'!A1689+"$F;@!%$N"</f>
        <v>#VALUE!</v>
      </c>
      <c r="BF63" t="e">
        <f>'All regions'!B1689+"$F;@!%$O"</f>
        <v>#VALUE!</v>
      </c>
      <c r="BG63" t="e">
        <f>'All regions'!C1689+"$F;@!%$P"</f>
        <v>#VALUE!</v>
      </c>
      <c r="BH63" t="e">
        <f>'All regions'!D1689+"$F;@!%$Q"</f>
        <v>#VALUE!</v>
      </c>
      <c r="BI63" t="e">
        <f>'All regions'!E1689+"$F;@!%$R"</f>
        <v>#VALUE!</v>
      </c>
      <c r="BJ63" t="e">
        <f>'All regions'!F1689+"$F;@!%$S"</f>
        <v>#VALUE!</v>
      </c>
      <c r="BK63" t="e">
        <f>'All regions'!G1689+"$F;@!%$T"</f>
        <v>#VALUE!</v>
      </c>
      <c r="BL63" t="e">
        <f>'All regions'!H1689+"$F;@!%$U"</f>
        <v>#VALUE!</v>
      </c>
      <c r="BM63" t="e">
        <f>'All regions'!I1689+"$F;@!%$V"</f>
        <v>#VALUE!</v>
      </c>
      <c r="BN63" t="e">
        <f>'All regions'!A1690+"$F;@!%$W"</f>
        <v>#VALUE!</v>
      </c>
      <c r="BO63" t="e">
        <f>'All regions'!B1690+"$F;@!%$X"</f>
        <v>#VALUE!</v>
      </c>
      <c r="BP63" t="e">
        <f>'All regions'!C1690+"$F;@!%$Y"</f>
        <v>#VALUE!</v>
      </c>
      <c r="BQ63" t="e">
        <f>'All regions'!D1690+"$F;@!%$Z"</f>
        <v>#VALUE!</v>
      </c>
      <c r="BR63" t="e">
        <f>'All regions'!E1690+"$F;@!%$["</f>
        <v>#VALUE!</v>
      </c>
      <c r="BS63" t="e">
        <f>'All regions'!F1690+"$F;@!%$\"</f>
        <v>#VALUE!</v>
      </c>
      <c r="BT63" t="e">
        <f>'All regions'!G1690+"$F;@!%$]"</f>
        <v>#VALUE!</v>
      </c>
      <c r="BU63" t="e">
        <f>'All regions'!H1690+"$F;@!%$^"</f>
        <v>#VALUE!</v>
      </c>
      <c r="BV63" t="e">
        <f>'All regions'!I1690+"$F;@!%$_"</f>
        <v>#VALUE!</v>
      </c>
      <c r="BW63" t="e">
        <f>'All regions'!A1691+"$F;@!%$`"</f>
        <v>#VALUE!</v>
      </c>
      <c r="BX63" t="e">
        <f>'All regions'!B1691+"$F;@!%$a"</f>
        <v>#VALUE!</v>
      </c>
      <c r="BY63" t="e">
        <f>'All regions'!C1691+"$F;@!%$b"</f>
        <v>#VALUE!</v>
      </c>
      <c r="BZ63" t="e">
        <f>'All regions'!D1691+"$F;@!%$c"</f>
        <v>#VALUE!</v>
      </c>
      <c r="CA63" t="e">
        <f>'All regions'!E1691+"$F;@!%$d"</f>
        <v>#VALUE!</v>
      </c>
      <c r="CB63" t="e">
        <f>'All regions'!F1691+"$F;@!%$e"</f>
        <v>#VALUE!</v>
      </c>
      <c r="CC63" t="e">
        <f>'All regions'!G1691+"$F;@!%$f"</f>
        <v>#VALUE!</v>
      </c>
      <c r="CD63" t="e">
        <f>'All regions'!H1691+"$F;@!%$g"</f>
        <v>#VALUE!</v>
      </c>
      <c r="CE63" t="e">
        <f>'All regions'!I1691+"$F;@!%$h"</f>
        <v>#VALUE!</v>
      </c>
      <c r="CF63" t="e">
        <f>'All regions'!A1692+"$F;@!%$i"</f>
        <v>#VALUE!</v>
      </c>
      <c r="CG63" t="e">
        <f>'All regions'!B1692+"$F;@!%$j"</f>
        <v>#VALUE!</v>
      </c>
      <c r="CH63" t="e">
        <f>'All regions'!C1692+"$F;@!%$k"</f>
        <v>#VALUE!</v>
      </c>
      <c r="CI63" t="e">
        <f>'All regions'!D1692+"$F;@!%$l"</f>
        <v>#VALUE!</v>
      </c>
      <c r="CJ63" t="e">
        <f>'All regions'!E1692+"$F;@!%$m"</f>
        <v>#VALUE!</v>
      </c>
      <c r="CK63" t="e">
        <f>'All regions'!F1692+"$F;@!%$n"</f>
        <v>#VALUE!</v>
      </c>
      <c r="CL63" t="e">
        <f>'All regions'!G1692+"$F;@!%$o"</f>
        <v>#VALUE!</v>
      </c>
      <c r="CM63" t="e">
        <f>'All regions'!H1692+"$F;@!%$p"</f>
        <v>#VALUE!</v>
      </c>
      <c r="CN63" t="e">
        <f>'All regions'!I1692+"$F;@!%$q"</f>
        <v>#VALUE!</v>
      </c>
      <c r="CO63" t="e">
        <f>'All regions'!A1693+"$F;@!%$r"</f>
        <v>#VALUE!</v>
      </c>
      <c r="CP63" t="e">
        <f>'All regions'!B1693+"$F;@!%$s"</f>
        <v>#VALUE!</v>
      </c>
      <c r="CQ63" t="e">
        <f>'All regions'!C1693+"$F;@!%$t"</f>
        <v>#VALUE!</v>
      </c>
      <c r="CR63" t="e">
        <f>'All regions'!D1693+"$F;@!%$u"</f>
        <v>#VALUE!</v>
      </c>
      <c r="CS63" t="e">
        <f>'All regions'!E1693+"$F;@!%$v"</f>
        <v>#VALUE!</v>
      </c>
      <c r="CT63" t="e">
        <f>'All regions'!F1693+"$F;@!%$w"</f>
        <v>#VALUE!</v>
      </c>
      <c r="CU63" t="e">
        <f>'All regions'!G1693+"$F;@!%$x"</f>
        <v>#VALUE!</v>
      </c>
      <c r="CV63" t="e">
        <f>'All regions'!H1693+"$F;@!%$y"</f>
        <v>#VALUE!</v>
      </c>
      <c r="CW63" t="e">
        <f>'All regions'!I1693+"$F;@!%$z"</f>
        <v>#VALUE!</v>
      </c>
      <c r="CX63" t="e">
        <f>'All regions'!A1694+"$F;@!%${"</f>
        <v>#VALUE!</v>
      </c>
      <c r="CY63" t="e">
        <f>'All regions'!B1694+"$F;@!%$|"</f>
        <v>#VALUE!</v>
      </c>
      <c r="CZ63" t="e">
        <f>'All regions'!C1694+"$F;@!%$}"</f>
        <v>#VALUE!</v>
      </c>
      <c r="DA63" t="e">
        <f>'All regions'!D1694+"$F;@!%$~"</f>
        <v>#VALUE!</v>
      </c>
      <c r="DB63" t="e">
        <f>'All regions'!E1694+"$F;@!%%#"</f>
        <v>#VALUE!</v>
      </c>
      <c r="DC63" t="e">
        <f>'All regions'!F1694+"$F;@!%%$"</f>
        <v>#VALUE!</v>
      </c>
      <c r="DD63" t="e">
        <f>'All regions'!G1694+"$F;@!%%%"</f>
        <v>#VALUE!</v>
      </c>
      <c r="DE63" t="e">
        <f>'All regions'!H1694+"$F;@!%%&amp;"</f>
        <v>#VALUE!</v>
      </c>
      <c r="DF63" t="e">
        <f>'All regions'!I1694+"$F;@!%%'"</f>
        <v>#VALUE!</v>
      </c>
      <c r="DG63" t="e">
        <f>'All regions'!A1695+"$F;@!%%("</f>
        <v>#VALUE!</v>
      </c>
      <c r="DH63" t="e">
        <f>'All regions'!B1695+"$F;@!%%)"</f>
        <v>#VALUE!</v>
      </c>
      <c r="DI63" t="e">
        <f>'All regions'!C1695+"$F;@!%%."</f>
        <v>#VALUE!</v>
      </c>
      <c r="DJ63" t="e">
        <f>'All regions'!D1695+"$F;@!%%/"</f>
        <v>#VALUE!</v>
      </c>
      <c r="DK63" t="e">
        <f>'All regions'!E1695+"$F;@!%%0"</f>
        <v>#VALUE!</v>
      </c>
      <c r="DL63" t="e">
        <f>'All regions'!F1695+"$F;@!%%1"</f>
        <v>#VALUE!</v>
      </c>
      <c r="DM63" t="e">
        <f>'All regions'!G1695+"$F;@!%%2"</f>
        <v>#VALUE!</v>
      </c>
      <c r="DN63" t="e">
        <f>'All regions'!H1695+"$F;@!%%3"</f>
        <v>#VALUE!</v>
      </c>
      <c r="DO63" t="e">
        <f>'All regions'!I1695+"$F;@!%%4"</f>
        <v>#VALUE!</v>
      </c>
      <c r="DP63" t="e">
        <f>'All regions'!A1696+"$F;@!%%5"</f>
        <v>#VALUE!</v>
      </c>
      <c r="DQ63" t="e">
        <f>'All regions'!B1696+"$F;@!%%6"</f>
        <v>#VALUE!</v>
      </c>
      <c r="DR63" t="e">
        <f>'All regions'!C1696+"$F;@!%%7"</f>
        <v>#VALUE!</v>
      </c>
      <c r="DS63" t="e">
        <f>'All regions'!D1696+"$F;@!%%8"</f>
        <v>#VALUE!</v>
      </c>
      <c r="DT63" t="e">
        <f>'All regions'!E1696+"$F;@!%%9"</f>
        <v>#VALUE!</v>
      </c>
      <c r="DU63" t="e">
        <f>'All regions'!F1696+"$F;@!%%:"</f>
        <v>#VALUE!</v>
      </c>
      <c r="DV63" t="e">
        <f>'All regions'!G1696+"$F;@!%%;"</f>
        <v>#VALUE!</v>
      </c>
      <c r="DW63" t="e">
        <f>'All regions'!H1696+"$F;@!%%&lt;"</f>
        <v>#VALUE!</v>
      </c>
      <c r="DX63" t="e">
        <f>'All regions'!I1696+"$F;@!%%="</f>
        <v>#VALUE!</v>
      </c>
      <c r="DY63" t="e">
        <f>'All regions'!A1697+"$F;@!%%&gt;"</f>
        <v>#VALUE!</v>
      </c>
      <c r="DZ63" t="e">
        <f>'All regions'!B1697+"$F;@!%%?"</f>
        <v>#VALUE!</v>
      </c>
      <c r="EA63" t="e">
        <f>'All regions'!C1697+"$F;@!%%@"</f>
        <v>#VALUE!</v>
      </c>
      <c r="EB63" t="e">
        <f>'All regions'!D1697+"$F;@!%%A"</f>
        <v>#VALUE!</v>
      </c>
      <c r="EC63" t="e">
        <f>'All regions'!E1697+"$F;@!%%B"</f>
        <v>#VALUE!</v>
      </c>
      <c r="ED63" t="e">
        <f>'All regions'!F1697+"$F;@!%%C"</f>
        <v>#VALUE!</v>
      </c>
      <c r="EE63" t="e">
        <f>'All regions'!G1697+"$F;@!%%D"</f>
        <v>#VALUE!</v>
      </c>
      <c r="EF63" t="e">
        <f>'All regions'!H1697+"$F;@!%%E"</f>
        <v>#VALUE!</v>
      </c>
      <c r="EG63" t="e">
        <f>'All regions'!I1697+"$F;@!%%F"</f>
        <v>#VALUE!</v>
      </c>
      <c r="EH63" t="e">
        <f>'All regions'!A1698+"$F;@!%%G"</f>
        <v>#VALUE!</v>
      </c>
      <c r="EI63" t="e">
        <f>'All regions'!B1698+"$F;@!%%H"</f>
        <v>#VALUE!</v>
      </c>
      <c r="EJ63" t="e">
        <f>'All regions'!C1698+"$F;@!%%I"</f>
        <v>#VALUE!</v>
      </c>
      <c r="EK63" t="e">
        <f>'All regions'!D1698+"$F;@!%%J"</f>
        <v>#VALUE!</v>
      </c>
      <c r="EL63" t="e">
        <f>'All regions'!E1698+"$F;@!%%K"</f>
        <v>#VALUE!</v>
      </c>
      <c r="EM63" t="e">
        <f>'All regions'!F1698+"$F;@!%%L"</f>
        <v>#VALUE!</v>
      </c>
      <c r="EN63" t="e">
        <f>'All regions'!G1698+"$F;@!%%M"</f>
        <v>#VALUE!</v>
      </c>
      <c r="EO63" t="e">
        <f>'All regions'!H1698+"$F;@!%%N"</f>
        <v>#VALUE!</v>
      </c>
      <c r="EP63" t="e">
        <f>'All regions'!I1698+"$F;@!%%O"</f>
        <v>#VALUE!</v>
      </c>
      <c r="EQ63" t="e">
        <f>'All regions'!A1699+"$F;@!%%P"</f>
        <v>#VALUE!</v>
      </c>
      <c r="ER63" t="e">
        <f>'All regions'!B1699+"$F;@!%%Q"</f>
        <v>#VALUE!</v>
      </c>
      <c r="ES63" t="e">
        <f>'All regions'!C1699+"$F;@!%%R"</f>
        <v>#VALUE!</v>
      </c>
      <c r="ET63" t="e">
        <f>'All regions'!D1699+"$F;@!%%S"</f>
        <v>#VALUE!</v>
      </c>
      <c r="EU63" t="e">
        <f>'All regions'!E1699+"$F;@!%%T"</f>
        <v>#VALUE!</v>
      </c>
      <c r="EV63" t="e">
        <f>'All regions'!F1699+"$F;@!%%U"</f>
        <v>#VALUE!</v>
      </c>
      <c r="EW63" t="e">
        <f>'All regions'!G1699+"$F;@!%%V"</f>
        <v>#VALUE!</v>
      </c>
      <c r="EX63" t="e">
        <f>'All regions'!H1699+"$F;@!%%W"</f>
        <v>#VALUE!</v>
      </c>
      <c r="EY63" t="e">
        <f>'All regions'!I1699+"$F;@!%%X"</f>
        <v>#VALUE!</v>
      </c>
      <c r="EZ63" t="e">
        <f>'All regions'!A1700+"$F;@!%%Y"</f>
        <v>#VALUE!</v>
      </c>
      <c r="FA63" t="e">
        <f>'All regions'!B1700+"$F;@!%%Z"</f>
        <v>#VALUE!</v>
      </c>
      <c r="FB63" t="e">
        <f>'All regions'!C1700+"$F;@!%%["</f>
        <v>#VALUE!</v>
      </c>
      <c r="FC63" t="e">
        <f>'All regions'!D1700+"$F;@!%%\"</f>
        <v>#VALUE!</v>
      </c>
      <c r="FD63" t="e">
        <f>'All regions'!E1700+"$F;@!%%]"</f>
        <v>#VALUE!</v>
      </c>
      <c r="FE63" t="e">
        <f>'All regions'!F1700+"$F;@!%%^"</f>
        <v>#VALUE!</v>
      </c>
      <c r="FF63" t="e">
        <f>'All regions'!G1700+"$F;@!%%_"</f>
        <v>#VALUE!</v>
      </c>
      <c r="FG63" t="e">
        <f>'All regions'!H1700+"$F;@!%%`"</f>
        <v>#VALUE!</v>
      </c>
      <c r="FH63" t="e">
        <f>'All regions'!I1700+"$F;@!%%a"</f>
        <v>#VALUE!</v>
      </c>
      <c r="FI63" t="e">
        <f>'All regions'!A1701+"$F;@!%%b"</f>
        <v>#VALUE!</v>
      </c>
      <c r="FJ63" t="e">
        <f>'All regions'!B1701+"$F;@!%%c"</f>
        <v>#VALUE!</v>
      </c>
      <c r="FK63" t="e">
        <f>'All regions'!C1701+"$F;@!%%d"</f>
        <v>#VALUE!</v>
      </c>
      <c r="FL63" t="e">
        <f>'All regions'!D1701+"$F;@!%%e"</f>
        <v>#VALUE!</v>
      </c>
      <c r="FM63" t="e">
        <f>'All regions'!E1701+"$F;@!%%f"</f>
        <v>#VALUE!</v>
      </c>
      <c r="FN63" t="e">
        <f>'All regions'!F1701+"$F;@!%%g"</f>
        <v>#VALUE!</v>
      </c>
      <c r="FO63" t="e">
        <f>'All regions'!G1701+"$F;@!%%h"</f>
        <v>#VALUE!</v>
      </c>
      <c r="FP63" t="e">
        <f>'All regions'!H1701+"$F;@!%%i"</f>
        <v>#VALUE!</v>
      </c>
      <c r="FQ63" t="e">
        <f>'All regions'!I1701+"$F;@!%%j"</f>
        <v>#VALUE!</v>
      </c>
      <c r="FR63" t="e">
        <f>'All regions'!A1702+"$F;@!%%k"</f>
        <v>#VALUE!</v>
      </c>
      <c r="FS63" t="e">
        <f>'All regions'!B1702+"$F;@!%%l"</f>
        <v>#VALUE!</v>
      </c>
      <c r="FT63" t="e">
        <f>'All regions'!C1702+"$F;@!%%m"</f>
        <v>#VALUE!</v>
      </c>
      <c r="FU63" t="e">
        <f>'All regions'!D1702+"$F;@!%%n"</f>
        <v>#VALUE!</v>
      </c>
      <c r="FV63" t="e">
        <f>'All regions'!E1702+"$F;@!%%o"</f>
        <v>#VALUE!</v>
      </c>
      <c r="FW63" t="e">
        <f>'All regions'!F1702+"$F;@!%%p"</f>
        <v>#VALUE!</v>
      </c>
      <c r="FX63" t="e">
        <f>'All regions'!G1702+"$F;@!%%q"</f>
        <v>#VALUE!</v>
      </c>
      <c r="FY63" t="e">
        <f>'All regions'!H1702+"$F;@!%%r"</f>
        <v>#VALUE!</v>
      </c>
      <c r="FZ63" t="e">
        <f>'All regions'!I1702+"$F;@!%%s"</f>
        <v>#VALUE!</v>
      </c>
      <c r="GA63" t="e">
        <f>'All regions'!A1703+"$F;@!%%t"</f>
        <v>#VALUE!</v>
      </c>
      <c r="GB63" t="e">
        <f>'All regions'!B1703+"$F;@!%%u"</f>
        <v>#VALUE!</v>
      </c>
      <c r="GC63" t="e">
        <f>'All regions'!C1703+"$F;@!%%v"</f>
        <v>#VALUE!</v>
      </c>
      <c r="GD63" t="e">
        <f>'All regions'!D1703+"$F;@!%%w"</f>
        <v>#VALUE!</v>
      </c>
      <c r="GE63" t="e">
        <f>'All regions'!E1703+"$F;@!%%x"</f>
        <v>#VALUE!</v>
      </c>
      <c r="GF63" t="e">
        <f>'All regions'!F1703+"$F;@!%%y"</f>
        <v>#VALUE!</v>
      </c>
      <c r="GG63" t="e">
        <f>'All regions'!G1703+"$F;@!%%z"</f>
        <v>#VALUE!</v>
      </c>
      <c r="GH63" t="e">
        <f>'All regions'!H1703+"$F;@!%%{"</f>
        <v>#VALUE!</v>
      </c>
      <c r="GI63" t="e">
        <f>'All regions'!I1703+"$F;@!%%|"</f>
        <v>#VALUE!</v>
      </c>
      <c r="GJ63" t="e">
        <f>'All regions'!A1704+"$F;@!%%}"</f>
        <v>#VALUE!</v>
      </c>
      <c r="GK63" t="e">
        <f>'All regions'!B1704+"$F;@!%%~"</f>
        <v>#VALUE!</v>
      </c>
      <c r="GL63" t="e">
        <f>'All regions'!C1704+"$F;@!%&amp;#"</f>
        <v>#VALUE!</v>
      </c>
      <c r="GM63" t="e">
        <f>'All regions'!D1704+"$F;@!%&amp;$"</f>
        <v>#VALUE!</v>
      </c>
      <c r="GN63" t="e">
        <f>'All regions'!E1704+"$F;@!%&amp;%"</f>
        <v>#VALUE!</v>
      </c>
      <c r="GO63" t="e">
        <f>'All regions'!F1704+"$F;@!%&amp;&amp;"</f>
        <v>#VALUE!</v>
      </c>
      <c r="GP63" t="e">
        <f>'All regions'!G1704+"$F;@!%&amp;'"</f>
        <v>#VALUE!</v>
      </c>
      <c r="GQ63" t="e">
        <f>'All regions'!H1704+"$F;@!%&amp;("</f>
        <v>#VALUE!</v>
      </c>
      <c r="GR63" t="e">
        <f>'All regions'!I1704+"$F;@!%&amp;)"</f>
        <v>#VALUE!</v>
      </c>
      <c r="GS63" t="e">
        <f>'All regions'!A1705+"$F;@!%&amp;."</f>
        <v>#VALUE!</v>
      </c>
      <c r="GT63" t="e">
        <f>'All regions'!B1705+"$F;@!%&amp;/"</f>
        <v>#VALUE!</v>
      </c>
      <c r="GU63" t="e">
        <f>'All regions'!C1705+"$F;@!%&amp;0"</f>
        <v>#VALUE!</v>
      </c>
      <c r="GV63" t="e">
        <f>'All regions'!D1705+"$F;@!%&amp;1"</f>
        <v>#VALUE!</v>
      </c>
      <c r="GW63" t="e">
        <f>'All regions'!E1705+"$F;@!%&amp;2"</f>
        <v>#VALUE!</v>
      </c>
      <c r="GX63" t="e">
        <f>'All regions'!F1705+"$F;@!%&amp;3"</f>
        <v>#VALUE!</v>
      </c>
      <c r="GY63" t="e">
        <f>'All regions'!G1705+"$F;@!%&amp;4"</f>
        <v>#VALUE!</v>
      </c>
      <c r="GZ63" t="e">
        <f>'All regions'!H1705+"$F;@!%&amp;5"</f>
        <v>#VALUE!</v>
      </c>
      <c r="HA63" t="e">
        <f>'All regions'!I1705+"$F;@!%&amp;6"</f>
        <v>#VALUE!</v>
      </c>
      <c r="HB63" t="e">
        <f>'All regions'!A1706+"$F;@!%&amp;7"</f>
        <v>#VALUE!</v>
      </c>
      <c r="HC63" t="e">
        <f>'All regions'!B1706+"$F;@!%&amp;8"</f>
        <v>#VALUE!</v>
      </c>
      <c r="HD63" t="e">
        <f>'All regions'!C1706+"$F;@!%&amp;9"</f>
        <v>#VALUE!</v>
      </c>
      <c r="HE63" t="e">
        <f>'All regions'!D1706+"$F;@!%&amp;:"</f>
        <v>#VALUE!</v>
      </c>
      <c r="HF63" t="e">
        <f>'All regions'!E1706+"$F;@!%&amp;;"</f>
        <v>#VALUE!</v>
      </c>
      <c r="HG63" t="e">
        <f>'All regions'!F1706+"$F;@!%&amp;&lt;"</f>
        <v>#VALUE!</v>
      </c>
      <c r="HH63" t="e">
        <f>'All regions'!G1706+"$F;@!%&amp;="</f>
        <v>#VALUE!</v>
      </c>
      <c r="HI63" t="e">
        <f>'All regions'!H1706+"$F;@!%&amp;&gt;"</f>
        <v>#VALUE!</v>
      </c>
      <c r="HJ63" t="e">
        <f>'All regions'!I1706+"$F;@!%&amp;?"</f>
        <v>#VALUE!</v>
      </c>
      <c r="HK63" t="e">
        <f>'All regions'!A1707+"$F;@!%&amp;@"</f>
        <v>#VALUE!</v>
      </c>
      <c r="HL63" t="e">
        <f>'All regions'!B1707+"$F;@!%&amp;A"</f>
        <v>#VALUE!</v>
      </c>
      <c r="HM63" t="e">
        <f>'All regions'!C1707+"$F;@!%&amp;B"</f>
        <v>#VALUE!</v>
      </c>
      <c r="HN63" t="e">
        <f>'All regions'!D1707+"$F;@!%&amp;C"</f>
        <v>#VALUE!</v>
      </c>
      <c r="HO63" t="e">
        <f>'All regions'!E1707+"$F;@!%&amp;D"</f>
        <v>#VALUE!</v>
      </c>
      <c r="HP63" t="e">
        <f>'All regions'!F1707+"$F;@!%&amp;E"</f>
        <v>#VALUE!</v>
      </c>
      <c r="HQ63" t="e">
        <f>'All regions'!G1707+"$F;@!%&amp;F"</f>
        <v>#VALUE!</v>
      </c>
      <c r="HR63" t="e">
        <f>'All regions'!H1707+"$F;@!%&amp;G"</f>
        <v>#VALUE!</v>
      </c>
      <c r="HS63" t="e">
        <f>'All regions'!I1707+"$F;@!%&amp;H"</f>
        <v>#VALUE!</v>
      </c>
      <c r="HT63" t="e">
        <f>'All regions'!A1708+"$F;@!%&amp;I"</f>
        <v>#VALUE!</v>
      </c>
      <c r="HU63" t="e">
        <f>'All regions'!B1708+"$F;@!%&amp;J"</f>
        <v>#VALUE!</v>
      </c>
      <c r="HV63" t="e">
        <f>'All regions'!C1708+"$F;@!%&amp;K"</f>
        <v>#VALUE!</v>
      </c>
      <c r="HW63" t="e">
        <f>'All regions'!D1708+"$F;@!%&amp;L"</f>
        <v>#VALUE!</v>
      </c>
      <c r="HX63" t="e">
        <f>'All regions'!E1708+"$F;@!%&amp;M"</f>
        <v>#VALUE!</v>
      </c>
      <c r="HY63" t="e">
        <f>'All regions'!F1708+"$F;@!%&amp;N"</f>
        <v>#VALUE!</v>
      </c>
      <c r="HZ63" t="e">
        <f>'All regions'!G1708+"$F;@!%&amp;O"</f>
        <v>#VALUE!</v>
      </c>
      <c r="IA63" t="e">
        <f>'All regions'!H1708+"$F;@!%&amp;P"</f>
        <v>#VALUE!</v>
      </c>
      <c r="IB63" t="e">
        <f>'All regions'!I1708+"$F;@!%&amp;Q"</f>
        <v>#VALUE!</v>
      </c>
      <c r="IC63" t="e">
        <f>'All regions'!A1709+"$F;@!%&amp;R"</f>
        <v>#VALUE!</v>
      </c>
      <c r="ID63" t="e">
        <f>'All regions'!B1709+"$F;@!%&amp;S"</f>
        <v>#VALUE!</v>
      </c>
      <c r="IE63" t="e">
        <f>'All regions'!C1709+"$F;@!%&amp;T"</f>
        <v>#VALUE!</v>
      </c>
      <c r="IF63" t="e">
        <f>'All regions'!D1709+"$F;@!%&amp;U"</f>
        <v>#VALUE!</v>
      </c>
      <c r="IG63" t="e">
        <f>'All regions'!E1709+"$F;@!%&amp;V"</f>
        <v>#VALUE!</v>
      </c>
      <c r="IH63" t="e">
        <f>'All regions'!F1709+"$F;@!%&amp;W"</f>
        <v>#VALUE!</v>
      </c>
      <c r="II63" t="e">
        <f>'All regions'!G1709+"$F;@!%&amp;X"</f>
        <v>#VALUE!</v>
      </c>
      <c r="IJ63" t="e">
        <f>'All regions'!H1709+"$F;@!%&amp;Y"</f>
        <v>#VALUE!</v>
      </c>
      <c r="IK63" t="e">
        <f>'All regions'!I1709+"$F;@!%&amp;Z"</f>
        <v>#VALUE!</v>
      </c>
      <c r="IL63" t="e">
        <f>'All regions'!A1710+"$F;@!%&amp;["</f>
        <v>#VALUE!</v>
      </c>
      <c r="IM63" t="e">
        <f>'All regions'!B1710+"$F;@!%&amp;\"</f>
        <v>#VALUE!</v>
      </c>
      <c r="IN63" t="e">
        <f>'All regions'!C1710+"$F;@!%&amp;]"</f>
        <v>#VALUE!</v>
      </c>
      <c r="IO63" t="e">
        <f>'All regions'!D1710+"$F;@!%&amp;^"</f>
        <v>#VALUE!</v>
      </c>
      <c r="IP63" t="e">
        <f>'All regions'!E1710+"$F;@!%&amp;_"</f>
        <v>#VALUE!</v>
      </c>
      <c r="IQ63" t="e">
        <f>'All regions'!F1710+"$F;@!%&amp;`"</f>
        <v>#VALUE!</v>
      </c>
      <c r="IR63" t="e">
        <f>'All regions'!G1710+"$F;@!%&amp;a"</f>
        <v>#VALUE!</v>
      </c>
      <c r="IS63" t="e">
        <f>'All regions'!H1710+"$F;@!%&amp;b"</f>
        <v>#VALUE!</v>
      </c>
      <c r="IT63" t="e">
        <f>'All regions'!I1710+"$F;@!%&amp;c"</f>
        <v>#VALUE!</v>
      </c>
      <c r="IU63" t="e">
        <f>'All regions'!A1711+"$F;@!%&amp;d"</f>
        <v>#VALUE!</v>
      </c>
      <c r="IV63" t="e">
        <f>'All regions'!B1711+"$F;@!%&amp;e"</f>
        <v>#VALUE!</v>
      </c>
    </row>
    <row r="64" spans="6:256" x14ac:dyDescent="0.35">
      <c r="F64" t="e">
        <f>'All regions'!C1711+"$F;@!%&amp;f"</f>
        <v>#VALUE!</v>
      </c>
      <c r="G64" t="e">
        <f>'All regions'!D1711+"$F;@!%&amp;g"</f>
        <v>#VALUE!</v>
      </c>
      <c r="H64" t="e">
        <f>'All regions'!E1711+"$F;@!%&amp;h"</f>
        <v>#VALUE!</v>
      </c>
      <c r="I64" t="e">
        <f>'All regions'!F1711+"$F;@!%&amp;i"</f>
        <v>#VALUE!</v>
      </c>
      <c r="J64" t="e">
        <f>'All regions'!G1711+"$F;@!%&amp;j"</f>
        <v>#VALUE!</v>
      </c>
      <c r="K64" t="e">
        <f>'All regions'!H1711+"$F;@!%&amp;k"</f>
        <v>#VALUE!</v>
      </c>
      <c r="L64" t="e">
        <f>'All regions'!I1711+"$F;@!%&amp;l"</f>
        <v>#VALUE!</v>
      </c>
      <c r="M64" t="e">
        <f>'All regions'!A1712+"$F;@!%&amp;m"</f>
        <v>#VALUE!</v>
      </c>
      <c r="N64" t="e">
        <f>'All regions'!B1712+"$F;@!%&amp;n"</f>
        <v>#VALUE!</v>
      </c>
      <c r="O64" t="e">
        <f>'All regions'!C1712+"$F;@!%&amp;o"</f>
        <v>#VALUE!</v>
      </c>
      <c r="P64" t="e">
        <f>'All regions'!D1712+"$F;@!%&amp;p"</f>
        <v>#VALUE!</v>
      </c>
      <c r="Q64" t="e">
        <f>'All regions'!E1712+"$F;@!%&amp;q"</f>
        <v>#VALUE!</v>
      </c>
      <c r="R64" t="e">
        <f>'All regions'!F1712+"$F;@!%&amp;r"</f>
        <v>#VALUE!</v>
      </c>
      <c r="S64" t="e">
        <f>'All regions'!G1712+"$F;@!%&amp;s"</f>
        <v>#VALUE!</v>
      </c>
      <c r="T64" t="e">
        <f>'All regions'!H1712+"$F;@!%&amp;t"</f>
        <v>#VALUE!</v>
      </c>
      <c r="U64" t="e">
        <f>'All regions'!I1712+"$F;@!%&amp;u"</f>
        <v>#VALUE!</v>
      </c>
      <c r="V64" t="e">
        <f>'All regions'!A1713+"$F;@!%&amp;v"</f>
        <v>#VALUE!</v>
      </c>
      <c r="W64" t="e">
        <f>'All regions'!B1713+"$F;@!%&amp;w"</f>
        <v>#VALUE!</v>
      </c>
      <c r="X64" t="e">
        <f>'All regions'!C1713+"$F;@!%&amp;x"</f>
        <v>#VALUE!</v>
      </c>
      <c r="Y64" t="e">
        <f>'All regions'!D1713+"$F;@!%&amp;y"</f>
        <v>#VALUE!</v>
      </c>
      <c r="Z64" t="e">
        <f>'All regions'!E1713+"$F;@!%&amp;z"</f>
        <v>#VALUE!</v>
      </c>
      <c r="AA64" t="e">
        <f>'All regions'!F1713+"$F;@!%&amp;{"</f>
        <v>#VALUE!</v>
      </c>
      <c r="AB64" t="e">
        <f>'All regions'!G1713+"$F;@!%&amp;|"</f>
        <v>#VALUE!</v>
      </c>
      <c r="AC64" t="e">
        <f>'All regions'!H1713+"$F;@!%&amp;}"</f>
        <v>#VALUE!</v>
      </c>
      <c r="AD64" t="e">
        <f>'All regions'!I1713+"$F;@!%&amp;~"</f>
        <v>#VALUE!</v>
      </c>
      <c r="AE64" t="e">
        <f>'All regions'!A1714+"$F;@!%'#"</f>
        <v>#VALUE!</v>
      </c>
      <c r="AF64" t="e">
        <f>'All regions'!B1714+"$F;@!%'$"</f>
        <v>#VALUE!</v>
      </c>
      <c r="AG64" t="e">
        <f>'All regions'!C1714+"$F;@!%'%"</f>
        <v>#VALUE!</v>
      </c>
      <c r="AH64" t="e">
        <f>'All regions'!D1714+"$F;@!%'&amp;"</f>
        <v>#VALUE!</v>
      </c>
      <c r="AI64" t="e">
        <f>'All regions'!E1714+"$F;@!%''"</f>
        <v>#VALUE!</v>
      </c>
      <c r="AJ64" t="e">
        <f>'All regions'!F1714+"$F;@!%'("</f>
        <v>#VALUE!</v>
      </c>
      <c r="AK64" t="e">
        <f>'All regions'!G1714+"$F;@!%')"</f>
        <v>#VALUE!</v>
      </c>
      <c r="AL64" t="e">
        <f>'All regions'!H1714+"$F;@!%'."</f>
        <v>#VALUE!</v>
      </c>
      <c r="AM64" t="e">
        <f>'All regions'!I1714+"$F;@!%'/"</f>
        <v>#VALUE!</v>
      </c>
      <c r="AN64" t="e">
        <f>'All regions'!A1715+"$F;@!%'0"</f>
        <v>#VALUE!</v>
      </c>
      <c r="AO64" t="e">
        <f>'All regions'!B1715+"$F;@!%'1"</f>
        <v>#VALUE!</v>
      </c>
      <c r="AP64" t="e">
        <f>'All regions'!C1715+"$F;@!%'2"</f>
        <v>#VALUE!</v>
      </c>
      <c r="AQ64" t="e">
        <f>'All regions'!D1715+"$F;@!%'3"</f>
        <v>#VALUE!</v>
      </c>
      <c r="AR64" t="e">
        <f>'All regions'!E1715+"$F;@!%'4"</f>
        <v>#VALUE!</v>
      </c>
      <c r="AS64" t="e">
        <f>'All regions'!F1715+"$F;@!%'5"</f>
        <v>#VALUE!</v>
      </c>
      <c r="AT64" t="e">
        <f>'All regions'!G1715+"$F;@!%'6"</f>
        <v>#VALUE!</v>
      </c>
      <c r="AU64" t="e">
        <f>'All regions'!H1715+"$F;@!%'7"</f>
        <v>#VALUE!</v>
      </c>
      <c r="AV64" t="e">
        <f>'All regions'!I1715+"$F;@!%'8"</f>
        <v>#VALUE!</v>
      </c>
      <c r="AW64" t="e">
        <f>'All regions'!A1716+"$F;@!%'9"</f>
        <v>#VALUE!</v>
      </c>
      <c r="AX64" t="e">
        <f>'All regions'!B1716+"$F;@!%':"</f>
        <v>#VALUE!</v>
      </c>
      <c r="AY64" t="e">
        <f>'All regions'!C1716+"$F;@!%';"</f>
        <v>#VALUE!</v>
      </c>
      <c r="AZ64" t="e">
        <f>'All regions'!D1716+"$F;@!%'&lt;"</f>
        <v>#VALUE!</v>
      </c>
      <c r="BA64" t="e">
        <f>'All regions'!E1716+"$F;@!%'="</f>
        <v>#VALUE!</v>
      </c>
      <c r="BB64" t="e">
        <f>'All regions'!F1716+"$F;@!%'&gt;"</f>
        <v>#VALUE!</v>
      </c>
      <c r="BC64" t="e">
        <f>'All regions'!G1716+"$F;@!%'?"</f>
        <v>#VALUE!</v>
      </c>
      <c r="BD64" t="e">
        <f>'All regions'!H1716+"$F;@!%'@"</f>
        <v>#VALUE!</v>
      </c>
      <c r="BE64" t="e">
        <f>'All regions'!I1716+"$F;@!%'A"</f>
        <v>#VALUE!</v>
      </c>
      <c r="BF64" t="e">
        <f>'All regions'!A1717+"$F;@!%'B"</f>
        <v>#VALUE!</v>
      </c>
      <c r="BG64" t="e">
        <f>'All regions'!B1717+"$F;@!%'C"</f>
        <v>#VALUE!</v>
      </c>
      <c r="BH64" t="e">
        <f>'All regions'!C1717+"$F;@!%'D"</f>
        <v>#VALUE!</v>
      </c>
      <c r="BI64" t="e">
        <f>'All regions'!D1717+"$F;@!%'E"</f>
        <v>#VALUE!</v>
      </c>
      <c r="BJ64" t="e">
        <f>'All regions'!E1717+"$F;@!%'F"</f>
        <v>#VALUE!</v>
      </c>
      <c r="BK64" t="e">
        <f>'All regions'!F1717+"$F;@!%'G"</f>
        <v>#VALUE!</v>
      </c>
      <c r="BL64" t="e">
        <f>'All regions'!G1717+"$F;@!%'H"</f>
        <v>#VALUE!</v>
      </c>
      <c r="BM64" t="e">
        <f>'All regions'!H1717+"$F;@!%'I"</f>
        <v>#VALUE!</v>
      </c>
      <c r="BN64" t="e">
        <f>'All regions'!I1717+"$F;@!%'J"</f>
        <v>#VALUE!</v>
      </c>
      <c r="BO64" t="e">
        <f>'All regions'!A1718+"$F;@!%'K"</f>
        <v>#VALUE!</v>
      </c>
      <c r="BP64" t="e">
        <f>'All regions'!B1718+"$F;@!%'L"</f>
        <v>#VALUE!</v>
      </c>
      <c r="BQ64" t="e">
        <f>'All regions'!C1718+"$F;@!%'M"</f>
        <v>#VALUE!</v>
      </c>
      <c r="BR64" t="e">
        <f>'All regions'!D1718+"$F;@!%'N"</f>
        <v>#VALUE!</v>
      </c>
      <c r="BS64" t="e">
        <f>'All regions'!E1718+"$F;@!%'O"</f>
        <v>#VALUE!</v>
      </c>
      <c r="BT64" t="e">
        <f>'All regions'!F1718+"$F;@!%'P"</f>
        <v>#VALUE!</v>
      </c>
      <c r="BU64" t="e">
        <f>'All regions'!G1718+"$F;@!%'Q"</f>
        <v>#VALUE!</v>
      </c>
      <c r="BV64" t="e">
        <f>'All regions'!H1718+"$F;@!%'R"</f>
        <v>#VALUE!</v>
      </c>
      <c r="BW64" t="e">
        <f>'All regions'!I1718+"$F;@!%'S"</f>
        <v>#VALUE!</v>
      </c>
      <c r="BX64" t="e">
        <f>'All regions'!A1719+"$F;@!%'T"</f>
        <v>#VALUE!</v>
      </c>
      <c r="BY64" t="e">
        <f>'All regions'!B1719+"$F;@!%'U"</f>
        <v>#VALUE!</v>
      </c>
      <c r="BZ64" t="e">
        <f>'All regions'!C1719+"$F;@!%'V"</f>
        <v>#VALUE!</v>
      </c>
      <c r="CA64" t="e">
        <f>'All regions'!D1719+"$F;@!%'W"</f>
        <v>#VALUE!</v>
      </c>
      <c r="CB64" t="e">
        <f>'All regions'!E1719+"$F;@!%'X"</f>
        <v>#VALUE!</v>
      </c>
      <c r="CC64" t="e">
        <f>'All regions'!F1719+"$F;@!%'Y"</f>
        <v>#VALUE!</v>
      </c>
      <c r="CD64" t="e">
        <f>'All regions'!G1719+"$F;@!%'Z"</f>
        <v>#VALUE!</v>
      </c>
      <c r="CE64" t="e">
        <f>'All regions'!H1719+"$F;@!%'["</f>
        <v>#VALUE!</v>
      </c>
      <c r="CF64" t="e">
        <f>'All regions'!I1719+"$F;@!%'\"</f>
        <v>#VALUE!</v>
      </c>
      <c r="CG64" t="e">
        <f>'All regions'!A1720+"$F;@!%']"</f>
        <v>#VALUE!</v>
      </c>
      <c r="CH64" t="e">
        <f>'All regions'!B1720+"$F;@!%'^"</f>
        <v>#VALUE!</v>
      </c>
      <c r="CI64" t="e">
        <f>'All regions'!C1720+"$F;@!%'_"</f>
        <v>#VALUE!</v>
      </c>
      <c r="CJ64" t="e">
        <f>'All regions'!D1720+"$F;@!%'`"</f>
        <v>#VALUE!</v>
      </c>
      <c r="CK64" t="e">
        <f>'All regions'!E1720+"$F;@!%'a"</f>
        <v>#VALUE!</v>
      </c>
      <c r="CL64" t="e">
        <f>'All regions'!F1720+"$F;@!%'b"</f>
        <v>#VALUE!</v>
      </c>
      <c r="CM64" t="e">
        <f>'All regions'!G1720+"$F;@!%'c"</f>
        <v>#VALUE!</v>
      </c>
      <c r="CN64" t="e">
        <f>'All regions'!H1720+"$F;@!%'d"</f>
        <v>#VALUE!</v>
      </c>
      <c r="CO64" t="e">
        <f>'All regions'!I1720+"$F;@!%'e"</f>
        <v>#VALUE!</v>
      </c>
      <c r="CP64" t="e">
        <f>'All regions'!A1721+"$F;@!%'f"</f>
        <v>#VALUE!</v>
      </c>
      <c r="CQ64" t="e">
        <f>'All regions'!B1721+"$F;@!%'g"</f>
        <v>#VALUE!</v>
      </c>
      <c r="CR64" t="e">
        <f>'All regions'!C1721+"$F;@!%'h"</f>
        <v>#VALUE!</v>
      </c>
      <c r="CS64" t="e">
        <f>'All regions'!D1721+"$F;@!%'i"</f>
        <v>#VALUE!</v>
      </c>
      <c r="CT64" t="e">
        <f>'All regions'!E1721+"$F;@!%'j"</f>
        <v>#VALUE!</v>
      </c>
      <c r="CU64" t="e">
        <f>'All regions'!F1721+"$F;@!%'k"</f>
        <v>#VALUE!</v>
      </c>
      <c r="CV64" t="e">
        <f>'All regions'!G1721+"$F;@!%'l"</f>
        <v>#VALUE!</v>
      </c>
      <c r="CW64" t="e">
        <f>'All regions'!H1721+"$F;@!%'m"</f>
        <v>#VALUE!</v>
      </c>
      <c r="CX64" t="e">
        <f>'All regions'!I1721+"$F;@!%'n"</f>
        <v>#VALUE!</v>
      </c>
      <c r="CY64" t="e">
        <f>'All regions'!A1722+"$F;@!%'o"</f>
        <v>#VALUE!</v>
      </c>
      <c r="CZ64" t="e">
        <f>'All regions'!B1722+"$F;@!%'p"</f>
        <v>#VALUE!</v>
      </c>
      <c r="DA64" t="e">
        <f>'All regions'!C1722+"$F;@!%'q"</f>
        <v>#VALUE!</v>
      </c>
      <c r="DB64" t="e">
        <f>'All regions'!D1722+"$F;@!%'r"</f>
        <v>#VALUE!</v>
      </c>
      <c r="DC64" t="e">
        <f>'All regions'!E1722+"$F;@!%'s"</f>
        <v>#VALUE!</v>
      </c>
      <c r="DD64" t="e">
        <f>'All regions'!F1722+"$F;@!%'t"</f>
        <v>#VALUE!</v>
      </c>
      <c r="DE64" t="e">
        <f>'All regions'!G1722+"$F;@!%'u"</f>
        <v>#VALUE!</v>
      </c>
      <c r="DF64" t="e">
        <f>'All regions'!H1722+"$F;@!%'v"</f>
        <v>#VALUE!</v>
      </c>
      <c r="DG64" t="e">
        <f>'All regions'!I1722+"$F;@!%'w"</f>
        <v>#VALUE!</v>
      </c>
      <c r="DH64" t="e">
        <f>'All regions'!A1723+"$F;@!%'x"</f>
        <v>#VALUE!</v>
      </c>
      <c r="DI64" t="e">
        <f>'All regions'!B1723+"$F;@!%'y"</f>
        <v>#VALUE!</v>
      </c>
      <c r="DJ64" t="e">
        <f>'All regions'!C1723+"$F;@!%'z"</f>
        <v>#VALUE!</v>
      </c>
      <c r="DK64" t="e">
        <f>'All regions'!D1723+"$F;@!%'{"</f>
        <v>#VALUE!</v>
      </c>
      <c r="DL64" t="e">
        <f>'All regions'!E1723+"$F;@!%'|"</f>
        <v>#VALUE!</v>
      </c>
      <c r="DM64" t="e">
        <f>'All regions'!F1723+"$F;@!%'}"</f>
        <v>#VALUE!</v>
      </c>
      <c r="DN64" t="e">
        <f>'All regions'!G1723+"$F;@!%'~"</f>
        <v>#VALUE!</v>
      </c>
      <c r="DO64" t="e">
        <f>'All regions'!H1723+"$F;@!%(#"</f>
        <v>#VALUE!</v>
      </c>
      <c r="DP64" t="e">
        <f>'All regions'!I1723+"$F;@!%($"</f>
        <v>#VALUE!</v>
      </c>
      <c r="DQ64" t="e">
        <f>'All regions'!A1724+"$F;@!%(%"</f>
        <v>#VALUE!</v>
      </c>
      <c r="DR64" t="e">
        <f>'All regions'!B1724+"$F;@!%(&amp;"</f>
        <v>#VALUE!</v>
      </c>
      <c r="DS64" t="e">
        <f>'All regions'!C1724+"$F;@!%('"</f>
        <v>#VALUE!</v>
      </c>
      <c r="DT64" t="e">
        <f>'All regions'!D1724+"$F;@!%(("</f>
        <v>#VALUE!</v>
      </c>
      <c r="DU64" t="e">
        <f>'All regions'!E1724+"$F;@!%()"</f>
        <v>#VALUE!</v>
      </c>
      <c r="DV64" t="e">
        <f>'All regions'!F1724+"$F;@!%(."</f>
        <v>#VALUE!</v>
      </c>
      <c r="DW64" t="e">
        <f>'All regions'!G1724+"$F;@!%(/"</f>
        <v>#VALUE!</v>
      </c>
      <c r="DX64" t="e">
        <f>'All regions'!H1724+"$F;@!%(0"</f>
        <v>#VALUE!</v>
      </c>
      <c r="DY64" t="e">
        <f>'All regions'!I1724+"$F;@!%(1"</f>
        <v>#VALUE!</v>
      </c>
      <c r="DZ64" t="e">
        <f>'All regions'!A1725+"$F;@!%(2"</f>
        <v>#VALUE!</v>
      </c>
      <c r="EA64" t="e">
        <f>'All regions'!B1725+"$F;@!%(3"</f>
        <v>#VALUE!</v>
      </c>
      <c r="EB64" t="e">
        <f>'All regions'!C1725+"$F;@!%(4"</f>
        <v>#VALUE!</v>
      </c>
      <c r="EC64" t="e">
        <f>'All regions'!D1725+"$F;@!%(5"</f>
        <v>#VALUE!</v>
      </c>
      <c r="ED64" t="e">
        <f>'All regions'!E1725+"$F;@!%(6"</f>
        <v>#VALUE!</v>
      </c>
      <c r="EE64" t="e">
        <f>'All regions'!F1725+"$F;@!%(7"</f>
        <v>#VALUE!</v>
      </c>
      <c r="EF64" t="e">
        <f>'All regions'!G1725+"$F;@!%(8"</f>
        <v>#VALUE!</v>
      </c>
      <c r="EG64" t="e">
        <f>'All regions'!H1725+"$F;@!%(9"</f>
        <v>#VALUE!</v>
      </c>
      <c r="EH64" t="e">
        <f>'All regions'!I1725+"$F;@!%(:"</f>
        <v>#VALUE!</v>
      </c>
      <c r="EI64" t="e">
        <f>'All regions'!A1726+"$F;@!%(;"</f>
        <v>#VALUE!</v>
      </c>
      <c r="EJ64" t="e">
        <f>'All regions'!B1726+"$F;@!%(&lt;"</f>
        <v>#VALUE!</v>
      </c>
      <c r="EK64" t="e">
        <f>'All regions'!C1726+"$F;@!%(="</f>
        <v>#VALUE!</v>
      </c>
      <c r="EL64" t="e">
        <f>'All regions'!D1726+"$F;@!%(&gt;"</f>
        <v>#VALUE!</v>
      </c>
      <c r="EM64" t="e">
        <f>'All regions'!E1726+"$F;@!%(?"</f>
        <v>#VALUE!</v>
      </c>
      <c r="EN64" t="e">
        <f>'All regions'!F1726+"$F;@!%(@"</f>
        <v>#VALUE!</v>
      </c>
      <c r="EO64" t="e">
        <f>'All regions'!G1726+"$F;@!%(A"</f>
        <v>#VALUE!</v>
      </c>
      <c r="EP64" t="e">
        <f>'All regions'!H1726+"$F;@!%(B"</f>
        <v>#VALUE!</v>
      </c>
      <c r="EQ64" t="e">
        <f>'All regions'!I1726+"$F;@!%(C"</f>
        <v>#VALUE!</v>
      </c>
      <c r="ER64" t="e">
        <f>'All regions'!A1727+"$F;@!%(D"</f>
        <v>#VALUE!</v>
      </c>
      <c r="ES64" t="e">
        <f>'All regions'!B1727+"$F;@!%(E"</f>
        <v>#VALUE!</v>
      </c>
      <c r="ET64" t="e">
        <f>'All regions'!C1727+"$F;@!%(F"</f>
        <v>#VALUE!</v>
      </c>
      <c r="EU64" t="e">
        <f>'All regions'!D1727+"$F;@!%(G"</f>
        <v>#VALUE!</v>
      </c>
      <c r="EV64" t="e">
        <f>'All regions'!E1727+"$F;@!%(H"</f>
        <v>#VALUE!</v>
      </c>
      <c r="EW64" t="e">
        <f>'All regions'!F1727+"$F;@!%(I"</f>
        <v>#VALUE!</v>
      </c>
      <c r="EX64" t="e">
        <f>'All regions'!G1727+"$F;@!%(J"</f>
        <v>#VALUE!</v>
      </c>
      <c r="EY64" t="e">
        <f>'All regions'!H1727+"$F;@!%(K"</f>
        <v>#VALUE!</v>
      </c>
      <c r="EZ64" t="e">
        <f>'All regions'!I1727+"$F;@!%(L"</f>
        <v>#VALUE!</v>
      </c>
      <c r="FA64" t="e">
        <f>'All regions'!A1728+"$F;@!%(M"</f>
        <v>#VALUE!</v>
      </c>
      <c r="FB64" t="e">
        <f>'All regions'!B1728+"$F;@!%(N"</f>
        <v>#VALUE!</v>
      </c>
      <c r="FC64" t="e">
        <f>'All regions'!C1728+"$F;@!%(O"</f>
        <v>#VALUE!</v>
      </c>
      <c r="FD64" t="e">
        <f>'All regions'!D1728+"$F;@!%(P"</f>
        <v>#VALUE!</v>
      </c>
      <c r="FE64" t="e">
        <f>'All regions'!E1728+"$F;@!%(Q"</f>
        <v>#VALUE!</v>
      </c>
      <c r="FF64" t="e">
        <f>'All regions'!F1728+"$F;@!%(R"</f>
        <v>#VALUE!</v>
      </c>
      <c r="FG64" t="e">
        <f>'All regions'!G1728+"$F;@!%(S"</f>
        <v>#VALUE!</v>
      </c>
      <c r="FH64" t="e">
        <f>'All regions'!H1728+"$F;@!%(T"</f>
        <v>#VALUE!</v>
      </c>
      <c r="FI64" t="e">
        <f>'All regions'!I1728+"$F;@!%(U"</f>
        <v>#VALUE!</v>
      </c>
      <c r="FJ64" t="e">
        <f>'All regions'!A1729+"$F;@!%(V"</f>
        <v>#VALUE!</v>
      </c>
      <c r="FK64" t="e">
        <f>'All regions'!B1729+"$F;@!%(W"</f>
        <v>#VALUE!</v>
      </c>
      <c r="FL64" t="e">
        <f>'All regions'!C1729+"$F;@!%(X"</f>
        <v>#VALUE!</v>
      </c>
      <c r="FM64" t="e">
        <f>'All regions'!D1729+"$F;@!%(Y"</f>
        <v>#VALUE!</v>
      </c>
      <c r="FN64" t="e">
        <f>'All regions'!E1729+"$F;@!%(Z"</f>
        <v>#VALUE!</v>
      </c>
      <c r="FO64" t="e">
        <f>'All regions'!F1729+"$F;@!%(["</f>
        <v>#VALUE!</v>
      </c>
      <c r="FP64" t="e">
        <f>'All regions'!G1729+"$F;@!%(\"</f>
        <v>#VALUE!</v>
      </c>
      <c r="FQ64" t="e">
        <f>'All regions'!H1729+"$F;@!%(]"</f>
        <v>#VALUE!</v>
      </c>
      <c r="FR64" t="e">
        <f>'All regions'!I1729+"$F;@!%(^"</f>
        <v>#VALUE!</v>
      </c>
      <c r="FS64" t="e">
        <f>'All regions'!A1730+"$F;@!%(_"</f>
        <v>#VALUE!</v>
      </c>
      <c r="FT64" t="e">
        <f>'All regions'!B1730+"$F;@!%(`"</f>
        <v>#VALUE!</v>
      </c>
      <c r="FU64" t="e">
        <f>'All regions'!C1730+"$F;@!%(a"</f>
        <v>#VALUE!</v>
      </c>
      <c r="FV64" t="e">
        <f>'All regions'!D1730+"$F;@!%(b"</f>
        <v>#VALUE!</v>
      </c>
      <c r="FW64" t="e">
        <f>'All regions'!E1730+"$F;@!%(c"</f>
        <v>#VALUE!</v>
      </c>
      <c r="FX64" t="e">
        <f>'All regions'!F1730+"$F;@!%(d"</f>
        <v>#VALUE!</v>
      </c>
      <c r="FY64" t="e">
        <f>'All regions'!G1730+"$F;@!%(e"</f>
        <v>#VALUE!</v>
      </c>
      <c r="FZ64" t="e">
        <f>'All regions'!H1730+"$F;@!%(f"</f>
        <v>#VALUE!</v>
      </c>
      <c r="GA64" t="e">
        <f>'All regions'!I1730+"$F;@!%(g"</f>
        <v>#VALUE!</v>
      </c>
      <c r="GB64" t="e">
        <f>'All regions'!A1731+"$F;@!%(h"</f>
        <v>#VALUE!</v>
      </c>
      <c r="GC64" t="e">
        <f>'All regions'!B1731+"$F;@!%(i"</f>
        <v>#VALUE!</v>
      </c>
      <c r="GD64" t="e">
        <f>'All regions'!C1731+"$F;@!%(j"</f>
        <v>#VALUE!</v>
      </c>
      <c r="GE64" t="e">
        <f>'All regions'!D1731+"$F;@!%(k"</f>
        <v>#VALUE!</v>
      </c>
      <c r="GF64" t="e">
        <f>'All regions'!E1731+"$F;@!%(l"</f>
        <v>#VALUE!</v>
      </c>
      <c r="GG64" t="e">
        <f>'All regions'!F1731+"$F;@!%(m"</f>
        <v>#VALUE!</v>
      </c>
      <c r="GH64" t="e">
        <f>'All regions'!G1731+"$F;@!%(n"</f>
        <v>#VALUE!</v>
      </c>
      <c r="GI64" t="e">
        <f>'All regions'!H1731+"$F;@!%(o"</f>
        <v>#VALUE!</v>
      </c>
      <c r="GJ64" t="e">
        <f>'All regions'!I1731+"$F;@!%(p"</f>
        <v>#VALUE!</v>
      </c>
      <c r="GK64" t="e">
        <f>'All regions'!A1732+"$F;@!%(q"</f>
        <v>#VALUE!</v>
      </c>
      <c r="GL64" t="e">
        <f>'All regions'!B1732+"$F;@!%(r"</f>
        <v>#VALUE!</v>
      </c>
      <c r="GM64" t="e">
        <f>'All regions'!C1732+"$F;@!%(s"</f>
        <v>#VALUE!</v>
      </c>
      <c r="GN64" t="e">
        <f>'All regions'!D1732+"$F;@!%(t"</f>
        <v>#VALUE!</v>
      </c>
      <c r="GO64" t="e">
        <f>'All regions'!E1732+"$F;@!%(u"</f>
        <v>#VALUE!</v>
      </c>
      <c r="GP64" t="e">
        <f>'All regions'!F1732+"$F;@!%(v"</f>
        <v>#VALUE!</v>
      </c>
      <c r="GQ64" t="e">
        <f>'All regions'!G1732+"$F;@!%(w"</f>
        <v>#VALUE!</v>
      </c>
      <c r="GR64" t="e">
        <f>'All regions'!H1732+"$F;@!%(x"</f>
        <v>#VALUE!</v>
      </c>
      <c r="GS64" t="e">
        <f>'All regions'!I1732+"$F;@!%(y"</f>
        <v>#VALUE!</v>
      </c>
      <c r="GT64" t="e">
        <f>'All regions'!A1733+"$F;@!%(z"</f>
        <v>#VALUE!</v>
      </c>
      <c r="GU64" t="e">
        <f>'All regions'!B1733+"$F;@!%({"</f>
        <v>#VALUE!</v>
      </c>
      <c r="GV64" t="e">
        <f>'All regions'!C1733+"$F;@!%(|"</f>
        <v>#VALUE!</v>
      </c>
      <c r="GW64" t="e">
        <f>'All regions'!D1733+"$F;@!%(}"</f>
        <v>#VALUE!</v>
      </c>
      <c r="GX64" t="e">
        <f>'All regions'!E1733+"$F;@!%(~"</f>
        <v>#VALUE!</v>
      </c>
      <c r="GY64" t="e">
        <f>'All regions'!F1733+"$F;@!%)#"</f>
        <v>#VALUE!</v>
      </c>
      <c r="GZ64" t="e">
        <f>'All regions'!G1733+"$F;@!%)$"</f>
        <v>#VALUE!</v>
      </c>
      <c r="HA64" t="e">
        <f>'All regions'!H1733+"$F;@!%)%"</f>
        <v>#VALUE!</v>
      </c>
      <c r="HB64" t="e">
        <f>'All regions'!I1733+"$F;@!%)&amp;"</f>
        <v>#VALUE!</v>
      </c>
      <c r="HC64" t="e">
        <f>'All regions'!A1734+"$F;@!%)'"</f>
        <v>#VALUE!</v>
      </c>
      <c r="HD64" t="e">
        <f>'All regions'!B1734+"$F;@!%)("</f>
        <v>#VALUE!</v>
      </c>
      <c r="HE64" t="e">
        <f>'All regions'!C1734+"$F;@!%))"</f>
        <v>#VALUE!</v>
      </c>
      <c r="HF64" t="e">
        <f>'All regions'!D1734+"$F;@!%)."</f>
        <v>#VALUE!</v>
      </c>
      <c r="HG64" t="e">
        <f>'All regions'!E1734+"$F;@!%)/"</f>
        <v>#VALUE!</v>
      </c>
      <c r="HH64" t="e">
        <f>'All regions'!F1734+"$F;@!%)0"</f>
        <v>#VALUE!</v>
      </c>
      <c r="HI64" t="e">
        <f>'All regions'!G1734+"$F;@!%)1"</f>
        <v>#VALUE!</v>
      </c>
      <c r="HJ64" t="e">
        <f>'All regions'!H1734+"$F;@!%)2"</f>
        <v>#VALUE!</v>
      </c>
      <c r="HK64" t="e">
        <f>'All regions'!I1734+"$F;@!%)3"</f>
        <v>#VALUE!</v>
      </c>
      <c r="HL64" t="e">
        <f>'All regions'!A1735+"$F;@!%)4"</f>
        <v>#VALUE!</v>
      </c>
      <c r="HM64" t="e">
        <f>'All regions'!B1735+"$F;@!%)5"</f>
        <v>#VALUE!</v>
      </c>
      <c r="HN64" t="e">
        <f>'All regions'!C1735+"$F;@!%)6"</f>
        <v>#VALUE!</v>
      </c>
      <c r="HO64" t="e">
        <f>'All regions'!D1735+"$F;@!%)7"</f>
        <v>#VALUE!</v>
      </c>
      <c r="HP64" t="e">
        <f>'All regions'!E1735+"$F;@!%)8"</f>
        <v>#VALUE!</v>
      </c>
      <c r="HQ64" t="e">
        <f>'All regions'!F1735+"$F;@!%)9"</f>
        <v>#VALUE!</v>
      </c>
      <c r="HR64" t="e">
        <f>'All regions'!G1735+"$F;@!%):"</f>
        <v>#VALUE!</v>
      </c>
      <c r="HS64" t="e">
        <f>'All regions'!H1735+"$F;@!%);"</f>
        <v>#VALUE!</v>
      </c>
      <c r="HT64" t="e">
        <f>'All regions'!I1735+"$F;@!%)&lt;"</f>
        <v>#VALUE!</v>
      </c>
      <c r="HU64" t="e">
        <f>'All regions'!A1736+"$F;@!%)="</f>
        <v>#VALUE!</v>
      </c>
      <c r="HV64" t="e">
        <f>'All regions'!B1736+"$F;@!%)&gt;"</f>
        <v>#VALUE!</v>
      </c>
      <c r="HW64" t="e">
        <f>'All regions'!C1736+"$F;@!%)?"</f>
        <v>#VALUE!</v>
      </c>
      <c r="HX64" t="e">
        <f>'All regions'!D1736+"$F;@!%)@"</f>
        <v>#VALUE!</v>
      </c>
      <c r="HY64" t="e">
        <f>'All regions'!E1736+"$F;@!%)A"</f>
        <v>#VALUE!</v>
      </c>
      <c r="HZ64" t="e">
        <f>'All regions'!F1736+"$F;@!%)B"</f>
        <v>#VALUE!</v>
      </c>
      <c r="IA64" t="e">
        <f>'All regions'!G1736+"$F;@!%)C"</f>
        <v>#VALUE!</v>
      </c>
      <c r="IB64" t="e">
        <f>'All regions'!H1736+"$F;@!%)D"</f>
        <v>#VALUE!</v>
      </c>
      <c r="IC64" t="e">
        <f>'All regions'!I1736+"$F;@!%)E"</f>
        <v>#VALUE!</v>
      </c>
      <c r="ID64" t="e">
        <f>'All regions'!A1737+"$F;@!%)F"</f>
        <v>#VALUE!</v>
      </c>
      <c r="IE64" t="e">
        <f>'All regions'!B1737+"$F;@!%)G"</f>
        <v>#VALUE!</v>
      </c>
      <c r="IF64" t="e">
        <f>'All regions'!C1737+"$F;@!%)H"</f>
        <v>#VALUE!</v>
      </c>
      <c r="IG64" t="e">
        <f>'All regions'!D1737+"$F;@!%)I"</f>
        <v>#VALUE!</v>
      </c>
      <c r="IH64" t="e">
        <f>'All regions'!E1737+"$F;@!%)J"</f>
        <v>#VALUE!</v>
      </c>
      <c r="II64" t="e">
        <f>'All regions'!F1737+"$F;@!%)K"</f>
        <v>#VALUE!</v>
      </c>
      <c r="IJ64" t="e">
        <f>'All regions'!G1737+"$F;@!%)L"</f>
        <v>#VALUE!</v>
      </c>
      <c r="IK64" t="e">
        <f>'All regions'!H1737+"$F;@!%)M"</f>
        <v>#VALUE!</v>
      </c>
      <c r="IL64" t="e">
        <f>'All regions'!I1737+"$F;@!%)N"</f>
        <v>#VALUE!</v>
      </c>
      <c r="IM64" t="e">
        <f>'All regions'!A1738+"$F;@!%)O"</f>
        <v>#VALUE!</v>
      </c>
      <c r="IN64" t="e">
        <f>'All regions'!B1738+"$F;@!%)P"</f>
        <v>#VALUE!</v>
      </c>
      <c r="IO64" t="e">
        <f>'All regions'!C1738+"$F;@!%)Q"</f>
        <v>#VALUE!</v>
      </c>
      <c r="IP64" t="e">
        <f>'All regions'!D1738+"$F;@!%)R"</f>
        <v>#VALUE!</v>
      </c>
      <c r="IQ64" t="e">
        <f>'All regions'!E1738+"$F;@!%)S"</f>
        <v>#VALUE!</v>
      </c>
      <c r="IR64" t="e">
        <f>'All regions'!F1738+"$F;@!%)T"</f>
        <v>#VALUE!</v>
      </c>
      <c r="IS64" t="e">
        <f>'All regions'!G1738+"$F;@!%)U"</f>
        <v>#VALUE!</v>
      </c>
      <c r="IT64" t="e">
        <f>'All regions'!H1738+"$F;@!%)V"</f>
        <v>#VALUE!</v>
      </c>
      <c r="IU64" t="e">
        <f>'All regions'!I1738+"$F;@!%)W"</f>
        <v>#VALUE!</v>
      </c>
      <c r="IV64" t="e">
        <f>'All regions'!A1739+"$F;@!%)X"</f>
        <v>#VALUE!</v>
      </c>
    </row>
    <row r="65" spans="6:256" x14ac:dyDescent="0.35">
      <c r="F65" t="e">
        <f>'All regions'!B1739+"$F;@!%)Y"</f>
        <v>#VALUE!</v>
      </c>
      <c r="G65" t="e">
        <f>'All regions'!C1739+"$F;@!%)Z"</f>
        <v>#VALUE!</v>
      </c>
      <c r="H65" t="e">
        <f>'All regions'!D1739+"$F;@!%)["</f>
        <v>#VALUE!</v>
      </c>
      <c r="I65" t="e">
        <f>'All regions'!E1739+"$F;@!%)\"</f>
        <v>#VALUE!</v>
      </c>
      <c r="J65" t="e">
        <f>'All regions'!F1739+"$F;@!%)]"</f>
        <v>#VALUE!</v>
      </c>
      <c r="K65" t="e">
        <f>'All regions'!G1739+"$F;@!%)^"</f>
        <v>#VALUE!</v>
      </c>
      <c r="L65" t="e">
        <f>'All regions'!H1739+"$F;@!%)_"</f>
        <v>#VALUE!</v>
      </c>
      <c r="M65" t="e">
        <f>'All regions'!I1739+"$F;@!%)`"</f>
        <v>#VALUE!</v>
      </c>
      <c r="N65" t="e">
        <f>'All regions'!A1740+"$F;@!%)a"</f>
        <v>#VALUE!</v>
      </c>
      <c r="O65" t="e">
        <f>'All regions'!B1740+"$F;@!%)b"</f>
        <v>#VALUE!</v>
      </c>
      <c r="P65" t="e">
        <f>'All regions'!C1740+"$F;@!%)c"</f>
        <v>#VALUE!</v>
      </c>
      <c r="Q65" t="e">
        <f>'All regions'!D1740+"$F;@!%)d"</f>
        <v>#VALUE!</v>
      </c>
      <c r="R65" t="e">
        <f>'All regions'!E1740+"$F;@!%)e"</f>
        <v>#VALUE!</v>
      </c>
      <c r="S65" t="e">
        <f>'All regions'!F1740+"$F;@!%)f"</f>
        <v>#VALUE!</v>
      </c>
      <c r="T65" t="e">
        <f>'All regions'!G1740+"$F;@!%)g"</f>
        <v>#VALUE!</v>
      </c>
      <c r="U65" t="e">
        <f>'All regions'!H1740+"$F;@!%)h"</f>
        <v>#VALUE!</v>
      </c>
      <c r="V65" t="e">
        <f>'All regions'!I1740+"$F;@!%)i"</f>
        <v>#VALUE!</v>
      </c>
      <c r="W65" t="e">
        <f>'All regions'!A1741+"$F;@!%)j"</f>
        <v>#VALUE!</v>
      </c>
      <c r="X65" t="e">
        <f>'All regions'!B1741+"$F;@!%)k"</f>
        <v>#VALUE!</v>
      </c>
      <c r="Y65" t="e">
        <f>'All regions'!C1741+"$F;@!%)l"</f>
        <v>#VALUE!</v>
      </c>
      <c r="Z65" t="e">
        <f>'All regions'!D1741+"$F;@!%)m"</f>
        <v>#VALUE!</v>
      </c>
      <c r="AA65" t="e">
        <f>'All regions'!E1741+"$F;@!%)n"</f>
        <v>#VALUE!</v>
      </c>
      <c r="AB65" t="e">
        <f>'All regions'!F1741+"$F;@!%)o"</f>
        <v>#VALUE!</v>
      </c>
      <c r="AC65" t="e">
        <f>'All regions'!G1741+"$F;@!%)p"</f>
        <v>#VALUE!</v>
      </c>
      <c r="AD65" t="e">
        <f>'All regions'!H1741+"$F;@!%)q"</f>
        <v>#VALUE!</v>
      </c>
      <c r="AE65" t="e">
        <f>'All regions'!I1741+"$F;@!%)r"</f>
        <v>#VALUE!</v>
      </c>
      <c r="AF65" t="e">
        <f>'All regions'!A1742+"$F;@!%)s"</f>
        <v>#VALUE!</v>
      </c>
      <c r="AG65" t="e">
        <f>'All regions'!B1742+"$F;@!%)t"</f>
        <v>#VALUE!</v>
      </c>
      <c r="AH65" t="e">
        <f>'All regions'!C1742+"$F;@!%)u"</f>
        <v>#VALUE!</v>
      </c>
      <c r="AI65" t="e">
        <f>'All regions'!D1742+"$F;@!%)v"</f>
        <v>#VALUE!</v>
      </c>
      <c r="AJ65" t="e">
        <f>'All regions'!E1742+"$F;@!%)w"</f>
        <v>#VALUE!</v>
      </c>
      <c r="AK65" t="e">
        <f>'All regions'!F1742+"$F;@!%)x"</f>
        <v>#VALUE!</v>
      </c>
      <c r="AL65" t="e">
        <f>'All regions'!G1742+"$F;@!%)y"</f>
        <v>#VALUE!</v>
      </c>
      <c r="AM65" t="e">
        <f>'All regions'!H1742+"$F;@!%)z"</f>
        <v>#VALUE!</v>
      </c>
      <c r="AN65" t="e">
        <f>'All regions'!I1742+"$F;@!%){"</f>
        <v>#VALUE!</v>
      </c>
      <c r="AO65" t="e">
        <f>'All regions'!A1743+"$F;@!%)|"</f>
        <v>#VALUE!</v>
      </c>
      <c r="AP65" t="e">
        <f>'All regions'!B1743+"$F;@!%)}"</f>
        <v>#VALUE!</v>
      </c>
      <c r="AQ65" t="e">
        <f>'All regions'!C1743+"$F;@!%)~"</f>
        <v>#VALUE!</v>
      </c>
      <c r="AR65" t="e">
        <f>'All regions'!D1743+"$F;@!%.#"</f>
        <v>#VALUE!</v>
      </c>
      <c r="AS65" t="e">
        <f>'All regions'!E1743+"$F;@!%.$"</f>
        <v>#VALUE!</v>
      </c>
      <c r="AT65" t="e">
        <f>'All regions'!F1743+"$F;@!%.%"</f>
        <v>#VALUE!</v>
      </c>
      <c r="AU65" t="e">
        <f>'All regions'!G1743+"$F;@!%.&amp;"</f>
        <v>#VALUE!</v>
      </c>
      <c r="AV65" t="e">
        <f>'All regions'!H1743+"$F;@!%.'"</f>
        <v>#VALUE!</v>
      </c>
      <c r="AW65" t="e">
        <f>'All regions'!I1743+"$F;@!%.("</f>
        <v>#VALUE!</v>
      </c>
      <c r="AX65" t="e">
        <f>'All regions'!A1744+"$F;@!%.)"</f>
        <v>#VALUE!</v>
      </c>
      <c r="AY65" t="e">
        <f>'All regions'!B1744+"$F;@!%.."</f>
        <v>#VALUE!</v>
      </c>
      <c r="AZ65" t="e">
        <f>'All regions'!C1744+"$F;@!%./"</f>
        <v>#VALUE!</v>
      </c>
      <c r="BA65" t="e">
        <f>'All regions'!D1744+"$F;@!%.0"</f>
        <v>#VALUE!</v>
      </c>
      <c r="BB65" t="e">
        <f>'All regions'!E1744+"$F;@!%.1"</f>
        <v>#VALUE!</v>
      </c>
      <c r="BC65" t="e">
        <f>'All regions'!F1744+"$F;@!%.2"</f>
        <v>#VALUE!</v>
      </c>
      <c r="BD65" t="e">
        <f>'All regions'!G1744+"$F;@!%.3"</f>
        <v>#VALUE!</v>
      </c>
      <c r="BE65" t="e">
        <f>'All regions'!H1744+"$F;@!%.4"</f>
        <v>#VALUE!</v>
      </c>
      <c r="BF65" t="e">
        <f>'All regions'!I1744+"$F;@!%.5"</f>
        <v>#VALUE!</v>
      </c>
      <c r="BG65" t="e">
        <f>'All regions'!A1745+"$F;@!%.6"</f>
        <v>#VALUE!</v>
      </c>
      <c r="BH65" t="e">
        <f>'All regions'!B1745+"$F;@!%.7"</f>
        <v>#VALUE!</v>
      </c>
      <c r="BI65" t="e">
        <f>'All regions'!C1745+"$F;@!%.8"</f>
        <v>#VALUE!</v>
      </c>
      <c r="BJ65" t="e">
        <f>'All regions'!D1745+"$F;@!%.9"</f>
        <v>#VALUE!</v>
      </c>
      <c r="BK65" t="e">
        <f>'All regions'!E1745+"$F;@!%.:"</f>
        <v>#VALUE!</v>
      </c>
      <c r="BL65" t="e">
        <f>'All regions'!F1745+"$F;@!%.;"</f>
        <v>#VALUE!</v>
      </c>
      <c r="BM65" t="e">
        <f>'All regions'!G1745+"$F;@!%.&lt;"</f>
        <v>#VALUE!</v>
      </c>
      <c r="BN65" t="e">
        <f>'All regions'!H1745+"$F;@!%.="</f>
        <v>#VALUE!</v>
      </c>
      <c r="BO65" t="e">
        <f>'All regions'!I1745+"$F;@!%.&gt;"</f>
        <v>#VALUE!</v>
      </c>
      <c r="BP65" t="e">
        <f>'All regions'!A1746+"$F;@!%.?"</f>
        <v>#VALUE!</v>
      </c>
      <c r="BQ65" t="e">
        <f>'All regions'!B1746+"$F;@!%.@"</f>
        <v>#VALUE!</v>
      </c>
      <c r="BR65" t="e">
        <f>'All regions'!C1746+"$F;@!%.A"</f>
        <v>#VALUE!</v>
      </c>
      <c r="BS65" t="e">
        <f>'All regions'!D1746+"$F;@!%.B"</f>
        <v>#VALUE!</v>
      </c>
      <c r="BT65" t="e">
        <f>'All regions'!E1746+"$F;@!%.C"</f>
        <v>#VALUE!</v>
      </c>
      <c r="BU65" t="e">
        <f>'All regions'!F1746+"$F;@!%.D"</f>
        <v>#VALUE!</v>
      </c>
      <c r="BV65" t="e">
        <f>'All regions'!G1746+"$F;@!%.E"</f>
        <v>#VALUE!</v>
      </c>
      <c r="BW65" t="e">
        <f>'All regions'!H1746+"$F;@!%.F"</f>
        <v>#VALUE!</v>
      </c>
      <c r="BX65" t="e">
        <f>'All regions'!I1746+"$F;@!%.G"</f>
        <v>#VALUE!</v>
      </c>
      <c r="BY65" t="e">
        <f>'All regions'!A1747+"$F;@!%.H"</f>
        <v>#VALUE!</v>
      </c>
      <c r="BZ65" t="e">
        <f>'All regions'!B1747+"$F;@!%.I"</f>
        <v>#VALUE!</v>
      </c>
      <c r="CA65" t="e">
        <f>'All regions'!C1747+"$F;@!%.J"</f>
        <v>#VALUE!</v>
      </c>
      <c r="CB65" t="e">
        <f>'All regions'!D1747+"$F;@!%.K"</f>
        <v>#VALUE!</v>
      </c>
      <c r="CC65" t="e">
        <f>'All regions'!E1747+"$F;@!%.L"</f>
        <v>#VALUE!</v>
      </c>
      <c r="CD65" t="e">
        <f>'All regions'!F1747+"$F;@!%.M"</f>
        <v>#VALUE!</v>
      </c>
      <c r="CE65" t="e">
        <f>'All regions'!G1747+"$F;@!%.N"</f>
        <v>#VALUE!</v>
      </c>
      <c r="CF65" t="e">
        <f>'All regions'!H1747+"$F;@!%.O"</f>
        <v>#VALUE!</v>
      </c>
      <c r="CG65" t="e">
        <f>'All regions'!I1747+"$F;@!%.P"</f>
        <v>#VALUE!</v>
      </c>
      <c r="CH65" t="e">
        <f>'All regions'!A1748+"$F;@!%.Q"</f>
        <v>#VALUE!</v>
      </c>
      <c r="CI65" t="e">
        <f>'All regions'!B1748+"$F;@!%.R"</f>
        <v>#VALUE!</v>
      </c>
      <c r="CJ65" t="e">
        <f>'All regions'!C1748+"$F;@!%.S"</f>
        <v>#VALUE!</v>
      </c>
      <c r="CK65" t="e">
        <f>'All regions'!D1748+"$F;@!%.T"</f>
        <v>#VALUE!</v>
      </c>
      <c r="CL65" t="e">
        <f>'All regions'!E1748+"$F;@!%.U"</f>
        <v>#VALUE!</v>
      </c>
      <c r="CM65" t="e">
        <f>'All regions'!F1748+"$F;@!%.V"</f>
        <v>#VALUE!</v>
      </c>
      <c r="CN65" t="e">
        <f>'All regions'!G1748+"$F;@!%.W"</f>
        <v>#VALUE!</v>
      </c>
      <c r="CO65" t="e">
        <f>'All regions'!H1748+"$F;@!%.X"</f>
        <v>#VALUE!</v>
      </c>
      <c r="CP65" t="e">
        <f>'All regions'!I1748+"$F;@!%.Y"</f>
        <v>#VALUE!</v>
      </c>
      <c r="CQ65" t="e">
        <f>'All regions'!A1749+"$F;@!%.Z"</f>
        <v>#VALUE!</v>
      </c>
      <c r="CR65" t="e">
        <f>'All regions'!B1749+"$F;@!%.["</f>
        <v>#VALUE!</v>
      </c>
      <c r="CS65" t="e">
        <f>'All regions'!C1749+"$F;@!%.\"</f>
        <v>#VALUE!</v>
      </c>
      <c r="CT65" t="e">
        <f>'All regions'!D1749+"$F;@!%.]"</f>
        <v>#VALUE!</v>
      </c>
      <c r="CU65" t="e">
        <f>'All regions'!E1749+"$F;@!%.^"</f>
        <v>#VALUE!</v>
      </c>
      <c r="CV65" t="e">
        <f>'All regions'!F1749+"$F;@!%._"</f>
        <v>#VALUE!</v>
      </c>
      <c r="CW65" t="e">
        <f>'All regions'!G1749+"$F;@!%.`"</f>
        <v>#VALUE!</v>
      </c>
      <c r="CX65" t="e">
        <f>'All regions'!H1749+"$F;@!%.a"</f>
        <v>#VALUE!</v>
      </c>
      <c r="CY65" t="e">
        <f>'All regions'!I1749+"$F;@!%.b"</f>
        <v>#VALUE!</v>
      </c>
      <c r="CZ65" t="e">
        <f>'All regions'!A1750+"$F;@!%.c"</f>
        <v>#VALUE!</v>
      </c>
      <c r="DA65" t="e">
        <f>'All regions'!B1750+"$F;@!%.d"</f>
        <v>#VALUE!</v>
      </c>
      <c r="DB65" t="e">
        <f>'All regions'!C1750+"$F;@!%.e"</f>
        <v>#VALUE!</v>
      </c>
      <c r="DC65" t="e">
        <f>'All regions'!D1750+"$F;@!%.f"</f>
        <v>#VALUE!</v>
      </c>
      <c r="DD65" t="e">
        <f>'All regions'!E1750+"$F;@!%.g"</f>
        <v>#VALUE!</v>
      </c>
      <c r="DE65" t="e">
        <f>'All regions'!F1750+"$F;@!%.h"</f>
        <v>#VALUE!</v>
      </c>
      <c r="DF65" t="e">
        <f>'All regions'!G1750+"$F;@!%.i"</f>
        <v>#VALUE!</v>
      </c>
      <c r="DG65" t="e">
        <f>'All regions'!H1750+"$F;@!%.j"</f>
        <v>#VALUE!</v>
      </c>
      <c r="DH65" t="e">
        <f>'All regions'!I1750+"$F;@!%.k"</f>
        <v>#VALUE!</v>
      </c>
      <c r="DI65" t="e">
        <f>'All regions'!A1751+"$F;@!%.l"</f>
        <v>#VALUE!</v>
      </c>
      <c r="DJ65" t="e">
        <f>'All regions'!B1751+"$F;@!%.m"</f>
        <v>#VALUE!</v>
      </c>
      <c r="DK65" t="e">
        <f>'All regions'!C1751+"$F;@!%.n"</f>
        <v>#VALUE!</v>
      </c>
      <c r="DL65" t="e">
        <f>'All regions'!D1751+"$F;@!%.o"</f>
        <v>#VALUE!</v>
      </c>
      <c r="DM65" t="e">
        <f>'All regions'!E1751+"$F;@!%.p"</f>
        <v>#VALUE!</v>
      </c>
      <c r="DN65" t="e">
        <f>'All regions'!F1751+"$F;@!%.q"</f>
        <v>#VALUE!</v>
      </c>
      <c r="DO65" t="e">
        <f>'All regions'!G1751+"$F;@!%.r"</f>
        <v>#VALUE!</v>
      </c>
      <c r="DP65" t="e">
        <f>'All regions'!H1751+"$F;@!%.s"</f>
        <v>#VALUE!</v>
      </c>
      <c r="DQ65" t="e">
        <f>'All regions'!I1751+"$F;@!%.t"</f>
        <v>#VALUE!</v>
      </c>
      <c r="DR65" t="e">
        <f>'All regions'!A1752+"$F;@!%.u"</f>
        <v>#VALUE!</v>
      </c>
      <c r="DS65" t="e">
        <f>'All regions'!B1752+"$F;@!%.v"</f>
        <v>#VALUE!</v>
      </c>
      <c r="DT65" t="e">
        <f>'All regions'!C1752+"$F;@!%.w"</f>
        <v>#VALUE!</v>
      </c>
      <c r="DU65" t="e">
        <f>'All regions'!D1752+"$F;@!%.x"</f>
        <v>#VALUE!</v>
      </c>
      <c r="DV65" t="e">
        <f>'All regions'!E1752+"$F;@!%.y"</f>
        <v>#VALUE!</v>
      </c>
      <c r="DW65" t="e">
        <f>'All regions'!F1752+"$F;@!%.z"</f>
        <v>#VALUE!</v>
      </c>
      <c r="DX65" t="e">
        <f>'All regions'!G1752+"$F;@!%.{"</f>
        <v>#VALUE!</v>
      </c>
      <c r="DY65" t="e">
        <f>'All regions'!H1752+"$F;@!%.|"</f>
        <v>#VALUE!</v>
      </c>
      <c r="DZ65" t="e">
        <f>'All regions'!I1752+"$F;@!%.}"</f>
        <v>#VALUE!</v>
      </c>
      <c r="EA65" t="e">
        <f>'All regions'!A1753+"$F;@!%.~"</f>
        <v>#VALUE!</v>
      </c>
      <c r="EB65" t="e">
        <f>'All regions'!B1753+"$F;@!%/#"</f>
        <v>#VALUE!</v>
      </c>
      <c r="EC65" t="e">
        <f>'All regions'!C1753+"$F;@!%/$"</f>
        <v>#VALUE!</v>
      </c>
      <c r="ED65" t="e">
        <f>'All regions'!D1753+"$F;@!%/%"</f>
        <v>#VALUE!</v>
      </c>
      <c r="EE65" t="e">
        <f>'All regions'!E1753+"$F;@!%/&amp;"</f>
        <v>#VALUE!</v>
      </c>
      <c r="EF65" t="e">
        <f>'All regions'!F1753+"$F;@!%/'"</f>
        <v>#VALUE!</v>
      </c>
      <c r="EG65" t="e">
        <f>'All regions'!G1753+"$F;@!%/("</f>
        <v>#VALUE!</v>
      </c>
      <c r="EH65" t="e">
        <f>'All regions'!H1753+"$F;@!%/)"</f>
        <v>#VALUE!</v>
      </c>
      <c r="EI65" t="e">
        <f>'All regions'!I1753+"$F;@!%/."</f>
        <v>#VALUE!</v>
      </c>
      <c r="EJ65" t="e">
        <f>'All regions'!A1755+"$F;@!%//"</f>
        <v>#VALUE!</v>
      </c>
      <c r="EK65" t="e">
        <f>'All regions'!B1755+"$F;@!%/0"</f>
        <v>#VALUE!</v>
      </c>
      <c r="EL65" t="e">
        <f>'All regions'!C1755+"$F;@!%/1"</f>
        <v>#VALUE!</v>
      </c>
      <c r="EM65" t="e">
        <f>'All regions'!D1755+"$F;@!%/2"</f>
        <v>#VALUE!</v>
      </c>
      <c r="EN65" t="e">
        <f>'All regions'!E1755+"$F;@!%/3"</f>
        <v>#VALUE!</v>
      </c>
      <c r="EO65" t="e">
        <f>'All regions'!F1755+"$F;@!%/4"</f>
        <v>#VALUE!</v>
      </c>
      <c r="EP65" t="e">
        <f>'All regions'!G1755+"$F;@!%/5"</f>
        <v>#VALUE!</v>
      </c>
      <c r="EQ65" t="e">
        <f>'All regions'!H1755+"$F;@!%/6"</f>
        <v>#VALUE!</v>
      </c>
      <c r="ER65" t="e">
        <f>'All regions'!I1755+"$F;@!%/7"</f>
        <v>#VALUE!</v>
      </c>
      <c r="ES65" t="e">
        <f>'All regions'!A1756+"$F;@!%/8"</f>
        <v>#VALUE!</v>
      </c>
      <c r="ET65" t="e">
        <f>'All regions'!B1756+"$F;@!%/9"</f>
        <v>#VALUE!</v>
      </c>
      <c r="EU65" t="e">
        <f>'All regions'!C1756+"$F;@!%/:"</f>
        <v>#VALUE!</v>
      </c>
      <c r="EV65" t="e">
        <f>'All regions'!D1756+"$F;@!%/;"</f>
        <v>#VALUE!</v>
      </c>
      <c r="EW65" t="e">
        <f>'All regions'!E1756+"$F;@!%/&lt;"</f>
        <v>#VALUE!</v>
      </c>
      <c r="EX65" t="e">
        <f>'All regions'!F1756+"$F;@!%/="</f>
        <v>#VALUE!</v>
      </c>
      <c r="EY65" t="e">
        <f>'All regions'!G1756+"$F;@!%/&gt;"</f>
        <v>#VALUE!</v>
      </c>
      <c r="EZ65" t="e">
        <f>'All regions'!H1756+"$F;@!%/?"</f>
        <v>#VALUE!</v>
      </c>
      <c r="FA65" t="e">
        <f>'All regions'!I1756+"$F;@!%/@"</f>
        <v>#VALUE!</v>
      </c>
      <c r="FB65" t="e">
        <f>'All regions'!A1757+"$F;@!%/A"</f>
        <v>#VALUE!</v>
      </c>
      <c r="FC65" t="e">
        <f>'All regions'!B1757+"$F;@!%/B"</f>
        <v>#VALUE!</v>
      </c>
      <c r="FD65" t="e">
        <f>'All regions'!C1757+"$F;@!%/C"</f>
        <v>#VALUE!</v>
      </c>
      <c r="FE65" t="e">
        <f>'All regions'!D1757+"$F;@!%/D"</f>
        <v>#VALUE!</v>
      </c>
      <c r="FF65" t="e">
        <f>'All regions'!E1757+"$F;@!%/E"</f>
        <v>#VALUE!</v>
      </c>
      <c r="FG65" t="e">
        <f>'All regions'!F1757+"$F;@!%/F"</f>
        <v>#VALUE!</v>
      </c>
      <c r="FH65" t="e">
        <f>'All regions'!G1757+"$F;@!%/G"</f>
        <v>#VALUE!</v>
      </c>
      <c r="FI65" t="e">
        <f>'All regions'!H1757+"$F;@!%/H"</f>
        <v>#VALUE!</v>
      </c>
      <c r="FJ65" t="e">
        <f>'All regions'!I1757+"$F;@!%/I"</f>
        <v>#VALUE!</v>
      </c>
      <c r="FK65" t="e">
        <f>'All regions'!A1758+"$F;@!%/J"</f>
        <v>#VALUE!</v>
      </c>
      <c r="FL65" t="e">
        <f>'All regions'!B1758+"$F;@!%/K"</f>
        <v>#VALUE!</v>
      </c>
      <c r="FM65" t="e">
        <f>'All regions'!C1758+"$F;@!%/L"</f>
        <v>#VALUE!</v>
      </c>
      <c r="FN65" t="e">
        <f>'All regions'!D1758+"$F;@!%/M"</f>
        <v>#VALUE!</v>
      </c>
      <c r="FO65" t="e">
        <f>'All regions'!E1758+"$F;@!%/N"</f>
        <v>#VALUE!</v>
      </c>
      <c r="FP65" t="e">
        <f>'All regions'!F1758+"$F;@!%/O"</f>
        <v>#VALUE!</v>
      </c>
      <c r="FQ65" t="e">
        <f>'All regions'!G1758+"$F;@!%/P"</f>
        <v>#VALUE!</v>
      </c>
      <c r="FR65" t="e">
        <f>'All regions'!H1758+"$F;@!%/Q"</f>
        <v>#VALUE!</v>
      </c>
      <c r="FS65" t="e">
        <f>'All regions'!I1758+"$F;@!%/R"</f>
        <v>#VALUE!</v>
      </c>
      <c r="FT65" t="e">
        <f>'All regions'!A1759+"$F;@!%/S"</f>
        <v>#VALUE!</v>
      </c>
      <c r="FU65" t="e">
        <f>'All regions'!B1759+"$F;@!%/T"</f>
        <v>#VALUE!</v>
      </c>
      <c r="FV65" t="e">
        <f>'All regions'!C1759+"$F;@!%/U"</f>
        <v>#VALUE!</v>
      </c>
      <c r="FW65" t="e">
        <f>'All regions'!D1759+"$F;@!%/V"</f>
        <v>#VALUE!</v>
      </c>
      <c r="FX65" t="e">
        <f>'All regions'!E1759+"$F;@!%/W"</f>
        <v>#VALUE!</v>
      </c>
      <c r="FY65" t="e">
        <f>'All regions'!F1759+"$F;@!%/X"</f>
        <v>#VALUE!</v>
      </c>
      <c r="FZ65" t="e">
        <f>'All regions'!G1759+"$F;@!%/Y"</f>
        <v>#VALUE!</v>
      </c>
      <c r="GA65" t="e">
        <f>'All regions'!H1759+"$F;@!%/Z"</f>
        <v>#VALUE!</v>
      </c>
      <c r="GB65" t="e">
        <f>'All regions'!I1759+"$F;@!%/["</f>
        <v>#VALUE!</v>
      </c>
      <c r="GC65" t="e">
        <f>'All regions'!A1760+"$F;@!%/\"</f>
        <v>#VALUE!</v>
      </c>
      <c r="GD65" t="e">
        <f>'All regions'!B1760+"$F;@!%/]"</f>
        <v>#VALUE!</v>
      </c>
      <c r="GE65" t="e">
        <f>'All regions'!C1760+"$F;@!%/^"</f>
        <v>#VALUE!</v>
      </c>
      <c r="GF65" t="e">
        <f>'All regions'!D1760+"$F;@!%/_"</f>
        <v>#VALUE!</v>
      </c>
      <c r="GG65" t="e">
        <f>'All regions'!E1760+"$F;@!%/`"</f>
        <v>#VALUE!</v>
      </c>
      <c r="GH65" t="e">
        <f>'All regions'!F1760+"$F;@!%/a"</f>
        <v>#VALUE!</v>
      </c>
      <c r="GI65" t="e">
        <f>'All regions'!G1760+"$F;@!%/b"</f>
        <v>#VALUE!</v>
      </c>
      <c r="GJ65" t="e">
        <f>'All regions'!H1760+"$F;@!%/c"</f>
        <v>#VALUE!</v>
      </c>
      <c r="GK65" t="e">
        <f>'All regions'!I1760+"$F;@!%/d"</f>
        <v>#VALUE!</v>
      </c>
      <c r="GL65" t="e">
        <f>'All regions'!A1761+"$F;@!%/e"</f>
        <v>#VALUE!</v>
      </c>
      <c r="GM65" t="e">
        <f>'All regions'!B1761+"$F;@!%/f"</f>
        <v>#VALUE!</v>
      </c>
      <c r="GN65" t="e">
        <f>'All regions'!C1761+"$F;@!%/g"</f>
        <v>#VALUE!</v>
      </c>
      <c r="GO65" t="e">
        <f>'All regions'!D1761+"$F;@!%/h"</f>
        <v>#VALUE!</v>
      </c>
      <c r="GP65" t="e">
        <f>'All regions'!E1761+"$F;@!%/i"</f>
        <v>#VALUE!</v>
      </c>
      <c r="GQ65" t="e">
        <f>'All regions'!F1761+"$F;@!%/j"</f>
        <v>#VALUE!</v>
      </c>
      <c r="GR65" t="e">
        <f>'All regions'!G1761+"$F;@!%/k"</f>
        <v>#VALUE!</v>
      </c>
      <c r="GS65" t="e">
        <f>'All regions'!H1761+"$F;@!%/l"</f>
        <v>#VALUE!</v>
      </c>
      <c r="GT65" t="e">
        <f>'All regions'!I1761+"$F;@!%/m"</f>
        <v>#VALUE!</v>
      </c>
      <c r="GU65" t="e">
        <f>'All regions'!A1762+"$F;@!%/n"</f>
        <v>#VALUE!</v>
      </c>
      <c r="GV65" t="e">
        <f>'All regions'!B1762+"$F;@!%/o"</f>
        <v>#VALUE!</v>
      </c>
      <c r="GW65" t="e">
        <f>'All regions'!C1762+"$F;@!%/p"</f>
        <v>#VALUE!</v>
      </c>
      <c r="GX65" t="e">
        <f>'All regions'!D1762+"$F;@!%/q"</f>
        <v>#VALUE!</v>
      </c>
      <c r="GY65" t="e">
        <f>'All regions'!E1762+"$F;@!%/r"</f>
        <v>#VALUE!</v>
      </c>
      <c r="GZ65" t="e">
        <f>'All regions'!F1762+"$F;@!%/s"</f>
        <v>#VALUE!</v>
      </c>
      <c r="HA65" t="e">
        <f>'All regions'!G1762+"$F;@!%/t"</f>
        <v>#VALUE!</v>
      </c>
      <c r="HB65" t="e">
        <f>'All regions'!H1762+"$F;@!%/u"</f>
        <v>#VALUE!</v>
      </c>
      <c r="HC65" t="e">
        <f>'All regions'!I1762+"$F;@!%/v"</f>
        <v>#VALUE!</v>
      </c>
      <c r="HD65" t="e">
        <f>'All regions'!A1763+"$F;@!%/w"</f>
        <v>#VALUE!</v>
      </c>
      <c r="HE65" t="e">
        <f>'All regions'!B1763+"$F;@!%/x"</f>
        <v>#VALUE!</v>
      </c>
      <c r="HF65" t="e">
        <f>'All regions'!C1763+"$F;@!%/y"</f>
        <v>#VALUE!</v>
      </c>
      <c r="HG65" t="e">
        <f>'All regions'!D1763+"$F;@!%/z"</f>
        <v>#VALUE!</v>
      </c>
      <c r="HH65" t="e">
        <f>'All regions'!E1763+"$F;@!%/{"</f>
        <v>#VALUE!</v>
      </c>
      <c r="HI65" t="e">
        <f>'All regions'!F1763+"$F;@!%/|"</f>
        <v>#VALUE!</v>
      </c>
      <c r="HJ65" t="e">
        <f>'All regions'!G1763+"$F;@!%/}"</f>
        <v>#VALUE!</v>
      </c>
      <c r="HK65" t="e">
        <f>'All regions'!H1763+"$F;@!%/~"</f>
        <v>#VALUE!</v>
      </c>
      <c r="HL65" t="e">
        <f>'All regions'!I1763+"$F;@!%0#"</f>
        <v>#VALUE!</v>
      </c>
      <c r="HM65" t="e">
        <f>'All regions'!A1764+"$F;@!%0$"</f>
        <v>#VALUE!</v>
      </c>
      <c r="HN65" t="e">
        <f>'All regions'!B1764+"$F;@!%0%"</f>
        <v>#VALUE!</v>
      </c>
      <c r="HO65" t="e">
        <f>'All regions'!C1764+"$F;@!%0&amp;"</f>
        <v>#VALUE!</v>
      </c>
      <c r="HP65" t="e">
        <f>'All regions'!D1764+"$F;@!%0'"</f>
        <v>#VALUE!</v>
      </c>
      <c r="HQ65" t="e">
        <f>'All regions'!E1764+"$F;@!%0("</f>
        <v>#VALUE!</v>
      </c>
      <c r="HR65" t="e">
        <f>'All regions'!F1764+"$F;@!%0)"</f>
        <v>#VALUE!</v>
      </c>
      <c r="HS65" t="e">
        <f>'All regions'!G1764+"$F;@!%0."</f>
        <v>#VALUE!</v>
      </c>
      <c r="HT65" t="e">
        <f>'All regions'!H1764+"$F;@!%0/"</f>
        <v>#VALUE!</v>
      </c>
      <c r="HU65" t="e">
        <f>'All regions'!I1764+"$F;@!%00"</f>
        <v>#VALUE!</v>
      </c>
      <c r="HV65" t="e">
        <f>'All regions'!A1765+"$F;@!%01"</f>
        <v>#VALUE!</v>
      </c>
      <c r="HW65" t="e">
        <f>'All regions'!B1765+"$F;@!%02"</f>
        <v>#VALUE!</v>
      </c>
      <c r="HX65" t="e">
        <f>'All regions'!C1765+"$F;@!%03"</f>
        <v>#VALUE!</v>
      </c>
      <c r="HY65" t="e">
        <f>'All regions'!D1765+"$F;@!%04"</f>
        <v>#VALUE!</v>
      </c>
      <c r="HZ65" t="e">
        <f>'All regions'!E1765+"$F;@!%05"</f>
        <v>#VALUE!</v>
      </c>
      <c r="IA65" t="e">
        <f>'All regions'!F1765+"$F;@!%06"</f>
        <v>#VALUE!</v>
      </c>
      <c r="IB65" t="e">
        <f>'All regions'!G1765+"$F;@!%07"</f>
        <v>#VALUE!</v>
      </c>
      <c r="IC65" t="e">
        <f>'All regions'!H1765+"$F;@!%08"</f>
        <v>#VALUE!</v>
      </c>
      <c r="ID65" t="e">
        <f>'All regions'!I1765+"$F;@!%09"</f>
        <v>#VALUE!</v>
      </c>
      <c r="IE65" t="e">
        <f>'All regions'!A1766+"$F;@!%0:"</f>
        <v>#VALUE!</v>
      </c>
      <c r="IF65" t="e">
        <f>'All regions'!B1766+"$F;@!%0;"</f>
        <v>#VALUE!</v>
      </c>
      <c r="IG65" t="e">
        <f>'All regions'!C1766+"$F;@!%0&lt;"</f>
        <v>#VALUE!</v>
      </c>
      <c r="IH65" t="e">
        <f>'All regions'!D1766+"$F;@!%0="</f>
        <v>#VALUE!</v>
      </c>
      <c r="II65" t="e">
        <f>'All regions'!E1766+"$F;@!%0&gt;"</f>
        <v>#VALUE!</v>
      </c>
      <c r="IJ65" t="e">
        <f>'All regions'!F1766+"$F;@!%0?"</f>
        <v>#VALUE!</v>
      </c>
      <c r="IK65" t="e">
        <f>'All regions'!G1766+"$F;@!%0@"</f>
        <v>#VALUE!</v>
      </c>
      <c r="IL65" t="e">
        <f>'All regions'!H1766+"$F;@!%0A"</f>
        <v>#VALUE!</v>
      </c>
      <c r="IM65" t="e">
        <f>'All regions'!I1766+"$F;@!%0B"</f>
        <v>#VALUE!</v>
      </c>
      <c r="IN65" t="e">
        <f>'All regions'!A1767+"$F;@!%0C"</f>
        <v>#VALUE!</v>
      </c>
      <c r="IO65" t="e">
        <f>'All regions'!B1767+"$F;@!%0D"</f>
        <v>#VALUE!</v>
      </c>
      <c r="IP65" t="e">
        <f>'All regions'!C1767+"$F;@!%0E"</f>
        <v>#VALUE!</v>
      </c>
      <c r="IQ65" t="e">
        <f>'All regions'!D1767+"$F;@!%0F"</f>
        <v>#VALUE!</v>
      </c>
      <c r="IR65" t="e">
        <f>'All regions'!E1767+"$F;@!%0G"</f>
        <v>#VALUE!</v>
      </c>
      <c r="IS65" t="e">
        <f>'All regions'!F1767+"$F;@!%0H"</f>
        <v>#VALUE!</v>
      </c>
      <c r="IT65" t="e">
        <f>'All regions'!G1767+"$F;@!%0I"</f>
        <v>#VALUE!</v>
      </c>
      <c r="IU65" t="e">
        <f>'All regions'!H1767+"$F;@!%0J"</f>
        <v>#VALUE!</v>
      </c>
      <c r="IV65" t="e">
        <f>'All regions'!I1767+"$F;@!%0K"</f>
        <v>#VALUE!</v>
      </c>
    </row>
    <row r="66" spans="6:256" x14ac:dyDescent="0.35">
      <c r="F66" t="e">
        <f>'All regions'!A1768+"$F;@!%0L"</f>
        <v>#VALUE!</v>
      </c>
      <c r="G66" t="e">
        <f>'All regions'!B1768+"$F;@!%0M"</f>
        <v>#VALUE!</v>
      </c>
      <c r="H66" t="e">
        <f>'All regions'!C1768+"$F;@!%0N"</f>
        <v>#VALUE!</v>
      </c>
      <c r="I66" t="e">
        <f>'All regions'!D1768+"$F;@!%0O"</f>
        <v>#VALUE!</v>
      </c>
      <c r="J66" t="e">
        <f>'All regions'!E1768+"$F;@!%0P"</f>
        <v>#VALUE!</v>
      </c>
      <c r="K66" t="e">
        <f>'All regions'!F1768+"$F;@!%0Q"</f>
        <v>#VALUE!</v>
      </c>
      <c r="L66" t="e">
        <f>'All regions'!G1768+"$F;@!%0R"</f>
        <v>#VALUE!</v>
      </c>
      <c r="M66" t="e">
        <f>'All regions'!H1768+"$F;@!%0S"</f>
        <v>#VALUE!</v>
      </c>
      <c r="N66" t="e">
        <f>'All regions'!I1768+"$F;@!%0T"</f>
        <v>#VALUE!</v>
      </c>
      <c r="O66" t="e">
        <f>'All regions'!A1769+"$F;@!%0U"</f>
        <v>#VALUE!</v>
      </c>
      <c r="P66" t="e">
        <f>'All regions'!B1769+"$F;@!%0V"</f>
        <v>#VALUE!</v>
      </c>
      <c r="Q66" t="e">
        <f>'All regions'!C1769+"$F;@!%0W"</f>
        <v>#VALUE!</v>
      </c>
      <c r="R66" t="e">
        <f>'All regions'!D1769+"$F;@!%0X"</f>
        <v>#VALUE!</v>
      </c>
      <c r="S66" t="e">
        <f>'All regions'!E1769+"$F;@!%0Y"</f>
        <v>#VALUE!</v>
      </c>
      <c r="T66" t="e">
        <f>'All regions'!F1769+"$F;@!%0Z"</f>
        <v>#VALUE!</v>
      </c>
      <c r="U66" t="e">
        <f>'All regions'!G1769+"$F;@!%0["</f>
        <v>#VALUE!</v>
      </c>
      <c r="V66" t="e">
        <f>'All regions'!H1769+"$F;@!%0\"</f>
        <v>#VALUE!</v>
      </c>
      <c r="W66" t="e">
        <f>'All regions'!I1769+"$F;@!%0]"</f>
        <v>#VALUE!</v>
      </c>
      <c r="X66" t="e">
        <f>'All regions'!A1770+"$F;@!%0^"</f>
        <v>#VALUE!</v>
      </c>
      <c r="Y66" t="e">
        <f>'All regions'!B1770+"$F;@!%0_"</f>
        <v>#VALUE!</v>
      </c>
      <c r="Z66" t="e">
        <f>'All regions'!C1770+"$F;@!%0`"</f>
        <v>#VALUE!</v>
      </c>
      <c r="AA66" t="e">
        <f>'All regions'!D1770+"$F;@!%0a"</f>
        <v>#VALUE!</v>
      </c>
      <c r="AB66" t="e">
        <f>'All regions'!E1770+"$F;@!%0b"</f>
        <v>#VALUE!</v>
      </c>
      <c r="AC66" t="e">
        <f>'All regions'!F1770+"$F;@!%0c"</f>
        <v>#VALUE!</v>
      </c>
      <c r="AD66" t="e">
        <f>'All regions'!G1770+"$F;@!%0d"</f>
        <v>#VALUE!</v>
      </c>
      <c r="AE66" t="e">
        <f>'All regions'!H1770+"$F;@!%0e"</f>
        <v>#VALUE!</v>
      </c>
      <c r="AF66" t="e">
        <f>'All regions'!I1770+"$F;@!%0f"</f>
        <v>#VALUE!</v>
      </c>
      <c r="AG66" t="e">
        <f>'All regions'!A1771+"$F;@!%0g"</f>
        <v>#VALUE!</v>
      </c>
      <c r="AH66" t="e">
        <f>'All regions'!B1771+"$F;@!%0h"</f>
        <v>#VALUE!</v>
      </c>
      <c r="AI66" t="e">
        <f>'All regions'!C1771+"$F;@!%0i"</f>
        <v>#VALUE!</v>
      </c>
      <c r="AJ66" t="e">
        <f>'All regions'!D1771+"$F;@!%0j"</f>
        <v>#VALUE!</v>
      </c>
      <c r="AK66" t="e">
        <f>'All regions'!E1771+"$F;@!%0k"</f>
        <v>#VALUE!</v>
      </c>
      <c r="AL66" t="e">
        <f>'All regions'!F1771+"$F;@!%0l"</f>
        <v>#VALUE!</v>
      </c>
      <c r="AM66" t="e">
        <f>'All regions'!G1771+"$F;@!%0m"</f>
        <v>#VALUE!</v>
      </c>
      <c r="AN66" t="e">
        <f>'All regions'!H1771+"$F;@!%0n"</f>
        <v>#VALUE!</v>
      </c>
      <c r="AO66" t="e">
        <f>'All regions'!I1771+"$F;@!%0o"</f>
        <v>#VALUE!</v>
      </c>
      <c r="AP66" t="e">
        <f>'All regions'!A1772+"$F;@!%0p"</f>
        <v>#VALUE!</v>
      </c>
      <c r="AQ66" t="e">
        <f>'All regions'!B1772+"$F;@!%0q"</f>
        <v>#VALUE!</v>
      </c>
      <c r="AR66" t="e">
        <f>'All regions'!C1772+"$F;@!%0r"</f>
        <v>#VALUE!</v>
      </c>
      <c r="AS66" t="e">
        <f>'All regions'!D1772+"$F;@!%0s"</f>
        <v>#VALUE!</v>
      </c>
      <c r="AT66" t="e">
        <f>'All regions'!E1772+"$F;@!%0t"</f>
        <v>#VALUE!</v>
      </c>
      <c r="AU66" t="e">
        <f>'All regions'!F1772+"$F;@!%0u"</f>
        <v>#VALUE!</v>
      </c>
      <c r="AV66" t="e">
        <f>'All regions'!G1772+"$F;@!%0v"</f>
        <v>#VALUE!</v>
      </c>
      <c r="AW66" t="e">
        <f>'All regions'!H1772+"$F;@!%0w"</f>
        <v>#VALUE!</v>
      </c>
      <c r="AX66" t="e">
        <f>'All regions'!I1772+"$F;@!%0x"</f>
        <v>#VALUE!</v>
      </c>
      <c r="AY66" t="e">
        <f>'All regions'!A1773+"$F;@!%0y"</f>
        <v>#VALUE!</v>
      </c>
      <c r="AZ66" t="e">
        <f>'All regions'!B1773+"$F;@!%0z"</f>
        <v>#VALUE!</v>
      </c>
      <c r="BA66" t="e">
        <f>'All regions'!C1773+"$F;@!%0{"</f>
        <v>#VALUE!</v>
      </c>
      <c r="BB66" t="e">
        <f>'All regions'!D1773+"$F;@!%0|"</f>
        <v>#VALUE!</v>
      </c>
      <c r="BC66" t="e">
        <f>'All regions'!E1773+"$F;@!%0}"</f>
        <v>#VALUE!</v>
      </c>
      <c r="BD66" t="e">
        <f>'All regions'!F1773+"$F;@!%0~"</f>
        <v>#VALUE!</v>
      </c>
      <c r="BE66" t="e">
        <f>'All regions'!G1773+"$F;@!%1#"</f>
        <v>#VALUE!</v>
      </c>
      <c r="BF66" t="e">
        <f>'All regions'!H1773+"$F;@!%1$"</f>
        <v>#VALUE!</v>
      </c>
      <c r="BG66" t="e">
        <f>'All regions'!I1773+"$F;@!%1%"</f>
        <v>#VALUE!</v>
      </c>
      <c r="BH66" t="e">
        <f>'All regions'!A1774+"$F;@!%1&amp;"</f>
        <v>#VALUE!</v>
      </c>
      <c r="BI66" t="e">
        <f>'All regions'!B1774+"$F;@!%1'"</f>
        <v>#VALUE!</v>
      </c>
      <c r="BJ66" t="e">
        <f>'All regions'!C1774+"$F;@!%1("</f>
        <v>#VALUE!</v>
      </c>
      <c r="BK66" t="e">
        <f>'All regions'!D1774+"$F;@!%1)"</f>
        <v>#VALUE!</v>
      </c>
      <c r="BL66" t="e">
        <f>'All regions'!E1774+"$F;@!%1."</f>
        <v>#VALUE!</v>
      </c>
      <c r="BM66" t="e">
        <f>'All regions'!F1774+"$F;@!%1/"</f>
        <v>#VALUE!</v>
      </c>
      <c r="BN66" t="e">
        <f>'All regions'!G1774+"$F;@!%10"</f>
        <v>#VALUE!</v>
      </c>
      <c r="BO66" t="e">
        <f>'All regions'!H1774+"$F;@!%11"</f>
        <v>#VALUE!</v>
      </c>
      <c r="BP66" t="e">
        <f>'All regions'!I1774+"$F;@!%12"</f>
        <v>#VALUE!</v>
      </c>
      <c r="BQ66" t="e">
        <f>'All regions'!A1775+"$F;@!%13"</f>
        <v>#VALUE!</v>
      </c>
      <c r="BR66" t="e">
        <f>'All regions'!B1775+"$F;@!%14"</f>
        <v>#VALUE!</v>
      </c>
      <c r="BS66" t="e">
        <f>'All regions'!C1775+"$F;@!%15"</f>
        <v>#VALUE!</v>
      </c>
      <c r="BT66" t="e">
        <f>'All regions'!D1775+"$F;@!%16"</f>
        <v>#VALUE!</v>
      </c>
      <c r="BU66" t="e">
        <f>'All regions'!E1775+"$F;@!%17"</f>
        <v>#VALUE!</v>
      </c>
      <c r="BV66" t="e">
        <f>'All regions'!F1775+"$F;@!%18"</f>
        <v>#VALUE!</v>
      </c>
      <c r="BW66" t="e">
        <f>'All regions'!G1775+"$F;@!%19"</f>
        <v>#VALUE!</v>
      </c>
      <c r="BX66" t="e">
        <f>'All regions'!H1775+"$F;@!%1:"</f>
        <v>#VALUE!</v>
      </c>
      <c r="BY66" t="e">
        <f>'All regions'!I1775+"$F;@!%1;"</f>
        <v>#VALUE!</v>
      </c>
      <c r="BZ66" t="e">
        <f>'All regions'!A1776+"$F;@!%1&lt;"</f>
        <v>#VALUE!</v>
      </c>
      <c r="CA66" t="e">
        <f>'All regions'!B1776+"$F;@!%1="</f>
        <v>#VALUE!</v>
      </c>
      <c r="CB66" t="e">
        <f>'All regions'!C1776+"$F;@!%1&gt;"</f>
        <v>#VALUE!</v>
      </c>
      <c r="CC66" t="e">
        <f>'All regions'!D1776+"$F;@!%1?"</f>
        <v>#VALUE!</v>
      </c>
      <c r="CD66" t="e">
        <f>'All regions'!E1776+"$F;@!%1@"</f>
        <v>#VALUE!</v>
      </c>
      <c r="CE66" t="e">
        <f>'All regions'!F1776+"$F;@!%1A"</f>
        <v>#VALUE!</v>
      </c>
      <c r="CF66" t="e">
        <f>'All regions'!G1776+"$F;@!%1B"</f>
        <v>#VALUE!</v>
      </c>
      <c r="CG66" t="e">
        <f>'All regions'!H1776+"$F;@!%1C"</f>
        <v>#VALUE!</v>
      </c>
      <c r="CH66" t="e">
        <f>'All regions'!I1776+"$F;@!%1D"</f>
        <v>#VALUE!</v>
      </c>
      <c r="CI66" t="e">
        <f>'All regions'!A1777+"$F;@!%1E"</f>
        <v>#VALUE!</v>
      </c>
      <c r="CJ66" t="e">
        <f>'All regions'!B1777+"$F;@!%1F"</f>
        <v>#VALUE!</v>
      </c>
      <c r="CK66" t="e">
        <f>'All regions'!C1777+"$F;@!%1G"</f>
        <v>#VALUE!</v>
      </c>
      <c r="CL66" t="e">
        <f>'All regions'!D1777+"$F;@!%1H"</f>
        <v>#VALUE!</v>
      </c>
      <c r="CM66" t="e">
        <f>'All regions'!E1777+"$F;@!%1I"</f>
        <v>#VALUE!</v>
      </c>
      <c r="CN66" t="e">
        <f>'All regions'!F1777+"$F;@!%1J"</f>
        <v>#VALUE!</v>
      </c>
      <c r="CO66" t="e">
        <f>'All regions'!G1777+"$F;@!%1K"</f>
        <v>#VALUE!</v>
      </c>
      <c r="CP66" t="e">
        <f>'All regions'!H1777+"$F;@!%1L"</f>
        <v>#VALUE!</v>
      </c>
      <c r="CQ66" t="e">
        <f>'All regions'!I1777+"$F;@!%1M"</f>
        <v>#VALUE!</v>
      </c>
      <c r="CR66" t="e">
        <f>'All regions'!A1779+"$F;@!%1N"</f>
        <v>#VALUE!</v>
      </c>
      <c r="CS66" t="e">
        <f>'All regions'!B1779+"$F;@!%1O"</f>
        <v>#VALUE!</v>
      </c>
      <c r="CT66" t="e">
        <f>'All regions'!C1779+"$F;@!%1P"</f>
        <v>#VALUE!</v>
      </c>
      <c r="CU66" t="e">
        <f>'All regions'!D1779+"$F;@!%1Q"</f>
        <v>#VALUE!</v>
      </c>
      <c r="CV66" t="e">
        <f>'All regions'!E1779+"$F;@!%1R"</f>
        <v>#VALUE!</v>
      </c>
      <c r="CW66" t="e">
        <f>'All regions'!F1779+"$F;@!%1S"</f>
        <v>#VALUE!</v>
      </c>
      <c r="CX66" t="e">
        <f>'All regions'!G1779+"$F;@!%1T"</f>
        <v>#VALUE!</v>
      </c>
      <c r="CY66" t="e">
        <f>'All regions'!H1779+"$F;@!%1U"</f>
        <v>#VALUE!</v>
      </c>
      <c r="CZ66" t="e">
        <f>'All regions'!I1779+"$F;@!%1V"</f>
        <v>#VALUE!</v>
      </c>
      <c r="DA66" t="e">
        <f>'All regions'!A1780+"$F;@!%1W"</f>
        <v>#VALUE!</v>
      </c>
      <c r="DB66" t="e">
        <f>'All regions'!B1780+"$F;@!%1X"</f>
        <v>#VALUE!</v>
      </c>
      <c r="DC66" t="e">
        <f>'All regions'!C1780+"$F;@!%1Y"</f>
        <v>#VALUE!</v>
      </c>
      <c r="DD66" t="e">
        <f>'All regions'!D1780+"$F;@!%1Z"</f>
        <v>#VALUE!</v>
      </c>
      <c r="DE66" t="e">
        <f>'All regions'!E1780+"$F;@!%1["</f>
        <v>#VALUE!</v>
      </c>
      <c r="DF66" t="e">
        <f>'All regions'!F1780+"$F;@!%1\"</f>
        <v>#VALUE!</v>
      </c>
      <c r="DG66" t="e">
        <f>'All regions'!G1780+"$F;@!%1]"</f>
        <v>#VALUE!</v>
      </c>
      <c r="DH66" t="e">
        <f>'All regions'!H1780+"$F;@!%1^"</f>
        <v>#VALUE!</v>
      </c>
      <c r="DI66" t="e">
        <f>'All regions'!I1780+"$F;@!%1_"</f>
        <v>#VALUE!</v>
      </c>
      <c r="DJ66" t="e">
        <f>'All regions'!A1781+"$F;@!%1`"</f>
        <v>#VALUE!</v>
      </c>
      <c r="DK66" t="e">
        <f>'All regions'!B1781+"$F;@!%1a"</f>
        <v>#VALUE!</v>
      </c>
      <c r="DL66" t="e">
        <f>'All regions'!C1781+"$F;@!%1b"</f>
        <v>#VALUE!</v>
      </c>
      <c r="DM66" t="e">
        <f>'All regions'!D1781+"$F;@!%1c"</f>
        <v>#VALUE!</v>
      </c>
      <c r="DN66" t="e">
        <f>'All regions'!E1781+"$F;@!%1d"</f>
        <v>#VALUE!</v>
      </c>
      <c r="DO66" t="e">
        <f>'All regions'!F1781+"$F;@!%1e"</f>
        <v>#VALUE!</v>
      </c>
      <c r="DP66" t="e">
        <f>'All regions'!G1781+"$F;@!%1f"</f>
        <v>#VALUE!</v>
      </c>
      <c r="DQ66" t="e">
        <f>'All regions'!H1781+"$F;@!%1g"</f>
        <v>#VALUE!</v>
      </c>
      <c r="DR66" t="e">
        <f>'All regions'!I1781+"$F;@!%1h"</f>
        <v>#VALUE!</v>
      </c>
      <c r="DS66" t="e">
        <f>'All regions'!A1782+"$F;@!%1i"</f>
        <v>#VALUE!</v>
      </c>
      <c r="DT66" t="e">
        <f>'All regions'!B1782+"$F;@!%1j"</f>
        <v>#VALUE!</v>
      </c>
      <c r="DU66" t="e">
        <f>'All regions'!C1782+"$F;@!%1k"</f>
        <v>#VALUE!</v>
      </c>
      <c r="DV66" t="e">
        <f>'All regions'!D1782+"$F;@!%1l"</f>
        <v>#VALUE!</v>
      </c>
      <c r="DW66" t="e">
        <f>'All regions'!E1782+"$F;@!%1m"</f>
        <v>#VALUE!</v>
      </c>
      <c r="DX66" t="e">
        <f>'All regions'!F1782+"$F;@!%1n"</f>
        <v>#VALUE!</v>
      </c>
      <c r="DY66" t="e">
        <f>'All regions'!G1782+"$F;@!%1o"</f>
        <v>#VALUE!</v>
      </c>
      <c r="DZ66" t="e">
        <f>'All regions'!H1782+"$F;@!%1p"</f>
        <v>#VALUE!</v>
      </c>
      <c r="EA66" t="e">
        <f>'All regions'!I1782+"$F;@!%1q"</f>
        <v>#VALUE!</v>
      </c>
      <c r="EB66" t="e">
        <f>'All regions'!A1783+"$F;@!%1r"</f>
        <v>#VALUE!</v>
      </c>
      <c r="EC66" t="e">
        <f>'All regions'!B1783+"$F;@!%1s"</f>
        <v>#VALUE!</v>
      </c>
      <c r="ED66" t="e">
        <f>'All regions'!C1783+"$F;@!%1t"</f>
        <v>#VALUE!</v>
      </c>
      <c r="EE66" t="e">
        <f>'All regions'!D1783+"$F;@!%1u"</f>
        <v>#VALUE!</v>
      </c>
      <c r="EF66" t="e">
        <f>'All regions'!E1783+"$F;@!%1v"</f>
        <v>#VALUE!</v>
      </c>
      <c r="EG66" t="e">
        <f>'All regions'!F1783+"$F;@!%1w"</f>
        <v>#VALUE!</v>
      </c>
      <c r="EH66" t="e">
        <f>'All regions'!G1783+"$F;@!%1x"</f>
        <v>#VALUE!</v>
      </c>
      <c r="EI66" t="e">
        <f>'All regions'!H1783+"$F;@!%1y"</f>
        <v>#VALUE!</v>
      </c>
      <c r="EJ66" t="e">
        <f>'All regions'!I1783+"$F;@!%1z"</f>
        <v>#VALUE!</v>
      </c>
      <c r="EK66" t="e">
        <f>'All regions'!A1784+"$F;@!%1{"</f>
        <v>#VALUE!</v>
      </c>
      <c r="EL66" t="e">
        <f>'All regions'!B1784+"$F;@!%1|"</f>
        <v>#VALUE!</v>
      </c>
      <c r="EM66" t="e">
        <f>'All regions'!C1784+"$F;@!%1}"</f>
        <v>#VALUE!</v>
      </c>
      <c r="EN66" t="e">
        <f>'All regions'!D1784+"$F;@!%1~"</f>
        <v>#VALUE!</v>
      </c>
      <c r="EO66" t="e">
        <f>'All regions'!E1784+"$F;@!%2#"</f>
        <v>#VALUE!</v>
      </c>
      <c r="EP66" t="e">
        <f>'All regions'!F1784+"$F;@!%2$"</f>
        <v>#VALUE!</v>
      </c>
      <c r="EQ66" t="e">
        <f>'All regions'!G1784+"$F;@!%2%"</f>
        <v>#VALUE!</v>
      </c>
      <c r="ER66" t="e">
        <f>'All regions'!H1784+"$F;@!%2&amp;"</f>
        <v>#VALUE!</v>
      </c>
      <c r="ES66" t="e">
        <f>'All regions'!I1784+"$F;@!%2'"</f>
        <v>#VALUE!</v>
      </c>
      <c r="ET66" t="e">
        <f>'All regions'!A1785+"$F;@!%2("</f>
        <v>#VALUE!</v>
      </c>
      <c r="EU66" t="e">
        <f>'All regions'!B1785+"$F;@!%2)"</f>
        <v>#VALUE!</v>
      </c>
      <c r="EV66" t="e">
        <f>'All regions'!C1785+"$F;@!%2."</f>
        <v>#VALUE!</v>
      </c>
      <c r="EW66" t="e">
        <f>'All regions'!D1785+"$F;@!%2/"</f>
        <v>#VALUE!</v>
      </c>
      <c r="EX66" t="e">
        <f>'All regions'!E1785+"$F;@!%20"</f>
        <v>#VALUE!</v>
      </c>
      <c r="EY66" t="e">
        <f>'All regions'!F1785+"$F;@!%21"</f>
        <v>#VALUE!</v>
      </c>
      <c r="EZ66" t="e">
        <f>'All regions'!G1785+"$F;@!%22"</f>
        <v>#VALUE!</v>
      </c>
      <c r="FA66" t="e">
        <f>'All regions'!H1785+"$F;@!%23"</f>
        <v>#VALUE!</v>
      </c>
      <c r="FB66" t="e">
        <f>'All regions'!I1785+"$F;@!%24"</f>
        <v>#VALUE!</v>
      </c>
      <c r="FC66" t="e">
        <f>'All regions'!A1786+"$F;@!%25"</f>
        <v>#VALUE!</v>
      </c>
      <c r="FD66" t="e">
        <f>'All regions'!B1786+"$F;@!%26"</f>
        <v>#VALUE!</v>
      </c>
      <c r="FE66" t="e">
        <f>'All regions'!C1786+"$F;@!%27"</f>
        <v>#VALUE!</v>
      </c>
      <c r="FF66" t="e">
        <f>'All regions'!D1786+"$F;@!%28"</f>
        <v>#VALUE!</v>
      </c>
      <c r="FG66" t="e">
        <f>'All regions'!E1786+"$F;@!%29"</f>
        <v>#VALUE!</v>
      </c>
      <c r="FH66" t="e">
        <f>'All regions'!F1786+"$F;@!%2:"</f>
        <v>#VALUE!</v>
      </c>
      <c r="FI66" t="e">
        <f>'All regions'!G1786+"$F;@!%2;"</f>
        <v>#VALUE!</v>
      </c>
      <c r="FJ66" t="e">
        <f>'All regions'!H1786+"$F;@!%2&lt;"</f>
        <v>#VALUE!</v>
      </c>
      <c r="FK66" t="e">
        <f>'All regions'!I1786+"$F;@!%2="</f>
        <v>#VALUE!</v>
      </c>
      <c r="FL66" t="e">
        <f>'All regions'!A1787+"$F;@!%2&gt;"</f>
        <v>#VALUE!</v>
      </c>
      <c r="FM66" t="e">
        <f>'All regions'!B1787+"$F;@!%2?"</f>
        <v>#VALUE!</v>
      </c>
      <c r="FN66" t="e">
        <f>'All regions'!C1787+"$F;@!%2@"</f>
        <v>#VALUE!</v>
      </c>
      <c r="FO66" t="e">
        <f>'All regions'!D1787+"$F;@!%2A"</f>
        <v>#VALUE!</v>
      </c>
      <c r="FP66" t="e">
        <f>'All regions'!E1787+"$F;@!%2B"</f>
        <v>#VALUE!</v>
      </c>
      <c r="FQ66" t="e">
        <f>'All regions'!F1787+"$F;@!%2C"</f>
        <v>#VALUE!</v>
      </c>
      <c r="FR66" t="e">
        <f>'All regions'!G1787+"$F;@!%2D"</f>
        <v>#VALUE!</v>
      </c>
      <c r="FS66" t="e">
        <f>'All regions'!H1787+"$F;@!%2E"</f>
        <v>#VALUE!</v>
      </c>
      <c r="FT66" t="e">
        <f>'All regions'!I1787+"$F;@!%2F"</f>
        <v>#VALUE!</v>
      </c>
      <c r="FU66" t="e">
        <f>'All regions'!A1788+"$F;@!%2G"</f>
        <v>#VALUE!</v>
      </c>
      <c r="FV66" t="e">
        <f>'All regions'!B1788+"$F;@!%2H"</f>
        <v>#VALUE!</v>
      </c>
      <c r="FW66" t="e">
        <f>'All regions'!C1788+"$F;@!%2I"</f>
        <v>#VALUE!</v>
      </c>
      <c r="FX66" t="e">
        <f>'All regions'!D1788+"$F;@!%2J"</f>
        <v>#VALUE!</v>
      </c>
      <c r="FY66" t="e">
        <f>'All regions'!E1788+"$F;@!%2K"</f>
        <v>#VALUE!</v>
      </c>
      <c r="FZ66" t="e">
        <f>'All regions'!F1788+"$F;@!%2L"</f>
        <v>#VALUE!</v>
      </c>
      <c r="GA66" t="e">
        <f>'All regions'!G1788+"$F;@!%2M"</f>
        <v>#VALUE!</v>
      </c>
      <c r="GB66" t="e">
        <f>'All regions'!H1788+"$F;@!%2N"</f>
        <v>#VALUE!</v>
      </c>
      <c r="GC66" t="e">
        <f>'All regions'!I1788+"$F;@!%2O"</f>
        <v>#VALUE!</v>
      </c>
      <c r="GD66" t="e">
        <f>'All regions'!A1789+"$F;@!%2P"</f>
        <v>#VALUE!</v>
      </c>
      <c r="GE66" t="e">
        <f>'All regions'!B1789+"$F;@!%2Q"</f>
        <v>#VALUE!</v>
      </c>
      <c r="GF66" t="e">
        <f>'All regions'!C1789+"$F;@!%2R"</f>
        <v>#VALUE!</v>
      </c>
      <c r="GG66" t="e">
        <f>'All regions'!D1789+"$F;@!%2S"</f>
        <v>#VALUE!</v>
      </c>
      <c r="GH66" t="e">
        <f>'All regions'!E1789+"$F;@!%2T"</f>
        <v>#VALUE!</v>
      </c>
      <c r="GI66" t="e">
        <f>'All regions'!F1789+"$F;@!%2U"</f>
        <v>#VALUE!</v>
      </c>
      <c r="GJ66" t="e">
        <f>'All regions'!G1789+"$F;@!%2V"</f>
        <v>#VALUE!</v>
      </c>
      <c r="GK66" t="e">
        <f>'All regions'!H1789+"$F;@!%2W"</f>
        <v>#VALUE!</v>
      </c>
      <c r="GL66" t="e">
        <f>'All regions'!I1789+"$F;@!%2X"</f>
        <v>#VALUE!</v>
      </c>
      <c r="GM66" t="e">
        <f>'All regions'!A1790+"$F;@!%2Y"</f>
        <v>#VALUE!</v>
      </c>
      <c r="GN66" t="e">
        <f>'All regions'!B1790+"$F;@!%2Z"</f>
        <v>#VALUE!</v>
      </c>
      <c r="GO66" t="e">
        <f>'All regions'!C1790+"$F;@!%2["</f>
        <v>#VALUE!</v>
      </c>
      <c r="GP66" t="e">
        <f>'All regions'!D1790+"$F;@!%2\"</f>
        <v>#VALUE!</v>
      </c>
      <c r="GQ66" t="e">
        <f>'All regions'!E1790+"$F;@!%2]"</f>
        <v>#VALUE!</v>
      </c>
      <c r="GR66" t="e">
        <f>'All regions'!F1790+"$F;@!%2^"</f>
        <v>#VALUE!</v>
      </c>
      <c r="GS66" t="e">
        <f>'All regions'!G1790+"$F;@!%2_"</f>
        <v>#VALUE!</v>
      </c>
      <c r="GT66" t="e">
        <f>'All regions'!H1790+"$F;@!%2`"</f>
        <v>#VALUE!</v>
      </c>
      <c r="GU66" t="e">
        <f>'All regions'!I1790+"$F;@!%2a"</f>
        <v>#VALUE!</v>
      </c>
      <c r="GV66" t="e">
        <f>'All regions'!A1791+"$F;@!%2b"</f>
        <v>#VALUE!</v>
      </c>
      <c r="GW66" t="e">
        <f>'All regions'!B1791+"$F;@!%2c"</f>
        <v>#VALUE!</v>
      </c>
      <c r="GX66" t="e">
        <f>'All regions'!C1791+"$F;@!%2d"</f>
        <v>#VALUE!</v>
      </c>
      <c r="GY66" t="e">
        <f>'All regions'!D1791+"$F;@!%2e"</f>
        <v>#VALUE!</v>
      </c>
      <c r="GZ66" t="e">
        <f>'All regions'!E1791+"$F;@!%2f"</f>
        <v>#VALUE!</v>
      </c>
      <c r="HA66" t="e">
        <f>'All regions'!F1791+"$F;@!%2g"</f>
        <v>#VALUE!</v>
      </c>
      <c r="HB66" t="e">
        <f>'All regions'!G1791+"$F;@!%2h"</f>
        <v>#VALUE!</v>
      </c>
      <c r="HC66" t="e">
        <f>'All regions'!H1791+"$F;@!%2i"</f>
        <v>#VALUE!</v>
      </c>
      <c r="HD66" t="e">
        <f>'All regions'!I1791+"$F;@!%2j"</f>
        <v>#VALUE!</v>
      </c>
      <c r="HE66" t="e">
        <f>'All regions'!A1792+"$F;@!%2k"</f>
        <v>#VALUE!</v>
      </c>
      <c r="HF66" t="e">
        <f>'All regions'!B1792+"$F;@!%2l"</f>
        <v>#VALUE!</v>
      </c>
      <c r="HG66" t="e">
        <f>'All regions'!C1792+"$F;@!%2m"</f>
        <v>#VALUE!</v>
      </c>
      <c r="HH66" t="e">
        <f>'All regions'!D1792+"$F;@!%2n"</f>
        <v>#VALUE!</v>
      </c>
      <c r="HI66" t="e">
        <f>'All regions'!E1792+"$F;@!%2o"</f>
        <v>#VALUE!</v>
      </c>
      <c r="HJ66" t="e">
        <f>'All regions'!F1792+"$F;@!%2p"</f>
        <v>#VALUE!</v>
      </c>
      <c r="HK66" t="e">
        <f>'All regions'!G1792+"$F;@!%2q"</f>
        <v>#VALUE!</v>
      </c>
      <c r="HL66" t="e">
        <f>'All regions'!H1792+"$F;@!%2r"</f>
        <v>#VALUE!</v>
      </c>
      <c r="HM66" t="e">
        <f>'All regions'!I1792+"$F;@!%2s"</f>
        <v>#VALUE!</v>
      </c>
      <c r="HN66" t="e">
        <f>'All regions'!A1793+"$F;@!%2t"</f>
        <v>#VALUE!</v>
      </c>
      <c r="HO66" t="e">
        <f>'All regions'!B1793+"$F;@!%2u"</f>
        <v>#VALUE!</v>
      </c>
      <c r="HP66" t="e">
        <f>'All regions'!C1793+"$F;@!%2v"</f>
        <v>#VALUE!</v>
      </c>
      <c r="HQ66" t="e">
        <f>'All regions'!D1793+"$F;@!%2w"</f>
        <v>#VALUE!</v>
      </c>
      <c r="HR66" t="e">
        <f>'All regions'!E1793+"$F;@!%2x"</f>
        <v>#VALUE!</v>
      </c>
      <c r="HS66" t="e">
        <f>'All regions'!F1793+"$F;@!%2y"</f>
        <v>#VALUE!</v>
      </c>
      <c r="HT66" t="e">
        <f>'All regions'!G1793+"$F;@!%2z"</f>
        <v>#VALUE!</v>
      </c>
      <c r="HU66" t="e">
        <f>'All regions'!H1793+"$F;@!%2{"</f>
        <v>#VALUE!</v>
      </c>
      <c r="HV66" t="e">
        <f>'All regions'!I1793+"$F;@!%2|"</f>
        <v>#VALUE!</v>
      </c>
      <c r="HW66" t="e">
        <f>'All regions'!A1794+"$F;@!%2}"</f>
        <v>#VALUE!</v>
      </c>
      <c r="HX66" t="e">
        <f>'All regions'!B1794+"$F;@!%2~"</f>
        <v>#VALUE!</v>
      </c>
      <c r="HY66" t="e">
        <f>'All regions'!C1794+"$F;@!%3#"</f>
        <v>#VALUE!</v>
      </c>
      <c r="HZ66" t="e">
        <f>'All regions'!D1794+"$F;@!%3$"</f>
        <v>#VALUE!</v>
      </c>
      <c r="IA66" t="e">
        <f>'All regions'!E1794+"$F;@!%3%"</f>
        <v>#VALUE!</v>
      </c>
      <c r="IB66" t="e">
        <f>'All regions'!F1794+"$F;@!%3&amp;"</f>
        <v>#VALUE!</v>
      </c>
      <c r="IC66" t="e">
        <f>'All regions'!G1794+"$F;@!%3'"</f>
        <v>#VALUE!</v>
      </c>
      <c r="ID66" t="e">
        <f>'All regions'!H1794+"$F;@!%3("</f>
        <v>#VALUE!</v>
      </c>
      <c r="IE66" t="e">
        <f>'All regions'!I1794+"$F;@!%3)"</f>
        <v>#VALUE!</v>
      </c>
      <c r="IF66" t="e">
        <f>'All regions'!A1795+"$F;@!%3."</f>
        <v>#VALUE!</v>
      </c>
      <c r="IG66" t="e">
        <f>'All regions'!B1795+"$F;@!%3/"</f>
        <v>#VALUE!</v>
      </c>
      <c r="IH66" t="e">
        <f>'All regions'!C1795+"$F;@!%30"</f>
        <v>#VALUE!</v>
      </c>
      <c r="II66" t="e">
        <f>'All regions'!D1795+"$F;@!%31"</f>
        <v>#VALUE!</v>
      </c>
      <c r="IJ66" t="e">
        <f>'All regions'!E1795+"$F;@!%32"</f>
        <v>#VALUE!</v>
      </c>
      <c r="IK66" t="e">
        <f>'All regions'!F1795+"$F;@!%33"</f>
        <v>#VALUE!</v>
      </c>
      <c r="IL66" t="e">
        <f>'All regions'!G1795+"$F;@!%34"</f>
        <v>#VALUE!</v>
      </c>
      <c r="IM66" t="e">
        <f>'All regions'!H1795+"$F;@!%35"</f>
        <v>#VALUE!</v>
      </c>
      <c r="IN66" t="e">
        <f>'All regions'!I1795+"$F;@!%36"</f>
        <v>#VALUE!</v>
      </c>
      <c r="IO66" t="e">
        <f>'All regions'!A1796+"$F;@!%37"</f>
        <v>#VALUE!</v>
      </c>
      <c r="IP66" t="e">
        <f>'All regions'!B1796+"$F;@!%38"</f>
        <v>#VALUE!</v>
      </c>
      <c r="IQ66" t="e">
        <f>'All regions'!C1796+"$F;@!%39"</f>
        <v>#VALUE!</v>
      </c>
      <c r="IR66" t="e">
        <f>'All regions'!D1796+"$F;@!%3:"</f>
        <v>#VALUE!</v>
      </c>
      <c r="IS66" t="e">
        <f>'All regions'!E1796+"$F;@!%3;"</f>
        <v>#VALUE!</v>
      </c>
      <c r="IT66" t="e">
        <f>'All regions'!F1796+"$F;@!%3&lt;"</f>
        <v>#VALUE!</v>
      </c>
      <c r="IU66" t="e">
        <f>'All regions'!G1796+"$F;@!%3="</f>
        <v>#VALUE!</v>
      </c>
      <c r="IV66" t="e">
        <f>'All regions'!H1796+"$F;@!%3&gt;"</f>
        <v>#VALUE!</v>
      </c>
    </row>
    <row r="67" spans="6:256" x14ac:dyDescent="0.35">
      <c r="F67" t="e">
        <f>'All regions'!I1796+"$F;@!%3?"</f>
        <v>#VALUE!</v>
      </c>
      <c r="G67" t="e">
        <f>'All regions'!A1797+"$F;@!%3@"</f>
        <v>#VALUE!</v>
      </c>
      <c r="H67" t="e">
        <f>'All regions'!B1797+"$F;@!%3A"</f>
        <v>#VALUE!</v>
      </c>
      <c r="I67" t="e">
        <f>'All regions'!C1797+"$F;@!%3B"</f>
        <v>#VALUE!</v>
      </c>
      <c r="J67" t="e">
        <f>'All regions'!D1797+"$F;@!%3C"</f>
        <v>#VALUE!</v>
      </c>
      <c r="K67" t="e">
        <f>'All regions'!E1797+"$F;@!%3D"</f>
        <v>#VALUE!</v>
      </c>
      <c r="L67" t="e">
        <f>'All regions'!F1797+"$F;@!%3E"</f>
        <v>#VALUE!</v>
      </c>
      <c r="M67" t="e">
        <f>'All regions'!G1797+"$F;@!%3F"</f>
        <v>#VALUE!</v>
      </c>
      <c r="N67" t="e">
        <f>'All regions'!H1797+"$F;@!%3G"</f>
        <v>#VALUE!</v>
      </c>
      <c r="O67" t="e">
        <f>'All regions'!I1797+"$F;@!%3H"</f>
        <v>#VALUE!</v>
      </c>
      <c r="P67" t="e">
        <f>'All regions'!A1798+"$F;@!%3I"</f>
        <v>#VALUE!</v>
      </c>
      <c r="Q67" t="e">
        <f>'All regions'!B1798+"$F;@!%3J"</f>
        <v>#VALUE!</v>
      </c>
      <c r="R67" t="e">
        <f>'All regions'!C1798+"$F;@!%3K"</f>
        <v>#VALUE!</v>
      </c>
      <c r="S67" t="e">
        <f>'All regions'!D1798+"$F;@!%3L"</f>
        <v>#VALUE!</v>
      </c>
      <c r="T67" t="e">
        <f>'All regions'!E1798+"$F;@!%3M"</f>
        <v>#VALUE!</v>
      </c>
      <c r="U67" t="e">
        <f>'All regions'!F1798+"$F;@!%3N"</f>
        <v>#VALUE!</v>
      </c>
      <c r="V67" t="e">
        <f>'All regions'!G1798+"$F;@!%3O"</f>
        <v>#VALUE!</v>
      </c>
      <c r="W67" t="e">
        <f>'All regions'!H1798+"$F;@!%3P"</f>
        <v>#VALUE!</v>
      </c>
      <c r="X67" t="e">
        <f>'All regions'!I1798+"$F;@!%3Q"</f>
        <v>#VALUE!</v>
      </c>
      <c r="Y67" t="e">
        <f>'All regions'!A1799+"$F;@!%3R"</f>
        <v>#VALUE!</v>
      </c>
      <c r="Z67" t="e">
        <f>'All regions'!B1799+"$F;@!%3S"</f>
        <v>#VALUE!</v>
      </c>
      <c r="AA67" t="e">
        <f>'All regions'!C1799+"$F;@!%3T"</f>
        <v>#VALUE!</v>
      </c>
      <c r="AB67" t="e">
        <f>'All regions'!D1799+"$F;@!%3U"</f>
        <v>#VALUE!</v>
      </c>
      <c r="AC67" t="e">
        <f>'All regions'!E1799+"$F;@!%3V"</f>
        <v>#VALUE!</v>
      </c>
      <c r="AD67" t="e">
        <f>'All regions'!F1799+"$F;@!%3W"</f>
        <v>#VALUE!</v>
      </c>
      <c r="AE67" t="e">
        <f>'All regions'!G1799+"$F;@!%3X"</f>
        <v>#VALUE!</v>
      </c>
      <c r="AF67" t="e">
        <f>'All regions'!H1799+"$F;@!%3Y"</f>
        <v>#VALUE!</v>
      </c>
      <c r="AG67" t="e">
        <f>'All regions'!I1799+"$F;@!%3Z"</f>
        <v>#VALUE!</v>
      </c>
      <c r="AH67" t="e">
        <f>'All regions'!A1800+"$F;@!%3["</f>
        <v>#VALUE!</v>
      </c>
      <c r="AI67" t="e">
        <f>'All regions'!B1800+"$F;@!%3\"</f>
        <v>#VALUE!</v>
      </c>
      <c r="AJ67" t="e">
        <f>'All regions'!C1800+"$F;@!%3]"</f>
        <v>#VALUE!</v>
      </c>
      <c r="AK67" t="e">
        <f>'All regions'!D1800+"$F;@!%3^"</f>
        <v>#VALUE!</v>
      </c>
      <c r="AL67" t="e">
        <f>'All regions'!E1800+"$F;@!%3_"</f>
        <v>#VALUE!</v>
      </c>
      <c r="AM67" t="e">
        <f>'All regions'!F1800+"$F;@!%3`"</f>
        <v>#VALUE!</v>
      </c>
      <c r="AN67" t="e">
        <f>'All regions'!G1800+"$F;@!%3a"</f>
        <v>#VALUE!</v>
      </c>
      <c r="AO67" t="e">
        <f>'All regions'!H1800+"$F;@!%3b"</f>
        <v>#VALUE!</v>
      </c>
      <c r="AP67" t="e">
        <f>'All regions'!I1800+"$F;@!%3c"</f>
        <v>#VALUE!</v>
      </c>
      <c r="AQ67" t="e">
        <f>'All regions'!A1801+"$F;@!%3d"</f>
        <v>#VALUE!</v>
      </c>
      <c r="AR67" t="e">
        <f>'All regions'!B1801+"$F;@!%3e"</f>
        <v>#VALUE!</v>
      </c>
      <c r="AS67" t="e">
        <f>'All regions'!C1801+"$F;@!%3f"</f>
        <v>#VALUE!</v>
      </c>
      <c r="AT67" t="e">
        <f>'All regions'!D1801+"$F;@!%3g"</f>
        <v>#VALUE!</v>
      </c>
      <c r="AU67" t="e">
        <f>'All regions'!E1801+"$F;@!%3h"</f>
        <v>#VALUE!</v>
      </c>
      <c r="AV67" t="e">
        <f>'All regions'!F1801+"$F;@!%3i"</f>
        <v>#VALUE!</v>
      </c>
      <c r="AW67" t="e">
        <f>'All regions'!G1801+"$F;@!%3j"</f>
        <v>#VALUE!</v>
      </c>
      <c r="AX67" t="e">
        <f>'All regions'!H1801+"$F;@!%3k"</f>
        <v>#VALUE!</v>
      </c>
      <c r="AY67" t="e">
        <f>'All regions'!I1801+"$F;@!%3l"</f>
        <v>#VALUE!</v>
      </c>
      <c r="AZ67" t="e">
        <f>'All regions'!A1802+"$F;@!%3m"</f>
        <v>#VALUE!</v>
      </c>
      <c r="BA67" t="e">
        <f>'All regions'!B1802+"$F;@!%3n"</f>
        <v>#VALUE!</v>
      </c>
      <c r="BB67" t="e">
        <f>'All regions'!C1802+"$F;@!%3o"</f>
        <v>#VALUE!</v>
      </c>
      <c r="BC67" t="e">
        <f>'All regions'!D1802+"$F;@!%3p"</f>
        <v>#VALUE!</v>
      </c>
      <c r="BD67" t="e">
        <f>'All regions'!E1802+"$F;@!%3q"</f>
        <v>#VALUE!</v>
      </c>
      <c r="BE67" t="e">
        <f>'All regions'!F1802+"$F;@!%3r"</f>
        <v>#VALUE!</v>
      </c>
      <c r="BF67" t="e">
        <f>'All regions'!G1802+"$F;@!%3s"</f>
        <v>#VALUE!</v>
      </c>
      <c r="BG67" t="e">
        <f>'All regions'!H1802+"$F;@!%3t"</f>
        <v>#VALUE!</v>
      </c>
      <c r="BH67" t="e">
        <f>'All regions'!I1802+"$F;@!%3u"</f>
        <v>#VALUE!</v>
      </c>
      <c r="BI67" t="e">
        <f>'All regions'!A1803+"$F;@!%3v"</f>
        <v>#VALUE!</v>
      </c>
      <c r="BJ67" t="e">
        <f>'All regions'!B1803+"$F;@!%3w"</f>
        <v>#VALUE!</v>
      </c>
      <c r="BK67" t="e">
        <f>'All regions'!C1803+"$F;@!%3x"</f>
        <v>#VALUE!</v>
      </c>
      <c r="BL67" t="e">
        <f>'All regions'!D1803+"$F;@!%3y"</f>
        <v>#VALUE!</v>
      </c>
      <c r="BM67" t="e">
        <f>'All regions'!E1803+"$F;@!%3z"</f>
        <v>#VALUE!</v>
      </c>
      <c r="BN67" t="e">
        <f>'All regions'!F1803+"$F;@!%3{"</f>
        <v>#VALUE!</v>
      </c>
      <c r="BO67" t="e">
        <f>'All regions'!G1803+"$F;@!%3|"</f>
        <v>#VALUE!</v>
      </c>
      <c r="BP67" t="e">
        <f>'All regions'!H1803+"$F;@!%3}"</f>
        <v>#VALUE!</v>
      </c>
      <c r="BQ67" t="e">
        <f>'All regions'!I1803+"$F;@!%3~"</f>
        <v>#VALUE!</v>
      </c>
      <c r="BR67" t="e">
        <f>'All regions'!A1804+"$F;@!%4#"</f>
        <v>#VALUE!</v>
      </c>
      <c r="BS67" t="e">
        <f>'All regions'!B1804+"$F;@!%4$"</f>
        <v>#VALUE!</v>
      </c>
      <c r="BT67" t="e">
        <f>'All regions'!C1804+"$F;@!%4%"</f>
        <v>#VALUE!</v>
      </c>
      <c r="BU67" t="e">
        <f>'All regions'!D1804+"$F;@!%4&amp;"</f>
        <v>#VALUE!</v>
      </c>
      <c r="BV67" t="e">
        <f>'All regions'!E1804+"$F;@!%4'"</f>
        <v>#VALUE!</v>
      </c>
      <c r="BW67" t="e">
        <f>'All regions'!F1804+"$F;@!%4("</f>
        <v>#VALUE!</v>
      </c>
      <c r="BX67" t="e">
        <f>'All regions'!G1804+"$F;@!%4)"</f>
        <v>#VALUE!</v>
      </c>
      <c r="BY67" t="e">
        <f>'All regions'!H1804+"$F;@!%4."</f>
        <v>#VALUE!</v>
      </c>
      <c r="BZ67" t="e">
        <f>'All regions'!I1804+"$F;@!%4/"</f>
        <v>#VALUE!</v>
      </c>
      <c r="CA67" t="e">
        <f>'All regions'!A1805+"$F;@!%40"</f>
        <v>#VALUE!</v>
      </c>
      <c r="CB67" t="e">
        <f>'All regions'!B1805+"$F;@!%41"</f>
        <v>#VALUE!</v>
      </c>
      <c r="CC67" t="e">
        <f>'All regions'!C1805+"$F;@!%42"</f>
        <v>#VALUE!</v>
      </c>
      <c r="CD67" t="e">
        <f>'All regions'!D1805+"$F;@!%43"</f>
        <v>#VALUE!</v>
      </c>
      <c r="CE67" t="e">
        <f>'All regions'!E1805+"$F;@!%44"</f>
        <v>#VALUE!</v>
      </c>
      <c r="CF67" t="e">
        <f>'All regions'!F1805+"$F;@!%45"</f>
        <v>#VALUE!</v>
      </c>
      <c r="CG67" t="e">
        <f>'All regions'!G1805+"$F;@!%46"</f>
        <v>#VALUE!</v>
      </c>
      <c r="CH67" t="e">
        <f>'All regions'!H1805+"$F;@!%47"</f>
        <v>#VALUE!</v>
      </c>
      <c r="CI67" t="e">
        <f>'All regions'!I1805+"$F;@!%48"</f>
        <v>#VALUE!</v>
      </c>
      <c r="CJ67" t="e">
        <f>'All regions'!A1806+"$F;@!%49"</f>
        <v>#VALUE!</v>
      </c>
      <c r="CK67" t="e">
        <f>'All regions'!B1806+"$F;@!%4:"</f>
        <v>#VALUE!</v>
      </c>
      <c r="CL67" t="e">
        <f>'All regions'!C1806+"$F;@!%4;"</f>
        <v>#VALUE!</v>
      </c>
      <c r="CM67" t="e">
        <f>'All regions'!D1806+"$F;@!%4&lt;"</f>
        <v>#VALUE!</v>
      </c>
      <c r="CN67" t="e">
        <f>'All regions'!E1806+"$F;@!%4="</f>
        <v>#VALUE!</v>
      </c>
      <c r="CO67" t="e">
        <f>'All regions'!F1806+"$F;@!%4&gt;"</f>
        <v>#VALUE!</v>
      </c>
      <c r="CP67" t="e">
        <f>'All regions'!G1806+"$F;@!%4?"</f>
        <v>#VALUE!</v>
      </c>
      <c r="CQ67" t="e">
        <f>'All regions'!H1806+"$F;@!%4@"</f>
        <v>#VALUE!</v>
      </c>
      <c r="CR67" t="e">
        <f>'All regions'!I1806+"$F;@!%4A"</f>
        <v>#VALUE!</v>
      </c>
      <c r="CS67" t="e">
        <f>'All regions'!A1807+"$F;@!%4B"</f>
        <v>#VALUE!</v>
      </c>
      <c r="CT67" t="e">
        <f>'All regions'!B1807+"$F;@!%4C"</f>
        <v>#VALUE!</v>
      </c>
      <c r="CU67" t="e">
        <f>'All regions'!C1807+"$F;@!%4D"</f>
        <v>#VALUE!</v>
      </c>
      <c r="CV67" t="e">
        <f>'All regions'!D1807+"$F;@!%4E"</f>
        <v>#VALUE!</v>
      </c>
      <c r="CW67" t="e">
        <f>'All regions'!E1807+"$F;@!%4F"</f>
        <v>#VALUE!</v>
      </c>
      <c r="CX67" t="e">
        <f>'All regions'!F1807+"$F;@!%4G"</f>
        <v>#VALUE!</v>
      </c>
      <c r="CY67" t="e">
        <f>'All regions'!G1807+"$F;@!%4H"</f>
        <v>#VALUE!</v>
      </c>
      <c r="CZ67" t="e">
        <f>'All regions'!H1807+"$F;@!%4I"</f>
        <v>#VALUE!</v>
      </c>
      <c r="DA67" t="e">
        <f>'All regions'!I1807+"$F;@!%4J"</f>
        <v>#VALUE!</v>
      </c>
      <c r="DB67" t="e">
        <f>'All regions'!A1808+"$F;@!%4K"</f>
        <v>#VALUE!</v>
      </c>
      <c r="DC67" t="e">
        <f>'All regions'!B1808+"$F;@!%4L"</f>
        <v>#VALUE!</v>
      </c>
      <c r="DD67" t="e">
        <f>'All regions'!C1808+"$F;@!%4M"</f>
        <v>#VALUE!</v>
      </c>
      <c r="DE67" t="e">
        <f>'All regions'!D1808+"$F;@!%4N"</f>
        <v>#VALUE!</v>
      </c>
      <c r="DF67" t="e">
        <f>'All regions'!E1808+"$F;@!%4O"</f>
        <v>#VALUE!</v>
      </c>
      <c r="DG67" t="e">
        <f>'All regions'!F1808+"$F;@!%4P"</f>
        <v>#VALUE!</v>
      </c>
      <c r="DH67" t="e">
        <f>'All regions'!G1808+"$F;@!%4Q"</f>
        <v>#VALUE!</v>
      </c>
      <c r="DI67" t="e">
        <f>'All regions'!H1808+"$F;@!%4R"</f>
        <v>#VALUE!</v>
      </c>
      <c r="DJ67" t="e">
        <f>'All regions'!I1808+"$F;@!%4S"</f>
        <v>#VALUE!</v>
      </c>
      <c r="DK67" t="e">
        <f>'All regions'!A1809+"$F;@!%4T"</f>
        <v>#VALUE!</v>
      </c>
      <c r="DL67" t="e">
        <f>'All regions'!B1809+"$F;@!%4U"</f>
        <v>#VALUE!</v>
      </c>
      <c r="DM67" t="e">
        <f>'All regions'!C1809+"$F;@!%4V"</f>
        <v>#VALUE!</v>
      </c>
      <c r="DN67" t="e">
        <f>'All regions'!D1809+"$F;@!%4W"</f>
        <v>#VALUE!</v>
      </c>
      <c r="DO67" t="e">
        <f>'All regions'!E1809+"$F;@!%4X"</f>
        <v>#VALUE!</v>
      </c>
      <c r="DP67" t="e">
        <f>'All regions'!F1809+"$F;@!%4Y"</f>
        <v>#VALUE!</v>
      </c>
      <c r="DQ67" t="e">
        <f>'All regions'!G1809+"$F;@!%4Z"</f>
        <v>#VALUE!</v>
      </c>
      <c r="DR67" t="e">
        <f>'All regions'!H1809+"$F;@!%4["</f>
        <v>#VALUE!</v>
      </c>
      <c r="DS67" t="e">
        <f>'All regions'!I1809+"$F;@!%4\"</f>
        <v>#VALUE!</v>
      </c>
      <c r="DT67" t="e">
        <f>'All regions'!A1810+"$F;@!%4]"</f>
        <v>#VALUE!</v>
      </c>
      <c r="DU67" t="e">
        <f>'All regions'!B1810+"$F;@!%4^"</f>
        <v>#VALUE!</v>
      </c>
      <c r="DV67" t="e">
        <f>'All regions'!C1810+"$F;@!%4_"</f>
        <v>#VALUE!</v>
      </c>
      <c r="DW67" t="e">
        <f>'All regions'!D1810+"$F;@!%4`"</f>
        <v>#VALUE!</v>
      </c>
      <c r="DX67" t="e">
        <f>'All regions'!E1810+"$F;@!%4a"</f>
        <v>#VALUE!</v>
      </c>
      <c r="DY67" t="e">
        <f>'All regions'!F1810+"$F;@!%4b"</f>
        <v>#VALUE!</v>
      </c>
      <c r="DZ67" t="e">
        <f>'All regions'!G1810+"$F;@!%4c"</f>
        <v>#VALUE!</v>
      </c>
      <c r="EA67" t="e">
        <f>'All regions'!H1810+"$F;@!%4d"</f>
        <v>#VALUE!</v>
      </c>
      <c r="EB67" t="e">
        <f>'All regions'!I1810+"$F;@!%4e"</f>
        <v>#VALUE!</v>
      </c>
      <c r="EC67" t="e">
        <f>'All regions'!A1811+"$F;@!%4f"</f>
        <v>#VALUE!</v>
      </c>
      <c r="ED67" t="e">
        <f>'All regions'!B1811+"$F;@!%4g"</f>
        <v>#VALUE!</v>
      </c>
      <c r="EE67" t="e">
        <f>'All regions'!C1811+"$F;@!%4h"</f>
        <v>#VALUE!</v>
      </c>
      <c r="EF67" t="e">
        <f>'All regions'!D1811+"$F;@!%4i"</f>
        <v>#VALUE!</v>
      </c>
      <c r="EG67" t="e">
        <f>'All regions'!E1811+"$F;@!%4j"</f>
        <v>#VALUE!</v>
      </c>
      <c r="EH67" t="e">
        <f>'All regions'!F1811+"$F;@!%4k"</f>
        <v>#VALUE!</v>
      </c>
      <c r="EI67" t="e">
        <f>'All regions'!G1811+"$F;@!%4l"</f>
        <v>#VALUE!</v>
      </c>
      <c r="EJ67" t="e">
        <f>'All regions'!H1811+"$F;@!%4m"</f>
        <v>#VALUE!</v>
      </c>
      <c r="EK67" t="e">
        <f>'All regions'!I1811+"$F;@!%4n"</f>
        <v>#VALUE!</v>
      </c>
      <c r="EL67" t="e">
        <f>'All regions'!A1812+"$F;@!%4o"</f>
        <v>#VALUE!</v>
      </c>
      <c r="EM67" t="e">
        <f>'All regions'!B1812+"$F;@!%4p"</f>
        <v>#VALUE!</v>
      </c>
      <c r="EN67" t="e">
        <f>'All regions'!C1812+"$F;@!%4q"</f>
        <v>#VALUE!</v>
      </c>
      <c r="EO67" t="e">
        <f>'All regions'!D1812+"$F;@!%4r"</f>
        <v>#VALUE!</v>
      </c>
      <c r="EP67" t="e">
        <f>'All regions'!E1812+"$F;@!%4s"</f>
        <v>#VALUE!</v>
      </c>
      <c r="EQ67" t="e">
        <f>'All regions'!F1812+"$F;@!%4t"</f>
        <v>#VALUE!</v>
      </c>
      <c r="ER67" t="e">
        <f>'All regions'!G1812+"$F;@!%4u"</f>
        <v>#VALUE!</v>
      </c>
      <c r="ES67" t="e">
        <f>'All regions'!H1812+"$F;@!%4v"</f>
        <v>#VALUE!</v>
      </c>
      <c r="ET67" t="e">
        <f>'All regions'!I1812+"$F;@!%4w"</f>
        <v>#VALUE!</v>
      </c>
      <c r="EU67" t="e">
        <f>'All regions'!A1813+"$F;@!%4x"</f>
        <v>#VALUE!</v>
      </c>
      <c r="EV67" t="e">
        <f>'All regions'!B1813+"$F;@!%4y"</f>
        <v>#VALUE!</v>
      </c>
      <c r="EW67" t="e">
        <f>'All regions'!C1813+"$F;@!%4z"</f>
        <v>#VALUE!</v>
      </c>
      <c r="EX67" t="e">
        <f>'All regions'!D1813+"$F;@!%4{"</f>
        <v>#VALUE!</v>
      </c>
      <c r="EY67" t="e">
        <f>'All regions'!E1813+"$F;@!%4|"</f>
        <v>#VALUE!</v>
      </c>
      <c r="EZ67" t="e">
        <f>'All regions'!F1813+"$F;@!%4}"</f>
        <v>#VALUE!</v>
      </c>
      <c r="FA67" t="e">
        <f>'All regions'!G1813+"$F;@!%4~"</f>
        <v>#VALUE!</v>
      </c>
      <c r="FB67" t="e">
        <f>'All regions'!H1813+"$F;@!%5#"</f>
        <v>#VALUE!</v>
      </c>
      <c r="FC67" t="e">
        <f>'All regions'!I1813+"$F;@!%5$"</f>
        <v>#VALUE!</v>
      </c>
      <c r="FD67" t="e">
        <f>'All regions'!A1814+"$F;@!%5%"</f>
        <v>#VALUE!</v>
      </c>
      <c r="FE67" t="e">
        <f>'All regions'!B1814+"$F;@!%5&amp;"</f>
        <v>#VALUE!</v>
      </c>
      <c r="FF67" t="e">
        <f>'All regions'!C1814+"$F;@!%5'"</f>
        <v>#VALUE!</v>
      </c>
      <c r="FG67" t="e">
        <f>'All regions'!D1814+"$F;@!%5("</f>
        <v>#VALUE!</v>
      </c>
      <c r="FH67" t="e">
        <f>'All regions'!E1814+"$F;@!%5)"</f>
        <v>#VALUE!</v>
      </c>
      <c r="FI67" t="e">
        <f>'All regions'!F1814+"$F;@!%5."</f>
        <v>#VALUE!</v>
      </c>
      <c r="FJ67" t="e">
        <f>'All regions'!G1814+"$F;@!%5/"</f>
        <v>#VALUE!</v>
      </c>
      <c r="FK67" t="e">
        <f>'All regions'!H1814+"$F;@!%50"</f>
        <v>#VALUE!</v>
      </c>
      <c r="FL67" t="e">
        <f>'All regions'!I1814+"$F;@!%51"</f>
        <v>#VALUE!</v>
      </c>
      <c r="FM67" t="e">
        <f>'All regions'!A1815+"$F;@!%52"</f>
        <v>#VALUE!</v>
      </c>
      <c r="FN67" t="e">
        <f>'All regions'!B1815+"$F;@!%53"</f>
        <v>#VALUE!</v>
      </c>
      <c r="FO67" t="e">
        <f>'All regions'!C1815+"$F;@!%54"</f>
        <v>#VALUE!</v>
      </c>
      <c r="FP67" t="e">
        <f>'All regions'!D1815+"$F;@!%55"</f>
        <v>#VALUE!</v>
      </c>
      <c r="FQ67" t="e">
        <f>'All regions'!E1815+"$F;@!%56"</f>
        <v>#VALUE!</v>
      </c>
      <c r="FR67" t="e">
        <f>'All regions'!F1815+"$F;@!%57"</f>
        <v>#VALUE!</v>
      </c>
      <c r="FS67" t="e">
        <f>'All regions'!G1815+"$F;@!%58"</f>
        <v>#VALUE!</v>
      </c>
      <c r="FT67" t="e">
        <f>'All regions'!H1815+"$F;@!%59"</f>
        <v>#VALUE!</v>
      </c>
      <c r="FU67" t="e">
        <f>'All regions'!I1815+"$F;@!%5:"</f>
        <v>#VALUE!</v>
      </c>
      <c r="FV67" t="e">
        <f>'All regions'!A1816+"$F;@!%5;"</f>
        <v>#VALUE!</v>
      </c>
      <c r="FW67" t="e">
        <f>'All regions'!B1816+"$F;@!%5&lt;"</f>
        <v>#VALUE!</v>
      </c>
      <c r="FX67" t="e">
        <f>'All regions'!C1816+"$F;@!%5="</f>
        <v>#VALUE!</v>
      </c>
      <c r="FY67" t="e">
        <f>'All regions'!D1816+"$F;@!%5&gt;"</f>
        <v>#VALUE!</v>
      </c>
      <c r="FZ67" t="e">
        <f>'All regions'!E1816+"$F;@!%5?"</f>
        <v>#VALUE!</v>
      </c>
      <c r="GA67" t="e">
        <f>'All regions'!F1816+"$F;@!%5@"</f>
        <v>#VALUE!</v>
      </c>
      <c r="GB67" t="e">
        <f>'All regions'!G1816+"$F;@!%5A"</f>
        <v>#VALUE!</v>
      </c>
      <c r="GC67" t="e">
        <f>'All regions'!H1816+"$F;@!%5B"</f>
        <v>#VALUE!</v>
      </c>
      <c r="GD67" t="e">
        <f>'All regions'!I1816+"$F;@!%5C"</f>
        <v>#VALUE!</v>
      </c>
      <c r="GE67" t="e">
        <f>'All regions'!A1817+"$F;@!%5D"</f>
        <v>#VALUE!</v>
      </c>
      <c r="GF67" t="e">
        <f>'All regions'!B1817+"$F;@!%5E"</f>
        <v>#VALUE!</v>
      </c>
      <c r="GG67" t="e">
        <f>'All regions'!C1817+"$F;@!%5F"</f>
        <v>#VALUE!</v>
      </c>
      <c r="GH67" t="e">
        <f>'All regions'!D1817+"$F;@!%5G"</f>
        <v>#VALUE!</v>
      </c>
      <c r="GI67" t="e">
        <f>'All regions'!E1817+"$F;@!%5H"</f>
        <v>#VALUE!</v>
      </c>
      <c r="GJ67" t="e">
        <f>'All regions'!F1817+"$F;@!%5I"</f>
        <v>#VALUE!</v>
      </c>
      <c r="GK67" t="e">
        <f>'All regions'!G1817+"$F;@!%5J"</f>
        <v>#VALUE!</v>
      </c>
      <c r="GL67" t="e">
        <f>'All regions'!H1817+"$F;@!%5K"</f>
        <v>#VALUE!</v>
      </c>
      <c r="GM67" t="e">
        <f>'All regions'!I1817+"$F;@!%5L"</f>
        <v>#VALUE!</v>
      </c>
      <c r="GN67" t="e">
        <f>'All regions'!A1818+"$F;@!%5M"</f>
        <v>#VALUE!</v>
      </c>
      <c r="GO67" t="e">
        <f>'All regions'!B1818+"$F;@!%5N"</f>
        <v>#VALUE!</v>
      </c>
      <c r="GP67" t="e">
        <f>'All regions'!C1818+"$F;@!%5O"</f>
        <v>#VALUE!</v>
      </c>
      <c r="GQ67" t="e">
        <f>'All regions'!D1818+"$F;@!%5P"</f>
        <v>#VALUE!</v>
      </c>
      <c r="GR67" t="e">
        <f>'All regions'!E1818+"$F;@!%5Q"</f>
        <v>#VALUE!</v>
      </c>
      <c r="GS67" t="e">
        <f>'All regions'!F1818+"$F;@!%5R"</f>
        <v>#VALUE!</v>
      </c>
      <c r="GT67" t="e">
        <f>'All regions'!G1818+"$F;@!%5S"</f>
        <v>#VALUE!</v>
      </c>
      <c r="GU67" t="e">
        <f>'All regions'!H1818+"$F;@!%5T"</f>
        <v>#VALUE!</v>
      </c>
      <c r="GV67" t="e">
        <f>'All regions'!I1818+"$F;@!%5U"</f>
        <v>#VALUE!</v>
      </c>
      <c r="GW67" t="e">
        <f>'All regions'!A1819+"$F;@!%5V"</f>
        <v>#VALUE!</v>
      </c>
      <c r="GX67" t="e">
        <f>'All regions'!B1819+"$F;@!%5W"</f>
        <v>#VALUE!</v>
      </c>
      <c r="GY67" t="e">
        <f>'All regions'!C1819+"$F;@!%5X"</f>
        <v>#VALUE!</v>
      </c>
      <c r="GZ67" t="e">
        <f>'All regions'!D1819+"$F;@!%5Y"</f>
        <v>#VALUE!</v>
      </c>
      <c r="HA67" t="e">
        <f>'All regions'!E1819+"$F;@!%5Z"</f>
        <v>#VALUE!</v>
      </c>
      <c r="HB67" t="e">
        <f>'All regions'!F1819+"$F;@!%5["</f>
        <v>#VALUE!</v>
      </c>
      <c r="HC67" t="e">
        <f>'All regions'!G1819+"$F;@!%5\"</f>
        <v>#VALUE!</v>
      </c>
      <c r="HD67" t="e">
        <f>'All regions'!H1819+"$F;@!%5]"</f>
        <v>#VALUE!</v>
      </c>
      <c r="HE67" t="e">
        <f>'All regions'!I1819+"$F;@!%5^"</f>
        <v>#VALUE!</v>
      </c>
      <c r="HF67" t="e">
        <f>'All regions'!A1820+"$F;@!%5_"</f>
        <v>#VALUE!</v>
      </c>
      <c r="HG67" t="e">
        <f>'All regions'!B1820+"$F;@!%5`"</f>
        <v>#VALUE!</v>
      </c>
      <c r="HH67" t="e">
        <f>'All regions'!C1820+"$F;@!%5a"</f>
        <v>#VALUE!</v>
      </c>
      <c r="HI67" t="e">
        <f>'All regions'!D1820+"$F;@!%5b"</f>
        <v>#VALUE!</v>
      </c>
      <c r="HJ67" t="e">
        <f>'All regions'!E1820+"$F;@!%5c"</f>
        <v>#VALUE!</v>
      </c>
      <c r="HK67" t="e">
        <f>'All regions'!F1820+"$F;@!%5d"</f>
        <v>#VALUE!</v>
      </c>
      <c r="HL67" t="e">
        <f>'All regions'!G1820+"$F;@!%5e"</f>
        <v>#VALUE!</v>
      </c>
      <c r="HM67" t="e">
        <f>'All regions'!H1820+"$F;@!%5f"</f>
        <v>#VALUE!</v>
      </c>
      <c r="HN67" t="e">
        <f>'All regions'!I1820+"$F;@!%5g"</f>
        <v>#VALUE!</v>
      </c>
      <c r="HO67" t="e">
        <f>'All regions'!A1821+"$F;@!%5h"</f>
        <v>#VALUE!</v>
      </c>
      <c r="HP67" t="e">
        <f>'All regions'!B1821+"$F;@!%5i"</f>
        <v>#VALUE!</v>
      </c>
      <c r="HQ67" t="e">
        <f>'All regions'!C1821+"$F;@!%5j"</f>
        <v>#VALUE!</v>
      </c>
      <c r="HR67" t="e">
        <f>'All regions'!D1821+"$F;@!%5k"</f>
        <v>#VALUE!</v>
      </c>
      <c r="HS67" t="e">
        <f>'All regions'!E1821+"$F;@!%5l"</f>
        <v>#VALUE!</v>
      </c>
      <c r="HT67" t="e">
        <f>'All regions'!F1821+"$F;@!%5m"</f>
        <v>#VALUE!</v>
      </c>
      <c r="HU67" t="e">
        <f>'All regions'!G1821+"$F;@!%5n"</f>
        <v>#VALUE!</v>
      </c>
      <c r="HV67" t="e">
        <f>'All regions'!H1821+"$F;@!%5o"</f>
        <v>#VALUE!</v>
      </c>
      <c r="HW67" t="e">
        <f>'All regions'!I1821+"$F;@!%5p"</f>
        <v>#VALUE!</v>
      </c>
      <c r="HX67" t="e">
        <f>'All regions'!A1822+"$F;@!%5q"</f>
        <v>#VALUE!</v>
      </c>
      <c r="HY67" t="e">
        <f>'All regions'!B1822+"$F;@!%5r"</f>
        <v>#VALUE!</v>
      </c>
      <c r="HZ67" t="e">
        <f>'All regions'!C1822+"$F;@!%5s"</f>
        <v>#VALUE!</v>
      </c>
      <c r="IA67" t="e">
        <f>'All regions'!D1822+"$F;@!%5t"</f>
        <v>#VALUE!</v>
      </c>
      <c r="IB67" t="e">
        <f>'All regions'!E1822+"$F;@!%5u"</f>
        <v>#VALUE!</v>
      </c>
      <c r="IC67" t="e">
        <f>'All regions'!F1822+"$F;@!%5v"</f>
        <v>#VALUE!</v>
      </c>
      <c r="ID67" t="e">
        <f>'All regions'!G1822+"$F;@!%5w"</f>
        <v>#VALUE!</v>
      </c>
      <c r="IE67" t="e">
        <f>'All regions'!H1822+"$F;@!%5x"</f>
        <v>#VALUE!</v>
      </c>
      <c r="IF67" t="e">
        <f>'All regions'!I1822+"$F;@!%5y"</f>
        <v>#VALUE!</v>
      </c>
      <c r="IG67" t="e">
        <f>'All regions'!A1823+"$F;@!%5z"</f>
        <v>#VALUE!</v>
      </c>
      <c r="IH67" t="e">
        <f>'All regions'!B1823+"$F;@!%5{"</f>
        <v>#VALUE!</v>
      </c>
      <c r="II67" t="e">
        <f>'All regions'!C1823+"$F;@!%5|"</f>
        <v>#VALUE!</v>
      </c>
      <c r="IJ67" t="e">
        <f>'All regions'!D1823+"$F;@!%5}"</f>
        <v>#VALUE!</v>
      </c>
      <c r="IK67" t="e">
        <f>'All regions'!E1823+"$F;@!%5~"</f>
        <v>#VALUE!</v>
      </c>
      <c r="IL67" t="e">
        <f>'All regions'!F1823+"$F;@!%6#"</f>
        <v>#VALUE!</v>
      </c>
      <c r="IM67" t="e">
        <f>'All regions'!G1823+"$F;@!%6$"</f>
        <v>#VALUE!</v>
      </c>
      <c r="IN67" t="e">
        <f>'All regions'!H1823+"$F;@!%6%"</f>
        <v>#VALUE!</v>
      </c>
      <c r="IO67" t="e">
        <f>'All regions'!I1823+"$F;@!%6&amp;"</f>
        <v>#VALUE!</v>
      </c>
      <c r="IP67" t="e">
        <f>'All regions'!A1824+"$F;@!%6'"</f>
        <v>#VALUE!</v>
      </c>
      <c r="IQ67" t="e">
        <f>'All regions'!B1824+"$F;@!%6("</f>
        <v>#VALUE!</v>
      </c>
      <c r="IR67" t="e">
        <f>'All regions'!C1824+"$F;@!%6)"</f>
        <v>#VALUE!</v>
      </c>
      <c r="IS67" t="e">
        <f>'All regions'!D1824+"$F;@!%6."</f>
        <v>#VALUE!</v>
      </c>
      <c r="IT67" t="e">
        <f>'All regions'!E1824+"$F;@!%6/"</f>
        <v>#VALUE!</v>
      </c>
      <c r="IU67" t="e">
        <f>'All regions'!F1824+"$F;@!%60"</f>
        <v>#VALUE!</v>
      </c>
      <c r="IV67" t="e">
        <f>'All regions'!G1824+"$F;@!%61"</f>
        <v>#VALUE!</v>
      </c>
    </row>
    <row r="68" spans="6:256" x14ac:dyDescent="0.35">
      <c r="F68" t="e">
        <f>'All regions'!H1824+"$F;@!%62"</f>
        <v>#VALUE!</v>
      </c>
      <c r="G68" t="e">
        <f>'All regions'!I1824+"$F;@!%63"</f>
        <v>#VALUE!</v>
      </c>
      <c r="H68" t="e">
        <f>'All regions'!A1825+"$F;@!%64"</f>
        <v>#VALUE!</v>
      </c>
      <c r="I68" t="e">
        <f>'All regions'!B1825+"$F;@!%65"</f>
        <v>#VALUE!</v>
      </c>
      <c r="J68" t="e">
        <f>'All regions'!C1825+"$F;@!%66"</f>
        <v>#VALUE!</v>
      </c>
      <c r="K68" t="e">
        <f>'All regions'!D1825+"$F;@!%67"</f>
        <v>#VALUE!</v>
      </c>
      <c r="L68" t="e">
        <f>'All regions'!E1825+"$F;@!%68"</f>
        <v>#VALUE!</v>
      </c>
      <c r="M68" t="e">
        <f>'All regions'!F1825+"$F;@!%69"</f>
        <v>#VALUE!</v>
      </c>
      <c r="N68" t="e">
        <f>'All regions'!G1825+"$F;@!%6:"</f>
        <v>#VALUE!</v>
      </c>
      <c r="O68" t="e">
        <f>'All regions'!H1825+"$F;@!%6;"</f>
        <v>#VALUE!</v>
      </c>
      <c r="P68" t="e">
        <f>'All regions'!I1825+"$F;@!%6&lt;"</f>
        <v>#VALUE!</v>
      </c>
      <c r="Q68" t="e">
        <f>'All regions'!A1826+"$F;@!%6="</f>
        <v>#VALUE!</v>
      </c>
      <c r="R68" t="e">
        <f>'All regions'!B1826+"$F;@!%6&gt;"</f>
        <v>#VALUE!</v>
      </c>
      <c r="S68" t="e">
        <f>'All regions'!C1826+"$F;@!%6?"</f>
        <v>#VALUE!</v>
      </c>
      <c r="T68" t="e">
        <f>'All regions'!D1826+"$F;@!%6@"</f>
        <v>#VALUE!</v>
      </c>
      <c r="U68" t="e">
        <f>'All regions'!E1826+"$F;@!%6A"</f>
        <v>#VALUE!</v>
      </c>
      <c r="V68" t="e">
        <f>'All regions'!F1826+"$F;@!%6B"</f>
        <v>#VALUE!</v>
      </c>
      <c r="W68" t="e">
        <f>'All regions'!G1826+"$F;@!%6C"</f>
        <v>#VALUE!</v>
      </c>
      <c r="X68" t="e">
        <f>'All regions'!H1826+"$F;@!%6D"</f>
        <v>#VALUE!</v>
      </c>
      <c r="Y68" t="e">
        <f>'All regions'!I1826+"$F;@!%6E"</f>
        <v>#VALUE!</v>
      </c>
      <c r="Z68" t="e">
        <f>'All regions'!A1827+"$F;@!%6F"</f>
        <v>#VALUE!</v>
      </c>
      <c r="AA68" t="e">
        <f>'All regions'!B1827+"$F;@!%6G"</f>
        <v>#VALUE!</v>
      </c>
      <c r="AB68" t="e">
        <f>'All regions'!C1827+"$F;@!%6H"</f>
        <v>#VALUE!</v>
      </c>
      <c r="AC68" t="e">
        <f>'All regions'!D1827+"$F;@!%6I"</f>
        <v>#VALUE!</v>
      </c>
      <c r="AD68" t="e">
        <f>'All regions'!E1827+"$F;@!%6J"</f>
        <v>#VALUE!</v>
      </c>
      <c r="AE68" t="e">
        <f>'All regions'!F1827+"$F;@!%6K"</f>
        <v>#VALUE!</v>
      </c>
      <c r="AF68" t="e">
        <f>'All regions'!G1827+"$F;@!%6L"</f>
        <v>#VALUE!</v>
      </c>
      <c r="AG68" t="e">
        <f>'All regions'!H1827+"$F;@!%6M"</f>
        <v>#VALUE!</v>
      </c>
      <c r="AH68" t="e">
        <f>'All regions'!I1827+"$F;@!%6N"</f>
        <v>#VALUE!</v>
      </c>
      <c r="AI68" t="e">
        <f>'All regions'!A1828+"$F;@!%6O"</f>
        <v>#VALUE!</v>
      </c>
      <c r="AJ68" t="e">
        <f>'All regions'!B1828+"$F;@!%6P"</f>
        <v>#VALUE!</v>
      </c>
      <c r="AK68" t="e">
        <f>'All regions'!C1828+"$F;@!%6Q"</f>
        <v>#VALUE!</v>
      </c>
      <c r="AL68" t="e">
        <f>'All regions'!D1828+"$F;@!%6R"</f>
        <v>#VALUE!</v>
      </c>
      <c r="AM68" t="e">
        <f>'All regions'!E1828+"$F;@!%6S"</f>
        <v>#VALUE!</v>
      </c>
      <c r="AN68" t="e">
        <f>'All regions'!F1828+"$F;@!%6T"</f>
        <v>#VALUE!</v>
      </c>
      <c r="AO68" t="e">
        <f>'All regions'!G1828+"$F;@!%6U"</f>
        <v>#VALUE!</v>
      </c>
      <c r="AP68" t="e">
        <f>'All regions'!H1828+"$F;@!%6V"</f>
        <v>#VALUE!</v>
      </c>
      <c r="AQ68" t="e">
        <f>'All regions'!I1828+"$F;@!%6W"</f>
        <v>#VALUE!</v>
      </c>
      <c r="AR68" t="e">
        <f>'All regions'!A1829+"$F;@!%6X"</f>
        <v>#VALUE!</v>
      </c>
      <c r="AS68" t="e">
        <f>'All regions'!B1829+"$F;@!%6Y"</f>
        <v>#VALUE!</v>
      </c>
      <c r="AT68" t="e">
        <f>'All regions'!C1829+"$F;@!%6Z"</f>
        <v>#VALUE!</v>
      </c>
      <c r="AU68" t="e">
        <f>'All regions'!D1829+"$F;@!%6["</f>
        <v>#VALUE!</v>
      </c>
      <c r="AV68" t="e">
        <f>'All regions'!E1829+"$F;@!%6\"</f>
        <v>#VALUE!</v>
      </c>
      <c r="AW68" t="e">
        <f>'All regions'!F1829+"$F;@!%6]"</f>
        <v>#VALUE!</v>
      </c>
      <c r="AX68" t="e">
        <f>'All regions'!G1829+"$F;@!%6^"</f>
        <v>#VALUE!</v>
      </c>
      <c r="AY68" t="e">
        <f>'All regions'!H1829+"$F;@!%6_"</f>
        <v>#VALUE!</v>
      </c>
      <c r="AZ68" t="e">
        <f>'All regions'!I1829+"$F;@!%6`"</f>
        <v>#VALUE!</v>
      </c>
      <c r="BA68" t="e">
        <f>'All regions'!A1830+"$F;@!%6a"</f>
        <v>#VALUE!</v>
      </c>
      <c r="BB68" t="e">
        <f>'All regions'!B1830+"$F;@!%6b"</f>
        <v>#VALUE!</v>
      </c>
      <c r="BC68" t="e">
        <f>'All regions'!C1830+"$F;@!%6c"</f>
        <v>#VALUE!</v>
      </c>
      <c r="BD68" t="e">
        <f>'All regions'!D1830+"$F;@!%6d"</f>
        <v>#VALUE!</v>
      </c>
      <c r="BE68" t="e">
        <f>'All regions'!E1830+"$F;@!%6e"</f>
        <v>#VALUE!</v>
      </c>
      <c r="BF68" t="e">
        <f>'All regions'!F1830+"$F;@!%6f"</f>
        <v>#VALUE!</v>
      </c>
      <c r="BG68" t="e">
        <f>'All regions'!G1830+"$F;@!%6g"</f>
        <v>#VALUE!</v>
      </c>
      <c r="BH68" t="e">
        <f>'All regions'!H1830+"$F;@!%6h"</f>
        <v>#VALUE!</v>
      </c>
      <c r="BI68" t="e">
        <f>'All regions'!I1830+"$F;@!%6i"</f>
        <v>#VALUE!</v>
      </c>
      <c r="BJ68" t="e">
        <f>'All regions'!A1831+"$F;@!%6j"</f>
        <v>#VALUE!</v>
      </c>
      <c r="BK68" t="e">
        <f>'All regions'!B1831+"$F;@!%6k"</f>
        <v>#VALUE!</v>
      </c>
      <c r="BL68" t="e">
        <f>'All regions'!C1831+"$F;@!%6l"</f>
        <v>#VALUE!</v>
      </c>
      <c r="BM68" t="e">
        <f>'All regions'!D1831+"$F;@!%6m"</f>
        <v>#VALUE!</v>
      </c>
      <c r="BN68" t="e">
        <f>'All regions'!E1831+"$F;@!%6n"</f>
        <v>#VALUE!</v>
      </c>
      <c r="BO68" t="e">
        <f>'All regions'!F1831+"$F;@!%6o"</f>
        <v>#VALUE!</v>
      </c>
      <c r="BP68" t="e">
        <f>'All regions'!G1831+"$F;@!%6p"</f>
        <v>#VALUE!</v>
      </c>
      <c r="BQ68" t="e">
        <f>'All regions'!H1831+"$F;@!%6q"</f>
        <v>#VALUE!</v>
      </c>
      <c r="BR68" t="e">
        <f>'All regions'!I1831+"$F;@!%6r"</f>
        <v>#VALUE!</v>
      </c>
      <c r="BS68" t="e">
        <f>'All regions'!A1832+"$F;@!%6s"</f>
        <v>#VALUE!</v>
      </c>
      <c r="BT68" t="e">
        <f>'All regions'!B1832+"$F;@!%6t"</f>
        <v>#VALUE!</v>
      </c>
      <c r="BU68" t="e">
        <f>'All regions'!C1832+"$F;@!%6u"</f>
        <v>#VALUE!</v>
      </c>
      <c r="BV68" t="e">
        <f>'All regions'!D1832+"$F;@!%6v"</f>
        <v>#VALUE!</v>
      </c>
      <c r="BW68" t="e">
        <f>'All regions'!E1832+"$F;@!%6w"</f>
        <v>#VALUE!</v>
      </c>
      <c r="BX68" t="e">
        <f>'All regions'!F1832+"$F;@!%6x"</f>
        <v>#VALUE!</v>
      </c>
      <c r="BY68" t="e">
        <f>'All regions'!G1832+"$F;@!%6y"</f>
        <v>#VALUE!</v>
      </c>
      <c r="BZ68" t="e">
        <f>'All regions'!H1832+"$F;@!%6z"</f>
        <v>#VALUE!</v>
      </c>
      <c r="CA68" t="e">
        <f>'All regions'!I1832+"$F;@!%6{"</f>
        <v>#VALUE!</v>
      </c>
      <c r="CB68" t="e">
        <f>'All regions'!A1833+"$F;@!%6|"</f>
        <v>#VALUE!</v>
      </c>
      <c r="CC68" t="e">
        <f>'All regions'!B1833+"$F;@!%6}"</f>
        <v>#VALUE!</v>
      </c>
      <c r="CD68" t="e">
        <f>'All regions'!C1833+"$F;@!%6~"</f>
        <v>#VALUE!</v>
      </c>
      <c r="CE68" t="e">
        <f>'All regions'!D1833+"$F;@!%7#"</f>
        <v>#VALUE!</v>
      </c>
      <c r="CF68" t="e">
        <f>'All regions'!E1833+"$F;@!%7$"</f>
        <v>#VALUE!</v>
      </c>
      <c r="CG68" t="e">
        <f>'All regions'!F1833+"$F;@!%7%"</f>
        <v>#VALUE!</v>
      </c>
      <c r="CH68" t="e">
        <f>'All regions'!G1833+"$F;@!%7&amp;"</f>
        <v>#VALUE!</v>
      </c>
      <c r="CI68" t="e">
        <f>'All regions'!H1833+"$F;@!%7'"</f>
        <v>#VALUE!</v>
      </c>
      <c r="CJ68" t="e">
        <f>'All regions'!I1833+"$F;@!%7("</f>
        <v>#VALUE!</v>
      </c>
      <c r="CK68" t="e">
        <f>'All regions'!A1834+"$F;@!%7)"</f>
        <v>#VALUE!</v>
      </c>
      <c r="CL68" t="e">
        <f>'All regions'!B1834+"$F;@!%7."</f>
        <v>#VALUE!</v>
      </c>
      <c r="CM68" t="e">
        <f>'All regions'!C1834+"$F;@!%7/"</f>
        <v>#VALUE!</v>
      </c>
      <c r="CN68" t="e">
        <f>'All regions'!D1834+"$F;@!%70"</f>
        <v>#VALUE!</v>
      </c>
      <c r="CO68" t="e">
        <f>'All regions'!E1834+"$F;@!%71"</f>
        <v>#VALUE!</v>
      </c>
      <c r="CP68" t="e">
        <f>'All regions'!F1834+"$F;@!%72"</f>
        <v>#VALUE!</v>
      </c>
      <c r="CQ68" t="e">
        <f>'All regions'!G1834+"$F;@!%73"</f>
        <v>#VALUE!</v>
      </c>
      <c r="CR68" t="e">
        <f>'All regions'!H1834+"$F;@!%74"</f>
        <v>#VALUE!</v>
      </c>
      <c r="CS68" t="e">
        <f>'All regions'!I1834+"$F;@!%75"</f>
        <v>#VALUE!</v>
      </c>
      <c r="CT68" t="e">
        <f>'All regions'!A1835+"$F;@!%76"</f>
        <v>#VALUE!</v>
      </c>
      <c r="CU68" t="e">
        <f>'All regions'!B1835+"$F;@!%77"</f>
        <v>#VALUE!</v>
      </c>
      <c r="CV68" t="e">
        <f>'All regions'!C1835+"$F;@!%78"</f>
        <v>#VALUE!</v>
      </c>
      <c r="CW68" t="e">
        <f>'All regions'!D1835+"$F;@!%79"</f>
        <v>#VALUE!</v>
      </c>
      <c r="CX68" t="e">
        <f>'All regions'!E1835+"$F;@!%7:"</f>
        <v>#VALUE!</v>
      </c>
      <c r="CY68" t="e">
        <f>'All regions'!F1835+"$F;@!%7;"</f>
        <v>#VALUE!</v>
      </c>
      <c r="CZ68" t="e">
        <f>'All regions'!G1835+"$F;@!%7&lt;"</f>
        <v>#VALUE!</v>
      </c>
      <c r="DA68" t="e">
        <f>'All regions'!H1835+"$F;@!%7="</f>
        <v>#VALUE!</v>
      </c>
      <c r="DB68" t="e">
        <f>'All regions'!I1835+"$F;@!%7&gt;"</f>
        <v>#VALUE!</v>
      </c>
      <c r="DC68" t="e">
        <f>'All regions'!A1836+"$F;@!%7?"</f>
        <v>#VALUE!</v>
      </c>
      <c r="DD68" t="e">
        <f>'All regions'!B1836+"$F;@!%7@"</f>
        <v>#VALUE!</v>
      </c>
      <c r="DE68" t="e">
        <f>'All regions'!C1836+"$F;@!%7A"</f>
        <v>#VALUE!</v>
      </c>
      <c r="DF68" t="e">
        <f>'All regions'!D1836+"$F;@!%7B"</f>
        <v>#VALUE!</v>
      </c>
      <c r="DG68" t="e">
        <f>'All regions'!E1836+"$F;@!%7C"</f>
        <v>#VALUE!</v>
      </c>
      <c r="DH68" t="e">
        <f>'All regions'!F1836+"$F;@!%7D"</f>
        <v>#VALUE!</v>
      </c>
      <c r="DI68" t="e">
        <f>'All regions'!G1836+"$F;@!%7E"</f>
        <v>#VALUE!</v>
      </c>
      <c r="DJ68" t="e">
        <f>'All regions'!H1836+"$F;@!%7F"</f>
        <v>#VALUE!</v>
      </c>
      <c r="DK68" t="e">
        <f>'All regions'!I1836+"$F;@!%7G"</f>
        <v>#VALUE!</v>
      </c>
      <c r="DL68" t="e">
        <f>'All regions'!A1837+"$F;@!%7H"</f>
        <v>#VALUE!</v>
      </c>
      <c r="DM68" t="e">
        <f>'All regions'!B1837+"$F;@!%7I"</f>
        <v>#VALUE!</v>
      </c>
      <c r="DN68" t="e">
        <f>'All regions'!C1837+"$F;@!%7J"</f>
        <v>#VALUE!</v>
      </c>
      <c r="DO68" t="e">
        <f>'All regions'!D1837+"$F;@!%7K"</f>
        <v>#VALUE!</v>
      </c>
      <c r="DP68" t="e">
        <f>'All regions'!E1837+"$F;@!%7L"</f>
        <v>#VALUE!</v>
      </c>
      <c r="DQ68" t="e">
        <f>'All regions'!F1837+"$F;@!%7M"</f>
        <v>#VALUE!</v>
      </c>
      <c r="DR68" t="e">
        <f>'All regions'!G1837+"$F;@!%7N"</f>
        <v>#VALUE!</v>
      </c>
      <c r="DS68" t="e">
        <f>'All regions'!H1837+"$F;@!%7O"</f>
        <v>#VALUE!</v>
      </c>
      <c r="DT68" t="e">
        <f>'All regions'!I1837+"$F;@!%7P"</f>
        <v>#VALUE!</v>
      </c>
      <c r="DU68" t="e">
        <f>'All regions'!A1838+"$F;@!%7Q"</f>
        <v>#VALUE!</v>
      </c>
      <c r="DV68" t="e">
        <f>'All regions'!B1838+"$F;@!%7R"</f>
        <v>#VALUE!</v>
      </c>
      <c r="DW68" t="e">
        <f>'All regions'!C1838+"$F;@!%7S"</f>
        <v>#VALUE!</v>
      </c>
      <c r="DX68" t="e">
        <f>'All regions'!D1838+"$F;@!%7T"</f>
        <v>#VALUE!</v>
      </c>
      <c r="DY68" t="e">
        <f>'All regions'!E1838+"$F;@!%7U"</f>
        <v>#VALUE!</v>
      </c>
      <c r="DZ68" t="e">
        <f>'All regions'!F1838+"$F;@!%7V"</f>
        <v>#VALUE!</v>
      </c>
      <c r="EA68" t="e">
        <f>'All regions'!G1838+"$F;@!%7W"</f>
        <v>#VALUE!</v>
      </c>
      <c r="EB68" t="e">
        <f>'All regions'!H1838+"$F;@!%7X"</f>
        <v>#VALUE!</v>
      </c>
      <c r="EC68" t="e">
        <f>'All regions'!I1838+"$F;@!%7Y"</f>
        <v>#VALUE!</v>
      </c>
      <c r="ED68" t="e">
        <f>'All regions'!A1839+"$F;@!%7Z"</f>
        <v>#VALUE!</v>
      </c>
      <c r="EE68" t="e">
        <f>'All regions'!B1839+"$F;@!%7["</f>
        <v>#VALUE!</v>
      </c>
      <c r="EF68" t="e">
        <f>'All regions'!C1839+"$F;@!%7\"</f>
        <v>#VALUE!</v>
      </c>
      <c r="EG68" t="e">
        <f>'All regions'!D1839+"$F;@!%7]"</f>
        <v>#VALUE!</v>
      </c>
      <c r="EH68" t="e">
        <f>'All regions'!E1839+"$F;@!%7^"</f>
        <v>#VALUE!</v>
      </c>
      <c r="EI68" t="e">
        <f>'All regions'!F1839+"$F;@!%7_"</f>
        <v>#VALUE!</v>
      </c>
      <c r="EJ68" t="e">
        <f>'All regions'!G1839+"$F;@!%7`"</f>
        <v>#VALUE!</v>
      </c>
      <c r="EK68" t="e">
        <f>'All regions'!H1839+"$F;@!%7a"</f>
        <v>#VALUE!</v>
      </c>
      <c r="EL68" t="e">
        <f>'All regions'!I1839+"$F;@!%7b"</f>
        <v>#VALUE!</v>
      </c>
      <c r="EM68" t="e">
        <f>'All regions'!A1840+"$F;@!%7c"</f>
        <v>#VALUE!</v>
      </c>
      <c r="EN68" t="e">
        <f>'All regions'!B1840+"$F;@!%7d"</f>
        <v>#VALUE!</v>
      </c>
      <c r="EO68" t="e">
        <f>'All regions'!C1840+"$F;@!%7e"</f>
        <v>#VALUE!</v>
      </c>
      <c r="EP68" t="e">
        <f>'All regions'!D1840+"$F;@!%7f"</f>
        <v>#VALUE!</v>
      </c>
      <c r="EQ68" t="e">
        <f>'All regions'!E1840+"$F;@!%7g"</f>
        <v>#VALUE!</v>
      </c>
      <c r="ER68" t="e">
        <f>'All regions'!F1840+"$F;@!%7h"</f>
        <v>#VALUE!</v>
      </c>
      <c r="ES68" t="e">
        <f>'All regions'!G1840+"$F;@!%7i"</f>
        <v>#VALUE!</v>
      </c>
      <c r="ET68" t="e">
        <f>'All regions'!H1840+"$F;@!%7j"</f>
        <v>#VALUE!</v>
      </c>
      <c r="EU68" t="e">
        <f>'All regions'!I1840+"$F;@!%7k"</f>
        <v>#VALUE!</v>
      </c>
      <c r="EV68" t="e">
        <f>'All regions'!A1841+"$F;@!%7l"</f>
        <v>#VALUE!</v>
      </c>
      <c r="EW68" t="e">
        <f>'All regions'!B1841+"$F;@!%7m"</f>
        <v>#VALUE!</v>
      </c>
      <c r="EX68" t="e">
        <f>'All regions'!C1841+"$F;@!%7n"</f>
        <v>#VALUE!</v>
      </c>
      <c r="EY68" t="e">
        <f>'All regions'!D1841+"$F;@!%7o"</f>
        <v>#VALUE!</v>
      </c>
      <c r="EZ68" t="e">
        <f>'All regions'!E1841+"$F;@!%7p"</f>
        <v>#VALUE!</v>
      </c>
      <c r="FA68" t="e">
        <f>'All regions'!F1841+"$F;@!%7q"</f>
        <v>#VALUE!</v>
      </c>
      <c r="FB68" t="e">
        <f>'All regions'!G1841+"$F;@!%7r"</f>
        <v>#VALUE!</v>
      </c>
      <c r="FC68" t="e">
        <f>'All regions'!H1841+"$F;@!%7s"</f>
        <v>#VALUE!</v>
      </c>
      <c r="FD68" t="e">
        <f>'All regions'!I1841+"$F;@!%7t"</f>
        <v>#VALUE!</v>
      </c>
      <c r="FE68" t="e">
        <f>'All regions'!A1842+"$F;@!%7u"</f>
        <v>#VALUE!</v>
      </c>
      <c r="FF68" t="e">
        <f>'All regions'!B1842+"$F;@!%7v"</f>
        <v>#VALUE!</v>
      </c>
      <c r="FG68" t="e">
        <f>'All regions'!C1842+"$F;@!%7w"</f>
        <v>#VALUE!</v>
      </c>
      <c r="FH68" t="e">
        <f>'All regions'!D1842+"$F;@!%7x"</f>
        <v>#VALUE!</v>
      </c>
      <c r="FI68" t="e">
        <f>'All regions'!E1842+"$F;@!%7y"</f>
        <v>#VALUE!</v>
      </c>
      <c r="FJ68" t="e">
        <f>'All regions'!F1842+"$F;@!%7z"</f>
        <v>#VALUE!</v>
      </c>
      <c r="FK68" t="e">
        <f>'All regions'!G1842+"$F;@!%7{"</f>
        <v>#VALUE!</v>
      </c>
      <c r="FL68" t="e">
        <f>'All regions'!H1842+"$F;@!%7|"</f>
        <v>#VALUE!</v>
      </c>
      <c r="FM68" t="e">
        <f>'All regions'!I1842+"$F;@!%7}"</f>
        <v>#VALUE!</v>
      </c>
      <c r="FN68" t="e">
        <f>'All regions'!A1843+"$F;@!%7~"</f>
        <v>#VALUE!</v>
      </c>
      <c r="FO68" t="e">
        <f>'All regions'!B1843+"$F;@!%8#"</f>
        <v>#VALUE!</v>
      </c>
      <c r="FP68" t="e">
        <f>'All regions'!C1843+"$F;@!%8$"</f>
        <v>#VALUE!</v>
      </c>
      <c r="FQ68" t="e">
        <f>'All regions'!D1843+"$F;@!%8%"</f>
        <v>#VALUE!</v>
      </c>
      <c r="FR68" t="e">
        <f>'All regions'!E1843+"$F;@!%8&amp;"</f>
        <v>#VALUE!</v>
      </c>
      <c r="FS68" t="e">
        <f>'All regions'!F1843+"$F;@!%8'"</f>
        <v>#VALUE!</v>
      </c>
      <c r="FT68" t="e">
        <f>'All regions'!G1843+"$F;@!%8("</f>
        <v>#VALUE!</v>
      </c>
      <c r="FU68" t="e">
        <f>'All regions'!H1843+"$F;@!%8)"</f>
        <v>#VALUE!</v>
      </c>
      <c r="FV68" t="e">
        <f>'All regions'!I1843+"$F;@!%8."</f>
        <v>#VALUE!</v>
      </c>
      <c r="FW68" t="e">
        <f>'All regions'!A1844+"$F;@!%8/"</f>
        <v>#VALUE!</v>
      </c>
      <c r="FX68" t="e">
        <f>'All regions'!B1844+"$F;@!%80"</f>
        <v>#VALUE!</v>
      </c>
      <c r="FY68" t="e">
        <f>'All regions'!C1844+"$F;@!%81"</f>
        <v>#VALUE!</v>
      </c>
      <c r="FZ68" t="e">
        <f>'All regions'!D1844+"$F;@!%82"</f>
        <v>#VALUE!</v>
      </c>
      <c r="GA68" t="e">
        <f>'All regions'!E1844+"$F;@!%83"</f>
        <v>#VALUE!</v>
      </c>
      <c r="GB68" t="e">
        <f>'All regions'!F1844+"$F;@!%84"</f>
        <v>#VALUE!</v>
      </c>
      <c r="GC68" t="e">
        <f>'All regions'!G1844+"$F;@!%85"</f>
        <v>#VALUE!</v>
      </c>
      <c r="GD68" t="e">
        <f>'All regions'!H1844+"$F;@!%86"</f>
        <v>#VALUE!</v>
      </c>
      <c r="GE68" t="e">
        <f>'All regions'!I1844+"$F;@!%87"</f>
        <v>#VALUE!</v>
      </c>
      <c r="GF68" t="e">
        <f>'All regions'!A1845+"$F;@!%88"</f>
        <v>#VALUE!</v>
      </c>
      <c r="GG68" t="e">
        <f>'All regions'!B1845+"$F;@!%89"</f>
        <v>#VALUE!</v>
      </c>
      <c r="GH68" t="e">
        <f>'All regions'!C1845+"$F;@!%8:"</f>
        <v>#VALUE!</v>
      </c>
      <c r="GI68" t="e">
        <f>'All regions'!D1845+"$F;@!%8;"</f>
        <v>#VALUE!</v>
      </c>
      <c r="GJ68" t="e">
        <f>'All regions'!E1845+"$F;@!%8&lt;"</f>
        <v>#VALUE!</v>
      </c>
      <c r="GK68" t="e">
        <f>'All regions'!F1845+"$F;@!%8="</f>
        <v>#VALUE!</v>
      </c>
      <c r="GL68" t="e">
        <f>'All regions'!G1845+"$F;@!%8&gt;"</f>
        <v>#VALUE!</v>
      </c>
      <c r="GM68" t="e">
        <f>'All regions'!H1845+"$F;@!%8?"</f>
        <v>#VALUE!</v>
      </c>
      <c r="GN68" t="e">
        <f>'All regions'!I1845+"$F;@!%8@"</f>
        <v>#VALUE!</v>
      </c>
      <c r="GO68" t="e">
        <f>'All regions'!A1846+"$F;@!%8A"</f>
        <v>#VALUE!</v>
      </c>
      <c r="GP68" t="e">
        <f>'All regions'!B1846+"$F;@!%8B"</f>
        <v>#VALUE!</v>
      </c>
      <c r="GQ68" t="e">
        <f>'All regions'!C1846+"$F;@!%8C"</f>
        <v>#VALUE!</v>
      </c>
      <c r="GR68" t="e">
        <f>'All regions'!D1846+"$F;@!%8D"</f>
        <v>#VALUE!</v>
      </c>
      <c r="GS68" t="e">
        <f>'All regions'!E1846+"$F;@!%8E"</f>
        <v>#VALUE!</v>
      </c>
      <c r="GT68" t="e">
        <f>'All regions'!F1846+"$F;@!%8F"</f>
        <v>#VALUE!</v>
      </c>
      <c r="GU68" t="e">
        <f>'All regions'!G1846+"$F;@!%8G"</f>
        <v>#VALUE!</v>
      </c>
      <c r="GV68" t="e">
        <f>'All regions'!H1846+"$F;@!%8H"</f>
        <v>#VALUE!</v>
      </c>
      <c r="GW68" t="e">
        <f>'All regions'!I1846+"$F;@!%8I"</f>
        <v>#VALUE!</v>
      </c>
      <c r="GX68" t="e">
        <f>'All regions'!A1847+"$F;@!%8J"</f>
        <v>#VALUE!</v>
      </c>
      <c r="GY68" t="e">
        <f>'All regions'!B1847+"$F;@!%8K"</f>
        <v>#VALUE!</v>
      </c>
      <c r="GZ68" t="e">
        <f>'All regions'!C1847+"$F;@!%8L"</f>
        <v>#VALUE!</v>
      </c>
      <c r="HA68" t="e">
        <f>'All regions'!D1847+"$F;@!%8M"</f>
        <v>#VALUE!</v>
      </c>
      <c r="HB68" t="e">
        <f>'All regions'!E1847+"$F;@!%8N"</f>
        <v>#VALUE!</v>
      </c>
      <c r="HC68" t="e">
        <f>'All regions'!F1847+"$F;@!%8O"</f>
        <v>#VALUE!</v>
      </c>
      <c r="HD68" t="e">
        <f>'All regions'!G1847+"$F;@!%8P"</f>
        <v>#VALUE!</v>
      </c>
      <c r="HE68" t="e">
        <f>'All regions'!H1847+"$F;@!%8Q"</f>
        <v>#VALUE!</v>
      </c>
      <c r="HF68" t="e">
        <f>'All regions'!I1847+"$F;@!%8R"</f>
        <v>#VALUE!</v>
      </c>
      <c r="HG68" t="e">
        <f>'All regions'!A1848+"$F;@!%8S"</f>
        <v>#VALUE!</v>
      </c>
      <c r="HH68" t="e">
        <f>'All regions'!B1848+"$F;@!%8T"</f>
        <v>#VALUE!</v>
      </c>
      <c r="HI68" t="e">
        <f>'All regions'!C1848+"$F;@!%8U"</f>
        <v>#VALUE!</v>
      </c>
      <c r="HJ68" t="e">
        <f>'All regions'!D1848+"$F;@!%8V"</f>
        <v>#VALUE!</v>
      </c>
      <c r="HK68" t="e">
        <f>'All regions'!E1848+"$F;@!%8W"</f>
        <v>#VALUE!</v>
      </c>
      <c r="HL68" t="e">
        <f>'All regions'!F1848+"$F;@!%8X"</f>
        <v>#VALUE!</v>
      </c>
      <c r="HM68" t="e">
        <f>'All regions'!G1848+"$F;@!%8Y"</f>
        <v>#VALUE!</v>
      </c>
      <c r="HN68" t="e">
        <f>'All regions'!H1848+"$F;@!%8Z"</f>
        <v>#VALUE!</v>
      </c>
      <c r="HO68" t="e">
        <f>'All regions'!I1848+"$F;@!%8["</f>
        <v>#VALUE!</v>
      </c>
      <c r="HP68" t="e">
        <f>'All regions'!A1849+"$F;@!%8\"</f>
        <v>#VALUE!</v>
      </c>
      <c r="HQ68" t="e">
        <f>'All regions'!B1849+"$F;@!%8]"</f>
        <v>#VALUE!</v>
      </c>
      <c r="HR68" t="e">
        <f>'All regions'!C1849+"$F;@!%8^"</f>
        <v>#VALUE!</v>
      </c>
      <c r="HS68" t="e">
        <f>'All regions'!D1849+"$F;@!%8_"</f>
        <v>#VALUE!</v>
      </c>
      <c r="HT68" t="e">
        <f>'All regions'!E1849+"$F;@!%8`"</f>
        <v>#VALUE!</v>
      </c>
      <c r="HU68" t="e">
        <f>'All regions'!F1849+"$F;@!%8a"</f>
        <v>#VALUE!</v>
      </c>
      <c r="HV68" t="e">
        <f>'All regions'!G1849+"$F;@!%8b"</f>
        <v>#VALUE!</v>
      </c>
      <c r="HW68" t="e">
        <f>'All regions'!H1849+"$F;@!%8c"</f>
        <v>#VALUE!</v>
      </c>
      <c r="HX68" t="e">
        <f>'All regions'!I1849+"$F;@!%8d"</f>
        <v>#VALUE!</v>
      </c>
      <c r="HY68" t="e">
        <f>'All regions'!A1850+"$F;@!%8e"</f>
        <v>#VALUE!</v>
      </c>
      <c r="HZ68" t="e">
        <f>'All regions'!B1850+"$F;@!%8f"</f>
        <v>#VALUE!</v>
      </c>
      <c r="IA68" t="e">
        <f>'All regions'!C1850+"$F;@!%8g"</f>
        <v>#VALUE!</v>
      </c>
      <c r="IB68" t="e">
        <f>'All regions'!D1850+"$F;@!%8h"</f>
        <v>#VALUE!</v>
      </c>
      <c r="IC68" t="e">
        <f>'All regions'!E1850+"$F;@!%8i"</f>
        <v>#VALUE!</v>
      </c>
      <c r="ID68" t="e">
        <f>'All regions'!F1850+"$F;@!%8j"</f>
        <v>#VALUE!</v>
      </c>
      <c r="IE68" t="e">
        <f>'All regions'!G1850+"$F;@!%8k"</f>
        <v>#VALUE!</v>
      </c>
      <c r="IF68" t="e">
        <f>'All regions'!H1850+"$F;@!%8l"</f>
        <v>#VALUE!</v>
      </c>
      <c r="IG68" t="e">
        <f>'All regions'!I1850+"$F;@!%8m"</f>
        <v>#VALUE!</v>
      </c>
      <c r="IH68" t="e">
        <f>'All regions'!A1851+"$F;@!%8n"</f>
        <v>#VALUE!</v>
      </c>
      <c r="II68" t="e">
        <f>'All regions'!B1851+"$F;@!%8o"</f>
        <v>#VALUE!</v>
      </c>
      <c r="IJ68" t="e">
        <f>'All regions'!C1851+"$F;@!%8p"</f>
        <v>#VALUE!</v>
      </c>
      <c r="IK68" t="e">
        <f>'All regions'!D1851+"$F;@!%8q"</f>
        <v>#VALUE!</v>
      </c>
      <c r="IL68" t="e">
        <f>'All regions'!E1851+"$F;@!%8r"</f>
        <v>#VALUE!</v>
      </c>
      <c r="IM68" t="e">
        <f>'All regions'!F1851+"$F;@!%8s"</f>
        <v>#VALUE!</v>
      </c>
      <c r="IN68" t="e">
        <f>'All regions'!G1851+"$F;@!%8t"</f>
        <v>#VALUE!</v>
      </c>
      <c r="IO68" t="e">
        <f>'All regions'!H1851+"$F;@!%8u"</f>
        <v>#VALUE!</v>
      </c>
      <c r="IP68" t="e">
        <f>'All regions'!I1851+"$F;@!%8v"</f>
        <v>#VALUE!</v>
      </c>
      <c r="IQ68" t="e">
        <f>'All regions'!A1852+"$F;@!%8w"</f>
        <v>#VALUE!</v>
      </c>
      <c r="IR68" t="e">
        <f>'All regions'!B1852+"$F;@!%8x"</f>
        <v>#VALUE!</v>
      </c>
      <c r="IS68" t="e">
        <f>'All regions'!C1852+"$F;@!%8y"</f>
        <v>#VALUE!</v>
      </c>
      <c r="IT68" t="e">
        <f>'All regions'!D1852+"$F;@!%8z"</f>
        <v>#VALUE!</v>
      </c>
      <c r="IU68" t="e">
        <f>'All regions'!E1852+"$F;@!%8{"</f>
        <v>#VALUE!</v>
      </c>
      <c r="IV68" t="e">
        <f>'All regions'!F1852+"$F;@!%8|"</f>
        <v>#VALUE!</v>
      </c>
    </row>
    <row r="69" spans="6:256" x14ac:dyDescent="0.35">
      <c r="F69" t="e">
        <f>'All regions'!G1852+"$F;@!%8}"</f>
        <v>#VALUE!</v>
      </c>
      <c r="G69" t="e">
        <f>'All regions'!H1852+"$F;@!%8~"</f>
        <v>#VALUE!</v>
      </c>
      <c r="H69" t="e">
        <f>'All regions'!I1852+"$F;@!%9#"</f>
        <v>#VALUE!</v>
      </c>
      <c r="I69" t="e">
        <f>'All regions'!A1853+"$F;@!%9$"</f>
        <v>#VALUE!</v>
      </c>
      <c r="J69" t="e">
        <f>'All regions'!B1853+"$F;@!%9%"</f>
        <v>#VALUE!</v>
      </c>
      <c r="K69" t="e">
        <f>'All regions'!C1853+"$F;@!%9&amp;"</f>
        <v>#VALUE!</v>
      </c>
      <c r="L69" t="e">
        <f>'All regions'!D1853+"$F;@!%9'"</f>
        <v>#VALUE!</v>
      </c>
      <c r="M69" t="e">
        <f>'All regions'!E1853+"$F;@!%9("</f>
        <v>#VALUE!</v>
      </c>
      <c r="N69" t="e">
        <f>'All regions'!F1853+"$F;@!%9)"</f>
        <v>#VALUE!</v>
      </c>
      <c r="O69" t="e">
        <f>'All regions'!G1853+"$F;@!%9."</f>
        <v>#VALUE!</v>
      </c>
      <c r="P69" t="e">
        <f>'All regions'!H1853+"$F;@!%9/"</f>
        <v>#VALUE!</v>
      </c>
      <c r="Q69" t="e">
        <f>'All regions'!I1853+"$F;@!%90"</f>
        <v>#VALUE!</v>
      </c>
      <c r="R69" t="e">
        <f>'All regions'!A1854+"$F;@!%91"</f>
        <v>#VALUE!</v>
      </c>
      <c r="S69" t="e">
        <f>'All regions'!B1854+"$F;@!%92"</f>
        <v>#VALUE!</v>
      </c>
      <c r="T69" t="e">
        <f>'All regions'!C1854+"$F;@!%93"</f>
        <v>#VALUE!</v>
      </c>
      <c r="U69" t="e">
        <f>'All regions'!D1854+"$F;@!%94"</f>
        <v>#VALUE!</v>
      </c>
      <c r="V69" t="e">
        <f>'All regions'!E1854+"$F;@!%95"</f>
        <v>#VALUE!</v>
      </c>
      <c r="W69" t="e">
        <f>'All regions'!F1854+"$F;@!%96"</f>
        <v>#VALUE!</v>
      </c>
      <c r="X69" t="e">
        <f>'All regions'!G1854+"$F;@!%97"</f>
        <v>#VALUE!</v>
      </c>
      <c r="Y69" t="e">
        <f>'All regions'!H1854+"$F;@!%98"</f>
        <v>#VALUE!</v>
      </c>
      <c r="Z69" t="e">
        <f>'All regions'!I1854+"$F;@!%99"</f>
        <v>#VALUE!</v>
      </c>
      <c r="AA69" t="e">
        <f>'All regions'!A1855+"$F;@!%9:"</f>
        <v>#VALUE!</v>
      </c>
      <c r="AB69" t="e">
        <f>'All regions'!B1855+"$F;@!%9;"</f>
        <v>#VALUE!</v>
      </c>
      <c r="AC69" t="e">
        <f>'All regions'!C1855+"$F;@!%9&lt;"</f>
        <v>#VALUE!</v>
      </c>
      <c r="AD69" t="e">
        <f>'All regions'!D1855+"$F;@!%9="</f>
        <v>#VALUE!</v>
      </c>
      <c r="AE69" t="e">
        <f>'All regions'!E1855+"$F;@!%9&gt;"</f>
        <v>#VALUE!</v>
      </c>
      <c r="AF69" t="e">
        <f>'All regions'!F1855+"$F;@!%9?"</f>
        <v>#VALUE!</v>
      </c>
      <c r="AG69" t="e">
        <f>'All regions'!G1855+"$F;@!%9@"</f>
        <v>#VALUE!</v>
      </c>
      <c r="AH69" t="e">
        <f>'All regions'!H1855+"$F;@!%9A"</f>
        <v>#VALUE!</v>
      </c>
      <c r="AI69" t="e">
        <f>'All regions'!I1855+"$F;@!%9B"</f>
        <v>#VALUE!</v>
      </c>
      <c r="AJ69" t="e">
        <f>'All regions'!A1856+"$F;@!%9C"</f>
        <v>#VALUE!</v>
      </c>
      <c r="AK69" t="e">
        <f>'All regions'!B1856+"$F;@!%9D"</f>
        <v>#VALUE!</v>
      </c>
      <c r="AL69" t="e">
        <f>'All regions'!C1856+"$F;@!%9E"</f>
        <v>#VALUE!</v>
      </c>
      <c r="AM69" t="e">
        <f>'All regions'!D1856+"$F;@!%9F"</f>
        <v>#VALUE!</v>
      </c>
      <c r="AN69" t="e">
        <f>'All regions'!E1856+"$F;@!%9G"</f>
        <v>#VALUE!</v>
      </c>
      <c r="AO69" t="e">
        <f>'All regions'!F1856+"$F;@!%9H"</f>
        <v>#VALUE!</v>
      </c>
      <c r="AP69" t="e">
        <f>'All regions'!G1856+"$F;@!%9I"</f>
        <v>#VALUE!</v>
      </c>
      <c r="AQ69" t="e">
        <f>'All regions'!H1856+"$F;@!%9J"</f>
        <v>#VALUE!</v>
      </c>
      <c r="AR69" t="e">
        <f>'All regions'!I1856+"$F;@!%9K"</f>
        <v>#VALUE!</v>
      </c>
      <c r="AS69" t="e">
        <f>'All regions'!A1857+"$F;@!%9L"</f>
        <v>#VALUE!</v>
      </c>
      <c r="AT69" t="e">
        <f>'All regions'!B1857+"$F;@!%9M"</f>
        <v>#VALUE!</v>
      </c>
      <c r="AU69" t="e">
        <f>'All regions'!C1857+"$F;@!%9N"</f>
        <v>#VALUE!</v>
      </c>
      <c r="AV69" t="e">
        <f>'All regions'!D1857+"$F;@!%9O"</f>
        <v>#VALUE!</v>
      </c>
      <c r="AW69" t="e">
        <f>'All regions'!E1857+"$F;@!%9P"</f>
        <v>#VALUE!</v>
      </c>
      <c r="AX69" t="e">
        <f>'All regions'!F1857+"$F;@!%9Q"</f>
        <v>#VALUE!</v>
      </c>
      <c r="AY69" t="e">
        <f>'All regions'!G1857+"$F;@!%9R"</f>
        <v>#VALUE!</v>
      </c>
      <c r="AZ69" t="e">
        <f>'All regions'!H1857+"$F;@!%9S"</f>
        <v>#VALUE!</v>
      </c>
      <c r="BA69" t="e">
        <f>'All regions'!I1857+"$F;@!%9T"</f>
        <v>#VALUE!</v>
      </c>
      <c r="BB69" t="e">
        <f>'All regions'!A1858+"$F;@!%9U"</f>
        <v>#VALUE!</v>
      </c>
      <c r="BC69" t="e">
        <f>'All regions'!B1858+"$F;@!%9V"</f>
        <v>#VALUE!</v>
      </c>
      <c r="BD69" t="e">
        <f>'All regions'!C1858+"$F;@!%9W"</f>
        <v>#VALUE!</v>
      </c>
      <c r="BE69" t="e">
        <f>'All regions'!D1858+"$F;@!%9X"</f>
        <v>#VALUE!</v>
      </c>
      <c r="BF69" t="e">
        <f>'All regions'!E1858+"$F;@!%9Y"</f>
        <v>#VALUE!</v>
      </c>
      <c r="BG69" t="e">
        <f>'All regions'!F1858+"$F;@!%9Z"</f>
        <v>#VALUE!</v>
      </c>
      <c r="BH69" t="e">
        <f>'All regions'!H1858+"$F;@!%9["</f>
        <v>#VALUE!</v>
      </c>
      <c r="BI69" t="e">
        <f>'All regions'!I1858+"$F;@!%9\"</f>
        <v>#VALUE!</v>
      </c>
      <c r="BJ69" t="e">
        <f>'All regions'!A1859+"$F;@!%9]"</f>
        <v>#VALUE!</v>
      </c>
      <c r="BK69" t="e">
        <f>'All regions'!B1859+"$F;@!%9^"</f>
        <v>#VALUE!</v>
      </c>
      <c r="BL69" t="e">
        <f>'All regions'!C1859+"$F;@!%9_"</f>
        <v>#VALUE!</v>
      </c>
      <c r="BM69" t="e">
        <f>'All regions'!D1859+"$F;@!%9`"</f>
        <v>#VALUE!</v>
      </c>
      <c r="BN69" t="e">
        <f>'All regions'!E1859+"$F;@!%9a"</f>
        <v>#VALUE!</v>
      </c>
      <c r="BO69" t="e">
        <f>'All regions'!F1859+"$F;@!%9b"</f>
        <v>#VALUE!</v>
      </c>
      <c r="BP69" t="e">
        <f>'All regions'!G1859+"$F;@!%9c"</f>
        <v>#VALUE!</v>
      </c>
      <c r="BQ69" t="e">
        <f>'All regions'!H1859+"$F;@!%9d"</f>
        <v>#VALUE!</v>
      </c>
      <c r="BR69" t="e">
        <f>'All regions'!I1859+"$F;@!%9e"</f>
        <v>#VALUE!</v>
      </c>
      <c r="BS69" t="e">
        <f>'All regions'!A1860+"$F;@!%9f"</f>
        <v>#VALUE!</v>
      </c>
      <c r="BT69" t="e">
        <f>'All regions'!B1860+"$F;@!%9g"</f>
        <v>#VALUE!</v>
      </c>
      <c r="BU69" t="e">
        <f>'All regions'!C1860+"$F;@!%9h"</f>
        <v>#VALUE!</v>
      </c>
      <c r="BV69" t="e">
        <f>'All regions'!D1860+"$F;@!%9i"</f>
        <v>#VALUE!</v>
      </c>
      <c r="BW69" t="e">
        <f>'All regions'!E1860+"$F;@!%9j"</f>
        <v>#VALUE!</v>
      </c>
      <c r="BX69" t="e">
        <f>'All regions'!F1860+"$F;@!%9k"</f>
        <v>#VALUE!</v>
      </c>
      <c r="BY69" t="e">
        <f>'All regions'!G1860+"$F;@!%9l"</f>
        <v>#VALUE!</v>
      </c>
      <c r="BZ69" t="e">
        <f>'All regions'!H1860+"$F;@!%9m"</f>
        <v>#VALUE!</v>
      </c>
      <c r="CA69" t="e">
        <f>'All regions'!I1860+"$F;@!%9n"</f>
        <v>#VALUE!</v>
      </c>
      <c r="CB69" t="e">
        <f>'All regions'!A1861+"$F;@!%9o"</f>
        <v>#VALUE!</v>
      </c>
      <c r="CC69" t="e">
        <f>'All regions'!B1861+"$F;@!%9p"</f>
        <v>#VALUE!</v>
      </c>
      <c r="CD69" t="e">
        <f>'All regions'!C1861+"$F;@!%9q"</f>
        <v>#VALUE!</v>
      </c>
      <c r="CE69" t="e">
        <f>'All regions'!D1861+"$F;@!%9r"</f>
        <v>#VALUE!</v>
      </c>
      <c r="CF69" t="e">
        <f>'All regions'!E1861+"$F;@!%9s"</f>
        <v>#VALUE!</v>
      </c>
      <c r="CG69" t="e">
        <f>'All regions'!F1861+"$F;@!%9t"</f>
        <v>#VALUE!</v>
      </c>
      <c r="CH69" t="e">
        <f>'All regions'!G1861+"$F;@!%9u"</f>
        <v>#VALUE!</v>
      </c>
      <c r="CI69" t="e">
        <f>'All regions'!H1861+"$F;@!%9v"</f>
        <v>#VALUE!</v>
      </c>
      <c r="CJ69" t="e">
        <f>'All regions'!I1861+"$F;@!%9w"</f>
        <v>#VALUE!</v>
      </c>
      <c r="CK69" t="e">
        <f>'All regions'!A1862+"$F;@!%9x"</f>
        <v>#VALUE!</v>
      </c>
      <c r="CL69" t="e">
        <f>'All regions'!B1862+"$F;@!%9y"</f>
        <v>#VALUE!</v>
      </c>
      <c r="CM69" t="e">
        <f>'All regions'!C1862+"$F;@!%9z"</f>
        <v>#VALUE!</v>
      </c>
      <c r="CN69" t="e">
        <f>'All regions'!D1862+"$F;@!%9{"</f>
        <v>#VALUE!</v>
      </c>
      <c r="CO69" t="e">
        <f>'All regions'!E1862+"$F;@!%9|"</f>
        <v>#VALUE!</v>
      </c>
      <c r="CP69" t="e">
        <f>'All regions'!F1862+"$F;@!%9}"</f>
        <v>#VALUE!</v>
      </c>
      <c r="CQ69" t="e">
        <f>'All regions'!G1862+"$F;@!%9~"</f>
        <v>#VALUE!</v>
      </c>
      <c r="CR69" t="e">
        <f>'All regions'!H1862+"$F;@!%:#"</f>
        <v>#VALUE!</v>
      </c>
      <c r="CS69" t="e">
        <f>'All regions'!I1862+"$F;@!%:$"</f>
        <v>#VALUE!</v>
      </c>
      <c r="CT69" t="e">
        <f>'All regions'!A1863+"$F;@!%:%"</f>
        <v>#VALUE!</v>
      </c>
      <c r="CU69" t="e">
        <f>'All regions'!B1863+"$F;@!%:&amp;"</f>
        <v>#VALUE!</v>
      </c>
      <c r="CV69" t="e">
        <f>'All regions'!C1863+"$F;@!%:'"</f>
        <v>#VALUE!</v>
      </c>
      <c r="CW69" t="e">
        <f>'All regions'!D1863+"$F;@!%:("</f>
        <v>#VALUE!</v>
      </c>
      <c r="CX69" t="e">
        <f>'All regions'!E1863+"$F;@!%:)"</f>
        <v>#VALUE!</v>
      </c>
      <c r="CY69" t="e">
        <f>'All regions'!F1863+"$F;@!%:."</f>
        <v>#VALUE!</v>
      </c>
      <c r="CZ69" t="e">
        <f>'All regions'!G1863+"$F;@!%:/"</f>
        <v>#VALUE!</v>
      </c>
      <c r="DA69" t="e">
        <f>'All regions'!H1863+"$F;@!%:0"</f>
        <v>#VALUE!</v>
      </c>
      <c r="DB69" t="e">
        <f>'All regions'!I1863+"$F;@!%:1"</f>
        <v>#VALUE!</v>
      </c>
      <c r="DC69" t="e">
        <f>'All regions'!A1864+"$F;@!%:2"</f>
        <v>#VALUE!</v>
      </c>
      <c r="DD69" t="e">
        <f>'All regions'!B1864+"$F;@!%:3"</f>
        <v>#VALUE!</v>
      </c>
      <c r="DE69" t="e">
        <f>'All regions'!C1864+"$F;@!%:4"</f>
        <v>#VALUE!</v>
      </c>
      <c r="DF69" t="e">
        <f>'All regions'!D1864+"$F;@!%:5"</f>
        <v>#VALUE!</v>
      </c>
      <c r="DG69" t="e">
        <f>'All regions'!E1864+"$F;@!%:6"</f>
        <v>#VALUE!</v>
      </c>
      <c r="DH69" t="e">
        <f>'All regions'!F1864+"$F;@!%:7"</f>
        <v>#VALUE!</v>
      </c>
      <c r="DI69" t="e">
        <f>'All regions'!G1864+"$F;@!%:8"</f>
        <v>#VALUE!</v>
      </c>
      <c r="DJ69" t="e">
        <f>'All regions'!H1864+"$F;@!%:9"</f>
        <v>#VALUE!</v>
      </c>
      <c r="DK69" t="e">
        <f>'All regions'!I1864+"$F;@!%::"</f>
        <v>#VALUE!</v>
      </c>
      <c r="DL69" t="e">
        <f>'All regions'!A1865+"$F;@!%:;"</f>
        <v>#VALUE!</v>
      </c>
      <c r="DM69" t="e">
        <f>'All regions'!B1865+"$F;@!%:&lt;"</f>
        <v>#VALUE!</v>
      </c>
      <c r="DN69" t="e">
        <f>'All regions'!C1865+"$F;@!%:="</f>
        <v>#VALUE!</v>
      </c>
      <c r="DO69" t="e">
        <f>'All regions'!D1865+"$F;@!%:&gt;"</f>
        <v>#VALUE!</v>
      </c>
      <c r="DP69" t="e">
        <f>'All regions'!E1865+"$F;@!%:?"</f>
        <v>#VALUE!</v>
      </c>
      <c r="DQ69" t="e">
        <f>'All regions'!F1865+"$F;@!%:@"</f>
        <v>#VALUE!</v>
      </c>
      <c r="DR69" t="e">
        <f>'All regions'!G1865+"$F;@!%:A"</f>
        <v>#VALUE!</v>
      </c>
      <c r="DS69" t="e">
        <f>'All regions'!H1865+"$F;@!%:B"</f>
        <v>#VALUE!</v>
      </c>
      <c r="DT69" t="e">
        <f>'All regions'!I1865+"$F;@!%:C"</f>
        <v>#VALUE!</v>
      </c>
      <c r="DU69" t="e">
        <f>'All regions'!A1866+"$F;@!%:D"</f>
        <v>#VALUE!</v>
      </c>
      <c r="DV69" t="e">
        <f>'All regions'!B1866+"$F;@!%:E"</f>
        <v>#VALUE!</v>
      </c>
      <c r="DW69" t="e">
        <f>'All regions'!C1866+"$F;@!%:F"</f>
        <v>#VALUE!</v>
      </c>
      <c r="DX69" t="e">
        <f>'All regions'!D1866+"$F;@!%:G"</f>
        <v>#VALUE!</v>
      </c>
      <c r="DY69" t="e">
        <f>'All regions'!E1866+"$F;@!%:H"</f>
        <v>#VALUE!</v>
      </c>
      <c r="DZ69" t="e">
        <f>'All regions'!F1866+"$F;@!%:I"</f>
        <v>#VALUE!</v>
      </c>
      <c r="EA69" t="e">
        <f>'All regions'!G1866+"$F;@!%:J"</f>
        <v>#VALUE!</v>
      </c>
      <c r="EB69" t="e">
        <f>'All regions'!H1866+"$F;@!%:K"</f>
        <v>#VALUE!</v>
      </c>
      <c r="EC69" t="e">
        <f>'All regions'!I1866+"$F;@!%:L"</f>
        <v>#VALUE!</v>
      </c>
      <c r="ED69" t="e">
        <f>'All regions'!A1867+"$F;@!%:M"</f>
        <v>#VALUE!</v>
      </c>
      <c r="EE69" t="e">
        <f>'All regions'!B1867+"$F;@!%:N"</f>
        <v>#VALUE!</v>
      </c>
      <c r="EF69" t="e">
        <f>'All regions'!C1867+"$F;@!%:O"</f>
        <v>#VALUE!</v>
      </c>
      <c r="EG69" t="e">
        <f>'All regions'!D1867+"$F;@!%:P"</f>
        <v>#VALUE!</v>
      </c>
      <c r="EH69" t="e">
        <f>'All regions'!E1867+"$F;@!%:Q"</f>
        <v>#VALUE!</v>
      </c>
      <c r="EI69" t="e">
        <f>'All regions'!F1867+"$F;@!%:R"</f>
        <v>#VALUE!</v>
      </c>
      <c r="EJ69" t="e">
        <f>'All regions'!G1867+"$F;@!%:S"</f>
        <v>#VALUE!</v>
      </c>
      <c r="EK69" t="e">
        <f>'All regions'!H1867+"$F;@!%:T"</f>
        <v>#VALUE!</v>
      </c>
      <c r="EL69" t="e">
        <f>'All regions'!I1867+"$F;@!%:U"</f>
        <v>#VALUE!</v>
      </c>
      <c r="EM69" t="e">
        <f>'All regions'!A1868+"$F;@!%:V"</f>
        <v>#VALUE!</v>
      </c>
      <c r="EN69" t="e">
        <f>'All regions'!B1868+"$F;@!%:W"</f>
        <v>#VALUE!</v>
      </c>
      <c r="EO69" t="e">
        <f>'All regions'!C1868+"$F;@!%:X"</f>
        <v>#VALUE!</v>
      </c>
      <c r="EP69" t="e">
        <f>'All regions'!D1868+"$F;@!%:Y"</f>
        <v>#VALUE!</v>
      </c>
      <c r="EQ69" t="e">
        <f>'All regions'!E1868+"$F;@!%:Z"</f>
        <v>#VALUE!</v>
      </c>
      <c r="ER69" t="e">
        <f>'All regions'!F1868+"$F;@!%:["</f>
        <v>#VALUE!</v>
      </c>
      <c r="ES69" t="e">
        <f>'All regions'!G1868+"$F;@!%:\"</f>
        <v>#VALUE!</v>
      </c>
      <c r="ET69" t="e">
        <f>'All regions'!H1868+"$F;@!%:]"</f>
        <v>#VALUE!</v>
      </c>
      <c r="EU69" t="e">
        <f>'All regions'!I1868+"$F;@!%:^"</f>
        <v>#VALUE!</v>
      </c>
      <c r="EV69" t="e">
        <f>'All regions'!A1869+"$F;@!%:_"</f>
        <v>#VALUE!</v>
      </c>
      <c r="EW69" t="e">
        <f>'All regions'!B1869+"$F;@!%:`"</f>
        <v>#VALUE!</v>
      </c>
      <c r="EX69" t="e">
        <f>'All regions'!C1869+"$F;@!%:a"</f>
        <v>#VALUE!</v>
      </c>
      <c r="EY69" t="e">
        <f>'All regions'!D1869+"$F;@!%:b"</f>
        <v>#VALUE!</v>
      </c>
      <c r="EZ69" t="e">
        <f>'All regions'!E1869+"$F;@!%:c"</f>
        <v>#VALUE!</v>
      </c>
      <c r="FA69" t="e">
        <f>'All regions'!F1869+"$F;@!%:d"</f>
        <v>#VALUE!</v>
      </c>
      <c r="FB69" t="e">
        <f>'All regions'!G1869+"$F;@!%:e"</f>
        <v>#VALUE!</v>
      </c>
      <c r="FC69" t="e">
        <f>'All regions'!H1869+"$F;@!%:f"</f>
        <v>#VALUE!</v>
      </c>
      <c r="FD69" t="e">
        <f>'All regions'!I1869+"$F;@!%:g"</f>
        <v>#VALUE!</v>
      </c>
      <c r="FE69" t="e">
        <f>'All regions'!A1870+"$F;@!%:h"</f>
        <v>#VALUE!</v>
      </c>
      <c r="FF69" t="e">
        <f>'All regions'!B1870+"$F;@!%:i"</f>
        <v>#VALUE!</v>
      </c>
      <c r="FG69" t="e">
        <f>'All regions'!C1870+"$F;@!%:j"</f>
        <v>#VALUE!</v>
      </c>
      <c r="FH69" t="e">
        <f>'All regions'!D1870+"$F;@!%:k"</f>
        <v>#VALUE!</v>
      </c>
      <c r="FI69" t="e">
        <f>'All regions'!E1870+"$F;@!%:l"</f>
        <v>#VALUE!</v>
      </c>
      <c r="FJ69" t="e">
        <f>'All regions'!F1870+"$F;@!%:m"</f>
        <v>#VALUE!</v>
      </c>
      <c r="FK69" t="e">
        <f>'All regions'!G1870+"$F;@!%:n"</f>
        <v>#VALUE!</v>
      </c>
      <c r="FL69" t="e">
        <f>'All regions'!H1870+"$F;@!%:o"</f>
        <v>#VALUE!</v>
      </c>
      <c r="FM69" t="e">
        <f>'All regions'!I1870+"$F;@!%:p"</f>
        <v>#VALUE!</v>
      </c>
      <c r="FN69" t="e">
        <f>'All regions'!A1871+"$F;@!%:q"</f>
        <v>#VALUE!</v>
      </c>
      <c r="FO69" t="e">
        <f>'All regions'!B1871+"$F;@!%:r"</f>
        <v>#VALUE!</v>
      </c>
      <c r="FP69" t="e">
        <f>'All regions'!C1871+"$F;@!%:s"</f>
        <v>#VALUE!</v>
      </c>
      <c r="FQ69" t="e">
        <f>'All regions'!D1871+"$F;@!%:t"</f>
        <v>#VALUE!</v>
      </c>
      <c r="FR69" t="e">
        <f>'All regions'!E1871+"$F;@!%:u"</f>
        <v>#VALUE!</v>
      </c>
      <c r="FS69" t="e">
        <f>'All regions'!F1871+"$F;@!%:v"</f>
        <v>#VALUE!</v>
      </c>
      <c r="FT69" t="e">
        <f>'All regions'!G1871+"$F;@!%:w"</f>
        <v>#VALUE!</v>
      </c>
      <c r="FU69" t="e">
        <f>'All regions'!H1871+"$F;@!%:x"</f>
        <v>#VALUE!</v>
      </c>
      <c r="FV69" t="e">
        <f>'All regions'!I1871+"$F;@!%:y"</f>
        <v>#VALUE!</v>
      </c>
      <c r="FW69" t="e">
        <f>'All regions'!A1872+"$F;@!%:z"</f>
        <v>#VALUE!</v>
      </c>
      <c r="FX69" t="e">
        <f>'All regions'!B1872+"$F;@!%:{"</f>
        <v>#VALUE!</v>
      </c>
      <c r="FY69" t="e">
        <f>'All regions'!C1872+"$F;@!%:|"</f>
        <v>#VALUE!</v>
      </c>
      <c r="FZ69" t="e">
        <f>'All regions'!D1872+"$F;@!%:}"</f>
        <v>#VALUE!</v>
      </c>
      <c r="GA69" t="e">
        <f>'All regions'!E1872+"$F;@!%:~"</f>
        <v>#VALUE!</v>
      </c>
      <c r="GB69" t="e">
        <f>'All regions'!F1872+"$F;@!%;#"</f>
        <v>#VALUE!</v>
      </c>
      <c r="GC69" t="e">
        <f>'All regions'!G1872+"$F;@!%;$"</f>
        <v>#VALUE!</v>
      </c>
      <c r="GD69" t="e">
        <f>'All regions'!H1872+"$F;@!%;%"</f>
        <v>#VALUE!</v>
      </c>
      <c r="GE69" t="e">
        <f>'All regions'!I1872+"$F;@!%;&amp;"</f>
        <v>#VALUE!</v>
      </c>
      <c r="GF69" t="e">
        <f>'All regions'!A1873+"$F;@!%;'"</f>
        <v>#VALUE!</v>
      </c>
      <c r="GG69" t="e">
        <f>'All regions'!B1873+"$F;@!%;("</f>
        <v>#VALUE!</v>
      </c>
      <c r="GH69" t="e">
        <f>'All regions'!C1873+"$F;@!%;)"</f>
        <v>#VALUE!</v>
      </c>
      <c r="GI69" t="e">
        <f>'All regions'!D1873+"$F;@!%;."</f>
        <v>#VALUE!</v>
      </c>
      <c r="GJ69" t="e">
        <f>'All regions'!E1873+"$F;@!%;/"</f>
        <v>#VALUE!</v>
      </c>
      <c r="GK69" t="e">
        <f>'All regions'!F1873+"$F;@!%;0"</f>
        <v>#VALUE!</v>
      </c>
      <c r="GL69" t="e">
        <f>'All regions'!G1873+"$F;@!%;1"</f>
        <v>#VALUE!</v>
      </c>
      <c r="GM69" t="e">
        <f>'All regions'!H1873+"$F;@!%;2"</f>
        <v>#VALUE!</v>
      </c>
      <c r="GN69" t="e">
        <f>'All regions'!I1873+"$F;@!%;3"</f>
        <v>#VALUE!</v>
      </c>
      <c r="GO69" t="e">
        <f>'All regions'!A1874+"$F;@!%;4"</f>
        <v>#VALUE!</v>
      </c>
      <c r="GP69" t="e">
        <f>'All regions'!B1874+"$F;@!%;5"</f>
        <v>#VALUE!</v>
      </c>
      <c r="GQ69" t="e">
        <f>'All regions'!C1874+"$F;@!%;6"</f>
        <v>#VALUE!</v>
      </c>
      <c r="GR69" t="e">
        <f>'All regions'!D1874+"$F;@!%;7"</f>
        <v>#VALUE!</v>
      </c>
      <c r="GS69" t="e">
        <f>'All regions'!E1874+"$F;@!%;8"</f>
        <v>#VALUE!</v>
      </c>
      <c r="GT69" t="e">
        <f>'All regions'!F1874+"$F;@!%;9"</f>
        <v>#VALUE!</v>
      </c>
      <c r="GU69" t="e">
        <f>'All regions'!G1874+"$F;@!%;:"</f>
        <v>#VALUE!</v>
      </c>
      <c r="GV69" t="e">
        <f>'All regions'!H1874+"$F;@!%;;"</f>
        <v>#VALUE!</v>
      </c>
      <c r="GW69" t="e">
        <f>'All regions'!I1874+"$F;@!%;&lt;"</f>
        <v>#VALUE!</v>
      </c>
      <c r="GX69" t="e">
        <f>'All regions'!A1875+"$F;@!%;="</f>
        <v>#VALUE!</v>
      </c>
      <c r="GY69" t="e">
        <f>'All regions'!B1875+"$F;@!%;&gt;"</f>
        <v>#VALUE!</v>
      </c>
      <c r="GZ69" t="e">
        <f>'All regions'!C1875+"$F;@!%;?"</f>
        <v>#VALUE!</v>
      </c>
      <c r="HA69" t="e">
        <f>'All regions'!D1875+"$F;@!%;@"</f>
        <v>#VALUE!</v>
      </c>
      <c r="HB69" t="e">
        <f>'All regions'!E1875+"$F;@!%;A"</f>
        <v>#VALUE!</v>
      </c>
      <c r="HC69" t="e">
        <f>'All regions'!F1875+"$F;@!%;B"</f>
        <v>#VALUE!</v>
      </c>
      <c r="HD69" t="e">
        <f>'All regions'!G1875+"$F;@!%;C"</f>
        <v>#VALUE!</v>
      </c>
      <c r="HE69" t="e">
        <f>'All regions'!H1875+"$F;@!%;D"</f>
        <v>#VALUE!</v>
      </c>
      <c r="HF69" t="e">
        <f>'All regions'!I1875+"$F;@!%;E"</f>
        <v>#VALUE!</v>
      </c>
      <c r="HG69" t="e">
        <f>'All regions'!A1876+"$F;@!%;F"</f>
        <v>#VALUE!</v>
      </c>
      <c r="HH69" t="e">
        <f>'All regions'!B1876+"$F;@!%;G"</f>
        <v>#VALUE!</v>
      </c>
      <c r="HI69" t="e">
        <f>'All regions'!C1876+"$F;@!%;H"</f>
        <v>#VALUE!</v>
      </c>
      <c r="HJ69" t="e">
        <f>'All regions'!D1876+"$F;@!%;I"</f>
        <v>#VALUE!</v>
      </c>
      <c r="HK69" t="e">
        <f>'All regions'!E1876+"$F;@!%;J"</f>
        <v>#VALUE!</v>
      </c>
      <c r="HL69" t="e">
        <f>'All regions'!F1876+"$F;@!%;K"</f>
        <v>#VALUE!</v>
      </c>
      <c r="HM69" t="e">
        <f>'All regions'!G1876+"$F;@!%;L"</f>
        <v>#VALUE!</v>
      </c>
      <c r="HN69" t="e">
        <f>'All regions'!H1876+"$F;@!%;M"</f>
        <v>#VALUE!</v>
      </c>
      <c r="HO69" t="e">
        <f>'All regions'!I1876+"$F;@!%;N"</f>
        <v>#VALUE!</v>
      </c>
      <c r="HP69" t="e">
        <f>'All regions'!A1877+"$F;@!%;O"</f>
        <v>#VALUE!</v>
      </c>
      <c r="HQ69" t="e">
        <f>'All regions'!B1877+"$F;@!%;P"</f>
        <v>#VALUE!</v>
      </c>
      <c r="HR69" t="e">
        <f>'All regions'!C1877+"$F;@!%;Q"</f>
        <v>#VALUE!</v>
      </c>
      <c r="HS69" t="e">
        <f>'All regions'!D1877+"$F;@!%;R"</f>
        <v>#VALUE!</v>
      </c>
      <c r="HT69" t="e">
        <f>'All regions'!E1877+"$F;@!%;S"</f>
        <v>#VALUE!</v>
      </c>
      <c r="HU69" t="e">
        <f>'All regions'!F1877+"$F;@!%;T"</f>
        <v>#VALUE!</v>
      </c>
      <c r="HV69" t="e">
        <f>'All regions'!G1877+"$F;@!%;U"</f>
        <v>#VALUE!</v>
      </c>
      <c r="HW69" t="e">
        <f>'All regions'!H1877+"$F;@!%;V"</f>
        <v>#VALUE!</v>
      </c>
      <c r="HX69" t="e">
        <f>'All regions'!I1877+"$F;@!%;W"</f>
        <v>#VALUE!</v>
      </c>
      <c r="HY69" t="e">
        <f>'All regions'!A1878+"$F;@!%;X"</f>
        <v>#VALUE!</v>
      </c>
      <c r="HZ69" t="e">
        <f>'All regions'!B1878+"$F;@!%;Y"</f>
        <v>#VALUE!</v>
      </c>
      <c r="IA69" t="e">
        <f>'All regions'!C1878+"$F;@!%;Z"</f>
        <v>#VALUE!</v>
      </c>
      <c r="IB69" t="e">
        <f>'All regions'!D1878+"$F;@!%;["</f>
        <v>#VALUE!</v>
      </c>
      <c r="IC69" t="e">
        <f>'All regions'!E1878+"$F;@!%;\"</f>
        <v>#VALUE!</v>
      </c>
      <c r="ID69" t="e">
        <f>'All regions'!F1878+"$F;@!%;]"</f>
        <v>#VALUE!</v>
      </c>
      <c r="IE69" t="e">
        <f>'All regions'!G1878+"$F;@!%;^"</f>
        <v>#VALUE!</v>
      </c>
      <c r="IF69" t="e">
        <f>'All regions'!H1878+"$F;@!%;_"</f>
        <v>#VALUE!</v>
      </c>
      <c r="IG69" t="e">
        <f>'All regions'!I1878+"$F;@!%;`"</f>
        <v>#VALUE!</v>
      </c>
      <c r="IH69" t="e">
        <f>'All regions'!A1879+"$F;@!%;a"</f>
        <v>#VALUE!</v>
      </c>
      <c r="II69" t="e">
        <f>'All regions'!B1879+"$F;@!%;b"</f>
        <v>#VALUE!</v>
      </c>
      <c r="IJ69" t="e">
        <f>'All regions'!C1879+"$F;@!%;c"</f>
        <v>#VALUE!</v>
      </c>
      <c r="IK69" t="e">
        <f>'All regions'!D1879+"$F;@!%;d"</f>
        <v>#VALUE!</v>
      </c>
      <c r="IL69" t="e">
        <f>'All regions'!E1879+"$F;@!%;e"</f>
        <v>#VALUE!</v>
      </c>
      <c r="IM69" t="e">
        <f>'All regions'!F1879+"$F;@!%;f"</f>
        <v>#VALUE!</v>
      </c>
      <c r="IN69" t="e">
        <f>'All regions'!G1879+"$F;@!%;g"</f>
        <v>#VALUE!</v>
      </c>
      <c r="IO69" t="e">
        <f>'All regions'!H1879+"$F;@!%;h"</f>
        <v>#VALUE!</v>
      </c>
      <c r="IP69" t="e">
        <f>'All regions'!I1879+"$F;@!%;i"</f>
        <v>#VALUE!</v>
      </c>
      <c r="IQ69" t="e">
        <f>'All regions'!A1880+"$F;@!%;j"</f>
        <v>#VALUE!</v>
      </c>
      <c r="IR69" t="e">
        <f>'All regions'!B1880+"$F;@!%;k"</f>
        <v>#VALUE!</v>
      </c>
      <c r="IS69" t="e">
        <f>'All regions'!C1880+"$F;@!%;l"</f>
        <v>#VALUE!</v>
      </c>
      <c r="IT69" t="e">
        <f>'All regions'!D1880+"$F;@!%;m"</f>
        <v>#VALUE!</v>
      </c>
      <c r="IU69" t="e">
        <f>'All regions'!E1880+"$F;@!%;n"</f>
        <v>#VALUE!</v>
      </c>
      <c r="IV69" t="e">
        <f>'All regions'!F1880+"$F;@!%;o"</f>
        <v>#VALUE!</v>
      </c>
    </row>
    <row r="70" spans="6:256" x14ac:dyDescent="0.35">
      <c r="F70" t="e">
        <f>'All regions'!G1880+"$F;@!%;p"</f>
        <v>#VALUE!</v>
      </c>
      <c r="G70" t="e">
        <f>'All regions'!H1880+"$F;@!%;q"</f>
        <v>#VALUE!</v>
      </c>
      <c r="H70" t="e">
        <f>'All regions'!I1880+"$F;@!%;r"</f>
        <v>#VALUE!</v>
      </c>
      <c r="I70" t="e">
        <f>'All regions'!A1881+"$F;@!%;s"</f>
        <v>#VALUE!</v>
      </c>
      <c r="J70" t="e">
        <f>'All regions'!B1881+"$F;@!%;t"</f>
        <v>#VALUE!</v>
      </c>
      <c r="K70" t="e">
        <f>'All regions'!C1881+"$F;@!%;u"</f>
        <v>#VALUE!</v>
      </c>
      <c r="L70" t="e">
        <f>'All regions'!D1881+"$F;@!%;v"</f>
        <v>#VALUE!</v>
      </c>
      <c r="M70" t="e">
        <f>'All regions'!E1881+"$F;@!%;w"</f>
        <v>#VALUE!</v>
      </c>
      <c r="N70" t="e">
        <f>'All regions'!F1881+"$F;@!%;x"</f>
        <v>#VALUE!</v>
      </c>
      <c r="O70" t="e">
        <f>'All regions'!G1881+"$F;@!%;y"</f>
        <v>#VALUE!</v>
      </c>
      <c r="P70" t="e">
        <f>'All regions'!H1881+"$F;@!%;z"</f>
        <v>#VALUE!</v>
      </c>
      <c r="Q70" t="e">
        <f>'All regions'!I1881+"$F;@!%;{"</f>
        <v>#VALUE!</v>
      </c>
      <c r="R70" t="e">
        <f>'All regions'!A1882+"$F;@!%;|"</f>
        <v>#VALUE!</v>
      </c>
      <c r="S70" t="e">
        <f>'All regions'!B1882+"$F;@!%;}"</f>
        <v>#VALUE!</v>
      </c>
      <c r="T70" t="e">
        <f>'All regions'!C1882+"$F;@!%;~"</f>
        <v>#VALUE!</v>
      </c>
      <c r="U70" t="e">
        <f>'All regions'!D1882+"$F;@!%&lt;#"</f>
        <v>#VALUE!</v>
      </c>
      <c r="V70" t="e">
        <f>'All regions'!E1882+"$F;@!%&lt;$"</f>
        <v>#VALUE!</v>
      </c>
      <c r="W70" t="e">
        <f>'All regions'!F1882+"$F;@!%&lt;%"</f>
        <v>#VALUE!</v>
      </c>
      <c r="X70" t="e">
        <f>'All regions'!G1882+"$F;@!%&lt;&amp;"</f>
        <v>#VALUE!</v>
      </c>
      <c r="Y70" t="e">
        <f>'All regions'!H1882+"$F;@!%&lt;'"</f>
        <v>#VALUE!</v>
      </c>
      <c r="Z70" t="e">
        <f>'All regions'!I1882+"$F;@!%&lt;("</f>
        <v>#VALUE!</v>
      </c>
      <c r="AA70" t="e">
        <f>'All regions'!A1883+"$F;@!%&lt;)"</f>
        <v>#VALUE!</v>
      </c>
      <c r="AB70" t="e">
        <f>'All regions'!B1883+"$F;@!%&lt;."</f>
        <v>#VALUE!</v>
      </c>
      <c r="AC70" t="e">
        <f>'All regions'!C1883+"$F;@!%&lt;/"</f>
        <v>#VALUE!</v>
      </c>
      <c r="AD70" t="e">
        <f>'All regions'!D1883+"$F;@!%&lt;0"</f>
        <v>#VALUE!</v>
      </c>
      <c r="AE70" t="e">
        <f>'All regions'!E1883+"$F;@!%&lt;1"</f>
        <v>#VALUE!</v>
      </c>
      <c r="AF70" t="e">
        <f>'All regions'!F1883+"$F;@!%&lt;2"</f>
        <v>#VALUE!</v>
      </c>
      <c r="AG70" t="e">
        <f>'All regions'!G1883+"$F;@!%&lt;3"</f>
        <v>#VALUE!</v>
      </c>
      <c r="AH70" t="e">
        <f>'All regions'!H1883+"$F;@!%&lt;4"</f>
        <v>#VALUE!</v>
      </c>
      <c r="AI70" t="e">
        <f>'All regions'!I1883+"$F;@!%&lt;5"</f>
        <v>#VALUE!</v>
      </c>
      <c r="AJ70" t="e">
        <f>'All regions'!A1884+"$F;@!%&lt;6"</f>
        <v>#VALUE!</v>
      </c>
      <c r="AK70" t="e">
        <f>'All regions'!B1884+"$F;@!%&lt;7"</f>
        <v>#VALUE!</v>
      </c>
      <c r="AL70" t="e">
        <f>'All regions'!C1884+"$F;@!%&lt;8"</f>
        <v>#VALUE!</v>
      </c>
      <c r="AM70" t="e">
        <f>'All regions'!D1884+"$F;@!%&lt;9"</f>
        <v>#VALUE!</v>
      </c>
      <c r="AN70" t="e">
        <f>'All regions'!E1884+"$F;@!%&lt;:"</f>
        <v>#VALUE!</v>
      </c>
      <c r="AO70" t="e">
        <f>'All regions'!F1884+"$F;@!%&lt;;"</f>
        <v>#VALUE!</v>
      </c>
      <c r="AP70" t="e">
        <f>'All regions'!G1884+"$F;@!%&lt;&lt;"</f>
        <v>#VALUE!</v>
      </c>
      <c r="AQ70" t="e">
        <f>'All regions'!H1884+"$F;@!%&lt;="</f>
        <v>#VALUE!</v>
      </c>
      <c r="AR70" t="e">
        <f>'All regions'!I1884+"$F;@!%&lt;&gt;"</f>
        <v>#VALUE!</v>
      </c>
      <c r="AS70" t="e">
        <f>'All regions'!A1885+"$F;@!%&lt;?"</f>
        <v>#VALUE!</v>
      </c>
      <c r="AT70" t="e">
        <f>'All regions'!B1885+"$F;@!%&lt;@"</f>
        <v>#VALUE!</v>
      </c>
      <c r="AU70" t="e">
        <f>'All regions'!C1885+"$F;@!%&lt;A"</f>
        <v>#VALUE!</v>
      </c>
      <c r="AV70" t="e">
        <f>'All regions'!D1885+"$F;@!%&lt;B"</f>
        <v>#VALUE!</v>
      </c>
      <c r="AW70" t="e">
        <f>'All regions'!E1885+"$F;@!%&lt;C"</f>
        <v>#VALUE!</v>
      </c>
      <c r="AX70" t="e">
        <f>'All regions'!F1885+"$F;@!%&lt;D"</f>
        <v>#VALUE!</v>
      </c>
      <c r="AY70" t="e">
        <f>'All regions'!G1885+"$F;@!%&lt;E"</f>
        <v>#VALUE!</v>
      </c>
      <c r="AZ70" t="e">
        <f>'All regions'!H1885+"$F;@!%&lt;F"</f>
        <v>#VALUE!</v>
      </c>
      <c r="BA70" t="e">
        <f>'All regions'!I1885+"$F;@!%&lt;G"</f>
        <v>#VALUE!</v>
      </c>
      <c r="BB70" t="e">
        <f>'All regions'!A1886+"$F;@!%&lt;H"</f>
        <v>#VALUE!</v>
      </c>
      <c r="BC70" t="e">
        <f>'All regions'!B1886+"$F;@!%&lt;I"</f>
        <v>#VALUE!</v>
      </c>
      <c r="BD70" t="e">
        <f>'All regions'!C1886+"$F;@!%&lt;J"</f>
        <v>#VALUE!</v>
      </c>
      <c r="BE70" t="e">
        <f>'All regions'!D1886+"$F;@!%&lt;K"</f>
        <v>#VALUE!</v>
      </c>
      <c r="BF70" t="e">
        <f>'All regions'!E1886+"$F;@!%&lt;L"</f>
        <v>#VALUE!</v>
      </c>
      <c r="BG70" t="e">
        <f>'All regions'!F1886+"$F;@!%&lt;M"</f>
        <v>#VALUE!</v>
      </c>
      <c r="BH70" t="e">
        <f>'All regions'!G1886+"$F;@!%&lt;N"</f>
        <v>#VALUE!</v>
      </c>
      <c r="BI70" t="e">
        <f>'All regions'!H1886+"$F;@!%&lt;O"</f>
        <v>#VALUE!</v>
      </c>
      <c r="BJ70" t="e">
        <f>'All regions'!I1886+"$F;@!%&lt;P"</f>
        <v>#VALUE!</v>
      </c>
      <c r="BK70" t="e">
        <f>'All regions'!A1887+"$F;@!%&lt;Q"</f>
        <v>#VALUE!</v>
      </c>
      <c r="BL70" t="e">
        <f>'All regions'!B1887+"$F;@!%&lt;R"</f>
        <v>#VALUE!</v>
      </c>
      <c r="BM70" t="e">
        <f>'All regions'!C1887+"$F;@!%&lt;S"</f>
        <v>#VALUE!</v>
      </c>
      <c r="BN70" t="e">
        <f>'All regions'!D1887+"$F;@!%&lt;T"</f>
        <v>#VALUE!</v>
      </c>
      <c r="BO70" t="e">
        <f>'All regions'!E1887+"$F;@!%&lt;U"</f>
        <v>#VALUE!</v>
      </c>
      <c r="BP70" t="e">
        <f>'All regions'!F1887+"$F;@!%&lt;V"</f>
        <v>#VALUE!</v>
      </c>
      <c r="BQ70" t="e">
        <f>'All regions'!G1887+"$F;@!%&lt;W"</f>
        <v>#VALUE!</v>
      </c>
      <c r="BR70" t="e">
        <f>'All regions'!H1887+"$F;@!%&lt;X"</f>
        <v>#VALUE!</v>
      </c>
      <c r="BS70" t="e">
        <f>'All regions'!I1887+"$F;@!%&lt;Y"</f>
        <v>#VALUE!</v>
      </c>
      <c r="BT70" t="e">
        <f>'All regions'!A1888+"$F;@!%&lt;Z"</f>
        <v>#VALUE!</v>
      </c>
      <c r="BU70" t="e">
        <f>'All regions'!B1888+"$F;@!%&lt;["</f>
        <v>#VALUE!</v>
      </c>
      <c r="BV70" t="e">
        <f>'All regions'!C1888+"$F;@!%&lt;\"</f>
        <v>#VALUE!</v>
      </c>
      <c r="BW70" t="e">
        <f>'All regions'!D1888+"$F;@!%&lt;]"</f>
        <v>#VALUE!</v>
      </c>
      <c r="BX70" t="e">
        <f>'All regions'!E1888+"$F;@!%&lt;^"</f>
        <v>#VALUE!</v>
      </c>
      <c r="BY70" t="e">
        <f>'All regions'!F1888+"$F;@!%&lt;_"</f>
        <v>#VALUE!</v>
      </c>
      <c r="BZ70" t="e">
        <f>'All regions'!G1888+"$F;@!%&lt;`"</f>
        <v>#VALUE!</v>
      </c>
      <c r="CA70" t="e">
        <f>'All regions'!H1888+"$F;@!%&lt;a"</f>
        <v>#VALUE!</v>
      </c>
      <c r="CB70" t="e">
        <f>'All regions'!I1888+"$F;@!%&lt;b"</f>
        <v>#VALUE!</v>
      </c>
      <c r="CC70" t="e">
        <f>'All regions'!A1889+"$F;@!%&lt;c"</f>
        <v>#VALUE!</v>
      </c>
      <c r="CD70" t="e">
        <f>'All regions'!B1889+"$F;@!%&lt;d"</f>
        <v>#VALUE!</v>
      </c>
      <c r="CE70" t="e">
        <f>'All regions'!C1889+"$F;@!%&lt;e"</f>
        <v>#VALUE!</v>
      </c>
      <c r="CF70" t="e">
        <f>'All regions'!D1889+"$F;@!%&lt;f"</f>
        <v>#VALUE!</v>
      </c>
      <c r="CG70" t="e">
        <f>'All regions'!E1889+"$F;@!%&lt;g"</f>
        <v>#VALUE!</v>
      </c>
      <c r="CH70" t="e">
        <f>'All regions'!F1889+"$F;@!%&lt;h"</f>
        <v>#VALUE!</v>
      </c>
      <c r="CI70" t="e">
        <f>'All regions'!G1889+"$F;@!%&lt;i"</f>
        <v>#VALUE!</v>
      </c>
      <c r="CJ70" t="e">
        <f>'All regions'!H1889+"$F;@!%&lt;j"</f>
        <v>#VALUE!</v>
      </c>
      <c r="CK70" t="e">
        <f>'All regions'!I1889+"$F;@!%&lt;k"</f>
        <v>#VALUE!</v>
      </c>
      <c r="CL70" t="e">
        <f>'All regions'!A1890+"$F;@!%&lt;l"</f>
        <v>#VALUE!</v>
      </c>
      <c r="CM70" t="e">
        <f>'All regions'!B1890+"$F;@!%&lt;m"</f>
        <v>#VALUE!</v>
      </c>
      <c r="CN70" t="e">
        <f>'All regions'!C1890+"$F;@!%&lt;n"</f>
        <v>#VALUE!</v>
      </c>
      <c r="CO70" t="e">
        <f>'All regions'!D1890+"$F;@!%&lt;o"</f>
        <v>#VALUE!</v>
      </c>
      <c r="CP70" t="e">
        <f>'All regions'!E1890+"$F;@!%&lt;p"</f>
        <v>#VALUE!</v>
      </c>
      <c r="CQ70" t="e">
        <f>'All regions'!F1890+"$F;@!%&lt;q"</f>
        <v>#VALUE!</v>
      </c>
      <c r="CR70" t="e">
        <f>'All regions'!G1890+"$F;@!%&lt;r"</f>
        <v>#VALUE!</v>
      </c>
      <c r="CS70" t="e">
        <f>'All regions'!H1890+"$F;@!%&lt;s"</f>
        <v>#VALUE!</v>
      </c>
      <c r="CT70" t="e">
        <f>'All regions'!I1890+"$F;@!%&lt;t"</f>
        <v>#VALUE!</v>
      </c>
      <c r="CU70" t="e">
        <f>'All regions'!A1891+"$F;@!%&lt;u"</f>
        <v>#VALUE!</v>
      </c>
      <c r="CV70" t="e">
        <f>'All regions'!B1891+"$F;@!%&lt;v"</f>
        <v>#VALUE!</v>
      </c>
      <c r="CW70" t="e">
        <f>'All regions'!C1891+"$F;@!%&lt;w"</f>
        <v>#VALUE!</v>
      </c>
      <c r="CX70" t="e">
        <f>'All regions'!D1891+"$F;@!%&lt;x"</f>
        <v>#VALUE!</v>
      </c>
      <c r="CY70" t="e">
        <f>'All regions'!E1891+"$F;@!%&lt;y"</f>
        <v>#VALUE!</v>
      </c>
      <c r="CZ70" t="e">
        <f>'All regions'!F1891+"$F;@!%&lt;z"</f>
        <v>#VALUE!</v>
      </c>
      <c r="DA70" t="e">
        <f>'All regions'!G1891+"$F;@!%&lt;{"</f>
        <v>#VALUE!</v>
      </c>
      <c r="DB70" t="e">
        <f>'All regions'!H1891+"$F;@!%&lt;|"</f>
        <v>#VALUE!</v>
      </c>
      <c r="DC70" t="e">
        <f>'All regions'!I1891+"$F;@!%&lt;}"</f>
        <v>#VALUE!</v>
      </c>
      <c r="DD70" t="e">
        <f>'All regions'!A1892+"$F;@!%&lt;~"</f>
        <v>#VALUE!</v>
      </c>
      <c r="DE70" t="e">
        <f>'All regions'!B1892+"$F;@!%=#"</f>
        <v>#VALUE!</v>
      </c>
      <c r="DF70" t="e">
        <f>'All regions'!C1892+"$F;@!%=$"</f>
        <v>#VALUE!</v>
      </c>
      <c r="DG70" t="e">
        <f>'All regions'!D1892+"$F;@!%=%"</f>
        <v>#VALUE!</v>
      </c>
      <c r="DH70" t="e">
        <f>'All regions'!E1892+"$F;@!%=&amp;"</f>
        <v>#VALUE!</v>
      </c>
      <c r="DI70" t="e">
        <f>'All regions'!F1892+"$F;@!%='"</f>
        <v>#VALUE!</v>
      </c>
      <c r="DJ70" t="e">
        <f>'All regions'!G1892+"$F;@!%=("</f>
        <v>#VALUE!</v>
      </c>
      <c r="DK70" t="e">
        <f>'All regions'!H1892+"$F;@!%=)"</f>
        <v>#VALUE!</v>
      </c>
      <c r="DL70" t="e">
        <f>'All regions'!I1892+"$F;@!%=."</f>
        <v>#VALUE!</v>
      </c>
      <c r="DM70" t="e">
        <f>'All regions'!A1893+"$F;@!%=/"</f>
        <v>#VALUE!</v>
      </c>
      <c r="DN70" t="e">
        <f>'All regions'!B1893+"$F;@!%=0"</f>
        <v>#VALUE!</v>
      </c>
      <c r="DO70" t="e">
        <f>'All regions'!C1893+"$F;@!%=1"</f>
        <v>#VALUE!</v>
      </c>
      <c r="DP70" t="e">
        <f>'All regions'!D1893+"$F;@!%=2"</f>
        <v>#VALUE!</v>
      </c>
      <c r="DQ70" t="e">
        <f>'All regions'!E1893+"$F;@!%=3"</f>
        <v>#VALUE!</v>
      </c>
      <c r="DR70" t="e">
        <f>'All regions'!F1893+"$F;@!%=4"</f>
        <v>#VALUE!</v>
      </c>
      <c r="DS70" t="e">
        <f>'All regions'!G1893+"$F;@!%=5"</f>
        <v>#VALUE!</v>
      </c>
      <c r="DT70" t="e">
        <f>'All regions'!H1893+"$F;@!%=6"</f>
        <v>#VALUE!</v>
      </c>
      <c r="DU70" t="e">
        <f>'All regions'!I1893+"$F;@!%=7"</f>
        <v>#VALUE!</v>
      </c>
      <c r="DV70" t="e">
        <f>'All regions'!A1894+"$F;@!%=8"</f>
        <v>#VALUE!</v>
      </c>
      <c r="DW70" t="e">
        <f>'All regions'!B1894+"$F;@!%=9"</f>
        <v>#VALUE!</v>
      </c>
      <c r="DX70" t="e">
        <f>'All regions'!C1894+"$F;@!%=:"</f>
        <v>#VALUE!</v>
      </c>
      <c r="DY70" t="e">
        <f>'All regions'!D1894+"$F;@!%=;"</f>
        <v>#VALUE!</v>
      </c>
      <c r="DZ70" t="e">
        <f>'All regions'!E1894+"$F;@!%=&lt;"</f>
        <v>#VALUE!</v>
      </c>
      <c r="EA70" t="e">
        <f>'All regions'!F1894+"$F;@!%=="</f>
        <v>#VALUE!</v>
      </c>
      <c r="EB70" t="e">
        <f>'All regions'!G1894+"$F;@!%=&gt;"</f>
        <v>#VALUE!</v>
      </c>
      <c r="EC70" t="e">
        <f>'All regions'!H1894+"$F;@!%=?"</f>
        <v>#VALUE!</v>
      </c>
      <c r="ED70" t="e">
        <f>'All regions'!I1894+"$F;@!%=@"</f>
        <v>#VALUE!</v>
      </c>
      <c r="EE70" t="e">
        <f>'All regions'!A1895+"$F;@!%=A"</f>
        <v>#VALUE!</v>
      </c>
      <c r="EF70" t="e">
        <f>'All regions'!B1895+"$F;@!%=B"</f>
        <v>#VALUE!</v>
      </c>
      <c r="EG70" t="e">
        <f>'All regions'!C1895+"$F;@!%=C"</f>
        <v>#VALUE!</v>
      </c>
      <c r="EH70" t="e">
        <f>'All regions'!D1895+"$F;@!%=D"</f>
        <v>#VALUE!</v>
      </c>
      <c r="EI70" t="e">
        <f>'All regions'!E1895+"$F;@!%=E"</f>
        <v>#VALUE!</v>
      </c>
      <c r="EJ70" t="e">
        <f>'All regions'!F1895+"$F;@!%=F"</f>
        <v>#VALUE!</v>
      </c>
      <c r="EK70" t="e">
        <f>'All regions'!G1895+"$F;@!%=G"</f>
        <v>#VALUE!</v>
      </c>
      <c r="EL70" t="e">
        <f>'All regions'!H1895+"$F;@!%=H"</f>
        <v>#VALUE!</v>
      </c>
      <c r="EM70" t="e">
        <f>'All regions'!I1895+"$F;@!%=I"</f>
        <v>#VALUE!</v>
      </c>
      <c r="EN70" t="e">
        <f>'All regions'!A1897+"$F;@!%=J"</f>
        <v>#VALUE!</v>
      </c>
      <c r="EO70" t="e">
        <f>'All regions'!B1897+"$F;@!%=K"</f>
        <v>#VALUE!</v>
      </c>
      <c r="EP70" t="e">
        <f>'All regions'!C1897+"$F;@!%=L"</f>
        <v>#VALUE!</v>
      </c>
      <c r="EQ70" t="e">
        <f>'All regions'!D1897+"$F;@!%=M"</f>
        <v>#VALUE!</v>
      </c>
      <c r="ER70" t="e">
        <f>'All regions'!E1897+"$F;@!%=N"</f>
        <v>#VALUE!</v>
      </c>
      <c r="ES70" t="e">
        <f>'All regions'!F1897+"$F;@!%=O"</f>
        <v>#VALUE!</v>
      </c>
      <c r="ET70" t="e">
        <f>'All regions'!G1897+"$F;@!%=P"</f>
        <v>#VALUE!</v>
      </c>
      <c r="EU70" t="e">
        <f>'All regions'!H1897+"$F;@!%=Q"</f>
        <v>#VALUE!</v>
      </c>
      <c r="EV70" t="e">
        <f>'All regions'!I1897+"$F;@!%=R"</f>
        <v>#VALUE!</v>
      </c>
      <c r="EW70" t="e">
        <f>'All regions'!A1898+"$F;@!%=S"</f>
        <v>#VALUE!</v>
      </c>
      <c r="EX70" t="e">
        <f>'All regions'!B1898+"$F;@!%=T"</f>
        <v>#VALUE!</v>
      </c>
      <c r="EY70" t="e">
        <f>'All regions'!C1898+"$F;@!%=U"</f>
        <v>#VALUE!</v>
      </c>
      <c r="EZ70" t="e">
        <f>'All regions'!D1898+"$F;@!%=V"</f>
        <v>#VALUE!</v>
      </c>
      <c r="FA70" t="e">
        <f>'All regions'!E1898+"$F;@!%=W"</f>
        <v>#VALUE!</v>
      </c>
      <c r="FB70" t="e">
        <f>'All regions'!F1898+"$F;@!%=X"</f>
        <v>#VALUE!</v>
      </c>
      <c r="FC70" t="e">
        <f>'All regions'!G1898+"$F;@!%=Y"</f>
        <v>#VALUE!</v>
      </c>
      <c r="FD70" t="e">
        <f>'All regions'!H1898+"$F;@!%=Z"</f>
        <v>#VALUE!</v>
      </c>
      <c r="FE70" t="e">
        <f>'All regions'!I1898+"$F;@!%=["</f>
        <v>#VALUE!</v>
      </c>
      <c r="FF70" t="e">
        <f>'All regions'!A1900+"$F;@!%=\"</f>
        <v>#VALUE!</v>
      </c>
      <c r="FG70" t="e">
        <f>'All regions'!B1900+"$F;@!%=]"</f>
        <v>#VALUE!</v>
      </c>
      <c r="FH70" t="e">
        <f>'All regions'!C1900+"$F;@!%=^"</f>
        <v>#VALUE!</v>
      </c>
      <c r="FI70" t="e">
        <f>'All regions'!D1900+"$F;@!%=_"</f>
        <v>#VALUE!</v>
      </c>
      <c r="FJ70" t="e">
        <f>'All regions'!E1900+"$F;@!%=`"</f>
        <v>#VALUE!</v>
      </c>
      <c r="FK70" t="e">
        <f>'All regions'!F1900+"$F;@!%=a"</f>
        <v>#VALUE!</v>
      </c>
      <c r="FL70" t="e">
        <f>'All regions'!G1900+"$F;@!%=b"</f>
        <v>#VALUE!</v>
      </c>
      <c r="FM70" t="e">
        <f>'All regions'!H1900+"$F;@!%=c"</f>
        <v>#VALUE!</v>
      </c>
      <c r="FN70" t="e">
        <f>'All regions'!I1900+"$F;@!%=d"</f>
        <v>#VALUE!</v>
      </c>
      <c r="FO70" t="e">
        <f>'All regions'!A1901+"$F;@!%=e"</f>
        <v>#VALUE!</v>
      </c>
      <c r="FP70" t="e">
        <f>'All regions'!B1901+"$F;@!%=f"</f>
        <v>#VALUE!</v>
      </c>
      <c r="FQ70" t="e">
        <f>'All regions'!C1901+"$F;@!%=g"</f>
        <v>#VALUE!</v>
      </c>
      <c r="FR70" t="e">
        <f>'All regions'!D1901+"$F;@!%=h"</f>
        <v>#VALUE!</v>
      </c>
      <c r="FS70" t="e">
        <f>'All regions'!E1901+"$F;@!%=i"</f>
        <v>#VALUE!</v>
      </c>
      <c r="FT70" t="e">
        <f>'All regions'!F1901+"$F;@!%=j"</f>
        <v>#VALUE!</v>
      </c>
      <c r="FU70" t="e">
        <f>'All regions'!G1901+"$F;@!%=k"</f>
        <v>#VALUE!</v>
      </c>
      <c r="FV70" t="e">
        <f>'All regions'!H1901+"$F;@!%=l"</f>
        <v>#VALUE!</v>
      </c>
      <c r="FW70" t="e">
        <f>'All regions'!I1901+"$F;@!%=m"</f>
        <v>#VALUE!</v>
      </c>
      <c r="FX70" t="e">
        <f>'All regions'!A1903+"$F;@!%=n"</f>
        <v>#VALUE!</v>
      </c>
      <c r="FY70" t="e">
        <f>'All regions'!B1903+"$F;@!%=o"</f>
        <v>#VALUE!</v>
      </c>
      <c r="FZ70" t="e">
        <f>'All regions'!C1903+"$F;@!%=p"</f>
        <v>#VALUE!</v>
      </c>
      <c r="GA70" t="e">
        <f>'All regions'!D1903+"$F;@!%=q"</f>
        <v>#VALUE!</v>
      </c>
      <c r="GB70" t="e">
        <f>'All regions'!E1903+"$F;@!%=r"</f>
        <v>#VALUE!</v>
      </c>
      <c r="GC70" t="e">
        <f>'All regions'!F1903+"$F;@!%=s"</f>
        <v>#VALUE!</v>
      </c>
      <c r="GD70" t="e">
        <f>'All regions'!G1903+"$F;@!%=t"</f>
        <v>#VALUE!</v>
      </c>
      <c r="GE70" t="e">
        <f>'All regions'!H1903+"$F;@!%=u"</f>
        <v>#VALUE!</v>
      </c>
      <c r="GF70" t="e">
        <f>'All regions'!I1903+"$F;@!%=v"</f>
        <v>#VALUE!</v>
      </c>
      <c r="GG70" t="e">
        <f>'All regions'!A1905+"$F;@!%=w"</f>
        <v>#VALUE!</v>
      </c>
      <c r="GH70" t="e">
        <f>'All regions'!B1905+"$F;@!%=x"</f>
        <v>#VALUE!</v>
      </c>
      <c r="GI70" t="e">
        <f>'All regions'!C1905+"$F;@!%=y"</f>
        <v>#VALUE!</v>
      </c>
      <c r="GJ70" t="e">
        <f>'All regions'!D1905+"$F;@!%=z"</f>
        <v>#VALUE!</v>
      </c>
      <c r="GK70" t="e">
        <f>'All regions'!E1905+"$F;@!%={"</f>
        <v>#VALUE!</v>
      </c>
      <c r="GL70" t="e">
        <f>'All regions'!F1905+"$F;@!%=|"</f>
        <v>#VALUE!</v>
      </c>
      <c r="GM70" t="e">
        <f>'All regions'!G1905+"$F;@!%=}"</f>
        <v>#VALUE!</v>
      </c>
      <c r="GN70" t="e">
        <f>'All regions'!H1905+"$F;@!%=~"</f>
        <v>#VALUE!</v>
      </c>
      <c r="GO70" t="e">
        <f>'All regions'!I1905+"$F;@!%&gt;#"</f>
        <v>#VALUE!</v>
      </c>
      <c r="GP70" t="e">
        <f>'All regions'!A1906+"$F;@!%&gt;$"</f>
        <v>#VALUE!</v>
      </c>
      <c r="GQ70" t="e">
        <f>'All regions'!B1906+"$F;@!%&gt;%"</f>
        <v>#VALUE!</v>
      </c>
      <c r="GR70" t="e">
        <f>'All regions'!C1906+"$F;@!%&gt;&amp;"</f>
        <v>#VALUE!</v>
      </c>
      <c r="GS70" t="e">
        <f>'All regions'!D1906+"$F;@!%&gt;'"</f>
        <v>#VALUE!</v>
      </c>
      <c r="GT70" t="e">
        <f>'All regions'!E1906+"$F;@!%&gt;("</f>
        <v>#VALUE!</v>
      </c>
      <c r="GU70" t="e">
        <f>'All regions'!F1906+"$F;@!%&gt;)"</f>
        <v>#VALUE!</v>
      </c>
      <c r="GV70" t="e">
        <f>'All regions'!G1906+"$F;@!%&gt;."</f>
        <v>#VALUE!</v>
      </c>
      <c r="GW70" t="e">
        <f>'All regions'!H1906+"$F;@!%&gt;/"</f>
        <v>#VALUE!</v>
      </c>
      <c r="GX70" t="e">
        <f>'All regions'!I1906+"$F;@!%&gt;0"</f>
        <v>#VALUE!</v>
      </c>
      <c r="GY70" t="e">
        <f>'All regions'!A1907+"$F;@!%&gt;1"</f>
        <v>#VALUE!</v>
      </c>
      <c r="GZ70" t="e">
        <f>'All regions'!B1907+"$F;@!%&gt;2"</f>
        <v>#VALUE!</v>
      </c>
      <c r="HA70" t="e">
        <f>'All regions'!C1907+"$F;@!%&gt;3"</f>
        <v>#VALUE!</v>
      </c>
      <c r="HB70" t="e">
        <f>'All regions'!D1907+"$F;@!%&gt;4"</f>
        <v>#VALUE!</v>
      </c>
      <c r="HC70" t="e">
        <f>'All regions'!E1907+"$F;@!%&gt;5"</f>
        <v>#VALUE!</v>
      </c>
      <c r="HD70" t="e">
        <f>'All regions'!F1907+"$F;@!%&gt;6"</f>
        <v>#VALUE!</v>
      </c>
      <c r="HE70" t="e">
        <f>'All regions'!G1907+"$F;@!%&gt;7"</f>
        <v>#VALUE!</v>
      </c>
      <c r="HF70" t="e">
        <f>'All regions'!H1907+"$F;@!%&gt;8"</f>
        <v>#VALUE!</v>
      </c>
      <c r="HG70" t="e">
        <f>'All regions'!I1907+"$F;@!%&gt;9"</f>
        <v>#VALUE!</v>
      </c>
      <c r="HH70" t="e">
        <f>'All regions'!A1908+"$F;@!%&gt;:"</f>
        <v>#VALUE!</v>
      </c>
      <c r="HI70" t="e">
        <f>'All regions'!B1908+"$F;@!%&gt;;"</f>
        <v>#VALUE!</v>
      </c>
      <c r="HJ70" t="e">
        <f>'All regions'!C1908+"$F;@!%&gt;&lt;"</f>
        <v>#VALUE!</v>
      </c>
      <c r="HK70" t="e">
        <f>'All regions'!D1908+"$F;@!%&gt;="</f>
        <v>#VALUE!</v>
      </c>
      <c r="HL70" t="e">
        <f>'All regions'!E1908+"$F;@!%&gt;&gt;"</f>
        <v>#VALUE!</v>
      </c>
      <c r="HM70" t="e">
        <f>'All regions'!F1908+"$F;@!%&gt;?"</f>
        <v>#VALUE!</v>
      </c>
      <c r="HN70" t="e">
        <f>'All regions'!G1908+"$F;@!%&gt;@"</f>
        <v>#VALUE!</v>
      </c>
      <c r="HO70" t="e">
        <f>'All regions'!H1908+"$F;@!%&gt;A"</f>
        <v>#VALUE!</v>
      </c>
      <c r="HP70" t="e">
        <f>'All regions'!I1908+"$F;@!%&gt;B"</f>
        <v>#VALUE!</v>
      </c>
      <c r="HQ70" t="e">
        <f>'All regions'!A1909+"$F;@!%&gt;C"</f>
        <v>#VALUE!</v>
      </c>
      <c r="HR70" t="e">
        <f>'All regions'!B1909+"$F;@!%&gt;D"</f>
        <v>#VALUE!</v>
      </c>
      <c r="HS70" t="e">
        <f>'All regions'!C1909+"$F;@!%&gt;E"</f>
        <v>#VALUE!</v>
      </c>
      <c r="HT70" t="e">
        <f>'All regions'!D1909+"$F;@!%&gt;F"</f>
        <v>#VALUE!</v>
      </c>
      <c r="HU70" t="e">
        <f>'All regions'!E1909+"$F;@!%&gt;G"</f>
        <v>#VALUE!</v>
      </c>
      <c r="HV70" t="e">
        <f>'All regions'!F1909+"$F;@!%&gt;H"</f>
        <v>#VALUE!</v>
      </c>
      <c r="HW70" t="e">
        <f>'All regions'!G1909+"$F;@!%&gt;I"</f>
        <v>#VALUE!</v>
      </c>
      <c r="HX70" t="e">
        <f>'All regions'!H1909+"$F;@!%&gt;J"</f>
        <v>#VALUE!</v>
      </c>
      <c r="HY70" t="e">
        <f>'All regions'!I1909+"$F;@!%&gt;K"</f>
        <v>#VALUE!</v>
      </c>
      <c r="HZ70" t="e">
        <f>'All regions'!A1910+"$F;@!%&gt;L"</f>
        <v>#VALUE!</v>
      </c>
      <c r="IA70" t="e">
        <f>'All regions'!B1910+"$F;@!%&gt;M"</f>
        <v>#VALUE!</v>
      </c>
      <c r="IB70" t="e">
        <f>'All regions'!C1910+"$F;@!%&gt;N"</f>
        <v>#VALUE!</v>
      </c>
      <c r="IC70" t="e">
        <f>'All regions'!D1910+"$F;@!%&gt;O"</f>
        <v>#VALUE!</v>
      </c>
      <c r="ID70" t="e">
        <f>'All regions'!E1910+"$F;@!%&gt;P"</f>
        <v>#VALUE!</v>
      </c>
      <c r="IE70" t="e">
        <f>'All regions'!F1910+"$F;@!%&gt;Q"</f>
        <v>#VALUE!</v>
      </c>
      <c r="IF70" t="e">
        <f>'All regions'!G1910+"$F;@!%&gt;R"</f>
        <v>#VALUE!</v>
      </c>
      <c r="IG70" t="e">
        <f>'All regions'!H1910+"$F;@!%&gt;S"</f>
        <v>#VALUE!</v>
      </c>
      <c r="IH70" t="e">
        <f>'All regions'!I1910+"$F;@!%&gt;T"</f>
        <v>#VALUE!</v>
      </c>
      <c r="II70" t="e">
        <f>'All regions'!A1912+"$F;@!%&gt;U"</f>
        <v>#VALUE!</v>
      </c>
      <c r="IJ70" t="e">
        <f>'All regions'!B1912+"$F;@!%&gt;V"</f>
        <v>#VALUE!</v>
      </c>
      <c r="IK70" t="e">
        <f>'All regions'!C1912+"$F;@!%&gt;W"</f>
        <v>#VALUE!</v>
      </c>
      <c r="IL70" t="e">
        <f>'All regions'!D1912+"$F;@!%&gt;X"</f>
        <v>#VALUE!</v>
      </c>
      <c r="IM70" t="e">
        <f>'All regions'!E1912+"$F;@!%&gt;Y"</f>
        <v>#VALUE!</v>
      </c>
      <c r="IN70" t="e">
        <f>'All regions'!F1912+"$F;@!%&gt;Z"</f>
        <v>#VALUE!</v>
      </c>
      <c r="IO70" t="e">
        <f>'All regions'!G1912+"$F;@!%&gt;["</f>
        <v>#VALUE!</v>
      </c>
      <c r="IP70" t="e">
        <f>'All regions'!H1912+"$F;@!%&gt;\"</f>
        <v>#VALUE!</v>
      </c>
      <c r="IQ70" t="e">
        <f>'All regions'!I1912+"$F;@!%&gt;]"</f>
        <v>#VALUE!</v>
      </c>
      <c r="IR70" t="e">
        <f>'All regions'!A1913+"$F;@!%&gt;^"</f>
        <v>#VALUE!</v>
      </c>
      <c r="IS70" t="e">
        <f>'All regions'!B1913+"$F;@!%&gt;_"</f>
        <v>#VALUE!</v>
      </c>
      <c r="IT70" t="e">
        <f>'All regions'!C1913+"$F;@!%&gt;`"</f>
        <v>#VALUE!</v>
      </c>
      <c r="IU70" t="e">
        <f>'All regions'!D1913+"$F;@!%&gt;a"</f>
        <v>#VALUE!</v>
      </c>
      <c r="IV70" t="e">
        <f>'All regions'!E1913+"$F;@!%&gt;b"</f>
        <v>#VALUE!</v>
      </c>
    </row>
    <row r="71" spans="6:256" x14ac:dyDescent="0.35">
      <c r="F71" t="e">
        <f>'All regions'!F1913+"$F;@!%&gt;c"</f>
        <v>#VALUE!</v>
      </c>
      <c r="G71" t="e">
        <f>'All regions'!G1913+"$F;@!%&gt;d"</f>
        <v>#VALUE!</v>
      </c>
      <c r="H71" t="e">
        <f>'All regions'!H1913+"$F;@!%&gt;e"</f>
        <v>#VALUE!</v>
      </c>
      <c r="I71" t="e">
        <f>'All regions'!I1913+"$F;@!%&gt;f"</f>
        <v>#VALUE!</v>
      </c>
      <c r="J71" t="e">
        <f>'All regions'!A1914+"$F;@!%&gt;g"</f>
        <v>#VALUE!</v>
      </c>
      <c r="K71" t="e">
        <f>'All regions'!B1914+"$F;@!%&gt;h"</f>
        <v>#VALUE!</v>
      </c>
      <c r="L71" t="e">
        <f>'All regions'!C1914+"$F;@!%&gt;i"</f>
        <v>#VALUE!</v>
      </c>
      <c r="M71" t="e">
        <f>'All regions'!D1914+"$F;@!%&gt;j"</f>
        <v>#VALUE!</v>
      </c>
      <c r="N71" t="e">
        <f>'All regions'!E1914+"$F;@!%&gt;k"</f>
        <v>#VALUE!</v>
      </c>
      <c r="O71" t="e">
        <f>'All regions'!F1914+"$F;@!%&gt;l"</f>
        <v>#VALUE!</v>
      </c>
      <c r="P71" t="e">
        <f>'All regions'!G1914+"$F;@!%&gt;m"</f>
        <v>#VALUE!</v>
      </c>
      <c r="Q71" t="e">
        <f>'All regions'!H1914+"$F;@!%&gt;n"</f>
        <v>#VALUE!</v>
      </c>
      <c r="R71" t="e">
        <f>'All regions'!I1914+"$F;@!%&gt;o"</f>
        <v>#VALUE!</v>
      </c>
      <c r="S71" t="e">
        <f>'All regions'!A1915+"$F;@!%&gt;p"</f>
        <v>#VALUE!</v>
      </c>
      <c r="T71" t="e">
        <f>'All regions'!B1915+"$F;@!%&gt;q"</f>
        <v>#VALUE!</v>
      </c>
      <c r="U71" t="e">
        <f>'All regions'!C1915+"$F;@!%&gt;r"</f>
        <v>#VALUE!</v>
      </c>
      <c r="V71" t="e">
        <f>'All regions'!D1915+"$F;@!%&gt;s"</f>
        <v>#VALUE!</v>
      </c>
      <c r="W71" t="e">
        <f>'All regions'!E1915+"$F;@!%&gt;t"</f>
        <v>#VALUE!</v>
      </c>
      <c r="X71" t="e">
        <f>'All regions'!F1915+"$F;@!%&gt;u"</f>
        <v>#VALUE!</v>
      </c>
      <c r="Y71" t="e">
        <f>'All regions'!G1915+"$F;@!%&gt;v"</f>
        <v>#VALUE!</v>
      </c>
      <c r="Z71" t="e">
        <f>'All regions'!H1915+"$F;@!%&gt;w"</f>
        <v>#VALUE!</v>
      </c>
      <c r="AA71" t="e">
        <f>'All regions'!I1915+"$F;@!%&gt;x"</f>
        <v>#VALUE!</v>
      </c>
      <c r="AB71" t="e">
        <f>'All regions'!A1916+"$F;@!%&gt;y"</f>
        <v>#VALUE!</v>
      </c>
      <c r="AC71" t="e">
        <f>'All regions'!B1916+"$F;@!%&gt;z"</f>
        <v>#VALUE!</v>
      </c>
      <c r="AD71" t="e">
        <f>'All regions'!C1916+"$F;@!%&gt;{"</f>
        <v>#VALUE!</v>
      </c>
      <c r="AE71" t="e">
        <f>'All regions'!D1916+"$F;@!%&gt;|"</f>
        <v>#VALUE!</v>
      </c>
      <c r="AF71" t="e">
        <f>'All regions'!E1916+"$F;@!%&gt;}"</f>
        <v>#VALUE!</v>
      </c>
      <c r="AG71" t="e">
        <f>'All regions'!F1916+"$F;@!%&gt;~"</f>
        <v>#VALUE!</v>
      </c>
      <c r="AH71" t="e">
        <f>'All regions'!G1916+"$F;@!%?#"</f>
        <v>#VALUE!</v>
      </c>
      <c r="AI71" t="e">
        <f>'All regions'!H1916+"$F;@!%?$"</f>
        <v>#VALUE!</v>
      </c>
      <c r="AJ71" t="e">
        <f>'All regions'!I1916+"$F;@!%?%"</f>
        <v>#VALUE!</v>
      </c>
      <c r="AK71" t="e">
        <f>'All regions'!A1917+"$F;@!%?&amp;"</f>
        <v>#VALUE!</v>
      </c>
      <c r="AL71" t="e">
        <f>'All regions'!B1917+"$F;@!%?'"</f>
        <v>#VALUE!</v>
      </c>
      <c r="AM71" t="e">
        <f>'All regions'!C1917+"$F;@!%?("</f>
        <v>#VALUE!</v>
      </c>
      <c r="AN71" t="e">
        <f>'All regions'!D1917+"$F;@!%?)"</f>
        <v>#VALUE!</v>
      </c>
      <c r="AO71" t="e">
        <f>'All regions'!E1917+"$F;@!%?."</f>
        <v>#VALUE!</v>
      </c>
      <c r="AP71" t="e">
        <f>'All regions'!F1917+"$F;@!%?/"</f>
        <v>#VALUE!</v>
      </c>
      <c r="AQ71" t="e">
        <f>'All regions'!G1917+"$F;@!%?0"</f>
        <v>#VALUE!</v>
      </c>
      <c r="AR71" t="e">
        <f>'All regions'!H1917+"$F;@!%?1"</f>
        <v>#VALUE!</v>
      </c>
      <c r="AS71" t="e">
        <f>'All regions'!I1917+"$F;@!%?2"</f>
        <v>#VALUE!</v>
      </c>
      <c r="AT71" t="e">
        <f>'All regions'!A1918+"$F;@!%?3"</f>
        <v>#VALUE!</v>
      </c>
      <c r="AU71" t="e">
        <f>'All regions'!B1918+"$F;@!%?4"</f>
        <v>#VALUE!</v>
      </c>
      <c r="AV71" t="e">
        <f>'All regions'!C1918+"$F;@!%?5"</f>
        <v>#VALUE!</v>
      </c>
      <c r="AW71" t="e">
        <f>'All regions'!D1918+"$F;@!%?6"</f>
        <v>#VALUE!</v>
      </c>
      <c r="AX71" t="e">
        <f>'All regions'!E1918+"$F;@!%?7"</f>
        <v>#VALUE!</v>
      </c>
      <c r="AY71" t="e">
        <f>'All regions'!F1918+"$F;@!%?8"</f>
        <v>#VALUE!</v>
      </c>
      <c r="AZ71" t="e">
        <f>'All regions'!G1918+"$F;@!%?9"</f>
        <v>#VALUE!</v>
      </c>
      <c r="BA71" t="e">
        <f>'All regions'!H1918+"$F;@!%?:"</f>
        <v>#VALUE!</v>
      </c>
      <c r="BB71" t="e">
        <f>'All regions'!I1918+"$F;@!%?;"</f>
        <v>#VALUE!</v>
      </c>
      <c r="BC71" t="e">
        <f>'All regions'!A1919+"$F;@!%?&lt;"</f>
        <v>#VALUE!</v>
      </c>
      <c r="BD71" t="e">
        <f>'All regions'!B1919+"$F;@!%?="</f>
        <v>#VALUE!</v>
      </c>
      <c r="BE71" t="e">
        <f>'All regions'!C1919+"$F;@!%?&gt;"</f>
        <v>#VALUE!</v>
      </c>
      <c r="BF71" t="e">
        <f>'All regions'!D1919+"$F;@!%??"</f>
        <v>#VALUE!</v>
      </c>
      <c r="BG71" t="e">
        <f>'All regions'!E1919+"$F;@!%?@"</f>
        <v>#VALUE!</v>
      </c>
      <c r="BH71" t="e">
        <f>'All regions'!F1919+"$F;@!%?A"</f>
        <v>#VALUE!</v>
      </c>
      <c r="BI71" t="e">
        <f>'All regions'!G1919+"$F;@!%?B"</f>
        <v>#VALUE!</v>
      </c>
      <c r="BJ71" t="e">
        <f>'All regions'!H1919+"$F;@!%?C"</f>
        <v>#VALUE!</v>
      </c>
      <c r="BK71" t="e">
        <f>'All regions'!I1919+"$F;@!%?D"</f>
        <v>#VALUE!</v>
      </c>
      <c r="BL71" t="e">
        <f>'All regions'!A1920+"$F;@!%?E"</f>
        <v>#VALUE!</v>
      </c>
      <c r="BM71" t="e">
        <f>'All regions'!B1920+"$F;@!%?F"</f>
        <v>#VALUE!</v>
      </c>
      <c r="BN71" t="e">
        <f>'All regions'!C1920+"$F;@!%?G"</f>
        <v>#VALUE!</v>
      </c>
      <c r="BO71" t="e">
        <f>'All regions'!D1920+"$F;@!%?H"</f>
        <v>#VALUE!</v>
      </c>
      <c r="BP71" t="e">
        <f>'All regions'!E1920+"$F;@!%?I"</f>
        <v>#VALUE!</v>
      </c>
      <c r="BQ71" t="e">
        <f>'All regions'!F1920+"$F;@!%?J"</f>
        <v>#VALUE!</v>
      </c>
      <c r="BR71" t="e">
        <f>'All regions'!G1920+"$F;@!%?K"</f>
        <v>#VALUE!</v>
      </c>
      <c r="BS71" t="e">
        <f>'All regions'!H1920+"$F;@!%?L"</f>
        <v>#VALUE!</v>
      </c>
      <c r="BT71" t="e">
        <f>'All regions'!I1920+"$F;@!%?M"</f>
        <v>#VALUE!</v>
      </c>
      <c r="BU71" t="e">
        <f>'All regions'!A1921+"$F;@!%?N"</f>
        <v>#VALUE!</v>
      </c>
      <c r="BV71" t="e">
        <f>'All regions'!B1921+"$F;@!%?O"</f>
        <v>#VALUE!</v>
      </c>
      <c r="BW71" t="e">
        <f>'All regions'!C1921+"$F;@!%?P"</f>
        <v>#VALUE!</v>
      </c>
      <c r="BX71" t="e">
        <f>'All regions'!D1921+"$F;@!%?Q"</f>
        <v>#VALUE!</v>
      </c>
      <c r="BY71" t="e">
        <f>'All regions'!E1921+"$F;@!%?R"</f>
        <v>#VALUE!</v>
      </c>
      <c r="BZ71" t="e">
        <f>'All regions'!F1921+"$F;@!%?S"</f>
        <v>#VALUE!</v>
      </c>
      <c r="CA71" t="e">
        <f>'All regions'!G1921+"$F;@!%?T"</f>
        <v>#VALUE!</v>
      </c>
      <c r="CB71" t="e">
        <f>'All regions'!H1921+"$F;@!%?U"</f>
        <v>#VALUE!</v>
      </c>
      <c r="CC71" t="e">
        <f>'All regions'!I1921+"$F;@!%?V"</f>
        <v>#VALUE!</v>
      </c>
      <c r="CD71" t="e">
        <f>'All regions'!A1922+"$F;@!%?W"</f>
        <v>#VALUE!</v>
      </c>
      <c r="CE71" t="e">
        <f>'All regions'!B1922+"$F;@!%?X"</f>
        <v>#VALUE!</v>
      </c>
      <c r="CF71" t="e">
        <f>'All regions'!C1922+"$F;@!%?Y"</f>
        <v>#VALUE!</v>
      </c>
      <c r="CG71" t="e">
        <f>'All regions'!D1922+"$F;@!%?Z"</f>
        <v>#VALUE!</v>
      </c>
      <c r="CH71" t="e">
        <f>'All regions'!E1922+"$F;@!%?["</f>
        <v>#VALUE!</v>
      </c>
      <c r="CI71" t="e">
        <f>'All regions'!F1922+"$F;@!%?\"</f>
        <v>#VALUE!</v>
      </c>
      <c r="CJ71" t="e">
        <f>'All regions'!G1922+"$F;@!%?]"</f>
        <v>#VALUE!</v>
      </c>
      <c r="CK71" t="e">
        <f>'All regions'!H1922+"$F;@!%?^"</f>
        <v>#VALUE!</v>
      </c>
      <c r="CL71" t="e">
        <f>'All regions'!I1922+"$F;@!%?_"</f>
        <v>#VALUE!</v>
      </c>
      <c r="CM71" t="e">
        <f>'All regions'!A1923+"$F;@!%?`"</f>
        <v>#VALUE!</v>
      </c>
      <c r="CN71" t="e">
        <f>'All regions'!B1923+"$F;@!%?a"</f>
        <v>#VALUE!</v>
      </c>
      <c r="CO71" t="e">
        <f>'All regions'!C1923+"$F;@!%?b"</f>
        <v>#VALUE!</v>
      </c>
      <c r="CP71" t="e">
        <f>'All regions'!D1923+"$F;@!%?c"</f>
        <v>#VALUE!</v>
      </c>
      <c r="CQ71" t="e">
        <f>'All regions'!E1923+"$F;@!%?d"</f>
        <v>#VALUE!</v>
      </c>
      <c r="CR71" t="e">
        <f>'All regions'!F1923+"$F;@!%?e"</f>
        <v>#VALUE!</v>
      </c>
      <c r="CS71" t="e">
        <f>'All regions'!G1923+"$F;@!%?f"</f>
        <v>#VALUE!</v>
      </c>
      <c r="CT71" t="e">
        <f>'All regions'!H1923+"$F;@!%?g"</f>
        <v>#VALUE!</v>
      </c>
      <c r="CU71" t="e">
        <f>'All regions'!I1923+"$F;@!%?h"</f>
        <v>#VALUE!</v>
      </c>
      <c r="CV71" t="e">
        <f>'All regions'!A1924+"$F;@!%?i"</f>
        <v>#VALUE!</v>
      </c>
      <c r="CW71" t="e">
        <f>'All regions'!B1924+"$F;@!%?j"</f>
        <v>#VALUE!</v>
      </c>
      <c r="CX71" t="e">
        <f>'All regions'!C1924+"$F;@!%?k"</f>
        <v>#VALUE!</v>
      </c>
      <c r="CY71" t="e">
        <f>'All regions'!D1924+"$F;@!%?l"</f>
        <v>#VALUE!</v>
      </c>
      <c r="CZ71" t="e">
        <f>'All regions'!E1924+"$F;@!%?m"</f>
        <v>#VALUE!</v>
      </c>
      <c r="DA71" t="e">
        <f>'All regions'!F1924+"$F;@!%?n"</f>
        <v>#VALUE!</v>
      </c>
      <c r="DB71" t="e">
        <f>'All regions'!G1924+"$F;@!%?o"</f>
        <v>#VALUE!</v>
      </c>
      <c r="DC71" t="e">
        <f>'All regions'!H1924+"$F;@!%?p"</f>
        <v>#VALUE!</v>
      </c>
      <c r="DD71" t="e">
        <f>'All regions'!I1924+"$F;@!%?q"</f>
        <v>#VALUE!</v>
      </c>
      <c r="DE71" t="e">
        <f>'All regions'!A1925+"$F;@!%?r"</f>
        <v>#VALUE!</v>
      </c>
      <c r="DF71" t="e">
        <f>'All regions'!B1925+"$F;@!%?s"</f>
        <v>#VALUE!</v>
      </c>
      <c r="DG71" t="e">
        <f>'All regions'!C1925+"$F;@!%?t"</f>
        <v>#VALUE!</v>
      </c>
      <c r="DH71" t="e">
        <f>'All regions'!D1925+"$F;@!%?u"</f>
        <v>#VALUE!</v>
      </c>
      <c r="DI71" t="e">
        <f>'All regions'!E1925+"$F;@!%?v"</f>
        <v>#VALUE!</v>
      </c>
      <c r="DJ71" t="e">
        <f>'All regions'!F1925+"$F;@!%?w"</f>
        <v>#VALUE!</v>
      </c>
      <c r="DK71" t="e">
        <f>'All regions'!G1925+"$F;@!%?x"</f>
        <v>#VALUE!</v>
      </c>
      <c r="DL71" t="e">
        <f>'All regions'!H1925+"$F;@!%?y"</f>
        <v>#VALUE!</v>
      </c>
      <c r="DM71" t="e">
        <f>'All regions'!I1925+"$F;@!%?z"</f>
        <v>#VALUE!</v>
      </c>
      <c r="DN71" t="e">
        <f>'All regions'!A1926+"$F;@!%?{"</f>
        <v>#VALUE!</v>
      </c>
      <c r="DO71" t="e">
        <f>'All regions'!B1926+"$F;@!%?|"</f>
        <v>#VALUE!</v>
      </c>
      <c r="DP71" t="e">
        <f>'All regions'!C1926+"$F;@!%?}"</f>
        <v>#VALUE!</v>
      </c>
      <c r="DQ71" t="e">
        <f>'All regions'!D1926+"$F;@!%?~"</f>
        <v>#VALUE!</v>
      </c>
      <c r="DR71" t="e">
        <f>'All regions'!E1926+"$F;@!%@#"</f>
        <v>#VALUE!</v>
      </c>
      <c r="DS71" t="e">
        <f>'All regions'!F1926+"$F;@!%@$"</f>
        <v>#VALUE!</v>
      </c>
      <c r="DT71" t="e">
        <f>'All regions'!G1926+"$F;@!%@%"</f>
        <v>#VALUE!</v>
      </c>
      <c r="DU71" t="e">
        <f>'All regions'!H1926+"$F;@!%@&amp;"</f>
        <v>#VALUE!</v>
      </c>
      <c r="DV71" t="e">
        <f>'All regions'!I1926+"$F;@!%@'"</f>
        <v>#VALUE!</v>
      </c>
      <c r="DW71" t="e">
        <f>'All regions'!A1927+"$F;@!%@("</f>
        <v>#VALUE!</v>
      </c>
      <c r="DX71" t="e">
        <f>'All regions'!B1927+"$F;@!%@)"</f>
        <v>#VALUE!</v>
      </c>
      <c r="DY71" t="e">
        <f>'All regions'!C1927+"$F;@!%@."</f>
        <v>#VALUE!</v>
      </c>
      <c r="DZ71" t="e">
        <f>'All regions'!D1927+"$F;@!%@/"</f>
        <v>#VALUE!</v>
      </c>
      <c r="EA71" t="e">
        <f>'All regions'!E1927+"$F;@!%@0"</f>
        <v>#VALUE!</v>
      </c>
      <c r="EB71" t="e">
        <f>'All regions'!F1927+"$F;@!%@1"</f>
        <v>#VALUE!</v>
      </c>
      <c r="EC71" t="e">
        <f>'All regions'!G1927+"$F;@!%@2"</f>
        <v>#VALUE!</v>
      </c>
      <c r="ED71" t="e">
        <f>'All regions'!H1927+"$F;@!%@3"</f>
        <v>#VALUE!</v>
      </c>
      <c r="EE71" t="e">
        <f>'All regions'!I1927+"$F;@!%@4"</f>
        <v>#VALUE!</v>
      </c>
      <c r="EF71" t="e">
        <f>'All regions'!A1930+"$F;@!%@5"</f>
        <v>#VALUE!</v>
      </c>
      <c r="EG71" t="e">
        <f>'All regions'!B1930+"$F;@!%@6"</f>
        <v>#VALUE!</v>
      </c>
      <c r="EH71" t="e">
        <f>'All regions'!C1930+"$F;@!%@7"</f>
        <v>#VALUE!</v>
      </c>
      <c r="EI71" t="e">
        <f>'All regions'!D1930+"$F;@!%@8"</f>
        <v>#VALUE!</v>
      </c>
      <c r="EJ71" t="e">
        <f>'All regions'!E1930+"$F;@!%@9"</f>
        <v>#VALUE!</v>
      </c>
      <c r="EK71" t="e">
        <f>'All regions'!F1930+"$F;@!%@:"</f>
        <v>#VALUE!</v>
      </c>
      <c r="EL71" t="e">
        <f>'All regions'!G1930+"$F;@!%@;"</f>
        <v>#VALUE!</v>
      </c>
      <c r="EM71" t="e">
        <f>'All regions'!H1930+"$F;@!%@&lt;"</f>
        <v>#VALUE!</v>
      </c>
      <c r="EN71" t="e">
        <f>'All regions'!I1930+"$F;@!%@="</f>
        <v>#VALUE!</v>
      </c>
      <c r="EO71" t="e">
        <f>'All regions'!A1931+"$F;@!%@&gt;"</f>
        <v>#VALUE!</v>
      </c>
      <c r="EP71" t="e">
        <f>'All regions'!B1931+"$F;@!%@?"</f>
        <v>#VALUE!</v>
      </c>
      <c r="EQ71" t="e">
        <f>'All regions'!C1931+"$F;@!%@@"</f>
        <v>#VALUE!</v>
      </c>
      <c r="ER71" t="e">
        <f>'All regions'!D1931+"$F;@!%@A"</f>
        <v>#VALUE!</v>
      </c>
      <c r="ES71" t="e">
        <f>'All regions'!E1931+"$F;@!%@B"</f>
        <v>#VALUE!</v>
      </c>
      <c r="ET71" t="e">
        <f>'All regions'!F1931+"$F;@!%@C"</f>
        <v>#VALUE!</v>
      </c>
      <c r="EU71" t="e">
        <f>'All regions'!G1931+"$F;@!%@D"</f>
        <v>#VALUE!</v>
      </c>
      <c r="EV71" t="e">
        <f>'All regions'!H1931+"$F;@!%@E"</f>
        <v>#VALUE!</v>
      </c>
      <c r="EW71" t="e">
        <f>'All regions'!I1931+"$F;@!%@F"</f>
        <v>#VALUE!</v>
      </c>
      <c r="EX71" t="e">
        <f>'All regions'!A1932+"$F;@!%@G"</f>
        <v>#VALUE!</v>
      </c>
      <c r="EY71" t="e">
        <f>'All regions'!B1932+"$F;@!%@H"</f>
        <v>#VALUE!</v>
      </c>
      <c r="EZ71" t="e">
        <f>'All regions'!C1932+"$F;@!%@I"</f>
        <v>#VALUE!</v>
      </c>
      <c r="FA71" t="e">
        <f>'All regions'!D1932+"$F;@!%@J"</f>
        <v>#VALUE!</v>
      </c>
      <c r="FB71" t="e">
        <f>'All regions'!E1932+"$F;@!%@K"</f>
        <v>#VALUE!</v>
      </c>
      <c r="FC71" t="e">
        <f>'All regions'!F1932+"$F;@!%@L"</f>
        <v>#VALUE!</v>
      </c>
      <c r="FD71" t="e">
        <f>'All regions'!G1932+"$F;@!%@M"</f>
        <v>#VALUE!</v>
      </c>
      <c r="FE71" t="e">
        <f>'All regions'!H1932+"$F;@!%@N"</f>
        <v>#VALUE!</v>
      </c>
      <c r="FF71" t="e">
        <f>'All regions'!I1932+"$F;@!%@O"</f>
        <v>#VALUE!</v>
      </c>
      <c r="FG71" t="e">
        <f>'All regions'!A1933+"$F;@!%@P"</f>
        <v>#VALUE!</v>
      </c>
      <c r="FH71" t="e">
        <f>'All regions'!B1933+"$F;@!%@Q"</f>
        <v>#VALUE!</v>
      </c>
      <c r="FI71" t="e">
        <f>'All regions'!C1933+"$F;@!%@R"</f>
        <v>#VALUE!</v>
      </c>
      <c r="FJ71" t="e">
        <f>'All regions'!D1933+"$F;@!%@S"</f>
        <v>#VALUE!</v>
      </c>
      <c r="FK71" t="e">
        <f>'All regions'!E1933+"$F;@!%@T"</f>
        <v>#VALUE!</v>
      </c>
      <c r="FL71" t="e">
        <f>'All regions'!F1933+"$F;@!%@U"</f>
        <v>#VALUE!</v>
      </c>
      <c r="FM71" t="e">
        <f>'All regions'!G1933+"$F;@!%@V"</f>
        <v>#VALUE!</v>
      </c>
      <c r="FN71" t="e">
        <f>'All regions'!H1933+"$F;@!%@W"</f>
        <v>#VALUE!</v>
      </c>
      <c r="FO71" t="e">
        <f>'All regions'!I1933+"$F;@!%@X"</f>
        <v>#VALUE!</v>
      </c>
      <c r="FP71" t="e">
        <f>'All regions'!A1934+"$F;@!%@Y"</f>
        <v>#VALUE!</v>
      </c>
      <c r="FQ71" t="e">
        <f>'All regions'!B1934+"$F;@!%@Z"</f>
        <v>#VALUE!</v>
      </c>
      <c r="FR71" t="e">
        <f>'All regions'!C1934+"$F;@!%@["</f>
        <v>#VALUE!</v>
      </c>
      <c r="FS71" t="e">
        <f>'All regions'!D1934+"$F;@!%@\"</f>
        <v>#VALUE!</v>
      </c>
      <c r="FT71" t="e">
        <f>'All regions'!E1934+"$F;@!%@]"</f>
        <v>#VALUE!</v>
      </c>
      <c r="FU71" t="e">
        <f>'All regions'!F1934+"$F;@!%@^"</f>
        <v>#VALUE!</v>
      </c>
      <c r="FV71" t="e">
        <f>'All regions'!G1934+"$F;@!%@_"</f>
        <v>#VALUE!</v>
      </c>
      <c r="FW71" t="e">
        <f>'All regions'!H1934+"$F;@!%@`"</f>
        <v>#VALUE!</v>
      </c>
      <c r="FX71" t="e">
        <f>'All regions'!I1934+"$F;@!%@a"</f>
        <v>#VALUE!</v>
      </c>
      <c r="FY71" t="e">
        <f>'All regions'!A1935+"$F;@!%@b"</f>
        <v>#VALUE!</v>
      </c>
      <c r="FZ71" t="e">
        <f>'All regions'!B1935+"$F;@!%@c"</f>
        <v>#VALUE!</v>
      </c>
      <c r="GA71" t="e">
        <f>'All regions'!C1935+"$F;@!%@d"</f>
        <v>#VALUE!</v>
      </c>
      <c r="GB71" t="e">
        <f>'All regions'!D1935+"$F;@!%@e"</f>
        <v>#VALUE!</v>
      </c>
      <c r="GC71" t="e">
        <f>'All regions'!E1935+"$F;@!%@f"</f>
        <v>#VALUE!</v>
      </c>
      <c r="GD71" t="e">
        <f>'All regions'!F1935+"$F;@!%@g"</f>
        <v>#VALUE!</v>
      </c>
      <c r="GE71" t="e">
        <f>'All regions'!G1935+"$F;@!%@h"</f>
        <v>#VALUE!</v>
      </c>
      <c r="GF71" t="e">
        <f>'All regions'!H1935+"$F;@!%@i"</f>
        <v>#VALUE!</v>
      </c>
      <c r="GG71" t="e">
        <f>'All regions'!I1935+"$F;@!%@j"</f>
        <v>#VALUE!</v>
      </c>
      <c r="GH71" t="e">
        <f>'All regions'!A1936+"$F;@!%@k"</f>
        <v>#VALUE!</v>
      </c>
      <c r="GI71" t="e">
        <f>'All regions'!B1936+"$F;@!%@l"</f>
        <v>#VALUE!</v>
      </c>
      <c r="GJ71" t="e">
        <f>'All regions'!C1936+"$F;@!%@m"</f>
        <v>#VALUE!</v>
      </c>
      <c r="GK71" t="e">
        <f>'All regions'!D1936+"$F;@!%@n"</f>
        <v>#VALUE!</v>
      </c>
      <c r="GL71" t="e">
        <f>'All regions'!E1936+"$F;@!%@o"</f>
        <v>#VALUE!</v>
      </c>
      <c r="GM71" t="e">
        <f>'All regions'!F1936+"$F;@!%@p"</f>
        <v>#VALUE!</v>
      </c>
      <c r="GN71" t="e">
        <f>'All regions'!G1936+"$F;@!%@q"</f>
        <v>#VALUE!</v>
      </c>
      <c r="GO71" t="e">
        <f>'All regions'!H1936+"$F;@!%@r"</f>
        <v>#VALUE!</v>
      </c>
      <c r="GP71" t="e">
        <f>'All regions'!I1936+"$F;@!%@s"</f>
        <v>#VALUE!</v>
      </c>
      <c r="GQ71" t="e">
        <f>'All regions'!A1937+"$F;@!%@t"</f>
        <v>#VALUE!</v>
      </c>
      <c r="GR71" t="e">
        <f>'All regions'!B1937+"$F;@!%@u"</f>
        <v>#VALUE!</v>
      </c>
      <c r="GS71" t="e">
        <f>'All regions'!C1937+"$F;@!%@v"</f>
        <v>#VALUE!</v>
      </c>
      <c r="GT71" t="e">
        <f>'All regions'!D1937+"$F;@!%@w"</f>
        <v>#VALUE!</v>
      </c>
      <c r="GU71" t="e">
        <f>'All regions'!E1937+"$F;@!%@x"</f>
        <v>#VALUE!</v>
      </c>
      <c r="GV71" t="e">
        <f>'All regions'!F1937+"$F;@!%@y"</f>
        <v>#VALUE!</v>
      </c>
      <c r="GW71" t="e">
        <f>'All regions'!G1937+"$F;@!%@z"</f>
        <v>#VALUE!</v>
      </c>
      <c r="GX71" t="e">
        <f>'All regions'!H1937+"$F;@!%@{"</f>
        <v>#VALUE!</v>
      </c>
      <c r="GY71" t="e">
        <f>'All regions'!I1937+"$F;@!%@|"</f>
        <v>#VALUE!</v>
      </c>
      <c r="GZ71" t="e">
        <f>'All regions'!A1938+"$F;@!%@}"</f>
        <v>#VALUE!</v>
      </c>
      <c r="HA71" t="e">
        <f>'All regions'!B1938+"$F;@!%@~"</f>
        <v>#VALUE!</v>
      </c>
      <c r="HB71" t="e">
        <f>'All regions'!C1938+"$F;@!%A#"</f>
        <v>#VALUE!</v>
      </c>
      <c r="HC71" t="e">
        <f>'All regions'!D1938+"$F;@!%A$"</f>
        <v>#VALUE!</v>
      </c>
      <c r="HD71" t="e">
        <f>'All regions'!E1938+"$F;@!%A%"</f>
        <v>#VALUE!</v>
      </c>
      <c r="HE71" t="e">
        <f>'All regions'!F1938+"$F;@!%A&amp;"</f>
        <v>#VALUE!</v>
      </c>
      <c r="HF71" t="e">
        <f>'All regions'!G1938+"$F;@!%A'"</f>
        <v>#VALUE!</v>
      </c>
      <c r="HG71" t="e">
        <f>'All regions'!H1938+"$F;@!%A("</f>
        <v>#VALUE!</v>
      </c>
      <c r="HH71" t="e">
        <f>'All regions'!I1938+"$F;@!%A)"</f>
        <v>#VALUE!</v>
      </c>
      <c r="HI71" t="e">
        <f>'All regions'!A1939+"$F;@!%A."</f>
        <v>#VALUE!</v>
      </c>
      <c r="HJ71" t="e">
        <f>'All regions'!B1939+"$F;@!%A/"</f>
        <v>#VALUE!</v>
      </c>
      <c r="HK71" t="e">
        <f>'All regions'!C1939+"$F;@!%A0"</f>
        <v>#VALUE!</v>
      </c>
      <c r="HL71" t="e">
        <f>'All regions'!D1939+"$F;@!%A1"</f>
        <v>#VALUE!</v>
      </c>
      <c r="HM71" t="e">
        <f>'All regions'!E1939+"$F;@!%A2"</f>
        <v>#VALUE!</v>
      </c>
      <c r="HN71" t="e">
        <f>'All regions'!F1939+"$F;@!%A3"</f>
        <v>#VALUE!</v>
      </c>
      <c r="HO71" t="e">
        <f>'All regions'!G1939+"$F;@!%A4"</f>
        <v>#VALUE!</v>
      </c>
      <c r="HP71" t="e">
        <f>'All regions'!H1939+"$F;@!%A5"</f>
        <v>#VALUE!</v>
      </c>
      <c r="HQ71" t="e">
        <f>'All regions'!I1939+"$F;@!%A6"</f>
        <v>#VALUE!</v>
      </c>
      <c r="HR71" t="e">
        <f>'All regions'!A1940+"$F;@!%A7"</f>
        <v>#VALUE!</v>
      </c>
      <c r="HS71" t="e">
        <f>'All regions'!B1940+"$F;@!%A8"</f>
        <v>#VALUE!</v>
      </c>
      <c r="HT71" t="e">
        <f>'All regions'!C1940+"$F;@!%A9"</f>
        <v>#VALUE!</v>
      </c>
      <c r="HU71" t="e">
        <f>'All regions'!D1940+"$F;@!%A:"</f>
        <v>#VALUE!</v>
      </c>
      <c r="HV71" t="e">
        <f>'All regions'!E1940+"$F;@!%A;"</f>
        <v>#VALUE!</v>
      </c>
      <c r="HW71" t="e">
        <f>'All regions'!F1940+"$F;@!%A&lt;"</f>
        <v>#VALUE!</v>
      </c>
      <c r="HX71" t="e">
        <f>'All regions'!G1940+"$F;@!%A="</f>
        <v>#VALUE!</v>
      </c>
      <c r="HY71" t="e">
        <f>'All regions'!H1940+"$F;@!%A&gt;"</f>
        <v>#VALUE!</v>
      </c>
      <c r="HZ71" t="e">
        <f>'All regions'!I1940+"$F;@!%A?"</f>
        <v>#VALUE!</v>
      </c>
      <c r="IA71" t="e">
        <f>'All regions'!A1941+"$F;@!%A@"</f>
        <v>#VALUE!</v>
      </c>
      <c r="IB71" t="e">
        <f>'All regions'!B1941+"$F;@!%AA"</f>
        <v>#VALUE!</v>
      </c>
      <c r="IC71" t="e">
        <f>'All regions'!C1941+"$F;@!%AB"</f>
        <v>#VALUE!</v>
      </c>
      <c r="ID71" t="e">
        <f>'All regions'!D1941+"$F;@!%AC"</f>
        <v>#VALUE!</v>
      </c>
      <c r="IE71" t="e">
        <f>'All regions'!E1941+"$F;@!%AD"</f>
        <v>#VALUE!</v>
      </c>
      <c r="IF71" t="e">
        <f>'All regions'!F1941+"$F;@!%AE"</f>
        <v>#VALUE!</v>
      </c>
      <c r="IG71" t="e">
        <f>'All regions'!G1941+"$F;@!%AF"</f>
        <v>#VALUE!</v>
      </c>
      <c r="IH71" t="e">
        <f>'All regions'!H1941+"$F;@!%AG"</f>
        <v>#VALUE!</v>
      </c>
      <c r="II71" t="e">
        <f>'All regions'!I1941+"$F;@!%AH"</f>
        <v>#VALUE!</v>
      </c>
      <c r="IJ71" t="e">
        <f>'All regions'!A1942+"$F;@!%AI"</f>
        <v>#VALUE!</v>
      </c>
      <c r="IK71" t="e">
        <f>'All regions'!B1942+"$F;@!%AJ"</f>
        <v>#VALUE!</v>
      </c>
      <c r="IL71" t="e">
        <f>'All regions'!C1942+"$F;@!%AK"</f>
        <v>#VALUE!</v>
      </c>
      <c r="IM71" t="e">
        <f>'All regions'!D1942+"$F;@!%AL"</f>
        <v>#VALUE!</v>
      </c>
      <c r="IN71" t="e">
        <f>'All regions'!E1942+"$F;@!%AM"</f>
        <v>#VALUE!</v>
      </c>
      <c r="IO71" t="e">
        <f>'All regions'!F1942+"$F;@!%AN"</f>
        <v>#VALUE!</v>
      </c>
      <c r="IP71" t="e">
        <f>'All regions'!G1942+"$F;@!%AO"</f>
        <v>#VALUE!</v>
      </c>
      <c r="IQ71" t="e">
        <f>'All regions'!H1942+"$F;@!%AP"</f>
        <v>#VALUE!</v>
      </c>
      <c r="IR71" t="e">
        <f>'All regions'!I1942+"$F;@!%AQ"</f>
        <v>#VALUE!</v>
      </c>
      <c r="IS71" t="e">
        <f>'All regions'!A1943+"$F;@!%AR"</f>
        <v>#VALUE!</v>
      </c>
      <c r="IT71" t="e">
        <f>'All regions'!B1943+"$F;@!%AS"</f>
        <v>#VALUE!</v>
      </c>
      <c r="IU71" t="e">
        <f>'All regions'!C1943+"$F;@!%AT"</f>
        <v>#VALUE!</v>
      </c>
      <c r="IV71" t="e">
        <f>'All regions'!D1943+"$F;@!%AU"</f>
        <v>#VALUE!</v>
      </c>
    </row>
    <row r="72" spans="6:256" x14ac:dyDescent="0.35">
      <c r="F72" t="e">
        <f>'All regions'!E1943+"$F;@!%AV"</f>
        <v>#VALUE!</v>
      </c>
      <c r="G72" t="e">
        <f>'All regions'!F1943+"$F;@!%AW"</f>
        <v>#VALUE!</v>
      </c>
      <c r="H72" t="e">
        <f>'All regions'!G1943+"$F;@!%AX"</f>
        <v>#VALUE!</v>
      </c>
      <c r="I72" t="e">
        <f>'All regions'!H1943+"$F;@!%AY"</f>
        <v>#VALUE!</v>
      </c>
      <c r="J72" t="e">
        <f>'All regions'!I1943+"$F;@!%AZ"</f>
        <v>#VALUE!</v>
      </c>
      <c r="K72" t="e">
        <f>'All regions'!A1944+"$F;@!%A["</f>
        <v>#VALUE!</v>
      </c>
      <c r="L72" t="e">
        <f>'All regions'!B1944+"$F;@!%A\"</f>
        <v>#VALUE!</v>
      </c>
      <c r="M72" t="e">
        <f>'All regions'!C1944+"$F;@!%A]"</f>
        <v>#VALUE!</v>
      </c>
      <c r="N72" t="e">
        <f>'All regions'!D1944+"$F;@!%A^"</f>
        <v>#VALUE!</v>
      </c>
      <c r="O72" t="e">
        <f>'All regions'!E1944+"$F;@!%A_"</f>
        <v>#VALUE!</v>
      </c>
      <c r="P72" t="e">
        <f>'All regions'!F1944+"$F;@!%A`"</f>
        <v>#VALUE!</v>
      </c>
      <c r="Q72" t="e">
        <f>'All regions'!G1944+"$F;@!%Aa"</f>
        <v>#VALUE!</v>
      </c>
      <c r="R72" t="e">
        <f>'All regions'!H1944+"$F;@!%Ab"</f>
        <v>#VALUE!</v>
      </c>
      <c r="S72" t="e">
        <f>'All regions'!I1944+"$F;@!%Ac"</f>
        <v>#VALUE!</v>
      </c>
      <c r="T72" t="e">
        <f>'All regions'!A1945+"$F;@!%Ad"</f>
        <v>#VALUE!</v>
      </c>
      <c r="U72" t="e">
        <f>'All regions'!B1945+"$F;@!%Ae"</f>
        <v>#VALUE!</v>
      </c>
      <c r="V72" t="e">
        <f>'All regions'!C1945+"$F;@!%Af"</f>
        <v>#VALUE!</v>
      </c>
      <c r="W72" t="e">
        <f>'All regions'!D1945+"$F;@!%Ag"</f>
        <v>#VALUE!</v>
      </c>
      <c r="X72" t="e">
        <f>'All regions'!E1945+"$F;@!%Ah"</f>
        <v>#VALUE!</v>
      </c>
      <c r="Y72" t="e">
        <f>'All regions'!F1945+"$F;@!%Ai"</f>
        <v>#VALUE!</v>
      </c>
      <c r="Z72" t="e">
        <f>'All regions'!G1945+"$F;@!%Aj"</f>
        <v>#VALUE!</v>
      </c>
      <c r="AA72" t="e">
        <f>'All regions'!H1945+"$F;@!%Ak"</f>
        <v>#VALUE!</v>
      </c>
      <c r="AB72" t="e">
        <f>'All regions'!I1945+"$F;@!%Al"</f>
        <v>#VALUE!</v>
      </c>
      <c r="AC72" t="e">
        <f>'All regions'!A1946+"$F;@!%Am"</f>
        <v>#VALUE!</v>
      </c>
      <c r="AD72" t="e">
        <f>'All regions'!B1946+"$F;@!%An"</f>
        <v>#VALUE!</v>
      </c>
      <c r="AE72" t="e">
        <f>'All regions'!C1946+"$F;@!%Ao"</f>
        <v>#VALUE!</v>
      </c>
      <c r="AF72" t="e">
        <f>'All regions'!D1946+"$F;@!%Ap"</f>
        <v>#VALUE!</v>
      </c>
      <c r="AG72" t="e">
        <f>'All regions'!E1946+"$F;@!%Aq"</f>
        <v>#VALUE!</v>
      </c>
      <c r="AH72" t="e">
        <f>'All regions'!F1946+"$F;@!%Ar"</f>
        <v>#VALUE!</v>
      </c>
      <c r="AI72" t="e">
        <f>'All regions'!G1946+"$F;@!%As"</f>
        <v>#VALUE!</v>
      </c>
      <c r="AJ72" t="e">
        <f>'All regions'!H1946+"$F;@!%At"</f>
        <v>#VALUE!</v>
      </c>
      <c r="AK72" t="e">
        <f>'All regions'!I1946+"$F;@!%Au"</f>
        <v>#VALUE!</v>
      </c>
      <c r="AL72" t="e">
        <f>'All regions'!A1947+"$F;@!%Av"</f>
        <v>#VALUE!</v>
      </c>
      <c r="AM72" t="e">
        <f>'All regions'!B1947+"$F;@!%Aw"</f>
        <v>#VALUE!</v>
      </c>
      <c r="AN72" t="e">
        <f>'All regions'!C1947+"$F;@!%Ax"</f>
        <v>#VALUE!</v>
      </c>
      <c r="AO72" t="e">
        <f>'All regions'!D1947+"$F;@!%Ay"</f>
        <v>#VALUE!</v>
      </c>
      <c r="AP72" t="e">
        <f>'All regions'!E1947+"$F;@!%Az"</f>
        <v>#VALUE!</v>
      </c>
      <c r="AQ72" t="e">
        <f>'All regions'!F1947+"$F;@!%A{"</f>
        <v>#VALUE!</v>
      </c>
      <c r="AR72" t="e">
        <f>'All regions'!G1947+"$F;@!%A|"</f>
        <v>#VALUE!</v>
      </c>
      <c r="AS72" t="e">
        <f>'All regions'!H1947+"$F;@!%A}"</f>
        <v>#VALUE!</v>
      </c>
      <c r="AT72" t="e">
        <f>'All regions'!I1947+"$F;@!%A~"</f>
        <v>#VALUE!</v>
      </c>
      <c r="AU72" t="e">
        <f>'All regions'!A1948+"$F;@!%B#"</f>
        <v>#VALUE!</v>
      </c>
      <c r="AV72" t="e">
        <f>'All regions'!B1948+"$F;@!%B$"</f>
        <v>#VALUE!</v>
      </c>
      <c r="AW72" t="e">
        <f>'All regions'!C1948+"$F;@!%B%"</f>
        <v>#VALUE!</v>
      </c>
      <c r="AX72" t="e">
        <f>'All regions'!D1948+"$F;@!%B&amp;"</f>
        <v>#VALUE!</v>
      </c>
      <c r="AY72" t="e">
        <f>'All regions'!E1948+"$F;@!%B'"</f>
        <v>#VALUE!</v>
      </c>
      <c r="AZ72" t="e">
        <f>'All regions'!F1948+"$F;@!%B("</f>
        <v>#VALUE!</v>
      </c>
      <c r="BA72" t="e">
        <f>'All regions'!G1948+"$F;@!%B)"</f>
        <v>#VALUE!</v>
      </c>
      <c r="BB72" t="e">
        <f>'All regions'!H1948+"$F;@!%B."</f>
        <v>#VALUE!</v>
      </c>
      <c r="BC72" t="e">
        <f>'All regions'!I1948+"$F;@!%B/"</f>
        <v>#VALUE!</v>
      </c>
      <c r="BD72" t="e">
        <f>'All regions'!A1949+"$F;@!%B0"</f>
        <v>#VALUE!</v>
      </c>
      <c r="BE72" t="e">
        <f>'All regions'!B1949+"$F;@!%B1"</f>
        <v>#VALUE!</v>
      </c>
      <c r="BF72" t="e">
        <f>'All regions'!C1949+"$F;@!%B2"</f>
        <v>#VALUE!</v>
      </c>
      <c r="BG72" t="e">
        <f>'All regions'!D1949+"$F;@!%B3"</f>
        <v>#VALUE!</v>
      </c>
      <c r="BH72" t="e">
        <f>'All regions'!E1949+"$F;@!%B4"</f>
        <v>#VALUE!</v>
      </c>
      <c r="BI72" t="e">
        <f>'All regions'!F1949+"$F;@!%B5"</f>
        <v>#VALUE!</v>
      </c>
      <c r="BJ72" t="e">
        <f>'All regions'!G1949+"$F;@!%B6"</f>
        <v>#VALUE!</v>
      </c>
      <c r="BK72" t="e">
        <f>'All regions'!H1949+"$F;@!%B7"</f>
        <v>#VALUE!</v>
      </c>
      <c r="BL72" t="e">
        <f>'All regions'!I1949+"$F;@!%B8"</f>
        <v>#VALUE!</v>
      </c>
      <c r="BM72" t="e">
        <f>'All regions'!A1950+"$F;@!%B9"</f>
        <v>#VALUE!</v>
      </c>
      <c r="BN72" t="e">
        <f>'All regions'!B1950+"$F;@!%B:"</f>
        <v>#VALUE!</v>
      </c>
      <c r="BO72" t="e">
        <f>'All regions'!C1950+"$F;@!%B;"</f>
        <v>#VALUE!</v>
      </c>
      <c r="BP72" t="e">
        <f>'All regions'!D1950+"$F;@!%B&lt;"</f>
        <v>#VALUE!</v>
      </c>
      <c r="BQ72" t="e">
        <f>'All regions'!E1950+"$F;@!%B="</f>
        <v>#VALUE!</v>
      </c>
      <c r="BR72" t="e">
        <f>'All regions'!F1950+"$F;@!%B&gt;"</f>
        <v>#VALUE!</v>
      </c>
      <c r="BS72" t="e">
        <f>'All regions'!G1950+"$F;@!%B?"</f>
        <v>#VALUE!</v>
      </c>
      <c r="BT72" t="e">
        <f>'All regions'!H1950+"$F;@!%B@"</f>
        <v>#VALUE!</v>
      </c>
      <c r="BU72" t="e">
        <f>'All regions'!I1950+"$F;@!%BA"</f>
        <v>#VALUE!</v>
      </c>
      <c r="BV72" t="e">
        <f>'All regions'!A1951+"$F;@!%BB"</f>
        <v>#VALUE!</v>
      </c>
      <c r="BW72" t="e">
        <f>'All regions'!B1951+"$F;@!%BC"</f>
        <v>#VALUE!</v>
      </c>
      <c r="BX72" t="e">
        <f>'All regions'!C1951+"$F;@!%BD"</f>
        <v>#VALUE!</v>
      </c>
      <c r="BY72" t="e">
        <f>'All regions'!D1951+"$F;@!%BE"</f>
        <v>#VALUE!</v>
      </c>
      <c r="BZ72" t="e">
        <f>'All regions'!E1951+"$F;@!%BF"</f>
        <v>#VALUE!</v>
      </c>
      <c r="CA72" t="e">
        <f>'All regions'!F1951+"$F;@!%BG"</f>
        <v>#VALUE!</v>
      </c>
      <c r="CB72" t="e">
        <f>'All regions'!G1951+"$F;@!%BH"</f>
        <v>#VALUE!</v>
      </c>
      <c r="CC72" t="e">
        <f>'All regions'!H1951+"$F;@!%BI"</f>
        <v>#VALUE!</v>
      </c>
      <c r="CD72" t="e">
        <f>'All regions'!I1951+"$F;@!%BJ"</f>
        <v>#VALUE!</v>
      </c>
      <c r="CE72" t="e">
        <f>'All regions'!A1952+"$F;@!%BK"</f>
        <v>#VALUE!</v>
      </c>
      <c r="CF72" t="e">
        <f>'All regions'!B1952+"$F;@!%BL"</f>
        <v>#VALUE!</v>
      </c>
      <c r="CG72" t="e">
        <f>'All regions'!C1952+"$F;@!%BM"</f>
        <v>#VALUE!</v>
      </c>
      <c r="CH72" t="e">
        <f>'All regions'!D1952+"$F;@!%BN"</f>
        <v>#VALUE!</v>
      </c>
      <c r="CI72" t="e">
        <f>'All regions'!E1952+"$F;@!%BO"</f>
        <v>#VALUE!</v>
      </c>
      <c r="CJ72" t="e">
        <f>'All regions'!F1952+"$F;@!%BP"</f>
        <v>#VALUE!</v>
      </c>
      <c r="CK72" t="e">
        <f>'All regions'!G1952+"$F;@!%BQ"</f>
        <v>#VALUE!</v>
      </c>
      <c r="CL72" t="e">
        <f>'All regions'!H1952+"$F;@!%BR"</f>
        <v>#VALUE!</v>
      </c>
      <c r="CM72" t="e">
        <f>'All regions'!I1952+"$F;@!%BS"</f>
        <v>#VALUE!</v>
      </c>
      <c r="CN72" t="e">
        <f>'All regions'!A1953+"$F;@!%BT"</f>
        <v>#VALUE!</v>
      </c>
      <c r="CO72" t="e">
        <f>'All regions'!B1953+"$F;@!%BU"</f>
        <v>#VALUE!</v>
      </c>
      <c r="CP72" t="e">
        <f>'All regions'!C1953+"$F;@!%BV"</f>
        <v>#VALUE!</v>
      </c>
      <c r="CQ72" t="e">
        <f>'All regions'!D1953+"$F;@!%BW"</f>
        <v>#VALUE!</v>
      </c>
      <c r="CR72" t="e">
        <f>'All regions'!E1953+"$F;@!%BX"</f>
        <v>#VALUE!</v>
      </c>
      <c r="CS72" t="e">
        <f>'All regions'!F1953+"$F;@!%BY"</f>
        <v>#VALUE!</v>
      </c>
      <c r="CT72" t="e">
        <f>'All regions'!G1953+"$F;@!%BZ"</f>
        <v>#VALUE!</v>
      </c>
      <c r="CU72" t="e">
        <f>'All regions'!H1953+"$F;@!%B["</f>
        <v>#VALUE!</v>
      </c>
      <c r="CV72" t="e">
        <f>'All regions'!I1953+"$F;@!%B\"</f>
        <v>#VALUE!</v>
      </c>
      <c r="CW72" t="e">
        <f>'All regions'!A1954+"$F;@!%B]"</f>
        <v>#VALUE!</v>
      </c>
      <c r="CX72" t="e">
        <f>'All regions'!B1954+"$F;@!%B^"</f>
        <v>#VALUE!</v>
      </c>
      <c r="CY72" t="e">
        <f>'All regions'!C1954+"$F;@!%B_"</f>
        <v>#VALUE!</v>
      </c>
      <c r="CZ72" t="e">
        <f>'All regions'!D1954+"$F;@!%B`"</f>
        <v>#VALUE!</v>
      </c>
      <c r="DA72" t="e">
        <f>'All regions'!E1954+"$F;@!%Ba"</f>
        <v>#VALUE!</v>
      </c>
      <c r="DB72" t="e">
        <f>'All regions'!F1954+"$F;@!%Bb"</f>
        <v>#VALUE!</v>
      </c>
      <c r="DC72" t="e">
        <f>'All regions'!G1954+"$F;@!%Bc"</f>
        <v>#VALUE!</v>
      </c>
      <c r="DD72" t="e">
        <f>'All regions'!H1954+"$F;@!%Bd"</f>
        <v>#VALUE!</v>
      </c>
      <c r="DE72" t="e">
        <f>'All regions'!I1954+"$F;@!%Be"</f>
        <v>#VALUE!</v>
      </c>
      <c r="DF72" t="e">
        <f>'All regions'!A1955+"$F;@!%Bf"</f>
        <v>#VALUE!</v>
      </c>
      <c r="DG72" t="e">
        <f>'All regions'!B1955+"$F;@!%Bg"</f>
        <v>#VALUE!</v>
      </c>
      <c r="DH72" t="e">
        <f>'All regions'!C1955+"$F;@!%Bh"</f>
        <v>#VALUE!</v>
      </c>
      <c r="DI72" t="e">
        <f>'All regions'!D1955+"$F;@!%Bi"</f>
        <v>#VALUE!</v>
      </c>
      <c r="DJ72" t="e">
        <f>'All regions'!E1955+"$F;@!%Bj"</f>
        <v>#VALUE!</v>
      </c>
      <c r="DK72" t="e">
        <f>'All regions'!F1955+"$F;@!%Bk"</f>
        <v>#VALUE!</v>
      </c>
      <c r="DL72" t="e">
        <f>'All regions'!G1955+"$F;@!%Bl"</f>
        <v>#VALUE!</v>
      </c>
      <c r="DM72" t="e">
        <f>'All regions'!H1955+"$F;@!%Bm"</f>
        <v>#VALUE!</v>
      </c>
      <c r="DN72" t="e">
        <f>'All regions'!I1955+"$F;@!%Bn"</f>
        <v>#VALUE!</v>
      </c>
      <c r="DO72" t="e">
        <f>'All regions'!A1956+"$F;@!%Bo"</f>
        <v>#VALUE!</v>
      </c>
      <c r="DP72" t="e">
        <f>'All regions'!B1956+"$F;@!%Bp"</f>
        <v>#VALUE!</v>
      </c>
      <c r="DQ72" t="e">
        <f>'All regions'!C1956+"$F;@!%Bq"</f>
        <v>#VALUE!</v>
      </c>
      <c r="DR72" t="e">
        <f>'All regions'!D1956+"$F;@!%Br"</f>
        <v>#VALUE!</v>
      </c>
      <c r="DS72" t="e">
        <f>'All regions'!E1956+"$F;@!%Bs"</f>
        <v>#VALUE!</v>
      </c>
      <c r="DT72" t="e">
        <f>'All regions'!F1956+"$F;@!%Bt"</f>
        <v>#VALUE!</v>
      </c>
      <c r="DU72" t="e">
        <f>'All regions'!G1956+"$F;@!%Bu"</f>
        <v>#VALUE!</v>
      </c>
      <c r="DV72" t="e">
        <f>'All regions'!H1956+"$F;@!%Bv"</f>
        <v>#VALUE!</v>
      </c>
      <c r="DW72" t="e">
        <f>'All regions'!I1956+"$F;@!%Bw"</f>
        <v>#VALUE!</v>
      </c>
      <c r="DX72" t="e">
        <f>'All regions'!A1957+"$F;@!%Bx"</f>
        <v>#VALUE!</v>
      </c>
      <c r="DY72" t="e">
        <f>'All regions'!B1957+"$F;@!%By"</f>
        <v>#VALUE!</v>
      </c>
      <c r="DZ72" t="e">
        <f>'All regions'!C1957+"$F;@!%Bz"</f>
        <v>#VALUE!</v>
      </c>
      <c r="EA72" t="e">
        <f>'All regions'!D1957+"$F;@!%B{"</f>
        <v>#VALUE!</v>
      </c>
      <c r="EB72" t="e">
        <f>'All regions'!E1957+"$F;@!%B|"</f>
        <v>#VALUE!</v>
      </c>
      <c r="EC72" t="e">
        <f>'All regions'!F1957+"$F;@!%B}"</f>
        <v>#VALUE!</v>
      </c>
      <c r="ED72" t="e">
        <f>'All regions'!G1957+"$F;@!%B~"</f>
        <v>#VALUE!</v>
      </c>
      <c r="EE72" t="e">
        <f>'All regions'!H1957+"$F;@!%C#"</f>
        <v>#VALUE!</v>
      </c>
      <c r="EF72" t="e">
        <f>'All regions'!I1957+"$F;@!%C$"</f>
        <v>#VALUE!</v>
      </c>
      <c r="EG72" t="e">
        <f>'All regions'!A1958+"$F;@!%C%"</f>
        <v>#VALUE!</v>
      </c>
      <c r="EH72" t="e">
        <f>'All regions'!B1958+"$F;@!%C&amp;"</f>
        <v>#VALUE!</v>
      </c>
      <c r="EI72" t="e">
        <f>'All regions'!C1958+"$F;@!%C'"</f>
        <v>#VALUE!</v>
      </c>
      <c r="EJ72" t="e">
        <f>'All regions'!D1958+"$F;@!%C("</f>
        <v>#VALUE!</v>
      </c>
      <c r="EK72" t="e">
        <f>'All regions'!E1958+"$F;@!%C)"</f>
        <v>#VALUE!</v>
      </c>
      <c r="EL72" t="e">
        <f>'All regions'!F1958+"$F;@!%C."</f>
        <v>#VALUE!</v>
      </c>
      <c r="EM72" t="e">
        <f>'All regions'!G1958+"$F;@!%C/"</f>
        <v>#VALUE!</v>
      </c>
      <c r="EN72" t="e">
        <f>'All regions'!H1958+"$F;@!%C0"</f>
        <v>#VALUE!</v>
      </c>
      <c r="EO72" t="e">
        <f>'All regions'!I1958+"$F;@!%C1"</f>
        <v>#VALUE!</v>
      </c>
      <c r="EP72" t="e">
        <f>'All regions'!A1959+"$F;@!%C2"</f>
        <v>#VALUE!</v>
      </c>
      <c r="EQ72" t="e">
        <f>'All regions'!B1959+"$F;@!%C3"</f>
        <v>#VALUE!</v>
      </c>
      <c r="ER72" t="e">
        <f>'All regions'!C1959+"$F;@!%C4"</f>
        <v>#VALUE!</v>
      </c>
      <c r="ES72" t="e">
        <f>'All regions'!D1959+"$F;@!%C5"</f>
        <v>#VALUE!</v>
      </c>
      <c r="ET72" t="e">
        <f>'All regions'!E1959+"$F;@!%C6"</f>
        <v>#VALUE!</v>
      </c>
      <c r="EU72" t="e">
        <f>'All regions'!F1959+"$F;@!%C7"</f>
        <v>#VALUE!</v>
      </c>
      <c r="EV72" t="e">
        <f>'All regions'!G1959+"$F;@!%C8"</f>
        <v>#VALUE!</v>
      </c>
      <c r="EW72" t="e">
        <f>'All regions'!H1959+"$F;@!%C9"</f>
        <v>#VALUE!</v>
      </c>
      <c r="EX72" t="e">
        <f>'All regions'!I1959+"$F;@!%C:"</f>
        <v>#VALUE!</v>
      </c>
      <c r="EY72" t="e">
        <f>'All regions'!A1960+"$F;@!%C;"</f>
        <v>#VALUE!</v>
      </c>
      <c r="EZ72" t="e">
        <f>'All regions'!B1960+"$F;@!%C&lt;"</f>
        <v>#VALUE!</v>
      </c>
      <c r="FA72" t="e">
        <f>'All regions'!C1960+"$F;@!%C="</f>
        <v>#VALUE!</v>
      </c>
      <c r="FB72" t="e">
        <f>'All regions'!D1960+"$F;@!%C&gt;"</f>
        <v>#VALUE!</v>
      </c>
      <c r="FC72" t="e">
        <f>'All regions'!E1960+"$F;@!%C?"</f>
        <v>#VALUE!</v>
      </c>
      <c r="FD72" t="e">
        <f>'All regions'!F1960+"$F;@!%C@"</f>
        <v>#VALUE!</v>
      </c>
      <c r="FE72" t="e">
        <f>'All regions'!G1960+"$F;@!%CA"</f>
        <v>#VALUE!</v>
      </c>
      <c r="FF72" t="e">
        <f>'All regions'!H1960+"$F;@!%CB"</f>
        <v>#VALUE!</v>
      </c>
      <c r="FG72" t="e">
        <f>'All regions'!I1960+"$F;@!%CC"</f>
        <v>#VALUE!</v>
      </c>
      <c r="FH72" t="e">
        <f>'All regions'!A1961+"$F;@!%CD"</f>
        <v>#VALUE!</v>
      </c>
      <c r="FI72" t="e">
        <f>'All regions'!B1961+"$F;@!%CE"</f>
        <v>#VALUE!</v>
      </c>
      <c r="FJ72" t="e">
        <f>'All regions'!C1961+"$F;@!%CF"</f>
        <v>#VALUE!</v>
      </c>
      <c r="FK72" t="e">
        <f>'All regions'!D1961+"$F;@!%CG"</f>
        <v>#VALUE!</v>
      </c>
      <c r="FL72" t="e">
        <f>'All regions'!E1961+"$F;@!%CH"</f>
        <v>#VALUE!</v>
      </c>
      <c r="FM72" t="e">
        <f>'All regions'!F1961+"$F;@!%CI"</f>
        <v>#VALUE!</v>
      </c>
      <c r="FN72" t="e">
        <f>'All regions'!G1961+"$F;@!%CJ"</f>
        <v>#VALUE!</v>
      </c>
      <c r="FO72" t="e">
        <f>'All regions'!H1961+"$F;@!%CK"</f>
        <v>#VALUE!</v>
      </c>
      <c r="FP72" t="e">
        <f>'All regions'!I1961+"$F;@!%CL"</f>
        <v>#VALUE!</v>
      </c>
      <c r="FQ72" t="e">
        <f>'All regions'!A1962+"$F;@!%CM"</f>
        <v>#VALUE!</v>
      </c>
      <c r="FR72" t="e">
        <f>'All regions'!B1962+"$F;@!%CN"</f>
        <v>#VALUE!</v>
      </c>
      <c r="FS72" t="e">
        <f>'All regions'!C1962+"$F;@!%CO"</f>
        <v>#VALUE!</v>
      </c>
      <c r="FT72" t="e">
        <f>'All regions'!D1962+"$F;@!%CP"</f>
        <v>#VALUE!</v>
      </c>
      <c r="FU72" t="e">
        <f>'All regions'!E1962+"$F;@!%CQ"</f>
        <v>#VALUE!</v>
      </c>
      <c r="FV72" t="e">
        <f>'All regions'!F1962+"$F;@!%CR"</f>
        <v>#VALUE!</v>
      </c>
      <c r="FW72" t="e">
        <f>'All regions'!G1962+"$F;@!%CS"</f>
        <v>#VALUE!</v>
      </c>
      <c r="FX72" t="e">
        <f>'All regions'!H1962+"$F;@!%CT"</f>
        <v>#VALUE!</v>
      </c>
      <c r="FY72" t="e">
        <f>'All regions'!I1962+"$F;@!%CU"</f>
        <v>#VALUE!</v>
      </c>
      <c r="FZ72" t="e">
        <f>'All regions'!A1963+"$F;@!%CV"</f>
        <v>#VALUE!</v>
      </c>
      <c r="GA72" t="e">
        <f>'All regions'!B1963+"$F;@!%CW"</f>
        <v>#VALUE!</v>
      </c>
      <c r="GB72" t="e">
        <f>'All regions'!C1963+"$F;@!%CX"</f>
        <v>#VALUE!</v>
      </c>
      <c r="GC72" t="e">
        <f>'All regions'!D1963+"$F;@!%CY"</f>
        <v>#VALUE!</v>
      </c>
      <c r="GD72" t="e">
        <f>'All regions'!E1963+"$F;@!%CZ"</f>
        <v>#VALUE!</v>
      </c>
      <c r="GE72" t="e">
        <f>'All regions'!F1963+"$F;@!%C["</f>
        <v>#VALUE!</v>
      </c>
      <c r="GF72" t="e">
        <f>'All regions'!G1963+"$F;@!%C\"</f>
        <v>#VALUE!</v>
      </c>
      <c r="GG72" t="e">
        <f>'All regions'!H1963+"$F;@!%C]"</f>
        <v>#VALUE!</v>
      </c>
      <c r="GH72" t="e">
        <f>'All regions'!I1963+"$F;@!%C^"</f>
        <v>#VALUE!</v>
      </c>
      <c r="GI72" t="e">
        <f>'All regions'!A1964+"$F;@!%C_"</f>
        <v>#VALUE!</v>
      </c>
      <c r="GJ72" t="e">
        <f>'All regions'!B1964+"$F;@!%C`"</f>
        <v>#VALUE!</v>
      </c>
      <c r="GK72" t="e">
        <f>'All regions'!C1964+"$F;@!%Ca"</f>
        <v>#VALUE!</v>
      </c>
      <c r="GL72" t="e">
        <f>'All regions'!D1964+"$F;@!%Cb"</f>
        <v>#VALUE!</v>
      </c>
      <c r="GM72" t="e">
        <f>'All regions'!E1964+"$F;@!%Cc"</f>
        <v>#VALUE!</v>
      </c>
      <c r="GN72" t="e">
        <f>'All regions'!F1964+"$F;@!%Cd"</f>
        <v>#VALUE!</v>
      </c>
      <c r="GO72" t="e">
        <f>'All regions'!G1964+"$F;@!%Ce"</f>
        <v>#VALUE!</v>
      </c>
      <c r="GP72" t="e">
        <f>'All regions'!H1964+"$F;@!%Cf"</f>
        <v>#VALUE!</v>
      </c>
      <c r="GQ72" t="e">
        <f>'All regions'!I1964+"$F;@!%Cg"</f>
        <v>#VALUE!</v>
      </c>
      <c r="GR72" t="e">
        <f>'All regions'!A1965+"$F;@!%Ch"</f>
        <v>#VALUE!</v>
      </c>
      <c r="GS72" t="e">
        <f>'All regions'!B1965+"$F;@!%Ci"</f>
        <v>#VALUE!</v>
      </c>
      <c r="GT72" t="e">
        <f>'All regions'!C1965+"$F;@!%Cj"</f>
        <v>#VALUE!</v>
      </c>
      <c r="GU72" t="e">
        <f>'All regions'!D1965+"$F;@!%Ck"</f>
        <v>#VALUE!</v>
      </c>
      <c r="GV72" t="e">
        <f>'All regions'!E1965+"$F;@!%Cl"</f>
        <v>#VALUE!</v>
      </c>
      <c r="GW72" t="e">
        <f>'All regions'!F1965+"$F;@!%Cm"</f>
        <v>#VALUE!</v>
      </c>
      <c r="GX72" t="e">
        <f>'All regions'!G1965+"$F;@!%Cn"</f>
        <v>#VALUE!</v>
      </c>
      <c r="GY72" t="e">
        <f>'All regions'!H1965+"$F;@!%Co"</f>
        <v>#VALUE!</v>
      </c>
      <c r="GZ72" t="e">
        <f>'All regions'!I1965+"$F;@!%Cp"</f>
        <v>#VALUE!</v>
      </c>
      <c r="HA72" t="e">
        <f>'All regions'!A1966+"$F;@!%Cq"</f>
        <v>#VALUE!</v>
      </c>
      <c r="HB72" t="e">
        <f>'All regions'!B1966+"$F;@!%Cr"</f>
        <v>#VALUE!</v>
      </c>
      <c r="HC72" t="e">
        <f>'All regions'!C1966+"$F;@!%Cs"</f>
        <v>#VALUE!</v>
      </c>
      <c r="HD72" t="e">
        <f>'All regions'!D1966+"$F;@!%Ct"</f>
        <v>#VALUE!</v>
      </c>
      <c r="HE72" t="e">
        <f>'All regions'!E1966+"$F;@!%Cu"</f>
        <v>#VALUE!</v>
      </c>
      <c r="HF72" t="e">
        <f>'All regions'!F1966+"$F;@!%Cv"</f>
        <v>#VALUE!</v>
      </c>
      <c r="HG72" t="e">
        <f>'All regions'!G1966+"$F;@!%Cw"</f>
        <v>#VALUE!</v>
      </c>
      <c r="HH72" t="e">
        <f>'All regions'!H1966+"$F;@!%Cx"</f>
        <v>#VALUE!</v>
      </c>
      <c r="HI72" t="e">
        <f>'All regions'!I1966+"$F;@!%Cy"</f>
        <v>#VALUE!</v>
      </c>
      <c r="HJ72" t="e">
        <f>'All regions'!A1967+"$F;@!%Cz"</f>
        <v>#VALUE!</v>
      </c>
      <c r="HK72" t="e">
        <f>'All regions'!B1967+"$F;@!%C{"</f>
        <v>#VALUE!</v>
      </c>
      <c r="HL72" t="e">
        <f>'All regions'!C1967+"$F;@!%C|"</f>
        <v>#VALUE!</v>
      </c>
      <c r="HM72" t="e">
        <f>'All regions'!D1967+"$F;@!%C}"</f>
        <v>#VALUE!</v>
      </c>
      <c r="HN72" t="e">
        <f>'All regions'!E1967+"$F;@!%C~"</f>
        <v>#VALUE!</v>
      </c>
      <c r="HO72" t="e">
        <f>'All regions'!F1967+"$F;@!%D#"</f>
        <v>#VALUE!</v>
      </c>
      <c r="HP72" t="e">
        <f>'All regions'!G1967+"$F;@!%D$"</f>
        <v>#VALUE!</v>
      </c>
      <c r="HQ72" t="e">
        <f>'All regions'!H1967+"$F;@!%D%"</f>
        <v>#VALUE!</v>
      </c>
      <c r="HR72" t="e">
        <f>'All regions'!I1967+"$F;@!%D&amp;"</f>
        <v>#VALUE!</v>
      </c>
      <c r="HS72" t="e">
        <f>'All regions'!A1968+"$F;@!%D'"</f>
        <v>#VALUE!</v>
      </c>
      <c r="HT72" t="e">
        <f>'All regions'!B1968+"$F;@!%D("</f>
        <v>#VALUE!</v>
      </c>
      <c r="HU72" t="e">
        <f>'All regions'!C1968+"$F;@!%D)"</f>
        <v>#VALUE!</v>
      </c>
      <c r="HV72" t="e">
        <f>'All regions'!D1968+"$F;@!%D."</f>
        <v>#VALUE!</v>
      </c>
      <c r="HW72" t="e">
        <f>'All regions'!E1968+"$F;@!%D/"</f>
        <v>#VALUE!</v>
      </c>
      <c r="HX72" t="e">
        <f>'All regions'!F1968+"$F;@!%D0"</f>
        <v>#VALUE!</v>
      </c>
      <c r="HY72" t="e">
        <f>'All regions'!G1968+"$F;@!%D1"</f>
        <v>#VALUE!</v>
      </c>
      <c r="HZ72" t="e">
        <f>'All regions'!H1968+"$F;@!%D2"</f>
        <v>#VALUE!</v>
      </c>
      <c r="IA72" t="e">
        <f>'All regions'!I1968+"$F;@!%D3"</f>
        <v>#VALUE!</v>
      </c>
      <c r="IB72" t="e">
        <f>'All regions'!A1969+"$F;@!%D4"</f>
        <v>#VALUE!</v>
      </c>
      <c r="IC72" t="e">
        <f>'All regions'!B1969+"$F;@!%D5"</f>
        <v>#VALUE!</v>
      </c>
      <c r="ID72" t="e">
        <f>'All regions'!C1969+"$F;@!%D6"</f>
        <v>#VALUE!</v>
      </c>
      <c r="IE72" t="e">
        <f>'All regions'!D1969+"$F;@!%D7"</f>
        <v>#VALUE!</v>
      </c>
      <c r="IF72" t="e">
        <f>'All regions'!E1969+"$F;@!%D8"</f>
        <v>#VALUE!</v>
      </c>
      <c r="IG72" t="e">
        <f>'All regions'!F1969+"$F;@!%D9"</f>
        <v>#VALUE!</v>
      </c>
      <c r="IH72" t="e">
        <f>'All regions'!G1969+"$F;@!%D:"</f>
        <v>#VALUE!</v>
      </c>
      <c r="II72" t="e">
        <f>'All regions'!H1969+"$F;@!%D;"</f>
        <v>#VALUE!</v>
      </c>
      <c r="IJ72" t="e">
        <f>'All regions'!I1969+"$F;@!%D&lt;"</f>
        <v>#VALUE!</v>
      </c>
      <c r="IK72" t="e">
        <f>'All regions'!A1970+"$F;@!%D="</f>
        <v>#VALUE!</v>
      </c>
      <c r="IL72" t="e">
        <f>'All regions'!B1970+"$F;@!%D&gt;"</f>
        <v>#VALUE!</v>
      </c>
      <c r="IM72" t="e">
        <f>'All regions'!C1970+"$F;@!%D?"</f>
        <v>#VALUE!</v>
      </c>
      <c r="IN72" t="e">
        <f>'All regions'!D1970+"$F;@!%D@"</f>
        <v>#VALUE!</v>
      </c>
      <c r="IO72" t="e">
        <f>'All regions'!E1970+"$F;@!%DA"</f>
        <v>#VALUE!</v>
      </c>
      <c r="IP72" t="e">
        <f>'All regions'!F1970+"$F;@!%DB"</f>
        <v>#VALUE!</v>
      </c>
      <c r="IQ72" t="e">
        <f>'All regions'!G1970+"$F;@!%DC"</f>
        <v>#VALUE!</v>
      </c>
      <c r="IR72" t="e">
        <f>'All regions'!H1970+"$F;@!%DD"</f>
        <v>#VALUE!</v>
      </c>
      <c r="IS72" t="e">
        <f>'All regions'!I1970+"$F;@!%DE"</f>
        <v>#VALUE!</v>
      </c>
      <c r="IT72" t="e">
        <f>'All regions'!A1971+"$F;@!%DF"</f>
        <v>#VALUE!</v>
      </c>
      <c r="IU72" t="e">
        <f>'All regions'!B1971+"$F;@!%DG"</f>
        <v>#VALUE!</v>
      </c>
      <c r="IV72" t="e">
        <f>'All regions'!C1971+"$F;@!%DH"</f>
        <v>#VALUE!</v>
      </c>
    </row>
    <row r="73" spans="6:256" x14ac:dyDescent="0.35">
      <c r="F73" t="e">
        <f>'All regions'!D1971+"$F;@!%DI"</f>
        <v>#VALUE!</v>
      </c>
      <c r="G73" t="e">
        <f>'All regions'!E1971+"$F;@!%DJ"</f>
        <v>#VALUE!</v>
      </c>
      <c r="H73" t="e">
        <f>'All regions'!F1971+"$F;@!%DK"</f>
        <v>#VALUE!</v>
      </c>
      <c r="I73" t="e">
        <f>'All regions'!G1971+"$F;@!%DL"</f>
        <v>#VALUE!</v>
      </c>
      <c r="J73" t="e">
        <f>'All regions'!H1971+"$F;@!%DM"</f>
        <v>#VALUE!</v>
      </c>
      <c r="K73" t="e">
        <f>'All regions'!I1971+"$F;@!%DN"</f>
        <v>#VALUE!</v>
      </c>
      <c r="L73" t="e">
        <f>'All regions'!A1972+"$F;@!%DO"</f>
        <v>#VALUE!</v>
      </c>
      <c r="M73" t="e">
        <f>'All regions'!B1972+"$F;@!%DP"</f>
        <v>#VALUE!</v>
      </c>
      <c r="N73" t="e">
        <f>'All regions'!C1972+"$F;@!%DQ"</f>
        <v>#VALUE!</v>
      </c>
      <c r="O73" t="e">
        <f>'All regions'!D1972+"$F;@!%DR"</f>
        <v>#VALUE!</v>
      </c>
      <c r="P73" t="e">
        <f>'All regions'!E1972+"$F;@!%DS"</f>
        <v>#VALUE!</v>
      </c>
      <c r="Q73" t="e">
        <f>'All regions'!F1972+"$F;@!%DT"</f>
        <v>#VALUE!</v>
      </c>
      <c r="R73" t="e">
        <f>'All regions'!G1972+"$F;@!%DU"</f>
        <v>#VALUE!</v>
      </c>
      <c r="S73" t="e">
        <f>'All regions'!H1972+"$F;@!%DV"</f>
        <v>#VALUE!</v>
      </c>
      <c r="T73" t="e">
        <f>'All regions'!I1972+"$F;@!%DW"</f>
        <v>#VALUE!</v>
      </c>
      <c r="U73" t="e">
        <f>'All regions'!A1973+"$F;@!%DX"</f>
        <v>#VALUE!</v>
      </c>
      <c r="V73" t="e">
        <f>'All regions'!B1973+"$F;@!%DY"</f>
        <v>#VALUE!</v>
      </c>
      <c r="W73" t="e">
        <f>'All regions'!C1973+"$F;@!%DZ"</f>
        <v>#VALUE!</v>
      </c>
      <c r="X73" t="e">
        <f>'All regions'!D1973+"$F;@!%D["</f>
        <v>#VALUE!</v>
      </c>
      <c r="Y73" t="e">
        <f>'All regions'!E1973+"$F;@!%D\"</f>
        <v>#VALUE!</v>
      </c>
      <c r="Z73" t="e">
        <f>'All regions'!F1973+"$F;@!%D]"</f>
        <v>#VALUE!</v>
      </c>
      <c r="AA73" t="e">
        <f>'All regions'!G1973+"$F;@!%D^"</f>
        <v>#VALUE!</v>
      </c>
      <c r="AB73" t="e">
        <f>'All regions'!H1973+"$F;@!%D_"</f>
        <v>#VALUE!</v>
      </c>
      <c r="AC73" t="e">
        <f>'All regions'!I1973+"$F;@!%D`"</f>
        <v>#VALUE!</v>
      </c>
      <c r="AD73" t="e">
        <f>'All regions'!A1974+"$F;@!%Da"</f>
        <v>#VALUE!</v>
      </c>
      <c r="AE73" t="e">
        <f>'All regions'!B1974+"$F;@!%Db"</f>
        <v>#VALUE!</v>
      </c>
      <c r="AF73" t="e">
        <f>'All regions'!C1974+"$F;@!%Dc"</f>
        <v>#VALUE!</v>
      </c>
      <c r="AG73" t="e">
        <f>'All regions'!D1974+"$F;@!%Dd"</f>
        <v>#VALUE!</v>
      </c>
      <c r="AH73" t="e">
        <f>'All regions'!E1974+"$F;@!%De"</f>
        <v>#VALUE!</v>
      </c>
      <c r="AI73" t="e">
        <f>'All regions'!F1974+"$F;@!%Df"</f>
        <v>#VALUE!</v>
      </c>
      <c r="AJ73" t="e">
        <f>'All regions'!G1974+"$F;@!%Dg"</f>
        <v>#VALUE!</v>
      </c>
      <c r="AK73" t="e">
        <f>'All regions'!H1974+"$F;@!%Dh"</f>
        <v>#VALUE!</v>
      </c>
      <c r="AL73" t="e">
        <f>'All regions'!I1974+"$F;@!%Di"</f>
        <v>#VALUE!</v>
      </c>
      <c r="AM73" t="e">
        <f>'All regions'!A1975+"$F;@!%Dj"</f>
        <v>#VALUE!</v>
      </c>
      <c r="AN73" t="e">
        <f>'All regions'!B1975+"$F;@!%Dk"</f>
        <v>#VALUE!</v>
      </c>
      <c r="AO73" t="e">
        <f>'All regions'!C1975+"$F;@!%Dl"</f>
        <v>#VALUE!</v>
      </c>
      <c r="AP73" t="e">
        <f>'All regions'!D1975+"$F;@!%Dm"</f>
        <v>#VALUE!</v>
      </c>
      <c r="AQ73" t="e">
        <f>'All regions'!E1975+"$F;@!%Dn"</f>
        <v>#VALUE!</v>
      </c>
      <c r="AR73" t="e">
        <f>'All regions'!F1975+"$F;@!%Do"</f>
        <v>#VALUE!</v>
      </c>
      <c r="AS73" t="e">
        <f>'All regions'!G1975+"$F;@!%Dp"</f>
        <v>#VALUE!</v>
      </c>
      <c r="AT73" t="e">
        <f>'All regions'!H1975+"$F;@!%Dq"</f>
        <v>#VALUE!</v>
      </c>
      <c r="AU73" t="e">
        <f>'All regions'!I1975+"$F;@!%Dr"</f>
        <v>#VALUE!</v>
      </c>
      <c r="AV73" t="e">
        <f>'All regions'!A1976+"$F;@!%Ds"</f>
        <v>#VALUE!</v>
      </c>
      <c r="AW73" t="e">
        <f>'All regions'!B1976+"$F;@!%Dt"</f>
        <v>#VALUE!</v>
      </c>
      <c r="AX73" t="e">
        <f>'All regions'!C1976+"$F;@!%Du"</f>
        <v>#VALUE!</v>
      </c>
      <c r="AY73" t="e">
        <f>'All regions'!D1976+"$F;@!%Dv"</f>
        <v>#VALUE!</v>
      </c>
      <c r="AZ73" t="e">
        <f>'All regions'!E1976+"$F;@!%Dw"</f>
        <v>#VALUE!</v>
      </c>
      <c r="BA73" t="e">
        <f>'All regions'!F1976+"$F;@!%Dx"</f>
        <v>#VALUE!</v>
      </c>
      <c r="BB73" t="e">
        <f>'All regions'!G1976+"$F;@!%Dy"</f>
        <v>#VALUE!</v>
      </c>
      <c r="BC73" t="e">
        <f>'All regions'!H1976+"$F;@!%Dz"</f>
        <v>#VALUE!</v>
      </c>
      <c r="BD73" t="e">
        <f>'All regions'!I1976+"$F;@!%D{"</f>
        <v>#VALUE!</v>
      </c>
      <c r="BE73" t="e">
        <f>'All regions'!A1977+"$F;@!%D|"</f>
        <v>#VALUE!</v>
      </c>
      <c r="BF73" t="e">
        <f>'All regions'!B1977+"$F;@!%D}"</f>
        <v>#VALUE!</v>
      </c>
      <c r="BG73" t="e">
        <f>'All regions'!C1977+"$F;@!%D~"</f>
        <v>#VALUE!</v>
      </c>
      <c r="BH73" t="e">
        <f>'All regions'!D1977+"$F;@!%E#"</f>
        <v>#VALUE!</v>
      </c>
      <c r="BI73" t="e">
        <f>'All regions'!E1977+"$F;@!%E$"</f>
        <v>#VALUE!</v>
      </c>
      <c r="BJ73" t="e">
        <f>'All regions'!F1977+"$F;@!%E%"</f>
        <v>#VALUE!</v>
      </c>
      <c r="BK73" t="e">
        <f>'All regions'!G1977+"$F;@!%E&amp;"</f>
        <v>#VALUE!</v>
      </c>
      <c r="BL73" t="e">
        <f>'All regions'!H1977+"$F;@!%E'"</f>
        <v>#VALUE!</v>
      </c>
      <c r="BM73" t="e">
        <f>'All regions'!I1977+"$F;@!%E("</f>
        <v>#VALUE!</v>
      </c>
      <c r="BN73" t="e">
        <f>'All regions'!A1978+"$F;@!%E)"</f>
        <v>#VALUE!</v>
      </c>
      <c r="BO73" t="e">
        <f>'All regions'!B1978+"$F;@!%E."</f>
        <v>#VALUE!</v>
      </c>
      <c r="BP73" t="e">
        <f>'All regions'!C1978+"$F;@!%E/"</f>
        <v>#VALUE!</v>
      </c>
      <c r="BQ73" t="e">
        <f>'All regions'!D1978+"$F;@!%E0"</f>
        <v>#VALUE!</v>
      </c>
      <c r="BR73" t="e">
        <f>'All regions'!E1978+"$F;@!%E1"</f>
        <v>#VALUE!</v>
      </c>
      <c r="BS73" t="e">
        <f>'All regions'!F1978+"$F;@!%E2"</f>
        <v>#VALUE!</v>
      </c>
      <c r="BT73" t="e">
        <f>'All regions'!G1978+"$F;@!%E3"</f>
        <v>#VALUE!</v>
      </c>
      <c r="BU73" t="e">
        <f>'All regions'!H1978+"$F;@!%E4"</f>
        <v>#VALUE!</v>
      </c>
      <c r="BV73" t="e">
        <f>'All regions'!I1978+"$F;@!%E5"</f>
        <v>#VALUE!</v>
      </c>
      <c r="BW73" t="e">
        <f>'All regions'!A1979+"$F;@!%E6"</f>
        <v>#VALUE!</v>
      </c>
      <c r="BX73" t="e">
        <f>'All regions'!B1979+"$F;@!%E7"</f>
        <v>#VALUE!</v>
      </c>
      <c r="BY73" t="e">
        <f>'All regions'!C1979+"$F;@!%E8"</f>
        <v>#VALUE!</v>
      </c>
      <c r="BZ73" t="e">
        <f>'All regions'!D1979+"$F;@!%E9"</f>
        <v>#VALUE!</v>
      </c>
      <c r="CA73" t="e">
        <f>'All regions'!E1979+"$F;@!%E:"</f>
        <v>#VALUE!</v>
      </c>
      <c r="CB73" t="e">
        <f>'All regions'!F1979+"$F;@!%E;"</f>
        <v>#VALUE!</v>
      </c>
      <c r="CC73" t="e">
        <f>'All regions'!G1979+"$F;@!%E&lt;"</f>
        <v>#VALUE!</v>
      </c>
      <c r="CD73" t="e">
        <f>'All regions'!H1979+"$F;@!%E="</f>
        <v>#VALUE!</v>
      </c>
      <c r="CE73" t="e">
        <f>'All regions'!I1979+"$F;@!%E&gt;"</f>
        <v>#VALUE!</v>
      </c>
      <c r="CF73" t="e">
        <f>'All regions'!A1980+"$F;@!%E?"</f>
        <v>#VALUE!</v>
      </c>
      <c r="CG73" t="e">
        <f>'All regions'!B1980+"$F;@!%E@"</f>
        <v>#VALUE!</v>
      </c>
      <c r="CH73" t="e">
        <f>'All regions'!C1980+"$F;@!%EA"</f>
        <v>#VALUE!</v>
      </c>
      <c r="CI73" t="e">
        <f>'All regions'!D1980+"$F;@!%EB"</f>
        <v>#VALUE!</v>
      </c>
      <c r="CJ73" t="e">
        <f>'All regions'!E1980+"$F;@!%EC"</f>
        <v>#VALUE!</v>
      </c>
      <c r="CK73" t="e">
        <f>'All regions'!F1980+"$F;@!%ED"</f>
        <v>#VALUE!</v>
      </c>
      <c r="CL73" t="e">
        <f>'All regions'!G1980+"$F;@!%EE"</f>
        <v>#VALUE!</v>
      </c>
      <c r="CM73" t="e">
        <f>'All regions'!H1980+"$F;@!%EF"</f>
        <v>#VALUE!</v>
      </c>
      <c r="CN73" t="e">
        <f>'All regions'!I1980+"$F;@!%EG"</f>
        <v>#VALUE!</v>
      </c>
      <c r="CO73" t="e">
        <f>'All regions'!A1981+"$F;@!%EH"</f>
        <v>#VALUE!</v>
      </c>
      <c r="CP73" t="e">
        <f>'All regions'!B1981+"$F;@!%EI"</f>
        <v>#VALUE!</v>
      </c>
      <c r="CQ73" t="e">
        <f>'All regions'!C1981+"$F;@!%EJ"</f>
        <v>#VALUE!</v>
      </c>
      <c r="CR73" t="e">
        <f>'All regions'!D1981+"$F;@!%EK"</f>
        <v>#VALUE!</v>
      </c>
      <c r="CS73" t="e">
        <f>'All regions'!E1981+"$F;@!%EL"</f>
        <v>#VALUE!</v>
      </c>
      <c r="CT73" t="e">
        <f>'All regions'!F1981+"$F;@!%EM"</f>
        <v>#VALUE!</v>
      </c>
      <c r="CU73" t="e">
        <f>'All regions'!G1981+"$F;@!%EN"</f>
        <v>#VALUE!</v>
      </c>
      <c r="CV73" t="e">
        <f>'All regions'!H1981+"$F;@!%EO"</f>
        <v>#VALUE!</v>
      </c>
      <c r="CW73" t="e">
        <f>'All regions'!I1981+"$F;@!%EP"</f>
        <v>#VALUE!</v>
      </c>
      <c r="CX73" t="e">
        <f>'All regions'!A1982+"$F;@!%EQ"</f>
        <v>#VALUE!</v>
      </c>
      <c r="CY73" t="e">
        <f>'All regions'!B1982+"$F;@!%ER"</f>
        <v>#VALUE!</v>
      </c>
      <c r="CZ73" t="e">
        <f>'All regions'!C1982+"$F;@!%ES"</f>
        <v>#VALUE!</v>
      </c>
      <c r="DA73" t="e">
        <f>'All regions'!D1982+"$F;@!%ET"</f>
        <v>#VALUE!</v>
      </c>
      <c r="DB73" t="e">
        <f>'All regions'!E1982+"$F;@!%EU"</f>
        <v>#VALUE!</v>
      </c>
      <c r="DC73" t="e">
        <f>'All regions'!F1982+"$F;@!%EV"</f>
        <v>#VALUE!</v>
      </c>
      <c r="DD73" t="e">
        <f>'All regions'!G1982+"$F;@!%EW"</f>
        <v>#VALUE!</v>
      </c>
      <c r="DE73" t="e">
        <f>'All regions'!H1982+"$F;@!%EX"</f>
        <v>#VALUE!</v>
      </c>
      <c r="DF73" t="e">
        <f>'All regions'!I1982+"$F;@!%EY"</f>
        <v>#VALUE!</v>
      </c>
      <c r="DG73" t="e">
        <f>'All regions'!A1983+"$F;@!%EZ"</f>
        <v>#VALUE!</v>
      </c>
      <c r="DH73" t="e">
        <f>'All regions'!B1983+"$F;@!%E["</f>
        <v>#VALUE!</v>
      </c>
      <c r="DI73" t="e">
        <f>'All regions'!C1983+"$F;@!%E\"</f>
        <v>#VALUE!</v>
      </c>
      <c r="DJ73" t="e">
        <f>'All regions'!D1983+"$F;@!%E]"</f>
        <v>#VALUE!</v>
      </c>
      <c r="DK73" t="e">
        <f>'All regions'!E1983+"$F;@!%E^"</f>
        <v>#VALUE!</v>
      </c>
      <c r="DL73" t="e">
        <f>'All regions'!F1983+"$F;@!%E_"</f>
        <v>#VALUE!</v>
      </c>
      <c r="DM73" t="e">
        <f>'All regions'!G1983+"$F;@!%E`"</f>
        <v>#VALUE!</v>
      </c>
      <c r="DN73" t="e">
        <f>'All regions'!H1983+"$F;@!%Ea"</f>
        <v>#VALUE!</v>
      </c>
      <c r="DO73" t="e">
        <f>'All regions'!I1983+"$F;@!%Eb"</f>
        <v>#VALUE!</v>
      </c>
      <c r="DP73" t="e">
        <f>'All regions'!A1984+"$F;@!%Ec"</f>
        <v>#VALUE!</v>
      </c>
      <c r="DQ73" t="e">
        <f>'All regions'!B1984+"$F;@!%Ed"</f>
        <v>#VALUE!</v>
      </c>
      <c r="DR73" t="e">
        <f>'All regions'!C1984+"$F;@!%Ee"</f>
        <v>#VALUE!</v>
      </c>
      <c r="DS73" t="e">
        <f>'All regions'!D1984+"$F;@!%Ef"</f>
        <v>#VALUE!</v>
      </c>
      <c r="DT73" t="e">
        <f>'All regions'!E1984+"$F;@!%Eg"</f>
        <v>#VALUE!</v>
      </c>
      <c r="DU73" t="e">
        <f>'All regions'!F1984+"$F;@!%Eh"</f>
        <v>#VALUE!</v>
      </c>
      <c r="DV73" t="e">
        <f>'All regions'!G1984+"$F;@!%Ei"</f>
        <v>#VALUE!</v>
      </c>
      <c r="DW73" t="e">
        <f>'All regions'!H1984+"$F;@!%Ej"</f>
        <v>#VALUE!</v>
      </c>
      <c r="DX73" t="e">
        <f>'All regions'!I1984+"$F;@!%Ek"</f>
        <v>#VALUE!</v>
      </c>
      <c r="DY73" t="e">
        <f>'All regions'!A1985+"$F;@!%El"</f>
        <v>#VALUE!</v>
      </c>
      <c r="DZ73" t="e">
        <f>'All regions'!B1985+"$F;@!%Em"</f>
        <v>#VALUE!</v>
      </c>
      <c r="EA73" t="e">
        <f>'All regions'!C1985+"$F;@!%En"</f>
        <v>#VALUE!</v>
      </c>
      <c r="EB73" t="e">
        <f>'All regions'!D1985+"$F;@!%Eo"</f>
        <v>#VALUE!</v>
      </c>
      <c r="EC73" t="e">
        <f>'All regions'!E1985+"$F;@!%Ep"</f>
        <v>#VALUE!</v>
      </c>
      <c r="ED73" t="e">
        <f>'All regions'!F1985+"$F;@!%Eq"</f>
        <v>#VALUE!</v>
      </c>
      <c r="EE73" t="e">
        <f>'All regions'!G1985+"$F;@!%Er"</f>
        <v>#VALUE!</v>
      </c>
      <c r="EF73" t="e">
        <f>'All regions'!H1985+"$F;@!%Es"</f>
        <v>#VALUE!</v>
      </c>
      <c r="EG73" t="e">
        <f>'All regions'!I1985+"$F;@!%Et"</f>
        <v>#VALUE!</v>
      </c>
      <c r="EH73" t="e">
        <f>'All regions'!A1986+"$F;@!%Eu"</f>
        <v>#VALUE!</v>
      </c>
      <c r="EI73" t="e">
        <f>'All regions'!B1986+"$F;@!%Ev"</f>
        <v>#VALUE!</v>
      </c>
      <c r="EJ73" t="e">
        <f>'All regions'!C1986+"$F;@!%Ew"</f>
        <v>#VALUE!</v>
      </c>
      <c r="EK73" t="e">
        <f>'All regions'!D1986+"$F;@!%Ex"</f>
        <v>#VALUE!</v>
      </c>
      <c r="EL73" t="e">
        <f>'All regions'!E1986+"$F;@!%Ey"</f>
        <v>#VALUE!</v>
      </c>
      <c r="EM73" t="e">
        <f>'All regions'!F1986+"$F;@!%Ez"</f>
        <v>#VALUE!</v>
      </c>
      <c r="EN73" t="e">
        <f>'All regions'!G1986+"$F;@!%E{"</f>
        <v>#VALUE!</v>
      </c>
      <c r="EO73" t="e">
        <f>'All regions'!H1986+"$F;@!%E|"</f>
        <v>#VALUE!</v>
      </c>
      <c r="EP73" t="e">
        <f>'All regions'!I1986+"$F;@!%E}"</f>
        <v>#VALUE!</v>
      </c>
      <c r="EQ73" t="e">
        <f>'All regions'!A1990+"$F;@!%E~"</f>
        <v>#VALUE!</v>
      </c>
      <c r="ER73" t="e">
        <f>'All regions'!B1990+"$F;@!%F#"</f>
        <v>#VALUE!</v>
      </c>
      <c r="ES73" t="e">
        <f>'All regions'!C1990+"$F;@!%F$"</f>
        <v>#VALUE!</v>
      </c>
      <c r="ET73" t="e">
        <f>'All regions'!D1990+"$F;@!%F%"</f>
        <v>#VALUE!</v>
      </c>
      <c r="EU73" t="e">
        <f>'All regions'!E1990+"$F;@!%F&amp;"</f>
        <v>#VALUE!</v>
      </c>
      <c r="EV73" t="e">
        <f>'All regions'!F1990+"$F;@!%F'"</f>
        <v>#VALUE!</v>
      </c>
      <c r="EW73" t="e">
        <f>'All regions'!G1990+"$F;@!%F("</f>
        <v>#VALUE!</v>
      </c>
      <c r="EX73" t="e">
        <f>'All regions'!H1990+"$F;@!%F)"</f>
        <v>#VALUE!</v>
      </c>
      <c r="EY73" t="e">
        <f>'All regions'!I1990+"$F;@!%F."</f>
        <v>#VALUE!</v>
      </c>
      <c r="EZ73" t="e">
        <f>'All regions'!A1991+"$F;@!%F/"</f>
        <v>#VALUE!</v>
      </c>
      <c r="FA73" t="e">
        <f>'All regions'!B1991+"$F;@!%F0"</f>
        <v>#VALUE!</v>
      </c>
      <c r="FB73" t="e">
        <f>'All regions'!C1991+"$F;@!%F1"</f>
        <v>#VALUE!</v>
      </c>
      <c r="FC73" t="e">
        <f>'All regions'!D1991+"$F;@!%F2"</f>
        <v>#VALUE!</v>
      </c>
      <c r="FD73" t="e">
        <f>'All regions'!E1991+"$F;@!%F3"</f>
        <v>#VALUE!</v>
      </c>
      <c r="FE73" t="e">
        <f>'All regions'!F1991+"$F;@!%F4"</f>
        <v>#VALUE!</v>
      </c>
      <c r="FF73" t="e">
        <f>'All regions'!G1991+"$F;@!%F5"</f>
        <v>#VALUE!</v>
      </c>
      <c r="FG73" t="e">
        <f>'All regions'!H1991+"$F;@!%F6"</f>
        <v>#VALUE!</v>
      </c>
      <c r="FH73" t="e">
        <f>'All regions'!I1991+"$F;@!%F7"</f>
        <v>#VALUE!</v>
      </c>
      <c r="FI73" t="e">
        <f>'All regions'!A1992+"$F;@!%F8"</f>
        <v>#VALUE!</v>
      </c>
      <c r="FJ73" t="e">
        <f>'All regions'!B1992+"$F;@!%F9"</f>
        <v>#VALUE!</v>
      </c>
      <c r="FK73" t="e">
        <f>'All regions'!C1992+"$F;@!%F:"</f>
        <v>#VALUE!</v>
      </c>
      <c r="FL73" t="e">
        <f>'All regions'!D1992+"$F;@!%F;"</f>
        <v>#VALUE!</v>
      </c>
      <c r="FM73" t="e">
        <f>'All regions'!E1992+"$F;@!%F&lt;"</f>
        <v>#VALUE!</v>
      </c>
      <c r="FN73" t="e">
        <f>'All regions'!F1992+"$F;@!%F="</f>
        <v>#VALUE!</v>
      </c>
      <c r="FO73" t="e">
        <f>'All regions'!G1992+"$F;@!%F&gt;"</f>
        <v>#VALUE!</v>
      </c>
      <c r="FP73" t="e">
        <f>'All regions'!H1992+"$F;@!%F?"</f>
        <v>#VALUE!</v>
      </c>
      <c r="FQ73" t="e">
        <f>'All regions'!I1992+"$F;@!%F@"</f>
        <v>#VALUE!</v>
      </c>
      <c r="FR73" t="e">
        <f>'All regions'!A1993+"$F;@!%FA"</f>
        <v>#VALUE!</v>
      </c>
      <c r="FS73" t="e">
        <f>'All regions'!B1993+"$F;@!%FB"</f>
        <v>#VALUE!</v>
      </c>
      <c r="FT73" t="e">
        <f>'All regions'!C1993+"$F;@!%FC"</f>
        <v>#VALUE!</v>
      </c>
      <c r="FU73" t="e">
        <f>'All regions'!D1993+"$F;@!%FD"</f>
        <v>#VALUE!</v>
      </c>
      <c r="FV73" t="e">
        <f>'All regions'!E1993+"$F;@!%FE"</f>
        <v>#VALUE!</v>
      </c>
      <c r="FW73" t="e">
        <f>'All regions'!F1993+"$F;@!%FF"</f>
        <v>#VALUE!</v>
      </c>
      <c r="FX73" t="e">
        <f>'All regions'!G1993+"$F;@!%FG"</f>
        <v>#VALUE!</v>
      </c>
      <c r="FY73" t="e">
        <f>'All regions'!H1993+"$F;@!%FH"</f>
        <v>#VALUE!</v>
      </c>
      <c r="FZ73" t="e">
        <f>'All regions'!I1993+"$F;@!%FI"</f>
        <v>#VALUE!</v>
      </c>
      <c r="GA73" t="e">
        <f>'All regions'!A1994+"$F;@!%FJ"</f>
        <v>#VALUE!</v>
      </c>
      <c r="GB73" t="e">
        <f>'All regions'!B1994+"$F;@!%FK"</f>
        <v>#VALUE!</v>
      </c>
      <c r="GC73" t="e">
        <f>'All regions'!C1994+"$F;@!%FL"</f>
        <v>#VALUE!</v>
      </c>
      <c r="GD73" t="e">
        <f>'All regions'!D1994+"$F;@!%FM"</f>
        <v>#VALUE!</v>
      </c>
      <c r="GE73" t="e">
        <f>'All regions'!E1994+"$F;@!%FN"</f>
        <v>#VALUE!</v>
      </c>
      <c r="GF73" t="e">
        <f>'All regions'!F1994+"$F;@!%FO"</f>
        <v>#VALUE!</v>
      </c>
      <c r="GG73" t="e">
        <f>'All regions'!G1994+"$F;@!%FP"</f>
        <v>#VALUE!</v>
      </c>
      <c r="GH73" t="e">
        <f>'All regions'!H1994+"$F;@!%FQ"</f>
        <v>#VALUE!</v>
      </c>
      <c r="GI73" t="e">
        <f>'All regions'!I1994+"$F;@!%FR"</f>
        <v>#VALUE!</v>
      </c>
      <c r="GJ73" t="e">
        <f>'All regions'!A1995+"$F;@!%FS"</f>
        <v>#VALUE!</v>
      </c>
      <c r="GK73" t="e">
        <f>'All regions'!B1995+"$F;@!%FT"</f>
        <v>#VALUE!</v>
      </c>
      <c r="GL73" t="e">
        <f>'All regions'!C1995+"$F;@!%FU"</f>
        <v>#VALUE!</v>
      </c>
      <c r="GM73" t="e">
        <f>'All regions'!D1995+"$F;@!%FV"</f>
        <v>#VALUE!</v>
      </c>
      <c r="GN73" t="e">
        <f>'All regions'!E1995+"$F;@!%FW"</f>
        <v>#VALUE!</v>
      </c>
      <c r="GO73" t="e">
        <f>'All regions'!F1995+"$F;@!%FX"</f>
        <v>#VALUE!</v>
      </c>
      <c r="GP73" t="e">
        <f>'All regions'!G1995+"$F;@!%FY"</f>
        <v>#VALUE!</v>
      </c>
      <c r="GQ73" t="e">
        <f>'All regions'!H1995+"$F;@!%FZ"</f>
        <v>#VALUE!</v>
      </c>
      <c r="GR73" t="e">
        <f>'All regions'!I1995+"$F;@!%F["</f>
        <v>#VALUE!</v>
      </c>
      <c r="GS73" t="e">
        <f>'All regions'!A1996+"$F;@!%F\"</f>
        <v>#VALUE!</v>
      </c>
      <c r="GT73" t="e">
        <f>'All regions'!B1996+"$F;@!%F]"</f>
        <v>#VALUE!</v>
      </c>
      <c r="GU73" t="e">
        <f>'All regions'!C1996+"$F;@!%F^"</f>
        <v>#VALUE!</v>
      </c>
      <c r="GV73" t="e">
        <f>'All regions'!D1996+"$F;@!%F_"</f>
        <v>#VALUE!</v>
      </c>
      <c r="GW73" t="e">
        <f>'All regions'!E1996+"$F;@!%F`"</f>
        <v>#VALUE!</v>
      </c>
      <c r="GX73" t="e">
        <f>'All regions'!F1996+"$F;@!%Fa"</f>
        <v>#VALUE!</v>
      </c>
      <c r="GY73" t="e">
        <f>'All regions'!G1996+"$F;@!%Fb"</f>
        <v>#VALUE!</v>
      </c>
      <c r="GZ73" t="e">
        <f>'All regions'!H1996+"$F;@!%Fc"</f>
        <v>#VALUE!</v>
      </c>
      <c r="HA73" t="e">
        <f>'All regions'!I1996+"$F;@!%Fd"</f>
        <v>#VALUE!</v>
      </c>
      <c r="HB73" t="e">
        <f>'All regions'!A1997+"$F;@!%Fe"</f>
        <v>#VALUE!</v>
      </c>
      <c r="HC73" t="e">
        <f>'All regions'!B1997+"$F;@!%Ff"</f>
        <v>#VALUE!</v>
      </c>
      <c r="HD73" t="e">
        <f>'All regions'!C1997+"$F;@!%Fg"</f>
        <v>#VALUE!</v>
      </c>
      <c r="HE73" t="e">
        <f>'All regions'!D1997+"$F;@!%Fh"</f>
        <v>#VALUE!</v>
      </c>
      <c r="HF73" t="e">
        <f>'All regions'!E1997+"$F;@!%Fi"</f>
        <v>#VALUE!</v>
      </c>
      <c r="HG73" t="e">
        <f>'All regions'!F1997+"$F;@!%Fj"</f>
        <v>#VALUE!</v>
      </c>
      <c r="HH73" t="e">
        <f>'All regions'!G1997+"$F;@!%Fk"</f>
        <v>#VALUE!</v>
      </c>
      <c r="HI73" t="e">
        <f>'All regions'!H1997+"$F;@!%Fl"</f>
        <v>#VALUE!</v>
      </c>
      <c r="HJ73" t="e">
        <f>'All regions'!I1997+"$F;@!%Fm"</f>
        <v>#VALUE!</v>
      </c>
      <c r="HK73" t="e">
        <f>'All regions'!A1998+"$F;@!%Fn"</f>
        <v>#VALUE!</v>
      </c>
      <c r="HL73" t="e">
        <f>'All regions'!B1998+"$F;@!%Fo"</f>
        <v>#VALUE!</v>
      </c>
      <c r="HM73" t="e">
        <f>'All regions'!C1998+"$F;@!%Fp"</f>
        <v>#VALUE!</v>
      </c>
      <c r="HN73" t="e">
        <f>'All regions'!D1998+"$F;@!%Fq"</f>
        <v>#VALUE!</v>
      </c>
      <c r="HO73" t="e">
        <f>'All regions'!E1998+"$F;@!%Fr"</f>
        <v>#VALUE!</v>
      </c>
      <c r="HP73" t="e">
        <f>'All regions'!F1998+"$F;@!%Fs"</f>
        <v>#VALUE!</v>
      </c>
      <c r="HQ73" t="e">
        <f>'All regions'!G1998+"$F;@!%Ft"</f>
        <v>#VALUE!</v>
      </c>
      <c r="HR73" t="e">
        <f>'All regions'!H1998+"$F;@!%Fu"</f>
        <v>#VALUE!</v>
      </c>
      <c r="HS73" t="e">
        <f>'All regions'!I1998+"$F;@!%Fv"</f>
        <v>#VALUE!</v>
      </c>
      <c r="HT73" t="e">
        <f>'All regions'!A1999+"$F;@!%Fw"</f>
        <v>#VALUE!</v>
      </c>
      <c r="HU73" t="e">
        <f>'All regions'!B1999+"$F;@!%Fx"</f>
        <v>#VALUE!</v>
      </c>
      <c r="HV73" t="e">
        <f>'All regions'!C1999+"$F;@!%Fy"</f>
        <v>#VALUE!</v>
      </c>
      <c r="HW73" t="e">
        <f>'All regions'!D1999+"$F;@!%Fz"</f>
        <v>#VALUE!</v>
      </c>
      <c r="HX73" t="e">
        <f>'All regions'!E1999+"$F;@!%F{"</f>
        <v>#VALUE!</v>
      </c>
      <c r="HY73" t="e">
        <f>'All regions'!F1999+"$F;@!%F|"</f>
        <v>#VALUE!</v>
      </c>
      <c r="HZ73" t="e">
        <f>'All regions'!G1999+"$F;@!%F}"</f>
        <v>#VALUE!</v>
      </c>
      <c r="IA73" t="e">
        <f>'All regions'!H1999+"$F;@!%F~"</f>
        <v>#VALUE!</v>
      </c>
      <c r="IB73" t="e">
        <f>'All regions'!I1999+"$F;@!%G#"</f>
        <v>#VALUE!</v>
      </c>
      <c r="IC73" t="e">
        <f>'All regions'!A2000+"$F;@!%G$"</f>
        <v>#VALUE!</v>
      </c>
      <c r="ID73" t="e">
        <f>'All regions'!B2000+"$F;@!%G%"</f>
        <v>#VALUE!</v>
      </c>
      <c r="IE73" t="e">
        <f>'All regions'!C2000+"$F;@!%G&amp;"</f>
        <v>#VALUE!</v>
      </c>
      <c r="IF73" t="e">
        <f>'All regions'!D2000+"$F;@!%G'"</f>
        <v>#VALUE!</v>
      </c>
      <c r="IG73" t="e">
        <f>'All regions'!E2000+"$F;@!%G("</f>
        <v>#VALUE!</v>
      </c>
      <c r="IH73" t="e">
        <f>'All regions'!F2000+"$F;@!%G)"</f>
        <v>#VALUE!</v>
      </c>
      <c r="II73" t="e">
        <f>'All regions'!G2000+"$F;@!%G."</f>
        <v>#VALUE!</v>
      </c>
      <c r="IJ73" t="e">
        <f>'All regions'!H2000+"$F;@!%G/"</f>
        <v>#VALUE!</v>
      </c>
      <c r="IK73" t="e">
        <f>'All regions'!I2000+"$F;@!%G0"</f>
        <v>#VALUE!</v>
      </c>
      <c r="IL73" t="e">
        <f>'All regions'!A2001+"$F;@!%G1"</f>
        <v>#VALUE!</v>
      </c>
      <c r="IM73" t="e">
        <f>'All regions'!B2001+"$F;@!%G2"</f>
        <v>#VALUE!</v>
      </c>
      <c r="IN73" t="e">
        <f>'All regions'!C2001+"$F;@!%G3"</f>
        <v>#VALUE!</v>
      </c>
      <c r="IO73" t="e">
        <f>'All regions'!D2001+"$F;@!%G4"</f>
        <v>#VALUE!</v>
      </c>
      <c r="IP73" t="e">
        <f>'All regions'!E2001+"$F;@!%G5"</f>
        <v>#VALUE!</v>
      </c>
      <c r="IQ73" t="e">
        <f>'All regions'!F2001+"$F;@!%G6"</f>
        <v>#VALUE!</v>
      </c>
      <c r="IR73" t="e">
        <f>'All regions'!G2001+"$F;@!%G7"</f>
        <v>#VALUE!</v>
      </c>
      <c r="IS73" t="e">
        <f>'All regions'!H2001+"$F;@!%G8"</f>
        <v>#VALUE!</v>
      </c>
      <c r="IT73" t="e">
        <f>'All regions'!I2001+"$F;@!%G9"</f>
        <v>#VALUE!</v>
      </c>
      <c r="IU73" t="e">
        <f>'All regions'!A2002+"$F;@!%G:"</f>
        <v>#VALUE!</v>
      </c>
      <c r="IV73" t="e">
        <f>'All regions'!B2002+"$F;@!%G;"</f>
        <v>#VALUE!</v>
      </c>
    </row>
    <row r="74" spans="6:256" x14ac:dyDescent="0.35">
      <c r="F74" t="e">
        <f>'All regions'!C2002+"$F;@!%G&lt;"</f>
        <v>#VALUE!</v>
      </c>
      <c r="G74" t="e">
        <f>'All regions'!D2002+"$F;@!%G="</f>
        <v>#VALUE!</v>
      </c>
      <c r="H74" t="e">
        <f>'All regions'!E2002+"$F;@!%G&gt;"</f>
        <v>#VALUE!</v>
      </c>
      <c r="I74" t="e">
        <f>'All regions'!F2002+"$F;@!%G?"</f>
        <v>#VALUE!</v>
      </c>
      <c r="J74" t="e">
        <f>'All regions'!G2002+"$F;@!%G@"</f>
        <v>#VALUE!</v>
      </c>
      <c r="K74" t="e">
        <f>'All regions'!H2002+"$F;@!%GA"</f>
        <v>#VALUE!</v>
      </c>
      <c r="L74" t="e">
        <f>'All regions'!I2002+"$F;@!%GB"</f>
        <v>#VALUE!</v>
      </c>
      <c r="M74" t="e">
        <f>'All regions'!A2003+"$F;@!%GC"</f>
        <v>#VALUE!</v>
      </c>
      <c r="N74" t="e">
        <f>'All regions'!B2003+"$F;@!%GD"</f>
        <v>#VALUE!</v>
      </c>
      <c r="O74" t="e">
        <f>'All regions'!C2003+"$F;@!%GE"</f>
        <v>#VALUE!</v>
      </c>
      <c r="P74" t="e">
        <f>'All regions'!D2003+"$F;@!%GF"</f>
        <v>#VALUE!</v>
      </c>
      <c r="Q74" t="e">
        <f>'All regions'!E2003+"$F;@!%GG"</f>
        <v>#VALUE!</v>
      </c>
      <c r="R74" t="e">
        <f>'All regions'!F2003+"$F;@!%GH"</f>
        <v>#VALUE!</v>
      </c>
      <c r="S74" t="e">
        <f>'All regions'!G2003+"$F;@!%GI"</f>
        <v>#VALUE!</v>
      </c>
      <c r="T74" t="e">
        <f>'All regions'!H2003+"$F;@!%GJ"</f>
        <v>#VALUE!</v>
      </c>
      <c r="U74" t="e">
        <f>'All regions'!I2003+"$F;@!%GK"</f>
        <v>#VALUE!</v>
      </c>
      <c r="V74" t="e">
        <f>'All regions'!A2004+"$F;@!%GL"</f>
        <v>#VALUE!</v>
      </c>
      <c r="W74" t="e">
        <f>'All regions'!B2004+"$F;@!%GM"</f>
        <v>#VALUE!</v>
      </c>
      <c r="X74" t="e">
        <f>'All regions'!C2004+"$F;@!%GN"</f>
        <v>#VALUE!</v>
      </c>
      <c r="Y74" t="e">
        <f>'All regions'!D2004+"$F;@!%GO"</f>
        <v>#VALUE!</v>
      </c>
      <c r="Z74" t="e">
        <f>'All regions'!E2004+"$F;@!%GP"</f>
        <v>#VALUE!</v>
      </c>
      <c r="AA74" t="e">
        <f>'All regions'!F2004+"$F;@!%GQ"</f>
        <v>#VALUE!</v>
      </c>
      <c r="AB74" t="e">
        <f>'All regions'!G2004+"$F;@!%GR"</f>
        <v>#VALUE!</v>
      </c>
      <c r="AC74" t="e">
        <f>'All regions'!H2004+"$F;@!%GS"</f>
        <v>#VALUE!</v>
      </c>
      <c r="AD74" t="e">
        <f>'All regions'!I2004+"$F;@!%GT"</f>
        <v>#VALUE!</v>
      </c>
      <c r="AE74" t="e">
        <f>'All regions'!A2005+"$F;@!%GU"</f>
        <v>#VALUE!</v>
      </c>
      <c r="AF74" t="e">
        <f>'All regions'!B2005+"$F;@!%GV"</f>
        <v>#VALUE!</v>
      </c>
      <c r="AG74" t="e">
        <f>'All regions'!C2005+"$F;@!%GW"</f>
        <v>#VALUE!</v>
      </c>
      <c r="AH74" t="e">
        <f>'All regions'!D2005+"$F;@!%GX"</f>
        <v>#VALUE!</v>
      </c>
      <c r="AI74" t="e">
        <f>'All regions'!E2005+"$F;@!%GY"</f>
        <v>#VALUE!</v>
      </c>
      <c r="AJ74" t="e">
        <f>'All regions'!F2005+"$F;@!%GZ"</f>
        <v>#VALUE!</v>
      </c>
      <c r="AK74" t="e">
        <f>'All regions'!G2005+"$F;@!%G["</f>
        <v>#VALUE!</v>
      </c>
      <c r="AL74" t="e">
        <f>'All regions'!H2005+"$F;@!%G\"</f>
        <v>#VALUE!</v>
      </c>
      <c r="AM74" t="e">
        <f>'All regions'!I2005+"$F;@!%G]"</f>
        <v>#VALUE!</v>
      </c>
      <c r="AN74" t="e">
        <f>'All regions'!A2006+"$F;@!%G^"</f>
        <v>#VALUE!</v>
      </c>
      <c r="AO74" t="e">
        <f>'All regions'!B2006+"$F;@!%G_"</f>
        <v>#VALUE!</v>
      </c>
      <c r="AP74" t="e">
        <f>'All regions'!C2006+"$F;@!%G`"</f>
        <v>#VALUE!</v>
      </c>
      <c r="AQ74" t="e">
        <f>'All regions'!D2006+"$F;@!%Ga"</f>
        <v>#VALUE!</v>
      </c>
      <c r="AR74" t="e">
        <f>'All regions'!E2006+"$F;@!%Gb"</f>
        <v>#VALUE!</v>
      </c>
      <c r="AS74" t="e">
        <f>'All regions'!F2006+"$F;@!%Gc"</f>
        <v>#VALUE!</v>
      </c>
      <c r="AT74" t="e">
        <f>'All regions'!G2006+"$F;@!%Gd"</f>
        <v>#VALUE!</v>
      </c>
      <c r="AU74" t="e">
        <f>'All regions'!H2006+"$F;@!%Ge"</f>
        <v>#VALUE!</v>
      </c>
      <c r="AV74" t="e">
        <f>'All regions'!I2006+"$F;@!%Gf"</f>
        <v>#VALUE!</v>
      </c>
      <c r="AW74" t="e">
        <f>'All regions'!A2007+"$F;@!%Gg"</f>
        <v>#VALUE!</v>
      </c>
      <c r="AX74" t="e">
        <f>'All regions'!B2007+"$F;@!%Gh"</f>
        <v>#VALUE!</v>
      </c>
      <c r="AY74" t="e">
        <f>'All regions'!C2007+"$F;@!%Gi"</f>
        <v>#VALUE!</v>
      </c>
      <c r="AZ74" t="e">
        <f>'All regions'!D2007+"$F;@!%Gj"</f>
        <v>#VALUE!</v>
      </c>
      <c r="BA74" t="e">
        <f>'All regions'!E2007+"$F;@!%Gk"</f>
        <v>#VALUE!</v>
      </c>
      <c r="BB74" t="e">
        <f>'All regions'!F2007+"$F;@!%Gl"</f>
        <v>#VALUE!</v>
      </c>
      <c r="BC74" t="e">
        <f>'All regions'!G2007+"$F;@!%Gm"</f>
        <v>#VALUE!</v>
      </c>
      <c r="BD74" t="e">
        <f>'All regions'!H2007+"$F;@!%Gn"</f>
        <v>#VALUE!</v>
      </c>
      <c r="BE74" t="e">
        <f>'All regions'!I2007+"$F;@!%Go"</f>
        <v>#VALUE!</v>
      </c>
      <c r="BF74" t="e">
        <f>'All regions'!A2008+"$F;@!%Gp"</f>
        <v>#VALUE!</v>
      </c>
      <c r="BG74" t="e">
        <f>'All regions'!B2008+"$F;@!%Gq"</f>
        <v>#VALUE!</v>
      </c>
      <c r="BH74" t="e">
        <f>'All regions'!C2008+"$F;@!%Gr"</f>
        <v>#VALUE!</v>
      </c>
      <c r="BI74" t="e">
        <f>'All regions'!D2008+"$F;@!%Gs"</f>
        <v>#VALUE!</v>
      </c>
      <c r="BJ74" t="e">
        <f>'All regions'!E2008+"$F;@!%Gt"</f>
        <v>#VALUE!</v>
      </c>
      <c r="BK74" t="e">
        <f>'All regions'!F2008+"$F;@!%Gu"</f>
        <v>#VALUE!</v>
      </c>
      <c r="BL74" t="e">
        <f>'All regions'!G2008+"$F;@!%Gv"</f>
        <v>#VALUE!</v>
      </c>
      <c r="BM74" t="e">
        <f>'All regions'!H2008+"$F;@!%Gw"</f>
        <v>#VALUE!</v>
      </c>
      <c r="BN74" t="e">
        <f>'All regions'!I2008+"$F;@!%Gx"</f>
        <v>#VALUE!</v>
      </c>
      <c r="BO74" t="e">
        <f>'All regions'!A2009+"$F;@!%Gy"</f>
        <v>#VALUE!</v>
      </c>
      <c r="BP74" t="e">
        <f>'All regions'!B2009+"$F;@!%Gz"</f>
        <v>#VALUE!</v>
      </c>
      <c r="BQ74" t="e">
        <f>'All regions'!C2009+"$F;@!%G{"</f>
        <v>#VALUE!</v>
      </c>
      <c r="BR74" t="e">
        <f>'All regions'!D2009+"$F;@!%G|"</f>
        <v>#VALUE!</v>
      </c>
      <c r="BS74" t="e">
        <f>'All regions'!E2009+"$F;@!%G}"</f>
        <v>#VALUE!</v>
      </c>
      <c r="BT74" t="e">
        <f>'All regions'!F2009+"$F;@!%G~"</f>
        <v>#VALUE!</v>
      </c>
      <c r="BU74" t="e">
        <f>'All regions'!G2009+"$F;@!%H#"</f>
        <v>#VALUE!</v>
      </c>
      <c r="BV74" t="e">
        <f>'All regions'!H2009+"$F;@!%H$"</f>
        <v>#VALUE!</v>
      </c>
      <c r="BW74" t="e">
        <f>'All regions'!I2009+"$F;@!%H%"</f>
        <v>#VALUE!</v>
      </c>
      <c r="BX74" t="e">
        <f>'All regions'!A2010+"$F;@!%H&amp;"</f>
        <v>#VALUE!</v>
      </c>
      <c r="BY74" t="e">
        <f>'All regions'!B2010+"$F;@!%H'"</f>
        <v>#VALUE!</v>
      </c>
      <c r="BZ74" t="e">
        <f>'All regions'!C2010+"$F;@!%H("</f>
        <v>#VALUE!</v>
      </c>
      <c r="CA74" t="e">
        <f>'All regions'!D2010+"$F;@!%H)"</f>
        <v>#VALUE!</v>
      </c>
      <c r="CB74" t="e">
        <f>'All regions'!E2010+"$F;@!%H."</f>
        <v>#VALUE!</v>
      </c>
      <c r="CC74" t="e">
        <f>'All regions'!F2010+"$F;@!%H/"</f>
        <v>#VALUE!</v>
      </c>
      <c r="CD74" t="e">
        <f>'All regions'!G2010+"$F;@!%H0"</f>
        <v>#VALUE!</v>
      </c>
      <c r="CE74" t="e">
        <f>'All regions'!H2010+"$F;@!%H1"</f>
        <v>#VALUE!</v>
      </c>
      <c r="CF74" t="e">
        <f>'All regions'!I2010+"$F;@!%H2"</f>
        <v>#VALUE!</v>
      </c>
      <c r="CG74" t="e">
        <f>'All regions'!A2011+"$F;@!%H3"</f>
        <v>#VALUE!</v>
      </c>
      <c r="CH74" t="e">
        <f>'All regions'!B2011+"$F;@!%H4"</f>
        <v>#VALUE!</v>
      </c>
      <c r="CI74" t="e">
        <f>'All regions'!C2011+"$F;@!%H5"</f>
        <v>#VALUE!</v>
      </c>
      <c r="CJ74" t="e">
        <f>'All regions'!D2011+"$F;@!%H6"</f>
        <v>#VALUE!</v>
      </c>
      <c r="CK74" t="e">
        <f>'All regions'!E2011+"$F;@!%H7"</f>
        <v>#VALUE!</v>
      </c>
      <c r="CL74" t="e">
        <f>'All regions'!F2011+"$F;@!%H8"</f>
        <v>#VALUE!</v>
      </c>
      <c r="CM74" t="e">
        <f>'All regions'!G2011+"$F;@!%H9"</f>
        <v>#VALUE!</v>
      </c>
      <c r="CN74" t="e">
        <f>'All regions'!H2011+"$F;@!%H:"</f>
        <v>#VALUE!</v>
      </c>
      <c r="CO74" t="e">
        <f>'All regions'!I2011+"$F;@!%H;"</f>
        <v>#VALUE!</v>
      </c>
      <c r="CP74" t="e">
        <f>'All regions'!A2012+"$F;@!%H&lt;"</f>
        <v>#VALUE!</v>
      </c>
      <c r="CQ74" t="e">
        <f>'All regions'!B2012+"$F;@!%H="</f>
        <v>#VALUE!</v>
      </c>
      <c r="CR74" t="e">
        <f>'All regions'!C2012+"$F;@!%H&gt;"</f>
        <v>#VALUE!</v>
      </c>
      <c r="CS74" t="e">
        <f>'All regions'!D2012+"$F;@!%H?"</f>
        <v>#VALUE!</v>
      </c>
      <c r="CT74" t="e">
        <f>'All regions'!E2012+"$F;@!%H@"</f>
        <v>#VALUE!</v>
      </c>
      <c r="CU74" t="e">
        <f>'All regions'!F2012+"$F;@!%HA"</f>
        <v>#VALUE!</v>
      </c>
      <c r="CV74" t="e">
        <f>'All regions'!G2012+"$F;@!%HB"</f>
        <v>#VALUE!</v>
      </c>
      <c r="CW74" t="e">
        <f>'All regions'!H2012+"$F;@!%HC"</f>
        <v>#VALUE!</v>
      </c>
      <c r="CX74" t="e">
        <f>'All regions'!I2012+"$F;@!%HD"</f>
        <v>#VALUE!</v>
      </c>
      <c r="CY74" t="e">
        <f>'All regions'!A2013+"$F;@!%HE"</f>
        <v>#VALUE!</v>
      </c>
      <c r="CZ74" t="e">
        <f>'All regions'!B2013+"$F;@!%HF"</f>
        <v>#VALUE!</v>
      </c>
      <c r="DA74" t="e">
        <f>'All regions'!C2013+"$F;@!%HG"</f>
        <v>#VALUE!</v>
      </c>
      <c r="DB74" t="e">
        <f>'All regions'!D2013+"$F;@!%HH"</f>
        <v>#VALUE!</v>
      </c>
      <c r="DC74" t="e">
        <f>'All regions'!E2013+"$F;@!%HI"</f>
        <v>#VALUE!</v>
      </c>
      <c r="DD74" t="e">
        <f>'All regions'!F2013+"$F;@!%HJ"</f>
        <v>#VALUE!</v>
      </c>
      <c r="DE74" t="e">
        <f>'All regions'!G2013+"$F;@!%HK"</f>
        <v>#VALUE!</v>
      </c>
      <c r="DF74" t="e">
        <f>'All regions'!H2013+"$F;@!%HL"</f>
        <v>#VALUE!</v>
      </c>
      <c r="DG74" t="e">
        <f>'All regions'!I2013+"$F;@!%HM"</f>
        <v>#VALUE!</v>
      </c>
      <c r="DH74" t="e">
        <f>'All regions'!A2014+"$F;@!%HN"</f>
        <v>#VALUE!</v>
      </c>
      <c r="DI74" t="e">
        <f>'All regions'!B2014+"$F;@!%HO"</f>
        <v>#VALUE!</v>
      </c>
      <c r="DJ74" t="e">
        <f>'All regions'!C2014+"$F;@!%HP"</f>
        <v>#VALUE!</v>
      </c>
      <c r="DK74" t="e">
        <f>'All regions'!D2014+"$F;@!%HQ"</f>
        <v>#VALUE!</v>
      </c>
      <c r="DL74" t="e">
        <f>'All regions'!E2014+"$F;@!%HR"</f>
        <v>#VALUE!</v>
      </c>
      <c r="DM74" t="e">
        <f>'All regions'!F2014+"$F;@!%HS"</f>
        <v>#VALUE!</v>
      </c>
      <c r="DN74" t="e">
        <f>'All regions'!G2014+"$F;@!%HT"</f>
        <v>#VALUE!</v>
      </c>
      <c r="DO74" t="e">
        <f>'All regions'!H2014+"$F;@!%HU"</f>
        <v>#VALUE!</v>
      </c>
      <c r="DP74" t="e">
        <f>'All regions'!I2014+"$F;@!%HV"</f>
        <v>#VALUE!</v>
      </c>
      <c r="DQ74" t="e">
        <f>'All regions'!A2015+"$F;@!%HW"</f>
        <v>#VALUE!</v>
      </c>
      <c r="DR74" t="e">
        <f>'All regions'!B2015+"$F;@!%HX"</f>
        <v>#VALUE!</v>
      </c>
      <c r="DS74" t="e">
        <f>'All regions'!C2015+"$F;@!%HY"</f>
        <v>#VALUE!</v>
      </c>
      <c r="DT74" t="e">
        <f>'All regions'!D2015+"$F;@!%HZ"</f>
        <v>#VALUE!</v>
      </c>
      <c r="DU74" t="e">
        <f>'All regions'!E2015+"$F;@!%H["</f>
        <v>#VALUE!</v>
      </c>
      <c r="DV74" t="e">
        <f>'All regions'!F2015+"$F;@!%H\"</f>
        <v>#VALUE!</v>
      </c>
      <c r="DW74" t="e">
        <f>'All regions'!G2015+"$F;@!%H]"</f>
        <v>#VALUE!</v>
      </c>
      <c r="DX74" t="e">
        <f>'All regions'!H2015+"$F;@!%H^"</f>
        <v>#VALUE!</v>
      </c>
      <c r="DY74" t="e">
        <f>'All regions'!I2015+"$F;@!%H_"</f>
        <v>#VALUE!</v>
      </c>
      <c r="DZ74" t="e">
        <f>'All regions'!A2016+"$F;@!%H`"</f>
        <v>#VALUE!</v>
      </c>
      <c r="EA74" t="e">
        <f>'All regions'!B2016+"$F;@!%Ha"</f>
        <v>#VALUE!</v>
      </c>
      <c r="EB74" t="e">
        <f>'All regions'!C2016+"$F;@!%Hb"</f>
        <v>#VALUE!</v>
      </c>
      <c r="EC74" t="e">
        <f>'All regions'!D2016+"$F;@!%Hc"</f>
        <v>#VALUE!</v>
      </c>
      <c r="ED74" t="e">
        <f>'All regions'!E2016+"$F;@!%Hd"</f>
        <v>#VALUE!</v>
      </c>
      <c r="EE74" t="e">
        <f>'All regions'!F2016+"$F;@!%He"</f>
        <v>#VALUE!</v>
      </c>
      <c r="EF74" t="e">
        <f>'All regions'!G2016+"$F;@!%Hf"</f>
        <v>#VALUE!</v>
      </c>
      <c r="EG74" t="e">
        <f>'All regions'!H2016+"$F;@!%Hg"</f>
        <v>#VALUE!</v>
      </c>
      <c r="EH74" t="e">
        <f>'All regions'!I2016+"$F;@!%Hh"</f>
        <v>#VALUE!</v>
      </c>
      <c r="EI74" t="e">
        <f>'All regions'!A2017+"$F;@!%Hi"</f>
        <v>#VALUE!</v>
      </c>
      <c r="EJ74" t="e">
        <f>'All regions'!B2017+"$F;@!%Hj"</f>
        <v>#VALUE!</v>
      </c>
      <c r="EK74" t="e">
        <f>'All regions'!C2017+"$F;@!%Hk"</f>
        <v>#VALUE!</v>
      </c>
      <c r="EL74" t="e">
        <f>'All regions'!D2017+"$F;@!%Hl"</f>
        <v>#VALUE!</v>
      </c>
      <c r="EM74" t="e">
        <f>'All regions'!E2017+"$F;@!%Hm"</f>
        <v>#VALUE!</v>
      </c>
      <c r="EN74" t="e">
        <f>'All regions'!F2017+"$F;@!%Hn"</f>
        <v>#VALUE!</v>
      </c>
      <c r="EO74" t="e">
        <f>'All regions'!G2017+"$F;@!%Ho"</f>
        <v>#VALUE!</v>
      </c>
      <c r="EP74" t="e">
        <f>'All regions'!H2017+"$F;@!%Hp"</f>
        <v>#VALUE!</v>
      </c>
      <c r="EQ74" t="e">
        <f>'All regions'!I2017+"$F;@!%Hq"</f>
        <v>#VALUE!</v>
      </c>
      <c r="ER74" t="e">
        <f>'All regions'!A2018+"$F;@!%Hr"</f>
        <v>#VALUE!</v>
      </c>
      <c r="ES74" t="e">
        <f>'All regions'!B2018+"$F;@!%Hs"</f>
        <v>#VALUE!</v>
      </c>
      <c r="ET74" t="e">
        <f>'All regions'!C2018+"$F;@!%Ht"</f>
        <v>#VALUE!</v>
      </c>
      <c r="EU74" t="e">
        <f>'All regions'!D2018+"$F;@!%Hu"</f>
        <v>#VALUE!</v>
      </c>
      <c r="EV74" t="e">
        <f>'All regions'!E2018+"$F;@!%Hv"</f>
        <v>#VALUE!</v>
      </c>
      <c r="EW74" t="e">
        <f>'All regions'!F2018+"$F;@!%Hw"</f>
        <v>#VALUE!</v>
      </c>
      <c r="EX74" t="e">
        <f>'All regions'!G2018+"$F;@!%Hx"</f>
        <v>#VALUE!</v>
      </c>
      <c r="EY74" t="e">
        <f>'All regions'!H2018+"$F;@!%Hy"</f>
        <v>#VALUE!</v>
      </c>
      <c r="EZ74" t="e">
        <f>'All regions'!I2018+"$F;@!%Hz"</f>
        <v>#VALUE!</v>
      </c>
      <c r="FA74" t="e">
        <f>'All regions'!A2019+"$F;@!%H{"</f>
        <v>#VALUE!</v>
      </c>
      <c r="FB74" t="e">
        <f>'All regions'!B2019+"$F;@!%H|"</f>
        <v>#VALUE!</v>
      </c>
      <c r="FC74" t="e">
        <f>'All regions'!C2019+"$F;@!%H}"</f>
        <v>#VALUE!</v>
      </c>
      <c r="FD74" t="e">
        <f>'All regions'!D2019+"$F;@!%H~"</f>
        <v>#VALUE!</v>
      </c>
      <c r="FE74" t="e">
        <f>'All regions'!E2019+"$F;@!%I#"</f>
        <v>#VALUE!</v>
      </c>
      <c r="FF74" t="e">
        <f>'All regions'!F2019+"$F;@!%I$"</f>
        <v>#VALUE!</v>
      </c>
      <c r="FG74" t="e">
        <f>'All regions'!G2019+"$F;@!%I%"</f>
        <v>#VALUE!</v>
      </c>
      <c r="FH74" t="e">
        <f>'All regions'!H2019+"$F;@!%I&amp;"</f>
        <v>#VALUE!</v>
      </c>
      <c r="FI74" t="e">
        <f>'All regions'!I2019+"$F;@!%I'"</f>
        <v>#VALUE!</v>
      </c>
      <c r="FJ74" t="e">
        <f>'All regions'!A2020+"$F;@!%I("</f>
        <v>#VALUE!</v>
      </c>
      <c r="FK74" t="e">
        <f>'All regions'!B2020+"$F;@!%I)"</f>
        <v>#VALUE!</v>
      </c>
      <c r="FL74" t="e">
        <f>'All regions'!C2020+"$F;@!%I."</f>
        <v>#VALUE!</v>
      </c>
      <c r="FM74" t="e">
        <f>'All regions'!D2020+"$F;@!%I/"</f>
        <v>#VALUE!</v>
      </c>
      <c r="FN74" t="e">
        <f>'All regions'!E2020+"$F;@!%I0"</f>
        <v>#VALUE!</v>
      </c>
      <c r="FO74" t="e">
        <f>'All regions'!F2020+"$F;@!%I1"</f>
        <v>#VALUE!</v>
      </c>
      <c r="FP74" t="e">
        <f>'All regions'!G2020+"$F;@!%I2"</f>
        <v>#VALUE!</v>
      </c>
      <c r="FQ74" t="e">
        <f>'All regions'!H2020+"$F;@!%I3"</f>
        <v>#VALUE!</v>
      </c>
      <c r="FR74" t="e">
        <f>'All regions'!I2020+"$F;@!%I4"</f>
        <v>#VALUE!</v>
      </c>
      <c r="FS74" t="e">
        <f>'All regions'!A2021+"$F;@!%I5"</f>
        <v>#VALUE!</v>
      </c>
      <c r="FT74" t="e">
        <f>'All regions'!B2021+"$F;@!%I6"</f>
        <v>#VALUE!</v>
      </c>
      <c r="FU74" t="e">
        <f>'All regions'!C2021+"$F;@!%I7"</f>
        <v>#VALUE!</v>
      </c>
      <c r="FV74" t="e">
        <f>'All regions'!D2021+"$F;@!%I8"</f>
        <v>#VALUE!</v>
      </c>
      <c r="FW74" t="e">
        <f>'All regions'!E2021+"$F;@!%I9"</f>
        <v>#VALUE!</v>
      </c>
      <c r="FX74" t="e">
        <f>'All regions'!F2021+"$F;@!%I:"</f>
        <v>#VALUE!</v>
      </c>
      <c r="FY74" t="e">
        <f>'All regions'!G2021+"$F;@!%I;"</f>
        <v>#VALUE!</v>
      </c>
      <c r="FZ74" t="e">
        <f>'All regions'!H2021+"$F;@!%I&lt;"</f>
        <v>#VALUE!</v>
      </c>
      <c r="GA74" t="e">
        <f>'All regions'!I2021+"$F;@!%I="</f>
        <v>#VALUE!</v>
      </c>
      <c r="GB74" t="e">
        <f>'All regions'!A2022+"$F;@!%I&gt;"</f>
        <v>#VALUE!</v>
      </c>
      <c r="GC74" t="e">
        <f>'All regions'!B2022+"$F;@!%I?"</f>
        <v>#VALUE!</v>
      </c>
      <c r="GD74" t="e">
        <f>'All regions'!C2022+"$F;@!%I@"</f>
        <v>#VALUE!</v>
      </c>
      <c r="GE74" t="e">
        <f>'All regions'!D2022+"$F;@!%IA"</f>
        <v>#VALUE!</v>
      </c>
      <c r="GF74" t="e">
        <f>'All regions'!E2022+"$F;@!%IB"</f>
        <v>#VALUE!</v>
      </c>
      <c r="GG74" t="e">
        <f>'All regions'!F2022+"$F;@!%IC"</f>
        <v>#VALUE!</v>
      </c>
      <c r="GH74" t="e">
        <f>'All regions'!G2022+"$F;@!%ID"</f>
        <v>#VALUE!</v>
      </c>
      <c r="GI74" t="e">
        <f>'All regions'!H2022+"$F;@!%IE"</f>
        <v>#VALUE!</v>
      </c>
      <c r="GJ74" t="e">
        <f>'All regions'!I2022+"$F;@!%IF"</f>
        <v>#VALUE!</v>
      </c>
      <c r="GK74" t="e">
        <f>'All regions'!A2023+"$F;@!%IG"</f>
        <v>#VALUE!</v>
      </c>
      <c r="GL74" t="e">
        <f>'All regions'!B2023+"$F;@!%IH"</f>
        <v>#VALUE!</v>
      </c>
      <c r="GM74" t="e">
        <f>'All regions'!C2023+"$F;@!%II"</f>
        <v>#VALUE!</v>
      </c>
      <c r="GN74" t="e">
        <f>'All regions'!D2023+"$F;@!%IJ"</f>
        <v>#VALUE!</v>
      </c>
      <c r="GO74" t="e">
        <f>'All regions'!E2023+"$F;@!%IK"</f>
        <v>#VALUE!</v>
      </c>
      <c r="GP74" t="e">
        <f>'All regions'!F2023+"$F;@!%IL"</f>
        <v>#VALUE!</v>
      </c>
      <c r="GQ74" t="e">
        <f>'All regions'!G2023+"$F;@!%IM"</f>
        <v>#VALUE!</v>
      </c>
      <c r="GR74" t="e">
        <f>'All regions'!H2023+"$F;@!%IN"</f>
        <v>#VALUE!</v>
      </c>
      <c r="GS74" t="e">
        <f>'All regions'!I2023+"$F;@!%IO"</f>
        <v>#VALUE!</v>
      </c>
      <c r="GT74" t="e">
        <f>'All regions'!A2024+"$F;@!%IP"</f>
        <v>#VALUE!</v>
      </c>
      <c r="GU74" t="e">
        <f>'All regions'!B2024+"$F;@!%IQ"</f>
        <v>#VALUE!</v>
      </c>
      <c r="GV74" t="e">
        <f>'All regions'!C2024+"$F;@!%IR"</f>
        <v>#VALUE!</v>
      </c>
      <c r="GW74" t="e">
        <f>'All regions'!D2024+"$F;@!%IS"</f>
        <v>#VALUE!</v>
      </c>
      <c r="GX74" t="e">
        <f>'All regions'!E2024+"$F;@!%IT"</f>
        <v>#VALUE!</v>
      </c>
      <c r="GY74" t="e">
        <f>'All regions'!F2024+"$F;@!%IU"</f>
        <v>#VALUE!</v>
      </c>
      <c r="GZ74" t="e">
        <f>'All regions'!G2024+"$F;@!%IV"</f>
        <v>#VALUE!</v>
      </c>
      <c r="HA74" t="e">
        <f>'All regions'!H2024+"$F;@!%IW"</f>
        <v>#VALUE!</v>
      </c>
      <c r="HB74" t="e">
        <f>'All regions'!I2024+"$F;@!%IX"</f>
        <v>#VALUE!</v>
      </c>
      <c r="HC74" t="e">
        <f>'All regions'!A2025+"$F;@!%IY"</f>
        <v>#VALUE!</v>
      </c>
      <c r="HD74" t="e">
        <f>'All regions'!B2025+"$F;@!%IZ"</f>
        <v>#VALUE!</v>
      </c>
      <c r="HE74" t="e">
        <f>'All regions'!C2025+"$F;@!%I["</f>
        <v>#VALUE!</v>
      </c>
      <c r="HF74" t="e">
        <f>'All regions'!D2025+"$F;@!%I\"</f>
        <v>#VALUE!</v>
      </c>
      <c r="HG74" t="e">
        <f>'All regions'!E2025+"$F;@!%I]"</f>
        <v>#VALUE!</v>
      </c>
      <c r="HH74" t="e">
        <f>'All regions'!F2025+"$F;@!%I^"</f>
        <v>#VALUE!</v>
      </c>
      <c r="HI74" t="e">
        <f>'All regions'!G2025+"$F;@!%I_"</f>
        <v>#VALUE!</v>
      </c>
      <c r="HJ74" t="e">
        <f>'All regions'!H2025+"$F;@!%I`"</f>
        <v>#VALUE!</v>
      </c>
      <c r="HK74" t="e">
        <f>'All regions'!I2025+"$F;@!%Ia"</f>
        <v>#VALUE!</v>
      </c>
      <c r="HL74" t="e">
        <f>'All regions'!A2026+"$F;@!%Ib"</f>
        <v>#VALUE!</v>
      </c>
      <c r="HM74" t="e">
        <f>'All regions'!B2026+"$F;@!%Ic"</f>
        <v>#VALUE!</v>
      </c>
      <c r="HN74" t="e">
        <f>'All regions'!C2026+"$F;@!%Id"</f>
        <v>#VALUE!</v>
      </c>
      <c r="HO74" t="e">
        <f>'All regions'!D2026+"$F;@!%Ie"</f>
        <v>#VALUE!</v>
      </c>
      <c r="HP74" t="e">
        <f>'All regions'!E2026+"$F;@!%If"</f>
        <v>#VALUE!</v>
      </c>
      <c r="HQ74" t="e">
        <f>'All regions'!F2026+"$F;@!%Ig"</f>
        <v>#VALUE!</v>
      </c>
      <c r="HR74" t="e">
        <f>'All regions'!G2026+"$F;@!%Ih"</f>
        <v>#VALUE!</v>
      </c>
      <c r="HS74" t="e">
        <f>'All regions'!H2026+"$F;@!%Ii"</f>
        <v>#VALUE!</v>
      </c>
      <c r="HT74" t="e">
        <f>'All regions'!I2026+"$F;@!%Ij"</f>
        <v>#VALUE!</v>
      </c>
      <c r="HU74" t="e">
        <f>'All regions'!A2027+"$F;@!%Ik"</f>
        <v>#VALUE!</v>
      </c>
      <c r="HV74" t="e">
        <f>'All regions'!B2027+"$F;@!%Il"</f>
        <v>#VALUE!</v>
      </c>
      <c r="HW74" t="e">
        <f>'All regions'!C2027+"$F;@!%Im"</f>
        <v>#VALUE!</v>
      </c>
      <c r="HX74" t="e">
        <f>'All regions'!D2027+"$F;@!%In"</f>
        <v>#VALUE!</v>
      </c>
      <c r="HY74" t="e">
        <f>'All regions'!E2027+"$F;@!%Io"</f>
        <v>#VALUE!</v>
      </c>
      <c r="HZ74" t="e">
        <f>'All regions'!F2027+"$F;@!%Ip"</f>
        <v>#VALUE!</v>
      </c>
      <c r="IA74" t="e">
        <f>'All regions'!G2027+"$F;@!%Iq"</f>
        <v>#VALUE!</v>
      </c>
      <c r="IB74" t="e">
        <f>'All regions'!H2027+"$F;@!%Ir"</f>
        <v>#VALUE!</v>
      </c>
      <c r="IC74" t="e">
        <f>'All regions'!I2027+"$F;@!%Is"</f>
        <v>#VALUE!</v>
      </c>
      <c r="ID74" t="e">
        <f>'All regions'!A2028+"$F;@!%It"</f>
        <v>#VALUE!</v>
      </c>
      <c r="IE74" t="e">
        <f>'All regions'!B2028+"$F;@!%Iu"</f>
        <v>#VALUE!</v>
      </c>
      <c r="IF74" t="e">
        <f>'All regions'!C2028+"$F;@!%Iv"</f>
        <v>#VALUE!</v>
      </c>
      <c r="IG74" t="e">
        <f>'All regions'!D2028+"$F;@!%Iw"</f>
        <v>#VALUE!</v>
      </c>
      <c r="IH74" t="e">
        <f>'All regions'!E2028+"$F;@!%Ix"</f>
        <v>#VALUE!</v>
      </c>
      <c r="II74" t="e">
        <f>'All regions'!F2028+"$F;@!%Iy"</f>
        <v>#VALUE!</v>
      </c>
      <c r="IJ74" t="e">
        <f>'All regions'!G2028+"$F;@!%Iz"</f>
        <v>#VALUE!</v>
      </c>
      <c r="IK74" t="e">
        <f>'All regions'!H2028+"$F;@!%I{"</f>
        <v>#VALUE!</v>
      </c>
      <c r="IL74" t="e">
        <f>'All regions'!I2028+"$F;@!%I|"</f>
        <v>#VALUE!</v>
      </c>
      <c r="IM74" t="e">
        <f>'All regions'!A2029+"$F;@!%I}"</f>
        <v>#VALUE!</v>
      </c>
      <c r="IN74" t="e">
        <f>'All regions'!B2029+"$F;@!%I~"</f>
        <v>#VALUE!</v>
      </c>
      <c r="IO74" t="e">
        <f>'All regions'!C2029+"$F;@!%J#"</f>
        <v>#VALUE!</v>
      </c>
      <c r="IP74" t="e">
        <f>'All regions'!D2029+"$F;@!%J$"</f>
        <v>#VALUE!</v>
      </c>
      <c r="IQ74" t="e">
        <f>'All regions'!E2029+"$F;@!%J%"</f>
        <v>#VALUE!</v>
      </c>
      <c r="IR74" t="e">
        <f>'All regions'!F2029+"$F;@!%J&amp;"</f>
        <v>#VALUE!</v>
      </c>
      <c r="IS74" t="e">
        <f>'All regions'!G2029+"$F;@!%J'"</f>
        <v>#VALUE!</v>
      </c>
      <c r="IT74" t="e">
        <f>'All regions'!H2029+"$F;@!%J("</f>
        <v>#VALUE!</v>
      </c>
      <c r="IU74" t="e">
        <f>'All regions'!I2029+"$F;@!%J)"</f>
        <v>#VALUE!</v>
      </c>
      <c r="IV74" t="e">
        <f>'All regions'!A2030+"$F;@!%J."</f>
        <v>#VALUE!</v>
      </c>
    </row>
    <row r="75" spans="6:256" x14ac:dyDescent="0.35">
      <c r="F75" t="e">
        <f>'All regions'!B2030+"$F;@!%J/"</f>
        <v>#VALUE!</v>
      </c>
      <c r="G75" t="e">
        <f>'All regions'!C2030+"$F;@!%J0"</f>
        <v>#VALUE!</v>
      </c>
      <c r="H75" t="e">
        <f>'All regions'!D2030+"$F;@!%J1"</f>
        <v>#VALUE!</v>
      </c>
      <c r="I75" t="e">
        <f>'All regions'!E2030+"$F;@!%J2"</f>
        <v>#VALUE!</v>
      </c>
      <c r="J75" t="e">
        <f>'All regions'!F2030+"$F;@!%J3"</f>
        <v>#VALUE!</v>
      </c>
      <c r="K75" t="e">
        <f>'All regions'!G2030+"$F;@!%J4"</f>
        <v>#VALUE!</v>
      </c>
      <c r="L75" t="e">
        <f>'All regions'!H2030+"$F;@!%J5"</f>
        <v>#VALUE!</v>
      </c>
      <c r="M75" t="e">
        <f>'All regions'!I2030+"$F;@!%J6"</f>
        <v>#VALUE!</v>
      </c>
      <c r="N75" t="e">
        <f>'All regions'!A2031+"$F;@!%J7"</f>
        <v>#VALUE!</v>
      </c>
      <c r="O75" t="e">
        <f>'All regions'!B2031+"$F;@!%J8"</f>
        <v>#VALUE!</v>
      </c>
      <c r="P75" t="e">
        <f>'All regions'!C2031+"$F;@!%J9"</f>
        <v>#VALUE!</v>
      </c>
      <c r="Q75" t="e">
        <f>'All regions'!D2031+"$F;@!%J:"</f>
        <v>#VALUE!</v>
      </c>
      <c r="R75" t="e">
        <f>'All regions'!E2031+"$F;@!%J;"</f>
        <v>#VALUE!</v>
      </c>
      <c r="S75" t="e">
        <f>'All regions'!F2031+"$F;@!%J&lt;"</f>
        <v>#VALUE!</v>
      </c>
      <c r="T75" t="e">
        <f>'All regions'!G2031+"$F;@!%J="</f>
        <v>#VALUE!</v>
      </c>
      <c r="U75" t="e">
        <f>'All regions'!H2031+"$F;@!%J&gt;"</f>
        <v>#VALUE!</v>
      </c>
      <c r="V75" t="e">
        <f>'All regions'!I2031+"$F;@!%J?"</f>
        <v>#VALUE!</v>
      </c>
      <c r="W75" t="e">
        <f>'All regions'!A2032+"$F;@!%J@"</f>
        <v>#VALUE!</v>
      </c>
      <c r="X75" t="e">
        <f>'All regions'!B2032+"$F;@!%JA"</f>
        <v>#VALUE!</v>
      </c>
      <c r="Y75" t="e">
        <f>'All regions'!C2032+"$F;@!%JB"</f>
        <v>#VALUE!</v>
      </c>
      <c r="Z75" t="e">
        <f>'All regions'!D2032+"$F;@!%JC"</f>
        <v>#VALUE!</v>
      </c>
      <c r="AA75" t="e">
        <f>'All regions'!E2032+"$F;@!%JD"</f>
        <v>#VALUE!</v>
      </c>
      <c r="AB75" t="e">
        <f>'All regions'!F2032+"$F;@!%JE"</f>
        <v>#VALUE!</v>
      </c>
      <c r="AC75" t="e">
        <f>'All regions'!G2032+"$F;@!%JF"</f>
        <v>#VALUE!</v>
      </c>
      <c r="AD75" t="e">
        <f>'All regions'!H2032+"$F;@!%JG"</f>
        <v>#VALUE!</v>
      </c>
      <c r="AE75" t="e">
        <f>'All regions'!I2032+"$F;@!%JH"</f>
        <v>#VALUE!</v>
      </c>
      <c r="AF75" t="e">
        <f>'All regions'!A2033+"$F;@!%JI"</f>
        <v>#VALUE!</v>
      </c>
      <c r="AG75" t="e">
        <f>'All regions'!B2033+"$F;@!%JJ"</f>
        <v>#VALUE!</v>
      </c>
      <c r="AH75" t="e">
        <f>'All regions'!C2033+"$F;@!%JK"</f>
        <v>#VALUE!</v>
      </c>
      <c r="AI75" t="e">
        <f>'All regions'!D2033+"$F;@!%JL"</f>
        <v>#VALUE!</v>
      </c>
      <c r="AJ75" t="e">
        <f>'All regions'!E2033+"$F;@!%JM"</f>
        <v>#VALUE!</v>
      </c>
      <c r="AK75" t="e">
        <f>'All regions'!F2033+"$F;@!%JN"</f>
        <v>#VALUE!</v>
      </c>
      <c r="AL75" t="e">
        <f>'All regions'!G2033+"$F;@!%JO"</f>
        <v>#VALUE!</v>
      </c>
      <c r="AM75" t="e">
        <f>'All regions'!H2033+"$F;@!%JP"</f>
        <v>#VALUE!</v>
      </c>
      <c r="AN75" t="e">
        <f>'All regions'!I2033+"$F;@!%JQ"</f>
        <v>#VALUE!</v>
      </c>
      <c r="AO75" t="e">
        <f>'All regions'!A2034+"$F;@!%JR"</f>
        <v>#VALUE!</v>
      </c>
      <c r="AP75" t="e">
        <f>'All regions'!B2034+"$F;@!%JS"</f>
        <v>#VALUE!</v>
      </c>
      <c r="AQ75" t="e">
        <f>'All regions'!C2034+"$F;@!%JT"</f>
        <v>#VALUE!</v>
      </c>
      <c r="AR75" t="e">
        <f>'All regions'!D2034+"$F;@!%JU"</f>
        <v>#VALUE!</v>
      </c>
      <c r="AS75" t="e">
        <f>'All regions'!E2034+"$F;@!%JV"</f>
        <v>#VALUE!</v>
      </c>
      <c r="AT75" t="e">
        <f>'All regions'!F2034+"$F;@!%JW"</f>
        <v>#VALUE!</v>
      </c>
      <c r="AU75" t="e">
        <f>'All regions'!G2034+"$F;@!%JX"</f>
        <v>#VALUE!</v>
      </c>
      <c r="AV75" t="e">
        <f>'All regions'!H2034+"$F;@!%JY"</f>
        <v>#VALUE!</v>
      </c>
      <c r="AW75" t="e">
        <f>'All regions'!I2034+"$F;@!%JZ"</f>
        <v>#VALUE!</v>
      </c>
      <c r="AX75" t="e">
        <f>'All regions'!A2035+"$F;@!%J["</f>
        <v>#VALUE!</v>
      </c>
      <c r="AY75" t="e">
        <f>'All regions'!B2035+"$F;@!%J\"</f>
        <v>#VALUE!</v>
      </c>
      <c r="AZ75" t="e">
        <f>'All regions'!C2035+"$F;@!%J]"</f>
        <v>#VALUE!</v>
      </c>
      <c r="BA75" t="e">
        <f>'All regions'!D2035+"$F;@!%J^"</f>
        <v>#VALUE!</v>
      </c>
      <c r="BB75" t="e">
        <f>'All regions'!E2035+"$F;@!%J_"</f>
        <v>#VALUE!</v>
      </c>
      <c r="BC75" t="e">
        <f>'All regions'!F2035+"$F;@!%J`"</f>
        <v>#VALUE!</v>
      </c>
      <c r="BD75" t="e">
        <f>'All regions'!G2035+"$F;@!%Ja"</f>
        <v>#VALUE!</v>
      </c>
      <c r="BE75" t="e">
        <f>'All regions'!H2035+"$F;@!%Jb"</f>
        <v>#VALUE!</v>
      </c>
      <c r="BF75" t="e">
        <f>'All regions'!I2035+"$F;@!%Jc"</f>
        <v>#VALUE!</v>
      </c>
      <c r="BG75" t="e">
        <f>'All regions'!A2036+"$F;@!%Jd"</f>
        <v>#VALUE!</v>
      </c>
      <c r="BH75" t="e">
        <f>'All regions'!B2036+"$F;@!%Je"</f>
        <v>#VALUE!</v>
      </c>
      <c r="BI75" t="e">
        <f>'All regions'!C2036+"$F;@!%Jf"</f>
        <v>#VALUE!</v>
      </c>
      <c r="BJ75" t="e">
        <f>'All regions'!D2036+"$F;@!%Jg"</f>
        <v>#VALUE!</v>
      </c>
      <c r="BK75" t="e">
        <f>'All regions'!E2036+"$F;@!%Jh"</f>
        <v>#VALUE!</v>
      </c>
      <c r="BL75" t="e">
        <f>'All regions'!F2036+"$F;@!%Ji"</f>
        <v>#VALUE!</v>
      </c>
      <c r="BM75" t="e">
        <f>'All regions'!G2036+"$F;@!%Jj"</f>
        <v>#VALUE!</v>
      </c>
      <c r="BN75" t="e">
        <f>'All regions'!H2036+"$F;@!%Jk"</f>
        <v>#VALUE!</v>
      </c>
      <c r="BO75" t="e">
        <f>'All regions'!I2036+"$F;@!%Jl"</f>
        <v>#VALUE!</v>
      </c>
      <c r="BP75" t="e">
        <f>'All regions'!A2037+"$F;@!%Jm"</f>
        <v>#VALUE!</v>
      </c>
      <c r="BQ75" t="e">
        <f>'All regions'!B2037+"$F;@!%Jn"</f>
        <v>#VALUE!</v>
      </c>
      <c r="BR75" t="e">
        <f>'All regions'!C2037+"$F;@!%Jo"</f>
        <v>#VALUE!</v>
      </c>
      <c r="BS75" t="e">
        <f>'All regions'!D2037+"$F;@!%Jp"</f>
        <v>#VALUE!</v>
      </c>
      <c r="BT75" t="e">
        <f>'All regions'!E2037+"$F;@!%Jq"</f>
        <v>#VALUE!</v>
      </c>
      <c r="BU75" t="e">
        <f>'All regions'!F2037+"$F;@!%Jr"</f>
        <v>#VALUE!</v>
      </c>
      <c r="BV75" t="e">
        <f>'All regions'!G2037+"$F;@!%Js"</f>
        <v>#VALUE!</v>
      </c>
      <c r="BW75" t="e">
        <f>'All regions'!H2037+"$F;@!%Jt"</f>
        <v>#VALUE!</v>
      </c>
      <c r="BX75" t="e">
        <f>'All regions'!I2037+"$F;@!%Ju"</f>
        <v>#VALUE!</v>
      </c>
      <c r="BY75" t="e">
        <f>'All regions'!A2038+"$F;@!%Jv"</f>
        <v>#VALUE!</v>
      </c>
      <c r="BZ75" t="e">
        <f>'All regions'!B2038+"$F;@!%Jw"</f>
        <v>#VALUE!</v>
      </c>
      <c r="CA75" t="e">
        <f>'All regions'!C2038+"$F;@!%Jx"</f>
        <v>#VALUE!</v>
      </c>
      <c r="CB75" t="e">
        <f>'All regions'!D2038+"$F;@!%Jy"</f>
        <v>#VALUE!</v>
      </c>
      <c r="CC75" t="e">
        <f>'All regions'!E2038+"$F;@!%Jz"</f>
        <v>#VALUE!</v>
      </c>
      <c r="CD75" t="e">
        <f>'All regions'!F2038+"$F;@!%J{"</f>
        <v>#VALUE!</v>
      </c>
      <c r="CE75" t="e">
        <f>'All regions'!G2038+"$F;@!%J|"</f>
        <v>#VALUE!</v>
      </c>
      <c r="CF75" t="e">
        <f>'All regions'!H2038+"$F;@!%J}"</f>
        <v>#VALUE!</v>
      </c>
      <c r="CG75" t="e">
        <f>'All regions'!I2038+"$F;@!%J~"</f>
        <v>#VALUE!</v>
      </c>
      <c r="CH75" t="e">
        <f>'All regions'!A2039+"$F;@!%K#"</f>
        <v>#VALUE!</v>
      </c>
      <c r="CI75" t="e">
        <f>'All regions'!B2039+"$F;@!%K$"</f>
        <v>#VALUE!</v>
      </c>
      <c r="CJ75" t="e">
        <f>'All regions'!C2039+"$F;@!%K%"</f>
        <v>#VALUE!</v>
      </c>
      <c r="CK75" t="e">
        <f>'All regions'!D2039+"$F;@!%K&amp;"</f>
        <v>#VALUE!</v>
      </c>
      <c r="CL75" t="e">
        <f>'All regions'!E2039+"$F;@!%K'"</f>
        <v>#VALUE!</v>
      </c>
      <c r="CM75" t="e">
        <f>'All regions'!F2039+"$F;@!%K("</f>
        <v>#VALUE!</v>
      </c>
      <c r="CN75" t="e">
        <f>'All regions'!G2039+"$F;@!%K)"</f>
        <v>#VALUE!</v>
      </c>
      <c r="CO75" t="e">
        <f>'All regions'!H2039+"$F;@!%K."</f>
        <v>#VALUE!</v>
      </c>
      <c r="CP75" t="e">
        <f>'All regions'!I2039+"$F;@!%K/"</f>
        <v>#VALUE!</v>
      </c>
      <c r="CQ75" t="e">
        <f>'All regions'!A2040+"$F;@!%K0"</f>
        <v>#VALUE!</v>
      </c>
      <c r="CR75" t="e">
        <f>'All regions'!B2040+"$F;@!%K1"</f>
        <v>#VALUE!</v>
      </c>
      <c r="CS75" t="e">
        <f>'All regions'!C2040+"$F;@!%K2"</f>
        <v>#VALUE!</v>
      </c>
      <c r="CT75" t="e">
        <f>'All regions'!D2040+"$F;@!%K3"</f>
        <v>#VALUE!</v>
      </c>
      <c r="CU75" t="e">
        <f>'All regions'!E2040+"$F;@!%K4"</f>
        <v>#VALUE!</v>
      </c>
      <c r="CV75" t="e">
        <f>'All regions'!F2040+"$F;@!%K5"</f>
        <v>#VALUE!</v>
      </c>
      <c r="CW75" t="e">
        <f>'All regions'!G2040+"$F;@!%K6"</f>
        <v>#VALUE!</v>
      </c>
      <c r="CX75" t="e">
        <f>'All regions'!H2040+"$F;@!%K7"</f>
        <v>#VALUE!</v>
      </c>
      <c r="CY75" t="e">
        <f>'All regions'!I2040+"$F;@!%K8"</f>
        <v>#VALUE!</v>
      </c>
      <c r="CZ75" t="e">
        <f>'All regions'!A2041+"$F;@!%K9"</f>
        <v>#VALUE!</v>
      </c>
      <c r="DA75" t="e">
        <f>'All regions'!B2041+"$F;@!%K:"</f>
        <v>#VALUE!</v>
      </c>
      <c r="DB75" t="e">
        <f>'All regions'!C2041+"$F;@!%K;"</f>
        <v>#VALUE!</v>
      </c>
      <c r="DC75" t="e">
        <f>'All regions'!D2041+"$F;@!%K&lt;"</f>
        <v>#VALUE!</v>
      </c>
      <c r="DD75" t="e">
        <f>'All regions'!E2041+"$F;@!%K="</f>
        <v>#VALUE!</v>
      </c>
      <c r="DE75" t="e">
        <f>'All regions'!F2041+"$F;@!%K&gt;"</f>
        <v>#VALUE!</v>
      </c>
      <c r="DF75" t="e">
        <f>'All regions'!G2041+"$F;@!%K?"</f>
        <v>#VALUE!</v>
      </c>
      <c r="DG75" t="e">
        <f>'All regions'!H2041+"$F;@!%K@"</f>
        <v>#VALUE!</v>
      </c>
      <c r="DH75" t="e">
        <f>'All regions'!I2041+"$F;@!%KA"</f>
        <v>#VALUE!</v>
      </c>
      <c r="DI75" t="e">
        <f>'All regions'!A2042+"$F;@!%KB"</f>
        <v>#VALUE!</v>
      </c>
      <c r="DJ75" t="e">
        <f>'All regions'!B2042+"$F;@!%KC"</f>
        <v>#VALUE!</v>
      </c>
      <c r="DK75" t="e">
        <f>'All regions'!C2042+"$F;@!%KD"</f>
        <v>#VALUE!</v>
      </c>
      <c r="DL75" t="e">
        <f>'All regions'!D2042+"$F;@!%KE"</f>
        <v>#VALUE!</v>
      </c>
      <c r="DM75" t="e">
        <f>'All regions'!E2042+"$F;@!%KF"</f>
        <v>#VALUE!</v>
      </c>
      <c r="DN75" t="e">
        <f>'All regions'!F2042+"$F;@!%KG"</f>
        <v>#VALUE!</v>
      </c>
      <c r="DO75" t="e">
        <f>'All regions'!G2042+"$F;@!%KH"</f>
        <v>#VALUE!</v>
      </c>
      <c r="DP75" t="e">
        <f>'All regions'!H2042+"$F;@!%KI"</f>
        <v>#VALUE!</v>
      </c>
      <c r="DQ75" t="e">
        <f>'All regions'!I2042+"$F;@!%KJ"</f>
        <v>#VALUE!</v>
      </c>
      <c r="DR75" t="e">
        <f>'All regions'!A2043+"$F;@!%KK"</f>
        <v>#VALUE!</v>
      </c>
      <c r="DS75" t="e">
        <f>'All regions'!B2043+"$F;@!%KL"</f>
        <v>#VALUE!</v>
      </c>
      <c r="DT75" t="e">
        <f>'All regions'!C2043+"$F;@!%KM"</f>
        <v>#VALUE!</v>
      </c>
      <c r="DU75" t="e">
        <f>'All regions'!D2043+"$F;@!%KN"</f>
        <v>#VALUE!</v>
      </c>
      <c r="DV75" t="e">
        <f>'All regions'!E2043+"$F;@!%KO"</f>
        <v>#VALUE!</v>
      </c>
      <c r="DW75" t="e">
        <f>'All regions'!F2043+"$F;@!%KP"</f>
        <v>#VALUE!</v>
      </c>
      <c r="DX75" t="e">
        <f>'All regions'!G2043+"$F;@!%KQ"</f>
        <v>#VALUE!</v>
      </c>
      <c r="DY75" t="e">
        <f>'All regions'!H2043+"$F;@!%KR"</f>
        <v>#VALUE!</v>
      </c>
      <c r="DZ75" t="e">
        <f>'All regions'!I2043+"$F;@!%KS"</f>
        <v>#VALUE!</v>
      </c>
      <c r="EA75" t="e">
        <f>'All regions'!A2044+"$F;@!%KT"</f>
        <v>#VALUE!</v>
      </c>
      <c r="EB75" t="e">
        <f>'All regions'!B2044+"$F;@!%KU"</f>
        <v>#VALUE!</v>
      </c>
      <c r="EC75" t="e">
        <f>'All regions'!C2044+"$F;@!%KV"</f>
        <v>#VALUE!</v>
      </c>
      <c r="ED75" t="e">
        <f>'All regions'!D2044+"$F;@!%KW"</f>
        <v>#VALUE!</v>
      </c>
      <c r="EE75" t="e">
        <f>'All regions'!E2044+"$F;@!%KX"</f>
        <v>#VALUE!</v>
      </c>
      <c r="EF75" t="e">
        <f>'All regions'!F2044+"$F;@!%KY"</f>
        <v>#VALUE!</v>
      </c>
      <c r="EG75" t="e">
        <f>'All regions'!G2044+"$F;@!%KZ"</f>
        <v>#VALUE!</v>
      </c>
      <c r="EH75" t="e">
        <f>'All regions'!H2044+"$F;@!%K["</f>
        <v>#VALUE!</v>
      </c>
      <c r="EI75" t="e">
        <f>'All regions'!I2044+"$F;@!%K\"</f>
        <v>#VALUE!</v>
      </c>
      <c r="EJ75" t="e">
        <f>'All regions'!A2045+"$F;@!%K]"</f>
        <v>#VALUE!</v>
      </c>
      <c r="EK75" t="e">
        <f>'All regions'!B2045+"$F;@!%K^"</f>
        <v>#VALUE!</v>
      </c>
      <c r="EL75" t="e">
        <f>'All regions'!C2045+"$F;@!%K_"</f>
        <v>#VALUE!</v>
      </c>
      <c r="EM75" t="e">
        <f>'All regions'!D2045+"$F;@!%K`"</f>
        <v>#VALUE!</v>
      </c>
      <c r="EN75" t="e">
        <f>'All regions'!E2045+"$F;@!%Ka"</f>
        <v>#VALUE!</v>
      </c>
      <c r="EO75" t="e">
        <f>'All regions'!F2045+"$F;@!%Kb"</f>
        <v>#VALUE!</v>
      </c>
      <c r="EP75" t="e">
        <f>'All regions'!G2045+"$F;@!%Kc"</f>
        <v>#VALUE!</v>
      </c>
      <c r="EQ75" t="e">
        <f>'All regions'!H2045+"$F;@!%Kd"</f>
        <v>#VALUE!</v>
      </c>
      <c r="ER75" t="e">
        <f>'All regions'!I2045+"$F;@!%Ke"</f>
        <v>#VALUE!</v>
      </c>
      <c r="ES75" t="e">
        <f>'All regions'!A2046+"$F;@!%Kf"</f>
        <v>#VALUE!</v>
      </c>
      <c r="ET75" t="e">
        <f>'All regions'!B2046+"$F;@!%Kg"</f>
        <v>#VALUE!</v>
      </c>
      <c r="EU75" t="e">
        <f>'All regions'!C2046+"$F;@!%Kh"</f>
        <v>#VALUE!</v>
      </c>
      <c r="EV75" t="e">
        <f>'All regions'!D2046+"$F;@!%Ki"</f>
        <v>#VALUE!</v>
      </c>
      <c r="EW75" t="e">
        <f>'All regions'!E2046+"$F;@!%Kj"</f>
        <v>#VALUE!</v>
      </c>
      <c r="EX75" t="e">
        <f>'All regions'!F2046+"$F;@!%Kk"</f>
        <v>#VALUE!</v>
      </c>
      <c r="EY75" t="e">
        <f>'All regions'!G2046+"$F;@!%Kl"</f>
        <v>#VALUE!</v>
      </c>
      <c r="EZ75" t="e">
        <f>'All regions'!H2046+"$F;@!%Km"</f>
        <v>#VALUE!</v>
      </c>
      <c r="FA75" t="e">
        <f>'All regions'!I2046+"$F;@!%Kn"</f>
        <v>#VALUE!</v>
      </c>
      <c r="FB75" t="e">
        <f>'All regions'!A2047+"$F;@!%Ko"</f>
        <v>#VALUE!</v>
      </c>
      <c r="FC75" t="e">
        <f>'All regions'!B2047+"$F;@!%Kp"</f>
        <v>#VALUE!</v>
      </c>
      <c r="FD75" t="e">
        <f>'All regions'!C2047+"$F;@!%Kq"</f>
        <v>#VALUE!</v>
      </c>
      <c r="FE75" t="e">
        <f>'All regions'!D2047+"$F;@!%Kr"</f>
        <v>#VALUE!</v>
      </c>
      <c r="FF75" t="e">
        <f>'All regions'!E2047+"$F;@!%Ks"</f>
        <v>#VALUE!</v>
      </c>
      <c r="FG75" t="e">
        <f>'All regions'!F2047+"$F;@!%Kt"</f>
        <v>#VALUE!</v>
      </c>
      <c r="FH75" t="e">
        <f>'All regions'!G2047+"$F;@!%Ku"</f>
        <v>#VALUE!</v>
      </c>
      <c r="FI75" t="e">
        <f>'All regions'!H2047+"$F;@!%Kv"</f>
        <v>#VALUE!</v>
      </c>
      <c r="FJ75" t="e">
        <f>'All regions'!I2047+"$F;@!%Kw"</f>
        <v>#VALUE!</v>
      </c>
      <c r="FK75" t="e">
        <f>'All regions'!A2048+"$F;@!%Kx"</f>
        <v>#VALUE!</v>
      </c>
      <c r="FL75" t="e">
        <f>'All regions'!B2048+"$F;@!%Ky"</f>
        <v>#VALUE!</v>
      </c>
      <c r="FM75" t="e">
        <f>'All regions'!C2048+"$F;@!%Kz"</f>
        <v>#VALUE!</v>
      </c>
      <c r="FN75" t="e">
        <f>'All regions'!D2048+"$F;@!%K{"</f>
        <v>#VALUE!</v>
      </c>
      <c r="FO75" t="e">
        <f>'All regions'!E2048+"$F;@!%K|"</f>
        <v>#VALUE!</v>
      </c>
      <c r="FP75" t="e">
        <f>'All regions'!F2048+"$F;@!%K}"</f>
        <v>#VALUE!</v>
      </c>
      <c r="FQ75" t="e">
        <f>'All regions'!G2048+"$F;@!%K~"</f>
        <v>#VALUE!</v>
      </c>
      <c r="FR75" t="e">
        <f>'All regions'!H2048+"$F;@!%L#"</f>
        <v>#VALUE!</v>
      </c>
      <c r="FS75" t="e">
        <f>'All regions'!I2048+"$F;@!%L$"</f>
        <v>#VALUE!</v>
      </c>
      <c r="FT75" t="e">
        <f>'All regions'!A2049+"$F;@!%L%"</f>
        <v>#VALUE!</v>
      </c>
      <c r="FU75" t="e">
        <f>'All regions'!B2049+"$F;@!%L&amp;"</f>
        <v>#VALUE!</v>
      </c>
      <c r="FV75" t="e">
        <f>'All regions'!C2049+"$F;@!%L'"</f>
        <v>#VALUE!</v>
      </c>
      <c r="FW75" t="e">
        <f>'All regions'!D2049+"$F;@!%L("</f>
        <v>#VALUE!</v>
      </c>
      <c r="FX75" t="e">
        <f>'All regions'!E2049+"$F;@!%L)"</f>
        <v>#VALUE!</v>
      </c>
      <c r="FY75" t="e">
        <f>'All regions'!F2049+"$F;@!%L."</f>
        <v>#VALUE!</v>
      </c>
      <c r="FZ75" t="e">
        <f>'All regions'!G2049+"$F;@!%L/"</f>
        <v>#VALUE!</v>
      </c>
      <c r="GA75" t="e">
        <f>'All regions'!H2049+"$F;@!%L0"</f>
        <v>#VALUE!</v>
      </c>
      <c r="GB75" t="e">
        <f>'All regions'!I2049+"$F;@!%L1"</f>
        <v>#VALUE!</v>
      </c>
      <c r="GC75" t="e">
        <f>'All regions'!A2050+"$F;@!%L2"</f>
        <v>#VALUE!</v>
      </c>
      <c r="GD75" t="e">
        <f>'All regions'!B2050+"$F;@!%L3"</f>
        <v>#VALUE!</v>
      </c>
      <c r="GE75" t="e">
        <f>'All regions'!C2050+"$F;@!%L4"</f>
        <v>#VALUE!</v>
      </c>
      <c r="GF75" t="e">
        <f>'All regions'!D2050+"$F;@!%L5"</f>
        <v>#VALUE!</v>
      </c>
      <c r="GG75" t="e">
        <f>'All regions'!E2050+"$F;@!%L6"</f>
        <v>#VALUE!</v>
      </c>
      <c r="GH75" t="e">
        <f>'All regions'!F2050+"$F;@!%L7"</f>
        <v>#VALUE!</v>
      </c>
      <c r="GI75" t="e">
        <f>'All regions'!G2050+"$F;@!%L8"</f>
        <v>#VALUE!</v>
      </c>
      <c r="GJ75" t="e">
        <f>'All regions'!H2050+"$F;@!%L9"</f>
        <v>#VALUE!</v>
      </c>
      <c r="GK75" t="e">
        <f>'All regions'!I2050+"$F;@!%L:"</f>
        <v>#VALUE!</v>
      </c>
      <c r="GL75" t="e">
        <f>'All regions'!A2051+"$F;@!%L;"</f>
        <v>#VALUE!</v>
      </c>
      <c r="GM75" t="e">
        <f>'All regions'!B2051+"$F;@!%L&lt;"</f>
        <v>#VALUE!</v>
      </c>
      <c r="GN75" t="e">
        <f>'All regions'!C2051+"$F;@!%L="</f>
        <v>#VALUE!</v>
      </c>
      <c r="GO75" t="e">
        <f>'All regions'!D2051+"$F;@!%L&gt;"</f>
        <v>#VALUE!</v>
      </c>
      <c r="GP75" t="e">
        <f>'All regions'!E2051+"$F;@!%L?"</f>
        <v>#VALUE!</v>
      </c>
      <c r="GQ75" t="e">
        <f>'All regions'!F2051+"$F;@!%L@"</f>
        <v>#VALUE!</v>
      </c>
      <c r="GR75" t="e">
        <f>'All regions'!G2051+"$F;@!%LA"</f>
        <v>#VALUE!</v>
      </c>
      <c r="GS75" t="e">
        <f>'All regions'!H2051+"$F;@!%LB"</f>
        <v>#VALUE!</v>
      </c>
      <c r="GT75" t="e">
        <f>'All regions'!I2051+"$F;@!%LC"</f>
        <v>#VALUE!</v>
      </c>
      <c r="GU75" t="e">
        <f>'All regions'!A2052+"$F;@!%LD"</f>
        <v>#VALUE!</v>
      </c>
      <c r="GV75" t="e">
        <f>'All regions'!B2052+"$F;@!%LE"</f>
        <v>#VALUE!</v>
      </c>
      <c r="GW75" t="e">
        <f>'All regions'!C2052+"$F;@!%LF"</f>
        <v>#VALUE!</v>
      </c>
      <c r="GX75" t="e">
        <f>'All regions'!D2052+"$F;@!%LG"</f>
        <v>#VALUE!</v>
      </c>
      <c r="GY75" t="e">
        <f>'All regions'!E2052+"$F;@!%LH"</f>
        <v>#VALUE!</v>
      </c>
      <c r="GZ75" t="e">
        <f>'All regions'!F2052+"$F;@!%LI"</f>
        <v>#VALUE!</v>
      </c>
      <c r="HA75" t="e">
        <f>'All regions'!G2052+"$F;@!%LJ"</f>
        <v>#VALUE!</v>
      </c>
      <c r="HB75" t="e">
        <f>'All regions'!H2052+"$F;@!%LK"</f>
        <v>#VALUE!</v>
      </c>
      <c r="HC75" t="e">
        <f>'All regions'!I2052+"$F;@!%LL"</f>
        <v>#VALUE!</v>
      </c>
      <c r="HD75" t="e">
        <f>'All regions'!A2053+"$F;@!%LM"</f>
        <v>#VALUE!</v>
      </c>
      <c r="HE75" t="e">
        <f>'All regions'!B2053+"$F;@!%LN"</f>
        <v>#VALUE!</v>
      </c>
      <c r="HF75" t="e">
        <f>'All regions'!C2053+"$F;@!%LO"</f>
        <v>#VALUE!</v>
      </c>
      <c r="HG75" t="e">
        <f>'All regions'!D2053+"$F;@!%LP"</f>
        <v>#VALUE!</v>
      </c>
      <c r="HH75" t="e">
        <f>'All regions'!E2053+"$F;@!%LQ"</f>
        <v>#VALUE!</v>
      </c>
      <c r="HI75" t="e">
        <f>'All regions'!F2053+"$F;@!%LR"</f>
        <v>#VALUE!</v>
      </c>
      <c r="HJ75" t="e">
        <f>'All regions'!G2053+"$F;@!%LS"</f>
        <v>#VALUE!</v>
      </c>
      <c r="HK75" t="e">
        <f>'All regions'!H2053+"$F;@!%LT"</f>
        <v>#VALUE!</v>
      </c>
      <c r="HL75" t="e">
        <f>'All regions'!I2053+"$F;@!%LU"</f>
        <v>#VALUE!</v>
      </c>
      <c r="HM75" t="e">
        <f>'All regions'!A2054+"$F;@!%LV"</f>
        <v>#VALUE!</v>
      </c>
      <c r="HN75" t="e">
        <f>'All regions'!B2054+"$F;@!%LW"</f>
        <v>#VALUE!</v>
      </c>
      <c r="HO75" t="e">
        <f>'All regions'!C2054+"$F;@!%LX"</f>
        <v>#VALUE!</v>
      </c>
      <c r="HP75" t="e">
        <f>'All regions'!D2054+"$F;@!%LY"</f>
        <v>#VALUE!</v>
      </c>
      <c r="HQ75" t="e">
        <f>'All regions'!E2054+"$F;@!%LZ"</f>
        <v>#VALUE!</v>
      </c>
      <c r="HR75" t="e">
        <f>'All regions'!F2054+"$F;@!%L["</f>
        <v>#VALUE!</v>
      </c>
      <c r="HS75" t="e">
        <f>'All regions'!G2054+"$F;@!%L\"</f>
        <v>#VALUE!</v>
      </c>
      <c r="HT75" t="e">
        <f>'All regions'!H2054+"$F;@!%L]"</f>
        <v>#VALUE!</v>
      </c>
      <c r="HU75" t="e">
        <f>'All regions'!I2054+"$F;@!%L^"</f>
        <v>#VALUE!</v>
      </c>
      <c r="HV75" t="e">
        <f>'All regions'!A2055+"$F;@!%L_"</f>
        <v>#VALUE!</v>
      </c>
      <c r="HW75" t="e">
        <f>'All regions'!B2055+"$F;@!%L`"</f>
        <v>#VALUE!</v>
      </c>
      <c r="HX75" t="e">
        <f>'All regions'!C2055+"$F;@!%La"</f>
        <v>#VALUE!</v>
      </c>
      <c r="HY75" t="e">
        <f>'All regions'!D2055+"$F;@!%Lb"</f>
        <v>#VALUE!</v>
      </c>
      <c r="HZ75" t="e">
        <f>'All regions'!E2055+"$F;@!%Lc"</f>
        <v>#VALUE!</v>
      </c>
      <c r="IA75" t="e">
        <f>'All regions'!F2055+"$F;@!%Ld"</f>
        <v>#VALUE!</v>
      </c>
      <c r="IB75" t="e">
        <f>'All regions'!G2055+"$F;@!%Le"</f>
        <v>#VALUE!</v>
      </c>
      <c r="IC75" t="e">
        <f>'All regions'!H2055+"$F;@!%Lf"</f>
        <v>#VALUE!</v>
      </c>
      <c r="ID75" t="e">
        <f>'All regions'!I2055+"$F;@!%Lg"</f>
        <v>#VALUE!</v>
      </c>
      <c r="IE75" t="e">
        <f>'All regions'!A2056+"$F;@!%Lh"</f>
        <v>#VALUE!</v>
      </c>
      <c r="IF75" t="e">
        <f>'All regions'!B2056+"$F;@!%Li"</f>
        <v>#VALUE!</v>
      </c>
      <c r="IG75" t="e">
        <f>'All regions'!C2056+"$F;@!%Lj"</f>
        <v>#VALUE!</v>
      </c>
      <c r="IH75" t="e">
        <f>'All regions'!D2056+"$F;@!%Lk"</f>
        <v>#VALUE!</v>
      </c>
      <c r="II75" t="e">
        <f>'All regions'!E2056+"$F;@!%Ll"</f>
        <v>#VALUE!</v>
      </c>
      <c r="IJ75" t="e">
        <f>'All regions'!F2056+"$F;@!%Lm"</f>
        <v>#VALUE!</v>
      </c>
      <c r="IK75" t="e">
        <f>'All regions'!G2056+"$F;@!%Ln"</f>
        <v>#VALUE!</v>
      </c>
      <c r="IL75" t="e">
        <f>'All regions'!H2056+"$F;@!%Lo"</f>
        <v>#VALUE!</v>
      </c>
      <c r="IM75" t="e">
        <f>'All regions'!I2056+"$F;@!%Lp"</f>
        <v>#VALUE!</v>
      </c>
      <c r="IN75" t="e">
        <f>'All regions'!A2057+"$F;@!%Lq"</f>
        <v>#VALUE!</v>
      </c>
      <c r="IO75" t="e">
        <f>'All regions'!B2057+"$F;@!%Lr"</f>
        <v>#VALUE!</v>
      </c>
      <c r="IP75" t="e">
        <f>'All regions'!C2057+"$F;@!%Ls"</f>
        <v>#VALUE!</v>
      </c>
      <c r="IQ75" t="e">
        <f>'All regions'!D2057+"$F;@!%Lt"</f>
        <v>#VALUE!</v>
      </c>
      <c r="IR75" t="e">
        <f>'All regions'!E2057+"$F;@!%Lu"</f>
        <v>#VALUE!</v>
      </c>
      <c r="IS75" t="e">
        <f>'All regions'!F2057+"$F;@!%Lv"</f>
        <v>#VALUE!</v>
      </c>
      <c r="IT75" t="e">
        <f>'All regions'!G2057+"$F;@!%Lw"</f>
        <v>#VALUE!</v>
      </c>
      <c r="IU75" t="e">
        <f>'All regions'!H2057+"$F;@!%Lx"</f>
        <v>#VALUE!</v>
      </c>
      <c r="IV75" t="e">
        <f>'All regions'!I2057+"$F;@!%Ly"</f>
        <v>#VALUE!</v>
      </c>
    </row>
    <row r="76" spans="6:256" x14ac:dyDescent="0.35">
      <c r="F76" t="e">
        <f>'All regions'!A2058+"$F;@!%Lz"</f>
        <v>#VALUE!</v>
      </c>
      <c r="G76" t="e">
        <f>'All regions'!B2058+"$F;@!%L{"</f>
        <v>#VALUE!</v>
      </c>
      <c r="H76" t="e">
        <f>'All regions'!C2058+"$F;@!%L|"</f>
        <v>#VALUE!</v>
      </c>
      <c r="I76" t="e">
        <f>'All regions'!D2058+"$F;@!%L}"</f>
        <v>#VALUE!</v>
      </c>
      <c r="J76" t="e">
        <f>'All regions'!E2058+"$F;@!%L~"</f>
        <v>#VALUE!</v>
      </c>
      <c r="K76" t="e">
        <f>'All regions'!F2058+"$F;@!%M#"</f>
        <v>#VALUE!</v>
      </c>
      <c r="L76" t="e">
        <f>'All regions'!G2058+"$F;@!%M$"</f>
        <v>#VALUE!</v>
      </c>
      <c r="M76" t="e">
        <f>'All regions'!H2058+"$F;@!%M%"</f>
        <v>#VALUE!</v>
      </c>
      <c r="N76" t="e">
        <f>'All regions'!I2058+"$F;@!%M&amp;"</f>
        <v>#VALUE!</v>
      </c>
      <c r="O76" t="e">
        <f>'All regions'!A2059+"$F;@!%M'"</f>
        <v>#VALUE!</v>
      </c>
      <c r="P76" t="e">
        <f>'All regions'!B2059+"$F;@!%M("</f>
        <v>#VALUE!</v>
      </c>
      <c r="Q76" t="e">
        <f>'All regions'!C2059+"$F;@!%M)"</f>
        <v>#VALUE!</v>
      </c>
      <c r="R76" t="e">
        <f>'All regions'!D2059+"$F;@!%M."</f>
        <v>#VALUE!</v>
      </c>
      <c r="S76" t="e">
        <f>'All regions'!E2059+"$F;@!%M/"</f>
        <v>#VALUE!</v>
      </c>
      <c r="T76" t="e">
        <f>'All regions'!F2059+"$F;@!%M0"</f>
        <v>#VALUE!</v>
      </c>
      <c r="U76" t="e">
        <f>'All regions'!G2059+"$F;@!%M1"</f>
        <v>#VALUE!</v>
      </c>
      <c r="V76" t="e">
        <f>'All regions'!H2059+"$F;@!%M2"</f>
        <v>#VALUE!</v>
      </c>
      <c r="W76" t="e">
        <f>'All regions'!I2059+"$F;@!%M3"</f>
        <v>#VALUE!</v>
      </c>
      <c r="X76" t="e">
        <f>'All regions'!A2060+"$F;@!%M4"</f>
        <v>#VALUE!</v>
      </c>
      <c r="Y76" t="e">
        <f>'All regions'!B2060+"$F;@!%M5"</f>
        <v>#VALUE!</v>
      </c>
      <c r="Z76" t="e">
        <f>'All regions'!C2060+"$F;@!%M6"</f>
        <v>#VALUE!</v>
      </c>
      <c r="AA76" t="e">
        <f>'All regions'!D2060+"$F;@!%M7"</f>
        <v>#VALUE!</v>
      </c>
      <c r="AB76" t="e">
        <f>'All regions'!E2060+"$F;@!%M8"</f>
        <v>#VALUE!</v>
      </c>
      <c r="AC76" t="e">
        <f>'All regions'!F2060+"$F;@!%M9"</f>
        <v>#VALUE!</v>
      </c>
      <c r="AD76" t="e">
        <f>'All regions'!G2060+"$F;@!%M:"</f>
        <v>#VALUE!</v>
      </c>
      <c r="AE76" t="e">
        <f>'All regions'!H2060+"$F;@!%M;"</f>
        <v>#VALUE!</v>
      </c>
      <c r="AF76" t="e">
        <f>'All regions'!I2060+"$F;@!%M&lt;"</f>
        <v>#VALUE!</v>
      </c>
      <c r="AG76" t="e">
        <f>'All regions'!A2061+"$F;@!%M="</f>
        <v>#VALUE!</v>
      </c>
      <c r="AH76" t="e">
        <f>'All regions'!B2061+"$F;@!%M&gt;"</f>
        <v>#VALUE!</v>
      </c>
      <c r="AI76" t="e">
        <f>'All regions'!C2061+"$F;@!%M?"</f>
        <v>#VALUE!</v>
      </c>
      <c r="AJ76" t="e">
        <f>'All regions'!D2061+"$F;@!%M@"</f>
        <v>#VALUE!</v>
      </c>
      <c r="AK76" t="e">
        <f>'All regions'!E2061+"$F;@!%MA"</f>
        <v>#VALUE!</v>
      </c>
      <c r="AL76" t="e">
        <f>'All regions'!F2061+"$F;@!%MB"</f>
        <v>#VALUE!</v>
      </c>
      <c r="AM76" t="e">
        <f>'All regions'!G2061+"$F;@!%MC"</f>
        <v>#VALUE!</v>
      </c>
      <c r="AN76" t="e">
        <f>'All regions'!H2061+"$F;@!%MD"</f>
        <v>#VALUE!</v>
      </c>
      <c r="AO76" t="e">
        <f>'All regions'!I2061+"$F;@!%ME"</f>
        <v>#VALUE!</v>
      </c>
      <c r="AP76" t="e">
        <f>'All regions'!A2062+"$F;@!%MF"</f>
        <v>#VALUE!</v>
      </c>
      <c r="AQ76" t="e">
        <f>'All regions'!B2062+"$F;@!%MG"</f>
        <v>#VALUE!</v>
      </c>
      <c r="AR76" t="e">
        <f>'All regions'!C2062+"$F;@!%MH"</f>
        <v>#VALUE!</v>
      </c>
      <c r="AS76" t="e">
        <f>'All regions'!D2062+"$F;@!%MI"</f>
        <v>#VALUE!</v>
      </c>
      <c r="AT76" t="e">
        <f>'All regions'!E2062+"$F;@!%MJ"</f>
        <v>#VALUE!</v>
      </c>
      <c r="AU76" t="e">
        <f>'All regions'!F2062+"$F;@!%MK"</f>
        <v>#VALUE!</v>
      </c>
      <c r="AV76" t="e">
        <f>'All regions'!G2062+"$F;@!%ML"</f>
        <v>#VALUE!</v>
      </c>
      <c r="AW76" t="e">
        <f>'All regions'!H2062+"$F;@!%MM"</f>
        <v>#VALUE!</v>
      </c>
      <c r="AX76" t="e">
        <f>'All regions'!I2062+"$F;@!%MN"</f>
        <v>#VALUE!</v>
      </c>
      <c r="AY76" t="e">
        <f>'All regions'!A2063+"$F;@!%MO"</f>
        <v>#VALUE!</v>
      </c>
      <c r="AZ76" t="e">
        <f>'All regions'!B2063+"$F;@!%MP"</f>
        <v>#VALUE!</v>
      </c>
      <c r="BA76" t="e">
        <f>'All regions'!C2063+"$F;@!%MQ"</f>
        <v>#VALUE!</v>
      </c>
      <c r="BB76" t="e">
        <f>'All regions'!D2063+"$F;@!%MR"</f>
        <v>#VALUE!</v>
      </c>
      <c r="BC76" t="e">
        <f>'All regions'!E2063+"$F;@!%MS"</f>
        <v>#VALUE!</v>
      </c>
      <c r="BD76" t="e">
        <f>'All regions'!F2063+"$F;@!%MT"</f>
        <v>#VALUE!</v>
      </c>
      <c r="BE76" t="e">
        <f>'All regions'!G2063+"$F;@!%MU"</f>
        <v>#VALUE!</v>
      </c>
      <c r="BF76" t="e">
        <f>'All regions'!H2063+"$F;@!%MV"</f>
        <v>#VALUE!</v>
      </c>
      <c r="BG76" t="e">
        <f>'All regions'!I2063+"$F;@!%MW"</f>
        <v>#VALUE!</v>
      </c>
      <c r="BH76" t="e">
        <f>'All regions'!A2064+"$F;@!%MX"</f>
        <v>#VALUE!</v>
      </c>
      <c r="BI76" t="e">
        <f>'All regions'!B2064+"$F;@!%MY"</f>
        <v>#VALUE!</v>
      </c>
      <c r="BJ76" t="e">
        <f>'All regions'!C2064+"$F;@!%MZ"</f>
        <v>#VALUE!</v>
      </c>
      <c r="BK76" t="e">
        <f>'All regions'!D2064+"$F;@!%M["</f>
        <v>#VALUE!</v>
      </c>
      <c r="BL76" t="e">
        <f>'All regions'!E2064+"$F;@!%M\"</f>
        <v>#VALUE!</v>
      </c>
      <c r="BM76" t="e">
        <f>'All regions'!F2064+"$F;@!%M]"</f>
        <v>#VALUE!</v>
      </c>
      <c r="BN76" t="e">
        <f>'All regions'!G2064+"$F;@!%M^"</f>
        <v>#VALUE!</v>
      </c>
      <c r="BO76" t="e">
        <f>'All regions'!H2064+"$F;@!%M_"</f>
        <v>#VALUE!</v>
      </c>
      <c r="BP76" t="e">
        <f>'All regions'!I2064+"$F;@!%M`"</f>
        <v>#VALUE!</v>
      </c>
      <c r="BQ76" t="e">
        <f>'All regions'!A2065+"$F;@!%Ma"</f>
        <v>#VALUE!</v>
      </c>
      <c r="BR76" t="e">
        <f>'All regions'!B2065+"$F;@!%Mb"</f>
        <v>#VALUE!</v>
      </c>
      <c r="BS76" t="e">
        <f>'All regions'!C2065+"$F;@!%Mc"</f>
        <v>#VALUE!</v>
      </c>
      <c r="BT76" t="e">
        <f>'All regions'!D2065+"$F;@!%Md"</f>
        <v>#VALUE!</v>
      </c>
      <c r="BU76" t="e">
        <f>'All regions'!E2065+"$F;@!%Me"</f>
        <v>#VALUE!</v>
      </c>
      <c r="BV76" t="e">
        <f>'All regions'!F2065+"$F;@!%Mf"</f>
        <v>#VALUE!</v>
      </c>
      <c r="BW76" t="e">
        <f>'All regions'!G2065+"$F;@!%Mg"</f>
        <v>#VALUE!</v>
      </c>
      <c r="BX76" t="e">
        <f>'All regions'!H2065+"$F;@!%Mh"</f>
        <v>#VALUE!</v>
      </c>
      <c r="BY76" t="e">
        <f>'All regions'!I2065+"$F;@!%Mi"</f>
        <v>#VALUE!</v>
      </c>
      <c r="BZ76" t="e">
        <f>'All regions'!A2066+"$F;@!%Mj"</f>
        <v>#VALUE!</v>
      </c>
      <c r="CA76" t="e">
        <f>'All regions'!B2066+"$F;@!%Mk"</f>
        <v>#VALUE!</v>
      </c>
      <c r="CB76" t="e">
        <f>'All regions'!C2066+"$F;@!%Ml"</f>
        <v>#VALUE!</v>
      </c>
      <c r="CC76" t="e">
        <f>'All regions'!D2066+"$F;@!%Mm"</f>
        <v>#VALUE!</v>
      </c>
      <c r="CD76" t="e">
        <f>'All regions'!E2066+"$F;@!%Mn"</f>
        <v>#VALUE!</v>
      </c>
      <c r="CE76" t="e">
        <f>'All regions'!F2066+"$F;@!%Mo"</f>
        <v>#VALUE!</v>
      </c>
      <c r="CF76" t="e">
        <f>'All regions'!G2066+"$F;@!%Mp"</f>
        <v>#VALUE!</v>
      </c>
      <c r="CG76" t="e">
        <f>'All regions'!H2066+"$F;@!%Mq"</f>
        <v>#VALUE!</v>
      </c>
      <c r="CH76" t="e">
        <f>'All regions'!I2066+"$F;@!%Mr"</f>
        <v>#VALUE!</v>
      </c>
      <c r="CI76" t="e">
        <f>'All regions'!A2067+"$F;@!%Ms"</f>
        <v>#VALUE!</v>
      </c>
      <c r="CJ76" t="e">
        <f>'All regions'!B2067+"$F;@!%Mt"</f>
        <v>#VALUE!</v>
      </c>
      <c r="CK76" t="e">
        <f>'All regions'!C2067+"$F;@!%Mu"</f>
        <v>#VALUE!</v>
      </c>
      <c r="CL76" t="e">
        <f>'All regions'!D2067+"$F;@!%Mv"</f>
        <v>#VALUE!</v>
      </c>
      <c r="CM76" t="e">
        <f>'All regions'!E2067+"$F;@!%Mw"</f>
        <v>#VALUE!</v>
      </c>
      <c r="CN76" t="e">
        <f>'All regions'!F2067+"$F;@!%Mx"</f>
        <v>#VALUE!</v>
      </c>
      <c r="CO76" t="e">
        <f>'All regions'!G2067+"$F;@!%My"</f>
        <v>#VALUE!</v>
      </c>
      <c r="CP76" t="e">
        <f>'All regions'!H2067+"$F;@!%Mz"</f>
        <v>#VALUE!</v>
      </c>
      <c r="CQ76" t="e">
        <f>'All regions'!I2067+"$F;@!%M{"</f>
        <v>#VALUE!</v>
      </c>
      <c r="CR76" t="e">
        <f>'All regions'!A2068+"$F;@!%M|"</f>
        <v>#VALUE!</v>
      </c>
      <c r="CS76" t="e">
        <f>'All regions'!B2068+"$F;@!%M}"</f>
        <v>#VALUE!</v>
      </c>
      <c r="CT76" t="e">
        <f>'All regions'!C2068+"$F;@!%M~"</f>
        <v>#VALUE!</v>
      </c>
      <c r="CU76" t="e">
        <f>'All regions'!D2068+"$F;@!%N#"</f>
        <v>#VALUE!</v>
      </c>
      <c r="CV76" t="e">
        <f>'All regions'!E2068+"$F;@!%N$"</f>
        <v>#VALUE!</v>
      </c>
      <c r="CW76" t="e">
        <f>'All regions'!F2068+"$F;@!%N%"</f>
        <v>#VALUE!</v>
      </c>
      <c r="CX76" t="e">
        <f>'All regions'!G2068+"$F;@!%N&amp;"</f>
        <v>#VALUE!</v>
      </c>
      <c r="CY76" t="e">
        <f>'All regions'!H2068+"$F;@!%N'"</f>
        <v>#VALUE!</v>
      </c>
      <c r="CZ76" t="e">
        <f>'All regions'!I2068+"$F;@!%N("</f>
        <v>#VALUE!</v>
      </c>
      <c r="DA76" t="e">
        <f>'All regions'!A2069+"$F;@!%N)"</f>
        <v>#VALUE!</v>
      </c>
      <c r="DB76" t="e">
        <f>'All regions'!B2069+"$F;@!%N."</f>
        <v>#VALUE!</v>
      </c>
      <c r="DC76" t="e">
        <f>'All regions'!C2069+"$F;@!%N/"</f>
        <v>#VALUE!</v>
      </c>
      <c r="DD76" t="e">
        <f>'All regions'!D2069+"$F;@!%N0"</f>
        <v>#VALUE!</v>
      </c>
      <c r="DE76" t="e">
        <f>'All regions'!E2069+"$F;@!%N1"</f>
        <v>#VALUE!</v>
      </c>
      <c r="DF76" t="e">
        <f>'All regions'!F2069+"$F;@!%N2"</f>
        <v>#VALUE!</v>
      </c>
      <c r="DG76" t="e">
        <f>'All regions'!G2069+"$F;@!%N3"</f>
        <v>#VALUE!</v>
      </c>
      <c r="DH76" t="e">
        <f>'All regions'!H2069+"$F;@!%N4"</f>
        <v>#VALUE!</v>
      </c>
      <c r="DI76" t="e">
        <f>'All regions'!I2069+"$F;@!%N5"</f>
        <v>#VALUE!</v>
      </c>
      <c r="DJ76" t="e">
        <f>'All regions'!A2070+"$F;@!%N6"</f>
        <v>#VALUE!</v>
      </c>
      <c r="DK76" t="e">
        <f>'All regions'!B2070+"$F;@!%N7"</f>
        <v>#VALUE!</v>
      </c>
      <c r="DL76" t="e">
        <f>'All regions'!C2070+"$F;@!%N8"</f>
        <v>#VALUE!</v>
      </c>
      <c r="DM76" t="e">
        <f>'All regions'!D2070+"$F;@!%N9"</f>
        <v>#VALUE!</v>
      </c>
      <c r="DN76" t="e">
        <f>'All regions'!E2070+"$F;@!%N:"</f>
        <v>#VALUE!</v>
      </c>
      <c r="DO76" t="e">
        <f>'All regions'!F2070+"$F;@!%N;"</f>
        <v>#VALUE!</v>
      </c>
      <c r="DP76" t="e">
        <f>'All regions'!G2070+"$F;@!%N&lt;"</f>
        <v>#VALUE!</v>
      </c>
      <c r="DQ76" t="e">
        <f>'All regions'!H2070+"$F;@!%N="</f>
        <v>#VALUE!</v>
      </c>
      <c r="DR76" t="e">
        <f>'All regions'!I2070+"$F;@!%N&gt;"</f>
        <v>#VALUE!</v>
      </c>
      <c r="DS76" t="e">
        <f>'All regions'!A2071+"$F;@!%N?"</f>
        <v>#VALUE!</v>
      </c>
      <c r="DT76" t="e">
        <f>'All regions'!B2071+"$F;@!%N@"</f>
        <v>#VALUE!</v>
      </c>
      <c r="DU76" t="e">
        <f>'All regions'!C2071+"$F;@!%NA"</f>
        <v>#VALUE!</v>
      </c>
      <c r="DV76" t="e">
        <f>'All regions'!D2071+"$F;@!%NB"</f>
        <v>#VALUE!</v>
      </c>
      <c r="DW76" t="e">
        <f>'All regions'!E2071+"$F;@!%NC"</f>
        <v>#VALUE!</v>
      </c>
      <c r="DX76" t="e">
        <f>'All regions'!F2071+"$F;@!%ND"</f>
        <v>#VALUE!</v>
      </c>
      <c r="DY76" t="e">
        <f>'All regions'!G2071+"$F;@!%NE"</f>
        <v>#VALUE!</v>
      </c>
      <c r="DZ76" t="e">
        <f>'All regions'!H2071+"$F;@!%NF"</f>
        <v>#VALUE!</v>
      </c>
      <c r="EA76" t="e">
        <f>'All regions'!I2071+"$F;@!%NG"</f>
        <v>#VALUE!</v>
      </c>
      <c r="EB76" t="e">
        <f>'All regions'!A2072+"$F;@!%NH"</f>
        <v>#VALUE!</v>
      </c>
      <c r="EC76" t="e">
        <f>'All regions'!B2072+"$F;@!%NI"</f>
        <v>#VALUE!</v>
      </c>
      <c r="ED76" t="e">
        <f>'All regions'!C2072+"$F;@!%NJ"</f>
        <v>#VALUE!</v>
      </c>
      <c r="EE76" t="e">
        <f>'All regions'!D2072+"$F;@!%NK"</f>
        <v>#VALUE!</v>
      </c>
      <c r="EF76" t="e">
        <f>'All regions'!E2072+"$F;@!%NL"</f>
        <v>#VALUE!</v>
      </c>
      <c r="EG76" t="e">
        <f>'All regions'!F2072+"$F;@!%NM"</f>
        <v>#VALUE!</v>
      </c>
      <c r="EH76" t="e">
        <f>'All regions'!G2072+"$F;@!%NN"</f>
        <v>#VALUE!</v>
      </c>
      <c r="EI76" t="e">
        <f>'All regions'!H2072+"$F;@!%NO"</f>
        <v>#VALUE!</v>
      </c>
      <c r="EJ76" t="e">
        <f>'All regions'!I2072+"$F;@!%NP"</f>
        <v>#VALUE!</v>
      </c>
      <c r="EK76" t="e">
        <f>'All regions'!A2073+"$F;@!%NQ"</f>
        <v>#VALUE!</v>
      </c>
      <c r="EL76" t="e">
        <f>'All regions'!B2073+"$F;@!%NR"</f>
        <v>#VALUE!</v>
      </c>
      <c r="EM76" t="e">
        <f>'All regions'!C2073+"$F;@!%NS"</f>
        <v>#VALUE!</v>
      </c>
      <c r="EN76" t="e">
        <f>'All regions'!D2073+"$F;@!%NT"</f>
        <v>#VALUE!</v>
      </c>
      <c r="EO76" t="e">
        <f>'All regions'!E2073+"$F;@!%NU"</f>
        <v>#VALUE!</v>
      </c>
      <c r="EP76" t="e">
        <f>'All regions'!F2073+"$F;@!%NV"</f>
        <v>#VALUE!</v>
      </c>
      <c r="EQ76" t="e">
        <f>'All regions'!G2073+"$F;@!%NW"</f>
        <v>#VALUE!</v>
      </c>
      <c r="ER76" t="e">
        <f>'All regions'!H2073+"$F;@!%NX"</f>
        <v>#VALUE!</v>
      </c>
      <c r="ES76" t="e">
        <f>'All regions'!I2073+"$F;@!%NY"</f>
        <v>#VALUE!</v>
      </c>
      <c r="ET76" t="e">
        <f>'All regions'!A2074+"$F;@!%NZ"</f>
        <v>#VALUE!</v>
      </c>
      <c r="EU76" t="e">
        <f>'All regions'!B2074+"$F;@!%N["</f>
        <v>#VALUE!</v>
      </c>
      <c r="EV76" t="e">
        <f>'All regions'!C2074+"$F;@!%N\"</f>
        <v>#VALUE!</v>
      </c>
      <c r="EW76" t="e">
        <f>'All regions'!D2074+"$F;@!%N]"</f>
        <v>#VALUE!</v>
      </c>
      <c r="EX76" t="e">
        <f>'All regions'!E2074+"$F;@!%N^"</f>
        <v>#VALUE!</v>
      </c>
      <c r="EY76" t="e">
        <f>'All regions'!F2074+"$F;@!%N_"</f>
        <v>#VALUE!</v>
      </c>
      <c r="EZ76" t="e">
        <f>'All regions'!G2074+"$F;@!%N`"</f>
        <v>#VALUE!</v>
      </c>
      <c r="FA76" t="e">
        <f>'All regions'!H2074+"$F;@!%Na"</f>
        <v>#VALUE!</v>
      </c>
      <c r="FB76" t="e">
        <f>'All regions'!I2074+"$F;@!%Nb"</f>
        <v>#VALUE!</v>
      </c>
      <c r="FC76" t="e">
        <f>'All regions'!A2075+"$F;@!%Nc"</f>
        <v>#VALUE!</v>
      </c>
      <c r="FD76" t="e">
        <f>'All regions'!B2075+"$F;@!%Nd"</f>
        <v>#VALUE!</v>
      </c>
      <c r="FE76" t="e">
        <f>'All regions'!C2075+"$F;@!%Ne"</f>
        <v>#VALUE!</v>
      </c>
      <c r="FF76" t="e">
        <f>'All regions'!D2075+"$F;@!%Nf"</f>
        <v>#VALUE!</v>
      </c>
      <c r="FG76" t="e">
        <f>'All regions'!E2075+"$F;@!%Ng"</f>
        <v>#VALUE!</v>
      </c>
      <c r="FH76" t="e">
        <f>'All regions'!F2075+"$F;@!%Nh"</f>
        <v>#VALUE!</v>
      </c>
      <c r="FI76" t="e">
        <f>'All regions'!G2075+"$F;@!%Ni"</f>
        <v>#VALUE!</v>
      </c>
      <c r="FJ76" t="e">
        <f>'All regions'!H2075+"$F;@!%Nj"</f>
        <v>#VALUE!</v>
      </c>
      <c r="FK76" t="e">
        <f>'All regions'!I2075+"$F;@!%Nk"</f>
        <v>#VALUE!</v>
      </c>
      <c r="FL76" t="e">
        <f>'All regions'!A2076+"$F;@!%Nl"</f>
        <v>#VALUE!</v>
      </c>
      <c r="FM76" t="e">
        <f>'All regions'!B2076+"$F;@!%Nm"</f>
        <v>#VALUE!</v>
      </c>
      <c r="FN76" t="e">
        <f>'All regions'!C2076+"$F;@!%Nn"</f>
        <v>#VALUE!</v>
      </c>
      <c r="FO76" t="e">
        <f>'All regions'!D2076+"$F;@!%No"</f>
        <v>#VALUE!</v>
      </c>
      <c r="FP76" t="e">
        <f>'All regions'!E2076+"$F;@!%Np"</f>
        <v>#VALUE!</v>
      </c>
      <c r="FQ76" t="e">
        <f>'All regions'!F2076+"$F;@!%Nq"</f>
        <v>#VALUE!</v>
      </c>
      <c r="FR76" t="e">
        <f>'All regions'!G2076+"$F;@!%Nr"</f>
        <v>#VALUE!</v>
      </c>
      <c r="FS76" t="e">
        <f>'All regions'!H2076+"$F;@!%Ns"</f>
        <v>#VALUE!</v>
      </c>
      <c r="FT76" t="e">
        <f>'All regions'!I2076+"$F;@!%Nt"</f>
        <v>#VALUE!</v>
      </c>
      <c r="FU76" t="e">
        <f>'All regions'!A2077+"$F;@!%Nu"</f>
        <v>#VALUE!</v>
      </c>
      <c r="FV76" t="e">
        <f>'All regions'!B2077+"$F;@!%Nv"</f>
        <v>#VALUE!</v>
      </c>
      <c r="FW76" t="e">
        <f>'All regions'!C2077+"$F;@!%Nw"</f>
        <v>#VALUE!</v>
      </c>
      <c r="FX76" t="e">
        <f>'All regions'!D2077+"$F;@!%Nx"</f>
        <v>#VALUE!</v>
      </c>
      <c r="FY76" t="e">
        <f>'All regions'!E2077+"$F;@!%Ny"</f>
        <v>#VALUE!</v>
      </c>
      <c r="FZ76" t="e">
        <f>'All regions'!F2077+"$F;@!%Nz"</f>
        <v>#VALUE!</v>
      </c>
      <c r="GA76" t="e">
        <f>'All regions'!G2077+"$F;@!%N{"</f>
        <v>#VALUE!</v>
      </c>
      <c r="GB76" t="e">
        <f>'All regions'!H2077+"$F;@!%N|"</f>
        <v>#VALUE!</v>
      </c>
      <c r="GC76" t="e">
        <f>'All regions'!I2077+"$F;@!%N}"</f>
        <v>#VALUE!</v>
      </c>
      <c r="GD76" t="e">
        <f>'All regions'!A2078+"$F;@!%N~"</f>
        <v>#VALUE!</v>
      </c>
      <c r="GE76" t="e">
        <f>'All regions'!B2078+"$F;@!%O#"</f>
        <v>#VALUE!</v>
      </c>
      <c r="GF76" t="e">
        <f>'All regions'!C2078+"$F;@!%O$"</f>
        <v>#VALUE!</v>
      </c>
      <c r="GG76" t="e">
        <f>'All regions'!D2078+"$F;@!%O%"</f>
        <v>#VALUE!</v>
      </c>
      <c r="GH76" t="e">
        <f>'All regions'!E2078+"$F;@!%O&amp;"</f>
        <v>#VALUE!</v>
      </c>
      <c r="GI76" t="e">
        <f>'All regions'!F2078+"$F;@!%O'"</f>
        <v>#VALUE!</v>
      </c>
      <c r="GJ76" t="e">
        <f>'All regions'!G2078+"$F;@!%O("</f>
        <v>#VALUE!</v>
      </c>
      <c r="GK76" t="e">
        <f>'All regions'!H2078+"$F;@!%O)"</f>
        <v>#VALUE!</v>
      </c>
      <c r="GL76" t="e">
        <f>'All regions'!I2078+"$F;@!%O."</f>
        <v>#VALUE!</v>
      </c>
      <c r="GM76" t="e">
        <f>'All regions'!A2079+"$F;@!%O/"</f>
        <v>#VALUE!</v>
      </c>
      <c r="GN76" t="e">
        <f>'All regions'!B2079+"$F;@!%O0"</f>
        <v>#VALUE!</v>
      </c>
      <c r="GO76" t="e">
        <f>'All regions'!C2079+"$F;@!%O1"</f>
        <v>#VALUE!</v>
      </c>
      <c r="GP76" t="e">
        <f>'All regions'!D2079+"$F;@!%O2"</f>
        <v>#VALUE!</v>
      </c>
      <c r="GQ76" t="e">
        <f>'All regions'!E2079+"$F;@!%O3"</f>
        <v>#VALUE!</v>
      </c>
      <c r="GR76" t="e">
        <f>'All regions'!F2079+"$F;@!%O4"</f>
        <v>#VALUE!</v>
      </c>
      <c r="GS76" t="e">
        <f>'All regions'!G2079+"$F;@!%O5"</f>
        <v>#VALUE!</v>
      </c>
      <c r="GT76" t="e">
        <f>'All regions'!H2079+"$F;@!%O6"</f>
        <v>#VALUE!</v>
      </c>
      <c r="GU76" t="e">
        <f>'All regions'!I2079+"$F;@!%O7"</f>
        <v>#VALUE!</v>
      </c>
      <c r="GV76" t="e">
        <f>'All regions'!A2080+"$F;@!%O8"</f>
        <v>#VALUE!</v>
      </c>
      <c r="GW76" t="e">
        <f>'All regions'!B2080+"$F;@!%O9"</f>
        <v>#VALUE!</v>
      </c>
      <c r="GX76" t="e">
        <f>'All regions'!C2080+"$F;@!%O:"</f>
        <v>#VALUE!</v>
      </c>
      <c r="GY76" t="e">
        <f>'All regions'!D2080+"$F;@!%O;"</f>
        <v>#VALUE!</v>
      </c>
      <c r="GZ76" t="e">
        <f>'All regions'!E2080+"$F;@!%O&lt;"</f>
        <v>#VALUE!</v>
      </c>
      <c r="HA76" t="e">
        <f>'All regions'!F2080+"$F;@!%O="</f>
        <v>#VALUE!</v>
      </c>
      <c r="HB76" t="e">
        <f>'All regions'!G2080+"$F;@!%O&gt;"</f>
        <v>#VALUE!</v>
      </c>
      <c r="HC76" t="e">
        <f>'All regions'!H2080+"$F;@!%O?"</f>
        <v>#VALUE!</v>
      </c>
      <c r="HD76" t="e">
        <f>'All regions'!I2080+"$F;@!%O@"</f>
        <v>#VALUE!</v>
      </c>
      <c r="HE76" t="e">
        <f>'All regions'!A2081+"$F;@!%OA"</f>
        <v>#VALUE!</v>
      </c>
      <c r="HF76" t="e">
        <f>'All regions'!B2081+"$F;@!%OB"</f>
        <v>#VALUE!</v>
      </c>
      <c r="HG76" t="e">
        <f>'All regions'!C2081+"$F;@!%OC"</f>
        <v>#VALUE!</v>
      </c>
      <c r="HH76" t="e">
        <f>'All regions'!D2081+"$F;@!%OD"</f>
        <v>#VALUE!</v>
      </c>
      <c r="HI76" t="e">
        <f>'All regions'!E2081+"$F;@!%OE"</f>
        <v>#VALUE!</v>
      </c>
      <c r="HJ76" t="e">
        <f>'All regions'!F2081+"$F;@!%OF"</f>
        <v>#VALUE!</v>
      </c>
      <c r="HK76" t="e">
        <f>'All regions'!G2081+"$F;@!%OG"</f>
        <v>#VALUE!</v>
      </c>
      <c r="HL76" t="e">
        <f>'All regions'!H2081+"$F;@!%OH"</f>
        <v>#VALUE!</v>
      </c>
      <c r="HM76" t="e">
        <f>'All regions'!I2081+"$F;@!%OI"</f>
        <v>#VALUE!</v>
      </c>
      <c r="HN76" t="e">
        <f>'All regions'!A2082+"$F;@!%OJ"</f>
        <v>#VALUE!</v>
      </c>
      <c r="HO76" t="e">
        <f>'All regions'!B2082+"$F;@!%OK"</f>
        <v>#VALUE!</v>
      </c>
      <c r="HP76" t="e">
        <f>'All regions'!C2082+"$F;@!%OL"</f>
        <v>#VALUE!</v>
      </c>
      <c r="HQ76" t="e">
        <f>'All regions'!D2082+"$F;@!%OM"</f>
        <v>#VALUE!</v>
      </c>
      <c r="HR76" t="e">
        <f>'All regions'!E2082+"$F;@!%ON"</f>
        <v>#VALUE!</v>
      </c>
      <c r="HS76" t="e">
        <f>'All regions'!F2082+"$F;@!%OO"</f>
        <v>#VALUE!</v>
      </c>
      <c r="HT76" t="e">
        <f>'All regions'!G2082+"$F;@!%OP"</f>
        <v>#VALUE!</v>
      </c>
      <c r="HU76" t="e">
        <f>'All regions'!H2082+"$F;@!%OQ"</f>
        <v>#VALUE!</v>
      </c>
      <c r="HV76" t="e">
        <f>'All regions'!I2082+"$F;@!%OR"</f>
        <v>#VALUE!</v>
      </c>
      <c r="HW76" t="e">
        <f>'All regions'!A2083+"$F;@!%OS"</f>
        <v>#VALUE!</v>
      </c>
      <c r="HX76" t="e">
        <f>'All regions'!B2083+"$F;@!%OT"</f>
        <v>#VALUE!</v>
      </c>
      <c r="HY76" t="e">
        <f>'All regions'!C2083+"$F;@!%OU"</f>
        <v>#VALUE!</v>
      </c>
      <c r="HZ76" t="e">
        <f>'All regions'!D2083+"$F;@!%OV"</f>
        <v>#VALUE!</v>
      </c>
      <c r="IA76" t="e">
        <f>'All regions'!E2083+"$F;@!%OW"</f>
        <v>#VALUE!</v>
      </c>
      <c r="IB76" t="e">
        <f>'All regions'!F2083+"$F;@!%OX"</f>
        <v>#VALUE!</v>
      </c>
      <c r="IC76" t="e">
        <f>'All regions'!G2083+"$F;@!%OY"</f>
        <v>#VALUE!</v>
      </c>
      <c r="ID76" t="e">
        <f>'All regions'!H2083+"$F;@!%OZ"</f>
        <v>#VALUE!</v>
      </c>
      <c r="IE76" t="e">
        <f>'All regions'!I2083+"$F;@!%O["</f>
        <v>#VALUE!</v>
      </c>
      <c r="IF76" t="e">
        <f>'All regions'!A2084+"$F;@!%O\"</f>
        <v>#VALUE!</v>
      </c>
      <c r="IG76" t="e">
        <f>'All regions'!B2084+"$F;@!%O]"</f>
        <v>#VALUE!</v>
      </c>
      <c r="IH76" t="e">
        <f>'All regions'!C2084+"$F;@!%O^"</f>
        <v>#VALUE!</v>
      </c>
      <c r="II76" t="e">
        <f>'All regions'!D2084+"$F;@!%O_"</f>
        <v>#VALUE!</v>
      </c>
      <c r="IJ76" t="e">
        <f>'All regions'!E2084+"$F;@!%O`"</f>
        <v>#VALUE!</v>
      </c>
      <c r="IK76" t="e">
        <f>'All regions'!F2084+"$F;@!%Oa"</f>
        <v>#VALUE!</v>
      </c>
      <c r="IL76" t="e">
        <f>'All regions'!G2084+"$F;@!%Ob"</f>
        <v>#VALUE!</v>
      </c>
      <c r="IM76" t="e">
        <f>'All regions'!H2084+"$F;@!%Oc"</f>
        <v>#VALUE!</v>
      </c>
      <c r="IN76" t="e">
        <f>'All regions'!I2084+"$F;@!%Od"</f>
        <v>#VALUE!</v>
      </c>
      <c r="IO76" t="e">
        <f>'All regions'!A2085+"$F;@!%Oe"</f>
        <v>#VALUE!</v>
      </c>
      <c r="IP76" t="e">
        <f>'All regions'!B2085+"$F;@!%Of"</f>
        <v>#VALUE!</v>
      </c>
      <c r="IQ76" t="e">
        <f>'All regions'!C2085+"$F;@!%Og"</f>
        <v>#VALUE!</v>
      </c>
      <c r="IR76" t="e">
        <f>'All regions'!D2085+"$F;@!%Oh"</f>
        <v>#VALUE!</v>
      </c>
      <c r="IS76" t="e">
        <f>'All regions'!E2085+"$F;@!%Oi"</f>
        <v>#VALUE!</v>
      </c>
      <c r="IT76" t="e">
        <f>'All regions'!F2085+"$F;@!%Oj"</f>
        <v>#VALUE!</v>
      </c>
      <c r="IU76" t="e">
        <f>'All regions'!G2085+"$F;@!%Ok"</f>
        <v>#VALUE!</v>
      </c>
      <c r="IV76" t="e">
        <f>'All regions'!H2085+"$F;@!%Ol"</f>
        <v>#VALUE!</v>
      </c>
    </row>
    <row r="77" spans="6:256" x14ac:dyDescent="0.35">
      <c r="F77" t="e">
        <f>'All regions'!I2085+"$F;@!%Om"</f>
        <v>#VALUE!</v>
      </c>
      <c r="G77" t="e">
        <f>'All regions'!A2086+"$F;@!%On"</f>
        <v>#VALUE!</v>
      </c>
      <c r="H77" t="e">
        <f>'All regions'!B2086+"$F;@!%Oo"</f>
        <v>#VALUE!</v>
      </c>
      <c r="I77" t="e">
        <f>'All regions'!C2086+"$F;@!%Op"</f>
        <v>#VALUE!</v>
      </c>
      <c r="J77" t="e">
        <f>'All regions'!D2086+"$F;@!%Oq"</f>
        <v>#VALUE!</v>
      </c>
      <c r="K77" t="e">
        <f>'All regions'!E2086+"$F;@!%Or"</f>
        <v>#VALUE!</v>
      </c>
      <c r="L77" t="e">
        <f>'All regions'!F2086+"$F;@!%Os"</f>
        <v>#VALUE!</v>
      </c>
      <c r="M77" t="e">
        <f>'All regions'!G2086+"$F;@!%Ot"</f>
        <v>#VALUE!</v>
      </c>
      <c r="N77" t="e">
        <f>'All regions'!H2086+"$F;@!%Ou"</f>
        <v>#VALUE!</v>
      </c>
      <c r="O77" t="e">
        <f>'All regions'!I2086+"$F;@!%Ov"</f>
        <v>#VALUE!</v>
      </c>
      <c r="P77" t="e">
        <f>'All regions'!A2087+"$F;@!%Ow"</f>
        <v>#VALUE!</v>
      </c>
      <c r="Q77" t="e">
        <f>'All regions'!B2087+"$F;@!%Ox"</f>
        <v>#VALUE!</v>
      </c>
      <c r="R77" t="e">
        <f>'All regions'!C2087+"$F;@!%Oy"</f>
        <v>#VALUE!</v>
      </c>
      <c r="S77" t="e">
        <f>'All regions'!D2087+"$F;@!%Oz"</f>
        <v>#VALUE!</v>
      </c>
      <c r="T77" t="e">
        <f>'All regions'!E2087+"$F;@!%O{"</f>
        <v>#VALUE!</v>
      </c>
      <c r="U77" t="e">
        <f>'All regions'!F2087+"$F;@!%O|"</f>
        <v>#VALUE!</v>
      </c>
      <c r="V77" t="e">
        <f>'All regions'!G2087+"$F;@!%O}"</f>
        <v>#VALUE!</v>
      </c>
      <c r="W77" t="e">
        <f>'All regions'!H2087+"$F;@!%O~"</f>
        <v>#VALUE!</v>
      </c>
      <c r="X77" t="e">
        <f>'All regions'!I2087+"$F;@!%P#"</f>
        <v>#VALUE!</v>
      </c>
      <c r="Y77" t="e">
        <f>'All regions'!A2088+"$F;@!%P$"</f>
        <v>#VALUE!</v>
      </c>
      <c r="Z77" t="e">
        <f>'All regions'!B2088+"$F;@!%P%"</f>
        <v>#VALUE!</v>
      </c>
      <c r="AA77" t="e">
        <f>'All regions'!C2088+"$F;@!%P&amp;"</f>
        <v>#VALUE!</v>
      </c>
      <c r="AB77" t="e">
        <f>'All regions'!D2088+"$F;@!%P'"</f>
        <v>#VALUE!</v>
      </c>
      <c r="AC77" t="e">
        <f>'All regions'!E2088+"$F;@!%P("</f>
        <v>#VALUE!</v>
      </c>
      <c r="AD77" t="e">
        <f>'All regions'!F2088+"$F;@!%P)"</f>
        <v>#VALUE!</v>
      </c>
      <c r="AE77" t="e">
        <f>'All regions'!G2088+"$F;@!%P."</f>
        <v>#VALUE!</v>
      </c>
      <c r="AF77" t="e">
        <f>'All regions'!H2088+"$F;@!%P/"</f>
        <v>#VALUE!</v>
      </c>
      <c r="AG77" t="e">
        <f>'All regions'!I2088+"$F;@!%P0"</f>
        <v>#VALUE!</v>
      </c>
      <c r="AH77" t="e">
        <f>'All regions'!A2089+"$F;@!%P1"</f>
        <v>#VALUE!</v>
      </c>
      <c r="AI77" t="e">
        <f>'All regions'!B2089+"$F;@!%P2"</f>
        <v>#VALUE!</v>
      </c>
      <c r="AJ77" t="e">
        <f>'All regions'!C2089+"$F;@!%P3"</f>
        <v>#VALUE!</v>
      </c>
      <c r="AK77" t="e">
        <f>'All regions'!D2089+"$F;@!%P4"</f>
        <v>#VALUE!</v>
      </c>
      <c r="AL77" t="e">
        <f>'All regions'!E2089+"$F;@!%P5"</f>
        <v>#VALUE!</v>
      </c>
      <c r="AM77" t="e">
        <f>'All regions'!F2089+"$F;@!%P6"</f>
        <v>#VALUE!</v>
      </c>
      <c r="AN77" t="e">
        <f>'All regions'!G2089+"$F;@!%P7"</f>
        <v>#VALUE!</v>
      </c>
      <c r="AO77" t="e">
        <f>'All regions'!H2089+"$F;@!%P8"</f>
        <v>#VALUE!</v>
      </c>
      <c r="AP77" t="e">
        <f>'All regions'!I2089+"$F;@!%P9"</f>
        <v>#VALUE!</v>
      </c>
      <c r="AQ77" t="e">
        <f>'All regions'!A2090+"$F;@!%P:"</f>
        <v>#VALUE!</v>
      </c>
      <c r="AR77" t="e">
        <f>'All regions'!B2090+"$F;@!%P;"</f>
        <v>#VALUE!</v>
      </c>
      <c r="AS77" t="e">
        <f>'All regions'!C2090+"$F;@!%P&lt;"</f>
        <v>#VALUE!</v>
      </c>
      <c r="AT77" t="e">
        <f>'All regions'!D2090+"$F;@!%P="</f>
        <v>#VALUE!</v>
      </c>
      <c r="AU77" t="e">
        <f>'All regions'!E2090+"$F;@!%P&gt;"</f>
        <v>#VALUE!</v>
      </c>
      <c r="AV77" t="e">
        <f>'All regions'!F2090+"$F;@!%P?"</f>
        <v>#VALUE!</v>
      </c>
      <c r="AW77" t="e">
        <f>'All regions'!G2090+"$F;@!%P@"</f>
        <v>#VALUE!</v>
      </c>
      <c r="AX77" t="e">
        <f>'All regions'!H2090+"$F;@!%PA"</f>
        <v>#VALUE!</v>
      </c>
      <c r="AY77" t="e">
        <f>'All regions'!I2090+"$F;@!%PB"</f>
        <v>#VALUE!</v>
      </c>
      <c r="AZ77" t="e">
        <f>'All regions'!A2091+"$F;@!%PC"</f>
        <v>#VALUE!</v>
      </c>
      <c r="BA77" t="e">
        <f>'All regions'!B2091+"$F;@!%PD"</f>
        <v>#VALUE!</v>
      </c>
      <c r="BB77" t="e">
        <f>'All regions'!C2091+"$F;@!%PE"</f>
        <v>#VALUE!</v>
      </c>
      <c r="BC77" t="e">
        <f>'All regions'!D2091+"$F;@!%PF"</f>
        <v>#VALUE!</v>
      </c>
      <c r="BD77" t="e">
        <f>'All regions'!E2091+"$F;@!%PG"</f>
        <v>#VALUE!</v>
      </c>
      <c r="BE77" t="e">
        <f>'All regions'!F2091+"$F;@!%PH"</f>
        <v>#VALUE!</v>
      </c>
      <c r="BF77" t="e">
        <f>'All regions'!G2091+"$F;@!%PI"</f>
        <v>#VALUE!</v>
      </c>
      <c r="BG77" t="e">
        <f>'All regions'!H2091+"$F;@!%PJ"</f>
        <v>#VALUE!</v>
      </c>
      <c r="BH77" t="e">
        <f>'All regions'!I2091+"$F;@!%PK"</f>
        <v>#VALUE!</v>
      </c>
      <c r="BI77" t="e">
        <f>'All regions'!A2092+"$F;@!%PL"</f>
        <v>#VALUE!</v>
      </c>
      <c r="BJ77" t="e">
        <f>'All regions'!B2092+"$F;@!%PM"</f>
        <v>#VALUE!</v>
      </c>
      <c r="BK77" t="e">
        <f>'All regions'!C2092+"$F;@!%PN"</f>
        <v>#VALUE!</v>
      </c>
      <c r="BL77" t="e">
        <f>'All regions'!D2092+"$F;@!%PO"</f>
        <v>#VALUE!</v>
      </c>
      <c r="BM77" t="e">
        <f>'All regions'!E2092+"$F;@!%PP"</f>
        <v>#VALUE!</v>
      </c>
      <c r="BN77" t="e">
        <f>'All regions'!F2092+"$F;@!%PQ"</f>
        <v>#VALUE!</v>
      </c>
      <c r="BO77" t="e">
        <f>'All regions'!G2092+"$F;@!%PR"</f>
        <v>#VALUE!</v>
      </c>
      <c r="BP77" t="e">
        <f>'All regions'!H2092+"$F;@!%PS"</f>
        <v>#VALUE!</v>
      </c>
      <c r="BQ77" t="e">
        <f>'All regions'!I2092+"$F;@!%PT"</f>
        <v>#VALUE!</v>
      </c>
      <c r="BR77" t="e">
        <f>'All regions'!A2093+"$F;@!%PU"</f>
        <v>#VALUE!</v>
      </c>
      <c r="BS77" t="e">
        <f>'All regions'!B2093+"$F;@!%PV"</f>
        <v>#VALUE!</v>
      </c>
      <c r="BT77" t="e">
        <f>'All regions'!C2093+"$F;@!%PW"</f>
        <v>#VALUE!</v>
      </c>
      <c r="BU77" t="e">
        <f>'All regions'!D2093+"$F;@!%PX"</f>
        <v>#VALUE!</v>
      </c>
      <c r="BV77" t="e">
        <f>'All regions'!E2093+"$F;@!%PY"</f>
        <v>#VALUE!</v>
      </c>
      <c r="BW77" t="e">
        <f>'All regions'!F2093+"$F;@!%PZ"</f>
        <v>#VALUE!</v>
      </c>
      <c r="BX77" t="e">
        <f>'All regions'!G2093+"$F;@!%P["</f>
        <v>#VALUE!</v>
      </c>
      <c r="BY77" t="e">
        <f>'All regions'!H2093+"$F;@!%P\"</f>
        <v>#VALUE!</v>
      </c>
      <c r="BZ77" t="e">
        <f>'All regions'!I2093+"$F;@!%P]"</f>
        <v>#VALUE!</v>
      </c>
      <c r="CA77" t="e">
        <f>'All regions'!A2094+"$F;@!%P^"</f>
        <v>#VALUE!</v>
      </c>
      <c r="CB77" t="e">
        <f>'All regions'!B2094+"$F;@!%P_"</f>
        <v>#VALUE!</v>
      </c>
      <c r="CC77" t="e">
        <f>'All regions'!C2094+"$F;@!%P`"</f>
        <v>#VALUE!</v>
      </c>
      <c r="CD77" t="e">
        <f>'All regions'!D2094+"$F;@!%Pa"</f>
        <v>#VALUE!</v>
      </c>
      <c r="CE77" t="e">
        <f>'All regions'!E2094+"$F;@!%Pb"</f>
        <v>#VALUE!</v>
      </c>
      <c r="CF77" t="e">
        <f>'All regions'!F2094+"$F;@!%Pc"</f>
        <v>#VALUE!</v>
      </c>
      <c r="CG77" t="e">
        <f>'All regions'!G2094+"$F;@!%Pd"</f>
        <v>#VALUE!</v>
      </c>
      <c r="CH77" t="e">
        <f>'All regions'!H2094+"$F;@!%Pe"</f>
        <v>#VALUE!</v>
      </c>
      <c r="CI77" t="e">
        <f>'All regions'!I2094+"$F;@!%Pf"</f>
        <v>#VALUE!</v>
      </c>
      <c r="CJ77" t="e">
        <f>'All regions'!A2095+"$F;@!%Pg"</f>
        <v>#VALUE!</v>
      </c>
      <c r="CK77" t="e">
        <f>'All regions'!B2095+"$F;@!%Ph"</f>
        <v>#VALUE!</v>
      </c>
      <c r="CL77" t="e">
        <f>'All regions'!C2095+"$F;@!%Pi"</f>
        <v>#VALUE!</v>
      </c>
      <c r="CM77" t="e">
        <f>'All regions'!D2095+"$F;@!%Pj"</f>
        <v>#VALUE!</v>
      </c>
      <c r="CN77" t="e">
        <f>'All regions'!E2095+"$F;@!%Pk"</f>
        <v>#VALUE!</v>
      </c>
      <c r="CO77" t="e">
        <f>'All regions'!F2095+"$F;@!%Pl"</f>
        <v>#VALUE!</v>
      </c>
      <c r="CP77" t="e">
        <f>'All regions'!G2095+"$F;@!%Pm"</f>
        <v>#VALUE!</v>
      </c>
      <c r="CQ77" t="e">
        <f>'All regions'!H2095+"$F;@!%Pn"</f>
        <v>#VALUE!</v>
      </c>
      <c r="CR77" t="e">
        <f>'All regions'!I2095+"$F;@!%Po"</f>
        <v>#VALUE!</v>
      </c>
      <c r="CS77" t="e">
        <f>'All regions'!A2096+"$F;@!%Pp"</f>
        <v>#VALUE!</v>
      </c>
      <c r="CT77" t="e">
        <f>'All regions'!B2096+"$F;@!%Pq"</f>
        <v>#VALUE!</v>
      </c>
      <c r="CU77" t="e">
        <f>'All regions'!C2096+"$F;@!%Pr"</f>
        <v>#VALUE!</v>
      </c>
      <c r="CV77" t="e">
        <f>'All regions'!D2096+"$F;@!%Ps"</f>
        <v>#VALUE!</v>
      </c>
      <c r="CW77" t="e">
        <f>'All regions'!E2096+"$F;@!%Pt"</f>
        <v>#VALUE!</v>
      </c>
      <c r="CX77" t="e">
        <f>'All regions'!F2096+"$F;@!%Pu"</f>
        <v>#VALUE!</v>
      </c>
      <c r="CY77" t="e">
        <f>'All regions'!G2096+"$F;@!%Pv"</f>
        <v>#VALUE!</v>
      </c>
      <c r="CZ77" t="e">
        <f>'All regions'!H2096+"$F;@!%Pw"</f>
        <v>#VALUE!</v>
      </c>
      <c r="DA77" t="e">
        <f>'All regions'!I2096+"$F;@!%Px"</f>
        <v>#VALUE!</v>
      </c>
      <c r="DB77" t="e">
        <f>'All regions'!A2097+"$F;@!%Py"</f>
        <v>#VALUE!</v>
      </c>
      <c r="DC77" t="e">
        <f>'All regions'!B2097+"$F;@!%Pz"</f>
        <v>#VALUE!</v>
      </c>
      <c r="DD77" t="e">
        <f>'All regions'!C2097+"$F;@!%P{"</f>
        <v>#VALUE!</v>
      </c>
      <c r="DE77" t="e">
        <f>'All regions'!D2097+"$F;@!%P|"</f>
        <v>#VALUE!</v>
      </c>
      <c r="DF77" t="e">
        <f>'All regions'!E2097+"$F;@!%P}"</f>
        <v>#VALUE!</v>
      </c>
      <c r="DG77" t="e">
        <f>'All regions'!F2097+"$F;@!%P~"</f>
        <v>#VALUE!</v>
      </c>
      <c r="DH77" t="e">
        <f>'All regions'!G2097+"$F;@!%Q#"</f>
        <v>#VALUE!</v>
      </c>
      <c r="DI77" t="e">
        <f>'All regions'!H2097+"$F;@!%Q$"</f>
        <v>#VALUE!</v>
      </c>
      <c r="DJ77" t="e">
        <f>'All regions'!I2097+"$F;@!%Q%"</f>
        <v>#VALUE!</v>
      </c>
      <c r="DK77" t="e">
        <f>'All regions'!A2098+"$F;@!%Q&amp;"</f>
        <v>#VALUE!</v>
      </c>
      <c r="DL77" t="e">
        <f>'All regions'!B2098+"$F;@!%Q'"</f>
        <v>#VALUE!</v>
      </c>
      <c r="DM77" t="e">
        <f>'All regions'!C2098+"$F;@!%Q("</f>
        <v>#VALUE!</v>
      </c>
      <c r="DN77" t="e">
        <f>'All regions'!D2098+"$F;@!%Q)"</f>
        <v>#VALUE!</v>
      </c>
      <c r="DO77" t="e">
        <f>'All regions'!E2098+"$F;@!%Q."</f>
        <v>#VALUE!</v>
      </c>
      <c r="DP77" t="e">
        <f>'All regions'!F2098+"$F;@!%Q/"</f>
        <v>#VALUE!</v>
      </c>
      <c r="DQ77" t="e">
        <f>'All regions'!G2098+"$F;@!%Q0"</f>
        <v>#VALUE!</v>
      </c>
      <c r="DR77" t="e">
        <f>'All regions'!H2098+"$F;@!%Q1"</f>
        <v>#VALUE!</v>
      </c>
      <c r="DS77" t="e">
        <f>'All regions'!I2098+"$F;@!%Q2"</f>
        <v>#VALUE!</v>
      </c>
      <c r="DT77" t="e">
        <f>'All regions'!A2099+"$F;@!%Q3"</f>
        <v>#VALUE!</v>
      </c>
      <c r="DU77" t="e">
        <f>'All regions'!B2099+"$F;@!%Q4"</f>
        <v>#VALUE!</v>
      </c>
      <c r="DV77" t="e">
        <f>'All regions'!C2099+"$F;@!%Q5"</f>
        <v>#VALUE!</v>
      </c>
      <c r="DW77" t="e">
        <f>'All regions'!D2099+"$F;@!%Q6"</f>
        <v>#VALUE!</v>
      </c>
      <c r="DX77" t="e">
        <f>'All regions'!E2099+"$F;@!%Q7"</f>
        <v>#VALUE!</v>
      </c>
      <c r="DY77" t="e">
        <f>'All regions'!F2099+"$F;@!%Q8"</f>
        <v>#VALUE!</v>
      </c>
      <c r="DZ77" t="e">
        <f>'All regions'!G2099+"$F;@!%Q9"</f>
        <v>#VALUE!</v>
      </c>
      <c r="EA77" t="e">
        <f>'All regions'!H2099+"$F;@!%Q:"</f>
        <v>#VALUE!</v>
      </c>
      <c r="EB77" t="e">
        <f>'All regions'!I2099+"$F;@!%Q;"</f>
        <v>#VALUE!</v>
      </c>
      <c r="EC77" t="e">
        <f>'All regions'!A2100+"$F;@!%Q&lt;"</f>
        <v>#VALUE!</v>
      </c>
      <c r="ED77" t="e">
        <f>'All regions'!B2100+"$F;@!%Q="</f>
        <v>#VALUE!</v>
      </c>
      <c r="EE77" t="e">
        <f>'All regions'!C2100+"$F;@!%Q&gt;"</f>
        <v>#VALUE!</v>
      </c>
      <c r="EF77" t="e">
        <f>'All regions'!D2100+"$F;@!%Q?"</f>
        <v>#VALUE!</v>
      </c>
      <c r="EG77" t="e">
        <f>'All regions'!E2100+"$F;@!%Q@"</f>
        <v>#VALUE!</v>
      </c>
      <c r="EH77" t="e">
        <f>'All regions'!F2100+"$F;@!%QA"</f>
        <v>#VALUE!</v>
      </c>
      <c r="EI77" t="e">
        <f>'All regions'!G2100+"$F;@!%QB"</f>
        <v>#VALUE!</v>
      </c>
      <c r="EJ77" t="e">
        <f>'All regions'!H2100+"$F;@!%QC"</f>
        <v>#VALUE!</v>
      </c>
      <c r="EK77" t="e">
        <f>'All regions'!I2100+"$F;@!%QD"</f>
        <v>#VALUE!</v>
      </c>
      <c r="EL77" t="e">
        <f>'All regions'!A2101+"$F;@!%QE"</f>
        <v>#VALUE!</v>
      </c>
      <c r="EM77" t="e">
        <f>'All regions'!B2101+"$F;@!%QF"</f>
        <v>#VALUE!</v>
      </c>
      <c r="EN77" t="e">
        <f>'All regions'!C2101+"$F;@!%QG"</f>
        <v>#VALUE!</v>
      </c>
      <c r="EO77" t="e">
        <f>'All regions'!D2101+"$F;@!%QH"</f>
        <v>#VALUE!</v>
      </c>
      <c r="EP77" t="e">
        <f>'All regions'!E2101+"$F;@!%QI"</f>
        <v>#VALUE!</v>
      </c>
      <c r="EQ77" t="e">
        <f>'All regions'!F2101+"$F;@!%QJ"</f>
        <v>#VALUE!</v>
      </c>
      <c r="ER77" t="e">
        <f>'All regions'!G2101+"$F;@!%QK"</f>
        <v>#VALUE!</v>
      </c>
      <c r="ES77" t="e">
        <f>'All regions'!H2101+"$F;@!%QL"</f>
        <v>#VALUE!</v>
      </c>
      <c r="ET77" t="e">
        <f>'All regions'!I2101+"$F;@!%QM"</f>
        <v>#VALUE!</v>
      </c>
      <c r="EU77" t="e">
        <f>'All regions'!A2102+"$F;@!%QN"</f>
        <v>#VALUE!</v>
      </c>
      <c r="EV77" t="e">
        <f>'All regions'!B2102+"$F;@!%QO"</f>
        <v>#VALUE!</v>
      </c>
      <c r="EW77" t="e">
        <f>'All regions'!C2102+"$F;@!%QP"</f>
        <v>#VALUE!</v>
      </c>
      <c r="EX77" t="e">
        <f>'All regions'!D2102+"$F;@!%QQ"</f>
        <v>#VALUE!</v>
      </c>
      <c r="EY77" t="e">
        <f>'All regions'!E2102+"$F;@!%QR"</f>
        <v>#VALUE!</v>
      </c>
      <c r="EZ77" t="e">
        <f>'All regions'!F2102+"$F;@!%QS"</f>
        <v>#VALUE!</v>
      </c>
      <c r="FA77" t="e">
        <f>'All regions'!G2102+"$F;@!%QT"</f>
        <v>#VALUE!</v>
      </c>
      <c r="FB77" t="e">
        <f>'All regions'!H2102+"$F;@!%QU"</f>
        <v>#VALUE!</v>
      </c>
      <c r="FC77" t="e">
        <f>'All regions'!I2102+"$F;@!%QV"</f>
        <v>#VALUE!</v>
      </c>
      <c r="FD77" t="e">
        <f>'All regions'!A2103+"$F;@!%QW"</f>
        <v>#VALUE!</v>
      </c>
      <c r="FE77" t="e">
        <f>'All regions'!B2103+"$F;@!%QX"</f>
        <v>#VALUE!</v>
      </c>
      <c r="FF77" t="e">
        <f>'All regions'!C2103+"$F;@!%QY"</f>
        <v>#VALUE!</v>
      </c>
      <c r="FG77" t="e">
        <f>'All regions'!D2103+"$F;@!%QZ"</f>
        <v>#VALUE!</v>
      </c>
      <c r="FH77" t="e">
        <f>'All regions'!E2103+"$F;@!%Q["</f>
        <v>#VALUE!</v>
      </c>
      <c r="FI77" t="e">
        <f>'All regions'!F2103+"$F;@!%Q\"</f>
        <v>#VALUE!</v>
      </c>
      <c r="FJ77" t="e">
        <f>'All regions'!G2103+"$F;@!%Q]"</f>
        <v>#VALUE!</v>
      </c>
      <c r="FK77" t="e">
        <f>'All regions'!H2103+"$F;@!%Q^"</f>
        <v>#VALUE!</v>
      </c>
      <c r="FL77" t="e">
        <f>'All regions'!I2103+"$F;@!%Q_"</f>
        <v>#VALUE!</v>
      </c>
      <c r="FM77" t="e">
        <f>'All regions'!A2104+"$F;@!%Q`"</f>
        <v>#VALUE!</v>
      </c>
      <c r="FN77" t="e">
        <f>'All regions'!B2104+"$F;@!%Qa"</f>
        <v>#VALUE!</v>
      </c>
      <c r="FO77" t="e">
        <f>'All regions'!C2104+"$F;@!%Qb"</f>
        <v>#VALUE!</v>
      </c>
      <c r="FP77" t="e">
        <f>'All regions'!D2104+"$F;@!%Qc"</f>
        <v>#VALUE!</v>
      </c>
      <c r="FQ77" t="e">
        <f>'All regions'!E2104+"$F;@!%Qd"</f>
        <v>#VALUE!</v>
      </c>
      <c r="FR77" t="e">
        <f>'All regions'!F2104+"$F;@!%Qe"</f>
        <v>#VALUE!</v>
      </c>
      <c r="FS77" t="e">
        <f>'All regions'!G2104+"$F;@!%Qf"</f>
        <v>#VALUE!</v>
      </c>
      <c r="FT77" t="e">
        <f>'All regions'!H2104+"$F;@!%Qg"</f>
        <v>#VALUE!</v>
      </c>
      <c r="FU77" t="e">
        <f>'All regions'!I2104+"$F;@!%Qh"</f>
        <v>#VALUE!</v>
      </c>
      <c r="FV77" t="e">
        <f>'All regions'!A2105+"$F;@!%Qi"</f>
        <v>#VALUE!</v>
      </c>
      <c r="FW77" t="e">
        <f>'All regions'!B2105+"$F;@!%Qj"</f>
        <v>#VALUE!</v>
      </c>
      <c r="FX77" t="e">
        <f>'All regions'!C2105+"$F;@!%Qk"</f>
        <v>#VALUE!</v>
      </c>
      <c r="FY77" t="e">
        <f>'All regions'!D2105+"$F;@!%Ql"</f>
        <v>#VALUE!</v>
      </c>
      <c r="FZ77" t="e">
        <f>'All regions'!E2105+"$F;@!%Qm"</f>
        <v>#VALUE!</v>
      </c>
      <c r="GA77" t="e">
        <f>'All regions'!F2105+"$F;@!%Qn"</f>
        <v>#VALUE!</v>
      </c>
      <c r="GB77" t="e">
        <f>'All regions'!G2105+"$F;@!%Qo"</f>
        <v>#VALUE!</v>
      </c>
      <c r="GC77" t="e">
        <f>'All regions'!H2105+"$F;@!%Qp"</f>
        <v>#VALUE!</v>
      </c>
      <c r="GD77" t="e">
        <f>'All regions'!I2105+"$F;@!%Qq"</f>
        <v>#VALUE!</v>
      </c>
      <c r="GE77" t="e">
        <f>'All regions'!A2106+"$F;@!%Qr"</f>
        <v>#VALUE!</v>
      </c>
      <c r="GF77" t="e">
        <f>'All regions'!B2106+"$F;@!%Qs"</f>
        <v>#VALUE!</v>
      </c>
      <c r="GG77" t="e">
        <f>'All regions'!C2106+"$F;@!%Qt"</f>
        <v>#VALUE!</v>
      </c>
      <c r="GH77" t="e">
        <f>'All regions'!D2106+"$F;@!%Qu"</f>
        <v>#VALUE!</v>
      </c>
      <c r="GI77" t="e">
        <f>'All regions'!E2106+"$F;@!%Qv"</f>
        <v>#VALUE!</v>
      </c>
      <c r="GJ77" t="e">
        <f>'All regions'!F2106+"$F;@!%Qw"</f>
        <v>#VALUE!</v>
      </c>
      <c r="GK77" t="e">
        <f>'All regions'!G2106+"$F;@!%Qx"</f>
        <v>#VALUE!</v>
      </c>
      <c r="GL77" t="e">
        <f>'All regions'!H2106+"$F;@!%Qy"</f>
        <v>#VALUE!</v>
      </c>
      <c r="GM77" t="e">
        <f>'All regions'!I2106+"$F;@!%Qz"</f>
        <v>#VALUE!</v>
      </c>
      <c r="GN77" t="e">
        <f>'All regions'!A2107+"$F;@!%Q{"</f>
        <v>#VALUE!</v>
      </c>
      <c r="GO77" t="e">
        <f>'All regions'!B2107+"$F;@!%Q|"</f>
        <v>#VALUE!</v>
      </c>
      <c r="GP77" t="e">
        <f>'All regions'!C2107+"$F;@!%Q}"</f>
        <v>#VALUE!</v>
      </c>
      <c r="GQ77" t="e">
        <f>'All regions'!D2107+"$F;@!%Q~"</f>
        <v>#VALUE!</v>
      </c>
      <c r="GR77" t="e">
        <f>'All regions'!E2107+"$F;@!%R#"</f>
        <v>#VALUE!</v>
      </c>
      <c r="GS77" t="e">
        <f>'All regions'!F2107+"$F;@!%R$"</f>
        <v>#VALUE!</v>
      </c>
      <c r="GT77" t="e">
        <f>'All regions'!G2107+"$F;@!%R%"</f>
        <v>#VALUE!</v>
      </c>
      <c r="GU77" t="e">
        <f>'All regions'!H2107+"$F;@!%R&amp;"</f>
        <v>#VALUE!</v>
      </c>
      <c r="GV77" t="e">
        <f>'All regions'!I2107+"$F;@!%R'"</f>
        <v>#VALUE!</v>
      </c>
      <c r="GW77" t="e">
        <f>'All regions'!A2108+"$F;@!%R("</f>
        <v>#VALUE!</v>
      </c>
      <c r="GX77" t="e">
        <f>'All regions'!B2108+"$F;@!%R)"</f>
        <v>#VALUE!</v>
      </c>
      <c r="GY77" t="e">
        <f>'All regions'!C2108+"$F;@!%R."</f>
        <v>#VALUE!</v>
      </c>
      <c r="GZ77" t="e">
        <f>'All regions'!D2108+"$F;@!%R/"</f>
        <v>#VALUE!</v>
      </c>
      <c r="HA77" t="e">
        <f>'All regions'!E2108+"$F;@!%R0"</f>
        <v>#VALUE!</v>
      </c>
      <c r="HB77" t="e">
        <f>'All regions'!F2108+"$F;@!%R1"</f>
        <v>#VALUE!</v>
      </c>
      <c r="HC77" t="e">
        <f>'All regions'!G2108+"$F;@!%R2"</f>
        <v>#VALUE!</v>
      </c>
      <c r="HD77" t="e">
        <f>'All regions'!H2108+"$F;@!%R3"</f>
        <v>#VALUE!</v>
      </c>
      <c r="HE77" t="e">
        <f>'All regions'!I2108+"$F;@!%R4"</f>
        <v>#VALUE!</v>
      </c>
      <c r="HF77" t="e">
        <f>'All regions'!A2109+"$F;@!%R5"</f>
        <v>#VALUE!</v>
      </c>
      <c r="HG77" t="e">
        <f>'All regions'!B2109+"$F;@!%R6"</f>
        <v>#VALUE!</v>
      </c>
      <c r="HH77" t="e">
        <f>'All regions'!C2109+"$F;@!%R7"</f>
        <v>#VALUE!</v>
      </c>
      <c r="HI77" t="e">
        <f>'All regions'!D2109+"$F;@!%R8"</f>
        <v>#VALUE!</v>
      </c>
      <c r="HJ77" t="e">
        <f>'All regions'!E2109+"$F;@!%R9"</f>
        <v>#VALUE!</v>
      </c>
      <c r="HK77" t="e">
        <f>'All regions'!F2109+"$F;@!%R:"</f>
        <v>#VALUE!</v>
      </c>
      <c r="HL77" t="e">
        <f>'All regions'!G2109+"$F;@!%R;"</f>
        <v>#VALUE!</v>
      </c>
      <c r="HM77" t="e">
        <f>'All regions'!H2109+"$F;@!%R&lt;"</f>
        <v>#VALUE!</v>
      </c>
      <c r="HN77" t="e">
        <f>'All regions'!I2109+"$F;@!%R="</f>
        <v>#VALUE!</v>
      </c>
      <c r="HO77" t="e">
        <f>'All regions'!A2110+"$F;@!%R&gt;"</f>
        <v>#VALUE!</v>
      </c>
      <c r="HP77" t="e">
        <f>'All regions'!B2110+"$F;@!%R?"</f>
        <v>#VALUE!</v>
      </c>
      <c r="HQ77" t="e">
        <f>'All regions'!C2110+"$F;@!%R@"</f>
        <v>#VALUE!</v>
      </c>
      <c r="HR77" t="e">
        <f>'All regions'!D2110+"$F;@!%RA"</f>
        <v>#VALUE!</v>
      </c>
      <c r="HS77" t="e">
        <f>'All regions'!E2110+"$F;@!%RB"</f>
        <v>#VALUE!</v>
      </c>
      <c r="HT77" t="e">
        <f>'All regions'!F2110+"$F;@!%RC"</f>
        <v>#VALUE!</v>
      </c>
      <c r="HU77" t="e">
        <f>'All regions'!G2110+"$F;@!%RD"</f>
        <v>#VALUE!</v>
      </c>
      <c r="HV77" t="e">
        <f>'All regions'!H2110+"$F;@!%RE"</f>
        <v>#VALUE!</v>
      </c>
      <c r="HW77" t="e">
        <f>'All regions'!I2110+"$F;@!%RF"</f>
        <v>#VALUE!</v>
      </c>
      <c r="HX77" t="e">
        <f>'All regions'!A2111+"$F;@!%RG"</f>
        <v>#VALUE!</v>
      </c>
      <c r="HY77" t="e">
        <f>'All regions'!B2111+"$F;@!%RH"</f>
        <v>#VALUE!</v>
      </c>
      <c r="HZ77" t="e">
        <f>'All regions'!C2111+"$F;@!%RI"</f>
        <v>#VALUE!</v>
      </c>
      <c r="IA77" t="e">
        <f>'All regions'!D2111+"$F;@!%RJ"</f>
        <v>#VALUE!</v>
      </c>
      <c r="IB77" t="e">
        <f>'All regions'!E2111+"$F;@!%RK"</f>
        <v>#VALUE!</v>
      </c>
      <c r="IC77" t="e">
        <f>'All regions'!F2111+"$F;@!%RL"</f>
        <v>#VALUE!</v>
      </c>
      <c r="ID77" t="e">
        <f>'All regions'!G2111+"$F;@!%RM"</f>
        <v>#VALUE!</v>
      </c>
      <c r="IE77" t="e">
        <f>'All regions'!H2111+"$F;@!%RN"</f>
        <v>#VALUE!</v>
      </c>
      <c r="IF77" t="e">
        <f>'All regions'!I2111+"$F;@!%RO"</f>
        <v>#VALUE!</v>
      </c>
      <c r="IG77" t="e">
        <f>'All regions'!A2112+"$F;@!%RP"</f>
        <v>#VALUE!</v>
      </c>
      <c r="IH77" t="e">
        <f>'All regions'!B2112+"$F;@!%RQ"</f>
        <v>#VALUE!</v>
      </c>
      <c r="II77" t="e">
        <f>'All regions'!C2112+"$F;@!%RR"</f>
        <v>#VALUE!</v>
      </c>
      <c r="IJ77" t="e">
        <f>'All regions'!D2112+"$F;@!%RS"</f>
        <v>#VALUE!</v>
      </c>
      <c r="IK77" t="e">
        <f>'All regions'!E2112+"$F;@!%RT"</f>
        <v>#VALUE!</v>
      </c>
      <c r="IL77" t="e">
        <f>'All regions'!F2112+"$F;@!%RU"</f>
        <v>#VALUE!</v>
      </c>
      <c r="IM77" t="e">
        <f>'All regions'!G2112+"$F;@!%RV"</f>
        <v>#VALUE!</v>
      </c>
      <c r="IN77" t="e">
        <f>'All regions'!H2112+"$F;@!%RW"</f>
        <v>#VALUE!</v>
      </c>
      <c r="IO77" t="e">
        <f>'All regions'!I2112+"$F;@!%RX"</f>
        <v>#VALUE!</v>
      </c>
      <c r="IP77" t="e">
        <f>'All regions'!A2113+"$F;@!%RY"</f>
        <v>#VALUE!</v>
      </c>
      <c r="IQ77" t="e">
        <f>'All regions'!B2113+"$F;@!%RZ"</f>
        <v>#VALUE!</v>
      </c>
      <c r="IR77" t="e">
        <f>'All regions'!C2113+"$F;@!%R["</f>
        <v>#VALUE!</v>
      </c>
      <c r="IS77" t="e">
        <f>'All regions'!D2113+"$F;@!%R\"</f>
        <v>#VALUE!</v>
      </c>
      <c r="IT77" t="e">
        <f>'All regions'!E2113+"$F;@!%R]"</f>
        <v>#VALUE!</v>
      </c>
      <c r="IU77" t="e">
        <f>'All regions'!F2113+"$F;@!%R^"</f>
        <v>#VALUE!</v>
      </c>
      <c r="IV77" t="e">
        <f>'All regions'!G2113+"$F;@!%R_"</f>
        <v>#VALUE!</v>
      </c>
    </row>
    <row r="78" spans="6:256" x14ac:dyDescent="0.35">
      <c r="F78" t="e">
        <f>'All regions'!H2113+"$F;@!%R`"</f>
        <v>#VALUE!</v>
      </c>
      <c r="G78" t="e">
        <f>'All regions'!I2113+"$F;@!%Ra"</f>
        <v>#VALUE!</v>
      </c>
      <c r="H78" t="e">
        <f>'All regions'!A2115+"$F;@!%Rb"</f>
        <v>#VALUE!</v>
      </c>
      <c r="I78" t="e">
        <f>'All regions'!B2115+"$F;@!%Rc"</f>
        <v>#VALUE!</v>
      </c>
      <c r="J78" t="e">
        <f>'All regions'!C2115+"$F;@!%Rd"</f>
        <v>#VALUE!</v>
      </c>
      <c r="K78" t="e">
        <f>'All regions'!D2115+"$F;@!%Re"</f>
        <v>#VALUE!</v>
      </c>
      <c r="L78" t="e">
        <f>'All regions'!E2115+"$F;@!%Rf"</f>
        <v>#VALUE!</v>
      </c>
      <c r="M78" t="e">
        <f>'All regions'!F2115+"$F;@!%Rg"</f>
        <v>#VALUE!</v>
      </c>
      <c r="N78" t="e">
        <f>'All regions'!G2115+"$F;@!%Rh"</f>
        <v>#VALUE!</v>
      </c>
      <c r="O78" t="e">
        <f>'All regions'!H2115+"$F;@!%Ri"</f>
        <v>#VALUE!</v>
      </c>
      <c r="P78" t="e">
        <f>'All regions'!I2115+"$F;@!%Rj"</f>
        <v>#VALUE!</v>
      </c>
      <c r="Q78" t="e">
        <f>'All regions'!A2116+"$F;@!%Rk"</f>
        <v>#VALUE!</v>
      </c>
      <c r="R78" t="e">
        <f>'All regions'!B2116+"$F;@!%Rl"</f>
        <v>#VALUE!</v>
      </c>
      <c r="S78" t="e">
        <f>'All regions'!C2116+"$F;@!%Rm"</f>
        <v>#VALUE!</v>
      </c>
      <c r="T78" t="e">
        <f>'All regions'!D2116+"$F;@!%Rn"</f>
        <v>#VALUE!</v>
      </c>
      <c r="U78" t="e">
        <f>'All regions'!E2116+"$F;@!%Ro"</f>
        <v>#VALUE!</v>
      </c>
      <c r="V78" t="e">
        <f>'All regions'!F2116+"$F;@!%Rp"</f>
        <v>#VALUE!</v>
      </c>
      <c r="W78" t="e">
        <f>'All regions'!G2116+"$F;@!%Rq"</f>
        <v>#VALUE!</v>
      </c>
      <c r="X78" t="e">
        <f>'All regions'!H2116+"$F;@!%Rr"</f>
        <v>#VALUE!</v>
      </c>
      <c r="Y78" t="e">
        <f>'All regions'!I2116+"$F;@!%Rs"</f>
        <v>#VALUE!</v>
      </c>
      <c r="Z78" t="e">
        <f>'All regions'!A2117+"$F;@!%Rt"</f>
        <v>#VALUE!</v>
      </c>
      <c r="AA78" t="e">
        <f>'All regions'!B2117+"$F;@!%Ru"</f>
        <v>#VALUE!</v>
      </c>
      <c r="AB78" t="e">
        <f>'All regions'!C2117+"$F;@!%Rv"</f>
        <v>#VALUE!</v>
      </c>
      <c r="AC78" t="e">
        <f>'All regions'!D2117+"$F;@!%Rw"</f>
        <v>#VALUE!</v>
      </c>
      <c r="AD78" t="e">
        <f>'All regions'!E2117+"$F;@!%Rx"</f>
        <v>#VALUE!</v>
      </c>
      <c r="AE78" t="e">
        <f>'All regions'!F2117+"$F;@!%Ry"</f>
        <v>#VALUE!</v>
      </c>
      <c r="AF78" t="e">
        <f>'All regions'!G2117+"$F;@!%Rz"</f>
        <v>#VALUE!</v>
      </c>
      <c r="AG78" t="e">
        <f>'All regions'!H2117+"$F;@!%R{"</f>
        <v>#VALUE!</v>
      </c>
      <c r="AH78" t="e">
        <f>'All regions'!I2117+"$F;@!%R|"</f>
        <v>#VALUE!</v>
      </c>
      <c r="AI78" t="e">
        <f>'All regions'!A2118+"$F;@!%R}"</f>
        <v>#VALUE!</v>
      </c>
      <c r="AJ78" t="e">
        <f>'All regions'!B2118+"$F;@!%R~"</f>
        <v>#VALUE!</v>
      </c>
      <c r="AK78" t="e">
        <f>'All regions'!C2118+"$F;@!%S#"</f>
        <v>#VALUE!</v>
      </c>
      <c r="AL78" t="e">
        <f>'All regions'!D2118+"$F;@!%S$"</f>
        <v>#VALUE!</v>
      </c>
      <c r="AM78" t="e">
        <f>'All regions'!E2118+"$F;@!%S%"</f>
        <v>#VALUE!</v>
      </c>
      <c r="AN78" t="e">
        <f>'All regions'!F2118+"$F;@!%S&amp;"</f>
        <v>#VALUE!</v>
      </c>
      <c r="AO78" t="e">
        <f>'All regions'!G2118+"$F;@!%S'"</f>
        <v>#VALUE!</v>
      </c>
      <c r="AP78" t="e">
        <f>'All regions'!H2118+"$F;@!%S("</f>
        <v>#VALUE!</v>
      </c>
      <c r="AQ78" t="e">
        <f>'All regions'!I2118+"$F;@!%S)"</f>
        <v>#VALUE!</v>
      </c>
      <c r="AR78" t="e">
        <f>'All regions'!A2120+"$F;@!%S."</f>
        <v>#VALUE!</v>
      </c>
      <c r="AS78" t="e">
        <f>'All regions'!B2120+"$F;@!%S/"</f>
        <v>#VALUE!</v>
      </c>
      <c r="AT78" t="e">
        <f>'All regions'!C2120+"$F;@!%S0"</f>
        <v>#VALUE!</v>
      </c>
      <c r="AU78" t="e">
        <f>'All regions'!D2120+"$F;@!%S1"</f>
        <v>#VALUE!</v>
      </c>
      <c r="AV78" t="e">
        <f>'All regions'!E2120+"$F;@!%S2"</f>
        <v>#VALUE!</v>
      </c>
      <c r="AW78" t="e">
        <f>'All regions'!F2120+"$F;@!%S3"</f>
        <v>#VALUE!</v>
      </c>
      <c r="AX78" t="e">
        <f>'All regions'!G2120+"$F;@!%S4"</f>
        <v>#VALUE!</v>
      </c>
      <c r="AY78" t="e">
        <f>'All regions'!H2120+"$F;@!%S5"</f>
        <v>#VALUE!</v>
      </c>
      <c r="AZ78" t="e">
        <f>'All regions'!I2120+"$F;@!%S6"</f>
        <v>#VALUE!</v>
      </c>
      <c r="BA78" t="e">
        <f>'All regions'!A2121+"$F;@!%S7"</f>
        <v>#VALUE!</v>
      </c>
      <c r="BB78" t="e">
        <f>'All regions'!B2121+"$F;@!%S8"</f>
        <v>#VALUE!</v>
      </c>
      <c r="BC78" t="e">
        <f>'All regions'!C2121+"$F;@!%S9"</f>
        <v>#VALUE!</v>
      </c>
      <c r="BD78" t="e">
        <f>'All regions'!D2121+"$F;@!%S:"</f>
        <v>#VALUE!</v>
      </c>
      <c r="BE78" t="e">
        <f>'All regions'!E2121+"$F;@!%S;"</f>
        <v>#VALUE!</v>
      </c>
      <c r="BF78" t="e">
        <f>'All regions'!F2121+"$F;@!%S&lt;"</f>
        <v>#VALUE!</v>
      </c>
      <c r="BG78" t="e">
        <f>'All regions'!G2121+"$F;@!%S="</f>
        <v>#VALUE!</v>
      </c>
      <c r="BH78" t="e">
        <f>'All regions'!H2121+"$F;@!%S&gt;"</f>
        <v>#VALUE!</v>
      </c>
      <c r="BI78" t="e">
        <f>'All regions'!I2121+"$F;@!%S?"</f>
        <v>#VALUE!</v>
      </c>
      <c r="BJ78" t="e">
        <f>'All regions'!A2122+"$F;@!%S@"</f>
        <v>#VALUE!</v>
      </c>
      <c r="BK78" t="e">
        <f>'All regions'!B2122+"$F;@!%SA"</f>
        <v>#VALUE!</v>
      </c>
      <c r="BL78" t="e">
        <f>'All regions'!C2122+"$F;@!%SB"</f>
        <v>#VALUE!</v>
      </c>
      <c r="BM78" t="e">
        <f>'All regions'!D2122+"$F;@!%SC"</f>
        <v>#VALUE!</v>
      </c>
      <c r="BN78" t="e">
        <f>'All regions'!E2122+"$F;@!%SD"</f>
        <v>#VALUE!</v>
      </c>
      <c r="BO78" t="e">
        <f>'All regions'!F2122+"$F;@!%SE"</f>
        <v>#VALUE!</v>
      </c>
      <c r="BP78" t="e">
        <f>'All regions'!G2122+"$F;@!%SF"</f>
        <v>#VALUE!</v>
      </c>
      <c r="BQ78" t="e">
        <f>'All regions'!H2122+"$F;@!%SG"</f>
        <v>#VALUE!</v>
      </c>
      <c r="BR78" t="e">
        <f>'All regions'!I2122+"$F;@!%SH"</f>
        <v>#VALUE!</v>
      </c>
      <c r="BS78" t="e">
        <f>'All regions'!A2123+"$F;@!%SI"</f>
        <v>#VALUE!</v>
      </c>
      <c r="BT78" t="e">
        <f>'All regions'!B2123+"$F;@!%SJ"</f>
        <v>#VALUE!</v>
      </c>
      <c r="BU78" t="e">
        <f>'All regions'!C2123+"$F;@!%SK"</f>
        <v>#VALUE!</v>
      </c>
      <c r="BV78" t="e">
        <f>'All regions'!D2123+"$F;@!%SL"</f>
        <v>#VALUE!</v>
      </c>
      <c r="BW78" t="e">
        <f>'All regions'!E2123+"$F;@!%SM"</f>
        <v>#VALUE!</v>
      </c>
      <c r="BX78" t="e">
        <f>'All regions'!F2123+"$F;@!%SN"</f>
        <v>#VALUE!</v>
      </c>
      <c r="BY78" t="e">
        <f>'All regions'!G2123+"$F;@!%SO"</f>
        <v>#VALUE!</v>
      </c>
      <c r="BZ78" t="e">
        <f>'All regions'!H2123+"$F;@!%SP"</f>
        <v>#VALUE!</v>
      </c>
      <c r="CA78" t="e">
        <f>'All regions'!I2123+"$F;@!%SQ"</f>
        <v>#VALUE!</v>
      </c>
      <c r="CB78" t="e">
        <f>'All regions'!A2124+"$F;@!%SR"</f>
        <v>#VALUE!</v>
      </c>
      <c r="CC78" t="e">
        <f>'All regions'!B2124+"$F;@!%SS"</f>
        <v>#VALUE!</v>
      </c>
      <c r="CD78" t="e">
        <f>'All regions'!C2124+"$F;@!%ST"</f>
        <v>#VALUE!</v>
      </c>
      <c r="CE78" t="e">
        <f>'All regions'!D2124+"$F;@!%SU"</f>
        <v>#VALUE!</v>
      </c>
      <c r="CF78" t="e">
        <f>'All regions'!E2124+"$F;@!%SV"</f>
        <v>#VALUE!</v>
      </c>
      <c r="CG78" t="e">
        <f>'All regions'!F2124+"$F;@!%SW"</f>
        <v>#VALUE!</v>
      </c>
      <c r="CH78" t="e">
        <f>'All regions'!G2124+"$F;@!%SX"</f>
        <v>#VALUE!</v>
      </c>
      <c r="CI78" t="e">
        <f>'All regions'!H2124+"$F;@!%SY"</f>
        <v>#VALUE!</v>
      </c>
      <c r="CJ78" t="e">
        <f>'All regions'!I2124+"$F;@!%SZ"</f>
        <v>#VALUE!</v>
      </c>
      <c r="CK78" t="e">
        <f>'All regions'!A2125+"$F;@!%S["</f>
        <v>#VALUE!</v>
      </c>
      <c r="CL78" t="e">
        <f>'All regions'!B2125+"$F;@!%S\"</f>
        <v>#VALUE!</v>
      </c>
      <c r="CM78" t="e">
        <f>'All regions'!C2125+"$F;@!%S]"</f>
        <v>#VALUE!</v>
      </c>
      <c r="CN78" t="e">
        <f>'All regions'!D2125+"$F;@!%S^"</f>
        <v>#VALUE!</v>
      </c>
      <c r="CO78" t="e">
        <f>'All regions'!E2125+"$F;@!%S_"</f>
        <v>#VALUE!</v>
      </c>
      <c r="CP78" t="e">
        <f>'All regions'!F2125+"$F;@!%S`"</f>
        <v>#VALUE!</v>
      </c>
      <c r="CQ78" t="e">
        <f>'All regions'!G2125+"$F;@!%Sa"</f>
        <v>#VALUE!</v>
      </c>
      <c r="CR78" t="e">
        <f>'All regions'!H2125+"$F;@!%Sb"</f>
        <v>#VALUE!</v>
      </c>
      <c r="CS78" t="e">
        <f>'All regions'!I2125+"$F;@!%Sc"</f>
        <v>#VALUE!</v>
      </c>
      <c r="CT78" t="e">
        <f>'All regions'!A2126+"$F;@!%Sd"</f>
        <v>#VALUE!</v>
      </c>
      <c r="CU78" t="e">
        <f>'All regions'!B2126+"$F;@!%Se"</f>
        <v>#VALUE!</v>
      </c>
      <c r="CV78" t="e">
        <f>'All regions'!C2126+"$F;@!%Sf"</f>
        <v>#VALUE!</v>
      </c>
      <c r="CW78" t="e">
        <f>'All regions'!D2126+"$F;@!%Sg"</f>
        <v>#VALUE!</v>
      </c>
      <c r="CX78" t="e">
        <f>'All regions'!E2126+"$F;@!%Sh"</f>
        <v>#VALUE!</v>
      </c>
      <c r="CY78" t="e">
        <f>'All regions'!F2126+"$F;@!%Si"</f>
        <v>#VALUE!</v>
      </c>
      <c r="CZ78" t="e">
        <f>'All regions'!G2126+"$F;@!%Sj"</f>
        <v>#VALUE!</v>
      </c>
      <c r="DA78" t="e">
        <f>'All regions'!H2126+"$F;@!%Sk"</f>
        <v>#VALUE!</v>
      </c>
      <c r="DB78" t="e">
        <f>'All regions'!I2126+"$F;@!%Sl"</f>
        <v>#VALUE!</v>
      </c>
      <c r="DC78" t="e">
        <f>'All regions'!A2127+"$F;@!%Sm"</f>
        <v>#VALUE!</v>
      </c>
      <c r="DD78" t="e">
        <f>'All regions'!B2127+"$F;@!%Sn"</f>
        <v>#VALUE!</v>
      </c>
      <c r="DE78" t="e">
        <f>'All regions'!C2127+"$F;@!%So"</f>
        <v>#VALUE!</v>
      </c>
      <c r="DF78" t="e">
        <f>'All regions'!D2127+"$F;@!%Sp"</f>
        <v>#VALUE!</v>
      </c>
      <c r="DG78" t="e">
        <f>'All regions'!E2127+"$F;@!%Sq"</f>
        <v>#VALUE!</v>
      </c>
      <c r="DH78" t="e">
        <f>'All regions'!F2127+"$F;@!%Sr"</f>
        <v>#VALUE!</v>
      </c>
      <c r="DI78" t="e">
        <f>'All regions'!G2127+"$F;@!%Ss"</f>
        <v>#VALUE!</v>
      </c>
      <c r="DJ78" t="e">
        <f>'All regions'!H2127+"$F;@!%St"</f>
        <v>#VALUE!</v>
      </c>
      <c r="DK78" t="e">
        <f>'All regions'!I2127+"$F;@!%Su"</f>
        <v>#VALUE!</v>
      </c>
      <c r="DL78" t="e">
        <f>'All regions'!A2128+"$F;@!%Sv"</f>
        <v>#VALUE!</v>
      </c>
      <c r="DM78" t="e">
        <f>'All regions'!B2128+"$F;@!%Sw"</f>
        <v>#VALUE!</v>
      </c>
      <c r="DN78" t="e">
        <f>'All regions'!C2128+"$F;@!%Sx"</f>
        <v>#VALUE!</v>
      </c>
      <c r="DO78" t="e">
        <f>'All regions'!D2128+"$F;@!%Sy"</f>
        <v>#VALUE!</v>
      </c>
      <c r="DP78" t="e">
        <f>'All regions'!E2128+"$F;@!%Sz"</f>
        <v>#VALUE!</v>
      </c>
      <c r="DQ78" t="e">
        <f>'All regions'!F2128+"$F;@!%S{"</f>
        <v>#VALUE!</v>
      </c>
      <c r="DR78" t="e">
        <f>'All regions'!G2128+"$F;@!%S|"</f>
        <v>#VALUE!</v>
      </c>
      <c r="DS78" t="e">
        <f>'All regions'!H2128+"$F;@!%S}"</f>
        <v>#VALUE!</v>
      </c>
      <c r="DT78" t="e">
        <f>'All regions'!I2128+"$F;@!%S~"</f>
        <v>#VALUE!</v>
      </c>
      <c r="DU78" t="e">
        <f>'All regions'!A2129+"$F;@!%T#"</f>
        <v>#VALUE!</v>
      </c>
      <c r="DV78" t="e">
        <f>'All regions'!B2129+"$F;@!%T$"</f>
        <v>#VALUE!</v>
      </c>
      <c r="DW78" t="e">
        <f>'All regions'!C2129+"$F;@!%T%"</f>
        <v>#VALUE!</v>
      </c>
      <c r="DX78" t="e">
        <f>'All regions'!D2129+"$F;@!%T&amp;"</f>
        <v>#VALUE!</v>
      </c>
      <c r="DY78" t="e">
        <f>'All regions'!E2129+"$F;@!%T'"</f>
        <v>#VALUE!</v>
      </c>
      <c r="DZ78" t="e">
        <f>'All regions'!F2129+"$F;@!%T("</f>
        <v>#VALUE!</v>
      </c>
      <c r="EA78" t="e">
        <f>'All regions'!G2129+"$F;@!%T)"</f>
        <v>#VALUE!</v>
      </c>
      <c r="EB78" t="e">
        <f>'All regions'!H2129+"$F;@!%T."</f>
        <v>#VALUE!</v>
      </c>
      <c r="EC78" t="e">
        <f>'All regions'!I2129+"$F;@!%T/"</f>
        <v>#VALUE!</v>
      </c>
      <c r="ED78" t="e">
        <f>'All regions'!A2130+"$F;@!%T0"</f>
        <v>#VALUE!</v>
      </c>
      <c r="EE78" t="e">
        <f>'All regions'!B2130+"$F;@!%T1"</f>
        <v>#VALUE!</v>
      </c>
      <c r="EF78" t="e">
        <f>'All regions'!C2130+"$F;@!%T2"</f>
        <v>#VALUE!</v>
      </c>
      <c r="EG78" t="e">
        <f>'All regions'!D2130+"$F;@!%T3"</f>
        <v>#VALUE!</v>
      </c>
      <c r="EH78" t="e">
        <f>'All regions'!E2130+"$F;@!%T4"</f>
        <v>#VALUE!</v>
      </c>
      <c r="EI78" t="e">
        <f>'All regions'!F2130+"$F;@!%T5"</f>
        <v>#VALUE!</v>
      </c>
      <c r="EJ78" t="e">
        <f>'All regions'!G2130+"$F;@!%T6"</f>
        <v>#VALUE!</v>
      </c>
      <c r="EK78" t="e">
        <f>'All regions'!H2130+"$F;@!%T7"</f>
        <v>#VALUE!</v>
      </c>
      <c r="EL78" t="e">
        <f>'All regions'!I2130+"$F;@!%T8"</f>
        <v>#VALUE!</v>
      </c>
      <c r="EM78" t="e">
        <f>'All regions'!A2131+"$F;@!%T9"</f>
        <v>#VALUE!</v>
      </c>
      <c r="EN78" t="e">
        <f>'All regions'!B2131+"$F;@!%T:"</f>
        <v>#VALUE!</v>
      </c>
      <c r="EO78" t="e">
        <f>'All regions'!C2131+"$F;@!%T;"</f>
        <v>#VALUE!</v>
      </c>
      <c r="EP78" t="e">
        <f>'All regions'!D2131+"$F;@!%T&lt;"</f>
        <v>#VALUE!</v>
      </c>
      <c r="EQ78" t="e">
        <f>'All regions'!E2131+"$F;@!%T="</f>
        <v>#VALUE!</v>
      </c>
      <c r="ER78" t="e">
        <f>'All regions'!F2131+"$F;@!%T&gt;"</f>
        <v>#VALUE!</v>
      </c>
      <c r="ES78" t="e">
        <f>'All regions'!G2131+"$F;@!%T?"</f>
        <v>#VALUE!</v>
      </c>
      <c r="ET78" t="e">
        <f>'All regions'!H2131+"$F;@!%T@"</f>
        <v>#VALUE!</v>
      </c>
      <c r="EU78" t="e">
        <f>'All regions'!I2131+"$F;@!%TA"</f>
        <v>#VALUE!</v>
      </c>
      <c r="EV78" t="e">
        <f>'All regions'!A2132+"$F;@!%TB"</f>
        <v>#VALUE!</v>
      </c>
      <c r="EW78" t="e">
        <f>'All regions'!B2132+"$F;@!%TC"</f>
        <v>#VALUE!</v>
      </c>
      <c r="EX78" t="e">
        <f>'All regions'!C2132+"$F;@!%TD"</f>
        <v>#VALUE!</v>
      </c>
      <c r="EY78" t="e">
        <f>'All regions'!D2132+"$F;@!%TE"</f>
        <v>#VALUE!</v>
      </c>
      <c r="EZ78" t="e">
        <f>'All regions'!E2132+"$F;@!%TF"</f>
        <v>#VALUE!</v>
      </c>
      <c r="FA78" t="e">
        <f>'All regions'!F2132+"$F;@!%TG"</f>
        <v>#VALUE!</v>
      </c>
      <c r="FB78" t="e">
        <f>'All regions'!G2132+"$F;@!%TH"</f>
        <v>#VALUE!</v>
      </c>
      <c r="FC78" t="e">
        <f>'All regions'!H2132+"$F;@!%TI"</f>
        <v>#VALUE!</v>
      </c>
      <c r="FD78" t="e">
        <f>'All regions'!I2132+"$F;@!%TJ"</f>
        <v>#VALUE!</v>
      </c>
      <c r="FE78" t="e">
        <f>'All regions'!A2133+"$F;@!%TK"</f>
        <v>#VALUE!</v>
      </c>
      <c r="FF78" t="e">
        <f>'All regions'!B2133+"$F;@!%TL"</f>
        <v>#VALUE!</v>
      </c>
      <c r="FG78" t="e">
        <f>'All regions'!C2133+"$F;@!%TM"</f>
        <v>#VALUE!</v>
      </c>
      <c r="FH78" t="e">
        <f>'All regions'!D2133+"$F;@!%TN"</f>
        <v>#VALUE!</v>
      </c>
      <c r="FI78" t="e">
        <f>'All regions'!E2133+"$F;@!%TO"</f>
        <v>#VALUE!</v>
      </c>
      <c r="FJ78" t="e">
        <f>'All regions'!F2133+"$F;@!%TP"</f>
        <v>#VALUE!</v>
      </c>
      <c r="FK78" t="e">
        <f>'All regions'!G2133+"$F;@!%TQ"</f>
        <v>#VALUE!</v>
      </c>
      <c r="FL78" t="e">
        <f>'All regions'!H2133+"$F;@!%TR"</f>
        <v>#VALUE!</v>
      </c>
      <c r="FM78" t="e">
        <f>'All regions'!I2133+"$F;@!%TS"</f>
        <v>#VALUE!</v>
      </c>
      <c r="FN78" t="e">
        <f>'All regions'!A2134+"$F;@!%TT"</f>
        <v>#VALUE!</v>
      </c>
      <c r="FO78" t="e">
        <f>'All regions'!B2134+"$F;@!%TU"</f>
        <v>#VALUE!</v>
      </c>
      <c r="FP78" t="e">
        <f>'All regions'!C2134+"$F;@!%TV"</f>
        <v>#VALUE!</v>
      </c>
      <c r="FQ78" t="e">
        <f>'All regions'!D2134+"$F;@!%TW"</f>
        <v>#VALUE!</v>
      </c>
      <c r="FR78" t="e">
        <f>'All regions'!E2134+"$F;@!%TX"</f>
        <v>#VALUE!</v>
      </c>
      <c r="FS78" t="e">
        <f>'All regions'!F2134+"$F;@!%TY"</f>
        <v>#VALUE!</v>
      </c>
      <c r="FT78" t="e">
        <f>'All regions'!G2134+"$F;@!%TZ"</f>
        <v>#VALUE!</v>
      </c>
      <c r="FU78" t="e">
        <f>'All regions'!H2134+"$F;@!%T["</f>
        <v>#VALUE!</v>
      </c>
      <c r="FV78" t="e">
        <f>'All regions'!I2134+"$F;@!%T\"</f>
        <v>#VALUE!</v>
      </c>
      <c r="FW78" t="e">
        <f>'All regions'!A2135+"$F;@!%T]"</f>
        <v>#VALUE!</v>
      </c>
      <c r="FX78" t="e">
        <f>'All regions'!B2135+"$F;@!%T^"</f>
        <v>#VALUE!</v>
      </c>
      <c r="FY78" t="e">
        <f>'All regions'!C2135+"$F;@!%T_"</f>
        <v>#VALUE!</v>
      </c>
      <c r="FZ78" t="e">
        <f>'All regions'!D2135+"$F;@!%T`"</f>
        <v>#VALUE!</v>
      </c>
      <c r="GA78" t="e">
        <f>'All regions'!E2135+"$F;@!%Ta"</f>
        <v>#VALUE!</v>
      </c>
      <c r="GB78" t="e">
        <f>'All regions'!F2135+"$F;@!%Tb"</f>
        <v>#VALUE!</v>
      </c>
      <c r="GC78" t="e">
        <f>'All regions'!G2135+"$F;@!%Tc"</f>
        <v>#VALUE!</v>
      </c>
      <c r="GD78" t="e">
        <f>'All regions'!H2135+"$F;@!%Td"</f>
        <v>#VALUE!</v>
      </c>
      <c r="GE78" t="e">
        <f>'All regions'!I2135+"$F;@!%Te"</f>
        <v>#VALUE!</v>
      </c>
      <c r="GF78" t="e">
        <f>'All regions'!A2136+"$F;@!%Tf"</f>
        <v>#VALUE!</v>
      </c>
      <c r="GG78" t="e">
        <f>'All regions'!B2136+"$F;@!%Tg"</f>
        <v>#VALUE!</v>
      </c>
      <c r="GH78" t="e">
        <f>'All regions'!C2136+"$F;@!%Th"</f>
        <v>#VALUE!</v>
      </c>
      <c r="GI78" t="e">
        <f>'All regions'!D2136+"$F;@!%Ti"</f>
        <v>#VALUE!</v>
      </c>
      <c r="GJ78" t="e">
        <f>'All regions'!E2136+"$F;@!%Tj"</f>
        <v>#VALUE!</v>
      </c>
      <c r="GK78" t="e">
        <f>'All regions'!F2136+"$F;@!%Tk"</f>
        <v>#VALUE!</v>
      </c>
      <c r="GL78" t="e">
        <f>'All regions'!G2136+"$F;@!%Tl"</f>
        <v>#VALUE!</v>
      </c>
      <c r="GM78" t="e">
        <f>'All regions'!H2136+"$F;@!%Tm"</f>
        <v>#VALUE!</v>
      </c>
      <c r="GN78" t="e">
        <f>'All regions'!I2136+"$F;@!%Tn"</f>
        <v>#VALUE!</v>
      </c>
      <c r="GO78" t="e">
        <f>'All regions'!A2137+"$F;@!%To"</f>
        <v>#VALUE!</v>
      </c>
      <c r="GP78" t="e">
        <f>'All regions'!B2137+"$F;@!%Tp"</f>
        <v>#VALUE!</v>
      </c>
      <c r="GQ78" t="e">
        <f>'All regions'!C2137+"$F;@!%Tq"</f>
        <v>#VALUE!</v>
      </c>
      <c r="GR78" t="e">
        <f>'All regions'!D2137+"$F;@!%Tr"</f>
        <v>#VALUE!</v>
      </c>
      <c r="GS78" t="e">
        <f>'All regions'!E2137+"$F;@!%Ts"</f>
        <v>#VALUE!</v>
      </c>
      <c r="GT78" t="e">
        <f>'All regions'!F2137+"$F;@!%Tt"</f>
        <v>#VALUE!</v>
      </c>
      <c r="GU78" t="e">
        <f>'All regions'!G2137+"$F;@!%Tu"</f>
        <v>#VALUE!</v>
      </c>
      <c r="GV78" t="e">
        <f>'All regions'!H2137+"$F;@!%Tv"</f>
        <v>#VALUE!</v>
      </c>
      <c r="GW78" t="e">
        <f>'All regions'!I2137+"$F;@!%Tw"</f>
        <v>#VALUE!</v>
      </c>
      <c r="GX78" t="e">
        <f>'All regions'!A2138+"$F;@!%Tx"</f>
        <v>#VALUE!</v>
      </c>
      <c r="GY78" t="e">
        <f>'All regions'!B2138+"$F;@!%Ty"</f>
        <v>#VALUE!</v>
      </c>
      <c r="GZ78" t="e">
        <f>'All regions'!C2138+"$F;@!%Tz"</f>
        <v>#VALUE!</v>
      </c>
      <c r="HA78" t="e">
        <f>'All regions'!D2138+"$F;@!%T{"</f>
        <v>#VALUE!</v>
      </c>
      <c r="HB78" t="e">
        <f>'All regions'!E2138+"$F;@!%T|"</f>
        <v>#VALUE!</v>
      </c>
      <c r="HC78" t="e">
        <f>'All regions'!F2138+"$F;@!%T}"</f>
        <v>#VALUE!</v>
      </c>
      <c r="HD78" t="e">
        <f>'All regions'!G2138+"$F;@!%T~"</f>
        <v>#VALUE!</v>
      </c>
      <c r="HE78" t="e">
        <f>'All regions'!H2138+"$F;@!%U#"</f>
        <v>#VALUE!</v>
      </c>
      <c r="HF78" t="e">
        <f>'All regions'!I2138+"$F;@!%U$"</f>
        <v>#VALUE!</v>
      </c>
      <c r="HG78" t="e">
        <f>'All regions'!A2139+"$F;@!%U%"</f>
        <v>#VALUE!</v>
      </c>
      <c r="HH78" t="e">
        <f>'All regions'!B2139+"$F;@!%U&amp;"</f>
        <v>#VALUE!</v>
      </c>
      <c r="HI78" t="e">
        <f>'All regions'!C2139+"$F;@!%U'"</f>
        <v>#VALUE!</v>
      </c>
      <c r="HJ78" t="e">
        <f>'All regions'!D2139+"$F;@!%U("</f>
        <v>#VALUE!</v>
      </c>
      <c r="HK78" t="e">
        <f>'All regions'!E2139+"$F;@!%U)"</f>
        <v>#VALUE!</v>
      </c>
      <c r="HL78" t="e">
        <f>'All regions'!F2139+"$F;@!%U."</f>
        <v>#VALUE!</v>
      </c>
      <c r="HM78" t="e">
        <f>'All regions'!G2139+"$F;@!%U/"</f>
        <v>#VALUE!</v>
      </c>
      <c r="HN78" t="e">
        <f>'All regions'!H2139+"$F;@!%U0"</f>
        <v>#VALUE!</v>
      </c>
      <c r="HO78" t="e">
        <f>'All regions'!I2139+"$F;@!%U1"</f>
        <v>#VALUE!</v>
      </c>
      <c r="HP78" t="e">
        <f>'All regions'!A2140+"$F;@!%U2"</f>
        <v>#VALUE!</v>
      </c>
      <c r="HQ78" t="e">
        <f>'All regions'!B2140+"$F;@!%U3"</f>
        <v>#VALUE!</v>
      </c>
      <c r="HR78" t="e">
        <f>'All regions'!C2140+"$F;@!%U4"</f>
        <v>#VALUE!</v>
      </c>
      <c r="HS78" t="e">
        <f>'All regions'!D2140+"$F;@!%U5"</f>
        <v>#VALUE!</v>
      </c>
      <c r="HT78" t="e">
        <f>'All regions'!E2140+"$F;@!%U6"</f>
        <v>#VALUE!</v>
      </c>
      <c r="HU78" t="e">
        <f>'All regions'!F2140+"$F;@!%U7"</f>
        <v>#VALUE!</v>
      </c>
      <c r="HV78" t="e">
        <f>'All regions'!G2140+"$F;@!%U8"</f>
        <v>#VALUE!</v>
      </c>
      <c r="HW78" t="e">
        <f>'All regions'!H2140+"$F;@!%U9"</f>
        <v>#VALUE!</v>
      </c>
      <c r="HX78" t="e">
        <f>'All regions'!I2140+"$F;@!%U:"</f>
        <v>#VALUE!</v>
      </c>
      <c r="HY78" t="e">
        <f>'All regions'!A2141+"$F;@!%U;"</f>
        <v>#VALUE!</v>
      </c>
      <c r="HZ78" t="e">
        <f>'All regions'!B2141+"$F;@!%U&lt;"</f>
        <v>#VALUE!</v>
      </c>
      <c r="IA78" t="e">
        <f>'All regions'!C2141+"$F;@!%U="</f>
        <v>#VALUE!</v>
      </c>
      <c r="IB78" t="e">
        <f>'All regions'!D2141+"$F;@!%U&gt;"</f>
        <v>#VALUE!</v>
      </c>
      <c r="IC78" t="e">
        <f>'All regions'!E2141+"$F;@!%U?"</f>
        <v>#VALUE!</v>
      </c>
      <c r="ID78" t="e">
        <f>'All regions'!F2141+"$F;@!%U@"</f>
        <v>#VALUE!</v>
      </c>
      <c r="IE78" t="e">
        <f>'All regions'!G2141+"$F;@!%UA"</f>
        <v>#VALUE!</v>
      </c>
      <c r="IF78" t="e">
        <f>'All regions'!H2141+"$F;@!%UB"</f>
        <v>#VALUE!</v>
      </c>
      <c r="IG78" t="e">
        <f>'All regions'!I2141+"$F;@!%UC"</f>
        <v>#VALUE!</v>
      </c>
      <c r="IH78" t="e">
        <f>'All regions'!A2142+"$F;@!%UD"</f>
        <v>#VALUE!</v>
      </c>
      <c r="II78" t="e">
        <f>'All regions'!B2142+"$F;@!%UE"</f>
        <v>#VALUE!</v>
      </c>
      <c r="IJ78" t="e">
        <f>'All regions'!C2142+"$F;@!%UF"</f>
        <v>#VALUE!</v>
      </c>
      <c r="IK78" t="e">
        <f>'All regions'!D2142+"$F;@!%UG"</f>
        <v>#VALUE!</v>
      </c>
      <c r="IL78" t="e">
        <f>'All regions'!E2142+"$F;@!%UH"</f>
        <v>#VALUE!</v>
      </c>
      <c r="IM78" t="e">
        <f>'All regions'!F2142+"$F;@!%UI"</f>
        <v>#VALUE!</v>
      </c>
      <c r="IN78" t="e">
        <f>'All regions'!G2142+"$F;@!%UJ"</f>
        <v>#VALUE!</v>
      </c>
      <c r="IO78" t="e">
        <f>'All regions'!H2142+"$F;@!%UK"</f>
        <v>#VALUE!</v>
      </c>
      <c r="IP78" t="e">
        <f>'All regions'!I2142+"$F;@!%UL"</f>
        <v>#VALUE!</v>
      </c>
      <c r="IQ78" t="e">
        <f>'All regions'!A2143+"$F;@!%UM"</f>
        <v>#VALUE!</v>
      </c>
      <c r="IR78" t="e">
        <f>'All regions'!B2143+"$F;@!%UN"</f>
        <v>#VALUE!</v>
      </c>
      <c r="IS78" t="e">
        <f>'All regions'!C2143+"$F;@!%UO"</f>
        <v>#VALUE!</v>
      </c>
      <c r="IT78" t="e">
        <f>'All regions'!D2143+"$F;@!%UP"</f>
        <v>#VALUE!</v>
      </c>
      <c r="IU78" t="e">
        <f>'All regions'!E2143+"$F;@!%UQ"</f>
        <v>#VALUE!</v>
      </c>
      <c r="IV78" t="e">
        <f>'All regions'!F2143+"$F;@!%UR"</f>
        <v>#VALUE!</v>
      </c>
    </row>
    <row r="79" spans="6:256" x14ac:dyDescent="0.35">
      <c r="F79" t="e">
        <f>'All regions'!G2143+"$F;@!%US"</f>
        <v>#VALUE!</v>
      </c>
      <c r="G79" t="e">
        <f>'All regions'!H2143+"$F;@!%UT"</f>
        <v>#VALUE!</v>
      </c>
      <c r="H79" t="e">
        <f>'All regions'!I2143+"$F;@!%UU"</f>
        <v>#VALUE!</v>
      </c>
      <c r="I79" t="e">
        <f>'All regions'!A2144+"$F;@!%UV"</f>
        <v>#VALUE!</v>
      </c>
      <c r="J79" t="e">
        <f>'All regions'!B2144+"$F;@!%UW"</f>
        <v>#VALUE!</v>
      </c>
      <c r="K79" t="e">
        <f>'All regions'!C2144+"$F;@!%UX"</f>
        <v>#VALUE!</v>
      </c>
      <c r="L79" t="e">
        <f>'All regions'!D2144+"$F;@!%UY"</f>
        <v>#VALUE!</v>
      </c>
      <c r="M79" t="e">
        <f>'All regions'!E2144+"$F;@!%UZ"</f>
        <v>#VALUE!</v>
      </c>
      <c r="N79" t="e">
        <f>'All regions'!F2144+"$F;@!%U["</f>
        <v>#VALUE!</v>
      </c>
      <c r="O79" t="e">
        <f>'All regions'!G2144+"$F;@!%U\"</f>
        <v>#VALUE!</v>
      </c>
      <c r="P79" t="e">
        <f>'All regions'!H2144+"$F;@!%U]"</f>
        <v>#VALUE!</v>
      </c>
      <c r="Q79" t="e">
        <f>'All regions'!I2144+"$F;@!%U^"</f>
        <v>#VALUE!</v>
      </c>
      <c r="R79" t="e">
        <f>'All regions'!A2145+"$F;@!%U_"</f>
        <v>#VALUE!</v>
      </c>
      <c r="S79" t="e">
        <f>'All regions'!B2145+"$F;@!%U`"</f>
        <v>#VALUE!</v>
      </c>
      <c r="T79" t="e">
        <f>'All regions'!C2145+"$F;@!%Ua"</f>
        <v>#VALUE!</v>
      </c>
      <c r="U79" t="e">
        <f>'All regions'!D2145+"$F;@!%Ub"</f>
        <v>#VALUE!</v>
      </c>
      <c r="V79" t="e">
        <f>'All regions'!E2145+"$F;@!%Uc"</f>
        <v>#VALUE!</v>
      </c>
      <c r="W79" t="e">
        <f>'All regions'!F2145+"$F;@!%Ud"</f>
        <v>#VALUE!</v>
      </c>
      <c r="X79" t="e">
        <f>'All regions'!G2145+"$F;@!%Ue"</f>
        <v>#VALUE!</v>
      </c>
      <c r="Y79" t="e">
        <f>'All regions'!H2145+"$F;@!%Uf"</f>
        <v>#VALUE!</v>
      </c>
      <c r="Z79" t="e">
        <f>'All regions'!I2145+"$F;@!%Ug"</f>
        <v>#VALUE!</v>
      </c>
      <c r="AA79" t="e">
        <f>'All regions'!A2146+"$F;@!%Uh"</f>
        <v>#VALUE!</v>
      </c>
      <c r="AB79" t="e">
        <f>'All regions'!B2146+"$F;@!%Ui"</f>
        <v>#VALUE!</v>
      </c>
      <c r="AC79" t="e">
        <f>'All regions'!C2146+"$F;@!%Uj"</f>
        <v>#VALUE!</v>
      </c>
      <c r="AD79" t="e">
        <f>'All regions'!D2146+"$F;@!%Uk"</f>
        <v>#VALUE!</v>
      </c>
      <c r="AE79" t="e">
        <f>'All regions'!E2146+"$F;@!%Ul"</f>
        <v>#VALUE!</v>
      </c>
      <c r="AF79" t="e">
        <f>'All regions'!F2146+"$F;@!%Um"</f>
        <v>#VALUE!</v>
      </c>
      <c r="AG79" t="e">
        <f>'All regions'!G2146+"$F;@!%Un"</f>
        <v>#VALUE!</v>
      </c>
      <c r="AH79" t="e">
        <f>'All regions'!H2146+"$F;@!%Uo"</f>
        <v>#VALUE!</v>
      </c>
      <c r="AI79" t="e">
        <f>'All regions'!I2146+"$F;@!%Up"</f>
        <v>#VALUE!</v>
      </c>
      <c r="AJ79" t="e">
        <f>'All regions'!A2147+"$F;@!%Uq"</f>
        <v>#VALUE!</v>
      </c>
      <c r="AK79" t="e">
        <f>'All regions'!B2147+"$F;@!%Ur"</f>
        <v>#VALUE!</v>
      </c>
      <c r="AL79" t="e">
        <f>'All regions'!C2147+"$F;@!%Us"</f>
        <v>#VALUE!</v>
      </c>
      <c r="AM79" t="e">
        <f>'All regions'!D2147+"$F;@!%Ut"</f>
        <v>#VALUE!</v>
      </c>
      <c r="AN79" t="e">
        <f>'All regions'!E2147+"$F;@!%Uu"</f>
        <v>#VALUE!</v>
      </c>
      <c r="AO79" t="e">
        <f>'All regions'!F2147+"$F;@!%Uv"</f>
        <v>#VALUE!</v>
      </c>
      <c r="AP79" t="e">
        <f>'All regions'!G2147+"$F;@!%Uw"</f>
        <v>#VALUE!</v>
      </c>
      <c r="AQ79" t="e">
        <f>'All regions'!H2147+"$F;@!%Ux"</f>
        <v>#VALUE!</v>
      </c>
      <c r="AR79" t="e">
        <f>'All regions'!I2147+"$F;@!%Uy"</f>
        <v>#VALUE!</v>
      </c>
      <c r="AS79" t="e">
        <f>'All regions'!A2148+"$F;@!%Uz"</f>
        <v>#VALUE!</v>
      </c>
      <c r="AT79" t="e">
        <f>'All regions'!B2148+"$F;@!%U{"</f>
        <v>#VALUE!</v>
      </c>
      <c r="AU79" t="e">
        <f>'All regions'!C2148+"$F;@!%U|"</f>
        <v>#VALUE!</v>
      </c>
      <c r="AV79" t="e">
        <f>'All regions'!D2148+"$F;@!%U}"</f>
        <v>#VALUE!</v>
      </c>
      <c r="AW79" t="e">
        <f>'All regions'!E2148+"$F;@!%U~"</f>
        <v>#VALUE!</v>
      </c>
      <c r="AX79" t="e">
        <f>'All regions'!F2148+"$F;@!%V#"</f>
        <v>#VALUE!</v>
      </c>
      <c r="AY79" t="e">
        <f>'All regions'!G2148+"$F;@!%V$"</f>
        <v>#VALUE!</v>
      </c>
      <c r="AZ79" t="e">
        <f>'All regions'!H2148+"$F;@!%V%"</f>
        <v>#VALUE!</v>
      </c>
      <c r="BA79" t="e">
        <f>'All regions'!I2148+"$F;@!%V&amp;"</f>
        <v>#VALUE!</v>
      </c>
      <c r="BB79" t="e">
        <f>'All regions'!A2149+"$F;@!%V'"</f>
        <v>#VALUE!</v>
      </c>
      <c r="BC79" t="e">
        <f>'All regions'!B2149+"$F;@!%V("</f>
        <v>#VALUE!</v>
      </c>
      <c r="BD79" t="e">
        <f>'All regions'!C2149+"$F;@!%V)"</f>
        <v>#VALUE!</v>
      </c>
      <c r="BE79" t="e">
        <f>'All regions'!D2149+"$F;@!%V."</f>
        <v>#VALUE!</v>
      </c>
      <c r="BF79" t="e">
        <f>'All regions'!E2149+"$F;@!%V/"</f>
        <v>#VALUE!</v>
      </c>
      <c r="BG79" t="e">
        <f>'All regions'!F2149+"$F;@!%V0"</f>
        <v>#VALUE!</v>
      </c>
      <c r="BH79" t="e">
        <f>'All regions'!G2149+"$F;@!%V1"</f>
        <v>#VALUE!</v>
      </c>
      <c r="BI79" t="e">
        <f>'All regions'!H2149+"$F;@!%V2"</f>
        <v>#VALUE!</v>
      </c>
      <c r="BJ79" t="e">
        <f>'All regions'!I2149+"$F;@!%V3"</f>
        <v>#VALUE!</v>
      </c>
      <c r="BK79" t="e">
        <f>'All regions'!A2150+"$F;@!%V4"</f>
        <v>#VALUE!</v>
      </c>
      <c r="BL79" t="e">
        <f>'All regions'!B2150+"$F;@!%V5"</f>
        <v>#VALUE!</v>
      </c>
      <c r="BM79" t="e">
        <f>'All regions'!C2150+"$F;@!%V6"</f>
        <v>#VALUE!</v>
      </c>
      <c r="BN79" t="e">
        <f>'All regions'!D2150+"$F;@!%V7"</f>
        <v>#VALUE!</v>
      </c>
      <c r="BO79" t="e">
        <f>'All regions'!E2150+"$F;@!%V8"</f>
        <v>#VALUE!</v>
      </c>
      <c r="BP79" t="e">
        <f>'All regions'!F2150+"$F;@!%V9"</f>
        <v>#VALUE!</v>
      </c>
      <c r="BQ79" t="e">
        <f>'All regions'!G2150+"$F;@!%V:"</f>
        <v>#VALUE!</v>
      </c>
      <c r="BR79" t="e">
        <f>'All regions'!H2150+"$F;@!%V;"</f>
        <v>#VALUE!</v>
      </c>
      <c r="BS79" t="e">
        <f>'All regions'!I2150+"$F;@!%V&lt;"</f>
        <v>#VALUE!</v>
      </c>
      <c r="BT79" t="e">
        <f>'All regions'!A2151+"$F;@!%V="</f>
        <v>#VALUE!</v>
      </c>
      <c r="BU79" t="e">
        <f>'All regions'!B2151+"$F;@!%V&gt;"</f>
        <v>#VALUE!</v>
      </c>
      <c r="BV79" t="e">
        <f>'All regions'!C2151+"$F;@!%V?"</f>
        <v>#VALUE!</v>
      </c>
      <c r="BW79" t="e">
        <f>'All regions'!D2151+"$F;@!%V@"</f>
        <v>#VALUE!</v>
      </c>
      <c r="BX79" t="e">
        <f>'All regions'!E2151+"$F;@!%VA"</f>
        <v>#VALUE!</v>
      </c>
      <c r="BY79" t="e">
        <f>'All regions'!F2151+"$F;@!%VB"</f>
        <v>#VALUE!</v>
      </c>
      <c r="BZ79" t="e">
        <f>'All regions'!G2151+"$F;@!%VC"</f>
        <v>#VALUE!</v>
      </c>
      <c r="CA79" t="e">
        <f>'All regions'!H2151+"$F;@!%VD"</f>
        <v>#VALUE!</v>
      </c>
      <c r="CB79" t="e">
        <f>'All regions'!I2151+"$F;@!%VE"</f>
        <v>#VALUE!</v>
      </c>
      <c r="CC79" t="e">
        <f>'All regions'!A2152+"$F;@!%VF"</f>
        <v>#VALUE!</v>
      </c>
      <c r="CD79" t="e">
        <f>'All regions'!B2152+"$F;@!%VG"</f>
        <v>#VALUE!</v>
      </c>
      <c r="CE79" t="e">
        <f>'All regions'!C2152+"$F;@!%VH"</f>
        <v>#VALUE!</v>
      </c>
      <c r="CF79" t="e">
        <f>'All regions'!D2152+"$F;@!%VI"</f>
        <v>#VALUE!</v>
      </c>
      <c r="CG79" t="e">
        <f>'All regions'!E2152+"$F;@!%VJ"</f>
        <v>#VALUE!</v>
      </c>
      <c r="CH79" t="e">
        <f>'All regions'!F2152+"$F;@!%VK"</f>
        <v>#VALUE!</v>
      </c>
      <c r="CI79" t="e">
        <f>'All regions'!G2152+"$F;@!%VL"</f>
        <v>#VALUE!</v>
      </c>
      <c r="CJ79" t="e">
        <f>'All regions'!H2152+"$F;@!%VM"</f>
        <v>#VALUE!</v>
      </c>
      <c r="CK79" t="e">
        <f>'All regions'!I2152+"$F;@!%VN"</f>
        <v>#VALUE!</v>
      </c>
      <c r="CL79" t="e">
        <f>'All regions'!A2153+"$F;@!%VO"</f>
        <v>#VALUE!</v>
      </c>
      <c r="CM79" t="e">
        <f>'All regions'!B2153+"$F;@!%VP"</f>
        <v>#VALUE!</v>
      </c>
      <c r="CN79" t="e">
        <f>'All regions'!C2153+"$F;@!%VQ"</f>
        <v>#VALUE!</v>
      </c>
      <c r="CO79" t="e">
        <f>'All regions'!D2153+"$F;@!%VR"</f>
        <v>#VALUE!</v>
      </c>
      <c r="CP79" t="e">
        <f>'All regions'!E2153+"$F;@!%VS"</f>
        <v>#VALUE!</v>
      </c>
      <c r="CQ79" t="e">
        <f>'All regions'!F2153+"$F;@!%VT"</f>
        <v>#VALUE!</v>
      </c>
      <c r="CR79" t="e">
        <f>'All regions'!G2153+"$F;@!%VU"</f>
        <v>#VALUE!</v>
      </c>
      <c r="CS79" t="e">
        <f>'All regions'!H2153+"$F;@!%VV"</f>
        <v>#VALUE!</v>
      </c>
      <c r="CT79" t="e">
        <f>'All regions'!I2153+"$F;@!%VW"</f>
        <v>#VALUE!</v>
      </c>
      <c r="CU79" t="e">
        <f>'All regions'!A2154+"$F;@!%VX"</f>
        <v>#VALUE!</v>
      </c>
      <c r="CV79" t="e">
        <f>'All regions'!B2154+"$F;@!%VY"</f>
        <v>#VALUE!</v>
      </c>
      <c r="CW79" t="e">
        <f>'All regions'!C2154+"$F;@!%VZ"</f>
        <v>#VALUE!</v>
      </c>
      <c r="CX79" t="e">
        <f>'All regions'!D2154+"$F;@!%V["</f>
        <v>#VALUE!</v>
      </c>
      <c r="CY79" t="e">
        <f>'All regions'!E2154+"$F;@!%V\"</f>
        <v>#VALUE!</v>
      </c>
      <c r="CZ79" t="e">
        <f>'All regions'!F2154+"$F;@!%V]"</f>
        <v>#VALUE!</v>
      </c>
      <c r="DA79" t="e">
        <f>'All regions'!G2154+"$F;@!%V^"</f>
        <v>#VALUE!</v>
      </c>
      <c r="DB79" t="e">
        <f>'All regions'!H2154+"$F;@!%V_"</f>
        <v>#VALUE!</v>
      </c>
      <c r="DC79" t="e">
        <f>'All regions'!I2154+"$F;@!%V`"</f>
        <v>#VALUE!</v>
      </c>
      <c r="DD79" t="e">
        <f>'All regions'!A2160+"$F;@!%Va"</f>
        <v>#VALUE!</v>
      </c>
      <c r="DE79" t="e">
        <f>'All regions'!B2160+"$F;@!%Vb"</f>
        <v>#VALUE!</v>
      </c>
      <c r="DF79" t="e">
        <f>'All regions'!C2160+"$F;@!%Vc"</f>
        <v>#VALUE!</v>
      </c>
      <c r="DG79" t="e">
        <f>'All regions'!D2160+"$F;@!%Vd"</f>
        <v>#VALUE!</v>
      </c>
      <c r="DH79" t="e">
        <f>'All regions'!E2160+"$F;@!%Ve"</f>
        <v>#VALUE!</v>
      </c>
      <c r="DI79" t="e">
        <f>'All regions'!F2160+"$F;@!%Vf"</f>
        <v>#VALUE!</v>
      </c>
      <c r="DJ79" t="e">
        <f>'All regions'!G2160+"$F;@!%Vg"</f>
        <v>#VALUE!</v>
      </c>
      <c r="DK79" t="e">
        <f>'All regions'!H2160+"$F;@!%Vh"</f>
        <v>#VALUE!</v>
      </c>
      <c r="DL79" t="e">
        <f>'All regions'!I2160+"$F;@!%Vi"</f>
        <v>#VALUE!</v>
      </c>
      <c r="DM79" t="e">
        <f>'All regions'!A2161+"$F;@!%Vj"</f>
        <v>#VALUE!</v>
      </c>
      <c r="DN79" t="e">
        <f>'All regions'!B2161+"$F;@!%Vk"</f>
        <v>#VALUE!</v>
      </c>
      <c r="DO79" t="e">
        <f>'All regions'!C2161+"$F;@!%Vl"</f>
        <v>#VALUE!</v>
      </c>
      <c r="DP79" t="e">
        <f>'All regions'!D2161+"$F;@!%Vm"</f>
        <v>#VALUE!</v>
      </c>
      <c r="DQ79" t="e">
        <f>'All regions'!E2161+"$F;@!%Vn"</f>
        <v>#VALUE!</v>
      </c>
      <c r="DR79" t="e">
        <f>'All regions'!F2161+"$F;@!%Vo"</f>
        <v>#VALUE!</v>
      </c>
      <c r="DS79" t="e">
        <f>'All regions'!G2161+"$F;@!%Vp"</f>
        <v>#VALUE!</v>
      </c>
      <c r="DT79" t="e">
        <f>'All regions'!H2161+"$F;@!%Vq"</f>
        <v>#VALUE!</v>
      </c>
      <c r="DU79" t="e">
        <f>'All regions'!I2161+"$F;@!%Vr"</f>
        <v>#VALUE!</v>
      </c>
      <c r="DV79" t="e">
        <f>'All regions'!A2162+"$F;@!%Vs"</f>
        <v>#VALUE!</v>
      </c>
      <c r="DW79" t="e">
        <f>'All regions'!B2162+"$F;@!%Vt"</f>
        <v>#VALUE!</v>
      </c>
      <c r="DX79" t="e">
        <f>'All regions'!C2162+"$F;@!%Vu"</f>
        <v>#VALUE!</v>
      </c>
      <c r="DY79" t="e">
        <f>'All regions'!D2162+"$F;@!%Vv"</f>
        <v>#VALUE!</v>
      </c>
      <c r="DZ79" t="e">
        <f>'All regions'!E2162+"$F;@!%Vw"</f>
        <v>#VALUE!</v>
      </c>
      <c r="EA79" t="e">
        <f>'All regions'!F2162+"$F;@!%Vx"</f>
        <v>#VALUE!</v>
      </c>
      <c r="EB79" t="e">
        <f>'All regions'!G2162+"$F;@!%Vy"</f>
        <v>#VALUE!</v>
      </c>
      <c r="EC79" t="e">
        <f>'All regions'!H2162+"$F;@!%Vz"</f>
        <v>#VALUE!</v>
      </c>
      <c r="ED79" t="e">
        <f>'All regions'!I2162+"$F;@!%V{"</f>
        <v>#VALUE!</v>
      </c>
      <c r="EE79" t="e">
        <f>'All regions'!A2163+"$F;@!%V|"</f>
        <v>#VALUE!</v>
      </c>
      <c r="EF79" t="e">
        <f>'All regions'!B2163+"$F;@!%V}"</f>
        <v>#VALUE!</v>
      </c>
      <c r="EG79" t="e">
        <f>'All regions'!C2163+"$F;@!%V~"</f>
        <v>#VALUE!</v>
      </c>
      <c r="EH79" t="e">
        <f>'All regions'!D2163+"$F;@!%W#"</f>
        <v>#VALUE!</v>
      </c>
      <c r="EI79" t="e">
        <f>'All regions'!E2163+"$F;@!%W$"</f>
        <v>#VALUE!</v>
      </c>
      <c r="EJ79" t="e">
        <f>'All regions'!F2163+"$F;@!%W%"</f>
        <v>#VALUE!</v>
      </c>
      <c r="EK79" t="e">
        <f>'All regions'!G2163+"$F;@!%W&amp;"</f>
        <v>#VALUE!</v>
      </c>
      <c r="EL79" t="e">
        <f>'All regions'!H2163+"$F;@!%W'"</f>
        <v>#VALUE!</v>
      </c>
      <c r="EM79" t="e">
        <f>'All regions'!I2163+"$F;@!%W("</f>
        <v>#VALUE!</v>
      </c>
      <c r="EN79" t="e">
        <f>'All regions'!A2164+"$F;@!%W)"</f>
        <v>#VALUE!</v>
      </c>
      <c r="EO79" t="e">
        <f>'All regions'!B2164+"$F;@!%W."</f>
        <v>#VALUE!</v>
      </c>
      <c r="EP79" t="e">
        <f>'All regions'!C2164+"$F;@!%W/"</f>
        <v>#VALUE!</v>
      </c>
      <c r="EQ79" t="e">
        <f>'All regions'!D2164+"$F;@!%W0"</f>
        <v>#VALUE!</v>
      </c>
      <c r="ER79" t="e">
        <f>'All regions'!E2164+"$F;@!%W1"</f>
        <v>#VALUE!</v>
      </c>
      <c r="ES79" t="e">
        <f>'All regions'!F2164+"$F;@!%W2"</f>
        <v>#VALUE!</v>
      </c>
      <c r="ET79" t="e">
        <f>'All regions'!G2164+"$F;@!%W3"</f>
        <v>#VALUE!</v>
      </c>
      <c r="EU79" t="e">
        <f>'All regions'!H2164+"$F;@!%W4"</f>
        <v>#VALUE!</v>
      </c>
      <c r="EV79" t="e">
        <f>'All regions'!I2164+"$F;@!%W5"</f>
        <v>#VALUE!</v>
      </c>
      <c r="EW79" t="e">
        <f>'All regions'!A2165+"$F;@!%W6"</f>
        <v>#VALUE!</v>
      </c>
      <c r="EX79" t="e">
        <f>'All regions'!B2165+"$F;@!%W7"</f>
        <v>#VALUE!</v>
      </c>
      <c r="EY79" t="e">
        <f>'All regions'!C2165+"$F;@!%W8"</f>
        <v>#VALUE!</v>
      </c>
      <c r="EZ79" t="e">
        <f>'All regions'!D2165+"$F;@!%W9"</f>
        <v>#VALUE!</v>
      </c>
      <c r="FA79" t="e">
        <f>'All regions'!E2165+"$F;@!%W:"</f>
        <v>#VALUE!</v>
      </c>
      <c r="FB79" t="e">
        <f>'All regions'!F2165+"$F;@!%W;"</f>
        <v>#VALUE!</v>
      </c>
      <c r="FC79" t="e">
        <f>'All regions'!G2165+"$F;@!%W&lt;"</f>
        <v>#VALUE!</v>
      </c>
      <c r="FD79" t="e">
        <f>'All regions'!H2165+"$F;@!%W="</f>
        <v>#VALUE!</v>
      </c>
      <c r="FE79" t="e">
        <f>'All regions'!I2165+"$F;@!%W&gt;"</f>
        <v>#VALUE!</v>
      </c>
      <c r="FF79" t="e">
        <f>'All regions'!A2166+"$F;@!%W?"</f>
        <v>#VALUE!</v>
      </c>
      <c r="FG79" t="e">
        <f>'All regions'!B2166+"$F;@!%W@"</f>
        <v>#VALUE!</v>
      </c>
      <c r="FH79" t="e">
        <f>'All regions'!C2166+"$F;@!%WA"</f>
        <v>#VALUE!</v>
      </c>
      <c r="FI79" t="e">
        <f>'All regions'!D2166+"$F;@!%WB"</f>
        <v>#VALUE!</v>
      </c>
      <c r="FJ79" t="e">
        <f>'All regions'!E2166+"$F;@!%WC"</f>
        <v>#VALUE!</v>
      </c>
      <c r="FK79" t="e">
        <f>'All regions'!F2166+"$F;@!%WD"</f>
        <v>#VALUE!</v>
      </c>
      <c r="FL79" t="e">
        <f>'All regions'!G2166+"$F;@!%WE"</f>
        <v>#VALUE!</v>
      </c>
      <c r="FM79" t="e">
        <f>'All regions'!H2166+"$F;@!%WF"</f>
        <v>#VALUE!</v>
      </c>
      <c r="FN79" t="e">
        <f>'All regions'!I2166+"$F;@!%WG"</f>
        <v>#VALUE!</v>
      </c>
      <c r="FO79" t="e">
        <f>'All regions'!A2167+"$F;@!%WH"</f>
        <v>#VALUE!</v>
      </c>
      <c r="FP79" t="e">
        <f>'All regions'!B2167+"$F;@!%WI"</f>
        <v>#VALUE!</v>
      </c>
      <c r="FQ79" t="e">
        <f>'All regions'!C2167+"$F;@!%WJ"</f>
        <v>#VALUE!</v>
      </c>
      <c r="FR79" t="e">
        <f>'All regions'!D2167+"$F;@!%WK"</f>
        <v>#VALUE!</v>
      </c>
      <c r="FS79" t="e">
        <f>'All regions'!E2167+"$F;@!%WL"</f>
        <v>#VALUE!</v>
      </c>
      <c r="FT79" t="e">
        <f>'All regions'!F2167+"$F;@!%WM"</f>
        <v>#VALUE!</v>
      </c>
      <c r="FU79" t="e">
        <f>'All regions'!G2167+"$F;@!%WN"</f>
        <v>#VALUE!</v>
      </c>
      <c r="FV79" t="e">
        <f>'All regions'!H2167+"$F;@!%WO"</f>
        <v>#VALUE!</v>
      </c>
      <c r="FW79" t="e">
        <f>'All regions'!I2167+"$F;@!%WP"</f>
        <v>#VALUE!</v>
      </c>
      <c r="FX79" t="e">
        <f>'All regions'!A2168+"$F;@!%WQ"</f>
        <v>#VALUE!</v>
      </c>
      <c r="FY79" t="e">
        <f>'All regions'!B2168+"$F;@!%WR"</f>
        <v>#VALUE!</v>
      </c>
      <c r="FZ79" t="e">
        <f>'All regions'!C2168+"$F;@!%WS"</f>
        <v>#VALUE!</v>
      </c>
      <c r="GA79" t="e">
        <f>'All regions'!D2168+"$F;@!%WT"</f>
        <v>#VALUE!</v>
      </c>
      <c r="GB79" t="e">
        <f>'All regions'!E2168+"$F;@!%WU"</f>
        <v>#VALUE!</v>
      </c>
      <c r="GC79" t="e">
        <f>'All regions'!F2168+"$F;@!%WV"</f>
        <v>#VALUE!</v>
      </c>
      <c r="GD79" t="e">
        <f>'All regions'!G2168+"$F;@!%WW"</f>
        <v>#VALUE!</v>
      </c>
      <c r="GE79" t="e">
        <f>'All regions'!H2168+"$F;@!%WX"</f>
        <v>#VALUE!</v>
      </c>
      <c r="GF79" t="e">
        <f>'All regions'!I2168+"$F;@!%WY"</f>
        <v>#VALUE!</v>
      </c>
      <c r="GG79" t="e">
        <f>'All regions'!A2169+"$F;@!%WZ"</f>
        <v>#VALUE!</v>
      </c>
      <c r="GH79" t="e">
        <f>'All regions'!B2169+"$F;@!%W["</f>
        <v>#VALUE!</v>
      </c>
      <c r="GI79" t="e">
        <f>'All regions'!C2169+"$F;@!%W\"</f>
        <v>#VALUE!</v>
      </c>
      <c r="GJ79" t="e">
        <f>'All regions'!D2169+"$F;@!%W]"</f>
        <v>#VALUE!</v>
      </c>
      <c r="GK79" t="e">
        <f>'All regions'!E2169+"$F;@!%W^"</f>
        <v>#VALUE!</v>
      </c>
      <c r="GL79" t="e">
        <f>'All regions'!F2169+"$F;@!%W_"</f>
        <v>#VALUE!</v>
      </c>
      <c r="GM79" t="e">
        <f>'All regions'!G2169+"$F;@!%W`"</f>
        <v>#VALUE!</v>
      </c>
      <c r="GN79" t="e">
        <f>'All regions'!H2169+"$F;@!%Wa"</f>
        <v>#VALUE!</v>
      </c>
      <c r="GO79" t="e">
        <f>'All regions'!I2169+"$F;@!%Wb"</f>
        <v>#VALUE!</v>
      </c>
      <c r="GP79" t="e">
        <f>'All regions'!A2170+"$F;@!%Wc"</f>
        <v>#VALUE!</v>
      </c>
      <c r="GQ79" t="e">
        <f>'All regions'!B2170+"$F;@!%Wd"</f>
        <v>#VALUE!</v>
      </c>
      <c r="GR79" t="e">
        <f>'All regions'!C2170+"$F;@!%We"</f>
        <v>#VALUE!</v>
      </c>
      <c r="GS79" t="e">
        <f>'All regions'!D2170+"$F;@!%Wf"</f>
        <v>#VALUE!</v>
      </c>
      <c r="GT79" t="e">
        <f>'All regions'!E2170+"$F;@!%Wg"</f>
        <v>#VALUE!</v>
      </c>
      <c r="GU79" t="e">
        <f>'All regions'!F2170+"$F;@!%Wh"</f>
        <v>#VALUE!</v>
      </c>
      <c r="GV79" t="e">
        <f>'All regions'!G2170+"$F;@!%Wi"</f>
        <v>#VALUE!</v>
      </c>
      <c r="GW79" t="e">
        <f>'All regions'!H2170+"$F;@!%Wj"</f>
        <v>#VALUE!</v>
      </c>
      <c r="GX79" t="e">
        <f>'All regions'!I2170+"$F;@!%Wk"</f>
        <v>#VALUE!</v>
      </c>
      <c r="GY79" t="e">
        <f>'All regions'!A2171+"$F;@!%Wl"</f>
        <v>#VALUE!</v>
      </c>
      <c r="GZ79" t="e">
        <f>'All regions'!B2171+"$F;@!%Wm"</f>
        <v>#VALUE!</v>
      </c>
      <c r="HA79" t="e">
        <f>'All regions'!C2171+"$F;@!%Wn"</f>
        <v>#VALUE!</v>
      </c>
      <c r="HB79" t="e">
        <f>'All regions'!D2171+"$F;@!%Wo"</f>
        <v>#VALUE!</v>
      </c>
      <c r="HC79" t="e">
        <f>'All regions'!E2171+"$F;@!%Wp"</f>
        <v>#VALUE!</v>
      </c>
      <c r="HD79" t="e">
        <f>'All regions'!F2171+"$F;@!%Wq"</f>
        <v>#VALUE!</v>
      </c>
      <c r="HE79" t="e">
        <f>'All regions'!G2171+"$F;@!%Wr"</f>
        <v>#VALUE!</v>
      </c>
      <c r="HF79" t="e">
        <f>'All regions'!H2171+"$F;@!%Ws"</f>
        <v>#VALUE!</v>
      </c>
      <c r="HG79" t="e">
        <f>'All regions'!I2171+"$F;@!%Wt"</f>
        <v>#VALUE!</v>
      </c>
      <c r="HH79" t="e">
        <f>'All regions'!A2172+"$F;@!%Wu"</f>
        <v>#VALUE!</v>
      </c>
      <c r="HI79" t="e">
        <f>'All regions'!B2172+"$F;@!%Wv"</f>
        <v>#VALUE!</v>
      </c>
      <c r="HJ79" t="e">
        <f>'All regions'!C2172+"$F;@!%Ww"</f>
        <v>#VALUE!</v>
      </c>
      <c r="HK79" t="e">
        <f>'All regions'!D2172+"$F;@!%Wx"</f>
        <v>#VALUE!</v>
      </c>
      <c r="HL79" t="e">
        <f>'All regions'!E2172+"$F;@!%Wy"</f>
        <v>#VALUE!</v>
      </c>
      <c r="HM79" t="e">
        <f>'All regions'!F2172+"$F;@!%Wz"</f>
        <v>#VALUE!</v>
      </c>
      <c r="HN79" t="e">
        <f>'All regions'!G2172+"$F;@!%W{"</f>
        <v>#VALUE!</v>
      </c>
      <c r="HO79" t="e">
        <f>'All regions'!H2172+"$F;@!%W|"</f>
        <v>#VALUE!</v>
      </c>
      <c r="HP79" t="e">
        <f>'All regions'!I2172+"$F;@!%W}"</f>
        <v>#VALUE!</v>
      </c>
      <c r="HQ79" t="e">
        <f>'All regions'!A2173+"$F;@!%W~"</f>
        <v>#VALUE!</v>
      </c>
      <c r="HR79" t="e">
        <f>'All regions'!B2173+"$F;@!%X#"</f>
        <v>#VALUE!</v>
      </c>
      <c r="HS79" t="e">
        <f>'All regions'!C2173+"$F;@!%X$"</f>
        <v>#VALUE!</v>
      </c>
      <c r="HT79" t="e">
        <f>'All regions'!D2173+"$F;@!%X%"</f>
        <v>#VALUE!</v>
      </c>
      <c r="HU79" t="e">
        <f>'All regions'!E2173+"$F;@!%X&amp;"</f>
        <v>#VALUE!</v>
      </c>
      <c r="HV79" t="e">
        <f>'All regions'!F2173+"$F;@!%X'"</f>
        <v>#VALUE!</v>
      </c>
      <c r="HW79" t="e">
        <f>'All regions'!G2173+"$F;@!%X("</f>
        <v>#VALUE!</v>
      </c>
      <c r="HX79" t="e">
        <f>'All regions'!H2173+"$F;@!%X)"</f>
        <v>#VALUE!</v>
      </c>
      <c r="HY79" t="e">
        <f>'All regions'!I2173+"$F;@!%X."</f>
        <v>#VALUE!</v>
      </c>
      <c r="HZ79" t="e">
        <f>'All regions'!A2174+"$F;@!%X/"</f>
        <v>#VALUE!</v>
      </c>
      <c r="IA79" t="e">
        <f>'All regions'!B2174+"$F;@!%X0"</f>
        <v>#VALUE!</v>
      </c>
      <c r="IB79" t="e">
        <f>'All regions'!C2174+"$F;@!%X1"</f>
        <v>#VALUE!</v>
      </c>
      <c r="IC79" t="e">
        <f>'All regions'!D2174+"$F;@!%X2"</f>
        <v>#VALUE!</v>
      </c>
      <c r="ID79" t="e">
        <f>'All regions'!E2174+"$F;@!%X3"</f>
        <v>#VALUE!</v>
      </c>
      <c r="IE79" t="e">
        <f>'All regions'!F2174+"$F;@!%X4"</f>
        <v>#VALUE!</v>
      </c>
      <c r="IF79" t="e">
        <f>'All regions'!G2174+"$F;@!%X5"</f>
        <v>#VALUE!</v>
      </c>
      <c r="IG79" t="e">
        <f>'All regions'!H2174+"$F;@!%X6"</f>
        <v>#VALUE!</v>
      </c>
      <c r="IH79" t="e">
        <f>'All regions'!I2174+"$F;@!%X7"</f>
        <v>#VALUE!</v>
      </c>
      <c r="II79" t="e">
        <f>'All regions'!A2175+"$F;@!%X8"</f>
        <v>#VALUE!</v>
      </c>
      <c r="IJ79" t="e">
        <f>'All regions'!B2175+"$F;@!%X9"</f>
        <v>#VALUE!</v>
      </c>
      <c r="IK79" t="e">
        <f>'All regions'!C2175+"$F;@!%X:"</f>
        <v>#VALUE!</v>
      </c>
      <c r="IL79" t="e">
        <f>'All regions'!D2175+"$F;@!%X;"</f>
        <v>#VALUE!</v>
      </c>
      <c r="IM79" t="e">
        <f>'All regions'!E2175+"$F;@!%X&lt;"</f>
        <v>#VALUE!</v>
      </c>
      <c r="IN79" t="e">
        <f>'All regions'!F2175+"$F;@!%X="</f>
        <v>#VALUE!</v>
      </c>
      <c r="IO79" t="e">
        <f>'All regions'!G2175+"$F;@!%X&gt;"</f>
        <v>#VALUE!</v>
      </c>
      <c r="IP79" t="e">
        <f>'All regions'!H2175+"$F;@!%X?"</f>
        <v>#VALUE!</v>
      </c>
      <c r="IQ79" t="e">
        <f>'All regions'!I2175+"$F;@!%X@"</f>
        <v>#VALUE!</v>
      </c>
      <c r="IR79" t="e">
        <f>'All regions'!A2176+"$F;@!%XA"</f>
        <v>#VALUE!</v>
      </c>
      <c r="IS79" t="e">
        <f>'All regions'!B2176+"$F;@!%XB"</f>
        <v>#VALUE!</v>
      </c>
      <c r="IT79" t="e">
        <f>'All regions'!C2176+"$F;@!%XC"</f>
        <v>#VALUE!</v>
      </c>
      <c r="IU79" t="e">
        <f>'All regions'!D2176+"$F;@!%XD"</f>
        <v>#VALUE!</v>
      </c>
      <c r="IV79" t="e">
        <f>'All regions'!E2176+"$F;@!%XE"</f>
        <v>#VALUE!</v>
      </c>
    </row>
    <row r="80" spans="6:256" x14ac:dyDescent="0.35">
      <c r="F80" t="e">
        <f>'All regions'!F2176+"$F;@!%XF"</f>
        <v>#VALUE!</v>
      </c>
      <c r="G80" t="e">
        <f>'All regions'!G2176+"$F;@!%XG"</f>
        <v>#VALUE!</v>
      </c>
      <c r="H80" t="e">
        <f>'All regions'!H2176+"$F;@!%XH"</f>
        <v>#VALUE!</v>
      </c>
      <c r="I80" t="e">
        <f>'All regions'!I2176+"$F;@!%XI"</f>
        <v>#VALUE!</v>
      </c>
      <c r="J80" t="e">
        <f>'All regions'!A2177+"$F;@!%XJ"</f>
        <v>#VALUE!</v>
      </c>
      <c r="K80" t="e">
        <f>'All regions'!B2177+"$F;@!%XK"</f>
        <v>#VALUE!</v>
      </c>
      <c r="L80" t="e">
        <f>'All regions'!C2177+"$F;@!%XL"</f>
        <v>#VALUE!</v>
      </c>
      <c r="M80" t="e">
        <f>'All regions'!D2177+"$F;@!%XM"</f>
        <v>#VALUE!</v>
      </c>
      <c r="N80" t="e">
        <f>'All regions'!E2177+"$F;@!%XN"</f>
        <v>#VALUE!</v>
      </c>
      <c r="O80" t="e">
        <f>'All regions'!F2177+"$F;@!%XO"</f>
        <v>#VALUE!</v>
      </c>
      <c r="P80" t="e">
        <f>'All regions'!G2177+"$F;@!%XP"</f>
        <v>#VALUE!</v>
      </c>
      <c r="Q80" t="e">
        <f>'All regions'!H2177+"$F;@!%XQ"</f>
        <v>#VALUE!</v>
      </c>
      <c r="R80" t="e">
        <f>'All regions'!I2177+"$F;@!%XR"</f>
        <v>#VALUE!</v>
      </c>
      <c r="S80" t="e">
        <f>'All regions'!A2178+"$F;@!%XS"</f>
        <v>#VALUE!</v>
      </c>
      <c r="T80" t="e">
        <f>'All regions'!B2178+"$F;@!%XT"</f>
        <v>#VALUE!</v>
      </c>
      <c r="U80" t="e">
        <f>'All regions'!C2178+"$F;@!%XU"</f>
        <v>#VALUE!</v>
      </c>
      <c r="V80" t="e">
        <f>'All regions'!D2178+"$F;@!%XV"</f>
        <v>#VALUE!</v>
      </c>
      <c r="W80" t="e">
        <f>'All regions'!E2178+"$F;@!%XW"</f>
        <v>#VALUE!</v>
      </c>
      <c r="X80" t="e">
        <f>'All regions'!F2178+"$F;@!%XX"</f>
        <v>#VALUE!</v>
      </c>
      <c r="Y80" t="e">
        <f>'All regions'!G2178+"$F;@!%XY"</f>
        <v>#VALUE!</v>
      </c>
      <c r="Z80" t="e">
        <f>'All regions'!H2178+"$F;@!%XZ"</f>
        <v>#VALUE!</v>
      </c>
      <c r="AA80" t="e">
        <f>'All regions'!I2178+"$F;@!%X["</f>
        <v>#VALUE!</v>
      </c>
      <c r="AB80" t="e">
        <f>'All regions'!A2179+"$F;@!%X\"</f>
        <v>#VALUE!</v>
      </c>
      <c r="AC80" t="e">
        <f>'All regions'!B2179+"$F;@!%X]"</f>
        <v>#VALUE!</v>
      </c>
      <c r="AD80" t="e">
        <f>'All regions'!C2179+"$F;@!%X^"</f>
        <v>#VALUE!</v>
      </c>
      <c r="AE80" t="e">
        <f>'All regions'!D2179+"$F;@!%X_"</f>
        <v>#VALUE!</v>
      </c>
      <c r="AF80" t="e">
        <f>'All regions'!E2179+"$F;@!%X`"</f>
        <v>#VALUE!</v>
      </c>
      <c r="AG80" t="e">
        <f>'All regions'!F2179+"$F;@!%Xa"</f>
        <v>#VALUE!</v>
      </c>
      <c r="AH80" t="e">
        <f>'All regions'!G2179+"$F;@!%Xb"</f>
        <v>#VALUE!</v>
      </c>
      <c r="AI80" t="e">
        <f>'All regions'!H2179+"$F;@!%Xc"</f>
        <v>#VALUE!</v>
      </c>
      <c r="AJ80" t="e">
        <f>'All regions'!I2179+"$F;@!%Xd"</f>
        <v>#VALUE!</v>
      </c>
      <c r="AK80" t="e">
        <f>'All regions'!A2180+"$F;@!%Xe"</f>
        <v>#VALUE!</v>
      </c>
      <c r="AL80" t="e">
        <f>'All regions'!B2180+"$F;@!%Xf"</f>
        <v>#VALUE!</v>
      </c>
      <c r="AM80" t="e">
        <f>'All regions'!C2180+"$F;@!%Xg"</f>
        <v>#VALUE!</v>
      </c>
      <c r="AN80" t="e">
        <f>'All regions'!D2180+"$F;@!%Xh"</f>
        <v>#VALUE!</v>
      </c>
      <c r="AO80" t="e">
        <f>'All regions'!E2180+"$F;@!%Xi"</f>
        <v>#VALUE!</v>
      </c>
      <c r="AP80" t="e">
        <f>'All regions'!F2180+"$F;@!%Xj"</f>
        <v>#VALUE!</v>
      </c>
      <c r="AQ80" t="e">
        <f>'All regions'!G2180+"$F;@!%Xk"</f>
        <v>#VALUE!</v>
      </c>
      <c r="AR80" t="e">
        <f>'All regions'!H2180+"$F;@!%Xl"</f>
        <v>#VALUE!</v>
      </c>
      <c r="AS80" t="e">
        <f>'All regions'!I2180+"$F;@!%Xm"</f>
        <v>#VALUE!</v>
      </c>
      <c r="AT80" t="e">
        <f>'All regions'!A2181+"$F;@!%Xn"</f>
        <v>#VALUE!</v>
      </c>
      <c r="AU80" t="e">
        <f>'All regions'!B2181+"$F;@!%Xo"</f>
        <v>#VALUE!</v>
      </c>
      <c r="AV80" t="e">
        <f>'All regions'!C2181+"$F;@!%Xp"</f>
        <v>#VALUE!</v>
      </c>
      <c r="AW80" t="e">
        <f>'All regions'!D2181+"$F;@!%Xq"</f>
        <v>#VALUE!</v>
      </c>
      <c r="AX80" t="e">
        <f>'All regions'!E2181+"$F;@!%Xr"</f>
        <v>#VALUE!</v>
      </c>
      <c r="AY80" t="e">
        <f>'All regions'!F2181+"$F;@!%Xs"</f>
        <v>#VALUE!</v>
      </c>
      <c r="AZ80" t="e">
        <f>'All regions'!G2181+"$F;@!%Xt"</f>
        <v>#VALUE!</v>
      </c>
      <c r="BA80" t="e">
        <f>'All regions'!H2181+"$F;@!%Xu"</f>
        <v>#VALUE!</v>
      </c>
      <c r="BB80" t="e">
        <f>'All regions'!I2181+"$F;@!%Xv"</f>
        <v>#VALUE!</v>
      </c>
      <c r="BC80" t="e">
        <f>'All regions'!A2182+"$F;@!%Xw"</f>
        <v>#VALUE!</v>
      </c>
      <c r="BD80" t="e">
        <f>'All regions'!B2182+"$F;@!%Xx"</f>
        <v>#VALUE!</v>
      </c>
      <c r="BE80" t="e">
        <f>'All regions'!C2182+"$F;@!%Xy"</f>
        <v>#VALUE!</v>
      </c>
      <c r="BF80" t="e">
        <f>'All regions'!D2182+"$F;@!%Xz"</f>
        <v>#VALUE!</v>
      </c>
      <c r="BG80" t="e">
        <f>'All regions'!E2182+"$F;@!%X{"</f>
        <v>#VALUE!</v>
      </c>
      <c r="BH80" t="e">
        <f>'All regions'!F2182+"$F;@!%X|"</f>
        <v>#VALUE!</v>
      </c>
      <c r="BI80" t="e">
        <f>'All regions'!G2182+"$F;@!%X}"</f>
        <v>#VALUE!</v>
      </c>
      <c r="BJ80" t="e">
        <f>'All regions'!H2182+"$F;@!%X~"</f>
        <v>#VALUE!</v>
      </c>
      <c r="BK80" t="e">
        <f>'All regions'!I2182+"$F;@!%Y#"</f>
        <v>#VALUE!</v>
      </c>
      <c r="BL80" t="e">
        <f>'All regions'!A2183+"$F;@!%Y$"</f>
        <v>#VALUE!</v>
      </c>
      <c r="BM80" t="e">
        <f>'All regions'!B2183+"$F;@!%Y%"</f>
        <v>#VALUE!</v>
      </c>
      <c r="BN80" t="e">
        <f>'All regions'!C2183+"$F;@!%Y&amp;"</f>
        <v>#VALUE!</v>
      </c>
      <c r="BO80" t="e">
        <f>'All regions'!D2183+"$F;@!%Y'"</f>
        <v>#VALUE!</v>
      </c>
      <c r="BP80" t="e">
        <f>'All regions'!E2183+"$F;@!%Y("</f>
        <v>#VALUE!</v>
      </c>
      <c r="BQ80" t="e">
        <f>'All regions'!F2183+"$F;@!%Y)"</f>
        <v>#VALUE!</v>
      </c>
      <c r="BR80" t="e">
        <f>'All regions'!G2183+"$F;@!%Y."</f>
        <v>#VALUE!</v>
      </c>
      <c r="BS80" t="e">
        <f>'All regions'!H2183+"$F;@!%Y/"</f>
        <v>#VALUE!</v>
      </c>
      <c r="BT80" t="e">
        <f>'All regions'!I2183+"$F;@!%Y0"</f>
        <v>#VALUE!</v>
      </c>
      <c r="BU80" t="e">
        <f>'All regions'!A2184+"$F;@!%Y1"</f>
        <v>#VALUE!</v>
      </c>
      <c r="BV80" t="e">
        <f>'All regions'!B2184+"$F;@!%Y2"</f>
        <v>#VALUE!</v>
      </c>
      <c r="BW80" t="e">
        <f>'All regions'!C2184+"$F;@!%Y3"</f>
        <v>#VALUE!</v>
      </c>
      <c r="BX80" t="e">
        <f>'All regions'!D2184+"$F;@!%Y4"</f>
        <v>#VALUE!</v>
      </c>
      <c r="BY80" t="e">
        <f>'All regions'!E2184+"$F;@!%Y5"</f>
        <v>#VALUE!</v>
      </c>
      <c r="BZ80" t="e">
        <f>'All regions'!F2184+"$F;@!%Y6"</f>
        <v>#VALUE!</v>
      </c>
      <c r="CA80" t="e">
        <f>'All regions'!G2184+"$F;@!%Y7"</f>
        <v>#VALUE!</v>
      </c>
      <c r="CB80" t="e">
        <f>'All regions'!H2184+"$F;@!%Y8"</f>
        <v>#VALUE!</v>
      </c>
      <c r="CC80" t="e">
        <f>'All regions'!I2184+"$F;@!%Y9"</f>
        <v>#VALUE!</v>
      </c>
      <c r="CD80" t="e">
        <f>'All regions'!A2185+"$F;@!%Y:"</f>
        <v>#VALUE!</v>
      </c>
      <c r="CE80" t="e">
        <f>'All regions'!B2185+"$F;@!%Y;"</f>
        <v>#VALUE!</v>
      </c>
      <c r="CF80" t="e">
        <f>'All regions'!C2185+"$F;@!%Y&lt;"</f>
        <v>#VALUE!</v>
      </c>
      <c r="CG80" t="e">
        <f>'All regions'!D2185+"$F;@!%Y="</f>
        <v>#VALUE!</v>
      </c>
      <c r="CH80" t="e">
        <f>'All regions'!E2185+"$F;@!%Y&gt;"</f>
        <v>#VALUE!</v>
      </c>
      <c r="CI80" t="e">
        <f>'All regions'!F2185+"$F;@!%Y?"</f>
        <v>#VALUE!</v>
      </c>
      <c r="CJ80" t="e">
        <f>'All regions'!G2185+"$F;@!%Y@"</f>
        <v>#VALUE!</v>
      </c>
      <c r="CK80" t="e">
        <f>'All regions'!H2185+"$F;@!%YA"</f>
        <v>#VALUE!</v>
      </c>
      <c r="CL80" t="e">
        <f>'All regions'!I2185+"$F;@!%YB"</f>
        <v>#VALUE!</v>
      </c>
      <c r="CM80" t="e">
        <f>'All regions'!A2186+"$F;@!%YC"</f>
        <v>#VALUE!</v>
      </c>
      <c r="CN80" t="e">
        <f>'All regions'!B2186+"$F;@!%YD"</f>
        <v>#VALUE!</v>
      </c>
      <c r="CO80" t="e">
        <f>'All regions'!C2186+"$F;@!%YE"</f>
        <v>#VALUE!</v>
      </c>
      <c r="CP80" t="e">
        <f>'All regions'!D2186+"$F;@!%YF"</f>
        <v>#VALUE!</v>
      </c>
      <c r="CQ80" t="e">
        <f>'All regions'!E2186+"$F;@!%YG"</f>
        <v>#VALUE!</v>
      </c>
      <c r="CR80" t="e">
        <f>'All regions'!F2186+"$F;@!%YH"</f>
        <v>#VALUE!</v>
      </c>
      <c r="CS80" t="e">
        <f>'All regions'!G2186+"$F;@!%YI"</f>
        <v>#VALUE!</v>
      </c>
      <c r="CT80" t="e">
        <f>'All regions'!H2186+"$F;@!%YJ"</f>
        <v>#VALUE!</v>
      </c>
      <c r="CU80" t="e">
        <f>'All regions'!I2186+"$F;@!%YK"</f>
        <v>#VALUE!</v>
      </c>
      <c r="CV80" t="e">
        <f>'All regions'!A2187+"$F;@!%YL"</f>
        <v>#VALUE!</v>
      </c>
      <c r="CW80" t="e">
        <f>'All regions'!B2187+"$F;@!%YM"</f>
        <v>#VALUE!</v>
      </c>
      <c r="CX80" t="e">
        <f>'All regions'!C2187+"$F;@!%YN"</f>
        <v>#VALUE!</v>
      </c>
      <c r="CY80" t="e">
        <f>'All regions'!D2187+"$F;@!%YO"</f>
        <v>#VALUE!</v>
      </c>
      <c r="CZ80" t="e">
        <f>'All regions'!E2187+"$F;@!%YP"</f>
        <v>#VALUE!</v>
      </c>
      <c r="DA80" t="e">
        <f>'All regions'!F2187+"$F;@!%YQ"</f>
        <v>#VALUE!</v>
      </c>
      <c r="DB80" t="e">
        <f>'All regions'!G2187+"$F;@!%YR"</f>
        <v>#VALUE!</v>
      </c>
      <c r="DC80" t="e">
        <f>'All regions'!H2187+"$F;@!%YS"</f>
        <v>#VALUE!</v>
      </c>
      <c r="DD80" t="e">
        <f>'All regions'!I2187+"$F;@!%YT"</f>
        <v>#VALUE!</v>
      </c>
      <c r="DE80" t="e">
        <f>'All regions'!A2188+"$F;@!%YU"</f>
        <v>#VALUE!</v>
      </c>
      <c r="DF80" t="e">
        <f>'All regions'!B2188+"$F;@!%YV"</f>
        <v>#VALUE!</v>
      </c>
      <c r="DG80" t="e">
        <f>'All regions'!C2188+"$F;@!%YW"</f>
        <v>#VALUE!</v>
      </c>
      <c r="DH80" t="e">
        <f>'All regions'!D2188+"$F;@!%YX"</f>
        <v>#VALUE!</v>
      </c>
      <c r="DI80" t="e">
        <f>'All regions'!E2188+"$F;@!%YY"</f>
        <v>#VALUE!</v>
      </c>
      <c r="DJ80" t="e">
        <f>'All regions'!F2188+"$F;@!%YZ"</f>
        <v>#VALUE!</v>
      </c>
      <c r="DK80" t="e">
        <f>'All regions'!G2188+"$F;@!%Y["</f>
        <v>#VALUE!</v>
      </c>
      <c r="DL80" t="e">
        <f>'All regions'!H2188+"$F;@!%Y\"</f>
        <v>#VALUE!</v>
      </c>
      <c r="DM80" t="e">
        <f>'All regions'!I2188+"$F;@!%Y]"</f>
        <v>#VALUE!</v>
      </c>
      <c r="DN80" t="e">
        <f>'All regions'!A2189+"$F;@!%Y^"</f>
        <v>#VALUE!</v>
      </c>
      <c r="DO80" t="e">
        <f>'All regions'!B2189+"$F;@!%Y_"</f>
        <v>#VALUE!</v>
      </c>
      <c r="DP80" t="e">
        <f>'All regions'!C2189+"$F;@!%Y`"</f>
        <v>#VALUE!</v>
      </c>
      <c r="DQ80" t="e">
        <f>'All regions'!D2189+"$F;@!%Ya"</f>
        <v>#VALUE!</v>
      </c>
      <c r="DR80" t="e">
        <f>'All regions'!E2189+"$F;@!%Yb"</f>
        <v>#VALUE!</v>
      </c>
      <c r="DS80" t="e">
        <f>'All regions'!F2189+"$F;@!%Yc"</f>
        <v>#VALUE!</v>
      </c>
      <c r="DT80" t="e">
        <f>'All regions'!G2189+"$F;@!%Yd"</f>
        <v>#VALUE!</v>
      </c>
      <c r="DU80" t="e">
        <f>'All regions'!H2189+"$F;@!%Ye"</f>
        <v>#VALUE!</v>
      </c>
      <c r="DV80" t="e">
        <f>'All regions'!I2189+"$F;@!%Yf"</f>
        <v>#VALUE!</v>
      </c>
      <c r="DW80" t="e">
        <f>'All regions'!A2190+"$F;@!%Yg"</f>
        <v>#VALUE!</v>
      </c>
      <c r="DX80" t="e">
        <f>'All regions'!B2190+"$F;@!%Yh"</f>
        <v>#VALUE!</v>
      </c>
      <c r="DY80" t="e">
        <f>'All regions'!C2190+"$F;@!%Yi"</f>
        <v>#VALUE!</v>
      </c>
      <c r="DZ80" t="e">
        <f>'All regions'!D2190+"$F;@!%Yj"</f>
        <v>#VALUE!</v>
      </c>
      <c r="EA80" t="e">
        <f>'All regions'!E2190+"$F;@!%Yk"</f>
        <v>#VALUE!</v>
      </c>
      <c r="EB80" t="e">
        <f>'All regions'!F2190+"$F;@!%Yl"</f>
        <v>#VALUE!</v>
      </c>
      <c r="EC80" t="e">
        <f>'All regions'!G2190+"$F;@!%Ym"</f>
        <v>#VALUE!</v>
      </c>
      <c r="ED80" t="e">
        <f>'All regions'!H2190+"$F;@!%Yn"</f>
        <v>#VALUE!</v>
      </c>
      <c r="EE80" t="e">
        <f>'All regions'!I2190+"$F;@!%Yo"</f>
        <v>#VALUE!</v>
      </c>
      <c r="EF80" t="e">
        <f>'All regions'!A2191+"$F;@!%Yp"</f>
        <v>#VALUE!</v>
      </c>
      <c r="EG80" t="e">
        <f>'All regions'!B2191+"$F;@!%Yq"</f>
        <v>#VALUE!</v>
      </c>
      <c r="EH80" t="e">
        <f>'All regions'!C2191+"$F;@!%Yr"</f>
        <v>#VALUE!</v>
      </c>
      <c r="EI80" t="e">
        <f>'All regions'!D2191+"$F;@!%Ys"</f>
        <v>#VALUE!</v>
      </c>
      <c r="EJ80" t="e">
        <f>'All regions'!E2191+"$F;@!%Yt"</f>
        <v>#VALUE!</v>
      </c>
      <c r="EK80" t="e">
        <f>'All regions'!F2191+"$F;@!%Yu"</f>
        <v>#VALUE!</v>
      </c>
      <c r="EL80" t="e">
        <f>'All regions'!G2191+"$F;@!%Yv"</f>
        <v>#VALUE!</v>
      </c>
      <c r="EM80" t="e">
        <f>'All regions'!H2191+"$F;@!%Yw"</f>
        <v>#VALUE!</v>
      </c>
      <c r="EN80" t="e">
        <f>'All regions'!I2191+"$F;@!%Yx"</f>
        <v>#VALUE!</v>
      </c>
      <c r="EO80" t="e">
        <f>'All regions'!A2192+"$F;@!%Yy"</f>
        <v>#VALUE!</v>
      </c>
      <c r="EP80" t="e">
        <f>'All regions'!B2192+"$F;@!%Yz"</f>
        <v>#VALUE!</v>
      </c>
      <c r="EQ80" t="e">
        <f>'All regions'!C2192+"$F;@!%Y{"</f>
        <v>#VALUE!</v>
      </c>
      <c r="ER80" t="e">
        <f>'All regions'!D2192+"$F;@!%Y|"</f>
        <v>#VALUE!</v>
      </c>
      <c r="ES80" t="e">
        <f>'All regions'!E2192+"$F;@!%Y}"</f>
        <v>#VALUE!</v>
      </c>
      <c r="ET80" t="e">
        <f>'All regions'!F2192+"$F;@!%Y~"</f>
        <v>#VALUE!</v>
      </c>
      <c r="EU80" t="e">
        <f>'All regions'!G2192+"$F;@!%Z#"</f>
        <v>#VALUE!</v>
      </c>
      <c r="EV80" t="e">
        <f>'All regions'!H2192+"$F;@!%Z$"</f>
        <v>#VALUE!</v>
      </c>
      <c r="EW80" t="e">
        <f>'All regions'!I2192+"$F;@!%Z%"</f>
        <v>#VALUE!</v>
      </c>
      <c r="EX80" t="e">
        <f>'All regions'!A2193+"$F;@!%Z&amp;"</f>
        <v>#VALUE!</v>
      </c>
      <c r="EY80" t="e">
        <f>'All regions'!B2193+"$F;@!%Z'"</f>
        <v>#VALUE!</v>
      </c>
      <c r="EZ80" t="e">
        <f>'All regions'!C2193+"$F;@!%Z("</f>
        <v>#VALUE!</v>
      </c>
      <c r="FA80" t="e">
        <f>'All regions'!D2193+"$F;@!%Z)"</f>
        <v>#VALUE!</v>
      </c>
      <c r="FB80" t="e">
        <f>'All regions'!E2193+"$F;@!%Z."</f>
        <v>#VALUE!</v>
      </c>
      <c r="FC80" t="e">
        <f>'All regions'!F2193+"$F;@!%Z/"</f>
        <v>#VALUE!</v>
      </c>
      <c r="FD80" t="e">
        <f>'All regions'!G2193+"$F;@!%Z0"</f>
        <v>#VALUE!</v>
      </c>
      <c r="FE80" t="e">
        <f>'All regions'!H2193+"$F;@!%Z1"</f>
        <v>#VALUE!</v>
      </c>
      <c r="FF80" t="e">
        <f>'All regions'!I2193+"$F;@!%Z2"</f>
        <v>#VALUE!</v>
      </c>
      <c r="FG80" t="e">
        <f>'All regions'!A2194+"$F;@!%Z3"</f>
        <v>#VALUE!</v>
      </c>
      <c r="FH80" t="e">
        <f>'All regions'!B2194+"$F;@!%Z4"</f>
        <v>#VALUE!</v>
      </c>
      <c r="FI80" t="e">
        <f>'All regions'!C2194+"$F;@!%Z5"</f>
        <v>#VALUE!</v>
      </c>
      <c r="FJ80" t="e">
        <f>'All regions'!D2194+"$F;@!%Z6"</f>
        <v>#VALUE!</v>
      </c>
      <c r="FK80" t="e">
        <f>'All regions'!E2194+"$F;@!%Z7"</f>
        <v>#VALUE!</v>
      </c>
      <c r="FL80" t="e">
        <f>'All regions'!F2194+"$F;@!%Z8"</f>
        <v>#VALUE!</v>
      </c>
      <c r="FM80" t="e">
        <f>'All regions'!G2194+"$F;@!%Z9"</f>
        <v>#VALUE!</v>
      </c>
      <c r="FN80" t="e">
        <f>'All regions'!H2194+"$F;@!%Z:"</f>
        <v>#VALUE!</v>
      </c>
      <c r="FO80" t="e">
        <f>'All regions'!I2194+"$F;@!%Z;"</f>
        <v>#VALUE!</v>
      </c>
      <c r="FP80" t="e">
        <f>'All regions'!A2195+"$F;@!%Z&lt;"</f>
        <v>#VALUE!</v>
      </c>
      <c r="FQ80" t="e">
        <f>'All regions'!B2195+"$F;@!%Z="</f>
        <v>#VALUE!</v>
      </c>
      <c r="FR80" t="e">
        <f>'All regions'!C2195+"$F;@!%Z&gt;"</f>
        <v>#VALUE!</v>
      </c>
      <c r="FS80" t="e">
        <f>'All regions'!D2195+"$F;@!%Z?"</f>
        <v>#VALUE!</v>
      </c>
      <c r="FT80" t="e">
        <f>'All regions'!E2195+"$F;@!%Z@"</f>
        <v>#VALUE!</v>
      </c>
      <c r="FU80" t="e">
        <f>'All regions'!F2195+"$F;@!%ZA"</f>
        <v>#VALUE!</v>
      </c>
      <c r="FV80" t="e">
        <f>'All regions'!G2195+"$F;@!%ZB"</f>
        <v>#VALUE!</v>
      </c>
      <c r="FW80" t="e">
        <f>'All regions'!H2195+"$F;@!%ZC"</f>
        <v>#VALUE!</v>
      </c>
      <c r="FX80" t="e">
        <f>'All regions'!I2195+"$F;@!%ZD"</f>
        <v>#VALUE!</v>
      </c>
      <c r="FY80" t="e">
        <f>'All regions'!A2196+"$F;@!%ZE"</f>
        <v>#VALUE!</v>
      </c>
      <c r="FZ80" t="e">
        <f>'All regions'!B2196+"$F;@!%ZF"</f>
        <v>#VALUE!</v>
      </c>
      <c r="GA80" t="e">
        <f>'All regions'!C2196+"$F;@!%ZG"</f>
        <v>#VALUE!</v>
      </c>
      <c r="GB80" t="e">
        <f>'All regions'!D2196+"$F;@!%ZH"</f>
        <v>#VALUE!</v>
      </c>
      <c r="GC80" t="e">
        <f>'All regions'!E2196+"$F;@!%ZI"</f>
        <v>#VALUE!</v>
      </c>
      <c r="GD80" t="e">
        <f>'All regions'!F2196+"$F;@!%ZJ"</f>
        <v>#VALUE!</v>
      </c>
      <c r="GE80" t="e">
        <f>'All regions'!G2196+"$F;@!%ZK"</f>
        <v>#VALUE!</v>
      </c>
      <c r="GF80" t="e">
        <f>'All regions'!H2196+"$F;@!%ZL"</f>
        <v>#VALUE!</v>
      </c>
      <c r="GG80" t="e">
        <f>'All regions'!I2196+"$F;@!%ZM"</f>
        <v>#VALUE!</v>
      </c>
      <c r="GH80" t="e">
        <f>'All regions'!A2197+"$F;@!%ZN"</f>
        <v>#VALUE!</v>
      </c>
      <c r="GI80" t="e">
        <f>'All regions'!B2197+"$F;@!%ZO"</f>
        <v>#VALUE!</v>
      </c>
      <c r="GJ80" t="e">
        <f>'All regions'!C2197+"$F;@!%ZP"</f>
        <v>#VALUE!</v>
      </c>
      <c r="GK80" t="e">
        <f>'All regions'!D2197+"$F;@!%ZQ"</f>
        <v>#VALUE!</v>
      </c>
      <c r="GL80" t="e">
        <f>'All regions'!E2197+"$F;@!%ZR"</f>
        <v>#VALUE!</v>
      </c>
      <c r="GM80" t="e">
        <f>'All regions'!F2197+"$F;@!%ZS"</f>
        <v>#VALUE!</v>
      </c>
      <c r="GN80" t="e">
        <f>'All regions'!G2197+"$F;@!%ZT"</f>
        <v>#VALUE!</v>
      </c>
      <c r="GO80" t="e">
        <f>'All regions'!H2197+"$F;@!%ZU"</f>
        <v>#VALUE!</v>
      </c>
      <c r="GP80" t="e">
        <f>'All regions'!I2197+"$F;@!%ZV"</f>
        <v>#VALUE!</v>
      </c>
      <c r="GQ80" t="e">
        <f>'All regions'!A2198+"$F;@!%ZW"</f>
        <v>#VALUE!</v>
      </c>
      <c r="GR80" t="e">
        <f>'All regions'!B2198+"$F;@!%ZX"</f>
        <v>#VALUE!</v>
      </c>
      <c r="GS80" t="e">
        <f>'All regions'!C2198+"$F;@!%ZY"</f>
        <v>#VALUE!</v>
      </c>
      <c r="GT80" t="e">
        <f>'All regions'!D2198+"$F;@!%ZZ"</f>
        <v>#VALUE!</v>
      </c>
      <c r="GU80" t="e">
        <f>'All regions'!E2198+"$F;@!%Z["</f>
        <v>#VALUE!</v>
      </c>
      <c r="GV80" t="e">
        <f>'All regions'!F2198+"$F;@!%Z\"</f>
        <v>#VALUE!</v>
      </c>
      <c r="GW80" t="e">
        <f>'All regions'!G2198+"$F;@!%Z]"</f>
        <v>#VALUE!</v>
      </c>
      <c r="GX80" t="e">
        <f>'All regions'!H2198+"$F;@!%Z^"</f>
        <v>#VALUE!</v>
      </c>
      <c r="GY80" t="e">
        <f>'All regions'!I2198+"$F;@!%Z_"</f>
        <v>#VALUE!</v>
      </c>
      <c r="GZ80" t="e">
        <f>'All regions'!A2199+"$F;@!%Z`"</f>
        <v>#VALUE!</v>
      </c>
      <c r="HA80" t="e">
        <f>'All regions'!B2199+"$F;@!%Za"</f>
        <v>#VALUE!</v>
      </c>
      <c r="HB80" t="e">
        <f>'All regions'!C2199+"$F;@!%Zb"</f>
        <v>#VALUE!</v>
      </c>
      <c r="HC80" t="e">
        <f>'All regions'!D2199+"$F;@!%Zc"</f>
        <v>#VALUE!</v>
      </c>
      <c r="HD80" t="e">
        <f>'All regions'!E2199+"$F;@!%Zd"</f>
        <v>#VALUE!</v>
      </c>
      <c r="HE80" t="e">
        <f>'All regions'!F2199+"$F;@!%Ze"</f>
        <v>#VALUE!</v>
      </c>
      <c r="HF80" t="e">
        <f>'All regions'!G2199+"$F;@!%Zf"</f>
        <v>#VALUE!</v>
      </c>
      <c r="HG80" t="e">
        <f>'All regions'!H2199+"$F;@!%Zg"</f>
        <v>#VALUE!</v>
      </c>
      <c r="HH80" t="e">
        <f>'All regions'!I2199+"$F;@!%Zh"</f>
        <v>#VALUE!</v>
      </c>
      <c r="HI80" t="e">
        <f>'All regions'!A2200+"$F;@!%Zi"</f>
        <v>#VALUE!</v>
      </c>
      <c r="HJ80" t="e">
        <f>'All regions'!B2200+"$F;@!%Zj"</f>
        <v>#VALUE!</v>
      </c>
      <c r="HK80" t="e">
        <f>'All regions'!C2200+"$F;@!%Zk"</f>
        <v>#VALUE!</v>
      </c>
      <c r="HL80" t="e">
        <f>'All regions'!D2200+"$F;@!%Zl"</f>
        <v>#VALUE!</v>
      </c>
      <c r="HM80" t="e">
        <f>'All regions'!E2200+"$F;@!%Zm"</f>
        <v>#VALUE!</v>
      </c>
      <c r="HN80" t="e">
        <f>'All regions'!F2200+"$F;@!%Zn"</f>
        <v>#VALUE!</v>
      </c>
      <c r="HO80" t="e">
        <f>'All regions'!G2200+"$F;@!%Zo"</f>
        <v>#VALUE!</v>
      </c>
      <c r="HP80" t="e">
        <f>'All regions'!H2200+"$F;@!%Zp"</f>
        <v>#VALUE!</v>
      </c>
      <c r="HQ80" t="e">
        <f>'All regions'!I2200+"$F;@!%Zq"</f>
        <v>#VALUE!</v>
      </c>
      <c r="HR80" t="e">
        <f>'All regions'!A2201+"$F;@!%Zr"</f>
        <v>#VALUE!</v>
      </c>
      <c r="HS80" t="e">
        <f>'All regions'!B2201+"$F;@!%Zs"</f>
        <v>#VALUE!</v>
      </c>
      <c r="HT80" t="e">
        <f>'All regions'!C2201+"$F;@!%Zt"</f>
        <v>#VALUE!</v>
      </c>
      <c r="HU80" t="e">
        <f>'All regions'!D2201+"$F;@!%Zu"</f>
        <v>#VALUE!</v>
      </c>
      <c r="HV80" t="e">
        <f>'All regions'!E2201+"$F;@!%Zv"</f>
        <v>#VALUE!</v>
      </c>
      <c r="HW80" t="e">
        <f>'All regions'!F2201+"$F;@!%Zw"</f>
        <v>#VALUE!</v>
      </c>
      <c r="HX80" t="e">
        <f>'All regions'!G2201+"$F;@!%Zx"</f>
        <v>#VALUE!</v>
      </c>
      <c r="HY80" t="e">
        <f>'All regions'!H2201+"$F;@!%Zy"</f>
        <v>#VALUE!</v>
      </c>
      <c r="HZ80" t="e">
        <f>'All regions'!I2201+"$F;@!%Zz"</f>
        <v>#VALUE!</v>
      </c>
      <c r="IA80" t="e">
        <f>'All regions'!A2202+"$F;@!%Z{"</f>
        <v>#VALUE!</v>
      </c>
      <c r="IB80" t="e">
        <f>'All regions'!B2202+"$F;@!%Z|"</f>
        <v>#VALUE!</v>
      </c>
      <c r="IC80" t="e">
        <f>'All regions'!C2202+"$F;@!%Z}"</f>
        <v>#VALUE!</v>
      </c>
      <c r="ID80" t="e">
        <f>'All regions'!D2202+"$F;@!%Z~"</f>
        <v>#VALUE!</v>
      </c>
      <c r="IE80" t="e">
        <f>'All regions'!E2202+"$F;@!%[#"</f>
        <v>#VALUE!</v>
      </c>
      <c r="IF80" t="e">
        <f>'All regions'!F2202+"$F;@!%[$"</f>
        <v>#VALUE!</v>
      </c>
      <c r="IG80" t="e">
        <f>'All regions'!G2202+"$F;@!%[%"</f>
        <v>#VALUE!</v>
      </c>
      <c r="IH80" t="e">
        <f>'All regions'!H2202+"$F;@!%[&amp;"</f>
        <v>#VALUE!</v>
      </c>
      <c r="II80" t="e">
        <f>'All regions'!I2202+"$F;@!%['"</f>
        <v>#VALUE!</v>
      </c>
      <c r="IJ80" t="e">
        <f>'All regions'!A2203+"$F;@!%[("</f>
        <v>#VALUE!</v>
      </c>
      <c r="IK80" t="e">
        <f>'All regions'!B2203+"$F;@!%[)"</f>
        <v>#VALUE!</v>
      </c>
      <c r="IL80" t="e">
        <f>'All regions'!C2203+"$F;@!%[."</f>
        <v>#VALUE!</v>
      </c>
      <c r="IM80" t="e">
        <f>'All regions'!D2203+"$F;@!%[/"</f>
        <v>#VALUE!</v>
      </c>
      <c r="IN80" t="e">
        <f>'All regions'!E2203+"$F;@!%[0"</f>
        <v>#VALUE!</v>
      </c>
      <c r="IO80" t="e">
        <f>'All regions'!F2203+"$F;@!%[1"</f>
        <v>#VALUE!</v>
      </c>
      <c r="IP80" t="e">
        <f>'All regions'!G2203+"$F;@!%[2"</f>
        <v>#VALUE!</v>
      </c>
      <c r="IQ80" t="e">
        <f>'All regions'!H2203+"$F;@!%[3"</f>
        <v>#VALUE!</v>
      </c>
      <c r="IR80" t="e">
        <f>'All regions'!I2203+"$F;@!%[4"</f>
        <v>#VALUE!</v>
      </c>
      <c r="IS80" t="e">
        <f>'All regions'!A2204+"$F;@!%[5"</f>
        <v>#VALUE!</v>
      </c>
      <c r="IT80" t="e">
        <f>'All regions'!B2204+"$F;@!%[6"</f>
        <v>#VALUE!</v>
      </c>
      <c r="IU80" t="e">
        <f>'All regions'!C2204+"$F;@!%[7"</f>
        <v>#VALUE!</v>
      </c>
      <c r="IV80" t="e">
        <f>'All regions'!D2204+"$F;@!%[8"</f>
        <v>#VALUE!</v>
      </c>
    </row>
    <row r="81" spans="6:256" x14ac:dyDescent="0.35">
      <c r="F81" t="e">
        <f>'All regions'!E2204+"$F;@!%[9"</f>
        <v>#VALUE!</v>
      </c>
      <c r="G81" t="e">
        <f>'All regions'!F2204+"$F;@!%[:"</f>
        <v>#VALUE!</v>
      </c>
      <c r="H81" t="e">
        <f>'All regions'!G2204+"$F;@!%[;"</f>
        <v>#VALUE!</v>
      </c>
      <c r="I81" t="e">
        <f>'All regions'!H2204+"$F;@!%[&lt;"</f>
        <v>#VALUE!</v>
      </c>
      <c r="J81" t="e">
        <f>'All regions'!I2204+"$F;@!%[="</f>
        <v>#VALUE!</v>
      </c>
      <c r="K81" t="e">
        <f>'All regions'!A2205+"$F;@!%[&gt;"</f>
        <v>#VALUE!</v>
      </c>
      <c r="L81" t="e">
        <f>'All regions'!B2205+"$F;@!%[?"</f>
        <v>#VALUE!</v>
      </c>
      <c r="M81" t="e">
        <f>'All regions'!C2205+"$F;@!%[@"</f>
        <v>#VALUE!</v>
      </c>
      <c r="N81" t="e">
        <f>'All regions'!D2205+"$F;@!%[A"</f>
        <v>#VALUE!</v>
      </c>
      <c r="O81" t="e">
        <f>'All regions'!E2205+"$F;@!%[B"</f>
        <v>#VALUE!</v>
      </c>
      <c r="P81" t="e">
        <f>'All regions'!F2205+"$F;@!%[C"</f>
        <v>#VALUE!</v>
      </c>
      <c r="Q81" t="e">
        <f>'All regions'!G2205+"$F;@!%[D"</f>
        <v>#VALUE!</v>
      </c>
      <c r="R81" t="e">
        <f>'All regions'!H2205+"$F;@!%[E"</f>
        <v>#VALUE!</v>
      </c>
      <c r="S81" t="e">
        <f>'All regions'!I2205+"$F;@!%[F"</f>
        <v>#VALUE!</v>
      </c>
      <c r="T81" t="e">
        <f>'All regions'!A2206+"$F;@!%[G"</f>
        <v>#VALUE!</v>
      </c>
      <c r="U81" t="e">
        <f>'All regions'!B2206+"$F;@!%[H"</f>
        <v>#VALUE!</v>
      </c>
      <c r="V81" t="e">
        <f>'All regions'!C2206+"$F;@!%[I"</f>
        <v>#VALUE!</v>
      </c>
      <c r="W81" t="e">
        <f>'All regions'!D2206+"$F;@!%[J"</f>
        <v>#VALUE!</v>
      </c>
      <c r="X81" t="e">
        <f>'All regions'!E2206+"$F;@!%[K"</f>
        <v>#VALUE!</v>
      </c>
      <c r="Y81" t="e">
        <f>'All regions'!F2206+"$F;@!%[L"</f>
        <v>#VALUE!</v>
      </c>
      <c r="Z81" t="e">
        <f>'All regions'!G2206+"$F;@!%[M"</f>
        <v>#VALUE!</v>
      </c>
      <c r="AA81" t="e">
        <f>'All regions'!H2206+"$F;@!%[N"</f>
        <v>#VALUE!</v>
      </c>
      <c r="AB81" t="e">
        <f>'All regions'!I2206+"$F;@!%[O"</f>
        <v>#VALUE!</v>
      </c>
      <c r="AC81" t="e">
        <f>'All regions'!A2207+"$F;@!%[P"</f>
        <v>#VALUE!</v>
      </c>
      <c r="AD81" t="e">
        <f>'All regions'!B2207+"$F;@!%[Q"</f>
        <v>#VALUE!</v>
      </c>
      <c r="AE81" t="e">
        <f>'All regions'!C2207+"$F;@!%[R"</f>
        <v>#VALUE!</v>
      </c>
      <c r="AF81" t="e">
        <f>'All regions'!D2207+"$F;@!%[S"</f>
        <v>#VALUE!</v>
      </c>
      <c r="AG81" t="e">
        <f>'All regions'!E2207+"$F;@!%[T"</f>
        <v>#VALUE!</v>
      </c>
      <c r="AH81" t="e">
        <f>'All regions'!F2207+"$F;@!%[U"</f>
        <v>#VALUE!</v>
      </c>
      <c r="AI81" t="e">
        <f>'All regions'!G2207+"$F;@!%[V"</f>
        <v>#VALUE!</v>
      </c>
      <c r="AJ81" t="e">
        <f>'All regions'!H2207+"$F;@!%[W"</f>
        <v>#VALUE!</v>
      </c>
      <c r="AK81" t="e">
        <f>'All regions'!I2207+"$F;@!%[X"</f>
        <v>#VALUE!</v>
      </c>
      <c r="AL81" t="e">
        <f>'All regions'!A2208+"$F;@!%[Y"</f>
        <v>#VALUE!</v>
      </c>
      <c r="AM81" t="e">
        <f>'All regions'!B2208+"$F;@!%[Z"</f>
        <v>#VALUE!</v>
      </c>
      <c r="AN81" t="e">
        <f>'All regions'!C2208+"$F;@!%[["</f>
        <v>#VALUE!</v>
      </c>
      <c r="AO81" t="e">
        <f>'All regions'!D2208+"$F;@!%[\"</f>
        <v>#VALUE!</v>
      </c>
      <c r="AP81" t="e">
        <f>'All regions'!E2208+"$F;@!%[]"</f>
        <v>#VALUE!</v>
      </c>
      <c r="AQ81" t="e">
        <f>'All regions'!F2208+"$F;@!%[^"</f>
        <v>#VALUE!</v>
      </c>
      <c r="AR81" t="e">
        <f>'All regions'!G2208+"$F;@!%[_"</f>
        <v>#VALUE!</v>
      </c>
      <c r="AS81" t="e">
        <f>'All regions'!H2208+"$F;@!%[`"</f>
        <v>#VALUE!</v>
      </c>
      <c r="AT81" t="e">
        <f>'All regions'!I2208+"$F;@!%[a"</f>
        <v>#VALUE!</v>
      </c>
      <c r="AU81" t="e">
        <f>'All regions'!A2209+"$F;@!%[b"</f>
        <v>#VALUE!</v>
      </c>
      <c r="AV81" t="e">
        <f>'All regions'!B2209+"$F;@!%[c"</f>
        <v>#VALUE!</v>
      </c>
      <c r="AW81" t="e">
        <f>'All regions'!C2209+"$F;@!%[d"</f>
        <v>#VALUE!</v>
      </c>
      <c r="AX81" t="e">
        <f>'All regions'!D2209+"$F;@!%[e"</f>
        <v>#VALUE!</v>
      </c>
      <c r="AY81" t="e">
        <f>'All regions'!E2209+"$F;@!%[f"</f>
        <v>#VALUE!</v>
      </c>
      <c r="AZ81" t="e">
        <f>'All regions'!F2209+"$F;@!%[g"</f>
        <v>#VALUE!</v>
      </c>
      <c r="BA81" t="e">
        <f>'All regions'!G2209+"$F;@!%[h"</f>
        <v>#VALUE!</v>
      </c>
      <c r="BB81" t="e">
        <f>'All regions'!H2209+"$F;@!%[i"</f>
        <v>#VALUE!</v>
      </c>
      <c r="BC81" t="e">
        <f>'All regions'!I2209+"$F;@!%[j"</f>
        <v>#VALUE!</v>
      </c>
      <c r="BD81" t="e">
        <f>'All regions'!A2210+"$F;@!%[k"</f>
        <v>#VALUE!</v>
      </c>
      <c r="BE81" t="e">
        <f>'All regions'!B2210+"$F;@!%[l"</f>
        <v>#VALUE!</v>
      </c>
      <c r="BF81" t="e">
        <f>'All regions'!C2210+"$F;@!%[m"</f>
        <v>#VALUE!</v>
      </c>
      <c r="BG81" t="e">
        <f>'All regions'!D2210+"$F;@!%[n"</f>
        <v>#VALUE!</v>
      </c>
      <c r="BH81" t="e">
        <f>'All regions'!E2210+"$F;@!%[o"</f>
        <v>#VALUE!</v>
      </c>
      <c r="BI81" t="e">
        <f>'All regions'!F2210+"$F;@!%[p"</f>
        <v>#VALUE!</v>
      </c>
      <c r="BJ81" t="e">
        <f>'All regions'!G2210+"$F;@!%[q"</f>
        <v>#VALUE!</v>
      </c>
      <c r="BK81" t="e">
        <f>'All regions'!H2210+"$F;@!%[r"</f>
        <v>#VALUE!</v>
      </c>
      <c r="BL81" t="e">
        <f>'All regions'!I2210+"$F;@!%[s"</f>
        <v>#VALUE!</v>
      </c>
      <c r="BM81" t="e">
        <f>'All regions'!A2211+"$F;@!%[t"</f>
        <v>#VALUE!</v>
      </c>
      <c r="BN81" t="e">
        <f>'All regions'!B2211+"$F;@!%[u"</f>
        <v>#VALUE!</v>
      </c>
      <c r="BO81" t="e">
        <f>'All regions'!C2211+"$F;@!%[v"</f>
        <v>#VALUE!</v>
      </c>
      <c r="BP81" t="e">
        <f>'All regions'!D2211+"$F;@!%[w"</f>
        <v>#VALUE!</v>
      </c>
      <c r="BQ81" t="e">
        <f>'All regions'!E2211+"$F;@!%[x"</f>
        <v>#VALUE!</v>
      </c>
      <c r="BR81" t="e">
        <f>'All regions'!F2211+"$F;@!%[y"</f>
        <v>#VALUE!</v>
      </c>
      <c r="BS81" t="e">
        <f>'All regions'!G2211+"$F;@!%[z"</f>
        <v>#VALUE!</v>
      </c>
      <c r="BT81" t="e">
        <f>'All regions'!H2211+"$F;@!%[{"</f>
        <v>#VALUE!</v>
      </c>
      <c r="BU81" t="e">
        <f>'All regions'!I2211+"$F;@!%[|"</f>
        <v>#VALUE!</v>
      </c>
      <c r="BV81" t="e">
        <f>'All regions'!A2212+"$F;@!%[}"</f>
        <v>#VALUE!</v>
      </c>
      <c r="BW81" t="e">
        <f>'All regions'!B2212+"$F;@!%[~"</f>
        <v>#VALUE!</v>
      </c>
      <c r="BX81" t="e">
        <f>'All regions'!C2212+"$F;@!%\#"</f>
        <v>#VALUE!</v>
      </c>
      <c r="BY81" t="e">
        <f>'All regions'!D2212+"$F;@!%\$"</f>
        <v>#VALUE!</v>
      </c>
      <c r="BZ81" t="e">
        <f>'All regions'!E2212+"$F;@!%\%"</f>
        <v>#VALUE!</v>
      </c>
      <c r="CA81" t="e">
        <f>'All regions'!F2212+"$F;@!%\&amp;"</f>
        <v>#VALUE!</v>
      </c>
      <c r="CB81" t="e">
        <f>'All regions'!G2212+"$F;@!%\'"</f>
        <v>#VALUE!</v>
      </c>
      <c r="CC81" t="e">
        <f>'All regions'!H2212+"$F;@!%\("</f>
        <v>#VALUE!</v>
      </c>
      <c r="CD81" t="e">
        <f>'All regions'!I2212+"$F;@!%\)"</f>
        <v>#VALUE!</v>
      </c>
      <c r="CE81" t="e">
        <f>'All regions'!A2213+"$F;@!%\."</f>
        <v>#VALUE!</v>
      </c>
      <c r="CF81" t="e">
        <f>'All regions'!B2213+"$F;@!%\/"</f>
        <v>#VALUE!</v>
      </c>
      <c r="CG81" t="e">
        <f>'All regions'!C2213+"$F;@!%\0"</f>
        <v>#VALUE!</v>
      </c>
      <c r="CH81" t="e">
        <f>'All regions'!D2213+"$F;@!%\1"</f>
        <v>#VALUE!</v>
      </c>
      <c r="CI81" t="e">
        <f>'All regions'!E2213+"$F;@!%\2"</f>
        <v>#VALUE!</v>
      </c>
      <c r="CJ81" t="e">
        <f>'All regions'!F2213+"$F;@!%\3"</f>
        <v>#VALUE!</v>
      </c>
      <c r="CK81" t="e">
        <f>'All regions'!G2213+"$F;@!%\4"</f>
        <v>#VALUE!</v>
      </c>
      <c r="CL81" t="e">
        <f>'All regions'!H2213+"$F;@!%\5"</f>
        <v>#VALUE!</v>
      </c>
      <c r="CM81" t="e">
        <f>'All regions'!I2213+"$F;@!%\6"</f>
        <v>#VALUE!</v>
      </c>
      <c r="CN81" t="e">
        <f>'All regions'!A2214+"$F;@!%\7"</f>
        <v>#VALUE!</v>
      </c>
      <c r="CO81" t="e">
        <f>'All regions'!B2214+"$F;@!%\8"</f>
        <v>#VALUE!</v>
      </c>
      <c r="CP81" t="e">
        <f>'All regions'!C2214+"$F;@!%\9"</f>
        <v>#VALUE!</v>
      </c>
      <c r="CQ81" t="e">
        <f>'All regions'!D2214+"$F;@!%\:"</f>
        <v>#VALUE!</v>
      </c>
      <c r="CR81" t="e">
        <f>'All regions'!E2214+"$F;@!%\;"</f>
        <v>#VALUE!</v>
      </c>
      <c r="CS81" t="e">
        <f>'All regions'!F2214+"$F;@!%\&lt;"</f>
        <v>#VALUE!</v>
      </c>
      <c r="CT81" t="e">
        <f>'All regions'!G2214+"$F;@!%\="</f>
        <v>#VALUE!</v>
      </c>
      <c r="CU81" t="e">
        <f>'All regions'!H2214+"$F;@!%\&gt;"</f>
        <v>#VALUE!</v>
      </c>
      <c r="CV81" t="e">
        <f>'All regions'!I2214+"$F;@!%\?"</f>
        <v>#VALUE!</v>
      </c>
      <c r="CW81" t="e">
        <f>'All regions'!A2215+"$F;@!%\@"</f>
        <v>#VALUE!</v>
      </c>
      <c r="CX81" t="e">
        <f>'All regions'!B2215+"$F;@!%\A"</f>
        <v>#VALUE!</v>
      </c>
      <c r="CY81" t="e">
        <f>'All regions'!C2215+"$F;@!%\B"</f>
        <v>#VALUE!</v>
      </c>
      <c r="CZ81" t="e">
        <f>'All regions'!D2215+"$F;@!%\C"</f>
        <v>#VALUE!</v>
      </c>
      <c r="DA81" t="e">
        <f>'All regions'!E2215+"$F;@!%\D"</f>
        <v>#VALUE!</v>
      </c>
      <c r="DB81" t="e">
        <f>'All regions'!F2215+"$F;@!%\E"</f>
        <v>#VALUE!</v>
      </c>
      <c r="DC81" t="e">
        <f>'All regions'!G2215+"$F;@!%\F"</f>
        <v>#VALUE!</v>
      </c>
      <c r="DD81" t="e">
        <f>'All regions'!H2215+"$F;@!%\G"</f>
        <v>#VALUE!</v>
      </c>
      <c r="DE81" t="e">
        <f>'All regions'!I2215+"$F;@!%\H"</f>
        <v>#VALUE!</v>
      </c>
      <c r="DF81" t="e">
        <f>'All regions'!A2216+"$F;@!%\I"</f>
        <v>#VALUE!</v>
      </c>
      <c r="DG81" t="e">
        <f>'All regions'!B2216+"$F;@!%\J"</f>
        <v>#VALUE!</v>
      </c>
      <c r="DH81" t="e">
        <f>'All regions'!C2216+"$F;@!%\K"</f>
        <v>#VALUE!</v>
      </c>
      <c r="DI81" t="e">
        <f>'All regions'!D2216+"$F;@!%\L"</f>
        <v>#VALUE!</v>
      </c>
      <c r="DJ81" t="e">
        <f>'All regions'!E2216+"$F;@!%\M"</f>
        <v>#VALUE!</v>
      </c>
      <c r="DK81" t="e">
        <f>'All regions'!F2216+"$F;@!%\N"</f>
        <v>#VALUE!</v>
      </c>
      <c r="DL81" t="e">
        <f>'All regions'!G2216+"$F;@!%\O"</f>
        <v>#VALUE!</v>
      </c>
      <c r="DM81" t="e">
        <f>'All regions'!H2216+"$F;@!%\P"</f>
        <v>#VALUE!</v>
      </c>
      <c r="DN81" t="e">
        <f>'All regions'!I2216+"$F;@!%\Q"</f>
        <v>#VALUE!</v>
      </c>
      <c r="DO81" t="e">
        <f>'All regions'!A2217+"$F;@!%\R"</f>
        <v>#VALUE!</v>
      </c>
      <c r="DP81" t="e">
        <f>'All regions'!B2217+"$F;@!%\S"</f>
        <v>#VALUE!</v>
      </c>
      <c r="DQ81" t="e">
        <f>'All regions'!C2217+"$F;@!%\T"</f>
        <v>#VALUE!</v>
      </c>
      <c r="DR81" t="e">
        <f>'All regions'!D2217+"$F;@!%\U"</f>
        <v>#VALUE!</v>
      </c>
      <c r="DS81" t="e">
        <f>'All regions'!E2217+"$F;@!%\V"</f>
        <v>#VALUE!</v>
      </c>
      <c r="DT81" t="e">
        <f>'All regions'!F2217+"$F;@!%\W"</f>
        <v>#VALUE!</v>
      </c>
      <c r="DU81" t="e">
        <f>'All regions'!G2217+"$F;@!%\X"</f>
        <v>#VALUE!</v>
      </c>
      <c r="DV81" t="e">
        <f>'All regions'!H2217+"$F;@!%\Y"</f>
        <v>#VALUE!</v>
      </c>
      <c r="DW81" t="e">
        <f>'All regions'!I2217+"$F;@!%\Z"</f>
        <v>#VALUE!</v>
      </c>
      <c r="DX81" t="e">
        <f>'All regions'!A2218+"$F;@!%\["</f>
        <v>#VALUE!</v>
      </c>
      <c r="DY81" t="e">
        <f>'All regions'!B2218+"$F;@!%\\"</f>
        <v>#VALUE!</v>
      </c>
      <c r="DZ81" t="e">
        <f>'All regions'!C2218+"$F;@!%\]"</f>
        <v>#VALUE!</v>
      </c>
      <c r="EA81" t="e">
        <f>'All regions'!D2218+"$F;@!%\^"</f>
        <v>#VALUE!</v>
      </c>
      <c r="EB81" t="e">
        <f>'All regions'!E2218+"$F;@!%\_"</f>
        <v>#VALUE!</v>
      </c>
      <c r="EC81" t="e">
        <f>'All regions'!F2218+"$F;@!%\`"</f>
        <v>#VALUE!</v>
      </c>
      <c r="ED81" t="e">
        <f>'All regions'!G2218+"$F;@!%\a"</f>
        <v>#VALUE!</v>
      </c>
      <c r="EE81" t="e">
        <f>'All regions'!H2218+"$F;@!%\b"</f>
        <v>#VALUE!</v>
      </c>
      <c r="EF81" t="e">
        <f>'All regions'!I2218+"$F;@!%\c"</f>
        <v>#VALUE!</v>
      </c>
      <c r="EG81" t="e">
        <f>'All regions'!A2219+"$F;@!%\d"</f>
        <v>#VALUE!</v>
      </c>
      <c r="EH81" t="e">
        <f>'All regions'!B2219+"$F;@!%\e"</f>
        <v>#VALUE!</v>
      </c>
      <c r="EI81" t="e">
        <f>'All regions'!C2219+"$F;@!%\f"</f>
        <v>#VALUE!</v>
      </c>
      <c r="EJ81" t="e">
        <f>'All regions'!D2219+"$F;@!%\g"</f>
        <v>#VALUE!</v>
      </c>
      <c r="EK81" t="e">
        <f>'All regions'!E2219+"$F;@!%\h"</f>
        <v>#VALUE!</v>
      </c>
      <c r="EL81" t="e">
        <f>'All regions'!F2219+"$F;@!%\i"</f>
        <v>#VALUE!</v>
      </c>
      <c r="EM81" t="e">
        <f>'All regions'!G2219+"$F;@!%\j"</f>
        <v>#VALUE!</v>
      </c>
      <c r="EN81" t="e">
        <f>'All regions'!H2219+"$F;@!%\k"</f>
        <v>#VALUE!</v>
      </c>
      <c r="EO81" t="e">
        <f>'All regions'!I2219+"$F;@!%\l"</f>
        <v>#VALUE!</v>
      </c>
      <c r="EP81" t="e">
        <f>'All regions'!A2220+"$F;@!%\m"</f>
        <v>#VALUE!</v>
      </c>
      <c r="EQ81" t="e">
        <f>'All regions'!B2220+"$F;@!%\n"</f>
        <v>#VALUE!</v>
      </c>
      <c r="ER81" t="e">
        <f>'All regions'!C2220+"$F;@!%\o"</f>
        <v>#VALUE!</v>
      </c>
      <c r="ES81" t="e">
        <f>'All regions'!D2220+"$F;@!%\p"</f>
        <v>#VALUE!</v>
      </c>
      <c r="ET81" t="e">
        <f>'All regions'!E2220+"$F;@!%\q"</f>
        <v>#VALUE!</v>
      </c>
      <c r="EU81" t="e">
        <f>'All regions'!F2220+"$F;@!%\r"</f>
        <v>#VALUE!</v>
      </c>
      <c r="EV81" t="e">
        <f>'All regions'!G2220+"$F;@!%\s"</f>
        <v>#VALUE!</v>
      </c>
      <c r="EW81" t="e">
        <f>'All regions'!H2220+"$F;@!%\t"</f>
        <v>#VALUE!</v>
      </c>
      <c r="EX81" t="e">
        <f>'All regions'!I2220+"$F;@!%\u"</f>
        <v>#VALUE!</v>
      </c>
      <c r="EY81" t="e">
        <f>'All regions'!A2221+"$F;@!%\v"</f>
        <v>#VALUE!</v>
      </c>
      <c r="EZ81" t="e">
        <f>'All regions'!B2221+"$F;@!%\w"</f>
        <v>#VALUE!</v>
      </c>
      <c r="FA81" t="e">
        <f>'All regions'!C2221+"$F;@!%\x"</f>
        <v>#VALUE!</v>
      </c>
      <c r="FB81" t="e">
        <f>'All regions'!D2221+"$F;@!%\y"</f>
        <v>#VALUE!</v>
      </c>
      <c r="FC81" t="e">
        <f>'All regions'!E2221+"$F;@!%\z"</f>
        <v>#VALUE!</v>
      </c>
      <c r="FD81" t="e">
        <f>'All regions'!F2221+"$F;@!%\{"</f>
        <v>#VALUE!</v>
      </c>
      <c r="FE81" t="e">
        <f>'All regions'!G2221+"$F;@!%\|"</f>
        <v>#VALUE!</v>
      </c>
      <c r="FF81" t="e">
        <f>'All regions'!H2221+"$F;@!%\}"</f>
        <v>#VALUE!</v>
      </c>
      <c r="FG81" t="e">
        <f>'All regions'!I2221+"$F;@!%\~"</f>
        <v>#VALUE!</v>
      </c>
      <c r="FH81" t="e">
        <f>'All regions'!A2222+"$F;@!%]#"</f>
        <v>#VALUE!</v>
      </c>
      <c r="FI81" t="e">
        <f>'All regions'!B2222+"$F;@!%]$"</f>
        <v>#VALUE!</v>
      </c>
      <c r="FJ81" t="e">
        <f>'All regions'!C2222+"$F;@!%]%"</f>
        <v>#VALUE!</v>
      </c>
      <c r="FK81" t="e">
        <f>'All regions'!D2222+"$F;@!%]&amp;"</f>
        <v>#VALUE!</v>
      </c>
      <c r="FL81" t="e">
        <f>'All regions'!E2222+"$F;@!%]'"</f>
        <v>#VALUE!</v>
      </c>
      <c r="FM81" t="e">
        <f>'All regions'!F2222+"$F;@!%]("</f>
        <v>#VALUE!</v>
      </c>
      <c r="FN81" t="e">
        <f>'All regions'!G2222+"$F;@!%])"</f>
        <v>#VALUE!</v>
      </c>
      <c r="FO81" t="e">
        <f>'All regions'!H2222+"$F;@!%]."</f>
        <v>#VALUE!</v>
      </c>
      <c r="FP81" t="e">
        <f>'All regions'!I2222+"$F;@!%]/"</f>
        <v>#VALUE!</v>
      </c>
      <c r="FQ81" t="e">
        <f>'All regions'!A2223+"$F;@!%]0"</f>
        <v>#VALUE!</v>
      </c>
      <c r="FR81" t="e">
        <f>'All regions'!B2223+"$F;@!%]1"</f>
        <v>#VALUE!</v>
      </c>
      <c r="FS81" t="e">
        <f>'All regions'!C2223+"$F;@!%]2"</f>
        <v>#VALUE!</v>
      </c>
      <c r="FT81" t="e">
        <f>'All regions'!D2223+"$F;@!%]3"</f>
        <v>#VALUE!</v>
      </c>
      <c r="FU81" t="e">
        <f>'All regions'!E2223+"$F;@!%]4"</f>
        <v>#VALUE!</v>
      </c>
      <c r="FV81" t="e">
        <f>'All regions'!F2223+"$F;@!%]5"</f>
        <v>#VALUE!</v>
      </c>
      <c r="FW81" t="e">
        <f>'All regions'!G2223+"$F;@!%]6"</f>
        <v>#VALUE!</v>
      </c>
      <c r="FX81" t="e">
        <f>'All regions'!H2223+"$F;@!%]7"</f>
        <v>#VALUE!</v>
      </c>
      <c r="FY81" t="e">
        <f>'All regions'!I2223+"$F;@!%]8"</f>
        <v>#VALUE!</v>
      </c>
      <c r="FZ81" t="e">
        <f>'All regions'!A2224+"$F;@!%]9"</f>
        <v>#VALUE!</v>
      </c>
      <c r="GA81" t="e">
        <f>'All regions'!B2224+"$F;@!%]:"</f>
        <v>#VALUE!</v>
      </c>
      <c r="GB81" t="e">
        <f>'All regions'!C2224+"$F;@!%];"</f>
        <v>#VALUE!</v>
      </c>
      <c r="GC81" t="e">
        <f>'All regions'!D2224+"$F;@!%]&lt;"</f>
        <v>#VALUE!</v>
      </c>
      <c r="GD81" t="e">
        <f>'All regions'!E2224+"$F;@!%]="</f>
        <v>#VALUE!</v>
      </c>
      <c r="GE81" t="e">
        <f>'All regions'!F2224+"$F;@!%]&gt;"</f>
        <v>#VALUE!</v>
      </c>
      <c r="GF81" t="e">
        <f>'All regions'!G2224+"$F;@!%]?"</f>
        <v>#VALUE!</v>
      </c>
      <c r="GG81" t="e">
        <f>'All regions'!H2224+"$F;@!%]@"</f>
        <v>#VALUE!</v>
      </c>
      <c r="GH81" t="e">
        <f>'All regions'!I2224+"$F;@!%]A"</f>
        <v>#VALUE!</v>
      </c>
      <c r="GI81" t="e">
        <f>'All regions'!A2225+"$F;@!%]B"</f>
        <v>#VALUE!</v>
      </c>
      <c r="GJ81" t="e">
        <f>'All regions'!B2225+"$F;@!%]C"</f>
        <v>#VALUE!</v>
      </c>
      <c r="GK81" t="e">
        <f>'All regions'!C2225+"$F;@!%]D"</f>
        <v>#VALUE!</v>
      </c>
      <c r="GL81" t="e">
        <f>'All regions'!D2225+"$F;@!%]E"</f>
        <v>#VALUE!</v>
      </c>
      <c r="GM81" t="e">
        <f>'All regions'!E2225+"$F;@!%]F"</f>
        <v>#VALUE!</v>
      </c>
      <c r="GN81" t="e">
        <f>'All regions'!F2225+"$F;@!%]G"</f>
        <v>#VALUE!</v>
      </c>
      <c r="GO81" t="e">
        <f>'All regions'!G2225+"$F;@!%]H"</f>
        <v>#VALUE!</v>
      </c>
      <c r="GP81" t="e">
        <f>'All regions'!H2225+"$F;@!%]I"</f>
        <v>#VALUE!</v>
      </c>
      <c r="GQ81" t="e">
        <f>'All regions'!I2225+"$F;@!%]J"</f>
        <v>#VALUE!</v>
      </c>
      <c r="GR81" t="e">
        <f>'All regions'!A2226+"$F;@!%]K"</f>
        <v>#VALUE!</v>
      </c>
      <c r="GS81" t="e">
        <f>'All regions'!B2226+"$F;@!%]L"</f>
        <v>#VALUE!</v>
      </c>
      <c r="GT81" t="e">
        <f>'All regions'!C2226+"$F;@!%]M"</f>
        <v>#VALUE!</v>
      </c>
      <c r="GU81" t="e">
        <f>'All regions'!D2226+"$F;@!%]N"</f>
        <v>#VALUE!</v>
      </c>
      <c r="GV81" t="e">
        <f>'All regions'!E2226+"$F;@!%]O"</f>
        <v>#VALUE!</v>
      </c>
      <c r="GW81" t="e">
        <f>'All regions'!F2226+"$F;@!%]P"</f>
        <v>#VALUE!</v>
      </c>
      <c r="GX81" t="e">
        <f>'All regions'!G2226+"$F;@!%]Q"</f>
        <v>#VALUE!</v>
      </c>
      <c r="GY81" t="e">
        <f>'All regions'!H2226+"$F;@!%]R"</f>
        <v>#VALUE!</v>
      </c>
      <c r="GZ81" t="e">
        <f>'All regions'!I2226+"$F;@!%]S"</f>
        <v>#VALUE!</v>
      </c>
      <c r="HA81" t="e">
        <f>'All regions'!A2227+"$F;@!%]T"</f>
        <v>#VALUE!</v>
      </c>
      <c r="HB81" t="e">
        <f>'All regions'!B2227+"$F;@!%]U"</f>
        <v>#VALUE!</v>
      </c>
      <c r="HC81" t="e">
        <f>'All regions'!C2227+"$F;@!%]V"</f>
        <v>#VALUE!</v>
      </c>
      <c r="HD81" t="e">
        <f>'All regions'!D2227+"$F;@!%]W"</f>
        <v>#VALUE!</v>
      </c>
      <c r="HE81" t="e">
        <f>'All regions'!E2227+"$F;@!%]X"</f>
        <v>#VALUE!</v>
      </c>
      <c r="HF81" t="e">
        <f>'All regions'!F2227+"$F;@!%]Y"</f>
        <v>#VALUE!</v>
      </c>
      <c r="HG81" t="e">
        <f>'All regions'!G2227+"$F;@!%]Z"</f>
        <v>#VALUE!</v>
      </c>
      <c r="HH81" t="e">
        <f>'All regions'!H2227+"$F;@!%]["</f>
        <v>#VALUE!</v>
      </c>
      <c r="HI81" t="e">
        <f>'All regions'!I2227+"$F;@!%]\"</f>
        <v>#VALUE!</v>
      </c>
      <c r="HJ81" t="e">
        <f>'All regions'!A2228+"$F;@!%]]"</f>
        <v>#VALUE!</v>
      </c>
      <c r="HK81" t="e">
        <f>'All regions'!B2228+"$F;@!%]^"</f>
        <v>#VALUE!</v>
      </c>
      <c r="HL81" t="e">
        <f>'All regions'!C2228+"$F;@!%]_"</f>
        <v>#VALUE!</v>
      </c>
      <c r="HM81" t="e">
        <f>'All regions'!D2228+"$F;@!%]`"</f>
        <v>#VALUE!</v>
      </c>
      <c r="HN81" t="e">
        <f>'All regions'!E2228+"$F;@!%]a"</f>
        <v>#VALUE!</v>
      </c>
      <c r="HO81" t="e">
        <f>'All regions'!F2228+"$F;@!%]b"</f>
        <v>#VALUE!</v>
      </c>
      <c r="HP81" t="e">
        <f>'All regions'!G2228+"$F;@!%]c"</f>
        <v>#VALUE!</v>
      </c>
      <c r="HQ81" t="e">
        <f>'All regions'!H2228+"$F;@!%]d"</f>
        <v>#VALUE!</v>
      </c>
      <c r="HR81" t="e">
        <f>'All regions'!I2228+"$F;@!%]e"</f>
        <v>#VALUE!</v>
      </c>
      <c r="HS81" t="e">
        <f>'All regions'!A2229+"$F;@!%]f"</f>
        <v>#VALUE!</v>
      </c>
      <c r="HT81" t="e">
        <f>'All regions'!B2229+"$F;@!%]g"</f>
        <v>#VALUE!</v>
      </c>
      <c r="HU81" t="e">
        <f>'All regions'!C2229+"$F;@!%]h"</f>
        <v>#VALUE!</v>
      </c>
      <c r="HV81" t="e">
        <f>'All regions'!D2229+"$F;@!%]i"</f>
        <v>#VALUE!</v>
      </c>
      <c r="HW81" t="e">
        <f>'All regions'!E2229+"$F;@!%]j"</f>
        <v>#VALUE!</v>
      </c>
      <c r="HX81" t="e">
        <f>'All regions'!F2229+"$F;@!%]k"</f>
        <v>#VALUE!</v>
      </c>
      <c r="HY81" t="e">
        <f>'All regions'!G2229+"$F;@!%]l"</f>
        <v>#VALUE!</v>
      </c>
      <c r="HZ81" t="e">
        <f>'All regions'!H2229+"$F;@!%]m"</f>
        <v>#VALUE!</v>
      </c>
      <c r="IA81" t="e">
        <f>'All regions'!I2229+"$F;@!%]n"</f>
        <v>#VALUE!</v>
      </c>
      <c r="IB81" t="e">
        <f>'All regions'!A2230+"$F;@!%]o"</f>
        <v>#VALUE!</v>
      </c>
      <c r="IC81" t="e">
        <f>'All regions'!B2230+"$F;@!%]p"</f>
        <v>#VALUE!</v>
      </c>
      <c r="ID81" t="e">
        <f>'All regions'!C2230+"$F;@!%]q"</f>
        <v>#VALUE!</v>
      </c>
      <c r="IE81" t="e">
        <f>'All regions'!D2230+"$F;@!%]r"</f>
        <v>#VALUE!</v>
      </c>
      <c r="IF81" t="e">
        <f>'All regions'!E2230+"$F;@!%]s"</f>
        <v>#VALUE!</v>
      </c>
      <c r="IG81" t="e">
        <f>'All regions'!F2230+"$F;@!%]t"</f>
        <v>#VALUE!</v>
      </c>
      <c r="IH81" t="e">
        <f>'All regions'!G2230+"$F;@!%]u"</f>
        <v>#VALUE!</v>
      </c>
      <c r="II81" t="e">
        <f>'All regions'!H2230+"$F;@!%]v"</f>
        <v>#VALUE!</v>
      </c>
      <c r="IJ81" t="e">
        <f>'All regions'!I2230+"$F;@!%]w"</f>
        <v>#VALUE!</v>
      </c>
      <c r="IK81" t="e">
        <f>'All regions'!A2231+"$F;@!%]x"</f>
        <v>#VALUE!</v>
      </c>
      <c r="IL81" t="e">
        <f>'All regions'!B2231+"$F;@!%]y"</f>
        <v>#VALUE!</v>
      </c>
      <c r="IM81" t="e">
        <f>'All regions'!C2231+"$F;@!%]z"</f>
        <v>#VALUE!</v>
      </c>
      <c r="IN81" t="e">
        <f>'All regions'!D2231+"$F;@!%]{"</f>
        <v>#VALUE!</v>
      </c>
      <c r="IO81" t="e">
        <f>'All regions'!E2231+"$F;@!%]|"</f>
        <v>#VALUE!</v>
      </c>
      <c r="IP81" t="e">
        <f>'All regions'!F2231+"$F;@!%]}"</f>
        <v>#VALUE!</v>
      </c>
      <c r="IQ81" t="e">
        <f>'All regions'!G2231+"$F;@!%]~"</f>
        <v>#VALUE!</v>
      </c>
      <c r="IR81" t="e">
        <f>'All regions'!H2231+"$F;@!%^#"</f>
        <v>#VALUE!</v>
      </c>
      <c r="IS81" t="e">
        <f>'All regions'!I2231+"$F;@!%^$"</f>
        <v>#VALUE!</v>
      </c>
      <c r="IT81" t="e">
        <f>'All regions'!A2232+"$F;@!%^%"</f>
        <v>#VALUE!</v>
      </c>
      <c r="IU81" t="e">
        <f>'All regions'!B2232+"$F;@!%^&amp;"</f>
        <v>#VALUE!</v>
      </c>
      <c r="IV81" t="e">
        <f>'All regions'!C2232+"$F;@!%^'"</f>
        <v>#VALUE!</v>
      </c>
    </row>
    <row r="82" spans="6:256" x14ac:dyDescent="0.35">
      <c r="F82" t="e">
        <f>'All regions'!D2232+"$F;@!%^("</f>
        <v>#VALUE!</v>
      </c>
      <c r="G82" t="e">
        <f>'All regions'!E2232+"$F;@!%^)"</f>
        <v>#VALUE!</v>
      </c>
      <c r="H82" t="e">
        <f>'All regions'!F2232+"$F;@!%^."</f>
        <v>#VALUE!</v>
      </c>
      <c r="I82" t="e">
        <f>'All regions'!G2232+"$F;@!%^/"</f>
        <v>#VALUE!</v>
      </c>
      <c r="J82" t="e">
        <f>'All regions'!H2232+"$F;@!%^0"</f>
        <v>#VALUE!</v>
      </c>
      <c r="K82" t="e">
        <f>'All regions'!I2232+"$F;@!%^1"</f>
        <v>#VALUE!</v>
      </c>
      <c r="L82" t="e">
        <f>'All regions'!A2233+"$F;@!%^2"</f>
        <v>#VALUE!</v>
      </c>
      <c r="M82" t="e">
        <f>'All regions'!B2233+"$F;@!%^3"</f>
        <v>#VALUE!</v>
      </c>
      <c r="N82" t="e">
        <f>'All regions'!C2233+"$F;@!%^4"</f>
        <v>#VALUE!</v>
      </c>
      <c r="O82" t="e">
        <f>'All regions'!D2233+"$F;@!%^5"</f>
        <v>#VALUE!</v>
      </c>
      <c r="P82" t="e">
        <f>'All regions'!E2233+"$F;@!%^6"</f>
        <v>#VALUE!</v>
      </c>
      <c r="Q82" t="e">
        <f>'All regions'!F2233+"$F;@!%^7"</f>
        <v>#VALUE!</v>
      </c>
      <c r="R82" t="e">
        <f>'All regions'!G2233+"$F;@!%^8"</f>
        <v>#VALUE!</v>
      </c>
      <c r="S82" t="e">
        <f>'All regions'!H2233+"$F;@!%^9"</f>
        <v>#VALUE!</v>
      </c>
      <c r="T82" t="e">
        <f>'All regions'!I2233+"$F;@!%^:"</f>
        <v>#VALUE!</v>
      </c>
      <c r="U82" t="e">
        <f>'All regions'!A2234+"$F;@!%^;"</f>
        <v>#VALUE!</v>
      </c>
      <c r="V82" t="e">
        <f>'All regions'!B2234+"$F;@!%^&lt;"</f>
        <v>#VALUE!</v>
      </c>
      <c r="W82" t="e">
        <f>'All regions'!C2234+"$F;@!%^="</f>
        <v>#VALUE!</v>
      </c>
      <c r="X82" t="e">
        <f>'All regions'!D2234+"$F;@!%^&gt;"</f>
        <v>#VALUE!</v>
      </c>
      <c r="Y82" t="e">
        <f>'All regions'!E2234+"$F;@!%^?"</f>
        <v>#VALUE!</v>
      </c>
      <c r="Z82" t="e">
        <f>'All regions'!F2234+"$F;@!%^@"</f>
        <v>#VALUE!</v>
      </c>
      <c r="AA82" t="e">
        <f>'All regions'!G2234+"$F;@!%^A"</f>
        <v>#VALUE!</v>
      </c>
      <c r="AB82" t="e">
        <f>'All regions'!H2234+"$F;@!%^B"</f>
        <v>#VALUE!</v>
      </c>
      <c r="AC82" t="e">
        <f>'All regions'!I2234+"$F;@!%^C"</f>
        <v>#VALUE!</v>
      </c>
      <c r="AD82" t="e">
        <f>'All regions'!A2235+"$F;@!%^D"</f>
        <v>#VALUE!</v>
      </c>
      <c r="AE82" t="e">
        <f>'All regions'!B2235+"$F;@!%^E"</f>
        <v>#VALUE!</v>
      </c>
      <c r="AF82" t="e">
        <f>'All regions'!C2235+"$F;@!%^F"</f>
        <v>#VALUE!</v>
      </c>
      <c r="AG82" t="e">
        <f>'All regions'!D2235+"$F;@!%^G"</f>
        <v>#VALUE!</v>
      </c>
      <c r="AH82" t="e">
        <f>'All regions'!E2235+"$F;@!%^H"</f>
        <v>#VALUE!</v>
      </c>
      <c r="AI82" t="e">
        <f>'All regions'!F2235+"$F;@!%^I"</f>
        <v>#VALUE!</v>
      </c>
      <c r="AJ82" t="e">
        <f>'All regions'!G2235+"$F;@!%^J"</f>
        <v>#VALUE!</v>
      </c>
      <c r="AK82" t="e">
        <f>'All regions'!H2235+"$F;@!%^K"</f>
        <v>#VALUE!</v>
      </c>
      <c r="AL82" t="e">
        <f>'All regions'!I2235+"$F;@!%^L"</f>
        <v>#VALUE!</v>
      </c>
      <c r="AM82" t="e">
        <f>'All regions'!A2236+"$F;@!%^M"</f>
        <v>#VALUE!</v>
      </c>
      <c r="AN82" t="e">
        <f>'All regions'!B2236+"$F;@!%^N"</f>
        <v>#VALUE!</v>
      </c>
      <c r="AO82" t="e">
        <f>'All regions'!C2236+"$F;@!%^O"</f>
        <v>#VALUE!</v>
      </c>
      <c r="AP82" t="e">
        <f>'All regions'!D2236+"$F;@!%^P"</f>
        <v>#VALUE!</v>
      </c>
      <c r="AQ82" t="e">
        <f>'All regions'!E2236+"$F;@!%^Q"</f>
        <v>#VALUE!</v>
      </c>
      <c r="AR82" t="e">
        <f>'All regions'!F2236+"$F;@!%^R"</f>
        <v>#VALUE!</v>
      </c>
      <c r="AS82" t="e">
        <f>'All regions'!G2236+"$F;@!%^S"</f>
        <v>#VALUE!</v>
      </c>
      <c r="AT82" t="e">
        <f>'All regions'!H2236+"$F;@!%^T"</f>
        <v>#VALUE!</v>
      </c>
      <c r="AU82" t="e">
        <f>'All regions'!I2236+"$F;@!%^U"</f>
        <v>#VALUE!</v>
      </c>
      <c r="AV82" t="e">
        <f>'All regions'!A2237+"$F;@!%^V"</f>
        <v>#VALUE!</v>
      </c>
      <c r="AW82" t="e">
        <f>'All regions'!B2237+"$F;@!%^W"</f>
        <v>#VALUE!</v>
      </c>
      <c r="AX82" t="e">
        <f>'All regions'!C2237+"$F;@!%^X"</f>
        <v>#VALUE!</v>
      </c>
      <c r="AY82" t="e">
        <f>'All regions'!D2237+"$F;@!%^Y"</f>
        <v>#VALUE!</v>
      </c>
      <c r="AZ82" t="e">
        <f>'All regions'!E2237+"$F;@!%^Z"</f>
        <v>#VALUE!</v>
      </c>
      <c r="BA82" t="e">
        <f>'All regions'!F2237+"$F;@!%^["</f>
        <v>#VALUE!</v>
      </c>
      <c r="BB82" t="e">
        <f>'All regions'!G2237+"$F;@!%^\"</f>
        <v>#VALUE!</v>
      </c>
      <c r="BC82" t="e">
        <f>'All regions'!H2237+"$F;@!%^]"</f>
        <v>#VALUE!</v>
      </c>
      <c r="BD82" t="e">
        <f>'All regions'!I2237+"$F;@!%^^"</f>
        <v>#VALUE!</v>
      </c>
      <c r="BE82" t="e">
        <f>'All regions'!A2238+"$F;@!%^_"</f>
        <v>#VALUE!</v>
      </c>
      <c r="BF82" t="e">
        <f>'All regions'!B2238+"$F;@!%^`"</f>
        <v>#VALUE!</v>
      </c>
      <c r="BG82" t="e">
        <f>'All regions'!C2238+"$F;@!%^a"</f>
        <v>#VALUE!</v>
      </c>
      <c r="BH82" t="e">
        <f>'All regions'!D2238+"$F;@!%^b"</f>
        <v>#VALUE!</v>
      </c>
      <c r="BI82" t="e">
        <f>'All regions'!E2238+"$F;@!%^c"</f>
        <v>#VALUE!</v>
      </c>
      <c r="BJ82" t="e">
        <f>'All regions'!F2238+"$F;@!%^d"</f>
        <v>#VALUE!</v>
      </c>
      <c r="BK82" t="e">
        <f>'All regions'!G2238+"$F;@!%^e"</f>
        <v>#VALUE!</v>
      </c>
      <c r="BL82" t="e">
        <f>'All regions'!H2238+"$F;@!%^f"</f>
        <v>#VALUE!</v>
      </c>
      <c r="BM82" t="e">
        <f>'All regions'!I2238+"$F;@!%^g"</f>
        <v>#VALUE!</v>
      </c>
      <c r="BN82" t="e">
        <f>'All regions'!A2239+"$F;@!%^h"</f>
        <v>#VALUE!</v>
      </c>
      <c r="BO82" t="e">
        <f>'All regions'!B2239+"$F;@!%^i"</f>
        <v>#VALUE!</v>
      </c>
      <c r="BP82" t="e">
        <f>'All regions'!C2239+"$F;@!%^j"</f>
        <v>#VALUE!</v>
      </c>
      <c r="BQ82" t="e">
        <f>'All regions'!D2239+"$F;@!%^k"</f>
        <v>#VALUE!</v>
      </c>
      <c r="BR82" t="e">
        <f>'All regions'!E2239+"$F;@!%^l"</f>
        <v>#VALUE!</v>
      </c>
      <c r="BS82" t="e">
        <f>'All regions'!F2239+"$F;@!%^m"</f>
        <v>#VALUE!</v>
      </c>
      <c r="BT82" t="e">
        <f>'All regions'!G2239+"$F;@!%^n"</f>
        <v>#VALUE!</v>
      </c>
      <c r="BU82" t="e">
        <f>'All regions'!H2239+"$F;@!%^o"</f>
        <v>#VALUE!</v>
      </c>
      <c r="BV82" t="e">
        <f>'All regions'!I2239+"$F;@!%^p"</f>
        <v>#VALUE!</v>
      </c>
      <c r="BW82" t="e">
        <f>'All regions'!A2240+"$F;@!%^q"</f>
        <v>#VALUE!</v>
      </c>
      <c r="BX82" t="e">
        <f>'All regions'!B2240+"$F;@!%^r"</f>
        <v>#VALUE!</v>
      </c>
      <c r="BY82" t="e">
        <f>'All regions'!C2240+"$F;@!%^s"</f>
        <v>#VALUE!</v>
      </c>
      <c r="BZ82" t="e">
        <f>'All regions'!D2240+"$F;@!%^t"</f>
        <v>#VALUE!</v>
      </c>
      <c r="CA82" t="e">
        <f>'All regions'!E2240+"$F;@!%^u"</f>
        <v>#VALUE!</v>
      </c>
      <c r="CB82" t="e">
        <f>'All regions'!F2240+"$F;@!%^v"</f>
        <v>#VALUE!</v>
      </c>
      <c r="CC82" t="e">
        <f>'All regions'!G2240+"$F;@!%^w"</f>
        <v>#VALUE!</v>
      </c>
      <c r="CD82" t="e">
        <f>'All regions'!H2240+"$F;@!%^x"</f>
        <v>#VALUE!</v>
      </c>
      <c r="CE82" t="e">
        <f>'All regions'!I2240+"$F;@!%^y"</f>
        <v>#VALUE!</v>
      </c>
      <c r="CF82" t="e">
        <f>'All regions'!A2241+"$F;@!%^z"</f>
        <v>#VALUE!</v>
      </c>
      <c r="CG82" t="e">
        <f>'All regions'!B2241+"$F;@!%^{"</f>
        <v>#VALUE!</v>
      </c>
      <c r="CH82" t="e">
        <f>'All regions'!C2241+"$F;@!%^|"</f>
        <v>#VALUE!</v>
      </c>
      <c r="CI82" t="e">
        <f>'All regions'!D2241+"$F;@!%^}"</f>
        <v>#VALUE!</v>
      </c>
      <c r="CJ82" t="e">
        <f>'All regions'!E2241+"$F;@!%^~"</f>
        <v>#VALUE!</v>
      </c>
      <c r="CK82" t="e">
        <f>'All regions'!F2241+"$F;@!%_#"</f>
        <v>#VALUE!</v>
      </c>
      <c r="CL82" t="e">
        <f>'All regions'!G2241+"$F;@!%_$"</f>
        <v>#VALUE!</v>
      </c>
      <c r="CM82" t="e">
        <f>'All regions'!H2241+"$F;@!%_%"</f>
        <v>#VALUE!</v>
      </c>
      <c r="CN82" t="e">
        <f>'All regions'!I2241+"$F;@!%_&amp;"</f>
        <v>#VALUE!</v>
      </c>
      <c r="CO82" t="e">
        <f>'All regions'!A2242+"$F;@!%_'"</f>
        <v>#VALUE!</v>
      </c>
      <c r="CP82" t="e">
        <f>'All regions'!B2242+"$F;@!%_("</f>
        <v>#VALUE!</v>
      </c>
      <c r="CQ82" t="e">
        <f>'All regions'!C2242+"$F;@!%_)"</f>
        <v>#VALUE!</v>
      </c>
      <c r="CR82" t="e">
        <f>'All regions'!D2242+"$F;@!%_."</f>
        <v>#VALUE!</v>
      </c>
      <c r="CS82" t="e">
        <f>'All regions'!E2242+"$F;@!%_/"</f>
        <v>#VALUE!</v>
      </c>
      <c r="CT82" t="e">
        <f>'All regions'!F2242+"$F;@!%_0"</f>
        <v>#VALUE!</v>
      </c>
      <c r="CU82" t="e">
        <f>'All regions'!G2242+"$F;@!%_1"</f>
        <v>#VALUE!</v>
      </c>
      <c r="CV82" t="e">
        <f>'All regions'!H2242+"$F;@!%_2"</f>
        <v>#VALUE!</v>
      </c>
      <c r="CW82" t="e">
        <f>'All regions'!I2242+"$F;@!%_3"</f>
        <v>#VALUE!</v>
      </c>
      <c r="CX82" t="e">
        <f>'All regions'!A2243+"$F;@!%_4"</f>
        <v>#VALUE!</v>
      </c>
      <c r="CY82" t="e">
        <f>'All regions'!B2243+"$F;@!%_5"</f>
        <v>#VALUE!</v>
      </c>
      <c r="CZ82" t="e">
        <f>'All regions'!C2243+"$F;@!%_6"</f>
        <v>#VALUE!</v>
      </c>
      <c r="DA82" t="e">
        <f>'All regions'!D2243+"$F;@!%_7"</f>
        <v>#VALUE!</v>
      </c>
      <c r="DB82" t="e">
        <f>'All regions'!E2243+"$F;@!%_8"</f>
        <v>#VALUE!</v>
      </c>
      <c r="DC82" t="e">
        <f>'All regions'!F2243+"$F;@!%_9"</f>
        <v>#VALUE!</v>
      </c>
      <c r="DD82" t="e">
        <f>'All regions'!G2243+"$F;@!%_:"</f>
        <v>#VALUE!</v>
      </c>
      <c r="DE82" t="e">
        <f>'All regions'!H2243+"$F;@!%_;"</f>
        <v>#VALUE!</v>
      </c>
      <c r="DF82" t="e">
        <f>'All regions'!I2243+"$F;@!%_&lt;"</f>
        <v>#VALUE!</v>
      </c>
      <c r="DG82" t="e">
        <f>'All regions'!A2244+"$F;@!%_="</f>
        <v>#VALUE!</v>
      </c>
      <c r="DH82" t="e">
        <f>'All regions'!B2244+"$F;@!%_&gt;"</f>
        <v>#VALUE!</v>
      </c>
      <c r="DI82" t="e">
        <f>'All regions'!C2244+"$F;@!%_?"</f>
        <v>#VALUE!</v>
      </c>
      <c r="DJ82" t="e">
        <f>'All regions'!D2244+"$F;@!%_@"</f>
        <v>#VALUE!</v>
      </c>
      <c r="DK82" t="e">
        <f>'All regions'!E2244+"$F;@!%_A"</f>
        <v>#VALUE!</v>
      </c>
      <c r="DL82" t="e">
        <f>'All regions'!F2244+"$F;@!%_B"</f>
        <v>#VALUE!</v>
      </c>
      <c r="DM82" t="e">
        <f>'All regions'!G2244+"$F;@!%_C"</f>
        <v>#VALUE!</v>
      </c>
      <c r="DN82" t="e">
        <f>'All regions'!H2244+"$F;@!%_D"</f>
        <v>#VALUE!</v>
      </c>
      <c r="DO82" t="e">
        <f>'All regions'!I2244+"$F;@!%_E"</f>
        <v>#VALUE!</v>
      </c>
      <c r="DP82" t="e">
        <f>'All regions'!A2245+"$F;@!%_F"</f>
        <v>#VALUE!</v>
      </c>
      <c r="DQ82" t="e">
        <f>'All regions'!B2245+"$F;@!%_G"</f>
        <v>#VALUE!</v>
      </c>
      <c r="DR82" t="e">
        <f>'All regions'!C2245+"$F;@!%_H"</f>
        <v>#VALUE!</v>
      </c>
      <c r="DS82" t="e">
        <f>'All regions'!D2245+"$F;@!%_I"</f>
        <v>#VALUE!</v>
      </c>
      <c r="DT82" t="e">
        <f>'All regions'!E2245+"$F;@!%_J"</f>
        <v>#VALUE!</v>
      </c>
      <c r="DU82" t="e">
        <f>'All regions'!F2245+"$F;@!%_K"</f>
        <v>#VALUE!</v>
      </c>
      <c r="DV82" t="e">
        <f>'All regions'!G2245+"$F;@!%_L"</f>
        <v>#VALUE!</v>
      </c>
      <c r="DW82" t="e">
        <f>'All regions'!H2245+"$F;@!%_M"</f>
        <v>#VALUE!</v>
      </c>
      <c r="DX82" t="e">
        <f>'All regions'!I2245+"$F;@!%_N"</f>
        <v>#VALUE!</v>
      </c>
      <c r="DY82" t="e">
        <f>'All regions'!A2246+"$F;@!%_O"</f>
        <v>#VALUE!</v>
      </c>
      <c r="DZ82" t="e">
        <f>'All regions'!B2246+"$F;@!%_P"</f>
        <v>#VALUE!</v>
      </c>
      <c r="EA82" t="e">
        <f>'All regions'!C2246+"$F;@!%_Q"</f>
        <v>#VALUE!</v>
      </c>
      <c r="EB82" t="e">
        <f>'All regions'!D2246+"$F;@!%_R"</f>
        <v>#VALUE!</v>
      </c>
      <c r="EC82" t="e">
        <f>'All regions'!E2246+"$F;@!%_S"</f>
        <v>#VALUE!</v>
      </c>
      <c r="ED82" t="e">
        <f>'All regions'!F2246+"$F;@!%_T"</f>
        <v>#VALUE!</v>
      </c>
      <c r="EE82" t="e">
        <f>'All regions'!G2246+"$F;@!%_U"</f>
        <v>#VALUE!</v>
      </c>
      <c r="EF82" t="e">
        <f>'All regions'!H2246+"$F;@!%_V"</f>
        <v>#VALUE!</v>
      </c>
      <c r="EG82" t="e">
        <f>'All regions'!I2246+"$F;@!%_W"</f>
        <v>#VALUE!</v>
      </c>
      <c r="EH82" t="e">
        <f>'All regions'!A2247+"$F;@!%_X"</f>
        <v>#VALUE!</v>
      </c>
      <c r="EI82" t="e">
        <f>'All regions'!B2247+"$F;@!%_Y"</f>
        <v>#VALUE!</v>
      </c>
      <c r="EJ82" t="e">
        <f>'All regions'!C2247+"$F;@!%_Z"</f>
        <v>#VALUE!</v>
      </c>
      <c r="EK82" t="e">
        <f>'All regions'!D2247+"$F;@!%_["</f>
        <v>#VALUE!</v>
      </c>
      <c r="EL82" t="e">
        <f>'All regions'!E2247+"$F;@!%_\"</f>
        <v>#VALUE!</v>
      </c>
      <c r="EM82" t="e">
        <f>'All regions'!F2247+"$F;@!%_]"</f>
        <v>#VALUE!</v>
      </c>
      <c r="EN82" t="e">
        <f>'All regions'!G2247+"$F;@!%_^"</f>
        <v>#VALUE!</v>
      </c>
      <c r="EO82" t="e">
        <f>'All regions'!H2247+"$F;@!%__"</f>
        <v>#VALUE!</v>
      </c>
      <c r="EP82" t="e">
        <f>'All regions'!I2247+"$F;@!%_`"</f>
        <v>#VALUE!</v>
      </c>
      <c r="EQ82" t="e">
        <f>'All regions'!A2248+"$F;@!%_a"</f>
        <v>#VALUE!</v>
      </c>
      <c r="ER82" t="e">
        <f>'All regions'!B2248+"$F;@!%_b"</f>
        <v>#VALUE!</v>
      </c>
      <c r="ES82" t="e">
        <f>'All regions'!C2248+"$F;@!%_c"</f>
        <v>#VALUE!</v>
      </c>
      <c r="ET82" t="e">
        <f>'All regions'!D2248+"$F;@!%_d"</f>
        <v>#VALUE!</v>
      </c>
      <c r="EU82" t="e">
        <f>'All regions'!E2248+"$F;@!%_e"</f>
        <v>#VALUE!</v>
      </c>
      <c r="EV82" t="e">
        <f>'All regions'!F2248+"$F;@!%_f"</f>
        <v>#VALUE!</v>
      </c>
      <c r="EW82" t="e">
        <f>'All regions'!G2248+"$F;@!%_g"</f>
        <v>#VALUE!</v>
      </c>
      <c r="EX82" t="e">
        <f>'All regions'!H2248+"$F;@!%_h"</f>
        <v>#VALUE!</v>
      </c>
      <c r="EY82" t="e">
        <f>'All regions'!I2248+"$F;@!%_i"</f>
        <v>#VALUE!</v>
      </c>
      <c r="EZ82" t="e">
        <f>'All regions'!A2249+"$F;@!%_j"</f>
        <v>#VALUE!</v>
      </c>
      <c r="FA82" t="e">
        <f>'All regions'!B2249+"$F;@!%_k"</f>
        <v>#VALUE!</v>
      </c>
      <c r="FB82" t="e">
        <f>'All regions'!C2249+"$F;@!%_l"</f>
        <v>#VALUE!</v>
      </c>
      <c r="FC82" t="e">
        <f>'All regions'!D2249+"$F;@!%_m"</f>
        <v>#VALUE!</v>
      </c>
      <c r="FD82" t="e">
        <f>'All regions'!E2249+"$F;@!%_n"</f>
        <v>#VALUE!</v>
      </c>
      <c r="FE82" t="e">
        <f>'All regions'!F2249+"$F;@!%_o"</f>
        <v>#VALUE!</v>
      </c>
      <c r="FF82" t="e">
        <f>'All regions'!G2249+"$F;@!%_p"</f>
        <v>#VALUE!</v>
      </c>
      <c r="FG82" t="e">
        <f>'All regions'!H2249+"$F;@!%_q"</f>
        <v>#VALUE!</v>
      </c>
      <c r="FH82" t="e">
        <f>'All regions'!I2249+"$F;@!%_r"</f>
        <v>#VALUE!</v>
      </c>
      <c r="FI82" t="e">
        <f>'All regions'!A2250+"$F;@!%_s"</f>
        <v>#VALUE!</v>
      </c>
      <c r="FJ82" t="e">
        <f>'All regions'!B2250+"$F;@!%_t"</f>
        <v>#VALUE!</v>
      </c>
      <c r="FK82" t="e">
        <f>'All regions'!C2250+"$F;@!%_u"</f>
        <v>#VALUE!</v>
      </c>
      <c r="FL82" t="e">
        <f>'All regions'!D2250+"$F;@!%_v"</f>
        <v>#VALUE!</v>
      </c>
      <c r="FM82" t="e">
        <f>'All regions'!E2250+"$F;@!%_w"</f>
        <v>#VALUE!</v>
      </c>
      <c r="FN82" t="e">
        <f>'All regions'!F2250+"$F;@!%_x"</f>
        <v>#VALUE!</v>
      </c>
      <c r="FO82" t="e">
        <f>'All regions'!G2250+"$F;@!%_y"</f>
        <v>#VALUE!</v>
      </c>
      <c r="FP82" t="e">
        <f>'All regions'!H2250+"$F;@!%_z"</f>
        <v>#VALUE!</v>
      </c>
      <c r="FQ82" t="e">
        <f>'All regions'!I2250+"$F;@!%_{"</f>
        <v>#VALUE!</v>
      </c>
      <c r="FR82" t="e">
        <f>'All regions'!A2251+"$F;@!%_|"</f>
        <v>#VALUE!</v>
      </c>
      <c r="FS82" t="e">
        <f>'All regions'!B2251+"$F;@!%_}"</f>
        <v>#VALUE!</v>
      </c>
      <c r="FT82" t="e">
        <f>'All regions'!C2251+"$F;@!%_~"</f>
        <v>#VALUE!</v>
      </c>
      <c r="FU82" t="e">
        <f>'All regions'!D2251+"$F;@!%`#"</f>
        <v>#VALUE!</v>
      </c>
      <c r="FV82" t="e">
        <f>'All regions'!E2251+"$F;@!%`$"</f>
        <v>#VALUE!</v>
      </c>
      <c r="FW82" t="e">
        <f>'All regions'!F2251+"$F;@!%`%"</f>
        <v>#VALUE!</v>
      </c>
      <c r="FX82" t="e">
        <f>'All regions'!G2251+"$F;@!%`&amp;"</f>
        <v>#VALUE!</v>
      </c>
      <c r="FY82" t="e">
        <f>'All regions'!H2251+"$F;@!%`'"</f>
        <v>#VALUE!</v>
      </c>
      <c r="FZ82" t="e">
        <f>'All regions'!I2251+"$F;@!%`("</f>
        <v>#VALUE!</v>
      </c>
      <c r="GA82" t="e">
        <f>'All regions'!A2252+"$F;@!%`)"</f>
        <v>#VALUE!</v>
      </c>
      <c r="GB82" t="e">
        <f>'All regions'!B2252+"$F;@!%`."</f>
        <v>#VALUE!</v>
      </c>
      <c r="GC82" t="e">
        <f>'All regions'!C2252+"$F;@!%`/"</f>
        <v>#VALUE!</v>
      </c>
      <c r="GD82" t="e">
        <f>'All regions'!D2252+"$F;@!%`0"</f>
        <v>#VALUE!</v>
      </c>
      <c r="GE82" t="e">
        <f>'All regions'!E2252+"$F;@!%`1"</f>
        <v>#VALUE!</v>
      </c>
      <c r="GF82" t="e">
        <f>'All regions'!F2252+"$F;@!%`2"</f>
        <v>#VALUE!</v>
      </c>
      <c r="GG82" t="e">
        <f>'All regions'!G2252+"$F;@!%`3"</f>
        <v>#VALUE!</v>
      </c>
      <c r="GH82" t="e">
        <f>'All regions'!H2252+"$F;@!%`4"</f>
        <v>#VALUE!</v>
      </c>
      <c r="GI82" t="e">
        <f>'All regions'!I2252+"$F;@!%`5"</f>
        <v>#VALUE!</v>
      </c>
      <c r="GJ82" t="e">
        <f>'All regions'!A2253+"$F;@!%`6"</f>
        <v>#VALUE!</v>
      </c>
      <c r="GK82" t="e">
        <f>'All regions'!B2253+"$F;@!%`7"</f>
        <v>#VALUE!</v>
      </c>
      <c r="GL82" t="e">
        <f>'All regions'!C2253+"$F;@!%`8"</f>
        <v>#VALUE!</v>
      </c>
      <c r="GM82" t="e">
        <f>'All regions'!D2253+"$F;@!%`9"</f>
        <v>#VALUE!</v>
      </c>
      <c r="GN82" t="e">
        <f>'All regions'!E2253+"$F;@!%`:"</f>
        <v>#VALUE!</v>
      </c>
      <c r="GO82" t="e">
        <f>'All regions'!F2253+"$F;@!%`;"</f>
        <v>#VALUE!</v>
      </c>
      <c r="GP82" t="e">
        <f>'All regions'!G2253+"$F;@!%`&lt;"</f>
        <v>#VALUE!</v>
      </c>
      <c r="GQ82" t="e">
        <f>'All regions'!H2253+"$F;@!%`="</f>
        <v>#VALUE!</v>
      </c>
      <c r="GR82" t="e">
        <f>'All regions'!I2253+"$F;@!%`&gt;"</f>
        <v>#VALUE!</v>
      </c>
      <c r="GS82" t="e">
        <f>'All regions'!A2254+"$F;@!%`?"</f>
        <v>#VALUE!</v>
      </c>
      <c r="GT82" t="e">
        <f>'All regions'!B2254+"$F;@!%`@"</f>
        <v>#VALUE!</v>
      </c>
      <c r="GU82" t="e">
        <f>'All regions'!C2254+"$F;@!%`A"</f>
        <v>#VALUE!</v>
      </c>
      <c r="GV82" t="e">
        <f>'All regions'!D2254+"$F;@!%`B"</f>
        <v>#VALUE!</v>
      </c>
      <c r="GW82" t="e">
        <f>'All regions'!E2254+"$F;@!%`C"</f>
        <v>#VALUE!</v>
      </c>
      <c r="GX82" t="e">
        <f>'All regions'!F2254+"$F;@!%`D"</f>
        <v>#VALUE!</v>
      </c>
      <c r="GY82" t="e">
        <f>'All regions'!G2254+"$F;@!%`E"</f>
        <v>#VALUE!</v>
      </c>
      <c r="GZ82" t="e">
        <f>'All regions'!H2254+"$F;@!%`F"</f>
        <v>#VALUE!</v>
      </c>
      <c r="HA82" t="e">
        <f>'All regions'!I2254+"$F;@!%`G"</f>
        <v>#VALUE!</v>
      </c>
      <c r="HB82" t="e">
        <f>'All regions'!A2255+"$F;@!%`H"</f>
        <v>#VALUE!</v>
      </c>
      <c r="HC82" t="e">
        <f>'All regions'!B2255+"$F;@!%`I"</f>
        <v>#VALUE!</v>
      </c>
      <c r="HD82" t="e">
        <f>'All regions'!C2255+"$F;@!%`J"</f>
        <v>#VALUE!</v>
      </c>
      <c r="HE82" t="e">
        <f>'All regions'!D2255+"$F;@!%`K"</f>
        <v>#VALUE!</v>
      </c>
      <c r="HF82" t="e">
        <f>'All regions'!E2255+"$F;@!%`L"</f>
        <v>#VALUE!</v>
      </c>
      <c r="HG82" t="e">
        <f>'All regions'!F2255+"$F;@!%`M"</f>
        <v>#VALUE!</v>
      </c>
      <c r="HH82" t="e">
        <f>'All regions'!G2255+"$F;@!%`N"</f>
        <v>#VALUE!</v>
      </c>
      <c r="HI82" t="e">
        <f>'All regions'!H2255+"$F;@!%`O"</f>
        <v>#VALUE!</v>
      </c>
      <c r="HJ82" t="e">
        <f>'All regions'!I2255+"$F;@!%`P"</f>
        <v>#VALUE!</v>
      </c>
      <c r="HK82" t="e">
        <f>'All regions'!A2256+"$F;@!%`Q"</f>
        <v>#VALUE!</v>
      </c>
      <c r="HL82" t="e">
        <f>'All regions'!B2256+"$F;@!%`R"</f>
        <v>#VALUE!</v>
      </c>
      <c r="HM82" t="e">
        <f>'All regions'!C2256+"$F;@!%`S"</f>
        <v>#VALUE!</v>
      </c>
      <c r="HN82" t="e">
        <f>'All regions'!D2256+"$F;@!%`T"</f>
        <v>#VALUE!</v>
      </c>
      <c r="HO82" t="e">
        <f>'All regions'!E2256+"$F;@!%`U"</f>
        <v>#VALUE!</v>
      </c>
      <c r="HP82" t="e">
        <f>'All regions'!F2256+"$F;@!%`V"</f>
        <v>#VALUE!</v>
      </c>
      <c r="HQ82" t="e">
        <f>'All regions'!G2256+"$F;@!%`W"</f>
        <v>#VALUE!</v>
      </c>
      <c r="HR82" t="e">
        <f>'All regions'!H2256+"$F;@!%`X"</f>
        <v>#VALUE!</v>
      </c>
      <c r="HS82" t="e">
        <f>'All regions'!I2256+"$F;@!%`Y"</f>
        <v>#VALUE!</v>
      </c>
      <c r="HT82" t="e">
        <f>'All regions'!A2257+"$F;@!%`Z"</f>
        <v>#VALUE!</v>
      </c>
      <c r="HU82" t="e">
        <f>'All regions'!B2257+"$F;@!%`["</f>
        <v>#VALUE!</v>
      </c>
      <c r="HV82" t="e">
        <f>'All regions'!C2257+"$F;@!%`\"</f>
        <v>#VALUE!</v>
      </c>
      <c r="HW82" t="e">
        <f>'All regions'!D2257+"$F;@!%`]"</f>
        <v>#VALUE!</v>
      </c>
      <c r="HX82" t="e">
        <f>'All regions'!E2257+"$F;@!%`^"</f>
        <v>#VALUE!</v>
      </c>
      <c r="HY82" t="e">
        <f>'All regions'!F2257+"$F;@!%`_"</f>
        <v>#VALUE!</v>
      </c>
      <c r="HZ82" t="e">
        <f>'All regions'!G2257+"$F;@!%``"</f>
        <v>#VALUE!</v>
      </c>
      <c r="IA82" t="e">
        <f>'All regions'!H2257+"$F;@!%`a"</f>
        <v>#VALUE!</v>
      </c>
      <c r="IB82" t="e">
        <f>'All regions'!I2257+"$F;@!%`b"</f>
        <v>#VALUE!</v>
      </c>
      <c r="IC82" t="e">
        <f>'All regions'!A2258+"$F;@!%`c"</f>
        <v>#VALUE!</v>
      </c>
      <c r="ID82" t="e">
        <f>'All regions'!B2258+"$F;@!%`d"</f>
        <v>#VALUE!</v>
      </c>
      <c r="IE82" t="e">
        <f>'All regions'!C2258+"$F;@!%`e"</f>
        <v>#VALUE!</v>
      </c>
      <c r="IF82" t="e">
        <f>'All regions'!D2258+"$F;@!%`f"</f>
        <v>#VALUE!</v>
      </c>
      <c r="IG82" t="e">
        <f>'All regions'!E2258+"$F;@!%`g"</f>
        <v>#VALUE!</v>
      </c>
      <c r="IH82" t="e">
        <f>'All regions'!F2258+"$F;@!%`h"</f>
        <v>#VALUE!</v>
      </c>
      <c r="II82" t="e">
        <f>'All regions'!G2258+"$F;@!%`i"</f>
        <v>#VALUE!</v>
      </c>
      <c r="IJ82" t="e">
        <f>'All regions'!H2258+"$F;@!%`j"</f>
        <v>#VALUE!</v>
      </c>
      <c r="IK82" t="e">
        <f>'All regions'!I2258+"$F;@!%`k"</f>
        <v>#VALUE!</v>
      </c>
      <c r="IL82" t="e">
        <f>'All regions'!A2259+"$F;@!%`l"</f>
        <v>#VALUE!</v>
      </c>
      <c r="IM82" t="e">
        <f>'All regions'!B2259+"$F;@!%`m"</f>
        <v>#VALUE!</v>
      </c>
      <c r="IN82" t="e">
        <f>'All regions'!C2259+"$F;@!%`n"</f>
        <v>#VALUE!</v>
      </c>
      <c r="IO82" t="e">
        <f>'All regions'!D2259+"$F;@!%`o"</f>
        <v>#VALUE!</v>
      </c>
      <c r="IP82" t="e">
        <f>'All regions'!E2259+"$F;@!%`p"</f>
        <v>#VALUE!</v>
      </c>
      <c r="IQ82" t="e">
        <f>'All regions'!F2259+"$F;@!%`q"</f>
        <v>#VALUE!</v>
      </c>
      <c r="IR82" t="e">
        <f>'All regions'!G2259+"$F;@!%`r"</f>
        <v>#VALUE!</v>
      </c>
      <c r="IS82" t="e">
        <f>'All regions'!H2259+"$F;@!%`s"</f>
        <v>#VALUE!</v>
      </c>
      <c r="IT82" t="e">
        <f>'All regions'!I2259+"$F;@!%`t"</f>
        <v>#VALUE!</v>
      </c>
      <c r="IU82" t="e">
        <f>'All regions'!A2260+"$F;@!%`u"</f>
        <v>#VALUE!</v>
      </c>
      <c r="IV82" t="e">
        <f>'All regions'!B2260+"$F;@!%`v"</f>
        <v>#VALUE!</v>
      </c>
    </row>
    <row r="83" spans="6:256" x14ac:dyDescent="0.35">
      <c r="F83" t="e">
        <f>'All regions'!C2260+"$F;@!%`w"</f>
        <v>#VALUE!</v>
      </c>
      <c r="G83" t="e">
        <f>'All regions'!D2260+"$F;@!%`x"</f>
        <v>#VALUE!</v>
      </c>
      <c r="H83" t="e">
        <f>'All regions'!E2260+"$F;@!%`y"</f>
        <v>#VALUE!</v>
      </c>
      <c r="I83" t="e">
        <f>'All regions'!F2260+"$F;@!%`z"</f>
        <v>#VALUE!</v>
      </c>
      <c r="J83" t="e">
        <f>'All regions'!G2260+"$F;@!%`{"</f>
        <v>#VALUE!</v>
      </c>
      <c r="K83" t="e">
        <f>'All regions'!H2260+"$F;@!%`|"</f>
        <v>#VALUE!</v>
      </c>
      <c r="L83" t="e">
        <f>'All regions'!I2260+"$F;@!%`}"</f>
        <v>#VALUE!</v>
      </c>
      <c r="M83" t="e">
        <f>'All regions'!A2261+"$F;@!%`~"</f>
        <v>#VALUE!</v>
      </c>
      <c r="N83" t="e">
        <f>'All regions'!B2261+"$F;@!%a#"</f>
        <v>#VALUE!</v>
      </c>
      <c r="O83" t="e">
        <f>'All regions'!C2261+"$F;@!%a$"</f>
        <v>#VALUE!</v>
      </c>
      <c r="P83" t="e">
        <f>'All regions'!D2261+"$F;@!%a%"</f>
        <v>#VALUE!</v>
      </c>
      <c r="Q83" t="e">
        <f>'All regions'!E2261+"$F;@!%a&amp;"</f>
        <v>#VALUE!</v>
      </c>
      <c r="R83" t="e">
        <f>'All regions'!F2261+"$F;@!%a'"</f>
        <v>#VALUE!</v>
      </c>
      <c r="S83" t="e">
        <f>'All regions'!G2261+"$F;@!%a("</f>
        <v>#VALUE!</v>
      </c>
      <c r="T83" t="e">
        <f>'All regions'!H2261+"$F;@!%a)"</f>
        <v>#VALUE!</v>
      </c>
      <c r="U83" t="e">
        <f>'All regions'!I2261+"$F;@!%a."</f>
        <v>#VALUE!</v>
      </c>
      <c r="V83" t="e">
        <f>'All regions'!A2262+"$F;@!%a/"</f>
        <v>#VALUE!</v>
      </c>
      <c r="W83" t="e">
        <f>'All regions'!B2262+"$F;@!%a0"</f>
        <v>#VALUE!</v>
      </c>
      <c r="X83" t="e">
        <f>'All regions'!C2262+"$F;@!%a1"</f>
        <v>#VALUE!</v>
      </c>
      <c r="Y83" t="e">
        <f>'All regions'!D2262+"$F;@!%a2"</f>
        <v>#VALUE!</v>
      </c>
      <c r="Z83" t="e">
        <f>'All regions'!E2262+"$F;@!%a3"</f>
        <v>#VALUE!</v>
      </c>
      <c r="AA83" t="e">
        <f>'All regions'!F2262+"$F;@!%a4"</f>
        <v>#VALUE!</v>
      </c>
      <c r="AB83" t="e">
        <f>'All regions'!G2262+"$F;@!%a5"</f>
        <v>#VALUE!</v>
      </c>
      <c r="AC83" t="e">
        <f>'All regions'!H2262+"$F;@!%a6"</f>
        <v>#VALUE!</v>
      </c>
      <c r="AD83" t="e">
        <f>'All regions'!I2262+"$F;@!%a7"</f>
        <v>#VALUE!</v>
      </c>
      <c r="AE83" t="e">
        <f>'All regions'!A2263+"$F;@!%a8"</f>
        <v>#VALUE!</v>
      </c>
      <c r="AF83" t="e">
        <f>'All regions'!B2263+"$F;@!%a9"</f>
        <v>#VALUE!</v>
      </c>
      <c r="AG83" t="e">
        <f>'All regions'!C2263+"$F;@!%a:"</f>
        <v>#VALUE!</v>
      </c>
      <c r="AH83" t="e">
        <f>'All regions'!D2263+"$F;@!%a;"</f>
        <v>#VALUE!</v>
      </c>
      <c r="AI83" t="e">
        <f>'All regions'!E2263+"$F;@!%a&lt;"</f>
        <v>#VALUE!</v>
      </c>
      <c r="AJ83" t="e">
        <f>'All regions'!F2263+"$F;@!%a="</f>
        <v>#VALUE!</v>
      </c>
      <c r="AK83" t="e">
        <f>'All regions'!G2263+"$F;@!%a&gt;"</f>
        <v>#VALUE!</v>
      </c>
      <c r="AL83" t="e">
        <f>'All regions'!H2263+"$F;@!%a?"</f>
        <v>#VALUE!</v>
      </c>
      <c r="AM83" t="e">
        <f>'All regions'!I2263+"$F;@!%a@"</f>
        <v>#VALUE!</v>
      </c>
      <c r="AN83" t="e">
        <f>'All regions'!A2264+"$F;@!%aA"</f>
        <v>#VALUE!</v>
      </c>
      <c r="AO83" t="e">
        <f>'All regions'!B2264+"$F;@!%aB"</f>
        <v>#VALUE!</v>
      </c>
      <c r="AP83" t="e">
        <f>'All regions'!C2264+"$F;@!%aC"</f>
        <v>#VALUE!</v>
      </c>
      <c r="AQ83" t="e">
        <f>'All regions'!D2264+"$F;@!%aD"</f>
        <v>#VALUE!</v>
      </c>
      <c r="AR83" t="e">
        <f>'All regions'!E2264+"$F;@!%aE"</f>
        <v>#VALUE!</v>
      </c>
      <c r="AS83" t="e">
        <f>'All regions'!F2264+"$F;@!%aF"</f>
        <v>#VALUE!</v>
      </c>
      <c r="AT83" t="e">
        <f>'All regions'!G2264+"$F;@!%aG"</f>
        <v>#VALUE!</v>
      </c>
      <c r="AU83" t="e">
        <f>'All regions'!H2264+"$F;@!%aH"</f>
        <v>#VALUE!</v>
      </c>
      <c r="AV83" t="e">
        <f>'All regions'!I2264+"$F;@!%aI"</f>
        <v>#VALUE!</v>
      </c>
      <c r="AW83" t="e">
        <f>'All regions'!A2265+"$F;@!%aJ"</f>
        <v>#VALUE!</v>
      </c>
      <c r="AX83" t="e">
        <f>'All regions'!B2265+"$F;@!%aK"</f>
        <v>#VALUE!</v>
      </c>
      <c r="AY83" t="e">
        <f>'All regions'!C2265+"$F;@!%aL"</f>
        <v>#VALUE!</v>
      </c>
      <c r="AZ83" t="e">
        <f>'All regions'!D2265+"$F;@!%aM"</f>
        <v>#VALUE!</v>
      </c>
      <c r="BA83" t="e">
        <f>'All regions'!E2265+"$F;@!%aN"</f>
        <v>#VALUE!</v>
      </c>
      <c r="BB83" t="e">
        <f>'All regions'!F2265+"$F;@!%aO"</f>
        <v>#VALUE!</v>
      </c>
      <c r="BC83" t="e">
        <f>'All regions'!G2265+"$F;@!%aP"</f>
        <v>#VALUE!</v>
      </c>
      <c r="BD83" t="e">
        <f>'All regions'!H2265+"$F;@!%aQ"</f>
        <v>#VALUE!</v>
      </c>
      <c r="BE83" t="e">
        <f>'All regions'!I2265+"$F;@!%aR"</f>
        <v>#VALUE!</v>
      </c>
      <c r="BF83" t="e">
        <f>'All regions'!A2266+"$F;@!%aS"</f>
        <v>#VALUE!</v>
      </c>
      <c r="BG83" t="e">
        <f>'All regions'!B2266+"$F;@!%aT"</f>
        <v>#VALUE!</v>
      </c>
      <c r="BH83" t="e">
        <f>'All regions'!C2266+"$F;@!%aU"</f>
        <v>#VALUE!</v>
      </c>
      <c r="BI83" t="e">
        <f>'All regions'!D2266+"$F;@!%aV"</f>
        <v>#VALUE!</v>
      </c>
      <c r="BJ83" t="e">
        <f>'All regions'!E2266+"$F;@!%aW"</f>
        <v>#VALUE!</v>
      </c>
      <c r="BK83" t="e">
        <f>'All regions'!F2266+"$F;@!%aX"</f>
        <v>#VALUE!</v>
      </c>
      <c r="BL83" t="e">
        <f>'All regions'!G2266+"$F;@!%aY"</f>
        <v>#VALUE!</v>
      </c>
      <c r="BM83" t="e">
        <f>'All regions'!H2266+"$F;@!%aZ"</f>
        <v>#VALUE!</v>
      </c>
      <c r="BN83" t="e">
        <f>'All regions'!I2266+"$F;@!%a["</f>
        <v>#VALUE!</v>
      </c>
      <c r="BO83" t="e">
        <f>'All regions'!A2267+"$F;@!%a\"</f>
        <v>#VALUE!</v>
      </c>
      <c r="BP83" t="e">
        <f>'All regions'!B2267+"$F;@!%a]"</f>
        <v>#VALUE!</v>
      </c>
      <c r="BQ83" t="e">
        <f>'All regions'!C2267+"$F;@!%a^"</f>
        <v>#VALUE!</v>
      </c>
      <c r="BR83" t="e">
        <f>'All regions'!D2267+"$F;@!%a_"</f>
        <v>#VALUE!</v>
      </c>
      <c r="BS83" t="e">
        <f>'All regions'!E2267+"$F;@!%a`"</f>
        <v>#VALUE!</v>
      </c>
      <c r="BT83" t="e">
        <f>'All regions'!F2267+"$F;@!%aa"</f>
        <v>#VALUE!</v>
      </c>
      <c r="BU83" t="e">
        <f>'All regions'!G2267+"$F;@!%ab"</f>
        <v>#VALUE!</v>
      </c>
      <c r="BV83" t="e">
        <f>'All regions'!H2267+"$F;@!%ac"</f>
        <v>#VALUE!</v>
      </c>
      <c r="BW83" t="e">
        <f>'All regions'!I2267+"$F;@!%ad"</f>
        <v>#VALUE!</v>
      </c>
      <c r="BX83" t="e">
        <f>'All regions'!A2268+"$F;@!%ae"</f>
        <v>#VALUE!</v>
      </c>
      <c r="BY83" t="e">
        <f>'All regions'!B2268+"$F;@!%af"</f>
        <v>#VALUE!</v>
      </c>
      <c r="BZ83" t="e">
        <f>'All regions'!C2268+"$F;@!%ag"</f>
        <v>#VALUE!</v>
      </c>
      <c r="CA83" t="e">
        <f>'All regions'!D2268+"$F;@!%ah"</f>
        <v>#VALUE!</v>
      </c>
      <c r="CB83" t="e">
        <f>'All regions'!E2268+"$F;@!%ai"</f>
        <v>#VALUE!</v>
      </c>
      <c r="CC83" t="e">
        <f>'All regions'!F2268+"$F;@!%aj"</f>
        <v>#VALUE!</v>
      </c>
      <c r="CD83" t="e">
        <f>'All regions'!G2268+"$F;@!%ak"</f>
        <v>#VALUE!</v>
      </c>
      <c r="CE83" t="e">
        <f>'All regions'!H2268+"$F;@!%al"</f>
        <v>#VALUE!</v>
      </c>
      <c r="CF83" t="e">
        <f>'All regions'!I2268+"$F;@!%am"</f>
        <v>#VALUE!</v>
      </c>
      <c r="CG83" t="e">
        <f>'All regions'!A2269+"$F;@!%an"</f>
        <v>#VALUE!</v>
      </c>
      <c r="CH83" t="e">
        <f>'All regions'!B2269+"$F;@!%ao"</f>
        <v>#VALUE!</v>
      </c>
      <c r="CI83" t="e">
        <f>'All regions'!C2269+"$F;@!%ap"</f>
        <v>#VALUE!</v>
      </c>
      <c r="CJ83" t="e">
        <f>'All regions'!D2269+"$F;@!%aq"</f>
        <v>#VALUE!</v>
      </c>
      <c r="CK83" t="e">
        <f>'All regions'!E2269+"$F;@!%ar"</f>
        <v>#VALUE!</v>
      </c>
      <c r="CL83" t="e">
        <f>'All regions'!F2269+"$F;@!%as"</f>
        <v>#VALUE!</v>
      </c>
      <c r="CM83" t="e">
        <f>'All regions'!G2269+"$F;@!%at"</f>
        <v>#VALUE!</v>
      </c>
      <c r="CN83" t="e">
        <f>'All regions'!H2269+"$F;@!%au"</f>
        <v>#VALUE!</v>
      </c>
      <c r="CO83" t="e">
        <f>'All regions'!I2269+"$F;@!%av"</f>
        <v>#VALUE!</v>
      </c>
      <c r="CP83" t="e">
        <f>'All regions'!A2270+"$F;@!%aw"</f>
        <v>#VALUE!</v>
      </c>
      <c r="CQ83" t="e">
        <f>'All regions'!B2270+"$F;@!%ax"</f>
        <v>#VALUE!</v>
      </c>
      <c r="CR83" t="e">
        <f>'All regions'!C2270+"$F;@!%ay"</f>
        <v>#VALUE!</v>
      </c>
      <c r="CS83" t="e">
        <f>'All regions'!D2270+"$F;@!%az"</f>
        <v>#VALUE!</v>
      </c>
      <c r="CT83" t="e">
        <f>'All regions'!E2270+"$F;@!%a{"</f>
        <v>#VALUE!</v>
      </c>
      <c r="CU83" t="e">
        <f>'All regions'!F2270+"$F;@!%a|"</f>
        <v>#VALUE!</v>
      </c>
      <c r="CV83" t="e">
        <f>'All regions'!G2270+"$F;@!%a}"</f>
        <v>#VALUE!</v>
      </c>
      <c r="CW83" t="e">
        <f>'All regions'!H2270+"$F;@!%a~"</f>
        <v>#VALUE!</v>
      </c>
      <c r="CX83" t="e">
        <f>'All regions'!I2270+"$F;@!%b#"</f>
        <v>#VALUE!</v>
      </c>
      <c r="CY83" t="e">
        <f>'All regions'!A2271+"$F;@!%b$"</f>
        <v>#VALUE!</v>
      </c>
      <c r="CZ83" t="e">
        <f>'All regions'!B2271+"$F;@!%b%"</f>
        <v>#VALUE!</v>
      </c>
      <c r="DA83" t="e">
        <f>'All regions'!C2271+"$F;@!%b&amp;"</f>
        <v>#VALUE!</v>
      </c>
      <c r="DB83" t="e">
        <f>'All regions'!D2271+"$F;@!%b'"</f>
        <v>#VALUE!</v>
      </c>
      <c r="DC83" t="e">
        <f>'All regions'!E2271+"$F;@!%b("</f>
        <v>#VALUE!</v>
      </c>
      <c r="DD83" t="e">
        <f>'All regions'!F2271+"$F;@!%b)"</f>
        <v>#VALUE!</v>
      </c>
      <c r="DE83" t="e">
        <f>'All regions'!G2271+"$F;@!%b."</f>
        <v>#VALUE!</v>
      </c>
      <c r="DF83" t="e">
        <f>'All regions'!H2271+"$F;@!%b/"</f>
        <v>#VALUE!</v>
      </c>
      <c r="DG83" t="e">
        <f>'All regions'!I2271+"$F;@!%b0"</f>
        <v>#VALUE!</v>
      </c>
      <c r="DH83" t="e">
        <f>'All regions'!A2272+"$F;@!%b1"</f>
        <v>#VALUE!</v>
      </c>
      <c r="DI83" t="e">
        <f>'All regions'!B2272+"$F;@!%b2"</f>
        <v>#VALUE!</v>
      </c>
      <c r="DJ83" t="e">
        <f>'All regions'!C2272+"$F;@!%b3"</f>
        <v>#VALUE!</v>
      </c>
      <c r="DK83" t="e">
        <f>'All regions'!D2272+"$F;@!%b4"</f>
        <v>#VALUE!</v>
      </c>
      <c r="DL83" t="e">
        <f>'All regions'!E2272+"$F;@!%b5"</f>
        <v>#VALUE!</v>
      </c>
      <c r="DM83" t="e">
        <f>'All regions'!F2272+"$F;@!%b6"</f>
        <v>#VALUE!</v>
      </c>
      <c r="DN83" t="e">
        <f>'All regions'!G2272+"$F;@!%b7"</f>
        <v>#VALUE!</v>
      </c>
      <c r="DO83" t="e">
        <f>'All regions'!H2272+"$F;@!%b8"</f>
        <v>#VALUE!</v>
      </c>
      <c r="DP83" t="e">
        <f>'All regions'!I2272+"$F;@!%b9"</f>
        <v>#VALUE!</v>
      </c>
      <c r="DQ83" t="e">
        <f>'All regions'!A2273+"$F;@!%b:"</f>
        <v>#VALUE!</v>
      </c>
      <c r="DR83" t="e">
        <f>'All regions'!B2273+"$F;@!%b;"</f>
        <v>#VALUE!</v>
      </c>
      <c r="DS83" t="e">
        <f>'All regions'!C2273+"$F;@!%b&lt;"</f>
        <v>#VALUE!</v>
      </c>
      <c r="DT83" t="e">
        <f>'All regions'!D2273+"$F;@!%b="</f>
        <v>#VALUE!</v>
      </c>
      <c r="DU83" t="e">
        <f>'All regions'!E2273+"$F;@!%b&gt;"</f>
        <v>#VALUE!</v>
      </c>
      <c r="DV83" t="e">
        <f>'All regions'!F2273+"$F;@!%b?"</f>
        <v>#VALUE!</v>
      </c>
      <c r="DW83" t="e">
        <f>'All regions'!G2273+"$F;@!%b@"</f>
        <v>#VALUE!</v>
      </c>
      <c r="DX83" t="e">
        <f>'All regions'!H2273+"$F;@!%bA"</f>
        <v>#VALUE!</v>
      </c>
      <c r="DY83" t="e">
        <f>'All regions'!I2273+"$F;@!%bB"</f>
        <v>#VALUE!</v>
      </c>
      <c r="DZ83" t="e">
        <f>'All regions'!A2274+"$F;@!%bC"</f>
        <v>#VALUE!</v>
      </c>
      <c r="EA83" t="e">
        <f>'All regions'!B2274+"$F;@!%bD"</f>
        <v>#VALUE!</v>
      </c>
      <c r="EB83" t="e">
        <f>'All regions'!C2274+"$F;@!%bE"</f>
        <v>#VALUE!</v>
      </c>
      <c r="EC83" t="e">
        <f>'All regions'!D2274+"$F;@!%bF"</f>
        <v>#VALUE!</v>
      </c>
      <c r="ED83" t="e">
        <f>'All regions'!E2274+"$F;@!%bG"</f>
        <v>#VALUE!</v>
      </c>
      <c r="EE83" t="e">
        <f>'All regions'!F2274+"$F;@!%bH"</f>
        <v>#VALUE!</v>
      </c>
      <c r="EF83" t="e">
        <f>'All regions'!G2274+"$F;@!%bI"</f>
        <v>#VALUE!</v>
      </c>
      <c r="EG83" t="e">
        <f>'All regions'!H2274+"$F;@!%bJ"</f>
        <v>#VALUE!</v>
      </c>
      <c r="EH83" t="e">
        <f>'All regions'!I2274+"$F;@!%bK"</f>
        <v>#VALUE!</v>
      </c>
      <c r="EI83" t="e">
        <f>'All regions'!A2275+"$F;@!%bL"</f>
        <v>#VALUE!</v>
      </c>
      <c r="EJ83" t="e">
        <f>'All regions'!B2275+"$F;@!%bM"</f>
        <v>#VALUE!</v>
      </c>
      <c r="EK83" t="e">
        <f>'All regions'!C2275+"$F;@!%bN"</f>
        <v>#VALUE!</v>
      </c>
      <c r="EL83" t="e">
        <f>'All regions'!D2275+"$F;@!%bO"</f>
        <v>#VALUE!</v>
      </c>
      <c r="EM83" t="e">
        <f>'All regions'!E2275+"$F;@!%bP"</f>
        <v>#VALUE!</v>
      </c>
      <c r="EN83" t="e">
        <f>'All regions'!F2275+"$F;@!%bQ"</f>
        <v>#VALUE!</v>
      </c>
      <c r="EO83" t="e">
        <f>'All regions'!G2275+"$F;@!%bR"</f>
        <v>#VALUE!</v>
      </c>
      <c r="EP83" t="e">
        <f>'All regions'!H2275+"$F;@!%bS"</f>
        <v>#VALUE!</v>
      </c>
      <c r="EQ83" t="e">
        <f>'All regions'!I2275+"$F;@!%bT"</f>
        <v>#VALUE!</v>
      </c>
      <c r="ER83" t="e">
        <f>'All regions'!A2276+"$F;@!%bU"</f>
        <v>#VALUE!</v>
      </c>
      <c r="ES83" t="e">
        <f>'All regions'!B2276+"$F;@!%bV"</f>
        <v>#VALUE!</v>
      </c>
      <c r="ET83" t="e">
        <f>'All regions'!C2276+"$F;@!%bW"</f>
        <v>#VALUE!</v>
      </c>
      <c r="EU83" t="e">
        <f>'All regions'!D2276+"$F;@!%bX"</f>
        <v>#VALUE!</v>
      </c>
      <c r="EV83" t="e">
        <f>'All regions'!E2276+"$F;@!%bY"</f>
        <v>#VALUE!</v>
      </c>
      <c r="EW83" t="e">
        <f>'All regions'!F2276+"$F;@!%bZ"</f>
        <v>#VALUE!</v>
      </c>
      <c r="EX83" t="e">
        <f>'All regions'!G2276+"$F;@!%b["</f>
        <v>#VALUE!</v>
      </c>
      <c r="EY83" t="e">
        <f>'All regions'!H2276+"$F;@!%b\"</f>
        <v>#VALUE!</v>
      </c>
      <c r="EZ83" t="e">
        <f>'All regions'!I2276+"$F;@!%b]"</f>
        <v>#VALUE!</v>
      </c>
      <c r="FA83" t="e">
        <f>'All regions'!A2277+"$F;@!%b^"</f>
        <v>#VALUE!</v>
      </c>
      <c r="FB83" t="e">
        <f>'All regions'!B2277+"$F;@!%b_"</f>
        <v>#VALUE!</v>
      </c>
      <c r="FC83" t="e">
        <f>'All regions'!C2277+"$F;@!%b`"</f>
        <v>#VALUE!</v>
      </c>
      <c r="FD83" t="e">
        <f>'All regions'!D2277+"$F;@!%ba"</f>
        <v>#VALUE!</v>
      </c>
      <c r="FE83" t="e">
        <f>'All regions'!E2277+"$F;@!%bb"</f>
        <v>#VALUE!</v>
      </c>
      <c r="FF83" t="e">
        <f>'All regions'!F2277+"$F;@!%bc"</f>
        <v>#VALUE!</v>
      </c>
      <c r="FG83" t="e">
        <f>'All regions'!G2277+"$F;@!%bd"</f>
        <v>#VALUE!</v>
      </c>
      <c r="FH83" t="e">
        <f>'All regions'!H2277+"$F;@!%be"</f>
        <v>#VALUE!</v>
      </c>
      <c r="FI83" t="e">
        <f>'All regions'!I2277+"$F;@!%bf"</f>
        <v>#VALUE!</v>
      </c>
      <c r="FJ83" t="e">
        <f>'All regions'!A2278+"$F;@!%bg"</f>
        <v>#VALUE!</v>
      </c>
      <c r="FK83" t="e">
        <f>'All regions'!B2278+"$F;@!%bh"</f>
        <v>#VALUE!</v>
      </c>
      <c r="FL83" t="e">
        <f>'All regions'!C2278+"$F;@!%bi"</f>
        <v>#VALUE!</v>
      </c>
      <c r="FM83" t="e">
        <f>'All regions'!D2278+"$F;@!%bj"</f>
        <v>#VALUE!</v>
      </c>
      <c r="FN83" t="e">
        <f>'All regions'!E2278+"$F;@!%bk"</f>
        <v>#VALUE!</v>
      </c>
      <c r="FO83" t="e">
        <f>'All regions'!F2278+"$F;@!%bl"</f>
        <v>#VALUE!</v>
      </c>
      <c r="FP83" t="e">
        <f>'All regions'!G2278+"$F;@!%bm"</f>
        <v>#VALUE!</v>
      </c>
      <c r="FQ83" t="e">
        <f>'All regions'!H2278+"$F;@!%bn"</f>
        <v>#VALUE!</v>
      </c>
      <c r="FR83" t="e">
        <f>'All regions'!I2278+"$F;@!%bo"</f>
        <v>#VALUE!</v>
      </c>
      <c r="FS83" t="e">
        <f>'All regions'!A2279+"$F;@!%bp"</f>
        <v>#VALUE!</v>
      </c>
      <c r="FT83" t="e">
        <f>'All regions'!B2279+"$F;@!%bq"</f>
        <v>#VALUE!</v>
      </c>
      <c r="FU83" t="e">
        <f>'All regions'!C2279+"$F;@!%br"</f>
        <v>#VALUE!</v>
      </c>
      <c r="FV83" t="e">
        <f>'All regions'!D2279+"$F;@!%bs"</f>
        <v>#VALUE!</v>
      </c>
      <c r="FW83" t="e">
        <f>'All regions'!E2279+"$F;@!%bt"</f>
        <v>#VALUE!</v>
      </c>
      <c r="FX83" t="e">
        <f>'All regions'!F2279+"$F;@!%bu"</f>
        <v>#VALUE!</v>
      </c>
      <c r="FY83" t="e">
        <f>'All regions'!G2279+"$F;@!%bv"</f>
        <v>#VALUE!</v>
      </c>
      <c r="FZ83" t="e">
        <f>'All regions'!H2279+"$F;@!%bw"</f>
        <v>#VALUE!</v>
      </c>
      <c r="GA83" t="e">
        <f>'All regions'!I2279+"$F;@!%bx"</f>
        <v>#VALUE!</v>
      </c>
      <c r="GB83" t="e">
        <f>'All regions'!A2280+"$F;@!%by"</f>
        <v>#VALUE!</v>
      </c>
      <c r="GC83" t="e">
        <f>'All regions'!B2280+"$F;@!%bz"</f>
        <v>#VALUE!</v>
      </c>
      <c r="GD83" t="e">
        <f>'All regions'!C2280+"$F;@!%b{"</f>
        <v>#VALUE!</v>
      </c>
      <c r="GE83" t="e">
        <f>'All regions'!D2280+"$F;@!%b|"</f>
        <v>#VALUE!</v>
      </c>
      <c r="GF83" t="e">
        <f>'All regions'!E2280+"$F;@!%b}"</f>
        <v>#VALUE!</v>
      </c>
      <c r="GG83" t="e">
        <f>'All regions'!F2280+"$F;@!%b~"</f>
        <v>#VALUE!</v>
      </c>
      <c r="GH83" t="e">
        <f>'All regions'!G2280+"$F;@!%c#"</f>
        <v>#VALUE!</v>
      </c>
      <c r="GI83" t="e">
        <f>'All regions'!H2280+"$F;@!%c$"</f>
        <v>#VALUE!</v>
      </c>
      <c r="GJ83" t="e">
        <f>'All regions'!I2280+"$F;@!%c%"</f>
        <v>#VALUE!</v>
      </c>
      <c r="GK83" t="e">
        <f>'All regions'!A2281+"$F;@!%c&amp;"</f>
        <v>#VALUE!</v>
      </c>
      <c r="GL83" t="e">
        <f>'All regions'!B2281+"$F;@!%c'"</f>
        <v>#VALUE!</v>
      </c>
      <c r="GM83" t="e">
        <f>'All regions'!C2281+"$F;@!%c("</f>
        <v>#VALUE!</v>
      </c>
      <c r="GN83" t="e">
        <f>'All regions'!D2281+"$F;@!%c)"</f>
        <v>#VALUE!</v>
      </c>
      <c r="GO83" t="e">
        <f>'All regions'!E2281+"$F;@!%c."</f>
        <v>#VALUE!</v>
      </c>
      <c r="GP83" t="e">
        <f>'All regions'!F2281+"$F;@!%c/"</f>
        <v>#VALUE!</v>
      </c>
      <c r="GQ83" t="e">
        <f>'All regions'!G2281+"$F;@!%c0"</f>
        <v>#VALUE!</v>
      </c>
      <c r="GR83" t="e">
        <f>'All regions'!H2281+"$F;@!%c1"</f>
        <v>#VALUE!</v>
      </c>
      <c r="GS83" t="e">
        <f>'All regions'!I2281+"$F;@!%c2"</f>
        <v>#VALUE!</v>
      </c>
      <c r="GT83" t="e">
        <f>'All regions'!A2282+"$F;@!%c3"</f>
        <v>#VALUE!</v>
      </c>
      <c r="GU83" t="e">
        <f>'All regions'!B2282+"$F;@!%c4"</f>
        <v>#VALUE!</v>
      </c>
      <c r="GV83" t="e">
        <f>'All regions'!C2282+"$F;@!%c5"</f>
        <v>#VALUE!</v>
      </c>
      <c r="GW83" t="e">
        <f>'All regions'!D2282+"$F;@!%c6"</f>
        <v>#VALUE!</v>
      </c>
      <c r="GX83" t="e">
        <f>'All regions'!E2282+"$F;@!%c7"</f>
        <v>#VALUE!</v>
      </c>
      <c r="GY83" t="e">
        <f>'All regions'!F2282+"$F;@!%c8"</f>
        <v>#VALUE!</v>
      </c>
      <c r="GZ83" t="e">
        <f>'All regions'!G2282+"$F;@!%c9"</f>
        <v>#VALUE!</v>
      </c>
      <c r="HA83" t="e">
        <f>'All regions'!H2282+"$F;@!%c:"</f>
        <v>#VALUE!</v>
      </c>
      <c r="HB83" t="e">
        <f>'All regions'!I2282+"$F;@!%c;"</f>
        <v>#VALUE!</v>
      </c>
      <c r="HC83" t="e">
        <f>'All regions'!A2283+"$F;@!%c&lt;"</f>
        <v>#VALUE!</v>
      </c>
      <c r="HD83" t="e">
        <f>'All regions'!B2283+"$F;@!%c="</f>
        <v>#VALUE!</v>
      </c>
      <c r="HE83" t="e">
        <f>'All regions'!C2283+"$F;@!%c&gt;"</f>
        <v>#VALUE!</v>
      </c>
      <c r="HF83" t="e">
        <f>'All regions'!D2283+"$F;@!%c?"</f>
        <v>#VALUE!</v>
      </c>
      <c r="HG83" t="e">
        <f>'All regions'!E2283+"$F;@!%c@"</f>
        <v>#VALUE!</v>
      </c>
      <c r="HH83" t="e">
        <f>'All regions'!F2283+"$F;@!%cA"</f>
        <v>#VALUE!</v>
      </c>
      <c r="HI83" t="e">
        <f>'All regions'!G2283+"$F;@!%cB"</f>
        <v>#VALUE!</v>
      </c>
      <c r="HJ83" t="e">
        <f>'All regions'!H2283+"$F;@!%cC"</f>
        <v>#VALUE!</v>
      </c>
      <c r="HK83" t="e">
        <f>'All regions'!I2283+"$F;@!%cD"</f>
        <v>#VALUE!</v>
      </c>
      <c r="HL83" t="e">
        <f>'All regions'!A2284+"$F;@!%cE"</f>
        <v>#VALUE!</v>
      </c>
      <c r="HM83" t="e">
        <f>'All regions'!B2284+"$F;@!%cF"</f>
        <v>#VALUE!</v>
      </c>
      <c r="HN83" t="e">
        <f>'All regions'!C2284+"$F;@!%cG"</f>
        <v>#VALUE!</v>
      </c>
      <c r="HO83" t="e">
        <f>'All regions'!D2284+"$F;@!%cH"</f>
        <v>#VALUE!</v>
      </c>
      <c r="HP83" t="e">
        <f>'All regions'!E2284+"$F;@!%cI"</f>
        <v>#VALUE!</v>
      </c>
      <c r="HQ83" t="e">
        <f>'All regions'!F2284+"$F;@!%cJ"</f>
        <v>#VALUE!</v>
      </c>
      <c r="HR83" t="e">
        <f>'All regions'!G2284+"$F;@!%cK"</f>
        <v>#VALUE!</v>
      </c>
      <c r="HS83" t="e">
        <f>'All regions'!H2284+"$F;@!%cL"</f>
        <v>#VALUE!</v>
      </c>
      <c r="HT83" t="e">
        <f>'All regions'!I2284+"$F;@!%cM"</f>
        <v>#VALUE!</v>
      </c>
      <c r="HU83" t="e">
        <f>'All regions'!A2285+"$F;@!%cN"</f>
        <v>#VALUE!</v>
      </c>
      <c r="HV83" t="e">
        <f>'All regions'!B2285+"$F;@!%cO"</f>
        <v>#VALUE!</v>
      </c>
      <c r="HW83" t="e">
        <f>'All regions'!C2285+"$F;@!%cP"</f>
        <v>#VALUE!</v>
      </c>
      <c r="HX83" t="e">
        <f>'All regions'!D2285+"$F;@!%cQ"</f>
        <v>#VALUE!</v>
      </c>
      <c r="HY83" t="e">
        <f>'All regions'!E2285+"$F;@!%cR"</f>
        <v>#VALUE!</v>
      </c>
      <c r="HZ83" t="e">
        <f>'All regions'!F2285+"$F;@!%cS"</f>
        <v>#VALUE!</v>
      </c>
      <c r="IA83" t="e">
        <f>'All regions'!G2285+"$F;@!%cT"</f>
        <v>#VALUE!</v>
      </c>
      <c r="IB83" t="e">
        <f>'All regions'!H2285+"$F;@!%cU"</f>
        <v>#VALUE!</v>
      </c>
      <c r="IC83" t="e">
        <f>'All regions'!I2285+"$F;@!%cV"</f>
        <v>#VALUE!</v>
      </c>
      <c r="ID83" t="e">
        <f>'All regions'!A2286+"$F;@!%cW"</f>
        <v>#VALUE!</v>
      </c>
      <c r="IE83" t="e">
        <f>'All regions'!B2286+"$F;@!%cX"</f>
        <v>#VALUE!</v>
      </c>
      <c r="IF83" t="e">
        <f>'All regions'!C2286+"$F;@!%cY"</f>
        <v>#VALUE!</v>
      </c>
      <c r="IG83" t="e">
        <f>'All regions'!D2286+"$F;@!%cZ"</f>
        <v>#VALUE!</v>
      </c>
      <c r="IH83" t="e">
        <f>'All regions'!E2286+"$F;@!%c["</f>
        <v>#VALUE!</v>
      </c>
      <c r="II83" t="e">
        <f>'All regions'!F2286+"$F;@!%c\"</f>
        <v>#VALUE!</v>
      </c>
      <c r="IJ83" t="e">
        <f>'All regions'!G2286+"$F;@!%c]"</f>
        <v>#VALUE!</v>
      </c>
      <c r="IK83" t="e">
        <f>'All regions'!H2286+"$F;@!%c^"</f>
        <v>#VALUE!</v>
      </c>
      <c r="IL83" t="e">
        <f>'All regions'!I2286+"$F;@!%c_"</f>
        <v>#VALUE!</v>
      </c>
      <c r="IM83" t="e">
        <f>'All regions'!A2287+"$F;@!%c`"</f>
        <v>#VALUE!</v>
      </c>
      <c r="IN83" t="e">
        <f>'All regions'!B2287+"$F;@!%ca"</f>
        <v>#VALUE!</v>
      </c>
      <c r="IO83" t="e">
        <f>'All regions'!C2287+"$F;@!%cb"</f>
        <v>#VALUE!</v>
      </c>
      <c r="IP83" t="e">
        <f>'All regions'!D2287+"$F;@!%cc"</f>
        <v>#VALUE!</v>
      </c>
      <c r="IQ83" t="e">
        <f>'All regions'!E2287+"$F;@!%cd"</f>
        <v>#VALUE!</v>
      </c>
      <c r="IR83" t="e">
        <f>'All regions'!F2287+"$F;@!%ce"</f>
        <v>#VALUE!</v>
      </c>
      <c r="IS83" t="e">
        <f>'All regions'!G2287+"$F;@!%cf"</f>
        <v>#VALUE!</v>
      </c>
      <c r="IT83" t="e">
        <f>'All regions'!H2287+"$F;@!%cg"</f>
        <v>#VALUE!</v>
      </c>
      <c r="IU83" t="e">
        <f>'All regions'!I2287+"$F;@!%ch"</f>
        <v>#VALUE!</v>
      </c>
      <c r="IV83" t="e">
        <f>'All regions'!A2288+"$F;@!%ci"</f>
        <v>#VALUE!</v>
      </c>
    </row>
    <row r="84" spans="6:256" x14ac:dyDescent="0.35">
      <c r="F84" t="e">
        <f>'All regions'!B2288+"$F;@!%cj"</f>
        <v>#VALUE!</v>
      </c>
      <c r="G84" t="e">
        <f>'All regions'!C2288+"$F;@!%ck"</f>
        <v>#VALUE!</v>
      </c>
      <c r="H84" t="e">
        <f>'All regions'!D2288+"$F;@!%cl"</f>
        <v>#VALUE!</v>
      </c>
      <c r="I84" t="e">
        <f>'All regions'!E2288+"$F;@!%cm"</f>
        <v>#VALUE!</v>
      </c>
      <c r="J84" t="e">
        <f>'All regions'!F2288+"$F;@!%cn"</f>
        <v>#VALUE!</v>
      </c>
      <c r="K84" t="e">
        <f>'All regions'!G2288+"$F;@!%co"</f>
        <v>#VALUE!</v>
      </c>
      <c r="L84" t="e">
        <f>'All regions'!H2288+"$F;@!%cp"</f>
        <v>#VALUE!</v>
      </c>
      <c r="M84" t="e">
        <f>'All regions'!I2288+"$F;@!%cq"</f>
        <v>#VALUE!</v>
      </c>
      <c r="N84" t="e">
        <f>'All regions'!A2289+"$F;@!%cr"</f>
        <v>#VALUE!</v>
      </c>
      <c r="O84" t="e">
        <f>'All regions'!B2289+"$F;@!%cs"</f>
        <v>#VALUE!</v>
      </c>
      <c r="P84" t="e">
        <f>'All regions'!C2289+"$F;@!%ct"</f>
        <v>#VALUE!</v>
      </c>
      <c r="Q84" t="e">
        <f>'All regions'!D2289+"$F;@!%cu"</f>
        <v>#VALUE!</v>
      </c>
      <c r="R84" t="e">
        <f>'All regions'!E2289+"$F;@!%cv"</f>
        <v>#VALUE!</v>
      </c>
      <c r="S84" t="e">
        <f>'All regions'!F2289+"$F;@!%cw"</f>
        <v>#VALUE!</v>
      </c>
      <c r="T84" t="e">
        <f>'All regions'!G2289+"$F;@!%cx"</f>
        <v>#VALUE!</v>
      </c>
      <c r="U84" t="e">
        <f>'All regions'!H2289+"$F;@!%cy"</f>
        <v>#VALUE!</v>
      </c>
      <c r="V84" t="e">
        <f>'All regions'!I2289+"$F;@!%cz"</f>
        <v>#VALUE!</v>
      </c>
      <c r="W84" t="e">
        <f>'All regions'!A2290+"$F;@!%c{"</f>
        <v>#VALUE!</v>
      </c>
      <c r="X84" t="e">
        <f>'All regions'!B2290+"$F;@!%c|"</f>
        <v>#VALUE!</v>
      </c>
      <c r="Y84" t="e">
        <f>'All regions'!C2290+"$F;@!%c}"</f>
        <v>#VALUE!</v>
      </c>
      <c r="Z84" t="e">
        <f>'All regions'!D2290+"$F;@!%c~"</f>
        <v>#VALUE!</v>
      </c>
      <c r="AA84" t="e">
        <f>'All regions'!E2290+"$F;@!%d#"</f>
        <v>#VALUE!</v>
      </c>
      <c r="AB84" t="e">
        <f>'All regions'!F2290+"$F;@!%d$"</f>
        <v>#VALUE!</v>
      </c>
      <c r="AC84" t="e">
        <f>'All regions'!G2290+"$F;@!%d%"</f>
        <v>#VALUE!</v>
      </c>
      <c r="AD84" t="e">
        <f>'All regions'!H2290+"$F;@!%d&amp;"</f>
        <v>#VALUE!</v>
      </c>
      <c r="AE84" t="e">
        <f>'All regions'!I2290+"$F;@!%d'"</f>
        <v>#VALUE!</v>
      </c>
      <c r="AF84" t="e">
        <f>'All regions'!A2291+"$F;@!%d("</f>
        <v>#VALUE!</v>
      </c>
      <c r="AG84" t="e">
        <f>'All regions'!B2291+"$F;@!%d)"</f>
        <v>#VALUE!</v>
      </c>
      <c r="AH84" t="e">
        <f>'All regions'!C2291+"$F;@!%d."</f>
        <v>#VALUE!</v>
      </c>
      <c r="AI84" t="e">
        <f>'All regions'!D2291+"$F;@!%d/"</f>
        <v>#VALUE!</v>
      </c>
      <c r="AJ84" t="e">
        <f>'All regions'!E2291+"$F;@!%d0"</f>
        <v>#VALUE!</v>
      </c>
      <c r="AK84" t="e">
        <f>'All regions'!F2291+"$F;@!%d1"</f>
        <v>#VALUE!</v>
      </c>
      <c r="AL84" t="e">
        <f>'All regions'!G2291+"$F;@!%d2"</f>
        <v>#VALUE!</v>
      </c>
      <c r="AM84" t="e">
        <f>'All regions'!H2291+"$F;@!%d3"</f>
        <v>#VALUE!</v>
      </c>
      <c r="AN84" t="e">
        <f>'All regions'!I2291+"$F;@!%d4"</f>
        <v>#VALUE!</v>
      </c>
      <c r="AO84" t="e">
        <f>'All regions'!A2292+"$F;@!%d5"</f>
        <v>#VALUE!</v>
      </c>
      <c r="AP84" t="e">
        <f>'All regions'!B2292+"$F;@!%d6"</f>
        <v>#VALUE!</v>
      </c>
      <c r="AQ84" t="e">
        <f>'All regions'!C2292+"$F;@!%d7"</f>
        <v>#VALUE!</v>
      </c>
      <c r="AR84" t="e">
        <f>'All regions'!D2292+"$F;@!%d8"</f>
        <v>#VALUE!</v>
      </c>
      <c r="AS84" t="e">
        <f>'All regions'!E2292+"$F;@!%d9"</f>
        <v>#VALUE!</v>
      </c>
      <c r="AT84" t="e">
        <f>'All regions'!F2292+"$F;@!%d:"</f>
        <v>#VALUE!</v>
      </c>
      <c r="AU84" t="e">
        <f>'All regions'!G2292+"$F;@!%d;"</f>
        <v>#VALUE!</v>
      </c>
      <c r="AV84" t="e">
        <f>'All regions'!H2292+"$F;@!%d&lt;"</f>
        <v>#VALUE!</v>
      </c>
      <c r="AW84" t="e">
        <f>'All regions'!I2292+"$F;@!%d="</f>
        <v>#VALUE!</v>
      </c>
      <c r="AX84" t="e">
        <f>'All regions'!A2293+"$F;@!%d&gt;"</f>
        <v>#VALUE!</v>
      </c>
      <c r="AY84" t="e">
        <f>'All regions'!B2293+"$F;@!%d?"</f>
        <v>#VALUE!</v>
      </c>
      <c r="AZ84" t="e">
        <f>'All regions'!C2293+"$F;@!%d@"</f>
        <v>#VALUE!</v>
      </c>
      <c r="BA84" t="e">
        <f>'All regions'!D2293+"$F;@!%dA"</f>
        <v>#VALUE!</v>
      </c>
      <c r="BB84" t="e">
        <f>'All regions'!E2293+"$F;@!%dB"</f>
        <v>#VALUE!</v>
      </c>
      <c r="BC84" t="e">
        <f>'All regions'!F2293+"$F;@!%dC"</f>
        <v>#VALUE!</v>
      </c>
      <c r="BD84" t="e">
        <f>'All regions'!G2293+"$F;@!%dD"</f>
        <v>#VALUE!</v>
      </c>
      <c r="BE84" t="e">
        <f>'All regions'!H2293+"$F;@!%dE"</f>
        <v>#VALUE!</v>
      </c>
      <c r="BF84" t="e">
        <f>'All regions'!I2293+"$F;@!%dF"</f>
        <v>#VALUE!</v>
      </c>
      <c r="BG84" t="e">
        <f>'All regions'!A2294+"$F;@!%dG"</f>
        <v>#VALUE!</v>
      </c>
      <c r="BH84" t="e">
        <f>'All regions'!B2294+"$F;@!%dH"</f>
        <v>#VALUE!</v>
      </c>
      <c r="BI84" t="e">
        <f>'All regions'!C2294+"$F;@!%dI"</f>
        <v>#VALUE!</v>
      </c>
      <c r="BJ84" t="e">
        <f>'All regions'!D2294+"$F;@!%dJ"</f>
        <v>#VALUE!</v>
      </c>
      <c r="BK84" t="e">
        <f>'All regions'!E2294+"$F;@!%dK"</f>
        <v>#VALUE!</v>
      </c>
      <c r="BL84" t="e">
        <f>'All regions'!F2294+"$F;@!%dL"</f>
        <v>#VALUE!</v>
      </c>
      <c r="BM84" t="e">
        <f>'All regions'!G2294+"$F;@!%dM"</f>
        <v>#VALUE!</v>
      </c>
      <c r="BN84" t="e">
        <f>'All regions'!H2294+"$F;@!%dN"</f>
        <v>#VALUE!</v>
      </c>
      <c r="BO84" t="e">
        <f>'All regions'!I2294+"$F;@!%dO"</f>
        <v>#VALUE!</v>
      </c>
      <c r="BP84" t="e">
        <f>'All regions'!A2295+"$F;@!%dP"</f>
        <v>#VALUE!</v>
      </c>
      <c r="BQ84" t="e">
        <f>'All regions'!B2295+"$F;@!%dQ"</f>
        <v>#VALUE!</v>
      </c>
      <c r="BR84" t="e">
        <f>'All regions'!C2295+"$F;@!%dR"</f>
        <v>#VALUE!</v>
      </c>
      <c r="BS84" t="e">
        <f>'All regions'!D2295+"$F;@!%dS"</f>
        <v>#VALUE!</v>
      </c>
      <c r="BT84" t="e">
        <f>'All regions'!E2295+"$F;@!%dT"</f>
        <v>#VALUE!</v>
      </c>
      <c r="BU84" t="e">
        <f>'All regions'!F2295+"$F;@!%dU"</f>
        <v>#VALUE!</v>
      </c>
      <c r="BV84" t="e">
        <f>'All regions'!G2295+"$F;@!%dV"</f>
        <v>#VALUE!</v>
      </c>
      <c r="BW84" t="e">
        <f>'All regions'!H2295+"$F;@!%dW"</f>
        <v>#VALUE!</v>
      </c>
      <c r="BX84" t="e">
        <f>'All regions'!I2295+"$F;@!%dX"</f>
        <v>#VALUE!</v>
      </c>
      <c r="BY84" t="e">
        <f>'All regions'!A2296+"$F;@!%dY"</f>
        <v>#VALUE!</v>
      </c>
      <c r="BZ84" t="e">
        <f>'All regions'!B2296+"$F;@!%dZ"</f>
        <v>#VALUE!</v>
      </c>
      <c r="CA84" t="e">
        <f>'All regions'!C2296+"$F;@!%d["</f>
        <v>#VALUE!</v>
      </c>
      <c r="CB84" t="e">
        <f>'All regions'!D2296+"$F;@!%d\"</f>
        <v>#VALUE!</v>
      </c>
      <c r="CC84" t="e">
        <f>'All regions'!E2296+"$F;@!%d]"</f>
        <v>#VALUE!</v>
      </c>
      <c r="CD84" t="e">
        <f>'All regions'!F2296+"$F;@!%d^"</f>
        <v>#VALUE!</v>
      </c>
      <c r="CE84" t="e">
        <f>'All regions'!G2296+"$F;@!%d_"</f>
        <v>#VALUE!</v>
      </c>
      <c r="CF84" t="e">
        <f>'All regions'!H2296+"$F;@!%d`"</f>
        <v>#VALUE!</v>
      </c>
      <c r="CG84" t="e">
        <f>'All regions'!I2296+"$F;@!%da"</f>
        <v>#VALUE!</v>
      </c>
      <c r="CH84" t="e">
        <f>'All regions'!A2297+"$F;@!%db"</f>
        <v>#VALUE!</v>
      </c>
      <c r="CI84" t="e">
        <f>'All regions'!B2297+"$F;@!%dc"</f>
        <v>#VALUE!</v>
      </c>
      <c r="CJ84" t="e">
        <f>'All regions'!C2297+"$F;@!%dd"</f>
        <v>#VALUE!</v>
      </c>
      <c r="CK84" t="e">
        <f>'All regions'!D2297+"$F;@!%de"</f>
        <v>#VALUE!</v>
      </c>
      <c r="CL84" t="e">
        <f>'All regions'!E2297+"$F;@!%df"</f>
        <v>#VALUE!</v>
      </c>
      <c r="CM84" t="e">
        <f>'All regions'!F2297+"$F;@!%dg"</f>
        <v>#VALUE!</v>
      </c>
      <c r="CN84" t="e">
        <f>'All regions'!G2297+"$F;@!%dh"</f>
        <v>#VALUE!</v>
      </c>
      <c r="CO84" t="e">
        <f>'All regions'!H2297+"$F;@!%di"</f>
        <v>#VALUE!</v>
      </c>
      <c r="CP84" t="e">
        <f>'All regions'!I2297+"$F;@!%dj"</f>
        <v>#VALUE!</v>
      </c>
      <c r="CQ84" t="e">
        <f>'All regions'!A2298+"$F;@!%dk"</f>
        <v>#VALUE!</v>
      </c>
      <c r="CR84" t="e">
        <f>'All regions'!B2298+"$F;@!%dl"</f>
        <v>#VALUE!</v>
      </c>
      <c r="CS84" t="e">
        <f>'All regions'!C2298+"$F;@!%dm"</f>
        <v>#VALUE!</v>
      </c>
      <c r="CT84" t="e">
        <f>'All regions'!D2298+"$F;@!%dn"</f>
        <v>#VALUE!</v>
      </c>
      <c r="CU84" t="e">
        <f>'All regions'!E2298+"$F;@!%do"</f>
        <v>#VALUE!</v>
      </c>
      <c r="CV84" t="e">
        <f>'All regions'!F2298+"$F;@!%dp"</f>
        <v>#VALUE!</v>
      </c>
      <c r="CW84" t="e">
        <f>'All regions'!G2298+"$F;@!%dq"</f>
        <v>#VALUE!</v>
      </c>
      <c r="CX84" t="e">
        <f>'All regions'!H2298+"$F;@!%dr"</f>
        <v>#VALUE!</v>
      </c>
      <c r="CY84" t="e">
        <f>'All regions'!I2298+"$F;@!%ds"</f>
        <v>#VALUE!</v>
      </c>
      <c r="CZ84" t="e">
        <f>'All regions'!A2299+"$F;@!%dt"</f>
        <v>#VALUE!</v>
      </c>
      <c r="DA84" t="e">
        <f>'All regions'!B2299+"$F;@!%du"</f>
        <v>#VALUE!</v>
      </c>
      <c r="DB84" t="e">
        <f>'All regions'!C2299+"$F;@!%dv"</f>
        <v>#VALUE!</v>
      </c>
      <c r="DC84" t="e">
        <f>'All regions'!D2299+"$F;@!%dw"</f>
        <v>#VALUE!</v>
      </c>
      <c r="DD84" t="e">
        <f>'All regions'!E2299+"$F;@!%dx"</f>
        <v>#VALUE!</v>
      </c>
      <c r="DE84" t="e">
        <f>'All regions'!F2299+"$F;@!%dy"</f>
        <v>#VALUE!</v>
      </c>
      <c r="DF84" t="e">
        <f>'All regions'!G2299+"$F;@!%dz"</f>
        <v>#VALUE!</v>
      </c>
      <c r="DG84" t="e">
        <f>'All regions'!H2299+"$F;@!%d{"</f>
        <v>#VALUE!</v>
      </c>
      <c r="DH84" t="e">
        <f>'All regions'!I2299+"$F;@!%d|"</f>
        <v>#VALUE!</v>
      </c>
      <c r="DI84" t="e">
        <f>'All regions'!A2300+"$F;@!%d}"</f>
        <v>#VALUE!</v>
      </c>
      <c r="DJ84" t="e">
        <f>'All regions'!B2300+"$F;@!%d~"</f>
        <v>#VALUE!</v>
      </c>
      <c r="DK84" t="e">
        <f>'All regions'!C2300+"$F;@!%e#"</f>
        <v>#VALUE!</v>
      </c>
      <c r="DL84" t="e">
        <f>'All regions'!D2300+"$F;@!%e$"</f>
        <v>#VALUE!</v>
      </c>
      <c r="DM84" t="e">
        <f>'All regions'!E2300+"$F;@!%e%"</f>
        <v>#VALUE!</v>
      </c>
      <c r="DN84" t="e">
        <f>'All regions'!F2300+"$F;@!%e&amp;"</f>
        <v>#VALUE!</v>
      </c>
      <c r="DO84" t="e">
        <f>'All regions'!G2300+"$F;@!%e'"</f>
        <v>#VALUE!</v>
      </c>
      <c r="DP84" t="e">
        <f>'All regions'!H2300+"$F;@!%e("</f>
        <v>#VALUE!</v>
      </c>
      <c r="DQ84" t="e">
        <f>'All regions'!I2300+"$F;@!%e)"</f>
        <v>#VALUE!</v>
      </c>
      <c r="DR84" t="e">
        <f>'All regions'!A2301+"$F;@!%e."</f>
        <v>#VALUE!</v>
      </c>
      <c r="DS84" t="e">
        <f>'All regions'!B2301+"$F;@!%e/"</f>
        <v>#VALUE!</v>
      </c>
      <c r="DT84" t="e">
        <f>'All regions'!C2301+"$F;@!%e0"</f>
        <v>#VALUE!</v>
      </c>
      <c r="DU84" t="e">
        <f>'All regions'!D2301+"$F;@!%e1"</f>
        <v>#VALUE!</v>
      </c>
      <c r="DV84" t="e">
        <f>'All regions'!E2301+"$F;@!%e2"</f>
        <v>#VALUE!</v>
      </c>
      <c r="DW84" t="e">
        <f>'All regions'!F2301+"$F;@!%e3"</f>
        <v>#VALUE!</v>
      </c>
      <c r="DX84" t="e">
        <f>'All regions'!G2301+"$F;@!%e4"</f>
        <v>#VALUE!</v>
      </c>
      <c r="DY84" t="e">
        <f>'All regions'!H2301+"$F;@!%e5"</f>
        <v>#VALUE!</v>
      </c>
      <c r="DZ84" t="e">
        <f>'All regions'!I2301+"$F;@!%e6"</f>
        <v>#VALUE!</v>
      </c>
      <c r="EA84" t="e">
        <f>'All regions'!A2302+"$F;@!%e7"</f>
        <v>#VALUE!</v>
      </c>
      <c r="EB84" t="e">
        <f>'All regions'!B2302+"$F;@!%e8"</f>
        <v>#VALUE!</v>
      </c>
      <c r="EC84" t="e">
        <f>'All regions'!C2302+"$F;@!%e9"</f>
        <v>#VALUE!</v>
      </c>
      <c r="ED84" t="e">
        <f>'All regions'!D2302+"$F;@!%e:"</f>
        <v>#VALUE!</v>
      </c>
      <c r="EE84" t="e">
        <f>'All regions'!E2302+"$F;@!%e;"</f>
        <v>#VALUE!</v>
      </c>
      <c r="EF84" t="e">
        <f>'All regions'!F2302+"$F;@!%e&lt;"</f>
        <v>#VALUE!</v>
      </c>
      <c r="EG84" t="e">
        <f>'All regions'!G2302+"$F;@!%e="</f>
        <v>#VALUE!</v>
      </c>
      <c r="EH84" t="e">
        <f>'All regions'!H2302+"$F;@!%e&gt;"</f>
        <v>#VALUE!</v>
      </c>
      <c r="EI84" t="e">
        <f>'All regions'!I2302+"$F;@!%e?"</f>
        <v>#VALUE!</v>
      </c>
      <c r="EJ84" t="e">
        <f>'All regions'!A2303+"$F;@!%e@"</f>
        <v>#VALUE!</v>
      </c>
      <c r="EK84" t="e">
        <f>'All regions'!B2303+"$F;@!%eA"</f>
        <v>#VALUE!</v>
      </c>
      <c r="EL84" t="e">
        <f>'All regions'!C2303+"$F;@!%eB"</f>
        <v>#VALUE!</v>
      </c>
      <c r="EM84" t="e">
        <f>'All regions'!D2303+"$F;@!%eC"</f>
        <v>#VALUE!</v>
      </c>
      <c r="EN84" t="e">
        <f>'All regions'!E2303+"$F;@!%eD"</f>
        <v>#VALUE!</v>
      </c>
      <c r="EO84" t="e">
        <f>'All regions'!F2303+"$F;@!%eE"</f>
        <v>#VALUE!</v>
      </c>
      <c r="EP84" t="e">
        <f>'All regions'!G2303+"$F;@!%eF"</f>
        <v>#VALUE!</v>
      </c>
      <c r="EQ84" t="e">
        <f>'All regions'!H2303+"$F;@!%eG"</f>
        <v>#VALUE!</v>
      </c>
      <c r="ER84" t="e">
        <f>'All regions'!I2303+"$F;@!%eH"</f>
        <v>#VALUE!</v>
      </c>
      <c r="ES84" t="e">
        <f>'All regions'!A2304+"$F;@!%eI"</f>
        <v>#VALUE!</v>
      </c>
      <c r="ET84" t="e">
        <f>'All regions'!B2304+"$F;@!%eJ"</f>
        <v>#VALUE!</v>
      </c>
      <c r="EU84" t="e">
        <f>'All regions'!C2304+"$F;@!%eK"</f>
        <v>#VALUE!</v>
      </c>
      <c r="EV84" t="e">
        <f>'All regions'!D2304+"$F;@!%eL"</f>
        <v>#VALUE!</v>
      </c>
      <c r="EW84" t="e">
        <f>'All regions'!E2304+"$F;@!%eM"</f>
        <v>#VALUE!</v>
      </c>
      <c r="EX84" t="e">
        <f>'All regions'!F2304+"$F;@!%eN"</f>
        <v>#VALUE!</v>
      </c>
      <c r="EY84" t="e">
        <f>'All regions'!G2304+"$F;@!%eO"</f>
        <v>#VALUE!</v>
      </c>
      <c r="EZ84" t="e">
        <f>'All regions'!H2304+"$F;@!%eP"</f>
        <v>#VALUE!</v>
      </c>
      <c r="FA84" t="e">
        <f>'All regions'!I2304+"$F;@!%eQ"</f>
        <v>#VALUE!</v>
      </c>
      <c r="FB84" t="e">
        <f>'All regions'!A2305+"$F;@!%eR"</f>
        <v>#VALUE!</v>
      </c>
      <c r="FC84" t="e">
        <f>'All regions'!B2305+"$F;@!%eS"</f>
        <v>#VALUE!</v>
      </c>
      <c r="FD84" t="e">
        <f>'All regions'!C2305+"$F;@!%eT"</f>
        <v>#VALUE!</v>
      </c>
      <c r="FE84" t="e">
        <f>'All regions'!D2305+"$F;@!%eU"</f>
        <v>#VALUE!</v>
      </c>
      <c r="FF84" t="e">
        <f>'All regions'!E2305+"$F;@!%eV"</f>
        <v>#VALUE!</v>
      </c>
      <c r="FG84" t="e">
        <f>'All regions'!F2305+"$F;@!%eW"</f>
        <v>#VALUE!</v>
      </c>
      <c r="FH84" t="e">
        <f>'All regions'!G2305+"$F;@!%eX"</f>
        <v>#VALUE!</v>
      </c>
      <c r="FI84" t="e">
        <f>'All regions'!H2305+"$F;@!%eY"</f>
        <v>#VALUE!</v>
      </c>
      <c r="FJ84" t="e">
        <f>'All regions'!I2305+"$F;@!%eZ"</f>
        <v>#VALUE!</v>
      </c>
      <c r="FK84" t="e">
        <f>'All regions'!A2306+"$F;@!%e["</f>
        <v>#VALUE!</v>
      </c>
      <c r="FL84" t="e">
        <f>'All regions'!B2306+"$F;@!%e\"</f>
        <v>#VALUE!</v>
      </c>
      <c r="FM84" t="e">
        <f>'All regions'!C2306+"$F;@!%e]"</f>
        <v>#VALUE!</v>
      </c>
      <c r="FN84" t="e">
        <f>'All regions'!D2306+"$F;@!%e^"</f>
        <v>#VALUE!</v>
      </c>
      <c r="FO84" t="e">
        <f>'All regions'!E2306+"$F;@!%e_"</f>
        <v>#VALUE!</v>
      </c>
      <c r="FP84" t="e">
        <f>'All regions'!F2306+"$F;@!%e`"</f>
        <v>#VALUE!</v>
      </c>
      <c r="FQ84" t="e">
        <f>'All regions'!G2306+"$F;@!%ea"</f>
        <v>#VALUE!</v>
      </c>
      <c r="FR84" t="e">
        <f>'All regions'!H2306+"$F;@!%eb"</f>
        <v>#VALUE!</v>
      </c>
      <c r="FS84" t="e">
        <f>'All regions'!I2306+"$F;@!%ec"</f>
        <v>#VALUE!</v>
      </c>
      <c r="FT84" t="e">
        <f>'All regions'!A2307+"$F;@!%ed"</f>
        <v>#VALUE!</v>
      </c>
      <c r="FU84" t="e">
        <f>'All regions'!B2307+"$F;@!%ee"</f>
        <v>#VALUE!</v>
      </c>
      <c r="FV84" t="e">
        <f>'All regions'!C2307+"$F;@!%ef"</f>
        <v>#VALUE!</v>
      </c>
      <c r="FW84" t="e">
        <f>'All regions'!D2307+"$F;@!%eg"</f>
        <v>#VALUE!</v>
      </c>
      <c r="FX84" t="e">
        <f>'All regions'!E2307+"$F;@!%eh"</f>
        <v>#VALUE!</v>
      </c>
      <c r="FY84" t="e">
        <f>'All regions'!F2307+"$F;@!%ei"</f>
        <v>#VALUE!</v>
      </c>
      <c r="FZ84" t="e">
        <f>'All regions'!G2307+"$F;@!%ej"</f>
        <v>#VALUE!</v>
      </c>
      <c r="GA84" t="e">
        <f>'All regions'!H2307+"$F;@!%ek"</f>
        <v>#VALUE!</v>
      </c>
      <c r="GB84" t="e">
        <f>'All regions'!I2307+"$F;@!%el"</f>
        <v>#VALUE!</v>
      </c>
      <c r="GC84" t="e">
        <f>'All regions'!A2308+"$F;@!%em"</f>
        <v>#VALUE!</v>
      </c>
      <c r="GD84" t="e">
        <f>'All regions'!B2308+"$F;@!%en"</f>
        <v>#VALUE!</v>
      </c>
      <c r="GE84" t="e">
        <f>'All regions'!C2308+"$F;@!%eo"</f>
        <v>#VALUE!</v>
      </c>
      <c r="GF84" t="e">
        <f>'All regions'!D2308+"$F;@!%ep"</f>
        <v>#VALUE!</v>
      </c>
      <c r="GG84" t="e">
        <f>'All regions'!E2308+"$F;@!%eq"</f>
        <v>#VALUE!</v>
      </c>
      <c r="GH84" t="e">
        <f>'All regions'!F2308+"$F;@!%er"</f>
        <v>#VALUE!</v>
      </c>
      <c r="GI84" t="e">
        <f>'All regions'!G2308+"$F;@!%es"</f>
        <v>#VALUE!</v>
      </c>
      <c r="GJ84" t="e">
        <f>'All regions'!H2308+"$F;@!%et"</f>
        <v>#VALUE!</v>
      </c>
      <c r="GK84" t="e">
        <f>'All regions'!I2308+"$F;@!%eu"</f>
        <v>#VALUE!</v>
      </c>
      <c r="GL84" t="e">
        <f>'All regions'!A2309+"$F;@!%ev"</f>
        <v>#VALUE!</v>
      </c>
      <c r="GM84" t="e">
        <f>'All regions'!B2309+"$F;@!%ew"</f>
        <v>#VALUE!</v>
      </c>
      <c r="GN84" t="e">
        <f>'All regions'!C2309+"$F;@!%ex"</f>
        <v>#VALUE!</v>
      </c>
      <c r="GO84" t="e">
        <f>'All regions'!D2309+"$F;@!%ey"</f>
        <v>#VALUE!</v>
      </c>
      <c r="GP84" t="e">
        <f>'All regions'!E2309+"$F;@!%ez"</f>
        <v>#VALUE!</v>
      </c>
      <c r="GQ84" t="e">
        <f>'All regions'!F2309+"$F;@!%e{"</f>
        <v>#VALUE!</v>
      </c>
      <c r="GR84" t="e">
        <f>'All regions'!G2309+"$F;@!%e|"</f>
        <v>#VALUE!</v>
      </c>
      <c r="GS84" t="e">
        <f>'All regions'!H2309+"$F;@!%e}"</f>
        <v>#VALUE!</v>
      </c>
      <c r="GT84" t="e">
        <f>'All regions'!I2309+"$F;@!%e~"</f>
        <v>#VALUE!</v>
      </c>
      <c r="GU84" t="e">
        <f>'All regions'!A2310+"$F;@!%f#"</f>
        <v>#VALUE!</v>
      </c>
      <c r="GV84" t="e">
        <f>'All regions'!B2310+"$F;@!%f$"</f>
        <v>#VALUE!</v>
      </c>
      <c r="GW84" t="e">
        <f>'All regions'!C2310+"$F;@!%f%"</f>
        <v>#VALUE!</v>
      </c>
      <c r="GX84" t="e">
        <f>'All regions'!D2310+"$F;@!%f&amp;"</f>
        <v>#VALUE!</v>
      </c>
      <c r="GY84" t="e">
        <f>'All regions'!E2310+"$F;@!%f'"</f>
        <v>#VALUE!</v>
      </c>
      <c r="GZ84" t="e">
        <f>'All regions'!F2310+"$F;@!%f("</f>
        <v>#VALUE!</v>
      </c>
      <c r="HA84" t="e">
        <f>'All regions'!G2310+"$F;@!%f)"</f>
        <v>#VALUE!</v>
      </c>
      <c r="HB84" t="e">
        <f>'All regions'!H2310+"$F;@!%f."</f>
        <v>#VALUE!</v>
      </c>
      <c r="HC84" t="e">
        <f>'All regions'!I2310+"$F;@!%f/"</f>
        <v>#VALUE!</v>
      </c>
      <c r="HD84" t="e">
        <f>'All regions'!A2311+"$F;@!%f0"</f>
        <v>#VALUE!</v>
      </c>
      <c r="HE84" t="e">
        <f>'All regions'!B2311+"$F;@!%f1"</f>
        <v>#VALUE!</v>
      </c>
      <c r="HF84" t="e">
        <f>'All regions'!C2311+"$F;@!%f2"</f>
        <v>#VALUE!</v>
      </c>
      <c r="HG84" t="e">
        <f>'All regions'!D2311+"$F;@!%f3"</f>
        <v>#VALUE!</v>
      </c>
      <c r="HH84" t="e">
        <f>'All regions'!E2311+"$F;@!%f4"</f>
        <v>#VALUE!</v>
      </c>
      <c r="HI84" t="e">
        <f>'All regions'!F2311+"$F;@!%f5"</f>
        <v>#VALUE!</v>
      </c>
      <c r="HJ84" t="e">
        <f>'All regions'!G2311+"$F;@!%f6"</f>
        <v>#VALUE!</v>
      </c>
      <c r="HK84" t="e">
        <f>'All regions'!H2311+"$F;@!%f7"</f>
        <v>#VALUE!</v>
      </c>
      <c r="HL84" t="e">
        <f>'All regions'!I2311+"$F;@!%f8"</f>
        <v>#VALUE!</v>
      </c>
      <c r="HM84" t="e">
        <f>'All regions'!A2312+"$F;@!%f9"</f>
        <v>#VALUE!</v>
      </c>
      <c r="HN84" t="e">
        <f>'All regions'!B2312+"$F;@!%f:"</f>
        <v>#VALUE!</v>
      </c>
      <c r="HO84" t="e">
        <f>'All regions'!C2312+"$F;@!%f;"</f>
        <v>#VALUE!</v>
      </c>
      <c r="HP84" t="e">
        <f>'All regions'!D2312+"$F;@!%f&lt;"</f>
        <v>#VALUE!</v>
      </c>
      <c r="HQ84" t="e">
        <f>'All regions'!E2312+"$F;@!%f="</f>
        <v>#VALUE!</v>
      </c>
      <c r="HR84" t="e">
        <f>'All regions'!F2312+"$F;@!%f&gt;"</f>
        <v>#VALUE!</v>
      </c>
      <c r="HS84" t="e">
        <f>'All regions'!G2312+"$F;@!%f?"</f>
        <v>#VALUE!</v>
      </c>
      <c r="HT84" t="e">
        <f>'All regions'!H2312+"$F;@!%f@"</f>
        <v>#VALUE!</v>
      </c>
      <c r="HU84" t="e">
        <f>'All regions'!I2312+"$F;@!%fA"</f>
        <v>#VALUE!</v>
      </c>
      <c r="HV84" t="e">
        <f>'All regions'!A2313+"$F;@!%fB"</f>
        <v>#VALUE!</v>
      </c>
      <c r="HW84" t="e">
        <f>'All regions'!B2313+"$F;@!%fC"</f>
        <v>#VALUE!</v>
      </c>
      <c r="HX84" t="e">
        <f>'All regions'!C2313+"$F;@!%fD"</f>
        <v>#VALUE!</v>
      </c>
      <c r="HY84" t="e">
        <f>'All regions'!D2313+"$F;@!%fE"</f>
        <v>#VALUE!</v>
      </c>
      <c r="HZ84" t="e">
        <f>'All regions'!E2313+"$F;@!%fF"</f>
        <v>#VALUE!</v>
      </c>
      <c r="IA84" t="e">
        <f>'All regions'!F2313+"$F;@!%fG"</f>
        <v>#VALUE!</v>
      </c>
      <c r="IB84" t="e">
        <f>'All regions'!G2313+"$F;@!%fH"</f>
        <v>#VALUE!</v>
      </c>
      <c r="IC84" t="e">
        <f>'All regions'!H2313+"$F;@!%fI"</f>
        <v>#VALUE!</v>
      </c>
      <c r="ID84" t="e">
        <f>'All regions'!I2313+"$F;@!%fJ"</f>
        <v>#VALUE!</v>
      </c>
      <c r="IE84" t="e">
        <f>'All regions'!A2314+"$F;@!%fK"</f>
        <v>#VALUE!</v>
      </c>
      <c r="IF84" t="e">
        <f>'All regions'!B2314+"$F;@!%fL"</f>
        <v>#VALUE!</v>
      </c>
      <c r="IG84" t="e">
        <f>'All regions'!C2314+"$F;@!%fM"</f>
        <v>#VALUE!</v>
      </c>
      <c r="IH84" t="e">
        <f>'All regions'!D2314+"$F;@!%fN"</f>
        <v>#VALUE!</v>
      </c>
      <c r="II84" t="e">
        <f>'All regions'!E2314+"$F;@!%fO"</f>
        <v>#VALUE!</v>
      </c>
      <c r="IJ84" t="e">
        <f>'All regions'!F2314+"$F;@!%fP"</f>
        <v>#VALUE!</v>
      </c>
      <c r="IK84" t="e">
        <f>'All regions'!G2314+"$F;@!%fQ"</f>
        <v>#VALUE!</v>
      </c>
      <c r="IL84" t="e">
        <f>'All regions'!H2314+"$F;@!%fR"</f>
        <v>#VALUE!</v>
      </c>
      <c r="IM84" t="e">
        <f>'All regions'!I2314+"$F;@!%fS"</f>
        <v>#VALUE!</v>
      </c>
      <c r="IN84" t="e">
        <f>'All regions'!A2315+"$F;@!%fT"</f>
        <v>#VALUE!</v>
      </c>
      <c r="IO84" t="e">
        <f>'All regions'!B2315+"$F;@!%fU"</f>
        <v>#VALUE!</v>
      </c>
      <c r="IP84" t="e">
        <f>'All regions'!C2315+"$F;@!%fV"</f>
        <v>#VALUE!</v>
      </c>
      <c r="IQ84" t="e">
        <f>'All regions'!D2315+"$F;@!%fW"</f>
        <v>#VALUE!</v>
      </c>
      <c r="IR84" t="e">
        <f>'All regions'!E2315+"$F;@!%fX"</f>
        <v>#VALUE!</v>
      </c>
      <c r="IS84" t="e">
        <f>'All regions'!F2315+"$F;@!%fY"</f>
        <v>#VALUE!</v>
      </c>
      <c r="IT84" t="e">
        <f>'All regions'!G2315+"$F;@!%fZ"</f>
        <v>#VALUE!</v>
      </c>
      <c r="IU84" t="e">
        <f>'All regions'!H2315+"$F;@!%f["</f>
        <v>#VALUE!</v>
      </c>
      <c r="IV84" t="e">
        <f>'All regions'!I2315+"$F;@!%f\"</f>
        <v>#VALUE!</v>
      </c>
    </row>
    <row r="85" spans="6:256" x14ac:dyDescent="0.35">
      <c r="F85" t="e">
        <f>'All regions'!A2316+"$F;@!%f]"</f>
        <v>#VALUE!</v>
      </c>
      <c r="G85" t="e">
        <f>'All regions'!B2316+"$F;@!%f^"</f>
        <v>#VALUE!</v>
      </c>
      <c r="H85" t="e">
        <f>'All regions'!C2316+"$F;@!%f_"</f>
        <v>#VALUE!</v>
      </c>
      <c r="I85" t="e">
        <f>'All regions'!D2316+"$F;@!%f`"</f>
        <v>#VALUE!</v>
      </c>
      <c r="J85" t="e">
        <f>'All regions'!E2316+"$F;@!%fa"</f>
        <v>#VALUE!</v>
      </c>
      <c r="K85" t="e">
        <f>'All regions'!F2316+"$F;@!%fb"</f>
        <v>#VALUE!</v>
      </c>
      <c r="L85" t="e">
        <f>'All regions'!G2316+"$F;@!%fc"</f>
        <v>#VALUE!</v>
      </c>
      <c r="M85" t="e">
        <f>'All regions'!H2316+"$F;@!%fd"</f>
        <v>#VALUE!</v>
      </c>
      <c r="N85" t="e">
        <f>'All regions'!I2316+"$F;@!%fe"</f>
        <v>#VALUE!</v>
      </c>
      <c r="O85" t="e">
        <f>'All regions'!A2317+"$F;@!%ff"</f>
        <v>#VALUE!</v>
      </c>
      <c r="P85" t="e">
        <f>'All regions'!B2317+"$F;@!%fg"</f>
        <v>#VALUE!</v>
      </c>
      <c r="Q85" t="e">
        <f>'All regions'!C2317+"$F;@!%fh"</f>
        <v>#VALUE!</v>
      </c>
      <c r="R85" t="e">
        <f>'All regions'!D2317+"$F;@!%fi"</f>
        <v>#VALUE!</v>
      </c>
      <c r="S85" t="e">
        <f>'All regions'!E2317+"$F;@!%fj"</f>
        <v>#VALUE!</v>
      </c>
      <c r="T85" t="e">
        <f>'All regions'!F2317+"$F;@!%fk"</f>
        <v>#VALUE!</v>
      </c>
      <c r="U85" t="e">
        <f>'All regions'!G2317+"$F;@!%fl"</f>
        <v>#VALUE!</v>
      </c>
      <c r="V85" t="e">
        <f>'All regions'!H2317+"$F;@!%fm"</f>
        <v>#VALUE!</v>
      </c>
      <c r="W85" t="e">
        <f>'All regions'!I2317+"$F;@!%fn"</f>
        <v>#VALUE!</v>
      </c>
      <c r="X85" t="e">
        <f>'All regions'!A2318+"$F;@!%fo"</f>
        <v>#VALUE!</v>
      </c>
      <c r="Y85" t="e">
        <f>'All regions'!B2318+"$F;@!%fp"</f>
        <v>#VALUE!</v>
      </c>
      <c r="Z85" t="e">
        <f>'All regions'!C2318+"$F;@!%fq"</f>
        <v>#VALUE!</v>
      </c>
      <c r="AA85" t="e">
        <f>'All regions'!D2318+"$F;@!%fr"</f>
        <v>#VALUE!</v>
      </c>
      <c r="AB85" t="e">
        <f>'All regions'!E2318+"$F;@!%fs"</f>
        <v>#VALUE!</v>
      </c>
      <c r="AC85" t="e">
        <f>'All regions'!F2318+"$F;@!%ft"</f>
        <v>#VALUE!</v>
      </c>
      <c r="AD85" t="e">
        <f>'All regions'!G2318+"$F;@!%fu"</f>
        <v>#VALUE!</v>
      </c>
      <c r="AE85" t="e">
        <f>'All regions'!H2318+"$F;@!%fv"</f>
        <v>#VALUE!</v>
      </c>
      <c r="AF85" t="e">
        <f>'All regions'!I2318+"$F;@!%fw"</f>
        <v>#VALUE!</v>
      </c>
      <c r="AG85" t="e">
        <f>'All regions'!A2319+"$F;@!%fx"</f>
        <v>#VALUE!</v>
      </c>
      <c r="AH85" t="e">
        <f>'All regions'!B2319+"$F;@!%fy"</f>
        <v>#VALUE!</v>
      </c>
      <c r="AI85" t="e">
        <f>'All regions'!C2319+"$F;@!%fz"</f>
        <v>#VALUE!</v>
      </c>
      <c r="AJ85" t="e">
        <f>'All regions'!D2319+"$F;@!%f{"</f>
        <v>#VALUE!</v>
      </c>
      <c r="AK85" t="e">
        <f>'All regions'!E2319+"$F;@!%f|"</f>
        <v>#VALUE!</v>
      </c>
      <c r="AL85" t="e">
        <f>'All regions'!F2319+"$F;@!%f}"</f>
        <v>#VALUE!</v>
      </c>
      <c r="AM85" t="e">
        <f>'All regions'!G2319+"$F;@!%f~"</f>
        <v>#VALUE!</v>
      </c>
      <c r="AN85" t="e">
        <f>'All regions'!H2319+"$F;@!%g#"</f>
        <v>#VALUE!</v>
      </c>
      <c r="AO85" t="e">
        <f>'All regions'!I2319+"$F;@!%g$"</f>
        <v>#VALUE!</v>
      </c>
      <c r="AP85" t="e">
        <f>'All regions'!A2320+"$F;@!%g%"</f>
        <v>#VALUE!</v>
      </c>
      <c r="AQ85" t="e">
        <f>'All regions'!B2320+"$F;@!%g&amp;"</f>
        <v>#VALUE!</v>
      </c>
      <c r="AR85" t="e">
        <f>'All regions'!C2320+"$F;@!%g'"</f>
        <v>#VALUE!</v>
      </c>
      <c r="AS85" t="e">
        <f>'All regions'!D2320+"$F;@!%g("</f>
        <v>#VALUE!</v>
      </c>
      <c r="AT85" t="e">
        <f>'All regions'!E2320+"$F;@!%g)"</f>
        <v>#VALUE!</v>
      </c>
      <c r="AU85" t="e">
        <f>'All regions'!F2320+"$F;@!%g."</f>
        <v>#VALUE!</v>
      </c>
      <c r="AV85" t="e">
        <f>'All regions'!G2320+"$F;@!%g/"</f>
        <v>#VALUE!</v>
      </c>
      <c r="AW85" t="e">
        <f>'All regions'!H2320+"$F;@!%g0"</f>
        <v>#VALUE!</v>
      </c>
      <c r="AX85" t="e">
        <f>'All regions'!I2320+"$F;@!%g1"</f>
        <v>#VALUE!</v>
      </c>
      <c r="AY85" t="e">
        <f>'All regions'!A2321+"$F;@!%g2"</f>
        <v>#VALUE!</v>
      </c>
      <c r="AZ85" t="e">
        <f>'All regions'!B2321+"$F;@!%g3"</f>
        <v>#VALUE!</v>
      </c>
      <c r="BA85" t="e">
        <f>'All regions'!C2321+"$F;@!%g4"</f>
        <v>#VALUE!</v>
      </c>
      <c r="BB85" t="e">
        <f>'All regions'!D2321+"$F;@!%g5"</f>
        <v>#VALUE!</v>
      </c>
      <c r="BC85" t="e">
        <f>'All regions'!E2321+"$F;@!%g6"</f>
        <v>#VALUE!</v>
      </c>
      <c r="BD85" t="e">
        <f>'All regions'!F2321+"$F;@!%g7"</f>
        <v>#VALUE!</v>
      </c>
      <c r="BE85" t="e">
        <f>'All regions'!G2321+"$F;@!%g8"</f>
        <v>#VALUE!</v>
      </c>
      <c r="BF85" t="e">
        <f>'All regions'!H2321+"$F;@!%g9"</f>
        <v>#VALUE!</v>
      </c>
      <c r="BG85" t="e">
        <f>'All regions'!I2321+"$F;@!%g:"</f>
        <v>#VALUE!</v>
      </c>
      <c r="BH85" t="e">
        <f>'All regions'!A2322+"$F;@!%g;"</f>
        <v>#VALUE!</v>
      </c>
      <c r="BI85" t="e">
        <f>'All regions'!B2322+"$F;@!%g&lt;"</f>
        <v>#VALUE!</v>
      </c>
      <c r="BJ85" t="e">
        <f>'All regions'!C2322+"$F;@!%g="</f>
        <v>#VALUE!</v>
      </c>
      <c r="BK85" t="e">
        <f>'All regions'!D2322+"$F;@!%g&gt;"</f>
        <v>#VALUE!</v>
      </c>
      <c r="BL85" t="e">
        <f>'All regions'!E2322+"$F;@!%g?"</f>
        <v>#VALUE!</v>
      </c>
      <c r="BM85" t="e">
        <f>'All regions'!F2322+"$F;@!%g@"</f>
        <v>#VALUE!</v>
      </c>
      <c r="BN85" t="e">
        <f>'All regions'!G2322+"$F;@!%gA"</f>
        <v>#VALUE!</v>
      </c>
      <c r="BO85" t="e">
        <f>'All regions'!H2322+"$F;@!%gB"</f>
        <v>#VALUE!</v>
      </c>
      <c r="BP85" t="e">
        <f>'All regions'!I2322+"$F;@!%gC"</f>
        <v>#VALUE!</v>
      </c>
      <c r="BQ85" t="e">
        <f>'All regions'!A2323+"$F;@!%gD"</f>
        <v>#VALUE!</v>
      </c>
      <c r="BR85" t="e">
        <f>'All regions'!B2323+"$F;@!%gE"</f>
        <v>#VALUE!</v>
      </c>
      <c r="BS85" t="e">
        <f>'All regions'!C2323+"$F;@!%gF"</f>
        <v>#VALUE!</v>
      </c>
      <c r="BT85" t="e">
        <f>'All regions'!D2323+"$F;@!%gG"</f>
        <v>#VALUE!</v>
      </c>
      <c r="BU85" t="e">
        <f>'All regions'!E2323+"$F;@!%gH"</f>
        <v>#VALUE!</v>
      </c>
      <c r="BV85" t="e">
        <f>'All regions'!F2323+"$F;@!%gI"</f>
        <v>#VALUE!</v>
      </c>
      <c r="BW85" t="e">
        <f>'All regions'!G2323+"$F;@!%gJ"</f>
        <v>#VALUE!</v>
      </c>
      <c r="BX85" t="e">
        <f>'All regions'!H2323+"$F;@!%gK"</f>
        <v>#VALUE!</v>
      </c>
      <c r="BY85" t="e">
        <f>'All regions'!I2323+"$F;@!%gL"</f>
        <v>#VALUE!</v>
      </c>
      <c r="BZ85" t="e">
        <f>'All regions'!A2324+"$F;@!%gM"</f>
        <v>#VALUE!</v>
      </c>
      <c r="CA85" t="e">
        <f>'All regions'!B2324+"$F;@!%gN"</f>
        <v>#VALUE!</v>
      </c>
      <c r="CB85" t="e">
        <f>'All regions'!C2324+"$F;@!%gO"</f>
        <v>#VALUE!</v>
      </c>
      <c r="CC85" t="e">
        <f>'All regions'!D2324+"$F;@!%gP"</f>
        <v>#VALUE!</v>
      </c>
      <c r="CD85" t="e">
        <f>'All regions'!E2324+"$F;@!%gQ"</f>
        <v>#VALUE!</v>
      </c>
      <c r="CE85" t="e">
        <f>'All regions'!F2324+"$F;@!%gR"</f>
        <v>#VALUE!</v>
      </c>
      <c r="CF85" t="e">
        <f>'All regions'!G2324+"$F;@!%gS"</f>
        <v>#VALUE!</v>
      </c>
      <c r="CG85" t="e">
        <f>'All regions'!H2324+"$F;@!%gT"</f>
        <v>#VALUE!</v>
      </c>
      <c r="CH85" t="e">
        <f>'All regions'!I2324+"$F;@!%gU"</f>
        <v>#VALUE!</v>
      </c>
      <c r="CI85" t="e">
        <f>'All regions'!A2325+"$F;@!%gV"</f>
        <v>#VALUE!</v>
      </c>
      <c r="CJ85" t="e">
        <f>'All regions'!B2325+"$F;@!%gW"</f>
        <v>#VALUE!</v>
      </c>
      <c r="CK85" t="e">
        <f>'All regions'!C2325+"$F;@!%gX"</f>
        <v>#VALUE!</v>
      </c>
      <c r="CL85" t="e">
        <f>'All regions'!D2325+"$F;@!%gY"</f>
        <v>#VALUE!</v>
      </c>
      <c r="CM85" t="e">
        <f>'All regions'!E2325+"$F;@!%gZ"</f>
        <v>#VALUE!</v>
      </c>
      <c r="CN85" t="e">
        <f>'All regions'!F2325+"$F;@!%g["</f>
        <v>#VALUE!</v>
      </c>
      <c r="CO85" t="e">
        <f>'All regions'!G2325+"$F;@!%g\"</f>
        <v>#VALUE!</v>
      </c>
      <c r="CP85" t="e">
        <f>'All regions'!H2325+"$F;@!%g]"</f>
        <v>#VALUE!</v>
      </c>
      <c r="CQ85" t="e">
        <f>'All regions'!I2325+"$F;@!%g^"</f>
        <v>#VALUE!</v>
      </c>
      <c r="CR85" t="e">
        <f>'All regions'!A2326+"$F;@!%g_"</f>
        <v>#VALUE!</v>
      </c>
      <c r="CS85" t="e">
        <f>'All regions'!B2326+"$F;@!%g`"</f>
        <v>#VALUE!</v>
      </c>
      <c r="CT85" t="e">
        <f>'All regions'!C2326+"$F;@!%ga"</f>
        <v>#VALUE!</v>
      </c>
      <c r="CU85" t="e">
        <f>'All regions'!D2326+"$F;@!%gb"</f>
        <v>#VALUE!</v>
      </c>
      <c r="CV85" t="e">
        <f>'All regions'!E2326+"$F;@!%gc"</f>
        <v>#VALUE!</v>
      </c>
      <c r="CW85" t="e">
        <f>'All regions'!F2326+"$F;@!%gd"</f>
        <v>#VALUE!</v>
      </c>
      <c r="CX85" t="e">
        <f>'All regions'!G2326+"$F;@!%ge"</f>
        <v>#VALUE!</v>
      </c>
      <c r="CY85" t="e">
        <f>'All regions'!H2326+"$F;@!%gf"</f>
        <v>#VALUE!</v>
      </c>
      <c r="CZ85" t="e">
        <f>'All regions'!I2326+"$F;@!%gg"</f>
        <v>#VALUE!</v>
      </c>
      <c r="DA85" t="e">
        <f>'All regions'!A2327+"$F;@!%gh"</f>
        <v>#VALUE!</v>
      </c>
      <c r="DB85" t="e">
        <f>'All regions'!B2327+"$F;@!%gi"</f>
        <v>#VALUE!</v>
      </c>
      <c r="DC85" t="e">
        <f>'All regions'!C2327+"$F;@!%gj"</f>
        <v>#VALUE!</v>
      </c>
      <c r="DD85" t="e">
        <f>'All regions'!D2327+"$F;@!%gk"</f>
        <v>#VALUE!</v>
      </c>
      <c r="DE85" t="e">
        <f>'All regions'!E2327+"$F;@!%gl"</f>
        <v>#VALUE!</v>
      </c>
      <c r="DF85" t="e">
        <f>'All regions'!F2327+"$F;@!%gm"</f>
        <v>#VALUE!</v>
      </c>
      <c r="DG85" t="e">
        <f>'All regions'!G2327+"$F;@!%gn"</f>
        <v>#VALUE!</v>
      </c>
      <c r="DH85" t="e">
        <f>'All regions'!H2327+"$F;@!%go"</f>
        <v>#VALUE!</v>
      </c>
      <c r="DI85" t="e">
        <f>'All regions'!I2327+"$F;@!%gp"</f>
        <v>#VALUE!</v>
      </c>
      <c r="DJ85" t="e">
        <f>'All regions'!A2328+"$F;@!%gq"</f>
        <v>#VALUE!</v>
      </c>
      <c r="DK85" t="e">
        <f>'All regions'!B2328+"$F;@!%gr"</f>
        <v>#VALUE!</v>
      </c>
      <c r="DL85" t="e">
        <f>'All regions'!C2328+"$F;@!%gs"</f>
        <v>#VALUE!</v>
      </c>
      <c r="DM85" t="e">
        <f>'All regions'!D2328+"$F;@!%gt"</f>
        <v>#VALUE!</v>
      </c>
      <c r="DN85" t="e">
        <f>'All regions'!E2328+"$F;@!%gu"</f>
        <v>#VALUE!</v>
      </c>
      <c r="DO85" t="e">
        <f>'All regions'!F2328+"$F;@!%gv"</f>
        <v>#VALUE!</v>
      </c>
      <c r="DP85" t="e">
        <f>'All regions'!G2328+"$F;@!%gw"</f>
        <v>#VALUE!</v>
      </c>
      <c r="DQ85" t="e">
        <f>'All regions'!H2328+"$F;@!%gx"</f>
        <v>#VALUE!</v>
      </c>
      <c r="DR85" t="e">
        <f>'All regions'!I2328+"$F;@!%gy"</f>
        <v>#VALUE!</v>
      </c>
      <c r="DS85" t="e">
        <f>'All regions'!A2329+"$F;@!%gz"</f>
        <v>#VALUE!</v>
      </c>
      <c r="DT85" t="e">
        <f>'All regions'!B2329+"$F;@!%g{"</f>
        <v>#VALUE!</v>
      </c>
      <c r="DU85" t="e">
        <f>'All regions'!C2329+"$F;@!%g|"</f>
        <v>#VALUE!</v>
      </c>
      <c r="DV85" t="e">
        <f>'All regions'!D2329+"$F;@!%g}"</f>
        <v>#VALUE!</v>
      </c>
      <c r="DW85" t="e">
        <f>'All regions'!E2329+"$F;@!%g~"</f>
        <v>#VALUE!</v>
      </c>
      <c r="DX85" t="e">
        <f>'All regions'!F2329+"$F;@!%h#"</f>
        <v>#VALUE!</v>
      </c>
      <c r="DY85" t="e">
        <f>'All regions'!G2329+"$F;@!%h$"</f>
        <v>#VALUE!</v>
      </c>
      <c r="DZ85" t="e">
        <f>'All regions'!H2329+"$F;@!%h%"</f>
        <v>#VALUE!</v>
      </c>
      <c r="EA85" t="e">
        <f>'All regions'!I2329+"$F;@!%h&amp;"</f>
        <v>#VALUE!</v>
      </c>
      <c r="EB85" t="e">
        <f>'All regions'!A2330+"$F;@!%h'"</f>
        <v>#VALUE!</v>
      </c>
      <c r="EC85" t="e">
        <f>'All regions'!B2330+"$F;@!%h("</f>
        <v>#VALUE!</v>
      </c>
      <c r="ED85" t="e">
        <f>'All regions'!C2330+"$F;@!%h)"</f>
        <v>#VALUE!</v>
      </c>
      <c r="EE85" t="e">
        <f>'All regions'!D2330+"$F;@!%h."</f>
        <v>#VALUE!</v>
      </c>
      <c r="EF85" t="e">
        <f>'All regions'!E2330+"$F;@!%h/"</f>
        <v>#VALUE!</v>
      </c>
      <c r="EG85" t="e">
        <f>'All regions'!F2330+"$F;@!%h0"</f>
        <v>#VALUE!</v>
      </c>
      <c r="EH85" t="e">
        <f>'All regions'!G2330+"$F;@!%h1"</f>
        <v>#VALUE!</v>
      </c>
      <c r="EI85" t="e">
        <f>'All regions'!H2330+"$F;@!%h2"</f>
        <v>#VALUE!</v>
      </c>
      <c r="EJ85" t="e">
        <f>'All regions'!I2330+"$F;@!%h3"</f>
        <v>#VALUE!</v>
      </c>
      <c r="EK85" t="e">
        <f>'All regions'!A2331+"$F;@!%h4"</f>
        <v>#VALUE!</v>
      </c>
      <c r="EL85" t="e">
        <f>'All regions'!B2331+"$F;@!%h5"</f>
        <v>#VALUE!</v>
      </c>
      <c r="EM85" t="e">
        <f>'All regions'!C2331+"$F;@!%h6"</f>
        <v>#VALUE!</v>
      </c>
      <c r="EN85" t="e">
        <f>'All regions'!D2331+"$F;@!%h7"</f>
        <v>#VALUE!</v>
      </c>
      <c r="EO85" t="e">
        <f>'All regions'!E2331+"$F;@!%h8"</f>
        <v>#VALUE!</v>
      </c>
      <c r="EP85" t="e">
        <f>'All regions'!F2331+"$F;@!%h9"</f>
        <v>#VALUE!</v>
      </c>
      <c r="EQ85" t="e">
        <f>'All regions'!G2331+"$F;@!%h:"</f>
        <v>#VALUE!</v>
      </c>
      <c r="ER85" t="e">
        <f>'All regions'!H2331+"$F;@!%h;"</f>
        <v>#VALUE!</v>
      </c>
      <c r="ES85" t="e">
        <f>'All regions'!I2331+"$F;@!%h&lt;"</f>
        <v>#VALUE!</v>
      </c>
      <c r="ET85" t="e">
        <f>'All regions'!A2332+"$F;@!%h="</f>
        <v>#VALUE!</v>
      </c>
      <c r="EU85" t="e">
        <f>'All regions'!B2332+"$F;@!%h&gt;"</f>
        <v>#VALUE!</v>
      </c>
      <c r="EV85" t="e">
        <f>'All regions'!C2332+"$F;@!%h?"</f>
        <v>#VALUE!</v>
      </c>
      <c r="EW85" t="e">
        <f>'All regions'!D2332+"$F;@!%h@"</f>
        <v>#VALUE!</v>
      </c>
      <c r="EX85" t="e">
        <f>'All regions'!E2332+"$F;@!%hA"</f>
        <v>#VALUE!</v>
      </c>
      <c r="EY85" t="e">
        <f>'All regions'!F2332+"$F;@!%hB"</f>
        <v>#VALUE!</v>
      </c>
      <c r="EZ85" t="e">
        <f>'All regions'!G2332+"$F;@!%hC"</f>
        <v>#VALUE!</v>
      </c>
      <c r="FA85" t="e">
        <f>'All regions'!H2332+"$F;@!%hD"</f>
        <v>#VALUE!</v>
      </c>
      <c r="FB85" t="e">
        <f>'All regions'!I2332+"$F;@!%hE"</f>
        <v>#VALUE!</v>
      </c>
      <c r="FC85" t="e">
        <f>'All regions'!A2333+"$F;@!%hF"</f>
        <v>#VALUE!</v>
      </c>
      <c r="FD85" t="e">
        <f>'All regions'!B2333+"$F;@!%hG"</f>
        <v>#VALUE!</v>
      </c>
      <c r="FE85" t="e">
        <f>'All regions'!C2333+"$F;@!%hH"</f>
        <v>#VALUE!</v>
      </c>
      <c r="FF85" t="e">
        <f>'All regions'!D2333+"$F;@!%hI"</f>
        <v>#VALUE!</v>
      </c>
      <c r="FG85" t="e">
        <f>'All regions'!E2333+"$F;@!%hJ"</f>
        <v>#VALUE!</v>
      </c>
      <c r="FH85" t="e">
        <f>'All regions'!F2333+"$F;@!%hK"</f>
        <v>#VALUE!</v>
      </c>
      <c r="FI85" t="e">
        <f>'All regions'!G2333+"$F;@!%hL"</f>
        <v>#VALUE!</v>
      </c>
      <c r="FJ85" t="e">
        <f>'All regions'!H2333+"$F;@!%hM"</f>
        <v>#VALUE!</v>
      </c>
      <c r="FK85" t="e">
        <f>'All regions'!I2333+"$F;@!%hN"</f>
        <v>#VALUE!</v>
      </c>
      <c r="FL85" t="e">
        <f>'All regions'!A2334+"$F;@!%hO"</f>
        <v>#VALUE!</v>
      </c>
      <c r="FM85" t="e">
        <f>'All regions'!B2334+"$F;@!%hP"</f>
        <v>#VALUE!</v>
      </c>
      <c r="FN85" t="e">
        <f>'All regions'!C2334+"$F;@!%hQ"</f>
        <v>#VALUE!</v>
      </c>
      <c r="FO85" t="e">
        <f>'All regions'!D2334+"$F;@!%hR"</f>
        <v>#VALUE!</v>
      </c>
      <c r="FP85" t="e">
        <f>'All regions'!E2334+"$F;@!%hS"</f>
        <v>#VALUE!</v>
      </c>
      <c r="FQ85" t="e">
        <f>'All regions'!F2334+"$F;@!%hT"</f>
        <v>#VALUE!</v>
      </c>
      <c r="FR85" t="e">
        <f>'All regions'!G2334+"$F;@!%hU"</f>
        <v>#VALUE!</v>
      </c>
      <c r="FS85" t="e">
        <f>'All regions'!H2334+"$F;@!%hV"</f>
        <v>#VALUE!</v>
      </c>
      <c r="FT85" t="e">
        <f>'All regions'!I2334+"$F;@!%hW"</f>
        <v>#VALUE!</v>
      </c>
      <c r="FU85" t="e">
        <f>'All regions'!A2335+"$F;@!%hX"</f>
        <v>#VALUE!</v>
      </c>
      <c r="FV85" t="e">
        <f>'All regions'!B2335+"$F;@!%hY"</f>
        <v>#VALUE!</v>
      </c>
      <c r="FW85" t="e">
        <f>'All regions'!C2335+"$F;@!%hZ"</f>
        <v>#VALUE!</v>
      </c>
      <c r="FX85" t="e">
        <f>'All regions'!D2335+"$F;@!%h["</f>
        <v>#VALUE!</v>
      </c>
      <c r="FY85" t="e">
        <f>'All regions'!E2335+"$F;@!%h\"</f>
        <v>#VALUE!</v>
      </c>
      <c r="FZ85" t="e">
        <f>'All regions'!F2335+"$F;@!%h]"</f>
        <v>#VALUE!</v>
      </c>
      <c r="GA85" t="e">
        <f>'All regions'!G2335+"$F;@!%h^"</f>
        <v>#VALUE!</v>
      </c>
      <c r="GB85" t="e">
        <f>'All regions'!H2335+"$F;@!%h_"</f>
        <v>#VALUE!</v>
      </c>
      <c r="GC85" t="e">
        <f>'All regions'!I2335+"$F;@!%h`"</f>
        <v>#VALUE!</v>
      </c>
      <c r="GD85" t="e">
        <f>'All regions'!A2336+"$F;@!%ha"</f>
        <v>#VALUE!</v>
      </c>
      <c r="GE85" t="e">
        <f>'All regions'!B2336+"$F;@!%hb"</f>
        <v>#VALUE!</v>
      </c>
      <c r="GF85" t="e">
        <f>'All regions'!C2336+"$F;@!%hc"</f>
        <v>#VALUE!</v>
      </c>
      <c r="GG85" t="e">
        <f>'All regions'!D2336+"$F;@!%hd"</f>
        <v>#VALUE!</v>
      </c>
      <c r="GH85" t="e">
        <f>'All regions'!E2336+"$F;@!%he"</f>
        <v>#VALUE!</v>
      </c>
      <c r="GI85" t="e">
        <f>'All regions'!F2336+"$F;@!%hf"</f>
        <v>#VALUE!</v>
      </c>
      <c r="GJ85" t="e">
        <f>'All regions'!G2336+"$F;@!%hg"</f>
        <v>#VALUE!</v>
      </c>
      <c r="GK85" t="e">
        <f>'All regions'!H2336+"$F;@!%hh"</f>
        <v>#VALUE!</v>
      </c>
      <c r="GL85" t="e">
        <f>'All regions'!I2336+"$F;@!%hi"</f>
        <v>#VALUE!</v>
      </c>
      <c r="GM85" t="e">
        <f>'All regions'!A2337+"$F;@!%hj"</f>
        <v>#VALUE!</v>
      </c>
      <c r="GN85" t="e">
        <f>'All regions'!B2337+"$F;@!%hk"</f>
        <v>#VALUE!</v>
      </c>
      <c r="GO85" t="e">
        <f>'All regions'!C2337+"$F;@!%hl"</f>
        <v>#VALUE!</v>
      </c>
      <c r="GP85" t="e">
        <f>'All regions'!D2337+"$F;@!%hm"</f>
        <v>#VALUE!</v>
      </c>
      <c r="GQ85" t="e">
        <f>'All regions'!E2337+"$F;@!%hn"</f>
        <v>#VALUE!</v>
      </c>
      <c r="GR85" t="e">
        <f>'All regions'!F2337+"$F;@!%ho"</f>
        <v>#VALUE!</v>
      </c>
      <c r="GS85" t="e">
        <f>'All regions'!G2337+"$F;@!%hp"</f>
        <v>#VALUE!</v>
      </c>
      <c r="GT85" t="e">
        <f>'All regions'!H2337+"$F;@!%hq"</f>
        <v>#VALUE!</v>
      </c>
      <c r="GU85" t="e">
        <f>'All regions'!I2337+"$F;@!%hr"</f>
        <v>#VALUE!</v>
      </c>
      <c r="GV85" t="e">
        <f>'All regions'!A2338+"$F;@!%hs"</f>
        <v>#VALUE!</v>
      </c>
      <c r="GW85" t="e">
        <f>'All regions'!B2338+"$F;@!%ht"</f>
        <v>#VALUE!</v>
      </c>
      <c r="GX85" t="e">
        <f>'All regions'!C2338+"$F;@!%hu"</f>
        <v>#VALUE!</v>
      </c>
      <c r="GY85" t="e">
        <f>'All regions'!D2338+"$F;@!%hv"</f>
        <v>#VALUE!</v>
      </c>
      <c r="GZ85" t="e">
        <f>'All regions'!E2338+"$F;@!%hw"</f>
        <v>#VALUE!</v>
      </c>
      <c r="HA85" t="e">
        <f>'All regions'!F2338+"$F;@!%hx"</f>
        <v>#VALUE!</v>
      </c>
      <c r="HB85" t="e">
        <f>'All regions'!G2338+"$F;@!%hy"</f>
        <v>#VALUE!</v>
      </c>
      <c r="HC85" t="e">
        <f>'All regions'!H2338+"$F;@!%hz"</f>
        <v>#VALUE!</v>
      </c>
      <c r="HD85" t="e">
        <f>'All regions'!I2338+"$F;@!%h{"</f>
        <v>#VALUE!</v>
      </c>
      <c r="HE85" t="e">
        <f>'All regions'!A2339+"$F;@!%h|"</f>
        <v>#VALUE!</v>
      </c>
      <c r="HF85" t="e">
        <f>'All regions'!B2339+"$F;@!%h}"</f>
        <v>#VALUE!</v>
      </c>
      <c r="HG85" t="e">
        <f>'All regions'!C2339+"$F;@!%h~"</f>
        <v>#VALUE!</v>
      </c>
      <c r="HH85" t="e">
        <f>'All regions'!D2339+"$F;@!%i#"</f>
        <v>#VALUE!</v>
      </c>
      <c r="HI85" t="e">
        <f>'All regions'!E2339+"$F;@!%i$"</f>
        <v>#VALUE!</v>
      </c>
      <c r="HJ85" t="e">
        <f>'All regions'!F2339+"$F;@!%i%"</f>
        <v>#VALUE!</v>
      </c>
      <c r="HK85" t="e">
        <f>'All regions'!G2339+"$F;@!%i&amp;"</f>
        <v>#VALUE!</v>
      </c>
      <c r="HL85" t="e">
        <f>'All regions'!H2339+"$F;@!%i'"</f>
        <v>#VALUE!</v>
      </c>
      <c r="HM85" t="e">
        <f>'All regions'!I2339+"$F;@!%i("</f>
        <v>#VALUE!</v>
      </c>
      <c r="HN85" t="e">
        <f>'All regions'!A2340+"$F;@!%i)"</f>
        <v>#VALUE!</v>
      </c>
      <c r="HO85" t="e">
        <f>'All regions'!B2340+"$F;@!%i."</f>
        <v>#VALUE!</v>
      </c>
      <c r="HP85" t="e">
        <f>'All regions'!C2340+"$F;@!%i/"</f>
        <v>#VALUE!</v>
      </c>
      <c r="HQ85" t="e">
        <f>'All regions'!D2340+"$F;@!%i0"</f>
        <v>#VALUE!</v>
      </c>
      <c r="HR85" t="e">
        <f>'All regions'!E2340+"$F;@!%i1"</f>
        <v>#VALUE!</v>
      </c>
      <c r="HS85" t="e">
        <f>'All regions'!F2340+"$F;@!%i2"</f>
        <v>#VALUE!</v>
      </c>
      <c r="HT85" t="e">
        <f>'All regions'!G2340+"$F;@!%i3"</f>
        <v>#VALUE!</v>
      </c>
      <c r="HU85" t="e">
        <f>'All regions'!H2340+"$F;@!%i4"</f>
        <v>#VALUE!</v>
      </c>
      <c r="HV85" t="e">
        <f>'All regions'!I2340+"$F;@!%i5"</f>
        <v>#VALUE!</v>
      </c>
      <c r="HW85" t="e">
        <f>'All regions'!A2341+"$F;@!%i6"</f>
        <v>#VALUE!</v>
      </c>
      <c r="HX85" t="e">
        <f>'All regions'!B2341+"$F;@!%i7"</f>
        <v>#VALUE!</v>
      </c>
      <c r="HY85" t="e">
        <f>'All regions'!C2341+"$F;@!%i8"</f>
        <v>#VALUE!</v>
      </c>
      <c r="HZ85" t="e">
        <f>'All regions'!D2341+"$F;@!%i9"</f>
        <v>#VALUE!</v>
      </c>
      <c r="IA85" t="e">
        <f>'All regions'!E2341+"$F;@!%i:"</f>
        <v>#VALUE!</v>
      </c>
      <c r="IB85" t="e">
        <f>'All regions'!F2341+"$F;@!%i;"</f>
        <v>#VALUE!</v>
      </c>
      <c r="IC85" t="e">
        <f>'All regions'!G2341+"$F;@!%i&lt;"</f>
        <v>#VALUE!</v>
      </c>
      <c r="ID85" t="e">
        <f>'All regions'!H2341+"$F;@!%i="</f>
        <v>#VALUE!</v>
      </c>
      <c r="IE85" t="e">
        <f>'All regions'!I2341+"$F;@!%i&gt;"</f>
        <v>#VALUE!</v>
      </c>
      <c r="IF85" t="e">
        <f>'All regions'!A2342+"$F;@!%i?"</f>
        <v>#VALUE!</v>
      </c>
      <c r="IG85" t="e">
        <f>'All regions'!B2342+"$F;@!%i@"</f>
        <v>#VALUE!</v>
      </c>
      <c r="IH85" t="e">
        <f>'All regions'!C2342+"$F;@!%iA"</f>
        <v>#VALUE!</v>
      </c>
      <c r="II85" t="e">
        <f>'All regions'!D2342+"$F;@!%iB"</f>
        <v>#VALUE!</v>
      </c>
      <c r="IJ85" t="e">
        <f>'All regions'!E2342+"$F;@!%iC"</f>
        <v>#VALUE!</v>
      </c>
      <c r="IK85" t="e">
        <f>'All regions'!F2342+"$F;@!%iD"</f>
        <v>#VALUE!</v>
      </c>
      <c r="IL85" t="e">
        <f>'All regions'!G2342+"$F;@!%iE"</f>
        <v>#VALUE!</v>
      </c>
      <c r="IM85" t="e">
        <f>'All regions'!H2342+"$F;@!%iF"</f>
        <v>#VALUE!</v>
      </c>
      <c r="IN85" t="e">
        <f>'All regions'!I2342+"$F;@!%iG"</f>
        <v>#VALUE!</v>
      </c>
      <c r="IO85" t="e">
        <f>'All regions'!A2343+"$F;@!%iH"</f>
        <v>#VALUE!</v>
      </c>
      <c r="IP85" t="e">
        <f>'All regions'!B2343+"$F;@!%iI"</f>
        <v>#VALUE!</v>
      </c>
      <c r="IQ85" t="e">
        <f>'All regions'!C2343+"$F;@!%iJ"</f>
        <v>#VALUE!</v>
      </c>
      <c r="IR85" t="e">
        <f>'All regions'!D2343+"$F;@!%iK"</f>
        <v>#VALUE!</v>
      </c>
      <c r="IS85" t="e">
        <f>'All regions'!E2343+"$F;@!%iL"</f>
        <v>#VALUE!</v>
      </c>
      <c r="IT85" t="e">
        <f>'All regions'!F2343+"$F;@!%iM"</f>
        <v>#VALUE!</v>
      </c>
      <c r="IU85" t="e">
        <f>'All regions'!G2343+"$F;@!%iN"</f>
        <v>#VALUE!</v>
      </c>
      <c r="IV85" t="e">
        <f>'All regions'!H2343+"$F;@!%iO"</f>
        <v>#VALUE!</v>
      </c>
    </row>
    <row r="86" spans="6:256" x14ac:dyDescent="0.35">
      <c r="F86" t="e">
        <f>'All regions'!I2343+"$F;@!%iP"</f>
        <v>#VALUE!</v>
      </c>
      <c r="G86" t="e">
        <f>'All regions'!A2344+"$F;@!%iQ"</f>
        <v>#VALUE!</v>
      </c>
      <c r="H86" t="e">
        <f>'All regions'!B2344+"$F;@!%iR"</f>
        <v>#VALUE!</v>
      </c>
      <c r="I86" t="e">
        <f>'All regions'!C2344+"$F;@!%iS"</f>
        <v>#VALUE!</v>
      </c>
      <c r="J86" t="e">
        <f>'All regions'!D2344+"$F;@!%iT"</f>
        <v>#VALUE!</v>
      </c>
      <c r="K86" t="e">
        <f>'All regions'!E2344+"$F;@!%iU"</f>
        <v>#VALUE!</v>
      </c>
      <c r="L86" t="e">
        <f>'All regions'!F2344+"$F;@!%iV"</f>
        <v>#VALUE!</v>
      </c>
      <c r="M86" t="e">
        <f>'All regions'!G2344+"$F;@!%iW"</f>
        <v>#VALUE!</v>
      </c>
      <c r="N86" t="e">
        <f>'All regions'!H2344+"$F;@!%iX"</f>
        <v>#VALUE!</v>
      </c>
      <c r="O86" t="e">
        <f>'All regions'!I2344+"$F;@!%iY"</f>
        <v>#VALUE!</v>
      </c>
      <c r="P86" t="e">
        <f>'All regions'!A2345+"$F;@!%iZ"</f>
        <v>#VALUE!</v>
      </c>
      <c r="Q86" t="e">
        <f>'All regions'!B2345+"$F;@!%i["</f>
        <v>#VALUE!</v>
      </c>
      <c r="R86" t="e">
        <f>'All regions'!C2345+"$F;@!%i\"</f>
        <v>#VALUE!</v>
      </c>
      <c r="S86" t="e">
        <f>'All regions'!D2345+"$F;@!%i]"</f>
        <v>#VALUE!</v>
      </c>
      <c r="T86" t="e">
        <f>'All regions'!E2345+"$F;@!%i^"</f>
        <v>#VALUE!</v>
      </c>
      <c r="U86" t="e">
        <f>'All regions'!F2345+"$F;@!%i_"</f>
        <v>#VALUE!</v>
      </c>
      <c r="V86" t="e">
        <f>'All regions'!G2345+"$F;@!%i`"</f>
        <v>#VALUE!</v>
      </c>
      <c r="W86" t="e">
        <f>'All regions'!H2345+"$F;@!%ia"</f>
        <v>#VALUE!</v>
      </c>
      <c r="X86" t="e">
        <f>'All regions'!I2345+"$F;@!%ib"</f>
        <v>#VALUE!</v>
      </c>
      <c r="Y86" t="e">
        <f>'All regions'!A2346+"$F;@!%ic"</f>
        <v>#VALUE!</v>
      </c>
      <c r="Z86" t="e">
        <f>'All regions'!B2346+"$F;@!%id"</f>
        <v>#VALUE!</v>
      </c>
      <c r="AA86" t="e">
        <f>'All regions'!C2346+"$F;@!%ie"</f>
        <v>#VALUE!</v>
      </c>
      <c r="AB86" t="e">
        <f>'All regions'!D2346+"$F;@!%if"</f>
        <v>#VALUE!</v>
      </c>
      <c r="AC86" t="e">
        <f>'All regions'!E2346+"$F;@!%ig"</f>
        <v>#VALUE!</v>
      </c>
      <c r="AD86" t="e">
        <f>'All regions'!F2346+"$F;@!%ih"</f>
        <v>#VALUE!</v>
      </c>
      <c r="AE86" t="e">
        <f>'All regions'!G2346+"$F;@!%ii"</f>
        <v>#VALUE!</v>
      </c>
      <c r="AF86" t="e">
        <f>'All regions'!H2346+"$F;@!%ij"</f>
        <v>#VALUE!</v>
      </c>
      <c r="AG86" t="e">
        <f>'All regions'!I2346+"$F;@!%ik"</f>
        <v>#VALUE!</v>
      </c>
      <c r="AH86" t="e">
        <f>'All regions'!A2347+"$F;@!%il"</f>
        <v>#VALUE!</v>
      </c>
      <c r="AI86" t="e">
        <f>'All regions'!B2347+"$F;@!%im"</f>
        <v>#VALUE!</v>
      </c>
      <c r="AJ86" t="e">
        <f>'All regions'!C2347+"$F;@!%in"</f>
        <v>#VALUE!</v>
      </c>
      <c r="AK86" t="e">
        <f>'All regions'!D2347+"$F;@!%io"</f>
        <v>#VALUE!</v>
      </c>
      <c r="AL86" t="e">
        <f>'All regions'!E2347+"$F;@!%ip"</f>
        <v>#VALUE!</v>
      </c>
      <c r="AM86" t="e">
        <f>'All regions'!F2347+"$F;@!%iq"</f>
        <v>#VALUE!</v>
      </c>
      <c r="AN86" t="e">
        <f>'All regions'!G2347+"$F;@!%ir"</f>
        <v>#VALUE!</v>
      </c>
      <c r="AO86" t="e">
        <f>'All regions'!H2347+"$F;@!%is"</f>
        <v>#VALUE!</v>
      </c>
      <c r="AP86" t="e">
        <f>'All regions'!I2347+"$F;@!%it"</f>
        <v>#VALUE!</v>
      </c>
      <c r="AQ86" t="e">
        <f>'All regions'!A2348+"$F;@!%iu"</f>
        <v>#VALUE!</v>
      </c>
      <c r="AR86" t="e">
        <f>'All regions'!B2348+"$F;@!%iv"</f>
        <v>#VALUE!</v>
      </c>
      <c r="AS86" t="e">
        <f>'All regions'!C2348+"$F;@!%iw"</f>
        <v>#VALUE!</v>
      </c>
      <c r="AT86" t="e">
        <f>'All regions'!D2348+"$F;@!%ix"</f>
        <v>#VALUE!</v>
      </c>
      <c r="AU86" t="e">
        <f>'All regions'!E2348+"$F;@!%iy"</f>
        <v>#VALUE!</v>
      </c>
      <c r="AV86" t="e">
        <f>'All regions'!F2348+"$F;@!%iz"</f>
        <v>#VALUE!</v>
      </c>
      <c r="AW86" t="e">
        <f>'All regions'!G2348+"$F;@!%i{"</f>
        <v>#VALUE!</v>
      </c>
      <c r="AX86" t="e">
        <f>'All regions'!H2348+"$F;@!%i|"</f>
        <v>#VALUE!</v>
      </c>
      <c r="AY86" t="e">
        <f>'All regions'!I2348+"$F;@!%i}"</f>
        <v>#VALUE!</v>
      </c>
      <c r="AZ86" t="e">
        <f>'All regions'!A2349+"$F;@!%i~"</f>
        <v>#VALUE!</v>
      </c>
      <c r="BA86" t="e">
        <f>'All regions'!B2349+"$F;@!%j#"</f>
        <v>#VALUE!</v>
      </c>
      <c r="BB86" t="e">
        <f>'All regions'!C2349+"$F;@!%j$"</f>
        <v>#VALUE!</v>
      </c>
      <c r="BC86" t="e">
        <f>'All regions'!D2349+"$F;@!%j%"</f>
        <v>#VALUE!</v>
      </c>
      <c r="BD86" t="e">
        <f>'All regions'!E2349+"$F;@!%j&amp;"</f>
        <v>#VALUE!</v>
      </c>
      <c r="BE86" t="e">
        <f>'All regions'!F2349+"$F;@!%j'"</f>
        <v>#VALUE!</v>
      </c>
      <c r="BF86" t="e">
        <f>'All regions'!G2349+"$F;@!%j("</f>
        <v>#VALUE!</v>
      </c>
      <c r="BG86" t="e">
        <f>'All regions'!H2349+"$F;@!%j)"</f>
        <v>#VALUE!</v>
      </c>
      <c r="BH86" t="e">
        <f>'All regions'!I2349+"$F;@!%j."</f>
        <v>#VALUE!</v>
      </c>
      <c r="BI86" t="e">
        <f>'All regions'!A2350+"$F;@!%j/"</f>
        <v>#VALUE!</v>
      </c>
      <c r="BJ86" t="e">
        <f>'All regions'!B2350+"$F;@!%j0"</f>
        <v>#VALUE!</v>
      </c>
      <c r="BK86" t="e">
        <f>'All regions'!C2350+"$F;@!%j1"</f>
        <v>#VALUE!</v>
      </c>
      <c r="BL86" t="e">
        <f>'All regions'!D2350+"$F;@!%j2"</f>
        <v>#VALUE!</v>
      </c>
      <c r="BM86" t="e">
        <f>'All regions'!E2350+"$F;@!%j3"</f>
        <v>#VALUE!</v>
      </c>
      <c r="BN86" t="e">
        <f>'All regions'!F2350+"$F;@!%j4"</f>
        <v>#VALUE!</v>
      </c>
      <c r="BO86" t="e">
        <f>'All regions'!G2350+"$F;@!%j5"</f>
        <v>#VALUE!</v>
      </c>
      <c r="BP86" t="e">
        <f>'All regions'!H2350+"$F;@!%j6"</f>
        <v>#VALUE!</v>
      </c>
      <c r="BQ86" t="e">
        <f>'All regions'!I2350+"$F;@!%j7"</f>
        <v>#VALUE!</v>
      </c>
      <c r="BR86" t="e">
        <f>'All regions'!A2351+"$F;@!%j8"</f>
        <v>#VALUE!</v>
      </c>
      <c r="BS86" t="e">
        <f>'All regions'!B2351+"$F;@!%j9"</f>
        <v>#VALUE!</v>
      </c>
      <c r="BT86" t="e">
        <f>'All regions'!C2351+"$F;@!%j:"</f>
        <v>#VALUE!</v>
      </c>
      <c r="BU86" t="e">
        <f>'All regions'!D2351+"$F;@!%j;"</f>
        <v>#VALUE!</v>
      </c>
      <c r="BV86" t="e">
        <f>'All regions'!E2351+"$F;@!%j&lt;"</f>
        <v>#VALUE!</v>
      </c>
      <c r="BW86" t="e">
        <f>'All regions'!F2351+"$F;@!%j="</f>
        <v>#VALUE!</v>
      </c>
      <c r="BX86" t="e">
        <f>'All regions'!G2351+"$F;@!%j&gt;"</f>
        <v>#VALUE!</v>
      </c>
      <c r="BY86" t="e">
        <f>'All regions'!H2351+"$F;@!%j?"</f>
        <v>#VALUE!</v>
      </c>
      <c r="BZ86" t="e">
        <f>'All regions'!I2351+"$F;@!%j@"</f>
        <v>#VALUE!</v>
      </c>
      <c r="CA86" t="e">
        <f>'All regions'!A2352+"$F;@!%jA"</f>
        <v>#VALUE!</v>
      </c>
      <c r="CB86" t="e">
        <f>'All regions'!B2352+"$F;@!%jB"</f>
        <v>#VALUE!</v>
      </c>
      <c r="CC86" t="e">
        <f>'All regions'!C2352+"$F;@!%jC"</f>
        <v>#VALUE!</v>
      </c>
      <c r="CD86" t="e">
        <f>'All regions'!D2352+"$F;@!%jD"</f>
        <v>#VALUE!</v>
      </c>
      <c r="CE86" t="e">
        <f>'All regions'!E2352+"$F;@!%jE"</f>
        <v>#VALUE!</v>
      </c>
      <c r="CF86" t="e">
        <f>'All regions'!F2352+"$F;@!%jF"</f>
        <v>#VALUE!</v>
      </c>
      <c r="CG86" t="e">
        <f>'All regions'!G2352+"$F;@!%jG"</f>
        <v>#VALUE!</v>
      </c>
      <c r="CH86" t="e">
        <f>'All regions'!H2352+"$F;@!%jH"</f>
        <v>#VALUE!</v>
      </c>
      <c r="CI86" t="e">
        <f>'All regions'!I2352+"$F;@!%jI"</f>
        <v>#VALUE!</v>
      </c>
      <c r="CJ86" t="e">
        <f>'All regions'!A2353+"$F;@!%jJ"</f>
        <v>#VALUE!</v>
      </c>
      <c r="CK86" t="e">
        <f>'All regions'!B2353+"$F;@!%jK"</f>
        <v>#VALUE!</v>
      </c>
      <c r="CL86" t="e">
        <f>'All regions'!C2353+"$F;@!%jL"</f>
        <v>#VALUE!</v>
      </c>
      <c r="CM86" t="e">
        <f>'All regions'!D2353+"$F;@!%jM"</f>
        <v>#VALUE!</v>
      </c>
      <c r="CN86" t="e">
        <f>'All regions'!E2353+"$F;@!%jN"</f>
        <v>#VALUE!</v>
      </c>
      <c r="CO86" t="e">
        <f>'All regions'!F2353+"$F;@!%jO"</f>
        <v>#VALUE!</v>
      </c>
      <c r="CP86" t="e">
        <f>'All regions'!G2353+"$F;@!%jP"</f>
        <v>#VALUE!</v>
      </c>
      <c r="CQ86" t="e">
        <f>'All regions'!H2353+"$F;@!%jQ"</f>
        <v>#VALUE!</v>
      </c>
      <c r="CR86" t="e">
        <f>'All regions'!I2353+"$F;@!%jR"</f>
        <v>#VALUE!</v>
      </c>
      <c r="CS86" t="e">
        <f>'All regions'!A2354+"$F;@!%jS"</f>
        <v>#VALUE!</v>
      </c>
      <c r="CT86" t="e">
        <f>'All regions'!B2354+"$F;@!%jT"</f>
        <v>#VALUE!</v>
      </c>
      <c r="CU86" t="e">
        <f>'All regions'!C2354+"$F;@!%jU"</f>
        <v>#VALUE!</v>
      </c>
      <c r="CV86" t="e">
        <f>'All regions'!D2354+"$F;@!%jV"</f>
        <v>#VALUE!</v>
      </c>
      <c r="CW86" t="e">
        <f>'All regions'!E2354+"$F;@!%jW"</f>
        <v>#VALUE!</v>
      </c>
      <c r="CX86" t="e">
        <f>'All regions'!F2354+"$F;@!%jX"</f>
        <v>#VALUE!</v>
      </c>
      <c r="CY86" t="e">
        <f>'All regions'!G2354+"$F;@!%jY"</f>
        <v>#VALUE!</v>
      </c>
      <c r="CZ86" t="e">
        <f>'All regions'!H2354+"$F;@!%jZ"</f>
        <v>#VALUE!</v>
      </c>
      <c r="DA86" t="e">
        <f>'All regions'!I2354+"$F;@!%j["</f>
        <v>#VALUE!</v>
      </c>
      <c r="DB86" t="e">
        <f>'All regions'!A2355+"$F;@!%j\"</f>
        <v>#VALUE!</v>
      </c>
      <c r="DC86" t="e">
        <f>'All regions'!B2355+"$F;@!%j]"</f>
        <v>#VALUE!</v>
      </c>
      <c r="DD86" t="e">
        <f>'All regions'!C2355+"$F;@!%j^"</f>
        <v>#VALUE!</v>
      </c>
      <c r="DE86" t="e">
        <f>'All regions'!D2355+"$F;@!%j_"</f>
        <v>#VALUE!</v>
      </c>
      <c r="DF86" t="e">
        <f>'All regions'!E2355+"$F;@!%j`"</f>
        <v>#VALUE!</v>
      </c>
      <c r="DG86" t="e">
        <f>'All regions'!F2355+"$F;@!%ja"</f>
        <v>#VALUE!</v>
      </c>
      <c r="DH86" t="e">
        <f>'All regions'!G2355+"$F;@!%jb"</f>
        <v>#VALUE!</v>
      </c>
      <c r="DI86" t="e">
        <f>'All regions'!H2355+"$F;@!%jc"</f>
        <v>#VALUE!</v>
      </c>
      <c r="DJ86" t="e">
        <f>'All regions'!I2355+"$F;@!%jd"</f>
        <v>#VALUE!</v>
      </c>
      <c r="DK86" t="e">
        <f>'All regions'!A2356+"$F;@!%je"</f>
        <v>#VALUE!</v>
      </c>
      <c r="DL86" t="e">
        <f>'All regions'!B2356+"$F;@!%jf"</f>
        <v>#VALUE!</v>
      </c>
      <c r="DM86" t="e">
        <f>'All regions'!C2356+"$F;@!%jg"</f>
        <v>#VALUE!</v>
      </c>
      <c r="DN86" t="e">
        <f>'All regions'!D2356+"$F;@!%jh"</f>
        <v>#VALUE!</v>
      </c>
      <c r="DO86" t="e">
        <f>'All regions'!E2356+"$F;@!%ji"</f>
        <v>#VALUE!</v>
      </c>
      <c r="DP86" t="e">
        <f>'All regions'!F2356+"$F;@!%jj"</f>
        <v>#VALUE!</v>
      </c>
      <c r="DQ86" t="e">
        <f>'All regions'!G2356+"$F;@!%jk"</f>
        <v>#VALUE!</v>
      </c>
      <c r="DR86" t="e">
        <f>'All regions'!H2356+"$F;@!%jl"</f>
        <v>#VALUE!</v>
      </c>
      <c r="DS86" t="e">
        <f>'All regions'!I2356+"$F;@!%jm"</f>
        <v>#VALUE!</v>
      </c>
      <c r="DT86" t="e">
        <f>'All regions'!A2357+"$F;@!%jn"</f>
        <v>#VALUE!</v>
      </c>
      <c r="DU86" t="e">
        <f>'All regions'!B2357+"$F;@!%jo"</f>
        <v>#VALUE!</v>
      </c>
      <c r="DV86" t="e">
        <f>'All regions'!C2357+"$F;@!%jp"</f>
        <v>#VALUE!</v>
      </c>
      <c r="DW86" t="e">
        <f>'All regions'!D2357+"$F;@!%jq"</f>
        <v>#VALUE!</v>
      </c>
      <c r="DX86" t="e">
        <f>'All regions'!E2357+"$F;@!%jr"</f>
        <v>#VALUE!</v>
      </c>
      <c r="DY86" t="e">
        <f>'All regions'!F2357+"$F;@!%js"</f>
        <v>#VALUE!</v>
      </c>
      <c r="DZ86" t="e">
        <f>'All regions'!G2357+"$F;@!%jt"</f>
        <v>#VALUE!</v>
      </c>
      <c r="EA86" t="e">
        <f>'All regions'!H2357+"$F;@!%ju"</f>
        <v>#VALUE!</v>
      </c>
      <c r="EB86" t="e">
        <f>'All regions'!I2357+"$F;@!%jv"</f>
        <v>#VALUE!</v>
      </c>
      <c r="EC86" t="e">
        <f>'All regions'!A2358+"$F;@!%jw"</f>
        <v>#VALUE!</v>
      </c>
      <c r="ED86" t="e">
        <f>'All regions'!B2358+"$F;@!%jx"</f>
        <v>#VALUE!</v>
      </c>
      <c r="EE86" t="e">
        <f>'All regions'!C2358+"$F;@!%jy"</f>
        <v>#VALUE!</v>
      </c>
      <c r="EF86" t="e">
        <f>'All regions'!D2358+"$F;@!%jz"</f>
        <v>#VALUE!</v>
      </c>
      <c r="EG86" t="e">
        <f>'All regions'!E2358+"$F;@!%j{"</f>
        <v>#VALUE!</v>
      </c>
      <c r="EH86" t="e">
        <f>'All regions'!F2358+"$F;@!%j|"</f>
        <v>#VALUE!</v>
      </c>
      <c r="EI86" t="e">
        <f>'All regions'!G2358+"$F;@!%j}"</f>
        <v>#VALUE!</v>
      </c>
      <c r="EJ86" t="e">
        <f>'All regions'!H2358+"$F;@!%j~"</f>
        <v>#VALUE!</v>
      </c>
      <c r="EK86" t="e">
        <f>'All regions'!I2358+"$F;@!%k#"</f>
        <v>#VALUE!</v>
      </c>
      <c r="EL86" t="e">
        <f>'All regions'!A2359+"$F;@!%k$"</f>
        <v>#VALUE!</v>
      </c>
      <c r="EM86" t="e">
        <f>'All regions'!B2359+"$F;@!%k%"</f>
        <v>#VALUE!</v>
      </c>
      <c r="EN86" t="e">
        <f>'All regions'!C2359+"$F;@!%k&amp;"</f>
        <v>#VALUE!</v>
      </c>
      <c r="EO86" t="e">
        <f>'All regions'!D2359+"$F;@!%k'"</f>
        <v>#VALUE!</v>
      </c>
      <c r="EP86" t="e">
        <f>'All regions'!E2359+"$F;@!%k("</f>
        <v>#VALUE!</v>
      </c>
      <c r="EQ86" t="e">
        <f>'All regions'!F2359+"$F;@!%k)"</f>
        <v>#VALUE!</v>
      </c>
      <c r="ER86" t="e">
        <f>'All regions'!G2359+"$F;@!%k."</f>
        <v>#VALUE!</v>
      </c>
      <c r="ES86" t="e">
        <f>'All regions'!H2359+"$F;@!%k/"</f>
        <v>#VALUE!</v>
      </c>
      <c r="ET86" t="e">
        <f>'All regions'!I2359+"$F;@!%k0"</f>
        <v>#VALUE!</v>
      </c>
      <c r="EU86" t="e">
        <f>'All regions'!A2360+"$F;@!%k1"</f>
        <v>#VALUE!</v>
      </c>
      <c r="EV86" t="e">
        <f>'All regions'!B2360+"$F;@!%k2"</f>
        <v>#VALUE!</v>
      </c>
      <c r="EW86" t="e">
        <f>'All regions'!C2360+"$F;@!%k3"</f>
        <v>#VALUE!</v>
      </c>
      <c r="EX86" t="e">
        <f>'All regions'!D2360+"$F;@!%k4"</f>
        <v>#VALUE!</v>
      </c>
      <c r="EY86" t="e">
        <f>'All regions'!E2360+"$F;@!%k5"</f>
        <v>#VALUE!</v>
      </c>
      <c r="EZ86" t="e">
        <f>'All regions'!F2360+"$F;@!%k6"</f>
        <v>#VALUE!</v>
      </c>
      <c r="FA86" t="e">
        <f>'All regions'!G2360+"$F;@!%k7"</f>
        <v>#VALUE!</v>
      </c>
      <c r="FB86" t="e">
        <f>'All regions'!H2360+"$F;@!%k8"</f>
        <v>#VALUE!</v>
      </c>
      <c r="FC86" t="e">
        <f>'All regions'!I2360+"$F;@!%k9"</f>
        <v>#VALUE!</v>
      </c>
      <c r="FD86" t="e">
        <f>'All regions'!A2361+"$F;@!%k:"</f>
        <v>#VALUE!</v>
      </c>
      <c r="FE86" t="e">
        <f>'All regions'!B2361+"$F;@!%k;"</f>
        <v>#VALUE!</v>
      </c>
      <c r="FF86" t="e">
        <f>'All regions'!C2361+"$F;@!%k&lt;"</f>
        <v>#VALUE!</v>
      </c>
      <c r="FG86" t="e">
        <f>'All regions'!D2361+"$F;@!%k="</f>
        <v>#VALUE!</v>
      </c>
      <c r="FH86" t="e">
        <f>'All regions'!E2361+"$F;@!%k&gt;"</f>
        <v>#VALUE!</v>
      </c>
      <c r="FI86" t="e">
        <f>'All regions'!F2361+"$F;@!%k?"</f>
        <v>#VALUE!</v>
      </c>
      <c r="FJ86" t="e">
        <f>'All regions'!G2361+"$F;@!%k@"</f>
        <v>#VALUE!</v>
      </c>
      <c r="FK86" t="e">
        <f>'All regions'!H2361+"$F;@!%kA"</f>
        <v>#VALUE!</v>
      </c>
      <c r="FL86" t="e">
        <f>'All regions'!I2361+"$F;@!%kB"</f>
        <v>#VALUE!</v>
      </c>
      <c r="FM86" t="e">
        <f>'All regions'!A2362+"$F;@!%kC"</f>
        <v>#VALUE!</v>
      </c>
      <c r="FN86" t="e">
        <f>'All regions'!B2362+"$F;@!%kD"</f>
        <v>#VALUE!</v>
      </c>
      <c r="FO86" t="e">
        <f>'All regions'!C2362+"$F;@!%kE"</f>
        <v>#VALUE!</v>
      </c>
      <c r="FP86" t="e">
        <f>'All regions'!D2362+"$F;@!%kF"</f>
        <v>#VALUE!</v>
      </c>
      <c r="FQ86" t="e">
        <f>'All regions'!E2362+"$F;@!%kG"</f>
        <v>#VALUE!</v>
      </c>
      <c r="FR86" t="e">
        <f>'All regions'!F2362+"$F;@!%kH"</f>
        <v>#VALUE!</v>
      </c>
      <c r="FS86" t="e">
        <f>'All regions'!G2362+"$F;@!%kI"</f>
        <v>#VALUE!</v>
      </c>
      <c r="FT86" t="e">
        <f>'All regions'!H2362+"$F;@!%kJ"</f>
        <v>#VALUE!</v>
      </c>
      <c r="FU86" t="e">
        <f>'All regions'!I2362+"$F;@!%kK"</f>
        <v>#VALUE!</v>
      </c>
      <c r="FV86" t="e">
        <f>'All regions'!A2363+"$F;@!%kL"</f>
        <v>#VALUE!</v>
      </c>
      <c r="FW86" t="e">
        <f>'All regions'!B2363+"$F;@!%kM"</f>
        <v>#VALUE!</v>
      </c>
      <c r="FX86" t="e">
        <f>'All regions'!C2363+"$F;@!%kN"</f>
        <v>#VALUE!</v>
      </c>
      <c r="FY86" t="e">
        <f>'All regions'!D2363+"$F;@!%kO"</f>
        <v>#VALUE!</v>
      </c>
      <c r="FZ86" t="e">
        <f>'All regions'!E2363+"$F;@!%kP"</f>
        <v>#VALUE!</v>
      </c>
      <c r="GA86" t="e">
        <f>'All regions'!F2363+"$F;@!%kQ"</f>
        <v>#VALUE!</v>
      </c>
      <c r="GB86" t="e">
        <f>'All regions'!G2363+"$F;@!%kR"</f>
        <v>#VALUE!</v>
      </c>
      <c r="GC86" t="e">
        <f>'All regions'!H2363+"$F;@!%kS"</f>
        <v>#VALUE!</v>
      </c>
      <c r="GD86" t="e">
        <f>'All regions'!I2363+"$F;@!%kT"</f>
        <v>#VALUE!</v>
      </c>
      <c r="GE86" t="e">
        <f>'All regions'!A2364+"$F;@!%kU"</f>
        <v>#VALUE!</v>
      </c>
      <c r="GF86" t="e">
        <f>'All regions'!B2364+"$F;@!%kV"</f>
        <v>#VALUE!</v>
      </c>
      <c r="GG86" t="e">
        <f>'All regions'!C2364+"$F;@!%kW"</f>
        <v>#VALUE!</v>
      </c>
      <c r="GH86" t="e">
        <f>'All regions'!D2364+"$F;@!%kX"</f>
        <v>#VALUE!</v>
      </c>
      <c r="GI86" t="e">
        <f>'All regions'!E2364+"$F;@!%kY"</f>
        <v>#VALUE!</v>
      </c>
      <c r="GJ86" t="e">
        <f>'All regions'!F2364+"$F;@!%kZ"</f>
        <v>#VALUE!</v>
      </c>
      <c r="GK86" t="e">
        <f>'All regions'!G2364+"$F;@!%k["</f>
        <v>#VALUE!</v>
      </c>
      <c r="GL86" t="e">
        <f>'All regions'!H2364+"$F;@!%k\"</f>
        <v>#VALUE!</v>
      </c>
      <c r="GM86" t="e">
        <f>'All regions'!I2364+"$F;@!%k]"</f>
        <v>#VALUE!</v>
      </c>
      <c r="GN86" t="e">
        <f>'All regions'!A2365+"$F;@!%k^"</f>
        <v>#VALUE!</v>
      </c>
      <c r="GO86" t="e">
        <f>'All regions'!B2365+"$F;@!%k_"</f>
        <v>#VALUE!</v>
      </c>
      <c r="GP86" t="e">
        <f>'All regions'!C2365+"$F;@!%k`"</f>
        <v>#VALUE!</v>
      </c>
      <c r="GQ86" t="e">
        <f>'All regions'!D2365+"$F;@!%ka"</f>
        <v>#VALUE!</v>
      </c>
      <c r="GR86" t="e">
        <f>'All regions'!E2365+"$F;@!%kb"</f>
        <v>#VALUE!</v>
      </c>
      <c r="GS86" t="e">
        <f>'All regions'!F2365+"$F;@!%kc"</f>
        <v>#VALUE!</v>
      </c>
      <c r="GT86" t="e">
        <f>'All regions'!G2365+"$F;@!%kd"</f>
        <v>#VALUE!</v>
      </c>
      <c r="GU86" t="e">
        <f>'All regions'!H2365+"$F;@!%ke"</f>
        <v>#VALUE!</v>
      </c>
      <c r="GV86" t="e">
        <f>'All regions'!I2365+"$F;@!%kf"</f>
        <v>#VALUE!</v>
      </c>
      <c r="GW86" t="e">
        <f>'All regions'!A2367+"$F;@!%kg"</f>
        <v>#VALUE!</v>
      </c>
      <c r="GX86" t="e">
        <f>'All regions'!B2367+"$F;@!%kh"</f>
        <v>#VALUE!</v>
      </c>
      <c r="GY86" t="e">
        <f>'All regions'!C2367+"$F;@!%ki"</f>
        <v>#VALUE!</v>
      </c>
      <c r="GZ86" t="e">
        <f>'All regions'!D2367+"$F;@!%kj"</f>
        <v>#VALUE!</v>
      </c>
      <c r="HA86" t="e">
        <f>'All regions'!E2367+"$F;@!%kk"</f>
        <v>#VALUE!</v>
      </c>
      <c r="HB86" t="e">
        <f>'All regions'!F2367+"$F;@!%kl"</f>
        <v>#VALUE!</v>
      </c>
      <c r="HC86" t="e">
        <f>'All regions'!G2367+"$F;@!%km"</f>
        <v>#VALUE!</v>
      </c>
      <c r="HD86" t="e">
        <f>'All regions'!H2367+"$F;@!%kn"</f>
        <v>#VALUE!</v>
      </c>
      <c r="HE86" t="e">
        <f>'All regions'!I2367+"$F;@!%ko"</f>
        <v>#VALUE!</v>
      </c>
      <c r="HF86" t="e">
        <f>'All regions'!A2368+"$F;@!%kp"</f>
        <v>#VALUE!</v>
      </c>
      <c r="HG86" t="e">
        <f>'All regions'!B2368+"$F;@!%kq"</f>
        <v>#VALUE!</v>
      </c>
      <c r="HH86" t="e">
        <f>'All regions'!C2368+"$F;@!%kr"</f>
        <v>#VALUE!</v>
      </c>
      <c r="HI86" t="e">
        <f>'All regions'!D2368+"$F;@!%ks"</f>
        <v>#VALUE!</v>
      </c>
      <c r="HJ86" t="e">
        <f>'All regions'!E2368+"$F;@!%kt"</f>
        <v>#VALUE!</v>
      </c>
      <c r="HK86" t="e">
        <f>'All regions'!F2368+"$F;@!%ku"</f>
        <v>#VALUE!</v>
      </c>
      <c r="HL86" t="e">
        <f>'All regions'!G2368+"$F;@!%kv"</f>
        <v>#VALUE!</v>
      </c>
      <c r="HM86" t="e">
        <f>'All regions'!H2368+"$F;@!%kw"</f>
        <v>#VALUE!</v>
      </c>
      <c r="HN86" t="e">
        <f>'All regions'!I2368+"$F;@!%kx"</f>
        <v>#VALUE!</v>
      </c>
      <c r="HO86" t="e">
        <f>'All regions'!A2369+"$F;@!%ky"</f>
        <v>#VALUE!</v>
      </c>
      <c r="HP86" t="e">
        <f>'All regions'!B2369+"$F;@!%kz"</f>
        <v>#VALUE!</v>
      </c>
      <c r="HQ86" t="e">
        <f>'All regions'!C2369+"$F;@!%k{"</f>
        <v>#VALUE!</v>
      </c>
      <c r="HR86" t="e">
        <f>'All regions'!D2369+"$F;@!%k|"</f>
        <v>#VALUE!</v>
      </c>
      <c r="HS86" t="e">
        <f>'All regions'!E2369+"$F;@!%k}"</f>
        <v>#VALUE!</v>
      </c>
      <c r="HT86" t="e">
        <f>'All regions'!F2369+"$F;@!%k~"</f>
        <v>#VALUE!</v>
      </c>
      <c r="HU86" t="e">
        <f>'All regions'!G2369+"$F;@!%l#"</f>
        <v>#VALUE!</v>
      </c>
      <c r="HV86" t="e">
        <f>'All regions'!H2369+"$F;@!%l$"</f>
        <v>#VALUE!</v>
      </c>
      <c r="HW86" t="e">
        <f>'All regions'!I2369+"$F;@!%l%"</f>
        <v>#VALUE!</v>
      </c>
      <c r="HX86" t="e">
        <f>'All regions'!A2370+"$F;@!%l&amp;"</f>
        <v>#VALUE!</v>
      </c>
      <c r="HY86" t="e">
        <f>'All regions'!B2370+"$F;@!%l'"</f>
        <v>#VALUE!</v>
      </c>
      <c r="HZ86" t="e">
        <f>'All regions'!C2370+"$F;@!%l("</f>
        <v>#VALUE!</v>
      </c>
      <c r="IA86" t="e">
        <f>'All regions'!D2370+"$F;@!%l)"</f>
        <v>#VALUE!</v>
      </c>
      <c r="IB86" t="e">
        <f>'All regions'!E2370+"$F;@!%l."</f>
        <v>#VALUE!</v>
      </c>
      <c r="IC86" t="e">
        <f>'All regions'!F2370+"$F;@!%l/"</f>
        <v>#VALUE!</v>
      </c>
      <c r="ID86" t="e">
        <f>'All regions'!G2370+"$F;@!%l0"</f>
        <v>#VALUE!</v>
      </c>
      <c r="IE86" t="e">
        <f>'All regions'!H2370+"$F;@!%l1"</f>
        <v>#VALUE!</v>
      </c>
      <c r="IF86" t="e">
        <f>'All regions'!I2370+"$F;@!%l2"</f>
        <v>#VALUE!</v>
      </c>
      <c r="IG86" t="e">
        <f>'All regions'!A2371+"$F;@!%l3"</f>
        <v>#VALUE!</v>
      </c>
      <c r="IH86" t="e">
        <f>'All regions'!B2371+"$F;@!%l4"</f>
        <v>#VALUE!</v>
      </c>
      <c r="II86" t="e">
        <f>'All regions'!C2371+"$F;@!%l5"</f>
        <v>#VALUE!</v>
      </c>
      <c r="IJ86" t="e">
        <f>'All regions'!D2371+"$F;@!%l6"</f>
        <v>#VALUE!</v>
      </c>
      <c r="IK86" t="e">
        <f>'All regions'!E2371+"$F;@!%l7"</f>
        <v>#VALUE!</v>
      </c>
      <c r="IL86" t="e">
        <f>'All regions'!F2371+"$F;@!%l8"</f>
        <v>#VALUE!</v>
      </c>
      <c r="IM86" t="e">
        <f>'All regions'!G2371+"$F;@!%l9"</f>
        <v>#VALUE!</v>
      </c>
      <c r="IN86" t="e">
        <f>'All regions'!H2371+"$F;@!%l:"</f>
        <v>#VALUE!</v>
      </c>
      <c r="IO86" t="e">
        <f>'All regions'!I2371+"$F;@!%l;"</f>
        <v>#VALUE!</v>
      </c>
      <c r="IP86" t="e">
        <f>'All regions'!A2372+"$F;@!%l&lt;"</f>
        <v>#VALUE!</v>
      </c>
      <c r="IQ86" t="e">
        <f>'All regions'!B2372+"$F;@!%l="</f>
        <v>#VALUE!</v>
      </c>
      <c r="IR86" t="e">
        <f>'All regions'!C2372+"$F;@!%l&gt;"</f>
        <v>#VALUE!</v>
      </c>
      <c r="IS86" t="e">
        <f>'All regions'!D2372+"$F;@!%l?"</f>
        <v>#VALUE!</v>
      </c>
      <c r="IT86" t="e">
        <f>'All regions'!E2372+"$F;@!%l@"</f>
        <v>#VALUE!</v>
      </c>
      <c r="IU86" t="e">
        <f>'All regions'!F2372+"$F;@!%lA"</f>
        <v>#VALUE!</v>
      </c>
      <c r="IV86" t="e">
        <f>'All regions'!G2372+"$F;@!%lB"</f>
        <v>#VALUE!</v>
      </c>
    </row>
    <row r="87" spans="6:256" x14ac:dyDescent="0.35">
      <c r="F87" t="e">
        <f>'All regions'!H2372+"$F;@!%lC"</f>
        <v>#VALUE!</v>
      </c>
      <c r="G87" t="e">
        <f>'All regions'!I2372+"$F;@!%lD"</f>
        <v>#VALUE!</v>
      </c>
      <c r="H87" t="e">
        <f>'All regions'!A2373+"$F;@!%lE"</f>
        <v>#VALUE!</v>
      </c>
      <c r="I87" t="e">
        <f>'All regions'!B2373+"$F;@!%lF"</f>
        <v>#VALUE!</v>
      </c>
      <c r="J87" t="e">
        <f>'All regions'!C2373+"$F;@!%lG"</f>
        <v>#VALUE!</v>
      </c>
      <c r="K87" t="e">
        <f>'All regions'!D2373+"$F;@!%lH"</f>
        <v>#VALUE!</v>
      </c>
      <c r="L87" t="e">
        <f>'All regions'!E2373+"$F;@!%lI"</f>
        <v>#VALUE!</v>
      </c>
      <c r="M87" t="e">
        <f>'All regions'!F2373+"$F;@!%lJ"</f>
        <v>#VALUE!</v>
      </c>
      <c r="N87" t="e">
        <f>'All regions'!G2373+"$F;@!%lK"</f>
        <v>#VALUE!</v>
      </c>
      <c r="O87" t="e">
        <f>'All regions'!H2373+"$F;@!%lL"</f>
        <v>#VALUE!</v>
      </c>
      <c r="P87" t="e">
        <f>'All regions'!I2373+"$F;@!%lM"</f>
        <v>#VALUE!</v>
      </c>
      <c r="Q87" t="e">
        <f>'All regions'!A2374+"$F;@!%lN"</f>
        <v>#VALUE!</v>
      </c>
      <c r="R87" t="e">
        <f>'All regions'!B2374+"$F;@!%lO"</f>
        <v>#VALUE!</v>
      </c>
      <c r="S87" t="e">
        <f>'All regions'!C2374+"$F;@!%lP"</f>
        <v>#VALUE!</v>
      </c>
      <c r="T87" t="e">
        <f>'All regions'!D2374+"$F;@!%lQ"</f>
        <v>#VALUE!</v>
      </c>
      <c r="U87" t="e">
        <f>'All regions'!E2374+"$F;@!%lR"</f>
        <v>#VALUE!</v>
      </c>
      <c r="V87" t="e">
        <f>'All regions'!F2374+"$F;@!%lS"</f>
        <v>#VALUE!</v>
      </c>
      <c r="W87" t="e">
        <f>'All regions'!G2374+"$F;@!%lT"</f>
        <v>#VALUE!</v>
      </c>
      <c r="X87" t="e">
        <f>'All regions'!H2374+"$F;@!%lU"</f>
        <v>#VALUE!</v>
      </c>
      <c r="Y87" t="e">
        <f>'All regions'!I2374+"$F;@!%lV"</f>
        <v>#VALUE!</v>
      </c>
      <c r="Z87" t="e">
        <f>'All regions'!A2375+"$F;@!%lW"</f>
        <v>#VALUE!</v>
      </c>
      <c r="AA87" t="e">
        <f>'All regions'!B2375+"$F;@!%lX"</f>
        <v>#VALUE!</v>
      </c>
      <c r="AB87" t="e">
        <f>'All regions'!C2375+"$F;@!%lY"</f>
        <v>#VALUE!</v>
      </c>
      <c r="AC87" t="e">
        <f>'All regions'!D2375+"$F;@!%lZ"</f>
        <v>#VALUE!</v>
      </c>
      <c r="AD87" t="e">
        <f>'All regions'!E2375+"$F;@!%l["</f>
        <v>#VALUE!</v>
      </c>
      <c r="AE87" t="e">
        <f>'All regions'!F2375+"$F;@!%l\"</f>
        <v>#VALUE!</v>
      </c>
      <c r="AF87" t="e">
        <f>'All regions'!G2375+"$F;@!%l]"</f>
        <v>#VALUE!</v>
      </c>
      <c r="AG87" t="e">
        <f>'All regions'!H2375+"$F;@!%l^"</f>
        <v>#VALUE!</v>
      </c>
      <c r="AH87" t="e">
        <f>'All regions'!I2375+"$F;@!%l_"</f>
        <v>#VALUE!</v>
      </c>
      <c r="AI87" t="e">
        <f>'All regions'!A2376+"$F;@!%l`"</f>
        <v>#VALUE!</v>
      </c>
      <c r="AJ87" t="e">
        <f>'All regions'!B2376+"$F;@!%la"</f>
        <v>#VALUE!</v>
      </c>
      <c r="AK87" t="e">
        <f>'All regions'!C2376+"$F;@!%lb"</f>
        <v>#VALUE!</v>
      </c>
      <c r="AL87" t="e">
        <f>'All regions'!D2376+"$F;@!%lc"</f>
        <v>#VALUE!</v>
      </c>
      <c r="AM87" t="e">
        <f>'All regions'!E2376+"$F;@!%ld"</f>
        <v>#VALUE!</v>
      </c>
      <c r="AN87" t="e">
        <f>'All regions'!F2376+"$F;@!%le"</f>
        <v>#VALUE!</v>
      </c>
      <c r="AO87" t="e">
        <f>'All regions'!G2376+"$F;@!%lf"</f>
        <v>#VALUE!</v>
      </c>
      <c r="AP87" t="e">
        <f>'All regions'!H2376+"$F;@!%lg"</f>
        <v>#VALUE!</v>
      </c>
      <c r="AQ87" t="e">
        <f>'All regions'!I2376+"$F;@!%lh"</f>
        <v>#VALUE!</v>
      </c>
      <c r="AR87" t="e">
        <f>'All regions'!A2377+"$F;@!%li"</f>
        <v>#VALUE!</v>
      </c>
      <c r="AS87" t="e">
        <f>'All regions'!B2377+"$F;@!%lj"</f>
        <v>#VALUE!</v>
      </c>
      <c r="AT87" t="e">
        <f>'All regions'!C2377+"$F;@!%lk"</f>
        <v>#VALUE!</v>
      </c>
      <c r="AU87" t="e">
        <f>'All regions'!D2377+"$F;@!%ll"</f>
        <v>#VALUE!</v>
      </c>
      <c r="AV87" t="e">
        <f>'All regions'!E2377+"$F;@!%lm"</f>
        <v>#VALUE!</v>
      </c>
      <c r="AW87" t="e">
        <f>'All regions'!F2377+"$F;@!%ln"</f>
        <v>#VALUE!</v>
      </c>
      <c r="AX87" t="e">
        <f>'All regions'!G2377+"$F;@!%lo"</f>
        <v>#VALUE!</v>
      </c>
      <c r="AY87" t="e">
        <f>'All regions'!H2377+"$F;@!%lp"</f>
        <v>#VALUE!</v>
      </c>
      <c r="AZ87" t="e">
        <f>'All regions'!I2377+"$F;@!%lq"</f>
        <v>#VALUE!</v>
      </c>
      <c r="BA87" t="e">
        <f>'All regions'!A2378+"$F;@!%lr"</f>
        <v>#VALUE!</v>
      </c>
      <c r="BB87" t="e">
        <f>'All regions'!B2378+"$F;@!%ls"</f>
        <v>#VALUE!</v>
      </c>
      <c r="BC87" t="e">
        <f>'All regions'!C2378+"$F;@!%lt"</f>
        <v>#VALUE!</v>
      </c>
      <c r="BD87" t="e">
        <f>'All regions'!D2378+"$F;@!%lu"</f>
        <v>#VALUE!</v>
      </c>
      <c r="BE87" t="e">
        <f>'All regions'!E2378+"$F;@!%lv"</f>
        <v>#VALUE!</v>
      </c>
      <c r="BF87" t="e">
        <f>'All regions'!F2378+"$F;@!%lw"</f>
        <v>#VALUE!</v>
      </c>
      <c r="BG87" t="e">
        <f>'All regions'!G2378+"$F;@!%lx"</f>
        <v>#VALUE!</v>
      </c>
      <c r="BH87" t="e">
        <f>'All regions'!H2378+"$F;@!%ly"</f>
        <v>#VALUE!</v>
      </c>
      <c r="BI87" t="e">
        <f>'All regions'!I2378+"$F;@!%lz"</f>
        <v>#VALUE!</v>
      </c>
      <c r="BJ87" t="e">
        <f>'All regions'!A2379+"$F;@!%l{"</f>
        <v>#VALUE!</v>
      </c>
      <c r="BK87" t="e">
        <f>'All regions'!B2379+"$F;@!%l|"</f>
        <v>#VALUE!</v>
      </c>
      <c r="BL87" t="e">
        <f>'All regions'!C2379+"$F;@!%l}"</f>
        <v>#VALUE!</v>
      </c>
      <c r="BM87" t="e">
        <f>'All regions'!D2379+"$F;@!%l~"</f>
        <v>#VALUE!</v>
      </c>
      <c r="BN87" t="e">
        <f>'All regions'!E2379+"$F;@!%m#"</f>
        <v>#VALUE!</v>
      </c>
      <c r="BO87" t="e">
        <f>'All regions'!F2379+"$F;@!%m$"</f>
        <v>#VALUE!</v>
      </c>
      <c r="BP87" t="e">
        <f>'All regions'!G2379+"$F;@!%m%"</f>
        <v>#VALUE!</v>
      </c>
      <c r="BQ87" t="e">
        <f>'All regions'!H2379+"$F;@!%m&amp;"</f>
        <v>#VALUE!</v>
      </c>
      <c r="BR87" t="e">
        <f>'All regions'!I2379+"$F;@!%m'"</f>
        <v>#VALUE!</v>
      </c>
      <c r="BS87" t="e">
        <f>'All regions'!A2380+"$F;@!%m("</f>
        <v>#VALUE!</v>
      </c>
      <c r="BT87" t="e">
        <f>'All regions'!B2380+"$F;@!%m)"</f>
        <v>#VALUE!</v>
      </c>
      <c r="BU87" t="e">
        <f>'All regions'!C2380+"$F;@!%m."</f>
        <v>#VALUE!</v>
      </c>
      <c r="BV87" t="e">
        <f>'All regions'!D2380+"$F;@!%m/"</f>
        <v>#VALUE!</v>
      </c>
      <c r="BW87" t="e">
        <f>'All regions'!E2380+"$F;@!%m0"</f>
        <v>#VALUE!</v>
      </c>
      <c r="BX87" t="e">
        <f>'All regions'!F2380+"$F;@!%m1"</f>
        <v>#VALUE!</v>
      </c>
      <c r="BY87" t="e">
        <f>'All regions'!G2380+"$F;@!%m2"</f>
        <v>#VALUE!</v>
      </c>
      <c r="BZ87" t="e">
        <f>'All regions'!H2380+"$F;@!%m3"</f>
        <v>#VALUE!</v>
      </c>
      <c r="CA87" t="e">
        <f>'All regions'!I2380+"$F;@!%m4"</f>
        <v>#VALUE!</v>
      </c>
      <c r="CB87" t="e">
        <f>'All regions'!A2381+"$F;@!%m5"</f>
        <v>#VALUE!</v>
      </c>
      <c r="CC87" t="e">
        <f>'All regions'!B2381+"$F;@!%m6"</f>
        <v>#VALUE!</v>
      </c>
      <c r="CD87" t="e">
        <f>'All regions'!C2381+"$F;@!%m7"</f>
        <v>#VALUE!</v>
      </c>
      <c r="CE87" t="e">
        <f>'All regions'!D2381+"$F;@!%m8"</f>
        <v>#VALUE!</v>
      </c>
      <c r="CF87" t="e">
        <f>'All regions'!E2381+"$F;@!%m9"</f>
        <v>#VALUE!</v>
      </c>
      <c r="CG87" t="e">
        <f>'All regions'!F2381+"$F;@!%m:"</f>
        <v>#VALUE!</v>
      </c>
      <c r="CH87" t="e">
        <f>'All regions'!G2381+"$F;@!%m;"</f>
        <v>#VALUE!</v>
      </c>
      <c r="CI87" t="e">
        <f>'All regions'!H2381+"$F;@!%m&lt;"</f>
        <v>#VALUE!</v>
      </c>
      <c r="CJ87" t="e">
        <f>'All regions'!I2381+"$F;@!%m="</f>
        <v>#VALUE!</v>
      </c>
      <c r="CK87" t="e">
        <f>'All regions'!A2382+"$F;@!%m&gt;"</f>
        <v>#VALUE!</v>
      </c>
      <c r="CL87" t="e">
        <f>'All regions'!B2382+"$F;@!%m?"</f>
        <v>#VALUE!</v>
      </c>
      <c r="CM87" t="e">
        <f>'All regions'!C2382+"$F;@!%m@"</f>
        <v>#VALUE!</v>
      </c>
      <c r="CN87" t="e">
        <f>'All regions'!D2382+"$F;@!%mA"</f>
        <v>#VALUE!</v>
      </c>
      <c r="CO87" t="e">
        <f>'All regions'!E2382+"$F;@!%mB"</f>
        <v>#VALUE!</v>
      </c>
      <c r="CP87" t="e">
        <f>'All regions'!F2382+"$F;@!%mC"</f>
        <v>#VALUE!</v>
      </c>
      <c r="CQ87" t="e">
        <f>'All regions'!G2382+"$F;@!%mD"</f>
        <v>#VALUE!</v>
      </c>
      <c r="CR87" t="e">
        <f>'All regions'!H2382+"$F;@!%mE"</f>
        <v>#VALUE!</v>
      </c>
      <c r="CS87" t="e">
        <f>'All regions'!I2382+"$F;@!%mF"</f>
        <v>#VALUE!</v>
      </c>
      <c r="CT87" t="e">
        <f>'All regions'!A2383+"$F;@!%mG"</f>
        <v>#VALUE!</v>
      </c>
      <c r="CU87" t="e">
        <f>'All regions'!B2383+"$F;@!%mH"</f>
        <v>#VALUE!</v>
      </c>
      <c r="CV87" t="e">
        <f>'All regions'!C2383+"$F;@!%mI"</f>
        <v>#VALUE!</v>
      </c>
      <c r="CW87" t="e">
        <f>'All regions'!D2383+"$F;@!%mJ"</f>
        <v>#VALUE!</v>
      </c>
      <c r="CX87" t="e">
        <f>'All regions'!E2383+"$F;@!%mK"</f>
        <v>#VALUE!</v>
      </c>
      <c r="CY87" t="e">
        <f>'All regions'!F2383+"$F;@!%mL"</f>
        <v>#VALUE!</v>
      </c>
      <c r="CZ87" t="e">
        <f>'All regions'!G2383+"$F;@!%mM"</f>
        <v>#VALUE!</v>
      </c>
      <c r="DA87" t="e">
        <f>'All regions'!H2383+"$F;@!%mN"</f>
        <v>#VALUE!</v>
      </c>
      <c r="DB87" t="e">
        <f>'All regions'!I2383+"$F;@!%mO"</f>
        <v>#VALUE!</v>
      </c>
      <c r="DC87" t="e">
        <f>'All regions'!A2384+"$F;@!%mP"</f>
        <v>#VALUE!</v>
      </c>
      <c r="DD87" t="e">
        <f>'All regions'!B2384+"$F;@!%mQ"</f>
        <v>#VALUE!</v>
      </c>
      <c r="DE87" t="e">
        <f>'All regions'!C2384+"$F;@!%mR"</f>
        <v>#VALUE!</v>
      </c>
      <c r="DF87" t="e">
        <f>'All regions'!D2384+"$F;@!%mS"</f>
        <v>#VALUE!</v>
      </c>
      <c r="DG87" t="e">
        <f>'All regions'!E2384+"$F;@!%mT"</f>
        <v>#VALUE!</v>
      </c>
      <c r="DH87" t="e">
        <f>'All regions'!F2384+"$F;@!%mU"</f>
        <v>#VALUE!</v>
      </c>
      <c r="DI87" t="e">
        <f>'All regions'!G2384+"$F;@!%mV"</f>
        <v>#VALUE!</v>
      </c>
      <c r="DJ87" t="e">
        <f>'All regions'!H2384+"$F;@!%mW"</f>
        <v>#VALUE!</v>
      </c>
      <c r="DK87" t="e">
        <f>'All regions'!I2384+"$F;@!%mX"</f>
        <v>#VALUE!</v>
      </c>
      <c r="DL87" t="e">
        <f>'All regions'!A2385+"$F;@!%mY"</f>
        <v>#VALUE!</v>
      </c>
      <c r="DM87" t="e">
        <f>'All regions'!B2385+"$F;@!%mZ"</f>
        <v>#VALUE!</v>
      </c>
      <c r="DN87" t="e">
        <f>'All regions'!C2385+"$F;@!%m["</f>
        <v>#VALUE!</v>
      </c>
      <c r="DO87" t="e">
        <f>'All regions'!D2385+"$F;@!%m\"</f>
        <v>#VALUE!</v>
      </c>
      <c r="DP87" t="e">
        <f>'All regions'!E2385+"$F;@!%m]"</f>
        <v>#VALUE!</v>
      </c>
      <c r="DQ87" t="e">
        <f>'All regions'!F2385+"$F;@!%m^"</f>
        <v>#VALUE!</v>
      </c>
      <c r="DR87" t="e">
        <f>'All regions'!G2385+"$F;@!%m_"</f>
        <v>#VALUE!</v>
      </c>
      <c r="DS87" t="e">
        <f>'All regions'!H2385+"$F;@!%m`"</f>
        <v>#VALUE!</v>
      </c>
      <c r="DT87" t="e">
        <f>'All regions'!I2385+"$F;@!%ma"</f>
        <v>#VALUE!</v>
      </c>
      <c r="DU87" t="e">
        <f>'All regions'!A2386+"$F;@!%mb"</f>
        <v>#VALUE!</v>
      </c>
      <c r="DV87" t="e">
        <f>'All regions'!B2386+"$F;@!%mc"</f>
        <v>#VALUE!</v>
      </c>
      <c r="DW87" t="e">
        <f>'All regions'!C2386+"$F;@!%md"</f>
        <v>#VALUE!</v>
      </c>
      <c r="DX87" t="e">
        <f>'All regions'!D2386+"$F;@!%me"</f>
        <v>#VALUE!</v>
      </c>
      <c r="DY87" t="e">
        <f>'All regions'!E2386+"$F;@!%mf"</f>
        <v>#VALUE!</v>
      </c>
      <c r="DZ87" t="e">
        <f>'All regions'!F2386+"$F;@!%mg"</f>
        <v>#VALUE!</v>
      </c>
      <c r="EA87" t="e">
        <f>'All regions'!G2386+"$F;@!%mh"</f>
        <v>#VALUE!</v>
      </c>
      <c r="EB87" t="e">
        <f>'All regions'!H2386+"$F;@!%mi"</f>
        <v>#VALUE!</v>
      </c>
      <c r="EC87" t="e">
        <f>'All regions'!I2386+"$F;@!%mj"</f>
        <v>#VALUE!</v>
      </c>
      <c r="ED87" t="e">
        <f>'All regions'!A2387+"$F;@!%mk"</f>
        <v>#VALUE!</v>
      </c>
      <c r="EE87" t="e">
        <f>'All regions'!B2387+"$F;@!%ml"</f>
        <v>#VALUE!</v>
      </c>
      <c r="EF87" t="e">
        <f>'All regions'!C2387+"$F;@!%mm"</f>
        <v>#VALUE!</v>
      </c>
      <c r="EG87" t="e">
        <f>'All regions'!D2387+"$F;@!%mn"</f>
        <v>#VALUE!</v>
      </c>
      <c r="EH87" t="e">
        <f>'All regions'!E2387+"$F;@!%mo"</f>
        <v>#VALUE!</v>
      </c>
      <c r="EI87" t="e">
        <f>'All regions'!F2387+"$F;@!%mp"</f>
        <v>#VALUE!</v>
      </c>
      <c r="EJ87" t="e">
        <f>'All regions'!G2387+"$F;@!%mq"</f>
        <v>#VALUE!</v>
      </c>
      <c r="EK87" t="e">
        <f>'All regions'!H2387+"$F;@!%mr"</f>
        <v>#VALUE!</v>
      </c>
      <c r="EL87" t="e">
        <f>'All regions'!I2387+"$F;@!%ms"</f>
        <v>#VALUE!</v>
      </c>
      <c r="EM87" t="e">
        <f>'All regions'!A2388+"$F;@!%mt"</f>
        <v>#VALUE!</v>
      </c>
      <c r="EN87" t="e">
        <f>'All regions'!B2388+"$F;@!%mu"</f>
        <v>#VALUE!</v>
      </c>
      <c r="EO87" t="e">
        <f>'All regions'!C2388+"$F;@!%mv"</f>
        <v>#VALUE!</v>
      </c>
      <c r="EP87" t="e">
        <f>'All regions'!D2388+"$F;@!%mw"</f>
        <v>#VALUE!</v>
      </c>
      <c r="EQ87" t="e">
        <f>'All regions'!E2388+"$F;@!%mx"</f>
        <v>#VALUE!</v>
      </c>
      <c r="ER87" t="e">
        <f>'All regions'!F2388+"$F;@!%my"</f>
        <v>#VALUE!</v>
      </c>
      <c r="ES87" t="e">
        <f>'All regions'!G2388+"$F;@!%mz"</f>
        <v>#VALUE!</v>
      </c>
      <c r="ET87" t="e">
        <f>'All regions'!H2388+"$F;@!%m{"</f>
        <v>#VALUE!</v>
      </c>
      <c r="EU87" t="e">
        <f>'All regions'!I2388+"$F;@!%m|"</f>
        <v>#VALUE!</v>
      </c>
      <c r="EV87" t="e">
        <f>'All regions'!A2389+"$F;@!%m}"</f>
        <v>#VALUE!</v>
      </c>
      <c r="EW87" t="e">
        <f>'All regions'!B2389+"$F;@!%m~"</f>
        <v>#VALUE!</v>
      </c>
      <c r="EX87" t="e">
        <f>'All regions'!C2389+"$F;@!%n#"</f>
        <v>#VALUE!</v>
      </c>
      <c r="EY87" t="e">
        <f>'All regions'!D2389+"$F;@!%n$"</f>
        <v>#VALUE!</v>
      </c>
      <c r="EZ87" t="e">
        <f>'All regions'!E2389+"$F;@!%n%"</f>
        <v>#VALUE!</v>
      </c>
      <c r="FA87" t="e">
        <f>'All regions'!F2389+"$F;@!%n&amp;"</f>
        <v>#VALUE!</v>
      </c>
      <c r="FB87" t="e">
        <f>'All regions'!G2389+"$F;@!%n'"</f>
        <v>#VALUE!</v>
      </c>
      <c r="FC87" t="e">
        <f>'All regions'!H2389+"$F;@!%n("</f>
        <v>#VALUE!</v>
      </c>
      <c r="FD87" t="e">
        <f>'All regions'!I2389+"$F;@!%n)"</f>
        <v>#VALUE!</v>
      </c>
      <c r="FE87" t="e">
        <f>'All regions'!A2390+"$F;@!%n."</f>
        <v>#VALUE!</v>
      </c>
      <c r="FF87" t="e">
        <f>'All regions'!B2390+"$F;@!%n/"</f>
        <v>#VALUE!</v>
      </c>
      <c r="FG87" t="e">
        <f>'All regions'!C2390+"$F;@!%n0"</f>
        <v>#VALUE!</v>
      </c>
      <c r="FH87" t="e">
        <f>'All regions'!D2390+"$F;@!%n1"</f>
        <v>#VALUE!</v>
      </c>
      <c r="FI87" t="e">
        <f>'All regions'!E2390+"$F;@!%n2"</f>
        <v>#VALUE!</v>
      </c>
      <c r="FJ87" t="e">
        <f>'All regions'!F2390+"$F;@!%n3"</f>
        <v>#VALUE!</v>
      </c>
      <c r="FK87" t="e">
        <f>'All regions'!G2390+"$F;@!%n4"</f>
        <v>#VALUE!</v>
      </c>
      <c r="FL87" t="e">
        <f>'All regions'!H2390+"$F;@!%n5"</f>
        <v>#VALUE!</v>
      </c>
      <c r="FM87" t="e">
        <f>'All regions'!I2390+"$F;@!%n6"</f>
        <v>#VALUE!</v>
      </c>
      <c r="FN87" t="e">
        <f>'All regions'!A2391+"$F;@!%n7"</f>
        <v>#VALUE!</v>
      </c>
      <c r="FO87" t="e">
        <f>'All regions'!B2391+"$F;@!%n8"</f>
        <v>#VALUE!</v>
      </c>
      <c r="FP87" t="e">
        <f>'All regions'!C2391+"$F;@!%n9"</f>
        <v>#VALUE!</v>
      </c>
      <c r="FQ87" t="e">
        <f>'All regions'!D2391+"$F;@!%n:"</f>
        <v>#VALUE!</v>
      </c>
      <c r="FR87" t="e">
        <f>'All regions'!E2391+"$F;@!%n;"</f>
        <v>#VALUE!</v>
      </c>
      <c r="FS87" t="e">
        <f>'All regions'!F2391+"$F;@!%n&lt;"</f>
        <v>#VALUE!</v>
      </c>
      <c r="FT87" t="e">
        <f>'All regions'!G2391+"$F;@!%n="</f>
        <v>#VALUE!</v>
      </c>
      <c r="FU87" t="e">
        <f>'All regions'!H2391+"$F;@!%n&gt;"</f>
        <v>#VALUE!</v>
      </c>
      <c r="FV87" t="e">
        <f>'All regions'!I2391+"$F;@!%n?"</f>
        <v>#VALUE!</v>
      </c>
      <c r="FW87" t="e">
        <f>'All regions'!A2392+"$F;@!%n@"</f>
        <v>#VALUE!</v>
      </c>
      <c r="FX87" t="e">
        <f>'All regions'!B2392+"$F;@!%nA"</f>
        <v>#VALUE!</v>
      </c>
      <c r="FY87" t="e">
        <f>'All regions'!C2392+"$F;@!%nB"</f>
        <v>#VALUE!</v>
      </c>
      <c r="FZ87" t="e">
        <f>'All regions'!D2392+"$F;@!%nC"</f>
        <v>#VALUE!</v>
      </c>
      <c r="GA87" t="e">
        <f>'All regions'!E2392+"$F;@!%nD"</f>
        <v>#VALUE!</v>
      </c>
      <c r="GB87" t="e">
        <f>'All regions'!F2392+"$F;@!%nE"</f>
        <v>#VALUE!</v>
      </c>
      <c r="GC87" t="e">
        <f>'All regions'!G2392+"$F;@!%nF"</f>
        <v>#VALUE!</v>
      </c>
      <c r="GD87" t="e">
        <f>'All regions'!H2392+"$F;@!%nG"</f>
        <v>#VALUE!</v>
      </c>
      <c r="GE87" t="e">
        <f>'All regions'!I2392+"$F;@!%nH"</f>
        <v>#VALUE!</v>
      </c>
      <c r="GF87" t="e">
        <f>'All regions'!A2393+"$F;@!%nI"</f>
        <v>#VALUE!</v>
      </c>
      <c r="GG87" t="e">
        <f>'All regions'!B2393+"$F;@!%nJ"</f>
        <v>#VALUE!</v>
      </c>
      <c r="GH87" t="e">
        <f>'All regions'!C2393+"$F;@!%nK"</f>
        <v>#VALUE!</v>
      </c>
      <c r="GI87" t="e">
        <f>'All regions'!D2393+"$F;@!%nL"</f>
        <v>#VALUE!</v>
      </c>
      <c r="GJ87" t="e">
        <f>'All regions'!E2393+"$F;@!%nM"</f>
        <v>#VALUE!</v>
      </c>
      <c r="GK87" t="e">
        <f>'All regions'!F2393+"$F;@!%nN"</f>
        <v>#VALUE!</v>
      </c>
      <c r="GL87" t="e">
        <f>'All regions'!G2393+"$F;@!%nO"</f>
        <v>#VALUE!</v>
      </c>
      <c r="GM87" t="e">
        <f>'All regions'!H2393+"$F;@!%nP"</f>
        <v>#VALUE!</v>
      </c>
      <c r="GN87" t="e">
        <f>'All regions'!I2393+"$F;@!%nQ"</f>
        <v>#VALUE!</v>
      </c>
      <c r="GO87" t="e">
        <f>'All regions'!A2394+"$F;@!%nR"</f>
        <v>#VALUE!</v>
      </c>
      <c r="GP87" t="e">
        <f>'All regions'!B2394+"$F;@!%nS"</f>
        <v>#VALUE!</v>
      </c>
      <c r="GQ87" t="e">
        <f>'All regions'!C2394+"$F;@!%nT"</f>
        <v>#VALUE!</v>
      </c>
      <c r="GR87" t="e">
        <f>'All regions'!D2394+"$F;@!%nU"</f>
        <v>#VALUE!</v>
      </c>
      <c r="GS87" t="e">
        <f>'All regions'!E2394+"$F;@!%nV"</f>
        <v>#VALUE!</v>
      </c>
      <c r="GT87" t="e">
        <f>'All regions'!F2394+"$F;@!%nW"</f>
        <v>#VALUE!</v>
      </c>
      <c r="GU87" t="e">
        <f>'All regions'!G2394+"$F;@!%nX"</f>
        <v>#VALUE!</v>
      </c>
      <c r="GV87" t="e">
        <f>'All regions'!H2394+"$F;@!%nY"</f>
        <v>#VALUE!</v>
      </c>
      <c r="GW87" t="e">
        <f>'All regions'!I2394+"$F;@!%nZ"</f>
        <v>#VALUE!</v>
      </c>
      <c r="GX87" t="e">
        <f>'All regions'!A2395+"$F;@!%n["</f>
        <v>#VALUE!</v>
      </c>
      <c r="GY87" t="e">
        <f>'All regions'!B2395+"$F;@!%n\"</f>
        <v>#VALUE!</v>
      </c>
      <c r="GZ87" t="e">
        <f>'All regions'!C2395+"$F;@!%n]"</f>
        <v>#VALUE!</v>
      </c>
      <c r="HA87" t="e">
        <f>'All regions'!D2395+"$F;@!%n^"</f>
        <v>#VALUE!</v>
      </c>
      <c r="HB87" t="e">
        <f>'All regions'!E2395+"$F;@!%n_"</f>
        <v>#VALUE!</v>
      </c>
      <c r="HC87" t="e">
        <f>'All regions'!F2395+"$F;@!%n`"</f>
        <v>#VALUE!</v>
      </c>
      <c r="HD87" t="e">
        <f>'All regions'!G2395+"$F;@!%na"</f>
        <v>#VALUE!</v>
      </c>
      <c r="HE87" t="e">
        <f>'All regions'!H2395+"$F;@!%nb"</f>
        <v>#VALUE!</v>
      </c>
      <c r="HF87" t="e">
        <f>'All regions'!I2395+"$F;@!%nc"</f>
        <v>#VALUE!</v>
      </c>
      <c r="HG87" t="e">
        <f>'All regions'!A2396+"$F;@!%nd"</f>
        <v>#VALUE!</v>
      </c>
      <c r="HH87" t="e">
        <f>'All regions'!B2396+"$F;@!%ne"</f>
        <v>#VALUE!</v>
      </c>
      <c r="HI87" t="e">
        <f>'All regions'!C2396+"$F;@!%nf"</f>
        <v>#VALUE!</v>
      </c>
      <c r="HJ87" t="e">
        <f>'All regions'!D2396+"$F;@!%ng"</f>
        <v>#VALUE!</v>
      </c>
      <c r="HK87" t="e">
        <f>'All regions'!E2396+"$F;@!%nh"</f>
        <v>#VALUE!</v>
      </c>
      <c r="HL87" t="e">
        <f>'All regions'!F2396+"$F;@!%ni"</f>
        <v>#VALUE!</v>
      </c>
      <c r="HM87" t="e">
        <f>'All regions'!G2396+"$F;@!%nj"</f>
        <v>#VALUE!</v>
      </c>
      <c r="HN87" t="e">
        <f>'All regions'!H2396+"$F;@!%nk"</f>
        <v>#VALUE!</v>
      </c>
      <c r="HO87" t="e">
        <f>'All regions'!I2396+"$F;@!%nl"</f>
        <v>#VALUE!</v>
      </c>
      <c r="HP87" t="e">
        <f>'All regions'!A2397+"$F;@!%nm"</f>
        <v>#VALUE!</v>
      </c>
      <c r="HQ87" t="e">
        <f>'All regions'!B2397+"$F;@!%nn"</f>
        <v>#VALUE!</v>
      </c>
      <c r="HR87" t="e">
        <f>'All regions'!C2397+"$F;@!%no"</f>
        <v>#VALUE!</v>
      </c>
      <c r="HS87" t="e">
        <f>'All regions'!D2397+"$F;@!%np"</f>
        <v>#VALUE!</v>
      </c>
      <c r="HT87" t="e">
        <f>'All regions'!E2397+"$F;@!%nq"</f>
        <v>#VALUE!</v>
      </c>
      <c r="HU87" t="e">
        <f>'All regions'!F2397+"$F;@!%nr"</f>
        <v>#VALUE!</v>
      </c>
      <c r="HV87" t="e">
        <f>'All regions'!G2397+"$F;@!%ns"</f>
        <v>#VALUE!</v>
      </c>
      <c r="HW87" t="e">
        <f>'All regions'!H2397+"$F;@!%nt"</f>
        <v>#VALUE!</v>
      </c>
      <c r="HX87" t="e">
        <f>'All regions'!I2397+"$F;@!%nu"</f>
        <v>#VALUE!</v>
      </c>
      <c r="HY87" t="e">
        <f>'All regions'!A2398+"$F;@!%nv"</f>
        <v>#VALUE!</v>
      </c>
      <c r="HZ87" t="e">
        <f>'All regions'!B2398+"$F;@!%nw"</f>
        <v>#VALUE!</v>
      </c>
      <c r="IA87" t="e">
        <f>'All regions'!C2398+"$F;@!%nx"</f>
        <v>#VALUE!</v>
      </c>
      <c r="IB87" t="e">
        <f>'All regions'!D2398+"$F;@!%ny"</f>
        <v>#VALUE!</v>
      </c>
      <c r="IC87" t="e">
        <f>'All regions'!E2398+"$F;@!%nz"</f>
        <v>#VALUE!</v>
      </c>
      <c r="ID87" t="e">
        <f>'All regions'!F2398+"$F;@!%n{"</f>
        <v>#VALUE!</v>
      </c>
      <c r="IE87" t="e">
        <f>'All regions'!G2398+"$F;@!%n|"</f>
        <v>#VALUE!</v>
      </c>
      <c r="IF87" t="e">
        <f>'All regions'!H2398+"$F;@!%n}"</f>
        <v>#VALUE!</v>
      </c>
      <c r="IG87" t="e">
        <f>'All regions'!I2398+"$F;@!%n~"</f>
        <v>#VALUE!</v>
      </c>
      <c r="IH87" t="e">
        <f>'All regions'!A2399+"$F;@!%o#"</f>
        <v>#VALUE!</v>
      </c>
      <c r="II87" t="e">
        <f>'All regions'!B2399+"$F;@!%o$"</f>
        <v>#VALUE!</v>
      </c>
      <c r="IJ87" t="e">
        <f>'All regions'!C2399+"$F;@!%o%"</f>
        <v>#VALUE!</v>
      </c>
      <c r="IK87" t="e">
        <f>'All regions'!D2399+"$F;@!%o&amp;"</f>
        <v>#VALUE!</v>
      </c>
      <c r="IL87" t="e">
        <f>'All regions'!E2399+"$F;@!%o'"</f>
        <v>#VALUE!</v>
      </c>
      <c r="IM87" t="e">
        <f>'All regions'!F2399+"$F;@!%o("</f>
        <v>#VALUE!</v>
      </c>
      <c r="IN87" t="e">
        <f>'All regions'!G2399+"$F;@!%o)"</f>
        <v>#VALUE!</v>
      </c>
      <c r="IO87" t="e">
        <f>'All regions'!H2399+"$F;@!%o."</f>
        <v>#VALUE!</v>
      </c>
      <c r="IP87" t="e">
        <f>'All regions'!I2399+"$F;@!%o/"</f>
        <v>#VALUE!</v>
      </c>
      <c r="IQ87" t="e">
        <f>'All regions'!A2400+"$F;@!%o0"</f>
        <v>#VALUE!</v>
      </c>
      <c r="IR87" t="e">
        <f>'All regions'!B2400+"$F;@!%o1"</f>
        <v>#VALUE!</v>
      </c>
      <c r="IS87" t="e">
        <f>'All regions'!C2400+"$F;@!%o2"</f>
        <v>#VALUE!</v>
      </c>
      <c r="IT87" t="e">
        <f>'All regions'!D2400+"$F;@!%o3"</f>
        <v>#VALUE!</v>
      </c>
      <c r="IU87" t="e">
        <f>'All regions'!E2400+"$F;@!%o4"</f>
        <v>#VALUE!</v>
      </c>
      <c r="IV87" t="e">
        <f>'All regions'!F2400+"$F;@!%o5"</f>
        <v>#VALUE!</v>
      </c>
    </row>
    <row r="88" spans="6:256" x14ac:dyDescent="0.35">
      <c r="F88" t="e">
        <f>'All regions'!G2400+"$F;@!%o6"</f>
        <v>#VALUE!</v>
      </c>
      <c r="G88" t="e">
        <f>'All regions'!H2400+"$F;@!%o7"</f>
        <v>#VALUE!</v>
      </c>
      <c r="H88" t="e">
        <f>'All regions'!I2400+"$F;@!%o8"</f>
        <v>#VALUE!</v>
      </c>
      <c r="I88" t="e">
        <f>'All regions'!A2401+"$F;@!%o9"</f>
        <v>#VALUE!</v>
      </c>
      <c r="J88" t="e">
        <f>'All regions'!B2401+"$F;@!%o:"</f>
        <v>#VALUE!</v>
      </c>
      <c r="K88" t="e">
        <f>'All regions'!C2401+"$F;@!%o;"</f>
        <v>#VALUE!</v>
      </c>
      <c r="L88" t="e">
        <f>'All regions'!D2401+"$F;@!%o&lt;"</f>
        <v>#VALUE!</v>
      </c>
      <c r="M88" t="e">
        <f>'All regions'!E2401+"$F;@!%o="</f>
        <v>#VALUE!</v>
      </c>
      <c r="N88" t="e">
        <f>'All regions'!F2401+"$F;@!%o&gt;"</f>
        <v>#VALUE!</v>
      </c>
      <c r="O88" t="e">
        <f>'All regions'!G2401+"$F;@!%o?"</f>
        <v>#VALUE!</v>
      </c>
      <c r="P88" t="e">
        <f>'All regions'!H2401+"$F;@!%o@"</f>
        <v>#VALUE!</v>
      </c>
      <c r="Q88" t="e">
        <f>'All regions'!I2401+"$F;@!%oA"</f>
        <v>#VALUE!</v>
      </c>
      <c r="R88" t="e">
        <f>'All regions'!A2402+"$F;@!%oB"</f>
        <v>#VALUE!</v>
      </c>
      <c r="S88" t="e">
        <f>'All regions'!B2402+"$F;@!%oC"</f>
        <v>#VALUE!</v>
      </c>
      <c r="T88" t="e">
        <f>'All regions'!C2402+"$F;@!%oD"</f>
        <v>#VALUE!</v>
      </c>
      <c r="U88" t="e">
        <f>'All regions'!D2402+"$F;@!%oE"</f>
        <v>#VALUE!</v>
      </c>
      <c r="V88" t="e">
        <f>'All regions'!E2402+"$F;@!%oF"</f>
        <v>#VALUE!</v>
      </c>
      <c r="W88" t="e">
        <f>'All regions'!F2402+"$F;@!%oG"</f>
        <v>#VALUE!</v>
      </c>
      <c r="X88" t="e">
        <f>'All regions'!G2402+"$F;@!%oH"</f>
        <v>#VALUE!</v>
      </c>
      <c r="Y88" t="e">
        <f>'All regions'!H2402+"$F;@!%oI"</f>
        <v>#VALUE!</v>
      </c>
      <c r="Z88" t="e">
        <f>'All regions'!I2402+"$F;@!%oJ"</f>
        <v>#VALUE!</v>
      </c>
      <c r="AA88" t="e">
        <f>'All regions'!A2403+"$F;@!%oK"</f>
        <v>#VALUE!</v>
      </c>
      <c r="AB88" t="e">
        <f>'All regions'!B2403+"$F;@!%oL"</f>
        <v>#VALUE!</v>
      </c>
      <c r="AC88" t="e">
        <f>'All regions'!C2403+"$F;@!%oM"</f>
        <v>#VALUE!</v>
      </c>
      <c r="AD88" t="e">
        <f>'All regions'!D2403+"$F;@!%oN"</f>
        <v>#VALUE!</v>
      </c>
      <c r="AE88" t="e">
        <f>'All regions'!E2403+"$F;@!%oO"</f>
        <v>#VALUE!</v>
      </c>
      <c r="AF88" t="e">
        <f>'All regions'!F2403+"$F;@!%oP"</f>
        <v>#VALUE!</v>
      </c>
      <c r="AG88" t="e">
        <f>'All regions'!G2403+"$F;@!%oQ"</f>
        <v>#VALUE!</v>
      </c>
      <c r="AH88" t="e">
        <f>'All regions'!H2403+"$F;@!%oR"</f>
        <v>#VALUE!</v>
      </c>
      <c r="AI88" t="e">
        <f>'All regions'!I2403+"$F;@!%oS"</f>
        <v>#VALUE!</v>
      </c>
      <c r="AJ88" t="e">
        <f>'All regions'!A2404+"$F;@!%oT"</f>
        <v>#VALUE!</v>
      </c>
      <c r="AK88" t="e">
        <f>'All regions'!B2404+"$F;@!%oU"</f>
        <v>#VALUE!</v>
      </c>
      <c r="AL88" t="e">
        <f>'All regions'!C2404+"$F;@!%oV"</f>
        <v>#VALUE!</v>
      </c>
      <c r="AM88" t="e">
        <f>'All regions'!D2404+"$F;@!%oW"</f>
        <v>#VALUE!</v>
      </c>
      <c r="AN88" t="e">
        <f>'All regions'!E2404+"$F;@!%oX"</f>
        <v>#VALUE!</v>
      </c>
      <c r="AO88" t="e">
        <f>'All regions'!F2404+"$F;@!%oY"</f>
        <v>#VALUE!</v>
      </c>
      <c r="AP88" t="e">
        <f>'All regions'!G2404+"$F;@!%oZ"</f>
        <v>#VALUE!</v>
      </c>
      <c r="AQ88" t="e">
        <f>'All regions'!H2404+"$F;@!%o["</f>
        <v>#VALUE!</v>
      </c>
      <c r="AR88" t="e">
        <f>'All regions'!I2404+"$F;@!%o\"</f>
        <v>#VALUE!</v>
      </c>
      <c r="AS88" t="e">
        <f>'All regions'!A2405+"$F;@!%o]"</f>
        <v>#VALUE!</v>
      </c>
      <c r="AT88" t="e">
        <f>'All regions'!B2405+"$F;@!%o^"</f>
        <v>#VALUE!</v>
      </c>
      <c r="AU88" t="e">
        <f>'All regions'!C2405+"$F;@!%o_"</f>
        <v>#VALUE!</v>
      </c>
      <c r="AV88" t="e">
        <f>'All regions'!D2405+"$F;@!%o`"</f>
        <v>#VALUE!</v>
      </c>
      <c r="AW88" t="e">
        <f>'All regions'!E2405+"$F;@!%oa"</f>
        <v>#VALUE!</v>
      </c>
      <c r="AX88" t="e">
        <f>'All regions'!F2405+"$F;@!%ob"</f>
        <v>#VALUE!</v>
      </c>
      <c r="AY88" t="e">
        <f>'All regions'!G2405+"$F;@!%oc"</f>
        <v>#VALUE!</v>
      </c>
      <c r="AZ88" t="e">
        <f>'All regions'!H2405+"$F;@!%od"</f>
        <v>#VALUE!</v>
      </c>
      <c r="BA88" t="e">
        <f>'All regions'!I2405+"$F;@!%oe"</f>
        <v>#VALUE!</v>
      </c>
      <c r="BB88" t="e">
        <f>'All regions'!A2406+"$F;@!%of"</f>
        <v>#VALUE!</v>
      </c>
      <c r="BC88" t="e">
        <f>'All regions'!B2406+"$F;@!%og"</f>
        <v>#VALUE!</v>
      </c>
      <c r="BD88" t="e">
        <f>'All regions'!C2406+"$F;@!%oh"</f>
        <v>#VALUE!</v>
      </c>
      <c r="BE88" t="e">
        <f>'All regions'!D2406+"$F;@!%oi"</f>
        <v>#VALUE!</v>
      </c>
      <c r="BF88" t="e">
        <f>'All regions'!E2406+"$F;@!%oj"</f>
        <v>#VALUE!</v>
      </c>
      <c r="BG88" t="e">
        <f>'All regions'!F2406+"$F;@!%ok"</f>
        <v>#VALUE!</v>
      </c>
      <c r="BH88" t="e">
        <f>'All regions'!G2406+"$F;@!%ol"</f>
        <v>#VALUE!</v>
      </c>
      <c r="BI88" t="e">
        <f>'All regions'!H2406+"$F;@!%om"</f>
        <v>#VALUE!</v>
      </c>
      <c r="BJ88" t="e">
        <f>'All regions'!I2406+"$F;@!%on"</f>
        <v>#VALUE!</v>
      </c>
      <c r="BK88" t="e">
        <f>'All regions'!A2407+"$F;@!%oo"</f>
        <v>#VALUE!</v>
      </c>
      <c r="BL88" t="e">
        <f>'All regions'!B2407+"$F;@!%op"</f>
        <v>#VALUE!</v>
      </c>
      <c r="BM88" t="e">
        <f>'All regions'!C2407+"$F;@!%oq"</f>
        <v>#VALUE!</v>
      </c>
      <c r="BN88" t="e">
        <f>'All regions'!D2407+"$F;@!%or"</f>
        <v>#VALUE!</v>
      </c>
      <c r="BO88" t="e">
        <f>'All regions'!E2407+"$F;@!%os"</f>
        <v>#VALUE!</v>
      </c>
      <c r="BP88" t="e">
        <f>'All regions'!F2407+"$F;@!%ot"</f>
        <v>#VALUE!</v>
      </c>
      <c r="BQ88" t="e">
        <f>'All regions'!G2407+"$F;@!%ou"</f>
        <v>#VALUE!</v>
      </c>
      <c r="BR88" t="e">
        <f>'All regions'!H2407+"$F;@!%ov"</f>
        <v>#VALUE!</v>
      </c>
      <c r="BS88" t="e">
        <f>'All regions'!I2407+"$F;@!%ow"</f>
        <v>#VALUE!</v>
      </c>
      <c r="BT88" t="e">
        <f>'All regions'!A2408+"$F;@!%ox"</f>
        <v>#VALUE!</v>
      </c>
      <c r="BU88" t="e">
        <f>'All regions'!B2408+"$F;@!%oy"</f>
        <v>#VALUE!</v>
      </c>
      <c r="BV88" t="e">
        <f>'All regions'!C2408+"$F;@!%oz"</f>
        <v>#VALUE!</v>
      </c>
      <c r="BW88" t="e">
        <f>'All regions'!D2408+"$F;@!%o{"</f>
        <v>#VALUE!</v>
      </c>
      <c r="BX88" t="e">
        <f>'All regions'!E2408+"$F;@!%o|"</f>
        <v>#VALUE!</v>
      </c>
      <c r="BY88" t="e">
        <f>'All regions'!F2408+"$F;@!%o}"</f>
        <v>#VALUE!</v>
      </c>
      <c r="BZ88" t="e">
        <f>'All regions'!G2408+"$F;@!%o~"</f>
        <v>#VALUE!</v>
      </c>
      <c r="CA88" t="e">
        <f>'All regions'!H2408+"$F;@!%p#"</f>
        <v>#VALUE!</v>
      </c>
      <c r="CB88" t="e">
        <f>'All regions'!I2408+"$F;@!%p$"</f>
        <v>#VALUE!</v>
      </c>
      <c r="CC88" t="e">
        <f>'All regions'!A2409+"$F;@!%p%"</f>
        <v>#VALUE!</v>
      </c>
      <c r="CD88" t="e">
        <f>'All regions'!B2409+"$F;@!%p&amp;"</f>
        <v>#VALUE!</v>
      </c>
      <c r="CE88" t="e">
        <f>'All regions'!C2409+"$F;@!%p'"</f>
        <v>#VALUE!</v>
      </c>
      <c r="CF88" t="e">
        <f>'All regions'!D2409+"$F;@!%p("</f>
        <v>#VALUE!</v>
      </c>
      <c r="CG88" t="e">
        <f>'All regions'!E2409+"$F;@!%p)"</f>
        <v>#VALUE!</v>
      </c>
      <c r="CH88" t="e">
        <f>'All regions'!F2409+"$F;@!%p."</f>
        <v>#VALUE!</v>
      </c>
      <c r="CI88" t="e">
        <f>'All regions'!G2409+"$F;@!%p/"</f>
        <v>#VALUE!</v>
      </c>
      <c r="CJ88" t="e">
        <f>'All regions'!H2409+"$F;@!%p0"</f>
        <v>#VALUE!</v>
      </c>
      <c r="CK88" t="e">
        <f>'All regions'!I2409+"$F;@!%p1"</f>
        <v>#VALUE!</v>
      </c>
      <c r="CL88" t="e">
        <f>'All regions'!A2410+"$F;@!%p2"</f>
        <v>#VALUE!</v>
      </c>
      <c r="CM88" t="e">
        <f>'All regions'!B2410+"$F;@!%p3"</f>
        <v>#VALUE!</v>
      </c>
      <c r="CN88" t="e">
        <f>'All regions'!C2410+"$F;@!%p4"</f>
        <v>#VALUE!</v>
      </c>
      <c r="CO88" t="e">
        <f>'All regions'!D2410+"$F;@!%p5"</f>
        <v>#VALUE!</v>
      </c>
      <c r="CP88" t="e">
        <f>'All regions'!E2410+"$F;@!%p6"</f>
        <v>#VALUE!</v>
      </c>
      <c r="CQ88" t="e">
        <f>'All regions'!F2410+"$F;@!%p7"</f>
        <v>#VALUE!</v>
      </c>
      <c r="CR88" t="e">
        <f>'All regions'!G2410+"$F;@!%p8"</f>
        <v>#VALUE!</v>
      </c>
      <c r="CS88" t="e">
        <f>'All regions'!H2410+"$F;@!%p9"</f>
        <v>#VALUE!</v>
      </c>
      <c r="CT88" t="e">
        <f>'All regions'!I2410+"$F;@!%p:"</f>
        <v>#VALUE!</v>
      </c>
      <c r="CU88" t="e">
        <f>'All regions'!A2411+"$F;@!%p;"</f>
        <v>#VALUE!</v>
      </c>
      <c r="CV88" t="e">
        <f>'All regions'!B2411+"$F;@!%p&lt;"</f>
        <v>#VALUE!</v>
      </c>
      <c r="CW88" t="e">
        <f>'All regions'!C2411+"$F;@!%p="</f>
        <v>#VALUE!</v>
      </c>
      <c r="CX88" t="e">
        <f>'All regions'!D2411+"$F;@!%p&gt;"</f>
        <v>#VALUE!</v>
      </c>
      <c r="CY88" t="e">
        <f>'All regions'!E2411+"$F;@!%p?"</f>
        <v>#VALUE!</v>
      </c>
      <c r="CZ88" t="e">
        <f>'All regions'!F2411+"$F;@!%p@"</f>
        <v>#VALUE!</v>
      </c>
      <c r="DA88" t="e">
        <f>'All regions'!G2411+"$F;@!%pA"</f>
        <v>#VALUE!</v>
      </c>
      <c r="DB88" t="e">
        <f>'All regions'!H2411+"$F;@!%pB"</f>
        <v>#VALUE!</v>
      </c>
      <c r="DC88" t="e">
        <f>'All regions'!I2411+"$F;@!%pC"</f>
        <v>#VALUE!</v>
      </c>
      <c r="DD88" t="e">
        <f>'All regions'!A2412+"$F;@!%pD"</f>
        <v>#VALUE!</v>
      </c>
      <c r="DE88" t="e">
        <f>'All regions'!B2412+"$F;@!%pE"</f>
        <v>#VALUE!</v>
      </c>
      <c r="DF88" t="e">
        <f>'All regions'!C2412+"$F;@!%pF"</f>
        <v>#VALUE!</v>
      </c>
      <c r="DG88" t="e">
        <f>'All regions'!D2412+"$F;@!%pG"</f>
        <v>#VALUE!</v>
      </c>
      <c r="DH88" t="e">
        <f>'All regions'!E2412+"$F;@!%pH"</f>
        <v>#VALUE!</v>
      </c>
      <c r="DI88" t="e">
        <f>'All regions'!F2412+"$F;@!%pI"</f>
        <v>#VALUE!</v>
      </c>
      <c r="DJ88" t="e">
        <f>'All regions'!G2412+"$F;@!%pJ"</f>
        <v>#VALUE!</v>
      </c>
      <c r="DK88" t="e">
        <f>'All regions'!H2412+"$F;@!%pK"</f>
        <v>#VALUE!</v>
      </c>
      <c r="DL88" t="e">
        <f>'All regions'!I2412+"$F;@!%pL"</f>
        <v>#VALUE!</v>
      </c>
      <c r="DM88" t="e">
        <f>'All regions'!A2413+"$F;@!%pM"</f>
        <v>#VALUE!</v>
      </c>
      <c r="DN88" t="e">
        <f>'All regions'!B2413+"$F;@!%pN"</f>
        <v>#VALUE!</v>
      </c>
      <c r="DO88" t="e">
        <f>'All regions'!C2413+"$F;@!%pO"</f>
        <v>#VALUE!</v>
      </c>
      <c r="DP88" t="e">
        <f>'All regions'!D2413+"$F;@!%pP"</f>
        <v>#VALUE!</v>
      </c>
      <c r="DQ88" t="e">
        <f>'All regions'!E2413+"$F;@!%pQ"</f>
        <v>#VALUE!</v>
      </c>
      <c r="DR88" t="e">
        <f>'All regions'!F2413+"$F;@!%pR"</f>
        <v>#VALUE!</v>
      </c>
      <c r="DS88" t="e">
        <f>'All regions'!G2413+"$F;@!%pS"</f>
        <v>#VALUE!</v>
      </c>
      <c r="DT88" t="e">
        <f>'All regions'!H2413+"$F;@!%pT"</f>
        <v>#VALUE!</v>
      </c>
      <c r="DU88" t="e">
        <f>'All regions'!I2413+"$F;@!%pU"</f>
        <v>#VALUE!</v>
      </c>
      <c r="DV88" t="e">
        <f>'All regions'!A2414+"$F;@!%pV"</f>
        <v>#VALUE!</v>
      </c>
      <c r="DW88" t="e">
        <f>'All regions'!B2414+"$F;@!%pW"</f>
        <v>#VALUE!</v>
      </c>
      <c r="DX88" t="e">
        <f>'All regions'!C2414+"$F;@!%pX"</f>
        <v>#VALUE!</v>
      </c>
      <c r="DY88" t="e">
        <f>'All regions'!D2414+"$F;@!%pY"</f>
        <v>#VALUE!</v>
      </c>
      <c r="DZ88" t="e">
        <f>'All regions'!E2414+"$F;@!%pZ"</f>
        <v>#VALUE!</v>
      </c>
      <c r="EA88" t="e">
        <f>'All regions'!F2414+"$F;@!%p["</f>
        <v>#VALUE!</v>
      </c>
      <c r="EB88" t="e">
        <f>'All regions'!G2414+"$F;@!%p\"</f>
        <v>#VALUE!</v>
      </c>
      <c r="EC88" t="e">
        <f>'All regions'!H2414+"$F;@!%p]"</f>
        <v>#VALUE!</v>
      </c>
      <c r="ED88" t="e">
        <f>'All regions'!I2414+"$F;@!%p^"</f>
        <v>#VALUE!</v>
      </c>
      <c r="EE88" t="e">
        <f>'All regions'!A2415+"$F;@!%p_"</f>
        <v>#VALUE!</v>
      </c>
      <c r="EF88" t="e">
        <f>'All regions'!B2415+"$F;@!%p`"</f>
        <v>#VALUE!</v>
      </c>
      <c r="EG88" t="e">
        <f>'All regions'!C2415+"$F;@!%pa"</f>
        <v>#VALUE!</v>
      </c>
      <c r="EH88" t="e">
        <f>'All regions'!D2415+"$F;@!%pb"</f>
        <v>#VALUE!</v>
      </c>
      <c r="EI88" t="e">
        <f>'All regions'!E2415+"$F;@!%pc"</f>
        <v>#VALUE!</v>
      </c>
      <c r="EJ88" t="e">
        <f>'All regions'!F2415+"$F;@!%pd"</f>
        <v>#VALUE!</v>
      </c>
      <c r="EK88" t="e">
        <f>'All regions'!G2415+"$F;@!%pe"</f>
        <v>#VALUE!</v>
      </c>
      <c r="EL88" t="e">
        <f>'All regions'!H2415+"$F;@!%pf"</f>
        <v>#VALUE!</v>
      </c>
      <c r="EM88" t="e">
        <f>'All regions'!I2415+"$F;@!%pg"</f>
        <v>#VALUE!</v>
      </c>
      <c r="EN88" t="e">
        <f>'All regions'!A2416+"$F;@!%ph"</f>
        <v>#VALUE!</v>
      </c>
      <c r="EO88" t="e">
        <f>'All regions'!B2416+"$F;@!%pi"</f>
        <v>#VALUE!</v>
      </c>
      <c r="EP88" t="e">
        <f>'All regions'!C2416+"$F;@!%pj"</f>
        <v>#VALUE!</v>
      </c>
      <c r="EQ88" t="e">
        <f>'All regions'!D2416+"$F;@!%pk"</f>
        <v>#VALUE!</v>
      </c>
      <c r="ER88" t="e">
        <f>'All regions'!E2416+"$F;@!%pl"</f>
        <v>#VALUE!</v>
      </c>
      <c r="ES88" t="e">
        <f>'All regions'!F2416+"$F;@!%pm"</f>
        <v>#VALUE!</v>
      </c>
      <c r="ET88" t="e">
        <f>'All regions'!G2416+"$F;@!%pn"</f>
        <v>#VALUE!</v>
      </c>
      <c r="EU88" t="e">
        <f>'All regions'!H2416+"$F;@!%po"</f>
        <v>#VALUE!</v>
      </c>
      <c r="EV88" t="e">
        <f>'All regions'!I2416+"$F;@!%pp"</f>
        <v>#VALUE!</v>
      </c>
      <c r="EW88" t="e">
        <f>'All regions'!A2417+"$F;@!%pq"</f>
        <v>#VALUE!</v>
      </c>
      <c r="EX88" t="e">
        <f>'All regions'!B2417+"$F;@!%pr"</f>
        <v>#VALUE!</v>
      </c>
      <c r="EY88" t="e">
        <f>'All regions'!C2417+"$F;@!%ps"</f>
        <v>#VALUE!</v>
      </c>
      <c r="EZ88" t="e">
        <f>'All regions'!D2417+"$F;@!%pt"</f>
        <v>#VALUE!</v>
      </c>
      <c r="FA88" t="e">
        <f>'All regions'!E2417+"$F;@!%pu"</f>
        <v>#VALUE!</v>
      </c>
      <c r="FB88" t="e">
        <f>'All regions'!F2417+"$F;@!%pv"</f>
        <v>#VALUE!</v>
      </c>
      <c r="FC88" t="e">
        <f>'All regions'!G2417+"$F;@!%pw"</f>
        <v>#VALUE!</v>
      </c>
      <c r="FD88" t="e">
        <f>'All regions'!H2417+"$F;@!%px"</f>
        <v>#VALUE!</v>
      </c>
      <c r="FE88" t="e">
        <f>'All regions'!I2417+"$F;@!%py"</f>
        <v>#VALUE!</v>
      </c>
      <c r="FF88" t="e">
        <f>'All regions'!A2418+"$F;@!%pz"</f>
        <v>#VALUE!</v>
      </c>
      <c r="FG88" t="e">
        <f>'All regions'!B2418+"$F;@!%p{"</f>
        <v>#VALUE!</v>
      </c>
      <c r="FH88" t="e">
        <f>'All regions'!C2418+"$F;@!%p|"</f>
        <v>#VALUE!</v>
      </c>
      <c r="FI88" t="e">
        <f>'All regions'!D2418+"$F;@!%p}"</f>
        <v>#VALUE!</v>
      </c>
      <c r="FJ88" t="e">
        <f>'All regions'!E2418+"$F;@!%p~"</f>
        <v>#VALUE!</v>
      </c>
      <c r="FK88" t="e">
        <f>'All regions'!F2418+"$F;@!%q#"</f>
        <v>#VALUE!</v>
      </c>
      <c r="FL88" t="e">
        <f>'All regions'!G2418+"$F;@!%q$"</f>
        <v>#VALUE!</v>
      </c>
      <c r="FM88" t="e">
        <f>'All regions'!H2418+"$F;@!%q%"</f>
        <v>#VALUE!</v>
      </c>
      <c r="FN88" t="e">
        <f>'All regions'!I2418+"$F;@!%q&amp;"</f>
        <v>#VALUE!</v>
      </c>
      <c r="FO88" t="e">
        <f>'All regions'!A2419+"$F;@!%q'"</f>
        <v>#VALUE!</v>
      </c>
      <c r="FP88" t="e">
        <f>'All regions'!B2419+"$F;@!%q("</f>
        <v>#VALUE!</v>
      </c>
      <c r="FQ88" t="e">
        <f>'All regions'!C2419+"$F;@!%q)"</f>
        <v>#VALUE!</v>
      </c>
      <c r="FR88" t="e">
        <f>'All regions'!D2419+"$F;@!%q."</f>
        <v>#VALUE!</v>
      </c>
      <c r="FS88" t="e">
        <f>'All regions'!E2419+"$F;@!%q/"</f>
        <v>#VALUE!</v>
      </c>
      <c r="FT88" t="e">
        <f>'All regions'!F2419+"$F;@!%q0"</f>
        <v>#VALUE!</v>
      </c>
      <c r="FU88" t="e">
        <f>'All regions'!G2419+"$F;@!%q1"</f>
        <v>#VALUE!</v>
      </c>
      <c r="FV88" t="e">
        <f>'All regions'!H2419+"$F;@!%q2"</f>
        <v>#VALUE!</v>
      </c>
      <c r="FW88" t="e">
        <f>'All regions'!I2419+"$F;@!%q3"</f>
        <v>#VALUE!</v>
      </c>
      <c r="FX88" t="e">
        <f>'All regions'!A2420+"$F;@!%q4"</f>
        <v>#VALUE!</v>
      </c>
      <c r="FY88" t="e">
        <f>'All regions'!B2420+"$F;@!%q5"</f>
        <v>#VALUE!</v>
      </c>
      <c r="FZ88" t="e">
        <f>'All regions'!C2420+"$F;@!%q6"</f>
        <v>#VALUE!</v>
      </c>
      <c r="GA88" t="e">
        <f>'All regions'!D2420+"$F;@!%q7"</f>
        <v>#VALUE!</v>
      </c>
      <c r="GB88" t="e">
        <f>'All regions'!E2420+"$F;@!%q8"</f>
        <v>#VALUE!</v>
      </c>
      <c r="GC88" t="e">
        <f>'All regions'!F2420+"$F;@!%q9"</f>
        <v>#VALUE!</v>
      </c>
      <c r="GD88" t="e">
        <f>'All regions'!G2420+"$F;@!%q:"</f>
        <v>#VALUE!</v>
      </c>
      <c r="GE88" t="e">
        <f>'All regions'!H2420+"$F;@!%q;"</f>
        <v>#VALUE!</v>
      </c>
      <c r="GF88" t="e">
        <f>'All regions'!I2420+"$F;@!%q&lt;"</f>
        <v>#VALUE!</v>
      </c>
      <c r="GG88" t="e">
        <f>'All regions'!A2421+"$F;@!%q="</f>
        <v>#VALUE!</v>
      </c>
      <c r="GH88" t="e">
        <f>'All regions'!B2421+"$F;@!%q&gt;"</f>
        <v>#VALUE!</v>
      </c>
      <c r="GI88" t="e">
        <f>'All regions'!C2421+"$F;@!%q?"</f>
        <v>#VALUE!</v>
      </c>
      <c r="GJ88" t="e">
        <f>'All regions'!D2421+"$F;@!%q@"</f>
        <v>#VALUE!</v>
      </c>
      <c r="GK88" t="e">
        <f>'All regions'!E2421+"$F;@!%qA"</f>
        <v>#VALUE!</v>
      </c>
      <c r="GL88" t="e">
        <f>'All regions'!F2421+"$F;@!%qB"</f>
        <v>#VALUE!</v>
      </c>
      <c r="GM88" t="e">
        <f>'All regions'!G2421+"$F;@!%qC"</f>
        <v>#VALUE!</v>
      </c>
      <c r="GN88" t="e">
        <f>'All regions'!H2421+"$F;@!%qD"</f>
        <v>#VALUE!</v>
      </c>
      <c r="GO88" t="e">
        <f>'All regions'!I2421+"$F;@!%qE"</f>
        <v>#VALUE!</v>
      </c>
      <c r="GP88" t="e">
        <f>'All regions'!A2422+"$F;@!%qF"</f>
        <v>#VALUE!</v>
      </c>
      <c r="GQ88" t="e">
        <f>'All regions'!B2422+"$F;@!%qG"</f>
        <v>#VALUE!</v>
      </c>
      <c r="GR88" t="e">
        <f>'All regions'!C2422+"$F;@!%qH"</f>
        <v>#VALUE!</v>
      </c>
      <c r="GS88" t="e">
        <f>'All regions'!D2422+"$F;@!%qI"</f>
        <v>#VALUE!</v>
      </c>
      <c r="GT88" t="e">
        <f>'All regions'!E2422+"$F;@!%qJ"</f>
        <v>#VALUE!</v>
      </c>
      <c r="GU88" t="e">
        <f>'All regions'!F2422+"$F;@!%qK"</f>
        <v>#VALUE!</v>
      </c>
      <c r="GV88" t="e">
        <f>'All regions'!G2422+"$F;@!%qL"</f>
        <v>#VALUE!</v>
      </c>
      <c r="GW88" t="e">
        <f>'All regions'!H2422+"$F;@!%qM"</f>
        <v>#VALUE!</v>
      </c>
      <c r="GX88" t="e">
        <f>'All regions'!I2422+"$F;@!%qN"</f>
        <v>#VALUE!</v>
      </c>
      <c r="GY88" t="e">
        <f>'All regions'!A2423+"$F;@!%qO"</f>
        <v>#VALUE!</v>
      </c>
      <c r="GZ88" t="e">
        <f>'All regions'!B2423+"$F;@!%qP"</f>
        <v>#VALUE!</v>
      </c>
      <c r="HA88" t="e">
        <f>'All regions'!C2423+"$F;@!%qQ"</f>
        <v>#VALUE!</v>
      </c>
      <c r="HB88" t="e">
        <f>'All regions'!D2423+"$F;@!%qR"</f>
        <v>#VALUE!</v>
      </c>
      <c r="HC88" t="e">
        <f>'All regions'!E2423+"$F;@!%qS"</f>
        <v>#VALUE!</v>
      </c>
      <c r="HD88" t="e">
        <f>'All regions'!F2423+"$F;@!%qT"</f>
        <v>#VALUE!</v>
      </c>
      <c r="HE88" t="e">
        <f>'All regions'!G2423+"$F;@!%qU"</f>
        <v>#VALUE!</v>
      </c>
      <c r="HF88" t="e">
        <f>'All regions'!H2423+"$F;@!%qV"</f>
        <v>#VALUE!</v>
      </c>
      <c r="HG88" t="e">
        <f>'All regions'!I2423+"$F;@!%qW"</f>
        <v>#VALUE!</v>
      </c>
      <c r="HH88" t="e">
        <f>'All regions'!A2424+"$F;@!%qX"</f>
        <v>#VALUE!</v>
      </c>
      <c r="HI88" t="e">
        <f>'All regions'!B2424+"$F;@!%qY"</f>
        <v>#VALUE!</v>
      </c>
      <c r="HJ88" t="e">
        <f>'All regions'!C2424+"$F;@!%qZ"</f>
        <v>#VALUE!</v>
      </c>
      <c r="HK88" t="e">
        <f>'All regions'!D2424+"$F;@!%q["</f>
        <v>#VALUE!</v>
      </c>
      <c r="HL88" t="e">
        <f>'All regions'!E2424+"$F;@!%q\"</f>
        <v>#VALUE!</v>
      </c>
      <c r="HM88" t="e">
        <f>'All regions'!F2424+"$F;@!%q]"</f>
        <v>#VALUE!</v>
      </c>
      <c r="HN88" t="e">
        <f>'All regions'!G2424+"$F;@!%q^"</f>
        <v>#VALUE!</v>
      </c>
      <c r="HO88" t="e">
        <f>'All regions'!H2424+"$F;@!%q_"</f>
        <v>#VALUE!</v>
      </c>
      <c r="HP88" t="e">
        <f>'All regions'!I2424+"$F;@!%q`"</f>
        <v>#VALUE!</v>
      </c>
      <c r="HQ88" t="e">
        <f>'All regions'!A2425+"$F;@!%qa"</f>
        <v>#VALUE!</v>
      </c>
      <c r="HR88" t="e">
        <f>'All regions'!B2425+"$F;@!%qb"</f>
        <v>#VALUE!</v>
      </c>
      <c r="HS88" t="e">
        <f>'All regions'!C2425+"$F;@!%qc"</f>
        <v>#VALUE!</v>
      </c>
      <c r="HT88" t="e">
        <f>'All regions'!D2425+"$F;@!%qd"</f>
        <v>#VALUE!</v>
      </c>
      <c r="HU88" t="e">
        <f>'All regions'!E2425+"$F;@!%qe"</f>
        <v>#VALUE!</v>
      </c>
      <c r="HV88" t="e">
        <f>'All regions'!F2425+"$F;@!%qf"</f>
        <v>#VALUE!</v>
      </c>
      <c r="HW88" t="e">
        <f>'All regions'!G2425+"$F;@!%qg"</f>
        <v>#VALUE!</v>
      </c>
      <c r="HX88" t="e">
        <f>'All regions'!H2425+"$F;@!%qh"</f>
        <v>#VALUE!</v>
      </c>
      <c r="HY88" t="e">
        <f>'All regions'!I2425+"$F;@!%qi"</f>
        <v>#VALUE!</v>
      </c>
      <c r="HZ88" t="e">
        <f>'All regions'!A2426+"$F;@!%qj"</f>
        <v>#VALUE!</v>
      </c>
      <c r="IA88" t="e">
        <f>'All regions'!B2426+"$F;@!%qk"</f>
        <v>#VALUE!</v>
      </c>
      <c r="IB88" t="e">
        <f>'All regions'!C2426+"$F;@!%ql"</f>
        <v>#VALUE!</v>
      </c>
      <c r="IC88" t="e">
        <f>'All regions'!D2426+"$F;@!%qm"</f>
        <v>#VALUE!</v>
      </c>
      <c r="ID88" t="e">
        <f>'All regions'!E2426+"$F;@!%qn"</f>
        <v>#VALUE!</v>
      </c>
      <c r="IE88" t="e">
        <f>'All regions'!F2426+"$F;@!%qo"</f>
        <v>#VALUE!</v>
      </c>
      <c r="IF88" t="e">
        <f>'All regions'!G2426+"$F;@!%qp"</f>
        <v>#VALUE!</v>
      </c>
      <c r="IG88" t="e">
        <f>'All regions'!H2426+"$F;@!%qq"</f>
        <v>#VALUE!</v>
      </c>
      <c r="IH88" t="e">
        <f>'All regions'!I2426+"$F;@!%qr"</f>
        <v>#VALUE!</v>
      </c>
      <c r="II88" t="e">
        <f>'All regions'!A2427+"$F;@!%qs"</f>
        <v>#VALUE!</v>
      </c>
      <c r="IJ88" t="e">
        <f>'All regions'!B2427+"$F;@!%qt"</f>
        <v>#VALUE!</v>
      </c>
      <c r="IK88" t="e">
        <f>'All regions'!C2427+"$F;@!%qu"</f>
        <v>#VALUE!</v>
      </c>
      <c r="IL88" t="e">
        <f>'All regions'!D2427+"$F;@!%qv"</f>
        <v>#VALUE!</v>
      </c>
      <c r="IM88" t="e">
        <f>'All regions'!E2427+"$F;@!%qw"</f>
        <v>#VALUE!</v>
      </c>
      <c r="IN88" t="e">
        <f>'All regions'!F2427+"$F;@!%qx"</f>
        <v>#VALUE!</v>
      </c>
      <c r="IO88" t="e">
        <f>'All regions'!G2427+"$F;@!%qy"</f>
        <v>#VALUE!</v>
      </c>
      <c r="IP88" t="e">
        <f>'All regions'!H2427+"$F;@!%qz"</f>
        <v>#VALUE!</v>
      </c>
      <c r="IQ88" t="e">
        <f>'All regions'!I2427+"$F;@!%q{"</f>
        <v>#VALUE!</v>
      </c>
      <c r="IR88" t="e">
        <f>'All regions'!A2428+"$F;@!%q|"</f>
        <v>#VALUE!</v>
      </c>
      <c r="IS88" t="e">
        <f>'All regions'!B2428+"$F;@!%q}"</f>
        <v>#VALUE!</v>
      </c>
      <c r="IT88" t="e">
        <f>'All regions'!C2428+"$F;@!%q~"</f>
        <v>#VALUE!</v>
      </c>
      <c r="IU88" t="e">
        <f>'All regions'!D2428+"$F;@!%r#"</f>
        <v>#VALUE!</v>
      </c>
      <c r="IV88" t="e">
        <f>'All regions'!E2428+"$F;@!%r$"</f>
        <v>#VALUE!</v>
      </c>
    </row>
    <row r="89" spans="6:256" x14ac:dyDescent="0.35">
      <c r="F89" t="e">
        <f>'All regions'!F2428+"$F;@!%r%"</f>
        <v>#VALUE!</v>
      </c>
      <c r="G89" t="e">
        <f>'All regions'!G2428+"$F;@!%r&amp;"</f>
        <v>#VALUE!</v>
      </c>
      <c r="H89" t="e">
        <f>'All regions'!H2428+"$F;@!%r'"</f>
        <v>#VALUE!</v>
      </c>
      <c r="I89" t="e">
        <f>'All regions'!I2428+"$F;@!%r("</f>
        <v>#VALUE!</v>
      </c>
      <c r="J89" t="e">
        <f>'All regions'!A2429+"$F;@!%r)"</f>
        <v>#VALUE!</v>
      </c>
      <c r="K89" t="e">
        <f>'All regions'!B2429+"$F;@!%r."</f>
        <v>#VALUE!</v>
      </c>
      <c r="L89" t="e">
        <f>'All regions'!C2429+"$F;@!%r/"</f>
        <v>#VALUE!</v>
      </c>
      <c r="M89" t="e">
        <f>'All regions'!D2429+"$F;@!%r0"</f>
        <v>#VALUE!</v>
      </c>
      <c r="N89" t="e">
        <f>'All regions'!E2429+"$F;@!%r1"</f>
        <v>#VALUE!</v>
      </c>
      <c r="O89" t="e">
        <f>'All regions'!F2429+"$F;@!%r2"</f>
        <v>#VALUE!</v>
      </c>
      <c r="P89" t="e">
        <f>'All regions'!G2429+"$F;@!%r3"</f>
        <v>#VALUE!</v>
      </c>
      <c r="Q89" t="e">
        <f>'All regions'!H2429+"$F;@!%r4"</f>
        <v>#VALUE!</v>
      </c>
      <c r="R89" t="e">
        <f>'All regions'!I2429+"$F;@!%r5"</f>
        <v>#VALUE!</v>
      </c>
      <c r="S89" t="e">
        <f>'All regions'!A2430+"$F;@!%r6"</f>
        <v>#VALUE!</v>
      </c>
      <c r="T89" t="e">
        <f>'All regions'!B2430+"$F;@!%r7"</f>
        <v>#VALUE!</v>
      </c>
      <c r="U89" t="e">
        <f>'All regions'!C2430+"$F;@!%r8"</f>
        <v>#VALUE!</v>
      </c>
      <c r="V89" t="e">
        <f>'All regions'!D2430+"$F;@!%r9"</f>
        <v>#VALUE!</v>
      </c>
      <c r="W89" t="e">
        <f>'All regions'!E2430+"$F;@!%r:"</f>
        <v>#VALUE!</v>
      </c>
      <c r="X89" t="e">
        <f>'All regions'!F2430+"$F;@!%r;"</f>
        <v>#VALUE!</v>
      </c>
      <c r="Y89" t="e">
        <f>'All regions'!G2430+"$F;@!%r&lt;"</f>
        <v>#VALUE!</v>
      </c>
      <c r="Z89" t="e">
        <f>'All regions'!H2430+"$F;@!%r="</f>
        <v>#VALUE!</v>
      </c>
      <c r="AA89" t="e">
        <f>'All regions'!I2430+"$F;@!%r&gt;"</f>
        <v>#VALUE!</v>
      </c>
      <c r="AB89" t="e">
        <f>'All regions'!A2431+"$F;@!%r?"</f>
        <v>#VALUE!</v>
      </c>
      <c r="AC89" t="e">
        <f>'All regions'!B2431+"$F;@!%r@"</f>
        <v>#VALUE!</v>
      </c>
      <c r="AD89" t="e">
        <f>'All regions'!C2431+"$F;@!%rA"</f>
        <v>#VALUE!</v>
      </c>
      <c r="AE89" t="e">
        <f>'All regions'!D2431+"$F;@!%rB"</f>
        <v>#VALUE!</v>
      </c>
      <c r="AF89" t="e">
        <f>'All regions'!E2431+"$F;@!%rC"</f>
        <v>#VALUE!</v>
      </c>
      <c r="AG89" t="e">
        <f>'All regions'!F2431+"$F;@!%rD"</f>
        <v>#VALUE!</v>
      </c>
      <c r="AH89" t="e">
        <f>'All regions'!G2431+"$F;@!%rE"</f>
        <v>#VALUE!</v>
      </c>
      <c r="AI89" t="e">
        <f>'All regions'!H2431+"$F;@!%rF"</f>
        <v>#VALUE!</v>
      </c>
      <c r="AJ89" t="e">
        <f>'All regions'!I2431+"$F;@!%rG"</f>
        <v>#VALUE!</v>
      </c>
      <c r="AK89" t="e">
        <f>'All regions'!A2432+"$F;@!%rH"</f>
        <v>#VALUE!</v>
      </c>
      <c r="AL89" t="e">
        <f>'All regions'!B2432+"$F;@!%rI"</f>
        <v>#VALUE!</v>
      </c>
      <c r="AM89" t="e">
        <f>'All regions'!C2432+"$F;@!%rJ"</f>
        <v>#VALUE!</v>
      </c>
      <c r="AN89" t="e">
        <f>'All regions'!D2432+"$F;@!%rK"</f>
        <v>#VALUE!</v>
      </c>
      <c r="AO89" t="e">
        <f>'All regions'!E2432+"$F;@!%rL"</f>
        <v>#VALUE!</v>
      </c>
      <c r="AP89" t="e">
        <f>'All regions'!F2432+"$F;@!%rM"</f>
        <v>#VALUE!</v>
      </c>
      <c r="AQ89" t="e">
        <f>'All regions'!G2432+"$F;@!%rN"</f>
        <v>#VALUE!</v>
      </c>
      <c r="AR89" t="e">
        <f>'All regions'!H2432+"$F;@!%rO"</f>
        <v>#VALUE!</v>
      </c>
      <c r="AS89" t="e">
        <f>'All regions'!I2432+"$F;@!%rP"</f>
        <v>#VALUE!</v>
      </c>
      <c r="AT89" t="e">
        <f>'All regions'!A2433+"$F;@!%rQ"</f>
        <v>#VALUE!</v>
      </c>
      <c r="AU89" t="e">
        <f>'All regions'!B2433+"$F;@!%rR"</f>
        <v>#VALUE!</v>
      </c>
      <c r="AV89" t="e">
        <f>'All regions'!C2433+"$F;@!%rS"</f>
        <v>#VALUE!</v>
      </c>
      <c r="AW89" t="e">
        <f>'All regions'!D2433+"$F;@!%rT"</f>
        <v>#VALUE!</v>
      </c>
      <c r="AX89" t="e">
        <f>'All regions'!E2433+"$F;@!%rU"</f>
        <v>#VALUE!</v>
      </c>
      <c r="AY89" t="e">
        <f>'All regions'!F2433+"$F;@!%rV"</f>
        <v>#VALUE!</v>
      </c>
      <c r="AZ89" t="e">
        <f>'All regions'!G2433+"$F;@!%rW"</f>
        <v>#VALUE!</v>
      </c>
      <c r="BA89" t="e">
        <f>'All regions'!H2433+"$F;@!%rX"</f>
        <v>#VALUE!</v>
      </c>
      <c r="BB89" t="e">
        <f>'All regions'!I2433+"$F;@!%rY"</f>
        <v>#VALUE!</v>
      </c>
      <c r="BC89" t="e">
        <f>'All regions'!A2434+"$F;@!%rZ"</f>
        <v>#VALUE!</v>
      </c>
      <c r="BD89" t="e">
        <f>'All regions'!B2434+"$F;@!%r["</f>
        <v>#VALUE!</v>
      </c>
      <c r="BE89" t="e">
        <f>'All regions'!C2434+"$F;@!%r\"</f>
        <v>#VALUE!</v>
      </c>
      <c r="BF89" t="e">
        <f>'All regions'!D2434+"$F;@!%r]"</f>
        <v>#VALUE!</v>
      </c>
      <c r="BG89" t="e">
        <f>'All regions'!E2434+"$F;@!%r^"</f>
        <v>#VALUE!</v>
      </c>
      <c r="BH89" t="e">
        <f>'All regions'!F2434+"$F;@!%r_"</f>
        <v>#VALUE!</v>
      </c>
      <c r="BI89" t="e">
        <f>'All regions'!G2434+"$F;@!%r`"</f>
        <v>#VALUE!</v>
      </c>
      <c r="BJ89" t="e">
        <f>'All regions'!H2434+"$F;@!%ra"</f>
        <v>#VALUE!</v>
      </c>
      <c r="BK89" t="e">
        <f>'All regions'!I2434+"$F;@!%rb"</f>
        <v>#VALUE!</v>
      </c>
      <c r="BL89" t="e">
        <f>'All regions'!A2435+"$F;@!%rc"</f>
        <v>#VALUE!</v>
      </c>
      <c r="BM89" t="e">
        <f>'All regions'!B2435+"$F;@!%rd"</f>
        <v>#VALUE!</v>
      </c>
      <c r="BN89" t="e">
        <f>'All regions'!C2435+"$F;@!%re"</f>
        <v>#VALUE!</v>
      </c>
      <c r="BO89" t="e">
        <f>'All regions'!D2435+"$F;@!%rf"</f>
        <v>#VALUE!</v>
      </c>
      <c r="BP89" t="e">
        <f>'All regions'!E2435+"$F;@!%rg"</f>
        <v>#VALUE!</v>
      </c>
      <c r="BQ89" t="e">
        <f>'All regions'!F2435+"$F;@!%rh"</f>
        <v>#VALUE!</v>
      </c>
      <c r="BR89" t="e">
        <f>'All regions'!G2435+"$F;@!%ri"</f>
        <v>#VALUE!</v>
      </c>
      <c r="BS89" t="e">
        <f>'All regions'!H2435+"$F;@!%rj"</f>
        <v>#VALUE!</v>
      </c>
      <c r="BT89" t="e">
        <f>'All regions'!I2435+"$F;@!%rk"</f>
        <v>#VALUE!</v>
      </c>
      <c r="BU89" t="e">
        <f>'All regions'!A2436+"$F;@!%rl"</f>
        <v>#VALUE!</v>
      </c>
      <c r="BV89" t="e">
        <f>'All regions'!B2436+"$F;@!%rm"</f>
        <v>#VALUE!</v>
      </c>
      <c r="BW89" t="e">
        <f>'All regions'!C2436+"$F;@!%rn"</f>
        <v>#VALUE!</v>
      </c>
      <c r="BX89" t="e">
        <f>'All regions'!D2436+"$F;@!%ro"</f>
        <v>#VALUE!</v>
      </c>
      <c r="BY89" t="e">
        <f>'All regions'!E2436+"$F;@!%rp"</f>
        <v>#VALUE!</v>
      </c>
      <c r="BZ89" t="e">
        <f>'All regions'!F2436+"$F;@!%rq"</f>
        <v>#VALUE!</v>
      </c>
      <c r="CA89" t="e">
        <f>'All regions'!G2436+"$F;@!%rr"</f>
        <v>#VALUE!</v>
      </c>
      <c r="CB89" t="e">
        <f>'All regions'!H2436+"$F;@!%rs"</f>
        <v>#VALUE!</v>
      </c>
      <c r="CC89" t="e">
        <f>'All regions'!I2436+"$F;@!%rt"</f>
        <v>#VALUE!</v>
      </c>
      <c r="CD89" t="e">
        <f>'All regions'!A2437+"$F;@!%ru"</f>
        <v>#VALUE!</v>
      </c>
      <c r="CE89" t="e">
        <f>'All regions'!B2437+"$F;@!%rv"</f>
        <v>#VALUE!</v>
      </c>
      <c r="CF89" t="e">
        <f>'All regions'!C2437+"$F;@!%rw"</f>
        <v>#VALUE!</v>
      </c>
      <c r="CG89" t="e">
        <f>'All regions'!D2437+"$F;@!%rx"</f>
        <v>#VALUE!</v>
      </c>
      <c r="CH89" t="e">
        <f>'All regions'!E2437+"$F;@!%ry"</f>
        <v>#VALUE!</v>
      </c>
      <c r="CI89" t="e">
        <f>'All regions'!F2437+"$F;@!%rz"</f>
        <v>#VALUE!</v>
      </c>
      <c r="CJ89" t="e">
        <f>'All regions'!G2437+"$F;@!%r{"</f>
        <v>#VALUE!</v>
      </c>
      <c r="CK89" t="e">
        <f>'All regions'!H2437+"$F;@!%r|"</f>
        <v>#VALUE!</v>
      </c>
      <c r="CL89" t="e">
        <f>'All regions'!I2437+"$F;@!%r}"</f>
        <v>#VALUE!</v>
      </c>
      <c r="CM89" t="e">
        <f>'All regions'!A2438+"$F;@!%r~"</f>
        <v>#VALUE!</v>
      </c>
      <c r="CN89" t="e">
        <f>'All regions'!B2438+"$F;@!%s#"</f>
        <v>#VALUE!</v>
      </c>
      <c r="CO89" t="e">
        <f>'All regions'!C2438+"$F;@!%s$"</f>
        <v>#VALUE!</v>
      </c>
      <c r="CP89" t="e">
        <f>'All regions'!D2438+"$F;@!%s%"</f>
        <v>#VALUE!</v>
      </c>
      <c r="CQ89" t="e">
        <f>'All regions'!E2438+"$F;@!%s&amp;"</f>
        <v>#VALUE!</v>
      </c>
      <c r="CR89" t="e">
        <f>'All regions'!F2438+"$F;@!%s'"</f>
        <v>#VALUE!</v>
      </c>
      <c r="CS89" t="e">
        <f>'All regions'!G2438+"$F;@!%s("</f>
        <v>#VALUE!</v>
      </c>
      <c r="CT89" t="e">
        <f>'All regions'!H2438+"$F;@!%s)"</f>
        <v>#VALUE!</v>
      </c>
      <c r="CU89" t="e">
        <f>'All regions'!I2438+"$F;@!%s."</f>
        <v>#VALUE!</v>
      </c>
      <c r="CV89" t="e">
        <f>'All regions'!A2439+"$F;@!%s/"</f>
        <v>#VALUE!</v>
      </c>
      <c r="CW89" t="e">
        <f>'All regions'!B2439+"$F;@!%s0"</f>
        <v>#VALUE!</v>
      </c>
      <c r="CX89" t="e">
        <f>'All regions'!C2439+"$F;@!%s1"</f>
        <v>#VALUE!</v>
      </c>
      <c r="CY89" t="e">
        <f>'All regions'!D2439+"$F;@!%s2"</f>
        <v>#VALUE!</v>
      </c>
      <c r="CZ89" t="e">
        <f>'All regions'!E2439+"$F;@!%s3"</f>
        <v>#VALUE!</v>
      </c>
      <c r="DA89" t="e">
        <f>'All regions'!F2439+"$F;@!%s4"</f>
        <v>#VALUE!</v>
      </c>
      <c r="DB89" t="e">
        <f>'All regions'!G2439+"$F;@!%s5"</f>
        <v>#VALUE!</v>
      </c>
      <c r="DC89" t="e">
        <f>'All regions'!H2439+"$F;@!%s6"</f>
        <v>#VALUE!</v>
      </c>
      <c r="DD89" t="e">
        <f>'All regions'!I2439+"$F;@!%s7"</f>
        <v>#VALUE!</v>
      </c>
      <c r="DE89" t="e">
        <f>'All regions'!A2440+"$F;@!%s8"</f>
        <v>#VALUE!</v>
      </c>
      <c r="DF89" t="e">
        <f>'All regions'!B2440+"$F;@!%s9"</f>
        <v>#VALUE!</v>
      </c>
      <c r="DG89" t="e">
        <f>'All regions'!C2440+"$F;@!%s:"</f>
        <v>#VALUE!</v>
      </c>
      <c r="DH89" t="e">
        <f>'All regions'!D2440+"$F;@!%s;"</f>
        <v>#VALUE!</v>
      </c>
      <c r="DI89" t="e">
        <f>'All regions'!E2440+"$F;@!%s&lt;"</f>
        <v>#VALUE!</v>
      </c>
      <c r="DJ89" t="e">
        <f>'All regions'!F2440+"$F;@!%s="</f>
        <v>#VALUE!</v>
      </c>
      <c r="DK89" t="e">
        <f>'All regions'!G2440+"$F;@!%s&gt;"</f>
        <v>#VALUE!</v>
      </c>
      <c r="DL89" t="e">
        <f>'All regions'!H2440+"$F;@!%s?"</f>
        <v>#VALUE!</v>
      </c>
      <c r="DM89" t="e">
        <f>'All regions'!I2440+"$F;@!%s@"</f>
        <v>#VALUE!</v>
      </c>
      <c r="DN89" t="e">
        <f>'All regions'!A2441+"$F;@!%sA"</f>
        <v>#VALUE!</v>
      </c>
      <c r="DO89" t="e">
        <f>'All regions'!B2441+"$F;@!%sB"</f>
        <v>#VALUE!</v>
      </c>
      <c r="DP89" t="e">
        <f>'All regions'!C2441+"$F;@!%sC"</f>
        <v>#VALUE!</v>
      </c>
      <c r="DQ89" t="e">
        <f>'All regions'!D2441+"$F;@!%sD"</f>
        <v>#VALUE!</v>
      </c>
      <c r="DR89" t="e">
        <f>'All regions'!E2441+"$F;@!%sE"</f>
        <v>#VALUE!</v>
      </c>
      <c r="DS89" t="e">
        <f>'All regions'!F2441+"$F;@!%sF"</f>
        <v>#VALUE!</v>
      </c>
      <c r="DT89" t="e">
        <f>'All regions'!G2441+"$F;@!%sG"</f>
        <v>#VALUE!</v>
      </c>
      <c r="DU89" t="e">
        <f>'All regions'!H2441+"$F;@!%sH"</f>
        <v>#VALUE!</v>
      </c>
      <c r="DV89" t="e">
        <f>'All regions'!I2441+"$F;@!%sI"</f>
        <v>#VALUE!</v>
      </c>
      <c r="DW89" t="e">
        <f>'All regions'!A2442+"$F;@!%sJ"</f>
        <v>#VALUE!</v>
      </c>
      <c r="DX89" t="e">
        <f>'All regions'!B2442+"$F;@!%sK"</f>
        <v>#VALUE!</v>
      </c>
      <c r="DY89" t="e">
        <f>'All regions'!C2442+"$F;@!%sL"</f>
        <v>#VALUE!</v>
      </c>
      <c r="DZ89" t="e">
        <f>'All regions'!D2442+"$F;@!%sM"</f>
        <v>#VALUE!</v>
      </c>
      <c r="EA89" t="e">
        <f>'All regions'!E2442+"$F;@!%sN"</f>
        <v>#VALUE!</v>
      </c>
      <c r="EB89" t="e">
        <f>'All regions'!F2442+"$F;@!%sO"</f>
        <v>#VALUE!</v>
      </c>
      <c r="EC89" t="e">
        <f>'All regions'!G2442+"$F;@!%sP"</f>
        <v>#VALUE!</v>
      </c>
      <c r="ED89" t="e">
        <f>'All regions'!H2442+"$F;@!%sQ"</f>
        <v>#VALUE!</v>
      </c>
      <c r="EE89" t="e">
        <f>'All regions'!I2442+"$F;@!%sR"</f>
        <v>#VALUE!</v>
      </c>
      <c r="EF89" t="e">
        <f>'All regions'!A2443+"$F;@!%sS"</f>
        <v>#VALUE!</v>
      </c>
      <c r="EG89" t="e">
        <f>'All regions'!B2443+"$F;@!%sT"</f>
        <v>#VALUE!</v>
      </c>
      <c r="EH89" t="e">
        <f>'All regions'!C2443+"$F;@!%sU"</f>
        <v>#VALUE!</v>
      </c>
      <c r="EI89" t="e">
        <f>'All regions'!D2443+"$F;@!%sV"</f>
        <v>#VALUE!</v>
      </c>
      <c r="EJ89" t="e">
        <f>'All regions'!E2443+"$F;@!%sW"</f>
        <v>#VALUE!</v>
      </c>
      <c r="EK89" t="e">
        <f>'All regions'!F2443+"$F;@!%sX"</f>
        <v>#VALUE!</v>
      </c>
      <c r="EL89" t="e">
        <f>'All regions'!G2443+"$F;@!%sY"</f>
        <v>#VALUE!</v>
      </c>
      <c r="EM89" t="e">
        <f>'All regions'!H2443+"$F;@!%sZ"</f>
        <v>#VALUE!</v>
      </c>
      <c r="EN89" t="e">
        <f>'All regions'!I2443+"$F;@!%s["</f>
        <v>#VALUE!</v>
      </c>
      <c r="EO89" t="e">
        <f>'All regions'!A2444+"$F;@!%s\"</f>
        <v>#VALUE!</v>
      </c>
      <c r="EP89" t="e">
        <f>'All regions'!B2444+"$F;@!%s]"</f>
        <v>#VALUE!</v>
      </c>
      <c r="EQ89" t="e">
        <f>'All regions'!C2444+"$F;@!%s^"</f>
        <v>#VALUE!</v>
      </c>
      <c r="ER89" t="e">
        <f>'All regions'!D2444+"$F;@!%s_"</f>
        <v>#VALUE!</v>
      </c>
      <c r="ES89" t="e">
        <f>'All regions'!E2444+"$F;@!%s`"</f>
        <v>#VALUE!</v>
      </c>
      <c r="ET89" t="e">
        <f>'All regions'!F2444+"$F;@!%sa"</f>
        <v>#VALUE!</v>
      </c>
      <c r="EU89" t="e">
        <f>'All regions'!G2444+"$F;@!%sb"</f>
        <v>#VALUE!</v>
      </c>
      <c r="EV89" t="e">
        <f>'All regions'!H2444+"$F;@!%sc"</f>
        <v>#VALUE!</v>
      </c>
      <c r="EW89" t="e">
        <f>'All regions'!I2444+"$F;@!%sd"</f>
        <v>#VALUE!</v>
      </c>
      <c r="EX89" t="e">
        <f>'All regions'!A2445+"$F;@!%se"</f>
        <v>#VALUE!</v>
      </c>
      <c r="EY89" t="e">
        <f>'All regions'!B2445+"$F;@!%sf"</f>
        <v>#VALUE!</v>
      </c>
      <c r="EZ89" t="e">
        <f>'All regions'!C2445+"$F;@!%sg"</f>
        <v>#VALUE!</v>
      </c>
      <c r="FA89" t="e">
        <f>'All regions'!D2445+"$F;@!%sh"</f>
        <v>#VALUE!</v>
      </c>
      <c r="FB89" t="e">
        <f>'All regions'!E2445+"$F;@!%si"</f>
        <v>#VALUE!</v>
      </c>
      <c r="FC89" t="e">
        <f>'All regions'!F2445+"$F;@!%sj"</f>
        <v>#VALUE!</v>
      </c>
      <c r="FD89" t="e">
        <f>'All regions'!G2445+"$F;@!%sk"</f>
        <v>#VALUE!</v>
      </c>
      <c r="FE89" t="e">
        <f>'All regions'!H2445+"$F;@!%sl"</f>
        <v>#VALUE!</v>
      </c>
      <c r="FF89" t="e">
        <f>'All regions'!I2445+"$F;@!%sm"</f>
        <v>#VALUE!</v>
      </c>
      <c r="FG89" t="e">
        <f>'All regions'!A2446+"$F;@!%sn"</f>
        <v>#VALUE!</v>
      </c>
      <c r="FH89" t="e">
        <f>'All regions'!B2446+"$F;@!%so"</f>
        <v>#VALUE!</v>
      </c>
      <c r="FI89" t="e">
        <f>'All regions'!C2446+"$F;@!%sp"</f>
        <v>#VALUE!</v>
      </c>
      <c r="FJ89" t="e">
        <f>'All regions'!D2446+"$F;@!%sq"</f>
        <v>#VALUE!</v>
      </c>
      <c r="FK89" t="e">
        <f>'All regions'!E2446+"$F;@!%sr"</f>
        <v>#VALUE!</v>
      </c>
      <c r="FL89" t="e">
        <f>'All regions'!F2446+"$F;@!%ss"</f>
        <v>#VALUE!</v>
      </c>
      <c r="FM89" t="e">
        <f>'All regions'!G2446+"$F;@!%st"</f>
        <v>#VALUE!</v>
      </c>
      <c r="FN89" t="e">
        <f>'All regions'!H2446+"$F;@!%su"</f>
        <v>#VALUE!</v>
      </c>
      <c r="FO89" t="e">
        <f>'All regions'!I2446+"$F;@!%sv"</f>
        <v>#VALUE!</v>
      </c>
      <c r="FP89" t="e">
        <f>'All regions'!A2447+"$F;@!%sw"</f>
        <v>#VALUE!</v>
      </c>
      <c r="FQ89" t="e">
        <f>'All regions'!B2447+"$F;@!%sx"</f>
        <v>#VALUE!</v>
      </c>
      <c r="FR89" t="e">
        <f>'All regions'!C2447+"$F;@!%sy"</f>
        <v>#VALUE!</v>
      </c>
      <c r="FS89" t="e">
        <f>'All regions'!D2447+"$F;@!%sz"</f>
        <v>#VALUE!</v>
      </c>
      <c r="FT89" t="e">
        <f>'All regions'!E2447+"$F;@!%s{"</f>
        <v>#VALUE!</v>
      </c>
      <c r="FU89" t="e">
        <f>'All regions'!F2447+"$F;@!%s|"</f>
        <v>#VALUE!</v>
      </c>
      <c r="FV89" t="e">
        <f>'All regions'!G2447+"$F;@!%s}"</f>
        <v>#VALUE!</v>
      </c>
      <c r="FW89" t="e">
        <f>'All regions'!H2447+"$F;@!%s~"</f>
        <v>#VALUE!</v>
      </c>
      <c r="FX89" t="e">
        <f>'All regions'!I2447+"$F;@!%t#"</f>
        <v>#VALUE!</v>
      </c>
      <c r="FY89" t="e">
        <f>'All regions'!A2448+"$F;@!%t$"</f>
        <v>#VALUE!</v>
      </c>
      <c r="FZ89" t="e">
        <f>'All regions'!B2448+"$F;@!%t%"</f>
        <v>#VALUE!</v>
      </c>
      <c r="GA89" t="e">
        <f>'All regions'!C2448+"$F;@!%t&amp;"</f>
        <v>#VALUE!</v>
      </c>
      <c r="GB89" t="e">
        <f>'All regions'!D2448+"$F;@!%t'"</f>
        <v>#VALUE!</v>
      </c>
      <c r="GC89" t="e">
        <f>'All regions'!E2448+"$F;@!%t("</f>
        <v>#VALUE!</v>
      </c>
      <c r="GD89" t="e">
        <f>'All regions'!F2448+"$F;@!%t)"</f>
        <v>#VALUE!</v>
      </c>
      <c r="GE89" t="e">
        <f>'All regions'!G2448+"$F;@!%t."</f>
        <v>#VALUE!</v>
      </c>
      <c r="GF89" t="e">
        <f>'All regions'!H2448+"$F;@!%t/"</f>
        <v>#VALUE!</v>
      </c>
      <c r="GG89" t="e">
        <f>'All regions'!I2448+"$F;@!%t0"</f>
        <v>#VALUE!</v>
      </c>
      <c r="GH89" t="e">
        <f>'All regions'!A2449+"$F;@!%t1"</f>
        <v>#VALUE!</v>
      </c>
      <c r="GI89" t="e">
        <f>'All regions'!B2449+"$F;@!%t2"</f>
        <v>#VALUE!</v>
      </c>
      <c r="GJ89" t="e">
        <f>'All regions'!C2449+"$F;@!%t3"</f>
        <v>#VALUE!</v>
      </c>
      <c r="GK89" t="e">
        <f>'All regions'!D2449+"$F;@!%t4"</f>
        <v>#VALUE!</v>
      </c>
      <c r="GL89" t="e">
        <f>'All regions'!E2449+"$F;@!%t5"</f>
        <v>#VALUE!</v>
      </c>
      <c r="GM89" t="e">
        <f>'All regions'!F2449+"$F;@!%t6"</f>
        <v>#VALUE!</v>
      </c>
      <c r="GN89" t="e">
        <f>'All regions'!G2449+"$F;@!%t7"</f>
        <v>#VALUE!</v>
      </c>
      <c r="GO89" t="e">
        <f>'All regions'!H2449+"$F;@!%t8"</f>
        <v>#VALUE!</v>
      </c>
      <c r="GP89" t="e">
        <f>'All regions'!I2449+"$F;@!%t9"</f>
        <v>#VALUE!</v>
      </c>
      <c r="GQ89" t="e">
        <f>'All regions'!A2450+"$F;@!%t:"</f>
        <v>#VALUE!</v>
      </c>
      <c r="GR89" t="e">
        <f>'All regions'!B2450+"$F;@!%t;"</f>
        <v>#VALUE!</v>
      </c>
      <c r="GS89" t="e">
        <f>'All regions'!C2450+"$F;@!%t&lt;"</f>
        <v>#VALUE!</v>
      </c>
      <c r="GT89" t="e">
        <f>'All regions'!D2450+"$F;@!%t="</f>
        <v>#VALUE!</v>
      </c>
      <c r="GU89" t="e">
        <f>'All regions'!E2450+"$F;@!%t&gt;"</f>
        <v>#VALUE!</v>
      </c>
      <c r="GV89" t="e">
        <f>'All regions'!F2450+"$F;@!%t?"</f>
        <v>#VALUE!</v>
      </c>
      <c r="GW89" t="e">
        <f>'All regions'!G2450+"$F;@!%t@"</f>
        <v>#VALUE!</v>
      </c>
      <c r="GX89" t="e">
        <f>'All regions'!H2450+"$F;@!%tA"</f>
        <v>#VALUE!</v>
      </c>
      <c r="GY89" t="e">
        <f>'All regions'!I2450+"$F;@!%tB"</f>
        <v>#VALUE!</v>
      </c>
      <c r="GZ89" t="e">
        <f>'All regions'!A2451+"$F;@!%tC"</f>
        <v>#VALUE!</v>
      </c>
      <c r="HA89" t="e">
        <f>'All regions'!B2451+"$F;@!%tD"</f>
        <v>#VALUE!</v>
      </c>
      <c r="HB89" t="e">
        <f>'All regions'!C2451+"$F;@!%tE"</f>
        <v>#VALUE!</v>
      </c>
      <c r="HC89" t="e">
        <f>'All regions'!D2451+"$F;@!%tF"</f>
        <v>#VALUE!</v>
      </c>
      <c r="HD89" t="e">
        <f>'All regions'!E2451+"$F;@!%tG"</f>
        <v>#VALUE!</v>
      </c>
      <c r="HE89" t="e">
        <f>'All regions'!F2451+"$F;@!%tH"</f>
        <v>#VALUE!</v>
      </c>
      <c r="HF89" t="e">
        <f>'All regions'!G2451+"$F;@!%tI"</f>
        <v>#VALUE!</v>
      </c>
      <c r="HG89" t="e">
        <f>'All regions'!H2451+"$F;@!%tJ"</f>
        <v>#VALUE!</v>
      </c>
      <c r="HH89" t="e">
        <f>'All regions'!I2451+"$F;@!%tK"</f>
        <v>#VALUE!</v>
      </c>
      <c r="HI89" t="e">
        <f>'All regions'!A2452+"$F;@!%tL"</f>
        <v>#VALUE!</v>
      </c>
      <c r="HJ89" t="e">
        <f>'All regions'!B2452+"$F;@!%tM"</f>
        <v>#VALUE!</v>
      </c>
      <c r="HK89" t="e">
        <f>'All regions'!C2452+"$F;@!%tN"</f>
        <v>#VALUE!</v>
      </c>
      <c r="HL89" t="e">
        <f>'All regions'!D2452+"$F;@!%tO"</f>
        <v>#VALUE!</v>
      </c>
      <c r="HM89" t="e">
        <f>'All regions'!E2452+"$F;@!%tP"</f>
        <v>#VALUE!</v>
      </c>
      <c r="HN89" t="e">
        <f>'All regions'!F2452+"$F;@!%tQ"</f>
        <v>#VALUE!</v>
      </c>
      <c r="HO89" t="e">
        <f>'All regions'!G2452+"$F;@!%tR"</f>
        <v>#VALUE!</v>
      </c>
      <c r="HP89" t="e">
        <f>'All regions'!H2452+"$F;@!%tS"</f>
        <v>#VALUE!</v>
      </c>
      <c r="HQ89" t="e">
        <f>'All regions'!I2452+"$F;@!%tT"</f>
        <v>#VALUE!</v>
      </c>
      <c r="HR89" t="e">
        <f>'All regions'!A2453+"$F;@!%tU"</f>
        <v>#VALUE!</v>
      </c>
      <c r="HS89" t="e">
        <f>'All regions'!B2453+"$F;@!%tV"</f>
        <v>#VALUE!</v>
      </c>
      <c r="HT89" t="e">
        <f>'All regions'!C2453+"$F;@!%tW"</f>
        <v>#VALUE!</v>
      </c>
      <c r="HU89" t="e">
        <f>'All regions'!D2453+"$F;@!%tX"</f>
        <v>#VALUE!</v>
      </c>
      <c r="HV89" t="e">
        <f>'All regions'!E2453+"$F;@!%tY"</f>
        <v>#VALUE!</v>
      </c>
      <c r="HW89" t="e">
        <f>'All regions'!F2453+"$F;@!%tZ"</f>
        <v>#VALUE!</v>
      </c>
      <c r="HX89" t="e">
        <f>'All regions'!G2453+"$F;@!%t["</f>
        <v>#VALUE!</v>
      </c>
      <c r="HY89" t="e">
        <f>'All regions'!H2453+"$F;@!%t\"</f>
        <v>#VALUE!</v>
      </c>
      <c r="HZ89" t="e">
        <f>'All regions'!I2453+"$F;@!%t]"</f>
        <v>#VALUE!</v>
      </c>
      <c r="IA89" t="e">
        <f>'All regions'!A2454+"$F;@!%t^"</f>
        <v>#VALUE!</v>
      </c>
      <c r="IB89" t="e">
        <f>'All regions'!B2454+"$F;@!%t_"</f>
        <v>#VALUE!</v>
      </c>
      <c r="IC89" t="e">
        <f>'All regions'!C2454+"$F;@!%t`"</f>
        <v>#VALUE!</v>
      </c>
      <c r="ID89" t="e">
        <f>'All regions'!D2454+"$F;@!%ta"</f>
        <v>#VALUE!</v>
      </c>
      <c r="IE89" t="e">
        <f>'All regions'!E2454+"$F;@!%tb"</f>
        <v>#VALUE!</v>
      </c>
      <c r="IF89" t="e">
        <f>'All regions'!F2454+"$F;@!%tc"</f>
        <v>#VALUE!</v>
      </c>
      <c r="IG89" t="e">
        <f>'All regions'!G2454+"$F;@!%td"</f>
        <v>#VALUE!</v>
      </c>
      <c r="IH89" t="e">
        <f>'All regions'!H2454+"$F;@!%te"</f>
        <v>#VALUE!</v>
      </c>
      <c r="II89" t="e">
        <f>'All regions'!I2454+"$F;@!%tf"</f>
        <v>#VALUE!</v>
      </c>
      <c r="IJ89" t="e">
        <f>'All regions'!A2455+"$F;@!%tg"</f>
        <v>#VALUE!</v>
      </c>
      <c r="IK89" t="e">
        <f>'All regions'!B2455+"$F;@!%th"</f>
        <v>#VALUE!</v>
      </c>
      <c r="IL89" t="e">
        <f>'All regions'!C2455+"$F;@!%ti"</f>
        <v>#VALUE!</v>
      </c>
      <c r="IM89" t="e">
        <f>'All regions'!D2455+"$F;@!%tj"</f>
        <v>#VALUE!</v>
      </c>
      <c r="IN89" t="e">
        <f>'All regions'!E2455+"$F;@!%tk"</f>
        <v>#VALUE!</v>
      </c>
      <c r="IO89" t="e">
        <f>'All regions'!F2455+"$F;@!%tl"</f>
        <v>#VALUE!</v>
      </c>
      <c r="IP89" t="e">
        <f>'All regions'!G2455+"$F;@!%tm"</f>
        <v>#VALUE!</v>
      </c>
      <c r="IQ89" t="e">
        <f>'All regions'!H2455+"$F;@!%tn"</f>
        <v>#VALUE!</v>
      </c>
      <c r="IR89" t="e">
        <f>'All regions'!I2455+"$F;@!%to"</f>
        <v>#VALUE!</v>
      </c>
      <c r="IS89" t="e">
        <f>'All regions'!A2456+"$F;@!%tp"</f>
        <v>#VALUE!</v>
      </c>
      <c r="IT89" t="e">
        <f>'All regions'!B2456+"$F;@!%tq"</f>
        <v>#VALUE!</v>
      </c>
      <c r="IU89" t="e">
        <f>'All regions'!C2456+"$F;@!%tr"</f>
        <v>#VALUE!</v>
      </c>
      <c r="IV89" t="e">
        <f>'All regions'!D2456+"$F;@!%ts"</f>
        <v>#VALUE!</v>
      </c>
    </row>
    <row r="90" spans="6:256" x14ac:dyDescent="0.35">
      <c r="F90" t="e">
        <f>'All regions'!E2456+"$F;@!%tt"</f>
        <v>#VALUE!</v>
      </c>
      <c r="G90" t="e">
        <f>'All regions'!F2456+"$F;@!%tu"</f>
        <v>#VALUE!</v>
      </c>
      <c r="H90" t="e">
        <f>'All regions'!G2456+"$F;@!%tv"</f>
        <v>#VALUE!</v>
      </c>
      <c r="I90" t="e">
        <f>'All regions'!H2456+"$F;@!%tw"</f>
        <v>#VALUE!</v>
      </c>
      <c r="J90" t="e">
        <f>'All regions'!I2456+"$F;@!%tx"</f>
        <v>#VALUE!</v>
      </c>
      <c r="K90" t="e">
        <f>'All regions'!A2457+"$F;@!%ty"</f>
        <v>#VALUE!</v>
      </c>
      <c r="L90" t="e">
        <f>'All regions'!B2457+"$F;@!%tz"</f>
        <v>#VALUE!</v>
      </c>
      <c r="M90" t="e">
        <f>'All regions'!C2457+"$F;@!%t{"</f>
        <v>#VALUE!</v>
      </c>
      <c r="N90" t="e">
        <f>'All regions'!D2457+"$F;@!%t|"</f>
        <v>#VALUE!</v>
      </c>
      <c r="O90" t="e">
        <f>'All regions'!E2457+"$F;@!%t}"</f>
        <v>#VALUE!</v>
      </c>
      <c r="P90" t="e">
        <f>'All regions'!F2457+"$F;@!%t~"</f>
        <v>#VALUE!</v>
      </c>
      <c r="Q90" t="e">
        <f>'All regions'!G2457+"$F;@!%u#"</f>
        <v>#VALUE!</v>
      </c>
      <c r="R90" t="e">
        <f>'All regions'!H2457+"$F;@!%u$"</f>
        <v>#VALUE!</v>
      </c>
      <c r="S90" t="e">
        <f>'All regions'!I2457+"$F;@!%u%"</f>
        <v>#VALUE!</v>
      </c>
      <c r="T90" t="e">
        <f>'All regions'!A2458+"$F;@!%u&amp;"</f>
        <v>#VALUE!</v>
      </c>
      <c r="U90" t="e">
        <f>'All regions'!B2458+"$F;@!%u'"</f>
        <v>#VALUE!</v>
      </c>
      <c r="V90" t="e">
        <f>'All regions'!C2458+"$F;@!%u("</f>
        <v>#VALUE!</v>
      </c>
      <c r="W90" t="e">
        <f>'All regions'!D2458+"$F;@!%u)"</f>
        <v>#VALUE!</v>
      </c>
      <c r="X90" t="e">
        <f>'All regions'!E2458+"$F;@!%u."</f>
        <v>#VALUE!</v>
      </c>
      <c r="Y90" t="e">
        <f>'All regions'!F2458+"$F;@!%u/"</f>
        <v>#VALUE!</v>
      </c>
      <c r="Z90" t="e">
        <f>'All regions'!G2458+"$F;@!%u0"</f>
        <v>#VALUE!</v>
      </c>
      <c r="AA90" t="e">
        <f>'All regions'!H2458+"$F;@!%u1"</f>
        <v>#VALUE!</v>
      </c>
      <c r="AB90" t="e">
        <f>'All regions'!I2458+"$F;@!%u2"</f>
        <v>#VALUE!</v>
      </c>
      <c r="AC90" t="e">
        <f>'All regions'!A2459+"$F;@!%u3"</f>
        <v>#VALUE!</v>
      </c>
      <c r="AD90" t="e">
        <f>'All regions'!B2459+"$F;@!%u4"</f>
        <v>#VALUE!</v>
      </c>
      <c r="AE90" t="e">
        <f>'All regions'!C2459+"$F;@!%u5"</f>
        <v>#VALUE!</v>
      </c>
      <c r="AF90" t="e">
        <f>'All regions'!D2459+"$F;@!%u6"</f>
        <v>#VALUE!</v>
      </c>
      <c r="AG90" t="e">
        <f>'All regions'!E2459+"$F;@!%u7"</f>
        <v>#VALUE!</v>
      </c>
      <c r="AH90" t="e">
        <f>'All regions'!F2459+"$F;@!%u8"</f>
        <v>#VALUE!</v>
      </c>
      <c r="AI90" t="e">
        <f>'All regions'!G2459+"$F;@!%u9"</f>
        <v>#VALUE!</v>
      </c>
      <c r="AJ90" t="e">
        <f>'All regions'!H2459+"$F;@!%u:"</f>
        <v>#VALUE!</v>
      </c>
      <c r="AK90" t="e">
        <f>'All regions'!I2459+"$F;@!%u;"</f>
        <v>#VALUE!</v>
      </c>
      <c r="AL90" t="e">
        <f>'All regions'!A2460+"$F;@!%u&lt;"</f>
        <v>#VALUE!</v>
      </c>
      <c r="AM90" t="e">
        <f>'All regions'!B2460+"$F;@!%u="</f>
        <v>#VALUE!</v>
      </c>
      <c r="AN90" t="e">
        <f>'All regions'!C2460+"$F;@!%u&gt;"</f>
        <v>#VALUE!</v>
      </c>
      <c r="AO90" t="e">
        <f>'All regions'!D2460+"$F;@!%u?"</f>
        <v>#VALUE!</v>
      </c>
      <c r="AP90" t="e">
        <f>'All regions'!E2460+"$F;@!%u@"</f>
        <v>#VALUE!</v>
      </c>
      <c r="AQ90" t="e">
        <f>'All regions'!F2460+"$F;@!%uA"</f>
        <v>#VALUE!</v>
      </c>
      <c r="AR90" t="e">
        <f>'All regions'!G2460+"$F;@!%uB"</f>
        <v>#VALUE!</v>
      </c>
      <c r="AS90" t="e">
        <f>'All regions'!H2460+"$F;@!%uC"</f>
        <v>#VALUE!</v>
      </c>
      <c r="AT90" t="e">
        <f>'All regions'!I2460+"$F;@!%uD"</f>
        <v>#VALUE!</v>
      </c>
      <c r="AU90" t="e">
        <f>'All regions'!A2461+"$F;@!%uE"</f>
        <v>#VALUE!</v>
      </c>
      <c r="AV90" t="e">
        <f>'All regions'!B2461+"$F;@!%uF"</f>
        <v>#VALUE!</v>
      </c>
      <c r="AW90" t="e">
        <f>'All regions'!C2461+"$F;@!%uG"</f>
        <v>#VALUE!</v>
      </c>
      <c r="AX90" t="e">
        <f>'All regions'!D2461+"$F;@!%uH"</f>
        <v>#VALUE!</v>
      </c>
      <c r="AY90" t="e">
        <f>'All regions'!E2461+"$F;@!%uI"</f>
        <v>#VALUE!</v>
      </c>
      <c r="AZ90" t="e">
        <f>'All regions'!F2461+"$F;@!%uJ"</f>
        <v>#VALUE!</v>
      </c>
      <c r="BA90" t="e">
        <f>'All regions'!G2461+"$F;@!%uK"</f>
        <v>#VALUE!</v>
      </c>
      <c r="BB90" t="e">
        <f>'All regions'!H2461+"$F;@!%uL"</f>
        <v>#VALUE!</v>
      </c>
      <c r="BC90" t="e">
        <f>'All regions'!I2461+"$F;@!%uM"</f>
        <v>#VALUE!</v>
      </c>
      <c r="BD90" t="e">
        <f>'All regions'!A2462+"$F;@!%uN"</f>
        <v>#VALUE!</v>
      </c>
      <c r="BE90" t="e">
        <f>'All regions'!B2462+"$F;@!%uO"</f>
        <v>#VALUE!</v>
      </c>
      <c r="BF90" t="e">
        <f>'All regions'!C2462+"$F;@!%uP"</f>
        <v>#VALUE!</v>
      </c>
      <c r="BG90" t="e">
        <f>'All regions'!D2462+"$F;@!%uQ"</f>
        <v>#VALUE!</v>
      </c>
      <c r="BH90" t="e">
        <f>'All regions'!E2462+"$F;@!%uR"</f>
        <v>#VALUE!</v>
      </c>
      <c r="BI90" t="e">
        <f>'All regions'!F2462+"$F;@!%uS"</f>
        <v>#VALUE!</v>
      </c>
      <c r="BJ90" t="e">
        <f>'All regions'!G2462+"$F;@!%uT"</f>
        <v>#VALUE!</v>
      </c>
      <c r="BK90" t="e">
        <f>'All regions'!H2462+"$F;@!%uU"</f>
        <v>#VALUE!</v>
      </c>
      <c r="BL90" t="e">
        <f>'All regions'!I2462+"$F;@!%uV"</f>
        <v>#VALUE!</v>
      </c>
      <c r="BM90" t="e">
        <f>'All regions'!A2463+"$F;@!%uW"</f>
        <v>#VALUE!</v>
      </c>
      <c r="BN90" t="e">
        <f>'All regions'!B2463+"$F;@!%uX"</f>
        <v>#VALUE!</v>
      </c>
      <c r="BO90" t="e">
        <f>'All regions'!C2463+"$F;@!%uY"</f>
        <v>#VALUE!</v>
      </c>
      <c r="BP90" t="e">
        <f>'All regions'!D2463+"$F;@!%uZ"</f>
        <v>#VALUE!</v>
      </c>
      <c r="BQ90" t="e">
        <f>'All regions'!E2463+"$F;@!%u["</f>
        <v>#VALUE!</v>
      </c>
      <c r="BR90" t="e">
        <f>'All regions'!F2463+"$F;@!%u\"</f>
        <v>#VALUE!</v>
      </c>
      <c r="BS90" t="e">
        <f>'All regions'!G2463+"$F;@!%u]"</f>
        <v>#VALUE!</v>
      </c>
      <c r="BT90" t="e">
        <f>'All regions'!H2463+"$F;@!%u^"</f>
        <v>#VALUE!</v>
      </c>
      <c r="BU90" t="e">
        <f>'All regions'!I2463+"$F;@!%u_"</f>
        <v>#VALUE!</v>
      </c>
      <c r="BV90" t="e">
        <f>'All regions'!A2464+"$F;@!%u`"</f>
        <v>#VALUE!</v>
      </c>
      <c r="BW90" t="e">
        <f>'All regions'!B2464+"$F;@!%ua"</f>
        <v>#VALUE!</v>
      </c>
      <c r="BX90" t="e">
        <f>'All regions'!C2464+"$F;@!%ub"</f>
        <v>#VALUE!</v>
      </c>
      <c r="BY90" t="e">
        <f>'All regions'!D2464+"$F;@!%uc"</f>
        <v>#VALUE!</v>
      </c>
      <c r="BZ90" t="e">
        <f>'All regions'!E2464+"$F;@!%ud"</f>
        <v>#VALUE!</v>
      </c>
      <c r="CA90" t="e">
        <f>'All regions'!F2464+"$F;@!%ue"</f>
        <v>#VALUE!</v>
      </c>
      <c r="CB90" t="e">
        <f>'All regions'!G2464+"$F;@!%uf"</f>
        <v>#VALUE!</v>
      </c>
      <c r="CC90" t="e">
        <f>'All regions'!H2464+"$F;@!%ug"</f>
        <v>#VALUE!</v>
      </c>
      <c r="CD90" t="e">
        <f>'All regions'!I2464+"$F;@!%uh"</f>
        <v>#VALUE!</v>
      </c>
      <c r="CE90" t="e">
        <f>'All regions'!A2465+"$F;@!%ui"</f>
        <v>#VALUE!</v>
      </c>
      <c r="CF90" t="e">
        <f>'All regions'!B2465+"$F;@!%uj"</f>
        <v>#VALUE!</v>
      </c>
      <c r="CG90" t="e">
        <f>'All regions'!C2465+"$F;@!%uk"</f>
        <v>#VALUE!</v>
      </c>
      <c r="CH90" t="e">
        <f>'All regions'!D2465+"$F;@!%ul"</f>
        <v>#VALUE!</v>
      </c>
      <c r="CI90" t="e">
        <f>'All regions'!E2465+"$F;@!%um"</f>
        <v>#VALUE!</v>
      </c>
      <c r="CJ90" t="e">
        <f>'All regions'!F2465+"$F;@!%un"</f>
        <v>#VALUE!</v>
      </c>
      <c r="CK90" t="e">
        <f>'All regions'!G2465+"$F;@!%uo"</f>
        <v>#VALUE!</v>
      </c>
      <c r="CL90" t="e">
        <f>'All regions'!H2465+"$F;@!%up"</f>
        <v>#VALUE!</v>
      </c>
      <c r="CM90" t="e">
        <f>'All regions'!I2465+"$F;@!%uq"</f>
        <v>#VALUE!</v>
      </c>
      <c r="CN90" t="e">
        <f>'All regions'!A2466+"$F;@!%ur"</f>
        <v>#VALUE!</v>
      </c>
      <c r="CO90" t="e">
        <f>'All regions'!B2466+"$F;@!%us"</f>
        <v>#VALUE!</v>
      </c>
      <c r="CP90" t="e">
        <f>'All regions'!C2466+"$F;@!%ut"</f>
        <v>#VALUE!</v>
      </c>
      <c r="CQ90" t="e">
        <f>'All regions'!D2466+"$F;@!%uu"</f>
        <v>#VALUE!</v>
      </c>
      <c r="CR90" t="e">
        <f>'All regions'!E2466+"$F;@!%uv"</f>
        <v>#VALUE!</v>
      </c>
      <c r="CS90" t="e">
        <f>'All regions'!F2466+"$F;@!%uw"</f>
        <v>#VALUE!</v>
      </c>
      <c r="CT90" t="e">
        <f>'All regions'!G2466+"$F;@!%ux"</f>
        <v>#VALUE!</v>
      </c>
      <c r="CU90" t="e">
        <f>'All regions'!H2466+"$F;@!%uy"</f>
        <v>#VALUE!</v>
      </c>
      <c r="CV90" t="e">
        <f>'All regions'!I2466+"$F;@!%uz"</f>
        <v>#VALUE!</v>
      </c>
      <c r="CW90" t="e">
        <f>'All regions'!A2467+"$F;@!%u{"</f>
        <v>#VALUE!</v>
      </c>
      <c r="CX90" t="e">
        <f>'All regions'!B2467+"$F;@!%u|"</f>
        <v>#VALUE!</v>
      </c>
      <c r="CY90" t="e">
        <f>'All regions'!C2467+"$F;@!%u}"</f>
        <v>#VALUE!</v>
      </c>
      <c r="CZ90" t="e">
        <f>'All regions'!D2467+"$F;@!%u~"</f>
        <v>#VALUE!</v>
      </c>
      <c r="DA90" t="e">
        <f>'All regions'!E2467+"$F;@!%v#"</f>
        <v>#VALUE!</v>
      </c>
      <c r="DB90" t="e">
        <f>'All regions'!F2467+"$F;@!%v$"</f>
        <v>#VALUE!</v>
      </c>
      <c r="DC90" t="e">
        <f>'All regions'!G2467+"$F;@!%v%"</f>
        <v>#VALUE!</v>
      </c>
      <c r="DD90" t="e">
        <f>'All regions'!H2467+"$F;@!%v&amp;"</f>
        <v>#VALUE!</v>
      </c>
      <c r="DE90" t="e">
        <f>'All regions'!I2467+"$F;@!%v'"</f>
        <v>#VALUE!</v>
      </c>
      <c r="DF90" t="e">
        <f>'All regions'!A2468+"$F;@!%v("</f>
        <v>#VALUE!</v>
      </c>
      <c r="DG90" t="e">
        <f>'All regions'!B2468+"$F;@!%v)"</f>
        <v>#VALUE!</v>
      </c>
      <c r="DH90" t="e">
        <f>'All regions'!C2468+"$F;@!%v."</f>
        <v>#VALUE!</v>
      </c>
      <c r="DI90" t="e">
        <f>'All regions'!D2468+"$F;@!%v/"</f>
        <v>#VALUE!</v>
      </c>
      <c r="DJ90" t="e">
        <f>'All regions'!E2468+"$F;@!%v0"</f>
        <v>#VALUE!</v>
      </c>
      <c r="DK90" t="e">
        <f>'All regions'!F2468+"$F;@!%v1"</f>
        <v>#VALUE!</v>
      </c>
      <c r="DL90" t="e">
        <f>'All regions'!G2468+"$F;@!%v2"</f>
        <v>#VALUE!</v>
      </c>
      <c r="DM90" t="e">
        <f>'All regions'!H2468+"$F;@!%v3"</f>
        <v>#VALUE!</v>
      </c>
      <c r="DN90" t="e">
        <f>'All regions'!I2468+"$F;@!%v4"</f>
        <v>#VALUE!</v>
      </c>
      <c r="DO90" t="e">
        <f>'All regions'!A2469+"$F;@!%v5"</f>
        <v>#VALUE!</v>
      </c>
      <c r="DP90" t="e">
        <f>'All regions'!B2469+"$F;@!%v6"</f>
        <v>#VALUE!</v>
      </c>
      <c r="DQ90" t="e">
        <f>'All regions'!C2469+"$F;@!%v7"</f>
        <v>#VALUE!</v>
      </c>
      <c r="DR90" t="e">
        <f>'All regions'!D2469+"$F;@!%v8"</f>
        <v>#VALUE!</v>
      </c>
      <c r="DS90" t="e">
        <f>'All regions'!E2469+"$F;@!%v9"</f>
        <v>#VALUE!</v>
      </c>
      <c r="DT90" t="e">
        <f>'All regions'!F2469+"$F;@!%v:"</f>
        <v>#VALUE!</v>
      </c>
      <c r="DU90" t="e">
        <f>'All regions'!G2469+"$F;@!%v;"</f>
        <v>#VALUE!</v>
      </c>
      <c r="DV90" t="e">
        <f>'All regions'!H2469+"$F;@!%v&lt;"</f>
        <v>#VALUE!</v>
      </c>
      <c r="DW90" t="e">
        <f>'All regions'!I2469+"$F;@!%v="</f>
        <v>#VALUE!</v>
      </c>
      <c r="DX90" t="e">
        <f>'All regions'!A2470+"$F;@!%v&gt;"</f>
        <v>#VALUE!</v>
      </c>
      <c r="DY90" t="e">
        <f>'All regions'!B2470+"$F;@!%v?"</f>
        <v>#VALUE!</v>
      </c>
      <c r="DZ90" t="e">
        <f>'All regions'!C2470+"$F;@!%v@"</f>
        <v>#VALUE!</v>
      </c>
      <c r="EA90" t="e">
        <f>'All regions'!D2470+"$F;@!%vA"</f>
        <v>#VALUE!</v>
      </c>
      <c r="EB90" t="e">
        <f>'All regions'!E2470+"$F;@!%vB"</f>
        <v>#VALUE!</v>
      </c>
      <c r="EC90" t="e">
        <f>'All regions'!F2470+"$F;@!%vC"</f>
        <v>#VALUE!</v>
      </c>
      <c r="ED90" t="e">
        <f>'All regions'!G2470+"$F;@!%vD"</f>
        <v>#VALUE!</v>
      </c>
      <c r="EE90" t="e">
        <f>'All regions'!H2470+"$F;@!%vE"</f>
        <v>#VALUE!</v>
      </c>
      <c r="EF90" t="e">
        <f>'All regions'!I2470+"$F;@!%vF"</f>
        <v>#VALUE!</v>
      </c>
      <c r="EG90" t="e">
        <f>'All regions'!A2471+"$F;@!%vG"</f>
        <v>#VALUE!</v>
      </c>
      <c r="EH90" t="e">
        <f>'All regions'!B2471+"$F;@!%vH"</f>
        <v>#VALUE!</v>
      </c>
      <c r="EI90" t="e">
        <f>'All regions'!C2471+"$F;@!%vI"</f>
        <v>#VALUE!</v>
      </c>
      <c r="EJ90" t="e">
        <f>'All regions'!D2471+"$F;@!%vJ"</f>
        <v>#VALUE!</v>
      </c>
      <c r="EK90" t="e">
        <f>'All regions'!E2471+"$F;@!%vK"</f>
        <v>#VALUE!</v>
      </c>
      <c r="EL90" t="e">
        <f>'All regions'!F2471+"$F;@!%vL"</f>
        <v>#VALUE!</v>
      </c>
      <c r="EM90" t="e">
        <f>'All regions'!G2471+"$F;@!%vM"</f>
        <v>#VALUE!</v>
      </c>
      <c r="EN90" t="e">
        <f>'All regions'!H2471+"$F;@!%vN"</f>
        <v>#VALUE!</v>
      </c>
      <c r="EO90" t="e">
        <f>'All regions'!I2471+"$F;@!%vO"</f>
        <v>#VALUE!</v>
      </c>
      <c r="EP90" t="e">
        <f>'All regions'!A2472+"$F;@!%vP"</f>
        <v>#VALUE!</v>
      </c>
      <c r="EQ90" t="e">
        <f>'All regions'!B2472+"$F;@!%vQ"</f>
        <v>#VALUE!</v>
      </c>
      <c r="ER90" t="e">
        <f>'All regions'!C2472+"$F;@!%vR"</f>
        <v>#VALUE!</v>
      </c>
      <c r="ES90" t="e">
        <f>'All regions'!D2472+"$F;@!%vS"</f>
        <v>#VALUE!</v>
      </c>
      <c r="ET90" t="e">
        <f>'All regions'!E2472+"$F;@!%vT"</f>
        <v>#VALUE!</v>
      </c>
      <c r="EU90" t="e">
        <f>'All regions'!F2472+"$F;@!%vU"</f>
        <v>#VALUE!</v>
      </c>
      <c r="EV90" t="e">
        <f>'All regions'!G2472+"$F;@!%vV"</f>
        <v>#VALUE!</v>
      </c>
      <c r="EW90" t="e">
        <f>'All regions'!H2472+"$F;@!%vW"</f>
        <v>#VALUE!</v>
      </c>
      <c r="EX90" t="e">
        <f>'All regions'!I2472+"$F;@!%vX"</f>
        <v>#VALUE!</v>
      </c>
      <c r="EY90" t="e">
        <f>'All regions'!A2473+"$F;@!%vY"</f>
        <v>#VALUE!</v>
      </c>
      <c r="EZ90" t="e">
        <f>'All regions'!B2473+"$F;@!%vZ"</f>
        <v>#VALUE!</v>
      </c>
      <c r="FA90" t="e">
        <f>'All regions'!C2473+"$F;@!%v["</f>
        <v>#VALUE!</v>
      </c>
      <c r="FB90" t="e">
        <f>'All regions'!D2473+"$F;@!%v\"</f>
        <v>#VALUE!</v>
      </c>
      <c r="FC90" t="e">
        <f>'All regions'!E2473+"$F;@!%v]"</f>
        <v>#VALUE!</v>
      </c>
      <c r="FD90" t="e">
        <f>'All regions'!F2473+"$F;@!%v^"</f>
        <v>#VALUE!</v>
      </c>
      <c r="FE90" t="e">
        <f>'All regions'!G2473+"$F;@!%v_"</f>
        <v>#VALUE!</v>
      </c>
      <c r="FF90" t="e">
        <f>'All regions'!H2473+"$F;@!%v`"</f>
        <v>#VALUE!</v>
      </c>
      <c r="FG90" t="e">
        <f>'All regions'!I2473+"$F;@!%va"</f>
        <v>#VALUE!</v>
      </c>
      <c r="FH90" t="e">
        <f>'All regions'!A2474+"$F;@!%vb"</f>
        <v>#VALUE!</v>
      </c>
      <c r="FI90" t="e">
        <f>'All regions'!B2474+"$F;@!%vc"</f>
        <v>#VALUE!</v>
      </c>
      <c r="FJ90" t="e">
        <f>'All regions'!C2474+"$F;@!%vd"</f>
        <v>#VALUE!</v>
      </c>
      <c r="FK90" t="e">
        <f>'All regions'!D2474+"$F;@!%ve"</f>
        <v>#VALUE!</v>
      </c>
      <c r="FL90" t="e">
        <f>'All regions'!E2474+"$F;@!%vf"</f>
        <v>#VALUE!</v>
      </c>
      <c r="FM90" t="e">
        <f>'All regions'!F2474+"$F;@!%vg"</f>
        <v>#VALUE!</v>
      </c>
      <c r="FN90" t="e">
        <f>'All regions'!G2474+"$F;@!%vh"</f>
        <v>#VALUE!</v>
      </c>
      <c r="FO90" t="e">
        <f>'All regions'!H2474+"$F;@!%vi"</f>
        <v>#VALUE!</v>
      </c>
      <c r="FP90" t="e">
        <f>'All regions'!I2474+"$F;@!%vj"</f>
        <v>#VALUE!</v>
      </c>
      <c r="FQ90" t="e">
        <f>'All regions'!A2475+"$F;@!%vk"</f>
        <v>#VALUE!</v>
      </c>
      <c r="FR90" t="e">
        <f>'All regions'!B2475+"$F;@!%vl"</f>
        <v>#VALUE!</v>
      </c>
      <c r="FS90" t="e">
        <f>'All regions'!C2475+"$F;@!%vm"</f>
        <v>#VALUE!</v>
      </c>
      <c r="FT90" t="e">
        <f>'All regions'!D2475+"$F;@!%vn"</f>
        <v>#VALUE!</v>
      </c>
      <c r="FU90" t="e">
        <f>'All regions'!E2475+"$F;@!%vo"</f>
        <v>#VALUE!</v>
      </c>
      <c r="FV90" t="e">
        <f>'All regions'!F2475+"$F;@!%vp"</f>
        <v>#VALUE!</v>
      </c>
      <c r="FW90" t="e">
        <f>'All regions'!G2475+"$F;@!%vq"</f>
        <v>#VALUE!</v>
      </c>
      <c r="FX90" t="e">
        <f>'All regions'!H2475+"$F;@!%vr"</f>
        <v>#VALUE!</v>
      </c>
      <c r="FY90" t="e">
        <f>'All regions'!I2475+"$F;@!%vs"</f>
        <v>#VALUE!</v>
      </c>
      <c r="FZ90" t="e">
        <f>'All regions'!A2476+"$F;@!%vt"</f>
        <v>#VALUE!</v>
      </c>
      <c r="GA90" t="e">
        <f>'All regions'!B2476+"$F;@!%vu"</f>
        <v>#VALUE!</v>
      </c>
      <c r="GB90" t="e">
        <f>'All regions'!C2476+"$F;@!%vv"</f>
        <v>#VALUE!</v>
      </c>
      <c r="GC90" t="e">
        <f>'All regions'!D2476+"$F;@!%vw"</f>
        <v>#VALUE!</v>
      </c>
      <c r="GD90" t="e">
        <f>'All regions'!E2476+"$F;@!%vx"</f>
        <v>#VALUE!</v>
      </c>
      <c r="GE90" t="e">
        <f>'All regions'!F2476+"$F;@!%vy"</f>
        <v>#VALUE!</v>
      </c>
      <c r="GF90" t="e">
        <f>'All regions'!G2476+"$F;@!%vz"</f>
        <v>#VALUE!</v>
      </c>
      <c r="GG90" t="e">
        <f>'All regions'!H2476+"$F;@!%v{"</f>
        <v>#VALUE!</v>
      </c>
      <c r="GH90" t="e">
        <f>'All regions'!I2476+"$F;@!%v|"</f>
        <v>#VALUE!</v>
      </c>
      <c r="GI90" t="e">
        <f>'All regions'!A2477+"$F;@!%v}"</f>
        <v>#VALUE!</v>
      </c>
      <c r="GJ90" t="e">
        <f>'All regions'!B2477+"$F;@!%v~"</f>
        <v>#VALUE!</v>
      </c>
      <c r="GK90" t="e">
        <f>'All regions'!C2477+"$F;@!%w#"</f>
        <v>#VALUE!</v>
      </c>
      <c r="GL90" t="e">
        <f>'All regions'!D2477+"$F;@!%w$"</f>
        <v>#VALUE!</v>
      </c>
      <c r="GM90" t="e">
        <f>'All regions'!E2477+"$F;@!%w%"</f>
        <v>#VALUE!</v>
      </c>
      <c r="GN90" t="e">
        <f>'All regions'!F2477+"$F;@!%w&amp;"</f>
        <v>#VALUE!</v>
      </c>
      <c r="GO90" t="e">
        <f>'All regions'!G2477+"$F;@!%w'"</f>
        <v>#VALUE!</v>
      </c>
      <c r="GP90" t="e">
        <f>'All regions'!H2477+"$F;@!%w("</f>
        <v>#VALUE!</v>
      </c>
      <c r="GQ90" t="e">
        <f>'All regions'!I2477+"$F;@!%w)"</f>
        <v>#VALUE!</v>
      </c>
      <c r="GR90" t="e">
        <f>'All regions'!A2478+"$F;@!%w."</f>
        <v>#VALUE!</v>
      </c>
      <c r="GS90" t="e">
        <f>'All regions'!B2478+"$F;@!%w/"</f>
        <v>#VALUE!</v>
      </c>
      <c r="GT90" t="e">
        <f>'All regions'!C2478+"$F;@!%w0"</f>
        <v>#VALUE!</v>
      </c>
      <c r="GU90" t="e">
        <f>'All regions'!D2478+"$F;@!%w1"</f>
        <v>#VALUE!</v>
      </c>
      <c r="GV90" t="e">
        <f>'All regions'!E2478+"$F;@!%w2"</f>
        <v>#VALUE!</v>
      </c>
      <c r="GW90" t="e">
        <f>'All regions'!F2478+"$F;@!%w3"</f>
        <v>#VALUE!</v>
      </c>
      <c r="GX90" t="e">
        <f>'All regions'!G2478+"$F;@!%w4"</f>
        <v>#VALUE!</v>
      </c>
      <c r="GY90" t="e">
        <f>'All regions'!H2478+"$F;@!%w5"</f>
        <v>#VALUE!</v>
      </c>
      <c r="GZ90" t="e">
        <f>'All regions'!I2478+"$F;@!%w6"</f>
        <v>#VALUE!</v>
      </c>
      <c r="HA90" t="e">
        <f>'All regions'!A2479+"$F;@!%w7"</f>
        <v>#VALUE!</v>
      </c>
      <c r="HB90" t="e">
        <f>'All regions'!B2479+"$F;@!%w8"</f>
        <v>#VALUE!</v>
      </c>
      <c r="HC90" t="e">
        <f>'All regions'!C2479+"$F;@!%w9"</f>
        <v>#VALUE!</v>
      </c>
      <c r="HD90" t="e">
        <f>'All regions'!D2479+"$F;@!%w:"</f>
        <v>#VALUE!</v>
      </c>
      <c r="HE90" t="e">
        <f>'All regions'!E2479+"$F;@!%w;"</f>
        <v>#VALUE!</v>
      </c>
      <c r="HF90" t="e">
        <f>'All regions'!F2479+"$F;@!%w&lt;"</f>
        <v>#VALUE!</v>
      </c>
      <c r="HG90" t="e">
        <f>'All regions'!G2479+"$F;@!%w="</f>
        <v>#VALUE!</v>
      </c>
      <c r="HH90" t="e">
        <f>'All regions'!H2479+"$F;@!%w&gt;"</f>
        <v>#VALUE!</v>
      </c>
      <c r="HI90" t="e">
        <f>'All regions'!I2479+"$F;@!%w?"</f>
        <v>#VALUE!</v>
      </c>
      <c r="HJ90" t="e">
        <f>'All regions'!A2480+"$F;@!%w@"</f>
        <v>#VALUE!</v>
      </c>
      <c r="HK90" t="e">
        <f>'All regions'!B2480+"$F;@!%wA"</f>
        <v>#VALUE!</v>
      </c>
      <c r="HL90" t="e">
        <f>'All regions'!C2480+"$F;@!%wB"</f>
        <v>#VALUE!</v>
      </c>
      <c r="HM90" t="e">
        <f>'All regions'!D2480+"$F;@!%wC"</f>
        <v>#VALUE!</v>
      </c>
      <c r="HN90" t="e">
        <f>'All regions'!E2480+"$F;@!%wD"</f>
        <v>#VALUE!</v>
      </c>
      <c r="HO90" t="e">
        <f>'All regions'!F2480+"$F;@!%wE"</f>
        <v>#VALUE!</v>
      </c>
      <c r="HP90" t="e">
        <f>'All regions'!G2480+"$F;@!%wF"</f>
        <v>#VALUE!</v>
      </c>
      <c r="HQ90" t="e">
        <f>'All regions'!H2480+"$F;@!%wG"</f>
        <v>#VALUE!</v>
      </c>
      <c r="HR90" t="e">
        <f>'All regions'!I2480+"$F;@!%wH"</f>
        <v>#VALUE!</v>
      </c>
      <c r="HS90" t="e">
        <f>'All regions'!A2481+"$F;@!%wI"</f>
        <v>#VALUE!</v>
      </c>
      <c r="HT90" t="e">
        <f>'All regions'!B2481+"$F;@!%wJ"</f>
        <v>#VALUE!</v>
      </c>
      <c r="HU90" t="e">
        <f>'All regions'!C2481+"$F;@!%wK"</f>
        <v>#VALUE!</v>
      </c>
      <c r="HV90" t="e">
        <f>'All regions'!D2481+"$F;@!%wL"</f>
        <v>#VALUE!</v>
      </c>
      <c r="HW90" t="e">
        <f>'All regions'!E2481+"$F;@!%wM"</f>
        <v>#VALUE!</v>
      </c>
      <c r="HX90" t="e">
        <f>'All regions'!F2481+"$F;@!%wN"</f>
        <v>#VALUE!</v>
      </c>
      <c r="HY90" t="e">
        <f>'All regions'!G2481+"$F;@!%wO"</f>
        <v>#VALUE!</v>
      </c>
      <c r="HZ90" t="e">
        <f>'All regions'!H2481+"$F;@!%wP"</f>
        <v>#VALUE!</v>
      </c>
      <c r="IA90" t="e">
        <f>'All regions'!I2481+"$F;@!%wQ"</f>
        <v>#VALUE!</v>
      </c>
      <c r="IB90" t="e">
        <f>'All regions'!A2482+"$F;@!%wR"</f>
        <v>#VALUE!</v>
      </c>
      <c r="IC90" t="e">
        <f>'All regions'!B2482+"$F;@!%wS"</f>
        <v>#VALUE!</v>
      </c>
      <c r="ID90" t="e">
        <f>'All regions'!C2482+"$F;@!%wT"</f>
        <v>#VALUE!</v>
      </c>
      <c r="IE90" t="e">
        <f>'All regions'!D2482+"$F;@!%wU"</f>
        <v>#VALUE!</v>
      </c>
      <c r="IF90" t="e">
        <f>'All regions'!E2482+"$F;@!%wV"</f>
        <v>#VALUE!</v>
      </c>
      <c r="IG90" t="e">
        <f>'All regions'!F2482+"$F;@!%wW"</f>
        <v>#VALUE!</v>
      </c>
      <c r="IH90" t="e">
        <f>'All regions'!G2482+"$F;@!%wX"</f>
        <v>#VALUE!</v>
      </c>
      <c r="II90" t="e">
        <f>'All regions'!H2482+"$F;@!%wY"</f>
        <v>#VALUE!</v>
      </c>
      <c r="IJ90" t="e">
        <f>'All regions'!I2482+"$F;@!%wZ"</f>
        <v>#VALUE!</v>
      </c>
      <c r="IK90" t="e">
        <f>'All regions'!A2483+"$F;@!%w["</f>
        <v>#VALUE!</v>
      </c>
      <c r="IL90" t="e">
        <f>'All regions'!B2483+"$F;@!%w\"</f>
        <v>#VALUE!</v>
      </c>
      <c r="IM90" t="e">
        <f>'All regions'!C2483+"$F;@!%w]"</f>
        <v>#VALUE!</v>
      </c>
      <c r="IN90" t="e">
        <f>'All regions'!D2483+"$F;@!%w^"</f>
        <v>#VALUE!</v>
      </c>
      <c r="IO90" t="e">
        <f>'All regions'!E2483+"$F;@!%w_"</f>
        <v>#VALUE!</v>
      </c>
      <c r="IP90" t="e">
        <f>'All regions'!F2483+"$F;@!%w`"</f>
        <v>#VALUE!</v>
      </c>
      <c r="IQ90" t="e">
        <f>'All regions'!G2483+"$F;@!%wa"</f>
        <v>#VALUE!</v>
      </c>
      <c r="IR90" t="e">
        <f>'All regions'!H2483+"$F;@!%wb"</f>
        <v>#VALUE!</v>
      </c>
      <c r="IS90" t="e">
        <f>'All regions'!I2483+"$F;@!%wc"</f>
        <v>#VALUE!</v>
      </c>
      <c r="IT90" t="e">
        <f>'All regions'!A2484+"$F;@!%wd"</f>
        <v>#VALUE!</v>
      </c>
      <c r="IU90" t="e">
        <f>'All regions'!B2484+"$F;@!%we"</f>
        <v>#VALUE!</v>
      </c>
      <c r="IV90" t="e">
        <f>'All regions'!C2484+"$F;@!%wf"</f>
        <v>#VALUE!</v>
      </c>
    </row>
    <row r="91" spans="6:256" x14ac:dyDescent="0.35">
      <c r="F91" t="e">
        <f>'All regions'!D2484+"$F;@!%wg"</f>
        <v>#VALUE!</v>
      </c>
      <c r="G91" t="e">
        <f>'All regions'!E2484+"$F;@!%wh"</f>
        <v>#VALUE!</v>
      </c>
      <c r="H91" t="e">
        <f>'All regions'!F2484+"$F;@!%wi"</f>
        <v>#VALUE!</v>
      </c>
      <c r="I91" t="e">
        <f>'All regions'!G2484+"$F;@!%wj"</f>
        <v>#VALUE!</v>
      </c>
      <c r="J91" t="e">
        <f>'All regions'!H2484+"$F;@!%wk"</f>
        <v>#VALUE!</v>
      </c>
      <c r="K91" t="e">
        <f>'All regions'!I2484+"$F;@!%wl"</f>
        <v>#VALUE!</v>
      </c>
      <c r="L91" t="e">
        <f>'All regions'!A2485+"$F;@!%wm"</f>
        <v>#VALUE!</v>
      </c>
      <c r="M91" t="e">
        <f>'All regions'!B2485+"$F;@!%wn"</f>
        <v>#VALUE!</v>
      </c>
      <c r="N91" t="e">
        <f>'All regions'!C2485+"$F;@!%wo"</f>
        <v>#VALUE!</v>
      </c>
      <c r="O91" t="e">
        <f>'All regions'!D2485+"$F;@!%wp"</f>
        <v>#VALUE!</v>
      </c>
      <c r="P91" t="e">
        <f>'All regions'!E2485+"$F;@!%wq"</f>
        <v>#VALUE!</v>
      </c>
      <c r="Q91" t="e">
        <f>'All regions'!F2485+"$F;@!%wr"</f>
        <v>#VALUE!</v>
      </c>
      <c r="R91" t="e">
        <f>'All regions'!G2485+"$F;@!%ws"</f>
        <v>#VALUE!</v>
      </c>
      <c r="S91" t="e">
        <f>'All regions'!H2485+"$F;@!%wt"</f>
        <v>#VALUE!</v>
      </c>
      <c r="T91" t="e">
        <f>'All regions'!I2485+"$F;@!%wu"</f>
        <v>#VALUE!</v>
      </c>
      <c r="U91" t="e">
        <f>'All regions'!A2486+"$F;@!%wv"</f>
        <v>#VALUE!</v>
      </c>
      <c r="V91" t="e">
        <f>'All regions'!B2486+"$F;@!%ww"</f>
        <v>#VALUE!</v>
      </c>
      <c r="W91" t="e">
        <f>'All regions'!C2486+"$F;@!%wx"</f>
        <v>#VALUE!</v>
      </c>
      <c r="X91" t="e">
        <f>'All regions'!D2486+"$F;@!%wy"</f>
        <v>#VALUE!</v>
      </c>
      <c r="Y91" t="e">
        <f>'All regions'!E2486+"$F;@!%wz"</f>
        <v>#VALUE!</v>
      </c>
      <c r="Z91" t="e">
        <f>'All regions'!F2486+"$F;@!%w{"</f>
        <v>#VALUE!</v>
      </c>
      <c r="AA91" t="e">
        <f>'All regions'!G2486+"$F;@!%w|"</f>
        <v>#VALUE!</v>
      </c>
      <c r="AB91" t="e">
        <f>'All regions'!H2486+"$F;@!%w}"</f>
        <v>#VALUE!</v>
      </c>
      <c r="AC91" t="e">
        <f>'All regions'!I2486+"$F;@!%w~"</f>
        <v>#VALUE!</v>
      </c>
      <c r="AD91" t="e">
        <f>'All regions'!A2487+"$F;@!%x#"</f>
        <v>#VALUE!</v>
      </c>
      <c r="AE91" t="e">
        <f>'All regions'!B2487+"$F;@!%x$"</f>
        <v>#VALUE!</v>
      </c>
      <c r="AF91" t="e">
        <f>'All regions'!C2487+"$F;@!%x%"</f>
        <v>#VALUE!</v>
      </c>
      <c r="AG91" t="e">
        <f>'All regions'!D2487+"$F;@!%x&amp;"</f>
        <v>#VALUE!</v>
      </c>
      <c r="AH91" t="e">
        <f>'All regions'!E2487+"$F;@!%x'"</f>
        <v>#VALUE!</v>
      </c>
      <c r="AI91" t="e">
        <f>'All regions'!F2487+"$F;@!%x("</f>
        <v>#VALUE!</v>
      </c>
      <c r="AJ91" t="e">
        <f>'All regions'!G2487+"$F;@!%x)"</f>
        <v>#VALUE!</v>
      </c>
      <c r="AK91" t="e">
        <f>'All regions'!H2487+"$F;@!%x."</f>
        <v>#VALUE!</v>
      </c>
      <c r="AL91" t="e">
        <f>'All regions'!I2487+"$F;@!%x/"</f>
        <v>#VALUE!</v>
      </c>
      <c r="AM91" t="e">
        <f>'All regions'!A2488+"$F;@!%x0"</f>
        <v>#VALUE!</v>
      </c>
      <c r="AN91" t="e">
        <f>'All regions'!B2488+"$F;@!%x1"</f>
        <v>#VALUE!</v>
      </c>
      <c r="AO91" t="e">
        <f>'All regions'!C2488+"$F;@!%x2"</f>
        <v>#VALUE!</v>
      </c>
      <c r="AP91" t="e">
        <f>'All regions'!D2488+"$F;@!%x3"</f>
        <v>#VALUE!</v>
      </c>
      <c r="AQ91" t="e">
        <f>'All regions'!E2488+"$F;@!%x4"</f>
        <v>#VALUE!</v>
      </c>
      <c r="AR91" t="e">
        <f>'All regions'!F2488+"$F;@!%x5"</f>
        <v>#VALUE!</v>
      </c>
      <c r="AS91" t="e">
        <f>'All regions'!G2488+"$F;@!%x6"</f>
        <v>#VALUE!</v>
      </c>
      <c r="AT91" t="e">
        <f>'All regions'!H2488+"$F;@!%x7"</f>
        <v>#VALUE!</v>
      </c>
      <c r="AU91" t="e">
        <f>'All regions'!I2488+"$F;@!%x8"</f>
        <v>#VALUE!</v>
      </c>
      <c r="AV91" t="e">
        <f>'All regions'!A2489+"$F;@!%x9"</f>
        <v>#VALUE!</v>
      </c>
      <c r="AW91" t="e">
        <f>'All regions'!B2489+"$F;@!%x:"</f>
        <v>#VALUE!</v>
      </c>
      <c r="AX91" t="e">
        <f>'All regions'!C2489+"$F;@!%x;"</f>
        <v>#VALUE!</v>
      </c>
      <c r="AY91" t="e">
        <f>'All regions'!D2489+"$F;@!%x&lt;"</f>
        <v>#VALUE!</v>
      </c>
      <c r="AZ91" t="e">
        <f>'All regions'!E2489+"$F;@!%x="</f>
        <v>#VALUE!</v>
      </c>
      <c r="BA91" t="e">
        <f>'All regions'!F2489+"$F;@!%x&gt;"</f>
        <v>#VALUE!</v>
      </c>
      <c r="BB91" t="e">
        <f>'All regions'!G2489+"$F;@!%x?"</f>
        <v>#VALUE!</v>
      </c>
      <c r="BC91" t="e">
        <f>'All regions'!H2489+"$F;@!%x@"</f>
        <v>#VALUE!</v>
      </c>
      <c r="BD91" t="e">
        <f>'All regions'!I2489+"$F;@!%xA"</f>
        <v>#VALUE!</v>
      </c>
      <c r="BE91" t="e">
        <f>'All regions'!A2490+"$F;@!%xB"</f>
        <v>#VALUE!</v>
      </c>
      <c r="BF91" t="e">
        <f>'All regions'!B2490+"$F;@!%xC"</f>
        <v>#VALUE!</v>
      </c>
      <c r="BG91" t="e">
        <f>'All regions'!C2490+"$F;@!%xD"</f>
        <v>#VALUE!</v>
      </c>
      <c r="BH91" t="e">
        <f>'All regions'!D2490+"$F;@!%xE"</f>
        <v>#VALUE!</v>
      </c>
      <c r="BI91" t="e">
        <f>'All regions'!E2490+"$F;@!%xF"</f>
        <v>#VALUE!</v>
      </c>
      <c r="BJ91" t="e">
        <f>'All regions'!F2490+"$F;@!%xG"</f>
        <v>#VALUE!</v>
      </c>
      <c r="BK91" t="e">
        <f>'All regions'!G2490+"$F;@!%xH"</f>
        <v>#VALUE!</v>
      </c>
      <c r="BL91" t="e">
        <f>'All regions'!H2490+"$F;@!%xI"</f>
        <v>#VALUE!</v>
      </c>
      <c r="BM91" t="e">
        <f>'All regions'!I2490+"$F;@!%xJ"</f>
        <v>#VALUE!</v>
      </c>
      <c r="BN91" t="e">
        <f>'All regions'!A2491+"$F;@!%xK"</f>
        <v>#VALUE!</v>
      </c>
      <c r="BO91" t="e">
        <f>'All regions'!B2491+"$F;@!%xL"</f>
        <v>#VALUE!</v>
      </c>
      <c r="BP91" t="e">
        <f>'All regions'!C2491+"$F;@!%xM"</f>
        <v>#VALUE!</v>
      </c>
      <c r="BQ91" t="e">
        <f>'All regions'!D2491+"$F;@!%xN"</f>
        <v>#VALUE!</v>
      </c>
      <c r="BR91" t="e">
        <f>'All regions'!E2491+"$F;@!%xO"</f>
        <v>#VALUE!</v>
      </c>
      <c r="BS91" t="e">
        <f>'All regions'!F2491+"$F;@!%xP"</f>
        <v>#VALUE!</v>
      </c>
      <c r="BT91" t="e">
        <f>'All regions'!G2491+"$F;@!%xQ"</f>
        <v>#VALUE!</v>
      </c>
      <c r="BU91" t="e">
        <f>'All regions'!H2491+"$F;@!%xR"</f>
        <v>#VALUE!</v>
      </c>
      <c r="BV91" t="e">
        <f>'All regions'!I2491+"$F;@!%xS"</f>
        <v>#VALUE!</v>
      </c>
      <c r="BW91" t="e">
        <f>'All regions'!A2492+"$F;@!%xT"</f>
        <v>#VALUE!</v>
      </c>
      <c r="BX91" t="e">
        <f>'All regions'!B2492+"$F;@!%xU"</f>
        <v>#VALUE!</v>
      </c>
      <c r="BY91" t="e">
        <f>'All regions'!C2492+"$F;@!%xV"</f>
        <v>#VALUE!</v>
      </c>
      <c r="BZ91" t="e">
        <f>'All regions'!D2492+"$F;@!%xW"</f>
        <v>#VALUE!</v>
      </c>
      <c r="CA91" t="e">
        <f>'All regions'!E2492+"$F;@!%xX"</f>
        <v>#VALUE!</v>
      </c>
      <c r="CB91" t="e">
        <f>'All regions'!F2492+"$F;@!%xY"</f>
        <v>#VALUE!</v>
      </c>
      <c r="CC91" t="e">
        <f>'All regions'!G2492+"$F;@!%xZ"</f>
        <v>#VALUE!</v>
      </c>
      <c r="CD91" t="e">
        <f>'All regions'!H2492+"$F;@!%x["</f>
        <v>#VALUE!</v>
      </c>
      <c r="CE91" t="e">
        <f>'All regions'!I2492+"$F;@!%x\"</f>
        <v>#VALUE!</v>
      </c>
      <c r="CF91" t="e">
        <f>'All regions'!A2493+"$F;@!%x]"</f>
        <v>#VALUE!</v>
      </c>
      <c r="CG91" t="e">
        <f>'All regions'!B2493+"$F;@!%x^"</f>
        <v>#VALUE!</v>
      </c>
      <c r="CH91" t="e">
        <f>'All regions'!C2493+"$F;@!%x_"</f>
        <v>#VALUE!</v>
      </c>
      <c r="CI91" t="e">
        <f>'All regions'!D2493+"$F;@!%x`"</f>
        <v>#VALUE!</v>
      </c>
      <c r="CJ91" t="e">
        <f>'All regions'!E2493+"$F;@!%xa"</f>
        <v>#VALUE!</v>
      </c>
      <c r="CK91" t="e">
        <f>'All regions'!F2493+"$F;@!%xb"</f>
        <v>#VALUE!</v>
      </c>
      <c r="CL91" t="e">
        <f>'All regions'!G2493+"$F;@!%xc"</f>
        <v>#VALUE!</v>
      </c>
      <c r="CM91" t="e">
        <f>'All regions'!H2493+"$F;@!%xd"</f>
        <v>#VALUE!</v>
      </c>
      <c r="CN91" t="e">
        <f>'All regions'!I2493+"$F;@!%xe"</f>
        <v>#VALUE!</v>
      </c>
      <c r="CO91" t="e">
        <f>'All regions'!A2494+"$F;@!%xf"</f>
        <v>#VALUE!</v>
      </c>
      <c r="CP91" t="e">
        <f>'All regions'!B2494+"$F;@!%xg"</f>
        <v>#VALUE!</v>
      </c>
      <c r="CQ91" t="e">
        <f>'All regions'!C2494+"$F;@!%xh"</f>
        <v>#VALUE!</v>
      </c>
      <c r="CR91" t="e">
        <f>'All regions'!D2494+"$F;@!%xi"</f>
        <v>#VALUE!</v>
      </c>
      <c r="CS91" t="e">
        <f>'All regions'!E2494+"$F;@!%xj"</f>
        <v>#VALUE!</v>
      </c>
      <c r="CT91" t="e">
        <f>'All regions'!F2494+"$F;@!%xk"</f>
        <v>#VALUE!</v>
      </c>
      <c r="CU91" t="e">
        <f>'All regions'!G2494+"$F;@!%xl"</f>
        <v>#VALUE!</v>
      </c>
      <c r="CV91" t="e">
        <f>'All regions'!H2494+"$F;@!%xm"</f>
        <v>#VALUE!</v>
      </c>
      <c r="CW91" t="e">
        <f>'All regions'!I2494+"$F;@!%xn"</f>
        <v>#VALUE!</v>
      </c>
      <c r="CX91" t="e">
        <f>'All regions'!A2495+"$F;@!%xo"</f>
        <v>#VALUE!</v>
      </c>
      <c r="CY91" t="e">
        <f>'All regions'!B2495+"$F;@!%xp"</f>
        <v>#VALUE!</v>
      </c>
      <c r="CZ91" t="e">
        <f>'All regions'!C2495+"$F;@!%xq"</f>
        <v>#VALUE!</v>
      </c>
      <c r="DA91" t="e">
        <f>'All regions'!D2495+"$F;@!%xr"</f>
        <v>#VALUE!</v>
      </c>
      <c r="DB91" t="e">
        <f>'All regions'!E2495+"$F;@!%xs"</f>
        <v>#VALUE!</v>
      </c>
      <c r="DC91" t="e">
        <f>'All regions'!F2495+"$F;@!%xt"</f>
        <v>#VALUE!</v>
      </c>
      <c r="DD91" t="e">
        <f>'All regions'!G2495+"$F;@!%xu"</f>
        <v>#VALUE!</v>
      </c>
      <c r="DE91" t="e">
        <f>'All regions'!H2495+"$F;@!%xv"</f>
        <v>#VALUE!</v>
      </c>
      <c r="DF91" t="e">
        <f>'All regions'!I2495+"$F;@!%xw"</f>
        <v>#VALUE!</v>
      </c>
      <c r="DG91" t="e">
        <f>'All regions'!A2496+"$F;@!%xx"</f>
        <v>#VALUE!</v>
      </c>
      <c r="DH91" t="e">
        <f>'All regions'!B2496+"$F;@!%xy"</f>
        <v>#VALUE!</v>
      </c>
      <c r="DI91" t="e">
        <f>'All regions'!C2496+"$F;@!%xz"</f>
        <v>#VALUE!</v>
      </c>
      <c r="DJ91" t="e">
        <f>'All regions'!D2496+"$F;@!%x{"</f>
        <v>#VALUE!</v>
      </c>
      <c r="DK91" t="e">
        <f>'All regions'!E2496+"$F;@!%x|"</f>
        <v>#VALUE!</v>
      </c>
      <c r="DL91" t="e">
        <f>'All regions'!F2496+"$F;@!%x}"</f>
        <v>#VALUE!</v>
      </c>
      <c r="DM91" t="e">
        <f>'All regions'!G2496+"$F;@!%x~"</f>
        <v>#VALUE!</v>
      </c>
      <c r="DN91" t="e">
        <f>'All regions'!H2496+"$F;@!%y#"</f>
        <v>#VALUE!</v>
      </c>
      <c r="DO91" t="e">
        <f>'All regions'!I2496+"$F;@!%y$"</f>
        <v>#VALUE!</v>
      </c>
      <c r="DP91" t="e">
        <f>'All regions'!A2497+"$F;@!%y%"</f>
        <v>#VALUE!</v>
      </c>
      <c r="DQ91" t="e">
        <f>'All regions'!B2497+"$F;@!%y&amp;"</f>
        <v>#VALUE!</v>
      </c>
      <c r="DR91" t="e">
        <f>'All regions'!C2497+"$F;@!%y'"</f>
        <v>#VALUE!</v>
      </c>
      <c r="DS91" t="e">
        <f>'All regions'!D2497+"$F;@!%y("</f>
        <v>#VALUE!</v>
      </c>
      <c r="DT91" t="e">
        <f>'All regions'!E2497+"$F;@!%y)"</f>
        <v>#VALUE!</v>
      </c>
      <c r="DU91" t="e">
        <f>'All regions'!F2497+"$F;@!%y."</f>
        <v>#VALUE!</v>
      </c>
      <c r="DV91" t="e">
        <f>'All regions'!G2497+"$F;@!%y/"</f>
        <v>#VALUE!</v>
      </c>
      <c r="DW91" t="e">
        <f>'All regions'!H2497+"$F;@!%y0"</f>
        <v>#VALUE!</v>
      </c>
      <c r="DX91" t="e">
        <f>'All regions'!I2497+"$F;@!%y1"</f>
        <v>#VALUE!</v>
      </c>
      <c r="DY91" t="e">
        <f>'All regions'!A2498+"$F;@!%y2"</f>
        <v>#VALUE!</v>
      </c>
      <c r="DZ91" t="e">
        <f>'All regions'!B2498+"$F;@!%y3"</f>
        <v>#VALUE!</v>
      </c>
      <c r="EA91" t="e">
        <f>'All regions'!C2498+"$F;@!%y4"</f>
        <v>#VALUE!</v>
      </c>
      <c r="EB91" t="e">
        <f>'All regions'!D2498+"$F;@!%y5"</f>
        <v>#VALUE!</v>
      </c>
      <c r="EC91" t="e">
        <f>'All regions'!E2498+"$F;@!%y6"</f>
        <v>#VALUE!</v>
      </c>
      <c r="ED91" t="e">
        <f>'All regions'!F2498+"$F;@!%y7"</f>
        <v>#VALUE!</v>
      </c>
      <c r="EE91" t="e">
        <f>'All regions'!G2498+"$F;@!%y8"</f>
        <v>#VALUE!</v>
      </c>
      <c r="EF91" t="e">
        <f>'All regions'!H2498+"$F;@!%y9"</f>
        <v>#VALUE!</v>
      </c>
      <c r="EG91" t="e">
        <f>'All regions'!I2498+"$F;@!%y:"</f>
        <v>#VALUE!</v>
      </c>
      <c r="EH91" t="e">
        <f>'All regions'!A2499+"$F;@!%y;"</f>
        <v>#VALUE!</v>
      </c>
      <c r="EI91" t="e">
        <f>'All regions'!B2499+"$F;@!%y&lt;"</f>
        <v>#VALUE!</v>
      </c>
      <c r="EJ91" t="e">
        <f>'All regions'!C2499+"$F;@!%y="</f>
        <v>#VALUE!</v>
      </c>
      <c r="EK91" t="e">
        <f>'All regions'!D2499+"$F;@!%y&gt;"</f>
        <v>#VALUE!</v>
      </c>
      <c r="EL91" t="e">
        <f>'All regions'!E2499+"$F;@!%y?"</f>
        <v>#VALUE!</v>
      </c>
      <c r="EM91" t="e">
        <f>'All regions'!F2499+"$F;@!%y@"</f>
        <v>#VALUE!</v>
      </c>
      <c r="EN91" t="e">
        <f>'All regions'!G2499+"$F;@!%yA"</f>
        <v>#VALUE!</v>
      </c>
      <c r="EO91" t="e">
        <f>'All regions'!H2499+"$F;@!%yB"</f>
        <v>#VALUE!</v>
      </c>
      <c r="EP91" t="e">
        <f>'All regions'!I2499+"$F;@!%yC"</f>
        <v>#VALUE!</v>
      </c>
      <c r="EQ91" t="e">
        <f>'All regions'!A2500+"$F;@!%yD"</f>
        <v>#VALUE!</v>
      </c>
      <c r="ER91" t="e">
        <f>'All regions'!B2500+"$F;@!%yE"</f>
        <v>#VALUE!</v>
      </c>
      <c r="ES91" t="e">
        <f>'All regions'!C2500+"$F;@!%yF"</f>
        <v>#VALUE!</v>
      </c>
      <c r="ET91" t="e">
        <f>'All regions'!D2500+"$F;@!%yG"</f>
        <v>#VALUE!</v>
      </c>
      <c r="EU91" t="e">
        <f>'All regions'!E2500+"$F;@!%yH"</f>
        <v>#VALUE!</v>
      </c>
      <c r="EV91" t="e">
        <f>'All regions'!F2500+"$F;@!%yI"</f>
        <v>#VALUE!</v>
      </c>
      <c r="EW91" t="e">
        <f>'All regions'!G2500+"$F;@!%yJ"</f>
        <v>#VALUE!</v>
      </c>
      <c r="EX91" t="e">
        <f>'All regions'!H2500+"$F;@!%yK"</f>
        <v>#VALUE!</v>
      </c>
      <c r="EY91" t="e">
        <f>'All regions'!I2500+"$F;@!%yL"</f>
        <v>#VALUE!</v>
      </c>
      <c r="EZ91" t="e">
        <f>'All regions'!A2501+"$F;@!%yM"</f>
        <v>#VALUE!</v>
      </c>
      <c r="FA91" t="e">
        <f>'All regions'!B2501+"$F;@!%yN"</f>
        <v>#VALUE!</v>
      </c>
      <c r="FB91" t="e">
        <f>'All regions'!C2501+"$F;@!%yO"</f>
        <v>#VALUE!</v>
      </c>
      <c r="FC91" t="e">
        <f>'All regions'!D2501+"$F;@!%yP"</f>
        <v>#VALUE!</v>
      </c>
      <c r="FD91" t="e">
        <f>'All regions'!E2501+"$F;@!%yQ"</f>
        <v>#VALUE!</v>
      </c>
      <c r="FE91" t="e">
        <f>'All regions'!F2501+"$F;@!%yR"</f>
        <v>#VALUE!</v>
      </c>
      <c r="FF91" t="e">
        <f>'All regions'!G2501+"$F;@!%yS"</f>
        <v>#VALUE!</v>
      </c>
      <c r="FG91" t="e">
        <f>'All regions'!H2501+"$F;@!%yT"</f>
        <v>#VALUE!</v>
      </c>
      <c r="FH91" t="e">
        <f>'All regions'!I2501+"$F;@!%yU"</f>
        <v>#VALUE!</v>
      </c>
      <c r="FI91" t="e">
        <f>'All regions'!A2502+"$F;@!%yV"</f>
        <v>#VALUE!</v>
      </c>
      <c r="FJ91" t="e">
        <f>'All regions'!B2502+"$F;@!%yW"</f>
        <v>#VALUE!</v>
      </c>
      <c r="FK91" t="e">
        <f>'All regions'!C2502+"$F;@!%yX"</f>
        <v>#VALUE!</v>
      </c>
      <c r="FL91" t="e">
        <f>'All regions'!D2502+"$F;@!%yY"</f>
        <v>#VALUE!</v>
      </c>
      <c r="FM91" t="e">
        <f>'All regions'!E2502+"$F;@!%yZ"</f>
        <v>#VALUE!</v>
      </c>
      <c r="FN91" t="e">
        <f>'All regions'!F2502+"$F;@!%y["</f>
        <v>#VALUE!</v>
      </c>
      <c r="FO91" t="e">
        <f>'All regions'!G2502+"$F;@!%y\"</f>
        <v>#VALUE!</v>
      </c>
      <c r="FP91" t="e">
        <f>'All regions'!H2502+"$F;@!%y]"</f>
        <v>#VALUE!</v>
      </c>
      <c r="FQ91" t="e">
        <f>'All regions'!I2502+"$F;@!%y^"</f>
        <v>#VALUE!</v>
      </c>
      <c r="FR91" t="e">
        <f>'All regions'!A2503+"$F;@!%y_"</f>
        <v>#VALUE!</v>
      </c>
      <c r="FS91" t="e">
        <f>'All regions'!B2503+"$F;@!%y`"</f>
        <v>#VALUE!</v>
      </c>
      <c r="FT91" t="e">
        <f>'All regions'!C2503+"$F;@!%ya"</f>
        <v>#VALUE!</v>
      </c>
      <c r="FU91" t="e">
        <f>'All regions'!D2503+"$F;@!%yb"</f>
        <v>#VALUE!</v>
      </c>
      <c r="FV91" t="e">
        <f>'All regions'!E2503+"$F;@!%yc"</f>
        <v>#VALUE!</v>
      </c>
      <c r="FW91" t="e">
        <f>'All regions'!F2503+"$F;@!%yd"</f>
        <v>#VALUE!</v>
      </c>
      <c r="FX91" t="e">
        <f>'All regions'!G2503+"$F;@!%ye"</f>
        <v>#VALUE!</v>
      </c>
      <c r="FY91" t="e">
        <f>'All regions'!H2503+"$F;@!%yf"</f>
        <v>#VALUE!</v>
      </c>
      <c r="FZ91" t="e">
        <f>'All regions'!I2503+"$F;@!%yg"</f>
        <v>#VALUE!</v>
      </c>
      <c r="GA91" t="e">
        <f>'All regions'!A2504+"$F;@!%yh"</f>
        <v>#VALUE!</v>
      </c>
      <c r="GB91" t="e">
        <f>'All regions'!B2504+"$F;@!%yi"</f>
        <v>#VALUE!</v>
      </c>
      <c r="GC91" t="e">
        <f>'All regions'!C2504+"$F;@!%yj"</f>
        <v>#VALUE!</v>
      </c>
      <c r="GD91" t="e">
        <f>'All regions'!D2504+"$F;@!%yk"</f>
        <v>#VALUE!</v>
      </c>
      <c r="GE91" t="e">
        <f>'All regions'!E2504+"$F;@!%yl"</f>
        <v>#VALUE!</v>
      </c>
      <c r="GF91" t="e">
        <f>'All regions'!F2504+"$F;@!%ym"</f>
        <v>#VALUE!</v>
      </c>
      <c r="GG91" t="e">
        <f>'All regions'!G2504+"$F;@!%yn"</f>
        <v>#VALUE!</v>
      </c>
      <c r="GH91" t="e">
        <f>'All regions'!H2504+"$F;@!%yo"</f>
        <v>#VALUE!</v>
      </c>
      <c r="GI91" t="e">
        <f>'All regions'!I2504+"$F;@!%yp"</f>
        <v>#VALUE!</v>
      </c>
      <c r="GJ91" t="e">
        <f>'All regions'!A2505+"$F;@!%yq"</f>
        <v>#VALUE!</v>
      </c>
      <c r="GK91" t="e">
        <f>'All regions'!B2505+"$F;@!%yr"</f>
        <v>#VALUE!</v>
      </c>
      <c r="GL91" t="e">
        <f>'All regions'!C2505+"$F;@!%ys"</f>
        <v>#VALUE!</v>
      </c>
      <c r="GM91" t="e">
        <f>'All regions'!D2505+"$F;@!%yt"</f>
        <v>#VALUE!</v>
      </c>
      <c r="GN91" t="e">
        <f>'All regions'!E2505+"$F;@!%yu"</f>
        <v>#VALUE!</v>
      </c>
      <c r="GO91" t="e">
        <f>'All regions'!F2505+"$F;@!%yv"</f>
        <v>#VALUE!</v>
      </c>
      <c r="GP91" t="e">
        <f>'All regions'!G2505+"$F;@!%yw"</f>
        <v>#VALUE!</v>
      </c>
      <c r="GQ91" t="e">
        <f>'All regions'!H2505+"$F;@!%yx"</f>
        <v>#VALUE!</v>
      </c>
      <c r="GR91" t="e">
        <f>'All regions'!I2505+"$F;@!%yy"</f>
        <v>#VALUE!</v>
      </c>
      <c r="GS91" t="e">
        <f>'All regions'!A2506+"$F;@!%yz"</f>
        <v>#VALUE!</v>
      </c>
      <c r="GT91" t="e">
        <f>'All regions'!B2506+"$F;@!%y{"</f>
        <v>#VALUE!</v>
      </c>
      <c r="GU91" t="e">
        <f>'All regions'!C2506+"$F;@!%y|"</f>
        <v>#VALUE!</v>
      </c>
      <c r="GV91" t="e">
        <f>'All regions'!D2506+"$F;@!%y}"</f>
        <v>#VALUE!</v>
      </c>
      <c r="GW91" t="e">
        <f>'All regions'!E2506+"$F;@!%y~"</f>
        <v>#VALUE!</v>
      </c>
      <c r="GX91" t="e">
        <f>'All regions'!F2506+"$F;@!%z#"</f>
        <v>#VALUE!</v>
      </c>
      <c r="GY91" t="e">
        <f>'All regions'!G2506+"$F;@!%z$"</f>
        <v>#VALUE!</v>
      </c>
      <c r="GZ91" t="e">
        <f>'All regions'!H2506+"$F;@!%z%"</f>
        <v>#VALUE!</v>
      </c>
      <c r="HA91" t="e">
        <f>'All regions'!I2506+"$F;@!%z&amp;"</f>
        <v>#VALUE!</v>
      </c>
      <c r="HB91" t="e">
        <f>'All regions'!A2507+"$F;@!%z'"</f>
        <v>#VALUE!</v>
      </c>
      <c r="HC91" t="e">
        <f>'All regions'!B2507+"$F;@!%z("</f>
        <v>#VALUE!</v>
      </c>
      <c r="HD91" t="e">
        <f>'All regions'!C2507+"$F;@!%z)"</f>
        <v>#VALUE!</v>
      </c>
      <c r="HE91" t="e">
        <f>'All regions'!D2507+"$F;@!%z."</f>
        <v>#VALUE!</v>
      </c>
      <c r="HF91" t="e">
        <f>'All regions'!E2507+"$F;@!%z/"</f>
        <v>#VALUE!</v>
      </c>
      <c r="HG91" t="e">
        <f>'All regions'!F2507+"$F;@!%z0"</f>
        <v>#VALUE!</v>
      </c>
      <c r="HH91" t="e">
        <f>'All regions'!G2507+"$F;@!%z1"</f>
        <v>#VALUE!</v>
      </c>
      <c r="HI91" t="e">
        <f>'All regions'!H2507+"$F;@!%z2"</f>
        <v>#VALUE!</v>
      </c>
      <c r="HJ91" t="e">
        <f>'All regions'!I2507+"$F;@!%z3"</f>
        <v>#VALUE!</v>
      </c>
      <c r="HK91" t="e">
        <f>'All regions'!A2508+"$F;@!%z4"</f>
        <v>#VALUE!</v>
      </c>
      <c r="HL91" t="e">
        <f>'All regions'!B2508+"$F;@!%z5"</f>
        <v>#VALUE!</v>
      </c>
      <c r="HM91" t="e">
        <f>'All regions'!C2508+"$F;@!%z6"</f>
        <v>#VALUE!</v>
      </c>
      <c r="HN91" t="e">
        <f>'All regions'!D2508+"$F;@!%z7"</f>
        <v>#VALUE!</v>
      </c>
      <c r="HO91" t="e">
        <f>'All regions'!E2508+"$F;@!%z8"</f>
        <v>#VALUE!</v>
      </c>
      <c r="HP91" t="e">
        <f>'All regions'!F2508+"$F;@!%z9"</f>
        <v>#VALUE!</v>
      </c>
      <c r="HQ91" t="e">
        <f>'All regions'!G2508+"$F;@!%z:"</f>
        <v>#VALUE!</v>
      </c>
      <c r="HR91" t="e">
        <f>'All regions'!H2508+"$F;@!%z;"</f>
        <v>#VALUE!</v>
      </c>
      <c r="HS91" t="e">
        <f>'All regions'!I2508+"$F;@!%z&lt;"</f>
        <v>#VALUE!</v>
      </c>
      <c r="HT91" t="e">
        <f>'All regions'!A2509+"$F;@!%z="</f>
        <v>#VALUE!</v>
      </c>
      <c r="HU91" t="e">
        <f>'All regions'!B2509+"$F;@!%z&gt;"</f>
        <v>#VALUE!</v>
      </c>
      <c r="HV91" t="e">
        <f>'All regions'!C2509+"$F;@!%z?"</f>
        <v>#VALUE!</v>
      </c>
      <c r="HW91" t="e">
        <f>'All regions'!D2509+"$F;@!%z@"</f>
        <v>#VALUE!</v>
      </c>
      <c r="HX91" t="e">
        <f>'All regions'!E2509+"$F;@!%zA"</f>
        <v>#VALUE!</v>
      </c>
      <c r="HY91" t="e">
        <f>'All regions'!F2509+"$F;@!%zB"</f>
        <v>#VALUE!</v>
      </c>
      <c r="HZ91" t="e">
        <f>'All regions'!G2509+"$F;@!%zC"</f>
        <v>#VALUE!</v>
      </c>
      <c r="IA91" t="e">
        <f>'All regions'!H2509+"$F;@!%zD"</f>
        <v>#VALUE!</v>
      </c>
      <c r="IB91" t="e">
        <f>'All regions'!I2509+"$F;@!%zE"</f>
        <v>#VALUE!</v>
      </c>
      <c r="IC91" t="e">
        <f>'All regions'!A2510+"$F;@!%zF"</f>
        <v>#VALUE!</v>
      </c>
      <c r="ID91" t="e">
        <f>'All regions'!B2510+"$F;@!%zG"</f>
        <v>#VALUE!</v>
      </c>
      <c r="IE91" t="e">
        <f>'All regions'!C2510+"$F;@!%zH"</f>
        <v>#VALUE!</v>
      </c>
      <c r="IF91" t="e">
        <f>'All regions'!D2510+"$F;@!%zI"</f>
        <v>#VALUE!</v>
      </c>
      <c r="IG91" t="e">
        <f>'All regions'!E2510+"$F;@!%zJ"</f>
        <v>#VALUE!</v>
      </c>
      <c r="IH91" t="e">
        <f>'All regions'!F2510+"$F;@!%zK"</f>
        <v>#VALUE!</v>
      </c>
      <c r="II91" t="e">
        <f>'All regions'!G2510+"$F;@!%zL"</f>
        <v>#VALUE!</v>
      </c>
      <c r="IJ91" t="e">
        <f>'All regions'!H2510+"$F;@!%zM"</f>
        <v>#VALUE!</v>
      </c>
      <c r="IK91" t="e">
        <f>'All regions'!I2510+"$F;@!%zN"</f>
        <v>#VALUE!</v>
      </c>
      <c r="IL91" t="e">
        <f>'All regions'!A2511+"$F;@!%zO"</f>
        <v>#VALUE!</v>
      </c>
      <c r="IM91" t="e">
        <f>'All regions'!B2511+"$F;@!%zP"</f>
        <v>#VALUE!</v>
      </c>
      <c r="IN91" t="e">
        <f>'All regions'!C2511+"$F;@!%zQ"</f>
        <v>#VALUE!</v>
      </c>
      <c r="IO91" t="e">
        <f>'All regions'!D2511+"$F;@!%zR"</f>
        <v>#VALUE!</v>
      </c>
      <c r="IP91" t="e">
        <f>'All regions'!E2511+"$F;@!%zS"</f>
        <v>#VALUE!</v>
      </c>
      <c r="IQ91" t="e">
        <f>'All regions'!F2511+"$F;@!%zT"</f>
        <v>#VALUE!</v>
      </c>
      <c r="IR91" t="e">
        <f>'All regions'!G2511+"$F;@!%zU"</f>
        <v>#VALUE!</v>
      </c>
      <c r="IS91" t="e">
        <f>'All regions'!H2511+"$F;@!%zV"</f>
        <v>#VALUE!</v>
      </c>
      <c r="IT91" t="e">
        <f>'All regions'!I2511+"$F;@!%zW"</f>
        <v>#VALUE!</v>
      </c>
      <c r="IU91" t="e">
        <f>'All regions'!A2512+"$F;@!%zX"</f>
        <v>#VALUE!</v>
      </c>
      <c r="IV91" t="e">
        <f>'All regions'!B2512+"$F;@!%zY"</f>
        <v>#VALUE!</v>
      </c>
    </row>
    <row r="92" spans="6:256" x14ac:dyDescent="0.35">
      <c r="F92" t="e">
        <f>'All regions'!C2512+"$F;@!%zZ"</f>
        <v>#VALUE!</v>
      </c>
      <c r="G92" t="e">
        <f>'All regions'!D2512+"$F;@!%z["</f>
        <v>#VALUE!</v>
      </c>
      <c r="H92" t="e">
        <f>'All regions'!E2512+"$F;@!%z\"</f>
        <v>#VALUE!</v>
      </c>
      <c r="I92" t="e">
        <f>'All regions'!F2512+"$F;@!%z]"</f>
        <v>#VALUE!</v>
      </c>
      <c r="J92" t="e">
        <f>'All regions'!G2512+"$F;@!%z^"</f>
        <v>#VALUE!</v>
      </c>
      <c r="K92" t="e">
        <f>'All regions'!H2512+"$F;@!%z_"</f>
        <v>#VALUE!</v>
      </c>
      <c r="L92" t="e">
        <f>'All regions'!I2512+"$F;@!%z`"</f>
        <v>#VALUE!</v>
      </c>
      <c r="M92" t="e">
        <f>'All regions'!A2513+"$F;@!%za"</f>
        <v>#VALUE!</v>
      </c>
      <c r="N92" t="e">
        <f>'All regions'!B2513+"$F;@!%zb"</f>
        <v>#VALUE!</v>
      </c>
      <c r="O92" t="e">
        <f>'All regions'!C2513+"$F;@!%zc"</f>
        <v>#VALUE!</v>
      </c>
      <c r="P92" t="e">
        <f>'All regions'!D2513+"$F;@!%zd"</f>
        <v>#VALUE!</v>
      </c>
      <c r="Q92" t="e">
        <f>'All regions'!E2513+"$F;@!%ze"</f>
        <v>#VALUE!</v>
      </c>
      <c r="R92" t="e">
        <f>'All regions'!F2513+"$F;@!%zf"</f>
        <v>#VALUE!</v>
      </c>
      <c r="S92" t="e">
        <f>'All regions'!G2513+"$F;@!%zg"</f>
        <v>#VALUE!</v>
      </c>
      <c r="T92" t="e">
        <f>'All regions'!H2513+"$F;@!%zh"</f>
        <v>#VALUE!</v>
      </c>
      <c r="U92" t="e">
        <f>'All regions'!I2513+"$F;@!%zi"</f>
        <v>#VALUE!</v>
      </c>
      <c r="V92" t="e">
        <f>'All regions'!A2514+"$F;@!%zj"</f>
        <v>#VALUE!</v>
      </c>
      <c r="W92" t="e">
        <f>'All regions'!B2514+"$F;@!%zk"</f>
        <v>#VALUE!</v>
      </c>
      <c r="X92" t="e">
        <f>'All regions'!C2514+"$F;@!%zl"</f>
        <v>#VALUE!</v>
      </c>
      <c r="Y92" t="e">
        <f>'All regions'!D2514+"$F;@!%zm"</f>
        <v>#VALUE!</v>
      </c>
      <c r="Z92" t="e">
        <f>'All regions'!E2514+"$F;@!%zn"</f>
        <v>#VALUE!</v>
      </c>
      <c r="AA92" t="e">
        <f>'All regions'!F2514+"$F;@!%zo"</f>
        <v>#VALUE!</v>
      </c>
      <c r="AB92" t="e">
        <f>'All regions'!G2514+"$F;@!%zp"</f>
        <v>#VALUE!</v>
      </c>
      <c r="AC92" t="e">
        <f>'All regions'!H2514+"$F;@!%zq"</f>
        <v>#VALUE!</v>
      </c>
      <c r="AD92" t="e">
        <f>'All regions'!I2514+"$F;@!%zr"</f>
        <v>#VALUE!</v>
      </c>
      <c r="AE92" t="e">
        <f>'All regions'!A2515+"$F;@!%zs"</f>
        <v>#VALUE!</v>
      </c>
      <c r="AF92" t="e">
        <f>'All regions'!B2515+"$F;@!%zt"</f>
        <v>#VALUE!</v>
      </c>
      <c r="AG92" t="e">
        <f>'All regions'!C2515+"$F;@!%zu"</f>
        <v>#VALUE!</v>
      </c>
      <c r="AH92" t="e">
        <f>'All regions'!D2515+"$F;@!%zv"</f>
        <v>#VALUE!</v>
      </c>
      <c r="AI92" t="e">
        <f>'All regions'!E2515+"$F;@!%zw"</f>
        <v>#VALUE!</v>
      </c>
      <c r="AJ92" t="e">
        <f>'All regions'!F2515+"$F;@!%zx"</f>
        <v>#VALUE!</v>
      </c>
      <c r="AK92" t="e">
        <f>'All regions'!G2515+"$F;@!%zy"</f>
        <v>#VALUE!</v>
      </c>
      <c r="AL92" t="e">
        <f>'All regions'!H2515+"$F;@!%zz"</f>
        <v>#VALUE!</v>
      </c>
      <c r="AM92" t="e">
        <f>'All regions'!I2515+"$F;@!%z{"</f>
        <v>#VALUE!</v>
      </c>
      <c r="AN92" t="e">
        <f>'All regions'!A2516+"$F;@!%z|"</f>
        <v>#VALUE!</v>
      </c>
      <c r="AO92" t="e">
        <f>'All regions'!B2516+"$F;@!%z}"</f>
        <v>#VALUE!</v>
      </c>
      <c r="AP92" t="e">
        <f>'All regions'!C2516+"$F;@!%z~"</f>
        <v>#VALUE!</v>
      </c>
      <c r="AQ92" t="e">
        <f>'All regions'!D2516+"$F;@!%{#"</f>
        <v>#VALUE!</v>
      </c>
      <c r="AR92" t="e">
        <f>'All regions'!E2516+"$F;@!%{$"</f>
        <v>#VALUE!</v>
      </c>
      <c r="AS92" t="e">
        <f>'All regions'!F2516+"$F;@!%{%"</f>
        <v>#VALUE!</v>
      </c>
      <c r="AT92" t="e">
        <f>'All regions'!G2516+"$F;@!%{&amp;"</f>
        <v>#VALUE!</v>
      </c>
      <c r="AU92" t="e">
        <f>'All regions'!H2516+"$F;@!%{'"</f>
        <v>#VALUE!</v>
      </c>
      <c r="AV92" t="e">
        <f>'All regions'!I2516+"$F;@!%{("</f>
        <v>#VALUE!</v>
      </c>
      <c r="AW92" t="e">
        <f>'All regions'!A2517+"$F;@!%{)"</f>
        <v>#VALUE!</v>
      </c>
      <c r="AX92" t="e">
        <f>'All regions'!B2517+"$F;@!%{."</f>
        <v>#VALUE!</v>
      </c>
      <c r="AY92" t="e">
        <f>'All regions'!C2517+"$F;@!%{/"</f>
        <v>#VALUE!</v>
      </c>
      <c r="AZ92" t="e">
        <f>'All regions'!D2517+"$F;@!%{0"</f>
        <v>#VALUE!</v>
      </c>
      <c r="BA92" t="e">
        <f>'All regions'!E2517+"$F;@!%{1"</f>
        <v>#VALUE!</v>
      </c>
      <c r="BB92" t="e">
        <f>'All regions'!F2517+"$F;@!%{2"</f>
        <v>#VALUE!</v>
      </c>
      <c r="BC92" t="e">
        <f>'All regions'!G2517+"$F;@!%{3"</f>
        <v>#VALUE!</v>
      </c>
      <c r="BD92" t="e">
        <f>'All regions'!H2517+"$F;@!%{4"</f>
        <v>#VALUE!</v>
      </c>
      <c r="BE92" t="e">
        <f>'All regions'!I2517+"$F;@!%{5"</f>
        <v>#VALUE!</v>
      </c>
      <c r="BF92" t="e">
        <f>'All regions'!A2518+"$F;@!%{6"</f>
        <v>#VALUE!</v>
      </c>
      <c r="BG92" t="e">
        <f>'All regions'!B2518+"$F;@!%{7"</f>
        <v>#VALUE!</v>
      </c>
      <c r="BH92" t="e">
        <f>'All regions'!C2518+"$F;@!%{8"</f>
        <v>#VALUE!</v>
      </c>
      <c r="BI92" t="e">
        <f>'All regions'!D2518+"$F;@!%{9"</f>
        <v>#VALUE!</v>
      </c>
      <c r="BJ92" t="e">
        <f>'All regions'!E2518+"$F;@!%{:"</f>
        <v>#VALUE!</v>
      </c>
      <c r="BK92" t="e">
        <f>'All regions'!F2518+"$F;@!%{;"</f>
        <v>#VALUE!</v>
      </c>
      <c r="BL92" t="e">
        <f>'All regions'!G2518+"$F;@!%{&lt;"</f>
        <v>#VALUE!</v>
      </c>
      <c r="BM92" t="e">
        <f>'All regions'!H2518+"$F;@!%{="</f>
        <v>#VALUE!</v>
      </c>
      <c r="BN92" t="e">
        <f>'All regions'!I2518+"$F;@!%{&gt;"</f>
        <v>#VALUE!</v>
      </c>
      <c r="BO92" t="e">
        <f>'All regions'!A2519+"$F;@!%{?"</f>
        <v>#VALUE!</v>
      </c>
      <c r="BP92" t="e">
        <f>'All regions'!B2519+"$F;@!%{@"</f>
        <v>#VALUE!</v>
      </c>
      <c r="BQ92" t="e">
        <f>'All regions'!C2519+"$F;@!%{A"</f>
        <v>#VALUE!</v>
      </c>
      <c r="BR92" t="e">
        <f>'All regions'!D2519+"$F;@!%{B"</f>
        <v>#VALUE!</v>
      </c>
      <c r="BS92" t="e">
        <f>'All regions'!E2519+"$F;@!%{C"</f>
        <v>#VALUE!</v>
      </c>
      <c r="BT92" t="e">
        <f>'All regions'!F2519+"$F;@!%{D"</f>
        <v>#VALUE!</v>
      </c>
      <c r="BU92" t="e">
        <f>'All regions'!G2519+"$F;@!%{E"</f>
        <v>#VALUE!</v>
      </c>
      <c r="BV92" t="e">
        <f>'All regions'!H2519+"$F;@!%{F"</f>
        <v>#VALUE!</v>
      </c>
      <c r="BW92" t="e">
        <f>'All regions'!I2519+"$F;@!%{G"</f>
        <v>#VALUE!</v>
      </c>
      <c r="BX92" t="e">
        <f>'All regions'!A2520+"$F;@!%{H"</f>
        <v>#VALUE!</v>
      </c>
      <c r="BY92" t="e">
        <f>'All regions'!B2520+"$F;@!%{I"</f>
        <v>#VALUE!</v>
      </c>
      <c r="BZ92" t="e">
        <f>'All regions'!C2520+"$F;@!%{J"</f>
        <v>#VALUE!</v>
      </c>
      <c r="CA92" t="e">
        <f>'All regions'!D2520+"$F;@!%{K"</f>
        <v>#VALUE!</v>
      </c>
      <c r="CB92" t="e">
        <f>'All regions'!E2520+"$F;@!%{L"</f>
        <v>#VALUE!</v>
      </c>
      <c r="CC92" t="e">
        <f>'All regions'!F2520+"$F;@!%{M"</f>
        <v>#VALUE!</v>
      </c>
      <c r="CD92" t="e">
        <f>'All regions'!G2520+"$F;@!%{N"</f>
        <v>#VALUE!</v>
      </c>
      <c r="CE92" t="e">
        <f>'All regions'!H2520+"$F;@!%{O"</f>
        <v>#VALUE!</v>
      </c>
      <c r="CF92" t="e">
        <f>'All regions'!I2520+"$F;@!%{P"</f>
        <v>#VALUE!</v>
      </c>
      <c r="CG92" t="e">
        <f>'All regions'!A2521+"$F;@!%{Q"</f>
        <v>#VALUE!</v>
      </c>
      <c r="CH92" t="e">
        <f>'All regions'!B2521+"$F;@!%{R"</f>
        <v>#VALUE!</v>
      </c>
      <c r="CI92" t="e">
        <f>'All regions'!C2521+"$F;@!%{S"</f>
        <v>#VALUE!</v>
      </c>
      <c r="CJ92" t="e">
        <f>'All regions'!D2521+"$F;@!%{T"</f>
        <v>#VALUE!</v>
      </c>
      <c r="CK92" t="e">
        <f>'All regions'!E2521+"$F;@!%{U"</f>
        <v>#VALUE!</v>
      </c>
      <c r="CL92" t="e">
        <f>'All regions'!F2521+"$F;@!%{V"</f>
        <v>#VALUE!</v>
      </c>
      <c r="CM92" t="e">
        <f>'All regions'!G2521+"$F;@!%{W"</f>
        <v>#VALUE!</v>
      </c>
      <c r="CN92" t="e">
        <f>'All regions'!H2521+"$F;@!%{X"</f>
        <v>#VALUE!</v>
      </c>
      <c r="CO92" t="e">
        <f>'All regions'!I2521+"$F;@!%{Y"</f>
        <v>#VALUE!</v>
      </c>
      <c r="CP92" t="e">
        <f>'All regions'!A2522+"$F;@!%{Z"</f>
        <v>#VALUE!</v>
      </c>
      <c r="CQ92" t="e">
        <f>'All regions'!B2522+"$F;@!%{["</f>
        <v>#VALUE!</v>
      </c>
      <c r="CR92" t="e">
        <f>'All regions'!C2522+"$F;@!%{\"</f>
        <v>#VALUE!</v>
      </c>
      <c r="CS92" t="e">
        <f>'All regions'!D2522+"$F;@!%{]"</f>
        <v>#VALUE!</v>
      </c>
      <c r="CT92" t="e">
        <f>'All regions'!E2522+"$F;@!%{^"</f>
        <v>#VALUE!</v>
      </c>
      <c r="CU92" t="e">
        <f>'All regions'!F2522+"$F;@!%{_"</f>
        <v>#VALUE!</v>
      </c>
      <c r="CV92" t="e">
        <f>'All regions'!G2522+"$F;@!%{`"</f>
        <v>#VALUE!</v>
      </c>
      <c r="CW92" t="e">
        <f>'All regions'!H2522+"$F;@!%{a"</f>
        <v>#VALUE!</v>
      </c>
      <c r="CX92" t="e">
        <f>'All regions'!I2522+"$F;@!%{b"</f>
        <v>#VALUE!</v>
      </c>
      <c r="CY92" t="e">
        <f>'All regions'!A2523+"$F;@!%{c"</f>
        <v>#VALUE!</v>
      </c>
      <c r="CZ92" t="e">
        <f>'All regions'!B2523+"$F;@!%{d"</f>
        <v>#VALUE!</v>
      </c>
      <c r="DA92" t="e">
        <f>'All regions'!C2523+"$F;@!%{e"</f>
        <v>#VALUE!</v>
      </c>
      <c r="DB92" t="e">
        <f>'All regions'!D2523+"$F;@!%{f"</f>
        <v>#VALUE!</v>
      </c>
      <c r="DC92" t="e">
        <f>'All regions'!E2523+"$F;@!%{g"</f>
        <v>#VALUE!</v>
      </c>
      <c r="DD92" t="e">
        <f>'All regions'!F2523+"$F;@!%{h"</f>
        <v>#VALUE!</v>
      </c>
      <c r="DE92" t="e">
        <f>'All regions'!G2523+"$F;@!%{i"</f>
        <v>#VALUE!</v>
      </c>
      <c r="DF92" t="e">
        <f>'All regions'!H2523+"$F;@!%{j"</f>
        <v>#VALUE!</v>
      </c>
      <c r="DG92" t="e">
        <f>'All regions'!I2523+"$F;@!%{k"</f>
        <v>#VALUE!</v>
      </c>
      <c r="DH92" t="e">
        <f>'All regions'!A2524+"$F;@!%{l"</f>
        <v>#VALUE!</v>
      </c>
      <c r="DI92" t="e">
        <f>'All regions'!B2524+"$F;@!%{m"</f>
        <v>#VALUE!</v>
      </c>
      <c r="DJ92" t="e">
        <f>'All regions'!C2524+"$F;@!%{n"</f>
        <v>#VALUE!</v>
      </c>
      <c r="DK92" t="e">
        <f>'All regions'!D2524+"$F;@!%{o"</f>
        <v>#VALUE!</v>
      </c>
      <c r="DL92" t="e">
        <f>'All regions'!E2524+"$F;@!%{p"</f>
        <v>#VALUE!</v>
      </c>
      <c r="DM92" t="e">
        <f>'All regions'!F2524+"$F;@!%{q"</f>
        <v>#VALUE!</v>
      </c>
      <c r="DN92" t="e">
        <f>'All regions'!G2524+"$F;@!%{r"</f>
        <v>#VALUE!</v>
      </c>
      <c r="DO92" t="e">
        <f>'All regions'!H2524+"$F;@!%{s"</f>
        <v>#VALUE!</v>
      </c>
      <c r="DP92" t="e">
        <f>'All regions'!I2524+"$F;@!%{t"</f>
        <v>#VALUE!</v>
      </c>
      <c r="DQ92" t="e">
        <f>'All regions'!A2525+"$F;@!%{u"</f>
        <v>#VALUE!</v>
      </c>
      <c r="DR92" t="e">
        <f>'All regions'!B2525+"$F;@!%{v"</f>
        <v>#VALUE!</v>
      </c>
      <c r="DS92" t="e">
        <f>'All regions'!C2525+"$F;@!%{w"</f>
        <v>#VALUE!</v>
      </c>
      <c r="DT92" t="e">
        <f>'All regions'!D2525+"$F;@!%{x"</f>
        <v>#VALUE!</v>
      </c>
      <c r="DU92" t="e">
        <f>'All regions'!E2525+"$F;@!%{y"</f>
        <v>#VALUE!</v>
      </c>
      <c r="DV92" t="e">
        <f>'All regions'!F2525+"$F;@!%{z"</f>
        <v>#VALUE!</v>
      </c>
      <c r="DW92" t="e">
        <f>'All regions'!G2525+"$F;@!%{{"</f>
        <v>#VALUE!</v>
      </c>
      <c r="DX92" t="e">
        <f>'All regions'!H2525+"$F;@!%{|"</f>
        <v>#VALUE!</v>
      </c>
      <c r="DY92" t="e">
        <f>'All regions'!I2525+"$F;@!%{}"</f>
        <v>#VALUE!</v>
      </c>
      <c r="DZ92" t="e">
        <f>'All regions'!A2526+"$F;@!%{~"</f>
        <v>#VALUE!</v>
      </c>
      <c r="EA92" t="e">
        <f>'All regions'!B2526+"$F;@!%|#"</f>
        <v>#VALUE!</v>
      </c>
      <c r="EB92" t="e">
        <f>'All regions'!C2526+"$F;@!%|$"</f>
        <v>#VALUE!</v>
      </c>
      <c r="EC92" t="e">
        <f>'All regions'!D2526+"$F;@!%|%"</f>
        <v>#VALUE!</v>
      </c>
      <c r="ED92" t="e">
        <f>'All regions'!E2526+"$F;@!%|&amp;"</f>
        <v>#VALUE!</v>
      </c>
      <c r="EE92" t="e">
        <f>'All regions'!F2526+"$F;@!%|'"</f>
        <v>#VALUE!</v>
      </c>
      <c r="EF92" t="e">
        <f>'All regions'!G2526+"$F;@!%|("</f>
        <v>#VALUE!</v>
      </c>
      <c r="EG92" t="e">
        <f>'All regions'!H2526+"$F;@!%|)"</f>
        <v>#VALUE!</v>
      </c>
      <c r="EH92" t="e">
        <f>'All regions'!I2526+"$F;@!%|."</f>
        <v>#VALUE!</v>
      </c>
      <c r="EI92" t="e">
        <f>'All regions'!A2527+"$F;@!%|/"</f>
        <v>#VALUE!</v>
      </c>
      <c r="EJ92" t="e">
        <f>'All regions'!B2527+"$F;@!%|0"</f>
        <v>#VALUE!</v>
      </c>
      <c r="EK92" t="e">
        <f>'All regions'!C2527+"$F;@!%|1"</f>
        <v>#VALUE!</v>
      </c>
      <c r="EL92" t="e">
        <f>'All regions'!D2527+"$F;@!%|2"</f>
        <v>#VALUE!</v>
      </c>
      <c r="EM92" t="e">
        <f>'All regions'!E2527+"$F;@!%|3"</f>
        <v>#VALUE!</v>
      </c>
      <c r="EN92" t="e">
        <f>'All regions'!F2527+"$F;@!%|4"</f>
        <v>#VALUE!</v>
      </c>
      <c r="EO92" t="e">
        <f>'All regions'!G2527+"$F;@!%|5"</f>
        <v>#VALUE!</v>
      </c>
      <c r="EP92" t="e">
        <f>'All regions'!H2527+"$F;@!%|6"</f>
        <v>#VALUE!</v>
      </c>
      <c r="EQ92" t="e">
        <f>'All regions'!I2527+"$F;@!%|7"</f>
        <v>#VALUE!</v>
      </c>
      <c r="ER92" t="e">
        <f>'All regions'!A2528+"$F;@!%|8"</f>
        <v>#VALUE!</v>
      </c>
      <c r="ES92" t="e">
        <f>'All regions'!B2528+"$F;@!%|9"</f>
        <v>#VALUE!</v>
      </c>
      <c r="ET92" t="e">
        <f>'All regions'!C2528+"$F;@!%|:"</f>
        <v>#VALUE!</v>
      </c>
      <c r="EU92" t="e">
        <f>'All regions'!D2528+"$F;@!%|;"</f>
        <v>#VALUE!</v>
      </c>
      <c r="EV92" t="e">
        <f>'All regions'!E2528+"$F;@!%|&lt;"</f>
        <v>#VALUE!</v>
      </c>
      <c r="EW92" t="e">
        <f>'All regions'!F2528+"$F;@!%|="</f>
        <v>#VALUE!</v>
      </c>
      <c r="EX92" t="e">
        <f>'All regions'!G2528+"$F;@!%|&gt;"</f>
        <v>#VALUE!</v>
      </c>
      <c r="EY92" t="e">
        <f>'All regions'!H2528+"$F;@!%|?"</f>
        <v>#VALUE!</v>
      </c>
      <c r="EZ92" t="e">
        <f>'All regions'!I2528+"$F;@!%|@"</f>
        <v>#VALUE!</v>
      </c>
      <c r="FA92" t="e">
        <f>'All regions'!A2529+"$F;@!%|A"</f>
        <v>#VALUE!</v>
      </c>
      <c r="FB92" t="e">
        <f>'All regions'!B2529+"$F;@!%|B"</f>
        <v>#VALUE!</v>
      </c>
      <c r="FC92" t="e">
        <f>'All regions'!C2529+"$F;@!%|C"</f>
        <v>#VALUE!</v>
      </c>
      <c r="FD92" t="e">
        <f>'All regions'!D2529+"$F;@!%|D"</f>
        <v>#VALUE!</v>
      </c>
      <c r="FE92" t="e">
        <f>'All regions'!E2529+"$F;@!%|E"</f>
        <v>#VALUE!</v>
      </c>
      <c r="FF92" t="e">
        <f>'All regions'!F2529+"$F;@!%|F"</f>
        <v>#VALUE!</v>
      </c>
      <c r="FG92" t="e">
        <f>'All regions'!G2529+"$F;@!%|G"</f>
        <v>#VALUE!</v>
      </c>
      <c r="FH92" t="e">
        <f>'All regions'!H2529+"$F;@!%|H"</f>
        <v>#VALUE!</v>
      </c>
      <c r="FI92" t="e">
        <f>'All regions'!I2529+"$F;@!%|I"</f>
        <v>#VALUE!</v>
      </c>
      <c r="FJ92" t="e">
        <f>'All regions'!A2530+"$F;@!%|J"</f>
        <v>#VALUE!</v>
      </c>
      <c r="FK92" t="e">
        <f>'All regions'!B2530+"$F;@!%|K"</f>
        <v>#VALUE!</v>
      </c>
      <c r="FL92" t="e">
        <f>'All regions'!C2530+"$F;@!%|L"</f>
        <v>#VALUE!</v>
      </c>
      <c r="FM92" t="e">
        <f>'All regions'!D2530+"$F;@!%|M"</f>
        <v>#VALUE!</v>
      </c>
      <c r="FN92" t="e">
        <f>'All regions'!E2530+"$F;@!%|N"</f>
        <v>#VALUE!</v>
      </c>
      <c r="FO92" t="e">
        <f>'All regions'!F2530+"$F;@!%|O"</f>
        <v>#VALUE!</v>
      </c>
      <c r="FP92" t="e">
        <f>'All regions'!G2530+"$F;@!%|P"</f>
        <v>#VALUE!</v>
      </c>
      <c r="FQ92" t="e">
        <f>'All regions'!H2530+"$F;@!%|Q"</f>
        <v>#VALUE!</v>
      </c>
      <c r="FR92" t="e">
        <f>'All regions'!I2530+"$F;@!%|R"</f>
        <v>#VALUE!</v>
      </c>
      <c r="FS92" t="e">
        <f>'All regions'!A2531+"$F;@!%|S"</f>
        <v>#VALUE!</v>
      </c>
      <c r="FT92" t="e">
        <f>'All regions'!B2531+"$F;@!%|T"</f>
        <v>#VALUE!</v>
      </c>
      <c r="FU92" t="e">
        <f>'All regions'!C2531+"$F;@!%|U"</f>
        <v>#VALUE!</v>
      </c>
      <c r="FV92" t="e">
        <f>'All regions'!D2531+"$F;@!%|V"</f>
        <v>#VALUE!</v>
      </c>
      <c r="FW92" t="e">
        <f>'All regions'!E2531+"$F;@!%|W"</f>
        <v>#VALUE!</v>
      </c>
      <c r="FX92" t="e">
        <f>'All regions'!F2531+"$F;@!%|X"</f>
        <v>#VALUE!</v>
      </c>
      <c r="FY92" t="e">
        <f>'All regions'!G2531+"$F;@!%|Y"</f>
        <v>#VALUE!</v>
      </c>
      <c r="FZ92" t="e">
        <f>'All regions'!H2531+"$F;@!%|Z"</f>
        <v>#VALUE!</v>
      </c>
      <c r="GA92" t="e">
        <f>'All regions'!I2531+"$F;@!%|["</f>
        <v>#VALUE!</v>
      </c>
      <c r="GB92" t="e">
        <f>'All regions'!A2532+"$F;@!%|\"</f>
        <v>#VALUE!</v>
      </c>
      <c r="GC92" t="e">
        <f>'All regions'!B2532+"$F;@!%|]"</f>
        <v>#VALUE!</v>
      </c>
      <c r="GD92" t="e">
        <f>'All regions'!C2532+"$F;@!%|^"</f>
        <v>#VALUE!</v>
      </c>
      <c r="GE92" t="e">
        <f>'All regions'!D2532+"$F;@!%|_"</f>
        <v>#VALUE!</v>
      </c>
      <c r="GF92" t="e">
        <f>'All regions'!E2532+"$F;@!%|`"</f>
        <v>#VALUE!</v>
      </c>
      <c r="GG92" t="e">
        <f>'All regions'!F2532+"$F;@!%|a"</f>
        <v>#VALUE!</v>
      </c>
      <c r="GH92" t="e">
        <f>'All regions'!G2532+"$F;@!%|b"</f>
        <v>#VALUE!</v>
      </c>
      <c r="GI92" t="e">
        <f>'All regions'!H2532+"$F;@!%|c"</f>
        <v>#VALUE!</v>
      </c>
      <c r="GJ92" t="e">
        <f>'All regions'!I2532+"$F;@!%|d"</f>
        <v>#VALUE!</v>
      </c>
      <c r="GK92" t="e">
        <f>'All regions'!A2533+"$F;@!%|e"</f>
        <v>#VALUE!</v>
      </c>
      <c r="GL92" t="e">
        <f>'All regions'!B2533+"$F;@!%|f"</f>
        <v>#VALUE!</v>
      </c>
      <c r="GM92" t="e">
        <f>'All regions'!C2533+"$F;@!%|g"</f>
        <v>#VALUE!</v>
      </c>
      <c r="GN92" t="e">
        <f>'All regions'!D2533+"$F;@!%|h"</f>
        <v>#VALUE!</v>
      </c>
      <c r="GO92" t="e">
        <f>'All regions'!E2533+"$F;@!%|i"</f>
        <v>#VALUE!</v>
      </c>
      <c r="GP92" t="e">
        <f>'All regions'!F2533+"$F;@!%|j"</f>
        <v>#VALUE!</v>
      </c>
      <c r="GQ92" t="e">
        <f>'All regions'!G2533+"$F;@!%|k"</f>
        <v>#VALUE!</v>
      </c>
      <c r="GR92" t="e">
        <f>'All regions'!H2533+"$F;@!%|l"</f>
        <v>#VALUE!</v>
      </c>
      <c r="GS92" t="e">
        <f>'All regions'!I2533+"$F;@!%|m"</f>
        <v>#VALUE!</v>
      </c>
      <c r="GT92" t="e">
        <f>'All regions'!A2534+"$F;@!%|n"</f>
        <v>#VALUE!</v>
      </c>
      <c r="GU92" t="e">
        <f>'All regions'!B2534+"$F;@!%|o"</f>
        <v>#VALUE!</v>
      </c>
      <c r="GV92" t="e">
        <f>'All regions'!C2534+"$F;@!%|p"</f>
        <v>#VALUE!</v>
      </c>
      <c r="GW92" t="e">
        <f>'All regions'!D2534+"$F;@!%|q"</f>
        <v>#VALUE!</v>
      </c>
      <c r="GX92" t="e">
        <f>'All regions'!E2534+"$F;@!%|r"</f>
        <v>#VALUE!</v>
      </c>
      <c r="GY92" t="e">
        <f>'All regions'!F2534+"$F;@!%|s"</f>
        <v>#VALUE!</v>
      </c>
      <c r="GZ92" t="e">
        <f>'All regions'!G2534+"$F;@!%|t"</f>
        <v>#VALUE!</v>
      </c>
      <c r="HA92" t="e">
        <f>'All regions'!H2534+"$F;@!%|u"</f>
        <v>#VALUE!</v>
      </c>
      <c r="HB92" t="e">
        <f>'All regions'!I2534+"$F;@!%|v"</f>
        <v>#VALUE!</v>
      </c>
      <c r="HC92" t="e">
        <f>'All regions'!A2535+"$F;@!%|w"</f>
        <v>#VALUE!</v>
      </c>
      <c r="HD92" t="e">
        <f>'All regions'!B2535+"$F;@!%|x"</f>
        <v>#VALUE!</v>
      </c>
      <c r="HE92" t="e">
        <f>'All regions'!C2535+"$F;@!%|y"</f>
        <v>#VALUE!</v>
      </c>
      <c r="HF92" t="e">
        <f>'All regions'!D2535+"$F;@!%|z"</f>
        <v>#VALUE!</v>
      </c>
      <c r="HG92" t="e">
        <f>'All regions'!E2535+"$F;@!%|{"</f>
        <v>#VALUE!</v>
      </c>
      <c r="HH92" t="e">
        <f>'All regions'!F2535+"$F;@!%||"</f>
        <v>#VALUE!</v>
      </c>
      <c r="HI92" t="e">
        <f>'All regions'!G2535+"$F;@!%|}"</f>
        <v>#VALUE!</v>
      </c>
      <c r="HJ92" t="e">
        <f>'All regions'!H2535+"$F;@!%|~"</f>
        <v>#VALUE!</v>
      </c>
      <c r="HK92" t="e">
        <f>'All regions'!I2535+"$F;@!%}#"</f>
        <v>#VALUE!</v>
      </c>
      <c r="HL92" t="e">
        <f>'All regions'!A2536+"$F;@!%}$"</f>
        <v>#VALUE!</v>
      </c>
      <c r="HM92" t="e">
        <f>'All regions'!B2536+"$F;@!%}%"</f>
        <v>#VALUE!</v>
      </c>
      <c r="HN92" t="e">
        <f>'All regions'!C2536+"$F;@!%}&amp;"</f>
        <v>#VALUE!</v>
      </c>
      <c r="HO92" t="e">
        <f>'All regions'!D2536+"$F;@!%}'"</f>
        <v>#VALUE!</v>
      </c>
      <c r="HP92" t="e">
        <f>'All regions'!E2536+"$F;@!%}("</f>
        <v>#VALUE!</v>
      </c>
      <c r="HQ92" t="e">
        <f>'All regions'!F2536+"$F;@!%})"</f>
        <v>#VALUE!</v>
      </c>
      <c r="HR92" t="e">
        <f>'All regions'!G2536+"$F;@!%}."</f>
        <v>#VALUE!</v>
      </c>
      <c r="HS92" t="e">
        <f>'All regions'!H2536+"$F;@!%}/"</f>
        <v>#VALUE!</v>
      </c>
      <c r="HT92" t="e">
        <f>'All regions'!I2536+"$F;@!%}0"</f>
        <v>#VALUE!</v>
      </c>
      <c r="HU92" t="e">
        <f>'All regions'!A2537+"$F;@!%}1"</f>
        <v>#VALUE!</v>
      </c>
      <c r="HV92" t="e">
        <f>'All regions'!B2537+"$F;@!%}2"</f>
        <v>#VALUE!</v>
      </c>
      <c r="HW92" t="e">
        <f>'All regions'!C2537+"$F;@!%}3"</f>
        <v>#VALUE!</v>
      </c>
      <c r="HX92" t="e">
        <f>'All regions'!D2537+"$F;@!%}4"</f>
        <v>#VALUE!</v>
      </c>
      <c r="HY92" t="e">
        <f>'All regions'!E2537+"$F;@!%}5"</f>
        <v>#VALUE!</v>
      </c>
      <c r="HZ92" t="e">
        <f>'All regions'!F2537+"$F;@!%}6"</f>
        <v>#VALUE!</v>
      </c>
      <c r="IA92" t="e">
        <f>'All regions'!G2537+"$F;@!%}7"</f>
        <v>#VALUE!</v>
      </c>
      <c r="IB92" t="e">
        <f>'All regions'!H2537+"$F;@!%}8"</f>
        <v>#VALUE!</v>
      </c>
      <c r="IC92" t="e">
        <f>'All regions'!I2537+"$F;@!%}9"</f>
        <v>#VALUE!</v>
      </c>
      <c r="ID92" t="e">
        <f>'All regions'!A2538+"$F;@!%}:"</f>
        <v>#VALUE!</v>
      </c>
      <c r="IE92" t="e">
        <f>'All regions'!B2538+"$F;@!%};"</f>
        <v>#VALUE!</v>
      </c>
      <c r="IF92" t="e">
        <f>'All regions'!C2538+"$F;@!%}&lt;"</f>
        <v>#VALUE!</v>
      </c>
      <c r="IG92" t="e">
        <f>'All regions'!D2538+"$F;@!%}="</f>
        <v>#VALUE!</v>
      </c>
      <c r="IH92" t="e">
        <f>'All regions'!E2538+"$F;@!%}&gt;"</f>
        <v>#VALUE!</v>
      </c>
      <c r="II92" t="e">
        <f>'All regions'!F2538+"$F;@!%}?"</f>
        <v>#VALUE!</v>
      </c>
      <c r="IJ92" t="e">
        <f>'All regions'!G2538+"$F;@!%}@"</f>
        <v>#VALUE!</v>
      </c>
      <c r="IK92" t="e">
        <f>'All regions'!H2538+"$F;@!%}A"</f>
        <v>#VALUE!</v>
      </c>
      <c r="IL92" t="e">
        <f>'All regions'!I2538+"$F;@!%}B"</f>
        <v>#VALUE!</v>
      </c>
      <c r="IM92" t="e">
        <f>'All regions'!A2539+"$F;@!%}C"</f>
        <v>#VALUE!</v>
      </c>
      <c r="IN92" t="e">
        <f>'All regions'!B2539+"$F;@!%}D"</f>
        <v>#VALUE!</v>
      </c>
      <c r="IO92" t="e">
        <f>'All regions'!C2539+"$F;@!%}E"</f>
        <v>#VALUE!</v>
      </c>
      <c r="IP92" t="e">
        <f>'All regions'!D2539+"$F;@!%}F"</f>
        <v>#VALUE!</v>
      </c>
      <c r="IQ92" t="e">
        <f>'All regions'!E2539+"$F;@!%}G"</f>
        <v>#VALUE!</v>
      </c>
      <c r="IR92" t="e">
        <f>'All regions'!F2539+"$F;@!%}H"</f>
        <v>#VALUE!</v>
      </c>
      <c r="IS92" t="e">
        <f>'All regions'!G2539+"$F;@!%}I"</f>
        <v>#VALUE!</v>
      </c>
      <c r="IT92" t="e">
        <f>'All regions'!H2539+"$F;@!%}J"</f>
        <v>#VALUE!</v>
      </c>
      <c r="IU92" t="e">
        <f>'All regions'!I2539+"$F;@!%}K"</f>
        <v>#VALUE!</v>
      </c>
      <c r="IV92" t="e">
        <f>'All regions'!A2540+"$F;@!%}L"</f>
        <v>#VALUE!</v>
      </c>
    </row>
    <row r="93" spans="6:256" x14ac:dyDescent="0.35">
      <c r="F93" t="e">
        <f>'All regions'!B2540+"$F;@!%}M"</f>
        <v>#VALUE!</v>
      </c>
      <c r="G93" t="e">
        <f>'All regions'!C2540+"$F;@!%}N"</f>
        <v>#VALUE!</v>
      </c>
      <c r="H93" t="e">
        <f>'All regions'!D2540+"$F;@!%}O"</f>
        <v>#VALUE!</v>
      </c>
      <c r="I93" t="e">
        <f>'All regions'!E2540+"$F;@!%}P"</f>
        <v>#VALUE!</v>
      </c>
      <c r="J93" t="e">
        <f>'All regions'!F2540+"$F;@!%}Q"</f>
        <v>#VALUE!</v>
      </c>
      <c r="K93" t="e">
        <f>'All regions'!G2540+"$F;@!%}R"</f>
        <v>#VALUE!</v>
      </c>
      <c r="L93" t="e">
        <f>'All regions'!H2540+"$F;@!%}S"</f>
        <v>#VALUE!</v>
      </c>
      <c r="M93" t="e">
        <f>'All regions'!I2540+"$F;@!%}T"</f>
        <v>#VALUE!</v>
      </c>
      <c r="N93" t="e">
        <f>'All regions'!A2541+"$F;@!%}U"</f>
        <v>#VALUE!</v>
      </c>
      <c r="O93" t="e">
        <f>'All regions'!B2541+"$F;@!%}V"</f>
        <v>#VALUE!</v>
      </c>
      <c r="P93" t="e">
        <f>'All regions'!C2541+"$F;@!%}W"</f>
        <v>#VALUE!</v>
      </c>
      <c r="Q93" t="e">
        <f>'All regions'!D2541+"$F;@!%}X"</f>
        <v>#VALUE!</v>
      </c>
      <c r="R93" t="e">
        <f>'All regions'!E2541+"$F;@!%}Y"</f>
        <v>#VALUE!</v>
      </c>
      <c r="S93" t="e">
        <f>'All regions'!F2541+"$F;@!%}Z"</f>
        <v>#VALUE!</v>
      </c>
      <c r="T93" t="e">
        <f>'All regions'!G2541+"$F;@!%}["</f>
        <v>#VALUE!</v>
      </c>
      <c r="U93" t="e">
        <f>'All regions'!H2541+"$F;@!%}\"</f>
        <v>#VALUE!</v>
      </c>
      <c r="V93" t="e">
        <f>'All regions'!I2541+"$F;@!%}]"</f>
        <v>#VALUE!</v>
      </c>
      <c r="W93" t="e">
        <f>'All regions'!A2542+"$F;@!%}^"</f>
        <v>#VALUE!</v>
      </c>
      <c r="X93" t="e">
        <f>'All regions'!B2542+"$F;@!%}_"</f>
        <v>#VALUE!</v>
      </c>
      <c r="Y93" t="e">
        <f>'All regions'!C2542+"$F;@!%}`"</f>
        <v>#VALUE!</v>
      </c>
      <c r="Z93" t="e">
        <f>'All regions'!D2542+"$F;@!%}a"</f>
        <v>#VALUE!</v>
      </c>
      <c r="AA93" t="e">
        <f>'All regions'!E2542+"$F;@!%}b"</f>
        <v>#VALUE!</v>
      </c>
      <c r="AB93" t="e">
        <f>'All regions'!F2542+"$F;@!%}c"</f>
        <v>#VALUE!</v>
      </c>
      <c r="AC93" t="e">
        <f>'All regions'!G2542+"$F;@!%}d"</f>
        <v>#VALUE!</v>
      </c>
      <c r="AD93" t="e">
        <f>'All regions'!H2542+"$F;@!%}e"</f>
        <v>#VALUE!</v>
      </c>
      <c r="AE93" t="e">
        <f>'All regions'!I2542+"$F;@!%}f"</f>
        <v>#VALUE!</v>
      </c>
      <c r="AF93" t="e">
        <f>'All regions'!A2543+"$F;@!%}g"</f>
        <v>#VALUE!</v>
      </c>
      <c r="AG93" t="e">
        <f>'All regions'!B2543+"$F;@!%}h"</f>
        <v>#VALUE!</v>
      </c>
      <c r="AH93" t="e">
        <f>'All regions'!C2543+"$F;@!%}i"</f>
        <v>#VALUE!</v>
      </c>
      <c r="AI93" t="e">
        <f>'All regions'!D2543+"$F;@!%}j"</f>
        <v>#VALUE!</v>
      </c>
      <c r="AJ93" t="e">
        <f>'All regions'!E2543+"$F;@!%}k"</f>
        <v>#VALUE!</v>
      </c>
      <c r="AK93" t="e">
        <f>'All regions'!F2543+"$F;@!%}l"</f>
        <v>#VALUE!</v>
      </c>
      <c r="AL93" t="e">
        <f>'All regions'!G2543+"$F;@!%}m"</f>
        <v>#VALUE!</v>
      </c>
      <c r="AM93" t="e">
        <f>'All regions'!H2543+"$F;@!%}n"</f>
        <v>#VALUE!</v>
      </c>
      <c r="AN93" t="e">
        <f>'All regions'!I2543+"$F;@!%}o"</f>
        <v>#VALUE!</v>
      </c>
      <c r="AO93" t="e">
        <f>'All regions'!A2544+"$F;@!%}p"</f>
        <v>#VALUE!</v>
      </c>
      <c r="AP93" t="e">
        <f>'All regions'!B2544+"$F;@!%}q"</f>
        <v>#VALUE!</v>
      </c>
      <c r="AQ93" t="e">
        <f>'All regions'!C2544+"$F;@!%}r"</f>
        <v>#VALUE!</v>
      </c>
      <c r="AR93" t="e">
        <f>'All regions'!D2544+"$F;@!%}s"</f>
        <v>#VALUE!</v>
      </c>
      <c r="AS93" t="e">
        <f>'All regions'!E2544+"$F;@!%}t"</f>
        <v>#VALUE!</v>
      </c>
      <c r="AT93" t="e">
        <f>'All regions'!F2544+"$F;@!%}u"</f>
        <v>#VALUE!</v>
      </c>
      <c r="AU93" t="e">
        <f>'All regions'!G2544+"$F;@!%}v"</f>
        <v>#VALUE!</v>
      </c>
      <c r="AV93" t="e">
        <f>'All regions'!H2544+"$F;@!%}w"</f>
        <v>#VALUE!</v>
      </c>
      <c r="AW93" t="e">
        <f>'All regions'!I2544+"$F;@!%}x"</f>
        <v>#VALUE!</v>
      </c>
      <c r="AX93" t="e">
        <f>'All regions'!A2545+"$F;@!%}y"</f>
        <v>#VALUE!</v>
      </c>
      <c r="AY93" t="e">
        <f>'All regions'!B2545+"$F;@!%}z"</f>
        <v>#VALUE!</v>
      </c>
      <c r="AZ93" t="e">
        <f>'All regions'!C2545+"$F;@!%}{"</f>
        <v>#VALUE!</v>
      </c>
      <c r="BA93" t="e">
        <f>'All regions'!D2545+"$F;@!%}|"</f>
        <v>#VALUE!</v>
      </c>
      <c r="BB93" t="e">
        <f>'All regions'!E2545+"$F;@!%}}"</f>
        <v>#VALUE!</v>
      </c>
      <c r="BC93" t="e">
        <f>'All regions'!F2545+"$F;@!%}~"</f>
        <v>#VALUE!</v>
      </c>
      <c r="BD93" t="e">
        <f>'All regions'!G2545+"$F;@!%~#"</f>
        <v>#VALUE!</v>
      </c>
      <c r="BE93" t="e">
        <f>'All regions'!H2545+"$F;@!%~$"</f>
        <v>#VALUE!</v>
      </c>
      <c r="BF93" t="e">
        <f>'All regions'!I2545+"$F;@!%~%"</f>
        <v>#VALUE!</v>
      </c>
      <c r="BG93" t="e">
        <f>'All regions'!A2546+"$F;@!%~&amp;"</f>
        <v>#VALUE!</v>
      </c>
      <c r="BH93" t="e">
        <f>'All regions'!B2546+"$F;@!%~'"</f>
        <v>#VALUE!</v>
      </c>
      <c r="BI93" t="e">
        <f>'All regions'!C2546+"$F;@!%~("</f>
        <v>#VALUE!</v>
      </c>
      <c r="BJ93" t="e">
        <f>'All regions'!D2546+"$F;@!%~)"</f>
        <v>#VALUE!</v>
      </c>
      <c r="BK93" t="e">
        <f>'All regions'!E2546+"$F;@!%~."</f>
        <v>#VALUE!</v>
      </c>
      <c r="BL93" t="e">
        <f>'All regions'!F2546+"$F;@!%~/"</f>
        <v>#VALUE!</v>
      </c>
      <c r="BM93" t="e">
        <f>'All regions'!G2546+"$F;@!%~0"</f>
        <v>#VALUE!</v>
      </c>
      <c r="BN93" t="e">
        <f>'All regions'!H2546+"$F;@!%~1"</f>
        <v>#VALUE!</v>
      </c>
      <c r="BO93" t="e">
        <f>'All regions'!I2546+"$F;@!%~2"</f>
        <v>#VALUE!</v>
      </c>
      <c r="BP93" t="e">
        <f>'All regions'!A2547+"$F;@!%~3"</f>
        <v>#VALUE!</v>
      </c>
      <c r="BQ93" t="e">
        <f>'All regions'!B2547+"$F;@!%~4"</f>
        <v>#VALUE!</v>
      </c>
      <c r="BR93" t="e">
        <f>'All regions'!C2547+"$F;@!%~5"</f>
        <v>#VALUE!</v>
      </c>
      <c r="BS93" t="e">
        <f>'All regions'!D2547+"$F;@!%~6"</f>
        <v>#VALUE!</v>
      </c>
      <c r="BT93" t="e">
        <f>'All regions'!E2547+"$F;@!%~7"</f>
        <v>#VALUE!</v>
      </c>
      <c r="BU93" t="e">
        <f>'All regions'!F2547+"$F;@!%~8"</f>
        <v>#VALUE!</v>
      </c>
      <c r="BV93" t="e">
        <f>'All regions'!G2547+"$F;@!%~9"</f>
        <v>#VALUE!</v>
      </c>
      <c r="BW93" t="e">
        <f>'All regions'!H2547+"$F;@!%~:"</f>
        <v>#VALUE!</v>
      </c>
      <c r="BX93" t="e">
        <f>'All regions'!I2547+"$F;@!%~;"</f>
        <v>#VALUE!</v>
      </c>
      <c r="BY93" t="e">
        <f>'All regions'!A2548+"$F;@!%~&lt;"</f>
        <v>#VALUE!</v>
      </c>
      <c r="BZ93" t="e">
        <f>'All regions'!B2548+"$F;@!%~="</f>
        <v>#VALUE!</v>
      </c>
      <c r="CA93" t="e">
        <f>'All regions'!C2548+"$F;@!%~&gt;"</f>
        <v>#VALUE!</v>
      </c>
      <c r="CB93" t="e">
        <f>'All regions'!D2548+"$F;@!%~?"</f>
        <v>#VALUE!</v>
      </c>
      <c r="CC93" t="e">
        <f>'All regions'!E2548+"$F;@!%~@"</f>
        <v>#VALUE!</v>
      </c>
      <c r="CD93" t="e">
        <f>'All regions'!F2548+"$F;@!%~A"</f>
        <v>#VALUE!</v>
      </c>
      <c r="CE93" t="e">
        <f>'All regions'!G2548+"$F;@!%~B"</f>
        <v>#VALUE!</v>
      </c>
      <c r="CF93" t="e">
        <f>'All regions'!H2548+"$F;@!%~C"</f>
        <v>#VALUE!</v>
      </c>
      <c r="CG93" t="e">
        <f>'All regions'!I2548+"$F;@!%~D"</f>
        <v>#VALUE!</v>
      </c>
      <c r="CH93" t="e">
        <f>'All regions'!A2549+"$F;@!%~E"</f>
        <v>#VALUE!</v>
      </c>
      <c r="CI93" t="e">
        <f>'All regions'!B2549+"$F;@!%~F"</f>
        <v>#VALUE!</v>
      </c>
      <c r="CJ93" t="e">
        <f>'All regions'!C2549+"$F;@!%~G"</f>
        <v>#VALUE!</v>
      </c>
      <c r="CK93" t="e">
        <f>'All regions'!D2549+"$F;@!%~H"</f>
        <v>#VALUE!</v>
      </c>
      <c r="CL93" t="e">
        <f>'All regions'!E2549+"$F;@!%~I"</f>
        <v>#VALUE!</v>
      </c>
      <c r="CM93" t="e">
        <f>'All regions'!F2549+"$F;@!%~J"</f>
        <v>#VALUE!</v>
      </c>
      <c r="CN93" t="e">
        <f>'All regions'!G2549+"$F;@!%~K"</f>
        <v>#VALUE!</v>
      </c>
      <c r="CO93" t="e">
        <f>'All regions'!H2549+"$F;@!%~L"</f>
        <v>#VALUE!</v>
      </c>
      <c r="CP93" t="e">
        <f>'All regions'!I2549+"$F;@!%~M"</f>
        <v>#VALUE!</v>
      </c>
      <c r="CQ93" t="e">
        <f>'All regions'!A2550+"$F;@!%~N"</f>
        <v>#VALUE!</v>
      </c>
      <c r="CR93" t="e">
        <f>'All regions'!B2550+"$F;@!%~O"</f>
        <v>#VALUE!</v>
      </c>
      <c r="CS93" t="e">
        <f>'All regions'!C2550+"$F;@!%~P"</f>
        <v>#VALUE!</v>
      </c>
      <c r="CT93" t="e">
        <f>'All regions'!D2550+"$F;@!%~Q"</f>
        <v>#VALUE!</v>
      </c>
      <c r="CU93" t="e">
        <f>'All regions'!E2550+"$F;@!%~R"</f>
        <v>#VALUE!</v>
      </c>
      <c r="CV93" t="e">
        <f>'All regions'!F2550+"$F;@!%~S"</f>
        <v>#VALUE!</v>
      </c>
      <c r="CW93" t="e">
        <f>'All regions'!G2550+"$F;@!%~T"</f>
        <v>#VALUE!</v>
      </c>
      <c r="CX93" t="e">
        <f>'All regions'!H2550+"$F;@!%~U"</f>
        <v>#VALUE!</v>
      </c>
      <c r="CY93" t="e">
        <f>'All regions'!I2550+"$F;@!%~V"</f>
        <v>#VALUE!</v>
      </c>
      <c r="CZ93" t="e">
        <f>'All regions'!A2551+"$F;@!%~W"</f>
        <v>#VALUE!</v>
      </c>
      <c r="DA93" t="e">
        <f>'All regions'!B2551+"$F;@!%~X"</f>
        <v>#VALUE!</v>
      </c>
      <c r="DB93" t="e">
        <f>'All regions'!C2551+"$F;@!%~Y"</f>
        <v>#VALUE!</v>
      </c>
      <c r="DC93" t="e">
        <f>'All regions'!D2551+"$F;@!%~Z"</f>
        <v>#VALUE!</v>
      </c>
      <c r="DD93" t="e">
        <f>'All regions'!E2551+"$F;@!%~["</f>
        <v>#VALUE!</v>
      </c>
      <c r="DE93" t="e">
        <f>'All regions'!F2551+"$F;@!%~\"</f>
        <v>#VALUE!</v>
      </c>
      <c r="DF93" t="e">
        <f>'All regions'!G2551+"$F;@!%~]"</f>
        <v>#VALUE!</v>
      </c>
      <c r="DG93" t="e">
        <f>'All regions'!H2551+"$F;@!%~^"</f>
        <v>#VALUE!</v>
      </c>
      <c r="DH93" t="e">
        <f>'All regions'!I2551+"$F;@!%~_"</f>
        <v>#VALUE!</v>
      </c>
      <c r="DI93" t="e">
        <f>'All regions'!A2552+"$F;@!%~`"</f>
        <v>#VALUE!</v>
      </c>
      <c r="DJ93" t="e">
        <f>'All regions'!B2552+"$F;@!%~a"</f>
        <v>#VALUE!</v>
      </c>
      <c r="DK93" t="e">
        <f>'All regions'!C2552+"$F;@!%~b"</f>
        <v>#VALUE!</v>
      </c>
      <c r="DL93" t="e">
        <f>'All regions'!D2552+"$F;@!%~c"</f>
        <v>#VALUE!</v>
      </c>
      <c r="DM93" t="e">
        <f>'All regions'!E2552+"$F;@!%~d"</f>
        <v>#VALUE!</v>
      </c>
      <c r="DN93" t="e">
        <f>'All regions'!F2552+"$F;@!%~e"</f>
        <v>#VALUE!</v>
      </c>
      <c r="DO93" t="e">
        <f>'All regions'!G2552+"$F;@!%~f"</f>
        <v>#VALUE!</v>
      </c>
      <c r="DP93" t="e">
        <f>'All regions'!H2552+"$F;@!%~g"</f>
        <v>#VALUE!</v>
      </c>
      <c r="DQ93" t="e">
        <f>'All regions'!I2552+"$F;@!%~h"</f>
        <v>#VALUE!</v>
      </c>
      <c r="DR93" t="e">
        <f>'All regions'!A2553+"$F;@!%~i"</f>
        <v>#VALUE!</v>
      </c>
      <c r="DS93" t="e">
        <f>'All regions'!B2553+"$F;@!%~j"</f>
        <v>#VALUE!</v>
      </c>
      <c r="DT93" t="e">
        <f>'All regions'!C2553+"$F;@!%~k"</f>
        <v>#VALUE!</v>
      </c>
      <c r="DU93" t="e">
        <f>'All regions'!D2553+"$F;@!%~l"</f>
        <v>#VALUE!</v>
      </c>
      <c r="DV93" t="e">
        <f>'All regions'!E2553+"$F;@!%~m"</f>
        <v>#VALUE!</v>
      </c>
      <c r="DW93" t="e">
        <f>'All regions'!F2553+"$F;@!%~n"</f>
        <v>#VALUE!</v>
      </c>
      <c r="DX93" t="e">
        <f>'All regions'!G2553+"$F;@!%~o"</f>
        <v>#VALUE!</v>
      </c>
      <c r="DY93" t="e">
        <f>'All regions'!H2553+"$F;@!%~p"</f>
        <v>#VALUE!</v>
      </c>
      <c r="DZ93" t="e">
        <f>'All regions'!I2553+"$F;@!%~q"</f>
        <v>#VALUE!</v>
      </c>
      <c r="EA93" t="e">
        <f>'All regions'!A2554+"$F;@!%~r"</f>
        <v>#VALUE!</v>
      </c>
      <c r="EB93" t="e">
        <f>'All regions'!B2554+"$F;@!%~s"</f>
        <v>#VALUE!</v>
      </c>
      <c r="EC93" t="e">
        <f>'All regions'!C2554+"$F;@!%~t"</f>
        <v>#VALUE!</v>
      </c>
      <c r="ED93" t="e">
        <f>'All regions'!D2554+"$F;@!%~u"</f>
        <v>#VALUE!</v>
      </c>
      <c r="EE93" t="e">
        <f>'All regions'!E2554+"$F;@!%~v"</f>
        <v>#VALUE!</v>
      </c>
      <c r="EF93" t="e">
        <f>'All regions'!F2554+"$F;@!%~w"</f>
        <v>#VALUE!</v>
      </c>
      <c r="EG93" t="e">
        <f>'All regions'!G2554+"$F;@!%~x"</f>
        <v>#VALUE!</v>
      </c>
      <c r="EH93" t="e">
        <f>'All regions'!H2554+"$F;@!%~y"</f>
        <v>#VALUE!</v>
      </c>
      <c r="EI93" t="e">
        <f>'All regions'!I2554+"$F;@!%~z"</f>
        <v>#VALUE!</v>
      </c>
      <c r="EJ93" t="e">
        <f>'All regions'!A2555+"$F;@!%~{"</f>
        <v>#VALUE!</v>
      </c>
      <c r="EK93" t="e">
        <f>'All regions'!B2555+"$F;@!%~|"</f>
        <v>#VALUE!</v>
      </c>
      <c r="EL93" t="e">
        <f>'All regions'!C2555+"$F;@!%~}"</f>
        <v>#VALUE!</v>
      </c>
      <c r="EM93" t="e">
        <f>'All regions'!D2555+"$F;@!%~~"</f>
        <v>#VALUE!</v>
      </c>
      <c r="EN93" t="e">
        <f>'All regions'!E2555+"$F;@!&amp;##"</f>
        <v>#VALUE!</v>
      </c>
      <c r="EO93" t="e">
        <f>'All regions'!F2555+"$F;@!&amp;#$"</f>
        <v>#VALUE!</v>
      </c>
      <c r="EP93" t="e">
        <f>'All regions'!G2555+"$F;@!&amp;#%"</f>
        <v>#VALUE!</v>
      </c>
      <c r="EQ93" t="e">
        <f>'All regions'!H2555+"$F;@!&amp;#&amp;"</f>
        <v>#VALUE!</v>
      </c>
      <c r="ER93" t="e">
        <f>'All regions'!I2555+"$F;@!&amp;#'"</f>
        <v>#VALUE!</v>
      </c>
      <c r="ES93" t="e">
        <f>'All regions'!A2556+"$F;@!&amp;#("</f>
        <v>#VALUE!</v>
      </c>
      <c r="ET93" t="e">
        <f>'All regions'!B2556+"$F;@!&amp;#)"</f>
        <v>#VALUE!</v>
      </c>
      <c r="EU93" t="e">
        <f>'All regions'!C2556+"$F;@!&amp;#."</f>
        <v>#VALUE!</v>
      </c>
      <c r="EV93" t="e">
        <f>'All regions'!D2556+"$F;@!&amp;#/"</f>
        <v>#VALUE!</v>
      </c>
      <c r="EW93" t="e">
        <f>'All regions'!E2556+"$F;@!&amp;#0"</f>
        <v>#VALUE!</v>
      </c>
      <c r="EX93" t="e">
        <f>'All regions'!F2556+"$F;@!&amp;#1"</f>
        <v>#VALUE!</v>
      </c>
      <c r="EY93" t="e">
        <f>'All regions'!G2556+"$F;@!&amp;#2"</f>
        <v>#VALUE!</v>
      </c>
      <c r="EZ93" t="e">
        <f>'All regions'!H2556+"$F;@!&amp;#3"</f>
        <v>#VALUE!</v>
      </c>
      <c r="FA93" t="e">
        <f>'All regions'!I2556+"$F;@!&amp;#4"</f>
        <v>#VALUE!</v>
      </c>
      <c r="FB93" t="e">
        <f>'All regions'!A2557+"$F;@!&amp;#5"</f>
        <v>#VALUE!</v>
      </c>
      <c r="FC93" t="e">
        <f>'All regions'!B2557+"$F;@!&amp;#6"</f>
        <v>#VALUE!</v>
      </c>
      <c r="FD93" t="e">
        <f>'All regions'!C2557+"$F;@!&amp;#7"</f>
        <v>#VALUE!</v>
      </c>
      <c r="FE93" t="e">
        <f>'All regions'!D2557+"$F;@!&amp;#8"</f>
        <v>#VALUE!</v>
      </c>
      <c r="FF93" t="e">
        <f>'All regions'!E2557+"$F;@!&amp;#9"</f>
        <v>#VALUE!</v>
      </c>
      <c r="FG93" t="e">
        <f>'All regions'!F2557+"$F;@!&amp;#:"</f>
        <v>#VALUE!</v>
      </c>
      <c r="FH93" t="e">
        <f>'All regions'!G2557+"$F;@!&amp;#;"</f>
        <v>#VALUE!</v>
      </c>
      <c r="FI93" t="e">
        <f>'All regions'!H2557+"$F;@!&amp;#&lt;"</f>
        <v>#VALUE!</v>
      </c>
      <c r="FJ93" t="e">
        <f>'All regions'!I2557+"$F;@!&amp;#="</f>
        <v>#VALUE!</v>
      </c>
      <c r="FK93" t="e">
        <f>'All regions'!A2558+"$F;@!&amp;#&gt;"</f>
        <v>#VALUE!</v>
      </c>
      <c r="FL93" t="e">
        <f>'All regions'!B2558+"$F;@!&amp;#?"</f>
        <v>#VALUE!</v>
      </c>
      <c r="FM93" t="e">
        <f>'All regions'!C2558+"$F;@!&amp;#@"</f>
        <v>#VALUE!</v>
      </c>
      <c r="FN93" t="e">
        <f>'All regions'!D2558+"$F;@!&amp;#A"</f>
        <v>#VALUE!</v>
      </c>
      <c r="FO93" t="e">
        <f>'All regions'!E2558+"$F;@!&amp;#B"</f>
        <v>#VALUE!</v>
      </c>
      <c r="FP93" t="e">
        <f>'All regions'!F2558+"$F;@!&amp;#C"</f>
        <v>#VALUE!</v>
      </c>
      <c r="FQ93" t="e">
        <f>'All regions'!G2558+"$F;@!&amp;#D"</f>
        <v>#VALUE!</v>
      </c>
      <c r="FR93" t="e">
        <f>'All regions'!H2558+"$F;@!&amp;#E"</f>
        <v>#VALUE!</v>
      </c>
      <c r="FS93" t="e">
        <f>'All regions'!I2558+"$F;@!&amp;#F"</f>
        <v>#VALUE!</v>
      </c>
      <c r="FT93" t="e">
        <f>'All regions'!A2559+"$F;@!&amp;#G"</f>
        <v>#VALUE!</v>
      </c>
      <c r="FU93" t="e">
        <f>'All regions'!B2559+"$F;@!&amp;#H"</f>
        <v>#VALUE!</v>
      </c>
      <c r="FV93" t="e">
        <f>'All regions'!C2559+"$F;@!&amp;#I"</f>
        <v>#VALUE!</v>
      </c>
      <c r="FW93" t="e">
        <f>'All regions'!D2559+"$F;@!&amp;#J"</f>
        <v>#VALUE!</v>
      </c>
      <c r="FX93" t="e">
        <f>'All regions'!E2559+"$F;@!&amp;#K"</f>
        <v>#VALUE!</v>
      </c>
      <c r="FY93" t="e">
        <f>'All regions'!F2559+"$F;@!&amp;#L"</f>
        <v>#VALUE!</v>
      </c>
      <c r="FZ93" t="e">
        <f>'All regions'!G2559+"$F;@!&amp;#M"</f>
        <v>#VALUE!</v>
      </c>
      <c r="GA93" t="e">
        <f>'All regions'!H2559+"$F;@!&amp;#N"</f>
        <v>#VALUE!</v>
      </c>
      <c r="GB93" t="e">
        <f>'All regions'!I2559+"$F;@!&amp;#O"</f>
        <v>#VALUE!</v>
      </c>
      <c r="GC93" t="e">
        <f>'All regions'!A2560+"$F;@!&amp;#P"</f>
        <v>#VALUE!</v>
      </c>
      <c r="GD93" t="e">
        <f>'All regions'!B2560+"$F;@!&amp;#Q"</f>
        <v>#VALUE!</v>
      </c>
      <c r="GE93" t="e">
        <f>'All regions'!C2560+"$F;@!&amp;#R"</f>
        <v>#VALUE!</v>
      </c>
      <c r="GF93" t="e">
        <f>'All regions'!D2560+"$F;@!&amp;#S"</f>
        <v>#VALUE!</v>
      </c>
      <c r="GG93" t="e">
        <f>'All regions'!E2560+"$F;@!&amp;#T"</f>
        <v>#VALUE!</v>
      </c>
      <c r="GH93" t="e">
        <f>'All regions'!F2560+"$F;@!&amp;#U"</f>
        <v>#VALUE!</v>
      </c>
      <c r="GI93" t="e">
        <f>'All regions'!G2560+"$F;@!&amp;#V"</f>
        <v>#VALUE!</v>
      </c>
      <c r="GJ93" t="e">
        <f>'All regions'!H2560+"$F;@!&amp;#W"</f>
        <v>#VALUE!</v>
      </c>
      <c r="GK93" t="e">
        <f>'All regions'!I2560+"$F;@!&amp;#X"</f>
        <v>#VALUE!</v>
      </c>
      <c r="GL93" t="e">
        <f>'All regions'!A2561+"$F;@!&amp;#Y"</f>
        <v>#VALUE!</v>
      </c>
      <c r="GM93" t="e">
        <f>'All regions'!B2561+"$F;@!&amp;#Z"</f>
        <v>#VALUE!</v>
      </c>
      <c r="GN93" t="e">
        <f>'All regions'!C2561+"$F;@!&amp;#["</f>
        <v>#VALUE!</v>
      </c>
      <c r="GO93" t="e">
        <f>'All regions'!D2561+"$F;@!&amp;#\"</f>
        <v>#VALUE!</v>
      </c>
      <c r="GP93" t="e">
        <f>'All regions'!E2561+"$F;@!&amp;#]"</f>
        <v>#VALUE!</v>
      </c>
      <c r="GQ93" t="e">
        <f>'All regions'!F2561+"$F;@!&amp;#^"</f>
        <v>#VALUE!</v>
      </c>
      <c r="GR93" t="e">
        <f>'All regions'!G2561+"$F;@!&amp;#_"</f>
        <v>#VALUE!</v>
      </c>
      <c r="GS93" t="e">
        <f>'All regions'!H2561+"$F;@!&amp;#`"</f>
        <v>#VALUE!</v>
      </c>
      <c r="GT93" t="e">
        <f>'All regions'!I2561+"$F;@!&amp;#a"</f>
        <v>#VALUE!</v>
      </c>
      <c r="GU93" t="e">
        <f>'All regions'!A2562+"$F;@!&amp;#b"</f>
        <v>#VALUE!</v>
      </c>
      <c r="GV93" t="e">
        <f>'All regions'!B2562+"$F;@!&amp;#c"</f>
        <v>#VALUE!</v>
      </c>
      <c r="GW93" t="e">
        <f>'All regions'!C2562+"$F;@!&amp;#d"</f>
        <v>#VALUE!</v>
      </c>
      <c r="GX93" t="e">
        <f>'All regions'!D2562+"$F;@!&amp;#e"</f>
        <v>#VALUE!</v>
      </c>
      <c r="GY93" t="e">
        <f>'All regions'!E2562+"$F;@!&amp;#f"</f>
        <v>#VALUE!</v>
      </c>
      <c r="GZ93" t="e">
        <f>'All regions'!F2562+"$F;@!&amp;#g"</f>
        <v>#VALUE!</v>
      </c>
      <c r="HA93" t="e">
        <f>'All regions'!G2562+"$F;@!&amp;#h"</f>
        <v>#VALUE!</v>
      </c>
      <c r="HB93" t="e">
        <f>'All regions'!H2562+"$F;@!&amp;#i"</f>
        <v>#VALUE!</v>
      </c>
      <c r="HC93" t="e">
        <f>'All regions'!I2562+"$F;@!&amp;#j"</f>
        <v>#VALUE!</v>
      </c>
      <c r="HD93" t="e">
        <f>'All regions'!A2563+"$F;@!&amp;#k"</f>
        <v>#VALUE!</v>
      </c>
      <c r="HE93" t="e">
        <f>'All regions'!B2563+"$F;@!&amp;#l"</f>
        <v>#VALUE!</v>
      </c>
      <c r="HF93" t="e">
        <f>'All regions'!C2563+"$F;@!&amp;#m"</f>
        <v>#VALUE!</v>
      </c>
      <c r="HG93" t="e">
        <f>'All regions'!D2563+"$F;@!&amp;#n"</f>
        <v>#VALUE!</v>
      </c>
      <c r="HH93" t="e">
        <f>'All regions'!E2563+"$F;@!&amp;#o"</f>
        <v>#VALUE!</v>
      </c>
      <c r="HI93" t="e">
        <f>'All regions'!F2563+"$F;@!&amp;#p"</f>
        <v>#VALUE!</v>
      </c>
      <c r="HJ93" t="e">
        <f>'All regions'!G2563+"$F;@!&amp;#q"</f>
        <v>#VALUE!</v>
      </c>
      <c r="HK93" t="e">
        <f>'All regions'!H2563+"$F;@!&amp;#r"</f>
        <v>#VALUE!</v>
      </c>
      <c r="HL93" t="e">
        <f>'All regions'!I2563+"$F;@!&amp;#s"</f>
        <v>#VALUE!</v>
      </c>
      <c r="HM93" t="e">
        <f>'All regions'!A2564+"$F;@!&amp;#t"</f>
        <v>#VALUE!</v>
      </c>
      <c r="HN93" t="e">
        <f>'All regions'!B2564+"$F;@!&amp;#u"</f>
        <v>#VALUE!</v>
      </c>
      <c r="HO93" t="e">
        <f>'All regions'!C2564+"$F;@!&amp;#v"</f>
        <v>#VALUE!</v>
      </c>
      <c r="HP93" t="e">
        <f>'All regions'!D2564+"$F;@!&amp;#w"</f>
        <v>#VALUE!</v>
      </c>
      <c r="HQ93" t="e">
        <f>'All regions'!E2564+"$F;@!&amp;#x"</f>
        <v>#VALUE!</v>
      </c>
      <c r="HR93" t="e">
        <f>'All regions'!F2564+"$F;@!&amp;#y"</f>
        <v>#VALUE!</v>
      </c>
      <c r="HS93" t="e">
        <f>'All regions'!G2564+"$F;@!&amp;#z"</f>
        <v>#VALUE!</v>
      </c>
      <c r="HT93" t="e">
        <f>'All regions'!H2564+"$F;@!&amp;#{"</f>
        <v>#VALUE!</v>
      </c>
      <c r="HU93" t="e">
        <f>'All regions'!I2564+"$F;@!&amp;#|"</f>
        <v>#VALUE!</v>
      </c>
      <c r="HV93" t="e">
        <f>'All regions'!A2565+"$F;@!&amp;#}"</f>
        <v>#VALUE!</v>
      </c>
      <c r="HW93" t="e">
        <f>'All regions'!B2565+"$F;@!&amp;#~"</f>
        <v>#VALUE!</v>
      </c>
      <c r="HX93" t="e">
        <f>'All regions'!C2565+"$F;@!&amp;$#"</f>
        <v>#VALUE!</v>
      </c>
      <c r="HY93" t="e">
        <f>'All regions'!D2565+"$F;@!&amp;$$"</f>
        <v>#VALUE!</v>
      </c>
      <c r="HZ93" t="e">
        <f>'All regions'!E2565+"$F;@!&amp;$%"</f>
        <v>#VALUE!</v>
      </c>
      <c r="IA93" t="e">
        <f>'All regions'!F2565+"$F;@!&amp;$&amp;"</f>
        <v>#VALUE!</v>
      </c>
      <c r="IB93" t="e">
        <f>'All regions'!G2565+"$F;@!&amp;$'"</f>
        <v>#VALUE!</v>
      </c>
      <c r="IC93" t="e">
        <f>'All regions'!H2565+"$F;@!&amp;$("</f>
        <v>#VALUE!</v>
      </c>
      <c r="ID93" t="e">
        <f>'All regions'!I2565+"$F;@!&amp;$)"</f>
        <v>#VALUE!</v>
      </c>
      <c r="IE93" t="e">
        <f>'All regions'!A2566+"$F;@!&amp;$."</f>
        <v>#VALUE!</v>
      </c>
      <c r="IF93" t="e">
        <f>'All regions'!B2566+"$F;@!&amp;$/"</f>
        <v>#VALUE!</v>
      </c>
      <c r="IG93" t="e">
        <f>'All regions'!C2566+"$F;@!&amp;$0"</f>
        <v>#VALUE!</v>
      </c>
      <c r="IH93" t="e">
        <f>'All regions'!D2566+"$F;@!&amp;$1"</f>
        <v>#VALUE!</v>
      </c>
      <c r="II93" t="e">
        <f>'All regions'!E2566+"$F;@!&amp;$2"</f>
        <v>#VALUE!</v>
      </c>
      <c r="IJ93" t="e">
        <f>'All regions'!F2566+"$F;@!&amp;$3"</f>
        <v>#VALUE!</v>
      </c>
      <c r="IK93" t="e">
        <f>'All regions'!G2566+"$F;@!&amp;$4"</f>
        <v>#VALUE!</v>
      </c>
      <c r="IL93" t="e">
        <f>'All regions'!H2566+"$F;@!&amp;$5"</f>
        <v>#VALUE!</v>
      </c>
      <c r="IM93" t="e">
        <f>'All regions'!I2566+"$F;@!&amp;$6"</f>
        <v>#VALUE!</v>
      </c>
      <c r="IN93" t="e">
        <f>'All regions'!A2567+"$F;@!&amp;$7"</f>
        <v>#VALUE!</v>
      </c>
      <c r="IO93" t="e">
        <f>'All regions'!B2567+"$F;@!&amp;$8"</f>
        <v>#VALUE!</v>
      </c>
      <c r="IP93" t="e">
        <f>'All regions'!C2567+"$F;@!&amp;$9"</f>
        <v>#VALUE!</v>
      </c>
      <c r="IQ93" t="e">
        <f>'All regions'!D2567+"$F;@!&amp;$:"</f>
        <v>#VALUE!</v>
      </c>
      <c r="IR93" t="e">
        <f>'All regions'!E2567+"$F;@!&amp;$;"</f>
        <v>#VALUE!</v>
      </c>
      <c r="IS93" t="e">
        <f>'All regions'!F2567+"$F;@!&amp;$&lt;"</f>
        <v>#VALUE!</v>
      </c>
      <c r="IT93" t="e">
        <f>'All regions'!G2567+"$F;@!&amp;$="</f>
        <v>#VALUE!</v>
      </c>
      <c r="IU93" t="e">
        <f>'All regions'!H2567+"$F;@!&amp;$&gt;"</f>
        <v>#VALUE!</v>
      </c>
      <c r="IV93" t="e">
        <f>'All regions'!I2567+"$F;@!&amp;$?"</f>
        <v>#VALUE!</v>
      </c>
    </row>
    <row r="94" spans="6:256" x14ac:dyDescent="0.35">
      <c r="F94" t="e">
        <f>'All regions'!A2568+"$F;@!&amp;$@"</f>
        <v>#VALUE!</v>
      </c>
      <c r="G94" t="e">
        <f>'All regions'!B2568+"$F;@!&amp;$A"</f>
        <v>#VALUE!</v>
      </c>
      <c r="H94" t="e">
        <f>'All regions'!C2568+"$F;@!&amp;$B"</f>
        <v>#VALUE!</v>
      </c>
      <c r="I94" t="e">
        <f>'All regions'!D2568+"$F;@!&amp;$C"</f>
        <v>#VALUE!</v>
      </c>
      <c r="J94" t="e">
        <f>'All regions'!E2568+"$F;@!&amp;$D"</f>
        <v>#VALUE!</v>
      </c>
      <c r="K94" t="e">
        <f>'All regions'!F2568+"$F;@!&amp;$E"</f>
        <v>#VALUE!</v>
      </c>
      <c r="L94" t="e">
        <f>'All regions'!G2568+"$F;@!&amp;$F"</f>
        <v>#VALUE!</v>
      </c>
      <c r="M94" t="e">
        <f>'All regions'!H2568+"$F;@!&amp;$G"</f>
        <v>#VALUE!</v>
      </c>
      <c r="N94" t="e">
        <f>'All regions'!I2568+"$F;@!&amp;$H"</f>
        <v>#VALUE!</v>
      </c>
      <c r="O94" t="e">
        <f>'All regions'!A2569+"$F;@!&amp;$I"</f>
        <v>#VALUE!</v>
      </c>
      <c r="P94" t="e">
        <f>'All regions'!B2569+"$F;@!&amp;$J"</f>
        <v>#VALUE!</v>
      </c>
      <c r="Q94" t="e">
        <f>'All regions'!C2569+"$F;@!&amp;$K"</f>
        <v>#VALUE!</v>
      </c>
      <c r="R94" t="e">
        <f>'All regions'!D2569+"$F;@!&amp;$L"</f>
        <v>#VALUE!</v>
      </c>
      <c r="S94" t="e">
        <f>'All regions'!E2569+"$F;@!&amp;$M"</f>
        <v>#VALUE!</v>
      </c>
      <c r="T94" t="e">
        <f>'All regions'!F2569+"$F;@!&amp;$N"</f>
        <v>#VALUE!</v>
      </c>
      <c r="U94" t="e">
        <f>'All regions'!G2569+"$F;@!&amp;$O"</f>
        <v>#VALUE!</v>
      </c>
      <c r="V94" t="e">
        <f>'All regions'!H2569+"$F;@!&amp;$P"</f>
        <v>#VALUE!</v>
      </c>
      <c r="W94" t="e">
        <f>'All regions'!I2569+"$F;@!&amp;$Q"</f>
        <v>#VALUE!</v>
      </c>
      <c r="X94" t="e">
        <f>'All regions'!A2570+"$F;@!&amp;$R"</f>
        <v>#VALUE!</v>
      </c>
      <c r="Y94" t="e">
        <f>'All regions'!B2570+"$F;@!&amp;$S"</f>
        <v>#VALUE!</v>
      </c>
      <c r="Z94" t="e">
        <f>'All regions'!C2570+"$F;@!&amp;$T"</f>
        <v>#VALUE!</v>
      </c>
      <c r="AA94" t="e">
        <f>'All regions'!D2570+"$F;@!&amp;$U"</f>
        <v>#VALUE!</v>
      </c>
      <c r="AB94" t="e">
        <f>'All regions'!E2570+"$F;@!&amp;$V"</f>
        <v>#VALUE!</v>
      </c>
      <c r="AC94" t="e">
        <f>'All regions'!F2570+"$F;@!&amp;$W"</f>
        <v>#VALUE!</v>
      </c>
      <c r="AD94" t="e">
        <f>'All regions'!G2570+"$F;@!&amp;$X"</f>
        <v>#VALUE!</v>
      </c>
      <c r="AE94" t="e">
        <f>'All regions'!H2570+"$F;@!&amp;$Y"</f>
        <v>#VALUE!</v>
      </c>
      <c r="AF94" t="e">
        <f>'All regions'!I2570+"$F;@!&amp;$Z"</f>
        <v>#VALUE!</v>
      </c>
      <c r="AG94" t="e">
        <f>'All regions'!A2571+"$F;@!&amp;$["</f>
        <v>#VALUE!</v>
      </c>
      <c r="AH94" t="e">
        <f>'All regions'!B2571+"$F;@!&amp;$\"</f>
        <v>#VALUE!</v>
      </c>
      <c r="AI94" t="e">
        <f>'All regions'!C2571+"$F;@!&amp;$]"</f>
        <v>#VALUE!</v>
      </c>
      <c r="AJ94" t="e">
        <f>'All regions'!D2571+"$F;@!&amp;$^"</f>
        <v>#VALUE!</v>
      </c>
      <c r="AK94" t="e">
        <f>'All regions'!E2571+"$F;@!&amp;$_"</f>
        <v>#VALUE!</v>
      </c>
      <c r="AL94" t="e">
        <f>'All regions'!F2571+"$F;@!&amp;$`"</f>
        <v>#VALUE!</v>
      </c>
      <c r="AM94" t="e">
        <f>'All regions'!G2571+"$F;@!&amp;$a"</f>
        <v>#VALUE!</v>
      </c>
      <c r="AN94" t="e">
        <f>'All regions'!H2571+"$F;@!&amp;$b"</f>
        <v>#VALUE!</v>
      </c>
      <c r="AO94" t="e">
        <f>'All regions'!I2571+"$F;@!&amp;$c"</f>
        <v>#VALUE!</v>
      </c>
      <c r="AP94" t="e">
        <f>'All regions'!A2572+"$F;@!&amp;$d"</f>
        <v>#VALUE!</v>
      </c>
      <c r="AQ94" t="e">
        <f>'All regions'!B2572+"$F;@!&amp;$e"</f>
        <v>#VALUE!</v>
      </c>
      <c r="AR94" t="e">
        <f>'All regions'!C2572+"$F;@!&amp;$f"</f>
        <v>#VALUE!</v>
      </c>
      <c r="AS94" t="e">
        <f>'All regions'!D2572+"$F;@!&amp;$g"</f>
        <v>#VALUE!</v>
      </c>
      <c r="AT94" t="e">
        <f>'All regions'!E2572+"$F;@!&amp;$h"</f>
        <v>#VALUE!</v>
      </c>
      <c r="AU94" t="e">
        <f>'All regions'!F2572+"$F;@!&amp;$i"</f>
        <v>#VALUE!</v>
      </c>
      <c r="AV94" t="e">
        <f>'All regions'!G2572+"$F;@!&amp;$j"</f>
        <v>#VALUE!</v>
      </c>
      <c r="AW94" t="e">
        <f>'All regions'!H2572+"$F;@!&amp;$k"</f>
        <v>#VALUE!</v>
      </c>
      <c r="AX94" t="e">
        <f>'All regions'!I2572+"$F;@!&amp;$l"</f>
        <v>#VALUE!</v>
      </c>
      <c r="AY94" t="e">
        <f>'All regions'!A2573+"$F;@!&amp;$m"</f>
        <v>#VALUE!</v>
      </c>
      <c r="AZ94" t="e">
        <f>'All regions'!B2573+"$F;@!&amp;$n"</f>
        <v>#VALUE!</v>
      </c>
      <c r="BA94" t="e">
        <f>'All regions'!C2573+"$F;@!&amp;$o"</f>
        <v>#VALUE!</v>
      </c>
      <c r="BB94" t="e">
        <f>'All regions'!D2573+"$F;@!&amp;$p"</f>
        <v>#VALUE!</v>
      </c>
      <c r="BC94" t="e">
        <f>'All regions'!E2573+"$F;@!&amp;$q"</f>
        <v>#VALUE!</v>
      </c>
      <c r="BD94" t="e">
        <f>'All regions'!F2573+"$F;@!&amp;$r"</f>
        <v>#VALUE!</v>
      </c>
      <c r="BE94" t="e">
        <f>'All regions'!G2573+"$F;@!&amp;$s"</f>
        <v>#VALUE!</v>
      </c>
      <c r="BF94" t="e">
        <f>'All regions'!H2573+"$F;@!&amp;$t"</f>
        <v>#VALUE!</v>
      </c>
      <c r="BG94" t="e">
        <f>'All regions'!I2573+"$F;@!&amp;$u"</f>
        <v>#VALUE!</v>
      </c>
      <c r="BH94" t="e">
        <f>'All regions'!A2574+"$F;@!&amp;$v"</f>
        <v>#VALUE!</v>
      </c>
      <c r="BI94" t="e">
        <f>'All regions'!B2574+"$F;@!&amp;$w"</f>
        <v>#VALUE!</v>
      </c>
      <c r="BJ94" t="e">
        <f>'All regions'!C2574+"$F;@!&amp;$x"</f>
        <v>#VALUE!</v>
      </c>
      <c r="BK94" t="e">
        <f>'All regions'!D2574+"$F;@!&amp;$y"</f>
        <v>#VALUE!</v>
      </c>
      <c r="BL94" t="e">
        <f>'All regions'!E2574+"$F;@!&amp;$z"</f>
        <v>#VALUE!</v>
      </c>
      <c r="BM94" t="e">
        <f>'All regions'!F2574+"$F;@!&amp;${"</f>
        <v>#VALUE!</v>
      </c>
      <c r="BN94" t="e">
        <f>'All regions'!G2574+"$F;@!&amp;$|"</f>
        <v>#VALUE!</v>
      </c>
      <c r="BO94" t="e">
        <f>'All regions'!H2574+"$F;@!&amp;$}"</f>
        <v>#VALUE!</v>
      </c>
      <c r="BP94" t="e">
        <f>'All regions'!I2574+"$F;@!&amp;$~"</f>
        <v>#VALUE!</v>
      </c>
      <c r="BQ94" t="e">
        <f>'All regions'!A2575+"$F;@!&amp;%#"</f>
        <v>#VALUE!</v>
      </c>
      <c r="BR94" t="e">
        <f>'All regions'!B2575+"$F;@!&amp;%$"</f>
        <v>#VALUE!</v>
      </c>
      <c r="BS94" t="e">
        <f>'All regions'!C2575+"$F;@!&amp;%%"</f>
        <v>#VALUE!</v>
      </c>
      <c r="BT94" t="e">
        <f>'All regions'!D2575+"$F;@!&amp;%&amp;"</f>
        <v>#VALUE!</v>
      </c>
      <c r="BU94" t="e">
        <f>'All regions'!E2575+"$F;@!&amp;%'"</f>
        <v>#VALUE!</v>
      </c>
      <c r="BV94" t="e">
        <f>'All regions'!F2575+"$F;@!&amp;%("</f>
        <v>#VALUE!</v>
      </c>
      <c r="BW94" t="e">
        <f>'All regions'!G2575+"$F;@!&amp;%)"</f>
        <v>#VALUE!</v>
      </c>
      <c r="BX94" t="e">
        <f>'All regions'!H2575+"$F;@!&amp;%."</f>
        <v>#VALUE!</v>
      </c>
      <c r="BY94" t="e">
        <f>'All regions'!I2575+"$F;@!&amp;%/"</f>
        <v>#VALUE!</v>
      </c>
      <c r="BZ94" t="e">
        <f>'All regions'!A2576+"$F;@!&amp;%0"</f>
        <v>#VALUE!</v>
      </c>
      <c r="CA94" t="e">
        <f>'All regions'!B2576+"$F;@!&amp;%1"</f>
        <v>#VALUE!</v>
      </c>
      <c r="CB94" t="e">
        <f>'All regions'!C2576+"$F;@!&amp;%2"</f>
        <v>#VALUE!</v>
      </c>
      <c r="CC94" t="e">
        <f>'All regions'!D2576+"$F;@!&amp;%3"</f>
        <v>#VALUE!</v>
      </c>
      <c r="CD94" t="e">
        <f>'All regions'!E2576+"$F;@!&amp;%4"</f>
        <v>#VALUE!</v>
      </c>
      <c r="CE94" t="e">
        <f>'All regions'!F2576+"$F;@!&amp;%5"</f>
        <v>#VALUE!</v>
      </c>
      <c r="CF94" t="e">
        <f>'All regions'!G2576+"$F;@!&amp;%6"</f>
        <v>#VALUE!</v>
      </c>
      <c r="CG94" t="e">
        <f>'All regions'!H2576+"$F;@!&amp;%7"</f>
        <v>#VALUE!</v>
      </c>
      <c r="CH94" t="e">
        <f>'All regions'!I2576+"$F;@!&amp;%8"</f>
        <v>#VALUE!</v>
      </c>
      <c r="CI94" t="e">
        <f>'All regions'!A2577+"$F;@!&amp;%9"</f>
        <v>#VALUE!</v>
      </c>
      <c r="CJ94" t="e">
        <f>'All regions'!B2577+"$F;@!&amp;%:"</f>
        <v>#VALUE!</v>
      </c>
      <c r="CK94" t="e">
        <f>'All regions'!C2577+"$F;@!&amp;%;"</f>
        <v>#VALUE!</v>
      </c>
      <c r="CL94" t="e">
        <f>'All regions'!D2577+"$F;@!&amp;%&lt;"</f>
        <v>#VALUE!</v>
      </c>
      <c r="CM94" t="e">
        <f>'All regions'!E2577+"$F;@!&amp;%="</f>
        <v>#VALUE!</v>
      </c>
      <c r="CN94" t="e">
        <f>'All regions'!F2577+"$F;@!&amp;%&gt;"</f>
        <v>#VALUE!</v>
      </c>
      <c r="CO94" t="e">
        <f>'All regions'!G2577+"$F;@!&amp;%?"</f>
        <v>#VALUE!</v>
      </c>
      <c r="CP94" t="e">
        <f>'All regions'!H2577+"$F;@!&amp;%@"</f>
        <v>#VALUE!</v>
      </c>
      <c r="CQ94" t="e">
        <f>'All regions'!I2577+"$F;@!&amp;%A"</f>
        <v>#VALUE!</v>
      </c>
      <c r="CR94" t="e">
        <f>'All regions'!A2578+"$F;@!&amp;%B"</f>
        <v>#VALUE!</v>
      </c>
      <c r="CS94" t="e">
        <f>'All regions'!B2578+"$F;@!&amp;%C"</f>
        <v>#VALUE!</v>
      </c>
      <c r="CT94" t="e">
        <f>'All regions'!C2578+"$F;@!&amp;%D"</f>
        <v>#VALUE!</v>
      </c>
      <c r="CU94" t="e">
        <f>'All regions'!D2578+"$F;@!&amp;%E"</f>
        <v>#VALUE!</v>
      </c>
      <c r="CV94" t="e">
        <f>'All regions'!E2578+"$F;@!&amp;%F"</f>
        <v>#VALUE!</v>
      </c>
      <c r="CW94" t="e">
        <f>'All regions'!F2578+"$F;@!&amp;%G"</f>
        <v>#VALUE!</v>
      </c>
      <c r="CX94" t="e">
        <f>'All regions'!G2578+"$F;@!&amp;%H"</f>
        <v>#VALUE!</v>
      </c>
      <c r="CY94" t="e">
        <f>'All regions'!H2578+"$F;@!&amp;%I"</f>
        <v>#VALUE!</v>
      </c>
      <c r="CZ94" t="e">
        <f>'All regions'!I2578+"$F;@!&amp;%J"</f>
        <v>#VALUE!</v>
      </c>
      <c r="DA94" t="e">
        <f>'All regions'!A2579+"$F;@!&amp;%K"</f>
        <v>#VALUE!</v>
      </c>
      <c r="DB94" t="e">
        <f>'All regions'!B2579+"$F;@!&amp;%L"</f>
        <v>#VALUE!</v>
      </c>
      <c r="DC94" t="e">
        <f>'All regions'!C2579+"$F;@!&amp;%M"</f>
        <v>#VALUE!</v>
      </c>
      <c r="DD94" t="e">
        <f>'All regions'!D2579+"$F;@!&amp;%N"</f>
        <v>#VALUE!</v>
      </c>
      <c r="DE94" t="e">
        <f>'All regions'!E2579+"$F;@!&amp;%O"</f>
        <v>#VALUE!</v>
      </c>
      <c r="DF94" t="e">
        <f>'All regions'!F2579+"$F;@!&amp;%P"</f>
        <v>#VALUE!</v>
      </c>
      <c r="DG94" t="e">
        <f>'All regions'!G2579+"$F;@!&amp;%Q"</f>
        <v>#VALUE!</v>
      </c>
      <c r="DH94" t="e">
        <f>'All regions'!H2579+"$F;@!&amp;%R"</f>
        <v>#VALUE!</v>
      </c>
      <c r="DI94" t="e">
        <f>'All regions'!I2579+"$F;@!&amp;%S"</f>
        <v>#VALUE!</v>
      </c>
      <c r="DJ94" t="e">
        <f>'All regions'!A2580+"$F;@!&amp;%T"</f>
        <v>#VALUE!</v>
      </c>
      <c r="DK94" t="e">
        <f>'All regions'!B2580+"$F;@!&amp;%U"</f>
        <v>#VALUE!</v>
      </c>
      <c r="DL94" t="e">
        <f>'All regions'!C2580+"$F;@!&amp;%V"</f>
        <v>#VALUE!</v>
      </c>
      <c r="DM94" t="e">
        <f>'All regions'!D2580+"$F;@!&amp;%W"</f>
        <v>#VALUE!</v>
      </c>
      <c r="DN94" t="e">
        <f>'All regions'!E2580+"$F;@!&amp;%X"</f>
        <v>#VALUE!</v>
      </c>
      <c r="DO94" t="e">
        <f>'All regions'!F2580+"$F;@!&amp;%Y"</f>
        <v>#VALUE!</v>
      </c>
      <c r="DP94" t="e">
        <f>'All regions'!G2580+"$F;@!&amp;%Z"</f>
        <v>#VALUE!</v>
      </c>
      <c r="DQ94" t="e">
        <f>'All regions'!H2580+"$F;@!&amp;%["</f>
        <v>#VALUE!</v>
      </c>
      <c r="DR94" t="e">
        <f>'All regions'!I2580+"$F;@!&amp;%\"</f>
        <v>#VALUE!</v>
      </c>
      <c r="DS94" t="e">
        <f>'All regions'!A2581+"$F;@!&amp;%]"</f>
        <v>#VALUE!</v>
      </c>
      <c r="DT94" t="e">
        <f>'All regions'!B2581+"$F;@!&amp;%^"</f>
        <v>#VALUE!</v>
      </c>
      <c r="DU94" t="e">
        <f>'All regions'!C2581+"$F;@!&amp;%_"</f>
        <v>#VALUE!</v>
      </c>
      <c r="DV94" t="e">
        <f>'All regions'!D2581+"$F;@!&amp;%`"</f>
        <v>#VALUE!</v>
      </c>
      <c r="DW94" t="e">
        <f>'All regions'!E2581+"$F;@!&amp;%a"</f>
        <v>#VALUE!</v>
      </c>
      <c r="DX94" t="e">
        <f>'All regions'!F2581+"$F;@!&amp;%b"</f>
        <v>#VALUE!</v>
      </c>
      <c r="DY94" t="e">
        <f>'All regions'!G2581+"$F;@!&amp;%c"</f>
        <v>#VALUE!</v>
      </c>
      <c r="DZ94" t="e">
        <f>'All regions'!H2581+"$F;@!&amp;%d"</f>
        <v>#VALUE!</v>
      </c>
      <c r="EA94" t="e">
        <f>'All regions'!I2581+"$F;@!&amp;%e"</f>
        <v>#VALUE!</v>
      </c>
      <c r="EB94" t="e">
        <f>'All regions'!A2582+"$F;@!&amp;%f"</f>
        <v>#VALUE!</v>
      </c>
      <c r="EC94" t="e">
        <f>'All regions'!B2582+"$F;@!&amp;%g"</f>
        <v>#VALUE!</v>
      </c>
      <c r="ED94" t="e">
        <f>'All regions'!C2582+"$F;@!&amp;%h"</f>
        <v>#VALUE!</v>
      </c>
      <c r="EE94" t="e">
        <f>'All regions'!D2582+"$F;@!&amp;%i"</f>
        <v>#VALUE!</v>
      </c>
      <c r="EF94" t="e">
        <f>'All regions'!E2582+"$F;@!&amp;%j"</f>
        <v>#VALUE!</v>
      </c>
      <c r="EG94" t="e">
        <f>'All regions'!F2582+"$F;@!&amp;%k"</f>
        <v>#VALUE!</v>
      </c>
      <c r="EH94" t="e">
        <f>'All regions'!G2582+"$F;@!&amp;%l"</f>
        <v>#VALUE!</v>
      </c>
      <c r="EI94" t="e">
        <f>'All regions'!H2582+"$F;@!&amp;%m"</f>
        <v>#VALUE!</v>
      </c>
      <c r="EJ94" t="e">
        <f>'All regions'!I2582+"$F;@!&amp;%n"</f>
        <v>#VALUE!</v>
      </c>
      <c r="EK94" t="e">
        <f>'All regions'!A2583+"$F;@!&amp;%o"</f>
        <v>#VALUE!</v>
      </c>
      <c r="EL94" t="e">
        <f>'All regions'!B2583+"$F;@!&amp;%p"</f>
        <v>#VALUE!</v>
      </c>
      <c r="EM94" t="e">
        <f>'All regions'!C2583+"$F;@!&amp;%q"</f>
        <v>#VALUE!</v>
      </c>
      <c r="EN94" t="e">
        <f>'All regions'!D2583+"$F;@!&amp;%r"</f>
        <v>#VALUE!</v>
      </c>
      <c r="EO94" t="e">
        <f>'All regions'!E2583+"$F;@!&amp;%s"</f>
        <v>#VALUE!</v>
      </c>
      <c r="EP94" t="e">
        <f>'All regions'!F2583+"$F;@!&amp;%t"</f>
        <v>#VALUE!</v>
      </c>
      <c r="EQ94" t="e">
        <f>'All regions'!G2583+"$F;@!&amp;%u"</f>
        <v>#VALUE!</v>
      </c>
      <c r="ER94" t="e">
        <f>'All regions'!H2583+"$F;@!&amp;%v"</f>
        <v>#VALUE!</v>
      </c>
      <c r="ES94" t="e">
        <f>'All regions'!I2583+"$F;@!&amp;%w"</f>
        <v>#VALUE!</v>
      </c>
      <c r="ET94" t="e">
        <f>'All regions'!A2584+"$F;@!&amp;%x"</f>
        <v>#VALUE!</v>
      </c>
      <c r="EU94" t="e">
        <f>'All regions'!B2584+"$F;@!&amp;%y"</f>
        <v>#VALUE!</v>
      </c>
      <c r="EV94" t="e">
        <f>'All regions'!C2584+"$F;@!&amp;%z"</f>
        <v>#VALUE!</v>
      </c>
      <c r="EW94" t="e">
        <f>'All regions'!D2584+"$F;@!&amp;%{"</f>
        <v>#VALUE!</v>
      </c>
      <c r="EX94" t="e">
        <f>'All regions'!E2584+"$F;@!&amp;%|"</f>
        <v>#VALUE!</v>
      </c>
      <c r="EY94" t="e">
        <f>'All regions'!F2584+"$F;@!&amp;%}"</f>
        <v>#VALUE!</v>
      </c>
      <c r="EZ94" t="e">
        <f>'All regions'!G2584+"$F;@!&amp;%~"</f>
        <v>#VALUE!</v>
      </c>
      <c r="FA94" t="e">
        <f>'All regions'!H2584+"$F;@!&amp;&amp;#"</f>
        <v>#VALUE!</v>
      </c>
      <c r="FB94" t="e">
        <f>'All regions'!I2584+"$F;@!&amp;&amp;$"</f>
        <v>#VALUE!</v>
      </c>
      <c r="FC94" t="e">
        <f>'All regions'!A2585+"$F;@!&amp;&amp;%"</f>
        <v>#VALUE!</v>
      </c>
      <c r="FD94" t="e">
        <f>'All regions'!B2585+"$F;@!&amp;&amp;&amp;"</f>
        <v>#VALUE!</v>
      </c>
      <c r="FE94" t="e">
        <f>'All regions'!C2585+"$F;@!&amp;&amp;'"</f>
        <v>#VALUE!</v>
      </c>
      <c r="FF94" t="e">
        <f>'All regions'!D2585+"$F;@!&amp;&amp;("</f>
        <v>#VALUE!</v>
      </c>
      <c r="FG94" t="e">
        <f>'All regions'!E2585+"$F;@!&amp;&amp;)"</f>
        <v>#VALUE!</v>
      </c>
      <c r="FH94" t="e">
        <f>'All regions'!F2585+"$F;@!&amp;&amp;."</f>
        <v>#VALUE!</v>
      </c>
      <c r="FI94" t="e">
        <f>'All regions'!G2585+"$F;@!&amp;&amp;/"</f>
        <v>#VALUE!</v>
      </c>
      <c r="FJ94" t="e">
        <f>'All regions'!H2585+"$F;@!&amp;&amp;0"</f>
        <v>#VALUE!</v>
      </c>
      <c r="FK94" t="e">
        <f>'All regions'!I2585+"$F;@!&amp;&amp;1"</f>
        <v>#VALUE!</v>
      </c>
      <c r="FL94" t="e">
        <f>'All regions'!A2586+"$F;@!&amp;&amp;2"</f>
        <v>#VALUE!</v>
      </c>
      <c r="FM94" t="e">
        <f>'All regions'!B2586+"$F;@!&amp;&amp;3"</f>
        <v>#VALUE!</v>
      </c>
      <c r="FN94" t="e">
        <f>'All regions'!C2586+"$F;@!&amp;&amp;4"</f>
        <v>#VALUE!</v>
      </c>
      <c r="FO94" t="e">
        <f>'All regions'!D2586+"$F;@!&amp;&amp;5"</f>
        <v>#VALUE!</v>
      </c>
      <c r="FP94" t="e">
        <f>'All regions'!E2586+"$F;@!&amp;&amp;6"</f>
        <v>#VALUE!</v>
      </c>
      <c r="FQ94" t="e">
        <f>'All regions'!F2586+"$F;@!&amp;&amp;7"</f>
        <v>#VALUE!</v>
      </c>
      <c r="FR94" t="e">
        <f>'All regions'!G2586+"$F;@!&amp;&amp;8"</f>
        <v>#VALUE!</v>
      </c>
      <c r="FS94" t="e">
        <f>'All regions'!H2586+"$F;@!&amp;&amp;9"</f>
        <v>#VALUE!</v>
      </c>
      <c r="FT94" t="e">
        <f>'All regions'!I2586+"$F;@!&amp;&amp;:"</f>
        <v>#VALUE!</v>
      </c>
      <c r="FU94" t="e">
        <f>'All regions'!A2587+"$F;@!&amp;&amp;;"</f>
        <v>#VALUE!</v>
      </c>
      <c r="FV94" t="e">
        <f>'All regions'!B2587+"$F;@!&amp;&amp;&lt;"</f>
        <v>#VALUE!</v>
      </c>
      <c r="FW94" t="e">
        <f>'All regions'!C2587+"$F;@!&amp;&amp;="</f>
        <v>#VALUE!</v>
      </c>
      <c r="FX94" t="e">
        <f>'All regions'!D2587+"$F;@!&amp;&amp;&gt;"</f>
        <v>#VALUE!</v>
      </c>
      <c r="FY94" t="e">
        <f>'All regions'!E2587+"$F;@!&amp;&amp;?"</f>
        <v>#VALUE!</v>
      </c>
      <c r="FZ94" t="e">
        <f>'All regions'!F2587+"$F;@!&amp;&amp;@"</f>
        <v>#VALUE!</v>
      </c>
      <c r="GA94" t="e">
        <f>'All regions'!G2587+"$F;@!&amp;&amp;A"</f>
        <v>#VALUE!</v>
      </c>
      <c r="GB94" t="e">
        <f>'All regions'!H2587+"$F;@!&amp;&amp;B"</f>
        <v>#VALUE!</v>
      </c>
      <c r="GC94" t="e">
        <f>'All regions'!I2587+"$F;@!&amp;&amp;C"</f>
        <v>#VALUE!</v>
      </c>
      <c r="GD94" t="e">
        <f>'All regions'!A2588+"$F;@!&amp;&amp;D"</f>
        <v>#VALUE!</v>
      </c>
      <c r="GE94" t="e">
        <f>'All regions'!B2588+"$F;@!&amp;&amp;E"</f>
        <v>#VALUE!</v>
      </c>
      <c r="GF94" t="e">
        <f>'All regions'!C2588+"$F;@!&amp;&amp;F"</f>
        <v>#VALUE!</v>
      </c>
      <c r="GG94" t="e">
        <f>'All regions'!D2588+"$F;@!&amp;&amp;G"</f>
        <v>#VALUE!</v>
      </c>
      <c r="GH94" t="e">
        <f>'All regions'!E2588+"$F;@!&amp;&amp;H"</f>
        <v>#VALUE!</v>
      </c>
      <c r="GI94" t="e">
        <f>'All regions'!F2588+"$F;@!&amp;&amp;I"</f>
        <v>#VALUE!</v>
      </c>
      <c r="GJ94" t="e">
        <f>'All regions'!G2588+"$F;@!&amp;&amp;J"</f>
        <v>#VALUE!</v>
      </c>
      <c r="GK94" t="e">
        <f>'All regions'!H2588+"$F;@!&amp;&amp;K"</f>
        <v>#VALUE!</v>
      </c>
      <c r="GL94" t="e">
        <f>'All regions'!I2588+"$F;@!&amp;&amp;L"</f>
        <v>#VALUE!</v>
      </c>
      <c r="GM94" t="e">
        <f>'All regions'!A2589+"$F;@!&amp;&amp;M"</f>
        <v>#VALUE!</v>
      </c>
      <c r="GN94" t="e">
        <f>'All regions'!B2589+"$F;@!&amp;&amp;N"</f>
        <v>#VALUE!</v>
      </c>
      <c r="GO94" t="e">
        <f>'All regions'!C2589+"$F;@!&amp;&amp;O"</f>
        <v>#VALUE!</v>
      </c>
      <c r="GP94" t="e">
        <f>'All regions'!D2589+"$F;@!&amp;&amp;P"</f>
        <v>#VALUE!</v>
      </c>
      <c r="GQ94" t="e">
        <f>'All regions'!E2589+"$F;@!&amp;&amp;Q"</f>
        <v>#VALUE!</v>
      </c>
      <c r="GR94" t="e">
        <f>'All regions'!F2589+"$F;@!&amp;&amp;R"</f>
        <v>#VALUE!</v>
      </c>
      <c r="GS94" t="e">
        <f>'All regions'!G2589+"$F;@!&amp;&amp;S"</f>
        <v>#VALUE!</v>
      </c>
      <c r="GT94" t="e">
        <f>'All regions'!H2589+"$F;@!&amp;&amp;T"</f>
        <v>#VALUE!</v>
      </c>
      <c r="GU94" t="e">
        <f>'All regions'!I2589+"$F;@!&amp;&amp;U"</f>
        <v>#VALUE!</v>
      </c>
      <c r="GV94" t="e">
        <f>'All regions'!A2590+"$F;@!&amp;&amp;V"</f>
        <v>#VALUE!</v>
      </c>
      <c r="GW94" t="e">
        <f>'All regions'!B2590+"$F;@!&amp;&amp;W"</f>
        <v>#VALUE!</v>
      </c>
      <c r="GX94" t="e">
        <f>'All regions'!C2590+"$F;@!&amp;&amp;X"</f>
        <v>#VALUE!</v>
      </c>
      <c r="GY94" t="e">
        <f>'All regions'!D2590+"$F;@!&amp;&amp;Y"</f>
        <v>#VALUE!</v>
      </c>
      <c r="GZ94" t="e">
        <f>'All regions'!E2590+"$F;@!&amp;&amp;Z"</f>
        <v>#VALUE!</v>
      </c>
      <c r="HA94" t="e">
        <f>'All regions'!F2590+"$F;@!&amp;&amp;["</f>
        <v>#VALUE!</v>
      </c>
      <c r="HB94" t="e">
        <f>'All regions'!G2590+"$F;@!&amp;&amp;\"</f>
        <v>#VALUE!</v>
      </c>
      <c r="HC94" t="e">
        <f>'All regions'!H2590+"$F;@!&amp;&amp;]"</f>
        <v>#VALUE!</v>
      </c>
      <c r="HD94" t="e">
        <f>'All regions'!I2590+"$F;@!&amp;&amp;^"</f>
        <v>#VALUE!</v>
      </c>
      <c r="HE94" t="e">
        <f>'All regions'!A2591+"$F;@!&amp;&amp;_"</f>
        <v>#VALUE!</v>
      </c>
      <c r="HF94" t="e">
        <f>'All regions'!B2591+"$F;@!&amp;&amp;`"</f>
        <v>#VALUE!</v>
      </c>
      <c r="HG94" t="e">
        <f>'All regions'!C2591+"$F;@!&amp;&amp;a"</f>
        <v>#VALUE!</v>
      </c>
      <c r="HH94" t="e">
        <f>'All regions'!D2591+"$F;@!&amp;&amp;b"</f>
        <v>#VALUE!</v>
      </c>
      <c r="HI94" t="e">
        <f>'All regions'!E2591+"$F;@!&amp;&amp;c"</f>
        <v>#VALUE!</v>
      </c>
      <c r="HJ94" t="e">
        <f>'All regions'!F2591+"$F;@!&amp;&amp;d"</f>
        <v>#VALUE!</v>
      </c>
      <c r="HK94" t="e">
        <f>'All regions'!G2591+"$F;@!&amp;&amp;e"</f>
        <v>#VALUE!</v>
      </c>
      <c r="HL94" t="e">
        <f>'All regions'!H2591+"$F;@!&amp;&amp;f"</f>
        <v>#VALUE!</v>
      </c>
      <c r="HM94" t="e">
        <f>'All regions'!I2591+"$F;@!&amp;&amp;g"</f>
        <v>#VALUE!</v>
      </c>
      <c r="HN94" t="e">
        <f>'All regions'!A2592+"$F;@!&amp;&amp;h"</f>
        <v>#VALUE!</v>
      </c>
      <c r="HO94" t="e">
        <f>'All regions'!B2592+"$F;@!&amp;&amp;i"</f>
        <v>#VALUE!</v>
      </c>
      <c r="HP94" t="e">
        <f>'All regions'!C2592+"$F;@!&amp;&amp;j"</f>
        <v>#VALUE!</v>
      </c>
      <c r="HQ94" t="e">
        <f>'All regions'!D2592+"$F;@!&amp;&amp;k"</f>
        <v>#VALUE!</v>
      </c>
      <c r="HR94" t="e">
        <f>'All regions'!E2592+"$F;@!&amp;&amp;l"</f>
        <v>#VALUE!</v>
      </c>
      <c r="HS94" t="e">
        <f>'All regions'!F2592+"$F;@!&amp;&amp;m"</f>
        <v>#VALUE!</v>
      </c>
      <c r="HT94" t="e">
        <f>'All regions'!G2592+"$F;@!&amp;&amp;n"</f>
        <v>#VALUE!</v>
      </c>
      <c r="HU94" t="e">
        <f>'All regions'!H2592+"$F;@!&amp;&amp;o"</f>
        <v>#VALUE!</v>
      </c>
      <c r="HV94" t="e">
        <f>'All regions'!I2592+"$F;@!&amp;&amp;p"</f>
        <v>#VALUE!</v>
      </c>
      <c r="HW94" t="e">
        <f>'All regions'!A2593+"$F;@!&amp;&amp;q"</f>
        <v>#VALUE!</v>
      </c>
      <c r="HX94" t="e">
        <f>'All regions'!B2593+"$F;@!&amp;&amp;r"</f>
        <v>#VALUE!</v>
      </c>
      <c r="HY94" t="e">
        <f>'All regions'!C2593+"$F;@!&amp;&amp;s"</f>
        <v>#VALUE!</v>
      </c>
      <c r="HZ94" t="e">
        <f>'All regions'!D2593+"$F;@!&amp;&amp;t"</f>
        <v>#VALUE!</v>
      </c>
      <c r="IA94" t="e">
        <f>'All regions'!E2593+"$F;@!&amp;&amp;u"</f>
        <v>#VALUE!</v>
      </c>
      <c r="IB94" t="e">
        <f>'All regions'!F2593+"$F;@!&amp;&amp;v"</f>
        <v>#VALUE!</v>
      </c>
      <c r="IC94" t="e">
        <f>'All regions'!G2593+"$F;@!&amp;&amp;w"</f>
        <v>#VALUE!</v>
      </c>
      <c r="ID94" t="e">
        <f>'All regions'!H2593+"$F;@!&amp;&amp;x"</f>
        <v>#VALUE!</v>
      </c>
      <c r="IE94" t="e">
        <f>'All regions'!I2593+"$F;@!&amp;&amp;y"</f>
        <v>#VALUE!</v>
      </c>
      <c r="IF94" t="e">
        <f>'All regions'!A2594+"$F;@!&amp;&amp;z"</f>
        <v>#VALUE!</v>
      </c>
      <c r="IG94" t="e">
        <f>'All regions'!B2594+"$F;@!&amp;&amp;{"</f>
        <v>#VALUE!</v>
      </c>
      <c r="IH94" t="e">
        <f>'All regions'!C2594+"$F;@!&amp;&amp;|"</f>
        <v>#VALUE!</v>
      </c>
      <c r="II94" t="e">
        <f>'All regions'!D2594+"$F;@!&amp;&amp;}"</f>
        <v>#VALUE!</v>
      </c>
      <c r="IJ94" t="e">
        <f>'All regions'!E2594+"$F;@!&amp;&amp;~"</f>
        <v>#VALUE!</v>
      </c>
      <c r="IK94" t="e">
        <f>'All regions'!F2594+"$F;@!&amp;'#"</f>
        <v>#VALUE!</v>
      </c>
      <c r="IL94" t="e">
        <f>'All regions'!G2594+"$F;@!&amp;'$"</f>
        <v>#VALUE!</v>
      </c>
      <c r="IM94" t="e">
        <f>'All regions'!H2594+"$F;@!&amp;'%"</f>
        <v>#VALUE!</v>
      </c>
      <c r="IN94" t="e">
        <f>'All regions'!I2594+"$F;@!&amp;'&amp;"</f>
        <v>#VALUE!</v>
      </c>
      <c r="IO94" t="e">
        <f>'All regions'!A2595+"$F;@!&amp;''"</f>
        <v>#VALUE!</v>
      </c>
      <c r="IP94" t="e">
        <f>'All regions'!B2595+"$F;@!&amp;'("</f>
        <v>#VALUE!</v>
      </c>
      <c r="IQ94" t="e">
        <f>'All regions'!C2595+"$F;@!&amp;')"</f>
        <v>#VALUE!</v>
      </c>
      <c r="IR94" t="e">
        <f>'All regions'!D2595+"$F;@!&amp;'."</f>
        <v>#VALUE!</v>
      </c>
      <c r="IS94" t="e">
        <f>'All regions'!E2595+"$F;@!&amp;'/"</f>
        <v>#VALUE!</v>
      </c>
      <c r="IT94" t="e">
        <f>'All regions'!F2595+"$F;@!&amp;'0"</f>
        <v>#VALUE!</v>
      </c>
      <c r="IU94" t="e">
        <f>'All regions'!G2595+"$F;@!&amp;'1"</f>
        <v>#VALUE!</v>
      </c>
      <c r="IV94" t="e">
        <f>'All regions'!H2595+"$F;@!&amp;'2"</f>
        <v>#VALUE!</v>
      </c>
    </row>
    <row r="95" spans="6:256" x14ac:dyDescent="0.35">
      <c r="F95" t="e">
        <f>'All regions'!I2595+"$F;@!&amp;'3"</f>
        <v>#VALUE!</v>
      </c>
      <c r="G95" t="e">
        <f>'All regions'!A2596+"$F;@!&amp;'4"</f>
        <v>#VALUE!</v>
      </c>
      <c r="H95" t="e">
        <f>'All regions'!B2596+"$F;@!&amp;'5"</f>
        <v>#VALUE!</v>
      </c>
      <c r="I95" t="e">
        <f>'All regions'!C2596+"$F;@!&amp;'6"</f>
        <v>#VALUE!</v>
      </c>
      <c r="J95" t="e">
        <f>'All regions'!D2596+"$F;@!&amp;'7"</f>
        <v>#VALUE!</v>
      </c>
      <c r="K95" t="e">
        <f>'All regions'!E2596+"$F;@!&amp;'8"</f>
        <v>#VALUE!</v>
      </c>
      <c r="L95" t="e">
        <f>'All regions'!F2596+"$F;@!&amp;'9"</f>
        <v>#VALUE!</v>
      </c>
      <c r="M95" t="e">
        <f>'All regions'!G2596+"$F;@!&amp;':"</f>
        <v>#VALUE!</v>
      </c>
      <c r="N95" t="e">
        <f>'All regions'!H2596+"$F;@!&amp;';"</f>
        <v>#VALUE!</v>
      </c>
      <c r="O95" t="e">
        <f>'All regions'!I2596+"$F;@!&amp;'&lt;"</f>
        <v>#VALUE!</v>
      </c>
      <c r="P95" t="e">
        <f>'All regions'!A2597+"$F;@!&amp;'="</f>
        <v>#VALUE!</v>
      </c>
      <c r="Q95" t="e">
        <f>'All regions'!B2597+"$F;@!&amp;'&gt;"</f>
        <v>#VALUE!</v>
      </c>
      <c r="R95" t="e">
        <f>'All regions'!C2597+"$F;@!&amp;'?"</f>
        <v>#VALUE!</v>
      </c>
      <c r="S95" t="e">
        <f>'All regions'!D2597+"$F;@!&amp;'@"</f>
        <v>#VALUE!</v>
      </c>
      <c r="T95" t="e">
        <f>'All regions'!E2597+"$F;@!&amp;'A"</f>
        <v>#VALUE!</v>
      </c>
      <c r="U95" t="e">
        <f>'All regions'!F2597+"$F;@!&amp;'B"</f>
        <v>#VALUE!</v>
      </c>
      <c r="V95" t="e">
        <f>'All regions'!G2597+"$F;@!&amp;'C"</f>
        <v>#VALUE!</v>
      </c>
      <c r="W95" t="e">
        <f>'All regions'!H2597+"$F;@!&amp;'D"</f>
        <v>#VALUE!</v>
      </c>
      <c r="X95" t="e">
        <f>'All regions'!I2597+"$F;@!&amp;'E"</f>
        <v>#VALUE!</v>
      </c>
      <c r="Y95" t="e">
        <f>'All regions'!A2598+"$F;@!&amp;'F"</f>
        <v>#VALUE!</v>
      </c>
      <c r="Z95" t="e">
        <f>'All regions'!B2598+"$F;@!&amp;'G"</f>
        <v>#VALUE!</v>
      </c>
      <c r="AA95" t="e">
        <f>'All regions'!C2598+"$F;@!&amp;'H"</f>
        <v>#VALUE!</v>
      </c>
      <c r="AB95" t="e">
        <f>'All regions'!D2598+"$F;@!&amp;'I"</f>
        <v>#VALUE!</v>
      </c>
      <c r="AC95" t="e">
        <f>'All regions'!E2598+"$F;@!&amp;'J"</f>
        <v>#VALUE!</v>
      </c>
      <c r="AD95" t="e">
        <f>'All regions'!F2598+"$F;@!&amp;'K"</f>
        <v>#VALUE!</v>
      </c>
      <c r="AE95" t="e">
        <f>'All regions'!G2598+"$F;@!&amp;'L"</f>
        <v>#VALUE!</v>
      </c>
      <c r="AF95" t="e">
        <f>'All regions'!H2598+"$F;@!&amp;'M"</f>
        <v>#VALUE!</v>
      </c>
      <c r="AG95" t="e">
        <f>'All regions'!I2598+"$F;@!&amp;'N"</f>
        <v>#VALUE!</v>
      </c>
      <c r="AH95" t="e">
        <f>'All regions'!A2599+"$F;@!&amp;'O"</f>
        <v>#VALUE!</v>
      </c>
      <c r="AI95" t="e">
        <f>'All regions'!B2599+"$F;@!&amp;'P"</f>
        <v>#VALUE!</v>
      </c>
      <c r="AJ95" t="e">
        <f>'All regions'!C2599+"$F;@!&amp;'Q"</f>
        <v>#VALUE!</v>
      </c>
      <c r="AK95" t="e">
        <f>'All regions'!D2599+"$F;@!&amp;'R"</f>
        <v>#VALUE!</v>
      </c>
      <c r="AL95" t="e">
        <f>'All regions'!E2599+"$F;@!&amp;'S"</f>
        <v>#VALUE!</v>
      </c>
      <c r="AM95" t="e">
        <f>'All regions'!F2599+"$F;@!&amp;'T"</f>
        <v>#VALUE!</v>
      </c>
      <c r="AN95" t="e">
        <f>'All regions'!G2599+"$F;@!&amp;'U"</f>
        <v>#VALUE!</v>
      </c>
      <c r="AO95" t="e">
        <f>'All regions'!H2599+"$F;@!&amp;'V"</f>
        <v>#VALUE!</v>
      </c>
      <c r="AP95" t="e">
        <f>'All regions'!I2599+"$F;@!&amp;'W"</f>
        <v>#VALUE!</v>
      </c>
      <c r="AQ95" t="e">
        <f>'All regions'!A2600+"$F;@!&amp;'X"</f>
        <v>#VALUE!</v>
      </c>
      <c r="AR95" t="e">
        <f>'All regions'!B2600+"$F;@!&amp;'Y"</f>
        <v>#VALUE!</v>
      </c>
      <c r="AS95" t="e">
        <f>'All regions'!C2600+"$F;@!&amp;'Z"</f>
        <v>#VALUE!</v>
      </c>
      <c r="AT95" t="e">
        <f>'All regions'!D2600+"$F;@!&amp;'["</f>
        <v>#VALUE!</v>
      </c>
      <c r="AU95" t="e">
        <f>'All regions'!E2600+"$F;@!&amp;'\"</f>
        <v>#VALUE!</v>
      </c>
      <c r="AV95" t="e">
        <f>'All regions'!F2600+"$F;@!&amp;']"</f>
        <v>#VALUE!</v>
      </c>
      <c r="AW95" t="e">
        <f>'All regions'!G2600+"$F;@!&amp;'^"</f>
        <v>#VALUE!</v>
      </c>
      <c r="AX95" t="e">
        <f>'All regions'!H2600+"$F;@!&amp;'_"</f>
        <v>#VALUE!</v>
      </c>
      <c r="AY95" t="e">
        <f>'All regions'!I2600+"$F;@!&amp;'`"</f>
        <v>#VALUE!</v>
      </c>
      <c r="AZ95" t="e">
        <f>'All regions'!A2601+"$F;@!&amp;'a"</f>
        <v>#VALUE!</v>
      </c>
      <c r="BA95" t="e">
        <f>'All regions'!B2601+"$F;@!&amp;'b"</f>
        <v>#VALUE!</v>
      </c>
      <c r="BB95" t="e">
        <f>'All regions'!C2601+"$F;@!&amp;'c"</f>
        <v>#VALUE!</v>
      </c>
      <c r="BC95" t="e">
        <f>'All regions'!D2601+"$F;@!&amp;'d"</f>
        <v>#VALUE!</v>
      </c>
      <c r="BD95" t="e">
        <f>'All regions'!E2601+"$F;@!&amp;'e"</f>
        <v>#VALUE!</v>
      </c>
      <c r="BE95" t="e">
        <f>'All regions'!F2601+"$F;@!&amp;'f"</f>
        <v>#VALUE!</v>
      </c>
      <c r="BF95" t="e">
        <f>'All regions'!G2601+"$F;@!&amp;'g"</f>
        <v>#VALUE!</v>
      </c>
      <c r="BG95" t="e">
        <f>'All regions'!H2601+"$F;@!&amp;'h"</f>
        <v>#VALUE!</v>
      </c>
      <c r="BH95" t="e">
        <f>'All regions'!I2601+"$F;@!&amp;'i"</f>
        <v>#VALUE!</v>
      </c>
      <c r="BI95" t="e">
        <f>'All regions'!A2602+"$F;@!&amp;'j"</f>
        <v>#VALUE!</v>
      </c>
      <c r="BJ95" t="e">
        <f>'All regions'!B2602+"$F;@!&amp;'k"</f>
        <v>#VALUE!</v>
      </c>
      <c r="BK95" t="e">
        <f>'All regions'!C2602+"$F;@!&amp;'l"</f>
        <v>#VALUE!</v>
      </c>
      <c r="BL95" t="e">
        <f>'All regions'!D2602+"$F;@!&amp;'m"</f>
        <v>#VALUE!</v>
      </c>
      <c r="BM95" t="e">
        <f>'All regions'!E2602+"$F;@!&amp;'n"</f>
        <v>#VALUE!</v>
      </c>
      <c r="BN95" t="e">
        <f>'All regions'!F2602+"$F;@!&amp;'o"</f>
        <v>#VALUE!</v>
      </c>
      <c r="BO95" t="e">
        <f>'All regions'!G2602+"$F;@!&amp;'p"</f>
        <v>#VALUE!</v>
      </c>
      <c r="BP95" t="e">
        <f>'All regions'!H2602+"$F;@!&amp;'q"</f>
        <v>#VALUE!</v>
      </c>
      <c r="BQ95" t="e">
        <f>'All regions'!I2602+"$F;@!&amp;'r"</f>
        <v>#VALUE!</v>
      </c>
      <c r="BR95" t="e">
        <f>'All regions'!A2603+"$F;@!&amp;'s"</f>
        <v>#VALUE!</v>
      </c>
      <c r="BS95" t="e">
        <f>'All regions'!B2603+"$F;@!&amp;'t"</f>
        <v>#VALUE!</v>
      </c>
      <c r="BT95" t="e">
        <f>'All regions'!C2603+"$F;@!&amp;'u"</f>
        <v>#VALUE!</v>
      </c>
      <c r="BU95" t="e">
        <f>'All regions'!D2603+"$F;@!&amp;'v"</f>
        <v>#VALUE!</v>
      </c>
      <c r="BV95" t="e">
        <f>'All regions'!E2603+"$F;@!&amp;'w"</f>
        <v>#VALUE!</v>
      </c>
      <c r="BW95" t="e">
        <f>'All regions'!F2603+"$F;@!&amp;'x"</f>
        <v>#VALUE!</v>
      </c>
      <c r="BX95" t="e">
        <f>'All regions'!G2603+"$F;@!&amp;'y"</f>
        <v>#VALUE!</v>
      </c>
      <c r="BY95" t="e">
        <f>'All regions'!H2603+"$F;@!&amp;'z"</f>
        <v>#VALUE!</v>
      </c>
      <c r="BZ95" t="e">
        <f>'All regions'!I2603+"$F;@!&amp;'{"</f>
        <v>#VALUE!</v>
      </c>
      <c r="CA95" t="e">
        <f>'All regions'!A2604+"$F;@!&amp;'|"</f>
        <v>#VALUE!</v>
      </c>
      <c r="CB95" t="e">
        <f>'All regions'!B2604+"$F;@!&amp;'}"</f>
        <v>#VALUE!</v>
      </c>
      <c r="CC95" t="e">
        <f>'All regions'!C2604+"$F;@!&amp;'~"</f>
        <v>#VALUE!</v>
      </c>
      <c r="CD95" t="e">
        <f>'All regions'!D2604+"$F;@!&amp;(#"</f>
        <v>#VALUE!</v>
      </c>
      <c r="CE95" t="e">
        <f>'All regions'!E2604+"$F;@!&amp;($"</f>
        <v>#VALUE!</v>
      </c>
      <c r="CF95" t="e">
        <f>'All regions'!F2604+"$F;@!&amp;(%"</f>
        <v>#VALUE!</v>
      </c>
      <c r="CG95" t="e">
        <f>'All regions'!G2604+"$F;@!&amp;(&amp;"</f>
        <v>#VALUE!</v>
      </c>
      <c r="CH95" t="e">
        <f>'All regions'!H2604+"$F;@!&amp;('"</f>
        <v>#VALUE!</v>
      </c>
      <c r="CI95" t="e">
        <f>'All regions'!I2604+"$F;@!&amp;(("</f>
        <v>#VALUE!</v>
      </c>
      <c r="CJ95" t="e">
        <f>'All regions'!A2605+"$F;@!&amp;()"</f>
        <v>#VALUE!</v>
      </c>
      <c r="CK95" t="e">
        <f>'All regions'!B2605+"$F;@!&amp;(."</f>
        <v>#VALUE!</v>
      </c>
      <c r="CL95" t="e">
        <f>'All regions'!C2605+"$F;@!&amp;(/"</f>
        <v>#VALUE!</v>
      </c>
      <c r="CM95" t="e">
        <f>'All regions'!D2605+"$F;@!&amp;(0"</f>
        <v>#VALUE!</v>
      </c>
      <c r="CN95" t="e">
        <f>'All regions'!E2605+"$F;@!&amp;(1"</f>
        <v>#VALUE!</v>
      </c>
      <c r="CO95" t="e">
        <f>'All regions'!F2605+"$F;@!&amp;(2"</f>
        <v>#VALUE!</v>
      </c>
      <c r="CP95" t="e">
        <f>'All regions'!G2605+"$F;@!&amp;(3"</f>
        <v>#VALUE!</v>
      </c>
      <c r="CQ95" t="e">
        <f>'All regions'!H2605+"$F;@!&amp;(4"</f>
        <v>#VALUE!</v>
      </c>
      <c r="CR95" t="e">
        <f>'All regions'!I2605+"$F;@!&amp;(5"</f>
        <v>#VALUE!</v>
      </c>
      <c r="CS95" t="e">
        <f>'All regions'!A2606+"$F;@!&amp;(6"</f>
        <v>#VALUE!</v>
      </c>
      <c r="CT95" t="e">
        <f>'All regions'!B2606+"$F;@!&amp;(7"</f>
        <v>#VALUE!</v>
      </c>
      <c r="CU95" t="e">
        <f>'All regions'!C2606+"$F;@!&amp;(8"</f>
        <v>#VALUE!</v>
      </c>
      <c r="CV95" t="e">
        <f>'All regions'!D2606+"$F;@!&amp;(9"</f>
        <v>#VALUE!</v>
      </c>
      <c r="CW95" t="e">
        <f>'All regions'!E2606+"$F;@!&amp;(:"</f>
        <v>#VALUE!</v>
      </c>
      <c r="CX95" t="e">
        <f>'All regions'!F2606+"$F;@!&amp;(;"</f>
        <v>#VALUE!</v>
      </c>
      <c r="CY95" t="e">
        <f>'All regions'!G2606+"$F;@!&amp;(&lt;"</f>
        <v>#VALUE!</v>
      </c>
      <c r="CZ95" t="e">
        <f>'All regions'!H2606+"$F;@!&amp;(="</f>
        <v>#VALUE!</v>
      </c>
      <c r="DA95" t="e">
        <f>'All regions'!I2606+"$F;@!&amp;(&gt;"</f>
        <v>#VALUE!</v>
      </c>
      <c r="DB95" t="e">
        <f>'All regions'!A2607+"$F;@!&amp;(?"</f>
        <v>#VALUE!</v>
      </c>
      <c r="DC95" t="e">
        <f>'All regions'!B2607+"$F;@!&amp;(@"</f>
        <v>#VALUE!</v>
      </c>
      <c r="DD95" t="e">
        <f>'All regions'!C2607+"$F;@!&amp;(A"</f>
        <v>#VALUE!</v>
      </c>
      <c r="DE95" t="e">
        <f>'All regions'!D2607+"$F;@!&amp;(B"</f>
        <v>#VALUE!</v>
      </c>
      <c r="DF95" t="e">
        <f>'All regions'!E2607+"$F;@!&amp;(C"</f>
        <v>#VALUE!</v>
      </c>
      <c r="DG95" t="e">
        <f>'All regions'!F2607+"$F;@!&amp;(D"</f>
        <v>#VALUE!</v>
      </c>
      <c r="DH95" t="e">
        <f>'All regions'!G2607+"$F;@!&amp;(E"</f>
        <v>#VALUE!</v>
      </c>
      <c r="DI95" t="e">
        <f>'All regions'!H2607+"$F;@!&amp;(F"</f>
        <v>#VALUE!</v>
      </c>
      <c r="DJ95" t="e">
        <f>'All regions'!I2607+"$F;@!&amp;(G"</f>
        <v>#VALUE!</v>
      </c>
      <c r="DK95" t="e">
        <f>'All regions'!A2608+"$F;@!&amp;(H"</f>
        <v>#VALUE!</v>
      </c>
      <c r="DL95" t="e">
        <f>'All regions'!B2608+"$F;@!&amp;(I"</f>
        <v>#VALUE!</v>
      </c>
      <c r="DM95" t="e">
        <f>'All regions'!C2608+"$F;@!&amp;(J"</f>
        <v>#VALUE!</v>
      </c>
      <c r="DN95" t="e">
        <f>'All regions'!D2608+"$F;@!&amp;(K"</f>
        <v>#VALUE!</v>
      </c>
      <c r="DO95" t="e">
        <f>'All regions'!E2608+"$F;@!&amp;(L"</f>
        <v>#VALUE!</v>
      </c>
      <c r="DP95" t="e">
        <f>'All regions'!F2608+"$F;@!&amp;(M"</f>
        <v>#VALUE!</v>
      </c>
      <c r="DQ95" t="e">
        <f>'All regions'!G2608+"$F;@!&amp;(N"</f>
        <v>#VALUE!</v>
      </c>
      <c r="DR95" t="e">
        <f>'All regions'!H2608+"$F;@!&amp;(O"</f>
        <v>#VALUE!</v>
      </c>
      <c r="DS95" t="e">
        <f>'All regions'!I2608+"$F;@!&amp;(P"</f>
        <v>#VALUE!</v>
      </c>
      <c r="DT95" t="e">
        <f>'All regions'!A2609+"$F;@!&amp;(Q"</f>
        <v>#VALUE!</v>
      </c>
      <c r="DU95" t="e">
        <f>'All regions'!B2609+"$F;@!&amp;(R"</f>
        <v>#VALUE!</v>
      </c>
      <c r="DV95" t="e">
        <f>'All regions'!C2609+"$F;@!&amp;(S"</f>
        <v>#VALUE!</v>
      </c>
      <c r="DW95" t="e">
        <f>'All regions'!D2609+"$F;@!&amp;(T"</f>
        <v>#VALUE!</v>
      </c>
      <c r="DX95" t="e">
        <f>'All regions'!E2609+"$F;@!&amp;(U"</f>
        <v>#VALUE!</v>
      </c>
      <c r="DY95" t="e">
        <f>'All regions'!F2609+"$F;@!&amp;(V"</f>
        <v>#VALUE!</v>
      </c>
      <c r="DZ95" t="e">
        <f>'All regions'!G2609+"$F;@!&amp;(W"</f>
        <v>#VALUE!</v>
      </c>
      <c r="EA95" t="e">
        <f>'All regions'!H2609+"$F;@!&amp;(X"</f>
        <v>#VALUE!</v>
      </c>
      <c r="EB95" t="e">
        <f>'All regions'!I2609+"$F;@!&amp;(Y"</f>
        <v>#VALUE!</v>
      </c>
      <c r="EC95" t="e">
        <f>'All regions'!A2610+"$F;@!&amp;(Z"</f>
        <v>#VALUE!</v>
      </c>
      <c r="ED95" t="e">
        <f>'All regions'!B2610+"$F;@!&amp;(["</f>
        <v>#VALUE!</v>
      </c>
      <c r="EE95" t="e">
        <f>'All regions'!C2610+"$F;@!&amp;(\"</f>
        <v>#VALUE!</v>
      </c>
      <c r="EF95" t="e">
        <f>'All regions'!D2610+"$F;@!&amp;(]"</f>
        <v>#VALUE!</v>
      </c>
      <c r="EG95" t="e">
        <f>'All regions'!E2610+"$F;@!&amp;(^"</f>
        <v>#VALUE!</v>
      </c>
      <c r="EH95" t="e">
        <f>'All regions'!F2610+"$F;@!&amp;(_"</f>
        <v>#VALUE!</v>
      </c>
      <c r="EI95" t="e">
        <f>'All regions'!G2610+"$F;@!&amp;(`"</f>
        <v>#VALUE!</v>
      </c>
      <c r="EJ95" t="e">
        <f>'All regions'!H2610+"$F;@!&amp;(a"</f>
        <v>#VALUE!</v>
      </c>
      <c r="EK95" t="e">
        <f>'All regions'!I2610+"$F;@!&amp;(b"</f>
        <v>#VALUE!</v>
      </c>
      <c r="EL95" t="e">
        <f>'All regions'!A2611+"$F;@!&amp;(c"</f>
        <v>#VALUE!</v>
      </c>
      <c r="EM95" t="e">
        <f>'All regions'!B2611+"$F;@!&amp;(d"</f>
        <v>#VALUE!</v>
      </c>
      <c r="EN95" t="e">
        <f>'All regions'!C2611+"$F;@!&amp;(e"</f>
        <v>#VALUE!</v>
      </c>
      <c r="EO95" t="e">
        <f>'All regions'!D2611+"$F;@!&amp;(f"</f>
        <v>#VALUE!</v>
      </c>
      <c r="EP95" t="e">
        <f>'All regions'!E2611+"$F;@!&amp;(g"</f>
        <v>#VALUE!</v>
      </c>
      <c r="EQ95" t="e">
        <f>'All regions'!F2611+"$F;@!&amp;(h"</f>
        <v>#VALUE!</v>
      </c>
      <c r="ER95" t="e">
        <f>'All regions'!G2611+"$F;@!&amp;(i"</f>
        <v>#VALUE!</v>
      </c>
      <c r="ES95" t="e">
        <f>'All regions'!H2611+"$F;@!&amp;(j"</f>
        <v>#VALUE!</v>
      </c>
      <c r="ET95" t="e">
        <f>'All regions'!I2611+"$F;@!&amp;(k"</f>
        <v>#VALUE!</v>
      </c>
      <c r="EU95" t="e">
        <f>'All regions'!A2612+"$F;@!&amp;(l"</f>
        <v>#VALUE!</v>
      </c>
      <c r="EV95" t="e">
        <f>'All regions'!B2612+"$F;@!&amp;(m"</f>
        <v>#VALUE!</v>
      </c>
      <c r="EW95" t="e">
        <f>'All regions'!C2612+"$F;@!&amp;(n"</f>
        <v>#VALUE!</v>
      </c>
      <c r="EX95" t="e">
        <f>'All regions'!D2612+"$F;@!&amp;(o"</f>
        <v>#VALUE!</v>
      </c>
      <c r="EY95" t="e">
        <f>'All regions'!E2612+"$F;@!&amp;(p"</f>
        <v>#VALUE!</v>
      </c>
      <c r="EZ95" t="e">
        <f>'All regions'!F2612+"$F;@!&amp;(q"</f>
        <v>#VALUE!</v>
      </c>
      <c r="FA95" t="e">
        <f>'All regions'!G2612+"$F;@!&amp;(r"</f>
        <v>#VALUE!</v>
      </c>
      <c r="FB95" t="e">
        <f>'All regions'!H2612+"$F;@!&amp;(s"</f>
        <v>#VALUE!</v>
      </c>
      <c r="FC95" t="e">
        <f>'All regions'!I2612+"$F;@!&amp;(t"</f>
        <v>#VALUE!</v>
      </c>
      <c r="FD95" t="e">
        <f>'All regions'!A2613+"$F;@!&amp;(u"</f>
        <v>#VALUE!</v>
      </c>
      <c r="FE95" t="e">
        <f>'All regions'!B2613+"$F;@!&amp;(v"</f>
        <v>#VALUE!</v>
      </c>
      <c r="FF95" t="e">
        <f>'All regions'!C2613+"$F;@!&amp;(w"</f>
        <v>#VALUE!</v>
      </c>
      <c r="FG95" t="e">
        <f>'All regions'!D2613+"$F;@!&amp;(x"</f>
        <v>#VALUE!</v>
      </c>
      <c r="FH95" t="e">
        <f>'All regions'!E2613+"$F;@!&amp;(y"</f>
        <v>#VALUE!</v>
      </c>
      <c r="FI95" t="e">
        <f>'All regions'!F2613+"$F;@!&amp;(z"</f>
        <v>#VALUE!</v>
      </c>
      <c r="FJ95" t="e">
        <f>'All regions'!G2613+"$F;@!&amp;({"</f>
        <v>#VALUE!</v>
      </c>
      <c r="FK95" t="e">
        <f>'All regions'!H2613+"$F;@!&amp;(|"</f>
        <v>#VALUE!</v>
      </c>
      <c r="FL95" t="e">
        <f>'All regions'!I2613+"$F;@!&amp;(}"</f>
        <v>#VALUE!</v>
      </c>
      <c r="FM95" t="e">
        <f>'All regions'!A2614+"$F;@!&amp;(~"</f>
        <v>#VALUE!</v>
      </c>
      <c r="FN95" t="e">
        <f>'All regions'!B2614+"$F;@!&amp;)#"</f>
        <v>#VALUE!</v>
      </c>
      <c r="FO95" t="e">
        <f>'All regions'!C2614+"$F;@!&amp;)$"</f>
        <v>#VALUE!</v>
      </c>
      <c r="FP95" t="e">
        <f>'All regions'!D2614+"$F;@!&amp;)%"</f>
        <v>#VALUE!</v>
      </c>
      <c r="FQ95" t="e">
        <f>'All regions'!E2614+"$F;@!&amp;)&amp;"</f>
        <v>#VALUE!</v>
      </c>
      <c r="FR95" t="e">
        <f>'All regions'!F2614+"$F;@!&amp;)'"</f>
        <v>#VALUE!</v>
      </c>
      <c r="FS95" t="e">
        <f>'All regions'!G2614+"$F;@!&amp;)("</f>
        <v>#VALUE!</v>
      </c>
      <c r="FT95" t="e">
        <f>'All regions'!H2614+"$F;@!&amp;))"</f>
        <v>#VALUE!</v>
      </c>
      <c r="FU95" t="e">
        <f>'All regions'!I2614+"$F;@!&amp;)."</f>
        <v>#VALUE!</v>
      </c>
      <c r="FV95" t="e">
        <f>'All regions'!A2615+"$F;@!&amp;)/"</f>
        <v>#VALUE!</v>
      </c>
      <c r="FW95" t="e">
        <f>'All regions'!B2615+"$F;@!&amp;)0"</f>
        <v>#VALUE!</v>
      </c>
      <c r="FX95" t="e">
        <f>'All regions'!C2615+"$F;@!&amp;)1"</f>
        <v>#VALUE!</v>
      </c>
      <c r="FY95" t="e">
        <f>'All regions'!D2615+"$F;@!&amp;)2"</f>
        <v>#VALUE!</v>
      </c>
      <c r="FZ95" t="e">
        <f>'All regions'!E2615+"$F;@!&amp;)3"</f>
        <v>#VALUE!</v>
      </c>
      <c r="GA95" t="e">
        <f>'All regions'!F2615+"$F;@!&amp;)4"</f>
        <v>#VALUE!</v>
      </c>
      <c r="GB95" t="e">
        <f>'All regions'!G2615+"$F;@!&amp;)5"</f>
        <v>#VALUE!</v>
      </c>
      <c r="GC95" t="e">
        <f>'All regions'!H2615+"$F;@!&amp;)6"</f>
        <v>#VALUE!</v>
      </c>
      <c r="GD95" t="e">
        <f>'All regions'!I2615+"$F;@!&amp;)7"</f>
        <v>#VALUE!</v>
      </c>
      <c r="GE95" t="e">
        <f>'All regions'!A2616+"$F;@!&amp;)8"</f>
        <v>#VALUE!</v>
      </c>
      <c r="GF95" t="e">
        <f>'All regions'!B2616+"$F;@!&amp;)9"</f>
        <v>#VALUE!</v>
      </c>
      <c r="GG95" t="e">
        <f>'All regions'!C2616+"$F;@!&amp;):"</f>
        <v>#VALUE!</v>
      </c>
      <c r="GH95" t="e">
        <f>'All regions'!D2616+"$F;@!&amp;);"</f>
        <v>#VALUE!</v>
      </c>
      <c r="GI95" t="e">
        <f>'All regions'!E2616+"$F;@!&amp;)&lt;"</f>
        <v>#VALUE!</v>
      </c>
      <c r="GJ95" t="e">
        <f>'All regions'!F2616+"$F;@!&amp;)="</f>
        <v>#VALUE!</v>
      </c>
      <c r="GK95" t="e">
        <f>'All regions'!G2616+"$F;@!&amp;)&gt;"</f>
        <v>#VALUE!</v>
      </c>
      <c r="GL95" t="e">
        <f>'All regions'!H2616+"$F;@!&amp;)?"</f>
        <v>#VALUE!</v>
      </c>
      <c r="GM95" t="e">
        <f>'All regions'!I2616+"$F;@!&amp;)@"</f>
        <v>#VALUE!</v>
      </c>
      <c r="GN95" t="e">
        <f>'All regions'!A2617+"$F;@!&amp;)A"</f>
        <v>#VALUE!</v>
      </c>
      <c r="GO95" t="e">
        <f>'All regions'!B2617+"$F;@!&amp;)B"</f>
        <v>#VALUE!</v>
      </c>
      <c r="GP95" t="e">
        <f>'All regions'!C2617+"$F;@!&amp;)C"</f>
        <v>#VALUE!</v>
      </c>
      <c r="GQ95" t="e">
        <f>'All regions'!D2617+"$F;@!&amp;)D"</f>
        <v>#VALUE!</v>
      </c>
      <c r="GR95" t="e">
        <f>'All regions'!E2617+"$F;@!&amp;)E"</f>
        <v>#VALUE!</v>
      </c>
      <c r="GS95" t="e">
        <f>'All regions'!F2617+"$F;@!&amp;)F"</f>
        <v>#VALUE!</v>
      </c>
      <c r="GT95" t="e">
        <f>'All regions'!G2617+"$F;@!&amp;)G"</f>
        <v>#VALUE!</v>
      </c>
      <c r="GU95" t="e">
        <f>'All regions'!H2617+"$F;@!&amp;)H"</f>
        <v>#VALUE!</v>
      </c>
      <c r="GV95" t="e">
        <f>'All regions'!I2617+"$F;@!&amp;)I"</f>
        <v>#VALUE!</v>
      </c>
      <c r="GW95" t="e">
        <f>'All regions'!A2618+"$F;@!&amp;)J"</f>
        <v>#VALUE!</v>
      </c>
      <c r="GX95" t="e">
        <f>'All regions'!B2618+"$F;@!&amp;)K"</f>
        <v>#VALUE!</v>
      </c>
      <c r="GY95" t="e">
        <f>'All regions'!C2618+"$F;@!&amp;)L"</f>
        <v>#VALUE!</v>
      </c>
      <c r="GZ95" t="e">
        <f>'All regions'!D2618+"$F;@!&amp;)M"</f>
        <v>#VALUE!</v>
      </c>
      <c r="HA95" t="e">
        <f>'All regions'!E2618+"$F;@!&amp;)N"</f>
        <v>#VALUE!</v>
      </c>
      <c r="HB95" t="e">
        <f>'All regions'!F2618+"$F;@!&amp;)O"</f>
        <v>#VALUE!</v>
      </c>
      <c r="HC95" t="e">
        <f>'All regions'!G2618+"$F;@!&amp;)P"</f>
        <v>#VALUE!</v>
      </c>
      <c r="HD95" t="e">
        <f>'All regions'!H2618+"$F;@!&amp;)Q"</f>
        <v>#VALUE!</v>
      </c>
      <c r="HE95" t="e">
        <f>'All regions'!I2618+"$F;@!&amp;)R"</f>
        <v>#VALUE!</v>
      </c>
      <c r="HF95" t="e">
        <f>'All regions'!A2619+"$F;@!&amp;)S"</f>
        <v>#VALUE!</v>
      </c>
      <c r="HG95" t="e">
        <f>'All regions'!B2619+"$F;@!&amp;)T"</f>
        <v>#VALUE!</v>
      </c>
      <c r="HH95" t="e">
        <f>'All regions'!C2619+"$F;@!&amp;)U"</f>
        <v>#VALUE!</v>
      </c>
      <c r="HI95" t="e">
        <f>'All regions'!D2619+"$F;@!&amp;)V"</f>
        <v>#VALUE!</v>
      </c>
      <c r="HJ95" t="e">
        <f>'All regions'!E2619+"$F;@!&amp;)W"</f>
        <v>#VALUE!</v>
      </c>
      <c r="HK95" t="e">
        <f>'All regions'!F2619+"$F;@!&amp;)X"</f>
        <v>#VALUE!</v>
      </c>
      <c r="HL95" t="e">
        <f>'All regions'!G2619+"$F;@!&amp;)Y"</f>
        <v>#VALUE!</v>
      </c>
      <c r="HM95" t="e">
        <f>'All regions'!H2619+"$F;@!&amp;)Z"</f>
        <v>#VALUE!</v>
      </c>
      <c r="HN95" t="e">
        <f>'All regions'!I2619+"$F;@!&amp;)["</f>
        <v>#VALUE!</v>
      </c>
      <c r="HO95" t="e">
        <f>'All regions'!A2620+"$F;@!&amp;)\"</f>
        <v>#VALUE!</v>
      </c>
      <c r="HP95" t="e">
        <f>'All regions'!B2620+"$F;@!&amp;)]"</f>
        <v>#VALUE!</v>
      </c>
      <c r="HQ95" t="e">
        <f>'All regions'!C2620+"$F;@!&amp;)^"</f>
        <v>#VALUE!</v>
      </c>
      <c r="HR95" t="e">
        <f>'All regions'!D2620+"$F;@!&amp;)_"</f>
        <v>#VALUE!</v>
      </c>
      <c r="HS95" t="e">
        <f>'All regions'!E2620+"$F;@!&amp;)`"</f>
        <v>#VALUE!</v>
      </c>
      <c r="HT95" t="e">
        <f>'All regions'!F2620+"$F;@!&amp;)a"</f>
        <v>#VALUE!</v>
      </c>
      <c r="HU95" t="e">
        <f>'All regions'!G2620+"$F;@!&amp;)b"</f>
        <v>#VALUE!</v>
      </c>
      <c r="HV95" t="e">
        <f>'All regions'!H2620+"$F;@!&amp;)c"</f>
        <v>#VALUE!</v>
      </c>
      <c r="HW95" t="e">
        <f>'All regions'!I2620+"$F;@!&amp;)d"</f>
        <v>#VALUE!</v>
      </c>
      <c r="HX95" t="e">
        <f>'All regions'!A2621+"$F;@!&amp;)e"</f>
        <v>#VALUE!</v>
      </c>
      <c r="HY95" t="e">
        <f>'All regions'!B2621+"$F;@!&amp;)f"</f>
        <v>#VALUE!</v>
      </c>
      <c r="HZ95" t="e">
        <f>'All regions'!C2621+"$F;@!&amp;)g"</f>
        <v>#VALUE!</v>
      </c>
      <c r="IA95" t="e">
        <f>'All regions'!D2621+"$F;@!&amp;)h"</f>
        <v>#VALUE!</v>
      </c>
      <c r="IB95" t="e">
        <f>'All regions'!E2621+"$F;@!&amp;)i"</f>
        <v>#VALUE!</v>
      </c>
      <c r="IC95" t="e">
        <f>'All regions'!F2621+"$F;@!&amp;)j"</f>
        <v>#VALUE!</v>
      </c>
      <c r="ID95" t="e">
        <f>'All regions'!G2621+"$F;@!&amp;)k"</f>
        <v>#VALUE!</v>
      </c>
      <c r="IE95" t="e">
        <f>'All regions'!H2621+"$F;@!&amp;)l"</f>
        <v>#VALUE!</v>
      </c>
      <c r="IF95" t="e">
        <f>'All regions'!I2621+"$F;@!&amp;)m"</f>
        <v>#VALUE!</v>
      </c>
      <c r="IG95" t="e">
        <f>'All regions'!A2622+"$F;@!&amp;)n"</f>
        <v>#VALUE!</v>
      </c>
      <c r="IH95" t="e">
        <f>'All regions'!B2622+"$F;@!&amp;)o"</f>
        <v>#VALUE!</v>
      </c>
      <c r="II95" t="e">
        <f>'All regions'!C2622+"$F;@!&amp;)p"</f>
        <v>#VALUE!</v>
      </c>
      <c r="IJ95" t="e">
        <f>'All regions'!D2622+"$F;@!&amp;)q"</f>
        <v>#VALUE!</v>
      </c>
      <c r="IK95" t="e">
        <f>'All regions'!E2622+"$F;@!&amp;)r"</f>
        <v>#VALUE!</v>
      </c>
      <c r="IL95" t="e">
        <f>'All regions'!F2622+"$F;@!&amp;)s"</f>
        <v>#VALUE!</v>
      </c>
      <c r="IM95" t="e">
        <f>'All regions'!G2622+"$F;@!&amp;)t"</f>
        <v>#VALUE!</v>
      </c>
      <c r="IN95" t="e">
        <f>'All regions'!H2622+"$F;@!&amp;)u"</f>
        <v>#VALUE!</v>
      </c>
      <c r="IO95" t="e">
        <f>'All regions'!I2622+"$F;@!&amp;)v"</f>
        <v>#VALUE!</v>
      </c>
      <c r="IP95" t="e">
        <f>'All regions'!A2623+"$F;@!&amp;)w"</f>
        <v>#VALUE!</v>
      </c>
      <c r="IQ95" t="e">
        <f>'All regions'!B2623+"$F;@!&amp;)x"</f>
        <v>#VALUE!</v>
      </c>
      <c r="IR95" t="e">
        <f>'All regions'!C2623+"$F;@!&amp;)y"</f>
        <v>#VALUE!</v>
      </c>
      <c r="IS95" t="e">
        <f>'All regions'!D2623+"$F;@!&amp;)z"</f>
        <v>#VALUE!</v>
      </c>
      <c r="IT95" t="e">
        <f>'All regions'!E2623+"$F;@!&amp;){"</f>
        <v>#VALUE!</v>
      </c>
      <c r="IU95" t="e">
        <f>'All regions'!F2623+"$F;@!&amp;)|"</f>
        <v>#VALUE!</v>
      </c>
      <c r="IV95" t="e">
        <f>'All regions'!G2623+"$F;@!&amp;)}"</f>
        <v>#VALUE!</v>
      </c>
    </row>
    <row r="96" spans="6:256" x14ac:dyDescent="0.35">
      <c r="F96" t="e">
        <f>'All regions'!H2623+"$F;@!&amp;)~"</f>
        <v>#VALUE!</v>
      </c>
      <c r="G96" t="e">
        <f>'All regions'!I2623+"$F;@!&amp;.#"</f>
        <v>#VALUE!</v>
      </c>
      <c r="H96" t="e">
        <f>'All regions'!A2624+"$F;@!&amp;.$"</f>
        <v>#VALUE!</v>
      </c>
      <c r="I96" t="e">
        <f>'All regions'!B2624+"$F;@!&amp;.%"</f>
        <v>#VALUE!</v>
      </c>
      <c r="J96" t="e">
        <f>'All regions'!C2624+"$F;@!&amp;.&amp;"</f>
        <v>#VALUE!</v>
      </c>
      <c r="K96" t="e">
        <f>'All regions'!D2624+"$F;@!&amp;.'"</f>
        <v>#VALUE!</v>
      </c>
      <c r="L96" t="e">
        <f>'All regions'!E2624+"$F;@!&amp;.("</f>
        <v>#VALUE!</v>
      </c>
      <c r="M96" t="e">
        <f>'All regions'!F2624+"$F;@!&amp;.)"</f>
        <v>#VALUE!</v>
      </c>
      <c r="N96" t="e">
        <f>'All regions'!G2624+"$F;@!&amp;.."</f>
        <v>#VALUE!</v>
      </c>
      <c r="O96" t="e">
        <f>'All regions'!H2624+"$F;@!&amp;./"</f>
        <v>#VALUE!</v>
      </c>
      <c r="P96" t="e">
        <f>'All regions'!I2624+"$F;@!&amp;.0"</f>
        <v>#VALUE!</v>
      </c>
      <c r="Q96" t="e">
        <f>'All regions'!A2625+"$F;@!&amp;.1"</f>
        <v>#VALUE!</v>
      </c>
      <c r="R96" t="e">
        <f>'All regions'!B2625+"$F;@!&amp;.2"</f>
        <v>#VALUE!</v>
      </c>
      <c r="S96" t="e">
        <f>'All regions'!C2625+"$F;@!&amp;.3"</f>
        <v>#VALUE!</v>
      </c>
      <c r="T96" t="e">
        <f>'All regions'!D2625+"$F;@!&amp;.4"</f>
        <v>#VALUE!</v>
      </c>
      <c r="U96" t="e">
        <f>'All regions'!E2625+"$F;@!&amp;.5"</f>
        <v>#VALUE!</v>
      </c>
      <c r="V96" t="e">
        <f>'All regions'!F2625+"$F;@!&amp;.6"</f>
        <v>#VALUE!</v>
      </c>
      <c r="W96" t="e">
        <f>'All regions'!G2625+"$F;@!&amp;.7"</f>
        <v>#VALUE!</v>
      </c>
      <c r="X96" t="e">
        <f>'All regions'!H2625+"$F;@!&amp;.8"</f>
        <v>#VALUE!</v>
      </c>
      <c r="Y96" t="e">
        <f>'All regions'!I2625+"$F;@!&amp;.9"</f>
        <v>#VALUE!</v>
      </c>
      <c r="Z96" t="e">
        <f>'All regions'!A2626+"$F;@!&amp;.:"</f>
        <v>#VALUE!</v>
      </c>
      <c r="AA96" t="e">
        <f>'All regions'!B2626+"$F;@!&amp;.;"</f>
        <v>#VALUE!</v>
      </c>
      <c r="AB96" t="e">
        <f>'All regions'!C2626+"$F;@!&amp;.&lt;"</f>
        <v>#VALUE!</v>
      </c>
      <c r="AC96" t="e">
        <f>'All regions'!D2626+"$F;@!&amp;.="</f>
        <v>#VALUE!</v>
      </c>
      <c r="AD96" t="e">
        <f>'All regions'!E2626+"$F;@!&amp;.&gt;"</f>
        <v>#VALUE!</v>
      </c>
      <c r="AE96" t="e">
        <f>'All regions'!F2626+"$F;@!&amp;.?"</f>
        <v>#VALUE!</v>
      </c>
      <c r="AF96" t="e">
        <f>'All regions'!G2626+"$F;@!&amp;.@"</f>
        <v>#VALUE!</v>
      </c>
      <c r="AG96" t="e">
        <f>'All regions'!H2626+"$F;@!&amp;.A"</f>
        <v>#VALUE!</v>
      </c>
      <c r="AH96" t="e">
        <f>'All regions'!I2626+"$F;@!&amp;.B"</f>
        <v>#VALUE!</v>
      </c>
      <c r="AI96" t="e">
        <f>'All regions'!A2627+"$F;@!&amp;.C"</f>
        <v>#VALUE!</v>
      </c>
      <c r="AJ96" t="e">
        <f>'All regions'!B2627+"$F;@!&amp;.D"</f>
        <v>#VALUE!</v>
      </c>
      <c r="AK96" t="e">
        <f>'All regions'!C2627+"$F;@!&amp;.E"</f>
        <v>#VALUE!</v>
      </c>
      <c r="AL96" t="e">
        <f>'All regions'!D2627+"$F;@!&amp;.F"</f>
        <v>#VALUE!</v>
      </c>
      <c r="AM96" t="e">
        <f>'All regions'!E2627+"$F;@!&amp;.G"</f>
        <v>#VALUE!</v>
      </c>
      <c r="AN96" t="e">
        <f>'All regions'!F2627+"$F;@!&amp;.H"</f>
        <v>#VALUE!</v>
      </c>
      <c r="AO96" t="e">
        <f>'All regions'!G2627+"$F;@!&amp;.I"</f>
        <v>#VALUE!</v>
      </c>
      <c r="AP96" t="e">
        <f>'All regions'!H2627+"$F;@!&amp;.J"</f>
        <v>#VALUE!</v>
      </c>
      <c r="AQ96" t="e">
        <f>'All regions'!I2627+"$F;@!&amp;.K"</f>
        <v>#VALUE!</v>
      </c>
      <c r="AR96" t="e">
        <f>'All regions'!A2629+"$F;@!&amp;.L"</f>
        <v>#VALUE!</v>
      </c>
      <c r="AS96" t="e">
        <f>'All regions'!B2629+"$F;@!&amp;.M"</f>
        <v>#VALUE!</v>
      </c>
      <c r="AT96" t="e">
        <f>'All regions'!C2629+"$F;@!&amp;.N"</f>
        <v>#VALUE!</v>
      </c>
      <c r="AU96" t="e">
        <f>'All regions'!D2629+"$F;@!&amp;.O"</f>
        <v>#VALUE!</v>
      </c>
      <c r="AV96" t="e">
        <f>'All regions'!E2629+"$F;@!&amp;.P"</f>
        <v>#VALUE!</v>
      </c>
      <c r="AW96" t="e">
        <f>'All regions'!F2629+"$F;@!&amp;.Q"</f>
        <v>#VALUE!</v>
      </c>
      <c r="AX96" t="e">
        <f>'All regions'!G2629+"$F;@!&amp;.R"</f>
        <v>#VALUE!</v>
      </c>
      <c r="AY96" t="e">
        <f>'All regions'!H2629+"$F;@!&amp;.S"</f>
        <v>#VALUE!</v>
      </c>
      <c r="AZ96" t="e">
        <f>'All regions'!I2629+"$F;@!&amp;.T"</f>
        <v>#VALUE!</v>
      </c>
      <c r="BA96" t="e">
        <f>'All regions'!A2630+"$F;@!&amp;.U"</f>
        <v>#VALUE!</v>
      </c>
      <c r="BB96" t="e">
        <f>'All regions'!B2630+"$F;@!&amp;.V"</f>
        <v>#VALUE!</v>
      </c>
      <c r="BC96" t="e">
        <f>'All regions'!C2630+"$F;@!&amp;.W"</f>
        <v>#VALUE!</v>
      </c>
      <c r="BD96" t="e">
        <f>'All regions'!D2630+"$F;@!&amp;.X"</f>
        <v>#VALUE!</v>
      </c>
      <c r="BE96" t="e">
        <f>'All regions'!E2630+"$F;@!&amp;.Y"</f>
        <v>#VALUE!</v>
      </c>
      <c r="BF96" t="e">
        <f>'All regions'!F2630+"$F;@!&amp;.Z"</f>
        <v>#VALUE!</v>
      </c>
      <c r="BG96" t="e">
        <f>'All regions'!G2630+"$F;@!&amp;.["</f>
        <v>#VALUE!</v>
      </c>
      <c r="BH96" t="e">
        <f>'All regions'!H2630+"$F;@!&amp;.\"</f>
        <v>#VALUE!</v>
      </c>
      <c r="BI96" t="e">
        <f>'All regions'!I2630+"$F;@!&amp;.]"</f>
        <v>#VALUE!</v>
      </c>
      <c r="BJ96" t="e">
        <f>'All regions'!A2631+"$F;@!&amp;.^"</f>
        <v>#VALUE!</v>
      </c>
      <c r="BK96" t="e">
        <f>'All regions'!B2631+"$F;@!&amp;._"</f>
        <v>#VALUE!</v>
      </c>
      <c r="BL96" t="e">
        <f>'All regions'!C2631+"$F;@!&amp;.`"</f>
        <v>#VALUE!</v>
      </c>
      <c r="BM96" t="e">
        <f>'All regions'!D2631+"$F;@!&amp;.a"</f>
        <v>#VALUE!</v>
      </c>
      <c r="BN96" t="e">
        <f>'All regions'!E2631+"$F;@!&amp;.b"</f>
        <v>#VALUE!</v>
      </c>
      <c r="BO96" t="e">
        <f>'All regions'!F2631+"$F;@!&amp;.c"</f>
        <v>#VALUE!</v>
      </c>
      <c r="BP96" t="e">
        <f>'All regions'!G2631+"$F;@!&amp;.d"</f>
        <v>#VALUE!</v>
      </c>
      <c r="BQ96" t="e">
        <f>'All regions'!H2631+"$F;@!&amp;.e"</f>
        <v>#VALUE!</v>
      </c>
      <c r="BR96" t="e">
        <f>'All regions'!I2631+"$F;@!&amp;.f"</f>
        <v>#VALUE!</v>
      </c>
      <c r="BS96" t="e">
        <f>'All regions'!A2632+"$F;@!&amp;.g"</f>
        <v>#VALUE!</v>
      </c>
      <c r="BT96" t="e">
        <f>'All regions'!B2632+"$F;@!&amp;.h"</f>
        <v>#VALUE!</v>
      </c>
      <c r="BU96" t="e">
        <f>'All regions'!C2632+"$F;@!&amp;.i"</f>
        <v>#VALUE!</v>
      </c>
      <c r="BV96" t="e">
        <f>'All regions'!D2632+"$F;@!&amp;.j"</f>
        <v>#VALUE!</v>
      </c>
      <c r="BW96" t="e">
        <f>'All regions'!E2632+"$F;@!&amp;.k"</f>
        <v>#VALUE!</v>
      </c>
      <c r="BX96" t="e">
        <f>'All regions'!F2632+"$F;@!&amp;.l"</f>
        <v>#VALUE!</v>
      </c>
      <c r="BY96" t="e">
        <f>'All regions'!G2632+"$F;@!&amp;.m"</f>
        <v>#VALUE!</v>
      </c>
      <c r="BZ96" t="e">
        <f>'All regions'!H2632+"$F;@!&amp;.n"</f>
        <v>#VALUE!</v>
      </c>
      <c r="CA96" t="e">
        <f>'All regions'!I2632+"$F;@!&amp;.o"</f>
        <v>#VALUE!</v>
      </c>
      <c r="CB96" t="e">
        <f>'All regions'!A2633+"$F;@!&amp;.p"</f>
        <v>#VALUE!</v>
      </c>
      <c r="CC96" t="e">
        <f>'All regions'!B2633+"$F;@!&amp;.q"</f>
        <v>#VALUE!</v>
      </c>
      <c r="CD96" t="e">
        <f>'All regions'!C2633+"$F;@!&amp;.r"</f>
        <v>#VALUE!</v>
      </c>
      <c r="CE96" t="e">
        <f>'All regions'!D2633+"$F;@!&amp;.s"</f>
        <v>#VALUE!</v>
      </c>
      <c r="CF96" t="e">
        <f>'All regions'!E2633+"$F;@!&amp;.t"</f>
        <v>#VALUE!</v>
      </c>
      <c r="CG96" t="e">
        <f>'All regions'!F2633+"$F;@!&amp;.u"</f>
        <v>#VALUE!</v>
      </c>
      <c r="CH96" t="e">
        <f>'All regions'!G2633+"$F;@!&amp;.v"</f>
        <v>#VALUE!</v>
      </c>
      <c r="CI96" t="e">
        <f>'All regions'!H2633+"$F;@!&amp;.w"</f>
        <v>#VALUE!</v>
      </c>
      <c r="CJ96" t="e">
        <f>'All regions'!I2633+"$F;@!&amp;.x"</f>
        <v>#VALUE!</v>
      </c>
      <c r="CK96" t="e">
        <f>'All regions'!A2634+"$F;@!&amp;.y"</f>
        <v>#VALUE!</v>
      </c>
      <c r="CL96" t="e">
        <f>'All regions'!B2634+"$F;@!&amp;.z"</f>
        <v>#VALUE!</v>
      </c>
      <c r="CM96" t="e">
        <f>'All regions'!C2634+"$F;@!&amp;.{"</f>
        <v>#VALUE!</v>
      </c>
      <c r="CN96" t="e">
        <f>'All regions'!D2634+"$F;@!&amp;.|"</f>
        <v>#VALUE!</v>
      </c>
      <c r="CO96" t="e">
        <f>'All regions'!E2634+"$F;@!&amp;.}"</f>
        <v>#VALUE!</v>
      </c>
      <c r="CP96" t="e">
        <f>'All regions'!F2634+"$F;@!&amp;.~"</f>
        <v>#VALUE!</v>
      </c>
      <c r="CQ96" t="e">
        <f>'All regions'!G2634+"$F;@!&amp;/#"</f>
        <v>#VALUE!</v>
      </c>
      <c r="CR96" t="e">
        <f>'All regions'!H2634+"$F;@!&amp;/$"</f>
        <v>#VALUE!</v>
      </c>
      <c r="CS96" t="e">
        <f>'All regions'!I2634+"$F;@!&amp;/%"</f>
        <v>#VALUE!</v>
      </c>
      <c r="CT96" t="e">
        <f>'All regions'!A2635+"$F;@!&amp;/&amp;"</f>
        <v>#VALUE!</v>
      </c>
      <c r="CU96" t="e">
        <f>'All regions'!B2635+"$F;@!&amp;/'"</f>
        <v>#VALUE!</v>
      </c>
      <c r="CV96" t="e">
        <f>'All regions'!C2635+"$F;@!&amp;/("</f>
        <v>#VALUE!</v>
      </c>
      <c r="CW96" t="e">
        <f>'All regions'!D2635+"$F;@!&amp;/)"</f>
        <v>#VALUE!</v>
      </c>
      <c r="CX96" t="e">
        <f>'All regions'!E2635+"$F;@!&amp;/."</f>
        <v>#VALUE!</v>
      </c>
      <c r="CY96" t="e">
        <f>'All regions'!F2635+"$F;@!&amp;//"</f>
        <v>#VALUE!</v>
      </c>
      <c r="CZ96" t="e">
        <f>'All regions'!G2635+"$F;@!&amp;/0"</f>
        <v>#VALUE!</v>
      </c>
      <c r="DA96" t="e">
        <f>'All regions'!H2635+"$F;@!&amp;/1"</f>
        <v>#VALUE!</v>
      </c>
      <c r="DB96" t="e">
        <f>'All regions'!I2635+"$F;@!&amp;/2"</f>
        <v>#VALUE!</v>
      </c>
      <c r="DC96" t="e">
        <f>'All regions'!A2636+"$F;@!&amp;/3"</f>
        <v>#VALUE!</v>
      </c>
      <c r="DD96" t="e">
        <f>'All regions'!B2636+"$F;@!&amp;/4"</f>
        <v>#VALUE!</v>
      </c>
      <c r="DE96" t="e">
        <f>'All regions'!C2636+"$F;@!&amp;/5"</f>
        <v>#VALUE!</v>
      </c>
      <c r="DF96" t="e">
        <f>'All regions'!D2636+"$F;@!&amp;/6"</f>
        <v>#VALUE!</v>
      </c>
      <c r="DG96" t="e">
        <f>'All regions'!E2636+"$F;@!&amp;/7"</f>
        <v>#VALUE!</v>
      </c>
      <c r="DH96" t="e">
        <f>'All regions'!F2636+"$F;@!&amp;/8"</f>
        <v>#VALUE!</v>
      </c>
      <c r="DI96" t="e">
        <f>'All regions'!G2636+"$F;@!&amp;/9"</f>
        <v>#VALUE!</v>
      </c>
      <c r="DJ96" t="e">
        <f>'All regions'!H2636+"$F;@!&amp;/:"</f>
        <v>#VALUE!</v>
      </c>
      <c r="DK96" t="e">
        <f>'All regions'!I2636+"$F;@!&amp;/;"</f>
        <v>#VALUE!</v>
      </c>
      <c r="DL96" t="e">
        <f>'All regions'!A2637+"$F;@!&amp;/&lt;"</f>
        <v>#VALUE!</v>
      </c>
      <c r="DM96" t="e">
        <f>'All regions'!B2637+"$F;@!&amp;/="</f>
        <v>#VALUE!</v>
      </c>
      <c r="DN96" t="e">
        <f>'All regions'!C2637+"$F;@!&amp;/&gt;"</f>
        <v>#VALUE!</v>
      </c>
      <c r="DO96" t="e">
        <f>'All regions'!D2637+"$F;@!&amp;/?"</f>
        <v>#VALUE!</v>
      </c>
      <c r="DP96" t="e">
        <f>'All regions'!E2637+"$F;@!&amp;/@"</f>
        <v>#VALUE!</v>
      </c>
      <c r="DQ96" t="e">
        <f>'All regions'!F2637+"$F;@!&amp;/A"</f>
        <v>#VALUE!</v>
      </c>
      <c r="DR96" t="e">
        <f>'All regions'!G2637+"$F;@!&amp;/B"</f>
        <v>#VALUE!</v>
      </c>
      <c r="DS96" t="e">
        <f>'All regions'!H2637+"$F;@!&amp;/C"</f>
        <v>#VALUE!</v>
      </c>
      <c r="DT96" t="e">
        <f>'All regions'!I2637+"$F;@!&amp;/D"</f>
        <v>#VALUE!</v>
      </c>
      <c r="DU96" t="e">
        <f>'All regions'!A2638+"$F;@!&amp;/E"</f>
        <v>#VALUE!</v>
      </c>
      <c r="DV96" t="e">
        <f>'All regions'!B2638+"$F;@!&amp;/F"</f>
        <v>#VALUE!</v>
      </c>
      <c r="DW96" t="e">
        <f>'All regions'!C2638+"$F;@!&amp;/G"</f>
        <v>#VALUE!</v>
      </c>
      <c r="DX96" t="e">
        <f>'All regions'!D2638+"$F;@!&amp;/H"</f>
        <v>#VALUE!</v>
      </c>
      <c r="DY96" t="e">
        <f>'All regions'!E2638+"$F;@!&amp;/I"</f>
        <v>#VALUE!</v>
      </c>
      <c r="DZ96" t="e">
        <f>'All regions'!F2638+"$F;@!&amp;/J"</f>
        <v>#VALUE!</v>
      </c>
      <c r="EA96" t="e">
        <f>'All regions'!G2638+"$F;@!&amp;/K"</f>
        <v>#VALUE!</v>
      </c>
      <c r="EB96" t="e">
        <f>'All regions'!H2638+"$F;@!&amp;/L"</f>
        <v>#VALUE!</v>
      </c>
      <c r="EC96" t="e">
        <f>'All regions'!I2638+"$F;@!&amp;/M"</f>
        <v>#VALUE!</v>
      </c>
      <c r="ED96" t="e">
        <f>'All regions'!A2639+"$F;@!&amp;/N"</f>
        <v>#VALUE!</v>
      </c>
      <c r="EE96" t="e">
        <f>'All regions'!B2639+"$F;@!&amp;/O"</f>
        <v>#VALUE!</v>
      </c>
      <c r="EF96" t="e">
        <f>'All regions'!C2639+"$F;@!&amp;/P"</f>
        <v>#VALUE!</v>
      </c>
      <c r="EG96" t="e">
        <f>'All regions'!D2639+"$F;@!&amp;/Q"</f>
        <v>#VALUE!</v>
      </c>
      <c r="EH96" t="e">
        <f>'All regions'!E2639+"$F;@!&amp;/R"</f>
        <v>#VALUE!</v>
      </c>
      <c r="EI96" t="e">
        <f>'All regions'!F2639+"$F;@!&amp;/S"</f>
        <v>#VALUE!</v>
      </c>
      <c r="EJ96" t="e">
        <f>'All regions'!G2639+"$F;@!&amp;/T"</f>
        <v>#VALUE!</v>
      </c>
      <c r="EK96" t="e">
        <f>'All regions'!H2639+"$F;@!&amp;/U"</f>
        <v>#VALUE!</v>
      </c>
      <c r="EL96" t="e">
        <f>'All regions'!I2639+"$F;@!&amp;/V"</f>
        <v>#VALUE!</v>
      </c>
      <c r="EM96" t="e">
        <f>'All regions'!A2640+"$F;@!&amp;/W"</f>
        <v>#VALUE!</v>
      </c>
      <c r="EN96" t="e">
        <f>'All regions'!B2640+"$F;@!&amp;/X"</f>
        <v>#VALUE!</v>
      </c>
      <c r="EO96" t="e">
        <f>'All regions'!C2640+"$F;@!&amp;/Y"</f>
        <v>#VALUE!</v>
      </c>
      <c r="EP96" t="e">
        <f>'All regions'!D2640+"$F;@!&amp;/Z"</f>
        <v>#VALUE!</v>
      </c>
      <c r="EQ96" t="e">
        <f>'All regions'!E2640+"$F;@!&amp;/["</f>
        <v>#VALUE!</v>
      </c>
      <c r="ER96" t="e">
        <f>'All regions'!F2640+"$F;@!&amp;/\"</f>
        <v>#VALUE!</v>
      </c>
      <c r="ES96" t="e">
        <f>'All regions'!G2640+"$F;@!&amp;/]"</f>
        <v>#VALUE!</v>
      </c>
      <c r="ET96" t="e">
        <f>'All regions'!H2640+"$F;@!&amp;/^"</f>
        <v>#VALUE!</v>
      </c>
      <c r="EU96" t="e">
        <f>'All regions'!I2640+"$F;@!&amp;/_"</f>
        <v>#VALUE!</v>
      </c>
      <c r="EV96" t="e">
        <f>'All regions'!A2641+"$F;@!&amp;/`"</f>
        <v>#VALUE!</v>
      </c>
      <c r="EW96" t="e">
        <f>'All regions'!B2641+"$F;@!&amp;/a"</f>
        <v>#VALUE!</v>
      </c>
      <c r="EX96" t="e">
        <f>'All regions'!C2641+"$F;@!&amp;/b"</f>
        <v>#VALUE!</v>
      </c>
      <c r="EY96" t="e">
        <f>'All regions'!D2641+"$F;@!&amp;/c"</f>
        <v>#VALUE!</v>
      </c>
      <c r="EZ96" t="e">
        <f>'All regions'!E2641+"$F;@!&amp;/d"</f>
        <v>#VALUE!</v>
      </c>
      <c r="FA96" t="e">
        <f>'All regions'!F2641+"$F;@!&amp;/e"</f>
        <v>#VALUE!</v>
      </c>
      <c r="FB96" t="e">
        <f>'All regions'!G2641+"$F;@!&amp;/f"</f>
        <v>#VALUE!</v>
      </c>
      <c r="FC96" t="e">
        <f>'All regions'!H2641+"$F;@!&amp;/g"</f>
        <v>#VALUE!</v>
      </c>
      <c r="FD96" t="e">
        <f>'All regions'!I2641+"$F;@!&amp;/h"</f>
        <v>#VALUE!</v>
      </c>
      <c r="FE96" t="e">
        <f>'All regions'!A2642+"$F;@!&amp;/i"</f>
        <v>#VALUE!</v>
      </c>
      <c r="FF96" t="e">
        <f>'All regions'!B2642+"$F;@!&amp;/j"</f>
        <v>#VALUE!</v>
      </c>
      <c r="FG96" t="e">
        <f>'All regions'!C2642+"$F;@!&amp;/k"</f>
        <v>#VALUE!</v>
      </c>
      <c r="FH96" t="e">
        <f>'All regions'!D2642+"$F;@!&amp;/l"</f>
        <v>#VALUE!</v>
      </c>
      <c r="FI96" t="e">
        <f>'All regions'!E2642+"$F;@!&amp;/m"</f>
        <v>#VALUE!</v>
      </c>
      <c r="FJ96" t="e">
        <f>'All regions'!F2642+"$F;@!&amp;/n"</f>
        <v>#VALUE!</v>
      </c>
      <c r="FK96" t="e">
        <f>'All regions'!G2642+"$F;@!&amp;/o"</f>
        <v>#VALUE!</v>
      </c>
      <c r="FL96" t="e">
        <f>'All regions'!H2642+"$F;@!&amp;/p"</f>
        <v>#VALUE!</v>
      </c>
      <c r="FM96" t="e">
        <f>'All regions'!I2642+"$F;@!&amp;/q"</f>
        <v>#VALUE!</v>
      </c>
      <c r="FN96" t="e">
        <f>'All regions'!A2643+"$F;@!&amp;/r"</f>
        <v>#VALUE!</v>
      </c>
      <c r="FO96" t="e">
        <f>'All regions'!B2643+"$F;@!&amp;/s"</f>
        <v>#VALUE!</v>
      </c>
      <c r="FP96" t="e">
        <f>'All regions'!C2643+"$F;@!&amp;/t"</f>
        <v>#VALUE!</v>
      </c>
      <c r="FQ96" t="e">
        <f>'All regions'!D2643+"$F;@!&amp;/u"</f>
        <v>#VALUE!</v>
      </c>
      <c r="FR96" t="e">
        <f>'All regions'!E2643+"$F;@!&amp;/v"</f>
        <v>#VALUE!</v>
      </c>
      <c r="FS96" t="e">
        <f>'All regions'!F2643+"$F;@!&amp;/w"</f>
        <v>#VALUE!</v>
      </c>
      <c r="FT96" t="e">
        <f>'All regions'!G2643+"$F;@!&amp;/x"</f>
        <v>#VALUE!</v>
      </c>
      <c r="FU96" t="e">
        <f>'All regions'!H2643+"$F;@!&amp;/y"</f>
        <v>#VALUE!</v>
      </c>
      <c r="FV96" t="e">
        <f>'All regions'!I2643+"$F;@!&amp;/z"</f>
        <v>#VALUE!</v>
      </c>
      <c r="FW96" t="e">
        <f>'All regions'!A2644+"$F;@!&amp;/{"</f>
        <v>#VALUE!</v>
      </c>
      <c r="FX96" t="e">
        <f>'All regions'!B2644+"$F;@!&amp;/|"</f>
        <v>#VALUE!</v>
      </c>
      <c r="FY96" t="e">
        <f>'All regions'!C2644+"$F;@!&amp;/}"</f>
        <v>#VALUE!</v>
      </c>
      <c r="FZ96" t="e">
        <f>'All regions'!D2644+"$F;@!&amp;/~"</f>
        <v>#VALUE!</v>
      </c>
      <c r="GA96" t="e">
        <f>'All regions'!E2644+"$F;@!&amp;0#"</f>
        <v>#VALUE!</v>
      </c>
      <c r="GB96" t="e">
        <f>'All regions'!F2644+"$F;@!&amp;0$"</f>
        <v>#VALUE!</v>
      </c>
      <c r="GC96" t="e">
        <f>'All regions'!G2644+"$F;@!&amp;0%"</f>
        <v>#VALUE!</v>
      </c>
      <c r="GD96" t="e">
        <f>'All regions'!H2644+"$F;@!&amp;0&amp;"</f>
        <v>#VALUE!</v>
      </c>
      <c r="GE96" t="e">
        <f>'All regions'!I2644+"$F;@!&amp;0'"</f>
        <v>#VALUE!</v>
      </c>
      <c r="GF96" t="e">
        <f>'All regions'!A2645+"$F;@!&amp;0("</f>
        <v>#VALUE!</v>
      </c>
      <c r="GG96" t="e">
        <f>'All regions'!B2645+"$F;@!&amp;0)"</f>
        <v>#VALUE!</v>
      </c>
      <c r="GH96" t="e">
        <f>'All regions'!C2645+"$F;@!&amp;0."</f>
        <v>#VALUE!</v>
      </c>
      <c r="GI96" t="e">
        <f>'All regions'!D2645+"$F;@!&amp;0/"</f>
        <v>#VALUE!</v>
      </c>
      <c r="GJ96" t="e">
        <f>'All regions'!E2645+"$F;@!&amp;00"</f>
        <v>#VALUE!</v>
      </c>
      <c r="GK96" t="e">
        <f>'All regions'!F2645+"$F;@!&amp;01"</f>
        <v>#VALUE!</v>
      </c>
      <c r="GL96" t="e">
        <f>'All regions'!G2645+"$F;@!&amp;02"</f>
        <v>#VALUE!</v>
      </c>
      <c r="GM96" t="e">
        <f>'All regions'!H2645+"$F;@!&amp;03"</f>
        <v>#VALUE!</v>
      </c>
      <c r="GN96" t="e">
        <f>'All regions'!I2645+"$F;@!&amp;04"</f>
        <v>#VALUE!</v>
      </c>
      <c r="GO96" t="e">
        <f>'All regions'!A2646+"$F;@!&amp;05"</f>
        <v>#VALUE!</v>
      </c>
      <c r="GP96" t="e">
        <f>'All regions'!B2646+"$F;@!&amp;06"</f>
        <v>#VALUE!</v>
      </c>
      <c r="GQ96" t="e">
        <f>'All regions'!C2646+"$F;@!&amp;07"</f>
        <v>#VALUE!</v>
      </c>
      <c r="GR96" t="e">
        <f>'All regions'!D2646+"$F;@!&amp;08"</f>
        <v>#VALUE!</v>
      </c>
      <c r="GS96" t="e">
        <f>'All regions'!E2646+"$F;@!&amp;09"</f>
        <v>#VALUE!</v>
      </c>
      <c r="GT96" t="e">
        <f>'All regions'!F2646+"$F;@!&amp;0:"</f>
        <v>#VALUE!</v>
      </c>
      <c r="GU96" t="e">
        <f>'All regions'!G2646+"$F;@!&amp;0;"</f>
        <v>#VALUE!</v>
      </c>
      <c r="GV96" t="e">
        <f>'All regions'!H2646+"$F;@!&amp;0&lt;"</f>
        <v>#VALUE!</v>
      </c>
      <c r="GW96" t="e">
        <f>'All regions'!I2646+"$F;@!&amp;0="</f>
        <v>#VALUE!</v>
      </c>
      <c r="GX96" t="e">
        <f>'All regions'!A2647+"$F;@!&amp;0&gt;"</f>
        <v>#VALUE!</v>
      </c>
      <c r="GY96" t="e">
        <f>'All regions'!B2647+"$F;@!&amp;0?"</f>
        <v>#VALUE!</v>
      </c>
      <c r="GZ96" t="e">
        <f>'All regions'!C2647+"$F;@!&amp;0@"</f>
        <v>#VALUE!</v>
      </c>
      <c r="HA96" t="e">
        <f>'All regions'!D2647+"$F;@!&amp;0A"</f>
        <v>#VALUE!</v>
      </c>
      <c r="HB96" t="e">
        <f>'All regions'!E2647+"$F;@!&amp;0B"</f>
        <v>#VALUE!</v>
      </c>
      <c r="HC96" t="e">
        <f>'All regions'!F2647+"$F;@!&amp;0C"</f>
        <v>#VALUE!</v>
      </c>
      <c r="HD96" t="e">
        <f>'All regions'!G2647+"$F;@!&amp;0D"</f>
        <v>#VALUE!</v>
      </c>
      <c r="HE96" t="e">
        <f>'All regions'!H2647+"$F;@!&amp;0E"</f>
        <v>#VALUE!</v>
      </c>
      <c r="HF96" t="e">
        <f>'All regions'!I2647+"$F;@!&amp;0F"</f>
        <v>#VALUE!</v>
      </c>
      <c r="HG96" t="e">
        <f>'All regions'!A2648+"$F;@!&amp;0G"</f>
        <v>#VALUE!</v>
      </c>
      <c r="HH96" t="e">
        <f>'All regions'!B2648+"$F;@!&amp;0H"</f>
        <v>#VALUE!</v>
      </c>
      <c r="HI96" t="e">
        <f>'All regions'!C2648+"$F;@!&amp;0I"</f>
        <v>#VALUE!</v>
      </c>
      <c r="HJ96" t="e">
        <f>'All regions'!D2648+"$F;@!&amp;0J"</f>
        <v>#VALUE!</v>
      </c>
      <c r="HK96" t="e">
        <f>'All regions'!E2648+"$F;@!&amp;0K"</f>
        <v>#VALUE!</v>
      </c>
      <c r="HL96" t="e">
        <f>'All regions'!F2648+"$F;@!&amp;0L"</f>
        <v>#VALUE!</v>
      </c>
      <c r="HM96" t="e">
        <f>'All regions'!G2648+"$F;@!&amp;0M"</f>
        <v>#VALUE!</v>
      </c>
      <c r="HN96" t="e">
        <f>'All regions'!H2648+"$F;@!&amp;0N"</f>
        <v>#VALUE!</v>
      </c>
      <c r="HO96" t="e">
        <f>'All regions'!I2648+"$F;@!&amp;0O"</f>
        <v>#VALUE!</v>
      </c>
      <c r="HP96" t="e">
        <f>'All regions'!A2649+"$F;@!&amp;0P"</f>
        <v>#VALUE!</v>
      </c>
      <c r="HQ96" t="e">
        <f>'All regions'!B2649+"$F;@!&amp;0Q"</f>
        <v>#VALUE!</v>
      </c>
      <c r="HR96" t="e">
        <f>'All regions'!C2649+"$F;@!&amp;0R"</f>
        <v>#VALUE!</v>
      </c>
      <c r="HS96" t="e">
        <f>'All regions'!D2649+"$F;@!&amp;0S"</f>
        <v>#VALUE!</v>
      </c>
      <c r="HT96" t="e">
        <f>'All regions'!E2649+"$F;@!&amp;0T"</f>
        <v>#VALUE!</v>
      </c>
      <c r="HU96" t="e">
        <f>'All regions'!F2649+"$F;@!&amp;0U"</f>
        <v>#VALUE!</v>
      </c>
      <c r="HV96" t="e">
        <f>'All regions'!G2649+"$F;@!&amp;0V"</f>
        <v>#VALUE!</v>
      </c>
      <c r="HW96" t="e">
        <f>'All regions'!H2649+"$F;@!&amp;0W"</f>
        <v>#VALUE!</v>
      </c>
      <c r="HX96" t="e">
        <f>'All regions'!I2649+"$F;@!&amp;0X"</f>
        <v>#VALUE!</v>
      </c>
      <c r="HY96" t="e">
        <f>'All regions'!A2650+"$F;@!&amp;0Y"</f>
        <v>#VALUE!</v>
      </c>
      <c r="HZ96" t="e">
        <f>'All regions'!B2650+"$F;@!&amp;0Z"</f>
        <v>#VALUE!</v>
      </c>
      <c r="IA96" t="e">
        <f>'All regions'!C2650+"$F;@!&amp;0["</f>
        <v>#VALUE!</v>
      </c>
      <c r="IB96" t="e">
        <f>'All regions'!D2650+"$F;@!&amp;0\"</f>
        <v>#VALUE!</v>
      </c>
      <c r="IC96" t="e">
        <f>'All regions'!E2650+"$F;@!&amp;0]"</f>
        <v>#VALUE!</v>
      </c>
      <c r="ID96" t="e">
        <f>'All regions'!F2650+"$F;@!&amp;0^"</f>
        <v>#VALUE!</v>
      </c>
      <c r="IE96" t="e">
        <f>'All regions'!G2650+"$F;@!&amp;0_"</f>
        <v>#VALUE!</v>
      </c>
      <c r="IF96" t="e">
        <f>'All regions'!H2650+"$F;@!&amp;0`"</f>
        <v>#VALUE!</v>
      </c>
      <c r="IG96" t="e">
        <f>'All regions'!I2650+"$F;@!&amp;0a"</f>
        <v>#VALUE!</v>
      </c>
      <c r="IH96" t="e">
        <f>'All regions'!A2651+"$F;@!&amp;0b"</f>
        <v>#VALUE!</v>
      </c>
      <c r="II96" t="e">
        <f>'All regions'!B2651+"$F;@!&amp;0c"</f>
        <v>#VALUE!</v>
      </c>
      <c r="IJ96" t="e">
        <f>'All regions'!C2651+"$F;@!&amp;0d"</f>
        <v>#VALUE!</v>
      </c>
      <c r="IK96" t="e">
        <f>'All regions'!D2651+"$F;@!&amp;0e"</f>
        <v>#VALUE!</v>
      </c>
      <c r="IL96" t="e">
        <f>'All regions'!E2651+"$F;@!&amp;0f"</f>
        <v>#VALUE!</v>
      </c>
      <c r="IM96" t="e">
        <f>'All regions'!F2651+"$F;@!&amp;0g"</f>
        <v>#VALUE!</v>
      </c>
      <c r="IN96" t="e">
        <f>'All regions'!G2651+"$F;@!&amp;0h"</f>
        <v>#VALUE!</v>
      </c>
      <c r="IO96" t="e">
        <f>'All regions'!H2651+"$F;@!&amp;0i"</f>
        <v>#VALUE!</v>
      </c>
      <c r="IP96" t="e">
        <f>'All regions'!I2651+"$F;@!&amp;0j"</f>
        <v>#VALUE!</v>
      </c>
      <c r="IQ96" t="e">
        <f>'All regions'!A2652+"$F;@!&amp;0k"</f>
        <v>#VALUE!</v>
      </c>
      <c r="IR96" t="e">
        <f>'All regions'!B2652+"$F;@!&amp;0l"</f>
        <v>#VALUE!</v>
      </c>
      <c r="IS96" t="e">
        <f>'All regions'!C2652+"$F;@!&amp;0m"</f>
        <v>#VALUE!</v>
      </c>
      <c r="IT96" t="e">
        <f>'All regions'!D2652+"$F;@!&amp;0n"</f>
        <v>#VALUE!</v>
      </c>
      <c r="IU96" t="e">
        <f>'All regions'!E2652+"$F;@!&amp;0o"</f>
        <v>#VALUE!</v>
      </c>
      <c r="IV96" t="e">
        <f>'All regions'!F2652+"$F;@!&amp;0p"</f>
        <v>#VALUE!</v>
      </c>
    </row>
    <row r="97" spans="6:256" x14ac:dyDescent="0.35">
      <c r="F97" t="e">
        <f>'All regions'!G2652+"$F;@!&amp;0q"</f>
        <v>#VALUE!</v>
      </c>
      <c r="G97" t="e">
        <f>'All regions'!H2652+"$F;@!&amp;0r"</f>
        <v>#VALUE!</v>
      </c>
      <c r="H97" t="e">
        <f>'All regions'!I2652+"$F;@!&amp;0s"</f>
        <v>#VALUE!</v>
      </c>
      <c r="I97" t="e">
        <f>'All regions'!A2653+"$F;@!&amp;0t"</f>
        <v>#VALUE!</v>
      </c>
      <c r="J97" t="e">
        <f>'All regions'!B2653+"$F;@!&amp;0u"</f>
        <v>#VALUE!</v>
      </c>
      <c r="K97" t="e">
        <f>'All regions'!C2653+"$F;@!&amp;0v"</f>
        <v>#VALUE!</v>
      </c>
      <c r="L97" t="e">
        <f>'All regions'!D2653+"$F;@!&amp;0w"</f>
        <v>#VALUE!</v>
      </c>
      <c r="M97" t="e">
        <f>'All regions'!E2653+"$F;@!&amp;0x"</f>
        <v>#VALUE!</v>
      </c>
      <c r="N97" t="e">
        <f>'All regions'!F2653+"$F;@!&amp;0y"</f>
        <v>#VALUE!</v>
      </c>
      <c r="O97" t="e">
        <f>'All regions'!G2653+"$F;@!&amp;0z"</f>
        <v>#VALUE!</v>
      </c>
      <c r="P97" t="e">
        <f>'All regions'!H2653+"$F;@!&amp;0{"</f>
        <v>#VALUE!</v>
      </c>
      <c r="Q97" t="e">
        <f>'All regions'!I2653+"$F;@!&amp;0|"</f>
        <v>#VALUE!</v>
      </c>
      <c r="R97" t="e">
        <f>'All regions'!A2654+"$F;@!&amp;0}"</f>
        <v>#VALUE!</v>
      </c>
      <c r="S97" t="e">
        <f>'All regions'!B2654+"$F;@!&amp;0~"</f>
        <v>#VALUE!</v>
      </c>
      <c r="T97" t="e">
        <f>'All regions'!C2654+"$F;@!&amp;1#"</f>
        <v>#VALUE!</v>
      </c>
      <c r="U97" t="e">
        <f>'All regions'!D2654+"$F;@!&amp;1$"</f>
        <v>#VALUE!</v>
      </c>
      <c r="V97" t="e">
        <f>'All regions'!E2654+"$F;@!&amp;1%"</f>
        <v>#VALUE!</v>
      </c>
      <c r="W97" t="e">
        <f>'All regions'!F2654+"$F;@!&amp;1&amp;"</f>
        <v>#VALUE!</v>
      </c>
      <c r="X97" t="e">
        <f>'All regions'!G2654+"$F;@!&amp;1'"</f>
        <v>#VALUE!</v>
      </c>
      <c r="Y97" t="e">
        <f>'All regions'!H2654+"$F;@!&amp;1("</f>
        <v>#VALUE!</v>
      </c>
      <c r="Z97" t="e">
        <f>'All regions'!I2654+"$F;@!&amp;1)"</f>
        <v>#VALUE!</v>
      </c>
      <c r="AA97" t="e">
        <f>'All regions'!A2655+"$F;@!&amp;1."</f>
        <v>#VALUE!</v>
      </c>
      <c r="AB97" t="e">
        <f>'All regions'!B2655+"$F;@!&amp;1/"</f>
        <v>#VALUE!</v>
      </c>
      <c r="AC97" t="e">
        <f>'All regions'!C2655+"$F;@!&amp;10"</f>
        <v>#VALUE!</v>
      </c>
      <c r="AD97" t="e">
        <f>'All regions'!D2655+"$F;@!&amp;11"</f>
        <v>#VALUE!</v>
      </c>
      <c r="AE97" t="e">
        <f>'All regions'!E2655+"$F;@!&amp;12"</f>
        <v>#VALUE!</v>
      </c>
      <c r="AF97" t="e">
        <f>'All regions'!F2655+"$F;@!&amp;13"</f>
        <v>#VALUE!</v>
      </c>
      <c r="AG97" t="e">
        <f>'All regions'!G2655+"$F;@!&amp;14"</f>
        <v>#VALUE!</v>
      </c>
      <c r="AH97" t="e">
        <f>'All regions'!H2655+"$F;@!&amp;15"</f>
        <v>#VALUE!</v>
      </c>
      <c r="AI97" t="e">
        <f>'All regions'!I2655+"$F;@!&amp;16"</f>
        <v>#VALUE!</v>
      </c>
      <c r="AJ97" t="e">
        <f>'All regions'!A2656+"$F;@!&amp;17"</f>
        <v>#VALUE!</v>
      </c>
      <c r="AK97" t="e">
        <f>'All regions'!B2656+"$F;@!&amp;18"</f>
        <v>#VALUE!</v>
      </c>
      <c r="AL97" t="e">
        <f>'All regions'!C2656+"$F;@!&amp;19"</f>
        <v>#VALUE!</v>
      </c>
      <c r="AM97" t="e">
        <f>'All regions'!D2656+"$F;@!&amp;1:"</f>
        <v>#VALUE!</v>
      </c>
      <c r="AN97" t="e">
        <f>'All regions'!E2656+"$F;@!&amp;1;"</f>
        <v>#VALUE!</v>
      </c>
      <c r="AO97" t="e">
        <f>'All regions'!F2656+"$F;@!&amp;1&lt;"</f>
        <v>#VALUE!</v>
      </c>
      <c r="AP97" t="e">
        <f>'All regions'!G2656+"$F;@!&amp;1="</f>
        <v>#VALUE!</v>
      </c>
      <c r="AQ97" t="e">
        <f>'All regions'!H2656+"$F;@!&amp;1&gt;"</f>
        <v>#VALUE!</v>
      </c>
      <c r="AR97" t="e">
        <f>'All regions'!I2656+"$F;@!&amp;1?"</f>
        <v>#VALUE!</v>
      </c>
      <c r="AS97" t="e">
        <f>'All regions'!A2657+"$F;@!&amp;1@"</f>
        <v>#VALUE!</v>
      </c>
      <c r="AT97" t="e">
        <f>'All regions'!B2657+"$F;@!&amp;1A"</f>
        <v>#VALUE!</v>
      </c>
      <c r="AU97" t="e">
        <f>'All regions'!C2657+"$F;@!&amp;1B"</f>
        <v>#VALUE!</v>
      </c>
      <c r="AV97" t="e">
        <f>'All regions'!D2657+"$F;@!&amp;1C"</f>
        <v>#VALUE!</v>
      </c>
      <c r="AW97" t="e">
        <f>'All regions'!E2657+"$F;@!&amp;1D"</f>
        <v>#VALUE!</v>
      </c>
      <c r="AX97" t="e">
        <f>'All regions'!F2657+"$F;@!&amp;1E"</f>
        <v>#VALUE!</v>
      </c>
      <c r="AY97" t="e">
        <f>'All regions'!G2657+"$F;@!&amp;1F"</f>
        <v>#VALUE!</v>
      </c>
      <c r="AZ97" t="e">
        <f>'All regions'!H2657+"$F;@!&amp;1G"</f>
        <v>#VALUE!</v>
      </c>
      <c r="BA97" t="e">
        <f>'All regions'!I2657+"$F;@!&amp;1H"</f>
        <v>#VALUE!</v>
      </c>
      <c r="BB97" t="e">
        <f>'All regions'!A2658+"$F;@!&amp;1I"</f>
        <v>#VALUE!</v>
      </c>
      <c r="BC97" t="e">
        <f>'All regions'!B2658+"$F;@!&amp;1J"</f>
        <v>#VALUE!</v>
      </c>
      <c r="BD97" t="e">
        <f>'All regions'!C2658+"$F;@!&amp;1K"</f>
        <v>#VALUE!</v>
      </c>
      <c r="BE97" t="e">
        <f>'All regions'!D2658+"$F;@!&amp;1L"</f>
        <v>#VALUE!</v>
      </c>
      <c r="BF97" t="e">
        <f>'All regions'!E2658+"$F;@!&amp;1M"</f>
        <v>#VALUE!</v>
      </c>
      <c r="BG97" t="e">
        <f>'All regions'!F2658+"$F;@!&amp;1N"</f>
        <v>#VALUE!</v>
      </c>
      <c r="BH97" t="e">
        <f>'All regions'!G2658+"$F;@!&amp;1O"</f>
        <v>#VALUE!</v>
      </c>
      <c r="BI97" t="e">
        <f>'All regions'!H2658+"$F;@!&amp;1P"</f>
        <v>#VALUE!</v>
      </c>
      <c r="BJ97" t="e">
        <f>'All regions'!I2658+"$F;@!&amp;1Q"</f>
        <v>#VALUE!</v>
      </c>
      <c r="BK97" t="e">
        <f>'All regions'!A2659+"$F;@!&amp;1R"</f>
        <v>#VALUE!</v>
      </c>
      <c r="BL97" t="e">
        <f>'All regions'!B2659+"$F;@!&amp;1S"</f>
        <v>#VALUE!</v>
      </c>
      <c r="BM97" t="e">
        <f>'All regions'!C2659+"$F;@!&amp;1T"</f>
        <v>#VALUE!</v>
      </c>
      <c r="BN97" t="e">
        <f>'All regions'!D2659+"$F;@!&amp;1U"</f>
        <v>#VALUE!</v>
      </c>
      <c r="BO97" t="e">
        <f>'All regions'!E2659+"$F;@!&amp;1V"</f>
        <v>#VALUE!</v>
      </c>
      <c r="BP97" t="e">
        <f>'All regions'!F2659+"$F;@!&amp;1W"</f>
        <v>#VALUE!</v>
      </c>
      <c r="BQ97" t="e">
        <f>'All regions'!G2659+"$F;@!&amp;1X"</f>
        <v>#VALUE!</v>
      </c>
      <c r="BR97" t="e">
        <f>'All regions'!H2659+"$F;@!&amp;1Y"</f>
        <v>#VALUE!</v>
      </c>
      <c r="BS97" t="e">
        <f>'All regions'!I2659+"$F;@!&amp;1Z"</f>
        <v>#VALUE!</v>
      </c>
      <c r="BT97" t="e">
        <f>'All regions'!A2660+"$F;@!&amp;1["</f>
        <v>#VALUE!</v>
      </c>
      <c r="BU97" t="e">
        <f>'All regions'!B2660+"$F;@!&amp;1\"</f>
        <v>#VALUE!</v>
      </c>
      <c r="BV97" t="e">
        <f>'All regions'!C2660+"$F;@!&amp;1]"</f>
        <v>#VALUE!</v>
      </c>
      <c r="BW97" t="e">
        <f>'All regions'!D2660+"$F;@!&amp;1^"</f>
        <v>#VALUE!</v>
      </c>
      <c r="BX97" t="e">
        <f>'All regions'!E2660+"$F;@!&amp;1_"</f>
        <v>#VALUE!</v>
      </c>
      <c r="BY97" t="e">
        <f>'All regions'!F2660+"$F;@!&amp;1`"</f>
        <v>#VALUE!</v>
      </c>
      <c r="BZ97" t="e">
        <f>'All regions'!G2660+"$F;@!&amp;1a"</f>
        <v>#VALUE!</v>
      </c>
      <c r="CA97" t="e">
        <f>'All regions'!H2660+"$F;@!&amp;1b"</f>
        <v>#VALUE!</v>
      </c>
      <c r="CB97" t="e">
        <f>'All regions'!I2660+"$F;@!&amp;1c"</f>
        <v>#VALUE!</v>
      </c>
      <c r="CC97" t="e">
        <f>'All regions'!A2661+"$F;@!&amp;1d"</f>
        <v>#VALUE!</v>
      </c>
      <c r="CD97" t="e">
        <f>'All regions'!B2661+"$F;@!&amp;1e"</f>
        <v>#VALUE!</v>
      </c>
      <c r="CE97" t="e">
        <f>'All regions'!C2661+"$F;@!&amp;1f"</f>
        <v>#VALUE!</v>
      </c>
      <c r="CF97" t="e">
        <f>'All regions'!D2661+"$F;@!&amp;1g"</f>
        <v>#VALUE!</v>
      </c>
      <c r="CG97" t="e">
        <f>'All regions'!E2661+"$F;@!&amp;1h"</f>
        <v>#VALUE!</v>
      </c>
      <c r="CH97" t="e">
        <f>'All regions'!F2661+"$F;@!&amp;1i"</f>
        <v>#VALUE!</v>
      </c>
      <c r="CI97" t="e">
        <f>'All regions'!G2661+"$F;@!&amp;1j"</f>
        <v>#VALUE!</v>
      </c>
      <c r="CJ97" t="e">
        <f>'All regions'!H2661+"$F;@!&amp;1k"</f>
        <v>#VALUE!</v>
      </c>
      <c r="CK97" t="e">
        <f>'All regions'!I2661+"$F;@!&amp;1l"</f>
        <v>#VALUE!</v>
      </c>
      <c r="CL97" t="e">
        <f>'All regions'!A2662+"$F;@!&amp;1m"</f>
        <v>#VALUE!</v>
      </c>
      <c r="CM97" t="e">
        <f>'All regions'!B2662+"$F;@!&amp;1n"</f>
        <v>#VALUE!</v>
      </c>
      <c r="CN97" t="e">
        <f>'All regions'!C2662+"$F;@!&amp;1o"</f>
        <v>#VALUE!</v>
      </c>
      <c r="CO97" t="e">
        <f>'All regions'!D2662+"$F;@!&amp;1p"</f>
        <v>#VALUE!</v>
      </c>
      <c r="CP97" t="e">
        <f>'All regions'!E2662+"$F;@!&amp;1q"</f>
        <v>#VALUE!</v>
      </c>
      <c r="CQ97" t="e">
        <f>'All regions'!F2662+"$F;@!&amp;1r"</f>
        <v>#VALUE!</v>
      </c>
      <c r="CR97" t="e">
        <f>'All regions'!G2662+"$F;@!&amp;1s"</f>
        <v>#VALUE!</v>
      </c>
      <c r="CS97" t="e">
        <f>'All regions'!H2662+"$F;@!&amp;1t"</f>
        <v>#VALUE!</v>
      </c>
      <c r="CT97" t="e">
        <f>'All regions'!I2662+"$F;@!&amp;1u"</f>
        <v>#VALUE!</v>
      </c>
      <c r="CU97" t="e">
        <f>'All regions'!A2663+"$F;@!&amp;1v"</f>
        <v>#VALUE!</v>
      </c>
      <c r="CV97" t="e">
        <f>'All regions'!B2663+"$F;@!&amp;1w"</f>
        <v>#VALUE!</v>
      </c>
      <c r="CW97" t="e">
        <f>'All regions'!C2663+"$F;@!&amp;1x"</f>
        <v>#VALUE!</v>
      </c>
      <c r="CX97" t="e">
        <f>'All regions'!D2663+"$F;@!&amp;1y"</f>
        <v>#VALUE!</v>
      </c>
      <c r="CY97" t="e">
        <f>'All regions'!E2663+"$F;@!&amp;1z"</f>
        <v>#VALUE!</v>
      </c>
      <c r="CZ97" t="e">
        <f>'All regions'!F2663+"$F;@!&amp;1{"</f>
        <v>#VALUE!</v>
      </c>
      <c r="DA97" t="e">
        <f>'All regions'!G2663+"$F;@!&amp;1|"</f>
        <v>#VALUE!</v>
      </c>
      <c r="DB97" t="e">
        <f>'All regions'!H2663+"$F;@!&amp;1}"</f>
        <v>#VALUE!</v>
      </c>
      <c r="DC97" t="e">
        <f>'All regions'!I2663+"$F;@!&amp;1~"</f>
        <v>#VALUE!</v>
      </c>
      <c r="DD97" t="e">
        <f>'All regions'!A2664+"$F;@!&amp;2#"</f>
        <v>#VALUE!</v>
      </c>
      <c r="DE97" t="e">
        <f>'All regions'!B2664+"$F;@!&amp;2$"</f>
        <v>#VALUE!</v>
      </c>
      <c r="DF97" t="e">
        <f>'All regions'!C2664+"$F;@!&amp;2%"</f>
        <v>#VALUE!</v>
      </c>
      <c r="DG97" t="e">
        <f>'All regions'!D2664+"$F;@!&amp;2&amp;"</f>
        <v>#VALUE!</v>
      </c>
      <c r="DH97" t="e">
        <f>'All regions'!E2664+"$F;@!&amp;2'"</f>
        <v>#VALUE!</v>
      </c>
      <c r="DI97" t="e">
        <f>'All regions'!F2664+"$F;@!&amp;2("</f>
        <v>#VALUE!</v>
      </c>
      <c r="DJ97" t="e">
        <f>'All regions'!G2664+"$F;@!&amp;2)"</f>
        <v>#VALUE!</v>
      </c>
      <c r="DK97" t="e">
        <f>'All regions'!H2664+"$F;@!&amp;2."</f>
        <v>#VALUE!</v>
      </c>
      <c r="DL97" t="e">
        <f>'All regions'!I2664+"$F;@!&amp;2/"</f>
        <v>#VALUE!</v>
      </c>
      <c r="DM97" t="e">
        <f>'All regions'!A2665+"$F;@!&amp;20"</f>
        <v>#VALUE!</v>
      </c>
      <c r="DN97" t="e">
        <f>'All regions'!B2665+"$F;@!&amp;21"</f>
        <v>#VALUE!</v>
      </c>
      <c r="DO97" t="e">
        <f>'All regions'!C2665+"$F;@!&amp;22"</f>
        <v>#VALUE!</v>
      </c>
      <c r="DP97" t="e">
        <f>'All regions'!D2665+"$F;@!&amp;23"</f>
        <v>#VALUE!</v>
      </c>
      <c r="DQ97" t="e">
        <f>'All regions'!E2665+"$F;@!&amp;24"</f>
        <v>#VALUE!</v>
      </c>
      <c r="DR97" t="e">
        <f>'All regions'!F2665+"$F;@!&amp;25"</f>
        <v>#VALUE!</v>
      </c>
      <c r="DS97" t="e">
        <f>'All regions'!G2665+"$F;@!&amp;26"</f>
        <v>#VALUE!</v>
      </c>
      <c r="DT97" t="e">
        <f>'All regions'!H2665+"$F;@!&amp;27"</f>
        <v>#VALUE!</v>
      </c>
      <c r="DU97" t="e">
        <f>'All regions'!I2665+"$F;@!&amp;28"</f>
        <v>#VALUE!</v>
      </c>
      <c r="DV97" t="e">
        <f>'All regions'!A2666+"$F;@!&amp;29"</f>
        <v>#VALUE!</v>
      </c>
      <c r="DW97" t="e">
        <f>'All regions'!B2666+"$F;@!&amp;2:"</f>
        <v>#VALUE!</v>
      </c>
      <c r="DX97" t="e">
        <f>'All regions'!C2666+"$F;@!&amp;2;"</f>
        <v>#VALUE!</v>
      </c>
      <c r="DY97" t="e">
        <f>'All regions'!D2666+"$F;@!&amp;2&lt;"</f>
        <v>#VALUE!</v>
      </c>
      <c r="DZ97" t="e">
        <f>'All regions'!E2666+"$F;@!&amp;2="</f>
        <v>#VALUE!</v>
      </c>
      <c r="EA97" t="e">
        <f>'All regions'!F2666+"$F;@!&amp;2&gt;"</f>
        <v>#VALUE!</v>
      </c>
      <c r="EB97" t="e">
        <f>'All regions'!G2666+"$F;@!&amp;2?"</f>
        <v>#VALUE!</v>
      </c>
      <c r="EC97" t="e">
        <f>'All regions'!H2666+"$F;@!&amp;2@"</f>
        <v>#VALUE!</v>
      </c>
      <c r="ED97" t="e">
        <f>'All regions'!I2666+"$F;@!&amp;2A"</f>
        <v>#VALUE!</v>
      </c>
      <c r="EE97" t="e">
        <f>'All regions'!A2667+"$F;@!&amp;2B"</f>
        <v>#VALUE!</v>
      </c>
      <c r="EF97" t="e">
        <f>'All regions'!B2667+"$F;@!&amp;2C"</f>
        <v>#VALUE!</v>
      </c>
      <c r="EG97" t="e">
        <f>'All regions'!C2667+"$F;@!&amp;2D"</f>
        <v>#VALUE!</v>
      </c>
      <c r="EH97" t="e">
        <f>'All regions'!D2667+"$F;@!&amp;2E"</f>
        <v>#VALUE!</v>
      </c>
      <c r="EI97" t="e">
        <f>'All regions'!E2667+"$F;@!&amp;2F"</f>
        <v>#VALUE!</v>
      </c>
      <c r="EJ97" t="e">
        <f>'All regions'!F2667+"$F;@!&amp;2G"</f>
        <v>#VALUE!</v>
      </c>
      <c r="EK97" t="e">
        <f>'All regions'!G2667+"$F;@!&amp;2H"</f>
        <v>#VALUE!</v>
      </c>
      <c r="EL97" t="e">
        <f>'All regions'!I2667+"$F;@!&amp;2I"</f>
        <v>#VALUE!</v>
      </c>
      <c r="EM97" t="e">
        <f>'All regions'!A2668+"$F;@!&amp;2J"</f>
        <v>#VALUE!</v>
      </c>
      <c r="EN97" t="e">
        <f>'All regions'!B2668+"$F;@!&amp;2K"</f>
        <v>#VALUE!</v>
      </c>
      <c r="EO97" t="e">
        <f>'All regions'!C2668+"$F;@!&amp;2L"</f>
        <v>#VALUE!</v>
      </c>
      <c r="EP97" t="e">
        <f>'All regions'!D2668+"$F;@!&amp;2M"</f>
        <v>#VALUE!</v>
      </c>
      <c r="EQ97" t="e">
        <f>'All regions'!E2668+"$F;@!&amp;2N"</f>
        <v>#VALUE!</v>
      </c>
      <c r="ER97" t="e">
        <f>'All regions'!F2668+"$F;@!&amp;2O"</f>
        <v>#VALUE!</v>
      </c>
      <c r="ES97" t="e">
        <f>'All regions'!G2668+"$F;@!&amp;2P"</f>
        <v>#VALUE!</v>
      </c>
      <c r="ET97" t="e">
        <f>'All regions'!H2668+"$F;@!&amp;2Q"</f>
        <v>#VALUE!</v>
      </c>
      <c r="EU97" t="e">
        <f>'All regions'!I2668+"$F;@!&amp;2R"</f>
        <v>#VALUE!</v>
      </c>
      <c r="EV97" t="e">
        <f>'All regions'!A2669+"$F;@!&amp;2S"</f>
        <v>#VALUE!</v>
      </c>
      <c r="EW97" t="e">
        <f>'All regions'!B2669+"$F;@!&amp;2T"</f>
        <v>#VALUE!</v>
      </c>
      <c r="EX97" t="e">
        <f>'All regions'!C2669+"$F;@!&amp;2U"</f>
        <v>#VALUE!</v>
      </c>
      <c r="EY97" t="e">
        <f>'All regions'!D2669+"$F;@!&amp;2V"</f>
        <v>#VALUE!</v>
      </c>
      <c r="EZ97" t="e">
        <f>'All regions'!E2669+"$F;@!&amp;2W"</f>
        <v>#VALUE!</v>
      </c>
      <c r="FA97" t="e">
        <f>'All regions'!F2669+"$F;@!&amp;2X"</f>
        <v>#VALUE!</v>
      </c>
      <c r="FB97" t="e">
        <f>'All regions'!G2669+"$F;@!&amp;2Y"</f>
        <v>#VALUE!</v>
      </c>
      <c r="FC97" t="e">
        <f>'All regions'!H2669+"$F;@!&amp;2Z"</f>
        <v>#VALUE!</v>
      </c>
      <c r="FD97" t="e">
        <f>'All regions'!I2669+"$F;@!&amp;2["</f>
        <v>#VALUE!</v>
      </c>
      <c r="FE97" t="e">
        <f>'All regions'!A2670+"$F;@!&amp;2\"</f>
        <v>#VALUE!</v>
      </c>
      <c r="FF97" t="e">
        <f>'All regions'!B2670+"$F;@!&amp;2]"</f>
        <v>#VALUE!</v>
      </c>
      <c r="FG97" t="e">
        <f>'All regions'!C2670+"$F;@!&amp;2^"</f>
        <v>#VALUE!</v>
      </c>
      <c r="FH97" t="e">
        <f>'All regions'!D2670+"$F;@!&amp;2_"</f>
        <v>#VALUE!</v>
      </c>
      <c r="FI97" t="e">
        <f>'All regions'!E2670+"$F;@!&amp;2`"</f>
        <v>#VALUE!</v>
      </c>
      <c r="FJ97" t="e">
        <f>'All regions'!F2670+"$F;@!&amp;2a"</f>
        <v>#VALUE!</v>
      </c>
      <c r="FK97" t="e">
        <f>'All regions'!G2670+"$F;@!&amp;2b"</f>
        <v>#VALUE!</v>
      </c>
      <c r="FL97" t="e">
        <f>'All regions'!H2670+"$F;@!&amp;2c"</f>
        <v>#VALUE!</v>
      </c>
      <c r="FM97" t="e">
        <f>'All regions'!I2670+"$F;@!&amp;2d"</f>
        <v>#VALUE!</v>
      </c>
      <c r="FN97" t="e">
        <f>'All regions'!A2671+"$F;@!&amp;2e"</f>
        <v>#VALUE!</v>
      </c>
      <c r="FO97" t="e">
        <f>'All regions'!B2671+"$F;@!&amp;2f"</f>
        <v>#VALUE!</v>
      </c>
      <c r="FP97" t="e">
        <f>'All regions'!C2671+"$F;@!&amp;2g"</f>
        <v>#VALUE!</v>
      </c>
      <c r="FQ97" t="e">
        <f>'All regions'!D2671+"$F;@!&amp;2h"</f>
        <v>#VALUE!</v>
      </c>
      <c r="FR97" t="e">
        <f>'All regions'!E2671+"$F;@!&amp;2i"</f>
        <v>#VALUE!</v>
      </c>
      <c r="FS97" t="e">
        <f>'All regions'!F2671+"$F;@!&amp;2j"</f>
        <v>#VALUE!</v>
      </c>
      <c r="FT97" t="e">
        <f>'All regions'!G2671+"$F;@!&amp;2k"</f>
        <v>#VALUE!</v>
      </c>
      <c r="FU97" t="e">
        <f>'All regions'!I2671+"$F;@!&amp;2l"</f>
        <v>#VALUE!</v>
      </c>
      <c r="FV97" t="e">
        <f>'All regions'!A2672+"$F;@!&amp;2m"</f>
        <v>#VALUE!</v>
      </c>
      <c r="FW97" t="e">
        <f>'All regions'!B2672+"$F;@!&amp;2n"</f>
        <v>#VALUE!</v>
      </c>
      <c r="FX97" t="e">
        <f>'All regions'!C2672+"$F;@!&amp;2o"</f>
        <v>#VALUE!</v>
      </c>
      <c r="FY97" t="e">
        <f>'All regions'!D2672+"$F;@!&amp;2p"</f>
        <v>#VALUE!</v>
      </c>
      <c r="FZ97" t="e">
        <f>'All regions'!E2672+"$F;@!&amp;2q"</f>
        <v>#VALUE!</v>
      </c>
      <c r="GA97" t="e">
        <f>'All regions'!F2672+"$F;@!&amp;2r"</f>
        <v>#VALUE!</v>
      </c>
      <c r="GB97" t="e">
        <f>'All regions'!G2672+"$F;@!&amp;2s"</f>
        <v>#VALUE!</v>
      </c>
      <c r="GC97" t="e">
        <f>'All regions'!H2672+"$F;@!&amp;2t"</f>
        <v>#VALUE!</v>
      </c>
      <c r="GD97" t="e">
        <f>'All regions'!I2672+"$F;@!&amp;2u"</f>
        <v>#VALUE!</v>
      </c>
      <c r="GE97" t="e">
        <f>'All regions'!A2673+"$F;@!&amp;2v"</f>
        <v>#VALUE!</v>
      </c>
      <c r="GF97" t="e">
        <f>'All regions'!B2673+"$F;@!&amp;2w"</f>
        <v>#VALUE!</v>
      </c>
      <c r="GG97" t="e">
        <f>'All regions'!C2673+"$F;@!&amp;2x"</f>
        <v>#VALUE!</v>
      </c>
      <c r="GH97" t="e">
        <f>'All regions'!D2673+"$F;@!&amp;2y"</f>
        <v>#VALUE!</v>
      </c>
      <c r="GI97" t="e">
        <f>'All regions'!E2673+"$F;@!&amp;2z"</f>
        <v>#VALUE!</v>
      </c>
      <c r="GJ97" t="e">
        <f>'All regions'!F2673+"$F;@!&amp;2{"</f>
        <v>#VALUE!</v>
      </c>
      <c r="GK97" t="e">
        <f>'All regions'!G2673+"$F;@!&amp;2|"</f>
        <v>#VALUE!</v>
      </c>
      <c r="GL97" t="e">
        <f>'All regions'!H2673+"$F;@!&amp;2}"</f>
        <v>#VALUE!</v>
      </c>
      <c r="GM97" t="e">
        <f>'All regions'!I2673+"$F;@!&amp;2~"</f>
        <v>#VALUE!</v>
      </c>
      <c r="GN97" t="e">
        <f>'All regions'!A2674+"$F;@!&amp;3#"</f>
        <v>#VALUE!</v>
      </c>
      <c r="GO97" t="e">
        <f>'All regions'!B2674+"$F;@!&amp;3$"</f>
        <v>#VALUE!</v>
      </c>
      <c r="GP97" t="e">
        <f>'All regions'!C2674+"$F;@!&amp;3%"</f>
        <v>#VALUE!</v>
      </c>
      <c r="GQ97" t="e">
        <f>'All regions'!D2674+"$F;@!&amp;3&amp;"</f>
        <v>#VALUE!</v>
      </c>
      <c r="GR97" t="e">
        <f>'All regions'!E2674+"$F;@!&amp;3'"</f>
        <v>#VALUE!</v>
      </c>
      <c r="GS97" t="e">
        <f>'All regions'!F2674+"$F;@!&amp;3("</f>
        <v>#VALUE!</v>
      </c>
      <c r="GT97" t="e">
        <f>'All regions'!G2674+"$F;@!&amp;3)"</f>
        <v>#VALUE!</v>
      </c>
      <c r="GU97" t="e">
        <f>'All regions'!H2674+"$F;@!&amp;3."</f>
        <v>#VALUE!</v>
      </c>
      <c r="GV97" t="e">
        <f>'All regions'!I2674+"$F;@!&amp;3/"</f>
        <v>#VALUE!</v>
      </c>
      <c r="GW97" t="e">
        <f>'All regions'!A2675+"$F;@!&amp;30"</f>
        <v>#VALUE!</v>
      </c>
      <c r="GX97" t="e">
        <f>'All regions'!B2675+"$F;@!&amp;31"</f>
        <v>#VALUE!</v>
      </c>
      <c r="GY97" t="e">
        <f>'All regions'!C2675+"$F;@!&amp;32"</f>
        <v>#VALUE!</v>
      </c>
      <c r="GZ97" t="e">
        <f>'All regions'!D2675+"$F;@!&amp;33"</f>
        <v>#VALUE!</v>
      </c>
      <c r="HA97" t="e">
        <f>'All regions'!E2675+"$F;@!&amp;34"</f>
        <v>#VALUE!</v>
      </c>
      <c r="HB97" t="e">
        <f>'All regions'!F2675+"$F;@!&amp;35"</f>
        <v>#VALUE!</v>
      </c>
      <c r="HC97" t="e">
        <f>'All regions'!G2675+"$F;@!&amp;36"</f>
        <v>#VALUE!</v>
      </c>
      <c r="HD97" t="e">
        <f>'All regions'!H2675+"$F;@!&amp;37"</f>
        <v>#VALUE!</v>
      </c>
      <c r="HE97" t="e">
        <f>'All regions'!I2675+"$F;@!&amp;38"</f>
        <v>#VALUE!</v>
      </c>
      <c r="HF97" t="e">
        <f>'All regions'!A2676+"$F;@!&amp;39"</f>
        <v>#VALUE!</v>
      </c>
      <c r="HG97" t="e">
        <f>'All regions'!B2676+"$F;@!&amp;3:"</f>
        <v>#VALUE!</v>
      </c>
      <c r="HH97" t="e">
        <f>'All regions'!C2676+"$F;@!&amp;3;"</f>
        <v>#VALUE!</v>
      </c>
      <c r="HI97" t="e">
        <f>'All regions'!D2676+"$F;@!&amp;3&lt;"</f>
        <v>#VALUE!</v>
      </c>
      <c r="HJ97" t="e">
        <f>'All regions'!E2676+"$F;@!&amp;3="</f>
        <v>#VALUE!</v>
      </c>
      <c r="HK97" t="e">
        <f>'All regions'!F2676+"$F;@!&amp;3&gt;"</f>
        <v>#VALUE!</v>
      </c>
      <c r="HL97" t="e">
        <f>'All regions'!G2676+"$F;@!&amp;3?"</f>
        <v>#VALUE!</v>
      </c>
      <c r="HM97" t="e">
        <f>'All regions'!H2676+"$F;@!&amp;3@"</f>
        <v>#VALUE!</v>
      </c>
      <c r="HN97" t="e">
        <f>'All regions'!I2676+"$F;@!&amp;3A"</f>
        <v>#VALUE!</v>
      </c>
      <c r="HO97" t="e">
        <f>'All regions'!A2677+"$F;@!&amp;3B"</f>
        <v>#VALUE!</v>
      </c>
      <c r="HP97" t="e">
        <f>'All regions'!B2677+"$F;@!&amp;3C"</f>
        <v>#VALUE!</v>
      </c>
      <c r="HQ97" t="e">
        <f>'All regions'!C2677+"$F;@!&amp;3D"</f>
        <v>#VALUE!</v>
      </c>
      <c r="HR97" t="e">
        <f>'All regions'!D2677+"$F;@!&amp;3E"</f>
        <v>#VALUE!</v>
      </c>
      <c r="HS97" t="e">
        <f>'All regions'!E2677+"$F;@!&amp;3F"</f>
        <v>#VALUE!</v>
      </c>
      <c r="HT97" t="e">
        <f>'All regions'!F2677+"$F;@!&amp;3G"</f>
        <v>#VALUE!</v>
      </c>
      <c r="HU97" t="e">
        <f>'All regions'!G2677+"$F;@!&amp;3H"</f>
        <v>#VALUE!</v>
      </c>
      <c r="HV97" t="e">
        <f>'All regions'!H2677+"$F;@!&amp;3I"</f>
        <v>#VALUE!</v>
      </c>
      <c r="HW97" t="e">
        <f>'All regions'!I2677+"$F;@!&amp;3J"</f>
        <v>#VALUE!</v>
      </c>
      <c r="HX97" t="e">
        <f>'All regions'!A2678+"$F;@!&amp;3K"</f>
        <v>#VALUE!</v>
      </c>
      <c r="HY97" t="e">
        <f>'All regions'!B2678+"$F;@!&amp;3L"</f>
        <v>#VALUE!</v>
      </c>
      <c r="HZ97" t="e">
        <f>'All regions'!C2678+"$F;@!&amp;3M"</f>
        <v>#VALUE!</v>
      </c>
      <c r="IA97" t="e">
        <f>'All regions'!D2678+"$F;@!&amp;3N"</f>
        <v>#VALUE!</v>
      </c>
      <c r="IB97" t="e">
        <f>'All regions'!E2678+"$F;@!&amp;3O"</f>
        <v>#VALUE!</v>
      </c>
      <c r="IC97" t="e">
        <f>'All regions'!F2678+"$F;@!&amp;3P"</f>
        <v>#VALUE!</v>
      </c>
      <c r="ID97" t="e">
        <f>'All regions'!G2678+"$F;@!&amp;3Q"</f>
        <v>#VALUE!</v>
      </c>
      <c r="IE97" t="e">
        <f>'All regions'!H2678+"$F;@!&amp;3R"</f>
        <v>#VALUE!</v>
      </c>
      <c r="IF97" t="e">
        <f>'All regions'!I2678+"$F;@!&amp;3S"</f>
        <v>#VALUE!</v>
      </c>
      <c r="IG97" t="e">
        <f>'All regions'!A2679+"$F;@!&amp;3T"</f>
        <v>#VALUE!</v>
      </c>
      <c r="IH97" t="e">
        <f>'All regions'!B2679+"$F;@!&amp;3U"</f>
        <v>#VALUE!</v>
      </c>
      <c r="II97" t="e">
        <f>'All regions'!C2679+"$F;@!&amp;3V"</f>
        <v>#VALUE!</v>
      </c>
      <c r="IJ97" t="e">
        <f>'All regions'!D2679+"$F;@!&amp;3W"</f>
        <v>#VALUE!</v>
      </c>
      <c r="IK97" t="e">
        <f>'All regions'!E2679+"$F;@!&amp;3X"</f>
        <v>#VALUE!</v>
      </c>
      <c r="IL97" t="e">
        <f>'All regions'!F2679+"$F;@!&amp;3Y"</f>
        <v>#VALUE!</v>
      </c>
      <c r="IM97" t="e">
        <f>'All regions'!G2679+"$F;@!&amp;3Z"</f>
        <v>#VALUE!</v>
      </c>
      <c r="IN97" t="e">
        <f>'All regions'!H2679+"$F;@!&amp;3["</f>
        <v>#VALUE!</v>
      </c>
      <c r="IO97" t="e">
        <f>'All regions'!I2679+"$F;@!&amp;3\"</f>
        <v>#VALUE!</v>
      </c>
      <c r="IP97" t="e">
        <f>'All regions'!A2680+"$F;@!&amp;3]"</f>
        <v>#VALUE!</v>
      </c>
      <c r="IQ97" t="e">
        <f>'All regions'!B2680+"$F;@!&amp;3^"</f>
        <v>#VALUE!</v>
      </c>
      <c r="IR97" t="e">
        <f>'All regions'!C2680+"$F;@!&amp;3_"</f>
        <v>#VALUE!</v>
      </c>
      <c r="IS97" t="e">
        <f>'All regions'!D2680+"$F;@!&amp;3`"</f>
        <v>#VALUE!</v>
      </c>
      <c r="IT97" t="e">
        <f>'All regions'!E2680+"$F;@!&amp;3a"</f>
        <v>#VALUE!</v>
      </c>
      <c r="IU97" t="e">
        <f>'All regions'!F2680+"$F;@!&amp;3b"</f>
        <v>#VALUE!</v>
      </c>
      <c r="IV97" t="e">
        <f>'All regions'!G2680+"$F;@!&amp;3c"</f>
        <v>#VALUE!</v>
      </c>
    </row>
    <row r="98" spans="6:256" x14ac:dyDescent="0.35">
      <c r="F98" t="e">
        <f>'All regions'!H2680+"$F;@!&amp;3d"</f>
        <v>#VALUE!</v>
      </c>
      <c r="G98" t="e">
        <f>'All regions'!I2680+"$F;@!&amp;3e"</f>
        <v>#VALUE!</v>
      </c>
      <c r="H98" t="e">
        <f>'All regions'!A2681+"$F;@!&amp;3f"</f>
        <v>#VALUE!</v>
      </c>
      <c r="I98" t="e">
        <f>'All regions'!B2681+"$F;@!&amp;3g"</f>
        <v>#VALUE!</v>
      </c>
      <c r="J98" t="e">
        <f>'All regions'!C2681+"$F;@!&amp;3h"</f>
        <v>#VALUE!</v>
      </c>
      <c r="K98" t="e">
        <f>'All regions'!D2681+"$F;@!&amp;3i"</f>
        <v>#VALUE!</v>
      </c>
      <c r="L98" t="e">
        <f>'All regions'!E2681+"$F;@!&amp;3j"</f>
        <v>#VALUE!</v>
      </c>
      <c r="M98" t="e">
        <f>'All regions'!F2681+"$F;@!&amp;3k"</f>
        <v>#VALUE!</v>
      </c>
      <c r="N98" t="e">
        <f>'All regions'!G2681+"$F;@!&amp;3l"</f>
        <v>#VALUE!</v>
      </c>
      <c r="O98" t="e">
        <f>'All regions'!H2681+"$F;@!&amp;3m"</f>
        <v>#VALUE!</v>
      </c>
      <c r="P98" t="e">
        <f>'All regions'!I2681+"$F;@!&amp;3n"</f>
        <v>#VALUE!</v>
      </c>
      <c r="Q98" t="e">
        <f>'All regions'!A2682+"$F;@!&amp;3o"</f>
        <v>#VALUE!</v>
      </c>
      <c r="R98" t="e">
        <f>'All regions'!B2682+"$F;@!&amp;3p"</f>
        <v>#VALUE!</v>
      </c>
      <c r="S98" t="e">
        <f>'All regions'!C2682+"$F;@!&amp;3q"</f>
        <v>#VALUE!</v>
      </c>
      <c r="T98" t="e">
        <f>'All regions'!D2682+"$F;@!&amp;3r"</f>
        <v>#VALUE!</v>
      </c>
      <c r="U98" t="e">
        <f>'All regions'!E2682+"$F;@!&amp;3s"</f>
        <v>#VALUE!</v>
      </c>
      <c r="V98" t="e">
        <f>'All regions'!F2682+"$F;@!&amp;3t"</f>
        <v>#VALUE!</v>
      </c>
      <c r="W98" t="e">
        <f>'All regions'!G2682+"$F;@!&amp;3u"</f>
        <v>#VALUE!</v>
      </c>
      <c r="X98" t="e">
        <f>'All regions'!H2682+"$F;@!&amp;3v"</f>
        <v>#VALUE!</v>
      </c>
      <c r="Y98" t="e">
        <f>'All regions'!I2682+"$F;@!&amp;3w"</f>
        <v>#VALUE!</v>
      </c>
      <c r="Z98" t="e">
        <f>'All regions'!A2683+"$F;@!&amp;3x"</f>
        <v>#VALUE!</v>
      </c>
      <c r="AA98" t="e">
        <f>'All regions'!B2683+"$F;@!&amp;3y"</f>
        <v>#VALUE!</v>
      </c>
      <c r="AB98" t="e">
        <f>'All regions'!C2683+"$F;@!&amp;3z"</f>
        <v>#VALUE!</v>
      </c>
      <c r="AC98" t="e">
        <f>'All regions'!D2683+"$F;@!&amp;3{"</f>
        <v>#VALUE!</v>
      </c>
      <c r="AD98" t="e">
        <f>'All regions'!E2683+"$F;@!&amp;3|"</f>
        <v>#VALUE!</v>
      </c>
      <c r="AE98" t="e">
        <f>'All regions'!F2683+"$F;@!&amp;3}"</f>
        <v>#VALUE!</v>
      </c>
      <c r="AF98" t="e">
        <f>'All regions'!G2683+"$F;@!&amp;3~"</f>
        <v>#VALUE!</v>
      </c>
      <c r="AG98" t="e">
        <f>'All regions'!H2683+"$F;@!&amp;4#"</f>
        <v>#VALUE!</v>
      </c>
      <c r="AH98" t="e">
        <f>'All regions'!I2683+"$F;@!&amp;4$"</f>
        <v>#VALUE!</v>
      </c>
      <c r="AI98" t="e">
        <f>'All regions'!A2684+"$F;@!&amp;4%"</f>
        <v>#VALUE!</v>
      </c>
      <c r="AJ98" t="e">
        <f>'All regions'!B2684+"$F;@!&amp;4&amp;"</f>
        <v>#VALUE!</v>
      </c>
      <c r="AK98" t="e">
        <f>'All regions'!C2684+"$F;@!&amp;4'"</f>
        <v>#VALUE!</v>
      </c>
      <c r="AL98" t="e">
        <f>'All regions'!D2684+"$F;@!&amp;4("</f>
        <v>#VALUE!</v>
      </c>
      <c r="AM98" t="e">
        <f>'All regions'!E2684+"$F;@!&amp;4)"</f>
        <v>#VALUE!</v>
      </c>
      <c r="AN98" t="e">
        <f>'All regions'!F2684+"$F;@!&amp;4."</f>
        <v>#VALUE!</v>
      </c>
      <c r="AO98" t="e">
        <f>'All regions'!G2684+"$F;@!&amp;4/"</f>
        <v>#VALUE!</v>
      </c>
      <c r="AP98" t="e">
        <f>'All regions'!H2684+"$F;@!&amp;40"</f>
        <v>#VALUE!</v>
      </c>
      <c r="AQ98" t="e">
        <f>'All regions'!I2684+"$F;@!&amp;41"</f>
        <v>#VALUE!</v>
      </c>
      <c r="AR98" t="e">
        <f>'All regions'!A2685+"$F;@!&amp;42"</f>
        <v>#VALUE!</v>
      </c>
      <c r="AS98" t="e">
        <f>'All regions'!B2685+"$F;@!&amp;43"</f>
        <v>#VALUE!</v>
      </c>
      <c r="AT98" t="e">
        <f>'All regions'!C2685+"$F;@!&amp;44"</f>
        <v>#VALUE!</v>
      </c>
      <c r="AU98" t="e">
        <f>'All regions'!D2685+"$F;@!&amp;45"</f>
        <v>#VALUE!</v>
      </c>
      <c r="AV98" t="e">
        <f>'All regions'!E2685+"$F;@!&amp;46"</f>
        <v>#VALUE!</v>
      </c>
      <c r="AW98" t="e">
        <f>'All regions'!F2685+"$F;@!&amp;47"</f>
        <v>#VALUE!</v>
      </c>
      <c r="AX98" t="e">
        <f>'All regions'!G2685+"$F;@!&amp;48"</f>
        <v>#VALUE!</v>
      </c>
      <c r="AY98" t="e">
        <f>'All regions'!H2685+"$F;@!&amp;49"</f>
        <v>#VALUE!</v>
      </c>
      <c r="AZ98" t="e">
        <f>'All regions'!I2685+"$F;@!&amp;4:"</f>
        <v>#VALUE!</v>
      </c>
      <c r="BA98" t="e">
        <f>'All regions'!A2686+"$F;@!&amp;4;"</f>
        <v>#VALUE!</v>
      </c>
      <c r="BB98" t="e">
        <f>'All regions'!B2686+"$F;@!&amp;4&lt;"</f>
        <v>#VALUE!</v>
      </c>
      <c r="BC98" t="e">
        <f>'All regions'!C2686+"$F;@!&amp;4="</f>
        <v>#VALUE!</v>
      </c>
      <c r="BD98" t="e">
        <f>'All regions'!D2686+"$F;@!&amp;4&gt;"</f>
        <v>#VALUE!</v>
      </c>
      <c r="BE98" t="e">
        <f>'All regions'!E2686+"$F;@!&amp;4?"</f>
        <v>#VALUE!</v>
      </c>
      <c r="BF98" t="e">
        <f>'All regions'!F2686+"$F;@!&amp;4@"</f>
        <v>#VALUE!</v>
      </c>
      <c r="BG98" t="e">
        <f>'All regions'!G2686+"$F;@!&amp;4A"</f>
        <v>#VALUE!</v>
      </c>
      <c r="BH98" t="e">
        <f>'All regions'!H2686+"$F;@!&amp;4B"</f>
        <v>#VALUE!</v>
      </c>
      <c r="BI98" t="e">
        <f>'All regions'!I2686+"$F;@!&amp;4C"</f>
        <v>#VALUE!</v>
      </c>
      <c r="BJ98" t="e">
        <f>'All regions'!A2687+"$F;@!&amp;4D"</f>
        <v>#VALUE!</v>
      </c>
      <c r="BK98" t="e">
        <f>'All regions'!B2687+"$F;@!&amp;4E"</f>
        <v>#VALUE!</v>
      </c>
      <c r="BL98" t="e">
        <f>'All regions'!C2687+"$F;@!&amp;4F"</f>
        <v>#VALUE!</v>
      </c>
      <c r="BM98" t="e">
        <f>'All regions'!D2687+"$F;@!&amp;4G"</f>
        <v>#VALUE!</v>
      </c>
      <c r="BN98" t="e">
        <f>'All regions'!E2687+"$F;@!&amp;4H"</f>
        <v>#VALUE!</v>
      </c>
      <c r="BO98" t="e">
        <f>'All regions'!F2687+"$F;@!&amp;4I"</f>
        <v>#VALUE!</v>
      </c>
      <c r="BP98" t="e">
        <f>'All regions'!G2687+"$F;@!&amp;4J"</f>
        <v>#VALUE!</v>
      </c>
      <c r="BQ98" t="e">
        <f>'All regions'!H2687+"$F;@!&amp;4K"</f>
        <v>#VALUE!</v>
      </c>
      <c r="BR98" t="e">
        <f>'All regions'!I2687+"$F;@!&amp;4L"</f>
        <v>#VALUE!</v>
      </c>
      <c r="BS98" t="e">
        <f>'All regions'!A2688+"$F;@!&amp;4M"</f>
        <v>#VALUE!</v>
      </c>
      <c r="BT98" t="e">
        <f>'All regions'!B2688+"$F;@!&amp;4N"</f>
        <v>#VALUE!</v>
      </c>
      <c r="BU98" t="e">
        <f>'All regions'!C2688+"$F;@!&amp;4O"</f>
        <v>#VALUE!</v>
      </c>
      <c r="BV98" t="e">
        <f>'All regions'!D2688+"$F;@!&amp;4P"</f>
        <v>#VALUE!</v>
      </c>
      <c r="BW98" t="e">
        <f>'All regions'!E2688+"$F;@!&amp;4Q"</f>
        <v>#VALUE!</v>
      </c>
      <c r="BX98" t="e">
        <f>'All regions'!F2688+"$F;@!&amp;4R"</f>
        <v>#VALUE!</v>
      </c>
      <c r="BY98" t="e">
        <f>'All regions'!G2688+"$F;@!&amp;4S"</f>
        <v>#VALUE!</v>
      </c>
      <c r="BZ98" t="e">
        <f>'All regions'!H2688+"$F;@!&amp;4T"</f>
        <v>#VALUE!</v>
      </c>
      <c r="CA98" t="e">
        <f>'All regions'!I2688+"$F;@!&amp;4U"</f>
        <v>#VALUE!</v>
      </c>
      <c r="CB98" t="e">
        <f>'All regions'!A2689+"$F;@!&amp;4V"</f>
        <v>#VALUE!</v>
      </c>
      <c r="CC98" t="e">
        <f>'All regions'!B2689+"$F;@!&amp;4W"</f>
        <v>#VALUE!</v>
      </c>
      <c r="CD98" t="e">
        <f>'All regions'!C2689+"$F;@!&amp;4X"</f>
        <v>#VALUE!</v>
      </c>
      <c r="CE98" t="e">
        <f>'All regions'!D2689+"$F;@!&amp;4Y"</f>
        <v>#VALUE!</v>
      </c>
      <c r="CF98" t="e">
        <f>'All regions'!E2689+"$F;@!&amp;4Z"</f>
        <v>#VALUE!</v>
      </c>
      <c r="CG98" t="e">
        <f>'All regions'!F2689+"$F;@!&amp;4["</f>
        <v>#VALUE!</v>
      </c>
      <c r="CH98" t="e">
        <f>'All regions'!G2689+"$F;@!&amp;4\"</f>
        <v>#VALUE!</v>
      </c>
      <c r="CI98" t="e">
        <f>'All regions'!H2689+"$F;@!&amp;4]"</f>
        <v>#VALUE!</v>
      </c>
      <c r="CJ98" t="e">
        <f>'All regions'!I2689+"$F;@!&amp;4^"</f>
        <v>#VALUE!</v>
      </c>
      <c r="CK98" t="e">
        <f>'All regions'!A2690+"$F;@!&amp;4_"</f>
        <v>#VALUE!</v>
      </c>
      <c r="CL98" t="e">
        <f>'All regions'!B2690+"$F;@!&amp;4`"</f>
        <v>#VALUE!</v>
      </c>
      <c r="CM98" t="e">
        <f>'All regions'!C2690+"$F;@!&amp;4a"</f>
        <v>#VALUE!</v>
      </c>
      <c r="CN98" t="e">
        <f>'All regions'!D2690+"$F;@!&amp;4b"</f>
        <v>#VALUE!</v>
      </c>
      <c r="CO98" t="e">
        <f>'All regions'!E2690+"$F;@!&amp;4c"</f>
        <v>#VALUE!</v>
      </c>
      <c r="CP98" t="e">
        <f>'All regions'!F2690+"$F;@!&amp;4d"</f>
        <v>#VALUE!</v>
      </c>
      <c r="CQ98" t="e">
        <f>'All regions'!G2690+"$F;@!&amp;4e"</f>
        <v>#VALUE!</v>
      </c>
      <c r="CR98" t="e">
        <f>'All regions'!H2690+"$F;@!&amp;4f"</f>
        <v>#VALUE!</v>
      </c>
      <c r="CS98" t="e">
        <f>'All regions'!I2690+"$F;@!&amp;4g"</f>
        <v>#VALUE!</v>
      </c>
      <c r="CT98" t="e">
        <f>'All regions'!A2691+"$F;@!&amp;4h"</f>
        <v>#VALUE!</v>
      </c>
      <c r="CU98" t="e">
        <f>'All regions'!B2691+"$F;@!&amp;4i"</f>
        <v>#VALUE!</v>
      </c>
      <c r="CV98" t="e">
        <f>'All regions'!C2691+"$F;@!&amp;4j"</f>
        <v>#VALUE!</v>
      </c>
      <c r="CW98" t="e">
        <f>'All regions'!D2691+"$F;@!&amp;4k"</f>
        <v>#VALUE!</v>
      </c>
      <c r="CX98" t="e">
        <f>'All regions'!E2691+"$F;@!&amp;4l"</f>
        <v>#VALUE!</v>
      </c>
      <c r="CY98" t="e">
        <f>'All regions'!F2691+"$F;@!&amp;4m"</f>
        <v>#VALUE!</v>
      </c>
      <c r="CZ98" t="e">
        <f>'All regions'!G2691+"$F;@!&amp;4n"</f>
        <v>#VALUE!</v>
      </c>
      <c r="DA98" t="e">
        <f>'All regions'!H2691+"$F;@!&amp;4o"</f>
        <v>#VALUE!</v>
      </c>
      <c r="DB98" t="e">
        <f>'All regions'!I2691+"$F;@!&amp;4p"</f>
        <v>#VALUE!</v>
      </c>
      <c r="DC98" t="e">
        <f>'All regions'!A2692+"$F;@!&amp;4q"</f>
        <v>#VALUE!</v>
      </c>
      <c r="DD98" t="e">
        <f>'All regions'!B2692+"$F;@!&amp;4r"</f>
        <v>#VALUE!</v>
      </c>
      <c r="DE98" t="e">
        <f>'All regions'!C2692+"$F;@!&amp;4s"</f>
        <v>#VALUE!</v>
      </c>
      <c r="DF98" t="e">
        <f>'All regions'!D2692+"$F;@!&amp;4t"</f>
        <v>#VALUE!</v>
      </c>
      <c r="DG98" t="e">
        <f>'All regions'!E2692+"$F;@!&amp;4u"</f>
        <v>#VALUE!</v>
      </c>
      <c r="DH98" t="e">
        <f>'All regions'!F2692+"$F;@!&amp;4v"</f>
        <v>#VALUE!</v>
      </c>
      <c r="DI98" t="e">
        <f>'All regions'!G2692+"$F;@!&amp;4w"</f>
        <v>#VALUE!</v>
      </c>
      <c r="DJ98" t="e">
        <f>'All regions'!H2692+"$F;@!&amp;4x"</f>
        <v>#VALUE!</v>
      </c>
      <c r="DK98" t="e">
        <f>'All regions'!I2692+"$F;@!&amp;4y"</f>
        <v>#VALUE!</v>
      </c>
      <c r="DL98" t="e">
        <f>'All regions'!A2693+"$F;@!&amp;4z"</f>
        <v>#VALUE!</v>
      </c>
      <c r="DM98" t="e">
        <f>'All regions'!B2693+"$F;@!&amp;4{"</f>
        <v>#VALUE!</v>
      </c>
      <c r="DN98" t="e">
        <f>'All regions'!C2693+"$F;@!&amp;4|"</f>
        <v>#VALUE!</v>
      </c>
      <c r="DO98" t="e">
        <f>'All regions'!D2693+"$F;@!&amp;4}"</f>
        <v>#VALUE!</v>
      </c>
      <c r="DP98" t="e">
        <f>'All regions'!E2693+"$F;@!&amp;4~"</f>
        <v>#VALUE!</v>
      </c>
      <c r="DQ98" t="e">
        <f>'All regions'!F2693+"$F;@!&amp;5#"</f>
        <v>#VALUE!</v>
      </c>
      <c r="DR98" t="e">
        <f>'All regions'!G2693+"$F;@!&amp;5$"</f>
        <v>#VALUE!</v>
      </c>
      <c r="DS98" t="e">
        <f>'All regions'!H2693+"$F;@!&amp;5%"</f>
        <v>#VALUE!</v>
      </c>
      <c r="DT98" t="e">
        <f>'All regions'!I2693+"$F;@!&amp;5&amp;"</f>
        <v>#VALUE!</v>
      </c>
      <c r="DU98" t="e">
        <f>'All regions'!A2694+"$F;@!&amp;5'"</f>
        <v>#VALUE!</v>
      </c>
      <c r="DV98" t="e">
        <f>'All regions'!B2694+"$F;@!&amp;5("</f>
        <v>#VALUE!</v>
      </c>
      <c r="DW98" t="e">
        <f>'All regions'!C2694+"$F;@!&amp;5)"</f>
        <v>#VALUE!</v>
      </c>
      <c r="DX98" t="e">
        <f>'All regions'!D2694+"$F;@!&amp;5."</f>
        <v>#VALUE!</v>
      </c>
      <c r="DY98" t="e">
        <f>'All regions'!E2694+"$F;@!&amp;5/"</f>
        <v>#VALUE!</v>
      </c>
      <c r="DZ98" t="e">
        <f>'All regions'!F2694+"$F;@!&amp;50"</f>
        <v>#VALUE!</v>
      </c>
      <c r="EA98" t="e">
        <f>'All regions'!G2694+"$F;@!&amp;51"</f>
        <v>#VALUE!</v>
      </c>
      <c r="EB98" t="e">
        <f>'All regions'!H2694+"$F;@!&amp;52"</f>
        <v>#VALUE!</v>
      </c>
      <c r="EC98" t="e">
        <f>'All regions'!I2694+"$F;@!&amp;53"</f>
        <v>#VALUE!</v>
      </c>
      <c r="ED98" t="e">
        <f>'All regions'!A2695+"$F;@!&amp;54"</f>
        <v>#VALUE!</v>
      </c>
      <c r="EE98" t="e">
        <f>'All regions'!B2695+"$F;@!&amp;55"</f>
        <v>#VALUE!</v>
      </c>
      <c r="EF98" t="e">
        <f>'All regions'!C2695+"$F;@!&amp;56"</f>
        <v>#VALUE!</v>
      </c>
      <c r="EG98" t="e">
        <f>'All regions'!D2695+"$F;@!&amp;57"</f>
        <v>#VALUE!</v>
      </c>
      <c r="EH98" t="e">
        <f>'All regions'!E2695+"$F;@!&amp;58"</f>
        <v>#VALUE!</v>
      </c>
      <c r="EI98" t="e">
        <f>'All regions'!F2695+"$F;@!&amp;59"</f>
        <v>#VALUE!</v>
      </c>
      <c r="EJ98" t="e">
        <f>'All regions'!G2695+"$F;@!&amp;5:"</f>
        <v>#VALUE!</v>
      </c>
      <c r="EK98" t="e">
        <f>'All regions'!H2695+"$F;@!&amp;5;"</f>
        <v>#VALUE!</v>
      </c>
      <c r="EL98" t="e">
        <f>'All regions'!I2695+"$F;@!&amp;5&lt;"</f>
        <v>#VALUE!</v>
      </c>
      <c r="EM98" t="e">
        <f>'All regions'!A2696+"$F;@!&amp;5="</f>
        <v>#VALUE!</v>
      </c>
      <c r="EN98" t="e">
        <f>'All regions'!B2696+"$F;@!&amp;5&gt;"</f>
        <v>#VALUE!</v>
      </c>
      <c r="EO98" t="e">
        <f>'All regions'!C2696+"$F;@!&amp;5?"</f>
        <v>#VALUE!</v>
      </c>
      <c r="EP98" t="e">
        <f>'All regions'!D2696+"$F;@!&amp;5@"</f>
        <v>#VALUE!</v>
      </c>
      <c r="EQ98" t="e">
        <f>'All regions'!E2696+"$F;@!&amp;5A"</f>
        <v>#VALUE!</v>
      </c>
      <c r="ER98" t="e">
        <f>'All regions'!F2696+"$F;@!&amp;5B"</f>
        <v>#VALUE!</v>
      </c>
      <c r="ES98" t="e">
        <f>'All regions'!G2696+"$F;@!&amp;5C"</f>
        <v>#VALUE!</v>
      </c>
      <c r="ET98" t="e">
        <f>'All regions'!H2696+"$F;@!&amp;5D"</f>
        <v>#VALUE!</v>
      </c>
      <c r="EU98" t="e">
        <f>'All regions'!I2696+"$F;@!&amp;5E"</f>
        <v>#VALUE!</v>
      </c>
      <c r="EV98" t="e">
        <f>'All regions'!A2697+"$F;@!&amp;5F"</f>
        <v>#VALUE!</v>
      </c>
      <c r="EW98" t="e">
        <f>'All regions'!B2697+"$F;@!&amp;5G"</f>
        <v>#VALUE!</v>
      </c>
      <c r="EX98" t="e">
        <f>'All regions'!C2697+"$F;@!&amp;5H"</f>
        <v>#VALUE!</v>
      </c>
      <c r="EY98" t="e">
        <f>'All regions'!D2697+"$F;@!&amp;5I"</f>
        <v>#VALUE!</v>
      </c>
      <c r="EZ98" t="e">
        <f>'All regions'!E2697+"$F;@!&amp;5J"</f>
        <v>#VALUE!</v>
      </c>
      <c r="FA98" t="e">
        <f>'All regions'!F2697+"$F;@!&amp;5K"</f>
        <v>#VALUE!</v>
      </c>
      <c r="FB98" t="e">
        <f>'All regions'!G2697+"$F;@!&amp;5L"</f>
        <v>#VALUE!</v>
      </c>
      <c r="FC98" t="e">
        <f>'All regions'!H2697+"$F;@!&amp;5M"</f>
        <v>#VALUE!</v>
      </c>
      <c r="FD98" t="e">
        <f>'All regions'!I2697+"$F;@!&amp;5N"</f>
        <v>#VALUE!</v>
      </c>
      <c r="FE98" t="e">
        <f>'All regions'!A2698+"$F;@!&amp;5O"</f>
        <v>#VALUE!</v>
      </c>
      <c r="FF98" t="e">
        <f>'All regions'!B2698+"$F;@!&amp;5P"</f>
        <v>#VALUE!</v>
      </c>
      <c r="FG98" t="e">
        <f>'All regions'!C2698+"$F;@!&amp;5Q"</f>
        <v>#VALUE!</v>
      </c>
      <c r="FH98" t="e">
        <f>'All regions'!D2698+"$F;@!&amp;5R"</f>
        <v>#VALUE!</v>
      </c>
      <c r="FI98" t="e">
        <f>'All regions'!E2698+"$F;@!&amp;5S"</f>
        <v>#VALUE!</v>
      </c>
      <c r="FJ98" t="e">
        <f>'All regions'!F2698+"$F;@!&amp;5T"</f>
        <v>#VALUE!</v>
      </c>
      <c r="FK98" t="e">
        <f>'All regions'!G2698+"$F;@!&amp;5U"</f>
        <v>#VALUE!</v>
      </c>
      <c r="FL98" t="e">
        <f>'All regions'!H2698+"$F;@!&amp;5V"</f>
        <v>#VALUE!</v>
      </c>
      <c r="FM98" t="e">
        <f>'All regions'!I2698+"$F;@!&amp;5W"</f>
        <v>#VALUE!</v>
      </c>
      <c r="FN98" t="e">
        <f>'All regions'!A2699+"$F;@!&amp;5X"</f>
        <v>#VALUE!</v>
      </c>
      <c r="FO98" t="e">
        <f>'All regions'!B2699+"$F;@!&amp;5Y"</f>
        <v>#VALUE!</v>
      </c>
      <c r="FP98" t="e">
        <f>'All regions'!C2699+"$F;@!&amp;5Z"</f>
        <v>#VALUE!</v>
      </c>
      <c r="FQ98" t="e">
        <f>'All regions'!D2699+"$F;@!&amp;5["</f>
        <v>#VALUE!</v>
      </c>
      <c r="FR98" t="e">
        <f>'All regions'!E2699+"$F;@!&amp;5\"</f>
        <v>#VALUE!</v>
      </c>
      <c r="FS98" t="e">
        <f>'All regions'!F2699+"$F;@!&amp;5]"</f>
        <v>#VALUE!</v>
      </c>
      <c r="FT98" t="e">
        <f>'All regions'!G2699+"$F;@!&amp;5^"</f>
        <v>#VALUE!</v>
      </c>
      <c r="FU98" t="e">
        <f>'All regions'!H2699+"$F;@!&amp;5_"</f>
        <v>#VALUE!</v>
      </c>
      <c r="FV98" t="e">
        <f>'All regions'!I2699+"$F;@!&amp;5`"</f>
        <v>#VALUE!</v>
      </c>
      <c r="FW98" t="e">
        <f>'All regions'!A2700+"$F;@!&amp;5a"</f>
        <v>#VALUE!</v>
      </c>
      <c r="FX98" t="e">
        <f>'All regions'!B2700+"$F;@!&amp;5b"</f>
        <v>#VALUE!</v>
      </c>
      <c r="FY98" t="e">
        <f>'All regions'!C2700+"$F;@!&amp;5c"</f>
        <v>#VALUE!</v>
      </c>
      <c r="FZ98" t="e">
        <f>'All regions'!D2700+"$F;@!&amp;5d"</f>
        <v>#VALUE!</v>
      </c>
      <c r="GA98" t="e">
        <f>'All regions'!E2700+"$F;@!&amp;5e"</f>
        <v>#VALUE!</v>
      </c>
      <c r="GB98" t="e">
        <f>'All regions'!F2700+"$F;@!&amp;5f"</f>
        <v>#VALUE!</v>
      </c>
      <c r="GC98" t="e">
        <f>'All regions'!G2700+"$F;@!&amp;5g"</f>
        <v>#VALUE!</v>
      </c>
      <c r="GD98" t="e">
        <f>'All regions'!H2700+"$F;@!&amp;5h"</f>
        <v>#VALUE!</v>
      </c>
      <c r="GE98" t="e">
        <f>'All regions'!I2700+"$F;@!&amp;5i"</f>
        <v>#VALUE!</v>
      </c>
      <c r="GF98" t="e">
        <f>'All regions'!A2701+"$F;@!&amp;5j"</f>
        <v>#VALUE!</v>
      </c>
      <c r="GG98" t="e">
        <f>'All regions'!B2701+"$F;@!&amp;5k"</f>
        <v>#VALUE!</v>
      </c>
      <c r="GH98" t="e">
        <f>'All regions'!C2701+"$F;@!&amp;5l"</f>
        <v>#VALUE!</v>
      </c>
      <c r="GI98" t="e">
        <f>'All regions'!D2701+"$F;@!&amp;5m"</f>
        <v>#VALUE!</v>
      </c>
      <c r="GJ98" t="e">
        <f>'All regions'!E2701+"$F;@!&amp;5n"</f>
        <v>#VALUE!</v>
      </c>
      <c r="GK98" t="e">
        <f>'All regions'!F2701+"$F;@!&amp;5o"</f>
        <v>#VALUE!</v>
      </c>
      <c r="GL98" t="e">
        <f>'All regions'!G2701+"$F;@!&amp;5p"</f>
        <v>#VALUE!</v>
      </c>
      <c r="GM98" t="e">
        <f>'All regions'!H2701+"$F;@!&amp;5q"</f>
        <v>#VALUE!</v>
      </c>
      <c r="GN98" t="e">
        <f>'All regions'!I2701+"$F;@!&amp;5r"</f>
        <v>#VALUE!</v>
      </c>
      <c r="GO98" t="e">
        <f>'All regions'!A2702+"$F;@!&amp;5s"</f>
        <v>#VALUE!</v>
      </c>
      <c r="GP98" t="e">
        <f>'All regions'!B2702+"$F;@!&amp;5t"</f>
        <v>#VALUE!</v>
      </c>
      <c r="GQ98" t="e">
        <f>'All regions'!C2702+"$F;@!&amp;5u"</f>
        <v>#VALUE!</v>
      </c>
      <c r="GR98" t="e">
        <f>'All regions'!D2702+"$F;@!&amp;5v"</f>
        <v>#VALUE!</v>
      </c>
      <c r="GS98" t="e">
        <f>'All regions'!E2702+"$F;@!&amp;5w"</f>
        <v>#VALUE!</v>
      </c>
      <c r="GT98" t="e">
        <f>'All regions'!F2702+"$F;@!&amp;5x"</f>
        <v>#VALUE!</v>
      </c>
      <c r="GU98" t="e">
        <f>'All regions'!G2702+"$F;@!&amp;5y"</f>
        <v>#VALUE!</v>
      </c>
      <c r="GV98" t="e">
        <f>'All regions'!H2702+"$F;@!&amp;5z"</f>
        <v>#VALUE!</v>
      </c>
      <c r="GW98" t="e">
        <f>'All regions'!I2702+"$F;@!&amp;5{"</f>
        <v>#VALUE!</v>
      </c>
      <c r="GX98" t="e">
        <f>'All regions'!A2703+"$F;@!&amp;5|"</f>
        <v>#VALUE!</v>
      </c>
      <c r="GY98" t="e">
        <f>'All regions'!B2703+"$F;@!&amp;5}"</f>
        <v>#VALUE!</v>
      </c>
      <c r="GZ98" t="e">
        <f>'All regions'!C2703+"$F;@!&amp;5~"</f>
        <v>#VALUE!</v>
      </c>
      <c r="HA98" t="e">
        <f>'All regions'!D2703+"$F;@!&amp;6#"</f>
        <v>#VALUE!</v>
      </c>
      <c r="HB98" t="e">
        <f>'All regions'!E2703+"$F;@!&amp;6$"</f>
        <v>#VALUE!</v>
      </c>
      <c r="HC98" t="e">
        <f>'All regions'!F2703+"$F;@!&amp;6%"</f>
        <v>#VALUE!</v>
      </c>
      <c r="HD98" t="e">
        <f>'All regions'!G2703+"$F;@!&amp;6&amp;"</f>
        <v>#VALUE!</v>
      </c>
      <c r="HE98" t="e">
        <f>'All regions'!H2703+"$F;@!&amp;6'"</f>
        <v>#VALUE!</v>
      </c>
      <c r="HF98" t="e">
        <f>'All regions'!I2703+"$F;@!&amp;6("</f>
        <v>#VALUE!</v>
      </c>
      <c r="HG98" t="e">
        <f>'All regions'!A2704+"$F;@!&amp;6)"</f>
        <v>#VALUE!</v>
      </c>
      <c r="HH98" t="e">
        <f>'All regions'!B2704+"$F;@!&amp;6."</f>
        <v>#VALUE!</v>
      </c>
      <c r="HI98" t="e">
        <f>'All regions'!C2704+"$F;@!&amp;6/"</f>
        <v>#VALUE!</v>
      </c>
      <c r="HJ98" t="e">
        <f>'All regions'!D2704+"$F;@!&amp;60"</f>
        <v>#VALUE!</v>
      </c>
      <c r="HK98" t="e">
        <f>'All regions'!E2704+"$F;@!&amp;61"</f>
        <v>#VALUE!</v>
      </c>
      <c r="HL98" t="e">
        <f>'All regions'!F2704+"$F;@!&amp;62"</f>
        <v>#VALUE!</v>
      </c>
      <c r="HM98" t="e">
        <f>'All regions'!G2704+"$F;@!&amp;63"</f>
        <v>#VALUE!</v>
      </c>
      <c r="HN98" t="e">
        <f>'All regions'!H2704+"$F;@!&amp;64"</f>
        <v>#VALUE!</v>
      </c>
      <c r="HO98" t="e">
        <f>'All regions'!I2704+"$F;@!&amp;65"</f>
        <v>#VALUE!</v>
      </c>
      <c r="HP98" t="e">
        <f>'All regions'!A2705+"$F;@!&amp;66"</f>
        <v>#VALUE!</v>
      </c>
      <c r="HQ98" t="e">
        <f>'All regions'!B2705+"$F;@!&amp;67"</f>
        <v>#VALUE!</v>
      </c>
      <c r="HR98" t="e">
        <f>'All regions'!C2705+"$F;@!&amp;68"</f>
        <v>#VALUE!</v>
      </c>
      <c r="HS98" t="e">
        <f>'All regions'!D2705+"$F;@!&amp;69"</f>
        <v>#VALUE!</v>
      </c>
      <c r="HT98" t="e">
        <f>'All regions'!E2705+"$F;@!&amp;6:"</f>
        <v>#VALUE!</v>
      </c>
      <c r="HU98" t="e">
        <f>'All regions'!F2705+"$F;@!&amp;6;"</f>
        <v>#VALUE!</v>
      </c>
      <c r="HV98" t="e">
        <f>'All regions'!G2705+"$F;@!&amp;6&lt;"</f>
        <v>#VALUE!</v>
      </c>
      <c r="HW98" t="e">
        <f>'All regions'!H2705+"$F;@!&amp;6="</f>
        <v>#VALUE!</v>
      </c>
      <c r="HX98" t="e">
        <f>'All regions'!I2705+"$F;@!&amp;6&gt;"</f>
        <v>#VALUE!</v>
      </c>
      <c r="HY98" t="e">
        <f>'All regions'!A2706+"$F;@!&amp;6?"</f>
        <v>#VALUE!</v>
      </c>
      <c r="HZ98" t="e">
        <f>'All regions'!B2706+"$F;@!&amp;6@"</f>
        <v>#VALUE!</v>
      </c>
      <c r="IA98" t="e">
        <f>'All regions'!C2706+"$F;@!&amp;6A"</f>
        <v>#VALUE!</v>
      </c>
      <c r="IB98" t="e">
        <f>'All regions'!D2706+"$F;@!&amp;6B"</f>
        <v>#VALUE!</v>
      </c>
      <c r="IC98" t="e">
        <f>'All regions'!E2706+"$F;@!&amp;6C"</f>
        <v>#VALUE!</v>
      </c>
      <c r="ID98" t="e">
        <f>'All regions'!F2706+"$F;@!&amp;6D"</f>
        <v>#VALUE!</v>
      </c>
      <c r="IE98" t="e">
        <f>'All regions'!G2706+"$F;@!&amp;6E"</f>
        <v>#VALUE!</v>
      </c>
      <c r="IF98" t="e">
        <f>'All regions'!H2706+"$F;@!&amp;6F"</f>
        <v>#VALUE!</v>
      </c>
      <c r="IG98" t="e">
        <f>'All regions'!I2706+"$F;@!&amp;6G"</f>
        <v>#VALUE!</v>
      </c>
      <c r="IH98" t="e">
        <f>'All regions'!A2707+"$F;@!&amp;6H"</f>
        <v>#VALUE!</v>
      </c>
      <c r="II98" t="e">
        <f>'All regions'!B2707+"$F;@!&amp;6I"</f>
        <v>#VALUE!</v>
      </c>
      <c r="IJ98" t="e">
        <f>'All regions'!C2707+"$F;@!&amp;6J"</f>
        <v>#VALUE!</v>
      </c>
      <c r="IK98" t="e">
        <f>'All regions'!D2707+"$F;@!&amp;6K"</f>
        <v>#VALUE!</v>
      </c>
      <c r="IL98" t="e">
        <f>'All regions'!E2707+"$F;@!&amp;6L"</f>
        <v>#VALUE!</v>
      </c>
      <c r="IM98" t="e">
        <f>'All regions'!F2707+"$F;@!&amp;6M"</f>
        <v>#VALUE!</v>
      </c>
      <c r="IN98" t="e">
        <f>'All regions'!G2707+"$F;@!&amp;6N"</f>
        <v>#VALUE!</v>
      </c>
      <c r="IO98" t="e">
        <f>'All regions'!H2707+"$F;@!&amp;6O"</f>
        <v>#VALUE!</v>
      </c>
      <c r="IP98" t="e">
        <f>'All regions'!I2707+"$F;@!&amp;6P"</f>
        <v>#VALUE!</v>
      </c>
      <c r="IQ98" t="e">
        <f>'All regions'!A2708+"$F;@!&amp;6Q"</f>
        <v>#VALUE!</v>
      </c>
      <c r="IR98" t="e">
        <f>'All regions'!B2708+"$F;@!&amp;6R"</f>
        <v>#VALUE!</v>
      </c>
      <c r="IS98" t="e">
        <f>'All regions'!C2708+"$F;@!&amp;6S"</f>
        <v>#VALUE!</v>
      </c>
      <c r="IT98" t="e">
        <f>'All regions'!D2708+"$F;@!&amp;6T"</f>
        <v>#VALUE!</v>
      </c>
      <c r="IU98" t="e">
        <f>'All regions'!E2708+"$F;@!&amp;6U"</f>
        <v>#VALUE!</v>
      </c>
      <c r="IV98" t="e">
        <f>'All regions'!F2708+"$F;@!&amp;6V"</f>
        <v>#VALUE!</v>
      </c>
    </row>
    <row r="99" spans="6:256" x14ac:dyDescent="0.35">
      <c r="F99" t="e">
        <f>'All regions'!G2708+"$F;@!&amp;6W"</f>
        <v>#VALUE!</v>
      </c>
      <c r="G99" t="e">
        <f>'All regions'!H2708+"$F;@!&amp;6X"</f>
        <v>#VALUE!</v>
      </c>
      <c r="H99" t="e">
        <f>'All regions'!I2708+"$F;@!&amp;6Y"</f>
        <v>#VALUE!</v>
      </c>
      <c r="I99" t="e">
        <f>'All regions'!A2709+"$F;@!&amp;6Z"</f>
        <v>#VALUE!</v>
      </c>
      <c r="J99" t="e">
        <f>'All regions'!B2709+"$F;@!&amp;6["</f>
        <v>#VALUE!</v>
      </c>
      <c r="K99" t="e">
        <f>'All regions'!C2709+"$F;@!&amp;6\"</f>
        <v>#VALUE!</v>
      </c>
      <c r="L99" t="e">
        <f>'All regions'!D2709+"$F;@!&amp;6]"</f>
        <v>#VALUE!</v>
      </c>
      <c r="M99" t="e">
        <f>'All regions'!E2709+"$F;@!&amp;6^"</f>
        <v>#VALUE!</v>
      </c>
      <c r="N99" t="e">
        <f>'All regions'!F2709+"$F;@!&amp;6_"</f>
        <v>#VALUE!</v>
      </c>
      <c r="O99" t="e">
        <f>'All regions'!G2709+"$F;@!&amp;6`"</f>
        <v>#VALUE!</v>
      </c>
      <c r="P99" t="e">
        <f>'All regions'!H2709+"$F;@!&amp;6a"</f>
        <v>#VALUE!</v>
      </c>
      <c r="Q99" t="e">
        <f>'All regions'!I2709+"$F;@!&amp;6b"</f>
        <v>#VALUE!</v>
      </c>
      <c r="R99" t="e">
        <f>'All regions'!A2710+"$F;@!&amp;6c"</f>
        <v>#VALUE!</v>
      </c>
      <c r="S99" t="e">
        <f>'All regions'!B2710+"$F;@!&amp;6d"</f>
        <v>#VALUE!</v>
      </c>
      <c r="T99" t="e">
        <f>'All regions'!C2710+"$F;@!&amp;6e"</f>
        <v>#VALUE!</v>
      </c>
      <c r="U99" t="e">
        <f>'All regions'!D2710+"$F;@!&amp;6f"</f>
        <v>#VALUE!</v>
      </c>
      <c r="V99" t="e">
        <f>'All regions'!E2710+"$F;@!&amp;6g"</f>
        <v>#VALUE!</v>
      </c>
      <c r="W99" t="e">
        <f>'All regions'!F2710+"$F;@!&amp;6h"</f>
        <v>#VALUE!</v>
      </c>
      <c r="X99" t="e">
        <f>'All regions'!G2710+"$F;@!&amp;6i"</f>
        <v>#VALUE!</v>
      </c>
      <c r="Y99" t="e">
        <f>'All regions'!H2710+"$F;@!&amp;6j"</f>
        <v>#VALUE!</v>
      </c>
      <c r="Z99" t="e">
        <f>'All regions'!I2710+"$F;@!&amp;6k"</f>
        <v>#VALUE!</v>
      </c>
      <c r="AA99" t="e">
        <f>'All regions'!A2711+"$F;@!&amp;6l"</f>
        <v>#VALUE!</v>
      </c>
      <c r="AB99" t="e">
        <f>'All regions'!B2711+"$F;@!&amp;6m"</f>
        <v>#VALUE!</v>
      </c>
      <c r="AC99" t="e">
        <f>'All regions'!C2711+"$F;@!&amp;6n"</f>
        <v>#VALUE!</v>
      </c>
      <c r="AD99" t="e">
        <f>'All regions'!D2711+"$F;@!&amp;6o"</f>
        <v>#VALUE!</v>
      </c>
      <c r="AE99" t="e">
        <f>'All regions'!E2711+"$F;@!&amp;6p"</f>
        <v>#VALUE!</v>
      </c>
      <c r="AF99" t="e">
        <f>'All regions'!F2711+"$F;@!&amp;6q"</f>
        <v>#VALUE!</v>
      </c>
      <c r="AG99" t="e">
        <f>'All regions'!G2711+"$F;@!&amp;6r"</f>
        <v>#VALUE!</v>
      </c>
      <c r="AH99" t="e">
        <f>'All regions'!H2711+"$F;@!&amp;6s"</f>
        <v>#VALUE!</v>
      </c>
      <c r="AI99" t="e">
        <f>'All regions'!I2711+"$F;@!&amp;6t"</f>
        <v>#VALUE!</v>
      </c>
      <c r="AJ99" t="e">
        <f>'All regions'!A2712+"$F;@!&amp;6u"</f>
        <v>#VALUE!</v>
      </c>
      <c r="AK99" t="e">
        <f>'All regions'!B2712+"$F;@!&amp;6v"</f>
        <v>#VALUE!</v>
      </c>
      <c r="AL99" t="e">
        <f>'All regions'!C2712+"$F;@!&amp;6w"</f>
        <v>#VALUE!</v>
      </c>
      <c r="AM99" t="e">
        <f>'All regions'!D2712+"$F;@!&amp;6x"</f>
        <v>#VALUE!</v>
      </c>
      <c r="AN99" t="e">
        <f>'All regions'!E2712+"$F;@!&amp;6y"</f>
        <v>#VALUE!</v>
      </c>
      <c r="AO99" t="e">
        <f>'All regions'!F2712+"$F;@!&amp;6z"</f>
        <v>#VALUE!</v>
      </c>
      <c r="AP99" t="e">
        <f>'All regions'!G2712+"$F;@!&amp;6{"</f>
        <v>#VALUE!</v>
      </c>
      <c r="AQ99" t="e">
        <f>'All regions'!H2712+"$F;@!&amp;6|"</f>
        <v>#VALUE!</v>
      </c>
      <c r="AR99" t="e">
        <f>'All regions'!I2712+"$F;@!&amp;6}"</f>
        <v>#VALUE!</v>
      </c>
      <c r="AS99" t="e">
        <f>'All regions'!A2713+"$F;@!&amp;6~"</f>
        <v>#VALUE!</v>
      </c>
      <c r="AT99" t="e">
        <f>'All regions'!B2713+"$F;@!&amp;7#"</f>
        <v>#VALUE!</v>
      </c>
      <c r="AU99" t="e">
        <f>'All regions'!C2713+"$F;@!&amp;7$"</f>
        <v>#VALUE!</v>
      </c>
      <c r="AV99" t="e">
        <f>'All regions'!D2713+"$F;@!&amp;7%"</f>
        <v>#VALUE!</v>
      </c>
      <c r="AW99" t="e">
        <f>'All regions'!E2713+"$F;@!&amp;7&amp;"</f>
        <v>#VALUE!</v>
      </c>
      <c r="AX99" t="e">
        <f>'All regions'!F2713+"$F;@!&amp;7'"</f>
        <v>#VALUE!</v>
      </c>
      <c r="AY99" t="e">
        <f>'All regions'!G2713+"$F;@!&amp;7("</f>
        <v>#VALUE!</v>
      </c>
      <c r="AZ99" t="e">
        <f>'All regions'!H2713+"$F;@!&amp;7)"</f>
        <v>#VALUE!</v>
      </c>
      <c r="BA99" t="e">
        <f>'All regions'!I2713+"$F;@!&amp;7."</f>
        <v>#VALUE!</v>
      </c>
      <c r="BB99" t="e">
        <f>'All regions'!A2714+"$F;@!&amp;7/"</f>
        <v>#VALUE!</v>
      </c>
      <c r="BC99" t="e">
        <f>'All regions'!B2714+"$F;@!&amp;70"</f>
        <v>#VALUE!</v>
      </c>
      <c r="BD99" t="e">
        <f>'All regions'!C2714+"$F;@!&amp;71"</f>
        <v>#VALUE!</v>
      </c>
      <c r="BE99" t="e">
        <f>'All regions'!D2714+"$F;@!&amp;72"</f>
        <v>#VALUE!</v>
      </c>
      <c r="BF99" t="e">
        <f>'All regions'!E2714+"$F;@!&amp;73"</f>
        <v>#VALUE!</v>
      </c>
      <c r="BG99" t="e">
        <f>'All regions'!F2714+"$F;@!&amp;74"</f>
        <v>#VALUE!</v>
      </c>
      <c r="BH99" t="e">
        <f>'All regions'!G2714+"$F;@!&amp;75"</f>
        <v>#VALUE!</v>
      </c>
      <c r="BI99" t="e">
        <f>'All regions'!H2714+"$F;@!&amp;76"</f>
        <v>#VALUE!</v>
      </c>
      <c r="BJ99" t="e">
        <f>'All regions'!I2714+"$F;@!&amp;77"</f>
        <v>#VALUE!</v>
      </c>
      <c r="BK99" t="e">
        <f>'All regions'!A2715+"$F;@!&amp;78"</f>
        <v>#VALUE!</v>
      </c>
      <c r="BL99" t="e">
        <f>'All regions'!B2715+"$F;@!&amp;79"</f>
        <v>#VALUE!</v>
      </c>
      <c r="BM99" t="e">
        <f>'All regions'!C2715+"$F;@!&amp;7:"</f>
        <v>#VALUE!</v>
      </c>
      <c r="BN99" t="e">
        <f>'All regions'!D2715+"$F;@!&amp;7;"</f>
        <v>#VALUE!</v>
      </c>
      <c r="BO99" t="e">
        <f>'All regions'!E2715+"$F;@!&amp;7&lt;"</f>
        <v>#VALUE!</v>
      </c>
      <c r="BP99" t="e">
        <f>'All regions'!F2715+"$F;@!&amp;7="</f>
        <v>#VALUE!</v>
      </c>
      <c r="BQ99" t="e">
        <f>'All regions'!G2715+"$F;@!&amp;7&gt;"</f>
        <v>#VALUE!</v>
      </c>
      <c r="BR99" t="e">
        <f>'All regions'!H2715+"$F;@!&amp;7?"</f>
        <v>#VALUE!</v>
      </c>
      <c r="BS99" t="e">
        <f>'All regions'!I2715+"$F;@!&amp;7@"</f>
        <v>#VALUE!</v>
      </c>
      <c r="BT99" t="e">
        <f>'All regions'!A2716+"$F;@!&amp;7A"</f>
        <v>#VALUE!</v>
      </c>
      <c r="BU99" t="e">
        <f>'All regions'!B2716+"$F;@!&amp;7B"</f>
        <v>#VALUE!</v>
      </c>
      <c r="BV99" t="e">
        <f>'All regions'!C2716+"$F;@!&amp;7C"</f>
        <v>#VALUE!</v>
      </c>
      <c r="BW99" t="e">
        <f>'All regions'!D2716+"$F;@!&amp;7D"</f>
        <v>#VALUE!</v>
      </c>
      <c r="BX99" t="e">
        <f>'All regions'!E2716+"$F;@!&amp;7E"</f>
        <v>#VALUE!</v>
      </c>
      <c r="BY99" t="e">
        <f>'All regions'!F2716+"$F;@!&amp;7F"</f>
        <v>#VALUE!</v>
      </c>
      <c r="BZ99" t="e">
        <f>'All regions'!G2716+"$F;@!&amp;7G"</f>
        <v>#VALUE!</v>
      </c>
      <c r="CA99" t="e">
        <f>'All regions'!H2716+"$F;@!&amp;7H"</f>
        <v>#VALUE!</v>
      </c>
      <c r="CB99" t="e">
        <f>'All regions'!I2716+"$F;@!&amp;7I"</f>
        <v>#VALUE!</v>
      </c>
      <c r="CC99" t="e">
        <f>'All regions'!A2717+"$F;@!&amp;7J"</f>
        <v>#VALUE!</v>
      </c>
      <c r="CD99" t="e">
        <f>'All regions'!B2717+"$F;@!&amp;7K"</f>
        <v>#VALUE!</v>
      </c>
      <c r="CE99" t="e">
        <f>'All regions'!C2717+"$F;@!&amp;7L"</f>
        <v>#VALUE!</v>
      </c>
      <c r="CF99" t="e">
        <f>'All regions'!D2717+"$F;@!&amp;7M"</f>
        <v>#VALUE!</v>
      </c>
      <c r="CG99" t="e">
        <f>'All regions'!E2717+"$F;@!&amp;7N"</f>
        <v>#VALUE!</v>
      </c>
      <c r="CH99" t="e">
        <f>'All regions'!F2717+"$F;@!&amp;7O"</f>
        <v>#VALUE!</v>
      </c>
      <c r="CI99" t="e">
        <f>'All regions'!G2717+"$F;@!&amp;7P"</f>
        <v>#VALUE!</v>
      </c>
      <c r="CJ99" t="e">
        <f>'All regions'!H2717+"$F;@!&amp;7Q"</f>
        <v>#VALUE!</v>
      </c>
      <c r="CK99" t="e">
        <f>'All regions'!I2717+"$F;@!&amp;7R"</f>
        <v>#VALUE!</v>
      </c>
      <c r="CL99" t="e">
        <f>'All regions'!A2718+"$F;@!&amp;7S"</f>
        <v>#VALUE!</v>
      </c>
      <c r="CM99" t="e">
        <f>'All regions'!B2718+"$F;@!&amp;7T"</f>
        <v>#VALUE!</v>
      </c>
      <c r="CN99" t="e">
        <f>'All regions'!C2718+"$F;@!&amp;7U"</f>
        <v>#VALUE!</v>
      </c>
      <c r="CO99" t="e">
        <f>'All regions'!D2718+"$F;@!&amp;7V"</f>
        <v>#VALUE!</v>
      </c>
      <c r="CP99" t="e">
        <f>'All regions'!E2718+"$F;@!&amp;7W"</f>
        <v>#VALUE!</v>
      </c>
      <c r="CQ99" t="e">
        <f>'All regions'!F2718+"$F;@!&amp;7X"</f>
        <v>#VALUE!</v>
      </c>
      <c r="CR99" t="e">
        <f>'All regions'!G2718+"$F;@!&amp;7Y"</f>
        <v>#VALUE!</v>
      </c>
      <c r="CS99" t="e">
        <f>'All regions'!H2718+"$F;@!&amp;7Z"</f>
        <v>#VALUE!</v>
      </c>
      <c r="CT99" t="e">
        <f>'All regions'!I2718+"$F;@!&amp;7["</f>
        <v>#VALUE!</v>
      </c>
      <c r="CU99" t="e">
        <f>'All regions'!A2719+"$F;@!&amp;7\"</f>
        <v>#VALUE!</v>
      </c>
      <c r="CV99" t="e">
        <f>'All regions'!B2719+"$F;@!&amp;7]"</f>
        <v>#VALUE!</v>
      </c>
      <c r="CW99" t="e">
        <f>'All regions'!C2719+"$F;@!&amp;7^"</f>
        <v>#VALUE!</v>
      </c>
      <c r="CX99" t="e">
        <f>'All regions'!D2719+"$F;@!&amp;7_"</f>
        <v>#VALUE!</v>
      </c>
      <c r="CY99" t="e">
        <f>'All regions'!E2719+"$F;@!&amp;7`"</f>
        <v>#VALUE!</v>
      </c>
      <c r="CZ99" t="e">
        <f>'All regions'!F2719+"$F;@!&amp;7a"</f>
        <v>#VALUE!</v>
      </c>
      <c r="DA99" t="e">
        <f>'All regions'!G2719+"$F;@!&amp;7b"</f>
        <v>#VALUE!</v>
      </c>
      <c r="DB99" t="e">
        <f>'All regions'!H2719+"$F;@!&amp;7c"</f>
        <v>#VALUE!</v>
      </c>
      <c r="DC99" t="e">
        <f>'All regions'!I2719+"$F;@!&amp;7d"</f>
        <v>#VALUE!</v>
      </c>
      <c r="DD99" t="e">
        <f>'All regions'!A2720+"$F;@!&amp;7e"</f>
        <v>#VALUE!</v>
      </c>
      <c r="DE99" t="e">
        <f>'All regions'!B2720+"$F;@!&amp;7f"</f>
        <v>#VALUE!</v>
      </c>
      <c r="DF99" t="e">
        <f>'All regions'!C2720+"$F;@!&amp;7g"</f>
        <v>#VALUE!</v>
      </c>
      <c r="DG99" t="e">
        <f>'All regions'!D2720+"$F;@!&amp;7h"</f>
        <v>#VALUE!</v>
      </c>
      <c r="DH99" t="e">
        <f>'All regions'!E2720+"$F;@!&amp;7i"</f>
        <v>#VALUE!</v>
      </c>
      <c r="DI99" t="e">
        <f>'All regions'!F2720+"$F;@!&amp;7j"</f>
        <v>#VALUE!</v>
      </c>
      <c r="DJ99" t="e">
        <f>'All regions'!G2720+"$F;@!&amp;7k"</f>
        <v>#VALUE!</v>
      </c>
      <c r="DK99" t="e">
        <f>'All regions'!H2720+"$F;@!&amp;7l"</f>
        <v>#VALUE!</v>
      </c>
      <c r="DL99" t="e">
        <f>'All regions'!I2720+"$F;@!&amp;7m"</f>
        <v>#VALUE!</v>
      </c>
      <c r="DM99" t="e">
        <f>'All regions'!A2721+"$F;@!&amp;7n"</f>
        <v>#VALUE!</v>
      </c>
      <c r="DN99" t="e">
        <f>'All regions'!B2721+"$F;@!&amp;7o"</f>
        <v>#VALUE!</v>
      </c>
      <c r="DO99" t="e">
        <f>'All regions'!C2721+"$F;@!&amp;7p"</f>
        <v>#VALUE!</v>
      </c>
      <c r="DP99" t="e">
        <f>'All regions'!D2721+"$F;@!&amp;7q"</f>
        <v>#VALUE!</v>
      </c>
      <c r="DQ99" t="e">
        <f>'All regions'!E2721+"$F;@!&amp;7r"</f>
        <v>#VALUE!</v>
      </c>
      <c r="DR99" t="e">
        <f>'All regions'!F2721+"$F;@!&amp;7s"</f>
        <v>#VALUE!</v>
      </c>
      <c r="DS99" t="e">
        <f>'All regions'!G2721+"$F;@!&amp;7t"</f>
        <v>#VALUE!</v>
      </c>
      <c r="DT99" t="e">
        <f>'All regions'!H2721+"$F;@!&amp;7u"</f>
        <v>#VALUE!</v>
      </c>
      <c r="DU99" t="e">
        <f>'All regions'!I2721+"$F;@!&amp;7v"</f>
        <v>#VALUE!</v>
      </c>
      <c r="DV99" t="e">
        <f>'All regions'!A2722+"$F;@!&amp;7w"</f>
        <v>#VALUE!</v>
      </c>
      <c r="DW99" t="e">
        <f>'All regions'!B2722+"$F;@!&amp;7x"</f>
        <v>#VALUE!</v>
      </c>
      <c r="DX99" t="e">
        <f>'All regions'!C2722+"$F;@!&amp;7y"</f>
        <v>#VALUE!</v>
      </c>
      <c r="DY99" t="e">
        <f>'All regions'!D2722+"$F;@!&amp;7z"</f>
        <v>#VALUE!</v>
      </c>
      <c r="DZ99" t="e">
        <f>'All regions'!E2722+"$F;@!&amp;7{"</f>
        <v>#VALUE!</v>
      </c>
      <c r="EA99" t="e">
        <f>'All regions'!F2722+"$F;@!&amp;7|"</f>
        <v>#VALUE!</v>
      </c>
      <c r="EB99" t="e">
        <f>'All regions'!G2722+"$F;@!&amp;7}"</f>
        <v>#VALUE!</v>
      </c>
      <c r="EC99" t="e">
        <f>'All regions'!H2722+"$F;@!&amp;7~"</f>
        <v>#VALUE!</v>
      </c>
      <c r="ED99" t="e">
        <f>'All regions'!I2722+"$F;@!&amp;8#"</f>
        <v>#VALUE!</v>
      </c>
      <c r="EE99" t="e">
        <f>'All regions'!A2723+"$F;@!&amp;8$"</f>
        <v>#VALUE!</v>
      </c>
      <c r="EF99" t="e">
        <f>'All regions'!B2723+"$F;@!&amp;8%"</f>
        <v>#VALUE!</v>
      </c>
      <c r="EG99" t="e">
        <f>'All regions'!C2723+"$F;@!&amp;8&amp;"</f>
        <v>#VALUE!</v>
      </c>
      <c r="EH99" t="e">
        <f>'All regions'!D2723+"$F;@!&amp;8'"</f>
        <v>#VALUE!</v>
      </c>
      <c r="EI99" t="e">
        <f>'All regions'!E2723+"$F;@!&amp;8("</f>
        <v>#VALUE!</v>
      </c>
      <c r="EJ99" t="e">
        <f>'All regions'!F2723+"$F;@!&amp;8)"</f>
        <v>#VALUE!</v>
      </c>
      <c r="EK99" t="e">
        <f>'All regions'!G2723+"$F;@!&amp;8."</f>
        <v>#VALUE!</v>
      </c>
      <c r="EL99" t="e">
        <f>'All regions'!H2723+"$F;@!&amp;8/"</f>
        <v>#VALUE!</v>
      </c>
      <c r="EM99" t="e">
        <f>'All regions'!I2723+"$F;@!&amp;80"</f>
        <v>#VALUE!</v>
      </c>
      <c r="EN99" t="e">
        <f>'All regions'!A2724+"$F;@!&amp;81"</f>
        <v>#VALUE!</v>
      </c>
      <c r="EO99" t="e">
        <f>'All regions'!B2724+"$F;@!&amp;82"</f>
        <v>#VALUE!</v>
      </c>
      <c r="EP99" t="e">
        <f>'All regions'!C2724+"$F;@!&amp;83"</f>
        <v>#VALUE!</v>
      </c>
      <c r="EQ99" t="e">
        <f>'All regions'!D2724+"$F;@!&amp;84"</f>
        <v>#VALUE!</v>
      </c>
      <c r="ER99" t="e">
        <f>'All regions'!E2724+"$F;@!&amp;85"</f>
        <v>#VALUE!</v>
      </c>
      <c r="ES99" t="e">
        <f>'All regions'!F2724+"$F;@!&amp;86"</f>
        <v>#VALUE!</v>
      </c>
      <c r="ET99" t="e">
        <f>'All regions'!G2724+"$F;@!&amp;87"</f>
        <v>#VALUE!</v>
      </c>
      <c r="EU99" t="e">
        <f>'All regions'!H2724+"$F;@!&amp;88"</f>
        <v>#VALUE!</v>
      </c>
      <c r="EV99" t="e">
        <f>'All regions'!I2724+"$F;@!&amp;89"</f>
        <v>#VALUE!</v>
      </c>
      <c r="EW99" t="e">
        <f>'All regions'!A2725+"$F;@!&amp;8:"</f>
        <v>#VALUE!</v>
      </c>
      <c r="EX99" t="e">
        <f>'All regions'!B2725+"$F;@!&amp;8;"</f>
        <v>#VALUE!</v>
      </c>
      <c r="EY99" t="e">
        <f>'All regions'!C2725+"$F;@!&amp;8&lt;"</f>
        <v>#VALUE!</v>
      </c>
      <c r="EZ99" t="e">
        <f>'All regions'!D2725+"$F;@!&amp;8="</f>
        <v>#VALUE!</v>
      </c>
      <c r="FA99" t="e">
        <f>'All regions'!E2725+"$F;@!&amp;8&gt;"</f>
        <v>#VALUE!</v>
      </c>
      <c r="FB99" t="e">
        <f>'All regions'!F2725+"$F;@!&amp;8?"</f>
        <v>#VALUE!</v>
      </c>
      <c r="FC99" t="e">
        <f>'All regions'!G2725+"$F;@!&amp;8@"</f>
        <v>#VALUE!</v>
      </c>
      <c r="FD99" t="e">
        <f>'All regions'!H2725+"$F;@!&amp;8A"</f>
        <v>#VALUE!</v>
      </c>
      <c r="FE99" t="e">
        <f>'All regions'!I2725+"$F;@!&amp;8B"</f>
        <v>#VALUE!</v>
      </c>
      <c r="FF99" t="e">
        <f>'All regions'!A2726+"$F;@!&amp;8C"</f>
        <v>#VALUE!</v>
      </c>
      <c r="FG99" t="e">
        <f>'All regions'!B2726+"$F;@!&amp;8D"</f>
        <v>#VALUE!</v>
      </c>
      <c r="FH99" t="e">
        <f>'All regions'!C2726+"$F;@!&amp;8E"</f>
        <v>#VALUE!</v>
      </c>
      <c r="FI99" t="e">
        <f>'All regions'!D2726+"$F;@!&amp;8F"</f>
        <v>#VALUE!</v>
      </c>
      <c r="FJ99" t="e">
        <f>'All regions'!E2726+"$F;@!&amp;8G"</f>
        <v>#VALUE!</v>
      </c>
      <c r="FK99" t="e">
        <f>'All regions'!F2726+"$F;@!&amp;8H"</f>
        <v>#VALUE!</v>
      </c>
      <c r="FL99" t="e">
        <f>'All regions'!G2726+"$F;@!&amp;8I"</f>
        <v>#VALUE!</v>
      </c>
      <c r="FM99" t="e">
        <f>'All regions'!H2726+"$F;@!&amp;8J"</f>
        <v>#VALUE!</v>
      </c>
      <c r="FN99" t="e">
        <f>'All regions'!I2726+"$F;@!&amp;8K"</f>
        <v>#VALUE!</v>
      </c>
      <c r="FO99" t="e">
        <f>'All regions'!A2727+"$F;@!&amp;8L"</f>
        <v>#VALUE!</v>
      </c>
      <c r="FP99" t="e">
        <f>'All regions'!B2727+"$F;@!&amp;8M"</f>
        <v>#VALUE!</v>
      </c>
      <c r="FQ99" t="e">
        <f>'All regions'!C2727+"$F;@!&amp;8N"</f>
        <v>#VALUE!</v>
      </c>
      <c r="FR99" t="e">
        <f>'All regions'!D2727+"$F;@!&amp;8O"</f>
        <v>#VALUE!</v>
      </c>
      <c r="FS99" t="e">
        <f>'All regions'!E2727+"$F;@!&amp;8P"</f>
        <v>#VALUE!</v>
      </c>
      <c r="FT99" t="e">
        <f>'All regions'!F2727+"$F;@!&amp;8Q"</f>
        <v>#VALUE!</v>
      </c>
      <c r="FU99" t="e">
        <f>'All regions'!G2727+"$F;@!&amp;8R"</f>
        <v>#VALUE!</v>
      </c>
      <c r="FV99" t="e">
        <f>'All regions'!H2727+"$F;@!&amp;8S"</f>
        <v>#VALUE!</v>
      </c>
      <c r="FW99" t="e">
        <f>'All regions'!I2727+"$F;@!&amp;8T"</f>
        <v>#VALUE!</v>
      </c>
      <c r="FX99" t="e">
        <f>'All regions'!A2728+"$F;@!&amp;8U"</f>
        <v>#VALUE!</v>
      </c>
      <c r="FY99" t="e">
        <f>'All regions'!B2728+"$F;@!&amp;8V"</f>
        <v>#VALUE!</v>
      </c>
      <c r="FZ99" t="e">
        <f>'All regions'!C2728+"$F;@!&amp;8W"</f>
        <v>#VALUE!</v>
      </c>
      <c r="GA99" t="e">
        <f>'All regions'!D2728+"$F;@!&amp;8X"</f>
        <v>#VALUE!</v>
      </c>
      <c r="GB99" t="e">
        <f>'All regions'!E2728+"$F;@!&amp;8Y"</f>
        <v>#VALUE!</v>
      </c>
      <c r="GC99" t="e">
        <f>'All regions'!F2728+"$F;@!&amp;8Z"</f>
        <v>#VALUE!</v>
      </c>
      <c r="GD99" t="e">
        <f>'All regions'!G2728+"$F;@!&amp;8["</f>
        <v>#VALUE!</v>
      </c>
      <c r="GE99" t="e">
        <f>'All regions'!H2728+"$F;@!&amp;8\"</f>
        <v>#VALUE!</v>
      </c>
      <c r="GF99" t="e">
        <f>'All regions'!I2728+"$F;@!&amp;8]"</f>
        <v>#VALUE!</v>
      </c>
      <c r="GG99" t="e">
        <f>'All regions'!A2729+"$F;@!&amp;8^"</f>
        <v>#VALUE!</v>
      </c>
      <c r="GH99" t="e">
        <f>'All regions'!B2729+"$F;@!&amp;8_"</f>
        <v>#VALUE!</v>
      </c>
      <c r="GI99" t="e">
        <f>'All regions'!C2729+"$F;@!&amp;8`"</f>
        <v>#VALUE!</v>
      </c>
      <c r="GJ99" t="e">
        <f>'All regions'!D2729+"$F;@!&amp;8a"</f>
        <v>#VALUE!</v>
      </c>
      <c r="GK99" t="e">
        <f>'All regions'!E2729+"$F;@!&amp;8b"</f>
        <v>#VALUE!</v>
      </c>
      <c r="GL99" t="e">
        <f>'All regions'!F2729+"$F;@!&amp;8c"</f>
        <v>#VALUE!</v>
      </c>
      <c r="GM99" t="e">
        <f>'All regions'!G2729+"$F;@!&amp;8d"</f>
        <v>#VALUE!</v>
      </c>
      <c r="GN99" t="e">
        <f>'All regions'!H2729+"$F;@!&amp;8e"</f>
        <v>#VALUE!</v>
      </c>
      <c r="GO99" t="e">
        <f>'All regions'!I2729+"$F;@!&amp;8f"</f>
        <v>#VALUE!</v>
      </c>
      <c r="GP99" t="e">
        <f>'All regions'!A2730+"$F;@!&amp;8g"</f>
        <v>#VALUE!</v>
      </c>
      <c r="GQ99" t="e">
        <f>'All regions'!B2730+"$F;@!&amp;8h"</f>
        <v>#VALUE!</v>
      </c>
      <c r="GR99" t="e">
        <f>'All regions'!C2730+"$F;@!&amp;8i"</f>
        <v>#VALUE!</v>
      </c>
      <c r="GS99" t="e">
        <f>'All regions'!D2730+"$F;@!&amp;8j"</f>
        <v>#VALUE!</v>
      </c>
      <c r="GT99" t="e">
        <f>'All regions'!E2730+"$F;@!&amp;8k"</f>
        <v>#VALUE!</v>
      </c>
      <c r="GU99" t="e">
        <f>'All regions'!F2730+"$F;@!&amp;8l"</f>
        <v>#VALUE!</v>
      </c>
      <c r="GV99" t="e">
        <f>'All regions'!G2730+"$F;@!&amp;8m"</f>
        <v>#VALUE!</v>
      </c>
      <c r="GW99" t="e">
        <f>'All regions'!H2730+"$F;@!&amp;8n"</f>
        <v>#VALUE!</v>
      </c>
      <c r="GX99" t="e">
        <f>'All regions'!I2730+"$F;@!&amp;8o"</f>
        <v>#VALUE!</v>
      </c>
      <c r="GY99" t="e">
        <f>'All regions'!A2731+"$F;@!&amp;8p"</f>
        <v>#VALUE!</v>
      </c>
      <c r="GZ99" t="e">
        <f>'All regions'!B2731+"$F;@!&amp;8q"</f>
        <v>#VALUE!</v>
      </c>
      <c r="HA99" t="e">
        <f>'All regions'!C2731+"$F;@!&amp;8r"</f>
        <v>#VALUE!</v>
      </c>
      <c r="HB99" t="e">
        <f>'All regions'!D2731+"$F;@!&amp;8s"</f>
        <v>#VALUE!</v>
      </c>
      <c r="HC99" t="e">
        <f>'All regions'!E2731+"$F;@!&amp;8t"</f>
        <v>#VALUE!</v>
      </c>
      <c r="HD99" t="e">
        <f>'All regions'!F2731+"$F;@!&amp;8u"</f>
        <v>#VALUE!</v>
      </c>
      <c r="HE99" t="e">
        <f>'All regions'!G2731+"$F;@!&amp;8v"</f>
        <v>#VALUE!</v>
      </c>
      <c r="HF99" t="e">
        <f>'All regions'!H2731+"$F;@!&amp;8w"</f>
        <v>#VALUE!</v>
      </c>
      <c r="HG99" t="e">
        <f>'All regions'!I2731+"$F;@!&amp;8x"</f>
        <v>#VALUE!</v>
      </c>
      <c r="HH99" t="e">
        <f>'All regions'!A2732+"$F;@!&amp;8y"</f>
        <v>#VALUE!</v>
      </c>
      <c r="HI99" t="e">
        <f>'All regions'!B2732+"$F;@!&amp;8z"</f>
        <v>#VALUE!</v>
      </c>
      <c r="HJ99" t="e">
        <f>'All regions'!C2732+"$F;@!&amp;8{"</f>
        <v>#VALUE!</v>
      </c>
      <c r="HK99" t="e">
        <f>'All regions'!D2732+"$F;@!&amp;8|"</f>
        <v>#VALUE!</v>
      </c>
      <c r="HL99" t="e">
        <f>'All regions'!E2732+"$F;@!&amp;8}"</f>
        <v>#VALUE!</v>
      </c>
      <c r="HM99" t="e">
        <f>'All regions'!F2732+"$F;@!&amp;8~"</f>
        <v>#VALUE!</v>
      </c>
      <c r="HN99" t="e">
        <f>'All regions'!G2732+"$F;@!&amp;9#"</f>
        <v>#VALUE!</v>
      </c>
      <c r="HO99" t="e">
        <f>'All regions'!H2732+"$F;@!&amp;9$"</f>
        <v>#VALUE!</v>
      </c>
      <c r="HP99" t="e">
        <f>'All regions'!I2732+"$F;@!&amp;9%"</f>
        <v>#VALUE!</v>
      </c>
      <c r="HQ99" t="e">
        <f>'All regions'!A2733+"$F;@!&amp;9&amp;"</f>
        <v>#VALUE!</v>
      </c>
      <c r="HR99" t="e">
        <f>'All regions'!B2733+"$F;@!&amp;9'"</f>
        <v>#VALUE!</v>
      </c>
      <c r="HS99" t="e">
        <f>'All regions'!C2733+"$F;@!&amp;9("</f>
        <v>#VALUE!</v>
      </c>
      <c r="HT99" t="e">
        <f>'All regions'!D2733+"$F;@!&amp;9)"</f>
        <v>#VALUE!</v>
      </c>
      <c r="HU99" t="e">
        <f>'All regions'!E2733+"$F;@!&amp;9."</f>
        <v>#VALUE!</v>
      </c>
      <c r="HV99" t="e">
        <f>'All regions'!F2733+"$F;@!&amp;9/"</f>
        <v>#VALUE!</v>
      </c>
      <c r="HW99" t="e">
        <f>'All regions'!G2733+"$F;@!&amp;90"</f>
        <v>#VALUE!</v>
      </c>
      <c r="HX99" t="e">
        <f>'All regions'!H2733+"$F;@!&amp;91"</f>
        <v>#VALUE!</v>
      </c>
      <c r="HY99" t="e">
        <f>'All regions'!I2733+"$F;@!&amp;92"</f>
        <v>#VALUE!</v>
      </c>
      <c r="HZ99" t="e">
        <f>'All regions'!A2734+"$F;@!&amp;93"</f>
        <v>#VALUE!</v>
      </c>
      <c r="IA99" t="e">
        <f>'All regions'!B2734+"$F;@!&amp;94"</f>
        <v>#VALUE!</v>
      </c>
      <c r="IB99" t="e">
        <f>'All regions'!C2734+"$F;@!&amp;95"</f>
        <v>#VALUE!</v>
      </c>
      <c r="IC99" t="e">
        <f>'All regions'!D2734+"$F;@!&amp;96"</f>
        <v>#VALUE!</v>
      </c>
      <c r="ID99" t="e">
        <f>'All regions'!E2734+"$F;@!&amp;97"</f>
        <v>#VALUE!</v>
      </c>
      <c r="IE99" t="e">
        <f>'All regions'!F2734+"$F;@!&amp;98"</f>
        <v>#VALUE!</v>
      </c>
      <c r="IF99" t="e">
        <f>'All regions'!G2734+"$F;@!&amp;99"</f>
        <v>#VALUE!</v>
      </c>
      <c r="IG99" t="e">
        <f>'All regions'!H2734+"$F;@!&amp;9:"</f>
        <v>#VALUE!</v>
      </c>
      <c r="IH99" t="e">
        <f>'All regions'!I2734+"$F;@!&amp;9;"</f>
        <v>#VALUE!</v>
      </c>
      <c r="II99" t="e">
        <f>'All regions'!A2736+"$F;@!&amp;9&lt;"</f>
        <v>#VALUE!</v>
      </c>
      <c r="IJ99" t="e">
        <f>'All regions'!B2736+"$F;@!&amp;9="</f>
        <v>#VALUE!</v>
      </c>
      <c r="IK99" t="e">
        <f>'All regions'!C2736+"$F;@!&amp;9&gt;"</f>
        <v>#VALUE!</v>
      </c>
      <c r="IL99" t="e">
        <f>'All regions'!D2736+"$F;@!&amp;9?"</f>
        <v>#VALUE!</v>
      </c>
      <c r="IM99" t="e">
        <f>'All regions'!E2736+"$F;@!&amp;9@"</f>
        <v>#VALUE!</v>
      </c>
      <c r="IN99" t="e">
        <f>'All regions'!F2736+"$F;@!&amp;9A"</f>
        <v>#VALUE!</v>
      </c>
      <c r="IO99" t="e">
        <f>'All regions'!G2736+"$F;@!&amp;9B"</f>
        <v>#VALUE!</v>
      </c>
      <c r="IP99" t="e">
        <f>'All regions'!H2736+"$F;@!&amp;9C"</f>
        <v>#VALUE!</v>
      </c>
      <c r="IQ99" t="e">
        <f>'All regions'!I2736+"$F;@!&amp;9D"</f>
        <v>#VALUE!</v>
      </c>
      <c r="IR99" t="e">
        <f>'All regions'!A2737+"$F;@!&amp;9E"</f>
        <v>#VALUE!</v>
      </c>
      <c r="IS99" t="e">
        <f>'All regions'!B2737+"$F;@!&amp;9F"</f>
        <v>#VALUE!</v>
      </c>
      <c r="IT99" t="e">
        <f>'All regions'!C2737+"$F;@!&amp;9G"</f>
        <v>#VALUE!</v>
      </c>
      <c r="IU99" t="e">
        <f>'All regions'!D2737+"$F;@!&amp;9H"</f>
        <v>#VALUE!</v>
      </c>
      <c r="IV99" t="e">
        <f>'All regions'!E2737+"$F;@!&amp;9I"</f>
        <v>#VALUE!</v>
      </c>
    </row>
    <row r="100" spans="6:256" x14ac:dyDescent="0.35">
      <c r="F100" t="e">
        <f>'All regions'!F2737+"$F;@!&amp;9J"</f>
        <v>#VALUE!</v>
      </c>
      <c r="G100" t="e">
        <f>'All regions'!G2737+"$F;@!&amp;9K"</f>
        <v>#VALUE!</v>
      </c>
      <c r="H100" t="e">
        <f>'All regions'!H2737+"$F;@!&amp;9L"</f>
        <v>#VALUE!</v>
      </c>
      <c r="I100" t="e">
        <f>'All regions'!I2737+"$F;@!&amp;9M"</f>
        <v>#VALUE!</v>
      </c>
      <c r="J100" t="e">
        <f>'All regions'!A2738+"$F;@!&amp;9N"</f>
        <v>#VALUE!</v>
      </c>
      <c r="K100" t="e">
        <f>'All regions'!B2738+"$F;@!&amp;9O"</f>
        <v>#VALUE!</v>
      </c>
      <c r="L100" t="e">
        <f>'All regions'!C2738+"$F;@!&amp;9P"</f>
        <v>#VALUE!</v>
      </c>
      <c r="M100" t="e">
        <f>'All regions'!D2738+"$F;@!&amp;9Q"</f>
        <v>#VALUE!</v>
      </c>
      <c r="N100" t="e">
        <f>'All regions'!E2738+"$F;@!&amp;9R"</f>
        <v>#VALUE!</v>
      </c>
      <c r="O100" t="e">
        <f>'All regions'!F2738+"$F;@!&amp;9S"</f>
        <v>#VALUE!</v>
      </c>
      <c r="P100" t="e">
        <f>'All regions'!G2738+"$F;@!&amp;9T"</f>
        <v>#VALUE!</v>
      </c>
      <c r="Q100" t="e">
        <f>'All regions'!H2738+"$F;@!&amp;9U"</f>
        <v>#VALUE!</v>
      </c>
      <c r="R100" t="e">
        <f>'All regions'!I2738+"$F;@!&amp;9V"</f>
        <v>#VALUE!</v>
      </c>
      <c r="S100" t="e">
        <f>'All regions'!A2739+"$F;@!&amp;9W"</f>
        <v>#VALUE!</v>
      </c>
      <c r="T100" t="e">
        <f>'All regions'!B2739+"$F;@!&amp;9X"</f>
        <v>#VALUE!</v>
      </c>
      <c r="U100" t="e">
        <f>'All regions'!C2739+"$F;@!&amp;9Y"</f>
        <v>#VALUE!</v>
      </c>
      <c r="V100" t="e">
        <f>'All regions'!D2739+"$F;@!&amp;9Z"</f>
        <v>#VALUE!</v>
      </c>
      <c r="W100" t="e">
        <f>'All regions'!E2739+"$F;@!&amp;9["</f>
        <v>#VALUE!</v>
      </c>
      <c r="X100" t="e">
        <f>'All regions'!F2739+"$F;@!&amp;9\"</f>
        <v>#VALUE!</v>
      </c>
      <c r="Y100" t="e">
        <f>'All regions'!G2739+"$F;@!&amp;9]"</f>
        <v>#VALUE!</v>
      </c>
      <c r="Z100" t="e">
        <f>'All regions'!H2739+"$F;@!&amp;9^"</f>
        <v>#VALUE!</v>
      </c>
      <c r="AA100" t="e">
        <f>'All regions'!I2739+"$F;@!&amp;9_"</f>
        <v>#VALUE!</v>
      </c>
      <c r="AB100" t="e">
        <f>'All regions'!A2740+"$F;@!&amp;9`"</f>
        <v>#VALUE!</v>
      </c>
      <c r="AC100" t="e">
        <f>'All regions'!B2740+"$F;@!&amp;9a"</f>
        <v>#VALUE!</v>
      </c>
      <c r="AD100" t="e">
        <f>'All regions'!C2740+"$F;@!&amp;9b"</f>
        <v>#VALUE!</v>
      </c>
      <c r="AE100" t="e">
        <f>'All regions'!D2740+"$F;@!&amp;9c"</f>
        <v>#VALUE!</v>
      </c>
      <c r="AF100" t="e">
        <f>'All regions'!E2740+"$F;@!&amp;9d"</f>
        <v>#VALUE!</v>
      </c>
      <c r="AG100" t="e">
        <f>'All regions'!F2740+"$F;@!&amp;9e"</f>
        <v>#VALUE!</v>
      </c>
      <c r="AH100" t="e">
        <f>'All regions'!G2740+"$F;@!&amp;9f"</f>
        <v>#VALUE!</v>
      </c>
      <c r="AI100" t="e">
        <f>'All regions'!H2740+"$F;@!&amp;9g"</f>
        <v>#VALUE!</v>
      </c>
      <c r="AJ100" t="e">
        <f>'All regions'!I2740+"$F;@!&amp;9h"</f>
        <v>#VALUE!</v>
      </c>
      <c r="AK100" t="e">
        <f>'All regions'!A2741+"$F;@!&amp;9i"</f>
        <v>#VALUE!</v>
      </c>
      <c r="AL100" t="e">
        <f>'All regions'!B2741+"$F;@!&amp;9j"</f>
        <v>#VALUE!</v>
      </c>
      <c r="AM100" t="e">
        <f>'All regions'!C2741+"$F;@!&amp;9k"</f>
        <v>#VALUE!</v>
      </c>
      <c r="AN100" t="e">
        <f>'All regions'!D2741+"$F;@!&amp;9l"</f>
        <v>#VALUE!</v>
      </c>
      <c r="AO100" t="e">
        <f>'All regions'!E2741+"$F;@!&amp;9m"</f>
        <v>#VALUE!</v>
      </c>
      <c r="AP100" t="e">
        <f>'All regions'!F2741+"$F;@!&amp;9n"</f>
        <v>#VALUE!</v>
      </c>
      <c r="AQ100" t="e">
        <f>'All regions'!G2741+"$F;@!&amp;9o"</f>
        <v>#VALUE!</v>
      </c>
      <c r="AR100" t="e">
        <f>'All regions'!H2741+"$F;@!&amp;9p"</f>
        <v>#VALUE!</v>
      </c>
      <c r="AS100" t="e">
        <f>'All regions'!I2741+"$F;@!&amp;9q"</f>
        <v>#VALUE!</v>
      </c>
      <c r="AT100" t="e">
        <f>'All regions'!A2742+"$F;@!&amp;9r"</f>
        <v>#VALUE!</v>
      </c>
      <c r="AU100" t="e">
        <f>'All regions'!B2742+"$F;@!&amp;9s"</f>
        <v>#VALUE!</v>
      </c>
      <c r="AV100" t="e">
        <f>'All regions'!C2742+"$F;@!&amp;9t"</f>
        <v>#VALUE!</v>
      </c>
      <c r="AW100" t="e">
        <f>'All regions'!D2742+"$F;@!&amp;9u"</f>
        <v>#VALUE!</v>
      </c>
      <c r="AX100" t="e">
        <f>'All regions'!E2742+"$F;@!&amp;9v"</f>
        <v>#VALUE!</v>
      </c>
      <c r="AY100" t="e">
        <f>'All regions'!F2742+"$F;@!&amp;9w"</f>
        <v>#VALUE!</v>
      </c>
      <c r="AZ100" t="e">
        <f>'All regions'!G2742+"$F;@!&amp;9x"</f>
        <v>#VALUE!</v>
      </c>
      <c r="BA100" t="e">
        <f>'All regions'!H2742+"$F;@!&amp;9y"</f>
        <v>#VALUE!</v>
      </c>
      <c r="BB100" t="e">
        <f>'All regions'!I2742+"$F;@!&amp;9z"</f>
        <v>#VALUE!</v>
      </c>
      <c r="BC100" t="e">
        <f>'All regions'!A2743+"$F;@!&amp;9{"</f>
        <v>#VALUE!</v>
      </c>
      <c r="BD100" t="e">
        <f>'All regions'!B2743+"$F;@!&amp;9|"</f>
        <v>#VALUE!</v>
      </c>
      <c r="BE100" t="e">
        <f>'All regions'!C2743+"$F;@!&amp;9}"</f>
        <v>#VALUE!</v>
      </c>
      <c r="BF100" t="e">
        <f>'All regions'!D2743+"$F;@!&amp;9~"</f>
        <v>#VALUE!</v>
      </c>
      <c r="BG100" t="e">
        <f>'All regions'!E2743+"$F;@!&amp;:#"</f>
        <v>#VALUE!</v>
      </c>
      <c r="BH100" t="e">
        <f>'All regions'!F2743+"$F;@!&amp;:$"</f>
        <v>#VALUE!</v>
      </c>
      <c r="BI100" t="e">
        <f>'All regions'!G2743+"$F;@!&amp;:%"</f>
        <v>#VALUE!</v>
      </c>
      <c r="BJ100" t="e">
        <f>'All regions'!H2743+"$F;@!&amp;:&amp;"</f>
        <v>#VALUE!</v>
      </c>
      <c r="BK100" t="e">
        <f>'All regions'!I2743+"$F;@!&amp;:'"</f>
        <v>#VALUE!</v>
      </c>
      <c r="BL100" t="e">
        <f>'All regions'!A2744+"$F;@!&amp;:("</f>
        <v>#VALUE!</v>
      </c>
      <c r="BM100" t="e">
        <f>'All regions'!B2744+"$F;@!&amp;:)"</f>
        <v>#VALUE!</v>
      </c>
      <c r="BN100" t="e">
        <f>'All regions'!C2744+"$F;@!&amp;:."</f>
        <v>#VALUE!</v>
      </c>
      <c r="BO100" t="e">
        <f>'All regions'!D2744+"$F;@!&amp;:/"</f>
        <v>#VALUE!</v>
      </c>
      <c r="BP100" t="e">
        <f>'All regions'!E2744+"$F;@!&amp;:0"</f>
        <v>#VALUE!</v>
      </c>
      <c r="BQ100" t="e">
        <f>'All regions'!F2744+"$F;@!&amp;:1"</f>
        <v>#VALUE!</v>
      </c>
      <c r="BR100" t="e">
        <f>'All regions'!G2744+"$F;@!&amp;:2"</f>
        <v>#VALUE!</v>
      </c>
      <c r="BS100" t="e">
        <f>'All regions'!H2744+"$F;@!&amp;:3"</f>
        <v>#VALUE!</v>
      </c>
      <c r="BT100" t="e">
        <f>'All regions'!I2744+"$F;@!&amp;:4"</f>
        <v>#VALUE!</v>
      </c>
      <c r="BU100" t="e">
        <f>'All regions'!A2745+"$F;@!&amp;:5"</f>
        <v>#VALUE!</v>
      </c>
      <c r="BV100" t="e">
        <f>'All regions'!B2745+"$F;@!&amp;:6"</f>
        <v>#VALUE!</v>
      </c>
      <c r="BW100" t="e">
        <f>'All regions'!C2745+"$F;@!&amp;:7"</f>
        <v>#VALUE!</v>
      </c>
      <c r="BX100" t="e">
        <f>'All regions'!D2745+"$F;@!&amp;:8"</f>
        <v>#VALUE!</v>
      </c>
      <c r="BY100" t="e">
        <f>'All regions'!E2745+"$F;@!&amp;:9"</f>
        <v>#VALUE!</v>
      </c>
      <c r="BZ100" t="e">
        <f>'All regions'!F2745+"$F;@!&amp;::"</f>
        <v>#VALUE!</v>
      </c>
      <c r="CA100" t="e">
        <f>'All regions'!G2745+"$F;@!&amp;:;"</f>
        <v>#VALUE!</v>
      </c>
      <c r="CB100" t="e">
        <f>'All regions'!H2745+"$F;@!&amp;:&lt;"</f>
        <v>#VALUE!</v>
      </c>
      <c r="CC100" t="e">
        <f>'All regions'!I2745+"$F;@!&amp;:="</f>
        <v>#VALUE!</v>
      </c>
      <c r="CD100" t="e">
        <f>'All regions'!A2746+"$F;@!&amp;:&gt;"</f>
        <v>#VALUE!</v>
      </c>
      <c r="CE100" t="e">
        <f>'All regions'!B2746+"$F;@!&amp;:?"</f>
        <v>#VALUE!</v>
      </c>
      <c r="CF100" t="e">
        <f>'All regions'!C2746+"$F;@!&amp;:@"</f>
        <v>#VALUE!</v>
      </c>
      <c r="CG100" t="e">
        <f>'All regions'!D2746+"$F;@!&amp;:A"</f>
        <v>#VALUE!</v>
      </c>
      <c r="CH100" t="e">
        <f>'All regions'!E2746+"$F;@!&amp;:B"</f>
        <v>#VALUE!</v>
      </c>
      <c r="CI100" t="e">
        <f>'All regions'!F2746+"$F;@!&amp;:C"</f>
        <v>#VALUE!</v>
      </c>
      <c r="CJ100" t="e">
        <f>'All regions'!G2746+"$F;@!&amp;:D"</f>
        <v>#VALUE!</v>
      </c>
      <c r="CK100" t="e">
        <f>'All regions'!H2746+"$F;@!&amp;:E"</f>
        <v>#VALUE!</v>
      </c>
      <c r="CL100" t="e">
        <f>'All regions'!I2746+"$F;@!&amp;:F"</f>
        <v>#VALUE!</v>
      </c>
      <c r="CM100" t="e">
        <f>'All regions'!A2747+"$F;@!&amp;:G"</f>
        <v>#VALUE!</v>
      </c>
      <c r="CN100" t="e">
        <f>'All regions'!B2747+"$F;@!&amp;:H"</f>
        <v>#VALUE!</v>
      </c>
      <c r="CO100" t="e">
        <f>'All regions'!C2747+"$F;@!&amp;:I"</f>
        <v>#VALUE!</v>
      </c>
      <c r="CP100" t="e">
        <f>'All regions'!D2747+"$F;@!&amp;:J"</f>
        <v>#VALUE!</v>
      </c>
      <c r="CQ100" t="e">
        <f>'All regions'!E2747+"$F;@!&amp;:K"</f>
        <v>#VALUE!</v>
      </c>
      <c r="CR100" t="e">
        <f>'All regions'!F2747+"$F;@!&amp;:L"</f>
        <v>#VALUE!</v>
      </c>
      <c r="CS100" t="e">
        <f>'All regions'!G2747+"$F;@!&amp;:M"</f>
        <v>#VALUE!</v>
      </c>
      <c r="CT100" t="e">
        <f>'All regions'!H2747+"$F;@!&amp;:N"</f>
        <v>#VALUE!</v>
      </c>
      <c r="CU100" t="e">
        <f>'All regions'!I2747+"$F;@!&amp;:O"</f>
        <v>#VALUE!</v>
      </c>
      <c r="CV100" t="e">
        <f>'All regions'!A2748+"$F;@!&amp;:P"</f>
        <v>#VALUE!</v>
      </c>
      <c r="CW100" t="e">
        <f>'All regions'!B2748+"$F;@!&amp;:Q"</f>
        <v>#VALUE!</v>
      </c>
      <c r="CX100" t="e">
        <f>'All regions'!C2748+"$F;@!&amp;:R"</f>
        <v>#VALUE!</v>
      </c>
      <c r="CY100" t="e">
        <f>'All regions'!D2748+"$F;@!&amp;:S"</f>
        <v>#VALUE!</v>
      </c>
      <c r="CZ100" t="e">
        <f>'All regions'!E2748+"$F;@!&amp;:T"</f>
        <v>#VALUE!</v>
      </c>
      <c r="DA100" t="e">
        <f>'All regions'!F2748+"$F;@!&amp;:U"</f>
        <v>#VALUE!</v>
      </c>
      <c r="DB100" t="e">
        <f>'All regions'!G2748+"$F;@!&amp;:V"</f>
        <v>#VALUE!</v>
      </c>
      <c r="DC100" t="e">
        <f>'All regions'!H2748+"$F;@!&amp;:W"</f>
        <v>#VALUE!</v>
      </c>
      <c r="DD100" t="e">
        <f>'All regions'!I2748+"$F;@!&amp;:X"</f>
        <v>#VALUE!</v>
      </c>
      <c r="DE100" t="e">
        <f>'All regions'!A2749+"$F;@!&amp;:Y"</f>
        <v>#VALUE!</v>
      </c>
      <c r="DF100" t="e">
        <f>'All regions'!B2749+"$F;@!&amp;:Z"</f>
        <v>#VALUE!</v>
      </c>
      <c r="DG100" t="e">
        <f>'All regions'!C2749+"$F;@!&amp;:["</f>
        <v>#VALUE!</v>
      </c>
      <c r="DH100" t="e">
        <f>'All regions'!D2749+"$F;@!&amp;:\"</f>
        <v>#VALUE!</v>
      </c>
      <c r="DI100" t="e">
        <f>'All regions'!E2749+"$F;@!&amp;:]"</f>
        <v>#VALUE!</v>
      </c>
      <c r="DJ100" t="e">
        <f>'All regions'!F2749+"$F;@!&amp;:^"</f>
        <v>#VALUE!</v>
      </c>
      <c r="DK100" t="e">
        <f>'All regions'!G2749+"$F;@!&amp;:_"</f>
        <v>#VALUE!</v>
      </c>
      <c r="DL100" t="e">
        <f>'All regions'!H2749+"$F;@!&amp;:`"</f>
        <v>#VALUE!</v>
      </c>
      <c r="DM100" t="e">
        <f>'All regions'!I2749+"$F;@!&amp;:a"</f>
        <v>#VALUE!</v>
      </c>
      <c r="DN100" t="e">
        <f>'All regions'!A2750+"$F;@!&amp;:b"</f>
        <v>#VALUE!</v>
      </c>
      <c r="DO100" t="e">
        <f>'All regions'!B2750+"$F;@!&amp;:c"</f>
        <v>#VALUE!</v>
      </c>
      <c r="DP100" t="e">
        <f>'All regions'!C2750+"$F;@!&amp;:d"</f>
        <v>#VALUE!</v>
      </c>
      <c r="DQ100" t="e">
        <f>'All regions'!D2750+"$F;@!&amp;:e"</f>
        <v>#VALUE!</v>
      </c>
      <c r="DR100" t="e">
        <f>'All regions'!E2750+"$F;@!&amp;:f"</f>
        <v>#VALUE!</v>
      </c>
      <c r="DS100" t="e">
        <f>'All regions'!F2750+"$F;@!&amp;:g"</f>
        <v>#VALUE!</v>
      </c>
      <c r="DT100" t="e">
        <f>'All regions'!G2750+"$F;@!&amp;:h"</f>
        <v>#VALUE!</v>
      </c>
      <c r="DU100" t="e">
        <f>'All regions'!H2750+"$F;@!&amp;:i"</f>
        <v>#VALUE!</v>
      </c>
      <c r="DV100" t="e">
        <f>'All regions'!I2750+"$F;@!&amp;:j"</f>
        <v>#VALUE!</v>
      </c>
      <c r="DW100" t="e">
        <f>'All regions'!A2751+"$F;@!&amp;:k"</f>
        <v>#VALUE!</v>
      </c>
      <c r="DX100" t="e">
        <f>'All regions'!B2751+"$F;@!&amp;:l"</f>
        <v>#VALUE!</v>
      </c>
      <c r="DY100" t="e">
        <f>'All regions'!C2751+"$F;@!&amp;:m"</f>
        <v>#VALUE!</v>
      </c>
      <c r="DZ100" t="e">
        <f>'All regions'!D2751+"$F;@!&amp;:n"</f>
        <v>#VALUE!</v>
      </c>
      <c r="EA100" t="e">
        <f>'All regions'!E2751+"$F;@!&amp;:o"</f>
        <v>#VALUE!</v>
      </c>
      <c r="EB100" t="e">
        <f>'All regions'!F2751+"$F;@!&amp;:p"</f>
        <v>#VALUE!</v>
      </c>
      <c r="EC100" t="e">
        <f>'All regions'!G2751+"$F;@!&amp;:q"</f>
        <v>#VALUE!</v>
      </c>
      <c r="ED100" t="e">
        <f>'All regions'!H2751+"$F;@!&amp;:r"</f>
        <v>#VALUE!</v>
      </c>
      <c r="EE100" t="e">
        <f>'All regions'!I2751+"$F;@!&amp;:s"</f>
        <v>#VALUE!</v>
      </c>
      <c r="EF100" t="e">
        <f>'All regions'!A2752+"$F;@!&amp;:t"</f>
        <v>#VALUE!</v>
      </c>
      <c r="EG100" t="e">
        <f>'All regions'!B2752+"$F;@!&amp;:u"</f>
        <v>#VALUE!</v>
      </c>
      <c r="EH100" t="e">
        <f>'All regions'!C2752+"$F;@!&amp;:v"</f>
        <v>#VALUE!</v>
      </c>
      <c r="EI100" t="e">
        <f>'All regions'!D2752+"$F;@!&amp;:w"</f>
        <v>#VALUE!</v>
      </c>
      <c r="EJ100" t="e">
        <f>'All regions'!E2752+"$F;@!&amp;:x"</f>
        <v>#VALUE!</v>
      </c>
      <c r="EK100" t="e">
        <f>'All regions'!F2752+"$F;@!&amp;:y"</f>
        <v>#VALUE!</v>
      </c>
      <c r="EL100" t="e">
        <f>'All regions'!G2752+"$F;@!&amp;:z"</f>
        <v>#VALUE!</v>
      </c>
      <c r="EM100" t="e">
        <f>'All regions'!H2752+"$F;@!&amp;:{"</f>
        <v>#VALUE!</v>
      </c>
      <c r="EN100" t="e">
        <f>'All regions'!I2752+"$F;@!&amp;:|"</f>
        <v>#VALUE!</v>
      </c>
      <c r="EO100" t="e">
        <f>'All regions'!A2753+"$F;@!&amp;:}"</f>
        <v>#VALUE!</v>
      </c>
      <c r="EP100" t="e">
        <f>'All regions'!B2753+"$F;@!&amp;:~"</f>
        <v>#VALUE!</v>
      </c>
      <c r="EQ100" t="e">
        <f>'All regions'!C2753+"$F;@!&amp;;#"</f>
        <v>#VALUE!</v>
      </c>
      <c r="ER100" t="e">
        <f>'All regions'!D2753+"$F;@!&amp;;$"</f>
        <v>#VALUE!</v>
      </c>
      <c r="ES100" t="e">
        <f>'All regions'!E2753+"$F;@!&amp;;%"</f>
        <v>#VALUE!</v>
      </c>
      <c r="ET100" t="e">
        <f>'All regions'!F2753+"$F;@!&amp;;&amp;"</f>
        <v>#VALUE!</v>
      </c>
      <c r="EU100" t="e">
        <f>'All regions'!G2753+"$F;@!&amp;;'"</f>
        <v>#VALUE!</v>
      </c>
      <c r="EV100" t="e">
        <f>'All regions'!H2753+"$F;@!&amp;;("</f>
        <v>#VALUE!</v>
      </c>
      <c r="EW100" t="e">
        <f>'All regions'!I2753+"$F;@!&amp;;)"</f>
        <v>#VALUE!</v>
      </c>
      <c r="EX100" t="e">
        <f>'All regions'!A2754+"$F;@!&amp;;."</f>
        <v>#VALUE!</v>
      </c>
      <c r="EY100" t="e">
        <f>'All regions'!B2754+"$F;@!&amp;;/"</f>
        <v>#VALUE!</v>
      </c>
      <c r="EZ100" t="e">
        <f>'All regions'!C2754+"$F;@!&amp;;0"</f>
        <v>#VALUE!</v>
      </c>
      <c r="FA100" t="e">
        <f>'All regions'!D2754+"$F;@!&amp;;1"</f>
        <v>#VALUE!</v>
      </c>
      <c r="FB100" t="e">
        <f>'All regions'!E2754+"$F;@!&amp;;2"</f>
        <v>#VALUE!</v>
      </c>
      <c r="FC100" t="e">
        <f>'All regions'!F2754+"$F;@!&amp;;3"</f>
        <v>#VALUE!</v>
      </c>
      <c r="FD100" t="e">
        <f>'All regions'!G2754+"$F;@!&amp;;4"</f>
        <v>#VALUE!</v>
      </c>
      <c r="FE100" t="e">
        <f>'All regions'!H2754+"$F;@!&amp;;5"</f>
        <v>#VALUE!</v>
      </c>
      <c r="FF100" t="e">
        <f>'All regions'!I2754+"$F;@!&amp;;6"</f>
        <v>#VALUE!</v>
      </c>
      <c r="FG100" t="e">
        <f>'All regions'!A2755+"$F;@!&amp;;7"</f>
        <v>#VALUE!</v>
      </c>
      <c r="FH100" t="e">
        <f>'All regions'!B2755+"$F;@!&amp;;8"</f>
        <v>#VALUE!</v>
      </c>
      <c r="FI100" t="e">
        <f>'All regions'!C2755+"$F;@!&amp;;9"</f>
        <v>#VALUE!</v>
      </c>
      <c r="FJ100" t="e">
        <f>'All regions'!D2755+"$F;@!&amp;;:"</f>
        <v>#VALUE!</v>
      </c>
      <c r="FK100" t="e">
        <f>'All regions'!E2755+"$F;@!&amp;;;"</f>
        <v>#VALUE!</v>
      </c>
      <c r="FL100" t="e">
        <f>'All regions'!F2755+"$F;@!&amp;;&lt;"</f>
        <v>#VALUE!</v>
      </c>
      <c r="FM100" t="e">
        <f>'All regions'!G2755+"$F;@!&amp;;="</f>
        <v>#VALUE!</v>
      </c>
      <c r="FN100" t="e">
        <f>'All regions'!H2755+"$F;@!&amp;;&gt;"</f>
        <v>#VALUE!</v>
      </c>
      <c r="FO100" t="e">
        <f>'All regions'!I2755+"$F;@!&amp;;?"</f>
        <v>#VALUE!</v>
      </c>
      <c r="FP100" t="e">
        <f>'All regions'!A2756+"$F;@!&amp;;@"</f>
        <v>#VALUE!</v>
      </c>
      <c r="FQ100" t="e">
        <f>'All regions'!B2756+"$F;@!&amp;;A"</f>
        <v>#VALUE!</v>
      </c>
      <c r="FR100" t="e">
        <f>'All regions'!C2756+"$F;@!&amp;;B"</f>
        <v>#VALUE!</v>
      </c>
      <c r="FS100" t="e">
        <f>'All regions'!D2756+"$F;@!&amp;;C"</f>
        <v>#VALUE!</v>
      </c>
      <c r="FT100" t="e">
        <f>'All regions'!E2756+"$F;@!&amp;;D"</f>
        <v>#VALUE!</v>
      </c>
      <c r="FU100" t="e">
        <f>'All regions'!F2756+"$F;@!&amp;;E"</f>
        <v>#VALUE!</v>
      </c>
      <c r="FV100" t="e">
        <f>'All regions'!G2756+"$F;@!&amp;;F"</f>
        <v>#VALUE!</v>
      </c>
      <c r="FW100" t="e">
        <f>'All regions'!H2756+"$F;@!&amp;;G"</f>
        <v>#VALUE!</v>
      </c>
      <c r="FX100" t="e">
        <f>'All regions'!I2756+"$F;@!&amp;;H"</f>
        <v>#VALUE!</v>
      </c>
      <c r="FY100" t="e">
        <f>'All regions'!A2757+"$F;@!&amp;;I"</f>
        <v>#VALUE!</v>
      </c>
      <c r="FZ100" t="e">
        <f>'All regions'!B2757+"$F;@!&amp;;J"</f>
        <v>#VALUE!</v>
      </c>
      <c r="GA100" t="e">
        <f>'All regions'!C2757+"$F;@!&amp;;K"</f>
        <v>#VALUE!</v>
      </c>
      <c r="GB100" t="e">
        <f>'All regions'!D2757+"$F;@!&amp;;L"</f>
        <v>#VALUE!</v>
      </c>
      <c r="GC100" t="e">
        <f>'All regions'!E2757+"$F;@!&amp;;M"</f>
        <v>#VALUE!</v>
      </c>
      <c r="GD100" t="e">
        <f>'All regions'!F2757+"$F;@!&amp;;N"</f>
        <v>#VALUE!</v>
      </c>
      <c r="GE100" t="e">
        <f>'All regions'!G2757+"$F;@!&amp;;O"</f>
        <v>#VALUE!</v>
      </c>
      <c r="GF100" t="e">
        <f>'All regions'!H2757+"$F;@!&amp;;P"</f>
        <v>#VALUE!</v>
      </c>
      <c r="GG100" t="e">
        <f>'All regions'!I2757+"$F;@!&amp;;Q"</f>
        <v>#VALUE!</v>
      </c>
      <c r="GH100" t="e">
        <f>'All regions'!A2758+"$F;@!&amp;;R"</f>
        <v>#VALUE!</v>
      </c>
      <c r="GI100" t="e">
        <f>'All regions'!B2758+"$F;@!&amp;;S"</f>
        <v>#VALUE!</v>
      </c>
      <c r="GJ100" t="e">
        <f>'All regions'!C2758+"$F;@!&amp;;T"</f>
        <v>#VALUE!</v>
      </c>
      <c r="GK100" t="e">
        <f>'All regions'!D2758+"$F;@!&amp;;U"</f>
        <v>#VALUE!</v>
      </c>
      <c r="GL100" t="e">
        <f>'All regions'!E2758+"$F;@!&amp;;V"</f>
        <v>#VALUE!</v>
      </c>
      <c r="GM100" t="e">
        <f>'All regions'!F2758+"$F;@!&amp;;W"</f>
        <v>#VALUE!</v>
      </c>
      <c r="GN100" t="e">
        <f>'All regions'!G2758+"$F;@!&amp;;X"</f>
        <v>#VALUE!</v>
      </c>
      <c r="GO100" t="e">
        <f>'All regions'!H2758+"$F;@!&amp;;Y"</f>
        <v>#VALUE!</v>
      </c>
      <c r="GP100" t="e">
        <f>'All regions'!I2758+"$F;@!&amp;;Z"</f>
        <v>#VALUE!</v>
      </c>
      <c r="GQ100" t="e">
        <f>'All regions'!A2759+"$F;@!&amp;;["</f>
        <v>#VALUE!</v>
      </c>
      <c r="GR100" t="e">
        <f>'All regions'!B2759+"$F;@!&amp;;\"</f>
        <v>#VALUE!</v>
      </c>
      <c r="GS100" t="e">
        <f>'All regions'!C2759+"$F;@!&amp;;]"</f>
        <v>#VALUE!</v>
      </c>
      <c r="GT100" t="e">
        <f>'All regions'!D2759+"$F;@!&amp;;^"</f>
        <v>#VALUE!</v>
      </c>
      <c r="GU100" t="e">
        <f>'All regions'!E2759+"$F;@!&amp;;_"</f>
        <v>#VALUE!</v>
      </c>
      <c r="GV100" t="e">
        <f>'All regions'!F2759+"$F;@!&amp;;`"</f>
        <v>#VALUE!</v>
      </c>
      <c r="GW100" t="e">
        <f>'All regions'!G2759+"$F;@!&amp;;a"</f>
        <v>#VALUE!</v>
      </c>
      <c r="GX100" t="e">
        <f>'All regions'!H2759+"$F;@!&amp;;b"</f>
        <v>#VALUE!</v>
      </c>
      <c r="GY100" t="e">
        <f>'All regions'!I2759+"$F;@!&amp;;c"</f>
        <v>#VALUE!</v>
      </c>
      <c r="GZ100" t="e">
        <f>'All regions'!A2760+"$F;@!&amp;;d"</f>
        <v>#VALUE!</v>
      </c>
      <c r="HA100" t="e">
        <f>'All regions'!B2760+"$F;@!&amp;;e"</f>
        <v>#VALUE!</v>
      </c>
      <c r="HB100" t="e">
        <f>'All regions'!C2760+"$F;@!&amp;;f"</f>
        <v>#VALUE!</v>
      </c>
      <c r="HC100" t="e">
        <f>'All regions'!D2760+"$F;@!&amp;;g"</f>
        <v>#VALUE!</v>
      </c>
      <c r="HD100" t="e">
        <f>'All regions'!E2760+"$F;@!&amp;;h"</f>
        <v>#VALUE!</v>
      </c>
      <c r="HE100" t="e">
        <f>'All regions'!F2760+"$F;@!&amp;;i"</f>
        <v>#VALUE!</v>
      </c>
      <c r="HF100" t="e">
        <f>'All regions'!G2760+"$F;@!&amp;;j"</f>
        <v>#VALUE!</v>
      </c>
      <c r="HG100" t="e">
        <f>'All regions'!H2760+"$F;@!&amp;;k"</f>
        <v>#VALUE!</v>
      </c>
      <c r="HH100" t="e">
        <f>'All regions'!I2760+"$F;@!&amp;;l"</f>
        <v>#VALUE!</v>
      </c>
      <c r="HI100" t="e">
        <f>'All regions'!A2761+"$F;@!&amp;;m"</f>
        <v>#VALUE!</v>
      </c>
      <c r="HJ100" t="e">
        <f>'All regions'!B2761+"$F;@!&amp;;n"</f>
        <v>#VALUE!</v>
      </c>
      <c r="HK100" t="e">
        <f>'All regions'!C2761+"$F;@!&amp;;o"</f>
        <v>#VALUE!</v>
      </c>
      <c r="HL100" t="e">
        <f>'All regions'!D2761+"$F;@!&amp;;p"</f>
        <v>#VALUE!</v>
      </c>
      <c r="HM100" t="e">
        <f>'All regions'!E2761+"$F;@!&amp;;q"</f>
        <v>#VALUE!</v>
      </c>
      <c r="HN100" t="e">
        <f>'All regions'!F2761+"$F;@!&amp;;r"</f>
        <v>#VALUE!</v>
      </c>
      <c r="HO100" t="e">
        <f>'All regions'!G2761+"$F;@!&amp;;s"</f>
        <v>#VALUE!</v>
      </c>
      <c r="HP100" t="e">
        <f>'All regions'!H2761+"$F;@!&amp;;t"</f>
        <v>#VALUE!</v>
      </c>
      <c r="HQ100" t="e">
        <f>'All regions'!I2761+"$F;@!&amp;;u"</f>
        <v>#VALUE!</v>
      </c>
      <c r="HR100" t="e">
        <f>'All regions'!A2762+"$F;@!&amp;;v"</f>
        <v>#VALUE!</v>
      </c>
      <c r="HS100" t="e">
        <f>'All regions'!B2762+"$F;@!&amp;;w"</f>
        <v>#VALUE!</v>
      </c>
      <c r="HT100" t="e">
        <f>'All regions'!C2762+"$F;@!&amp;;x"</f>
        <v>#VALUE!</v>
      </c>
      <c r="HU100" t="e">
        <f>'All regions'!D2762+"$F;@!&amp;;y"</f>
        <v>#VALUE!</v>
      </c>
      <c r="HV100" t="e">
        <f>'All regions'!E2762+"$F;@!&amp;;z"</f>
        <v>#VALUE!</v>
      </c>
      <c r="HW100" t="e">
        <f>'All regions'!F2762+"$F;@!&amp;;{"</f>
        <v>#VALUE!</v>
      </c>
      <c r="HX100" t="e">
        <f>'All regions'!G2762+"$F;@!&amp;;|"</f>
        <v>#VALUE!</v>
      </c>
      <c r="HY100" t="e">
        <f>'All regions'!H2762+"$F;@!&amp;;}"</f>
        <v>#VALUE!</v>
      </c>
      <c r="HZ100" t="e">
        <f>'All regions'!I2762+"$F;@!&amp;;~"</f>
        <v>#VALUE!</v>
      </c>
      <c r="IA100" t="e">
        <f>'All regions'!A2763+"$F;@!&amp;&lt;#"</f>
        <v>#VALUE!</v>
      </c>
      <c r="IB100" t="e">
        <f>'All regions'!B2763+"$F;@!&amp;&lt;$"</f>
        <v>#VALUE!</v>
      </c>
      <c r="IC100" t="e">
        <f>'All regions'!C2763+"$F;@!&amp;&lt;%"</f>
        <v>#VALUE!</v>
      </c>
      <c r="ID100" t="e">
        <f>'All regions'!D2763+"$F;@!&amp;&lt;&amp;"</f>
        <v>#VALUE!</v>
      </c>
      <c r="IE100" t="e">
        <f>'All regions'!E2763+"$F;@!&amp;&lt;'"</f>
        <v>#VALUE!</v>
      </c>
      <c r="IF100" t="e">
        <f>'All regions'!F2763+"$F;@!&amp;&lt;("</f>
        <v>#VALUE!</v>
      </c>
      <c r="IG100" t="e">
        <f>'All regions'!G2763+"$F;@!&amp;&lt;)"</f>
        <v>#VALUE!</v>
      </c>
      <c r="IH100" t="e">
        <f>'All regions'!H2763+"$F;@!&amp;&lt;."</f>
        <v>#VALUE!</v>
      </c>
      <c r="II100" t="e">
        <f>'All regions'!I2763+"$F;@!&amp;&lt;/"</f>
        <v>#VALUE!</v>
      </c>
      <c r="IJ100" t="e">
        <f>'All regions'!A2764+"$F;@!&amp;&lt;0"</f>
        <v>#VALUE!</v>
      </c>
      <c r="IK100" t="e">
        <f>'All regions'!B2764+"$F;@!&amp;&lt;1"</f>
        <v>#VALUE!</v>
      </c>
      <c r="IL100" t="e">
        <f>'All regions'!C2764+"$F;@!&amp;&lt;2"</f>
        <v>#VALUE!</v>
      </c>
      <c r="IM100" t="e">
        <f>'All regions'!D2764+"$F;@!&amp;&lt;3"</f>
        <v>#VALUE!</v>
      </c>
      <c r="IN100" t="e">
        <f>'All regions'!E2764+"$F;@!&amp;&lt;4"</f>
        <v>#VALUE!</v>
      </c>
      <c r="IO100" t="e">
        <f>'All regions'!F2764+"$F;@!&amp;&lt;5"</f>
        <v>#VALUE!</v>
      </c>
      <c r="IP100" t="e">
        <f>'All regions'!G2764+"$F;@!&amp;&lt;6"</f>
        <v>#VALUE!</v>
      </c>
      <c r="IQ100" t="e">
        <f>'All regions'!H2764+"$F;@!&amp;&lt;7"</f>
        <v>#VALUE!</v>
      </c>
      <c r="IR100" t="e">
        <f>'All regions'!I2764+"$F;@!&amp;&lt;8"</f>
        <v>#VALUE!</v>
      </c>
      <c r="IS100" t="e">
        <f>'All regions'!A2765+"$F;@!&amp;&lt;9"</f>
        <v>#VALUE!</v>
      </c>
      <c r="IT100" t="e">
        <f>'All regions'!B2765+"$F;@!&amp;&lt;:"</f>
        <v>#VALUE!</v>
      </c>
      <c r="IU100" t="e">
        <f>'All regions'!C2765+"$F;@!&amp;&lt;;"</f>
        <v>#VALUE!</v>
      </c>
      <c r="IV100" t="e">
        <f>'All regions'!D2765+"$F;@!&amp;&lt;&lt;"</f>
        <v>#VALUE!</v>
      </c>
    </row>
    <row r="101" spans="6:256" x14ac:dyDescent="0.35">
      <c r="F101" t="e">
        <f>'All regions'!E2765+"$F;@!&amp;&lt;="</f>
        <v>#VALUE!</v>
      </c>
      <c r="G101" t="e">
        <f>'All regions'!F2765+"$F;@!&amp;&lt;&gt;"</f>
        <v>#VALUE!</v>
      </c>
      <c r="H101" t="e">
        <f>'All regions'!G2765+"$F;@!&amp;&lt;?"</f>
        <v>#VALUE!</v>
      </c>
      <c r="I101" t="e">
        <f>'All regions'!H2765+"$F;@!&amp;&lt;@"</f>
        <v>#VALUE!</v>
      </c>
      <c r="J101" t="e">
        <f>'All regions'!I2765+"$F;@!&amp;&lt;A"</f>
        <v>#VALUE!</v>
      </c>
      <c r="K101" t="e">
        <f>'All regions'!A2766+"$F;@!&amp;&lt;B"</f>
        <v>#VALUE!</v>
      </c>
      <c r="L101" t="e">
        <f>'All regions'!B2766+"$F;@!&amp;&lt;C"</f>
        <v>#VALUE!</v>
      </c>
      <c r="M101" t="e">
        <f>'All regions'!C2766+"$F;@!&amp;&lt;D"</f>
        <v>#VALUE!</v>
      </c>
      <c r="N101" t="e">
        <f>'All regions'!D2766+"$F;@!&amp;&lt;E"</f>
        <v>#VALUE!</v>
      </c>
      <c r="O101" t="e">
        <f>'All regions'!E2766+"$F;@!&amp;&lt;F"</f>
        <v>#VALUE!</v>
      </c>
      <c r="P101" t="e">
        <f>'All regions'!F2766+"$F;@!&amp;&lt;G"</f>
        <v>#VALUE!</v>
      </c>
      <c r="Q101" t="e">
        <f>'All regions'!G2766+"$F;@!&amp;&lt;H"</f>
        <v>#VALUE!</v>
      </c>
      <c r="R101" t="e">
        <f>'All regions'!H2766+"$F;@!&amp;&lt;I"</f>
        <v>#VALUE!</v>
      </c>
      <c r="S101" t="e">
        <f>'All regions'!I2766+"$F;@!&amp;&lt;J"</f>
        <v>#VALUE!</v>
      </c>
      <c r="T101" t="e">
        <f>'All regions'!A2767+"$F;@!&amp;&lt;K"</f>
        <v>#VALUE!</v>
      </c>
      <c r="U101" t="e">
        <f>'All regions'!B2767+"$F;@!&amp;&lt;L"</f>
        <v>#VALUE!</v>
      </c>
      <c r="V101" t="e">
        <f>'All regions'!C2767+"$F;@!&amp;&lt;M"</f>
        <v>#VALUE!</v>
      </c>
      <c r="W101" t="e">
        <f>'All regions'!D2767+"$F;@!&amp;&lt;N"</f>
        <v>#VALUE!</v>
      </c>
      <c r="X101" t="e">
        <f>'All regions'!E2767+"$F;@!&amp;&lt;O"</f>
        <v>#VALUE!</v>
      </c>
      <c r="Y101" t="e">
        <f>'All regions'!F2767+"$F;@!&amp;&lt;P"</f>
        <v>#VALUE!</v>
      </c>
      <c r="Z101" t="e">
        <f>'All regions'!G2767+"$F;@!&amp;&lt;Q"</f>
        <v>#VALUE!</v>
      </c>
      <c r="AA101" t="e">
        <f>'All regions'!H2767+"$F;@!&amp;&lt;R"</f>
        <v>#VALUE!</v>
      </c>
      <c r="AB101" t="e">
        <f>'All regions'!I2767+"$F;@!&amp;&lt;S"</f>
        <v>#VALUE!</v>
      </c>
      <c r="AC101" t="e">
        <f>'All regions'!A2768+"$F;@!&amp;&lt;T"</f>
        <v>#VALUE!</v>
      </c>
      <c r="AD101" t="e">
        <f>'All regions'!B2768+"$F;@!&amp;&lt;U"</f>
        <v>#VALUE!</v>
      </c>
      <c r="AE101" t="e">
        <f>'All regions'!C2768+"$F;@!&amp;&lt;V"</f>
        <v>#VALUE!</v>
      </c>
      <c r="AF101" t="e">
        <f>'All regions'!D2768+"$F;@!&amp;&lt;W"</f>
        <v>#VALUE!</v>
      </c>
      <c r="AG101" t="e">
        <f>'All regions'!E2768+"$F;@!&amp;&lt;X"</f>
        <v>#VALUE!</v>
      </c>
      <c r="AH101" t="e">
        <f>'All regions'!F2768+"$F;@!&amp;&lt;Y"</f>
        <v>#VALUE!</v>
      </c>
      <c r="AI101" t="e">
        <f>'All regions'!G2768+"$F;@!&amp;&lt;Z"</f>
        <v>#VALUE!</v>
      </c>
      <c r="AJ101" t="e">
        <f>'All regions'!H2768+"$F;@!&amp;&lt;["</f>
        <v>#VALUE!</v>
      </c>
      <c r="AK101" t="e">
        <f>'All regions'!I2768+"$F;@!&amp;&lt;\"</f>
        <v>#VALUE!</v>
      </c>
      <c r="AL101" t="e">
        <f>'All regions'!A2769+"$F;@!&amp;&lt;]"</f>
        <v>#VALUE!</v>
      </c>
      <c r="AM101" t="e">
        <f>'All regions'!B2769+"$F;@!&amp;&lt;^"</f>
        <v>#VALUE!</v>
      </c>
      <c r="AN101" t="e">
        <f>'All regions'!C2769+"$F;@!&amp;&lt;_"</f>
        <v>#VALUE!</v>
      </c>
      <c r="AO101" t="e">
        <f>'All regions'!D2769+"$F;@!&amp;&lt;`"</f>
        <v>#VALUE!</v>
      </c>
      <c r="AP101" t="e">
        <f>'All regions'!E2769+"$F;@!&amp;&lt;a"</f>
        <v>#VALUE!</v>
      </c>
      <c r="AQ101" t="e">
        <f>'All regions'!F2769+"$F;@!&amp;&lt;b"</f>
        <v>#VALUE!</v>
      </c>
      <c r="AR101" t="e">
        <f>'All regions'!G2769+"$F;@!&amp;&lt;c"</f>
        <v>#VALUE!</v>
      </c>
      <c r="AS101" t="e">
        <f>'All regions'!H2769+"$F;@!&amp;&lt;d"</f>
        <v>#VALUE!</v>
      </c>
      <c r="AT101" t="e">
        <f>'All regions'!I2769+"$F;@!&amp;&lt;e"</f>
        <v>#VALUE!</v>
      </c>
      <c r="AU101" t="e">
        <f>'All regions'!A2770+"$F;@!&amp;&lt;f"</f>
        <v>#VALUE!</v>
      </c>
      <c r="AV101" t="e">
        <f>'All regions'!B2770+"$F;@!&amp;&lt;g"</f>
        <v>#VALUE!</v>
      </c>
      <c r="AW101" t="e">
        <f>'All regions'!C2770+"$F;@!&amp;&lt;h"</f>
        <v>#VALUE!</v>
      </c>
      <c r="AX101" t="e">
        <f>'All regions'!D2770+"$F;@!&amp;&lt;i"</f>
        <v>#VALUE!</v>
      </c>
      <c r="AY101" t="e">
        <f>'All regions'!E2770+"$F;@!&amp;&lt;j"</f>
        <v>#VALUE!</v>
      </c>
      <c r="AZ101" t="e">
        <f>'All regions'!F2770+"$F;@!&amp;&lt;k"</f>
        <v>#VALUE!</v>
      </c>
      <c r="BA101" t="e">
        <f>'All regions'!G2770+"$F;@!&amp;&lt;l"</f>
        <v>#VALUE!</v>
      </c>
      <c r="BB101" t="e">
        <f>'All regions'!H2770+"$F;@!&amp;&lt;m"</f>
        <v>#VALUE!</v>
      </c>
      <c r="BC101" t="e">
        <f>'All regions'!I2770+"$F;@!&amp;&lt;n"</f>
        <v>#VALUE!</v>
      </c>
      <c r="BD101" t="e">
        <f>'All regions'!A2771+"$F;@!&amp;&lt;o"</f>
        <v>#VALUE!</v>
      </c>
      <c r="BE101" t="e">
        <f>'All regions'!B2771+"$F;@!&amp;&lt;p"</f>
        <v>#VALUE!</v>
      </c>
      <c r="BF101" t="e">
        <f>'All regions'!C2771+"$F;@!&amp;&lt;q"</f>
        <v>#VALUE!</v>
      </c>
      <c r="BG101" t="e">
        <f>'All regions'!D2771+"$F;@!&amp;&lt;r"</f>
        <v>#VALUE!</v>
      </c>
      <c r="BH101" t="e">
        <f>'All regions'!E2771+"$F;@!&amp;&lt;s"</f>
        <v>#VALUE!</v>
      </c>
      <c r="BI101" t="e">
        <f>'All regions'!F2771+"$F;@!&amp;&lt;t"</f>
        <v>#VALUE!</v>
      </c>
      <c r="BJ101" t="e">
        <f>'All regions'!G2771+"$F;@!&amp;&lt;u"</f>
        <v>#VALUE!</v>
      </c>
      <c r="BK101" t="e">
        <f>'All regions'!H2771+"$F;@!&amp;&lt;v"</f>
        <v>#VALUE!</v>
      </c>
      <c r="BL101" t="e">
        <f>'All regions'!I2771+"$F;@!&amp;&lt;w"</f>
        <v>#VALUE!</v>
      </c>
      <c r="BM101" t="e">
        <f>'All regions'!A2772+"$F;@!&amp;&lt;x"</f>
        <v>#VALUE!</v>
      </c>
      <c r="BN101" t="e">
        <f>'All regions'!B2772+"$F;@!&amp;&lt;y"</f>
        <v>#VALUE!</v>
      </c>
      <c r="BO101" t="e">
        <f>'All regions'!C2772+"$F;@!&amp;&lt;z"</f>
        <v>#VALUE!</v>
      </c>
      <c r="BP101" t="e">
        <f>'All regions'!D2772+"$F;@!&amp;&lt;{"</f>
        <v>#VALUE!</v>
      </c>
      <c r="BQ101" t="e">
        <f>'All regions'!E2772+"$F;@!&amp;&lt;|"</f>
        <v>#VALUE!</v>
      </c>
      <c r="BR101" t="e">
        <f>'All regions'!F2772+"$F;@!&amp;&lt;}"</f>
        <v>#VALUE!</v>
      </c>
      <c r="BS101" t="e">
        <f>'All regions'!G2772+"$F;@!&amp;&lt;~"</f>
        <v>#VALUE!</v>
      </c>
      <c r="BT101" t="e">
        <f>'All regions'!H2772+"$F;@!&amp;=#"</f>
        <v>#VALUE!</v>
      </c>
      <c r="BU101" t="e">
        <f>'All regions'!I2772+"$F;@!&amp;=$"</f>
        <v>#VALUE!</v>
      </c>
      <c r="BV101" t="e">
        <f>'All regions'!A2773+"$F;@!&amp;=%"</f>
        <v>#VALUE!</v>
      </c>
      <c r="BW101" t="e">
        <f>'All regions'!B2773+"$F;@!&amp;=&amp;"</f>
        <v>#VALUE!</v>
      </c>
      <c r="BX101" t="e">
        <f>'All regions'!C2773+"$F;@!&amp;='"</f>
        <v>#VALUE!</v>
      </c>
      <c r="BY101" t="e">
        <f>'All regions'!D2773+"$F;@!&amp;=("</f>
        <v>#VALUE!</v>
      </c>
      <c r="BZ101" t="e">
        <f>'All regions'!E2773+"$F;@!&amp;=)"</f>
        <v>#VALUE!</v>
      </c>
      <c r="CA101" t="e">
        <f>'All regions'!F2773+"$F;@!&amp;=."</f>
        <v>#VALUE!</v>
      </c>
      <c r="CB101" t="e">
        <f>'All regions'!G2773+"$F;@!&amp;=/"</f>
        <v>#VALUE!</v>
      </c>
      <c r="CC101" t="e">
        <f>'All regions'!H2773+"$F;@!&amp;=0"</f>
        <v>#VALUE!</v>
      </c>
      <c r="CD101" t="e">
        <f>'All regions'!I2773+"$F;@!&amp;=1"</f>
        <v>#VALUE!</v>
      </c>
      <c r="CE101" t="e">
        <f>'All regions'!A2774+"$F;@!&amp;=2"</f>
        <v>#VALUE!</v>
      </c>
      <c r="CF101" t="e">
        <f>'All regions'!B2774+"$F;@!&amp;=3"</f>
        <v>#VALUE!</v>
      </c>
      <c r="CG101" t="e">
        <f>'All regions'!C2774+"$F;@!&amp;=4"</f>
        <v>#VALUE!</v>
      </c>
      <c r="CH101" t="e">
        <f>'All regions'!D2774+"$F;@!&amp;=5"</f>
        <v>#VALUE!</v>
      </c>
      <c r="CI101" t="e">
        <f>'All regions'!E2774+"$F;@!&amp;=6"</f>
        <v>#VALUE!</v>
      </c>
      <c r="CJ101" t="e">
        <f>'All regions'!F2774+"$F;@!&amp;=7"</f>
        <v>#VALUE!</v>
      </c>
      <c r="CK101" t="e">
        <f>'All regions'!G2774+"$F;@!&amp;=8"</f>
        <v>#VALUE!</v>
      </c>
      <c r="CL101" t="e">
        <f>'All regions'!H2774+"$F;@!&amp;=9"</f>
        <v>#VALUE!</v>
      </c>
      <c r="CM101" t="e">
        <f>'All regions'!I2774+"$F;@!&amp;=:"</f>
        <v>#VALUE!</v>
      </c>
      <c r="CN101" t="e">
        <f>'All regions'!A2775+"$F;@!&amp;=;"</f>
        <v>#VALUE!</v>
      </c>
      <c r="CO101" t="e">
        <f>'All regions'!B2775+"$F;@!&amp;=&lt;"</f>
        <v>#VALUE!</v>
      </c>
      <c r="CP101" t="e">
        <f>'All regions'!C2775+"$F;@!&amp;=="</f>
        <v>#VALUE!</v>
      </c>
      <c r="CQ101" t="e">
        <f>'All regions'!D2775+"$F;@!&amp;=&gt;"</f>
        <v>#VALUE!</v>
      </c>
      <c r="CR101" t="e">
        <f>'All regions'!E2775+"$F;@!&amp;=?"</f>
        <v>#VALUE!</v>
      </c>
      <c r="CS101" t="e">
        <f>'All regions'!F2775+"$F;@!&amp;=@"</f>
        <v>#VALUE!</v>
      </c>
      <c r="CT101" t="e">
        <f>'All regions'!G2775+"$F;@!&amp;=A"</f>
        <v>#VALUE!</v>
      </c>
      <c r="CU101" t="e">
        <f>'All regions'!H2775+"$F;@!&amp;=B"</f>
        <v>#VALUE!</v>
      </c>
      <c r="CV101" t="e">
        <f>'All regions'!I2775+"$F;@!&amp;=C"</f>
        <v>#VALUE!</v>
      </c>
      <c r="CW101" t="e">
        <f>'All regions'!A2776+"$F;@!&amp;=D"</f>
        <v>#VALUE!</v>
      </c>
      <c r="CX101" t="e">
        <f>'All regions'!B2776+"$F;@!&amp;=E"</f>
        <v>#VALUE!</v>
      </c>
      <c r="CY101" t="e">
        <f>'All regions'!C2776+"$F;@!&amp;=F"</f>
        <v>#VALUE!</v>
      </c>
      <c r="CZ101" t="e">
        <f>'All regions'!D2776+"$F;@!&amp;=G"</f>
        <v>#VALUE!</v>
      </c>
      <c r="DA101" t="e">
        <f>'All regions'!E2776+"$F;@!&amp;=H"</f>
        <v>#VALUE!</v>
      </c>
      <c r="DB101" t="e">
        <f>'All regions'!F2776+"$F;@!&amp;=I"</f>
        <v>#VALUE!</v>
      </c>
      <c r="DC101" t="e">
        <f>'All regions'!G2776+"$F;@!&amp;=J"</f>
        <v>#VALUE!</v>
      </c>
      <c r="DD101" t="e">
        <f>'All regions'!H2776+"$F;@!&amp;=K"</f>
        <v>#VALUE!</v>
      </c>
      <c r="DE101" t="e">
        <f>'All regions'!I2776+"$F;@!&amp;=L"</f>
        <v>#VALUE!</v>
      </c>
      <c r="DF101" t="e">
        <f>'All regions'!A2777+"$F;@!&amp;=M"</f>
        <v>#VALUE!</v>
      </c>
      <c r="DG101" t="e">
        <f>'All regions'!B2777+"$F;@!&amp;=N"</f>
        <v>#VALUE!</v>
      </c>
      <c r="DH101" t="e">
        <f>'All regions'!C2777+"$F;@!&amp;=O"</f>
        <v>#VALUE!</v>
      </c>
      <c r="DI101" t="e">
        <f>'All regions'!D2777+"$F;@!&amp;=P"</f>
        <v>#VALUE!</v>
      </c>
      <c r="DJ101" t="e">
        <f>'All regions'!E2777+"$F;@!&amp;=Q"</f>
        <v>#VALUE!</v>
      </c>
      <c r="DK101" t="e">
        <f>'All regions'!F2777+"$F;@!&amp;=R"</f>
        <v>#VALUE!</v>
      </c>
      <c r="DL101" t="e">
        <f>'All regions'!G2777+"$F;@!&amp;=S"</f>
        <v>#VALUE!</v>
      </c>
      <c r="DM101" t="e">
        <f>'All regions'!H2777+"$F;@!&amp;=T"</f>
        <v>#VALUE!</v>
      </c>
      <c r="DN101" t="e">
        <f>'All regions'!I2777+"$F;@!&amp;=U"</f>
        <v>#VALUE!</v>
      </c>
      <c r="DO101" t="e">
        <f>'All regions'!A2778+"$F;@!&amp;=V"</f>
        <v>#VALUE!</v>
      </c>
      <c r="DP101" t="e">
        <f>'All regions'!B2778+"$F;@!&amp;=W"</f>
        <v>#VALUE!</v>
      </c>
      <c r="DQ101" t="e">
        <f>'All regions'!C2778+"$F;@!&amp;=X"</f>
        <v>#VALUE!</v>
      </c>
      <c r="DR101" t="e">
        <f>'All regions'!D2778+"$F;@!&amp;=Y"</f>
        <v>#VALUE!</v>
      </c>
      <c r="DS101" t="e">
        <f>'All regions'!E2778+"$F;@!&amp;=Z"</f>
        <v>#VALUE!</v>
      </c>
      <c r="DT101" t="e">
        <f>'All regions'!F2778+"$F;@!&amp;=["</f>
        <v>#VALUE!</v>
      </c>
      <c r="DU101" t="e">
        <f>'All regions'!G2778+"$F;@!&amp;=\"</f>
        <v>#VALUE!</v>
      </c>
      <c r="DV101" t="e">
        <f>'All regions'!H2778+"$F;@!&amp;=]"</f>
        <v>#VALUE!</v>
      </c>
      <c r="DW101" t="e">
        <f>'All regions'!I2778+"$F;@!&amp;=^"</f>
        <v>#VALUE!</v>
      </c>
      <c r="DX101" t="e">
        <f>'All regions'!A2779+"$F;@!&amp;=_"</f>
        <v>#VALUE!</v>
      </c>
      <c r="DY101" t="e">
        <f>'All regions'!B2779+"$F;@!&amp;=`"</f>
        <v>#VALUE!</v>
      </c>
      <c r="DZ101" t="e">
        <f>'All regions'!C2779+"$F;@!&amp;=a"</f>
        <v>#VALUE!</v>
      </c>
      <c r="EA101" t="e">
        <f>'All regions'!D2779+"$F;@!&amp;=b"</f>
        <v>#VALUE!</v>
      </c>
      <c r="EB101" t="e">
        <f>'All regions'!E2779+"$F;@!&amp;=c"</f>
        <v>#VALUE!</v>
      </c>
      <c r="EC101" t="e">
        <f>'All regions'!F2779+"$F;@!&amp;=d"</f>
        <v>#VALUE!</v>
      </c>
      <c r="ED101" t="e">
        <f>'All regions'!G2779+"$F;@!&amp;=e"</f>
        <v>#VALUE!</v>
      </c>
      <c r="EE101" t="e">
        <f>'All regions'!H2779+"$F;@!&amp;=f"</f>
        <v>#VALUE!</v>
      </c>
      <c r="EF101" t="e">
        <f>'All regions'!I2779+"$F;@!&amp;=g"</f>
        <v>#VALUE!</v>
      </c>
      <c r="EG101" t="e">
        <f>'All regions'!A2780+"$F;@!&amp;=h"</f>
        <v>#VALUE!</v>
      </c>
      <c r="EH101" t="e">
        <f>'All regions'!B2780+"$F;@!&amp;=i"</f>
        <v>#VALUE!</v>
      </c>
      <c r="EI101" t="e">
        <f>'All regions'!C2780+"$F;@!&amp;=j"</f>
        <v>#VALUE!</v>
      </c>
      <c r="EJ101" t="e">
        <f>'All regions'!D2780+"$F;@!&amp;=k"</f>
        <v>#VALUE!</v>
      </c>
      <c r="EK101" t="e">
        <f>'All regions'!E2780+"$F;@!&amp;=l"</f>
        <v>#VALUE!</v>
      </c>
      <c r="EL101" t="e">
        <f>'All regions'!F2780+"$F;@!&amp;=m"</f>
        <v>#VALUE!</v>
      </c>
      <c r="EM101" t="e">
        <f>'All regions'!G2780+"$F;@!&amp;=n"</f>
        <v>#VALUE!</v>
      </c>
      <c r="EN101" t="e">
        <f>'All regions'!H2780+"$F;@!&amp;=o"</f>
        <v>#VALUE!</v>
      </c>
      <c r="EO101" t="e">
        <f>'All regions'!I2780+"$F;@!&amp;=p"</f>
        <v>#VALUE!</v>
      </c>
      <c r="EP101" t="e">
        <f>'All regions'!A2781+"$F;@!&amp;=q"</f>
        <v>#VALUE!</v>
      </c>
      <c r="EQ101" t="e">
        <f>'All regions'!B2781+"$F;@!&amp;=r"</f>
        <v>#VALUE!</v>
      </c>
      <c r="ER101" t="e">
        <f>'All regions'!C2781+"$F;@!&amp;=s"</f>
        <v>#VALUE!</v>
      </c>
      <c r="ES101" t="e">
        <f>'All regions'!D2781+"$F;@!&amp;=t"</f>
        <v>#VALUE!</v>
      </c>
      <c r="ET101" t="e">
        <f>'All regions'!E2781+"$F;@!&amp;=u"</f>
        <v>#VALUE!</v>
      </c>
      <c r="EU101" t="e">
        <f>'All regions'!F2781+"$F;@!&amp;=v"</f>
        <v>#VALUE!</v>
      </c>
      <c r="EV101" t="e">
        <f>'All regions'!G2781+"$F;@!&amp;=w"</f>
        <v>#VALUE!</v>
      </c>
      <c r="EW101" t="e">
        <f>'All regions'!H2781+"$F;@!&amp;=x"</f>
        <v>#VALUE!</v>
      </c>
      <c r="EX101" t="e">
        <f>'All regions'!I2781+"$F;@!&amp;=y"</f>
        <v>#VALUE!</v>
      </c>
      <c r="EY101" t="e">
        <f>'All regions'!A2782+"$F;@!&amp;=z"</f>
        <v>#VALUE!</v>
      </c>
      <c r="EZ101" t="e">
        <f>'All regions'!B2782+"$F;@!&amp;={"</f>
        <v>#VALUE!</v>
      </c>
      <c r="FA101" t="e">
        <f>'All regions'!C2782+"$F;@!&amp;=|"</f>
        <v>#VALUE!</v>
      </c>
      <c r="FB101" t="e">
        <f>'All regions'!D2782+"$F;@!&amp;=}"</f>
        <v>#VALUE!</v>
      </c>
      <c r="FC101" t="e">
        <f>'All regions'!E2782+"$F;@!&amp;=~"</f>
        <v>#VALUE!</v>
      </c>
      <c r="FD101" t="e">
        <f>'All regions'!F2782+"$F;@!&amp;&gt;#"</f>
        <v>#VALUE!</v>
      </c>
      <c r="FE101" t="e">
        <f>'All regions'!G2782+"$F;@!&amp;&gt;$"</f>
        <v>#VALUE!</v>
      </c>
      <c r="FF101" t="e">
        <f>'All regions'!H2782+"$F;@!&amp;&gt;%"</f>
        <v>#VALUE!</v>
      </c>
      <c r="FG101" t="e">
        <f>'All regions'!I2782+"$F;@!&amp;&gt;&amp;"</f>
        <v>#VALUE!</v>
      </c>
      <c r="FH101" t="e">
        <f>'All regions'!A2783+"$F;@!&amp;&gt;'"</f>
        <v>#VALUE!</v>
      </c>
      <c r="FI101" t="e">
        <f>'All regions'!B2783+"$F;@!&amp;&gt;("</f>
        <v>#VALUE!</v>
      </c>
      <c r="FJ101" t="e">
        <f>'All regions'!C2783+"$F;@!&amp;&gt;)"</f>
        <v>#VALUE!</v>
      </c>
      <c r="FK101" t="e">
        <f>'All regions'!D2783+"$F;@!&amp;&gt;."</f>
        <v>#VALUE!</v>
      </c>
      <c r="FL101" t="e">
        <f>'All regions'!E2783+"$F;@!&amp;&gt;/"</f>
        <v>#VALUE!</v>
      </c>
      <c r="FM101" t="e">
        <f>'All regions'!F2783+"$F;@!&amp;&gt;0"</f>
        <v>#VALUE!</v>
      </c>
      <c r="FN101" t="e">
        <f>'All regions'!G2783+"$F;@!&amp;&gt;1"</f>
        <v>#VALUE!</v>
      </c>
      <c r="FO101" t="e">
        <f>'All regions'!H2783+"$F;@!&amp;&gt;2"</f>
        <v>#VALUE!</v>
      </c>
      <c r="FP101" t="e">
        <f>'All regions'!I2783+"$F;@!&amp;&gt;3"</f>
        <v>#VALUE!</v>
      </c>
      <c r="FQ101" t="e">
        <f>'All regions'!A2784+"$F;@!&amp;&gt;4"</f>
        <v>#VALUE!</v>
      </c>
      <c r="FR101" t="e">
        <f>'All regions'!B2784+"$F;@!&amp;&gt;5"</f>
        <v>#VALUE!</v>
      </c>
      <c r="FS101" t="e">
        <f>'All regions'!C2784+"$F;@!&amp;&gt;6"</f>
        <v>#VALUE!</v>
      </c>
      <c r="FT101" t="e">
        <f>'All regions'!D2784+"$F;@!&amp;&gt;7"</f>
        <v>#VALUE!</v>
      </c>
      <c r="FU101" t="e">
        <f>'All regions'!E2784+"$F;@!&amp;&gt;8"</f>
        <v>#VALUE!</v>
      </c>
      <c r="FV101" t="e">
        <f>'All regions'!F2784+"$F;@!&amp;&gt;9"</f>
        <v>#VALUE!</v>
      </c>
      <c r="FW101" t="e">
        <f>'All regions'!G2784+"$F;@!&amp;&gt;:"</f>
        <v>#VALUE!</v>
      </c>
      <c r="FX101" t="e">
        <f>'All regions'!H2784+"$F;@!&amp;&gt;;"</f>
        <v>#VALUE!</v>
      </c>
      <c r="FY101" t="e">
        <f>'All regions'!I2784+"$F;@!&amp;&gt;&lt;"</f>
        <v>#VALUE!</v>
      </c>
      <c r="FZ101" t="e">
        <f>'All regions'!A2785+"$F;@!&amp;&gt;="</f>
        <v>#VALUE!</v>
      </c>
      <c r="GA101" t="e">
        <f>'All regions'!B2785+"$F;@!&amp;&gt;&gt;"</f>
        <v>#VALUE!</v>
      </c>
      <c r="GB101" t="e">
        <f>'All regions'!C2785+"$F;@!&amp;&gt;?"</f>
        <v>#VALUE!</v>
      </c>
      <c r="GC101" t="e">
        <f>'All regions'!D2785+"$F;@!&amp;&gt;@"</f>
        <v>#VALUE!</v>
      </c>
      <c r="GD101" t="e">
        <f>'All regions'!E2785+"$F;@!&amp;&gt;A"</f>
        <v>#VALUE!</v>
      </c>
      <c r="GE101" t="e">
        <f>'All regions'!F2785+"$F;@!&amp;&gt;B"</f>
        <v>#VALUE!</v>
      </c>
      <c r="GF101" t="e">
        <f>'All regions'!G2785+"$F;@!&amp;&gt;C"</f>
        <v>#VALUE!</v>
      </c>
      <c r="GG101" t="e">
        <f>'All regions'!H2785+"$F;@!&amp;&gt;D"</f>
        <v>#VALUE!</v>
      </c>
      <c r="GH101" t="e">
        <f>'All regions'!I2785+"$F;@!&amp;&gt;E"</f>
        <v>#VALUE!</v>
      </c>
      <c r="GI101" t="e">
        <f>'All regions'!A2787+"$F;@!&amp;&gt;F"</f>
        <v>#VALUE!</v>
      </c>
      <c r="GJ101" t="e">
        <f>'All regions'!B2787+"$F;@!&amp;&gt;G"</f>
        <v>#VALUE!</v>
      </c>
      <c r="GK101" t="e">
        <f>'All regions'!C2787+"$F;@!&amp;&gt;H"</f>
        <v>#VALUE!</v>
      </c>
      <c r="GL101" t="e">
        <f>'All regions'!D2787+"$F;@!&amp;&gt;I"</f>
        <v>#VALUE!</v>
      </c>
      <c r="GM101" t="e">
        <f>'All regions'!E2787+"$F;@!&amp;&gt;J"</f>
        <v>#VALUE!</v>
      </c>
      <c r="GN101" t="e">
        <f>'All regions'!F2787+"$F;@!&amp;&gt;K"</f>
        <v>#VALUE!</v>
      </c>
      <c r="GO101" t="e">
        <f>'All regions'!G2787+"$F;@!&amp;&gt;L"</f>
        <v>#VALUE!</v>
      </c>
      <c r="GP101" t="e">
        <f>'All regions'!H2787+"$F;@!&amp;&gt;M"</f>
        <v>#VALUE!</v>
      </c>
      <c r="GQ101" t="e">
        <f>'All regions'!I2787+"$F;@!&amp;&gt;N"</f>
        <v>#VALUE!</v>
      </c>
      <c r="GR101" t="e">
        <f>'All regions'!A2788+"$F;@!&amp;&gt;O"</f>
        <v>#VALUE!</v>
      </c>
      <c r="GS101" t="e">
        <f>'All regions'!B2788+"$F;@!&amp;&gt;P"</f>
        <v>#VALUE!</v>
      </c>
      <c r="GT101" t="e">
        <f>'All regions'!C2788+"$F;@!&amp;&gt;Q"</f>
        <v>#VALUE!</v>
      </c>
      <c r="GU101" t="e">
        <f>'All regions'!D2788+"$F;@!&amp;&gt;R"</f>
        <v>#VALUE!</v>
      </c>
      <c r="GV101" t="e">
        <f>'All regions'!E2788+"$F;@!&amp;&gt;S"</f>
        <v>#VALUE!</v>
      </c>
      <c r="GW101" t="e">
        <f>'All regions'!F2788+"$F;@!&amp;&gt;T"</f>
        <v>#VALUE!</v>
      </c>
      <c r="GX101" t="e">
        <f>'All regions'!G2788+"$F;@!&amp;&gt;U"</f>
        <v>#VALUE!</v>
      </c>
      <c r="GY101" t="e">
        <f>'All regions'!H2788+"$F;@!&amp;&gt;V"</f>
        <v>#VALUE!</v>
      </c>
      <c r="GZ101" t="e">
        <f>'All regions'!A2789+"$F;@!&amp;&gt;W"</f>
        <v>#VALUE!</v>
      </c>
      <c r="HA101" t="e">
        <f>'All regions'!B2789+"$F;@!&amp;&gt;X"</f>
        <v>#VALUE!</v>
      </c>
      <c r="HB101" t="e">
        <f>'All regions'!C2789+"$F;@!&amp;&gt;Y"</f>
        <v>#VALUE!</v>
      </c>
      <c r="HC101" t="e">
        <f>'All regions'!D2789+"$F;@!&amp;&gt;Z"</f>
        <v>#VALUE!</v>
      </c>
      <c r="HD101" t="e">
        <f>'All regions'!E2789+"$F;@!&amp;&gt;["</f>
        <v>#VALUE!</v>
      </c>
      <c r="HE101" t="e">
        <f>'All regions'!F2789+"$F;@!&amp;&gt;\"</f>
        <v>#VALUE!</v>
      </c>
      <c r="HF101" t="e">
        <f>'All regions'!G2789+"$F;@!&amp;&gt;]"</f>
        <v>#VALUE!</v>
      </c>
      <c r="HG101" t="e">
        <f>'All regions'!H2789+"$F;@!&amp;&gt;^"</f>
        <v>#VALUE!</v>
      </c>
      <c r="HH101" t="e">
        <f>'All regions'!A2790+"$F;@!&amp;&gt;_"</f>
        <v>#VALUE!</v>
      </c>
      <c r="HI101" t="e">
        <f>'All regions'!B2790+"$F;@!&amp;&gt;`"</f>
        <v>#VALUE!</v>
      </c>
      <c r="HJ101" t="e">
        <f>'All regions'!C2790+"$F;@!&amp;&gt;a"</f>
        <v>#VALUE!</v>
      </c>
      <c r="HK101" t="e">
        <f>'All regions'!D2790+"$F;@!&amp;&gt;b"</f>
        <v>#VALUE!</v>
      </c>
      <c r="HL101" t="e">
        <f>'All regions'!E2790+"$F;@!&amp;&gt;c"</f>
        <v>#VALUE!</v>
      </c>
      <c r="HM101" t="e">
        <f>'All regions'!F2790+"$F;@!&amp;&gt;d"</f>
        <v>#VALUE!</v>
      </c>
      <c r="HN101" t="e">
        <f>'All regions'!G2790+"$F;@!&amp;&gt;e"</f>
        <v>#VALUE!</v>
      </c>
      <c r="HO101" t="e">
        <f>'All regions'!H2790+"$F;@!&amp;&gt;f"</f>
        <v>#VALUE!</v>
      </c>
      <c r="HP101" t="e">
        <f>'All regions'!I2790+"$F;@!&amp;&gt;g"</f>
        <v>#VALUE!</v>
      </c>
      <c r="HQ101" t="e">
        <f>'All regions'!A2791+"$F;@!&amp;&gt;h"</f>
        <v>#VALUE!</v>
      </c>
      <c r="HR101" t="e">
        <f>'All regions'!B2791+"$F;@!&amp;&gt;i"</f>
        <v>#VALUE!</v>
      </c>
      <c r="HS101" t="e">
        <f>'All regions'!C2791+"$F;@!&amp;&gt;j"</f>
        <v>#VALUE!</v>
      </c>
      <c r="HT101" t="e">
        <f>'All regions'!D2791+"$F;@!&amp;&gt;k"</f>
        <v>#VALUE!</v>
      </c>
      <c r="HU101" t="e">
        <f>'All regions'!E2791+"$F;@!&amp;&gt;l"</f>
        <v>#VALUE!</v>
      </c>
      <c r="HV101" t="e">
        <f>'All regions'!F2791+"$F;@!&amp;&gt;m"</f>
        <v>#VALUE!</v>
      </c>
      <c r="HW101" t="e">
        <f>'All regions'!G2791+"$F;@!&amp;&gt;n"</f>
        <v>#VALUE!</v>
      </c>
      <c r="HX101" t="e">
        <f>'All regions'!H2791+"$F;@!&amp;&gt;o"</f>
        <v>#VALUE!</v>
      </c>
      <c r="HY101" t="e">
        <f>'All regions'!I2791+"$F;@!&amp;&gt;p"</f>
        <v>#VALUE!</v>
      </c>
      <c r="HZ101" t="e">
        <f>'All regions'!A2792+"$F;@!&amp;&gt;q"</f>
        <v>#VALUE!</v>
      </c>
      <c r="IA101" t="e">
        <f>'All regions'!B2792+"$F;@!&amp;&gt;r"</f>
        <v>#VALUE!</v>
      </c>
      <c r="IB101" t="e">
        <f>'All regions'!C2792+"$F;@!&amp;&gt;s"</f>
        <v>#VALUE!</v>
      </c>
      <c r="IC101" t="e">
        <f>'All regions'!D2792+"$F;@!&amp;&gt;t"</f>
        <v>#VALUE!</v>
      </c>
      <c r="ID101" t="e">
        <f>'All regions'!E2792+"$F;@!&amp;&gt;u"</f>
        <v>#VALUE!</v>
      </c>
      <c r="IE101" t="e">
        <f>'All regions'!F2792+"$F;@!&amp;&gt;v"</f>
        <v>#VALUE!</v>
      </c>
      <c r="IF101" t="e">
        <f>'All regions'!G2792+"$F;@!&amp;&gt;w"</f>
        <v>#VALUE!</v>
      </c>
      <c r="IG101" t="e">
        <f>'All regions'!H2792+"$F;@!&amp;&gt;x"</f>
        <v>#VALUE!</v>
      </c>
      <c r="IH101" t="e">
        <f>'All regions'!I2792+"$F;@!&amp;&gt;y"</f>
        <v>#VALUE!</v>
      </c>
      <c r="II101" t="e">
        <f>'All regions'!A2794+"$F;@!&amp;&gt;z"</f>
        <v>#VALUE!</v>
      </c>
      <c r="IJ101" t="e">
        <f>'All regions'!B2794+"$F;@!&amp;&gt;{"</f>
        <v>#VALUE!</v>
      </c>
      <c r="IK101" t="e">
        <f>'All regions'!C2794+"$F;@!&amp;&gt;|"</f>
        <v>#VALUE!</v>
      </c>
      <c r="IL101" t="e">
        <f>'All regions'!D2794+"$F;@!&amp;&gt;}"</f>
        <v>#VALUE!</v>
      </c>
      <c r="IM101" t="e">
        <f>'All regions'!E2794+"$F;@!&amp;&gt;~"</f>
        <v>#VALUE!</v>
      </c>
      <c r="IN101" t="e">
        <f>'All regions'!F2794+"$F;@!&amp;?#"</f>
        <v>#VALUE!</v>
      </c>
      <c r="IO101" t="e">
        <f>'All regions'!G2794+"$F;@!&amp;?$"</f>
        <v>#VALUE!</v>
      </c>
      <c r="IP101" t="e">
        <f>'All regions'!H2794+"$F;@!&amp;?%"</f>
        <v>#VALUE!</v>
      </c>
      <c r="IQ101" t="e">
        <f>'All regions'!I2794+"$F;@!&amp;?&amp;"</f>
        <v>#VALUE!</v>
      </c>
      <c r="IR101" t="e">
        <f>'All regions'!A2795+"$F;@!&amp;?'"</f>
        <v>#VALUE!</v>
      </c>
      <c r="IS101" t="e">
        <f>'All regions'!B2795+"$F;@!&amp;?("</f>
        <v>#VALUE!</v>
      </c>
      <c r="IT101" t="e">
        <f>'All regions'!C2795+"$F;@!&amp;?)"</f>
        <v>#VALUE!</v>
      </c>
      <c r="IU101" t="e">
        <f>'All regions'!D2795+"$F;@!&amp;?."</f>
        <v>#VALUE!</v>
      </c>
      <c r="IV101" t="e">
        <f>'All regions'!E2795+"$F;@!&amp;?/"</f>
        <v>#VALUE!</v>
      </c>
    </row>
    <row r="102" spans="6:256" x14ac:dyDescent="0.35">
      <c r="F102" t="e">
        <f>'All regions'!F2795+"$F;@!&amp;?0"</f>
        <v>#VALUE!</v>
      </c>
      <c r="G102" t="e">
        <f>'All regions'!G2795+"$F;@!&amp;?1"</f>
        <v>#VALUE!</v>
      </c>
      <c r="H102" t="e">
        <f>'All regions'!H2795+"$F;@!&amp;?2"</f>
        <v>#VALUE!</v>
      </c>
      <c r="I102" t="e">
        <f>'All regions'!I2795+"$F;@!&amp;?3"</f>
        <v>#VALUE!</v>
      </c>
      <c r="J102" t="e">
        <f>'All regions'!A2796+"$F;@!&amp;?4"</f>
        <v>#VALUE!</v>
      </c>
      <c r="K102" t="e">
        <f>'All regions'!B2796+"$F;@!&amp;?5"</f>
        <v>#VALUE!</v>
      </c>
      <c r="L102" t="e">
        <f>'All regions'!C2796+"$F;@!&amp;?6"</f>
        <v>#VALUE!</v>
      </c>
      <c r="M102" t="e">
        <f>'All regions'!D2796+"$F;@!&amp;?7"</f>
        <v>#VALUE!</v>
      </c>
      <c r="N102" t="e">
        <f>'All regions'!E2796+"$F;@!&amp;?8"</f>
        <v>#VALUE!</v>
      </c>
      <c r="O102" t="e">
        <f>'All regions'!F2796+"$F;@!&amp;?9"</f>
        <v>#VALUE!</v>
      </c>
      <c r="P102" t="e">
        <f>'All regions'!G2796+"$F;@!&amp;?:"</f>
        <v>#VALUE!</v>
      </c>
      <c r="Q102" t="e">
        <f>'All regions'!H2796+"$F;@!&amp;?;"</f>
        <v>#VALUE!</v>
      </c>
      <c r="R102" t="e">
        <f>'All regions'!I2796+"$F;@!&amp;?&lt;"</f>
        <v>#VALUE!</v>
      </c>
      <c r="S102" t="e">
        <f>'All regions'!A2797+"$F;@!&amp;?="</f>
        <v>#VALUE!</v>
      </c>
      <c r="T102" t="e">
        <f>'All regions'!B2797+"$F;@!&amp;?&gt;"</f>
        <v>#VALUE!</v>
      </c>
      <c r="U102" t="e">
        <f>'All regions'!C2797+"$F;@!&amp;??"</f>
        <v>#VALUE!</v>
      </c>
      <c r="V102" t="e">
        <f>'All regions'!D2797+"$F;@!&amp;?@"</f>
        <v>#VALUE!</v>
      </c>
      <c r="W102" t="e">
        <f>'All regions'!E2797+"$F;@!&amp;?A"</f>
        <v>#VALUE!</v>
      </c>
      <c r="X102" t="e">
        <f>'All regions'!F2797+"$F;@!&amp;?B"</f>
        <v>#VALUE!</v>
      </c>
      <c r="Y102" t="e">
        <f>'All regions'!G2797+"$F;@!&amp;?C"</f>
        <v>#VALUE!</v>
      </c>
      <c r="Z102" t="e">
        <f>'All regions'!H2797+"$F;@!&amp;?D"</f>
        <v>#VALUE!</v>
      </c>
      <c r="AA102" t="e">
        <f>'All regions'!I2797+"$F;@!&amp;?E"</f>
        <v>#VALUE!</v>
      </c>
      <c r="AB102" t="e">
        <f>'All regions'!A2798+"$F;@!&amp;?F"</f>
        <v>#VALUE!</v>
      </c>
      <c r="AC102" t="e">
        <f>'All regions'!B2798+"$F;@!&amp;?G"</f>
        <v>#VALUE!</v>
      </c>
      <c r="AD102" t="e">
        <f>'All regions'!C2798+"$F;@!&amp;?H"</f>
        <v>#VALUE!</v>
      </c>
      <c r="AE102" t="e">
        <f>'All regions'!D2798+"$F;@!&amp;?I"</f>
        <v>#VALUE!</v>
      </c>
      <c r="AF102" t="e">
        <f>'All regions'!E2798+"$F;@!&amp;?J"</f>
        <v>#VALUE!</v>
      </c>
      <c r="AG102" t="e">
        <f>'All regions'!F2798+"$F;@!&amp;?K"</f>
        <v>#VALUE!</v>
      </c>
      <c r="AH102" t="e">
        <f>'All regions'!G2798+"$F;@!&amp;?L"</f>
        <v>#VALUE!</v>
      </c>
      <c r="AI102" t="e">
        <f>'All regions'!H2798+"$F;@!&amp;?M"</f>
        <v>#VALUE!</v>
      </c>
      <c r="AJ102" t="e">
        <f>'All regions'!I2798+"$F;@!&amp;?N"</f>
        <v>#VALUE!</v>
      </c>
      <c r="AK102" t="e">
        <f>'All regions'!A2799+"$F;@!&amp;?O"</f>
        <v>#VALUE!</v>
      </c>
      <c r="AL102" t="e">
        <f>'All regions'!B2799+"$F;@!&amp;?P"</f>
        <v>#VALUE!</v>
      </c>
      <c r="AM102" t="e">
        <f>'All regions'!C2799+"$F;@!&amp;?Q"</f>
        <v>#VALUE!</v>
      </c>
      <c r="AN102" t="e">
        <f>'All regions'!D2799+"$F;@!&amp;?R"</f>
        <v>#VALUE!</v>
      </c>
      <c r="AO102" t="e">
        <f>'All regions'!E2799+"$F;@!&amp;?S"</f>
        <v>#VALUE!</v>
      </c>
      <c r="AP102" t="e">
        <f>'All regions'!F2799+"$F;@!&amp;?T"</f>
        <v>#VALUE!</v>
      </c>
      <c r="AQ102" t="e">
        <f>'All regions'!G2799+"$F;@!&amp;?U"</f>
        <v>#VALUE!</v>
      </c>
      <c r="AR102" t="e">
        <f>'All regions'!H2799+"$F;@!&amp;?V"</f>
        <v>#VALUE!</v>
      </c>
      <c r="AS102" t="e">
        <f>'All regions'!I2799+"$F;@!&amp;?W"</f>
        <v>#VALUE!</v>
      </c>
      <c r="AT102" t="e">
        <f>'All regions'!A2800+"$F;@!&amp;?X"</f>
        <v>#VALUE!</v>
      </c>
      <c r="AU102" t="e">
        <f>'All regions'!B2800+"$F;@!&amp;?Y"</f>
        <v>#VALUE!</v>
      </c>
      <c r="AV102" t="e">
        <f>'All regions'!C2800+"$F;@!&amp;?Z"</f>
        <v>#VALUE!</v>
      </c>
      <c r="AW102" t="e">
        <f>'All regions'!D2800+"$F;@!&amp;?["</f>
        <v>#VALUE!</v>
      </c>
      <c r="AX102" t="e">
        <f>'All regions'!E2800+"$F;@!&amp;?\"</f>
        <v>#VALUE!</v>
      </c>
      <c r="AY102" t="e">
        <f>'All regions'!F2800+"$F;@!&amp;?]"</f>
        <v>#VALUE!</v>
      </c>
      <c r="AZ102" t="e">
        <f>'All regions'!G2800+"$F;@!&amp;?^"</f>
        <v>#VALUE!</v>
      </c>
      <c r="BA102" t="e">
        <f>'All regions'!H2800+"$F;@!&amp;?_"</f>
        <v>#VALUE!</v>
      </c>
      <c r="BB102" t="e">
        <f>'All regions'!I2800+"$F;@!&amp;?`"</f>
        <v>#VALUE!</v>
      </c>
      <c r="BC102" t="e">
        <f>'All regions'!A2801+"$F;@!&amp;?a"</f>
        <v>#VALUE!</v>
      </c>
      <c r="BD102" t="e">
        <f>'All regions'!B2801+"$F;@!&amp;?b"</f>
        <v>#VALUE!</v>
      </c>
      <c r="BE102" t="e">
        <f>'All regions'!C2801+"$F;@!&amp;?c"</f>
        <v>#VALUE!</v>
      </c>
      <c r="BF102" t="e">
        <f>'All regions'!D2801+"$F;@!&amp;?d"</f>
        <v>#VALUE!</v>
      </c>
      <c r="BG102" t="e">
        <f>'All regions'!E2801+"$F;@!&amp;?e"</f>
        <v>#VALUE!</v>
      </c>
      <c r="BH102" t="e">
        <f>'All regions'!F2801+"$F;@!&amp;?f"</f>
        <v>#VALUE!</v>
      </c>
      <c r="BI102" t="e">
        <f>'All regions'!G2801+"$F;@!&amp;?g"</f>
        <v>#VALUE!</v>
      </c>
      <c r="BJ102" t="e">
        <f>'All regions'!H2801+"$F;@!&amp;?h"</f>
        <v>#VALUE!</v>
      </c>
      <c r="BK102" t="e">
        <f>'All regions'!I2801+"$F;@!&amp;?i"</f>
        <v>#VALUE!</v>
      </c>
      <c r="BL102" t="e">
        <f>'All regions'!A2802+"$F;@!&amp;?j"</f>
        <v>#VALUE!</v>
      </c>
      <c r="BM102" t="e">
        <f>'All regions'!B2802+"$F;@!&amp;?k"</f>
        <v>#VALUE!</v>
      </c>
      <c r="BN102" t="e">
        <f>'All regions'!C2802+"$F;@!&amp;?l"</f>
        <v>#VALUE!</v>
      </c>
      <c r="BO102" t="e">
        <f>'All regions'!D2802+"$F;@!&amp;?m"</f>
        <v>#VALUE!</v>
      </c>
      <c r="BP102" t="e">
        <f>'All regions'!E2802+"$F;@!&amp;?n"</f>
        <v>#VALUE!</v>
      </c>
      <c r="BQ102" t="e">
        <f>'All regions'!F2802+"$F;@!&amp;?o"</f>
        <v>#VALUE!</v>
      </c>
      <c r="BR102" t="e">
        <f>'All regions'!G2802+"$F;@!&amp;?p"</f>
        <v>#VALUE!</v>
      </c>
      <c r="BS102" t="e">
        <f>'All regions'!H2802+"$F;@!&amp;?q"</f>
        <v>#VALUE!</v>
      </c>
      <c r="BT102" t="e">
        <f>'All regions'!I2802+"$F;@!&amp;?r"</f>
        <v>#VALUE!</v>
      </c>
      <c r="BU102" t="e">
        <f>'All regions'!A2803+"$F;@!&amp;?s"</f>
        <v>#VALUE!</v>
      </c>
      <c r="BV102" t="e">
        <f>'All regions'!B2803+"$F;@!&amp;?t"</f>
        <v>#VALUE!</v>
      </c>
      <c r="BW102" t="e">
        <f>'All regions'!C2803+"$F;@!&amp;?u"</f>
        <v>#VALUE!</v>
      </c>
      <c r="BX102" t="e">
        <f>'All regions'!D2803+"$F;@!&amp;?v"</f>
        <v>#VALUE!</v>
      </c>
      <c r="BY102" t="e">
        <f>'All regions'!E2803+"$F;@!&amp;?w"</f>
        <v>#VALUE!</v>
      </c>
      <c r="BZ102" t="e">
        <f>'All regions'!F2803+"$F;@!&amp;?x"</f>
        <v>#VALUE!</v>
      </c>
      <c r="CA102" t="e">
        <f>'All regions'!G2803+"$F;@!&amp;?y"</f>
        <v>#VALUE!</v>
      </c>
      <c r="CB102" t="e">
        <f>'All regions'!H2803+"$F;@!&amp;?z"</f>
        <v>#VALUE!</v>
      </c>
      <c r="CC102" t="e">
        <f>'All regions'!I2803+"$F;@!&amp;?{"</f>
        <v>#VALUE!</v>
      </c>
      <c r="CD102" t="e">
        <f>'All regions'!A2804+"$F;@!&amp;?|"</f>
        <v>#VALUE!</v>
      </c>
      <c r="CE102" t="e">
        <f>'All regions'!B2804+"$F;@!&amp;?}"</f>
        <v>#VALUE!</v>
      </c>
      <c r="CF102" t="e">
        <f>'All regions'!C2804+"$F;@!&amp;?~"</f>
        <v>#VALUE!</v>
      </c>
      <c r="CG102" t="e">
        <f>'All regions'!D2804+"$F;@!&amp;@#"</f>
        <v>#VALUE!</v>
      </c>
      <c r="CH102" t="e">
        <f>'All regions'!E2804+"$F;@!&amp;@$"</f>
        <v>#VALUE!</v>
      </c>
      <c r="CI102" t="e">
        <f>'All regions'!F2804+"$F;@!&amp;@%"</f>
        <v>#VALUE!</v>
      </c>
      <c r="CJ102" t="e">
        <f>'All regions'!G2804+"$F;@!&amp;@&amp;"</f>
        <v>#VALUE!</v>
      </c>
      <c r="CK102" t="e">
        <f>'All regions'!H2804+"$F;@!&amp;@'"</f>
        <v>#VALUE!</v>
      </c>
      <c r="CL102" t="e">
        <f>'All regions'!I2804+"$F;@!&amp;@("</f>
        <v>#VALUE!</v>
      </c>
      <c r="CM102" t="e">
        <f>'All regions'!A2805+"$F;@!&amp;@)"</f>
        <v>#VALUE!</v>
      </c>
      <c r="CN102" t="e">
        <f>'All regions'!B2805+"$F;@!&amp;@."</f>
        <v>#VALUE!</v>
      </c>
      <c r="CO102" t="e">
        <f>'All regions'!C2805+"$F;@!&amp;@/"</f>
        <v>#VALUE!</v>
      </c>
      <c r="CP102" t="e">
        <f>'All regions'!D2805+"$F;@!&amp;@0"</f>
        <v>#VALUE!</v>
      </c>
      <c r="CQ102" t="e">
        <f>'All regions'!E2805+"$F;@!&amp;@1"</f>
        <v>#VALUE!</v>
      </c>
      <c r="CR102" t="e">
        <f>'All regions'!F2805+"$F;@!&amp;@2"</f>
        <v>#VALUE!</v>
      </c>
      <c r="CS102" t="e">
        <f>'All regions'!G2805+"$F;@!&amp;@3"</f>
        <v>#VALUE!</v>
      </c>
      <c r="CT102" t="e">
        <f>'All regions'!H2805+"$F;@!&amp;@4"</f>
        <v>#VALUE!</v>
      </c>
      <c r="CU102" t="e">
        <f>'All regions'!I2805+"$F;@!&amp;@5"</f>
        <v>#VALUE!</v>
      </c>
      <c r="CV102" t="e">
        <f>'All regions'!A2806+"$F;@!&amp;@6"</f>
        <v>#VALUE!</v>
      </c>
      <c r="CW102" t="e">
        <f>'All regions'!B2806+"$F;@!&amp;@7"</f>
        <v>#VALUE!</v>
      </c>
      <c r="CX102" t="e">
        <f>'All regions'!C2806+"$F;@!&amp;@8"</f>
        <v>#VALUE!</v>
      </c>
      <c r="CY102" t="e">
        <f>'All regions'!D2806+"$F;@!&amp;@9"</f>
        <v>#VALUE!</v>
      </c>
      <c r="CZ102" t="e">
        <f>'All regions'!E2806+"$F;@!&amp;@:"</f>
        <v>#VALUE!</v>
      </c>
      <c r="DA102" t="e">
        <f>'All regions'!F2806+"$F;@!&amp;@;"</f>
        <v>#VALUE!</v>
      </c>
      <c r="DB102" t="e">
        <f>'All regions'!G2806+"$F;@!&amp;@&lt;"</f>
        <v>#VALUE!</v>
      </c>
      <c r="DC102" t="e">
        <f>'All regions'!H2806+"$F;@!&amp;@="</f>
        <v>#VALUE!</v>
      </c>
      <c r="DD102" t="e">
        <f>'All regions'!I2806+"$F;@!&amp;@&gt;"</f>
        <v>#VALUE!</v>
      </c>
      <c r="DE102" t="e">
        <f>'All regions'!A2807+"$F;@!&amp;@?"</f>
        <v>#VALUE!</v>
      </c>
      <c r="DF102" t="e">
        <f>'All regions'!B2807+"$F;@!&amp;@@"</f>
        <v>#VALUE!</v>
      </c>
      <c r="DG102" t="e">
        <f>'All regions'!C2807+"$F;@!&amp;@A"</f>
        <v>#VALUE!</v>
      </c>
      <c r="DH102" t="e">
        <f>'All regions'!D2807+"$F;@!&amp;@B"</f>
        <v>#VALUE!</v>
      </c>
      <c r="DI102" t="e">
        <f>'All regions'!E2807+"$F;@!&amp;@C"</f>
        <v>#VALUE!</v>
      </c>
      <c r="DJ102" t="e">
        <f>'All regions'!F2807+"$F;@!&amp;@D"</f>
        <v>#VALUE!</v>
      </c>
      <c r="DK102" t="e">
        <f>'All regions'!G2807+"$F;@!&amp;@E"</f>
        <v>#VALUE!</v>
      </c>
      <c r="DL102" t="e">
        <f>'All regions'!H2807+"$F;@!&amp;@F"</f>
        <v>#VALUE!</v>
      </c>
      <c r="DM102" t="e">
        <f>'All regions'!I2807+"$F;@!&amp;@G"</f>
        <v>#VALUE!</v>
      </c>
      <c r="DN102" t="e">
        <f>'All regions'!A2808+"$F;@!&amp;@H"</f>
        <v>#VALUE!</v>
      </c>
      <c r="DO102" t="e">
        <f>'All regions'!B2808+"$F;@!&amp;@I"</f>
        <v>#VALUE!</v>
      </c>
      <c r="DP102" t="e">
        <f>'All regions'!C2808+"$F;@!&amp;@J"</f>
        <v>#VALUE!</v>
      </c>
      <c r="DQ102" t="e">
        <f>'All regions'!D2808+"$F;@!&amp;@K"</f>
        <v>#VALUE!</v>
      </c>
      <c r="DR102" t="e">
        <f>'All regions'!E2808+"$F;@!&amp;@L"</f>
        <v>#VALUE!</v>
      </c>
      <c r="DS102" t="e">
        <f>'All regions'!F2808+"$F;@!&amp;@M"</f>
        <v>#VALUE!</v>
      </c>
      <c r="DT102" t="e">
        <f>'All regions'!G2808+"$F;@!&amp;@N"</f>
        <v>#VALUE!</v>
      </c>
      <c r="DU102" t="e">
        <f>'All regions'!H2808+"$F;@!&amp;@O"</f>
        <v>#VALUE!</v>
      </c>
      <c r="DV102" t="e">
        <f>'All regions'!I2808+"$F;@!&amp;@P"</f>
        <v>#VALUE!</v>
      </c>
      <c r="DW102" t="e">
        <f>'All regions'!A2809+"$F;@!&amp;@Q"</f>
        <v>#VALUE!</v>
      </c>
      <c r="DX102" t="e">
        <f>'All regions'!B2809+"$F;@!&amp;@R"</f>
        <v>#VALUE!</v>
      </c>
      <c r="DY102" t="e">
        <f>'All regions'!C2809+"$F;@!&amp;@S"</f>
        <v>#VALUE!</v>
      </c>
      <c r="DZ102" t="e">
        <f>'All regions'!D2809+"$F;@!&amp;@T"</f>
        <v>#VALUE!</v>
      </c>
      <c r="EA102" t="e">
        <f>'All regions'!E2809+"$F;@!&amp;@U"</f>
        <v>#VALUE!</v>
      </c>
      <c r="EB102" t="e">
        <f>'All regions'!F2809+"$F;@!&amp;@V"</f>
        <v>#VALUE!</v>
      </c>
      <c r="EC102" t="e">
        <f>'All regions'!G2809+"$F;@!&amp;@W"</f>
        <v>#VALUE!</v>
      </c>
      <c r="ED102" t="e">
        <f>'All regions'!H2809+"$F;@!&amp;@X"</f>
        <v>#VALUE!</v>
      </c>
      <c r="EE102" t="e">
        <f>'All regions'!I2809+"$F;@!&amp;@Y"</f>
        <v>#VALUE!</v>
      </c>
      <c r="EF102" t="e">
        <f>'All regions'!A2810+"$F;@!&amp;@Z"</f>
        <v>#VALUE!</v>
      </c>
      <c r="EG102" t="e">
        <f>'All regions'!B2810+"$F;@!&amp;@["</f>
        <v>#VALUE!</v>
      </c>
      <c r="EH102" t="e">
        <f>'All regions'!C2810+"$F;@!&amp;@\"</f>
        <v>#VALUE!</v>
      </c>
      <c r="EI102" t="e">
        <f>'All regions'!D2810+"$F;@!&amp;@]"</f>
        <v>#VALUE!</v>
      </c>
      <c r="EJ102" t="e">
        <f>'All regions'!E2810+"$F;@!&amp;@^"</f>
        <v>#VALUE!</v>
      </c>
      <c r="EK102" t="e">
        <f>'All regions'!F2810+"$F;@!&amp;@_"</f>
        <v>#VALUE!</v>
      </c>
      <c r="EL102" t="e">
        <f>'All regions'!G2810+"$F;@!&amp;@`"</f>
        <v>#VALUE!</v>
      </c>
      <c r="EM102" t="e">
        <f>'All regions'!H2810+"$F;@!&amp;@a"</f>
        <v>#VALUE!</v>
      </c>
      <c r="EN102" t="e">
        <f>'All regions'!I2810+"$F;@!&amp;@b"</f>
        <v>#VALUE!</v>
      </c>
      <c r="EO102" t="e">
        <f>'All regions'!A2811+"$F;@!&amp;@c"</f>
        <v>#VALUE!</v>
      </c>
      <c r="EP102" t="e">
        <f>'All regions'!B2811+"$F;@!&amp;@d"</f>
        <v>#VALUE!</v>
      </c>
      <c r="EQ102" t="e">
        <f>'All regions'!C2811+"$F;@!&amp;@e"</f>
        <v>#VALUE!</v>
      </c>
      <c r="ER102" t="e">
        <f>'All regions'!D2811+"$F;@!&amp;@f"</f>
        <v>#VALUE!</v>
      </c>
      <c r="ES102" t="e">
        <f>'All regions'!E2811+"$F;@!&amp;@g"</f>
        <v>#VALUE!</v>
      </c>
      <c r="ET102" t="e">
        <f>'All regions'!F2811+"$F;@!&amp;@h"</f>
        <v>#VALUE!</v>
      </c>
      <c r="EU102" t="e">
        <f>'All regions'!G2811+"$F;@!&amp;@i"</f>
        <v>#VALUE!</v>
      </c>
      <c r="EV102" t="e">
        <f>'All regions'!H2811+"$F;@!&amp;@j"</f>
        <v>#VALUE!</v>
      </c>
      <c r="EW102" t="e">
        <f>'All regions'!I2811+"$F;@!&amp;@k"</f>
        <v>#VALUE!</v>
      </c>
      <c r="EX102" t="e">
        <f>'All regions'!A2812+"$F;@!&amp;@l"</f>
        <v>#VALUE!</v>
      </c>
      <c r="EY102" t="e">
        <f>'All regions'!B2812+"$F;@!&amp;@m"</f>
        <v>#VALUE!</v>
      </c>
      <c r="EZ102" t="e">
        <f>'All regions'!C2812+"$F;@!&amp;@n"</f>
        <v>#VALUE!</v>
      </c>
      <c r="FA102" t="e">
        <f>'All regions'!D2812+"$F;@!&amp;@o"</f>
        <v>#VALUE!</v>
      </c>
      <c r="FB102" t="e">
        <f>'All regions'!E2812+"$F;@!&amp;@p"</f>
        <v>#VALUE!</v>
      </c>
      <c r="FC102" t="e">
        <f>'All regions'!F2812+"$F;@!&amp;@q"</f>
        <v>#VALUE!</v>
      </c>
      <c r="FD102" t="e">
        <f>'All regions'!G2812+"$F;@!&amp;@r"</f>
        <v>#VALUE!</v>
      </c>
      <c r="FE102" t="e">
        <f>'All regions'!H2812+"$F;@!&amp;@s"</f>
        <v>#VALUE!</v>
      </c>
      <c r="FF102" t="e">
        <f>'All regions'!I2812+"$F;@!&amp;@t"</f>
        <v>#VALUE!</v>
      </c>
      <c r="FG102" t="e">
        <f>'All regions'!A2813+"$F;@!&amp;@u"</f>
        <v>#VALUE!</v>
      </c>
      <c r="FH102" t="e">
        <f>'All regions'!B2813+"$F;@!&amp;@v"</f>
        <v>#VALUE!</v>
      </c>
      <c r="FI102" t="e">
        <f>'All regions'!C2813+"$F;@!&amp;@w"</f>
        <v>#VALUE!</v>
      </c>
      <c r="FJ102" t="e">
        <f>'All regions'!D2813+"$F;@!&amp;@x"</f>
        <v>#VALUE!</v>
      </c>
      <c r="FK102" t="e">
        <f>'All regions'!E2813+"$F;@!&amp;@y"</f>
        <v>#VALUE!</v>
      </c>
      <c r="FL102" t="e">
        <f>'All regions'!F2813+"$F;@!&amp;@z"</f>
        <v>#VALUE!</v>
      </c>
      <c r="FM102" t="e">
        <f>'All regions'!G2813+"$F;@!&amp;@{"</f>
        <v>#VALUE!</v>
      </c>
      <c r="FN102" t="e">
        <f>'All regions'!H2813+"$F;@!&amp;@|"</f>
        <v>#VALUE!</v>
      </c>
      <c r="FO102" t="e">
        <f>'All regions'!I2813+"$F;@!&amp;@}"</f>
        <v>#VALUE!</v>
      </c>
      <c r="FP102" t="e">
        <f>'All regions'!A2814+"$F;@!&amp;@~"</f>
        <v>#VALUE!</v>
      </c>
      <c r="FQ102" t="e">
        <f>'All regions'!B2814+"$F;@!&amp;A#"</f>
        <v>#VALUE!</v>
      </c>
      <c r="FR102" t="e">
        <f>'All regions'!C2814+"$F;@!&amp;A$"</f>
        <v>#VALUE!</v>
      </c>
      <c r="FS102" t="e">
        <f>'All regions'!D2814+"$F;@!&amp;A%"</f>
        <v>#VALUE!</v>
      </c>
      <c r="FT102" t="e">
        <f>'All regions'!E2814+"$F;@!&amp;A&amp;"</f>
        <v>#VALUE!</v>
      </c>
      <c r="FU102" t="e">
        <f>'All regions'!F2814+"$F;@!&amp;A'"</f>
        <v>#VALUE!</v>
      </c>
      <c r="FV102" t="e">
        <f>'All regions'!G2814+"$F;@!&amp;A("</f>
        <v>#VALUE!</v>
      </c>
      <c r="FW102" t="e">
        <f>'All regions'!H2814+"$F;@!&amp;A)"</f>
        <v>#VALUE!</v>
      </c>
      <c r="FX102" t="e">
        <f>'All regions'!I2814+"$F;@!&amp;A."</f>
        <v>#VALUE!</v>
      </c>
      <c r="FY102" t="e">
        <f>'All regions'!A2815+"$F;@!&amp;A/"</f>
        <v>#VALUE!</v>
      </c>
      <c r="FZ102" t="e">
        <f>'All regions'!B2815+"$F;@!&amp;A0"</f>
        <v>#VALUE!</v>
      </c>
      <c r="GA102" t="e">
        <f>'All regions'!C2815+"$F;@!&amp;A1"</f>
        <v>#VALUE!</v>
      </c>
      <c r="GB102" t="e">
        <f>'All regions'!D2815+"$F;@!&amp;A2"</f>
        <v>#VALUE!</v>
      </c>
      <c r="GC102" t="e">
        <f>'All regions'!E2815+"$F;@!&amp;A3"</f>
        <v>#VALUE!</v>
      </c>
      <c r="GD102" t="e">
        <f>'All regions'!F2815+"$F;@!&amp;A4"</f>
        <v>#VALUE!</v>
      </c>
      <c r="GE102" t="e">
        <f>'All regions'!G2815+"$F;@!&amp;A5"</f>
        <v>#VALUE!</v>
      </c>
      <c r="GF102" t="e">
        <f>'All regions'!H2815+"$F;@!&amp;A6"</f>
        <v>#VALUE!</v>
      </c>
      <c r="GG102" t="e">
        <f>'All regions'!I2815+"$F;@!&amp;A7"</f>
        <v>#VALUE!</v>
      </c>
      <c r="GH102" t="e">
        <f>'All regions'!A2816+"$F;@!&amp;A8"</f>
        <v>#VALUE!</v>
      </c>
      <c r="GI102" t="e">
        <f>'All regions'!B2816+"$F;@!&amp;A9"</f>
        <v>#VALUE!</v>
      </c>
      <c r="GJ102" t="e">
        <f>'All regions'!C2816+"$F;@!&amp;A:"</f>
        <v>#VALUE!</v>
      </c>
      <c r="GK102" t="e">
        <f>'All regions'!D2816+"$F;@!&amp;A;"</f>
        <v>#VALUE!</v>
      </c>
      <c r="GL102" t="e">
        <f>'All regions'!E2816+"$F;@!&amp;A&lt;"</f>
        <v>#VALUE!</v>
      </c>
      <c r="GM102" t="e">
        <f>'All regions'!F2816+"$F;@!&amp;A="</f>
        <v>#VALUE!</v>
      </c>
      <c r="GN102" t="e">
        <f>'All regions'!G2816+"$F;@!&amp;A&gt;"</f>
        <v>#VALUE!</v>
      </c>
      <c r="GO102" t="e">
        <f>'All regions'!H2816+"$F;@!&amp;A?"</f>
        <v>#VALUE!</v>
      </c>
      <c r="GP102" t="e">
        <f>'All regions'!I2816+"$F;@!&amp;A@"</f>
        <v>#VALUE!</v>
      </c>
      <c r="GQ102" t="e">
        <f>'All regions'!A2817+"$F;@!&amp;AA"</f>
        <v>#VALUE!</v>
      </c>
      <c r="GR102" t="e">
        <f>'All regions'!B2817+"$F;@!&amp;AB"</f>
        <v>#VALUE!</v>
      </c>
      <c r="GS102" t="e">
        <f>'All regions'!C2817+"$F;@!&amp;AC"</f>
        <v>#VALUE!</v>
      </c>
      <c r="GT102" t="e">
        <f>'All regions'!D2817+"$F;@!&amp;AD"</f>
        <v>#VALUE!</v>
      </c>
      <c r="GU102" t="e">
        <f>'All regions'!E2817+"$F;@!&amp;AE"</f>
        <v>#VALUE!</v>
      </c>
      <c r="GV102" t="e">
        <f>'All regions'!F2817+"$F;@!&amp;AF"</f>
        <v>#VALUE!</v>
      </c>
      <c r="GW102" t="e">
        <f>'All regions'!G2817+"$F;@!&amp;AG"</f>
        <v>#VALUE!</v>
      </c>
      <c r="GX102" t="e">
        <f>'All regions'!H2817+"$F;@!&amp;AH"</f>
        <v>#VALUE!</v>
      </c>
      <c r="GY102" t="e">
        <f>'All regions'!I2817+"$F;@!&amp;AI"</f>
        <v>#VALUE!</v>
      </c>
      <c r="GZ102" t="e">
        <f>'All regions'!A2818+"$F;@!&amp;AJ"</f>
        <v>#VALUE!</v>
      </c>
      <c r="HA102" t="e">
        <f>'All regions'!B2818+"$F;@!&amp;AK"</f>
        <v>#VALUE!</v>
      </c>
      <c r="HB102" t="e">
        <f>'All regions'!C2818+"$F;@!&amp;AL"</f>
        <v>#VALUE!</v>
      </c>
      <c r="HC102" t="e">
        <f>'All regions'!D2818+"$F;@!&amp;AM"</f>
        <v>#VALUE!</v>
      </c>
      <c r="HD102" t="e">
        <f>'All regions'!E2818+"$F;@!&amp;AN"</f>
        <v>#VALUE!</v>
      </c>
      <c r="HE102" t="e">
        <f>'All regions'!F2818+"$F;@!&amp;AO"</f>
        <v>#VALUE!</v>
      </c>
      <c r="HF102" t="e">
        <f>'All regions'!G2818+"$F;@!&amp;AP"</f>
        <v>#VALUE!</v>
      </c>
      <c r="HG102" t="e">
        <f>'All regions'!H2818+"$F;@!&amp;AQ"</f>
        <v>#VALUE!</v>
      </c>
      <c r="HH102" t="e">
        <f>'All regions'!I2818+"$F;@!&amp;AR"</f>
        <v>#VALUE!</v>
      </c>
      <c r="HI102" t="e">
        <f>'All regions'!A2819+"$F;@!&amp;AS"</f>
        <v>#VALUE!</v>
      </c>
      <c r="HJ102" t="e">
        <f>'All regions'!B2819+"$F;@!&amp;AT"</f>
        <v>#VALUE!</v>
      </c>
      <c r="HK102" t="e">
        <f>'All regions'!C2819+"$F;@!&amp;AU"</f>
        <v>#VALUE!</v>
      </c>
      <c r="HL102" t="e">
        <f>'All regions'!D2819+"$F;@!&amp;AV"</f>
        <v>#VALUE!</v>
      </c>
      <c r="HM102" t="e">
        <f>'All regions'!E2819+"$F;@!&amp;AW"</f>
        <v>#VALUE!</v>
      </c>
      <c r="HN102" t="e">
        <f>'All regions'!F2819+"$F;@!&amp;AX"</f>
        <v>#VALUE!</v>
      </c>
      <c r="HO102" t="e">
        <f>'All regions'!G2819+"$F;@!&amp;AY"</f>
        <v>#VALUE!</v>
      </c>
      <c r="HP102" t="e">
        <f>'All regions'!H2819+"$F;@!&amp;AZ"</f>
        <v>#VALUE!</v>
      </c>
      <c r="HQ102" t="e">
        <f>'All regions'!I2819+"$F;@!&amp;A["</f>
        <v>#VALUE!</v>
      </c>
      <c r="HR102" t="e">
        <f>'All regions'!A2820+"$F;@!&amp;A\"</f>
        <v>#VALUE!</v>
      </c>
      <c r="HS102" t="e">
        <f>'All regions'!B2820+"$F;@!&amp;A]"</f>
        <v>#VALUE!</v>
      </c>
      <c r="HT102" t="e">
        <f>'All regions'!C2820+"$F;@!&amp;A^"</f>
        <v>#VALUE!</v>
      </c>
      <c r="HU102" t="e">
        <f>'All regions'!D2820+"$F;@!&amp;A_"</f>
        <v>#VALUE!</v>
      </c>
      <c r="HV102" t="e">
        <f>'All regions'!E2820+"$F;@!&amp;A`"</f>
        <v>#VALUE!</v>
      </c>
      <c r="HW102" t="e">
        <f>'All regions'!F2820+"$F;@!&amp;Aa"</f>
        <v>#VALUE!</v>
      </c>
      <c r="HX102" t="e">
        <f>'All regions'!G2820+"$F;@!&amp;Ab"</f>
        <v>#VALUE!</v>
      </c>
      <c r="HY102" t="e">
        <f>'All regions'!H2820+"$F;@!&amp;Ac"</f>
        <v>#VALUE!</v>
      </c>
      <c r="HZ102" t="e">
        <f>'All regions'!I2820+"$F;@!&amp;Ad"</f>
        <v>#VALUE!</v>
      </c>
      <c r="IA102" t="e">
        <f>'All regions'!A2821+"$F;@!&amp;Ae"</f>
        <v>#VALUE!</v>
      </c>
      <c r="IB102" t="e">
        <f>'All regions'!B2821+"$F;@!&amp;Af"</f>
        <v>#VALUE!</v>
      </c>
      <c r="IC102" t="e">
        <f>'All regions'!C2821+"$F;@!&amp;Ag"</f>
        <v>#VALUE!</v>
      </c>
      <c r="ID102" t="e">
        <f>'All regions'!D2821+"$F;@!&amp;Ah"</f>
        <v>#VALUE!</v>
      </c>
      <c r="IE102" t="e">
        <f>'All regions'!E2821+"$F;@!&amp;Ai"</f>
        <v>#VALUE!</v>
      </c>
      <c r="IF102" t="e">
        <f>'All regions'!F2821+"$F;@!&amp;Aj"</f>
        <v>#VALUE!</v>
      </c>
      <c r="IG102" t="e">
        <f>'All regions'!G2821+"$F;@!&amp;Ak"</f>
        <v>#VALUE!</v>
      </c>
      <c r="IH102" t="e">
        <f>'All regions'!H2821+"$F;@!&amp;Al"</f>
        <v>#VALUE!</v>
      </c>
      <c r="II102" t="e">
        <f>'All regions'!I2821+"$F;@!&amp;Am"</f>
        <v>#VALUE!</v>
      </c>
      <c r="IJ102" t="e">
        <f>'All regions'!A2822+"$F;@!&amp;An"</f>
        <v>#VALUE!</v>
      </c>
      <c r="IK102" t="e">
        <f>'All regions'!B2822+"$F;@!&amp;Ao"</f>
        <v>#VALUE!</v>
      </c>
      <c r="IL102" t="e">
        <f>'All regions'!C2822+"$F;@!&amp;Ap"</f>
        <v>#VALUE!</v>
      </c>
      <c r="IM102" t="e">
        <f>'All regions'!D2822+"$F;@!&amp;Aq"</f>
        <v>#VALUE!</v>
      </c>
      <c r="IN102" t="e">
        <f>'All regions'!E2822+"$F;@!&amp;Ar"</f>
        <v>#VALUE!</v>
      </c>
      <c r="IO102" t="e">
        <f>'All regions'!F2822+"$F;@!&amp;As"</f>
        <v>#VALUE!</v>
      </c>
      <c r="IP102" t="e">
        <f>'All regions'!G2822+"$F;@!&amp;At"</f>
        <v>#VALUE!</v>
      </c>
      <c r="IQ102" t="e">
        <f>'All regions'!H2822+"$F;@!&amp;Au"</f>
        <v>#VALUE!</v>
      </c>
      <c r="IR102" t="e">
        <f>'All regions'!I2822+"$F;@!&amp;Av"</f>
        <v>#VALUE!</v>
      </c>
      <c r="IS102" t="e">
        <f>'All regions'!A2823+"$F;@!&amp;Aw"</f>
        <v>#VALUE!</v>
      </c>
      <c r="IT102" t="e">
        <f>'All regions'!B2823+"$F;@!&amp;Ax"</f>
        <v>#VALUE!</v>
      </c>
      <c r="IU102" t="e">
        <f>'All regions'!C2823+"$F;@!&amp;Ay"</f>
        <v>#VALUE!</v>
      </c>
      <c r="IV102" t="e">
        <f>'All regions'!D2823+"$F;@!&amp;Az"</f>
        <v>#VALUE!</v>
      </c>
    </row>
    <row r="103" spans="6:256" x14ac:dyDescent="0.35">
      <c r="F103" t="e">
        <f>'All regions'!E2823+"$F;@!&amp;A{"</f>
        <v>#VALUE!</v>
      </c>
      <c r="G103" t="e">
        <f>'All regions'!F2823+"$F;@!&amp;A|"</f>
        <v>#VALUE!</v>
      </c>
      <c r="H103" t="e">
        <f>'All regions'!G2823+"$F;@!&amp;A}"</f>
        <v>#VALUE!</v>
      </c>
      <c r="I103" t="e">
        <f>'All regions'!H2823+"$F;@!&amp;A~"</f>
        <v>#VALUE!</v>
      </c>
      <c r="J103" t="e">
        <f>'All regions'!I2823+"$F;@!&amp;B#"</f>
        <v>#VALUE!</v>
      </c>
      <c r="K103" t="e">
        <f>'All regions'!A2824+"$F;@!&amp;B$"</f>
        <v>#VALUE!</v>
      </c>
      <c r="L103" t="e">
        <f>'All regions'!B2824+"$F;@!&amp;B%"</f>
        <v>#VALUE!</v>
      </c>
      <c r="M103" t="e">
        <f>'All regions'!C2824+"$F;@!&amp;B&amp;"</f>
        <v>#VALUE!</v>
      </c>
      <c r="N103" t="e">
        <f>'All regions'!D2824+"$F;@!&amp;B'"</f>
        <v>#VALUE!</v>
      </c>
      <c r="O103" t="e">
        <f>'All regions'!E2824+"$F;@!&amp;B("</f>
        <v>#VALUE!</v>
      </c>
      <c r="P103" t="e">
        <f>'All regions'!F2824+"$F;@!&amp;B)"</f>
        <v>#VALUE!</v>
      </c>
      <c r="Q103" t="e">
        <f>'All regions'!G2824+"$F;@!&amp;B."</f>
        <v>#VALUE!</v>
      </c>
      <c r="R103" t="e">
        <f>'All regions'!H2824+"$F;@!&amp;B/"</f>
        <v>#VALUE!</v>
      </c>
      <c r="S103" t="e">
        <f>'All regions'!I2824+"$F;@!&amp;B0"</f>
        <v>#VALUE!</v>
      </c>
      <c r="T103" t="e">
        <f>'All regions'!A2825+"$F;@!&amp;B1"</f>
        <v>#VALUE!</v>
      </c>
      <c r="U103" t="e">
        <f>'All regions'!B2825+"$F;@!&amp;B2"</f>
        <v>#VALUE!</v>
      </c>
      <c r="V103" t="e">
        <f>'All regions'!C2825+"$F;@!&amp;B3"</f>
        <v>#VALUE!</v>
      </c>
      <c r="W103" t="e">
        <f>'All regions'!D2825+"$F;@!&amp;B4"</f>
        <v>#VALUE!</v>
      </c>
      <c r="X103" t="e">
        <f>'All regions'!E2825+"$F;@!&amp;B5"</f>
        <v>#VALUE!</v>
      </c>
      <c r="Y103" t="e">
        <f>'All regions'!F2825+"$F;@!&amp;B6"</f>
        <v>#VALUE!</v>
      </c>
      <c r="Z103" t="e">
        <f>'All regions'!G2825+"$F;@!&amp;B7"</f>
        <v>#VALUE!</v>
      </c>
      <c r="AA103" t="e">
        <f>'All regions'!H2825+"$F;@!&amp;B8"</f>
        <v>#VALUE!</v>
      </c>
      <c r="AB103" t="e">
        <f>'All regions'!I2825+"$F;@!&amp;B9"</f>
        <v>#VALUE!</v>
      </c>
      <c r="AC103" t="e">
        <f>'All regions'!A2826+"$F;@!&amp;B:"</f>
        <v>#VALUE!</v>
      </c>
      <c r="AD103" t="e">
        <f>'All regions'!B2826+"$F;@!&amp;B;"</f>
        <v>#VALUE!</v>
      </c>
      <c r="AE103" t="e">
        <f>'All regions'!C2826+"$F;@!&amp;B&lt;"</f>
        <v>#VALUE!</v>
      </c>
      <c r="AF103" t="e">
        <f>'All regions'!D2826+"$F;@!&amp;B="</f>
        <v>#VALUE!</v>
      </c>
      <c r="AG103" t="e">
        <f>'All regions'!E2826+"$F;@!&amp;B&gt;"</f>
        <v>#VALUE!</v>
      </c>
      <c r="AH103" t="e">
        <f>'All regions'!F2826+"$F;@!&amp;B?"</f>
        <v>#VALUE!</v>
      </c>
      <c r="AI103" t="e">
        <f>'All regions'!G2826+"$F;@!&amp;B@"</f>
        <v>#VALUE!</v>
      </c>
      <c r="AJ103" t="e">
        <f>'All regions'!H2826+"$F;@!&amp;BA"</f>
        <v>#VALUE!</v>
      </c>
      <c r="AK103" t="e">
        <f>'All regions'!I2826+"$F;@!&amp;BB"</f>
        <v>#VALUE!</v>
      </c>
      <c r="AL103" t="e">
        <f>'All regions'!A2827+"$F;@!&amp;BC"</f>
        <v>#VALUE!</v>
      </c>
      <c r="AM103" t="e">
        <f>'All regions'!B2827+"$F;@!&amp;BD"</f>
        <v>#VALUE!</v>
      </c>
      <c r="AN103" t="e">
        <f>'All regions'!C2827+"$F;@!&amp;BE"</f>
        <v>#VALUE!</v>
      </c>
      <c r="AO103" t="e">
        <f>'All regions'!D2827+"$F;@!&amp;BF"</f>
        <v>#VALUE!</v>
      </c>
      <c r="AP103" t="e">
        <f>'All regions'!E2827+"$F;@!&amp;BG"</f>
        <v>#VALUE!</v>
      </c>
      <c r="AQ103" t="e">
        <f>'All regions'!F2827+"$F;@!&amp;BH"</f>
        <v>#VALUE!</v>
      </c>
      <c r="AR103" t="e">
        <f>'All regions'!G2827+"$F;@!&amp;BI"</f>
        <v>#VALUE!</v>
      </c>
      <c r="AS103" t="e">
        <f>'All regions'!H2827+"$F;@!&amp;BJ"</f>
        <v>#VALUE!</v>
      </c>
      <c r="AT103" t="e">
        <f>'All regions'!I2827+"$F;@!&amp;BK"</f>
        <v>#VALUE!</v>
      </c>
      <c r="AU103" t="e">
        <f>'All regions'!A2828+"$F;@!&amp;BL"</f>
        <v>#VALUE!</v>
      </c>
      <c r="AV103" t="e">
        <f>'All regions'!B2828+"$F;@!&amp;BM"</f>
        <v>#VALUE!</v>
      </c>
      <c r="AW103" t="e">
        <f>'All regions'!C2828+"$F;@!&amp;BN"</f>
        <v>#VALUE!</v>
      </c>
      <c r="AX103" t="e">
        <f>'All regions'!D2828+"$F;@!&amp;BO"</f>
        <v>#VALUE!</v>
      </c>
      <c r="AY103" t="e">
        <f>'All regions'!E2828+"$F;@!&amp;BP"</f>
        <v>#VALUE!</v>
      </c>
      <c r="AZ103" t="e">
        <f>'All regions'!F2828+"$F;@!&amp;BQ"</f>
        <v>#VALUE!</v>
      </c>
      <c r="BA103" t="e">
        <f>'All regions'!G2828+"$F;@!&amp;BR"</f>
        <v>#VALUE!</v>
      </c>
      <c r="BB103" t="e">
        <f>'All regions'!H2828+"$F;@!&amp;BS"</f>
        <v>#VALUE!</v>
      </c>
      <c r="BC103" t="e">
        <f>'All regions'!I2828+"$F;@!&amp;BT"</f>
        <v>#VALUE!</v>
      </c>
      <c r="BD103" t="e">
        <f>'All regions'!A2829+"$F;@!&amp;BU"</f>
        <v>#VALUE!</v>
      </c>
      <c r="BE103" t="e">
        <f>'All regions'!B2829+"$F;@!&amp;BV"</f>
        <v>#VALUE!</v>
      </c>
      <c r="BF103" t="e">
        <f>'All regions'!C2829+"$F;@!&amp;BW"</f>
        <v>#VALUE!</v>
      </c>
      <c r="BG103" t="e">
        <f>'All regions'!D2829+"$F;@!&amp;BX"</f>
        <v>#VALUE!</v>
      </c>
      <c r="BH103" t="e">
        <f>'All regions'!E2829+"$F;@!&amp;BY"</f>
        <v>#VALUE!</v>
      </c>
      <c r="BI103" t="e">
        <f>'All regions'!F2829+"$F;@!&amp;BZ"</f>
        <v>#VALUE!</v>
      </c>
      <c r="BJ103" t="e">
        <f>'All regions'!G2829+"$F;@!&amp;B["</f>
        <v>#VALUE!</v>
      </c>
      <c r="BK103" t="e">
        <f>'All regions'!H2829+"$F;@!&amp;B\"</f>
        <v>#VALUE!</v>
      </c>
      <c r="BL103" t="e">
        <f>'All regions'!I2829+"$F;@!&amp;B]"</f>
        <v>#VALUE!</v>
      </c>
      <c r="BM103" t="e">
        <f>'All regions'!A2830+"$F;@!&amp;B^"</f>
        <v>#VALUE!</v>
      </c>
      <c r="BN103" t="e">
        <f>'All regions'!B2830+"$F;@!&amp;B_"</f>
        <v>#VALUE!</v>
      </c>
      <c r="BO103" t="e">
        <f>'All regions'!C2830+"$F;@!&amp;B`"</f>
        <v>#VALUE!</v>
      </c>
      <c r="BP103" t="e">
        <f>'All regions'!D2830+"$F;@!&amp;Ba"</f>
        <v>#VALUE!</v>
      </c>
      <c r="BQ103" t="e">
        <f>'All regions'!E2830+"$F;@!&amp;Bb"</f>
        <v>#VALUE!</v>
      </c>
      <c r="BR103" t="e">
        <f>'All regions'!F2830+"$F;@!&amp;Bc"</f>
        <v>#VALUE!</v>
      </c>
      <c r="BS103" t="e">
        <f>'All regions'!G2830+"$F;@!&amp;Bd"</f>
        <v>#VALUE!</v>
      </c>
      <c r="BT103" t="e">
        <f>'All regions'!H2830+"$F;@!&amp;Be"</f>
        <v>#VALUE!</v>
      </c>
      <c r="BU103" t="e">
        <f>'All regions'!I2830+"$F;@!&amp;Bf"</f>
        <v>#VALUE!</v>
      </c>
      <c r="BV103" t="e">
        <f>'All regions'!A2831+"$F;@!&amp;Bg"</f>
        <v>#VALUE!</v>
      </c>
      <c r="BW103" t="e">
        <f>'All regions'!B2831+"$F;@!&amp;Bh"</f>
        <v>#VALUE!</v>
      </c>
      <c r="BX103" t="e">
        <f>'All regions'!C2831+"$F;@!&amp;Bi"</f>
        <v>#VALUE!</v>
      </c>
      <c r="BY103" t="e">
        <f>'All regions'!D2831+"$F;@!&amp;Bj"</f>
        <v>#VALUE!</v>
      </c>
      <c r="BZ103" t="e">
        <f>'All regions'!E2831+"$F;@!&amp;Bk"</f>
        <v>#VALUE!</v>
      </c>
      <c r="CA103" t="e">
        <f>'All regions'!F2831+"$F;@!&amp;Bl"</f>
        <v>#VALUE!</v>
      </c>
      <c r="CB103" t="e">
        <f>'All regions'!G2831+"$F;@!&amp;Bm"</f>
        <v>#VALUE!</v>
      </c>
      <c r="CC103" t="e">
        <f>'All regions'!H2831+"$F;@!&amp;Bn"</f>
        <v>#VALUE!</v>
      </c>
      <c r="CD103" t="e">
        <f>'All regions'!I2831+"$F;@!&amp;Bo"</f>
        <v>#VALUE!</v>
      </c>
      <c r="CE103" t="e">
        <f>'All regions'!A2832+"$F;@!&amp;Bp"</f>
        <v>#VALUE!</v>
      </c>
      <c r="CF103" t="e">
        <f>'All regions'!B2832+"$F;@!&amp;Bq"</f>
        <v>#VALUE!</v>
      </c>
      <c r="CG103" t="e">
        <f>'All regions'!C2832+"$F;@!&amp;Br"</f>
        <v>#VALUE!</v>
      </c>
      <c r="CH103" t="e">
        <f>'All regions'!D2832+"$F;@!&amp;Bs"</f>
        <v>#VALUE!</v>
      </c>
      <c r="CI103" t="e">
        <f>'All regions'!E2832+"$F;@!&amp;Bt"</f>
        <v>#VALUE!</v>
      </c>
      <c r="CJ103" t="e">
        <f>'All regions'!F2832+"$F;@!&amp;Bu"</f>
        <v>#VALUE!</v>
      </c>
      <c r="CK103" t="e">
        <f>'All regions'!G2832+"$F;@!&amp;Bv"</f>
        <v>#VALUE!</v>
      </c>
      <c r="CL103" t="e">
        <f>'All regions'!H2832+"$F;@!&amp;Bw"</f>
        <v>#VALUE!</v>
      </c>
      <c r="CM103" t="e">
        <f>'All regions'!I2832+"$F;@!&amp;Bx"</f>
        <v>#VALUE!</v>
      </c>
      <c r="CN103" t="e">
        <f>'All regions'!A2833+"$F;@!&amp;By"</f>
        <v>#VALUE!</v>
      </c>
      <c r="CO103" t="e">
        <f>'All regions'!B2833+"$F;@!&amp;Bz"</f>
        <v>#VALUE!</v>
      </c>
      <c r="CP103" t="e">
        <f>'All regions'!C2833+"$F;@!&amp;B{"</f>
        <v>#VALUE!</v>
      </c>
      <c r="CQ103" t="e">
        <f>'All regions'!D2833+"$F;@!&amp;B|"</f>
        <v>#VALUE!</v>
      </c>
      <c r="CR103" t="e">
        <f>'All regions'!E2833+"$F;@!&amp;B}"</f>
        <v>#VALUE!</v>
      </c>
      <c r="CS103" t="e">
        <f>'All regions'!F2833+"$F;@!&amp;B~"</f>
        <v>#VALUE!</v>
      </c>
      <c r="CT103" t="e">
        <f>'All regions'!G2833+"$F;@!&amp;C#"</f>
        <v>#VALUE!</v>
      </c>
      <c r="CU103" t="e">
        <f>'All regions'!H2833+"$F;@!&amp;C$"</f>
        <v>#VALUE!</v>
      </c>
      <c r="CV103" t="e">
        <f>'All regions'!I2833+"$F;@!&amp;C%"</f>
        <v>#VALUE!</v>
      </c>
      <c r="CW103" t="e">
        <f>'All regions'!A2834+"$F;@!&amp;C&amp;"</f>
        <v>#VALUE!</v>
      </c>
      <c r="CX103" t="e">
        <f>'All regions'!B2834+"$F;@!&amp;C'"</f>
        <v>#VALUE!</v>
      </c>
      <c r="CY103" t="e">
        <f>'All regions'!C2834+"$F;@!&amp;C("</f>
        <v>#VALUE!</v>
      </c>
      <c r="CZ103" t="e">
        <f>'All regions'!D2834+"$F;@!&amp;C)"</f>
        <v>#VALUE!</v>
      </c>
      <c r="DA103" t="e">
        <f>'All regions'!E2834+"$F;@!&amp;C."</f>
        <v>#VALUE!</v>
      </c>
      <c r="DB103" t="e">
        <f>'All regions'!F2834+"$F;@!&amp;C/"</f>
        <v>#VALUE!</v>
      </c>
      <c r="DC103" t="e">
        <f>'All regions'!G2834+"$F;@!&amp;C0"</f>
        <v>#VALUE!</v>
      </c>
      <c r="DD103" t="e">
        <f>'All regions'!H2834+"$F;@!&amp;C1"</f>
        <v>#VALUE!</v>
      </c>
      <c r="DE103" t="e">
        <f>'All regions'!I2834+"$F;@!&amp;C2"</f>
        <v>#VALUE!</v>
      </c>
      <c r="DF103" t="e">
        <f>'All regions'!A2835+"$F;@!&amp;C3"</f>
        <v>#VALUE!</v>
      </c>
      <c r="DG103" t="e">
        <f>'All regions'!B2835+"$F;@!&amp;C4"</f>
        <v>#VALUE!</v>
      </c>
      <c r="DH103" t="e">
        <f>'All regions'!C2835+"$F;@!&amp;C5"</f>
        <v>#VALUE!</v>
      </c>
      <c r="DI103" t="e">
        <f>'All regions'!D2835+"$F;@!&amp;C6"</f>
        <v>#VALUE!</v>
      </c>
      <c r="DJ103" t="e">
        <f>'All regions'!E2835+"$F;@!&amp;C7"</f>
        <v>#VALUE!</v>
      </c>
      <c r="DK103" t="e">
        <f>'All regions'!F2835+"$F;@!&amp;C8"</f>
        <v>#VALUE!</v>
      </c>
      <c r="DL103" t="e">
        <f>'All regions'!G2835+"$F;@!&amp;C9"</f>
        <v>#VALUE!</v>
      </c>
      <c r="DM103" t="e">
        <f>'All regions'!H2835+"$F;@!&amp;C:"</f>
        <v>#VALUE!</v>
      </c>
      <c r="DN103" t="e">
        <f>'All regions'!I2835+"$F;@!&amp;C;"</f>
        <v>#VALUE!</v>
      </c>
      <c r="DO103" t="e">
        <f>'All regions'!A2836+"$F;@!&amp;C&lt;"</f>
        <v>#VALUE!</v>
      </c>
      <c r="DP103" t="e">
        <f>'All regions'!B2836+"$F;@!&amp;C="</f>
        <v>#VALUE!</v>
      </c>
      <c r="DQ103" t="e">
        <f>'All regions'!C2836+"$F;@!&amp;C&gt;"</f>
        <v>#VALUE!</v>
      </c>
      <c r="DR103" t="e">
        <f>'All regions'!D2836+"$F;@!&amp;C?"</f>
        <v>#VALUE!</v>
      </c>
      <c r="DS103" t="e">
        <f>'All regions'!E2836+"$F;@!&amp;C@"</f>
        <v>#VALUE!</v>
      </c>
      <c r="DT103" t="e">
        <f>'All regions'!F2836+"$F;@!&amp;CA"</f>
        <v>#VALUE!</v>
      </c>
      <c r="DU103" t="e">
        <f>'All regions'!G2836+"$F;@!&amp;CB"</f>
        <v>#VALUE!</v>
      </c>
      <c r="DV103" t="e">
        <f>'All regions'!H2836+"$F;@!&amp;CC"</f>
        <v>#VALUE!</v>
      </c>
      <c r="DW103" t="e">
        <f>'All regions'!I2836+"$F;@!&amp;CD"</f>
        <v>#VALUE!</v>
      </c>
      <c r="DX103" t="e">
        <f>'All regions'!A2837+"$F;@!&amp;CE"</f>
        <v>#VALUE!</v>
      </c>
      <c r="DY103" t="e">
        <f>'All regions'!B2837+"$F;@!&amp;CF"</f>
        <v>#VALUE!</v>
      </c>
      <c r="DZ103" t="e">
        <f>'All regions'!C2837+"$F;@!&amp;CG"</f>
        <v>#VALUE!</v>
      </c>
      <c r="EA103" t="e">
        <f>'All regions'!D2837+"$F;@!&amp;CH"</f>
        <v>#VALUE!</v>
      </c>
      <c r="EB103" t="e">
        <f>'All regions'!E2837+"$F;@!&amp;CI"</f>
        <v>#VALUE!</v>
      </c>
      <c r="EC103" t="e">
        <f>'All regions'!F2837+"$F;@!&amp;CJ"</f>
        <v>#VALUE!</v>
      </c>
      <c r="ED103" t="e">
        <f>'All regions'!G2837+"$F;@!&amp;CK"</f>
        <v>#VALUE!</v>
      </c>
      <c r="EE103" t="e">
        <f>'All regions'!H2837+"$F;@!&amp;CL"</f>
        <v>#VALUE!</v>
      </c>
      <c r="EF103" t="e">
        <f>'All regions'!I2837+"$F;@!&amp;CM"</f>
        <v>#VALUE!</v>
      </c>
      <c r="EG103" t="e">
        <f>'All regions'!A2838+"$F;@!&amp;CN"</f>
        <v>#VALUE!</v>
      </c>
      <c r="EH103" t="e">
        <f>'All regions'!B2838+"$F;@!&amp;CO"</f>
        <v>#VALUE!</v>
      </c>
      <c r="EI103" t="e">
        <f>'All regions'!C2838+"$F;@!&amp;CP"</f>
        <v>#VALUE!</v>
      </c>
      <c r="EJ103" t="e">
        <f>'All regions'!D2838+"$F;@!&amp;CQ"</f>
        <v>#VALUE!</v>
      </c>
      <c r="EK103" t="e">
        <f>'All regions'!E2838+"$F;@!&amp;CR"</f>
        <v>#VALUE!</v>
      </c>
      <c r="EL103" t="e">
        <f>'All regions'!F2838+"$F;@!&amp;CS"</f>
        <v>#VALUE!</v>
      </c>
      <c r="EM103" t="e">
        <f>'All regions'!G2838+"$F;@!&amp;CT"</f>
        <v>#VALUE!</v>
      </c>
      <c r="EN103" t="e">
        <f>'All regions'!H2838+"$F;@!&amp;CU"</f>
        <v>#VALUE!</v>
      </c>
      <c r="EO103" t="e">
        <f>'All regions'!I2838+"$F;@!&amp;CV"</f>
        <v>#VALUE!</v>
      </c>
      <c r="EP103" t="e">
        <f>'All regions'!A2839+"$F;@!&amp;CW"</f>
        <v>#VALUE!</v>
      </c>
      <c r="EQ103" t="e">
        <f>'All regions'!B2839+"$F;@!&amp;CX"</f>
        <v>#VALUE!</v>
      </c>
      <c r="ER103" t="e">
        <f>'All regions'!C2839+"$F;@!&amp;CY"</f>
        <v>#VALUE!</v>
      </c>
      <c r="ES103" t="e">
        <f>'All regions'!D2839+"$F;@!&amp;CZ"</f>
        <v>#VALUE!</v>
      </c>
      <c r="ET103" t="e">
        <f>'All regions'!E2839+"$F;@!&amp;C["</f>
        <v>#VALUE!</v>
      </c>
      <c r="EU103" t="e">
        <f>'All regions'!F2839+"$F;@!&amp;C\"</f>
        <v>#VALUE!</v>
      </c>
      <c r="EV103" t="e">
        <f>'All regions'!G2839+"$F;@!&amp;C]"</f>
        <v>#VALUE!</v>
      </c>
      <c r="EW103" t="e">
        <f>'All regions'!H2839+"$F;@!&amp;C^"</f>
        <v>#VALUE!</v>
      </c>
      <c r="EX103" t="e">
        <f>'All regions'!I2839+"$F;@!&amp;C_"</f>
        <v>#VALUE!</v>
      </c>
      <c r="EY103" t="e">
        <f>'All regions'!A2840+"$F;@!&amp;C`"</f>
        <v>#VALUE!</v>
      </c>
      <c r="EZ103" t="e">
        <f>'All regions'!B2840+"$F;@!&amp;Ca"</f>
        <v>#VALUE!</v>
      </c>
      <c r="FA103" t="e">
        <f>'All regions'!C2840+"$F;@!&amp;Cb"</f>
        <v>#VALUE!</v>
      </c>
      <c r="FB103" t="e">
        <f>'All regions'!D2840+"$F;@!&amp;Cc"</f>
        <v>#VALUE!</v>
      </c>
      <c r="FC103" t="e">
        <f>'All regions'!E2840+"$F;@!&amp;Cd"</f>
        <v>#VALUE!</v>
      </c>
      <c r="FD103" t="e">
        <f>'All regions'!F2840+"$F;@!&amp;Ce"</f>
        <v>#VALUE!</v>
      </c>
      <c r="FE103" t="e">
        <f>'All regions'!G2840+"$F;@!&amp;Cf"</f>
        <v>#VALUE!</v>
      </c>
      <c r="FF103" t="e">
        <f>'All regions'!H2840+"$F;@!&amp;Cg"</f>
        <v>#VALUE!</v>
      </c>
      <c r="FG103" t="e">
        <f>'All regions'!I2840+"$F;@!&amp;Ch"</f>
        <v>#VALUE!</v>
      </c>
      <c r="FH103" t="e">
        <f>'All regions'!A2841+"$F;@!&amp;Ci"</f>
        <v>#VALUE!</v>
      </c>
      <c r="FI103" t="e">
        <f>'All regions'!B2841+"$F;@!&amp;Cj"</f>
        <v>#VALUE!</v>
      </c>
      <c r="FJ103" t="e">
        <f>'All regions'!C2841+"$F;@!&amp;Ck"</f>
        <v>#VALUE!</v>
      </c>
      <c r="FK103" t="e">
        <f>'All regions'!D2841+"$F;@!&amp;Cl"</f>
        <v>#VALUE!</v>
      </c>
      <c r="FL103" t="e">
        <f>'All regions'!E2841+"$F;@!&amp;Cm"</f>
        <v>#VALUE!</v>
      </c>
      <c r="FM103" t="e">
        <f>'All regions'!F2841+"$F;@!&amp;Cn"</f>
        <v>#VALUE!</v>
      </c>
      <c r="FN103" t="e">
        <f>'All regions'!G2841+"$F;@!&amp;Co"</f>
        <v>#VALUE!</v>
      </c>
      <c r="FO103" t="e">
        <f>'All regions'!H2841+"$F;@!&amp;Cp"</f>
        <v>#VALUE!</v>
      </c>
      <c r="FP103" t="e">
        <f>'All regions'!I2841+"$F;@!&amp;Cq"</f>
        <v>#VALUE!</v>
      </c>
      <c r="FQ103" t="e">
        <f>'All regions'!A2842+"$F;@!&amp;Cr"</f>
        <v>#VALUE!</v>
      </c>
      <c r="FR103" t="e">
        <f>'All regions'!B2842+"$F;@!&amp;Cs"</f>
        <v>#VALUE!</v>
      </c>
      <c r="FS103" t="e">
        <f>'All regions'!C2842+"$F;@!&amp;Ct"</f>
        <v>#VALUE!</v>
      </c>
      <c r="FT103" t="e">
        <f>'All regions'!D2842+"$F;@!&amp;Cu"</f>
        <v>#VALUE!</v>
      </c>
      <c r="FU103" t="e">
        <f>'All regions'!E2842+"$F;@!&amp;Cv"</f>
        <v>#VALUE!</v>
      </c>
      <c r="FV103" t="e">
        <f>'All regions'!F2842+"$F;@!&amp;Cw"</f>
        <v>#VALUE!</v>
      </c>
      <c r="FW103" t="e">
        <f>'All regions'!G2842+"$F;@!&amp;Cx"</f>
        <v>#VALUE!</v>
      </c>
      <c r="FX103" t="e">
        <f>'All regions'!H2842+"$F;@!&amp;Cy"</f>
        <v>#VALUE!</v>
      </c>
      <c r="FY103" t="e">
        <f>'All regions'!I2842+"$F;@!&amp;Cz"</f>
        <v>#VALUE!</v>
      </c>
      <c r="FZ103" t="e">
        <f>'All regions'!A2843+"$F;@!&amp;C{"</f>
        <v>#VALUE!</v>
      </c>
      <c r="GA103" t="e">
        <f>'All regions'!B2843+"$F;@!&amp;C|"</f>
        <v>#VALUE!</v>
      </c>
      <c r="GB103" t="e">
        <f>'All regions'!C2843+"$F;@!&amp;C}"</f>
        <v>#VALUE!</v>
      </c>
      <c r="GC103" t="e">
        <f>'All regions'!D2843+"$F;@!&amp;C~"</f>
        <v>#VALUE!</v>
      </c>
      <c r="GD103" t="e">
        <f>'All regions'!E2843+"$F;@!&amp;D#"</f>
        <v>#VALUE!</v>
      </c>
      <c r="GE103" t="e">
        <f>'All regions'!F2843+"$F;@!&amp;D$"</f>
        <v>#VALUE!</v>
      </c>
      <c r="GF103" t="e">
        <f>'All regions'!G2843+"$F;@!&amp;D%"</f>
        <v>#VALUE!</v>
      </c>
      <c r="GG103" t="e">
        <f>'All regions'!H2843+"$F;@!&amp;D&amp;"</f>
        <v>#VALUE!</v>
      </c>
      <c r="GH103" t="e">
        <f>'All regions'!I2843+"$F;@!&amp;D'"</f>
        <v>#VALUE!</v>
      </c>
      <c r="GI103" t="e">
        <f>'All regions'!A2844+"$F;@!&amp;D("</f>
        <v>#VALUE!</v>
      </c>
      <c r="GJ103" t="e">
        <f>'All regions'!B2844+"$F;@!&amp;D)"</f>
        <v>#VALUE!</v>
      </c>
      <c r="GK103" t="e">
        <f>'All regions'!C2844+"$F;@!&amp;D."</f>
        <v>#VALUE!</v>
      </c>
      <c r="GL103" t="e">
        <f>'All regions'!D2844+"$F;@!&amp;D/"</f>
        <v>#VALUE!</v>
      </c>
      <c r="GM103" t="e">
        <f>'All regions'!E2844+"$F;@!&amp;D0"</f>
        <v>#VALUE!</v>
      </c>
      <c r="GN103" t="e">
        <f>'All regions'!F2844+"$F;@!&amp;D1"</f>
        <v>#VALUE!</v>
      </c>
      <c r="GO103" t="e">
        <f>'All regions'!G2844+"$F;@!&amp;D2"</f>
        <v>#VALUE!</v>
      </c>
      <c r="GP103" t="e">
        <f>'All regions'!H2844+"$F;@!&amp;D3"</f>
        <v>#VALUE!</v>
      </c>
      <c r="GQ103" t="e">
        <f>'All regions'!I2844+"$F;@!&amp;D4"</f>
        <v>#VALUE!</v>
      </c>
      <c r="GR103" t="e">
        <f>'All regions'!A2845+"$F;@!&amp;D5"</f>
        <v>#VALUE!</v>
      </c>
      <c r="GS103" t="e">
        <f>'All regions'!B2845+"$F;@!&amp;D6"</f>
        <v>#VALUE!</v>
      </c>
      <c r="GT103" t="e">
        <f>'All regions'!C2845+"$F;@!&amp;D7"</f>
        <v>#VALUE!</v>
      </c>
      <c r="GU103" t="e">
        <f>'All regions'!D2845+"$F;@!&amp;D8"</f>
        <v>#VALUE!</v>
      </c>
      <c r="GV103" t="e">
        <f>'All regions'!E2845+"$F;@!&amp;D9"</f>
        <v>#VALUE!</v>
      </c>
      <c r="GW103" t="e">
        <f>'All regions'!F2845+"$F;@!&amp;D:"</f>
        <v>#VALUE!</v>
      </c>
      <c r="GX103" t="e">
        <f>'All regions'!G2845+"$F;@!&amp;D;"</f>
        <v>#VALUE!</v>
      </c>
      <c r="GY103" t="e">
        <f>'All regions'!H2845+"$F;@!&amp;D&lt;"</f>
        <v>#VALUE!</v>
      </c>
      <c r="GZ103" t="e">
        <f>'All regions'!I2845+"$F;@!&amp;D="</f>
        <v>#VALUE!</v>
      </c>
      <c r="HA103" t="e">
        <f>'All regions'!A2846+"$F;@!&amp;D&gt;"</f>
        <v>#VALUE!</v>
      </c>
      <c r="HB103" t="e">
        <f>'All regions'!B2846+"$F;@!&amp;D?"</f>
        <v>#VALUE!</v>
      </c>
      <c r="HC103" t="e">
        <f>'All regions'!C2846+"$F;@!&amp;D@"</f>
        <v>#VALUE!</v>
      </c>
      <c r="HD103" t="e">
        <f>'All regions'!D2846+"$F;@!&amp;DA"</f>
        <v>#VALUE!</v>
      </c>
      <c r="HE103" t="e">
        <f>'All regions'!E2846+"$F;@!&amp;DB"</f>
        <v>#VALUE!</v>
      </c>
      <c r="HF103" t="e">
        <f>'All regions'!F2846+"$F;@!&amp;DC"</f>
        <v>#VALUE!</v>
      </c>
      <c r="HG103" t="e">
        <f>'All regions'!G2846+"$F;@!&amp;DD"</f>
        <v>#VALUE!</v>
      </c>
      <c r="HH103" t="e">
        <f>'All regions'!H2846+"$F;@!&amp;DE"</f>
        <v>#VALUE!</v>
      </c>
      <c r="HI103" t="e">
        <f>'All regions'!I2846+"$F;@!&amp;DF"</f>
        <v>#VALUE!</v>
      </c>
      <c r="HJ103" t="e">
        <f>'All regions'!A2847+"$F;@!&amp;DG"</f>
        <v>#VALUE!</v>
      </c>
      <c r="HK103" t="e">
        <f>'All regions'!B2847+"$F;@!&amp;DH"</f>
        <v>#VALUE!</v>
      </c>
      <c r="HL103" t="e">
        <f>'All regions'!C2847+"$F;@!&amp;DI"</f>
        <v>#VALUE!</v>
      </c>
      <c r="HM103" t="e">
        <f>'All regions'!D2847+"$F;@!&amp;DJ"</f>
        <v>#VALUE!</v>
      </c>
      <c r="HN103" t="e">
        <f>'All regions'!E2847+"$F;@!&amp;DK"</f>
        <v>#VALUE!</v>
      </c>
      <c r="HO103" t="e">
        <f>'All regions'!F2847+"$F;@!&amp;DL"</f>
        <v>#VALUE!</v>
      </c>
      <c r="HP103" t="e">
        <f>'All regions'!G2847+"$F;@!&amp;DM"</f>
        <v>#VALUE!</v>
      </c>
      <c r="HQ103" t="e">
        <f>'All regions'!H2847+"$F;@!&amp;DN"</f>
        <v>#VALUE!</v>
      </c>
      <c r="HR103" t="e">
        <f>'All regions'!I2847+"$F;@!&amp;DO"</f>
        <v>#VALUE!</v>
      </c>
      <c r="HS103" t="e">
        <f>'All regions'!A2848+"$F;@!&amp;DP"</f>
        <v>#VALUE!</v>
      </c>
      <c r="HT103" t="e">
        <f>'All regions'!B2848+"$F;@!&amp;DQ"</f>
        <v>#VALUE!</v>
      </c>
      <c r="HU103" t="e">
        <f>'All regions'!C2848+"$F;@!&amp;DR"</f>
        <v>#VALUE!</v>
      </c>
      <c r="HV103" t="e">
        <f>'All regions'!D2848+"$F;@!&amp;DS"</f>
        <v>#VALUE!</v>
      </c>
      <c r="HW103" t="e">
        <f>'All regions'!E2848+"$F;@!&amp;DT"</f>
        <v>#VALUE!</v>
      </c>
      <c r="HX103" t="e">
        <f>'All regions'!F2848+"$F;@!&amp;DU"</f>
        <v>#VALUE!</v>
      </c>
      <c r="HY103" t="e">
        <f>'All regions'!G2848+"$F;@!&amp;DV"</f>
        <v>#VALUE!</v>
      </c>
      <c r="HZ103" t="e">
        <f>'All regions'!H2848+"$F;@!&amp;DW"</f>
        <v>#VALUE!</v>
      </c>
      <c r="IA103" t="e">
        <f>'All regions'!I2848+"$F;@!&amp;DX"</f>
        <v>#VALUE!</v>
      </c>
      <c r="IB103" t="e">
        <f>'All regions'!A2849+"$F;@!&amp;DY"</f>
        <v>#VALUE!</v>
      </c>
      <c r="IC103" t="e">
        <f>'All regions'!B2849+"$F;@!&amp;DZ"</f>
        <v>#VALUE!</v>
      </c>
      <c r="ID103" t="e">
        <f>'All regions'!C2849+"$F;@!&amp;D["</f>
        <v>#VALUE!</v>
      </c>
      <c r="IE103" t="e">
        <f>'All regions'!D2849+"$F;@!&amp;D\"</f>
        <v>#VALUE!</v>
      </c>
      <c r="IF103" t="e">
        <f>'All regions'!E2849+"$F;@!&amp;D]"</f>
        <v>#VALUE!</v>
      </c>
      <c r="IG103" t="e">
        <f>'All regions'!F2849+"$F;@!&amp;D^"</f>
        <v>#VALUE!</v>
      </c>
      <c r="IH103" t="e">
        <f>'All regions'!G2849+"$F;@!&amp;D_"</f>
        <v>#VALUE!</v>
      </c>
      <c r="II103" t="e">
        <f>'All regions'!H2849+"$F;@!&amp;D`"</f>
        <v>#VALUE!</v>
      </c>
      <c r="IJ103" t="e">
        <f>'All regions'!I2849+"$F;@!&amp;Da"</f>
        <v>#VALUE!</v>
      </c>
      <c r="IK103" t="e">
        <f>'All regions'!A2850+"$F;@!&amp;Db"</f>
        <v>#VALUE!</v>
      </c>
      <c r="IL103" t="e">
        <f>'All regions'!B2850+"$F;@!&amp;Dc"</f>
        <v>#VALUE!</v>
      </c>
      <c r="IM103" t="e">
        <f>'All regions'!C2850+"$F;@!&amp;Dd"</f>
        <v>#VALUE!</v>
      </c>
      <c r="IN103" t="e">
        <f>'All regions'!D2850+"$F;@!&amp;De"</f>
        <v>#VALUE!</v>
      </c>
      <c r="IO103" t="e">
        <f>'All regions'!E2850+"$F;@!&amp;Df"</f>
        <v>#VALUE!</v>
      </c>
      <c r="IP103" t="e">
        <f>'All regions'!F2850+"$F;@!&amp;Dg"</f>
        <v>#VALUE!</v>
      </c>
      <c r="IQ103" t="e">
        <f>'All regions'!G2850+"$F;@!&amp;Dh"</f>
        <v>#VALUE!</v>
      </c>
      <c r="IR103" t="e">
        <f>'All regions'!H2850+"$F;@!&amp;Di"</f>
        <v>#VALUE!</v>
      </c>
      <c r="IS103" t="e">
        <f>'All regions'!I2850+"$F;@!&amp;Dj"</f>
        <v>#VALUE!</v>
      </c>
      <c r="IT103" t="e">
        <f>'All regions'!A2851+"$F;@!&amp;Dk"</f>
        <v>#VALUE!</v>
      </c>
      <c r="IU103" t="e">
        <f>'All regions'!B2851+"$F;@!&amp;Dl"</f>
        <v>#VALUE!</v>
      </c>
      <c r="IV103" t="e">
        <f>'All regions'!C2851+"$F;@!&amp;Dm"</f>
        <v>#VALUE!</v>
      </c>
    </row>
    <row r="104" spans="6:256" x14ac:dyDescent="0.35">
      <c r="F104" t="e">
        <f>'All regions'!D2851+"$F;@!&amp;Dn"</f>
        <v>#VALUE!</v>
      </c>
      <c r="G104" t="e">
        <f>'All regions'!E2851+"$F;@!&amp;Do"</f>
        <v>#VALUE!</v>
      </c>
      <c r="H104" t="e">
        <f>'All regions'!F2851+"$F;@!&amp;Dp"</f>
        <v>#VALUE!</v>
      </c>
      <c r="I104" t="e">
        <f>'All regions'!G2851+"$F;@!&amp;Dq"</f>
        <v>#VALUE!</v>
      </c>
      <c r="J104" t="e">
        <f>'All regions'!H2851+"$F;@!&amp;Dr"</f>
        <v>#VALUE!</v>
      </c>
      <c r="K104" t="e">
        <f>'All regions'!I2851+"$F;@!&amp;Ds"</f>
        <v>#VALUE!</v>
      </c>
      <c r="L104" t="e">
        <f>'All regions'!A2852+"$F;@!&amp;Dt"</f>
        <v>#VALUE!</v>
      </c>
      <c r="M104" t="e">
        <f>'All regions'!B2852+"$F;@!&amp;Du"</f>
        <v>#VALUE!</v>
      </c>
      <c r="N104" t="e">
        <f>'All regions'!C2852+"$F;@!&amp;Dv"</f>
        <v>#VALUE!</v>
      </c>
      <c r="O104" t="e">
        <f>'All regions'!D2852+"$F;@!&amp;Dw"</f>
        <v>#VALUE!</v>
      </c>
      <c r="P104" t="e">
        <f>'All regions'!E2852+"$F;@!&amp;Dx"</f>
        <v>#VALUE!</v>
      </c>
      <c r="Q104" t="e">
        <f>'All regions'!F2852+"$F;@!&amp;Dy"</f>
        <v>#VALUE!</v>
      </c>
      <c r="R104" t="e">
        <f>'All regions'!G2852+"$F;@!&amp;Dz"</f>
        <v>#VALUE!</v>
      </c>
      <c r="S104" t="e">
        <f>'All regions'!H2852+"$F;@!&amp;D{"</f>
        <v>#VALUE!</v>
      </c>
      <c r="T104" t="e">
        <f>'All regions'!I2852+"$F;@!&amp;D|"</f>
        <v>#VALUE!</v>
      </c>
      <c r="U104" t="e">
        <f>'All regions'!A2853+"$F;@!&amp;D}"</f>
        <v>#VALUE!</v>
      </c>
      <c r="V104" t="e">
        <f>'All regions'!B2853+"$F;@!&amp;D~"</f>
        <v>#VALUE!</v>
      </c>
      <c r="W104" t="e">
        <f>'All regions'!C2853+"$F;@!&amp;E#"</f>
        <v>#VALUE!</v>
      </c>
      <c r="X104" t="e">
        <f>'All regions'!D2853+"$F;@!&amp;E$"</f>
        <v>#VALUE!</v>
      </c>
      <c r="Y104" t="e">
        <f>'All regions'!E2853+"$F;@!&amp;E%"</f>
        <v>#VALUE!</v>
      </c>
      <c r="Z104" t="e">
        <f>'All regions'!F2853+"$F;@!&amp;E&amp;"</f>
        <v>#VALUE!</v>
      </c>
      <c r="AA104" t="e">
        <f>'All regions'!G2853+"$F;@!&amp;E'"</f>
        <v>#VALUE!</v>
      </c>
      <c r="AB104" t="e">
        <f>'All regions'!H2853+"$F;@!&amp;E("</f>
        <v>#VALUE!</v>
      </c>
      <c r="AC104" t="e">
        <f>'All regions'!I2853+"$F;@!&amp;E)"</f>
        <v>#VALUE!</v>
      </c>
      <c r="AD104" t="e">
        <f>'All regions'!A2854+"$F;@!&amp;E."</f>
        <v>#VALUE!</v>
      </c>
      <c r="AE104" t="e">
        <f>'All regions'!B2854+"$F;@!&amp;E/"</f>
        <v>#VALUE!</v>
      </c>
      <c r="AF104" t="e">
        <f>'All regions'!C2854+"$F;@!&amp;E0"</f>
        <v>#VALUE!</v>
      </c>
      <c r="AG104" t="e">
        <f>'All regions'!D2854+"$F;@!&amp;E1"</f>
        <v>#VALUE!</v>
      </c>
      <c r="AH104" t="e">
        <f>'All regions'!E2854+"$F;@!&amp;E2"</f>
        <v>#VALUE!</v>
      </c>
      <c r="AI104" t="e">
        <f>'All regions'!F2854+"$F;@!&amp;E3"</f>
        <v>#VALUE!</v>
      </c>
      <c r="AJ104" t="e">
        <f>'All regions'!G2854+"$F;@!&amp;E4"</f>
        <v>#VALUE!</v>
      </c>
      <c r="AK104" t="e">
        <f>'All regions'!H2854+"$F;@!&amp;E5"</f>
        <v>#VALUE!</v>
      </c>
      <c r="AL104" t="e">
        <f>'All regions'!I2854+"$F;@!&amp;E6"</f>
        <v>#VALUE!</v>
      </c>
      <c r="AM104" t="e">
        <f>'All regions'!A2855+"$F;@!&amp;E7"</f>
        <v>#VALUE!</v>
      </c>
      <c r="AN104" t="e">
        <f>'All regions'!B2855+"$F;@!&amp;E8"</f>
        <v>#VALUE!</v>
      </c>
      <c r="AO104" t="e">
        <f>'All regions'!C2855+"$F;@!&amp;E9"</f>
        <v>#VALUE!</v>
      </c>
      <c r="AP104" t="e">
        <f>'All regions'!D2855+"$F;@!&amp;E:"</f>
        <v>#VALUE!</v>
      </c>
      <c r="AQ104" t="e">
        <f>'All regions'!E2855+"$F;@!&amp;E;"</f>
        <v>#VALUE!</v>
      </c>
      <c r="AR104" t="e">
        <f>'All regions'!F2855+"$F;@!&amp;E&lt;"</f>
        <v>#VALUE!</v>
      </c>
      <c r="AS104" t="e">
        <f>'All regions'!G2855+"$F;@!&amp;E="</f>
        <v>#VALUE!</v>
      </c>
      <c r="AT104" t="e">
        <f>'All regions'!H2855+"$F;@!&amp;E&gt;"</f>
        <v>#VALUE!</v>
      </c>
      <c r="AU104" t="e">
        <f>'All regions'!I2855+"$F;@!&amp;E?"</f>
        <v>#VALUE!</v>
      </c>
      <c r="AV104" t="e">
        <f>'All regions'!A2856+"$F;@!&amp;E@"</f>
        <v>#VALUE!</v>
      </c>
      <c r="AW104" t="e">
        <f>'All regions'!B2856+"$F;@!&amp;EA"</f>
        <v>#VALUE!</v>
      </c>
      <c r="AX104" t="e">
        <f>'All regions'!C2856+"$F;@!&amp;EB"</f>
        <v>#VALUE!</v>
      </c>
      <c r="AY104" t="e">
        <f>'All regions'!D2856+"$F;@!&amp;EC"</f>
        <v>#VALUE!</v>
      </c>
      <c r="AZ104" t="e">
        <f>'All regions'!E2856+"$F;@!&amp;ED"</f>
        <v>#VALUE!</v>
      </c>
      <c r="BA104" t="e">
        <f>'All regions'!F2856+"$F;@!&amp;EE"</f>
        <v>#VALUE!</v>
      </c>
      <c r="BB104" t="e">
        <f>'All regions'!G2856+"$F;@!&amp;EF"</f>
        <v>#VALUE!</v>
      </c>
      <c r="BC104" t="e">
        <f>'All regions'!H2856+"$F;@!&amp;EG"</f>
        <v>#VALUE!</v>
      </c>
      <c r="BD104" t="e">
        <f>'All regions'!I2856+"$F;@!&amp;EH"</f>
        <v>#VALUE!</v>
      </c>
      <c r="BE104" t="e">
        <f>'All regions'!A2857+"$F;@!&amp;EI"</f>
        <v>#VALUE!</v>
      </c>
      <c r="BF104" t="e">
        <f>'All regions'!B2857+"$F;@!&amp;EJ"</f>
        <v>#VALUE!</v>
      </c>
      <c r="BG104" t="e">
        <f>'All regions'!C2857+"$F;@!&amp;EK"</f>
        <v>#VALUE!</v>
      </c>
      <c r="BH104" t="e">
        <f>'All regions'!D2857+"$F;@!&amp;EL"</f>
        <v>#VALUE!</v>
      </c>
      <c r="BI104" t="e">
        <f>'All regions'!E2857+"$F;@!&amp;EM"</f>
        <v>#VALUE!</v>
      </c>
      <c r="BJ104" t="e">
        <f>'All regions'!F2857+"$F;@!&amp;EN"</f>
        <v>#VALUE!</v>
      </c>
      <c r="BK104" t="e">
        <f>'All regions'!G2857+"$F;@!&amp;EO"</f>
        <v>#VALUE!</v>
      </c>
      <c r="BL104" t="e">
        <f>'All regions'!H2857+"$F;@!&amp;EP"</f>
        <v>#VALUE!</v>
      </c>
      <c r="BM104" t="e">
        <f>'All regions'!I2857+"$F;@!&amp;EQ"</f>
        <v>#VALUE!</v>
      </c>
      <c r="BN104" t="e">
        <f>'All regions'!A2858+"$F;@!&amp;ER"</f>
        <v>#VALUE!</v>
      </c>
      <c r="BO104" t="e">
        <f>'All regions'!B2858+"$F;@!&amp;ES"</f>
        <v>#VALUE!</v>
      </c>
      <c r="BP104" t="e">
        <f>'All regions'!C2858+"$F;@!&amp;ET"</f>
        <v>#VALUE!</v>
      </c>
      <c r="BQ104" t="e">
        <f>'All regions'!D2858+"$F;@!&amp;EU"</f>
        <v>#VALUE!</v>
      </c>
      <c r="BR104" t="e">
        <f>'All regions'!E2858+"$F;@!&amp;EV"</f>
        <v>#VALUE!</v>
      </c>
      <c r="BS104" t="e">
        <f>'All regions'!F2858+"$F;@!&amp;EW"</f>
        <v>#VALUE!</v>
      </c>
      <c r="BT104" t="e">
        <f>'All regions'!G2858+"$F;@!&amp;EX"</f>
        <v>#VALUE!</v>
      </c>
      <c r="BU104" t="e">
        <f>'All regions'!H2858+"$F;@!&amp;EY"</f>
        <v>#VALUE!</v>
      </c>
      <c r="BV104" t="e">
        <f>'All regions'!I2858+"$F;@!&amp;EZ"</f>
        <v>#VALUE!</v>
      </c>
      <c r="BW104" t="e">
        <f>'All regions'!A2859+"$F;@!&amp;E["</f>
        <v>#VALUE!</v>
      </c>
      <c r="BX104" t="e">
        <f>'All regions'!B2859+"$F;@!&amp;E\"</f>
        <v>#VALUE!</v>
      </c>
      <c r="BY104" t="e">
        <f>'All regions'!C2859+"$F;@!&amp;E]"</f>
        <v>#VALUE!</v>
      </c>
      <c r="BZ104" t="e">
        <f>'All regions'!D2859+"$F;@!&amp;E^"</f>
        <v>#VALUE!</v>
      </c>
      <c r="CA104" t="e">
        <f>'All regions'!E2859+"$F;@!&amp;E_"</f>
        <v>#VALUE!</v>
      </c>
      <c r="CB104" t="e">
        <f>'All regions'!F2859+"$F;@!&amp;E`"</f>
        <v>#VALUE!</v>
      </c>
      <c r="CC104" t="e">
        <f>'All regions'!G2859+"$F;@!&amp;Ea"</f>
        <v>#VALUE!</v>
      </c>
      <c r="CD104" t="e">
        <f>'All regions'!H2859+"$F;@!&amp;Eb"</f>
        <v>#VALUE!</v>
      </c>
      <c r="CE104" t="e">
        <f>'All regions'!I2859+"$F;@!&amp;Ec"</f>
        <v>#VALUE!</v>
      </c>
      <c r="CF104" t="e">
        <f>'All regions'!A2860+"$F;@!&amp;Ed"</f>
        <v>#VALUE!</v>
      </c>
      <c r="CG104" t="e">
        <f>'All regions'!B2860+"$F;@!&amp;Ee"</f>
        <v>#VALUE!</v>
      </c>
      <c r="CH104" t="e">
        <f>'All regions'!C2860+"$F;@!&amp;Ef"</f>
        <v>#VALUE!</v>
      </c>
      <c r="CI104" t="e">
        <f>'All regions'!D2860+"$F;@!&amp;Eg"</f>
        <v>#VALUE!</v>
      </c>
      <c r="CJ104" t="e">
        <f>'All regions'!E2860+"$F;@!&amp;Eh"</f>
        <v>#VALUE!</v>
      </c>
      <c r="CK104" t="e">
        <f>'All regions'!F2860+"$F;@!&amp;Ei"</f>
        <v>#VALUE!</v>
      </c>
      <c r="CL104" t="e">
        <f>'All regions'!G2860+"$F;@!&amp;Ej"</f>
        <v>#VALUE!</v>
      </c>
      <c r="CM104" t="e">
        <f>'All regions'!H2860+"$F;@!&amp;Ek"</f>
        <v>#VALUE!</v>
      </c>
      <c r="CN104" t="e">
        <f>'All regions'!I2860+"$F;@!&amp;El"</f>
        <v>#VALUE!</v>
      </c>
      <c r="CO104" t="e">
        <f>'All regions'!A2861+"$F;@!&amp;Em"</f>
        <v>#VALUE!</v>
      </c>
      <c r="CP104" t="e">
        <f>'All regions'!B2861+"$F;@!&amp;En"</f>
        <v>#VALUE!</v>
      </c>
      <c r="CQ104" t="e">
        <f>'All regions'!C2861+"$F;@!&amp;Eo"</f>
        <v>#VALUE!</v>
      </c>
      <c r="CR104" t="e">
        <f>'All regions'!D2861+"$F;@!&amp;Ep"</f>
        <v>#VALUE!</v>
      </c>
      <c r="CS104" t="e">
        <f>'All regions'!E2861+"$F;@!&amp;Eq"</f>
        <v>#VALUE!</v>
      </c>
      <c r="CT104" t="e">
        <f>'All regions'!F2861+"$F;@!&amp;Er"</f>
        <v>#VALUE!</v>
      </c>
      <c r="CU104" t="e">
        <f>'All regions'!G2861+"$F;@!&amp;Es"</f>
        <v>#VALUE!</v>
      </c>
      <c r="CV104" t="e">
        <f>'All regions'!H2861+"$F;@!&amp;Et"</f>
        <v>#VALUE!</v>
      </c>
      <c r="CW104" t="e">
        <f>'All regions'!I2861+"$F;@!&amp;Eu"</f>
        <v>#VALUE!</v>
      </c>
      <c r="CX104" t="e">
        <f>'All regions'!A2862+"$F;@!&amp;Ev"</f>
        <v>#VALUE!</v>
      </c>
      <c r="CY104" t="e">
        <f>'All regions'!B2862+"$F;@!&amp;Ew"</f>
        <v>#VALUE!</v>
      </c>
      <c r="CZ104" t="e">
        <f>'All regions'!C2862+"$F;@!&amp;Ex"</f>
        <v>#VALUE!</v>
      </c>
      <c r="DA104" t="e">
        <f>'All regions'!D2862+"$F;@!&amp;Ey"</f>
        <v>#VALUE!</v>
      </c>
      <c r="DB104" t="e">
        <f>'All regions'!E2862+"$F;@!&amp;Ez"</f>
        <v>#VALUE!</v>
      </c>
      <c r="DC104" t="e">
        <f>'All regions'!F2862+"$F;@!&amp;E{"</f>
        <v>#VALUE!</v>
      </c>
      <c r="DD104" t="e">
        <f>'All regions'!G2862+"$F;@!&amp;E|"</f>
        <v>#VALUE!</v>
      </c>
      <c r="DE104" t="e">
        <f>'All regions'!H2862+"$F;@!&amp;E}"</f>
        <v>#VALUE!</v>
      </c>
      <c r="DF104" t="e">
        <f>'All regions'!I2862+"$F;@!&amp;E~"</f>
        <v>#VALUE!</v>
      </c>
      <c r="DG104" t="e">
        <f>'All regions'!A2863+"$F;@!&amp;F#"</f>
        <v>#VALUE!</v>
      </c>
      <c r="DH104" t="e">
        <f>'All regions'!B2863+"$F;@!&amp;F$"</f>
        <v>#VALUE!</v>
      </c>
      <c r="DI104" t="e">
        <f>'All regions'!C2863+"$F;@!&amp;F%"</f>
        <v>#VALUE!</v>
      </c>
      <c r="DJ104" t="e">
        <f>'All regions'!D2863+"$F;@!&amp;F&amp;"</f>
        <v>#VALUE!</v>
      </c>
      <c r="DK104" t="e">
        <f>'All regions'!E2863+"$F;@!&amp;F'"</f>
        <v>#VALUE!</v>
      </c>
      <c r="DL104" t="e">
        <f>'All regions'!F2863+"$F;@!&amp;F("</f>
        <v>#VALUE!</v>
      </c>
      <c r="DM104" t="e">
        <f>'All regions'!G2863+"$F;@!&amp;F)"</f>
        <v>#VALUE!</v>
      </c>
      <c r="DN104" t="e">
        <f>'All regions'!H2863+"$F;@!&amp;F."</f>
        <v>#VALUE!</v>
      </c>
      <c r="DO104" t="e">
        <f>'All regions'!I2863+"$F;@!&amp;F/"</f>
        <v>#VALUE!</v>
      </c>
      <c r="DP104" t="e">
        <f>'All regions'!A2864+"$F;@!&amp;F0"</f>
        <v>#VALUE!</v>
      </c>
      <c r="DQ104" t="e">
        <f>'All regions'!B2864+"$F;@!&amp;F1"</f>
        <v>#VALUE!</v>
      </c>
      <c r="DR104" t="e">
        <f>'All regions'!C2864+"$F;@!&amp;F2"</f>
        <v>#VALUE!</v>
      </c>
      <c r="DS104" t="e">
        <f>'All regions'!D2864+"$F;@!&amp;F3"</f>
        <v>#VALUE!</v>
      </c>
      <c r="DT104" t="e">
        <f>'All regions'!E2864+"$F;@!&amp;F4"</f>
        <v>#VALUE!</v>
      </c>
      <c r="DU104" t="e">
        <f>'All regions'!F2864+"$F;@!&amp;F5"</f>
        <v>#VALUE!</v>
      </c>
      <c r="DV104" t="e">
        <f>'All regions'!G2864+"$F;@!&amp;F6"</f>
        <v>#VALUE!</v>
      </c>
      <c r="DW104" t="e">
        <f>'All regions'!H2864+"$F;@!&amp;F7"</f>
        <v>#VALUE!</v>
      </c>
      <c r="DX104" t="e">
        <f>'All regions'!I2864+"$F;@!&amp;F8"</f>
        <v>#VALUE!</v>
      </c>
      <c r="DY104" t="e">
        <f>'All regions'!A2865+"$F;@!&amp;F9"</f>
        <v>#VALUE!</v>
      </c>
      <c r="DZ104" t="e">
        <f>'All regions'!B2865+"$F;@!&amp;F:"</f>
        <v>#VALUE!</v>
      </c>
      <c r="EA104" t="e">
        <f>'All regions'!C2865+"$F;@!&amp;F;"</f>
        <v>#VALUE!</v>
      </c>
      <c r="EB104" t="e">
        <f>'All regions'!D2865+"$F;@!&amp;F&lt;"</f>
        <v>#VALUE!</v>
      </c>
      <c r="EC104" t="e">
        <f>'All regions'!E2865+"$F;@!&amp;F="</f>
        <v>#VALUE!</v>
      </c>
      <c r="ED104" t="e">
        <f>'All regions'!F2865+"$F;@!&amp;F&gt;"</f>
        <v>#VALUE!</v>
      </c>
      <c r="EE104" t="e">
        <f>'All regions'!G2865+"$F;@!&amp;F?"</f>
        <v>#VALUE!</v>
      </c>
      <c r="EF104" t="e">
        <f>'All regions'!H2865+"$F;@!&amp;F@"</f>
        <v>#VALUE!</v>
      </c>
      <c r="EG104" t="e">
        <f>'All regions'!I2865+"$F;@!&amp;FA"</f>
        <v>#VALUE!</v>
      </c>
      <c r="EH104" t="e">
        <f>'All regions'!A2866+"$F;@!&amp;FB"</f>
        <v>#VALUE!</v>
      </c>
      <c r="EI104" t="e">
        <f>'All regions'!B2866+"$F;@!&amp;FC"</f>
        <v>#VALUE!</v>
      </c>
      <c r="EJ104" t="e">
        <f>'All regions'!C2866+"$F;@!&amp;FD"</f>
        <v>#VALUE!</v>
      </c>
      <c r="EK104" t="e">
        <f>'All regions'!D2866+"$F;@!&amp;FE"</f>
        <v>#VALUE!</v>
      </c>
      <c r="EL104" t="e">
        <f>'All regions'!E2866+"$F;@!&amp;FF"</f>
        <v>#VALUE!</v>
      </c>
      <c r="EM104" t="e">
        <f>'All regions'!F2866+"$F;@!&amp;FG"</f>
        <v>#VALUE!</v>
      </c>
      <c r="EN104" t="e">
        <f>'All regions'!G2866+"$F;@!&amp;FH"</f>
        <v>#VALUE!</v>
      </c>
      <c r="EO104" t="e">
        <f>'All regions'!H2866+"$F;@!&amp;FI"</f>
        <v>#VALUE!</v>
      </c>
      <c r="EP104" t="e">
        <f>'All regions'!I2866+"$F;@!&amp;FJ"</f>
        <v>#VALUE!</v>
      </c>
      <c r="EQ104" t="e">
        <f>'All regions'!A2867+"$F;@!&amp;FK"</f>
        <v>#VALUE!</v>
      </c>
      <c r="ER104" t="e">
        <f>'All regions'!B2867+"$F;@!&amp;FL"</f>
        <v>#VALUE!</v>
      </c>
      <c r="ES104" t="e">
        <f>'All regions'!C2867+"$F;@!&amp;FM"</f>
        <v>#VALUE!</v>
      </c>
      <c r="ET104" t="e">
        <f>'All regions'!D2867+"$F;@!&amp;FN"</f>
        <v>#VALUE!</v>
      </c>
      <c r="EU104" t="e">
        <f>'All regions'!E2867+"$F;@!&amp;FO"</f>
        <v>#VALUE!</v>
      </c>
      <c r="EV104" t="e">
        <f>'All regions'!F2867+"$F;@!&amp;FP"</f>
        <v>#VALUE!</v>
      </c>
      <c r="EW104" t="e">
        <f>'All regions'!G2867+"$F;@!&amp;FQ"</f>
        <v>#VALUE!</v>
      </c>
      <c r="EX104" t="e">
        <f>'All regions'!H2867+"$F;@!&amp;FR"</f>
        <v>#VALUE!</v>
      </c>
      <c r="EY104" t="e">
        <f>'All regions'!I2867+"$F;@!&amp;FS"</f>
        <v>#VALUE!</v>
      </c>
      <c r="EZ104" t="e">
        <f>'All regions'!A2868+"$F;@!&amp;FT"</f>
        <v>#VALUE!</v>
      </c>
      <c r="FA104" t="e">
        <f>'All regions'!B2868+"$F;@!&amp;FU"</f>
        <v>#VALUE!</v>
      </c>
      <c r="FB104" t="e">
        <f>'All regions'!C2868+"$F;@!&amp;FV"</f>
        <v>#VALUE!</v>
      </c>
      <c r="FC104" t="e">
        <f>'All regions'!D2868+"$F;@!&amp;FW"</f>
        <v>#VALUE!</v>
      </c>
      <c r="FD104" t="e">
        <f>'All regions'!E2868+"$F;@!&amp;FX"</f>
        <v>#VALUE!</v>
      </c>
      <c r="FE104" t="e">
        <f>'All regions'!F2868+"$F;@!&amp;FY"</f>
        <v>#VALUE!</v>
      </c>
      <c r="FF104" t="e">
        <f>'All regions'!G2868+"$F;@!&amp;FZ"</f>
        <v>#VALUE!</v>
      </c>
      <c r="FG104" t="e">
        <f>'All regions'!H2868+"$F;@!&amp;F["</f>
        <v>#VALUE!</v>
      </c>
      <c r="FH104" t="e">
        <f>'All regions'!I2868+"$F;@!&amp;F\"</f>
        <v>#VALUE!</v>
      </c>
      <c r="FI104" t="e">
        <f>'All regions'!A2869+"$F;@!&amp;F]"</f>
        <v>#VALUE!</v>
      </c>
      <c r="FJ104" t="e">
        <f>'All regions'!B2869+"$F;@!&amp;F^"</f>
        <v>#VALUE!</v>
      </c>
      <c r="FK104" t="e">
        <f>'All regions'!C2869+"$F;@!&amp;F_"</f>
        <v>#VALUE!</v>
      </c>
      <c r="FL104" t="e">
        <f>'All regions'!D2869+"$F;@!&amp;F`"</f>
        <v>#VALUE!</v>
      </c>
      <c r="FM104" t="e">
        <f>'All regions'!E2869+"$F;@!&amp;Fa"</f>
        <v>#VALUE!</v>
      </c>
      <c r="FN104" t="e">
        <f>'All regions'!F2869+"$F;@!&amp;Fb"</f>
        <v>#VALUE!</v>
      </c>
      <c r="FO104" t="e">
        <f>'All regions'!G2869+"$F;@!&amp;Fc"</f>
        <v>#VALUE!</v>
      </c>
      <c r="FP104" t="e">
        <f>'All regions'!H2869+"$F;@!&amp;Fd"</f>
        <v>#VALUE!</v>
      </c>
      <c r="FQ104" t="e">
        <f>'All regions'!I2869+"$F;@!&amp;Fe"</f>
        <v>#VALUE!</v>
      </c>
      <c r="FR104" t="e">
        <f>'All regions'!A2870+"$F;@!&amp;Ff"</f>
        <v>#VALUE!</v>
      </c>
      <c r="FS104" t="e">
        <f>'All regions'!B2870+"$F;@!&amp;Fg"</f>
        <v>#VALUE!</v>
      </c>
      <c r="FT104" t="e">
        <f>'All regions'!C2870+"$F;@!&amp;Fh"</f>
        <v>#VALUE!</v>
      </c>
      <c r="FU104" t="e">
        <f>'All regions'!D2870+"$F;@!&amp;Fi"</f>
        <v>#VALUE!</v>
      </c>
      <c r="FV104" t="e">
        <f>'All regions'!E2870+"$F;@!&amp;Fj"</f>
        <v>#VALUE!</v>
      </c>
      <c r="FW104" t="e">
        <f>'All regions'!F2870+"$F;@!&amp;Fk"</f>
        <v>#VALUE!</v>
      </c>
      <c r="FX104" t="e">
        <f>'All regions'!G2870+"$F;@!&amp;Fl"</f>
        <v>#VALUE!</v>
      </c>
      <c r="FY104" t="e">
        <f>'All regions'!H2870+"$F;@!&amp;Fm"</f>
        <v>#VALUE!</v>
      </c>
      <c r="FZ104" t="e">
        <f>'All regions'!I2870+"$F;@!&amp;Fn"</f>
        <v>#VALUE!</v>
      </c>
      <c r="GA104" t="e">
        <f>'All regions'!A2871+"$F;@!&amp;Fo"</f>
        <v>#VALUE!</v>
      </c>
      <c r="GB104" t="e">
        <f>'All regions'!B2871+"$F;@!&amp;Fp"</f>
        <v>#VALUE!</v>
      </c>
      <c r="GC104" t="e">
        <f>'All regions'!C2871+"$F;@!&amp;Fq"</f>
        <v>#VALUE!</v>
      </c>
      <c r="GD104" t="e">
        <f>'All regions'!D2871+"$F;@!&amp;Fr"</f>
        <v>#VALUE!</v>
      </c>
      <c r="GE104" t="e">
        <f>'All regions'!E2871+"$F;@!&amp;Fs"</f>
        <v>#VALUE!</v>
      </c>
      <c r="GF104" t="e">
        <f>'All regions'!F2871+"$F;@!&amp;Ft"</f>
        <v>#VALUE!</v>
      </c>
      <c r="GG104" t="e">
        <f>'All regions'!G2871+"$F;@!&amp;Fu"</f>
        <v>#VALUE!</v>
      </c>
      <c r="GH104" t="e">
        <f>'All regions'!H2871+"$F;@!&amp;Fv"</f>
        <v>#VALUE!</v>
      </c>
      <c r="GI104" t="e">
        <f>'All regions'!I2871+"$F;@!&amp;Fw"</f>
        <v>#VALUE!</v>
      </c>
      <c r="GJ104" t="e">
        <f>'All regions'!A2872+"$F;@!&amp;Fx"</f>
        <v>#VALUE!</v>
      </c>
      <c r="GK104" t="e">
        <f>'All regions'!B2872+"$F;@!&amp;Fy"</f>
        <v>#VALUE!</v>
      </c>
      <c r="GL104" t="e">
        <f>'All regions'!C2872+"$F;@!&amp;Fz"</f>
        <v>#VALUE!</v>
      </c>
      <c r="GM104" t="e">
        <f>'All regions'!D2872+"$F;@!&amp;F{"</f>
        <v>#VALUE!</v>
      </c>
      <c r="GN104" t="e">
        <f>'All regions'!E2872+"$F;@!&amp;F|"</f>
        <v>#VALUE!</v>
      </c>
      <c r="GO104" t="e">
        <f>'All regions'!F2872+"$F;@!&amp;F}"</f>
        <v>#VALUE!</v>
      </c>
      <c r="GP104" t="e">
        <f>'All regions'!G2872+"$F;@!&amp;F~"</f>
        <v>#VALUE!</v>
      </c>
      <c r="GQ104" t="e">
        <f>'All regions'!H2872+"$F;@!&amp;G#"</f>
        <v>#VALUE!</v>
      </c>
      <c r="GR104" t="e">
        <f>'All regions'!I2872+"$F;@!&amp;G$"</f>
        <v>#VALUE!</v>
      </c>
      <c r="GS104" t="e">
        <f>'All regions'!A2873+"$F;@!&amp;G%"</f>
        <v>#VALUE!</v>
      </c>
      <c r="GT104" t="e">
        <f>'All regions'!B2873+"$F;@!&amp;G&amp;"</f>
        <v>#VALUE!</v>
      </c>
      <c r="GU104" t="e">
        <f>'All regions'!C2873+"$F;@!&amp;G'"</f>
        <v>#VALUE!</v>
      </c>
      <c r="GV104" t="e">
        <f>'All regions'!D2873+"$F;@!&amp;G("</f>
        <v>#VALUE!</v>
      </c>
      <c r="GW104" t="e">
        <f>'All regions'!E2873+"$F;@!&amp;G)"</f>
        <v>#VALUE!</v>
      </c>
      <c r="GX104" t="e">
        <f>'All regions'!F2873+"$F;@!&amp;G."</f>
        <v>#VALUE!</v>
      </c>
      <c r="GY104" t="e">
        <f>'All regions'!G2873+"$F;@!&amp;G/"</f>
        <v>#VALUE!</v>
      </c>
      <c r="GZ104" t="e">
        <f>'All regions'!H2873+"$F;@!&amp;G0"</f>
        <v>#VALUE!</v>
      </c>
      <c r="HA104" t="e">
        <f>'All regions'!I2873+"$F;@!&amp;G1"</f>
        <v>#VALUE!</v>
      </c>
      <c r="HB104" t="e">
        <f>'All regions'!A2874+"$F;@!&amp;G2"</f>
        <v>#VALUE!</v>
      </c>
      <c r="HC104" t="e">
        <f>'All regions'!B2874+"$F;@!&amp;G3"</f>
        <v>#VALUE!</v>
      </c>
      <c r="HD104" t="e">
        <f>'All regions'!C2874+"$F;@!&amp;G4"</f>
        <v>#VALUE!</v>
      </c>
      <c r="HE104" t="e">
        <f>'All regions'!D2874+"$F;@!&amp;G5"</f>
        <v>#VALUE!</v>
      </c>
      <c r="HF104" t="e">
        <f>'All regions'!E2874+"$F;@!&amp;G6"</f>
        <v>#VALUE!</v>
      </c>
      <c r="HG104" t="e">
        <f>'All regions'!F2874+"$F;@!&amp;G7"</f>
        <v>#VALUE!</v>
      </c>
      <c r="HH104" t="e">
        <f>'All regions'!G2874+"$F;@!&amp;G8"</f>
        <v>#VALUE!</v>
      </c>
      <c r="HI104" t="e">
        <f>'All regions'!H2874+"$F;@!&amp;G9"</f>
        <v>#VALUE!</v>
      </c>
      <c r="HJ104" t="e">
        <f>'All regions'!I2874+"$F;@!&amp;G:"</f>
        <v>#VALUE!</v>
      </c>
      <c r="HK104" t="e">
        <f>'All regions'!A2875+"$F;@!&amp;G;"</f>
        <v>#VALUE!</v>
      </c>
      <c r="HL104" t="e">
        <f>'All regions'!B2875+"$F;@!&amp;G&lt;"</f>
        <v>#VALUE!</v>
      </c>
      <c r="HM104" t="e">
        <f>'All regions'!C2875+"$F;@!&amp;G="</f>
        <v>#VALUE!</v>
      </c>
      <c r="HN104" t="e">
        <f>'All regions'!D2875+"$F;@!&amp;G&gt;"</f>
        <v>#VALUE!</v>
      </c>
      <c r="HO104" t="e">
        <f>'All regions'!E2875+"$F;@!&amp;G?"</f>
        <v>#VALUE!</v>
      </c>
      <c r="HP104" t="e">
        <f>'All regions'!F2875+"$F;@!&amp;G@"</f>
        <v>#VALUE!</v>
      </c>
      <c r="HQ104" t="e">
        <f>'All regions'!G2875+"$F;@!&amp;GA"</f>
        <v>#VALUE!</v>
      </c>
      <c r="HR104" t="e">
        <f>'All regions'!H2875+"$F;@!&amp;GB"</f>
        <v>#VALUE!</v>
      </c>
      <c r="HS104" t="e">
        <f>'All regions'!I2875+"$F;@!&amp;GC"</f>
        <v>#VALUE!</v>
      </c>
      <c r="HT104" t="e">
        <f>'All regions'!A2876+"$F;@!&amp;GD"</f>
        <v>#VALUE!</v>
      </c>
      <c r="HU104" t="e">
        <f>'All regions'!B2876+"$F;@!&amp;GE"</f>
        <v>#VALUE!</v>
      </c>
      <c r="HV104" t="e">
        <f>'All regions'!C2876+"$F;@!&amp;GF"</f>
        <v>#VALUE!</v>
      </c>
      <c r="HW104" t="e">
        <f>'All regions'!D2876+"$F;@!&amp;GG"</f>
        <v>#VALUE!</v>
      </c>
      <c r="HX104" t="e">
        <f>'All regions'!E2876+"$F;@!&amp;GH"</f>
        <v>#VALUE!</v>
      </c>
      <c r="HY104" t="e">
        <f>'All regions'!F2876+"$F;@!&amp;GI"</f>
        <v>#VALUE!</v>
      </c>
      <c r="HZ104" t="e">
        <f>'All regions'!G2876+"$F;@!&amp;GJ"</f>
        <v>#VALUE!</v>
      </c>
      <c r="IA104" t="e">
        <f>'All regions'!H2876+"$F;@!&amp;GK"</f>
        <v>#VALUE!</v>
      </c>
      <c r="IB104" t="e">
        <f>'All regions'!I2876+"$F;@!&amp;GL"</f>
        <v>#VALUE!</v>
      </c>
      <c r="IC104" t="e">
        <f>'All regions'!A2877+"$F;@!&amp;GM"</f>
        <v>#VALUE!</v>
      </c>
      <c r="ID104" t="e">
        <f>'All regions'!B2877+"$F;@!&amp;GN"</f>
        <v>#VALUE!</v>
      </c>
      <c r="IE104" t="e">
        <f>'All regions'!C2877+"$F;@!&amp;GO"</f>
        <v>#VALUE!</v>
      </c>
      <c r="IF104" t="e">
        <f>'All regions'!D2877+"$F;@!&amp;GP"</f>
        <v>#VALUE!</v>
      </c>
      <c r="IG104" t="e">
        <f>'All regions'!E2877+"$F;@!&amp;GQ"</f>
        <v>#VALUE!</v>
      </c>
      <c r="IH104" t="e">
        <f>'All regions'!F2877+"$F;@!&amp;GR"</f>
        <v>#VALUE!</v>
      </c>
      <c r="II104" t="e">
        <f>'All regions'!G2877+"$F;@!&amp;GS"</f>
        <v>#VALUE!</v>
      </c>
      <c r="IJ104" t="e">
        <f>'All regions'!H2877+"$F;@!&amp;GT"</f>
        <v>#VALUE!</v>
      </c>
      <c r="IK104" t="e">
        <f>'All regions'!I2877+"$F;@!&amp;GU"</f>
        <v>#VALUE!</v>
      </c>
      <c r="IL104" t="e">
        <f>'All regions'!A2878+"$F;@!&amp;GV"</f>
        <v>#VALUE!</v>
      </c>
      <c r="IM104" t="e">
        <f>'All regions'!B2878+"$F;@!&amp;GW"</f>
        <v>#VALUE!</v>
      </c>
      <c r="IN104" t="e">
        <f>'All regions'!C2878+"$F;@!&amp;GX"</f>
        <v>#VALUE!</v>
      </c>
      <c r="IO104" t="e">
        <f>'All regions'!D2878+"$F;@!&amp;GY"</f>
        <v>#VALUE!</v>
      </c>
      <c r="IP104" t="e">
        <f>'All regions'!E2878+"$F;@!&amp;GZ"</f>
        <v>#VALUE!</v>
      </c>
      <c r="IQ104" t="e">
        <f>'All regions'!F2878+"$F;@!&amp;G["</f>
        <v>#VALUE!</v>
      </c>
      <c r="IR104" t="e">
        <f>'All regions'!G2878+"$F;@!&amp;G\"</f>
        <v>#VALUE!</v>
      </c>
      <c r="IS104" t="e">
        <f>'All regions'!H2878+"$F;@!&amp;G]"</f>
        <v>#VALUE!</v>
      </c>
      <c r="IT104" t="e">
        <f>'All regions'!I2878+"$F;@!&amp;G^"</f>
        <v>#VALUE!</v>
      </c>
      <c r="IU104" t="e">
        <f>'All regions'!A2879+"$F;@!&amp;G_"</f>
        <v>#VALUE!</v>
      </c>
      <c r="IV104" t="e">
        <f>'All regions'!B2879+"$F;@!&amp;G`"</f>
        <v>#VALUE!</v>
      </c>
    </row>
    <row r="105" spans="6:256" x14ac:dyDescent="0.35">
      <c r="F105" t="e">
        <f>'All regions'!C2879+"$F;@!&amp;Ga"</f>
        <v>#VALUE!</v>
      </c>
      <c r="G105" t="e">
        <f>'All regions'!D2879+"$F;@!&amp;Gb"</f>
        <v>#VALUE!</v>
      </c>
      <c r="H105" t="e">
        <f>'All regions'!E2879+"$F;@!&amp;Gc"</f>
        <v>#VALUE!</v>
      </c>
      <c r="I105" t="e">
        <f>'All regions'!F2879+"$F;@!&amp;Gd"</f>
        <v>#VALUE!</v>
      </c>
      <c r="J105" t="e">
        <f>'All regions'!G2879+"$F;@!&amp;Ge"</f>
        <v>#VALUE!</v>
      </c>
      <c r="K105" t="e">
        <f>'All regions'!H2879+"$F;@!&amp;Gf"</f>
        <v>#VALUE!</v>
      </c>
      <c r="L105" t="e">
        <f>'All regions'!I2879+"$F;@!&amp;Gg"</f>
        <v>#VALUE!</v>
      </c>
      <c r="M105" t="e">
        <f>'All regions'!A2880+"$F;@!&amp;Gh"</f>
        <v>#VALUE!</v>
      </c>
      <c r="N105" t="e">
        <f>'All regions'!B2880+"$F;@!&amp;Gi"</f>
        <v>#VALUE!</v>
      </c>
      <c r="O105" t="e">
        <f>'All regions'!C2880+"$F;@!&amp;Gj"</f>
        <v>#VALUE!</v>
      </c>
      <c r="P105" t="e">
        <f>'All regions'!D2880+"$F;@!&amp;Gk"</f>
        <v>#VALUE!</v>
      </c>
      <c r="Q105" t="e">
        <f>'All regions'!E2880+"$F;@!&amp;Gl"</f>
        <v>#VALUE!</v>
      </c>
      <c r="R105" t="e">
        <f>'All regions'!F2880+"$F;@!&amp;Gm"</f>
        <v>#VALUE!</v>
      </c>
      <c r="S105" t="e">
        <f>'All regions'!G2880+"$F;@!&amp;Gn"</f>
        <v>#VALUE!</v>
      </c>
      <c r="T105" t="e">
        <f>'All regions'!H2880+"$F;@!&amp;Go"</f>
        <v>#VALUE!</v>
      </c>
      <c r="U105" t="e">
        <f>'All regions'!I2880+"$F;@!&amp;Gp"</f>
        <v>#VALUE!</v>
      </c>
      <c r="V105" t="e">
        <f>'All regions'!A2881+"$F;@!&amp;Gq"</f>
        <v>#VALUE!</v>
      </c>
      <c r="W105" t="e">
        <f>'All regions'!B2881+"$F;@!&amp;Gr"</f>
        <v>#VALUE!</v>
      </c>
      <c r="X105" t="e">
        <f>'All regions'!C2881+"$F;@!&amp;Gs"</f>
        <v>#VALUE!</v>
      </c>
      <c r="Y105" t="e">
        <f>'All regions'!D2881+"$F;@!&amp;Gt"</f>
        <v>#VALUE!</v>
      </c>
      <c r="Z105" t="e">
        <f>'All regions'!E2881+"$F;@!&amp;Gu"</f>
        <v>#VALUE!</v>
      </c>
      <c r="AA105" t="e">
        <f>'All regions'!F2881+"$F;@!&amp;Gv"</f>
        <v>#VALUE!</v>
      </c>
      <c r="AB105" t="e">
        <f>'All regions'!G2881+"$F;@!&amp;Gw"</f>
        <v>#VALUE!</v>
      </c>
      <c r="AC105" t="e">
        <f>'All regions'!H2881+"$F;@!&amp;Gx"</f>
        <v>#VALUE!</v>
      </c>
      <c r="AD105" t="e">
        <f>'All regions'!I2881+"$F;@!&amp;Gy"</f>
        <v>#VALUE!</v>
      </c>
      <c r="AE105" t="e">
        <f>'All regions'!A2882+"$F;@!&amp;Gz"</f>
        <v>#VALUE!</v>
      </c>
      <c r="AF105" t="e">
        <f>'All regions'!B2882+"$F;@!&amp;G{"</f>
        <v>#VALUE!</v>
      </c>
      <c r="AG105" t="e">
        <f>'All regions'!C2882+"$F;@!&amp;G|"</f>
        <v>#VALUE!</v>
      </c>
      <c r="AH105" t="e">
        <f>'All regions'!D2882+"$F;@!&amp;G}"</f>
        <v>#VALUE!</v>
      </c>
      <c r="AI105" t="e">
        <f>'All regions'!E2882+"$F;@!&amp;G~"</f>
        <v>#VALUE!</v>
      </c>
      <c r="AJ105" t="e">
        <f>'All regions'!F2882+"$F;@!&amp;H#"</f>
        <v>#VALUE!</v>
      </c>
      <c r="AK105" t="e">
        <f>'All regions'!G2882+"$F;@!&amp;H$"</f>
        <v>#VALUE!</v>
      </c>
      <c r="AL105" t="e">
        <f>'All regions'!H2882+"$F;@!&amp;H%"</f>
        <v>#VALUE!</v>
      </c>
      <c r="AM105" t="e">
        <f>'All regions'!I2882+"$F;@!&amp;H&amp;"</f>
        <v>#VALUE!</v>
      </c>
      <c r="AN105" t="e">
        <f>'All regions'!A2883+"$F;@!&amp;H'"</f>
        <v>#VALUE!</v>
      </c>
      <c r="AO105" t="e">
        <f>'All regions'!B2883+"$F;@!&amp;H("</f>
        <v>#VALUE!</v>
      </c>
      <c r="AP105" t="e">
        <f>'All regions'!C2883+"$F;@!&amp;H)"</f>
        <v>#VALUE!</v>
      </c>
      <c r="AQ105" t="e">
        <f>'All regions'!D2883+"$F;@!&amp;H."</f>
        <v>#VALUE!</v>
      </c>
      <c r="AR105" t="e">
        <f>'All regions'!E2883+"$F;@!&amp;H/"</f>
        <v>#VALUE!</v>
      </c>
      <c r="AS105" t="e">
        <f>'All regions'!F2883+"$F;@!&amp;H0"</f>
        <v>#VALUE!</v>
      </c>
      <c r="AT105" t="e">
        <f>'All regions'!G2883+"$F;@!&amp;H1"</f>
        <v>#VALUE!</v>
      </c>
      <c r="AU105" t="e">
        <f>'All regions'!H2883+"$F;@!&amp;H2"</f>
        <v>#VALUE!</v>
      </c>
      <c r="AV105" t="e">
        <f>'All regions'!I2883+"$F;@!&amp;H3"</f>
        <v>#VALUE!</v>
      </c>
      <c r="AW105" t="e">
        <f>'All regions'!A2884+"$F;@!&amp;H4"</f>
        <v>#VALUE!</v>
      </c>
      <c r="AX105" t="e">
        <f>'All regions'!B2884+"$F;@!&amp;H5"</f>
        <v>#VALUE!</v>
      </c>
      <c r="AY105" t="e">
        <f>'All regions'!C2884+"$F;@!&amp;H6"</f>
        <v>#VALUE!</v>
      </c>
      <c r="AZ105" t="e">
        <f>'All regions'!D2884+"$F;@!&amp;H7"</f>
        <v>#VALUE!</v>
      </c>
      <c r="BA105" t="e">
        <f>'All regions'!E2884+"$F;@!&amp;H8"</f>
        <v>#VALUE!</v>
      </c>
      <c r="BB105" t="e">
        <f>'All regions'!F2884+"$F;@!&amp;H9"</f>
        <v>#VALUE!</v>
      </c>
      <c r="BC105" t="e">
        <f>'All regions'!G2884+"$F;@!&amp;H:"</f>
        <v>#VALUE!</v>
      </c>
      <c r="BD105" t="e">
        <f>'All regions'!H2884+"$F;@!&amp;H;"</f>
        <v>#VALUE!</v>
      </c>
      <c r="BE105" t="e">
        <f>'All regions'!I2884+"$F;@!&amp;H&lt;"</f>
        <v>#VALUE!</v>
      </c>
      <c r="BF105" t="e">
        <f>'All regions'!A2885+"$F;@!&amp;H="</f>
        <v>#VALUE!</v>
      </c>
      <c r="BG105" t="e">
        <f>'All regions'!B2885+"$F;@!&amp;H&gt;"</f>
        <v>#VALUE!</v>
      </c>
      <c r="BH105" t="e">
        <f>'All regions'!C2885+"$F;@!&amp;H?"</f>
        <v>#VALUE!</v>
      </c>
      <c r="BI105" t="e">
        <f>'All regions'!D2885+"$F;@!&amp;H@"</f>
        <v>#VALUE!</v>
      </c>
      <c r="BJ105" t="e">
        <f>'All regions'!E2885+"$F;@!&amp;HA"</f>
        <v>#VALUE!</v>
      </c>
      <c r="BK105" t="e">
        <f>'All regions'!F2885+"$F;@!&amp;HB"</f>
        <v>#VALUE!</v>
      </c>
      <c r="BL105" t="e">
        <f>'All regions'!G2885+"$F;@!&amp;HC"</f>
        <v>#VALUE!</v>
      </c>
      <c r="BM105" t="e">
        <f>'All regions'!H2885+"$F;@!&amp;HD"</f>
        <v>#VALUE!</v>
      </c>
      <c r="BN105" t="e">
        <f>'All regions'!I2885+"$F;@!&amp;HE"</f>
        <v>#VALUE!</v>
      </c>
      <c r="BO105" t="e">
        <f>'All regions'!A2886+"$F;@!&amp;HF"</f>
        <v>#VALUE!</v>
      </c>
      <c r="BP105" t="e">
        <f>'All regions'!B2886+"$F;@!&amp;HG"</f>
        <v>#VALUE!</v>
      </c>
      <c r="BQ105" t="e">
        <f>'All regions'!C2886+"$F;@!&amp;HH"</f>
        <v>#VALUE!</v>
      </c>
      <c r="BR105" t="e">
        <f>'All regions'!D2886+"$F;@!&amp;HI"</f>
        <v>#VALUE!</v>
      </c>
      <c r="BS105" t="e">
        <f>'All regions'!E2886+"$F;@!&amp;HJ"</f>
        <v>#VALUE!</v>
      </c>
      <c r="BT105" t="e">
        <f>'All regions'!F2886+"$F;@!&amp;HK"</f>
        <v>#VALUE!</v>
      </c>
      <c r="BU105" t="e">
        <f>'All regions'!G2886+"$F;@!&amp;HL"</f>
        <v>#VALUE!</v>
      </c>
      <c r="BV105" t="e">
        <f>'All regions'!H2886+"$F;@!&amp;HM"</f>
        <v>#VALUE!</v>
      </c>
      <c r="BW105" t="e">
        <f>'All regions'!I2886+"$F;@!&amp;HN"</f>
        <v>#VALUE!</v>
      </c>
      <c r="BX105" t="e">
        <f>'All regions'!A2887+"$F;@!&amp;HO"</f>
        <v>#VALUE!</v>
      </c>
      <c r="BY105" t="e">
        <f>'All regions'!B2887+"$F;@!&amp;HP"</f>
        <v>#VALUE!</v>
      </c>
      <c r="BZ105" t="e">
        <f>'All regions'!C2887+"$F;@!&amp;HQ"</f>
        <v>#VALUE!</v>
      </c>
      <c r="CA105" t="e">
        <f>'All regions'!D2887+"$F;@!&amp;HR"</f>
        <v>#VALUE!</v>
      </c>
      <c r="CB105" t="e">
        <f>'All regions'!E2887+"$F;@!&amp;HS"</f>
        <v>#VALUE!</v>
      </c>
      <c r="CC105" t="e">
        <f>'All regions'!G2887+"$F;@!&amp;HT"</f>
        <v>#VALUE!</v>
      </c>
      <c r="CD105" t="e">
        <f>'All regions'!H2887+"$F;@!&amp;HU"</f>
        <v>#VALUE!</v>
      </c>
      <c r="CE105" t="e">
        <f>'All regions'!I2887+"$F;@!&amp;HV"</f>
        <v>#VALUE!</v>
      </c>
      <c r="CF105" t="e">
        <f>'All regions'!A2888+"$F;@!&amp;HW"</f>
        <v>#VALUE!</v>
      </c>
      <c r="CG105" t="e">
        <f>'All regions'!B2888+"$F;@!&amp;HX"</f>
        <v>#VALUE!</v>
      </c>
      <c r="CH105" t="e">
        <f>'All regions'!C2888+"$F;@!&amp;HY"</f>
        <v>#VALUE!</v>
      </c>
      <c r="CI105" t="e">
        <f>'All regions'!D2888+"$F;@!&amp;HZ"</f>
        <v>#VALUE!</v>
      </c>
      <c r="CJ105" t="e">
        <f>'All regions'!E2888+"$F;@!&amp;H["</f>
        <v>#VALUE!</v>
      </c>
      <c r="CK105" t="e">
        <f>'All regions'!F2888+"$F;@!&amp;H\"</f>
        <v>#VALUE!</v>
      </c>
      <c r="CL105" t="e">
        <f>'All regions'!G2888+"$F;@!&amp;H]"</f>
        <v>#VALUE!</v>
      </c>
      <c r="CM105" t="e">
        <f>'All regions'!H2888+"$F;@!&amp;H^"</f>
        <v>#VALUE!</v>
      </c>
      <c r="CN105" t="e">
        <f>'All regions'!I2888+"$F;@!&amp;H_"</f>
        <v>#VALUE!</v>
      </c>
      <c r="CO105" t="e">
        <f>'All regions'!A2889+"$F;@!&amp;H`"</f>
        <v>#VALUE!</v>
      </c>
      <c r="CP105" t="e">
        <f>'All regions'!B2889+"$F;@!&amp;Ha"</f>
        <v>#VALUE!</v>
      </c>
      <c r="CQ105" t="e">
        <f>'All regions'!C2889+"$F;@!&amp;Hb"</f>
        <v>#VALUE!</v>
      </c>
      <c r="CR105" t="e">
        <f>'All regions'!D2889+"$F;@!&amp;Hc"</f>
        <v>#VALUE!</v>
      </c>
      <c r="CS105" t="e">
        <f>'All regions'!E2889+"$F;@!&amp;Hd"</f>
        <v>#VALUE!</v>
      </c>
      <c r="CT105" t="e">
        <f>'All regions'!F2889+"$F;@!&amp;He"</f>
        <v>#VALUE!</v>
      </c>
      <c r="CU105" t="e">
        <f>'All regions'!G2889+"$F;@!&amp;Hf"</f>
        <v>#VALUE!</v>
      </c>
      <c r="CV105" t="e">
        <f>'All regions'!H2889+"$F;@!&amp;Hg"</f>
        <v>#VALUE!</v>
      </c>
      <c r="CW105" t="e">
        <f>'All regions'!I2889+"$F;@!&amp;Hh"</f>
        <v>#VALUE!</v>
      </c>
      <c r="CX105" t="e">
        <f>'All regions'!A2890+"$F;@!&amp;Hi"</f>
        <v>#VALUE!</v>
      </c>
      <c r="CY105" t="e">
        <f>'All regions'!B2890+"$F;@!&amp;Hj"</f>
        <v>#VALUE!</v>
      </c>
      <c r="CZ105" t="e">
        <f>'All regions'!C2890+"$F;@!&amp;Hk"</f>
        <v>#VALUE!</v>
      </c>
      <c r="DA105" t="e">
        <f>'All regions'!D2890+"$F;@!&amp;Hl"</f>
        <v>#VALUE!</v>
      </c>
      <c r="DB105" t="e">
        <f>'All regions'!E2890+"$F;@!&amp;Hm"</f>
        <v>#VALUE!</v>
      </c>
      <c r="DC105" t="e">
        <f>'All regions'!F2890+"$F;@!&amp;Hn"</f>
        <v>#VALUE!</v>
      </c>
      <c r="DD105" t="e">
        <f>'All regions'!G2890+"$F;@!&amp;Ho"</f>
        <v>#VALUE!</v>
      </c>
      <c r="DE105" t="e">
        <f>'All regions'!H2890+"$F;@!&amp;Hp"</f>
        <v>#VALUE!</v>
      </c>
      <c r="DF105" t="e">
        <f>'All regions'!I2890+"$F;@!&amp;Hq"</f>
        <v>#VALUE!</v>
      </c>
      <c r="DG105" t="e">
        <f>'All regions'!A2891+"$F;@!&amp;Hr"</f>
        <v>#VALUE!</v>
      </c>
      <c r="DH105" t="e">
        <f>'All regions'!B2891+"$F;@!&amp;Hs"</f>
        <v>#VALUE!</v>
      </c>
      <c r="DI105" t="e">
        <f>'All regions'!C2891+"$F;@!&amp;Ht"</f>
        <v>#VALUE!</v>
      </c>
      <c r="DJ105" t="e">
        <f>'All regions'!D2891+"$F;@!&amp;Hu"</f>
        <v>#VALUE!</v>
      </c>
      <c r="DK105" t="e">
        <f>'All regions'!E2891+"$F;@!&amp;Hv"</f>
        <v>#VALUE!</v>
      </c>
      <c r="DL105" t="e">
        <f>'All regions'!F2891+"$F;@!&amp;Hw"</f>
        <v>#VALUE!</v>
      </c>
      <c r="DM105" t="e">
        <f>'All regions'!G2891+"$F;@!&amp;Hx"</f>
        <v>#VALUE!</v>
      </c>
      <c r="DN105" t="e">
        <f>'All regions'!H2891+"$F;@!&amp;Hy"</f>
        <v>#VALUE!</v>
      </c>
      <c r="DO105" t="e">
        <f>'All regions'!I2891+"$F;@!&amp;Hz"</f>
        <v>#VALUE!</v>
      </c>
      <c r="DP105" t="e">
        <f>'All regions'!A2892+"$F;@!&amp;H{"</f>
        <v>#VALUE!</v>
      </c>
      <c r="DQ105" t="e">
        <f>'All regions'!B2892+"$F;@!&amp;H|"</f>
        <v>#VALUE!</v>
      </c>
      <c r="DR105" t="e">
        <f>'All regions'!C2892+"$F;@!&amp;H}"</f>
        <v>#VALUE!</v>
      </c>
      <c r="DS105" t="e">
        <f>'All regions'!D2892+"$F;@!&amp;H~"</f>
        <v>#VALUE!</v>
      </c>
      <c r="DT105" t="e">
        <f>'All regions'!E2892+"$F;@!&amp;I#"</f>
        <v>#VALUE!</v>
      </c>
      <c r="DU105" t="e">
        <f>'All regions'!F2892+"$F;@!&amp;I$"</f>
        <v>#VALUE!</v>
      </c>
      <c r="DV105" t="e">
        <f>'All regions'!G2892+"$F;@!&amp;I%"</f>
        <v>#VALUE!</v>
      </c>
      <c r="DW105" t="e">
        <f>'All regions'!H2892+"$F;@!&amp;I&amp;"</f>
        <v>#VALUE!</v>
      </c>
      <c r="DX105" t="e">
        <f>'All regions'!I2892+"$F;@!&amp;I'"</f>
        <v>#VALUE!</v>
      </c>
      <c r="DY105" t="e">
        <f>'All regions'!A2893+"$F;@!&amp;I("</f>
        <v>#VALUE!</v>
      </c>
      <c r="DZ105" t="e">
        <f>'All regions'!B2893+"$F;@!&amp;I)"</f>
        <v>#VALUE!</v>
      </c>
      <c r="EA105" t="e">
        <f>'All regions'!C2893+"$F;@!&amp;I."</f>
        <v>#VALUE!</v>
      </c>
      <c r="EB105" t="e">
        <f>'All regions'!D2893+"$F;@!&amp;I/"</f>
        <v>#VALUE!</v>
      </c>
      <c r="EC105" t="e">
        <f>'All regions'!E2893+"$F;@!&amp;I0"</f>
        <v>#VALUE!</v>
      </c>
      <c r="ED105" t="e">
        <f>'All regions'!F2893+"$F;@!&amp;I1"</f>
        <v>#VALUE!</v>
      </c>
      <c r="EE105" t="e">
        <f>'All regions'!G2893+"$F;@!&amp;I2"</f>
        <v>#VALUE!</v>
      </c>
      <c r="EF105" t="e">
        <f>'All regions'!H2893+"$F;@!&amp;I3"</f>
        <v>#VALUE!</v>
      </c>
      <c r="EG105" t="e">
        <f>'All regions'!I2893+"$F;@!&amp;I4"</f>
        <v>#VALUE!</v>
      </c>
      <c r="EH105" t="e">
        <f>'All regions'!A2894+"$F;@!&amp;I5"</f>
        <v>#VALUE!</v>
      </c>
      <c r="EI105" t="e">
        <f>'All regions'!B2894+"$F;@!&amp;I6"</f>
        <v>#VALUE!</v>
      </c>
      <c r="EJ105" t="e">
        <f>'All regions'!C2894+"$F;@!&amp;I7"</f>
        <v>#VALUE!</v>
      </c>
      <c r="EK105" t="e">
        <f>'All regions'!D2894+"$F;@!&amp;I8"</f>
        <v>#VALUE!</v>
      </c>
      <c r="EL105" t="e">
        <f>'All regions'!E2894+"$F;@!&amp;I9"</f>
        <v>#VALUE!</v>
      </c>
      <c r="EM105" t="e">
        <f>'All regions'!F2894+"$F;@!&amp;I:"</f>
        <v>#VALUE!</v>
      </c>
      <c r="EN105" t="e">
        <f>'All regions'!G2894+"$F;@!&amp;I;"</f>
        <v>#VALUE!</v>
      </c>
      <c r="EO105" t="e">
        <f>'All regions'!H2894+"$F;@!&amp;I&lt;"</f>
        <v>#VALUE!</v>
      </c>
      <c r="EP105" t="e">
        <f>'All regions'!I2894+"$F;@!&amp;I="</f>
        <v>#VALUE!</v>
      </c>
      <c r="EQ105" t="e">
        <f>'All regions'!A2895+"$F;@!&amp;I&gt;"</f>
        <v>#VALUE!</v>
      </c>
      <c r="ER105" t="e">
        <f>'All regions'!B2895+"$F;@!&amp;I?"</f>
        <v>#VALUE!</v>
      </c>
      <c r="ES105" t="e">
        <f>'All regions'!C2895+"$F;@!&amp;I@"</f>
        <v>#VALUE!</v>
      </c>
      <c r="ET105" t="e">
        <f>'All regions'!D2895+"$F;@!&amp;IA"</f>
        <v>#VALUE!</v>
      </c>
      <c r="EU105" t="e">
        <f>'All regions'!E2895+"$F;@!&amp;IB"</f>
        <v>#VALUE!</v>
      </c>
      <c r="EV105" t="e">
        <f>'All regions'!F2895+"$F;@!&amp;IC"</f>
        <v>#VALUE!</v>
      </c>
      <c r="EW105" t="e">
        <f>'All regions'!G2895+"$F;@!&amp;ID"</f>
        <v>#VALUE!</v>
      </c>
      <c r="EX105" t="e">
        <f>'All regions'!H2895+"$F;@!&amp;IE"</f>
        <v>#VALUE!</v>
      </c>
      <c r="EY105" t="e">
        <f>'All regions'!I2895+"$F;@!&amp;IF"</f>
        <v>#VALUE!</v>
      </c>
      <c r="EZ105" t="e">
        <f>'All regions'!A2896+"$F;@!&amp;IG"</f>
        <v>#VALUE!</v>
      </c>
      <c r="FA105" t="e">
        <f>'All regions'!B2896+"$F;@!&amp;IH"</f>
        <v>#VALUE!</v>
      </c>
      <c r="FB105" t="e">
        <f>'All regions'!C2896+"$F;@!&amp;II"</f>
        <v>#VALUE!</v>
      </c>
      <c r="FC105" t="e">
        <f>'All regions'!D2896+"$F;@!&amp;IJ"</f>
        <v>#VALUE!</v>
      </c>
      <c r="FD105" t="e">
        <f>'All regions'!E2896+"$F;@!&amp;IK"</f>
        <v>#VALUE!</v>
      </c>
      <c r="FE105" t="e">
        <f>'All regions'!F2896+"$F;@!&amp;IL"</f>
        <v>#VALUE!</v>
      </c>
      <c r="FF105" t="e">
        <f>'All regions'!G2896+"$F;@!&amp;IM"</f>
        <v>#VALUE!</v>
      </c>
      <c r="FG105" t="e">
        <f>'All regions'!H2896+"$F;@!&amp;IN"</f>
        <v>#VALUE!</v>
      </c>
      <c r="FH105" t="e">
        <f>'All regions'!I2896+"$F;@!&amp;IO"</f>
        <v>#VALUE!</v>
      </c>
      <c r="FI105" t="e">
        <f>'All regions'!A2897+"$F;@!&amp;IP"</f>
        <v>#VALUE!</v>
      </c>
      <c r="FJ105" t="e">
        <f>'All regions'!B2897+"$F;@!&amp;IQ"</f>
        <v>#VALUE!</v>
      </c>
      <c r="FK105" t="e">
        <f>'All regions'!C2897+"$F;@!&amp;IR"</f>
        <v>#VALUE!</v>
      </c>
      <c r="FL105" t="e">
        <f>'All regions'!D2897+"$F;@!&amp;IS"</f>
        <v>#VALUE!</v>
      </c>
      <c r="FM105" t="e">
        <f>'All regions'!E2897+"$F;@!&amp;IT"</f>
        <v>#VALUE!</v>
      </c>
      <c r="FN105" t="e">
        <f>'All regions'!F2897+"$F;@!&amp;IU"</f>
        <v>#VALUE!</v>
      </c>
      <c r="FO105" t="e">
        <f>'All regions'!G2897+"$F;@!&amp;IV"</f>
        <v>#VALUE!</v>
      </c>
      <c r="FP105" t="e">
        <f>'All regions'!H2897+"$F;@!&amp;IW"</f>
        <v>#VALUE!</v>
      </c>
      <c r="FQ105" t="e">
        <f>'All regions'!I2897+"$F;@!&amp;IX"</f>
        <v>#VALUE!</v>
      </c>
      <c r="FR105" t="e">
        <f>'All regions'!A2898+"$F;@!&amp;IY"</f>
        <v>#VALUE!</v>
      </c>
      <c r="FS105" t="e">
        <f>'All regions'!B2898+"$F;@!&amp;IZ"</f>
        <v>#VALUE!</v>
      </c>
      <c r="FT105" t="e">
        <f>'All regions'!C2898+"$F;@!&amp;I["</f>
        <v>#VALUE!</v>
      </c>
      <c r="FU105" t="e">
        <f>'All regions'!D2898+"$F;@!&amp;I\"</f>
        <v>#VALUE!</v>
      </c>
      <c r="FV105" t="e">
        <f>'All regions'!E2898+"$F;@!&amp;I]"</f>
        <v>#VALUE!</v>
      </c>
      <c r="FW105" t="e">
        <f>'All regions'!F2898+"$F;@!&amp;I^"</f>
        <v>#VALUE!</v>
      </c>
      <c r="FX105" t="e">
        <f>'All regions'!G2898+"$F;@!&amp;I_"</f>
        <v>#VALUE!</v>
      </c>
      <c r="FY105" t="e">
        <f>'All regions'!H2898+"$F;@!&amp;I`"</f>
        <v>#VALUE!</v>
      </c>
      <c r="FZ105" t="e">
        <f>'All regions'!I2898+"$F;@!&amp;Ia"</f>
        <v>#VALUE!</v>
      </c>
      <c r="GA105" t="e">
        <f>'All regions'!A2899+"$F;@!&amp;Ib"</f>
        <v>#VALUE!</v>
      </c>
      <c r="GB105" t="e">
        <f>'All regions'!B2899+"$F;@!&amp;Ic"</f>
        <v>#VALUE!</v>
      </c>
      <c r="GC105" t="e">
        <f>'All regions'!C2899+"$F;@!&amp;Id"</f>
        <v>#VALUE!</v>
      </c>
      <c r="GD105" t="e">
        <f>'All regions'!D2899+"$F;@!&amp;Ie"</f>
        <v>#VALUE!</v>
      </c>
      <c r="GE105" t="e">
        <f>'All regions'!E2899+"$F;@!&amp;If"</f>
        <v>#VALUE!</v>
      </c>
      <c r="GF105" t="e">
        <f>'All regions'!F2899+"$F;@!&amp;Ig"</f>
        <v>#VALUE!</v>
      </c>
      <c r="GG105" t="e">
        <f>'All regions'!G2899+"$F;@!&amp;Ih"</f>
        <v>#VALUE!</v>
      </c>
      <c r="GH105" t="e">
        <f>'All regions'!H2899+"$F;@!&amp;Ii"</f>
        <v>#VALUE!</v>
      </c>
      <c r="GI105" t="e">
        <f>'All regions'!I2899+"$F;@!&amp;Ij"</f>
        <v>#VALUE!</v>
      </c>
      <c r="GJ105" t="e">
        <f>'All regions'!A2900+"$F;@!&amp;Ik"</f>
        <v>#VALUE!</v>
      </c>
      <c r="GK105" t="e">
        <f>'All regions'!B2900+"$F;@!&amp;Il"</f>
        <v>#VALUE!</v>
      </c>
      <c r="GL105" t="e">
        <f>'All regions'!C2900+"$F;@!&amp;Im"</f>
        <v>#VALUE!</v>
      </c>
      <c r="GM105" t="e">
        <f>'All regions'!D2900+"$F;@!&amp;In"</f>
        <v>#VALUE!</v>
      </c>
      <c r="GN105" t="e">
        <f>'All regions'!E2900+"$F;@!&amp;Io"</f>
        <v>#VALUE!</v>
      </c>
      <c r="GO105" t="e">
        <f>'All regions'!F2900+"$F;@!&amp;Ip"</f>
        <v>#VALUE!</v>
      </c>
      <c r="GP105" t="e">
        <f>'All regions'!G2900+"$F;@!&amp;Iq"</f>
        <v>#VALUE!</v>
      </c>
      <c r="GQ105" t="e">
        <f>'All regions'!H2900+"$F;@!&amp;Ir"</f>
        <v>#VALUE!</v>
      </c>
      <c r="GR105" t="e">
        <f>'All regions'!I2900+"$F;@!&amp;Is"</f>
        <v>#VALUE!</v>
      </c>
      <c r="GS105" t="e">
        <f>'All regions'!A2901+"$F;@!&amp;It"</f>
        <v>#VALUE!</v>
      </c>
      <c r="GT105" t="e">
        <f>'All regions'!B2901+"$F;@!&amp;Iu"</f>
        <v>#VALUE!</v>
      </c>
      <c r="GU105" t="e">
        <f>'All regions'!C2901+"$F;@!&amp;Iv"</f>
        <v>#VALUE!</v>
      </c>
      <c r="GV105" t="e">
        <f>'All regions'!D2901+"$F;@!&amp;Iw"</f>
        <v>#VALUE!</v>
      </c>
      <c r="GW105" t="e">
        <f>'All regions'!E2901+"$F;@!&amp;Ix"</f>
        <v>#VALUE!</v>
      </c>
      <c r="GX105" t="e">
        <f>'All regions'!F2901+"$F;@!&amp;Iy"</f>
        <v>#VALUE!</v>
      </c>
      <c r="GY105" t="e">
        <f>'All regions'!G2901+"$F;@!&amp;Iz"</f>
        <v>#VALUE!</v>
      </c>
      <c r="GZ105" t="e">
        <f>'All regions'!H2901+"$F;@!&amp;I{"</f>
        <v>#VALUE!</v>
      </c>
      <c r="HA105" t="e">
        <f>'All regions'!I2901+"$F;@!&amp;I|"</f>
        <v>#VALUE!</v>
      </c>
      <c r="HB105" t="e">
        <f>'All regions'!A2902+"$F;@!&amp;I}"</f>
        <v>#VALUE!</v>
      </c>
      <c r="HC105" t="e">
        <f>'All regions'!B2902+"$F;@!&amp;I~"</f>
        <v>#VALUE!</v>
      </c>
      <c r="HD105" t="e">
        <f>'All regions'!C2902+"$F;@!&amp;J#"</f>
        <v>#VALUE!</v>
      </c>
      <c r="HE105" t="e">
        <f>'All regions'!D2902+"$F;@!&amp;J$"</f>
        <v>#VALUE!</v>
      </c>
      <c r="HF105" t="e">
        <f>'All regions'!E2902+"$F;@!&amp;J%"</f>
        <v>#VALUE!</v>
      </c>
      <c r="HG105" t="e">
        <f>'All regions'!F2902+"$F;@!&amp;J&amp;"</f>
        <v>#VALUE!</v>
      </c>
      <c r="HH105" t="e">
        <f>'All regions'!G2902+"$F;@!&amp;J'"</f>
        <v>#VALUE!</v>
      </c>
      <c r="HI105" t="e">
        <f>'All regions'!H2902+"$F;@!&amp;J("</f>
        <v>#VALUE!</v>
      </c>
      <c r="HJ105" t="e">
        <f>'All regions'!I2902+"$F;@!&amp;J)"</f>
        <v>#VALUE!</v>
      </c>
      <c r="HK105" t="e">
        <f>'All regions'!A2903+"$F;@!&amp;J."</f>
        <v>#VALUE!</v>
      </c>
      <c r="HL105" t="e">
        <f>'All regions'!B2903+"$F;@!&amp;J/"</f>
        <v>#VALUE!</v>
      </c>
      <c r="HM105" t="e">
        <f>'All regions'!C2903+"$F;@!&amp;J0"</f>
        <v>#VALUE!</v>
      </c>
      <c r="HN105" t="e">
        <f>'All regions'!D2903+"$F;@!&amp;J1"</f>
        <v>#VALUE!</v>
      </c>
      <c r="HO105" t="e">
        <f>'All regions'!E2903+"$F;@!&amp;J2"</f>
        <v>#VALUE!</v>
      </c>
      <c r="HP105" t="e">
        <f>'All regions'!F2903+"$F;@!&amp;J3"</f>
        <v>#VALUE!</v>
      </c>
      <c r="HQ105" t="e">
        <f>'All regions'!G2903+"$F;@!&amp;J4"</f>
        <v>#VALUE!</v>
      </c>
      <c r="HR105" t="e">
        <f>'All regions'!H2903+"$F;@!&amp;J5"</f>
        <v>#VALUE!</v>
      </c>
      <c r="HS105" t="e">
        <f>'All regions'!I2903+"$F;@!&amp;J6"</f>
        <v>#VALUE!</v>
      </c>
      <c r="HT105" t="e">
        <f>'All regions'!A2904+"$F;@!&amp;J7"</f>
        <v>#VALUE!</v>
      </c>
      <c r="HU105" t="e">
        <f>'All regions'!B2904+"$F;@!&amp;J8"</f>
        <v>#VALUE!</v>
      </c>
      <c r="HV105" t="e">
        <f>'All regions'!C2904+"$F;@!&amp;J9"</f>
        <v>#VALUE!</v>
      </c>
      <c r="HW105" t="e">
        <f>'All regions'!D2904+"$F;@!&amp;J:"</f>
        <v>#VALUE!</v>
      </c>
      <c r="HX105" t="e">
        <f>'All regions'!E2904+"$F;@!&amp;J;"</f>
        <v>#VALUE!</v>
      </c>
      <c r="HY105" t="e">
        <f>'All regions'!F2904+"$F;@!&amp;J&lt;"</f>
        <v>#VALUE!</v>
      </c>
      <c r="HZ105" t="e">
        <f>'All regions'!G2904+"$F;@!&amp;J="</f>
        <v>#VALUE!</v>
      </c>
      <c r="IA105" t="e">
        <f>'All regions'!H2904+"$F;@!&amp;J&gt;"</f>
        <v>#VALUE!</v>
      </c>
      <c r="IB105" t="e">
        <f>'All regions'!I2904+"$F;@!&amp;J?"</f>
        <v>#VALUE!</v>
      </c>
      <c r="IC105" t="e">
        <f>'All regions'!A2905+"$F;@!&amp;J@"</f>
        <v>#VALUE!</v>
      </c>
      <c r="ID105" t="e">
        <f>'All regions'!B2905+"$F;@!&amp;JA"</f>
        <v>#VALUE!</v>
      </c>
      <c r="IE105" t="e">
        <f>'All regions'!C2905+"$F;@!&amp;JB"</f>
        <v>#VALUE!</v>
      </c>
      <c r="IF105" t="e">
        <f>'All regions'!D2905+"$F;@!&amp;JC"</f>
        <v>#VALUE!</v>
      </c>
      <c r="IG105" t="e">
        <f>'All regions'!E2905+"$F;@!&amp;JD"</f>
        <v>#VALUE!</v>
      </c>
      <c r="IH105" t="e">
        <f>'All regions'!F2905+"$F;@!&amp;JE"</f>
        <v>#VALUE!</v>
      </c>
      <c r="II105" t="e">
        <f>'All regions'!G2905+"$F;@!&amp;JF"</f>
        <v>#VALUE!</v>
      </c>
      <c r="IJ105" t="e">
        <f>'All regions'!H2905+"$F;@!&amp;JG"</f>
        <v>#VALUE!</v>
      </c>
      <c r="IK105" t="e">
        <f>'All regions'!I2905+"$F;@!&amp;JH"</f>
        <v>#VALUE!</v>
      </c>
      <c r="IL105" t="e">
        <f>'All regions'!A2906+"$F;@!&amp;JI"</f>
        <v>#VALUE!</v>
      </c>
      <c r="IM105" t="e">
        <f>'All regions'!B2906+"$F;@!&amp;JJ"</f>
        <v>#VALUE!</v>
      </c>
      <c r="IN105" t="e">
        <f>'All regions'!C2906+"$F;@!&amp;JK"</f>
        <v>#VALUE!</v>
      </c>
      <c r="IO105" t="e">
        <f>'All regions'!D2906+"$F;@!&amp;JL"</f>
        <v>#VALUE!</v>
      </c>
      <c r="IP105" t="e">
        <f>'All regions'!E2906+"$F;@!&amp;JM"</f>
        <v>#VALUE!</v>
      </c>
      <c r="IQ105" t="e">
        <f>'All regions'!F2906+"$F;@!&amp;JN"</f>
        <v>#VALUE!</v>
      </c>
      <c r="IR105" t="e">
        <f>'All regions'!G2906+"$F;@!&amp;JO"</f>
        <v>#VALUE!</v>
      </c>
      <c r="IS105" t="e">
        <f>'All regions'!H2906+"$F;@!&amp;JP"</f>
        <v>#VALUE!</v>
      </c>
      <c r="IT105" t="e">
        <f>'All regions'!I2906+"$F;@!&amp;JQ"</f>
        <v>#VALUE!</v>
      </c>
      <c r="IU105" t="e">
        <f>'All regions'!A2907+"$F;@!&amp;JR"</f>
        <v>#VALUE!</v>
      </c>
      <c r="IV105" t="e">
        <f>'All regions'!B2907+"$F;@!&amp;JS"</f>
        <v>#VALUE!</v>
      </c>
    </row>
    <row r="106" spans="6:256" x14ac:dyDescent="0.35">
      <c r="F106" t="e">
        <f>'All regions'!C2907+"$F;@!&amp;JT"</f>
        <v>#VALUE!</v>
      </c>
      <c r="G106" t="e">
        <f>'All regions'!D2907+"$F;@!&amp;JU"</f>
        <v>#VALUE!</v>
      </c>
      <c r="H106" t="e">
        <f>'All regions'!E2907+"$F;@!&amp;JV"</f>
        <v>#VALUE!</v>
      </c>
      <c r="I106" t="e">
        <f>'All regions'!F2907+"$F;@!&amp;JW"</f>
        <v>#VALUE!</v>
      </c>
      <c r="J106" t="e">
        <f>'All regions'!G2907+"$F;@!&amp;JX"</f>
        <v>#VALUE!</v>
      </c>
      <c r="K106" t="e">
        <f>'All regions'!H2907+"$F;@!&amp;JY"</f>
        <v>#VALUE!</v>
      </c>
      <c r="L106" t="e">
        <f>'All regions'!I2907+"$F;@!&amp;JZ"</f>
        <v>#VALUE!</v>
      </c>
      <c r="M106" t="e">
        <f>'All regions'!A2908+"$F;@!&amp;J["</f>
        <v>#VALUE!</v>
      </c>
      <c r="N106" t="e">
        <f>'All regions'!B2908+"$F;@!&amp;J\"</f>
        <v>#VALUE!</v>
      </c>
      <c r="O106" t="e">
        <f>'All regions'!C2908+"$F;@!&amp;J]"</f>
        <v>#VALUE!</v>
      </c>
      <c r="P106" t="e">
        <f>'All regions'!D2908+"$F;@!&amp;J^"</f>
        <v>#VALUE!</v>
      </c>
      <c r="Q106" t="e">
        <f>'All regions'!E2908+"$F;@!&amp;J_"</f>
        <v>#VALUE!</v>
      </c>
      <c r="R106" t="e">
        <f>'All regions'!F2908+"$F;@!&amp;J`"</f>
        <v>#VALUE!</v>
      </c>
      <c r="S106" t="e">
        <f>'All regions'!G2908+"$F;@!&amp;Ja"</f>
        <v>#VALUE!</v>
      </c>
      <c r="T106" t="e">
        <f>'All regions'!H2908+"$F;@!&amp;Jb"</f>
        <v>#VALUE!</v>
      </c>
      <c r="U106" t="e">
        <f>'All regions'!I2908+"$F;@!&amp;Jc"</f>
        <v>#VALUE!</v>
      </c>
      <c r="V106" t="e">
        <f>'All regions'!A2909+"$F;@!&amp;Jd"</f>
        <v>#VALUE!</v>
      </c>
      <c r="W106" t="e">
        <f>'All regions'!B2909+"$F;@!&amp;Je"</f>
        <v>#VALUE!</v>
      </c>
      <c r="X106" t="e">
        <f>'All regions'!C2909+"$F;@!&amp;Jf"</f>
        <v>#VALUE!</v>
      </c>
      <c r="Y106" t="e">
        <f>'All regions'!D2909+"$F;@!&amp;Jg"</f>
        <v>#VALUE!</v>
      </c>
      <c r="Z106" t="e">
        <f>'All regions'!E2909+"$F;@!&amp;Jh"</f>
        <v>#VALUE!</v>
      </c>
      <c r="AA106" t="e">
        <f>'All regions'!F2909+"$F;@!&amp;Ji"</f>
        <v>#VALUE!</v>
      </c>
      <c r="AB106" t="e">
        <f>'All regions'!G2909+"$F;@!&amp;Jj"</f>
        <v>#VALUE!</v>
      </c>
      <c r="AC106" t="e">
        <f>'All regions'!H2909+"$F;@!&amp;Jk"</f>
        <v>#VALUE!</v>
      </c>
      <c r="AD106" t="e">
        <f>'All regions'!I2909+"$F;@!&amp;Jl"</f>
        <v>#VALUE!</v>
      </c>
      <c r="AE106" t="e">
        <f>'All regions'!A2910+"$F;@!&amp;Jm"</f>
        <v>#VALUE!</v>
      </c>
      <c r="AF106" t="e">
        <f>'All regions'!B2910+"$F;@!&amp;Jn"</f>
        <v>#VALUE!</v>
      </c>
      <c r="AG106" t="e">
        <f>'All regions'!C2910+"$F;@!&amp;Jo"</f>
        <v>#VALUE!</v>
      </c>
      <c r="AH106" t="e">
        <f>'All regions'!D2910+"$F;@!&amp;Jp"</f>
        <v>#VALUE!</v>
      </c>
      <c r="AI106" t="e">
        <f>'All regions'!E2910+"$F;@!&amp;Jq"</f>
        <v>#VALUE!</v>
      </c>
      <c r="AJ106" t="e">
        <f>'All regions'!F2910+"$F;@!&amp;Jr"</f>
        <v>#VALUE!</v>
      </c>
      <c r="AK106" t="e">
        <f>'All regions'!G2910+"$F;@!&amp;Js"</f>
        <v>#VALUE!</v>
      </c>
      <c r="AL106" t="e">
        <f>'All regions'!H2910+"$F;@!&amp;Jt"</f>
        <v>#VALUE!</v>
      </c>
      <c r="AM106" t="e">
        <f>'All regions'!I2910+"$F;@!&amp;Ju"</f>
        <v>#VALUE!</v>
      </c>
      <c r="AN106" t="e">
        <f>'All regions'!A2911+"$F;@!&amp;Jv"</f>
        <v>#VALUE!</v>
      </c>
      <c r="AO106" t="e">
        <f>'All regions'!B2911+"$F;@!&amp;Jw"</f>
        <v>#VALUE!</v>
      </c>
      <c r="AP106" t="e">
        <f>'All regions'!C2911+"$F;@!&amp;Jx"</f>
        <v>#VALUE!</v>
      </c>
      <c r="AQ106" t="e">
        <f>'All regions'!D2911+"$F;@!&amp;Jy"</f>
        <v>#VALUE!</v>
      </c>
      <c r="AR106" t="e">
        <f>'All regions'!E2911+"$F;@!&amp;Jz"</f>
        <v>#VALUE!</v>
      </c>
      <c r="AS106" t="e">
        <f>'All regions'!F2911+"$F;@!&amp;J{"</f>
        <v>#VALUE!</v>
      </c>
      <c r="AT106" t="e">
        <f>'All regions'!G2911+"$F;@!&amp;J|"</f>
        <v>#VALUE!</v>
      </c>
      <c r="AU106" t="e">
        <f>'All regions'!H2911+"$F;@!&amp;J}"</f>
        <v>#VALUE!</v>
      </c>
      <c r="AV106" t="e">
        <f>'All regions'!I2911+"$F;@!&amp;J~"</f>
        <v>#VALUE!</v>
      </c>
      <c r="AW106" t="e">
        <f>'All regions'!A2912+"$F;@!&amp;K#"</f>
        <v>#VALUE!</v>
      </c>
      <c r="AX106" t="e">
        <f>'All regions'!B2912+"$F;@!&amp;K$"</f>
        <v>#VALUE!</v>
      </c>
      <c r="AY106" t="e">
        <f>'All regions'!C2912+"$F;@!&amp;K%"</f>
        <v>#VALUE!</v>
      </c>
      <c r="AZ106" t="e">
        <f>'All regions'!D2912+"$F;@!&amp;K&amp;"</f>
        <v>#VALUE!</v>
      </c>
      <c r="BA106" t="e">
        <f>'All regions'!E2912+"$F;@!&amp;K'"</f>
        <v>#VALUE!</v>
      </c>
      <c r="BB106" t="e">
        <f>'All regions'!F2912+"$F;@!&amp;K("</f>
        <v>#VALUE!</v>
      </c>
      <c r="BC106" t="e">
        <f>'All regions'!G2912+"$F;@!&amp;K)"</f>
        <v>#VALUE!</v>
      </c>
      <c r="BD106" t="e">
        <f>'All regions'!H2912+"$F;@!&amp;K."</f>
        <v>#VALUE!</v>
      </c>
      <c r="BE106" t="e">
        <f>'All regions'!I2912+"$F;@!&amp;K/"</f>
        <v>#VALUE!</v>
      </c>
      <c r="BF106" t="e">
        <f>'All regions'!A2913+"$F;@!&amp;K0"</f>
        <v>#VALUE!</v>
      </c>
      <c r="BG106" t="e">
        <f>'All regions'!B2913+"$F;@!&amp;K1"</f>
        <v>#VALUE!</v>
      </c>
      <c r="BH106" t="e">
        <f>'All regions'!C2913+"$F;@!&amp;K2"</f>
        <v>#VALUE!</v>
      </c>
      <c r="BI106" t="e">
        <f>'All regions'!D2913+"$F;@!&amp;K3"</f>
        <v>#VALUE!</v>
      </c>
      <c r="BJ106" t="e">
        <f>'All regions'!E2913+"$F;@!&amp;K4"</f>
        <v>#VALUE!</v>
      </c>
      <c r="BK106" t="e">
        <f>'All regions'!F2913+"$F;@!&amp;K5"</f>
        <v>#VALUE!</v>
      </c>
      <c r="BL106" t="e">
        <f>'All regions'!G2913+"$F;@!&amp;K6"</f>
        <v>#VALUE!</v>
      </c>
      <c r="BM106" t="e">
        <f>'All regions'!H2913+"$F;@!&amp;K7"</f>
        <v>#VALUE!</v>
      </c>
      <c r="BN106" t="e">
        <f>'All regions'!I2913+"$F;@!&amp;K8"</f>
        <v>#VALUE!</v>
      </c>
      <c r="BO106" t="e">
        <f>'All regions'!A2914+"$F;@!&amp;K9"</f>
        <v>#VALUE!</v>
      </c>
      <c r="BP106" t="e">
        <f>'All regions'!B2914+"$F;@!&amp;K:"</f>
        <v>#VALUE!</v>
      </c>
      <c r="BQ106" t="e">
        <f>'All regions'!C2914+"$F;@!&amp;K;"</f>
        <v>#VALUE!</v>
      </c>
      <c r="BR106" t="e">
        <f>'All regions'!D2914+"$F;@!&amp;K&lt;"</f>
        <v>#VALUE!</v>
      </c>
      <c r="BS106" t="e">
        <f>'All regions'!E2914+"$F;@!&amp;K="</f>
        <v>#VALUE!</v>
      </c>
      <c r="BT106" t="e">
        <f>'All regions'!F2914+"$F;@!&amp;K&gt;"</f>
        <v>#VALUE!</v>
      </c>
      <c r="BU106" t="e">
        <f>'All regions'!G2914+"$F;@!&amp;K?"</f>
        <v>#VALUE!</v>
      </c>
      <c r="BV106" t="e">
        <f>'All regions'!H2914+"$F;@!&amp;K@"</f>
        <v>#VALUE!</v>
      </c>
      <c r="BW106" t="e">
        <f>'All regions'!I2914+"$F;@!&amp;KA"</f>
        <v>#VALUE!</v>
      </c>
      <c r="BX106" t="e">
        <f>'All regions'!A2915+"$F;@!&amp;KB"</f>
        <v>#VALUE!</v>
      </c>
      <c r="BY106" t="e">
        <f>'All regions'!B2915+"$F;@!&amp;KC"</f>
        <v>#VALUE!</v>
      </c>
      <c r="BZ106" t="e">
        <f>'All regions'!C2915+"$F;@!&amp;KD"</f>
        <v>#VALUE!</v>
      </c>
      <c r="CA106" t="e">
        <f>'All regions'!D2915+"$F;@!&amp;KE"</f>
        <v>#VALUE!</v>
      </c>
      <c r="CB106" t="e">
        <f>'All regions'!E2915+"$F;@!&amp;KF"</f>
        <v>#VALUE!</v>
      </c>
      <c r="CC106" t="e">
        <f>'All regions'!F2915+"$F;@!&amp;KG"</f>
        <v>#VALUE!</v>
      </c>
      <c r="CD106" t="e">
        <f>'All regions'!G2915+"$F;@!&amp;KH"</f>
        <v>#VALUE!</v>
      </c>
      <c r="CE106" t="e">
        <f>'All regions'!H2915+"$F;@!&amp;KI"</f>
        <v>#VALUE!</v>
      </c>
      <c r="CF106" t="e">
        <f>'All regions'!I2915+"$F;@!&amp;KJ"</f>
        <v>#VALUE!</v>
      </c>
      <c r="CG106" t="e">
        <f>'All regions'!A2916+"$F;@!&amp;KK"</f>
        <v>#VALUE!</v>
      </c>
      <c r="CH106" t="e">
        <f>'All regions'!B2916+"$F;@!&amp;KL"</f>
        <v>#VALUE!</v>
      </c>
      <c r="CI106" t="e">
        <f>'All regions'!C2916+"$F;@!&amp;KM"</f>
        <v>#VALUE!</v>
      </c>
      <c r="CJ106" t="e">
        <f>'All regions'!D2916+"$F;@!&amp;KN"</f>
        <v>#VALUE!</v>
      </c>
      <c r="CK106" t="e">
        <f>'All regions'!E2916+"$F;@!&amp;KO"</f>
        <v>#VALUE!</v>
      </c>
      <c r="CL106" t="e">
        <f>'All regions'!F2916+"$F;@!&amp;KP"</f>
        <v>#VALUE!</v>
      </c>
      <c r="CM106" t="e">
        <f>'All regions'!G2916+"$F;@!&amp;KQ"</f>
        <v>#VALUE!</v>
      </c>
      <c r="CN106" t="e">
        <f>'All regions'!H2916+"$F;@!&amp;KR"</f>
        <v>#VALUE!</v>
      </c>
      <c r="CO106" t="e">
        <f>'All regions'!I2916+"$F;@!&amp;KS"</f>
        <v>#VALUE!</v>
      </c>
      <c r="CP106" t="e">
        <f>'All regions'!A2917+"$F;@!&amp;KT"</f>
        <v>#VALUE!</v>
      </c>
      <c r="CQ106" t="e">
        <f>'All regions'!B2917+"$F;@!&amp;KU"</f>
        <v>#VALUE!</v>
      </c>
      <c r="CR106" t="e">
        <f>'All regions'!C2917+"$F;@!&amp;KV"</f>
        <v>#VALUE!</v>
      </c>
      <c r="CS106" t="e">
        <f>'All regions'!D2917+"$F;@!&amp;KW"</f>
        <v>#VALUE!</v>
      </c>
      <c r="CT106" t="e">
        <f>'All regions'!E2917+"$F;@!&amp;KX"</f>
        <v>#VALUE!</v>
      </c>
      <c r="CU106" t="e">
        <f>'All regions'!F2917+"$F;@!&amp;KY"</f>
        <v>#VALUE!</v>
      </c>
      <c r="CV106" t="e">
        <f>'All regions'!G2917+"$F;@!&amp;KZ"</f>
        <v>#VALUE!</v>
      </c>
      <c r="CW106" t="e">
        <f>'All regions'!H2917+"$F;@!&amp;K["</f>
        <v>#VALUE!</v>
      </c>
      <c r="CX106" t="e">
        <f>'All regions'!I2917+"$F;@!&amp;K\"</f>
        <v>#VALUE!</v>
      </c>
      <c r="CY106" t="e">
        <f>'All regions'!A2918+"$F;@!&amp;K]"</f>
        <v>#VALUE!</v>
      </c>
      <c r="CZ106" t="e">
        <f>'All regions'!B2918+"$F;@!&amp;K^"</f>
        <v>#VALUE!</v>
      </c>
      <c r="DA106" t="e">
        <f>'All regions'!C2918+"$F;@!&amp;K_"</f>
        <v>#VALUE!</v>
      </c>
      <c r="DB106" t="e">
        <f>'All regions'!D2918+"$F;@!&amp;K`"</f>
        <v>#VALUE!</v>
      </c>
      <c r="DC106" t="e">
        <f>'All regions'!E2918+"$F;@!&amp;Ka"</f>
        <v>#VALUE!</v>
      </c>
      <c r="DD106" t="e">
        <f>'All regions'!F2918+"$F;@!&amp;Kb"</f>
        <v>#VALUE!</v>
      </c>
      <c r="DE106" t="e">
        <f>'All regions'!G2918+"$F;@!&amp;Kc"</f>
        <v>#VALUE!</v>
      </c>
      <c r="DF106" t="e">
        <f>'All regions'!H2918+"$F;@!&amp;Kd"</f>
        <v>#VALUE!</v>
      </c>
      <c r="DG106" t="e">
        <f>'All regions'!I2918+"$F;@!&amp;Ke"</f>
        <v>#VALUE!</v>
      </c>
      <c r="DH106" t="e">
        <f>'All regions'!A2919+"$F;@!&amp;Kf"</f>
        <v>#VALUE!</v>
      </c>
      <c r="DI106" t="e">
        <f>'All regions'!B2919+"$F;@!&amp;Kg"</f>
        <v>#VALUE!</v>
      </c>
      <c r="DJ106" t="e">
        <f>'All regions'!C2919+"$F;@!&amp;Kh"</f>
        <v>#VALUE!</v>
      </c>
      <c r="DK106" t="e">
        <f>'All regions'!D2919+"$F;@!&amp;Ki"</f>
        <v>#VALUE!</v>
      </c>
      <c r="DL106" t="e">
        <f>'All regions'!E2919+"$F;@!&amp;Kj"</f>
        <v>#VALUE!</v>
      </c>
      <c r="DM106" t="e">
        <f>'All regions'!F2919+"$F;@!&amp;Kk"</f>
        <v>#VALUE!</v>
      </c>
      <c r="DN106" t="e">
        <f>'All regions'!G2919+"$F;@!&amp;Kl"</f>
        <v>#VALUE!</v>
      </c>
      <c r="DO106" t="e">
        <f>'All regions'!H2919+"$F;@!&amp;Km"</f>
        <v>#VALUE!</v>
      </c>
      <c r="DP106" t="e">
        <f>'All regions'!I2919+"$F;@!&amp;Kn"</f>
        <v>#VALUE!</v>
      </c>
      <c r="DQ106" t="e">
        <f>'All regions'!A2920+"$F;@!&amp;Ko"</f>
        <v>#VALUE!</v>
      </c>
      <c r="DR106" t="e">
        <f>'All regions'!B2920+"$F;@!&amp;Kp"</f>
        <v>#VALUE!</v>
      </c>
      <c r="DS106" t="e">
        <f>'All regions'!C2920+"$F;@!&amp;Kq"</f>
        <v>#VALUE!</v>
      </c>
      <c r="DT106" t="e">
        <f>'All regions'!D2920+"$F;@!&amp;Kr"</f>
        <v>#VALUE!</v>
      </c>
      <c r="DU106" t="e">
        <f>'All regions'!E2920+"$F;@!&amp;Ks"</f>
        <v>#VALUE!</v>
      </c>
      <c r="DV106" t="e">
        <f>'All regions'!F2920+"$F;@!&amp;Kt"</f>
        <v>#VALUE!</v>
      </c>
      <c r="DW106" t="e">
        <f>'All regions'!G2920+"$F;@!&amp;Ku"</f>
        <v>#VALUE!</v>
      </c>
      <c r="DX106" t="e">
        <f>'All regions'!H2920+"$F;@!&amp;Kv"</f>
        <v>#VALUE!</v>
      </c>
      <c r="DY106" t="e">
        <f>'All regions'!I2920+"$F;@!&amp;Kw"</f>
        <v>#VALUE!</v>
      </c>
      <c r="DZ106" t="e">
        <f>'All regions'!A2921+"$F;@!&amp;Kx"</f>
        <v>#VALUE!</v>
      </c>
      <c r="EA106" t="e">
        <f>'All regions'!B2921+"$F;@!&amp;Ky"</f>
        <v>#VALUE!</v>
      </c>
      <c r="EB106" t="e">
        <f>'All regions'!C2921+"$F;@!&amp;Kz"</f>
        <v>#VALUE!</v>
      </c>
      <c r="EC106" t="e">
        <f>'All regions'!D2921+"$F;@!&amp;K{"</f>
        <v>#VALUE!</v>
      </c>
      <c r="ED106" t="e">
        <f>'All regions'!E2921+"$F;@!&amp;K|"</f>
        <v>#VALUE!</v>
      </c>
      <c r="EE106" t="e">
        <f>'All regions'!F2921+"$F;@!&amp;K}"</f>
        <v>#VALUE!</v>
      </c>
      <c r="EF106" t="e">
        <f>'All regions'!G2921+"$F;@!&amp;K~"</f>
        <v>#VALUE!</v>
      </c>
      <c r="EG106" t="e">
        <f>'All regions'!H2921+"$F;@!&amp;L#"</f>
        <v>#VALUE!</v>
      </c>
      <c r="EH106" t="e">
        <f>'All regions'!I2921+"$F;@!&amp;L$"</f>
        <v>#VALUE!</v>
      </c>
      <c r="EI106" t="e">
        <f>'All regions'!A2922+"$F;@!&amp;L%"</f>
        <v>#VALUE!</v>
      </c>
      <c r="EJ106" t="e">
        <f>'All regions'!B2922+"$F;@!&amp;L&amp;"</f>
        <v>#VALUE!</v>
      </c>
      <c r="EK106" t="e">
        <f>'All regions'!C2922+"$F;@!&amp;L'"</f>
        <v>#VALUE!</v>
      </c>
      <c r="EL106" t="e">
        <f>'All regions'!D2922+"$F;@!&amp;L("</f>
        <v>#VALUE!</v>
      </c>
      <c r="EM106" t="e">
        <f>'All regions'!E2922+"$F;@!&amp;L)"</f>
        <v>#VALUE!</v>
      </c>
      <c r="EN106" t="e">
        <f>'All regions'!F2922+"$F;@!&amp;L."</f>
        <v>#VALUE!</v>
      </c>
      <c r="EO106" t="e">
        <f>'All regions'!G2922+"$F;@!&amp;L/"</f>
        <v>#VALUE!</v>
      </c>
      <c r="EP106" t="e">
        <f>'All regions'!H2922+"$F;@!&amp;L0"</f>
        <v>#VALUE!</v>
      </c>
      <c r="EQ106" t="e">
        <f>'All regions'!I2922+"$F;@!&amp;L1"</f>
        <v>#VALUE!</v>
      </c>
      <c r="ER106" t="e">
        <f>'All regions'!A2923+"$F;@!&amp;L2"</f>
        <v>#VALUE!</v>
      </c>
      <c r="ES106" t="e">
        <f>'All regions'!B2923+"$F;@!&amp;L3"</f>
        <v>#VALUE!</v>
      </c>
      <c r="ET106" t="e">
        <f>'All regions'!C2923+"$F;@!&amp;L4"</f>
        <v>#VALUE!</v>
      </c>
      <c r="EU106" t="e">
        <f>'All regions'!D2923+"$F;@!&amp;L5"</f>
        <v>#VALUE!</v>
      </c>
      <c r="EV106" t="e">
        <f>'All regions'!E2923+"$F;@!&amp;L6"</f>
        <v>#VALUE!</v>
      </c>
      <c r="EW106" t="e">
        <f>'All regions'!F2923+"$F;@!&amp;L7"</f>
        <v>#VALUE!</v>
      </c>
      <c r="EX106" t="e">
        <f>'All regions'!G2923+"$F;@!&amp;L8"</f>
        <v>#VALUE!</v>
      </c>
      <c r="EY106" t="e">
        <f>'All regions'!H2923+"$F;@!&amp;L9"</f>
        <v>#VALUE!</v>
      </c>
      <c r="EZ106" t="e">
        <f>'All regions'!I2923+"$F;@!&amp;L:"</f>
        <v>#VALUE!</v>
      </c>
      <c r="FA106" t="e">
        <f>'All regions'!A2924+"$F;@!&amp;L;"</f>
        <v>#VALUE!</v>
      </c>
      <c r="FB106" t="e">
        <f>'All regions'!B2924+"$F;@!&amp;L&lt;"</f>
        <v>#VALUE!</v>
      </c>
      <c r="FC106" t="e">
        <f>'All regions'!C2924+"$F;@!&amp;L="</f>
        <v>#VALUE!</v>
      </c>
      <c r="FD106" t="e">
        <f>'All regions'!D2924+"$F;@!&amp;L&gt;"</f>
        <v>#VALUE!</v>
      </c>
      <c r="FE106" t="e">
        <f>'All regions'!E2924+"$F;@!&amp;L?"</f>
        <v>#VALUE!</v>
      </c>
      <c r="FF106" t="e">
        <f>'All regions'!F2924+"$F;@!&amp;L@"</f>
        <v>#VALUE!</v>
      </c>
      <c r="FG106" t="e">
        <f>'All regions'!G2924+"$F;@!&amp;LA"</f>
        <v>#VALUE!</v>
      </c>
      <c r="FH106" t="e">
        <f>'All regions'!H2924+"$F;@!&amp;LB"</f>
        <v>#VALUE!</v>
      </c>
      <c r="FI106" t="e">
        <f>'All regions'!I2924+"$F;@!&amp;LC"</f>
        <v>#VALUE!</v>
      </c>
      <c r="FJ106" t="e">
        <f>'All regions'!A2925+"$F;@!&amp;LD"</f>
        <v>#VALUE!</v>
      </c>
      <c r="FK106" t="e">
        <f>'All regions'!B2925+"$F;@!&amp;LE"</f>
        <v>#VALUE!</v>
      </c>
      <c r="FL106" t="e">
        <f>'All regions'!C2925+"$F;@!&amp;LF"</f>
        <v>#VALUE!</v>
      </c>
      <c r="FM106" t="e">
        <f>'All regions'!D2925+"$F;@!&amp;LG"</f>
        <v>#VALUE!</v>
      </c>
      <c r="FN106" t="e">
        <f>'All regions'!E2925+"$F;@!&amp;LH"</f>
        <v>#VALUE!</v>
      </c>
      <c r="FO106" t="e">
        <f>'All regions'!F2925+"$F;@!&amp;LI"</f>
        <v>#VALUE!</v>
      </c>
      <c r="FP106" t="e">
        <f>'All regions'!G2925+"$F;@!&amp;LJ"</f>
        <v>#VALUE!</v>
      </c>
      <c r="FQ106" t="e">
        <f>'All regions'!H2925+"$F;@!&amp;LK"</f>
        <v>#VALUE!</v>
      </c>
      <c r="FR106" t="e">
        <f>'All regions'!I2925+"$F;@!&amp;LL"</f>
        <v>#VALUE!</v>
      </c>
      <c r="FS106" t="e">
        <f>'All regions'!A2926+"$F;@!&amp;LM"</f>
        <v>#VALUE!</v>
      </c>
      <c r="FT106" t="e">
        <f>'All regions'!B2926+"$F;@!&amp;LN"</f>
        <v>#VALUE!</v>
      </c>
      <c r="FU106" t="e">
        <f>'All regions'!C2926+"$F;@!&amp;LO"</f>
        <v>#VALUE!</v>
      </c>
      <c r="FV106" t="e">
        <f>'All regions'!D2926+"$F;@!&amp;LP"</f>
        <v>#VALUE!</v>
      </c>
      <c r="FW106" t="e">
        <f>'All regions'!E2926+"$F;@!&amp;LQ"</f>
        <v>#VALUE!</v>
      </c>
      <c r="FX106" t="e">
        <f>'All regions'!F2926+"$F;@!&amp;LR"</f>
        <v>#VALUE!</v>
      </c>
      <c r="FY106" t="e">
        <f>'All regions'!G2926+"$F;@!&amp;LS"</f>
        <v>#VALUE!</v>
      </c>
      <c r="FZ106" t="e">
        <f>'All regions'!H2926+"$F;@!&amp;LT"</f>
        <v>#VALUE!</v>
      </c>
      <c r="GA106" t="e">
        <f>'All regions'!I2926+"$F;@!&amp;LU"</f>
        <v>#VALUE!</v>
      </c>
      <c r="GB106" t="e">
        <f>'All regions'!A2927+"$F;@!&amp;LV"</f>
        <v>#VALUE!</v>
      </c>
      <c r="GC106" t="e">
        <f>'All regions'!B2927+"$F;@!&amp;LW"</f>
        <v>#VALUE!</v>
      </c>
      <c r="GD106" t="e">
        <f>'All regions'!C2927+"$F;@!&amp;LX"</f>
        <v>#VALUE!</v>
      </c>
      <c r="GE106" t="e">
        <f>'All regions'!D2927+"$F;@!&amp;LY"</f>
        <v>#VALUE!</v>
      </c>
      <c r="GF106" t="e">
        <f>'All regions'!E2927+"$F;@!&amp;LZ"</f>
        <v>#VALUE!</v>
      </c>
      <c r="GG106" t="e">
        <f>'All regions'!F2927+"$F;@!&amp;L["</f>
        <v>#VALUE!</v>
      </c>
      <c r="GH106" t="e">
        <f>'All regions'!G2927+"$F;@!&amp;L\"</f>
        <v>#VALUE!</v>
      </c>
      <c r="GI106" t="e">
        <f>'All regions'!H2927+"$F;@!&amp;L]"</f>
        <v>#VALUE!</v>
      </c>
      <c r="GJ106" t="e">
        <f>'All regions'!I2927+"$F;@!&amp;L^"</f>
        <v>#VALUE!</v>
      </c>
      <c r="GK106" t="e">
        <f>'All regions'!A2928+"$F;@!&amp;L_"</f>
        <v>#VALUE!</v>
      </c>
      <c r="GL106" t="e">
        <f>'All regions'!B2928+"$F;@!&amp;L`"</f>
        <v>#VALUE!</v>
      </c>
      <c r="GM106" t="e">
        <f>'All regions'!C2928+"$F;@!&amp;La"</f>
        <v>#VALUE!</v>
      </c>
      <c r="GN106" t="e">
        <f>'All regions'!D2928+"$F;@!&amp;Lb"</f>
        <v>#VALUE!</v>
      </c>
      <c r="GO106" t="e">
        <f>'All regions'!E2928+"$F;@!&amp;Lc"</f>
        <v>#VALUE!</v>
      </c>
      <c r="GP106" t="e">
        <f>'All regions'!F2928+"$F;@!&amp;Ld"</f>
        <v>#VALUE!</v>
      </c>
      <c r="GQ106" t="e">
        <f>'All regions'!G2928+"$F;@!&amp;Le"</f>
        <v>#VALUE!</v>
      </c>
      <c r="GR106" t="e">
        <f>'All regions'!H2928+"$F;@!&amp;Lf"</f>
        <v>#VALUE!</v>
      </c>
      <c r="GS106" t="e">
        <f>'All regions'!I2928+"$F;@!&amp;Lg"</f>
        <v>#VALUE!</v>
      </c>
      <c r="GT106" t="e">
        <f>'All regions'!A2929+"$F;@!&amp;Lh"</f>
        <v>#VALUE!</v>
      </c>
      <c r="GU106" t="e">
        <f>'All regions'!B2929+"$F;@!&amp;Li"</f>
        <v>#VALUE!</v>
      </c>
      <c r="GV106" t="e">
        <f>'All regions'!C2929+"$F;@!&amp;Lj"</f>
        <v>#VALUE!</v>
      </c>
      <c r="GW106" t="e">
        <f>'All regions'!D2929+"$F;@!&amp;Lk"</f>
        <v>#VALUE!</v>
      </c>
      <c r="GX106" t="e">
        <f>'All regions'!E2929+"$F;@!&amp;Ll"</f>
        <v>#VALUE!</v>
      </c>
      <c r="GY106" t="e">
        <f>'All regions'!F2929+"$F;@!&amp;Lm"</f>
        <v>#VALUE!</v>
      </c>
      <c r="GZ106" t="e">
        <f>'All regions'!G2929+"$F;@!&amp;Ln"</f>
        <v>#VALUE!</v>
      </c>
      <c r="HA106" t="e">
        <f>'All regions'!H2929+"$F;@!&amp;Lo"</f>
        <v>#VALUE!</v>
      </c>
      <c r="HB106" t="e">
        <f>'All regions'!I2929+"$F;@!&amp;Lp"</f>
        <v>#VALUE!</v>
      </c>
      <c r="HC106" t="e">
        <f>'All regions'!A2930+"$F;@!&amp;Lq"</f>
        <v>#VALUE!</v>
      </c>
      <c r="HD106" t="e">
        <f>'All regions'!B2930+"$F;@!&amp;Lr"</f>
        <v>#VALUE!</v>
      </c>
      <c r="HE106" t="e">
        <f>'All regions'!C2930+"$F;@!&amp;Ls"</f>
        <v>#VALUE!</v>
      </c>
      <c r="HF106" t="e">
        <f>'All regions'!D2930+"$F;@!&amp;Lt"</f>
        <v>#VALUE!</v>
      </c>
      <c r="HG106" t="e">
        <f>'All regions'!E2930+"$F;@!&amp;Lu"</f>
        <v>#VALUE!</v>
      </c>
      <c r="HH106" t="e">
        <f>'All regions'!F2930+"$F;@!&amp;Lv"</f>
        <v>#VALUE!</v>
      </c>
      <c r="HI106" t="e">
        <f>'All regions'!G2930+"$F;@!&amp;Lw"</f>
        <v>#VALUE!</v>
      </c>
      <c r="HJ106" t="e">
        <f>'All regions'!H2930+"$F;@!&amp;Lx"</f>
        <v>#VALUE!</v>
      </c>
      <c r="HK106" t="e">
        <f>'All regions'!I2930+"$F;@!&amp;Ly"</f>
        <v>#VALUE!</v>
      </c>
      <c r="HL106" t="e">
        <f>'All regions'!A2931+"$F;@!&amp;Lz"</f>
        <v>#VALUE!</v>
      </c>
      <c r="HM106" t="e">
        <f>'All regions'!B2931+"$F;@!&amp;L{"</f>
        <v>#VALUE!</v>
      </c>
      <c r="HN106" t="e">
        <f>'All regions'!C2931+"$F;@!&amp;L|"</f>
        <v>#VALUE!</v>
      </c>
      <c r="HO106" t="e">
        <f>'All regions'!D2931+"$F;@!&amp;L}"</f>
        <v>#VALUE!</v>
      </c>
      <c r="HP106" t="e">
        <f>'All regions'!E2931+"$F;@!&amp;L~"</f>
        <v>#VALUE!</v>
      </c>
      <c r="HQ106" t="e">
        <f>'All regions'!F2931+"$F;@!&amp;M#"</f>
        <v>#VALUE!</v>
      </c>
      <c r="HR106" t="e">
        <f>'All regions'!G2931+"$F;@!&amp;M$"</f>
        <v>#VALUE!</v>
      </c>
      <c r="HS106" t="e">
        <f>'All regions'!H2931+"$F;@!&amp;M%"</f>
        <v>#VALUE!</v>
      </c>
      <c r="HT106" t="e">
        <f>'All regions'!I2931+"$F;@!&amp;M&amp;"</f>
        <v>#VALUE!</v>
      </c>
      <c r="HU106" t="e">
        <f>'All regions'!A2932+"$F;@!&amp;M'"</f>
        <v>#VALUE!</v>
      </c>
      <c r="HV106" t="e">
        <f>'All regions'!B2932+"$F;@!&amp;M("</f>
        <v>#VALUE!</v>
      </c>
      <c r="HW106" t="e">
        <f>'All regions'!C2932+"$F;@!&amp;M)"</f>
        <v>#VALUE!</v>
      </c>
      <c r="HX106" t="e">
        <f>'All regions'!D2932+"$F;@!&amp;M."</f>
        <v>#VALUE!</v>
      </c>
      <c r="HY106" t="e">
        <f>'All regions'!E2932+"$F;@!&amp;M/"</f>
        <v>#VALUE!</v>
      </c>
      <c r="HZ106" t="e">
        <f>'All regions'!F2932+"$F;@!&amp;M0"</f>
        <v>#VALUE!</v>
      </c>
      <c r="IA106" t="e">
        <f>'All regions'!G2932+"$F;@!&amp;M1"</f>
        <v>#VALUE!</v>
      </c>
      <c r="IB106" t="e">
        <f>'All regions'!H2932+"$F;@!&amp;M2"</f>
        <v>#VALUE!</v>
      </c>
      <c r="IC106" t="e">
        <f>'All regions'!I2932+"$F;@!&amp;M3"</f>
        <v>#VALUE!</v>
      </c>
      <c r="ID106" t="e">
        <f>'All regions'!A2933+"$F;@!&amp;M4"</f>
        <v>#VALUE!</v>
      </c>
      <c r="IE106" t="e">
        <f>'All regions'!B2933+"$F;@!&amp;M5"</f>
        <v>#VALUE!</v>
      </c>
      <c r="IF106" t="e">
        <f>'All regions'!C2933+"$F;@!&amp;M6"</f>
        <v>#VALUE!</v>
      </c>
      <c r="IG106" t="e">
        <f>'All regions'!D2933+"$F;@!&amp;M7"</f>
        <v>#VALUE!</v>
      </c>
      <c r="IH106" t="e">
        <f>'All regions'!E2933+"$F;@!&amp;M8"</f>
        <v>#VALUE!</v>
      </c>
      <c r="II106" t="e">
        <f>'All regions'!F2933+"$F;@!&amp;M9"</f>
        <v>#VALUE!</v>
      </c>
      <c r="IJ106" t="e">
        <f>'All regions'!G2933+"$F;@!&amp;M:"</f>
        <v>#VALUE!</v>
      </c>
      <c r="IK106" t="e">
        <f>'All regions'!H2933+"$F;@!&amp;M;"</f>
        <v>#VALUE!</v>
      </c>
      <c r="IL106" t="e">
        <f>'All regions'!I2933+"$F;@!&amp;M&lt;"</f>
        <v>#VALUE!</v>
      </c>
      <c r="IM106" t="e">
        <f>'All regions'!A2934+"$F;@!&amp;M="</f>
        <v>#VALUE!</v>
      </c>
      <c r="IN106" t="e">
        <f>'All regions'!B2934+"$F;@!&amp;M&gt;"</f>
        <v>#VALUE!</v>
      </c>
      <c r="IO106" t="e">
        <f>'All regions'!C2934+"$F;@!&amp;M?"</f>
        <v>#VALUE!</v>
      </c>
      <c r="IP106" t="e">
        <f>'All regions'!D2934+"$F;@!&amp;M@"</f>
        <v>#VALUE!</v>
      </c>
      <c r="IQ106" t="e">
        <f>'All regions'!E2934+"$F;@!&amp;MA"</f>
        <v>#VALUE!</v>
      </c>
      <c r="IR106" t="e">
        <f>'All regions'!F2934+"$F;@!&amp;MB"</f>
        <v>#VALUE!</v>
      </c>
      <c r="IS106" t="e">
        <f>'All regions'!G2934+"$F;@!&amp;MC"</f>
        <v>#VALUE!</v>
      </c>
      <c r="IT106" t="e">
        <f>'All regions'!H2934+"$F;@!&amp;MD"</f>
        <v>#VALUE!</v>
      </c>
      <c r="IU106" t="e">
        <f>'All regions'!I2934+"$F;@!&amp;ME"</f>
        <v>#VALUE!</v>
      </c>
      <c r="IV106" t="e">
        <f>'All regions'!A2935+"$F;@!&amp;MF"</f>
        <v>#VALUE!</v>
      </c>
    </row>
    <row r="107" spans="6:256" x14ac:dyDescent="0.35">
      <c r="F107" t="e">
        <f>'All regions'!B2935+"$F;@!&amp;MG"</f>
        <v>#VALUE!</v>
      </c>
      <c r="G107" t="e">
        <f>'All regions'!C2935+"$F;@!&amp;MH"</f>
        <v>#VALUE!</v>
      </c>
      <c r="H107" t="e">
        <f>'All regions'!D2935+"$F;@!&amp;MI"</f>
        <v>#VALUE!</v>
      </c>
      <c r="I107" t="e">
        <f>'All regions'!E2935+"$F;@!&amp;MJ"</f>
        <v>#VALUE!</v>
      </c>
      <c r="J107" t="e">
        <f>'All regions'!F2935+"$F;@!&amp;MK"</f>
        <v>#VALUE!</v>
      </c>
      <c r="K107" t="e">
        <f>'All regions'!G2935+"$F;@!&amp;ML"</f>
        <v>#VALUE!</v>
      </c>
      <c r="L107" t="e">
        <f>'All regions'!H2935+"$F;@!&amp;MM"</f>
        <v>#VALUE!</v>
      </c>
      <c r="M107" t="e">
        <f>'All regions'!I2935+"$F;@!&amp;MN"</f>
        <v>#VALUE!</v>
      </c>
      <c r="N107" t="e">
        <f>'All regions'!A2936+"$F;@!&amp;MO"</f>
        <v>#VALUE!</v>
      </c>
      <c r="O107" t="e">
        <f>'All regions'!B2936+"$F;@!&amp;MP"</f>
        <v>#VALUE!</v>
      </c>
      <c r="P107" t="e">
        <f>'All regions'!C2936+"$F;@!&amp;MQ"</f>
        <v>#VALUE!</v>
      </c>
      <c r="Q107" t="e">
        <f>'All regions'!D2936+"$F;@!&amp;MR"</f>
        <v>#VALUE!</v>
      </c>
      <c r="R107" t="e">
        <f>'All regions'!E2936+"$F;@!&amp;MS"</f>
        <v>#VALUE!</v>
      </c>
      <c r="S107" t="e">
        <f>'All regions'!F2936+"$F;@!&amp;MT"</f>
        <v>#VALUE!</v>
      </c>
      <c r="T107" t="e">
        <f>'All regions'!G2936+"$F;@!&amp;MU"</f>
        <v>#VALUE!</v>
      </c>
      <c r="U107" t="e">
        <f>'All regions'!H2936+"$F;@!&amp;MV"</f>
        <v>#VALUE!</v>
      </c>
      <c r="V107" t="e">
        <f>'All regions'!I2936+"$F;@!&amp;MW"</f>
        <v>#VALUE!</v>
      </c>
      <c r="W107" t="e">
        <f>'All regions'!A2937+"$F;@!&amp;MX"</f>
        <v>#VALUE!</v>
      </c>
      <c r="X107" t="e">
        <f>'All regions'!B2937+"$F;@!&amp;MY"</f>
        <v>#VALUE!</v>
      </c>
      <c r="Y107" t="e">
        <f>'All regions'!C2937+"$F;@!&amp;MZ"</f>
        <v>#VALUE!</v>
      </c>
      <c r="Z107" t="e">
        <f>'All regions'!D2937+"$F;@!&amp;M["</f>
        <v>#VALUE!</v>
      </c>
      <c r="AA107" t="e">
        <f>'All regions'!E2937+"$F;@!&amp;M\"</f>
        <v>#VALUE!</v>
      </c>
      <c r="AB107" t="e">
        <f>'All regions'!F2937+"$F;@!&amp;M]"</f>
        <v>#VALUE!</v>
      </c>
      <c r="AC107" t="e">
        <f>'All regions'!G2937+"$F;@!&amp;M^"</f>
        <v>#VALUE!</v>
      </c>
      <c r="AD107" t="e">
        <f>'All regions'!H2937+"$F;@!&amp;M_"</f>
        <v>#VALUE!</v>
      </c>
      <c r="AE107" t="e">
        <f>'All regions'!I2937+"$F;@!&amp;M`"</f>
        <v>#VALUE!</v>
      </c>
      <c r="AF107" t="e">
        <f>'All regions'!A2938+"$F;@!&amp;Ma"</f>
        <v>#VALUE!</v>
      </c>
      <c r="AG107" t="e">
        <f>'All regions'!B2938+"$F;@!&amp;Mb"</f>
        <v>#VALUE!</v>
      </c>
      <c r="AH107" t="e">
        <f>'All regions'!C2938+"$F;@!&amp;Mc"</f>
        <v>#VALUE!</v>
      </c>
      <c r="AI107" t="e">
        <f>'All regions'!D2938+"$F;@!&amp;Md"</f>
        <v>#VALUE!</v>
      </c>
      <c r="AJ107" t="e">
        <f>'All regions'!E2938+"$F;@!&amp;Me"</f>
        <v>#VALUE!</v>
      </c>
      <c r="AK107" t="e">
        <f>'All regions'!F2938+"$F;@!&amp;Mf"</f>
        <v>#VALUE!</v>
      </c>
      <c r="AL107" t="e">
        <f>'All regions'!G2938+"$F;@!&amp;Mg"</f>
        <v>#VALUE!</v>
      </c>
      <c r="AM107" t="e">
        <f>'All regions'!H2938+"$F;@!&amp;Mh"</f>
        <v>#VALUE!</v>
      </c>
      <c r="AN107" t="e">
        <f>'All regions'!I2938+"$F;@!&amp;Mi"</f>
        <v>#VALUE!</v>
      </c>
      <c r="AO107" t="e">
        <f>'All regions'!A2939+"$F;@!&amp;Mj"</f>
        <v>#VALUE!</v>
      </c>
      <c r="AP107" t="e">
        <f>'All regions'!B2939+"$F;@!&amp;Mk"</f>
        <v>#VALUE!</v>
      </c>
      <c r="AQ107" t="e">
        <f>'All regions'!C2939+"$F;@!&amp;Ml"</f>
        <v>#VALUE!</v>
      </c>
      <c r="AR107" t="e">
        <f>'All regions'!D2939+"$F;@!&amp;Mm"</f>
        <v>#VALUE!</v>
      </c>
      <c r="AS107" t="e">
        <f>'All regions'!E2939+"$F;@!&amp;Mn"</f>
        <v>#VALUE!</v>
      </c>
      <c r="AT107" t="e">
        <f>'All regions'!F2939+"$F;@!&amp;Mo"</f>
        <v>#VALUE!</v>
      </c>
      <c r="AU107" t="e">
        <f>'All regions'!G2939+"$F;@!&amp;Mp"</f>
        <v>#VALUE!</v>
      </c>
      <c r="AV107" t="e">
        <f>'All regions'!H2939+"$F;@!&amp;Mq"</f>
        <v>#VALUE!</v>
      </c>
      <c r="AW107" t="e">
        <f>'All regions'!I2939+"$F;@!&amp;Mr"</f>
        <v>#VALUE!</v>
      </c>
      <c r="AX107" t="e">
        <f>'All regions'!A2940+"$F;@!&amp;Ms"</f>
        <v>#VALUE!</v>
      </c>
      <c r="AY107" t="e">
        <f>'All regions'!B2940+"$F;@!&amp;Mt"</f>
        <v>#VALUE!</v>
      </c>
      <c r="AZ107" t="e">
        <f>'All regions'!C2940+"$F;@!&amp;Mu"</f>
        <v>#VALUE!</v>
      </c>
      <c r="BA107" t="e">
        <f>'All regions'!D2940+"$F;@!&amp;Mv"</f>
        <v>#VALUE!</v>
      </c>
      <c r="BB107" t="e">
        <f>'All regions'!E2940+"$F;@!&amp;Mw"</f>
        <v>#VALUE!</v>
      </c>
      <c r="BC107" t="e">
        <f>'All regions'!F2940+"$F;@!&amp;Mx"</f>
        <v>#VALUE!</v>
      </c>
      <c r="BD107" t="e">
        <f>'All regions'!G2940+"$F;@!&amp;My"</f>
        <v>#VALUE!</v>
      </c>
      <c r="BE107" t="e">
        <f>'All regions'!H2940+"$F;@!&amp;Mz"</f>
        <v>#VALUE!</v>
      </c>
      <c r="BF107" t="e">
        <f>'All regions'!I2940+"$F;@!&amp;M{"</f>
        <v>#VALUE!</v>
      </c>
      <c r="BG107" t="e">
        <f>'All regions'!A2941+"$F;@!&amp;M|"</f>
        <v>#VALUE!</v>
      </c>
      <c r="BH107" t="e">
        <f>'All regions'!B2941+"$F;@!&amp;M}"</f>
        <v>#VALUE!</v>
      </c>
      <c r="BI107" t="e">
        <f>'All regions'!C2941+"$F;@!&amp;M~"</f>
        <v>#VALUE!</v>
      </c>
      <c r="BJ107" t="e">
        <f>'All regions'!D2941+"$F;@!&amp;N#"</f>
        <v>#VALUE!</v>
      </c>
      <c r="BK107" t="e">
        <f>'All regions'!E2941+"$F;@!&amp;N$"</f>
        <v>#VALUE!</v>
      </c>
      <c r="BL107" t="e">
        <f>'All regions'!F2941+"$F;@!&amp;N%"</f>
        <v>#VALUE!</v>
      </c>
      <c r="BM107" t="e">
        <f>'All regions'!G2941+"$F;@!&amp;N&amp;"</f>
        <v>#VALUE!</v>
      </c>
      <c r="BN107" t="e">
        <f>'All regions'!H2941+"$F;@!&amp;N'"</f>
        <v>#VALUE!</v>
      </c>
      <c r="BO107" t="e">
        <f>'All regions'!I2941+"$F;@!&amp;N("</f>
        <v>#VALUE!</v>
      </c>
      <c r="BP107" t="e">
        <f>'All regions'!A2942+"$F;@!&amp;N)"</f>
        <v>#VALUE!</v>
      </c>
      <c r="BQ107" t="e">
        <f>'All regions'!B2942+"$F;@!&amp;N."</f>
        <v>#VALUE!</v>
      </c>
      <c r="BR107" t="e">
        <f>'All regions'!C2942+"$F;@!&amp;N/"</f>
        <v>#VALUE!</v>
      </c>
      <c r="BS107" t="e">
        <f>'All regions'!D2942+"$F;@!&amp;N0"</f>
        <v>#VALUE!</v>
      </c>
      <c r="BT107" t="e">
        <f>'All regions'!E2942+"$F;@!&amp;N1"</f>
        <v>#VALUE!</v>
      </c>
      <c r="BU107" t="e">
        <f>'All regions'!F2942+"$F;@!&amp;N2"</f>
        <v>#VALUE!</v>
      </c>
      <c r="BV107" t="e">
        <f>'All regions'!G2942+"$F;@!&amp;N3"</f>
        <v>#VALUE!</v>
      </c>
      <c r="BW107" t="e">
        <f>'All regions'!H2942+"$F;@!&amp;N4"</f>
        <v>#VALUE!</v>
      </c>
      <c r="BX107" t="e">
        <f>'All regions'!I2942+"$F;@!&amp;N5"</f>
        <v>#VALUE!</v>
      </c>
      <c r="BY107" t="e">
        <f>'All regions'!A2943+"$F;@!&amp;N6"</f>
        <v>#VALUE!</v>
      </c>
      <c r="BZ107" t="e">
        <f>'All regions'!B2943+"$F;@!&amp;N7"</f>
        <v>#VALUE!</v>
      </c>
      <c r="CA107" t="e">
        <f>'All regions'!C2943+"$F;@!&amp;N8"</f>
        <v>#VALUE!</v>
      </c>
      <c r="CB107" t="e">
        <f>'All regions'!D2943+"$F;@!&amp;N9"</f>
        <v>#VALUE!</v>
      </c>
      <c r="CC107" t="e">
        <f>'All regions'!E2943+"$F;@!&amp;N:"</f>
        <v>#VALUE!</v>
      </c>
      <c r="CD107" t="e">
        <f>'All regions'!F2943+"$F;@!&amp;N;"</f>
        <v>#VALUE!</v>
      </c>
      <c r="CE107" t="e">
        <f>'All regions'!G2943+"$F;@!&amp;N&lt;"</f>
        <v>#VALUE!</v>
      </c>
      <c r="CF107" t="e">
        <f>'All regions'!H2943+"$F;@!&amp;N="</f>
        <v>#VALUE!</v>
      </c>
      <c r="CG107" t="e">
        <f>'All regions'!I2943+"$F;@!&amp;N&gt;"</f>
        <v>#VALUE!</v>
      </c>
      <c r="CH107" t="e">
        <f>'All regions'!A2944+"$F;@!&amp;N?"</f>
        <v>#VALUE!</v>
      </c>
      <c r="CI107" t="e">
        <f>'All regions'!B2944+"$F;@!&amp;N@"</f>
        <v>#VALUE!</v>
      </c>
      <c r="CJ107" t="e">
        <f>'All regions'!C2944+"$F;@!&amp;NA"</f>
        <v>#VALUE!</v>
      </c>
      <c r="CK107" t="e">
        <f>'All regions'!D2944+"$F;@!&amp;NB"</f>
        <v>#VALUE!</v>
      </c>
      <c r="CL107" t="e">
        <f>'All regions'!E2944+"$F;@!&amp;NC"</f>
        <v>#VALUE!</v>
      </c>
      <c r="CM107" t="e">
        <f>'All regions'!F2944+"$F;@!&amp;ND"</f>
        <v>#VALUE!</v>
      </c>
      <c r="CN107" t="e">
        <f>'All regions'!G2944+"$F;@!&amp;NE"</f>
        <v>#VALUE!</v>
      </c>
      <c r="CO107" t="e">
        <f>'All regions'!H2944+"$F;@!&amp;NF"</f>
        <v>#VALUE!</v>
      </c>
      <c r="CP107" t="e">
        <f>'All regions'!I2944+"$F;@!&amp;NG"</f>
        <v>#VALUE!</v>
      </c>
      <c r="CQ107" t="e">
        <f>'All regions'!A2945+"$F;@!&amp;NH"</f>
        <v>#VALUE!</v>
      </c>
      <c r="CR107" t="e">
        <f>'All regions'!B2945+"$F;@!&amp;NI"</f>
        <v>#VALUE!</v>
      </c>
      <c r="CS107" t="e">
        <f>'All regions'!C2945+"$F;@!&amp;NJ"</f>
        <v>#VALUE!</v>
      </c>
      <c r="CT107" t="e">
        <f>'All regions'!D2945+"$F;@!&amp;NK"</f>
        <v>#VALUE!</v>
      </c>
      <c r="CU107" t="e">
        <f>'All regions'!E2945+"$F;@!&amp;NL"</f>
        <v>#VALUE!</v>
      </c>
      <c r="CV107" t="e">
        <f>'All regions'!F2945+"$F;@!&amp;NM"</f>
        <v>#VALUE!</v>
      </c>
      <c r="CW107" t="e">
        <f>'All regions'!G2945+"$F;@!&amp;NN"</f>
        <v>#VALUE!</v>
      </c>
      <c r="CX107" t="e">
        <f>'All regions'!H2945+"$F;@!&amp;NO"</f>
        <v>#VALUE!</v>
      </c>
      <c r="CY107" t="e">
        <f>'All regions'!I2945+"$F;@!&amp;NP"</f>
        <v>#VALUE!</v>
      </c>
      <c r="CZ107" t="e">
        <f>'All regions'!A2946+"$F;@!&amp;NQ"</f>
        <v>#VALUE!</v>
      </c>
      <c r="DA107" t="e">
        <f>'All regions'!B2946+"$F;@!&amp;NR"</f>
        <v>#VALUE!</v>
      </c>
      <c r="DB107" t="e">
        <f>'All regions'!C2946+"$F;@!&amp;NS"</f>
        <v>#VALUE!</v>
      </c>
      <c r="DC107" t="e">
        <f>'All regions'!D2946+"$F;@!&amp;NT"</f>
        <v>#VALUE!</v>
      </c>
      <c r="DD107" t="e">
        <f>'All regions'!E2946+"$F;@!&amp;NU"</f>
        <v>#VALUE!</v>
      </c>
      <c r="DE107" t="e">
        <f>'All regions'!F2946+"$F;@!&amp;NV"</f>
        <v>#VALUE!</v>
      </c>
      <c r="DF107" t="e">
        <f>'All regions'!G2946+"$F;@!&amp;NW"</f>
        <v>#VALUE!</v>
      </c>
      <c r="DG107" t="e">
        <f>'All regions'!H2946+"$F;@!&amp;NX"</f>
        <v>#VALUE!</v>
      </c>
      <c r="DH107" t="e">
        <f>'All regions'!I2946+"$F;@!&amp;NY"</f>
        <v>#VALUE!</v>
      </c>
      <c r="DI107" t="e">
        <f>'All regions'!A2947+"$F;@!&amp;NZ"</f>
        <v>#VALUE!</v>
      </c>
      <c r="DJ107" t="e">
        <f>'All regions'!B2947+"$F;@!&amp;N["</f>
        <v>#VALUE!</v>
      </c>
      <c r="DK107" t="e">
        <f>'All regions'!C2947+"$F;@!&amp;N\"</f>
        <v>#VALUE!</v>
      </c>
      <c r="DL107" t="e">
        <f>'All regions'!D2947+"$F;@!&amp;N]"</f>
        <v>#VALUE!</v>
      </c>
      <c r="DM107" t="e">
        <f>'All regions'!E2947+"$F;@!&amp;N^"</f>
        <v>#VALUE!</v>
      </c>
      <c r="DN107" t="e">
        <f>'All regions'!F2947+"$F;@!&amp;N_"</f>
        <v>#VALUE!</v>
      </c>
      <c r="DO107" t="e">
        <f>'All regions'!G2947+"$F;@!&amp;N`"</f>
        <v>#VALUE!</v>
      </c>
      <c r="DP107" t="e">
        <f>'All regions'!H2947+"$F;@!&amp;Na"</f>
        <v>#VALUE!</v>
      </c>
      <c r="DQ107" t="e">
        <f>'All regions'!I2947+"$F;@!&amp;Nb"</f>
        <v>#VALUE!</v>
      </c>
      <c r="DR107" t="e">
        <f>'All regions'!A2948+"$F;@!&amp;Nc"</f>
        <v>#VALUE!</v>
      </c>
      <c r="DS107" t="e">
        <f>'All regions'!B2948+"$F;@!&amp;Nd"</f>
        <v>#VALUE!</v>
      </c>
      <c r="DT107" t="e">
        <f>'All regions'!C2948+"$F;@!&amp;Ne"</f>
        <v>#VALUE!</v>
      </c>
      <c r="DU107" t="e">
        <f>'All regions'!D2948+"$F;@!&amp;Nf"</f>
        <v>#VALUE!</v>
      </c>
      <c r="DV107" t="e">
        <f>'All regions'!E2948+"$F;@!&amp;Ng"</f>
        <v>#VALUE!</v>
      </c>
      <c r="DW107" t="e">
        <f>'All regions'!F2948+"$F;@!&amp;Nh"</f>
        <v>#VALUE!</v>
      </c>
      <c r="DX107" t="e">
        <f>'All regions'!G2948+"$F;@!&amp;Ni"</f>
        <v>#VALUE!</v>
      </c>
      <c r="DY107" t="e">
        <f>'All regions'!H2948+"$F;@!&amp;Nj"</f>
        <v>#VALUE!</v>
      </c>
      <c r="DZ107" t="e">
        <f>'All regions'!I2948+"$F;@!&amp;Nk"</f>
        <v>#VALUE!</v>
      </c>
      <c r="EA107" t="e">
        <f>'All regions'!A2949+"$F;@!&amp;Nl"</f>
        <v>#VALUE!</v>
      </c>
      <c r="EB107" t="e">
        <f>'All regions'!B2949+"$F;@!&amp;Nm"</f>
        <v>#VALUE!</v>
      </c>
      <c r="EC107" t="e">
        <f>'All regions'!C2949+"$F;@!&amp;Nn"</f>
        <v>#VALUE!</v>
      </c>
      <c r="ED107" t="e">
        <f>'All regions'!D2949+"$F;@!&amp;No"</f>
        <v>#VALUE!</v>
      </c>
      <c r="EE107" t="e">
        <f>'All regions'!E2949+"$F;@!&amp;Np"</f>
        <v>#VALUE!</v>
      </c>
      <c r="EF107" t="e">
        <f>'All regions'!F2949+"$F;@!&amp;Nq"</f>
        <v>#VALUE!</v>
      </c>
      <c r="EG107" t="e">
        <f>'All regions'!G2949+"$F;@!&amp;Nr"</f>
        <v>#VALUE!</v>
      </c>
      <c r="EH107" t="e">
        <f>'All regions'!H2949+"$F;@!&amp;Ns"</f>
        <v>#VALUE!</v>
      </c>
      <c r="EI107" t="e">
        <f>'All regions'!I2949+"$F;@!&amp;Nt"</f>
        <v>#VALUE!</v>
      </c>
      <c r="EJ107" t="e">
        <f>'All regions'!A2950+"$F;@!&amp;Nu"</f>
        <v>#VALUE!</v>
      </c>
      <c r="EK107" t="e">
        <f>'All regions'!B2950+"$F;@!&amp;Nv"</f>
        <v>#VALUE!</v>
      </c>
      <c r="EL107" t="e">
        <f>'All regions'!C2950+"$F;@!&amp;Nw"</f>
        <v>#VALUE!</v>
      </c>
      <c r="EM107" t="e">
        <f>'All regions'!D2950+"$F;@!&amp;Nx"</f>
        <v>#VALUE!</v>
      </c>
      <c r="EN107" t="e">
        <f>'All regions'!E2950+"$F;@!&amp;Ny"</f>
        <v>#VALUE!</v>
      </c>
      <c r="EO107" t="e">
        <f>'All regions'!F2950+"$F;@!&amp;Nz"</f>
        <v>#VALUE!</v>
      </c>
      <c r="EP107" t="e">
        <f>'All regions'!G2950+"$F;@!&amp;N{"</f>
        <v>#VALUE!</v>
      </c>
      <c r="EQ107" t="e">
        <f>'All regions'!H2950+"$F;@!&amp;N|"</f>
        <v>#VALUE!</v>
      </c>
      <c r="ER107" t="e">
        <f>'All regions'!I2950+"$F;@!&amp;N}"</f>
        <v>#VALUE!</v>
      </c>
      <c r="ES107" t="e">
        <f>'All regions'!A2951+"$F;@!&amp;N~"</f>
        <v>#VALUE!</v>
      </c>
      <c r="ET107" t="e">
        <f>'All regions'!B2951+"$F;@!&amp;O#"</f>
        <v>#VALUE!</v>
      </c>
      <c r="EU107" t="e">
        <f>'All regions'!C2951+"$F;@!&amp;O$"</f>
        <v>#VALUE!</v>
      </c>
      <c r="EV107" t="e">
        <f>'All regions'!D2951+"$F;@!&amp;O%"</f>
        <v>#VALUE!</v>
      </c>
      <c r="EW107" t="e">
        <f>'All regions'!E2951+"$F;@!&amp;O&amp;"</f>
        <v>#VALUE!</v>
      </c>
      <c r="EX107" t="e">
        <f>'All regions'!F2951+"$F;@!&amp;O'"</f>
        <v>#VALUE!</v>
      </c>
      <c r="EY107" t="e">
        <f>'All regions'!G2951+"$F;@!&amp;O("</f>
        <v>#VALUE!</v>
      </c>
      <c r="EZ107" t="e">
        <f>'All regions'!H2951+"$F;@!&amp;O)"</f>
        <v>#VALUE!</v>
      </c>
      <c r="FA107" t="e">
        <f>'All regions'!I2951+"$F;@!&amp;O."</f>
        <v>#VALUE!</v>
      </c>
      <c r="FB107" t="e">
        <f>'All regions'!A2952+"$F;@!&amp;O/"</f>
        <v>#VALUE!</v>
      </c>
      <c r="FC107" t="e">
        <f>'All regions'!B2952+"$F;@!&amp;O0"</f>
        <v>#VALUE!</v>
      </c>
      <c r="FD107" t="e">
        <f>'All regions'!C2952+"$F;@!&amp;O1"</f>
        <v>#VALUE!</v>
      </c>
      <c r="FE107" t="e">
        <f>'All regions'!D2952+"$F;@!&amp;O2"</f>
        <v>#VALUE!</v>
      </c>
      <c r="FF107" t="e">
        <f>'All regions'!E2952+"$F;@!&amp;O3"</f>
        <v>#VALUE!</v>
      </c>
      <c r="FG107" t="e">
        <f>'All regions'!F2952+"$F;@!&amp;O4"</f>
        <v>#VALUE!</v>
      </c>
      <c r="FH107" t="e">
        <f>'All regions'!G2952+"$F;@!&amp;O5"</f>
        <v>#VALUE!</v>
      </c>
      <c r="FI107" t="e">
        <f>'All regions'!H2952+"$F;@!&amp;O6"</f>
        <v>#VALUE!</v>
      </c>
      <c r="FJ107" t="e">
        <f>'All regions'!I2952+"$F;@!&amp;O7"</f>
        <v>#VALUE!</v>
      </c>
      <c r="FK107" t="e">
        <f>'All regions'!A2953+"$F;@!&amp;O8"</f>
        <v>#VALUE!</v>
      </c>
      <c r="FL107" t="e">
        <f>'All regions'!B2953+"$F;@!&amp;O9"</f>
        <v>#VALUE!</v>
      </c>
      <c r="FM107" t="e">
        <f>'All regions'!C2953+"$F;@!&amp;O:"</f>
        <v>#VALUE!</v>
      </c>
      <c r="FN107" t="e">
        <f>'All regions'!D2953+"$F;@!&amp;O;"</f>
        <v>#VALUE!</v>
      </c>
      <c r="FO107" t="e">
        <f>'All regions'!E2953+"$F;@!&amp;O&lt;"</f>
        <v>#VALUE!</v>
      </c>
      <c r="FP107" t="e">
        <f>'All regions'!F2953+"$F;@!&amp;O="</f>
        <v>#VALUE!</v>
      </c>
      <c r="FQ107" t="e">
        <f>'All regions'!G2953+"$F;@!&amp;O&gt;"</f>
        <v>#VALUE!</v>
      </c>
      <c r="FR107" t="e">
        <f>'All regions'!H2953+"$F;@!&amp;O?"</f>
        <v>#VALUE!</v>
      </c>
      <c r="FS107" t="e">
        <f>'All regions'!I2953+"$F;@!&amp;O@"</f>
        <v>#VALUE!</v>
      </c>
      <c r="FT107" t="e">
        <f>'All regions'!A2954+"$F;@!&amp;OA"</f>
        <v>#VALUE!</v>
      </c>
      <c r="FU107" t="e">
        <f>'All regions'!B2954+"$F;@!&amp;OB"</f>
        <v>#VALUE!</v>
      </c>
      <c r="FV107" t="e">
        <f>'All regions'!C2954+"$F;@!&amp;OC"</f>
        <v>#VALUE!</v>
      </c>
      <c r="FW107" t="e">
        <f>'All regions'!D2954+"$F;@!&amp;OD"</f>
        <v>#VALUE!</v>
      </c>
      <c r="FX107" t="e">
        <f>'All regions'!E2954+"$F;@!&amp;OE"</f>
        <v>#VALUE!</v>
      </c>
      <c r="FY107" t="e">
        <f>'All regions'!F2954+"$F;@!&amp;OF"</f>
        <v>#VALUE!</v>
      </c>
      <c r="FZ107" t="e">
        <f>'All regions'!G2954+"$F;@!&amp;OG"</f>
        <v>#VALUE!</v>
      </c>
      <c r="GA107" t="e">
        <f>'All regions'!H2954+"$F;@!&amp;OH"</f>
        <v>#VALUE!</v>
      </c>
      <c r="GB107" t="e">
        <f>'All regions'!I2954+"$F;@!&amp;OI"</f>
        <v>#VALUE!</v>
      </c>
      <c r="GC107" t="e">
        <f>'All regions'!A2955+"$F;@!&amp;OJ"</f>
        <v>#VALUE!</v>
      </c>
      <c r="GD107" t="e">
        <f>'All regions'!B2955+"$F;@!&amp;OK"</f>
        <v>#VALUE!</v>
      </c>
      <c r="GE107" t="e">
        <f>'All regions'!C2955+"$F;@!&amp;OL"</f>
        <v>#VALUE!</v>
      </c>
      <c r="GF107" t="e">
        <f>'All regions'!D2955+"$F;@!&amp;OM"</f>
        <v>#VALUE!</v>
      </c>
      <c r="GG107" t="e">
        <f>'All regions'!E2955+"$F;@!&amp;ON"</f>
        <v>#VALUE!</v>
      </c>
      <c r="GH107" t="e">
        <f>'All regions'!F2955+"$F;@!&amp;OO"</f>
        <v>#VALUE!</v>
      </c>
      <c r="GI107" t="e">
        <f>'All regions'!G2955+"$F;@!&amp;OP"</f>
        <v>#VALUE!</v>
      </c>
      <c r="GJ107" t="e">
        <f>'All regions'!H2955+"$F;@!&amp;OQ"</f>
        <v>#VALUE!</v>
      </c>
      <c r="GK107" t="e">
        <f>'All regions'!I2955+"$F;@!&amp;OR"</f>
        <v>#VALUE!</v>
      </c>
      <c r="GL107" t="e">
        <f>'All regions'!A2956+"$F;@!&amp;OS"</f>
        <v>#VALUE!</v>
      </c>
      <c r="GM107" t="e">
        <f>'All regions'!B2956+"$F;@!&amp;OT"</f>
        <v>#VALUE!</v>
      </c>
      <c r="GN107" t="e">
        <f>'All regions'!C2956+"$F;@!&amp;OU"</f>
        <v>#VALUE!</v>
      </c>
      <c r="GO107" t="e">
        <f>'All regions'!D2956+"$F;@!&amp;OV"</f>
        <v>#VALUE!</v>
      </c>
      <c r="GP107" t="e">
        <f>'All regions'!E2956+"$F;@!&amp;OW"</f>
        <v>#VALUE!</v>
      </c>
      <c r="GQ107" t="e">
        <f>'All regions'!F2956+"$F;@!&amp;OX"</f>
        <v>#VALUE!</v>
      </c>
      <c r="GR107" t="e">
        <f>'All regions'!G2956+"$F;@!&amp;OY"</f>
        <v>#VALUE!</v>
      </c>
      <c r="GS107" t="e">
        <f>'All regions'!H2956+"$F;@!&amp;OZ"</f>
        <v>#VALUE!</v>
      </c>
      <c r="GT107" t="e">
        <f>'All regions'!I2956+"$F;@!&amp;O["</f>
        <v>#VALUE!</v>
      </c>
      <c r="GU107" t="e">
        <f>'All regions'!A2957+"$F;@!&amp;O\"</f>
        <v>#VALUE!</v>
      </c>
      <c r="GV107" t="e">
        <f>'All regions'!B2957+"$F;@!&amp;O]"</f>
        <v>#VALUE!</v>
      </c>
      <c r="GW107" t="e">
        <f>'All regions'!C2957+"$F;@!&amp;O^"</f>
        <v>#VALUE!</v>
      </c>
      <c r="GX107" t="e">
        <f>'All regions'!D2957+"$F;@!&amp;O_"</f>
        <v>#VALUE!</v>
      </c>
      <c r="GY107" t="e">
        <f>'All regions'!E2957+"$F;@!&amp;O`"</f>
        <v>#VALUE!</v>
      </c>
      <c r="GZ107" t="e">
        <f>'All regions'!F2957+"$F;@!&amp;Oa"</f>
        <v>#VALUE!</v>
      </c>
      <c r="HA107" t="e">
        <f>'All regions'!G2957+"$F;@!&amp;Ob"</f>
        <v>#VALUE!</v>
      </c>
      <c r="HB107" t="e">
        <f>'All regions'!H2957+"$F;@!&amp;Oc"</f>
        <v>#VALUE!</v>
      </c>
      <c r="HC107" t="e">
        <f>'All regions'!I2957+"$F;@!&amp;Od"</f>
        <v>#VALUE!</v>
      </c>
      <c r="HD107" t="e">
        <f>'All regions'!A2958+"$F;@!&amp;Oe"</f>
        <v>#VALUE!</v>
      </c>
      <c r="HE107" t="e">
        <f>'All regions'!B2958+"$F;@!&amp;Of"</f>
        <v>#VALUE!</v>
      </c>
      <c r="HF107" t="e">
        <f>'All regions'!C2958+"$F;@!&amp;Og"</f>
        <v>#VALUE!</v>
      </c>
      <c r="HG107" t="e">
        <f>'All regions'!D2958+"$F;@!&amp;Oh"</f>
        <v>#VALUE!</v>
      </c>
      <c r="HH107" t="e">
        <f>'All regions'!E2958+"$F;@!&amp;Oi"</f>
        <v>#VALUE!</v>
      </c>
      <c r="HI107" t="e">
        <f>'All regions'!F2958+"$F;@!&amp;Oj"</f>
        <v>#VALUE!</v>
      </c>
      <c r="HJ107" t="e">
        <f>'All regions'!G2958+"$F;@!&amp;Ok"</f>
        <v>#VALUE!</v>
      </c>
      <c r="HK107" t="e">
        <f>'All regions'!H2958+"$F;@!&amp;Ol"</f>
        <v>#VALUE!</v>
      </c>
      <c r="HL107" t="e">
        <f>'All regions'!I2958+"$F;@!&amp;Om"</f>
        <v>#VALUE!</v>
      </c>
      <c r="HM107" t="e">
        <f>'All regions'!A2959+"$F;@!&amp;On"</f>
        <v>#VALUE!</v>
      </c>
      <c r="HN107" t="e">
        <f>'All regions'!B2959+"$F;@!&amp;Oo"</f>
        <v>#VALUE!</v>
      </c>
      <c r="HO107" t="e">
        <f>'All regions'!C2959+"$F;@!&amp;Op"</f>
        <v>#VALUE!</v>
      </c>
      <c r="HP107" t="e">
        <f>'All regions'!D2959+"$F;@!&amp;Oq"</f>
        <v>#VALUE!</v>
      </c>
      <c r="HQ107" t="e">
        <f>'All regions'!E2959+"$F;@!&amp;Or"</f>
        <v>#VALUE!</v>
      </c>
      <c r="HR107" t="e">
        <f>'All regions'!F2959+"$F;@!&amp;Os"</f>
        <v>#VALUE!</v>
      </c>
      <c r="HS107" t="e">
        <f>'All regions'!G2959+"$F;@!&amp;Ot"</f>
        <v>#VALUE!</v>
      </c>
      <c r="HT107" t="e">
        <f>'All regions'!H2959+"$F;@!&amp;Ou"</f>
        <v>#VALUE!</v>
      </c>
      <c r="HU107" t="e">
        <f>'All regions'!I2959+"$F;@!&amp;Ov"</f>
        <v>#VALUE!</v>
      </c>
      <c r="HV107" t="e">
        <f>'All regions'!A2960+"$F;@!&amp;Ow"</f>
        <v>#VALUE!</v>
      </c>
      <c r="HW107" t="e">
        <f>'All regions'!B2960+"$F;@!&amp;Ox"</f>
        <v>#VALUE!</v>
      </c>
      <c r="HX107" t="e">
        <f>'All regions'!C2960+"$F;@!&amp;Oy"</f>
        <v>#VALUE!</v>
      </c>
      <c r="HY107" t="e">
        <f>'All regions'!D2960+"$F;@!&amp;Oz"</f>
        <v>#VALUE!</v>
      </c>
      <c r="HZ107" t="e">
        <f>'All regions'!E2960+"$F;@!&amp;O{"</f>
        <v>#VALUE!</v>
      </c>
      <c r="IA107" t="e">
        <f>'All regions'!F2960+"$F;@!&amp;O|"</f>
        <v>#VALUE!</v>
      </c>
      <c r="IB107" t="e">
        <f>'All regions'!G2960+"$F;@!&amp;O}"</f>
        <v>#VALUE!</v>
      </c>
      <c r="IC107" t="e">
        <f>'All regions'!H2960+"$F;@!&amp;O~"</f>
        <v>#VALUE!</v>
      </c>
      <c r="ID107" t="e">
        <f>'All regions'!I2960+"$F;@!&amp;P#"</f>
        <v>#VALUE!</v>
      </c>
      <c r="IE107" t="e">
        <f>'All regions'!A2961+"$F;@!&amp;P$"</f>
        <v>#VALUE!</v>
      </c>
      <c r="IF107" t="e">
        <f>'All regions'!B2961+"$F;@!&amp;P%"</f>
        <v>#VALUE!</v>
      </c>
      <c r="IG107" t="e">
        <f>'All regions'!C2961+"$F;@!&amp;P&amp;"</f>
        <v>#VALUE!</v>
      </c>
      <c r="IH107" t="e">
        <f>'All regions'!D2961+"$F;@!&amp;P'"</f>
        <v>#VALUE!</v>
      </c>
      <c r="II107" t="e">
        <f>'All regions'!E2961+"$F;@!&amp;P("</f>
        <v>#VALUE!</v>
      </c>
      <c r="IJ107" t="e">
        <f>'All regions'!F2961+"$F;@!&amp;P)"</f>
        <v>#VALUE!</v>
      </c>
      <c r="IK107" t="e">
        <f>'All regions'!G2961+"$F;@!&amp;P."</f>
        <v>#VALUE!</v>
      </c>
      <c r="IL107" t="e">
        <f>'All regions'!H2961+"$F;@!&amp;P/"</f>
        <v>#VALUE!</v>
      </c>
      <c r="IM107" t="e">
        <f>'All regions'!I2961+"$F;@!&amp;P0"</f>
        <v>#VALUE!</v>
      </c>
      <c r="IN107" t="e">
        <f>'All regions'!A2962+"$F;@!&amp;P1"</f>
        <v>#VALUE!</v>
      </c>
      <c r="IO107" t="e">
        <f>'All regions'!B2962+"$F;@!&amp;P2"</f>
        <v>#VALUE!</v>
      </c>
      <c r="IP107" t="e">
        <f>'All regions'!C2962+"$F;@!&amp;P3"</f>
        <v>#VALUE!</v>
      </c>
      <c r="IQ107" t="e">
        <f>'All regions'!D2962+"$F;@!&amp;P4"</f>
        <v>#VALUE!</v>
      </c>
      <c r="IR107" t="e">
        <f>'All regions'!E2962+"$F;@!&amp;P5"</f>
        <v>#VALUE!</v>
      </c>
      <c r="IS107" t="e">
        <f>'All regions'!F2962+"$F;@!&amp;P6"</f>
        <v>#VALUE!</v>
      </c>
      <c r="IT107" t="e">
        <f>'All regions'!G2962+"$F;@!&amp;P7"</f>
        <v>#VALUE!</v>
      </c>
      <c r="IU107" t="e">
        <f>'All regions'!H2962+"$F;@!&amp;P8"</f>
        <v>#VALUE!</v>
      </c>
      <c r="IV107" t="e">
        <f>'All regions'!I2962+"$F;@!&amp;P9"</f>
        <v>#VALUE!</v>
      </c>
    </row>
    <row r="108" spans="6:256" x14ac:dyDescent="0.35">
      <c r="F108" t="e">
        <f>'All regions'!A2963+"$F;@!&amp;P:"</f>
        <v>#VALUE!</v>
      </c>
      <c r="G108" t="e">
        <f>'All regions'!B2963+"$F;@!&amp;P;"</f>
        <v>#VALUE!</v>
      </c>
      <c r="H108" t="e">
        <f>'All regions'!C2963+"$F;@!&amp;P&lt;"</f>
        <v>#VALUE!</v>
      </c>
      <c r="I108" t="e">
        <f>'All regions'!D2963+"$F;@!&amp;P="</f>
        <v>#VALUE!</v>
      </c>
      <c r="J108" t="e">
        <f>'All regions'!E2963+"$F;@!&amp;P&gt;"</f>
        <v>#VALUE!</v>
      </c>
      <c r="K108" t="e">
        <f>'All regions'!F2963+"$F;@!&amp;P?"</f>
        <v>#VALUE!</v>
      </c>
      <c r="L108" t="e">
        <f>'All regions'!G2963+"$F;@!&amp;P@"</f>
        <v>#VALUE!</v>
      </c>
      <c r="M108" t="e">
        <f>'All regions'!H2963+"$F;@!&amp;PA"</f>
        <v>#VALUE!</v>
      </c>
      <c r="N108" t="e">
        <f>'All regions'!I2963+"$F;@!&amp;PB"</f>
        <v>#VALUE!</v>
      </c>
      <c r="O108" t="e">
        <f>'All regions'!A2964+"$F;@!&amp;PC"</f>
        <v>#VALUE!</v>
      </c>
      <c r="P108" t="e">
        <f>'All regions'!B2964+"$F;@!&amp;PD"</f>
        <v>#VALUE!</v>
      </c>
      <c r="Q108" t="e">
        <f>'All regions'!C2964+"$F;@!&amp;PE"</f>
        <v>#VALUE!</v>
      </c>
      <c r="R108" t="e">
        <f>'All regions'!D2964+"$F;@!&amp;PF"</f>
        <v>#VALUE!</v>
      </c>
      <c r="S108" t="e">
        <f>'All regions'!E2964+"$F;@!&amp;PG"</f>
        <v>#VALUE!</v>
      </c>
      <c r="T108" t="e">
        <f>'All regions'!F2964+"$F;@!&amp;PH"</f>
        <v>#VALUE!</v>
      </c>
      <c r="U108" t="e">
        <f>'All regions'!G2964+"$F;@!&amp;PI"</f>
        <v>#VALUE!</v>
      </c>
      <c r="V108" t="e">
        <f>'All regions'!H2964+"$F;@!&amp;PJ"</f>
        <v>#VALUE!</v>
      </c>
      <c r="W108" t="e">
        <f>'All regions'!I2964+"$F;@!&amp;PK"</f>
        <v>#VALUE!</v>
      </c>
      <c r="X108" t="e">
        <f>'All regions'!A2965+"$F;@!&amp;PL"</f>
        <v>#VALUE!</v>
      </c>
      <c r="Y108" t="e">
        <f>'All regions'!B2965+"$F;@!&amp;PM"</f>
        <v>#VALUE!</v>
      </c>
      <c r="Z108" t="e">
        <f>'All regions'!C2965+"$F;@!&amp;PN"</f>
        <v>#VALUE!</v>
      </c>
      <c r="AA108" t="e">
        <f>'All regions'!D2965+"$F;@!&amp;PO"</f>
        <v>#VALUE!</v>
      </c>
      <c r="AB108" t="e">
        <f>'All regions'!E2965+"$F;@!&amp;PP"</f>
        <v>#VALUE!</v>
      </c>
      <c r="AC108" t="e">
        <f>'All regions'!F2965+"$F;@!&amp;PQ"</f>
        <v>#VALUE!</v>
      </c>
      <c r="AD108" t="e">
        <f>'All regions'!G2965+"$F;@!&amp;PR"</f>
        <v>#VALUE!</v>
      </c>
      <c r="AE108" t="e">
        <f>'All regions'!H2965+"$F;@!&amp;PS"</f>
        <v>#VALUE!</v>
      </c>
      <c r="AF108" t="e">
        <f>'All regions'!I2965+"$F;@!&amp;PT"</f>
        <v>#VALUE!</v>
      </c>
      <c r="AG108" t="e">
        <f>'All regions'!A2966+"$F;@!&amp;PU"</f>
        <v>#VALUE!</v>
      </c>
      <c r="AH108" t="e">
        <f>'All regions'!B2966+"$F;@!&amp;PV"</f>
        <v>#VALUE!</v>
      </c>
      <c r="AI108" t="e">
        <f>'All regions'!C2966+"$F;@!&amp;PW"</f>
        <v>#VALUE!</v>
      </c>
      <c r="AJ108" t="e">
        <f>'All regions'!D2966+"$F;@!&amp;PX"</f>
        <v>#VALUE!</v>
      </c>
      <c r="AK108" t="e">
        <f>'All regions'!E2966+"$F;@!&amp;PY"</f>
        <v>#VALUE!</v>
      </c>
      <c r="AL108" t="e">
        <f>'All regions'!F2966+"$F;@!&amp;PZ"</f>
        <v>#VALUE!</v>
      </c>
      <c r="AM108" t="e">
        <f>'All regions'!G2966+"$F;@!&amp;P["</f>
        <v>#VALUE!</v>
      </c>
      <c r="AN108" t="e">
        <f>'All regions'!H2966+"$F;@!&amp;P\"</f>
        <v>#VALUE!</v>
      </c>
      <c r="AO108" t="e">
        <f>'All regions'!I2966+"$F;@!&amp;P]"</f>
        <v>#VALUE!</v>
      </c>
      <c r="AP108" t="e">
        <f>'All regions'!A2967+"$F;@!&amp;P^"</f>
        <v>#VALUE!</v>
      </c>
      <c r="AQ108" t="e">
        <f>'All regions'!B2967+"$F;@!&amp;P_"</f>
        <v>#VALUE!</v>
      </c>
      <c r="AR108" t="e">
        <f>'All regions'!C2967+"$F;@!&amp;P`"</f>
        <v>#VALUE!</v>
      </c>
      <c r="AS108" t="e">
        <f>'All regions'!D2967+"$F;@!&amp;Pa"</f>
        <v>#VALUE!</v>
      </c>
      <c r="AT108" t="e">
        <f>'All regions'!E2967+"$F;@!&amp;Pb"</f>
        <v>#VALUE!</v>
      </c>
      <c r="AU108" t="e">
        <f>'All regions'!F2967+"$F;@!&amp;Pc"</f>
        <v>#VALUE!</v>
      </c>
      <c r="AV108" t="e">
        <f>'All regions'!G2967+"$F;@!&amp;Pd"</f>
        <v>#VALUE!</v>
      </c>
      <c r="AW108" t="e">
        <f>'All regions'!H2967+"$F;@!&amp;Pe"</f>
        <v>#VALUE!</v>
      </c>
      <c r="AX108" t="e">
        <f>'All regions'!I2967+"$F;@!&amp;Pf"</f>
        <v>#VALUE!</v>
      </c>
      <c r="AY108" t="e">
        <f>'All regions'!A2968+"$F;@!&amp;Pg"</f>
        <v>#VALUE!</v>
      </c>
      <c r="AZ108" t="e">
        <f>'All regions'!B2968+"$F;@!&amp;Ph"</f>
        <v>#VALUE!</v>
      </c>
      <c r="BA108" t="e">
        <f>'All regions'!C2968+"$F;@!&amp;Pi"</f>
        <v>#VALUE!</v>
      </c>
      <c r="BB108" t="e">
        <f>'All regions'!D2968+"$F;@!&amp;Pj"</f>
        <v>#VALUE!</v>
      </c>
      <c r="BC108" t="e">
        <f>'All regions'!E2968+"$F;@!&amp;Pk"</f>
        <v>#VALUE!</v>
      </c>
      <c r="BD108" t="e">
        <f>'All regions'!F2968+"$F;@!&amp;Pl"</f>
        <v>#VALUE!</v>
      </c>
      <c r="BE108" t="e">
        <f>'All regions'!G2968+"$F;@!&amp;Pm"</f>
        <v>#VALUE!</v>
      </c>
      <c r="BF108" t="e">
        <f>'All regions'!H2968+"$F;@!&amp;Pn"</f>
        <v>#VALUE!</v>
      </c>
      <c r="BG108" t="e">
        <f>'All regions'!I2968+"$F;@!&amp;Po"</f>
        <v>#VALUE!</v>
      </c>
      <c r="BH108" t="e">
        <f>'All regions'!A2969+"$F;@!&amp;Pp"</f>
        <v>#VALUE!</v>
      </c>
      <c r="BI108" t="e">
        <f>'All regions'!B2969+"$F;@!&amp;Pq"</f>
        <v>#VALUE!</v>
      </c>
      <c r="BJ108" t="e">
        <f>'All regions'!C2969+"$F;@!&amp;Pr"</f>
        <v>#VALUE!</v>
      </c>
      <c r="BK108" t="e">
        <f>'All regions'!D2969+"$F;@!&amp;Ps"</f>
        <v>#VALUE!</v>
      </c>
      <c r="BL108" t="e">
        <f>'All regions'!E2969+"$F;@!&amp;Pt"</f>
        <v>#VALUE!</v>
      </c>
      <c r="BM108" t="e">
        <f>'All regions'!F2969+"$F;@!&amp;Pu"</f>
        <v>#VALUE!</v>
      </c>
      <c r="BN108" t="e">
        <f>'All regions'!G2969+"$F;@!&amp;Pv"</f>
        <v>#VALUE!</v>
      </c>
      <c r="BO108" t="e">
        <f>'All regions'!H2969+"$F;@!&amp;Pw"</f>
        <v>#VALUE!</v>
      </c>
      <c r="BP108" t="e">
        <f>'All regions'!I2969+"$F;@!&amp;Px"</f>
        <v>#VALUE!</v>
      </c>
      <c r="BQ108" t="e">
        <f>'All regions'!A2970+"$F;@!&amp;Py"</f>
        <v>#VALUE!</v>
      </c>
      <c r="BR108" t="e">
        <f>'All regions'!B2970+"$F;@!&amp;Pz"</f>
        <v>#VALUE!</v>
      </c>
      <c r="BS108" t="e">
        <f>'All regions'!C2970+"$F;@!&amp;P{"</f>
        <v>#VALUE!</v>
      </c>
      <c r="BT108" t="e">
        <f>'All regions'!D2970+"$F;@!&amp;P|"</f>
        <v>#VALUE!</v>
      </c>
      <c r="BU108" t="e">
        <f>'All regions'!E2970+"$F;@!&amp;P}"</f>
        <v>#VALUE!</v>
      </c>
      <c r="BV108" t="e">
        <f>'All regions'!F2970+"$F;@!&amp;P~"</f>
        <v>#VALUE!</v>
      </c>
      <c r="BW108" t="e">
        <f>'All regions'!G2970+"$F;@!&amp;Q#"</f>
        <v>#VALUE!</v>
      </c>
      <c r="BX108" t="e">
        <f>'All regions'!H2970+"$F;@!&amp;Q$"</f>
        <v>#VALUE!</v>
      </c>
      <c r="BY108" t="e">
        <f>'All regions'!I2970+"$F;@!&amp;Q%"</f>
        <v>#VALUE!</v>
      </c>
      <c r="BZ108" t="e">
        <f>'All regions'!A2971+"$F;@!&amp;Q&amp;"</f>
        <v>#VALUE!</v>
      </c>
      <c r="CA108" t="e">
        <f>'All regions'!B2971+"$F;@!&amp;Q'"</f>
        <v>#VALUE!</v>
      </c>
      <c r="CB108" t="e">
        <f>'All regions'!C2971+"$F;@!&amp;Q("</f>
        <v>#VALUE!</v>
      </c>
      <c r="CC108" t="e">
        <f>'All regions'!D2971+"$F;@!&amp;Q)"</f>
        <v>#VALUE!</v>
      </c>
      <c r="CD108" t="e">
        <f>'All regions'!E2971+"$F;@!&amp;Q."</f>
        <v>#VALUE!</v>
      </c>
      <c r="CE108" t="e">
        <f>'All regions'!F2971+"$F;@!&amp;Q/"</f>
        <v>#VALUE!</v>
      </c>
      <c r="CF108" t="e">
        <f>'All regions'!G2971+"$F;@!&amp;Q0"</f>
        <v>#VALUE!</v>
      </c>
      <c r="CG108" t="e">
        <f>'All regions'!H2971+"$F;@!&amp;Q1"</f>
        <v>#VALUE!</v>
      </c>
      <c r="CH108" t="e">
        <f>'All regions'!I2971+"$F;@!&amp;Q2"</f>
        <v>#VALUE!</v>
      </c>
      <c r="CI108" t="e">
        <f>'All regions'!A2972+"$F;@!&amp;Q3"</f>
        <v>#VALUE!</v>
      </c>
      <c r="CJ108" t="e">
        <f>'All regions'!B2972+"$F;@!&amp;Q4"</f>
        <v>#VALUE!</v>
      </c>
      <c r="CK108" t="e">
        <f>'All regions'!C2972+"$F;@!&amp;Q5"</f>
        <v>#VALUE!</v>
      </c>
      <c r="CL108" t="e">
        <f>'All regions'!D2972+"$F;@!&amp;Q6"</f>
        <v>#VALUE!</v>
      </c>
      <c r="CM108" t="e">
        <f>'All regions'!E2972+"$F;@!&amp;Q7"</f>
        <v>#VALUE!</v>
      </c>
      <c r="CN108" t="e">
        <f>'All regions'!F2972+"$F;@!&amp;Q8"</f>
        <v>#VALUE!</v>
      </c>
      <c r="CO108" t="e">
        <f>'All regions'!G2972+"$F;@!&amp;Q9"</f>
        <v>#VALUE!</v>
      </c>
      <c r="CP108" t="e">
        <f>'All regions'!H2972+"$F;@!&amp;Q:"</f>
        <v>#VALUE!</v>
      </c>
      <c r="CQ108" t="e">
        <f>'All regions'!I2972+"$F;@!&amp;Q;"</f>
        <v>#VALUE!</v>
      </c>
      <c r="CR108" t="e">
        <f>'All regions'!A2973+"$F;@!&amp;Q&lt;"</f>
        <v>#VALUE!</v>
      </c>
      <c r="CS108" t="e">
        <f>'All regions'!B2973+"$F;@!&amp;Q="</f>
        <v>#VALUE!</v>
      </c>
      <c r="CT108" t="e">
        <f>'All regions'!C2973+"$F;@!&amp;Q&gt;"</f>
        <v>#VALUE!</v>
      </c>
      <c r="CU108" t="e">
        <f>'All regions'!D2973+"$F;@!&amp;Q?"</f>
        <v>#VALUE!</v>
      </c>
      <c r="CV108" t="e">
        <f>'All regions'!E2973+"$F;@!&amp;Q@"</f>
        <v>#VALUE!</v>
      </c>
      <c r="CW108" t="e">
        <f>'All regions'!F2973+"$F;@!&amp;QA"</f>
        <v>#VALUE!</v>
      </c>
      <c r="CX108" t="e">
        <f>'All regions'!G2973+"$F;@!&amp;QB"</f>
        <v>#VALUE!</v>
      </c>
      <c r="CY108" t="e">
        <f>'All regions'!H2973+"$F;@!&amp;QC"</f>
        <v>#VALUE!</v>
      </c>
      <c r="CZ108" t="e">
        <f>'All regions'!I2973+"$F;@!&amp;QD"</f>
        <v>#VALUE!</v>
      </c>
      <c r="DA108" t="e">
        <f>'All regions'!A2974+"$F;@!&amp;QE"</f>
        <v>#VALUE!</v>
      </c>
      <c r="DB108" t="e">
        <f>'All regions'!B2974+"$F;@!&amp;QF"</f>
        <v>#VALUE!</v>
      </c>
      <c r="DC108" t="e">
        <f>'All regions'!C2974+"$F;@!&amp;QG"</f>
        <v>#VALUE!</v>
      </c>
      <c r="DD108" t="e">
        <f>'All regions'!D2974+"$F;@!&amp;QH"</f>
        <v>#VALUE!</v>
      </c>
      <c r="DE108" t="e">
        <f>'All regions'!E2974+"$F;@!&amp;QI"</f>
        <v>#VALUE!</v>
      </c>
      <c r="DF108" t="e">
        <f>'All regions'!F2974+"$F;@!&amp;QJ"</f>
        <v>#VALUE!</v>
      </c>
      <c r="DG108" t="e">
        <f>'All regions'!G2974+"$F;@!&amp;QK"</f>
        <v>#VALUE!</v>
      </c>
      <c r="DH108" t="e">
        <f>'All regions'!H2974+"$F;@!&amp;QL"</f>
        <v>#VALUE!</v>
      </c>
      <c r="DI108" t="e">
        <f>'All regions'!I2974+"$F;@!&amp;QM"</f>
        <v>#VALUE!</v>
      </c>
      <c r="DJ108" t="e">
        <f>'All regions'!A2975+"$F;@!&amp;QN"</f>
        <v>#VALUE!</v>
      </c>
      <c r="DK108" t="e">
        <f>'All regions'!B2975+"$F;@!&amp;QO"</f>
        <v>#VALUE!</v>
      </c>
      <c r="DL108" t="e">
        <f>'All regions'!C2975+"$F;@!&amp;QP"</f>
        <v>#VALUE!</v>
      </c>
      <c r="DM108" t="e">
        <f>'All regions'!D2975+"$F;@!&amp;QQ"</f>
        <v>#VALUE!</v>
      </c>
      <c r="DN108" t="e">
        <f>'All regions'!E2975+"$F;@!&amp;QR"</f>
        <v>#VALUE!</v>
      </c>
      <c r="DO108" t="e">
        <f>'All regions'!F2975+"$F;@!&amp;QS"</f>
        <v>#VALUE!</v>
      </c>
      <c r="DP108" t="e">
        <f>'All regions'!G2975+"$F;@!&amp;QT"</f>
        <v>#VALUE!</v>
      </c>
      <c r="DQ108" t="e">
        <f>'All regions'!H2975+"$F;@!&amp;QU"</f>
        <v>#VALUE!</v>
      </c>
      <c r="DR108" t="e">
        <f>'All regions'!I2975+"$F;@!&amp;QV"</f>
        <v>#VALUE!</v>
      </c>
      <c r="DS108" t="e">
        <f>'All regions'!A2976+"$F;@!&amp;QW"</f>
        <v>#VALUE!</v>
      </c>
      <c r="DT108" t="e">
        <f>'All regions'!B2976+"$F;@!&amp;QX"</f>
        <v>#VALUE!</v>
      </c>
      <c r="DU108" t="e">
        <f>'All regions'!C2976+"$F;@!&amp;QY"</f>
        <v>#VALUE!</v>
      </c>
      <c r="DV108" t="e">
        <f>'All regions'!D2976+"$F;@!&amp;QZ"</f>
        <v>#VALUE!</v>
      </c>
      <c r="DW108" t="e">
        <f>'All regions'!E2976+"$F;@!&amp;Q["</f>
        <v>#VALUE!</v>
      </c>
      <c r="DX108" t="e">
        <f>'All regions'!F2976+"$F;@!&amp;Q\"</f>
        <v>#VALUE!</v>
      </c>
      <c r="DY108" t="e">
        <f>'All regions'!G2976+"$F;@!&amp;Q]"</f>
        <v>#VALUE!</v>
      </c>
      <c r="DZ108" t="e">
        <f>'All regions'!H2976+"$F;@!&amp;Q^"</f>
        <v>#VALUE!</v>
      </c>
      <c r="EA108" t="e">
        <f>'All regions'!I2976+"$F;@!&amp;Q_"</f>
        <v>#VALUE!</v>
      </c>
      <c r="EB108" t="e">
        <f>'All regions'!A2977+"$F;@!&amp;Q`"</f>
        <v>#VALUE!</v>
      </c>
      <c r="EC108" t="e">
        <f>'All regions'!B2977+"$F;@!&amp;Qa"</f>
        <v>#VALUE!</v>
      </c>
      <c r="ED108" t="e">
        <f>'All regions'!C2977+"$F;@!&amp;Qb"</f>
        <v>#VALUE!</v>
      </c>
      <c r="EE108" t="e">
        <f>'All regions'!D2977+"$F;@!&amp;Qc"</f>
        <v>#VALUE!</v>
      </c>
      <c r="EF108" t="e">
        <f>'All regions'!E2977+"$F;@!&amp;Qd"</f>
        <v>#VALUE!</v>
      </c>
      <c r="EG108" t="e">
        <f>'All regions'!F2977+"$F;@!&amp;Qe"</f>
        <v>#VALUE!</v>
      </c>
      <c r="EH108" t="e">
        <f>'All regions'!G2977+"$F;@!&amp;Qf"</f>
        <v>#VALUE!</v>
      </c>
      <c r="EI108" t="e">
        <f>'All regions'!H2977+"$F;@!&amp;Qg"</f>
        <v>#VALUE!</v>
      </c>
      <c r="EJ108" t="e">
        <f>'All regions'!I2977+"$F;@!&amp;Qh"</f>
        <v>#VALUE!</v>
      </c>
      <c r="EK108" t="e">
        <f>'All regions'!A2978+"$F;@!&amp;Qi"</f>
        <v>#VALUE!</v>
      </c>
      <c r="EL108" t="e">
        <f>'All regions'!B2978+"$F;@!&amp;Qj"</f>
        <v>#VALUE!</v>
      </c>
      <c r="EM108" t="e">
        <f>'All regions'!C2978+"$F;@!&amp;Qk"</f>
        <v>#VALUE!</v>
      </c>
      <c r="EN108" t="e">
        <f>'All regions'!D2978+"$F;@!&amp;Ql"</f>
        <v>#VALUE!</v>
      </c>
      <c r="EO108" t="e">
        <f>'All regions'!E2978+"$F;@!&amp;Qm"</f>
        <v>#VALUE!</v>
      </c>
      <c r="EP108" t="e">
        <f>'All regions'!F2978+"$F;@!&amp;Qn"</f>
        <v>#VALUE!</v>
      </c>
      <c r="EQ108" t="e">
        <f>'All regions'!G2978+"$F;@!&amp;Qo"</f>
        <v>#VALUE!</v>
      </c>
      <c r="ER108" t="e">
        <f>'All regions'!H2978+"$F;@!&amp;Qp"</f>
        <v>#VALUE!</v>
      </c>
      <c r="ES108" t="e">
        <f>'All regions'!I2978+"$F;@!&amp;Qq"</f>
        <v>#VALUE!</v>
      </c>
      <c r="ET108" t="e">
        <f>'All regions'!A2979+"$F;@!&amp;Qr"</f>
        <v>#VALUE!</v>
      </c>
      <c r="EU108" t="e">
        <f>'All regions'!B2979+"$F;@!&amp;Qs"</f>
        <v>#VALUE!</v>
      </c>
      <c r="EV108" t="e">
        <f>'All regions'!C2979+"$F;@!&amp;Qt"</f>
        <v>#VALUE!</v>
      </c>
      <c r="EW108" t="e">
        <f>'All regions'!D2979+"$F;@!&amp;Qu"</f>
        <v>#VALUE!</v>
      </c>
      <c r="EX108" t="e">
        <f>'All regions'!E2979+"$F;@!&amp;Qv"</f>
        <v>#VALUE!</v>
      </c>
      <c r="EY108" t="e">
        <f>'All regions'!F2979+"$F;@!&amp;Qw"</f>
        <v>#VALUE!</v>
      </c>
      <c r="EZ108" t="e">
        <f>'All regions'!G2979+"$F;@!&amp;Qx"</f>
        <v>#VALUE!</v>
      </c>
      <c r="FA108" t="e">
        <f>'All regions'!H2979+"$F;@!&amp;Qy"</f>
        <v>#VALUE!</v>
      </c>
      <c r="FB108" t="e">
        <f>'All regions'!I2979+"$F;@!&amp;Qz"</f>
        <v>#VALUE!</v>
      </c>
      <c r="FC108" t="e">
        <f>'All regions'!A2980+"$F;@!&amp;Q{"</f>
        <v>#VALUE!</v>
      </c>
      <c r="FD108" t="e">
        <f>'All regions'!B2980+"$F;@!&amp;Q|"</f>
        <v>#VALUE!</v>
      </c>
      <c r="FE108" t="e">
        <f>'All regions'!C2980+"$F;@!&amp;Q}"</f>
        <v>#VALUE!</v>
      </c>
      <c r="FF108" t="e">
        <f>'All regions'!D2980+"$F;@!&amp;Q~"</f>
        <v>#VALUE!</v>
      </c>
      <c r="FG108" t="e">
        <f>'All regions'!E2980+"$F;@!&amp;R#"</f>
        <v>#VALUE!</v>
      </c>
      <c r="FH108" t="e">
        <f>'All regions'!F2980+"$F;@!&amp;R$"</f>
        <v>#VALUE!</v>
      </c>
      <c r="FI108" t="e">
        <f>'All regions'!G2980+"$F;@!&amp;R%"</f>
        <v>#VALUE!</v>
      </c>
      <c r="FJ108" t="e">
        <f>'All regions'!H2980+"$F;@!&amp;R&amp;"</f>
        <v>#VALUE!</v>
      </c>
      <c r="FK108" t="e">
        <f>'All regions'!I2980+"$F;@!&amp;R'"</f>
        <v>#VALUE!</v>
      </c>
      <c r="FL108" t="e">
        <f>'All regions'!A2981+"$F;@!&amp;R("</f>
        <v>#VALUE!</v>
      </c>
      <c r="FM108" t="e">
        <f>'All regions'!B2981+"$F;@!&amp;R)"</f>
        <v>#VALUE!</v>
      </c>
      <c r="FN108" t="e">
        <f>'All regions'!C2981+"$F;@!&amp;R."</f>
        <v>#VALUE!</v>
      </c>
      <c r="FO108" t="e">
        <f>'All regions'!D2981+"$F;@!&amp;R/"</f>
        <v>#VALUE!</v>
      </c>
      <c r="FP108" t="e">
        <f>'All regions'!E2981+"$F;@!&amp;R0"</f>
        <v>#VALUE!</v>
      </c>
      <c r="FQ108" t="e">
        <f>'All regions'!F2981+"$F;@!&amp;R1"</f>
        <v>#VALUE!</v>
      </c>
      <c r="FR108" t="e">
        <f>'All regions'!G2981+"$F;@!&amp;R2"</f>
        <v>#VALUE!</v>
      </c>
      <c r="FS108" t="e">
        <f>'All regions'!H2981+"$F;@!&amp;R3"</f>
        <v>#VALUE!</v>
      </c>
      <c r="FT108" t="e">
        <f>'All regions'!I2981+"$F;@!&amp;R4"</f>
        <v>#VALUE!</v>
      </c>
      <c r="FU108" t="e">
        <f>'All regions'!A2982+"$F;@!&amp;R5"</f>
        <v>#VALUE!</v>
      </c>
      <c r="FV108" t="e">
        <f>'All regions'!B2982+"$F;@!&amp;R6"</f>
        <v>#VALUE!</v>
      </c>
      <c r="FW108" t="e">
        <f>'All regions'!C2982+"$F;@!&amp;R7"</f>
        <v>#VALUE!</v>
      </c>
      <c r="FX108" t="e">
        <f>'All regions'!D2982+"$F;@!&amp;R8"</f>
        <v>#VALUE!</v>
      </c>
      <c r="FY108" t="e">
        <f>'All regions'!E2982+"$F;@!&amp;R9"</f>
        <v>#VALUE!</v>
      </c>
      <c r="FZ108" t="e">
        <f>'All regions'!F2982+"$F;@!&amp;R:"</f>
        <v>#VALUE!</v>
      </c>
      <c r="GA108" t="e">
        <f>'All regions'!G2982+"$F;@!&amp;R;"</f>
        <v>#VALUE!</v>
      </c>
      <c r="GB108" t="e">
        <f>'All regions'!H2982+"$F;@!&amp;R&lt;"</f>
        <v>#VALUE!</v>
      </c>
      <c r="GC108" t="e">
        <f>'All regions'!I2982+"$F;@!&amp;R="</f>
        <v>#VALUE!</v>
      </c>
      <c r="GD108" t="e">
        <f>'All regions'!A2983+"$F;@!&amp;R&gt;"</f>
        <v>#VALUE!</v>
      </c>
      <c r="GE108" t="e">
        <f>'All regions'!B2983+"$F;@!&amp;R?"</f>
        <v>#VALUE!</v>
      </c>
      <c r="GF108" t="e">
        <f>'All regions'!C2983+"$F;@!&amp;R@"</f>
        <v>#VALUE!</v>
      </c>
      <c r="GG108" t="e">
        <f>'All regions'!D2983+"$F;@!&amp;RA"</f>
        <v>#VALUE!</v>
      </c>
      <c r="GH108" t="e">
        <f>'All regions'!E2983+"$F;@!&amp;RB"</f>
        <v>#VALUE!</v>
      </c>
      <c r="GI108" t="e">
        <f>'All regions'!F2983+"$F;@!&amp;RC"</f>
        <v>#VALUE!</v>
      </c>
      <c r="GJ108" t="e">
        <f>'All regions'!G2983+"$F;@!&amp;RD"</f>
        <v>#VALUE!</v>
      </c>
      <c r="GK108" t="e">
        <f>'All regions'!H2983+"$F;@!&amp;RE"</f>
        <v>#VALUE!</v>
      </c>
      <c r="GL108" t="e">
        <f>'All regions'!I2983+"$F;@!&amp;RF"</f>
        <v>#VALUE!</v>
      </c>
      <c r="GM108" t="e">
        <f>'All regions'!A2984+"$F;@!&amp;RG"</f>
        <v>#VALUE!</v>
      </c>
      <c r="GN108" t="e">
        <f>'All regions'!B2984+"$F;@!&amp;RH"</f>
        <v>#VALUE!</v>
      </c>
      <c r="GO108" t="e">
        <f>'All regions'!C2984+"$F;@!&amp;RI"</f>
        <v>#VALUE!</v>
      </c>
      <c r="GP108" t="e">
        <f>'All regions'!D2984+"$F;@!&amp;RJ"</f>
        <v>#VALUE!</v>
      </c>
      <c r="GQ108" t="e">
        <f>'All regions'!E2984+"$F;@!&amp;RK"</f>
        <v>#VALUE!</v>
      </c>
      <c r="GR108" t="e">
        <f>'All regions'!F2984+"$F;@!&amp;RL"</f>
        <v>#VALUE!</v>
      </c>
      <c r="GS108" t="e">
        <f>'All regions'!G2984+"$F;@!&amp;RM"</f>
        <v>#VALUE!</v>
      </c>
      <c r="GT108" t="e">
        <f>'All regions'!H2984+"$F;@!&amp;RN"</f>
        <v>#VALUE!</v>
      </c>
      <c r="GU108" t="e">
        <f>'All regions'!I2984+"$F;@!&amp;RO"</f>
        <v>#VALUE!</v>
      </c>
      <c r="GV108" t="e">
        <f>'All regions'!A2985+"$F;@!&amp;RP"</f>
        <v>#VALUE!</v>
      </c>
      <c r="GW108" t="e">
        <f>'All regions'!B2985+"$F;@!&amp;RQ"</f>
        <v>#VALUE!</v>
      </c>
      <c r="GX108" t="e">
        <f>'All regions'!C2985+"$F;@!&amp;RR"</f>
        <v>#VALUE!</v>
      </c>
      <c r="GY108" t="e">
        <f>'All regions'!D2985+"$F;@!&amp;RS"</f>
        <v>#VALUE!</v>
      </c>
      <c r="GZ108" t="e">
        <f>'All regions'!E2985+"$F;@!&amp;RT"</f>
        <v>#VALUE!</v>
      </c>
      <c r="HA108" t="e">
        <f>'All regions'!F2985+"$F;@!&amp;RU"</f>
        <v>#VALUE!</v>
      </c>
      <c r="HB108" t="e">
        <f>'All regions'!G2985+"$F;@!&amp;RV"</f>
        <v>#VALUE!</v>
      </c>
      <c r="HC108" t="e">
        <f>'All regions'!H2985+"$F;@!&amp;RW"</f>
        <v>#VALUE!</v>
      </c>
      <c r="HD108" t="e">
        <f>'All regions'!I2985+"$F;@!&amp;RX"</f>
        <v>#VALUE!</v>
      </c>
      <c r="HE108" t="e">
        <f>'All regions'!A2986+"$F;@!&amp;RY"</f>
        <v>#VALUE!</v>
      </c>
      <c r="HF108" t="e">
        <f>'All regions'!B2986+"$F;@!&amp;RZ"</f>
        <v>#VALUE!</v>
      </c>
      <c r="HG108" t="e">
        <f>'All regions'!C2986+"$F;@!&amp;R["</f>
        <v>#VALUE!</v>
      </c>
      <c r="HH108" t="e">
        <f>'All regions'!D2986+"$F;@!&amp;R\"</f>
        <v>#VALUE!</v>
      </c>
      <c r="HI108" t="e">
        <f>'All regions'!E2986+"$F;@!&amp;R]"</f>
        <v>#VALUE!</v>
      </c>
      <c r="HJ108" t="e">
        <f>'All regions'!F2986+"$F;@!&amp;R^"</f>
        <v>#VALUE!</v>
      </c>
      <c r="HK108" t="e">
        <f>'All regions'!G2986+"$F;@!&amp;R_"</f>
        <v>#VALUE!</v>
      </c>
      <c r="HL108" t="e">
        <f>'All regions'!H2986+"$F;@!&amp;R`"</f>
        <v>#VALUE!</v>
      </c>
      <c r="HM108" t="e">
        <f>'All regions'!I2986+"$F;@!&amp;Ra"</f>
        <v>#VALUE!</v>
      </c>
      <c r="HN108" t="e">
        <f>'All regions'!A2987+"$F;@!&amp;Rb"</f>
        <v>#VALUE!</v>
      </c>
      <c r="HO108" t="e">
        <f>'All regions'!B2987+"$F;@!&amp;Rc"</f>
        <v>#VALUE!</v>
      </c>
      <c r="HP108" t="e">
        <f>'All regions'!C2987+"$F;@!&amp;Rd"</f>
        <v>#VALUE!</v>
      </c>
      <c r="HQ108" t="e">
        <f>'All regions'!D2987+"$F;@!&amp;Re"</f>
        <v>#VALUE!</v>
      </c>
      <c r="HR108" t="e">
        <f>'All regions'!E2987+"$F;@!&amp;Rf"</f>
        <v>#VALUE!</v>
      </c>
      <c r="HS108" t="e">
        <f>'All regions'!F2987+"$F;@!&amp;Rg"</f>
        <v>#VALUE!</v>
      </c>
      <c r="HT108" t="e">
        <f>'All regions'!G2987+"$F;@!&amp;Rh"</f>
        <v>#VALUE!</v>
      </c>
      <c r="HU108" t="e">
        <f>'All regions'!H2987+"$F;@!&amp;Ri"</f>
        <v>#VALUE!</v>
      </c>
      <c r="HV108" t="e">
        <f>'All regions'!I2987+"$F;@!&amp;Rj"</f>
        <v>#VALUE!</v>
      </c>
      <c r="HW108" t="e">
        <f>'All regions'!A2988+"$F;@!&amp;Rk"</f>
        <v>#VALUE!</v>
      </c>
      <c r="HX108" t="e">
        <f>'All regions'!B2988+"$F;@!&amp;Rl"</f>
        <v>#VALUE!</v>
      </c>
      <c r="HY108" t="e">
        <f>'All regions'!C2988+"$F;@!&amp;Rm"</f>
        <v>#VALUE!</v>
      </c>
      <c r="HZ108" t="e">
        <f>'All regions'!D2988+"$F;@!&amp;Rn"</f>
        <v>#VALUE!</v>
      </c>
      <c r="IA108" t="e">
        <f>'All regions'!E2988+"$F;@!&amp;Ro"</f>
        <v>#VALUE!</v>
      </c>
      <c r="IB108" t="e">
        <f>'All regions'!F2988+"$F;@!&amp;Rp"</f>
        <v>#VALUE!</v>
      </c>
      <c r="IC108" t="e">
        <f>'All regions'!G2988+"$F;@!&amp;Rq"</f>
        <v>#VALUE!</v>
      </c>
      <c r="ID108" t="e">
        <f>'All regions'!H2988+"$F;@!&amp;Rr"</f>
        <v>#VALUE!</v>
      </c>
      <c r="IE108" t="e">
        <f>'All regions'!I2988+"$F;@!&amp;Rs"</f>
        <v>#VALUE!</v>
      </c>
      <c r="IF108" t="e">
        <f>'All regions'!A2989+"$F;@!&amp;Rt"</f>
        <v>#VALUE!</v>
      </c>
      <c r="IG108" t="e">
        <f>'All regions'!B2989+"$F;@!&amp;Ru"</f>
        <v>#VALUE!</v>
      </c>
      <c r="IH108" t="e">
        <f>'All regions'!C2989+"$F;@!&amp;Rv"</f>
        <v>#VALUE!</v>
      </c>
      <c r="II108" t="e">
        <f>'All regions'!D2989+"$F;@!&amp;Rw"</f>
        <v>#VALUE!</v>
      </c>
      <c r="IJ108" t="e">
        <f>'All regions'!E2989+"$F;@!&amp;Rx"</f>
        <v>#VALUE!</v>
      </c>
      <c r="IK108" t="e">
        <f>'All regions'!F2989+"$F;@!&amp;Ry"</f>
        <v>#VALUE!</v>
      </c>
      <c r="IL108" t="e">
        <f>'All regions'!G2989+"$F;@!&amp;Rz"</f>
        <v>#VALUE!</v>
      </c>
      <c r="IM108" t="e">
        <f>'All regions'!H2989+"$F;@!&amp;R{"</f>
        <v>#VALUE!</v>
      </c>
      <c r="IN108" t="e">
        <f>'All regions'!I2989+"$F;@!&amp;R|"</f>
        <v>#VALUE!</v>
      </c>
      <c r="IO108" t="e">
        <f>'All regions'!A2990+"$F;@!&amp;R}"</f>
        <v>#VALUE!</v>
      </c>
      <c r="IP108" t="e">
        <f>'All regions'!B2990+"$F;@!&amp;R~"</f>
        <v>#VALUE!</v>
      </c>
      <c r="IQ108" t="e">
        <f>'All regions'!C2990+"$F;@!&amp;S#"</f>
        <v>#VALUE!</v>
      </c>
      <c r="IR108" t="e">
        <f>'All regions'!D2990+"$F;@!&amp;S$"</f>
        <v>#VALUE!</v>
      </c>
      <c r="IS108" t="e">
        <f>'All regions'!E2990+"$F;@!&amp;S%"</f>
        <v>#VALUE!</v>
      </c>
      <c r="IT108" t="e">
        <f>'All regions'!F2990+"$F;@!&amp;S&amp;"</f>
        <v>#VALUE!</v>
      </c>
      <c r="IU108" t="e">
        <f>'All regions'!G2990+"$F;@!&amp;S'"</f>
        <v>#VALUE!</v>
      </c>
      <c r="IV108" t="e">
        <f>'All regions'!H2990+"$F;@!&amp;S("</f>
        <v>#VALUE!</v>
      </c>
    </row>
    <row r="109" spans="6:256" x14ac:dyDescent="0.35">
      <c r="F109" t="e">
        <f>'All regions'!I2990+"$F;@!&amp;S)"</f>
        <v>#VALUE!</v>
      </c>
      <c r="G109" t="e">
        <f>'All regions'!A2991+"$F;@!&amp;S."</f>
        <v>#VALUE!</v>
      </c>
      <c r="H109" t="e">
        <f>'All regions'!B2991+"$F;@!&amp;S/"</f>
        <v>#VALUE!</v>
      </c>
      <c r="I109" t="e">
        <f>'All regions'!C2991+"$F;@!&amp;S0"</f>
        <v>#VALUE!</v>
      </c>
      <c r="J109" t="e">
        <f>'All regions'!D2991+"$F;@!&amp;S1"</f>
        <v>#VALUE!</v>
      </c>
      <c r="K109" t="e">
        <f>'All regions'!E2991+"$F;@!&amp;S2"</f>
        <v>#VALUE!</v>
      </c>
      <c r="L109" t="e">
        <f>'All regions'!F2991+"$F;@!&amp;S3"</f>
        <v>#VALUE!</v>
      </c>
      <c r="M109" t="e">
        <f>'All regions'!G2991+"$F;@!&amp;S4"</f>
        <v>#VALUE!</v>
      </c>
      <c r="N109" t="e">
        <f>'All regions'!H2991+"$F;@!&amp;S5"</f>
        <v>#VALUE!</v>
      </c>
      <c r="O109" t="e">
        <f>'All regions'!I2991+"$F;@!&amp;S6"</f>
        <v>#VALUE!</v>
      </c>
      <c r="P109" t="e">
        <f>'All regions'!A2992+"$F;@!&amp;S7"</f>
        <v>#VALUE!</v>
      </c>
      <c r="Q109" t="e">
        <f>'All regions'!B2992+"$F;@!&amp;S8"</f>
        <v>#VALUE!</v>
      </c>
      <c r="R109" t="e">
        <f>'All regions'!C2992+"$F;@!&amp;S9"</f>
        <v>#VALUE!</v>
      </c>
      <c r="S109" t="e">
        <f>'All regions'!D2992+"$F;@!&amp;S:"</f>
        <v>#VALUE!</v>
      </c>
      <c r="T109" t="e">
        <f>'All regions'!E2992+"$F;@!&amp;S;"</f>
        <v>#VALUE!</v>
      </c>
      <c r="U109" t="e">
        <f>'All regions'!F2992+"$F;@!&amp;S&lt;"</f>
        <v>#VALUE!</v>
      </c>
      <c r="V109" t="e">
        <f>'All regions'!G2992+"$F;@!&amp;S="</f>
        <v>#VALUE!</v>
      </c>
      <c r="W109" t="e">
        <f>'All regions'!H2992+"$F;@!&amp;S&gt;"</f>
        <v>#VALUE!</v>
      </c>
      <c r="X109" t="e">
        <f>'All regions'!I2992+"$F;@!&amp;S?"</f>
        <v>#VALUE!</v>
      </c>
      <c r="Y109" t="e">
        <f>'All regions'!A2993+"$F;@!&amp;S@"</f>
        <v>#VALUE!</v>
      </c>
      <c r="Z109" t="e">
        <f>'All regions'!B2993+"$F;@!&amp;SA"</f>
        <v>#VALUE!</v>
      </c>
      <c r="AA109" t="e">
        <f>'All regions'!C2993+"$F;@!&amp;SB"</f>
        <v>#VALUE!</v>
      </c>
      <c r="AB109" t="e">
        <f>'All regions'!D2993+"$F;@!&amp;SC"</f>
        <v>#VALUE!</v>
      </c>
      <c r="AC109" t="e">
        <f>'All regions'!E2993+"$F;@!&amp;SD"</f>
        <v>#VALUE!</v>
      </c>
      <c r="AD109" t="e">
        <f>'All regions'!F2993+"$F;@!&amp;SE"</f>
        <v>#VALUE!</v>
      </c>
      <c r="AE109" t="e">
        <f>'All regions'!G2993+"$F;@!&amp;SF"</f>
        <v>#VALUE!</v>
      </c>
      <c r="AF109" t="e">
        <f>'All regions'!H2993+"$F;@!&amp;SG"</f>
        <v>#VALUE!</v>
      </c>
      <c r="AG109" t="e">
        <f>'All regions'!I2993+"$F;@!&amp;SH"</f>
        <v>#VALUE!</v>
      </c>
      <c r="AH109" t="e">
        <f>'All regions'!A2994+"$F;@!&amp;SI"</f>
        <v>#VALUE!</v>
      </c>
      <c r="AI109" t="e">
        <f>'All regions'!B2994+"$F;@!&amp;SJ"</f>
        <v>#VALUE!</v>
      </c>
      <c r="AJ109" t="e">
        <f>'All regions'!C2994+"$F;@!&amp;SK"</f>
        <v>#VALUE!</v>
      </c>
      <c r="AK109" t="e">
        <f>'All regions'!D2994+"$F;@!&amp;SL"</f>
        <v>#VALUE!</v>
      </c>
      <c r="AL109" t="e">
        <f>'All regions'!E2994+"$F;@!&amp;SM"</f>
        <v>#VALUE!</v>
      </c>
      <c r="AM109" t="e">
        <f>'All regions'!F2994+"$F;@!&amp;SN"</f>
        <v>#VALUE!</v>
      </c>
      <c r="AN109" t="e">
        <f>'All regions'!G2994+"$F;@!&amp;SO"</f>
        <v>#VALUE!</v>
      </c>
      <c r="AO109" t="e">
        <f>'All regions'!H2994+"$F;@!&amp;SP"</f>
        <v>#VALUE!</v>
      </c>
      <c r="AP109" t="e">
        <f>'All regions'!I2994+"$F;@!&amp;SQ"</f>
        <v>#VALUE!</v>
      </c>
      <c r="AQ109" t="e">
        <f>'All regions'!A2995+"$F;@!&amp;SR"</f>
        <v>#VALUE!</v>
      </c>
      <c r="AR109" t="e">
        <f>'All regions'!B2995+"$F;@!&amp;SS"</f>
        <v>#VALUE!</v>
      </c>
      <c r="AS109" t="e">
        <f>'All regions'!C2995+"$F;@!&amp;ST"</f>
        <v>#VALUE!</v>
      </c>
      <c r="AT109" t="e">
        <f>'All regions'!D2995+"$F;@!&amp;SU"</f>
        <v>#VALUE!</v>
      </c>
      <c r="AU109" t="e">
        <f>'All regions'!E2995+"$F;@!&amp;SV"</f>
        <v>#VALUE!</v>
      </c>
      <c r="AV109" t="e">
        <f>'All regions'!F2995+"$F;@!&amp;SW"</f>
        <v>#VALUE!</v>
      </c>
      <c r="AW109" t="e">
        <f>'All regions'!G2995+"$F;@!&amp;SX"</f>
        <v>#VALUE!</v>
      </c>
      <c r="AX109" t="e">
        <f>'All regions'!H2995+"$F;@!&amp;SY"</f>
        <v>#VALUE!</v>
      </c>
      <c r="AY109" t="e">
        <f>'All regions'!I2995+"$F;@!&amp;SZ"</f>
        <v>#VALUE!</v>
      </c>
      <c r="AZ109" t="e">
        <f>'All regions'!A2996+"$F;@!&amp;S["</f>
        <v>#VALUE!</v>
      </c>
      <c r="BA109" t="e">
        <f>'All regions'!B2996+"$F;@!&amp;S\"</f>
        <v>#VALUE!</v>
      </c>
      <c r="BB109" t="e">
        <f>'All regions'!C2996+"$F;@!&amp;S]"</f>
        <v>#VALUE!</v>
      </c>
      <c r="BC109" t="e">
        <f>'All regions'!D2996+"$F;@!&amp;S^"</f>
        <v>#VALUE!</v>
      </c>
      <c r="BD109" t="e">
        <f>'All regions'!E2996+"$F;@!&amp;S_"</f>
        <v>#VALUE!</v>
      </c>
      <c r="BE109" t="e">
        <f>'All regions'!F2996+"$F;@!&amp;S`"</f>
        <v>#VALUE!</v>
      </c>
      <c r="BF109" t="e">
        <f>'All regions'!G2996+"$F;@!&amp;Sa"</f>
        <v>#VALUE!</v>
      </c>
      <c r="BG109" t="e">
        <f>'All regions'!H2996+"$F;@!&amp;Sb"</f>
        <v>#VALUE!</v>
      </c>
      <c r="BH109" t="e">
        <f>'All regions'!I2996+"$F;@!&amp;Sc"</f>
        <v>#VALUE!</v>
      </c>
      <c r="BI109" t="e">
        <f>'All regions'!A2997+"$F;@!&amp;Sd"</f>
        <v>#VALUE!</v>
      </c>
      <c r="BJ109" t="e">
        <f>'All regions'!B2997+"$F;@!&amp;Se"</f>
        <v>#VALUE!</v>
      </c>
      <c r="BK109" t="e">
        <f>'All regions'!C2997+"$F;@!&amp;Sf"</f>
        <v>#VALUE!</v>
      </c>
      <c r="BL109" t="e">
        <f>'All regions'!D2997+"$F;@!&amp;Sg"</f>
        <v>#VALUE!</v>
      </c>
      <c r="BM109" t="e">
        <f>'All regions'!E2997+"$F;@!&amp;Sh"</f>
        <v>#VALUE!</v>
      </c>
      <c r="BN109" t="e">
        <f>'All regions'!F2997+"$F;@!&amp;Si"</f>
        <v>#VALUE!</v>
      </c>
      <c r="BO109" t="e">
        <f>'All regions'!G2997+"$F;@!&amp;Sj"</f>
        <v>#VALUE!</v>
      </c>
      <c r="BP109" t="e">
        <f>'All regions'!H2997+"$F;@!&amp;Sk"</f>
        <v>#VALUE!</v>
      </c>
      <c r="BQ109" t="e">
        <f>'All regions'!I2997+"$F;@!&amp;Sl"</f>
        <v>#VALUE!</v>
      </c>
      <c r="BR109" t="e">
        <f>'All regions'!A2998+"$F;@!&amp;Sm"</f>
        <v>#VALUE!</v>
      </c>
      <c r="BS109" t="e">
        <f>'All regions'!B2998+"$F;@!&amp;Sn"</f>
        <v>#VALUE!</v>
      </c>
      <c r="BT109" t="e">
        <f>'All regions'!C2998+"$F;@!&amp;So"</f>
        <v>#VALUE!</v>
      </c>
      <c r="BU109" t="e">
        <f>'All regions'!D2998+"$F;@!&amp;Sp"</f>
        <v>#VALUE!</v>
      </c>
      <c r="BV109" t="e">
        <f>'All regions'!E2998+"$F;@!&amp;Sq"</f>
        <v>#VALUE!</v>
      </c>
      <c r="BW109" t="e">
        <f>'All regions'!F2998+"$F;@!&amp;Sr"</f>
        <v>#VALUE!</v>
      </c>
      <c r="BX109" t="e">
        <f>'All regions'!G2998+"$F;@!&amp;Ss"</f>
        <v>#VALUE!</v>
      </c>
      <c r="BY109" t="e">
        <f>'All regions'!H2998+"$F;@!&amp;St"</f>
        <v>#VALUE!</v>
      </c>
      <c r="BZ109" t="e">
        <f>'All regions'!I2998+"$F;@!&amp;Su"</f>
        <v>#VALUE!</v>
      </c>
      <c r="CA109" t="e">
        <f>'All regions'!A2999+"$F;@!&amp;Sv"</f>
        <v>#VALUE!</v>
      </c>
      <c r="CB109" t="e">
        <f>'All regions'!B2999+"$F;@!&amp;Sw"</f>
        <v>#VALUE!</v>
      </c>
      <c r="CC109" t="e">
        <f>'All regions'!C2999+"$F;@!&amp;Sx"</f>
        <v>#VALUE!</v>
      </c>
      <c r="CD109" t="e">
        <f>'All regions'!D2999+"$F;@!&amp;Sy"</f>
        <v>#VALUE!</v>
      </c>
      <c r="CE109" t="e">
        <f>'All regions'!E2999+"$F;@!&amp;Sz"</f>
        <v>#VALUE!</v>
      </c>
      <c r="CF109" t="e">
        <f>'All regions'!F2999+"$F;@!&amp;S{"</f>
        <v>#VALUE!</v>
      </c>
      <c r="CG109" t="e">
        <f>'All regions'!G2999+"$F;@!&amp;S|"</f>
        <v>#VALUE!</v>
      </c>
      <c r="CH109" t="e">
        <f>'All regions'!H2999+"$F;@!&amp;S}"</f>
        <v>#VALUE!</v>
      </c>
      <c r="CI109" t="e">
        <f>'All regions'!I2999+"$F;@!&amp;S~"</f>
        <v>#VALUE!</v>
      </c>
      <c r="CJ109" t="e">
        <f>'All regions'!A3000+"$F;@!&amp;T#"</f>
        <v>#VALUE!</v>
      </c>
      <c r="CK109" t="e">
        <f>'All regions'!B3000+"$F;@!&amp;T$"</f>
        <v>#VALUE!</v>
      </c>
      <c r="CL109" t="e">
        <f>'All regions'!C3000+"$F;@!&amp;T%"</f>
        <v>#VALUE!</v>
      </c>
      <c r="CM109" t="e">
        <f>'All regions'!D3000+"$F;@!&amp;T&amp;"</f>
        <v>#VALUE!</v>
      </c>
      <c r="CN109" t="e">
        <f>'All regions'!E3000+"$F;@!&amp;T'"</f>
        <v>#VALUE!</v>
      </c>
      <c r="CO109" t="e">
        <f>'All regions'!F3000+"$F;@!&amp;T("</f>
        <v>#VALUE!</v>
      </c>
      <c r="CP109" t="e">
        <f>'All regions'!G3000+"$F;@!&amp;T)"</f>
        <v>#VALUE!</v>
      </c>
      <c r="CQ109" t="e">
        <f>'All regions'!H3000+"$F;@!&amp;T."</f>
        <v>#VALUE!</v>
      </c>
      <c r="CR109" t="e">
        <f>'All regions'!I3000+"$F;@!&amp;T/"</f>
        <v>#VALUE!</v>
      </c>
      <c r="CS109" t="e">
        <f>'All regions'!A3001+"$F;@!&amp;T0"</f>
        <v>#VALUE!</v>
      </c>
      <c r="CT109" t="e">
        <f>'All regions'!B3001+"$F;@!&amp;T1"</f>
        <v>#VALUE!</v>
      </c>
      <c r="CU109" t="e">
        <f>'All regions'!C3001+"$F;@!&amp;T2"</f>
        <v>#VALUE!</v>
      </c>
      <c r="CV109" t="e">
        <f>'All regions'!D3001+"$F;@!&amp;T3"</f>
        <v>#VALUE!</v>
      </c>
      <c r="CW109" t="e">
        <f>'All regions'!E3001+"$F;@!&amp;T4"</f>
        <v>#VALUE!</v>
      </c>
      <c r="CX109" t="e">
        <f>'All regions'!F3001+"$F;@!&amp;T5"</f>
        <v>#VALUE!</v>
      </c>
      <c r="CY109" t="e">
        <f>'All regions'!G3001+"$F;@!&amp;T6"</f>
        <v>#VALUE!</v>
      </c>
      <c r="CZ109" t="e">
        <f>'All regions'!H3001+"$F;@!&amp;T7"</f>
        <v>#VALUE!</v>
      </c>
      <c r="DA109" t="e">
        <f>'All regions'!I3001+"$F;@!&amp;T8"</f>
        <v>#VALUE!</v>
      </c>
      <c r="DB109" t="e">
        <f>'All regions'!A3002+"$F;@!&amp;T9"</f>
        <v>#VALUE!</v>
      </c>
      <c r="DC109" t="e">
        <f>'All regions'!B3002+"$F;@!&amp;T:"</f>
        <v>#VALUE!</v>
      </c>
      <c r="DD109" t="e">
        <f>'All regions'!C3002+"$F;@!&amp;T;"</f>
        <v>#VALUE!</v>
      </c>
      <c r="DE109" t="e">
        <f>'All regions'!D3002+"$F;@!&amp;T&lt;"</f>
        <v>#VALUE!</v>
      </c>
      <c r="DF109" t="e">
        <f>'All regions'!E3002+"$F;@!&amp;T="</f>
        <v>#VALUE!</v>
      </c>
      <c r="DG109" t="e">
        <f>'All regions'!F3002+"$F;@!&amp;T&gt;"</f>
        <v>#VALUE!</v>
      </c>
      <c r="DH109" t="e">
        <f>'All regions'!G3002+"$F;@!&amp;T?"</f>
        <v>#VALUE!</v>
      </c>
      <c r="DI109" t="e">
        <f>'All regions'!H3002+"$F;@!&amp;T@"</f>
        <v>#VALUE!</v>
      </c>
      <c r="DJ109" t="e">
        <f>'All regions'!I3002+"$F;@!&amp;TA"</f>
        <v>#VALUE!</v>
      </c>
      <c r="DK109" t="e">
        <f>'All regions'!A3003+"$F;@!&amp;TB"</f>
        <v>#VALUE!</v>
      </c>
      <c r="DL109" t="e">
        <f>'All regions'!B3003+"$F;@!&amp;TC"</f>
        <v>#VALUE!</v>
      </c>
      <c r="DM109" t="e">
        <f>'All regions'!C3003+"$F;@!&amp;TD"</f>
        <v>#VALUE!</v>
      </c>
      <c r="DN109" t="e">
        <f>'All regions'!D3003+"$F;@!&amp;TE"</f>
        <v>#VALUE!</v>
      </c>
      <c r="DO109" t="e">
        <f>'All regions'!E3003+"$F;@!&amp;TF"</f>
        <v>#VALUE!</v>
      </c>
      <c r="DP109" t="e">
        <f>'All regions'!F3003+"$F;@!&amp;TG"</f>
        <v>#VALUE!</v>
      </c>
      <c r="DQ109" t="e">
        <f>'All regions'!G3003+"$F;@!&amp;TH"</f>
        <v>#VALUE!</v>
      </c>
      <c r="DR109" t="e">
        <f>'All regions'!H3003+"$F;@!&amp;TI"</f>
        <v>#VALUE!</v>
      </c>
      <c r="DS109" t="e">
        <f>'All regions'!I3003+"$F;@!&amp;TJ"</f>
        <v>#VALUE!</v>
      </c>
      <c r="DT109" t="e">
        <f>'All regions'!A3004+"$F;@!&amp;TK"</f>
        <v>#VALUE!</v>
      </c>
      <c r="DU109" t="e">
        <f>'All regions'!B3004+"$F;@!&amp;TL"</f>
        <v>#VALUE!</v>
      </c>
      <c r="DV109" t="e">
        <f>'All regions'!C3004+"$F;@!&amp;TM"</f>
        <v>#VALUE!</v>
      </c>
      <c r="DW109" t="e">
        <f>'All regions'!D3004+"$F;@!&amp;TN"</f>
        <v>#VALUE!</v>
      </c>
      <c r="DX109" t="e">
        <f>'All regions'!E3004+"$F;@!&amp;TO"</f>
        <v>#VALUE!</v>
      </c>
      <c r="DY109" t="e">
        <f>'All regions'!F3004+"$F;@!&amp;TP"</f>
        <v>#VALUE!</v>
      </c>
      <c r="DZ109" t="e">
        <f>'All regions'!G3004+"$F;@!&amp;TQ"</f>
        <v>#VALUE!</v>
      </c>
      <c r="EA109" t="e">
        <f>'All regions'!H3004+"$F;@!&amp;TR"</f>
        <v>#VALUE!</v>
      </c>
      <c r="EB109" t="e">
        <f>'All regions'!I3004+"$F;@!&amp;TS"</f>
        <v>#VALUE!</v>
      </c>
      <c r="EC109" t="e">
        <f>'All regions'!A3005+"$F;@!&amp;TT"</f>
        <v>#VALUE!</v>
      </c>
      <c r="ED109" t="e">
        <f>'All regions'!B3005+"$F;@!&amp;TU"</f>
        <v>#VALUE!</v>
      </c>
      <c r="EE109" t="e">
        <f>'All regions'!C3005+"$F;@!&amp;TV"</f>
        <v>#VALUE!</v>
      </c>
      <c r="EF109" t="e">
        <f>'All regions'!D3005+"$F;@!&amp;TW"</f>
        <v>#VALUE!</v>
      </c>
      <c r="EG109" t="e">
        <f>'All regions'!E3005+"$F;@!&amp;TX"</f>
        <v>#VALUE!</v>
      </c>
      <c r="EH109" t="e">
        <f>'All regions'!F3005+"$F;@!&amp;TY"</f>
        <v>#VALUE!</v>
      </c>
      <c r="EI109" t="e">
        <f>'All regions'!G3005+"$F;@!&amp;TZ"</f>
        <v>#VALUE!</v>
      </c>
      <c r="EJ109" t="e">
        <f>'All regions'!H3005+"$F;@!&amp;T["</f>
        <v>#VALUE!</v>
      </c>
      <c r="EK109" t="e">
        <f>'All regions'!I3005+"$F;@!&amp;T\"</f>
        <v>#VALUE!</v>
      </c>
      <c r="EL109" t="e">
        <f>'All regions'!A3006+"$F;@!&amp;T]"</f>
        <v>#VALUE!</v>
      </c>
      <c r="EM109" t="e">
        <f>'All regions'!B3006+"$F;@!&amp;T^"</f>
        <v>#VALUE!</v>
      </c>
      <c r="EN109" t="e">
        <f>'All regions'!C3006+"$F;@!&amp;T_"</f>
        <v>#VALUE!</v>
      </c>
      <c r="EO109" t="e">
        <f>'All regions'!D3006+"$F;@!&amp;T`"</f>
        <v>#VALUE!</v>
      </c>
      <c r="EP109" t="e">
        <f>'All regions'!E3006+"$F;@!&amp;Ta"</f>
        <v>#VALUE!</v>
      </c>
      <c r="EQ109" t="e">
        <f>'All regions'!F3006+"$F;@!&amp;Tb"</f>
        <v>#VALUE!</v>
      </c>
      <c r="ER109" t="e">
        <f>'All regions'!G3006+"$F;@!&amp;Tc"</f>
        <v>#VALUE!</v>
      </c>
      <c r="ES109" t="e">
        <f>'All regions'!H3006+"$F;@!&amp;Td"</f>
        <v>#VALUE!</v>
      </c>
      <c r="ET109" t="e">
        <f>'All regions'!I3006+"$F;@!&amp;Te"</f>
        <v>#VALUE!</v>
      </c>
      <c r="EU109" t="e">
        <f>'All regions'!A3007+"$F;@!&amp;Tf"</f>
        <v>#VALUE!</v>
      </c>
      <c r="EV109" t="e">
        <f>'All regions'!B3007+"$F;@!&amp;Tg"</f>
        <v>#VALUE!</v>
      </c>
      <c r="EW109" t="e">
        <f>'All regions'!C3007+"$F;@!&amp;Th"</f>
        <v>#VALUE!</v>
      </c>
      <c r="EX109" t="e">
        <f>'All regions'!D3007+"$F;@!&amp;Ti"</f>
        <v>#VALUE!</v>
      </c>
      <c r="EY109" t="e">
        <f>'All regions'!E3007+"$F;@!&amp;Tj"</f>
        <v>#VALUE!</v>
      </c>
      <c r="EZ109" t="e">
        <f>'All regions'!F3007+"$F;@!&amp;Tk"</f>
        <v>#VALUE!</v>
      </c>
      <c r="FA109" t="e">
        <f>'All regions'!G3007+"$F;@!&amp;Tl"</f>
        <v>#VALUE!</v>
      </c>
      <c r="FB109" t="e">
        <f>'All regions'!H3007+"$F;@!&amp;Tm"</f>
        <v>#VALUE!</v>
      </c>
      <c r="FC109" t="e">
        <f>'All regions'!I3007+"$F;@!&amp;Tn"</f>
        <v>#VALUE!</v>
      </c>
      <c r="FD109" t="e">
        <f>'All regions'!A3008+"$F;@!&amp;To"</f>
        <v>#VALUE!</v>
      </c>
      <c r="FE109" t="e">
        <f>'All regions'!B3008+"$F;@!&amp;Tp"</f>
        <v>#VALUE!</v>
      </c>
      <c r="FF109" t="e">
        <f>'All regions'!C3008+"$F;@!&amp;Tq"</f>
        <v>#VALUE!</v>
      </c>
      <c r="FG109" t="e">
        <f>'All regions'!D3008+"$F;@!&amp;Tr"</f>
        <v>#VALUE!</v>
      </c>
      <c r="FH109" t="e">
        <f>'All regions'!E3008+"$F;@!&amp;Ts"</f>
        <v>#VALUE!</v>
      </c>
      <c r="FI109" t="e">
        <f>'All regions'!F3008+"$F;@!&amp;Tt"</f>
        <v>#VALUE!</v>
      </c>
      <c r="FJ109" t="e">
        <f>'All regions'!G3008+"$F;@!&amp;Tu"</f>
        <v>#VALUE!</v>
      </c>
      <c r="FK109" t="e">
        <f>'All regions'!H3008+"$F;@!&amp;Tv"</f>
        <v>#VALUE!</v>
      </c>
      <c r="FL109" t="e">
        <f>'All regions'!I3008+"$F;@!&amp;Tw"</f>
        <v>#VALUE!</v>
      </c>
      <c r="FM109" t="e">
        <f>'All regions'!A3009+"$F;@!&amp;Tx"</f>
        <v>#VALUE!</v>
      </c>
      <c r="FN109" t="e">
        <f>'All regions'!B3009+"$F;@!&amp;Ty"</f>
        <v>#VALUE!</v>
      </c>
      <c r="FO109" t="e">
        <f>'All regions'!C3009+"$F;@!&amp;Tz"</f>
        <v>#VALUE!</v>
      </c>
      <c r="FP109" t="e">
        <f>'All regions'!D3009+"$F;@!&amp;T{"</f>
        <v>#VALUE!</v>
      </c>
      <c r="FQ109" t="e">
        <f>'All regions'!E3009+"$F;@!&amp;T|"</f>
        <v>#VALUE!</v>
      </c>
      <c r="FR109" t="e">
        <f>'All regions'!F3009+"$F;@!&amp;T}"</f>
        <v>#VALUE!</v>
      </c>
      <c r="FS109" t="e">
        <f>'All regions'!G3009+"$F;@!&amp;T~"</f>
        <v>#VALUE!</v>
      </c>
      <c r="FT109" t="e">
        <f>'All regions'!H3009+"$F;@!&amp;U#"</f>
        <v>#VALUE!</v>
      </c>
      <c r="FU109" t="e">
        <f>'All regions'!I3009+"$F;@!&amp;U$"</f>
        <v>#VALUE!</v>
      </c>
      <c r="FV109" t="e">
        <f>'All regions'!A3010+"$F;@!&amp;U%"</f>
        <v>#VALUE!</v>
      </c>
      <c r="FW109" t="e">
        <f>'All regions'!B3010+"$F;@!&amp;U&amp;"</f>
        <v>#VALUE!</v>
      </c>
      <c r="FX109" t="e">
        <f>'All regions'!C3010+"$F;@!&amp;U'"</f>
        <v>#VALUE!</v>
      </c>
      <c r="FY109" t="e">
        <f>'All regions'!D3010+"$F;@!&amp;U("</f>
        <v>#VALUE!</v>
      </c>
      <c r="FZ109" t="e">
        <f>'All regions'!E3010+"$F;@!&amp;U)"</f>
        <v>#VALUE!</v>
      </c>
      <c r="GA109" t="e">
        <f>'All regions'!F3010+"$F;@!&amp;U."</f>
        <v>#VALUE!</v>
      </c>
      <c r="GB109" t="e">
        <f>'All regions'!G3010+"$F;@!&amp;U/"</f>
        <v>#VALUE!</v>
      </c>
      <c r="GC109" t="e">
        <f>'All regions'!H3010+"$F;@!&amp;U0"</f>
        <v>#VALUE!</v>
      </c>
      <c r="GD109" t="e">
        <f>'All regions'!I3010+"$F;@!&amp;U1"</f>
        <v>#VALUE!</v>
      </c>
      <c r="GE109" t="e">
        <f>'All regions'!A3011+"$F;@!&amp;U2"</f>
        <v>#VALUE!</v>
      </c>
      <c r="GF109" t="e">
        <f>'All regions'!B3011+"$F;@!&amp;U3"</f>
        <v>#VALUE!</v>
      </c>
      <c r="GG109" t="e">
        <f>'All regions'!C3011+"$F;@!&amp;U4"</f>
        <v>#VALUE!</v>
      </c>
      <c r="GH109" t="e">
        <f>'All regions'!D3011+"$F;@!&amp;U5"</f>
        <v>#VALUE!</v>
      </c>
      <c r="GI109" t="e">
        <f>'All regions'!E3011+"$F;@!&amp;U6"</f>
        <v>#VALUE!</v>
      </c>
      <c r="GJ109" t="e">
        <f>'All regions'!F3011+"$F;@!&amp;U7"</f>
        <v>#VALUE!</v>
      </c>
      <c r="GK109" t="e">
        <f>'All regions'!G3011+"$F;@!&amp;U8"</f>
        <v>#VALUE!</v>
      </c>
      <c r="GL109" t="e">
        <f>'All regions'!H3011+"$F;@!&amp;U9"</f>
        <v>#VALUE!</v>
      </c>
      <c r="GM109" t="e">
        <f>'All regions'!I3011+"$F;@!&amp;U:"</f>
        <v>#VALUE!</v>
      </c>
      <c r="GN109" t="e">
        <f>'All regions'!A3012+"$F;@!&amp;U;"</f>
        <v>#VALUE!</v>
      </c>
      <c r="GO109" t="e">
        <f>'All regions'!B3012+"$F;@!&amp;U&lt;"</f>
        <v>#VALUE!</v>
      </c>
      <c r="GP109" t="e">
        <f>'All regions'!C3012+"$F;@!&amp;U="</f>
        <v>#VALUE!</v>
      </c>
      <c r="GQ109" t="e">
        <f>'All regions'!D3012+"$F;@!&amp;U&gt;"</f>
        <v>#VALUE!</v>
      </c>
      <c r="GR109" t="e">
        <f>'All regions'!E3012+"$F;@!&amp;U?"</f>
        <v>#VALUE!</v>
      </c>
      <c r="GS109" t="e">
        <f>'All regions'!F3012+"$F;@!&amp;U@"</f>
        <v>#VALUE!</v>
      </c>
      <c r="GT109" t="e">
        <f>'All regions'!G3012+"$F;@!&amp;UA"</f>
        <v>#VALUE!</v>
      </c>
      <c r="GU109" t="e">
        <f>'All regions'!H3012+"$F;@!&amp;UB"</f>
        <v>#VALUE!</v>
      </c>
      <c r="GV109" t="e">
        <f>'All regions'!I3012+"$F;@!&amp;UC"</f>
        <v>#VALUE!</v>
      </c>
      <c r="GW109" t="e">
        <f>'All regions'!A3013+"$F;@!&amp;UD"</f>
        <v>#VALUE!</v>
      </c>
      <c r="GX109" t="e">
        <f>'All regions'!B3013+"$F;@!&amp;UE"</f>
        <v>#VALUE!</v>
      </c>
      <c r="GY109" t="e">
        <f>'All regions'!C3013+"$F;@!&amp;UF"</f>
        <v>#VALUE!</v>
      </c>
      <c r="GZ109" t="e">
        <f>'All regions'!D3013+"$F;@!&amp;UG"</f>
        <v>#VALUE!</v>
      </c>
      <c r="HA109" t="e">
        <f>'All regions'!E3013+"$F;@!&amp;UH"</f>
        <v>#VALUE!</v>
      </c>
      <c r="HB109" t="e">
        <f>'All regions'!F3013+"$F;@!&amp;UI"</f>
        <v>#VALUE!</v>
      </c>
      <c r="HC109" t="e">
        <f>'All regions'!G3013+"$F;@!&amp;UJ"</f>
        <v>#VALUE!</v>
      </c>
      <c r="HD109" t="e">
        <f>'All regions'!H3013+"$F;@!&amp;UK"</f>
        <v>#VALUE!</v>
      </c>
      <c r="HE109" t="e">
        <f>'All regions'!I3013+"$F;@!&amp;UL"</f>
        <v>#VALUE!</v>
      </c>
      <c r="HF109" t="e">
        <f>'All regions'!A3014+"$F;@!&amp;UM"</f>
        <v>#VALUE!</v>
      </c>
      <c r="HG109" t="e">
        <f>'All regions'!B3014+"$F;@!&amp;UN"</f>
        <v>#VALUE!</v>
      </c>
      <c r="HH109" t="e">
        <f>'All regions'!C3014+"$F;@!&amp;UO"</f>
        <v>#VALUE!</v>
      </c>
      <c r="HI109" t="e">
        <f>'All regions'!D3014+"$F;@!&amp;UP"</f>
        <v>#VALUE!</v>
      </c>
      <c r="HJ109" t="e">
        <f>'All regions'!E3014+"$F;@!&amp;UQ"</f>
        <v>#VALUE!</v>
      </c>
      <c r="HK109" t="e">
        <f>'All regions'!F3014+"$F;@!&amp;UR"</f>
        <v>#VALUE!</v>
      </c>
      <c r="HL109" t="e">
        <f>'All regions'!G3014+"$F;@!&amp;US"</f>
        <v>#VALUE!</v>
      </c>
      <c r="HM109" t="e">
        <f>'All regions'!H3014+"$F;@!&amp;UT"</f>
        <v>#VALUE!</v>
      </c>
      <c r="HN109" t="e">
        <f>'All regions'!I3014+"$F;@!&amp;UU"</f>
        <v>#VALUE!</v>
      </c>
      <c r="HO109" t="e">
        <f>'All regions'!A3015+"$F;@!&amp;UV"</f>
        <v>#VALUE!</v>
      </c>
      <c r="HP109" t="e">
        <f>'All regions'!B3015+"$F;@!&amp;UW"</f>
        <v>#VALUE!</v>
      </c>
      <c r="HQ109" t="e">
        <f>'All regions'!C3015+"$F;@!&amp;UX"</f>
        <v>#VALUE!</v>
      </c>
      <c r="HR109" t="e">
        <f>'All regions'!D3015+"$F;@!&amp;UY"</f>
        <v>#VALUE!</v>
      </c>
      <c r="HS109" t="e">
        <f>'All regions'!E3015+"$F;@!&amp;UZ"</f>
        <v>#VALUE!</v>
      </c>
      <c r="HT109" t="e">
        <f>'All regions'!F3015+"$F;@!&amp;U["</f>
        <v>#VALUE!</v>
      </c>
      <c r="HU109" t="e">
        <f>'All regions'!G3015+"$F;@!&amp;U\"</f>
        <v>#VALUE!</v>
      </c>
      <c r="HV109" t="e">
        <f>'All regions'!H3015+"$F;@!&amp;U]"</f>
        <v>#VALUE!</v>
      </c>
      <c r="HW109" t="e">
        <f>'All regions'!I3015+"$F;@!&amp;U^"</f>
        <v>#VALUE!</v>
      </c>
      <c r="HX109" t="e">
        <f>'All regions'!A3016+"$F;@!&amp;U_"</f>
        <v>#VALUE!</v>
      </c>
      <c r="HY109" t="e">
        <f>'All regions'!B3016+"$F;@!&amp;U`"</f>
        <v>#VALUE!</v>
      </c>
      <c r="HZ109" t="e">
        <f>'All regions'!C3016+"$F;@!&amp;Ua"</f>
        <v>#VALUE!</v>
      </c>
      <c r="IA109" t="e">
        <f>'All regions'!D3016+"$F;@!&amp;Ub"</f>
        <v>#VALUE!</v>
      </c>
      <c r="IB109" t="e">
        <f>'All regions'!E3016+"$F;@!&amp;Uc"</f>
        <v>#VALUE!</v>
      </c>
      <c r="IC109" t="e">
        <f>'All regions'!F3016+"$F;@!&amp;Ud"</f>
        <v>#VALUE!</v>
      </c>
      <c r="ID109" t="e">
        <f>'All regions'!G3016+"$F;@!&amp;Ue"</f>
        <v>#VALUE!</v>
      </c>
      <c r="IE109" t="e">
        <f>'All regions'!H3016+"$F;@!&amp;Uf"</f>
        <v>#VALUE!</v>
      </c>
      <c r="IF109" t="e">
        <f>'All regions'!I3016+"$F;@!&amp;Ug"</f>
        <v>#VALUE!</v>
      </c>
      <c r="IG109" t="e">
        <f>'All regions'!A3017+"$F;@!&amp;Uh"</f>
        <v>#VALUE!</v>
      </c>
      <c r="IH109" t="e">
        <f>'All regions'!B3017+"$F;@!&amp;Ui"</f>
        <v>#VALUE!</v>
      </c>
      <c r="II109" t="e">
        <f>'All regions'!C3017+"$F;@!&amp;Uj"</f>
        <v>#VALUE!</v>
      </c>
      <c r="IJ109" t="e">
        <f>'All regions'!D3017+"$F;@!&amp;Uk"</f>
        <v>#VALUE!</v>
      </c>
      <c r="IK109" t="e">
        <f>'All regions'!E3017+"$F;@!&amp;Ul"</f>
        <v>#VALUE!</v>
      </c>
      <c r="IL109" t="e">
        <f>'All regions'!F3017+"$F;@!&amp;Um"</f>
        <v>#VALUE!</v>
      </c>
      <c r="IM109" t="e">
        <f>'All regions'!G3017+"$F;@!&amp;Un"</f>
        <v>#VALUE!</v>
      </c>
      <c r="IN109" t="e">
        <f>'All regions'!H3017+"$F;@!&amp;Uo"</f>
        <v>#VALUE!</v>
      </c>
      <c r="IO109" t="e">
        <f>'All regions'!I3017+"$F;@!&amp;Up"</f>
        <v>#VALUE!</v>
      </c>
      <c r="IP109" t="e">
        <f>'All regions'!A3018+"$F;@!&amp;Uq"</f>
        <v>#VALUE!</v>
      </c>
      <c r="IQ109" t="e">
        <f>'All regions'!B3018+"$F;@!&amp;Ur"</f>
        <v>#VALUE!</v>
      </c>
      <c r="IR109" t="e">
        <f>'All regions'!C3018+"$F;@!&amp;Us"</f>
        <v>#VALUE!</v>
      </c>
      <c r="IS109" t="e">
        <f>'All regions'!D3018+"$F;@!&amp;Ut"</f>
        <v>#VALUE!</v>
      </c>
      <c r="IT109" t="e">
        <f>'All regions'!E3018+"$F;@!&amp;Uu"</f>
        <v>#VALUE!</v>
      </c>
      <c r="IU109" t="e">
        <f>'All regions'!F3018+"$F;@!&amp;Uv"</f>
        <v>#VALUE!</v>
      </c>
      <c r="IV109" t="e">
        <f>'All regions'!G3018+"$F;@!&amp;Uw"</f>
        <v>#VALUE!</v>
      </c>
    </row>
    <row r="110" spans="6:256" x14ac:dyDescent="0.35">
      <c r="F110" t="e">
        <f>'All regions'!H3018+"$F;@!&amp;Ux"</f>
        <v>#VALUE!</v>
      </c>
      <c r="G110" t="e">
        <f>'All regions'!I3018+"$F;@!&amp;Uy"</f>
        <v>#VALUE!</v>
      </c>
      <c r="H110" t="e">
        <f>'All regions'!A3019+"$F;@!&amp;Uz"</f>
        <v>#VALUE!</v>
      </c>
      <c r="I110" t="e">
        <f>'All regions'!B3019+"$F;@!&amp;U{"</f>
        <v>#VALUE!</v>
      </c>
      <c r="J110" t="e">
        <f>'All regions'!C3019+"$F;@!&amp;U|"</f>
        <v>#VALUE!</v>
      </c>
      <c r="K110" t="e">
        <f>'All regions'!D3019+"$F;@!&amp;U}"</f>
        <v>#VALUE!</v>
      </c>
      <c r="L110" t="e">
        <f>'All regions'!E3019+"$F;@!&amp;U~"</f>
        <v>#VALUE!</v>
      </c>
      <c r="M110" t="e">
        <f>'All regions'!F3019+"$F;@!&amp;V#"</f>
        <v>#VALUE!</v>
      </c>
      <c r="N110" t="e">
        <f>'All regions'!G3019+"$F;@!&amp;V$"</f>
        <v>#VALUE!</v>
      </c>
      <c r="O110" t="e">
        <f>'All regions'!H3019+"$F;@!&amp;V%"</f>
        <v>#VALUE!</v>
      </c>
      <c r="P110" t="e">
        <f>'All regions'!I3019+"$F;@!&amp;V&amp;"</f>
        <v>#VALUE!</v>
      </c>
      <c r="Q110" t="e">
        <f>'All regions'!A3020+"$F;@!&amp;V'"</f>
        <v>#VALUE!</v>
      </c>
      <c r="R110" t="e">
        <f>'All regions'!B3020+"$F;@!&amp;V("</f>
        <v>#VALUE!</v>
      </c>
      <c r="S110" t="e">
        <f>'All regions'!C3020+"$F;@!&amp;V)"</f>
        <v>#VALUE!</v>
      </c>
      <c r="T110" t="e">
        <f>'All regions'!D3020+"$F;@!&amp;V."</f>
        <v>#VALUE!</v>
      </c>
      <c r="U110" t="e">
        <f>'All regions'!E3020+"$F;@!&amp;V/"</f>
        <v>#VALUE!</v>
      </c>
      <c r="V110" t="e">
        <f>'All regions'!F3020+"$F;@!&amp;V0"</f>
        <v>#VALUE!</v>
      </c>
      <c r="W110" t="e">
        <f>'All regions'!G3020+"$F;@!&amp;V1"</f>
        <v>#VALUE!</v>
      </c>
      <c r="X110" t="e">
        <f>'All regions'!H3020+"$F;@!&amp;V2"</f>
        <v>#VALUE!</v>
      </c>
      <c r="Y110" t="e">
        <f>'All regions'!I3020+"$F;@!&amp;V3"</f>
        <v>#VALUE!</v>
      </c>
      <c r="Z110" t="e">
        <f>'All regions'!A3021+"$F;@!&amp;V4"</f>
        <v>#VALUE!</v>
      </c>
      <c r="AA110" t="e">
        <f>'All regions'!B3021+"$F;@!&amp;V5"</f>
        <v>#VALUE!</v>
      </c>
      <c r="AB110" t="e">
        <f>'All regions'!C3021+"$F;@!&amp;V6"</f>
        <v>#VALUE!</v>
      </c>
      <c r="AC110" t="e">
        <f>'All regions'!D3021+"$F;@!&amp;V7"</f>
        <v>#VALUE!</v>
      </c>
      <c r="AD110" t="e">
        <f>'All regions'!E3021+"$F;@!&amp;V8"</f>
        <v>#VALUE!</v>
      </c>
      <c r="AE110" t="e">
        <f>'All regions'!F3021+"$F;@!&amp;V9"</f>
        <v>#VALUE!</v>
      </c>
      <c r="AF110" t="e">
        <f>'All regions'!G3021+"$F;@!&amp;V:"</f>
        <v>#VALUE!</v>
      </c>
      <c r="AG110" t="e">
        <f>'All regions'!H3021+"$F;@!&amp;V;"</f>
        <v>#VALUE!</v>
      </c>
      <c r="AH110" t="e">
        <f>'All regions'!I3021+"$F;@!&amp;V&lt;"</f>
        <v>#VALUE!</v>
      </c>
      <c r="AI110" t="e">
        <f>'All regions'!A3022+"$F;@!&amp;V="</f>
        <v>#VALUE!</v>
      </c>
      <c r="AJ110" t="e">
        <f>'All regions'!B3022+"$F;@!&amp;V&gt;"</f>
        <v>#VALUE!</v>
      </c>
      <c r="AK110" t="e">
        <f>'All regions'!C3022+"$F;@!&amp;V?"</f>
        <v>#VALUE!</v>
      </c>
      <c r="AL110" t="e">
        <f>'All regions'!D3022+"$F;@!&amp;V@"</f>
        <v>#VALUE!</v>
      </c>
      <c r="AM110" t="e">
        <f>'All regions'!E3022+"$F;@!&amp;VA"</f>
        <v>#VALUE!</v>
      </c>
      <c r="AN110" t="e">
        <f>'All regions'!F3022+"$F;@!&amp;VB"</f>
        <v>#VALUE!</v>
      </c>
      <c r="AO110" t="e">
        <f>'All regions'!G3022+"$F;@!&amp;VC"</f>
        <v>#VALUE!</v>
      </c>
      <c r="AP110" t="e">
        <f>'All regions'!H3022+"$F;@!&amp;VD"</f>
        <v>#VALUE!</v>
      </c>
      <c r="AQ110" t="e">
        <f>'All regions'!I3022+"$F;@!&amp;VE"</f>
        <v>#VALUE!</v>
      </c>
      <c r="AR110" t="e">
        <f>'All regions'!A3023+"$F;@!&amp;VF"</f>
        <v>#VALUE!</v>
      </c>
      <c r="AS110" t="e">
        <f>'All regions'!B3023+"$F;@!&amp;VG"</f>
        <v>#VALUE!</v>
      </c>
      <c r="AT110" t="e">
        <f>'All regions'!C3023+"$F;@!&amp;VH"</f>
        <v>#VALUE!</v>
      </c>
      <c r="AU110" t="e">
        <f>'All regions'!D3023+"$F;@!&amp;VI"</f>
        <v>#VALUE!</v>
      </c>
      <c r="AV110" t="e">
        <f>'All regions'!E3023+"$F;@!&amp;VJ"</f>
        <v>#VALUE!</v>
      </c>
      <c r="AW110" t="e">
        <f>'All regions'!F3023+"$F;@!&amp;VK"</f>
        <v>#VALUE!</v>
      </c>
      <c r="AX110" t="e">
        <f>'All regions'!G3023+"$F;@!&amp;VL"</f>
        <v>#VALUE!</v>
      </c>
      <c r="AY110" t="e">
        <f>'All regions'!H3023+"$F;@!&amp;VM"</f>
        <v>#VALUE!</v>
      </c>
      <c r="AZ110" t="e">
        <f>'All regions'!I3023+"$F;@!&amp;VN"</f>
        <v>#VALUE!</v>
      </c>
      <c r="BA110" t="e">
        <f>'All regions'!A3024+"$F;@!&amp;VO"</f>
        <v>#VALUE!</v>
      </c>
      <c r="BB110" t="e">
        <f>'All regions'!B3024+"$F;@!&amp;VP"</f>
        <v>#VALUE!</v>
      </c>
      <c r="BC110" t="e">
        <f>'All regions'!C3024+"$F;@!&amp;VQ"</f>
        <v>#VALUE!</v>
      </c>
      <c r="BD110" t="e">
        <f>'All regions'!D3024+"$F;@!&amp;VR"</f>
        <v>#VALUE!</v>
      </c>
      <c r="BE110" t="e">
        <f>'All regions'!E3024+"$F;@!&amp;VS"</f>
        <v>#VALUE!</v>
      </c>
      <c r="BF110" t="e">
        <f>'All regions'!F3024+"$F;@!&amp;VT"</f>
        <v>#VALUE!</v>
      </c>
      <c r="BG110" t="e">
        <f>'All regions'!G3024+"$F;@!&amp;VU"</f>
        <v>#VALUE!</v>
      </c>
      <c r="BH110" t="e">
        <f>'All regions'!H3024+"$F;@!&amp;VV"</f>
        <v>#VALUE!</v>
      </c>
      <c r="BI110" t="e">
        <f>'All regions'!I3024+"$F;@!&amp;VW"</f>
        <v>#VALUE!</v>
      </c>
      <c r="BJ110" t="e">
        <f>'All regions'!A3025+"$F;@!&amp;VX"</f>
        <v>#VALUE!</v>
      </c>
      <c r="BK110" t="e">
        <f>'All regions'!B3025+"$F;@!&amp;VY"</f>
        <v>#VALUE!</v>
      </c>
      <c r="BL110" t="e">
        <f>'All regions'!C3025+"$F;@!&amp;VZ"</f>
        <v>#VALUE!</v>
      </c>
      <c r="BM110" t="e">
        <f>'All regions'!D3025+"$F;@!&amp;V["</f>
        <v>#VALUE!</v>
      </c>
      <c r="BN110" t="e">
        <f>'All regions'!E3025+"$F;@!&amp;V\"</f>
        <v>#VALUE!</v>
      </c>
      <c r="BO110" t="e">
        <f>'All regions'!F3025+"$F;@!&amp;V]"</f>
        <v>#VALUE!</v>
      </c>
      <c r="BP110" t="e">
        <f>'All regions'!G3025+"$F;@!&amp;V^"</f>
        <v>#VALUE!</v>
      </c>
      <c r="BQ110" t="e">
        <f>'All regions'!H3025+"$F;@!&amp;V_"</f>
        <v>#VALUE!</v>
      </c>
      <c r="BR110" t="e">
        <f>'All regions'!I3025+"$F;@!&amp;V`"</f>
        <v>#VALUE!</v>
      </c>
      <c r="BS110" t="e">
        <f>'All regions'!A3026+"$F;@!&amp;Va"</f>
        <v>#VALUE!</v>
      </c>
      <c r="BT110" t="e">
        <f>'All regions'!B3026+"$F;@!&amp;Vb"</f>
        <v>#VALUE!</v>
      </c>
      <c r="BU110" t="e">
        <f>'All regions'!C3026+"$F;@!&amp;Vc"</f>
        <v>#VALUE!</v>
      </c>
      <c r="BV110" t="e">
        <f>'All regions'!D3026+"$F;@!&amp;Vd"</f>
        <v>#VALUE!</v>
      </c>
      <c r="BW110" t="e">
        <f>'All regions'!E3026+"$F;@!&amp;Ve"</f>
        <v>#VALUE!</v>
      </c>
      <c r="BX110" t="e">
        <f>'All regions'!F3026+"$F;@!&amp;Vf"</f>
        <v>#VALUE!</v>
      </c>
      <c r="BY110" t="e">
        <f>'All regions'!G3026+"$F;@!&amp;Vg"</f>
        <v>#VALUE!</v>
      </c>
      <c r="BZ110" t="e">
        <f>'All regions'!H3026+"$F;@!&amp;Vh"</f>
        <v>#VALUE!</v>
      </c>
      <c r="CA110" t="e">
        <f>'All regions'!I3026+"$F;@!&amp;Vi"</f>
        <v>#VALUE!</v>
      </c>
      <c r="CB110" t="e">
        <f>'All regions'!A3027+"$F;@!&amp;Vj"</f>
        <v>#VALUE!</v>
      </c>
      <c r="CC110" t="e">
        <f>'All regions'!B3027+"$F;@!&amp;Vk"</f>
        <v>#VALUE!</v>
      </c>
      <c r="CD110" t="e">
        <f>'All regions'!C3027+"$F;@!&amp;Vl"</f>
        <v>#VALUE!</v>
      </c>
      <c r="CE110" t="e">
        <f>'All regions'!D3027+"$F;@!&amp;Vm"</f>
        <v>#VALUE!</v>
      </c>
      <c r="CF110" t="e">
        <f>'All regions'!E3027+"$F;@!&amp;Vn"</f>
        <v>#VALUE!</v>
      </c>
      <c r="CG110" t="e">
        <f>'All regions'!F3027+"$F;@!&amp;Vo"</f>
        <v>#VALUE!</v>
      </c>
      <c r="CH110" t="e">
        <f>'All regions'!G3027+"$F;@!&amp;Vp"</f>
        <v>#VALUE!</v>
      </c>
      <c r="CI110" t="e">
        <f>'All regions'!H3027+"$F;@!&amp;Vq"</f>
        <v>#VALUE!</v>
      </c>
      <c r="CJ110" t="e">
        <f>'All regions'!I3027+"$F;@!&amp;Vr"</f>
        <v>#VALUE!</v>
      </c>
      <c r="CK110" t="e">
        <f>'All regions'!A3028+"$F;@!&amp;Vs"</f>
        <v>#VALUE!</v>
      </c>
      <c r="CL110" t="e">
        <f>'All regions'!B3028+"$F;@!&amp;Vt"</f>
        <v>#VALUE!</v>
      </c>
      <c r="CM110" t="e">
        <f>'All regions'!C3028+"$F;@!&amp;Vu"</f>
        <v>#VALUE!</v>
      </c>
      <c r="CN110" t="e">
        <f>'All regions'!D3028+"$F;@!&amp;Vv"</f>
        <v>#VALUE!</v>
      </c>
      <c r="CO110" t="e">
        <f>'All regions'!E3028+"$F;@!&amp;Vw"</f>
        <v>#VALUE!</v>
      </c>
      <c r="CP110" t="e">
        <f>'All regions'!F3028+"$F;@!&amp;Vx"</f>
        <v>#VALUE!</v>
      </c>
      <c r="CQ110" t="e">
        <f>'All regions'!G3028+"$F;@!&amp;Vy"</f>
        <v>#VALUE!</v>
      </c>
      <c r="CR110" t="e">
        <f>'All regions'!H3028+"$F;@!&amp;Vz"</f>
        <v>#VALUE!</v>
      </c>
      <c r="CS110" t="e">
        <f>'All regions'!I3028+"$F;@!&amp;V{"</f>
        <v>#VALUE!</v>
      </c>
      <c r="CT110" t="e">
        <f>'All regions'!A3029+"$F;@!&amp;V|"</f>
        <v>#VALUE!</v>
      </c>
      <c r="CU110" t="e">
        <f>'All regions'!B3029+"$F;@!&amp;V}"</f>
        <v>#VALUE!</v>
      </c>
      <c r="CV110" t="e">
        <f>'All regions'!C3029+"$F;@!&amp;V~"</f>
        <v>#VALUE!</v>
      </c>
      <c r="CW110" t="e">
        <f>'All regions'!D3029+"$F;@!&amp;W#"</f>
        <v>#VALUE!</v>
      </c>
      <c r="CX110" t="e">
        <f>'All regions'!E3029+"$F;@!&amp;W$"</f>
        <v>#VALUE!</v>
      </c>
      <c r="CY110" t="e">
        <f>'All regions'!F3029+"$F;@!&amp;W%"</f>
        <v>#VALUE!</v>
      </c>
      <c r="CZ110" t="e">
        <f>'All regions'!G3029+"$F;@!&amp;W&amp;"</f>
        <v>#VALUE!</v>
      </c>
      <c r="DA110" t="e">
        <f>'All regions'!H3029+"$F;@!&amp;W'"</f>
        <v>#VALUE!</v>
      </c>
      <c r="DB110" t="e">
        <f>'All regions'!I3029+"$F;@!&amp;W("</f>
        <v>#VALUE!</v>
      </c>
      <c r="DC110" t="e">
        <f>'All regions'!A3030+"$F;@!&amp;W)"</f>
        <v>#VALUE!</v>
      </c>
      <c r="DD110" t="e">
        <f>'All regions'!B3030+"$F;@!&amp;W."</f>
        <v>#VALUE!</v>
      </c>
      <c r="DE110" t="e">
        <f>'All regions'!C3030+"$F;@!&amp;W/"</f>
        <v>#VALUE!</v>
      </c>
      <c r="DF110" t="e">
        <f>'All regions'!D3030+"$F;@!&amp;W0"</f>
        <v>#VALUE!</v>
      </c>
      <c r="DG110" t="e">
        <f>'All regions'!E3030+"$F;@!&amp;W1"</f>
        <v>#VALUE!</v>
      </c>
      <c r="DH110" t="e">
        <f>'All regions'!F3030+"$F;@!&amp;W2"</f>
        <v>#VALUE!</v>
      </c>
      <c r="DI110" t="e">
        <f>'All regions'!G3030+"$F;@!&amp;W3"</f>
        <v>#VALUE!</v>
      </c>
      <c r="DJ110" t="e">
        <f>'All regions'!H3030+"$F;@!&amp;W4"</f>
        <v>#VALUE!</v>
      </c>
      <c r="DK110" t="e">
        <f>'All regions'!I3030+"$F;@!&amp;W5"</f>
        <v>#VALUE!</v>
      </c>
      <c r="DL110" t="e">
        <f>'All regions'!A3031+"$F;@!&amp;W6"</f>
        <v>#VALUE!</v>
      </c>
      <c r="DM110" t="e">
        <f>'All regions'!B3031+"$F;@!&amp;W7"</f>
        <v>#VALUE!</v>
      </c>
      <c r="DN110" t="e">
        <f>'All regions'!C3031+"$F;@!&amp;W8"</f>
        <v>#VALUE!</v>
      </c>
      <c r="DO110" t="e">
        <f>'All regions'!D3031+"$F;@!&amp;W9"</f>
        <v>#VALUE!</v>
      </c>
      <c r="DP110" t="e">
        <f>'All regions'!E3031+"$F;@!&amp;W:"</f>
        <v>#VALUE!</v>
      </c>
      <c r="DQ110" t="e">
        <f>'All regions'!F3031+"$F;@!&amp;W;"</f>
        <v>#VALUE!</v>
      </c>
      <c r="DR110" t="e">
        <f>'All regions'!G3031+"$F;@!&amp;W&lt;"</f>
        <v>#VALUE!</v>
      </c>
      <c r="DS110" t="e">
        <f>'All regions'!H3031+"$F;@!&amp;W="</f>
        <v>#VALUE!</v>
      </c>
      <c r="DT110" t="e">
        <f>'All regions'!I3031+"$F;@!&amp;W&gt;"</f>
        <v>#VALUE!</v>
      </c>
      <c r="DU110" t="e">
        <f>'All regions'!A3032+"$F;@!&amp;W?"</f>
        <v>#VALUE!</v>
      </c>
      <c r="DV110" t="e">
        <f>'All regions'!B3032+"$F;@!&amp;W@"</f>
        <v>#VALUE!</v>
      </c>
      <c r="DW110" t="e">
        <f>'All regions'!C3032+"$F;@!&amp;WA"</f>
        <v>#VALUE!</v>
      </c>
      <c r="DX110" t="e">
        <f>'All regions'!D3032+"$F;@!&amp;WB"</f>
        <v>#VALUE!</v>
      </c>
      <c r="DY110" t="e">
        <f>'All regions'!E3032+"$F;@!&amp;WC"</f>
        <v>#VALUE!</v>
      </c>
      <c r="DZ110" t="e">
        <f>'All regions'!F3032+"$F;@!&amp;WD"</f>
        <v>#VALUE!</v>
      </c>
      <c r="EA110" t="e">
        <f>'All regions'!G3032+"$F;@!&amp;WE"</f>
        <v>#VALUE!</v>
      </c>
      <c r="EB110" t="e">
        <f>'All regions'!H3032+"$F;@!&amp;WF"</f>
        <v>#VALUE!</v>
      </c>
      <c r="EC110" t="e">
        <f>'All regions'!I3032+"$F;@!&amp;WG"</f>
        <v>#VALUE!</v>
      </c>
      <c r="ED110" t="e">
        <f>'All regions'!A3033+"$F;@!&amp;WH"</f>
        <v>#VALUE!</v>
      </c>
      <c r="EE110" t="e">
        <f>'All regions'!B3033+"$F;@!&amp;WI"</f>
        <v>#VALUE!</v>
      </c>
      <c r="EF110" t="e">
        <f>'All regions'!C3033+"$F;@!&amp;WJ"</f>
        <v>#VALUE!</v>
      </c>
      <c r="EG110" t="e">
        <f>'All regions'!D3033+"$F;@!&amp;WK"</f>
        <v>#VALUE!</v>
      </c>
      <c r="EH110" t="e">
        <f>'All regions'!E3033+"$F;@!&amp;WL"</f>
        <v>#VALUE!</v>
      </c>
      <c r="EI110" t="e">
        <f>'All regions'!F3033+"$F;@!&amp;WM"</f>
        <v>#VALUE!</v>
      </c>
      <c r="EJ110" t="e">
        <f>'All regions'!G3033+"$F;@!&amp;WN"</f>
        <v>#VALUE!</v>
      </c>
      <c r="EK110" t="e">
        <f>'All regions'!H3033+"$F;@!&amp;WO"</f>
        <v>#VALUE!</v>
      </c>
      <c r="EL110" t="e">
        <f>'All regions'!I3033+"$F;@!&amp;WP"</f>
        <v>#VALUE!</v>
      </c>
      <c r="EM110" t="e">
        <f>'All regions'!A3034+"$F;@!&amp;WQ"</f>
        <v>#VALUE!</v>
      </c>
      <c r="EN110" t="e">
        <f>'All regions'!B3034+"$F;@!&amp;WR"</f>
        <v>#VALUE!</v>
      </c>
      <c r="EO110" t="e">
        <f>'All regions'!C3034+"$F;@!&amp;WS"</f>
        <v>#VALUE!</v>
      </c>
      <c r="EP110" t="e">
        <f>'All regions'!D3034+"$F;@!&amp;WT"</f>
        <v>#VALUE!</v>
      </c>
      <c r="EQ110" t="e">
        <f>'All regions'!E3034+"$F;@!&amp;WU"</f>
        <v>#VALUE!</v>
      </c>
      <c r="ER110" t="e">
        <f>'All regions'!F3034+"$F;@!&amp;WV"</f>
        <v>#VALUE!</v>
      </c>
      <c r="ES110" t="e">
        <f>'All regions'!G3034+"$F;@!&amp;WW"</f>
        <v>#VALUE!</v>
      </c>
      <c r="ET110" t="e">
        <f>'All regions'!H3034+"$F;@!&amp;WX"</f>
        <v>#VALUE!</v>
      </c>
      <c r="EU110" t="e">
        <f>'All regions'!I3034+"$F;@!&amp;WY"</f>
        <v>#VALUE!</v>
      </c>
      <c r="EV110" t="e">
        <f>'All regions'!A3035+"$F;@!&amp;WZ"</f>
        <v>#VALUE!</v>
      </c>
      <c r="EW110" t="e">
        <f>'All regions'!B3035+"$F;@!&amp;W["</f>
        <v>#VALUE!</v>
      </c>
      <c r="EX110" t="e">
        <f>'All regions'!C3035+"$F;@!&amp;W\"</f>
        <v>#VALUE!</v>
      </c>
      <c r="EY110" t="e">
        <f>'All regions'!D3035+"$F;@!&amp;W]"</f>
        <v>#VALUE!</v>
      </c>
      <c r="EZ110" t="e">
        <f>'All regions'!E3035+"$F;@!&amp;W^"</f>
        <v>#VALUE!</v>
      </c>
      <c r="FA110" t="e">
        <f>'All regions'!F3035+"$F;@!&amp;W_"</f>
        <v>#VALUE!</v>
      </c>
      <c r="FB110" t="e">
        <f>'All regions'!G3035+"$F;@!&amp;W`"</f>
        <v>#VALUE!</v>
      </c>
      <c r="FC110" t="e">
        <f>'All regions'!H3035+"$F;@!&amp;Wa"</f>
        <v>#VALUE!</v>
      </c>
      <c r="FD110" t="e">
        <f>'All regions'!I3035+"$F;@!&amp;Wb"</f>
        <v>#VALUE!</v>
      </c>
      <c r="FE110" t="e">
        <f>'All regions'!A3036+"$F;@!&amp;Wc"</f>
        <v>#VALUE!</v>
      </c>
      <c r="FF110" t="e">
        <f>'All regions'!B3036+"$F;@!&amp;Wd"</f>
        <v>#VALUE!</v>
      </c>
      <c r="FG110" t="e">
        <f>'All regions'!C3036+"$F;@!&amp;We"</f>
        <v>#VALUE!</v>
      </c>
      <c r="FH110" t="e">
        <f>'All regions'!D3036+"$F;@!&amp;Wf"</f>
        <v>#VALUE!</v>
      </c>
      <c r="FI110" t="e">
        <f>'All regions'!E3036+"$F;@!&amp;Wg"</f>
        <v>#VALUE!</v>
      </c>
      <c r="FJ110" t="e">
        <f>'All regions'!F3036+"$F;@!&amp;Wh"</f>
        <v>#VALUE!</v>
      </c>
      <c r="FK110" t="e">
        <f>'All regions'!G3036+"$F;@!&amp;Wi"</f>
        <v>#VALUE!</v>
      </c>
      <c r="FL110" t="e">
        <f>'All regions'!H3036+"$F;@!&amp;Wj"</f>
        <v>#VALUE!</v>
      </c>
      <c r="FM110" t="e">
        <f>'All regions'!I3036+"$F;@!&amp;Wk"</f>
        <v>#VALUE!</v>
      </c>
      <c r="FN110" t="e">
        <f>'All regions'!A3037+"$F;@!&amp;Wl"</f>
        <v>#VALUE!</v>
      </c>
      <c r="FO110" t="e">
        <f>'All regions'!B3037+"$F;@!&amp;Wm"</f>
        <v>#VALUE!</v>
      </c>
      <c r="FP110" t="e">
        <f>'All regions'!C3037+"$F;@!&amp;Wn"</f>
        <v>#VALUE!</v>
      </c>
      <c r="FQ110" t="e">
        <f>'All regions'!D3037+"$F;@!&amp;Wo"</f>
        <v>#VALUE!</v>
      </c>
      <c r="FR110" t="e">
        <f>'All regions'!E3037+"$F;@!&amp;Wp"</f>
        <v>#VALUE!</v>
      </c>
      <c r="FS110" t="e">
        <f>'All regions'!F3037+"$F;@!&amp;Wq"</f>
        <v>#VALUE!</v>
      </c>
      <c r="FT110" t="e">
        <f>'All regions'!G3037+"$F;@!&amp;Wr"</f>
        <v>#VALUE!</v>
      </c>
      <c r="FU110" t="e">
        <f>'All regions'!H3037+"$F;@!&amp;Ws"</f>
        <v>#VALUE!</v>
      </c>
      <c r="FV110" t="e">
        <f>'All regions'!I3037+"$F;@!&amp;Wt"</f>
        <v>#VALUE!</v>
      </c>
      <c r="FW110" t="e">
        <f>'All regions'!A3038+"$F;@!&amp;Wu"</f>
        <v>#VALUE!</v>
      </c>
      <c r="FX110" t="e">
        <f>'All regions'!B3038+"$F;@!&amp;Wv"</f>
        <v>#VALUE!</v>
      </c>
      <c r="FY110" t="e">
        <f>'All regions'!C3038+"$F;@!&amp;Ww"</f>
        <v>#VALUE!</v>
      </c>
      <c r="FZ110" t="e">
        <f>'All regions'!D3038+"$F;@!&amp;Wx"</f>
        <v>#VALUE!</v>
      </c>
      <c r="GA110" t="e">
        <f>'All regions'!E3038+"$F;@!&amp;Wy"</f>
        <v>#VALUE!</v>
      </c>
      <c r="GB110" t="e">
        <f>'All regions'!F3038+"$F;@!&amp;Wz"</f>
        <v>#VALUE!</v>
      </c>
      <c r="GC110" t="e">
        <f>'All regions'!G3038+"$F;@!&amp;W{"</f>
        <v>#VALUE!</v>
      </c>
      <c r="GD110" t="e">
        <f>'All regions'!H3038+"$F;@!&amp;W|"</f>
        <v>#VALUE!</v>
      </c>
      <c r="GE110" t="e">
        <f>'All regions'!I3038+"$F;@!&amp;W}"</f>
        <v>#VALUE!</v>
      </c>
      <c r="GF110" t="e">
        <f>'All regions'!A3039+"$F;@!&amp;W~"</f>
        <v>#VALUE!</v>
      </c>
      <c r="GG110" t="e">
        <f>'All regions'!B3039+"$F;@!&amp;X#"</f>
        <v>#VALUE!</v>
      </c>
      <c r="GH110" t="e">
        <f>'All regions'!C3039+"$F;@!&amp;X$"</f>
        <v>#VALUE!</v>
      </c>
      <c r="GI110" t="e">
        <f>'All regions'!D3039+"$F;@!&amp;X%"</f>
        <v>#VALUE!</v>
      </c>
      <c r="GJ110" t="e">
        <f>'All regions'!E3039+"$F;@!&amp;X&amp;"</f>
        <v>#VALUE!</v>
      </c>
      <c r="GK110" t="e">
        <f>'All regions'!F3039+"$F;@!&amp;X'"</f>
        <v>#VALUE!</v>
      </c>
      <c r="GL110" t="e">
        <f>'All regions'!G3039+"$F;@!&amp;X("</f>
        <v>#VALUE!</v>
      </c>
      <c r="GM110" t="e">
        <f>'All regions'!H3039+"$F;@!&amp;X)"</f>
        <v>#VALUE!</v>
      </c>
      <c r="GN110" t="e">
        <f>'All regions'!I3039+"$F;@!&amp;X."</f>
        <v>#VALUE!</v>
      </c>
      <c r="GO110" t="e">
        <f>'All regions'!A3040+"$F;@!&amp;X/"</f>
        <v>#VALUE!</v>
      </c>
      <c r="GP110" t="e">
        <f>'All regions'!B3040+"$F;@!&amp;X0"</f>
        <v>#VALUE!</v>
      </c>
      <c r="GQ110" t="e">
        <f>'All regions'!C3040+"$F;@!&amp;X1"</f>
        <v>#VALUE!</v>
      </c>
      <c r="GR110" t="e">
        <f>'All regions'!D3040+"$F;@!&amp;X2"</f>
        <v>#VALUE!</v>
      </c>
      <c r="GS110" t="e">
        <f>'All regions'!E3040+"$F;@!&amp;X3"</f>
        <v>#VALUE!</v>
      </c>
      <c r="GT110" t="e">
        <f>'All regions'!F3040+"$F;@!&amp;X4"</f>
        <v>#VALUE!</v>
      </c>
      <c r="GU110" t="e">
        <f>'All regions'!G3040+"$F;@!&amp;X5"</f>
        <v>#VALUE!</v>
      </c>
      <c r="GV110" t="e">
        <f>'All regions'!H3040+"$F;@!&amp;X6"</f>
        <v>#VALUE!</v>
      </c>
      <c r="GW110" t="e">
        <f>'All regions'!I3040+"$F;@!&amp;X7"</f>
        <v>#VALUE!</v>
      </c>
      <c r="GX110" t="e">
        <f>'All regions'!A3041+"$F;@!&amp;X8"</f>
        <v>#VALUE!</v>
      </c>
      <c r="GY110" t="e">
        <f>'All regions'!B3041+"$F;@!&amp;X9"</f>
        <v>#VALUE!</v>
      </c>
      <c r="GZ110" t="e">
        <f>'All regions'!C3041+"$F;@!&amp;X:"</f>
        <v>#VALUE!</v>
      </c>
      <c r="HA110" t="e">
        <f>'All regions'!D3041+"$F;@!&amp;X;"</f>
        <v>#VALUE!</v>
      </c>
      <c r="HB110" t="e">
        <f>'All regions'!E3041+"$F;@!&amp;X&lt;"</f>
        <v>#VALUE!</v>
      </c>
      <c r="HC110" t="e">
        <f>'All regions'!F3041+"$F;@!&amp;X="</f>
        <v>#VALUE!</v>
      </c>
      <c r="HD110" t="e">
        <f>'All regions'!G3041+"$F;@!&amp;X&gt;"</f>
        <v>#VALUE!</v>
      </c>
      <c r="HE110" t="e">
        <f>'All regions'!H3041+"$F;@!&amp;X?"</f>
        <v>#VALUE!</v>
      </c>
      <c r="HF110" t="e">
        <f>'All regions'!I3041+"$F;@!&amp;X@"</f>
        <v>#VALUE!</v>
      </c>
      <c r="HG110" t="e">
        <f>'All regions'!A3042+"$F;@!&amp;XA"</f>
        <v>#VALUE!</v>
      </c>
      <c r="HH110" t="e">
        <f>'All regions'!B3042+"$F;@!&amp;XB"</f>
        <v>#VALUE!</v>
      </c>
      <c r="HI110" t="e">
        <f>'All regions'!C3042+"$F;@!&amp;XC"</f>
        <v>#VALUE!</v>
      </c>
      <c r="HJ110" t="e">
        <f>'All regions'!D3042+"$F;@!&amp;XD"</f>
        <v>#VALUE!</v>
      </c>
      <c r="HK110" t="e">
        <f>'All regions'!E3042+"$F;@!&amp;XE"</f>
        <v>#VALUE!</v>
      </c>
      <c r="HL110" t="e">
        <f>'All regions'!F3042+"$F;@!&amp;XF"</f>
        <v>#VALUE!</v>
      </c>
      <c r="HM110" t="e">
        <f>'All regions'!G3042+"$F;@!&amp;XG"</f>
        <v>#VALUE!</v>
      </c>
      <c r="HN110" t="e">
        <f>'All regions'!H3042+"$F;@!&amp;XH"</f>
        <v>#VALUE!</v>
      </c>
      <c r="HO110" t="e">
        <f>'All regions'!I3042+"$F;@!&amp;XI"</f>
        <v>#VALUE!</v>
      </c>
      <c r="HP110" t="e">
        <f>'All regions'!A3043+"$F;@!&amp;XJ"</f>
        <v>#VALUE!</v>
      </c>
      <c r="HQ110" t="e">
        <f>'All regions'!B3043+"$F;@!&amp;XK"</f>
        <v>#VALUE!</v>
      </c>
      <c r="HR110" t="e">
        <f>'All regions'!C3043+"$F;@!&amp;XL"</f>
        <v>#VALUE!</v>
      </c>
      <c r="HS110" t="e">
        <f>'All regions'!D3043+"$F;@!&amp;XM"</f>
        <v>#VALUE!</v>
      </c>
      <c r="HT110" t="e">
        <f>'All regions'!E3043+"$F;@!&amp;XN"</f>
        <v>#VALUE!</v>
      </c>
      <c r="HU110" t="e">
        <f>'All regions'!F3043+"$F;@!&amp;XO"</f>
        <v>#VALUE!</v>
      </c>
      <c r="HV110" t="e">
        <f>'All regions'!G3043+"$F;@!&amp;XP"</f>
        <v>#VALUE!</v>
      </c>
      <c r="HW110" t="e">
        <f>'All regions'!H3043+"$F;@!&amp;XQ"</f>
        <v>#VALUE!</v>
      </c>
      <c r="HX110" t="e">
        <f>'All regions'!I3043+"$F;@!&amp;XR"</f>
        <v>#VALUE!</v>
      </c>
      <c r="HY110" t="e">
        <f>'All regions'!A3044+"$F;@!&amp;XS"</f>
        <v>#VALUE!</v>
      </c>
      <c r="HZ110" t="e">
        <f>'All regions'!B3044+"$F;@!&amp;XT"</f>
        <v>#VALUE!</v>
      </c>
      <c r="IA110" t="e">
        <f>'All regions'!C3044+"$F;@!&amp;XU"</f>
        <v>#VALUE!</v>
      </c>
      <c r="IB110" t="e">
        <f>'All regions'!D3044+"$F;@!&amp;XV"</f>
        <v>#VALUE!</v>
      </c>
      <c r="IC110" t="e">
        <f>'All regions'!E3044+"$F;@!&amp;XW"</f>
        <v>#VALUE!</v>
      </c>
      <c r="ID110" t="e">
        <f>'All regions'!F3044+"$F;@!&amp;XX"</f>
        <v>#VALUE!</v>
      </c>
      <c r="IE110" t="e">
        <f>'All regions'!G3044+"$F;@!&amp;XY"</f>
        <v>#VALUE!</v>
      </c>
      <c r="IF110" t="e">
        <f>'All regions'!H3044+"$F;@!&amp;XZ"</f>
        <v>#VALUE!</v>
      </c>
      <c r="IG110" t="e">
        <f>'All regions'!I3044+"$F;@!&amp;X["</f>
        <v>#VALUE!</v>
      </c>
      <c r="IH110" t="e">
        <f>'All regions'!A3045+"$F;@!&amp;X\"</f>
        <v>#VALUE!</v>
      </c>
      <c r="II110" t="e">
        <f>'All regions'!B3045+"$F;@!&amp;X]"</f>
        <v>#VALUE!</v>
      </c>
      <c r="IJ110" t="e">
        <f>'All regions'!C3045+"$F;@!&amp;X^"</f>
        <v>#VALUE!</v>
      </c>
      <c r="IK110" t="e">
        <f>'All regions'!D3045+"$F;@!&amp;X_"</f>
        <v>#VALUE!</v>
      </c>
      <c r="IL110" t="e">
        <f>'All regions'!E3045+"$F;@!&amp;X`"</f>
        <v>#VALUE!</v>
      </c>
      <c r="IM110" t="e">
        <f>'All regions'!F3045+"$F;@!&amp;Xa"</f>
        <v>#VALUE!</v>
      </c>
      <c r="IN110" t="e">
        <f>'All regions'!G3045+"$F;@!&amp;Xb"</f>
        <v>#VALUE!</v>
      </c>
      <c r="IO110" t="e">
        <f>'All regions'!H3045+"$F;@!&amp;Xc"</f>
        <v>#VALUE!</v>
      </c>
      <c r="IP110" t="e">
        <f>'All regions'!I3045+"$F;@!&amp;Xd"</f>
        <v>#VALUE!</v>
      </c>
      <c r="IQ110" t="e">
        <f>'All regions'!A3046+"$F;@!&amp;Xe"</f>
        <v>#VALUE!</v>
      </c>
      <c r="IR110" t="e">
        <f>'All regions'!B3046+"$F;@!&amp;Xf"</f>
        <v>#VALUE!</v>
      </c>
      <c r="IS110" t="e">
        <f>'All regions'!C3046+"$F;@!&amp;Xg"</f>
        <v>#VALUE!</v>
      </c>
      <c r="IT110" t="e">
        <f>'All regions'!D3046+"$F;@!&amp;Xh"</f>
        <v>#VALUE!</v>
      </c>
      <c r="IU110" t="e">
        <f>'All regions'!E3046+"$F;@!&amp;Xi"</f>
        <v>#VALUE!</v>
      </c>
      <c r="IV110" t="e">
        <f>'All regions'!F3046+"$F;@!&amp;Xj"</f>
        <v>#VALUE!</v>
      </c>
    </row>
    <row r="111" spans="6:256" x14ac:dyDescent="0.35">
      <c r="F111" t="e">
        <f>'All regions'!G3046+"$F;@!&amp;Xk"</f>
        <v>#VALUE!</v>
      </c>
      <c r="G111" t="e">
        <f>'All regions'!H3046+"$F;@!&amp;Xl"</f>
        <v>#VALUE!</v>
      </c>
      <c r="H111" t="e">
        <f>'All regions'!I3046+"$F;@!&amp;Xm"</f>
        <v>#VALUE!</v>
      </c>
      <c r="I111" t="e">
        <f>'All regions'!A3047+"$F;@!&amp;Xn"</f>
        <v>#VALUE!</v>
      </c>
      <c r="J111" t="e">
        <f>'All regions'!B3047+"$F;@!&amp;Xo"</f>
        <v>#VALUE!</v>
      </c>
      <c r="K111" t="e">
        <f>'All regions'!C3047+"$F;@!&amp;Xp"</f>
        <v>#VALUE!</v>
      </c>
      <c r="L111" t="e">
        <f>'All regions'!D3047+"$F;@!&amp;Xq"</f>
        <v>#VALUE!</v>
      </c>
      <c r="M111" t="e">
        <f>'All regions'!E3047+"$F;@!&amp;Xr"</f>
        <v>#VALUE!</v>
      </c>
      <c r="N111" t="e">
        <f>'All regions'!F3047+"$F;@!&amp;Xs"</f>
        <v>#VALUE!</v>
      </c>
      <c r="O111" t="e">
        <f>'All regions'!G3047+"$F;@!&amp;Xt"</f>
        <v>#VALUE!</v>
      </c>
      <c r="P111" t="e">
        <f>'All regions'!H3047+"$F;@!&amp;Xu"</f>
        <v>#VALUE!</v>
      </c>
      <c r="Q111" t="e">
        <f>'All regions'!I3047+"$F;@!&amp;Xv"</f>
        <v>#VALUE!</v>
      </c>
      <c r="R111" t="e">
        <f>'All regions'!A3048+"$F;@!&amp;Xw"</f>
        <v>#VALUE!</v>
      </c>
      <c r="S111" t="e">
        <f>'All regions'!B3048+"$F;@!&amp;Xx"</f>
        <v>#VALUE!</v>
      </c>
      <c r="T111" t="e">
        <f>'All regions'!C3048+"$F;@!&amp;Xy"</f>
        <v>#VALUE!</v>
      </c>
      <c r="U111" t="e">
        <f>'All regions'!D3048+"$F;@!&amp;Xz"</f>
        <v>#VALUE!</v>
      </c>
      <c r="V111" t="e">
        <f>'All regions'!E3048+"$F;@!&amp;X{"</f>
        <v>#VALUE!</v>
      </c>
      <c r="W111" t="e">
        <f>'All regions'!F3048+"$F;@!&amp;X|"</f>
        <v>#VALUE!</v>
      </c>
      <c r="X111" t="e">
        <f>'All regions'!G3048+"$F;@!&amp;X}"</f>
        <v>#VALUE!</v>
      </c>
      <c r="Y111" t="e">
        <f>'All regions'!H3048+"$F;@!&amp;X~"</f>
        <v>#VALUE!</v>
      </c>
      <c r="Z111" t="e">
        <f>'All regions'!I3048+"$F;@!&amp;Y#"</f>
        <v>#VALUE!</v>
      </c>
      <c r="AA111" t="e">
        <f>'All regions'!A3049+"$F;@!&amp;Y$"</f>
        <v>#VALUE!</v>
      </c>
      <c r="AB111" t="e">
        <f>'All regions'!B3049+"$F;@!&amp;Y%"</f>
        <v>#VALUE!</v>
      </c>
      <c r="AC111" t="e">
        <f>'All regions'!C3049+"$F;@!&amp;Y&amp;"</f>
        <v>#VALUE!</v>
      </c>
      <c r="AD111" t="e">
        <f>'All regions'!D3049+"$F;@!&amp;Y'"</f>
        <v>#VALUE!</v>
      </c>
      <c r="AE111" t="e">
        <f>'All regions'!E3049+"$F;@!&amp;Y("</f>
        <v>#VALUE!</v>
      </c>
      <c r="AF111" t="e">
        <f>'All regions'!F3049+"$F;@!&amp;Y)"</f>
        <v>#VALUE!</v>
      </c>
      <c r="AG111" t="e">
        <f>'All regions'!G3049+"$F;@!&amp;Y."</f>
        <v>#VALUE!</v>
      </c>
      <c r="AH111" t="e">
        <f>'All regions'!H3049+"$F;@!&amp;Y/"</f>
        <v>#VALUE!</v>
      </c>
      <c r="AI111" t="e">
        <f>'All regions'!I3049+"$F;@!&amp;Y0"</f>
        <v>#VALUE!</v>
      </c>
      <c r="AJ111" t="e">
        <f>'All regions'!A3050+"$F;@!&amp;Y1"</f>
        <v>#VALUE!</v>
      </c>
      <c r="AK111" t="e">
        <f>'All regions'!B3050+"$F;@!&amp;Y2"</f>
        <v>#VALUE!</v>
      </c>
      <c r="AL111" t="e">
        <f>'All regions'!C3050+"$F;@!&amp;Y3"</f>
        <v>#VALUE!</v>
      </c>
      <c r="AM111" t="e">
        <f>'All regions'!D3050+"$F;@!&amp;Y4"</f>
        <v>#VALUE!</v>
      </c>
      <c r="AN111" t="e">
        <f>'All regions'!E3050+"$F;@!&amp;Y5"</f>
        <v>#VALUE!</v>
      </c>
      <c r="AO111" t="e">
        <f>'All regions'!F3050+"$F;@!&amp;Y6"</f>
        <v>#VALUE!</v>
      </c>
      <c r="AP111" t="e">
        <f>'All regions'!G3050+"$F;@!&amp;Y7"</f>
        <v>#VALUE!</v>
      </c>
      <c r="AQ111" t="e">
        <f>'All regions'!H3050+"$F;@!&amp;Y8"</f>
        <v>#VALUE!</v>
      </c>
      <c r="AR111" t="e">
        <f>'All regions'!I3050+"$F;@!&amp;Y9"</f>
        <v>#VALUE!</v>
      </c>
      <c r="AS111" t="e">
        <f>'All regions'!A3051+"$F;@!&amp;Y:"</f>
        <v>#VALUE!</v>
      </c>
      <c r="AT111" t="e">
        <f>'All regions'!B3051+"$F;@!&amp;Y;"</f>
        <v>#VALUE!</v>
      </c>
      <c r="AU111" t="e">
        <f>'All regions'!C3051+"$F;@!&amp;Y&lt;"</f>
        <v>#VALUE!</v>
      </c>
      <c r="AV111" t="e">
        <f>'All regions'!D3051+"$F;@!&amp;Y="</f>
        <v>#VALUE!</v>
      </c>
      <c r="AW111" t="e">
        <f>'All regions'!E3051+"$F;@!&amp;Y&gt;"</f>
        <v>#VALUE!</v>
      </c>
      <c r="AX111" t="e">
        <f>'All regions'!F3051+"$F;@!&amp;Y?"</f>
        <v>#VALUE!</v>
      </c>
      <c r="AY111" t="e">
        <f>'All regions'!G3051+"$F;@!&amp;Y@"</f>
        <v>#VALUE!</v>
      </c>
      <c r="AZ111" t="e">
        <f>'All regions'!H3051+"$F;@!&amp;YA"</f>
        <v>#VALUE!</v>
      </c>
      <c r="BA111" t="e">
        <f>'All regions'!I3051+"$F;@!&amp;YB"</f>
        <v>#VALUE!</v>
      </c>
      <c r="BB111" t="e">
        <f>'All regions'!A3052+"$F;@!&amp;YC"</f>
        <v>#VALUE!</v>
      </c>
      <c r="BC111" t="e">
        <f>'All regions'!B3052+"$F;@!&amp;YD"</f>
        <v>#VALUE!</v>
      </c>
      <c r="BD111" t="e">
        <f>'All regions'!C3052+"$F;@!&amp;YE"</f>
        <v>#VALUE!</v>
      </c>
      <c r="BE111" t="e">
        <f>'All regions'!D3052+"$F;@!&amp;YF"</f>
        <v>#VALUE!</v>
      </c>
      <c r="BF111" t="e">
        <f>'All regions'!E3052+"$F;@!&amp;YG"</f>
        <v>#VALUE!</v>
      </c>
      <c r="BG111" t="e">
        <f>'All regions'!F3052+"$F;@!&amp;YH"</f>
        <v>#VALUE!</v>
      </c>
      <c r="BH111" t="e">
        <f>'All regions'!G3052+"$F;@!&amp;YI"</f>
        <v>#VALUE!</v>
      </c>
      <c r="BI111" t="e">
        <f>'All regions'!H3052+"$F;@!&amp;YJ"</f>
        <v>#VALUE!</v>
      </c>
      <c r="BJ111" t="e">
        <f>'All regions'!I3052+"$F;@!&amp;YK"</f>
        <v>#VALUE!</v>
      </c>
      <c r="BK111" t="e">
        <f>'All regions'!A3053+"$F;@!&amp;YL"</f>
        <v>#VALUE!</v>
      </c>
      <c r="BL111" t="e">
        <f>'All regions'!B3053+"$F;@!&amp;YM"</f>
        <v>#VALUE!</v>
      </c>
      <c r="BM111" t="e">
        <f>'All regions'!C3053+"$F;@!&amp;YN"</f>
        <v>#VALUE!</v>
      </c>
      <c r="BN111" t="e">
        <f>'All regions'!D3053+"$F;@!&amp;YO"</f>
        <v>#VALUE!</v>
      </c>
      <c r="BO111" t="e">
        <f>'All regions'!E3053+"$F;@!&amp;YP"</f>
        <v>#VALUE!</v>
      </c>
      <c r="BP111" t="e">
        <f>'All regions'!F3053+"$F;@!&amp;YQ"</f>
        <v>#VALUE!</v>
      </c>
      <c r="BQ111" t="e">
        <f>'All regions'!G3053+"$F;@!&amp;YR"</f>
        <v>#VALUE!</v>
      </c>
      <c r="BR111" t="e">
        <f>'All regions'!H3053+"$F;@!&amp;YS"</f>
        <v>#VALUE!</v>
      </c>
      <c r="BS111" t="e">
        <f>'All regions'!I3053+"$F;@!&amp;YT"</f>
        <v>#VALUE!</v>
      </c>
      <c r="BT111" t="e">
        <f>'All regions'!A3054+"$F;@!&amp;YU"</f>
        <v>#VALUE!</v>
      </c>
      <c r="BU111" t="e">
        <f>'All regions'!B3054+"$F;@!&amp;YV"</f>
        <v>#VALUE!</v>
      </c>
      <c r="BV111" t="e">
        <f>'All regions'!C3054+"$F;@!&amp;YW"</f>
        <v>#VALUE!</v>
      </c>
      <c r="BW111" t="e">
        <f>'All regions'!D3054+"$F;@!&amp;YX"</f>
        <v>#VALUE!</v>
      </c>
      <c r="BX111" t="e">
        <f>'All regions'!E3054+"$F;@!&amp;YY"</f>
        <v>#VALUE!</v>
      </c>
      <c r="BY111" t="e">
        <f>'All regions'!F3054+"$F;@!&amp;YZ"</f>
        <v>#VALUE!</v>
      </c>
      <c r="BZ111" t="e">
        <f>'All regions'!G3054+"$F;@!&amp;Y["</f>
        <v>#VALUE!</v>
      </c>
      <c r="CA111" t="e">
        <f>'All regions'!H3054+"$F;@!&amp;Y\"</f>
        <v>#VALUE!</v>
      </c>
      <c r="CB111" t="e">
        <f>'All regions'!I3054+"$F;@!&amp;Y]"</f>
        <v>#VALUE!</v>
      </c>
      <c r="CC111" t="e">
        <f>'All regions'!A3055+"$F;@!&amp;Y^"</f>
        <v>#VALUE!</v>
      </c>
      <c r="CD111" t="e">
        <f>'All regions'!B3055+"$F;@!&amp;Y_"</f>
        <v>#VALUE!</v>
      </c>
      <c r="CE111" t="e">
        <f>'All regions'!C3055+"$F;@!&amp;Y`"</f>
        <v>#VALUE!</v>
      </c>
      <c r="CF111" t="e">
        <f>'All regions'!D3055+"$F;@!&amp;Ya"</f>
        <v>#VALUE!</v>
      </c>
      <c r="CG111" t="e">
        <f>'All regions'!E3055+"$F;@!&amp;Yb"</f>
        <v>#VALUE!</v>
      </c>
      <c r="CH111" t="e">
        <f>'All regions'!F3055+"$F;@!&amp;Yc"</f>
        <v>#VALUE!</v>
      </c>
      <c r="CI111" t="e">
        <f>'All regions'!G3055+"$F;@!&amp;Yd"</f>
        <v>#VALUE!</v>
      </c>
      <c r="CJ111" t="e">
        <f>'All regions'!H3055+"$F;@!&amp;Ye"</f>
        <v>#VALUE!</v>
      </c>
      <c r="CK111" t="e">
        <f>'All regions'!I3055+"$F;@!&amp;Yf"</f>
        <v>#VALUE!</v>
      </c>
      <c r="CL111" t="e">
        <f>'All regions'!A3056+"$F;@!&amp;Yg"</f>
        <v>#VALUE!</v>
      </c>
      <c r="CM111" t="e">
        <f>'All regions'!B3056+"$F;@!&amp;Yh"</f>
        <v>#VALUE!</v>
      </c>
      <c r="CN111" t="e">
        <f>'All regions'!C3056+"$F;@!&amp;Yi"</f>
        <v>#VALUE!</v>
      </c>
      <c r="CO111" t="e">
        <f>'All regions'!D3056+"$F;@!&amp;Yj"</f>
        <v>#VALUE!</v>
      </c>
      <c r="CP111" t="e">
        <f>'All regions'!E3056+"$F;@!&amp;Yk"</f>
        <v>#VALUE!</v>
      </c>
      <c r="CQ111" t="e">
        <f>'All regions'!F3056+"$F;@!&amp;Yl"</f>
        <v>#VALUE!</v>
      </c>
      <c r="CR111" t="e">
        <f>'All regions'!G3056+"$F;@!&amp;Ym"</f>
        <v>#VALUE!</v>
      </c>
      <c r="CS111" t="e">
        <f>'All regions'!H3056+"$F;@!&amp;Yn"</f>
        <v>#VALUE!</v>
      </c>
      <c r="CT111" t="e">
        <f>'All regions'!I3056+"$F;@!&amp;Yo"</f>
        <v>#VALUE!</v>
      </c>
      <c r="CU111" t="e">
        <f>'All regions'!A3057+"$F;@!&amp;Yp"</f>
        <v>#VALUE!</v>
      </c>
      <c r="CV111" t="e">
        <f>'All regions'!B3057+"$F;@!&amp;Yq"</f>
        <v>#VALUE!</v>
      </c>
      <c r="CW111" t="e">
        <f>'All regions'!C3057+"$F;@!&amp;Yr"</f>
        <v>#VALUE!</v>
      </c>
      <c r="CX111" t="e">
        <f>'All regions'!D3057+"$F;@!&amp;Ys"</f>
        <v>#VALUE!</v>
      </c>
      <c r="CY111" t="e">
        <f>'All regions'!E3057+"$F;@!&amp;Yt"</f>
        <v>#VALUE!</v>
      </c>
      <c r="CZ111" t="e">
        <f>'All regions'!F3057+"$F;@!&amp;Yu"</f>
        <v>#VALUE!</v>
      </c>
      <c r="DA111" t="e">
        <f>'All regions'!G3057+"$F;@!&amp;Yv"</f>
        <v>#VALUE!</v>
      </c>
      <c r="DB111" t="e">
        <f>'All regions'!H3057+"$F;@!&amp;Yw"</f>
        <v>#VALUE!</v>
      </c>
      <c r="DC111" t="e">
        <f>'All regions'!I3057+"$F;@!&amp;Yx"</f>
        <v>#VALUE!</v>
      </c>
      <c r="DD111" t="e">
        <f>'All regions'!A3058+"$F;@!&amp;Yy"</f>
        <v>#VALUE!</v>
      </c>
      <c r="DE111" t="e">
        <f>'All regions'!B3058+"$F;@!&amp;Yz"</f>
        <v>#VALUE!</v>
      </c>
      <c r="DF111" t="e">
        <f>'All regions'!C3058+"$F;@!&amp;Y{"</f>
        <v>#VALUE!</v>
      </c>
      <c r="DG111" t="e">
        <f>'All regions'!D3058+"$F;@!&amp;Y|"</f>
        <v>#VALUE!</v>
      </c>
      <c r="DH111" t="e">
        <f>'All regions'!E3058+"$F;@!&amp;Y}"</f>
        <v>#VALUE!</v>
      </c>
      <c r="DI111" t="e">
        <f>'All regions'!F3058+"$F;@!&amp;Y~"</f>
        <v>#VALUE!</v>
      </c>
      <c r="DJ111" t="e">
        <f>'All regions'!G3058+"$F;@!&amp;Z#"</f>
        <v>#VALUE!</v>
      </c>
      <c r="DK111" t="e">
        <f>'All regions'!H3058+"$F;@!&amp;Z$"</f>
        <v>#VALUE!</v>
      </c>
      <c r="DL111" t="e">
        <f>'All regions'!I3058+"$F;@!&amp;Z%"</f>
        <v>#VALUE!</v>
      </c>
      <c r="DM111" t="e">
        <f>'All regions'!A3059+"$F;@!&amp;Z&amp;"</f>
        <v>#VALUE!</v>
      </c>
      <c r="DN111" t="e">
        <f>'All regions'!B3059+"$F;@!&amp;Z'"</f>
        <v>#VALUE!</v>
      </c>
      <c r="DO111" t="e">
        <f>'All regions'!C3059+"$F;@!&amp;Z("</f>
        <v>#VALUE!</v>
      </c>
      <c r="DP111" t="e">
        <f>'All regions'!D3059+"$F;@!&amp;Z)"</f>
        <v>#VALUE!</v>
      </c>
      <c r="DQ111" t="e">
        <f>'All regions'!E3059+"$F;@!&amp;Z."</f>
        <v>#VALUE!</v>
      </c>
      <c r="DR111" t="e">
        <f>'All regions'!F3059+"$F;@!&amp;Z/"</f>
        <v>#VALUE!</v>
      </c>
      <c r="DS111" t="e">
        <f>'All regions'!G3059+"$F;@!&amp;Z0"</f>
        <v>#VALUE!</v>
      </c>
      <c r="DT111" t="e">
        <f>'All regions'!H3059+"$F;@!&amp;Z1"</f>
        <v>#VALUE!</v>
      </c>
      <c r="DU111" t="e">
        <f>'All regions'!I3059+"$F;@!&amp;Z2"</f>
        <v>#VALUE!</v>
      </c>
      <c r="DV111" t="e">
        <f>'All regions'!A3060+"$F;@!&amp;Z3"</f>
        <v>#VALUE!</v>
      </c>
      <c r="DW111" t="e">
        <f>'All regions'!B3060+"$F;@!&amp;Z4"</f>
        <v>#VALUE!</v>
      </c>
      <c r="DX111" t="e">
        <f>'All regions'!C3060+"$F;@!&amp;Z5"</f>
        <v>#VALUE!</v>
      </c>
      <c r="DY111" t="e">
        <f>'All regions'!D3060+"$F;@!&amp;Z6"</f>
        <v>#VALUE!</v>
      </c>
      <c r="DZ111" t="e">
        <f>'All regions'!E3060+"$F;@!&amp;Z7"</f>
        <v>#VALUE!</v>
      </c>
      <c r="EA111" t="e">
        <f>'All regions'!F3060+"$F;@!&amp;Z8"</f>
        <v>#VALUE!</v>
      </c>
      <c r="EB111" t="e">
        <f>'All regions'!G3060+"$F;@!&amp;Z9"</f>
        <v>#VALUE!</v>
      </c>
      <c r="EC111" t="e">
        <f>'All regions'!H3060+"$F;@!&amp;Z:"</f>
        <v>#VALUE!</v>
      </c>
      <c r="ED111" t="e">
        <f>'All regions'!I3060+"$F;@!&amp;Z;"</f>
        <v>#VALUE!</v>
      </c>
      <c r="EE111" t="e">
        <f>'All regions'!A3061+"$F;@!&amp;Z&lt;"</f>
        <v>#VALUE!</v>
      </c>
      <c r="EF111" t="e">
        <f>'All regions'!B3061+"$F;@!&amp;Z="</f>
        <v>#VALUE!</v>
      </c>
      <c r="EG111" t="e">
        <f>'All regions'!C3061+"$F;@!&amp;Z&gt;"</f>
        <v>#VALUE!</v>
      </c>
      <c r="EH111" t="e">
        <f>'All regions'!D3061+"$F;@!&amp;Z?"</f>
        <v>#VALUE!</v>
      </c>
      <c r="EI111" t="e">
        <f>'All regions'!E3061+"$F;@!&amp;Z@"</f>
        <v>#VALUE!</v>
      </c>
      <c r="EJ111" t="e">
        <f>'All regions'!F3061+"$F;@!&amp;ZA"</f>
        <v>#VALUE!</v>
      </c>
      <c r="EK111" t="e">
        <f>'All regions'!G3061+"$F;@!&amp;ZB"</f>
        <v>#VALUE!</v>
      </c>
      <c r="EL111" t="e">
        <f>'All regions'!H3061+"$F;@!&amp;ZC"</f>
        <v>#VALUE!</v>
      </c>
      <c r="EM111" t="e">
        <f>'All regions'!I3061+"$F;@!&amp;ZD"</f>
        <v>#VALUE!</v>
      </c>
      <c r="EN111" t="e">
        <f>'All regions'!A3062+"$F;@!&amp;ZE"</f>
        <v>#VALUE!</v>
      </c>
      <c r="EO111" t="e">
        <f>'All regions'!B3062+"$F;@!&amp;ZF"</f>
        <v>#VALUE!</v>
      </c>
      <c r="EP111" t="e">
        <f>'All regions'!C3062+"$F;@!&amp;ZG"</f>
        <v>#VALUE!</v>
      </c>
      <c r="EQ111" t="e">
        <f>'All regions'!D3062+"$F;@!&amp;ZH"</f>
        <v>#VALUE!</v>
      </c>
      <c r="ER111" t="e">
        <f>'All regions'!E3062+"$F;@!&amp;ZI"</f>
        <v>#VALUE!</v>
      </c>
      <c r="ES111" t="e">
        <f>'All regions'!F3062+"$F;@!&amp;ZJ"</f>
        <v>#VALUE!</v>
      </c>
      <c r="ET111" t="e">
        <f>'All regions'!G3062+"$F;@!&amp;ZK"</f>
        <v>#VALUE!</v>
      </c>
      <c r="EU111" t="e">
        <f>'All regions'!H3062+"$F;@!&amp;ZL"</f>
        <v>#VALUE!</v>
      </c>
      <c r="EV111" t="e">
        <f>'All regions'!I3062+"$F;@!&amp;ZM"</f>
        <v>#VALUE!</v>
      </c>
      <c r="EW111" t="e">
        <f>'All regions'!A3063+"$F;@!&amp;ZN"</f>
        <v>#VALUE!</v>
      </c>
      <c r="EX111" t="e">
        <f>'All regions'!B3063+"$F;@!&amp;ZO"</f>
        <v>#VALUE!</v>
      </c>
      <c r="EY111" t="e">
        <f>'All regions'!C3063+"$F;@!&amp;ZP"</f>
        <v>#VALUE!</v>
      </c>
      <c r="EZ111" t="e">
        <f>'All regions'!D3063+"$F;@!&amp;ZQ"</f>
        <v>#VALUE!</v>
      </c>
      <c r="FA111" t="e">
        <f>'All regions'!E3063+"$F;@!&amp;ZR"</f>
        <v>#VALUE!</v>
      </c>
      <c r="FB111" t="e">
        <f>'All regions'!F3063+"$F;@!&amp;ZS"</f>
        <v>#VALUE!</v>
      </c>
      <c r="FC111" t="e">
        <f>'All regions'!G3063+"$F;@!&amp;ZT"</f>
        <v>#VALUE!</v>
      </c>
      <c r="FD111" t="e">
        <f>'All regions'!H3063+"$F;@!&amp;ZU"</f>
        <v>#VALUE!</v>
      </c>
      <c r="FE111" t="e">
        <f>'All regions'!I3063+"$F;@!&amp;ZV"</f>
        <v>#VALUE!</v>
      </c>
      <c r="FF111" t="e">
        <f>'All regions'!A3064+"$F;@!&amp;ZW"</f>
        <v>#VALUE!</v>
      </c>
      <c r="FG111" t="e">
        <f>'All regions'!B3064+"$F;@!&amp;ZX"</f>
        <v>#VALUE!</v>
      </c>
      <c r="FH111" t="e">
        <f>'All regions'!C3064+"$F;@!&amp;ZY"</f>
        <v>#VALUE!</v>
      </c>
      <c r="FI111" t="e">
        <f>'All regions'!D3064+"$F;@!&amp;ZZ"</f>
        <v>#VALUE!</v>
      </c>
      <c r="FJ111" t="e">
        <f>'All regions'!E3064+"$F;@!&amp;Z["</f>
        <v>#VALUE!</v>
      </c>
      <c r="FK111" t="e">
        <f>'All regions'!F3064+"$F;@!&amp;Z\"</f>
        <v>#VALUE!</v>
      </c>
      <c r="FL111" t="e">
        <f>'All regions'!G3064+"$F;@!&amp;Z]"</f>
        <v>#VALUE!</v>
      </c>
      <c r="FM111" t="e">
        <f>'All regions'!H3064+"$F;@!&amp;Z^"</f>
        <v>#VALUE!</v>
      </c>
      <c r="FN111" t="e">
        <f>'All regions'!I3064+"$F;@!&amp;Z_"</f>
        <v>#VALUE!</v>
      </c>
      <c r="FO111" t="e">
        <f>'All regions'!A3065+"$F;@!&amp;Z`"</f>
        <v>#VALUE!</v>
      </c>
      <c r="FP111" t="e">
        <f>'All regions'!B3065+"$F;@!&amp;Za"</f>
        <v>#VALUE!</v>
      </c>
      <c r="FQ111" t="e">
        <f>'All regions'!C3065+"$F;@!&amp;Zb"</f>
        <v>#VALUE!</v>
      </c>
      <c r="FR111" t="e">
        <f>'All regions'!D3065+"$F;@!&amp;Zc"</f>
        <v>#VALUE!</v>
      </c>
      <c r="FS111" t="e">
        <f>'All regions'!E3065+"$F;@!&amp;Zd"</f>
        <v>#VALUE!</v>
      </c>
      <c r="FT111" t="e">
        <f>'All regions'!F3065+"$F;@!&amp;Ze"</f>
        <v>#VALUE!</v>
      </c>
      <c r="FU111" t="e">
        <f>'All regions'!G3065+"$F;@!&amp;Zf"</f>
        <v>#VALUE!</v>
      </c>
      <c r="FV111" t="e">
        <f>'All regions'!H3065+"$F;@!&amp;Zg"</f>
        <v>#VALUE!</v>
      </c>
      <c r="FW111" t="e">
        <f>'All regions'!I3065+"$F;@!&amp;Zh"</f>
        <v>#VALUE!</v>
      </c>
      <c r="FX111" t="e">
        <f>'All regions'!A3066+"$F;@!&amp;Zi"</f>
        <v>#VALUE!</v>
      </c>
      <c r="FY111" t="e">
        <f>'All regions'!B3066+"$F;@!&amp;Zj"</f>
        <v>#VALUE!</v>
      </c>
      <c r="FZ111" t="e">
        <f>'All regions'!C3066+"$F;@!&amp;Zk"</f>
        <v>#VALUE!</v>
      </c>
      <c r="GA111" t="e">
        <f>'All regions'!D3066+"$F;@!&amp;Zl"</f>
        <v>#VALUE!</v>
      </c>
      <c r="GB111" t="e">
        <f>'All regions'!E3066+"$F;@!&amp;Zm"</f>
        <v>#VALUE!</v>
      </c>
      <c r="GC111" t="e">
        <f>'All regions'!F3066+"$F;@!&amp;Zn"</f>
        <v>#VALUE!</v>
      </c>
      <c r="GD111" t="e">
        <f>'All regions'!G3066+"$F;@!&amp;Zo"</f>
        <v>#VALUE!</v>
      </c>
      <c r="GE111" t="e">
        <f>'All regions'!H3066+"$F;@!&amp;Zp"</f>
        <v>#VALUE!</v>
      </c>
      <c r="GF111" t="e">
        <f>'All regions'!I3066+"$F;@!&amp;Zq"</f>
        <v>#VALUE!</v>
      </c>
      <c r="GG111" t="e">
        <f>'All regions'!A3067+"$F;@!&amp;Zr"</f>
        <v>#VALUE!</v>
      </c>
      <c r="GH111" t="e">
        <f>'All regions'!B3067+"$F;@!&amp;Zs"</f>
        <v>#VALUE!</v>
      </c>
      <c r="GI111" t="e">
        <f>'All regions'!C3067+"$F;@!&amp;Zt"</f>
        <v>#VALUE!</v>
      </c>
      <c r="GJ111" t="e">
        <f>'All regions'!D3067+"$F;@!&amp;Zu"</f>
        <v>#VALUE!</v>
      </c>
      <c r="GK111" t="e">
        <f>'All regions'!E3067+"$F;@!&amp;Zv"</f>
        <v>#VALUE!</v>
      </c>
      <c r="GL111" t="e">
        <f>'All regions'!F3067+"$F;@!&amp;Zw"</f>
        <v>#VALUE!</v>
      </c>
      <c r="GM111" t="e">
        <f>'All regions'!G3067+"$F;@!&amp;Zx"</f>
        <v>#VALUE!</v>
      </c>
      <c r="GN111" t="e">
        <f>'All regions'!H3067+"$F;@!&amp;Zy"</f>
        <v>#VALUE!</v>
      </c>
      <c r="GO111" t="e">
        <f>'All regions'!I3067+"$F;@!&amp;Zz"</f>
        <v>#VALUE!</v>
      </c>
      <c r="GP111" t="e">
        <f>'All regions'!A3068+"$F;@!&amp;Z{"</f>
        <v>#VALUE!</v>
      </c>
      <c r="GQ111" t="e">
        <f>'All regions'!B3068+"$F;@!&amp;Z|"</f>
        <v>#VALUE!</v>
      </c>
      <c r="GR111" t="e">
        <f>'All regions'!C3068+"$F;@!&amp;Z}"</f>
        <v>#VALUE!</v>
      </c>
      <c r="GS111" t="e">
        <f>'All regions'!D3068+"$F;@!&amp;Z~"</f>
        <v>#VALUE!</v>
      </c>
      <c r="GT111" t="e">
        <f>'All regions'!E3068+"$F;@!&amp;[#"</f>
        <v>#VALUE!</v>
      </c>
      <c r="GU111" t="e">
        <f>'All regions'!F3068+"$F;@!&amp;[$"</f>
        <v>#VALUE!</v>
      </c>
      <c r="GV111" t="e">
        <f>'All regions'!G3068+"$F;@!&amp;[%"</f>
        <v>#VALUE!</v>
      </c>
      <c r="GW111" t="e">
        <f>'All regions'!H3068+"$F;@!&amp;[&amp;"</f>
        <v>#VALUE!</v>
      </c>
      <c r="GX111" t="e">
        <f>'All regions'!I3068+"$F;@!&amp;['"</f>
        <v>#VALUE!</v>
      </c>
      <c r="GY111" t="e">
        <f>'All regions'!A3069+"$F;@!&amp;[("</f>
        <v>#VALUE!</v>
      </c>
      <c r="GZ111" t="e">
        <f>'All regions'!B3069+"$F;@!&amp;[)"</f>
        <v>#VALUE!</v>
      </c>
      <c r="HA111" t="e">
        <f>'All regions'!C3069+"$F;@!&amp;[."</f>
        <v>#VALUE!</v>
      </c>
      <c r="HB111" t="e">
        <f>'All regions'!D3069+"$F;@!&amp;[/"</f>
        <v>#VALUE!</v>
      </c>
      <c r="HC111" t="e">
        <f>'All regions'!E3069+"$F;@!&amp;[0"</f>
        <v>#VALUE!</v>
      </c>
      <c r="HD111" t="e">
        <f>'All regions'!F3069+"$F;@!&amp;[1"</f>
        <v>#VALUE!</v>
      </c>
      <c r="HE111" t="e">
        <f>'All regions'!G3069+"$F;@!&amp;[2"</f>
        <v>#VALUE!</v>
      </c>
      <c r="HF111" t="e">
        <f>'All regions'!H3069+"$F;@!&amp;[3"</f>
        <v>#VALUE!</v>
      </c>
      <c r="HG111" t="e">
        <f>'All regions'!I3069+"$F;@!&amp;[4"</f>
        <v>#VALUE!</v>
      </c>
      <c r="HH111" t="e">
        <f>'All regions'!A3070+"$F;@!&amp;[5"</f>
        <v>#VALUE!</v>
      </c>
      <c r="HI111" t="e">
        <f>'All regions'!B3070+"$F;@!&amp;[6"</f>
        <v>#VALUE!</v>
      </c>
      <c r="HJ111" t="e">
        <f>'All regions'!C3070+"$F;@!&amp;[7"</f>
        <v>#VALUE!</v>
      </c>
      <c r="HK111" t="e">
        <f>'All regions'!D3070+"$F;@!&amp;[8"</f>
        <v>#VALUE!</v>
      </c>
      <c r="HL111" t="e">
        <f>'All regions'!E3070+"$F;@!&amp;[9"</f>
        <v>#VALUE!</v>
      </c>
      <c r="HM111" t="e">
        <f>'All regions'!F3070+"$F;@!&amp;[:"</f>
        <v>#VALUE!</v>
      </c>
      <c r="HN111" t="e">
        <f>'All regions'!G3070+"$F;@!&amp;[;"</f>
        <v>#VALUE!</v>
      </c>
      <c r="HO111" t="e">
        <f>'All regions'!H3070+"$F;@!&amp;[&lt;"</f>
        <v>#VALUE!</v>
      </c>
      <c r="HP111" t="e">
        <f>'All regions'!I3070+"$F;@!&amp;[="</f>
        <v>#VALUE!</v>
      </c>
      <c r="HQ111" t="e">
        <f>'All regions'!A3071+"$F;@!&amp;[&gt;"</f>
        <v>#VALUE!</v>
      </c>
      <c r="HR111" t="e">
        <f>'All regions'!B3071+"$F;@!&amp;[?"</f>
        <v>#VALUE!</v>
      </c>
      <c r="HS111" t="e">
        <f>'All regions'!C3071+"$F;@!&amp;[@"</f>
        <v>#VALUE!</v>
      </c>
      <c r="HT111" t="e">
        <f>'All regions'!D3071+"$F;@!&amp;[A"</f>
        <v>#VALUE!</v>
      </c>
      <c r="HU111" t="e">
        <f>'All regions'!E3071+"$F;@!&amp;[B"</f>
        <v>#VALUE!</v>
      </c>
      <c r="HV111" t="e">
        <f>'All regions'!F3071+"$F;@!&amp;[C"</f>
        <v>#VALUE!</v>
      </c>
      <c r="HW111" t="e">
        <f>'All regions'!G3071+"$F;@!&amp;[D"</f>
        <v>#VALUE!</v>
      </c>
      <c r="HX111" t="e">
        <f>'All regions'!H3071+"$F;@!&amp;[E"</f>
        <v>#VALUE!</v>
      </c>
      <c r="HY111" t="e">
        <f>'All regions'!I3071+"$F;@!&amp;[F"</f>
        <v>#VALUE!</v>
      </c>
      <c r="HZ111" t="e">
        <f>'All regions'!A3072+"$F;@!&amp;[G"</f>
        <v>#VALUE!</v>
      </c>
      <c r="IA111" t="e">
        <f>'All regions'!B3072+"$F;@!&amp;[H"</f>
        <v>#VALUE!</v>
      </c>
      <c r="IB111" t="e">
        <f>'All regions'!C3072+"$F;@!&amp;[I"</f>
        <v>#VALUE!</v>
      </c>
      <c r="IC111" t="e">
        <f>'All regions'!D3072+"$F;@!&amp;[J"</f>
        <v>#VALUE!</v>
      </c>
      <c r="ID111" t="e">
        <f>'All regions'!E3072+"$F;@!&amp;[K"</f>
        <v>#VALUE!</v>
      </c>
      <c r="IE111" t="e">
        <f>'All regions'!F3072+"$F;@!&amp;[L"</f>
        <v>#VALUE!</v>
      </c>
      <c r="IF111" t="e">
        <f>'All regions'!G3072+"$F;@!&amp;[M"</f>
        <v>#VALUE!</v>
      </c>
      <c r="IG111" t="e">
        <f>'All regions'!H3072+"$F;@!&amp;[N"</f>
        <v>#VALUE!</v>
      </c>
      <c r="IH111" t="e">
        <f>'All regions'!I3072+"$F;@!&amp;[O"</f>
        <v>#VALUE!</v>
      </c>
      <c r="II111" t="e">
        <f>'All regions'!A3073+"$F;@!&amp;[P"</f>
        <v>#VALUE!</v>
      </c>
      <c r="IJ111" t="e">
        <f>'All regions'!B3073+"$F;@!&amp;[Q"</f>
        <v>#VALUE!</v>
      </c>
      <c r="IK111" t="e">
        <f>'All regions'!C3073+"$F;@!&amp;[R"</f>
        <v>#VALUE!</v>
      </c>
      <c r="IL111" t="e">
        <f>'All regions'!D3073+"$F;@!&amp;[S"</f>
        <v>#VALUE!</v>
      </c>
      <c r="IM111" t="e">
        <f>'All regions'!E3073+"$F;@!&amp;[T"</f>
        <v>#VALUE!</v>
      </c>
      <c r="IN111" t="e">
        <f>'All regions'!F3073+"$F;@!&amp;[U"</f>
        <v>#VALUE!</v>
      </c>
      <c r="IO111" t="e">
        <f>'All regions'!G3073+"$F;@!&amp;[V"</f>
        <v>#VALUE!</v>
      </c>
      <c r="IP111" t="e">
        <f>'All regions'!H3073+"$F;@!&amp;[W"</f>
        <v>#VALUE!</v>
      </c>
      <c r="IQ111" t="e">
        <f>'All regions'!I3073+"$F;@!&amp;[X"</f>
        <v>#VALUE!</v>
      </c>
      <c r="IR111" t="e">
        <f>'All regions'!A3074+"$F;@!&amp;[Y"</f>
        <v>#VALUE!</v>
      </c>
      <c r="IS111" t="e">
        <f>'All regions'!B3074+"$F;@!&amp;[Z"</f>
        <v>#VALUE!</v>
      </c>
      <c r="IT111" t="e">
        <f>'All regions'!C3074+"$F;@!&amp;[["</f>
        <v>#VALUE!</v>
      </c>
      <c r="IU111" t="e">
        <f>'All regions'!D3074+"$F;@!&amp;[\"</f>
        <v>#VALUE!</v>
      </c>
      <c r="IV111" t="e">
        <f>'All regions'!E3074+"$F;@!&amp;[]"</f>
        <v>#VALUE!</v>
      </c>
    </row>
    <row r="112" spans="6:256" x14ac:dyDescent="0.35">
      <c r="F112" t="e">
        <f>'All regions'!F3074+"$F;@!&amp;[^"</f>
        <v>#VALUE!</v>
      </c>
      <c r="G112" t="e">
        <f>'All regions'!G3074+"$F;@!&amp;[_"</f>
        <v>#VALUE!</v>
      </c>
      <c r="H112" t="e">
        <f>'All regions'!H3074+"$F;@!&amp;[`"</f>
        <v>#VALUE!</v>
      </c>
      <c r="I112" t="e">
        <f>'All regions'!I3074+"$F;@!&amp;[a"</f>
        <v>#VALUE!</v>
      </c>
      <c r="J112" t="e">
        <f>'All regions'!A3075+"$F;@!&amp;[b"</f>
        <v>#VALUE!</v>
      </c>
      <c r="K112" t="e">
        <f>'All regions'!B3075+"$F;@!&amp;[c"</f>
        <v>#VALUE!</v>
      </c>
      <c r="L112" t="e">
        <f>'All regions'!C3075+"$F;@!&amp;[d"</f>
        <v>#VALUE!</v>
      </c>
      <c r="M112" t="e">
        <f>'All regions'!D3075+"$F;@!&amp;[e"</f>
        <v>#VALUE!</v>
      </c>
      <c r="N112" t="e">
        <f>'All regions'!E3075+"$F;@!&amp;[f"</f>
        <v>#VALUE!</v>
      </c>
      <c r="O112" t="e">
        <f>'All regions'!F3075+"$F;@!&amp;[g"</f>
        <v>#VALUE!</v>
      </c>
      <c r="P112" t="e">
        <f>'All regions'!G3075+"$F;@!&amp;[h"</f>
        <v>#VALUE!</v>
      </c>
      <c r="Q112" t="e">
        <f>'All regions'!H3075+"$F;@!&amp;[i"</f>
        <v>#VALUE!</v>
      </c>
      <c r="R112" t="e">
        <f>'All regions'!I3075+"$F;@!&amp;[j"</f>
        <v>#VALUE!</v>
      </c>
      <c r="S112" t="e">
        <f>'All regions'!A3076+"$F;@!&amp;[k"</f>
        <v>#VALUE!</v>
      </c>
      <c r="T112" t="e">
        <f>'All regions'!B3076+"$F;@!&amp;[l"</f>
        <v>#VALUE!</v>
      </c>
      <c r="U112" t="e">
        <f>'All regions'!C3076+"$F;@!&amp;[m"</f>
        <v>#VALUE!</v>
      </c>
      <c r="V112" t="e">
        <f>'All regions'!D3076+"$F;@!&amp;[n"</f>
        <v>#VALUE!</v>
      </c>
      <c r="W112" t="e">
        <f>'All regions'!E3076+"$F;@!&amp;[o"</f>
        <v>#VALUE!</v>
      </c>
      <c r="X112" t="e">
        <f>'All regions'!F3076+"$F;@!&amp;[p"</f>
        <v>#VALUE!</v>
      </c>
      <c r="Y112" t="e">
        <f>'All regions'!G3076+"$F;@!&amp;[q"</f>
        <v>#VALUE!</v>
      </c>
      <c r="Z112" t="e">
        <f>'All regions'!H3076+"$F;@!&amp;[r"</f>
        <v>#VALUE!</v>
      </c>
      <c r="AA112" t="e">
        <f>'All regions'!I3076+"$F;@!&amp;[s"</f>
        <v>#VALUE!</v>
      </c>
      <c r="AB112" t="e">
        <f>'All regions'!A3077+"$F;@!&amp;[t"</f>
        <v>#VALUE!</v>
      </c>
      <c r="AC112" t="e">
        <f>'All regions'!B3077+"$F;@!&amp;[u"</f>
        <v>#VALUE!</v>
      </c>
      <c r="AD112" t="e">
        <f>'All regions'!C3077+"$F;@!&amp;[v"</f>
        <v>#VALUE!</v>
      </c>
      <c r="AE112" t="e">
        <f>'All regions'!D3077+"$F;@!&amp;[w"</f>
        <v>#VALUE!</v>
      </c>
      <c r="AF112" t="e">
        <f>'All regions'!E3077+"$F;@!&amp;[x"</f>
        <v>#VALUE!</v>
      </c>
      <c r="AG112" t="e">
        <f>'All regions'!F3077+"$F;@!&amp;[y"</f>
        <v>#VALUE!</v>
      </c>
      <c r="AH112" t="e">
        <f>'All regions'!G3077+"$F;@!&amp;[z"</f>
        <v>#VALUE!</v>
      </c>
      <c r="AI112" t="e">
        <f>'All regions'!H3077+"$F;@!&amp;[{"</f>
        <v>#VALUE!</v>
      </c>
      <c r="AJ112" t="e">
        <f>'All regions'!I3077+"$F;@!&amp;[|"</f>
        <v>#VALUE!</v>
      </c>
      <c r="AK112" t="e">
        <f>'All regions'!A3078+"$F;@!&amp;[}"</f>
        <v>#VALUE!</v>
      </c>
      <c r="AL112" t="e">
        <f>'All regions'!B3078+"$F;@!&amp;[~"</f>
        <v>#VALUE!</v>
      </c>
      <c r="AM112" t="e">
        <f>'All regions'!C3078+"$F;@!&amp;\#"</f>
        <v>#VALUE!</v>
      </c>
      <c r="AN112" t="e">
        <f>'All regions'!D3078+"$F;@!&amp;\$"</f>
        <v>#VALUE!</v>
      </c>
      <c r="AO112" t="e">
        <f>'All regions'!E3078+"$F;@!&amp;\%"</f>
        <v>#VALUE!</v>
      </c>
      <c r="AP112" t="e">
        <f>'All regions'!F3078+"$F;@!&amp;\&amp;"</f>
        <v>#VALUE!</v>
      </c>
      <c r="AQ112" t="e">
        <f>'All regions'!G3078+"$F;@!&amp;\'"</f>
        <v>#VALUE!</v>
      </c>
      <c r="AR112" t="e">
        <f>'All regions'!H3078+"$F;@!&amp;\("</f>
        <v>#VALUE!</v>
      </c>
      <c r="AS112" t="e">
        <f>'All regions'!I3078+"$F;@!&amp;\)"</f>
        <v>#VALUE!</v>
      </c>
      <c r="AT112" t="e">
        <f>'All regions'!A3079+"$F;@!&amp;\."</f>
        <v>#VALUE!</v>
      </c>
      <c r="AU112" t="e">
        <f>'All regions'!B3079+"$F;@!&amp;\/"</f>
        <v>#VALUE!</v>
      </c>
      <c r="AV112" t="e">
        <f>'All regions'!C3079+"$F;@!&amp;\0"</f>
        <v>#VALUE!</v>
      </c>
      <c r="AW112" t="e">
        <f>'All regions'!D3079+"$F;@!&amp;\1"</f>
        <v>#VALUE!</v>
      </c>
      <c r="AX112" t="e">
        <f>'All regions'!E3079+"$F;@!&amp;\2"</f>
        <v>#VALUE!</v>
      </c>
      <c r="AY112" t="e">
        <f>'All regions'!F3079+"$F;@!&amp;\3"</f>
        <v>#VALUE!</v>
      </c>
      <c r="AZ112" t="e">
        <f>'All regions'!G3079+"$F;@!&amp;\4"</f>
        <v>#VALUE!</v>
      </c>
      <c r="BA112" t="e">
        <f>'All regions'!H3079+"$F;@!&amp;\5"</f>
        <v>#VALUE!</v>
      </c>
      <c r="BB112" t="e">
        <f>'All regions'!I3079+"$F;@!&amp;\6"</f>
        <v>#VALUE!</v>
      </c>
      <c r="BC112" t="e">
        <f>'All regions'!A3080+"$F;@!&amp;\7"</f>
        <v>#VALUE!</v>
      </c>
      <c r="BD112" t="e">
        <f>'All regions'!B3080+"$F;@!&amp;\8"</f>
        <v>#VALUE!</v>
      </c>
      <c r="BE112" t="e">
        <f>'All regions'!C3080+"$F;@!&amp;\9"</f>
        <v>#VALUE!</v>
      </c>
      <c r="BF112" t="e">
        <f>'All regions'!D3080+"$F;@!&amp;\:"</f>
        <v>#VALUE!</v>
      </c>
      <c r="BG112" t="e">
        <f>'All regions'!E3080+"$F;@!&amp;\;"</f>
        <v>#VALUE!</v>
      </c>
      <c r="BH112" t="e">
        <f>'All regions'!F3080+"$F;@!&amp;\&lt;"</f>
        <v>#VALUE!</v>
      </c>
      <c r="BI112" t="e">
        <f>'All regions'!G3080+"$F;@!&amp;\="</f>
        <v>#VALUE!</v>
      </c>
      <c r="BJ112" t="e">
        <f>'All regions'!H3080+"$F;@!&amp;\&gt;"</f>
        <v>#VALUE!</v>
      </c>
      <c r="BK112" t="e">
        <f>'All regions'!I3080+"$F;@!&amp;\?"</f>
        <v>#VALUE!</v>
      </c>
      <c r="BL112" t="e">
        <f>'All regions'!A3081+"$F;@!&amp;\@"</f>
        <v>#VALUE!</v>
      </c>
      <c r="BM112" t="e">
        <f>'All regions'!B3081+"$F;@!&amp;\A"</f>
        <v>#VALUE!</v>
      </c>
      <c r="BN112" t="e">
        <f>'All regions'!C3081+"$F;@!&amp;\B"</f>
        <v>#VALUE!</v>
      </c>
      <c r="BO112" t="e">
        <f>'All regions'!D3081+"$F;@!&amp;\C"</f>
        <v>#VALUE!</v>
      </c>
      <c r="BP112" t="e">
        <f>'All regions'!E3081+"$F;@!&amp;\D"</f>
        <v>#VALUE!</v>
      </c>
      <c r="BQ112" t="e">
        <f>'All regions'!F3081+"$F;@!&amp;\E"</f>
        <v>#VALUE!</v>
      </c>
      <c r="BR112" t="e">
        <f>'All regions'!G3081+"$F;@!&amp;\F"</f>
        <v>#VALUE!</v>
      </c>
      <c r="BS112" t="e">
        <f>'All regions'!H3081+"$F;@!&amp;\G"</f>
        <v>#VALUE!</v>
      </c>
      <c r="BT112" t="e">
        <f>'All regions'!I3081+"$F;@!&amp;\H"</f>
        <v>#VALUE!</v>
      </c>
      <c r="BU112" t="e">
        <f>'All regions'!A3082+"$F;@!&amp;\I"</f>
        <v>#VALUE!</v>
      </c>
      <c r="BV112" t="e">
        <f>'All regions'!B3082+"$F;@!&amp;\J"</f>
        <v>#VALUE!</v>
      </c>
      <c r="BW112" t="e">
        <f>'All regions'!C3082+"$F;@!&amp;\K"</f>
        <v>#VALUE!</v>
      </c>
      <c r="BX112" t="e">
        <f>'All regions'!D3082+"$F;@!&amp;\L"</f>
        <v>#VALUE!</v>
      </c>
      <c r="BY112" t="e">
        <f>'All regions'!E3082+"$F;@!&amp;\M"</f>
        <v>#VALUE!</v>
      </c>
      <c r="BZ112" t="e">
        <f>'All regions'!F3082+"$F;@!&amp;\N"</f>
        <v>#VALUE!</v>
      </c>
      <c r="CA112" t="e">
        <f>'All regions'!G3082+"$F;@!&amp;\O"</f>
        <v>#VALUE!</v>
      </c>
      <c r="CB112" t="e">
        <f>'All regions'!H3082+"$F;@!&amp;\P"</f>
        <v>#VALUE!</v>
      </c>
      <c r="CC112" t="e">
        <f>'All regions'!I3082+"$F;@!&amp;\Q"</f>
        <v>#VALUE!</v>
      </c>
      <c r="CD112" t="e">
        <f>'All regions'!A3083+"$F;@!&amp;\R"</f>
        <v>#VALUE!</v>
      </c>
      <c r="CE112" t="e">
        <f>'All regions'!B3083+"$F;@!&amp;\S"</f>
        <v>#VALUE!</v>
      </c>
      <c r="CF112" t="e">
        <f>'All regions'!C3083+"$F;@!&amp;\T"</f>
        <v>#VALUE!</v>
      </c>
      <c r="CG112" t="e">
        <f>'All regions'!D3083+"$F;@!&amp;\U"</f>
        <v>#VALUE!</v>
      </c>
      <c r="CH112" t="e">
        <f>'All regions'!E3083+"$F;@!&amp;\V"</f>
        <v>#VALUE!</v>
      </c>
      <c r="CI112" t="e">
        <f>'All regions'!F3083+"$F;@!&amp;\W"</f>
        <v>#VALUE!</v>
      </c>
      <c r="CJ112" t="e">
        <f>'All regions'!G3083+"$F;@!&amp;\X"</f>
        <v>#VALUE!</v>
      </c>
      <c r="CK112" t="e">
        <f>'All regions'!H3083+"$F;@!&amp;\Y"</f>
        <v>#VALUE!</v>
      </c>
      <c r="CL112" t="e">
        <f>'All regions'!I3083+"$F;@!&amp;\Z"</f>
        <v>#VALUE!</v>
      </c>
      <c r="CM112" t="e">
        <f>'All regions'!A3084+"$F;@!&amp;\["</f>
        <v>#VALUE!</v>
      </c>
      <c r="CN112" t="e">
        <f>'All regions'!B3084+"$F;@!&amp;\\"</f>
        <v>#VALUE!</v>
      </c>
      <c r="CO112" t="e">
        <f>'All regions'!C3084+"$F;@!&amp;\]"</f>
        <v>#VALUE!</v>
      </c>
      <c r="CP112" t="e">
        <f>'All regions'!D3084+"$F;@!&amp;\^"</f>
        <v>#VALUE!</v>
      </c>
      <c r="CQ112" t="e">
        <f>'All regions'!E3084+"$F;@!&amp;\_"</f>
        <v>#VALUE!</v>
      </c>
      <c r="CR112" t="e">
        <f>'All regions'!F3084+"$F;@!&amp;\`"</f>
        <v>#VALUE!</v>
      </c>
      <c r="CS112" t="e">
        <f>'All regions'!G3084+"$F;@!&amp;\a"</f>
        <v>#VALUE!</v>
      </c>
      <c r="CT112" t="e">
        <f>'All regions'!H3084+"$F;@!&amp;\b"</f>
        <v>#VALUE!</v>
      </c>
      <c r="CU112" t="e">
        <f>'All regions'!I3084+"$F;@!&amp;\c"</f>
        <v>#VALUE!</v>
      </c>
      <c r="CV112" t="e">
        <f>'All regions'!A3085+"$F;@!&amp;\d"</f>
        <v>#VALUE!</v>
      </c>
      <c r="CW112" t="e">
        <f>'All regions'!B3085+"$F;@!&amp;\e"</f>
        <v>#VALUE!</v>
      </c>
      <c r="CX112" t="e">
        <f>'All regions'!C3085+"$F;@!&amp;\f"</f>
        <v>#VALUE!</v>
      </c>
      <c r="CY112" t="e">
        <f>'All regions'!D3085+"$F;@!&amp;\g"</f>
        <v>#VALUE!</v>
      </c>
      <c r="CZ112" t="e">
        <f>'All regions'!E3085+"$F;@!&amp;\h"</f>
        <v>#VALUE!</v>
      </c>
      <c r="DA112" t="e">
        <f>'All regions'!F3085+"$F;@!&amp;\i"</f>
        <v>#VALUE!</v>
      </c>
      <c r="DB112" t="e">
        <f>'All regions'!G3085+"$F;@!&amp;\j"</f>
        <v>#VALUE!</v>
      </c>
      <c r="DC112" t="e">
        <f>'All regions'!H3085+"$F;@!&amp;\k"</f>
        <v>#VALUE!</v>
      </c>
      <c r="DD112" t="e">
        <f>'All regions'!I3085+"$F;@!&amp;\l"</f>
        <v>#VALUE!</v>
      </c>
      <c r="DE112" t="e">
        <f>'All regions'!A3086+"$F;@!&amp;\m"</f>
        <v>#VALUE!</v>
      </c>
      <c r="DF112" t="e">
        <f>'All regions'!B3086+"$F;@!&amp;\n"</f>
        <v>#VALUE!</v>
      </c>
      <c r="DG112" t="e">
        <f>'All regions'!C3086+"$F;@!&amp;\o"</f>
        <v>#VALUE!</v>
      </c>
      <c r="DH112" t="e">
        <f>'All regions'!D3086+"$F;@!&amp;\p"</f>
        <v>#VALUE!</v>
      </c>
      <c r="DI112" t="e">
        <f>'All regions'!E3086+"$F;@!&amp;\q"</f>
        <v>#VALUE!</v>
      </c>
      <c r="DJ112" t="e">
        <f>'All regions'!F3086+"$F;@!&amp;\r"</f>
        <v>#VALUE!</v>
      </c>
      <c r="DK112" t="e">
        <f>'All regions'!G3086+"$F;@!&amp;\s"</f>
        <v>#VALUE!</v>
      </c>
      <c r="DL112" t="e">
        <f>'All regions'!H3086+"$F;@!&amp;\t"</f>
        <v>#VALUE!</v>
      </c>
      <c r="DM112" t="e">
        <f>'All regions'!I3086+"$F;@!&amp;\u"</f>
        <v>#VALUE!</v>
      </c>
      <c r="DN112" t="e">
        <f>'All regions'!A3087+"$F;@!&amp;\v"</f>
        <v>#VALUE!</v>
      </c>
      <c r="DO112" t="e">
        <f>'All regions'!B3087+"$F;@!&amp;\w"</f>
        <v>#VALUE!</v>
      </c>
      <c r="DP112" t="e">
        <f>'All regions'!C3087+"$F;@!&amp;\x"</f>
        <v>#VALUE!</v>
      </c>
      <c r="DQ112" t="e">
        <f>'All regions'!D3087+"$F;@!&amp;\y"</f>
        <v>#VALUE!</v>
      </c>
      <c r="DR112" t="e">
        <f>'All regions'!E3087+"$F;@!&amp;\z"</f>
        <v>#VALUE!</v>
      </c>
      <c r="DS112" t="e">
        <f>'All regions'!F3087+"$F;@!&amp;\{"</f>
        <v>#VALUE!</v>
      </c>
      <c r="DT112" t="e">
        <f>'All regions'!G3087+"$F;@!&amp;\|"</f>
        <v>#VALUE!</v>
      </c>
      <c r="DU112" t="e">
        <f>'All regions'!H3087+"$F;@!&amp;\}"</f>
        <v>#VALUE!</v>
      </c>
      <c r="DV112" t="e">
        <f>'All regions'!I3087+"$F;@!&amp;\~"</f>
        <v>#VALUE!</v>
      </c>
      <c r="DW112" t="e">
        <f>'All regions'!A3088+"$F;@!&amp;]#"</f>
        <v>#VALUE!</v>
      </c>
      <c r="DX112" t="e">
        <f>'All regions'!B3088+"$F;@!&amp;]$"</f>
        <v>#VALUE!</v>
      </c>
      <c r="DY112" t="e">
        <f>'All regions'!C3088+"$F;@!&amp;]%"</f>
        <v>#VALUE!</v>
      </c>
      <c r="DZ112" t="e">
        <f>'All regions'!D3088+"$F;@!&amp;]&amp;"</f>
        <v>#VALUE!</v>
      </c>
      <c r="EA112" t="e">
        <f>'All regions'!E3088+"$F;@!&amp;]'"</f>
        <v>#VALUE!</v>
      </c>
      <c r="EB112" t="e">
        <f>'All regions'!F3088+"$F;@!&amp;]("</f>
        <v>#VALUE!</v>
      </c>
      <c r="EC112" t="e">
        <f>'All regions'!G3088+"$F;@!&amp;])"</f>
        <v>#VALUE!</v>
      </c>
      <c r="ED112" t="e">
        <f>'All regions'!H3088+"$F;@!&amp;]."</f>
        <v>#VALUE!</v>
      </c>
      <c r="EE112" t="e">
        <f>'All regions'!I3088+"$F;@!&amp;]/"</f>
        <v>#VALUE!</v>
      </c>
      <c r="EF112" t="e">
        <f>'All regions'!A3089+"$F;@!&amp;]0"</f>
        <v>#VALUE!</v>
      </c>
      <c r="EG112" t="e">
        <f>'All regions'!B3089+"$F;@!&amp;]1"</f>
        <v>#VALUE!</v>
      </c>
      <c r="EH112" t="e">
        <f>'All regions'!C3089+"$F;@!&amp;]2"</f>
        <v>#VALUE!</v>
      </c>
      <c r="EI112" t="e">
        <f>'All regions'!D3089+"$F;@!&amp;]3"</f>
        <v>#VALUE!</v>
      </c>
      <c r="EJ112" t="e">
        <f>'All regions'!E3089+"$F;@!&amp;]4"</f>
        <v>#VALUE!</v>
      </c>
      <c r="EK112" t="e">
        <f>'All regions'!F3089+"$F;@!&amp;]5"</f>
        <v>#VALUE!</v>
      </c>
      <c r="EL112" t="e">
        <f>'All regions'!G3089+"$F;@!&amp;]6"</f>
        <v>#VALUE!</v>
      </c>
      <c r="EM112" t="e">
        <f>'All regions'!H3089+"$F;@!&amp;]7"</f>
        <v>#VALUE!</v>
      </c>
      <c r="EN112" t="e">
        <f>'All regions'!I3089+"$F;@!&amp;]8"</f>
        <v>#VALUE!</v>
      </c>
      <c r="EO112" t="e">
        <f>'All regions'!A3090+"$F;@!&amp;]9"</f>
        <v>#VALUE!</v>
      </c>
      <c r="EP112" t="e">
        <f>'All regions'!B3090+"$F;@!&amp;]:"</f>
        <v>#VALUE!</v>
      </c>
      <c r="EQ112" t="e">
        <f>'All regions'!C3090+"$F;@!&amp;];"</f>
        <v>#VALUE!</v>
      </c>
      <c r="ER112" t="e">
        <f>'All regions'!D3090+"$F;@!&amp;]&lt;"</f>
        <v>#VALUE!</v>
      </c>
      <c r="ES112" t="e">
        <f>'All regions'!E3090+"$F;@!&amp;]="</f>
        <v>#VALUE!</v>
      </c>
      <c r="ET112" t="e">
        <f>'All regions'!F3090+"$F;@!&amp;]&gt;"</f>
        <v>#VALUE!</v>
      </c>
      <c r="EU112" t="e">
        <f>'All regions'!G3090+"$F;@!&amp;]?"</f>
        <v>#VALUE!</v>
      </c>
      <c r="EV112" t="e">
        <f>'All regions'!H3090+"$F;@!&amp;]@"</f>
        <v>#VALUE!</v>
      </c>
      <c r="EW112" t="e">
        <f>'All regions'!I3090+"$F;@!&amp;]A"</f>
        <v>#VALUE!</v>
      </c>
      <c r="EX112" t="e">
        <f>'All regions'!A3091+"$F;@!&amp;]B"</f>
        <v>#VALUE!</v>
      </c>
      <c r="EY112" t="e">
        <f>'All regions'!B3091+"$F;@!&amp;]C"</f>
        <v>#VALUE!</v>
      </c>
      <c r="EZ112" t="e">
        <f>'All regions'!C3091+"$F;@!&amp;]D"</f>
        <v>#VALUE!</v>
      </c>
      <c r="FA112" t="e">
        <f>'All regions'!D3091+"$F;@!&amp;]E"</f>
        <v>#VALUE!</v>
      </c>
      <c r="FB112" t="e">
        <f>'All regions'!E3091+"$F;@!&amp;]F"</f>
        <v>#VALUE!</v>
      </c>
      <c r="FC112" t="e">
        <f>'All regions'!F3091+"$F;@!&amp;]G"</f>
        <v>#VALUE!</v>
      </c>
      <c r="FD112" t="e">
        <f>'All regions'!G3091+"$F;@!&amp;]H"</f>
        <v>#VALUE!</v>
      </c>
      <c r="FE112" t="e">
        <f>'All regions'!H3091+"$F;@!&amp;]I"</f>
        <v>#VALUE!</v>
      </c>
      <c r="FF112" t="e">
        <f>'All regions'!I3091+"$F;@!&amp;]J"</f>
        <v>#VALUE!</v>
      </c>
      <c r="FG112" t="e">
        <f>'All regions'!A3092+"$F;@!&amp;]K"</f>
        <v>#VALUE!</v>
      </c>
      <c r="FH112" t="e">
        <f>'All regions'!B3092+"$F;@!&amp;]L"</f>
        <v>#VALUE!</v>
      </c>
      <c r="FI112" t="e">
        <f>'All regions'!C3092+"$F;@!&amp;]M"</f>
        <v>#VALUE!</v>
      </c>
      <c r="FJ112" t="e">
        <f>'All regions'!D3092+"$F;@!&amp;]N"</f>
        <v>#VALUE!</v>
      </c>
      <c r="FK112" t="e">
        <f>'All regions'!E3092+"$F;@!&amp;]O"</f>
        <v>#VALUE!</v>
      </c>
      <c r="FL112" t="e">
        <f>'All regions'!F3092+"$F;@!&amp;]P"</f>
        <v>#VALUE!</v>
      </c>
      <c r="FM112" t="e">
        <f>'All regions'!G3092+"$F;@!&amp;]Q"</f>
        <v>#VALUE!</v>
      </c>
      <c r="FN112" t="e">
        <f>'All regions'!H3092+"$F;@!&amp;]R"</f>
        <v>#VALUE!</v>
      </c>
      <c r="FO112" t="e">
        <f>'All regions'!I3092+"$F;@!&amp;]S"</f>
        <v>#VALUE!</v>
      </c>
      <c r="FP112" t="e">
        <f>'All regions'!A3093+"$F;@!&amp;]T"</f>
        <v>#VALUE!</v>
      </c>
      <c r="FQ112" t="e">
        <f>'All regions'!B3093+"$F;@!&amp;]U"</f>
        <v>#VALUE!</v>
      </c>
      <c r="FR112" t="e">
        <f>'All regions'!C3093+"$F;@!&amp;]V"</f>
        <v>#VALUE!</v>
      </c>
      <c r="FS112" t="e">
        <f>'All regions'!D3093+"$F;@!&amp;]W"</f>
        <v>#VALUE!</v>
      </c>
      <c r="FT112" t="e">
        <f>'All regions'!E3093+"$F;@!&amp;]X"</f>
        <v>#VALUE!</v>
      </c>
      <c r="FU112" t="e">
        <f>'All regions'!F3093+"$F;@!&amp;]Y"</f>
        <v>#VALUE!</v>
      </c>
      <c r="FV112" t="e">
        <f>'All regions'!G3093+"$F;@!&amp;]Z"</f>
        <v>#VALUE!</v>
      </c>
      <c r="FW112" t="e">
        <f>'All regions'!H3093+"$F;@!&amp;]["</f>
        <v>#VALUE!</v>
      </c>
      <c r="FX112" t="e">
        <f>'All regions'!I3093+"$F;@!&amp;]\"</f>
        <v>#VALUE!</v>
      </c>
      <c r="FY112" t="e">
        <f>'All regions'!A3094+"$F;@!&amp;]]"</f>
        <v>#VALUE!</v>
      </c>
      <c r="FZ112" t="e">
        <f>'All regions'!B3094+"$F;@!&amp;]^"</f>
        <v>#VALUE!</v>
      </c>
      <c r="GA112" t="e">
        <f>'All regions'!C3094+"$F;@!&amp;]_"</f>
        <v>#VALUE!</v>
      </c>
      <c r="GB112" t="e">
        <f>'All regions'!D3094+"$F;@!&amp;]`"</f>
        <v>#VALUE!</v>
      </c>
      <c r="GC112" t="e">
        <f>'All regions'!E3094+"$F;@!&amp;]a"</f>
        <v>#VALUE!</v>
      </c>
      <c r="GD112" t="e">
        <f>'All regions'!F3094+"$F;@!&amp;]b"</f>
        <v>#VALUE!</v>
      </c>
      <c r="GE112" t="e">
        <f>'All regions'!G3094+"$F;@!&amp;]c"</f>
        <v>#VALUE!</v>
      </c>
      <c r="GF112" t="e">
        <f>'All regions'!H3094+"$F;@!&amp;]d"</f>
        <v>#VALUE!</v>
      </c>
      <c r="GG112" t="e">
        <f>'All regions'!I3094+"$F;@!&amp;]e"</f>
        <v>#VALUE!</v>
      </c>
      <c r="GH112" t="e">
        <f>'All regions'!A3095+"$F;@!&amp;]f"</f>
        <v>#VALUE!</v>
      </c>
      <c r="GI112" t="e">
        <f>'All regions'!B3095+"$F;@!&amp;]g"</f>
        <v>#VALUE!</v>
      </c>
      <c r="GJ112" t="e">
        <f>'All regions'!C3095+"$F;@!&amp;]h"</f>
        <v>#VALUE!</v>
      </c>
      <c r="GK112" t="e">
        <f>'All regions'!D3095+"$F;@!&amp;]i"</f>
        <v>#VALUE!</v>
      </c>
      <c r="GL112" t="e">
        <f>'All regions'!E3095+"$F;@!&amp;]j"</f>
        <v>#VALUE!</v>
      </c>
      <c r="GM112" t="e">
        <f>'All regions'!F3095+"$F;@!&amp;]k"</f>
        <v>#VALUE!</v>
      </c>
      <c r="GN112" t="e">
        <f>'All regions'!G3095+"$F;@!&amp;]l"</f>
        <v>#VALUE!</v>
      </c>
      <c r="GO112" t="e">
        <f>'All regions'!H3095+"$F;@!&amp;]m"</f>
        <v>#VALUE!</v>
      </c>
      <c r="GP112" t="e">
        <f>'All regions'!I3095+"$F;@!&amp;]n"</f>
        <v>#VALUE!</v>
      </c>
      <c r="GQ112" t="e">
        <f>'All regions'!A3096+"$F;@!&amp;]o"</f>
        <v>#VALUE!</v>
      </c>
      <c r="GR112" t="e">
        <f>'All regions'!B3096+"$F;@!&amp;]p"</f>
        <v>#VALUE!</v>
      </c>
      <c r="GS112" t="e">
        <f>'All regions'!C3096+"$F;@!&amp;]q"</f>
        <v>#VALUE!</v>
      </c>
      <c r="GT112" t="e">
        <f>'All regions'!D3096+"$F;@!&amp;]r"</f>
        <v>#VALUE!</v>
      </c>
      <c r="GU112" t="e">
        <f>'All regions'!E3096+"$F;@!&amp;]s"</f>
        <v>#VALUE!</v>
      </c>
      <c r="GV112" t="e">
        <f>'All regions'!F3096+"$F;@!&amp;]t"</f>
        <v>#VALUE!</v>
      </c>
      <c r="GW112" t="e">
        <f>'All regions'!G3096+"$F;@!&amp;]u"</f>
        <v>#VALUE!</v>
      </c>
      <c r="GX112" t="e">
        <f>'All regions'!H3096+"$F;@!&amp;]v"</f>
        <v>#VALUE!</v>
      </c>
      <c r="GY112" t="e">
        <f>'All regions'!I3096+"$F;@!&amp;]w"</f>
        <v>#VALUE!</v>
      </c>
      <c r="GZ112" t="e">
        <f>'All regions'!A3097+"$F;@!&amp;]x"</f>
        <v>#VALUE!</v>
      </c>
      <c r="HA112" t="e">
        <f>'All regions'!B3097+"$F;@!&amp;]y"</f>
        <v>#VALUE!</v>
      </c>
      <c r="HB112" t="e">
        <f>'All regions'!C3097+"$F;@!&amp;]z"</f>
        <v>#VALUE!</v>
      </c>
      <c r="HC112" t="e">
        <f>'All regions'!D3097+"$F;@!&amp;]{"</f>
        <v>#VALUE!</v>
      </c>
      <c r="HD112" t="e">
        <f>'All regions'!E3097+"$F;@!&amp;]|"</f>
        <v>#VALUE!</v>
      </c>
      <c r="HE112" t="e">
        <f>'All regions'!F3097+"$F;@!&amp;]}"</f>
        <v>#VALUE!</v>
      </c>
      <c r="HF112" t="e">
        <f>'All regions'!G3097+"$F;@!&amp;]~"</f>
        <v>#VALUE!</v>
      </c>
      <c r="HG112" t="e">
        <f>'All regions'!H3097+"$F;@!&amp;^#"</f>
        <v>#VALUE!</v>
      </c>
      <c r="HH112" t="e">
        <f>'All regions'!I3097+"$F;@!&amp;^$"</f>
        <v>#VALUE!</v>
      </c>
      <c r="HI112" t="e">
        <f>'All regions'!A3098+"$F;@!&amp;^%"</f>
        <v>#VALUE!</v>
      </c>
      <c r="HJ112" t="e">
        <f>'All regions'!B3098+"$F;@!&amp;^&amp;"</f>
        <v>#VALUE!</v>
      </c>
      <c r="HK112" t="e">
        <f>'All regions'!C3098+"$F;@!&amp;^'"</f>
        <v>#VALUE!</v>
      </c>
      <c r="HL112" t="e">
        <f>'All regions'!D3098+"$F;@!&amp;^("</f>
        <v>#VALUE!</v>
      </c>
      <c r="HM112" t="e">
        <f>'All regions'!E3098+"$F;@!&amp;^)"</f>
        <v>#VALUE!</v>
      </c>
      <c r="HN112" t="e">
        <f>'All regions'!F3098+"$F;@!&amp;^."</f>
        <v>#VALUE!</v>
      </c>
      <c r="HO112" t="e">
        <f>'All regions'!G3098+"$F;@!&amp;^/"</f>
        <v>#VALUE!</v>
      </c>
      <c r="HP112" t="e">
        <f>'All regions'!H3098+"$F;@!&amp;^0"</f>
        <v>#VALUE!</v>
      </c>
      <c r="HQ112" t="e">
        <f>'All regions'!I3098+"$F;@!&amp;^1"</f>
        <v>#VALUE!</v>
      </c>
      <c r="HR112" t="e">
        <f>'All regions'!A3099+"$F;@!&amp;^2"</f>
        <v>#VALUE!</v>
      </c>
      <c r="HS112" t="e">
        <f>'All regions'!B3099+"$F;@!&amp;^3"</f>
        <v>#VALUE!</v>
      </c>
      <c r="HT112" t="e">
        <f>'All regions'!C3099+"$F;@!&amp;^4"</f>
        <v>#VALUE!</v>
      </c>
      <c r="HU112" t="e">
        <f>'All regions'!D3099+"$F;@!&amp;^5"</f>
        <v>#VALUE!</v>
      </c>
      <c r="HV112" t="e">
        <f>'All regions'!E3099+"$F;@!&amp;^6"</f>
        <v>#VALUE!</v>
      </c>
      <c r="HW112" t="e">
        <f>'All regions'!F3099+"$F;@!&amp;^7"</f>
        <v>#VALUE!</v>
      </c>
      <c r="HX112" t="e">
        <f>'All regions'!G3099+"$F;@!&amp;^8"</f>
        <v>#VALUE!</v>
      </c>
      <c r="HY112" t="e">
        <f>'All regions'!H3099+"$F;@!&amp;^9"</f>
        <v>#VALUE!</v>
      </c>
      <c r="HZ112" t="e">
        <f>'All regions'!I3099+"$F;@!&amp;^:"</f>
        <v>#VALUE!</v>
      </c>
      <c r="IA112" t="e">
        <f>'All regions'!A3100+"$F;@!&amp;^;"</f>
        <v>#VALUE!</v>
      </c>
      <c r="IB112" t="e">
        <f>'All regions'!B3100+"$F;@!&amp;^&lt;"</f>
        <v>#VALUE!</v>
      </c>
      <c r="IC112" t="e">
        <f>'All regions'!C3100+"$F;@!&amp;^="</f>
        <v>#VALUE!</v>
      </c>
      <c r="ID112" t="e">
        <f>'All regions'!D3100+"$F;@!&amp;^&gt;"</f>
        <v>#VALUE!</v>
      </c>
      <c r="IE112" t="e">
        <f>'All regions'!E3100+"$F;@!&amp;^?"</f>
        <v>#VALUE!</v>
      </c>
      <c r="IF112" t="e">
        <f>'All regions'!F3100+"$F;@!&amp;^@"</f>
        <v>#VALUE!</v>
      </c>
      <c r="IG112" t="e">
        <f>'All regions'!G3100+"$F;@!&amp;^A"</f>
        <v>#VALUE!</v>
      </c>
      <c r="IH112" t="e">
        <f>'All regions'!H3100+"$F;@!&amp;^B"</f>
        <v>#VALUE!</v>
      </c>
      <c r="II112" t="e">
        <f>'All regions'!I3100+"$F;@!&amp;^C"</f>
        <v>#VALUE!</v>
      </c>
      <c r="IJ112" t="e">
        <f>'All regions'!A3101+"$F;@!&amp;^D"</f>
        <v>#VALUE!</v>
      </c>
      <c r="IK112" t="e">
        <f>'All regions'!B3101+"$F;@!&amp;^E"</f>
        <v>#VALUE!</v>
      </c>
      <c r="IL112" t="e">
        <f>'All regions'!C3101+"$F;@!&amp;^F"</f>
        <v>#VALUE!</v>
      </c>
      <c r="IM112" t="e">
        <f>'All regions'!D3101+"$F;@!&amp;^G"</f>
        <v>#VALUE!</v>
      </c>
      <c r="IN112" t="e">
        <f>'All regions'!E3101+"$F;@!&amp;^H"</f>
        <v>#VALUE!</v>
      </c>
      <c r="IO112" t="e">
        <f>'All regions'!F3101+"$F;@!&amp;^I"</f>
        <v>#VALUE!</v>
      </c>
      <c r="IP112" t="e">
        <f>'All regions'!G3101+"$F;@!&amp;^J"</f>
        <v>#VALUE!</v>
      </c>
      <c r="IQ112" t="e">
        <f>'All regions'!H3101+"$F;@!&amp;^K"</f>
        <v>#VALUE!</v>
      </c>
      <c r="IR112" t="e">
        <f>'All regions'!I3101+"$F;@!&amp;^L"</f>
        <v>#VALUE!</v>
      </c>
      <c r="IS112" t="e">
        <f>'All regions'!A3102+"$F;@!&amp;^M"</f>
        <v>#VALUE!</v>
      </c>
      <c r="IT112" t="e">
        <f>'All regions'!B3102+"$F;@!&amp;^N"</f>
        <v>#VALUE!</v>
      </c>
      <c r="IU112" t="e">
        <f>'All regions'!C3102+"$F;@!&amp;^O"</f>
        <v>#VALUE!</v>
      </c>
      <c r="IV112" t="e">
        <f>'All regions'!D3102+"$F;@!&amp;^P"</f>
        <v>#VALUE!</v>
      </c>
    </row>
    <row r="113" spans="6:256" x14ac:dyDescent="0.35">
      <c r="F113" t="e">
        <f>'All regions'!E3102+"$F;@!&amp;^Q"</f>
        <v>#VALUE!</v>
      </c>
      <c r="G113" t="e">
        <f>'All regions'!F3102+"$F;@!&amp;^R"</f>
        <v>#VALUE!</v>
      </c>
      <c r="H113" t="e">
        <f>'All regions'!G3102+"$F;@!&amp;^S"</f>
        <v>#VALUE!</v>
      </c>
      <c r="I113" t="e">
        <f>'All regions'!H3102+"$F;@!&amp;^T"</f>
        <v>#VALUE!</v>
      </c>
      <c r="J113" t="e">
        <f>'All regions'!I3102+"$F;@!&amp;^U"</f>
        <v>#VALUE!</v>
      </c>
      <c r="K113" t="e">
        <f>'All regions'!A3103+"$F;@!&amp;^V"</f>
        <v>#VALUE!</v>
      </c>
      <c r="L113" t="e">
        <f>'All regions'!B3103+"$F;@!&amp;^W"</f>
        <v>#VALUE!</v>
      </c>
      <c r="M113" t="e">
        <f>'All regions'!C3103+"$F;@!&amp;^X"</f>
        <v>#VALUE!</v>
      </c>
      <c r="N113" t="e">
        <f>'All regions'!D3103+"$F;@!&amp;^Y"</f>
        <v>#VALUE!</v>
      </c>
      <c r="O113" t="e">
        <f>'All regions'!E3103+"$F;@!&amp;^Z"</f>
        <v>#VALUE!</v>
      </c>
      <c r="P113" t="e">
        <f>'All regions'!F3103+"$F;@!&amp;^["</f>
        <v>#VALUE!</v>
      </c>
      <c r="Q113" t="e">
        <f>'All regions'!G3103+"$F;@!&amp;^\"</f>
        <v>#VALUE!</v>
      </c>
      <c r="R113" t="e">
        <f>'All regions'!H3103+"$F;@!&amp;^]"</f>
        <v>#VALUE!</v>
      </c>
      <c r="S113" t="e">
        <f>'All regions'!I3103+"$F;@!&amp;^^"</f>
        <v>#VALUE!</v>
      </c>
      <c r="T113" t="e">
        <f>'All regions'!A3104+"$F;@!&amp;^_"</f>
        <v>#VALUE!</v>
      </c>
      <c r="U113" t="e">
        <f>'All regions'!B3104+"$F;@!&amp;^`"</f>
        <v>#VALUE!</v>
      </c>
      <c r="V113" t="e">
        <f>'All regions'!C3104+"$F;@!&amp;^a"</f>
        <v>#VALUE!</v>
      </c>
      <c r="W113" t="e">
        <f>'All regions'!D3104+"$F;@!&amp;^b"</f>
        <v>#VALUE!</v>
      </c>
      <c r="X113" t="e">
        <f>'All regions'!E3104+"$F;@!&amp;^c"</f>
        <v>#VALUE!</v>
      </c>
      <c r="Y113" t="e">
        <f>'All regions'!F3104+"$F;@!&amp;^d"</f>
        <v>#VALUE!</v>
      </c>
      <c r="Z113" t="e">
        <f>'All regions'!G3104+"$F;@!&amp;^e"</f>
        <v>#VALUE!</v>
      </c>
      <c r="AA113" t="e">
        <f>'All regions'!H3104+"$F;@!&amp;^f"</f>
        <v>#VALUE!</v>
      </c>
      <c r="AB113" t="e">
        <f>'All regions'!I3104+"$F;@!&amp;^g"</f>
        <v>#VALUE!</v>
      </c>
      <c r="AC113" t="e">
        <f>'All regions'!A3105+"$F;@!&amp;^h"</f>
        <v>#VALUE!</v>
      </c>
      <c r="AD113" t="e">
        <f>'All regions'!B3105+"$F;@!&amp;^i"</f>
        <v>#VALUE!</v>
      </c>
      <c r="AE113" t="e">
        <f>'All regions'!C3105+"$F;@!&amp;^j"</f>
        <v>#VALUE!</v>
      </c>
      <c r="AF113" t="e">
        <f>'All regions'!D3105+"$F;@!&amp;^k"</f>
        <v>#VALUE!</v>
      </c>
      <c r="AG113" t="e">
        <f>'All regions'!E3105+"$F;@!&amp;^l"</f>
        <v>#VALUE!</v>
      </c>
      <c r="AH113" t="e">
        <f>'All regions'!F3105+"$F;@!&amp;^m"</f>
        <v>#VALUE!</v>
      </c>
      <c r="AI113" t="e">
        <f>'All regions'!G3105+"$F;@!&amp;^n"</f>
        <v>#VALUE!</v>
      </c>
      <c r="AJ113" t="e">
        <f>'All regions'!H3105+"$F;@!&amp;^o"</f>
        <v>#VALUE!</v>
      </c>
      <c r="AK113" t="e">
        <f>'All regions'!I3105+"$F;@!&amp;^p"</f>
        <v>#VALUE!</v>
      </c>
      <c r="AL113" t="e">
        <f>'All regions'!A3106+"$F;@!&amp;^q"</f>
        <v>#VALUE!</v>
      </c>
      <c r="AM113" t="e">
        <f>'All regions'!B3106+"$F;@!&amp;^r"</f>
        <v>#VALUE!</v>
      </c>
      <c r="AN113" t="e">
        <f>'All regions'!C3106+"$F;@!&amp;^s"</f>
        <v>#VALUE!</v>
      </c>
      <c r="AO113" t="e">
        <f>'All regions'!D3106+"$F;@!&amp;^t"</f>
        <v>#VALUE!</v>
      </c>
      <c r="AP113" t="e">
        <f>'All regions'!E3106+"$F;@!&amp;^u"</f>
        <v>#VALUE!</v>
      </c>
      <c r="AQ113" t="e">
        <f>'All regions'!F3106+"$F;@!&amp;^v"</f>
        <v>#VALUE!</v>
      </c>
      <c r="AR113" t="e">
        <f>'All regions'!G3106+"$F;@!&amp;^w"</f>
        <v>#VALUE!</v>
      </c>
      <c r="AS113" t="e">
        <f>'All regions'!H3106+"$F;@!&amp;^x"</f>
        <v>#VALUE!</v>
      </c>
      <c r="AT113" t="e">
        <f>'All regions'!I3106+"$F;@!&amp;^y"</f>
        <v>#VALUE!</v>
      </c>
      <c r="AU113" t="e">
        <f>'All regions'!A3107+"$F;@!&amp;^z"</f>
        <v>#VALUE!</v>
      </c>
      <c r="AV113" t="e">
        <f>'All regions'!B3107+"$F;@!&amp;^{"</f>
        <v>#VALUE!</v>
      </c>
      <c r="AW113" t="e">
        <f>'All regions'!C3107+"$F;@!&amp;^|"</f>
        <v>#VALUE!</v>
      </c>
      <c r="AX113" t="e">
        <f>'All regions'!D3107+"$F;@!&amp;^}"</f>
        <v>#VALUE!</v>
      </c>
      <c r="AY113" t="e">
        <f>'All regions'!E3107+"$F;@!&amp;^~"</f>
        <v>#VALUE!</v>
      </c>
      <c r="AZ113" t="e">
        <f>'All regions'!F3107+"$F;@!&amp;_#"</f>
        <v>#VALUE!</v>
      </c>
      <c r="BA113" t="e">
        <f>'All regions'!G3107+"$F;@!&amp;_$"</f>
        <v>#VALUE!</v>
      </c>
      <c r="BB113" t="e">
        <f>'All regions'!H3107+"$F;@!&amp;_%"</f>
        <v>#VALUE!</v>
      </c>
      <c r="BC113" t="e">
        <f>'All regions'!I3107+"$F;@!&amp;_&amp;"</f>
        <v>#VALUE!</v>
      </c>
      <c r="BD113" t="e">
        <f>'All regions'!A3108+"$F;@!&amp;_'"</f>
        <v>#VALUE!</v>
      </c>
      <c r="BE113" t="e">
        <f>'All regions'!B3108+"$F;@!&amp;_("</f>
        <v>#VALUE!</v>
      </c>
      <c r="BF113" t="e">
        <f>'All regions'!C3108+"$F;@!&amp;_)"</f>
        <v>#VALUE!</v>
      </c>
      <c r="BG113" t="e">
        <f>'All regions'!D3108+"$F;@!&amp;_."</f>
        <v>#VALUE!</v>
      </c>
      <c r="BH113" t="e">
        <f>'All regions'!E3108+"$F;@!&amp;_/"</f>
        <v>#VALUE!</v>
      </c>
      <c r="BI113" t="e">
        <f>'All regions'!F3108+"$F;@!&amp;_0"</f>
        <v>#VALUE!</v>
      </c>
      <c r="BJ113" t="e">
        <f>'All regions'!G3108+"$F;@!&amp;_1"</f>
        <v>#VALUE!</v>
      </c>
      <c r="BK113" t="e">
        <f>'All regions'!H3108+"$F;@!&amp;_2"</f>
        <v>#VALUE!</v>
      </c>
      <c r="BL113" t="e">
        <f>'All regions'!I3108+"$F;@!&amp;_3"</f>
        <v>#VALUE!</v>
      </c>
      <c r="BM113" t="e">
        <f>'All regions'!A3109+"$F;@!&amp;_4"</f>
        <v>#VALUE!</v>
      </c>
      <c r="BN113" t="e">
        <f>'All regions'!B3109+"$F;@!&amp;_5"</f>
        <v>#VALUE!</v>
      </c>
      <c r="BO113" t="e">
        <f>'All regions'!C3109+"$F;@!&amp;_6"</f>
        <v>#VALUE!</v>
      </c>
      <c r="BP113" t="e">
        <f>'All regions'!D3109+"$F;@!&amp;_7"</f>
        <v>#VALUE!</v>
      </c>
      <c r="BQ113" t="e">
        <f>'All regions'!E3109+"$F;@!&amp;_8"</f>
        <v>#VALUE!</v>
      </c>
      <c r="BR113" t="e">
        <f>'All regions'!F3109+"$F;@!&amp;_9"</f>
        <v>#VALUE!</v>
      </c>
      <c r="BS113" t="e">
        <f>'All regions'!G3109+"$F;@!&amp;_:"</f>
        <v>#VALUE!</v>
      </c>
      <c r="BT113" t="e">
        <f>'All regions'!H3109+"$F;@!&amp;_;"</f>
        <v>#VALUE!</v>
      </c>
      <c r="BU113" t="e">
        <f>'All regions'!I3109+"$F;@!&amp;_&lt;"</f>
        <v>#VALUE!</v>
      </c>
      <c r="BV113" t="e">
        <f>'All regions'!A3110+"$F;@!&amp;_="</f>
        <v>#VALUE!</v>
      </c>
      <c r="BW113" t="e">
        <f>'All regions'!B3110+"$F;@!&amp;_&gt;"</f>
        <v>#VALUE!</v>
      </c>
      <c r="BX113" t="e">
        <f>'All regions'!C3110+"$F;@!&amp;_?"</f>
        <v>#VALUE!</v>
      </c>
      <c r="BY113" t="e">
        <f>'All regions'!D3110+"$F;@!&amp;_@"</f>
        <v>#VALUE!</v>
      </c>
      <c r="BZ113" t="e">
        <f>'All regions'!E3110+"$F;@!&amp;_A"</f>
        <v>#VALUE!</v>
      </c>
      <c r="CA113" t="e">
        <f>'All regions'!F3110+"$F;@!&amp;_B"</f>
        <v>#VALUE!</v>
      </c>
      <c r="CB113" t="e">
        <f>'All regions'!G3110+"$F;@!&amp;_C"</f>
        <v>#VALUE!</v>
      </c>
      <c r="CC113" t="e">
        <f>'All regions'!H3110+"$F;@!&amp;_D"</f>
        <v>#VALUE!</v>
      </c>
      <c r="CD113" t="e">
        <f>'All regions'!I3110+"$F;@!&amp;_E"</f>
        <v>#VALUE!</v>
      </c>
      <c r="CE113" t="e">
        <f>'All regions'!A3111+"$F;@!&amp;_F"</f>
        <v>#VALUE!</v>
      </c>
      <c r="CF113" t="e">
        <f>'All regions'!B3111+"$F;@!&amp;_G"</f>
        <v>#VALUE!</v>
      </c>
      <c r="CG113" t="e">
        <f>'All regions'!C3111+"$F;@!&amp;_H"</f>
        <v>#VALUE!</v>
      </c>
      <c r="CH113" t="e">
        <f>'All regions'!D3111+"$F;@!&amp;_I"</f>
        <v>#VALUE!</v>
      </c>
      <c r="CI113" t="e">
        <f>'All regions'!E3111+"$F;@!&amp;_J"</f>
        <v>#VALUE!</v>
      </c>
      <c r="CJ113" t="e">
        <f>'All regions'!F3111+"$F;@!&amp;_K"</f>
        <v>#VALUE!</v>
      </c>
      <c r="CK113" t="e">
        <f>'All regions'!G3111+"$F;@!&amp;_L"</f>
        <v>#VALUE!</v>
      </c>
      <c r="CL113" t="e">
        <f>'All regions'!H3111+"$F;@!&amp;_M"</f>
        <v>#VALUE!</v>
      </c>
      <c r="CM113" t="e">
        <f>'All regions'!I3111+"$F;@!&amp;_N"</f>
        <v>#VALUE!</v>
      </c>
      <c r="CN113" t="e">
        <f>'All regions'!A3112+"$F;@!&amp;_O"</f>
        <v>#VALUE!</v>
      </c>
      <c r="CO113" t="e">
        <f>'All regions'!B3112+"$F;@!&amp;_P"</f>
        <v>#VALUE!</v>
      </c>
      <c r="CP113" t="e">
        <f>'All regions'!C3112+"$F;@!&amp;_Q"</f>
        <v>#VALUE!</v>
      </c>
      <c r="CQ113" t="e">
        <f>'All regions'!D3112+"$F;@!&amp;_R"</f>
        <v>#VALUE!</v>
      </c>
      <c r="CR113" t="e">
        <f>'All regions'!E3112+"$F;@!&amp;_S"</f>
        <v>#VALUE!</v>
      </c>
      <c r="CS113" t="e">
        <f>'All regions'!F3112+"$F;@!&amp;_T"</f>
        <v>#VALUE!</v>
      </c>
      <c r="CT113" t="e">
        <f>'All regions'!G3112+"$F;@!&amp;_U"</f>
        <v>#VALUE!</v>
      </c>
      <c r="CU113" t="e">
        <f>'All regions'!H3112+"$F;@!&amp;_V"</f>
        <v>#VALUE!</v>
      </c>
      <c r="CV113" t="e">
        <f>'All regions'!I3112+"$F;@!&amp;_W"</f>
        <v>#VALUE!</v>
      </c>
      <c r="CW113" t="e">
        <f>'All regions'!A3113+"$F;@!&amp;_X"</f>
        <v>#VALUE!</v>
      </c>
      <c r="CX113" t="e">
        <f>'All regions'!B3113+"$F;@!&amp;_Y"</f>
        <v>#VALUE!</v>
      </c>
      <c r="CY113" t="e">
        <f>'All regions'!C3113+"$F;@!&amp;_Z"</f>
        <v>#VALUE!</v>
      </c>
      <c r="CZ113" t="e">
        <f>'All regions'!D3113+"$F;@!&amp;_["</f>
        <v>#VALUE!</v>
      </c>
      <c r="DA113" t="e">
        <f>'All regions'!E3113+"$F;@!&amp;_\"</f>
        <v>#VALUE!</v>
      </c>
      <c r="DB113" t="e">
        <f>'All regions'!F3113+"$F;@!&amp;_]"</f>
        <v>#VALUE!</v>
      </c>
      <c r="DC113" t="e">
        <f>'All regions'!G3113+"$F;@!&amp;_^"</f>
        <v>#VALUE!</v>
      </c>
      <c r="DD113" t="e">
        <f>'All regions'!H3113+"$F;@!&amp;__"</f>
        <v>#VALUE!</v>
      </c>
      <c r="DE113" t="e">
        <f>'All regions'!I3113+"$F;@!&amp;_`"</f>
        <v>#VALUE!</v>
      </c>
      <c r="DF113" t="e">
        <f>'All regions'!A3114+"$F;@!&amp;_a"</f>
        <v>#VALUE!</v>
      </c>
      <c r="DG113" t="e">
        <f>'All regions'!B3114+"$F;@!&amp;_b"</f>
        <v>#VALUE!</v>
      </c>
      <c r="DH113" t="e">
        <f>'All regions'!C3114+"$F;@!&amp;_c"</f>
        <v>#VALUE!</v>
      </c>
      <c r="DI113" t="e">
        <f>'All regions'!D3114+"$F;@!&amp;_d"</f>
        <v>#VALUE!</v>
      </c>
      <c r="DJ113" t="e">
        <f>'All regions'!E3114+"$F;@!&amp;_e"</f>
        <v>#VALUE!</v>
      </c>
      <c r="DK113" t="e">
        <f>'All regions'!F3114+"$F;@!&amp;_f"</f>
        <v>#VALUE!</v>
      </c>
      <c r="DL113" t="e">
        <f>'All regions'!G3114+"$F;@!&amp;_g"</f>
        <v>#VALUE!</v>
      </c>
      <c r="DM113" t="e">
        <f>'All regions'!H3114+"$F;@!&amp;_h"</f>
        <v>#VALUE!</v>
      </c>
      <c r="DN113" t="e">
        <f>'All regions'!I3114+"$F;@!&amp;_i"</f>
        <v>#VALUE!</v>
      </c>
      <c r="DO113" t="e">
        <f>'All regions'!A3115+"$F;@!&amp;_j"</f>
        <v>#VALUE!</v>
      </c>
      <c r="DP113" t="e">
        <f>'All regions'!B3115+"$F;@!&amp;_k"</f>
        <v>#VALUE!</v>
      </c>
      <c r="DQ113" t="e">
        <f>'All regions'!C3115+"$F;@!&amp;_l"</f>
        <v>#VALUE!</v>
      </c>
      <c r="DR113" t="e">
        <f>'All regions'!D3115+"$F;@!&amp;_m"</f>
        <v>#VALUE!</v>
      </c>
      <c r="DS113" t="e">
        <f>'All regions'!E3115+"$F;@!&amp;_n"</f>
        <v>#VALUE!</v>
      </c>
      <c r="DT113" t="e">
        <f>'All regions'!F3115+"$F;@!&amp;_o"</f>
        <v>#VALUE!</v>
      </c>
      <c r="DU113" t="e">
        <f>'All regions'!G3115+"$F;@!&amp;_p"</f>
        <v>#VALUE!</v>
      </c>
      <c r="DV113" t="e">
        <f>'All regions'!H3115+"$F;@!&amp;_q"</f>
        <v>#VALUE!</v>
      </c>
      <c r="DW113" t="e">
        <f>'All regions'!I3115+"$F;@!&amp;_r"</f>
        <v>#VALUE!</v>
      </c>
      <c r="DX113" t="e">
        <f>'All regions'!A3116+"$F;@!&amp;_s"</f>
        <v>#VALUE!</v>
      </c>
      <c r="DY113" t="e">
        <f>'All regions'!B3116+"$F;@!&amp;_t"</f>
        <v>#VALUE!</v>
      </c>
      <c r="DZ113" t="e">
        <f>'All regions'!C3116+"$F;@!&amp;_u"</f>
        <v>#VALUE!</v>
      </c>
      <c r="EA113" t="e">
        <f>'All regions'!D3116+"$F;@!&amp;_v"</f>
        <v>#VALUE!</v>
      </c>
      <c r="EB113" t="e">
        <f>'All regions'!E3116+"$F;@!&amp;_w"</f>
        <v>#VALUE!</v>
      </c>
      <c r="EC113" t="e">
        <f>'All regions'!F3116+"$F;@!&amp;_x"</f>
        <v>#VALUE!</v>
      </c>
      <c r="ED113" t="e">
        <f>'All regions'!G3116+"$F;@!&amp;_y"</f>
        <v>#VALUE!</v>
      </c>
      <c r="EE113" t="e">
        <f>'All regions'!H3116+"$F;@!&amp;_z"</f>
        <v>#VALUE!</v>
      </c>
      <c r="EF113" t="e">
        <f>'All regions'!I3116+"$F;@!&amp;_{"</f>
        <v>#VALUE!</v>
      </c>
      <c r="EG113" t="e">
        <f>'All regions'!A3117+"$F;@!&amp;_|"</f>
        <v>#VALUE!</v>
      </c>
      <c r="EH113" t="e">
        <f>'All regions'!B3117+"$F;@!&amp;_}"</f>
        <v>#VALUE!</v>
      </c>
      <c r="EI113" t="e">
        <f>'All regions'!C3117+"$F;@!&amp;_~"</f>
        <v>#VALUE!</v>
      </c>
      <c r="EJ113" t="e">
        <f>'All regions'!D3117+"$F;@!&amp;`#"</f>
        <v>#VALUE!</v>
      </c>
      <c r="EK113" t="e">
        <f>'All regions'!E3117+"$F;@!&amp;`$"</f>
        <v>#VALUE!</v>
      </c>
      <c r="EL113" t="e">
        <f>'All regions'!F3117+"$F;@!&amp;`%"</f>
        <v>#VALUE!</v>
      </c>
      <c r="EM113" t="e">
        <f>'All regions'!G3117+"$F;@!&amp;`&amp;"</f>
        <v>#VALUE!</v>
      </c>
      <c r="EN113" t="e">
        <f>'All regions'!H3117+"$F;@!&amp;`'"</f>
        <v>#VALUE!</v>
      </c>
      <c r="EO113" t="e">
        <f>'All regions'!I3117+"$F;@!&amp;`("</f>
        <v>#VALUE!</v>
      </c>
      <c r="EP113" t="e">
        <f>'All regions'!A3118+"$F;@!&amp;`)"</f>
        <v>#VALUE!</v>
      </c>
      <c r="EQ113" t="e">
        <f>'All regions'!B3118+"$F;@!&amp;`."</f>
        <v>#VALUE!</v>
      </c>
      <c r="ER113" t="e">
        <f>'All regions'!C3118+"$F;@!&amp;`/"</f>
        <v>#VALUE!</v>
      </c>
      <c r="ES113" t="e">
        <f>'All regions'!D3118+"$F;@!&amp;`0"</f>
        <v>#VALUE!</v>
      </c>
      <c r="ET113" t="e">
        <f>'All regions'!E3118+"$F;@!&amp;`1"</f>
        <v>#VALUE!</v>
      </c>
      <c r="EU113" t="e">
        <f>'All regions'!F3118+"$F;@!&amp;`2"</f>
        <v>#VALUE!</v>
      </c>
      <c r="EV113" t="e">
        <f>'All regions'!G3118+"$F;@!&amp;`3"</f>
        <v>#VALUE!</v>
      </c>
      <c r="EW113" t="e">
        <f>'All regions'!H3118+"$F;@!&amp;`4"</f>
        <v>#VALUE!</v>
      </c>
      <c r="EX113" t="e">
        <f>'All regions'!I3118+"$F;@!&amp;`5"</f>
        <v>#VALUE!</v>
      </c>
      <c r="EY113" t="e">
        <f>'All regions'!A3119+"$F;@!&amp;`6"</f>
        <v>#VALUE!</v>
      </c>
      <c r="EZ113" t="e">
        <f>'All regions'!B3119+"$F;@!&amp;`7"</f>
        <v>#VALUE!</v>
      </c>
      <c r="FA113" t="e">
        <f>'All regions'!C3119+"$F;@!&amp;`8"</f>
        <v>#VALUE!</v>
      </c>
      <c r="FB113" t="e">
        <f>'All regions'!D3119+"$F;@!&amp;`9"</f>
        <v>#VALUE!</v>
      </c>
      <c r="FC113" t="e">
        <f>'All regions'!E3119+"$F;@!&amp;`:"</f>
        <v>#VALUE!</v>
      </c>
      <c r="FD113" t="e">
        <f>'All regions'!F3119+"$F;@!&amp;`;"</f>
        <v>#VALUE!</v>
      </c>
      <c r="FE113" t="e">
        <f>'All regions'!G3119+"$F;@!&amp;`&lt;"</f>
        <v>#VALUE!</v>
      </c>
      <c r="FF113" t="e">
        <f>'All regions'!H3119+"$F;@!&amp;`="</f>
        <v>#VALUE!</v>
      </c>
      <c r="FG113" t="e">
        <f>'All regions'!I3119+"$F;@!&amp;`&gt;"</f>
        <v>#VALUE!</v>
      </c>
      <c r="FH113" t="e">
        <f>'All regions'!A3120+"$F;@!&amp;`?"</f>
        <v>#VALUE!</v>
      </c>
      <c r="FI113" t="e">
        <f>'All regions'!B3120+"$F;@!&amp;`@"</f>
        <v>#VALUE!</v>
      </c>
      <c r="FJ113" t="e">
        <f>'All regions'!C3120+"$F;@!&amp;`A"</f>
        <v>#VALUE!</v>
      </c>
      <c r="FK113" t="e">
        <f>'All regions'!D3120+"$F;@!&amp;`B"</f>
        <v>#VALUE!</v>
      </c>
      <c r="FL113" t="e">
        <f>'All regions'!E3120+"$F;@!&amp;`C"</f>
        <v>#VALUE!</v>
      </c>
      <c r="FM113" t="e">
        <f>'All regions'!F3120+"$F;@!&amp;`D"</f>
        <v>#VALUE!</v>
      </c>
      <c r="FN113" t="e">
        <f>'All regions'!G3120+"$F;@!&amp;`E"</f>
        <v>#VALUE!</v>
      </c>
      <c r="FO113" t="e">
        <f>'All regions'!H3120+"$F;@!&amp;`F"</f>
        <v>#VALUE!</v>
      </c>
      <c r="FP113" t="e">
        <f>'All regions'!I3120+"$F;@!&amp;`G"</f>
        <v>#VALUE!</v>
      </c>
      <c r="FQ113" t="e">
        <f>'All regions'!A3121+"$F;@!&amp;`H"</f>
        <v>#VALUE!</v>
      </c>
      <c r="FR113" t="e">
        <f>'All regions'!B3121+"$F;@!&amp;`I"</f>
        <v>#VALUE!</v>
      </c>
      <c r="FS113" t="e">
        <f>'All regions'!C3121+"$F;@!&amp;`J"</f>
        <v>#VALUE!</v>
      </c>
      <c r="FT113" t="e">
        <f>'All regions'!D3121+"$F;@!&amp;`K"</f>
        <v>#VALUE!</v>
      </c>
      <c r="FU113" t="e">
        <f>'All regions'!E3121+"$F;@!&amp;`L"</f>
        <v>#VALUE!</v>
      </c>
      <c r="FV113" t="e">
        <f>'All regions'!F3121+"$F;@!&amp;`M"</f>
        <v>#VALUE!</v>
      </c>
      <c r="FW113" t="e">
        <f>'All regions'!G3121+"$F;@!&amp;`N"</f>
        <v>#VALUE!</v>
      </c>
      <c r="FX113" t="e">
        <f>'All regions'!H3121+"$F;@!&amp;`O"</f>
        <v>#VALUE!</v>
      </c>
      <c r="FY113" t="e">
        <f>'All regions'!I3121+"$F;@!&amp;`P"</f>
        <v>#VALUE!</v>
      </c>
      <c r="FZ113" t="e">
        <f>'All regions'!A3122+"$F;@!&amp;`Q"</f>
        <v>#VALUE!</v>
      </c>
      <c r="GA113" t="e">
        <f>'All regions'!B3122+"$F;@!&amp;`R"</f>
        <v>#VALUE!</v>
      </c>
      <c r="GB113" t="e">
        <f>'All regions'!C3122+"$F;@!&amp;`S"</f>
        <v>#VALUE!</v>
      </c>
      <c r="GC113" t="e">
        <f>'All regions'!D3122+"$F;@!&amp;`T"</f>
        <v>#VALUE!</v>
      </c>
      <c r="GD113" t="e">
        <f>'All regions'!E3122+"$F;@!&amp;`U"</f>
        <v>#VALUE!</v>
      </c>
      <c r="GE113" t="e">
        <f>'All regions'!F3122+"$F;@!&amp;`V"</f>
        <v>#VALUE!</v>
      </c>
      <c r="GF113" t="e">
        <f>'All regions'!G3122+"$F;@!&amp;`W"</f>
        <v>#VALUE!</v>
      </c>
      <c r="GG113" t="e">
        <f>'All regions'!H3122+"$F;@!&amp;`X"</f>
        <v>#VALUE!</v>
      </c>
      <c r="GH113" t="e">
        <f>'All regions'!I3122+"$F;@!&amp;`Y"</f>
        <v>#VALUE!</v>
      </c>
      <c r="GI113" t="e">
        <f>'All regions'!A3123+"$F;@!&amp;`Z"</f>
        <v>#VALUE!</v>
      </c>
      <c r="GJ113" t="e">
        <f>'All regions'!B3123+"$F;@!&amp;`["</f>
        <v>#VALUE!</v>
      </c>
      <c r="GK113" t="e">
        <f>'All regions'!C3123+"$F;@!&amp;`\"</f>
        <v>#VALUE!</v>
      </c>
      <c r="GL113" t="e">
        <f>'All regions'!D3123+"$F;@!&amp;`]"</f>
        <v>#VALUE!</v>
      </c>
      <c r="GM113" t="e">
        <f>'All regions'!E3123+"$F;@!&amp;`^"</f>
        <v>#VALUE!</v>
      </c>
      <c r="GN113" t="e">
        <f>'All regions'!F3123+"$F;@!&amp;`_"</f>
        <v>#VALUE!</v>
      </c>
      <c r="GO113" t="e">
        <f>'All regions'!G3123+"$F;@!&amp;``"</f>
        <v>#VALUE!</v>
      </c>
      <c r="GP113" t="e">
        <f>'All regions'!H3123+"$F;@!&amp;`a"</f>
        <v>#VALUE!</v>
      </c>
      <c r="GQ113" t="e">
        <f>'All regions'!I3123+"$F;@!&amp;`b"</f>
        <v>#VALUE!</v>
      </c>
      <c r="GR113" t="e">
        <f>'All regions'!A3124+"$F;@!&amp;`c"</f>
        <v>#VALUE!</v>
      </c>
      <c r="GS113" t="e">
        <f>'All regions'!B3124+"$F;@!&amp;`d"</f>
        <v>#VALUE!</v>
      </c>
      <c r="GT113" t="e">
        <f>'All regions'!C3124+"$F;@!&amp;`e"</f>
        <v>#VALUE!</v>
      </c>
      <c r="GU113" t="e">
        <f>'All regions'!D3124+"$F;@!&amp;`f"</f>
        <v>#VALUE!</v>
      </c>
      <c r="GV113" t="e">
        <f>'All regions'!E3124+"$F;@!&amp;`g"</f>
        <v>#VALUE!</v>
      </c>
      <c r="GW113" t="e">
        <f>'All regions'!F3124+"$F;@!&amp;`h"</f>
        <v>#VALUE!</v>
      </c>
      <c r="GX113" t="e">
        <f>'All regions'!G3124+"$F;@!&amp;`i"</f>
        <v>#VALUE!</v>
      </c>
      <c r="GY113" t="e">
        <f>'All regions'!H3124+"$F;@!&amp;`j"</f>
        <v>#VALUE!</v>
      </c>
      <c r="GZ113" t="e">
        <f>'All regions'!I3124+"$F;@!&amp;`k"</f>
        <v>#VALUE!</v>
      </c>
      <c r="HA113" t="e">
        <f>'All regions'!A3125+"$F;@!&amp;`l"</f>
        <v>#VALUE!</v>
      </c>
      <c r="HB113" t="e">
        <f>'All regions'!B3125+"$F;@!&amp;`m"</f>
        <v>#VALUE!</v>
      </c>
      <c r="HC113" t="e">
        <f>'All regions'!C3125+"$F;@!&amp;`n"</f>
        <v>#VALUE!</v>
      </c>
      <c r="HD113" t="e">
        <f>'All regions'!D3125+"$F;@!&amp;`o"</f>
        <v>#VALUE!</v>
      </c>
      <c r="HE113" t="e">
        <f>'All regions'!E3125+"$F;@!&amp;`p"</f>
        <v>#VALUE!</v>
      </c>
      <c r="HF113" t="e">
        <f>'All regions'!F3125+"$F;@!&amp;`q"</f>
        <v>#VALUE!</v>
      </c>
      <c r="HG113" t="e">
        <f>'All regions'!G3125+"$F;@!&amp;`r"</f>
        <v>#VALUE!</v>
      </c>
      <c r="HH113" t="e">
        <f>'All regions'!H3125+"$F;@!&amp;`s"</f>
        <v>#VALUE!</v>
      </c>
      <c r="HI113" t="e">
        <f>'All regions'!I3125+"$F;@!&amp;`t"</f>
        <v>#VALUE!</v>
      </c>
      <c r="HJ113" t="e">
        <f>'All regions'!A3126+"$F;@!&amp;`u"</f>
        <v>#VALUE!</v>
      </c>
      <c r="HK113" t="e">
        <f>'All regions'!B3126+"$F;@!&amp;`v"</f>
        <v>#VALUE!</v>
      </c>
      <c r="HL113" t="e">
        <f>'All regions'!C3126+"$F;@!&amp;`w"</f>
        <v>#VALUE!</v>
      </c>
      <c r="HM113" t="e">
        <f>'All regions'!D3126+"$F;@!&amp;`x"</f>
        <v>#VALUE!</v>
      </c>
      <c r="HN113" t="e">
        <f>'All regions'!E3126+"$F;@!&amp;`y"</f>
        <v>#VALUE!</v>
      </c>
      <c r="HO113" t="e">
        <f>'All regions'!F3126+"$F;@!&amp;`z"</f>
        <v>#VALUE!</v>
      </c>
      <c r="HP113" t="e">
        <f>'All regions'!G3126+"$F;@!&amp;`{"</f>
        <v>#VALUE!</v>
      </c>
      <c r="HQ113" t="e">
        <f>'All regions'!H3126+"$F;@!&amp;`|"</f>
        <v>#VALUE!</v>
      </c>
      <c r="HR113" t="e">
        <f>'All regions'!I3126+"$F;@!&amp;`}"</f>
        <v>#VALUE!</v>
      </c>
      <c r="HS113" t="e">
        <f>'All regions'!A3127+"$F;@!&amp;`~"</f>
        <v>#VALUE!</v>
      </c>
      <c r="HT113" t="e">
        <f>'All regions'!B3127+"$F;@!&amp;a#"</f>
        <v>#VALUE!</v>
      </c>
      <c r="HU113" t="e">
        <f>'All regions'!C3127+"$F;@!&amp;a$"</f>
        <v>#VALUE!</v>
      </c>
      <c r="HV113" t="e">
        <f>'All regions'!D3127+"$F;@!&amp;a%"</f>
        <v>#VALUE!</v>
      </c>
      <c r="HW113" t="e">
        <f>'All regions'!E3127+"$F;@!&amp;a&amp;"</f>
        <v>#VALUE!</v>
      </c>
      <c r="HX113" t="e">
        <f>'All regions'!F3127+"$F;@!&amp;a'"</f>
        <v>#VALUE!</v>
      </c>
      <c r="HY113" t="e">
        <f>'All regions'!G3127+"$F;@!&amp;a("</f>
        <v>#VALUE!</v>
      </c>
      <c r="HZ113" t="e">
        <f>'All regions'!H3127+"$F;@!&amp;a)"</f>
        <v>#VALUE!</v>
      </c>
      <c r="IA113" t="e">
        <f>'All regions'!I3127+"$F;@!&amp;a."</f>
        <v>#VALUE!</v>
      </c>
      <c r="IB113" t="e">
        <f>'All regions'!A3128+"$F;@!&amp;a/"</f>
        <v>#VALUE!</v>
      </c>
      <c r="IC113" t="e">
        <f>'All regions'!B3128+"$F;@!&amp;a0"</f>
        <v>#VALUE!</v>
      </c>
      <c r="ID113" t="e">
        <f>'All regions'!C3128+"$F;@!&amp;a1"</f>
        <v>#VALUE!</v>
      </c>
      <c r="IE113" t="e">
        <f>'All regions'!D3128+"$F;@!&amp;a2"</f>
        <v>#VALUE!</v>
      </c>
      <c r="IF113" t="e">
        <f>'All regions'!E3128+"$F;@!&amp;a3"</f>
        <v>#VALUE!</v>
      </c>
      <c r="IG113" t="e">
        <f>'All regions'!F3128+"$F;@!&amp;a4"</f>
        <v>#VALUE!</v>
      </c>
      <c r="IH113" t="e">
        <f>'All regions'!G3128+"$F;@!&amp;a5"</f>
        <v>#VALUE!</v>
      </c>
      <c r="II113" t="e">
        <f>'All regions'!H3128+"$F;@!&amp;a6"</f>
        <v>#VALUE!</v>
      </c>
      <c r="IJ113" t="e">
        <f>'All regions'!I3128+"$F;@!&amp;a7"</f>
        <v>#VALUE!</v>
      </c>
      <c r="IK113" t="e">
        <f>'All regions'!A3129+"$F;@!&amp;a8"</f>
        <v>#VALUE!</v>
      </c>
      <c r="IL113" t="e">
        <f>'All regions'!B3129+"$F;@!&amp;a9"</f>
        <v>#VALUE!</v>
      </c>
      <c r="IM113" t="e">
        <f>'All regions'!C3129+"$F;@!&amp;a:"</f>
        <v>#VALUE!</v>
      </c>
      <c r="IN113" t="e">
        <f>'All regions'!D3129+"$F;@!&amp;a;"</f>
        <v>#VALUE!</v>
      </c>
      <c r="IO113" t="e">
        <f>'All regions'!E3129+"$F;@!&amp;a&lt;"</f>
        <v>#VALUE!</v>
      </c>
      <c r="IP113" t="e">
        <f>'All regions'!F3129+"$F;@!&amp;a="</f>
        <v>#VALUE!</v>
      </c>
      <c r="IQ113" t="e">
        <f>'All regions'!G3129+"$F;@!&amp;a&gt;"</f>
        <v>#VALUE!</v>
      </c>
      <c r="IR113" t="e">
        <f>'All regions'!H3129+"$F;@!&amp;a?"</f>
        <v>#VALUE!</v>
      </c>
      <c r="IS113" t="e">
        <f>'All regions'!I3129+"$F;@!&amp;a@"</f>
        <v>#VALUE!</v>
      </c>
      <c r="IT113" t="e">
        <f>'All regions'!A3130+"$F;@!&amp;aA"</f>
        <v>#VALUE!</v>
      </c>
      <c r="IU113" t="e">
        <f>'All regions'!B3130+"$F;@!&amp;aB"</f>
        <v>#VALUE!</v>
      </c>
      <c r="IV113" t="e">
        <f>'All regions'!C3130+"$F;@!&amp;aC"</f>
        <v>#VALUE!</v>
      </c>
    </row>
    <row r="114" spans="6:256" x14ac:dyDescent="0.35">
      <c r="F114" t="e">
        <f>'All regions'!D3130+"$F;@!&amp;aD"</f>
        <v>#VALUE!</v>
      </c>
      <c r="G114" t="e">
        <f>'All regions'!E3130+"$F;@!&amp;aE"</f>
        <v>#VALUE!</v>
      </c>
      <c r="H114" t="e">
        <f>'All regions'!F3130+"$F;@!&amp;aF"</f>
        <v>#VALUE!</v>
      </c>
      <c r="I114" t="e">
        <f>'All regions'!G3130+"$F;@!&amp;aG"</f>
        <v>#VALUE!</v>
      </c>
      <c r="J114" t="e">
        <f>'All regions'!H3130+"$F;@!&amp;aH"</f>
        <v>#VALUE!</v>
      </c>
      <c r="K114" t="e">
        <f>'All regions'!I3130+"$F;@!&amp;aI"</f>
        <v>#VALUE!</v>
      </c>
      <c r="L114" t="e">
        <f>'All regions'!A3131+"$F;@!&amp;aJ"</f>
        <v>#VALUE!</v>
      </c>
      <c r="M114" t="e">
        <f>'All regions'!B3131+"$F;@!&amp;aK"</f>
        <v>#VALUE!</v>
      </c>
      <c r="N114" t="e">
        <f>'All regions'!C3131+"$F;@!&amp;aL"</f>
        <v>#VALUE!</v>
      </c>
      <c r="O114" t="e">
        <f>'All regions'!D3131+"$F;@!&amp;aM"</f>
        <v>#VALUE!</v>
      </c>
      <c r="P114" t="e">
        <f>'All regions'!E3131+"$F;@!&amp;aN"</f>
        <v>#VALUE!</v>
      </c>
      <c r="Q114" t="e">
        <f>'All regions'!F3131+"$F;@!&amp;aO"</f>
        <v>#VALUE!</v>
      </c>
      <c r="R114" t="e">
        <f>'All regions'!G3131+"$F;@!&amp;aP"</f>
        <v>#VALUE!</v>
      </c>
      <c r="S114" t="e">
        <f>'All regions'!H3131+"$F;@!&amp;aQ"</f>
        <v>#VALUE!</v>
      </c>
      <c r="T114" t="e">
        <f>'All regions'!I3131+"$F;@!&amp;aR"</f>
        <v>#VALUE!</v>
      </c>
      <c r="U114" t="e">
        <f>'All regions'!A3132+"$F;@!&amp;aS"</f>
        <v>#VALUE!</v>
      </c>
      <c r="V114" t="e">
        <f>'All regions'!B3132+"$F;@!&amp;aT"</f>
        <v>#VALUE!</v>
      </c>
      <c r="W114" t="e">
        <f>'All regions'!C3132+"$F;@!&amp;aU"</f>
        <v>#VALUE!</v>
      </c>
      <c r="X114" t="e">
        <f>'All regions'!D3132+"$F;@!&amp;aV"</f>
        <v>#VALUE!</v>
      </c>
      <c r="Y114" t="e">
        <f>'All regions'!E3132+"$F;@!&amp;aW"</f>
        <v>#VALUE!</v>
      </c>
      <c r="Z114" t="e">
        <f>'All regions'!F3132+"$F;@!&amp;aX"</f>
        <v>#VALUE!</v>
      </c>
      <c r="AA114" t="e">
        <f>'All regions'!G3132+"$F;@!&amp;aY"</f>
        <v>#VALUE!</v>
      </c>
      <c r="AB114" t="e">
        <f>'All regions'!H3132+"$F;@!&amp;aZ"</f>
        <v>#VALUE!</v>
      </c>
      <c r="AC114" t="e">
        <f>'All regions'!I3132+"$F;@!&amp;a["</f>
        <v>#VALUE!</v>
      </c>
      <c r="AD114" t="e">
        <f>'All regions'!A3133+"$F;@!&amp;a\"</f>
        <v>#VALUE!</v>
      </c>
      <c r="AE114" t="e">
        <f>'All regions'!B3133+"$F;@!&amp;a]"</f>
        <v>#VALUE!</v>
      </c>
      <c r="AF114" t="e">
        <f>'All regions'!C3133+"$F;@!&amp;a^"</f>
        <v>#VALUE!</v>
      </c>
      <c r="AG114" t="e">
        <f>'All regions'!D3133+"$F;@!&amp;a_"</f>
        <v>#VALUE!</v>
      </c>
      <c r="AH114" t="e">
        <f>'All regions'!E3133+"$F;@!&amp;a`"</f>
        <v>#VALUE!</v>
      </c>
      <c r="AI114" t="e">
        <f>'All regions'!F3133+"$F;@!&amp;aa"</f>
        <v>#VALUE!</v>
      </c>
      <c r="AJ114" t="e">
        <f>'All regions'!G3133+"$F;@!&amp;ab"</f>
        <v>#VALUE!</v>
      </c>
      <c r="AK114" t="e">
        <f>'All regions'!H3133+"$F;@!&amp;ac"</f>
        <v>#VALUE!</v>
      </c>
      <c r="AL114" t="e">
        <f>'All regions'!I3133+"$F;@!&amp;ad"</f>
        <v>#VALUE!</v>
      </c>
      <c r="AM114" t="e">
        <f>'All regions'!A3134+"$F;@!&amp;ae"</f>
        <v>#VALUE!</v>
      </c>
      <c r="AN114" t="e">
        <f>'All regions'!B3134+"$F;@!&amp;af"</f>
        <v>#VALUE!</v>
      </c>
      <c r="AO114" t="e">
        <f>'All regions'!C3134+"$F;@!&amp;ag"</f>
        <v>#VALUE!</v>
      </c>
      <c r="AP114" t="e">
        <f>'All regions'!D3134+"$F;@!&amp;ah"</f>
        <v>#VALUE!</v>
      </c>
      <c r="AQ114" t="e">
        <f>'All regions'!E3134+"$F;@!&amp;ai"</f>
        <v>#VALUE!</v>
      </c>
      <c r="AR114" t="e">
        <f>'All regions'!F3134+"$F;@!&amp;aj"</f>
        <v>#VALUE!</v>
      </c>
      <c r="AS114" t="e">
        <f>'All regions'!G3134+"$F;@!&amp;ak"</f>
        <v>#VALUE!</v>
      </c>
      <c r="AT114" t="e">
        <f>'All regions'!H3134+"$F;@!&amp;al"</f>
        <v>#VALUE!</v>
      </c>
      <c r="AU114" t="e">
        <f>'All regions'!I3134+"$F;@!&amp;am"</f>
        <v>#VALUE!</v>
      </c>
      <c r="AV114" t="e">
        <f>'All regions'!A3135+"$F;@!&amp;an"</f>
        <v>#VALUE!</v>
      </c>
      <c r="AW114" t="e">
        <f>'All regions'!B3135+"$F;@!&amp;ao"</f>
        <v>#VALUE!</v>
      </c>
      <c r="AX114" t="e">
        <f>'All regions'!C3135+"$F;@!&amp;ap"</f>
        <v>#VALUE!</v>
      </c>
      <c r="AY114" t="e">
        <f>'All regions'!D3135+"$F;@!&amp;aq"</f>
        <v>#VALUE!</v>
      </c>
      <c r="AZ114" t="e">
        <f>'All regions'!E3135+"$F;@!&amp;ar"</f>
        <v>#VALUE!</v>
      </c>
      <c r="BA114" t="e">
        <f>'All regions'!F3135+"$F;@!&amp;as"</f>
        <v>#VALUE!</v>
      </c>
      <c r="BB114" t="e">
        <f>'All regions'!G3135+"$F;@!&amp;at"</f>
        <v>#VALUE!</v>
      </c>
      <c r="BC114" t="e">
        <f>'All regions'!H3135+"$F;@!&amp;au"</f>
        <v>#VALUE!</v>
      </c>
      <c r="BD114" t="e">
        <f>'All regions'!I3135+"$F;@!&amp;av"</f>
        <v>#VALUE!</v>
      </c>
      <c r="BE114" t="e">
        <f>'All regions'!A3136+"$F;@!&amp;aw"</f>
        <v>#VALUE!</v>
      </c>
      <c r="BF114" t="e">
        <f>'All regions'!B3136+"$F;@!&amp;ax"</f>
        <v>#VALUE!</v>
      </c>
      <c r="BG114" t="e">
        <f>'All regions'!C3136+"$F;@!&amp;ay"</f>
        <v>#VALUE!</v>
      </c>
      <c r="BH114" t="e">
        <f>'All regions'!D3136+"$F;@!&amp;az"</f>
        <v>#VALUE!</v>
      </c>
      <c r="BI114" t="e">
        <f>'All regions'!E3136+"$F;@!&amp;a{"</f>
        <v>#VALUE!</v>
      </c>
      <c r="BJ114" t="e">
        <f>'All regions'!F3136+"$F;@!&amp;a|"</f>
        <v>#VALUE!</v>
      </c>
      <c r="BK114" t="e">
        <f>'All regions'!G3136+"$F;@!&amp;a}"</f>
        <v>#VALUE!</v>
      </c>
      <c r="BL114" t="e">
        <f>'All regions'!H3136+"$F;@!&amp;a~"</f>
        <v>#VALUE!</v>
      </c>
      <c r="BM114" t="e">
        <f>'All regions'!I3136+"$F;@!&amp;b#"</f>
        <v>#VALUE!</v>
      </c>
      <c r="BN114" t="e">
        <f>'All regions'!A3137+"$F;@!&amp;b$"</f>
        <v>#VALUE!</v>
      </c>
      <c r="BO114" t="e">
        <f>'All regions'!B3137+"$F;@!&amp;b%"</f>
        <v>#VALUE!</v>
      </c>
      <c r="BP114" t="e">
        <f>'All regions'!C3137+"$F;@!&amp;b&amp;"</f>
        <v>#VALUE!</v>
      </c>
      <c r="BQ114" t="e">
        <f>'All regions'!D3137+"$F;@!&amp;b'"</f>
        <v>#VALUE!</v>
      </c>
      <c r="BR114" t="e">
        <f>'All regions'!E3137+"$F;@!&amp;b("</f>
        <v>#VALUE!</v>
      </c>
      <c r="BS114" t="e">
        <f>'All regions'!F3137+"$F;@!&amp;b)"</f>
        <v>#VALUE!</v>
      </c>
      <c r="BT114" t="e">
        <f>'All regions'!G3137+"$F;@!&amp;b."</f>
        <v>#VALUE!</v>
      </c>
      <c r="BU114" t="e">
        <f>'All regions'!H3137+"$F;@!&amp;b/"</f>
        <v>#VALUE!</v>
      </c>
      <c r="BV114" t="e">
        <f>'All regions'!I3137+"$F;@!&amp;b0"</f>
        <v>#VALUE!</v>
      </c>
      <c r="BW114" t="e">
        <f>'All regions'!A3138+"$F;@!&amp;b1"</f>
        <v>#VALUE!</v>
      </c>
      <c r="BX114" t="e">
        <f>'All regions'!B3138+"$F;@!&amp;b2"</f>
        <v>#VALUE!</v>
      </c>
      <c r="BY114" t="e">
        <f>'All regions'!C3138+"$F;@!&amp;b3"</f>
        <v>#VALUE!</v>
      </c>
      <c r="BZ114" t="e">
        <f>'All regions'!D3138+"$F;@!&amp;b4"</f>
        <v>#VALUE!</v>
      </c>
      <c r="CA114" t="e">
        <f>'All regions'!E3138+"$F;@!&amp;b5"</f>
        <v>#VALUE!</v>
      </c>
      <c r="CB114" t="e">
        <f>'All regions'!F3138+"$F;@!&amp;b6"</f>
        <v>#VALUE!</v>
      </c>
      <c r="CC114" t="e">
        <f>'All regions'!G3138+"$F;@!&amp;b7"</f>
        <v>#VALUE!</v>
      </c>
      <c r="CD114" t="e">
        <f>'All regions'!H3138+"$F;@!&amp;b8"</f>
        <v>#VALUE!</v>
      </c>
      <c r="CE114" t="e">
        <f>'All regions'!I3138+"$F;@!&amp;b9"</f>
        <v>#VALUE!</v>
      </c>
      <c r="CF114" t="e">
        <f>'All regions'!A3139+"$F;@!&amp;b:"</f>
        <v>#VALUE!</v>
      </c>
      <c r="CG114" t="e">
        <f>'All regions'!B3139+"$F;@!&amp;b;"</f>
        <v>#VALUE!</v>
      </c>
      <c r="CH114" t="e">
        <f>'All regions'!C3139+"$F;@!&amp;b&lt;"</f>
        <v>#VALUE!</v>
      </c>
      <c r="CI114" t="e">
        <f>'All regions'!D3139+"$F;@!&amp;b="</f>
        <v>#VALUE!</v>
      </c>
      <c r="CJ114" t="e">
        <f>'All regions'!E3139+"$F;@!&amp;b&gt;"</f>
        <v>#VALUE!</v>
      </c>
      <c r="CK114" t="e">
        <f>'All regions'!F3139+"$F;@!&amp;b?"</f>
        <v>#VALUE!</v>
      </c>
      <c r="CL114" t="e">
        <f>'All regions'!G3139+"$F;@!&amp;b@"</f>
        <v>#VALUE!</v>
      </c>
      <c r="CM114" t="e">
        <f>'All regions'!H3139+"$F;@!&amp;bA"</f>
        <v>#VALUE!</v>
      </c>
      <c r="CN114" t="e">
        <f>'All regions'!I3139+"$F;@!&amp;bB"</f>
        <v>#VALUE!</v>
      </c>
      <c r="CO114" t="e">
        <f>'All regions'!A3140+"$F;@!&amp;bC"</f>
        <v>#VALUE!</v>
      </c>
      <c r="CP114" t="e">
        <f>'All regions'!B3140+"$F;@!&amp;bD"</f>
        <v>#VALUE!</v>
      </c>
      <c r="CQ114" t="e">
        <f>'All regions'!C3140+"$F;@!&amp;bE"</f>
        <v>#VALUE!</v>
      </c>
      <c r="CR114" t="e">
        <f>'All regions'!D3140+"$F;@!&amp;bF"</f>
        <v>#VALUE!</v>
      </c>
      <c r="CS114" t="e">
        <f>'All regions'!E3140+"$F;@!&amp;bG"</f>
        <v>#VALUE!</v>
      </c>
      <c r="CT114" t="e">
        <f>'All regions'!F3140+"$F;@!&amp;bH"</f>
        <v>#VALUE!</v>
      </c>
      <c r="CU114" t="e">
        <f>'All regions'!G3140+"$F;@!&amp;bI"</f>
        <v>#VALUE!</v>
      </c>
      <c r="CV114" t="e">
        <f>'All regions'!H3140+"$F;@!&amp;bJ"</f>
        <v>#VALUE!</v>
      </c>
      <c r="CW114" t="e">
        <f>'All regions'!I3140+"$F;@!&amp;bK"</f>
        <v>#VALUE!</v>
      </c>
      <c r="CX114" t="e">
        <f>'All regions'!A3141+"$F;@!&amp;bL"</f>
        <v>#VALUE!</v>
      </c>
      <c r="CY114" t="e">
        <f>'All regions'!B3141+"$F;@!&amp;bM"</f>
        <v>#VALUE!</v>
      </c>
      <c r="CZ114" t="e">
        <f>'All regions'!C3141+"$F;@!&amp;bN"</f>
        <v>#VALUE!</v>
      </c>
      <c r="DA114" t="e">
        <f>'All regions'!D3141+"$F;@!&amp;bO"</f>
        <v>#VALUE!</v>
      </c>
      <c r="DB114" t="e">
        <f>'All regions'!E3141+"$F;@!&amp;bP"</f>
        <v>#VALUE!</v>
      </c>
      <c r="DC114" t="e">
        <f>'All regions'!F3141+"$F;@!&amp;bQ"</f>
        <v>#VALUE!</v>
      </c>
      <c r="DD114" t="e">
        <f>'All regions'!G3141+"$F;@!&amp;bR"</f>
        <v>#VALUE!</v>
      </c>
      <c r="DE114" t="e">
        <f>'All regions'!H3141+"$F;@!&amp;bS"</f>
        <v>#VALUE!</v>
      </c>
      <c r="DF114" t="e">
        <f>'All regions'!I3141+"$F;@!&amp;bT"</f>
        <v>#VALUE!</v>
      </c>
      <c r="DG114" t="e">
        <f>'All regions'!A3142+"$F;@!&amp;bU"</f>
        <v>#VALUE!</v>
      </c>
      <c r="DH114" t="e">
        <f>'All regions'!B3142+"$F;@!&amp;bV"</f>
        <v>#VALUE!</v>
      </c>
      <c r="DI114" t="e">
        <f>'All regions'!C3142+"$F;@!&amp;bW"</f>
        <v>#VALUE!</v>
      </c>
      <c r="DJ114" t="e">
        <f>'All regions'!D3142+"$F;@!&amp;bX"</f>
        <v>#VALUE!</v>
      </c>
      <c r="DK114" t="e">
        <f>'All regions'!E3142+"$F;@!&amp;bY"</f>
        <v>#VALUE!</v>
      </c>
      <c r="DL114" t="e">
        <f>'All regions'!F3142+"$F;@!&amp;bZ"</f>
        <v>#VALUE!</v>
      </c>
      <c r="DM114" t="e">
        <f>'All regions'!G3142+"$F;@!&amp;b["</f>
        <v>#VALUE!</v>
      </c>
      <c r="DN114" t="e">
        <f>'All regions'!H3142+"$F;@!&amp;b\"</f>
        <v>#VALUE!</v>
      </c>
      <c r="DO114" t="e">
        <f>'All regions'!I3142+"$F;@!&amp;b]"</f>
        <v>#VALUE!</v>
      </c>
      <c r="DP114" t="e">
        <f>'All regions'!A3143+"$F;@!&amp;b^"</f>
        <v>#VALUE!</v>
      </c>
      <c r="DQ114" t="e">
        <f>'All regions'!B3143+"$F;@!&amp;b_"</f>
        <v>#VALUE!</v>
      </c>
      <c r="DR114" t="e">
        <f>'All regions'!C3143+"$F;@!&amp;b`"</f>
        <v>#VALUE!</v>
      </c>
      <c r="DS114" t="e">
        <f>'All regions'!D3143+"$F;@!&amp;ba"</f>
        <v>#VALUE!</v>
      </c>
      <c r="DT114" t="e">
        <f>'All regions'!E3143+"$F;@!&amp;bb"</f>
        <v>#VALUE!</v>
      </c>
      <c r="DU114" t="e">
        <f>'All regions'!F3143+"$F;@!&amp;bc"</f>
        <v>#VALUE!</v>
      </c>
      <c r="DV114" t="e">
        <f>'All regions'!G3143+"$F;@!&amp;bd"</f>
        <v>#VALUE!</v>
      </c>
      <c r="DW114" t="e">
        <f>'All regions'!H3143+"$F;@!&amp;be"</f>
        <v>#VALUE!</v>
      </c>
      <c r="DX114" t="e">
        <f>'All regions'!I3143+"$F;@!&amp;bf"</f>
        <v>#VALUE!</v>
      </c>
      <c r="DY114" t="e">
        <f>'All regions'!A3144+"$F;@!&amp;bg"</f>
        <v>#VALUE!</v>
      </c>
      <c r="DZ114" t="e">
        <f>'All regions'!B3144+"$F;@!&amp;bh"</f>
        <v>#VALUE!</v>
      </c>
      <c r="EA114" t="e">
        <f>'All regions'!C3144+"$F;@!&amp;bi"</f>
        <v>#VALUE!</v>
      </c>
      <c r="EB114" t="e">
        <f>'All regions'!D3144+"$F;@!&amp;bj"</f>
        <v>#VALUE!</v>
      </c>
      <c r="EC114" t="e">
        <f>'All regions'!E3144+"$F;@!&amp;bk"</f>
        <v>#VALUE!</v>
      </c>
      <c r="ED114" t="e">
        <f>'All regions'!F3144+"$F;@!&amp;bl"</f>
        <v>#VALUE!</v>
      </c>
      <c r="EE114" t="e">
        <f>'All regions'!G3144+"$F;@!&amp;bm"</f>
        <v>#VALUE!</v>
      </c>
      <c r="EF114" t="e">
        <f>'All regions'!H3144+"$F;@!&amp;bn"</f>
        <v>#VALUE!</v>
      </c>
      <c r="EG114" t="e">
        <f>'All regions'!I3144+"$F;@!&amp;bo"</f>
        <v>#VALUE!</v>
      </c>
      <c r="EH114" t="e">
        <f>'All regions'!A3145+"$F;@!&amp;bp"</f>
        <v>#VALUE!</v>
      </c>
      <c r="EI114" t="e">
        <f>'All regions'!B3145+"$F;@!&amp;bq"</f>
        <v>#VALUE!</v>
      </c>
      <c r="EJ114" t="e">
        <f>'All regions'!C3145+"$F;@!&amp;br"</f>
        <v>#VALUE!</v>
      </c>
      <c r="EK114" t="e">
        <f>'All regions'!D3145+"$F;@!&amp;bs"</f>
        <v>#VALUE!</v>
      </c>
      <c r="EL114" t="e">
        <f>'All regions'!E3145+"$F;@!&amp;bt"</f>
        <v>#VALUE!</v>
      </c>
      <c r="EM114" t="e">
        <f>'All regions'!F3145+"$F;@!&amp;bu"</f>
        <v>#VALUE!</v>
      </c>
      <c r="EN114" t="e">
        <f>'All regions'!G3145+"$F;@!&amp;bv"</f>
        <v>#VALUE!</v>
      </c>
      <c r="EO114" t="e">
        <f>'All regions'!H3145+"$F;@!&amp;bw"</f>
        <v>#VALUE!</v>
      </c>
      <c r="EP114" t="e">
        <f>'All regions'!I3145+"$F;@!&amp;bx"</f>
        <v>#VALUE!</v>
      </c>
      <c r="EQ114" t="e">
        <f>'All regions'!A3146+"$F;@!&amp;by"</f>
        <v>#VALUE!</v>
      </c>
      <c r="ER114" t="e">
        <f>'All regions'!B3146+"$F;@!&amp;bz"</f>
        <v>#VALUE!</v>
      </c>
      <c r="ES114" t="e">
        <f>'All regions'!C3146+"$F;@!&amp;b{"</f>
        <v>#VALUE!</v>
      </c>
      <c r="ET114" t="e">
        <f>'All regions'!D3146+"$F;@!&amp;b|"</f>
        <v>#VALUE!</v>
      </c>
      <c r="EU114" t="e">
        <f>'All regions'!E3146+"$F;@!&amp;b}"</f>
        <v>#VALUE!</v>
      </c>
      <c r="EV114" t="e">
        <f>'All regions'!F3146+"$F;@!&amp;b~"</f>
        <v>#VALUE!</v>
      </c>
      <c r="EW114" t="e">
        <f>'All regions'!G3146+"$F;@!&amp;c#"</f>
        <v>#VALUE!</v>
      </c>
      <c r="EX114" t="e">
        <f>'All regions'!H3146+"$F;@!&amp;c$"</f>
        <v>#VALUE!</v>
      </c>
      <c r="EY114" t="e">
        <f>'All regions'!I3146+"$F;@!&amp;c%"</f>
        <v>#VALUE!</v>
      </c>
      <c r="EZ114" t="e">
        <f>'All regions'!A3147+"$F;@!&amp;c&amp;"</f>
        <v>#VALUE!</v>
      </c>
      <c r="FA114" t="e">
        <f>'All regions'!B3147+"$F;@!&amp;c'"</f>
        <v>#VALUE!</v>
      </c>
      <c r="FB114" t="e">
        <f>'All regions'!C3147+"$F;@!&amp;c("</f>
        <v>#VALUE!</v>
      </c>
      <c r="FC114" t="e">
        <f>'All regions'!D3147+"$F;@!&amp;c)"</f>
        <v>#VALUE!</v>
      </c>
      <c r="FD114" t="e">
        <f>'All regions'!E3147+"$F;@!&amp;c."</f>
        <v>#VALUE!</v>
      </c>
      <c r="FE114" t="e">
        <f>'All regions'!F3147+"$F;@!&amp;c/"</f>
        <v>#VALUE!</v>
      </c>
      <c r="FF114" t="e">
        <f>'All regions'!G3147+"$F;@!&amp;c0"</f>
        <v>#VALUE!</v>
      </c>
      <c r="FG114" t="e">
        <f>'All regions'!H3147+"$F;@!&amp;c1"</f>
        <v>#VALUE!</v>
      </c>
      <c r="FH114" t="e">
        <f>'All regions'!I3147+"$F;@!&amp;c2"</f>
        <v>#VALUE!</v>
      </c>
      <c r="FI114" t="e">
        <f>'All regions'!A3148+"$F;@!&amp;c3"</f>
        <v>#VALUE!</v>
      </c>
      <c r="FJ114" t="e">
        <f>'All regions'!B3148+"$F;@!&amp;c4"</f>
        <v>#VALUE!</v>
      </c>
      <c r="FK114" t="e">
        <f>'All regions'!C3148+"$F;@!&amp;c5"</f>
        <v>#VALUE!</v>
      </c>
      <c r="FL114" t="e">
        <f>'All regions'!D3148+"$F;@!&amp;c6"</f>
        <v>#VALUE!</v>
      </c>
      <c r="FM114" t="e">
        <f>'All regions'!E3148+"$F;@!&amp;c7"</f>
        <v>#VALUE!</v>
      </c>
      <c r="FN114" t="e">
        <f>'All regions'!F3148+"$F;@!&amp;c8"</f>
        <v>#VALUE!</v>
      </c>
      <c r="FO114" t="e">
        <f>'All regions'!G3148+"$F;@!&amp;c9"</f>
        <v>#VALUE!</v>
      </c>
      <c r="FP114" t="e">
        <f>'All regions'!H3148+"$F;@!&amp;c:"</f>
        <v>#VALUE!</v>
      </c>
      <c r="FQ114" t="e">
        <f>'All regions'!I3148+"$F;@!&amp;c;"</f>
        <v>#VALUE!</v>
      </c>
      <c r="FR114" t="e">
        <f>'All regions'!A3149+"$F;@!&amp;c&lt;"</f>
        <v>#VALUE!</v>
      </c>
      <c r="FS114" t="e">
        <f>'All regions'!B3149+"$F;@!&amp;c="</f>
        <v>#VALUE!</v>
      </c>
      <c r="FT114" t="e">
        <f>'All regions'!C3149+"$F;@!&amp;c&gt;"</f>
        <v>#VALUE!</v>
      </c>
      <c r="FU114" t="e">
        <f>'All regions'!D3149+"$F;@!&amp;c?"</f>
        <v>#VALUE!</v>
      </c>
      <c r="FV114" t="e">
        <f>'All regions'!E3149+"$F;@!&amp;c@"</f>
        <v>#VALUE!</v>
      </c>
      <c r="FW114" t="e">
        <f>'All regions'!F3149+"$F;@!&amp;cA"</f>
        <v>#VALUE!</v>
      </c>
      <c r="FX114" t="e">
        <f>'All regions'!G3149+"$F;@!&amp;cB"</f>
        <v>#VALUE!</v>
      </c>
      <c r="FY114" t="e">
        <f>'All regions'!H3149+"$F;@!&amp;cC"</f>
        <v>#VALUE!</v>
      </c>
      <c r="FZ114" t="e">
        <f>'All regions'!I3149+"$F;@!&amp;cD"</f>
        <v>#VALUE!</v>
      </c>
      <c r="GA114" t="e">
        <f>'All regions'!A3150+"$F;@!&amp;cE"</f>
        <v>#VALUE!</v>
      </c>
      <c r="GB114" t="e">
        <f>'All regions'!B3150+"$F;@!&amp;cF"</f>
        <v>#VALUE!</v>
      </c>
      <c r="GC114" t="e">
        <f>'All regions'!C3150+"$F;@!&amp;cG"</f>
        <v>#VALUE!</v>
      </c>
      <c r="GD114" t="e">
        <f>'All regions'!D3150+"$F;@!&amp;cH"</f>
        <v>#VALUE!</v>
      </c>
      <c r="GE114" t="e">
        <f>'All regions'!E3150+"$F;@!&amp;cI"</f>
        <v>#VALUE!</v>
      </c>
      <c r="GF114" t="e">
        <f>'All regions'!F3150+"$F;@!&amp;cJ"</f>
        <v>#VALUE!</v>
      </c>
      <c r="GG114" t="e">
        <f>'All regions'!G3150+"$F;@!&amp;cK"</f>
        <v>#VALUE!</v>
      </c>
      <c r="GH114" t="e">
        <f>'All regions'!H3150+"$F;@!&amp;cL"</f>
        <v>#VALUE!</v>
      </c>
      <c r="GI114" t="e">
        <f>'All regions'!I3150+"$F;@!&amp;cM"</f>
        <v>#VALUE!</v>
      </c>
      <c r="GJ114" t="e">
        <f>'All regions'!A3151+"$F;@!&amp;cN"</f>
        <v>#VALUE!</v>
      </c>
      <c r="GK114" t="e">
        <f>'All regions'!B3151+"$F;@!&amp;cO"</f>
        <v>#VALUE!</v>
      </c>
      <c r="GL114" t="e">
        <f>'All regions'!C3151+"$F;@!&amp;cP"</f>
        <v>#VALUE!</v>
      </c>
      <c r="GM114" t="e">
        <f>'All regions'!D3151+"$F;@!&amp;cQ"</f>
        <v>#VALUE!</v>
      </c>
      <c r="GN114" t="e">
        <f>'All regions'!E3151+"$F;@!&amp;cR"</f>
        <v>#VALUE!</v>
      </c>
      <c r="GO114" t="e">
        <f>'All regions'!F3151+"$F;@!&amp;cS"</f>
        <v>#VALUE!</v>
      </c>
      <c r="GP114" t="e">
        <f>'All regions'!G3151+"$F;@!&amp;cT"</f>
        <v>#VALUE!</v>
      </c>
      <c r="GQ114" t="e">
        <f>'All regions'!H3151+"$F;@!&amp;cU"</f>
        <v>#VALUE!</v>
      </c>
      <c r="GR114" t="e">
        <f>'All regions'!I3151+"$F;@!&amp;cV"</f>
        <v>#VALUE!</v>
      </c>
      <c r="GS114" t="e">
        <f>'All regions'!A3152+"$F;@!&amp;cW"</f>
        <v>#VALUE!</v>
      </c>
      <c r="GT114" t="e">
        <f>'All regions'!B3152+"$F;@!&amp;cX"</f>
        <v>#VALUE!</v>
      </c>
      <c r="GU114" t="e">
        <f>'All regions'!C3152+"$F;@!&amp;cY"</f>
        <v>#VALUE!</v>
      </c>
      <c r="GV114" t="e">
        <f>'All regions'!D3152+"$F;@!&amp;cZ"</f>
        <v>#VALUE!</v>
      </c>
      <c r="GW114" t="e">
        <f>'All regions'!E3152+"$F;@!&amp;c["</f>
        <v>#VALUE!</v>
      </c>
      <c r="GX114" t="e">
        <f>'All regions'!F3152+"$F;@!&amp;c\"</f>
        <v>#VALUE!</v>
      </c>
      <c r="GY114" t="e">
        <f>'All regions'!G3152+"$F;@!&amp;c]"</f>
        <v>#VALUE!</v>
      </c>
      <c r="GZ114" t="e">
        <f>'All regions'!H3152+"$F;@!&amp;c^"</f>
        <v>#VALUE!</v>
      </c>
      <c r="HA114" t="e">
        <f>'All regions'!I3152+"$F;@!&amp;c_"</f>
        <v>#VALUE!</v>
      </c>
      <c r="HB114" t="e">
        <f>'All regions'!A3153+"$F;@!&amp;c`"</f>
        <v>#VALUE!</v>
      </c>
      <c r="HC114" t="e">
        <f>'All regions'!B3153+"$F;@!&amp;ca"</f>
        <v>#VALUE!</v>
      </c>
      <c r="HD114" t="e">
        <f>'All regions'!C3153+"$F;@!&amp;cb"</f>
        <v>#VALUE!</v>
      </c>
      <c r="HE114" t="e">
        <f>'All regions'!D3153+"$F;@!&amp;cc"</f>
        <v>#VALUE!</v>
      </c>
      <c r="HF114" t="e">
        <f>'All regions'!E3153+"$F;@!&amp;cd"</f>
        <v>#VALUE!</v>
      </c>
      <c r="HG114" t="e">
        <f>'All regions'!F3153+"$F;@!&amp;ce"</f>
        <v>#VALUE!</v>
      </c>
      <c r="HH114" t="e">
        <f>'All regions'!G3153+"$F;@!&amp;cf"</f>
        <v>#VALUE!</v>
      </c>
      <c r="HI114" t="e">
        <f>'All regions'!H3153+"$F;@!&amp;cg"</f>
        <v>#VALUE!</v>
      </c>
      <c r="HJ114" t="e">
        <f>'All regions'!I3153+"$F;@!&amp;ch"</f>
        <v>#VALUE!</v>
      </c>
      <c r="HK114" t="e">
        <f>'All regions'!A3154+"$F;@!&amp;ci"</f>
        <v>#VALUE!</v>
      </c>
      <c r="HL114" t="e">
        <f>'All regions'!B3154+"$F;@!&amp;cj"</f>
        <v>#VALUE!</v>
      </c>
      <c r="HM114" t="e">
        <f>'All regions'!C3154+"$F;@!&amp;ck"</f>
        <v>#VALUE!</v>
      </c>
      <c r="HN114" t="e">
        <f>'All regions'!D3154+"$F;@!&amp;cl"</f>
        <v>#VALUE!</v>
      </c>
      <c r="HO114" t="e">
        <f>'All regions'!E3154+"$F;@!&amp;cm"</f>
        <v>#VALUE!</v>
      </c>
      <c r="HP114" t="e">
        <f>'All regions'!F3154+"$F;@!&amp;cn"</f>
        <v>#VALUE!</v>
      </c>
      <c r="HQ114" t="e">
        <f>'All regions'!G3154+"$F;@!&amp;co"</f>
        <v>#VALUE!</v>
      </c>
      <c r="HR114" t="e">
        <f>'All regions'!H3154+"$F;@!&amp;cp"</f>
        <v>#VALUE!</v>
      </c>
      <c r="HS114" t="e">
        <f>'All regions'!I3154+"$F;@!&amp;cq"</f>
        <v>#VALUE!</v>
      </c>
      <c r="HT114" t="e">
        <f>'All regions'!A3155+"$F;@!&amp;cr"</f>
        <v>#VALUE!</v>
      </c>
      <c r="HU114" t="e">
        <f>'All regions'!B3155+"$F;@!&amp;cs"</f>
        <v>#VALUE!</v>
      </c>
      <c r="HV114" t="e">
        <f>'All regions'!C3155+"$F;@!&amp;ct"</f>
        <v>#VALUE!</v>
      </c>
      <c r="HW114" t="e">
        <f>'All regions'!D3155+"$F;@!&amp;cu"</f>
        <v>#VALUE!</v>
      </c>
      <c r="HX114" t="e">
        <f>'All regions'!E3155+"$F;@!&amp;cv"</f>
        <v>#VALUE!</v>
      </c>
      <c r="HY114" t="e">
        <f>'All regions'!F3155+"$F;@!&amp;cw"</f>
        <v>#VALUE!</v>
      </c>
      <c r="HZ114" t="e">
        <f>'All regions'!G3155+"$F;@!&amp;cx"</f>
        <v>#VALUE!</v>
      </c>
      <c r="IA114" t="e">
        <f>'All regions'!H3155+"$F;@!&amp;cy"</f>
        <v>#VALUE!</v>
      </c>
      <c r="IB114" t="e">
        <f>'All regions'!I3155+"$F;@!&amp;cz"</f>
        <v>#VALUE!</v>
      </c>
      <c r="IC114" t="e">
        <f>'All regions'!A3156+"$F;@!&amp;c{"</f>
        <v>#VALUE!</v>
      </c>
      <c r="ID114" t="e">
        <f>'All regions'!B3156+"$F;@!&amp;c|"</f>
        <v>#VALUE!</v>
      </c>
      <c r="IE114" t="e">
        <f>'All regions'!C3156+"$F;@!&amp;c}"</f>
        <v>#VALUE!</v>
      </c>
      <c r="IF114" t="e">
        <f>'All regions'!D3156+"$F;@!&amp;c~"</f>
        <v>#VALUE!</v>
      </c>
      <c r="IG114" t="e">
        <f>'All regions'!E3156+"$F;@!&amp;d#"</f>
        <v>#VALUE!</v>
      </c>
      <c r="IH114" t="e">
        <f>'All regions'!F3156+"$F;@!&amp;d$"</f>
        <v>#VALUE!</v>
      </c>
      <c r="II114" t="e">
        <f>'All regions'!G3156+"$F;@!&amp;d%"</f>
        <v>#VALUE!</v>
      </c>
      <c r="IJ114" t="e">
        <f>'All regions'!H3156+"$F;@!&amp;d&amp;"</f>
        <v>#VALUE!</v>
      </c>
      <c r="IK114" t="e">
        <f>'All regions'!I3156+"$F;@!&amp;d'"</f>
        <v>#VALUE!</v>
      </c>
      <c r="IL114" t="e">
        <f>'All regions'!A3157+"$F;@!&amp;d("</f>
        <v>#VALUE!</v>
      </c>
      <c r="IM114" t="e">
        <f>'All regions'!B3157+"$F;@!&amp;d)"</f>
        <v>#VALUE!</v>
      </c>
      <c r="IN114" t="e">
        <f>'All regions'!C3157+"$F;@!&amp;d."</f>
        <v>#VALUE!</v>
      </c>
      <c r="IO114" t="e">
        <f>'All regions'!D3157+"$F;@!&amp;d/"</f>
        <v>#VALUE!</v>
      </c>
      <c r="IP114" t="e">
        <f>'All regions'!E3157+"$F;@!&amp;d0"</f>
        <v>#VALUE!</v>
      </c>
      <c r="IQ114" t="e">
        <f>'All regions'!F3157+"$F;@!&amp;d1"</f>
        <v>#VALUE!</v>
      </c>
      <c r="IR114" t="e">
        <f>'All regions'!G3157+"$F;@!&amp;d2"</f>
        <v>#VALUE!</v>
      </c>
      <c r="IS114" t="e">
        <f>'All regions'!H3157+"$F;@!&amp;d3"</f>
        <v>#VALUE!</v>
      </c>
      <c r="IT114" t="e">
        <f>'All regions'!I3157+"$F;@!&amp;d4"</f>
        <v>#VALUE!</v>
      </c>
      <c r="IU114" t="e">
        <f>'All regions'!A3158+"$F;@!&amp;d5"</f>
        <v>#VALUE!</v>
      </c>
      <c r="IV114" t="e">
        <f>'All regions'!B3158+"$F;@!&amp;d6"</f>
        <v>#VALUE!</v>
      </c>
    </row>
    <row r="115" spans="6:256" x14ac:dyDescent="0.35">
      <c r="F115" t="e">
        <f>'All regions'!C3158+"$F;@!&amp;d7"</f>
        <v>#VALUE!</v>
      </c>
      <c r="G115" t="e">
        <f>'All regions'!D3158+"$F;@!&amp;d8"</f>
        <v>#VALUE!</v>
      </c>
      <c r="H115" t="e">
        <f>'All regions'!E3158+"$F;@!&amp;d9"</f>
        <v>#VALUE!</v>
      </c>
      <c r="I115" t="e">
        <f>'All regions'!F3158+"$F;@!&amp;d:"</f>
        <v>#VALUE!</v>
      </c>
      <c r="J115" t="e">
        <f>'All regions'!G3158+"$F;@!&amp;d;"</f>
        <v>#VALUE!</v>
      </c>
      <c r="K115" t="e">
        <f>'All regions'!H3158+"$F;@!&amp;d&lt;"</f>
        <v>#VALUE!</v>
      </c>
      <c r="L115" t="e">
        <f>'All regions'!I3158+"$F;@!&amp;d="</f>
        <v>#VALUE!</v>
      </c>
      <c r="M115" t="e">
        <f>'All regions'!A3159+"$F;@!&amp;d&gt;"</f>
        <v>#VALUE!</v>
      </c>
      <c r="N115" t="e">
        <f>'All regions'!B3159+"$F;@!&amp;d?"</f>
        <v>#VALUE!</v>
      </c>
      <c r="O115" t="e">
        <f>'All regions'!C3159+"$F;@!&amp;d@"</f>
        <v>#VALUE!</v>
      </c>
      <c r="P115" t="e">
        <f>'All regions'!D3159+"$F;@!&amp;dA"</f>
        <v>#VALUE!</v>
      </c>
      <c r="Q115" t="e">
        <f>'All regions'!E3159+"$F;@!&amp;dB"</f>
        <v>#VALUE!</v>
      </c>
      <c r="R115" t="e">
        <f>'All regions'!F3159+"$F;@!&amp;dC"</f>
        <v>#VALUE!</v>
      </c>
      <c r="S115" t="e">
        <f>'All regions'!G3159+"$F;@!&amp;dD"</f>
        <v>#VALUE!</v>
      </c>
      <c r="T115" t="e">
        <f>'All regions'!H3159+"$F;@!&amp;dE"</f>
        <v>#VALUE!</v>
      </c>
      <c r="U115" t="e">
        <f>'All regions'!I3159+"$F;@!&amp;dF"</f>
        <v>#VALUE!</v>
      </c>
      <c r="V115" t="e">
        <f>'All regions'!A3160+"$F;@!&amp;dG"</f>
        <v>#VALUE!</v>
      </c>
      <c r="W115" t="e">
        <f>'All regions'!B3160+"$F;@!&amp;dH"</f>
        <v>#VALUE!</v>
      </c>
      <c r="X115" t="e">
        <f>'All regions'!C3160+"$F;@!&amp;dI"</f>
        <v>#VALUE!</v>
      </c>
      <c r="Y115" t="e">
        <f>'All regions'!D3160+"$F;@!&amp;dJ"</f>
        <v>#VALUE!</v>
      </c>
      <c r="Z115" t="e">
        <f>'All regions'!E3160+"$F;@!&amp;dK"</f>
        <v>#VALUE!</v>
      </c>
      <c r="AA115" t="e">
        <f>'All regions'!F3160+"$F;@!&amp;dL"</f>
        <v>#VALUE!</v>
      </c>
      <c r="AB115" t="e">
        <f>'All regions'!G3160+"$F;@!&amp;dM"</f>
        <v>#VALUE!</v>
      </c>
      <c r="AC115" t="e">
        <f>'All regions'!H3160+"$F;@!&amp;dN"</f>
        <v>#VALUE!</v>
      </c>
      <c r="AD115" t="e">
        <f>'All regions'!I3160+"$F;@!&amp;dO"</f>
        <v>#VALUE!</v>
      </c>
      <c r="AE115" t="e">
        <f>'All regions'!A3161+"$F;@!&amp;dP"</f>
        <v>#VALUE!</v>
      </c>
      <c r="AF115" t="e">
        <f>'All regions'!B3161+"$F;@!&amp;dQ"</f>
        <v>#VALUE!</v>
      </c>
      <c r="AG115" t="e">
        <f>'All regions'!C3161+"$F;@!&amp;dR"</f>
        <v>#VALUE!</v>
      </c>
      <c r="AH115" t="e">
        <f>'All regions'!D3161+"$F;@!&amp;dS"</f>
        <v>#VALUE!</v>
      </c>
      <c r="AI115" t="e">
        <f>'All regions'!E3161+"$F;@!&amp;dT"</f>
        <v>#VALUE!</v>
      </c>
      <c r="AJ115" t="e">
        <f>'All regions'!F3161+"$F;@!&amp;dU"</f>
        <v>#VALUE!</v>
      </c>
      <c r="AK115" t="e">
        <f>'All regions'!G3161+"$F;@!&amp;dV"</f>
        <v>#VALUE!</v>
      </c>
      <c r="AL115" t="e">
        <f>'All regions'!H3161+"$F;@!&amp;dW"</f>
        <v>#VALUE!</v>
      </c>
      <c r="AM115" t="e">
        <f>'All regions'!I3161+"$F;@!&amp;dX"</f>
        <v>#VALUE!</v>
      </c>
      <c r="AN115" t="e">
        <f>'All regions'!A3162+"$F;@!&amp;dY"</f>
        <v>#VALUE!</v>
      </c>
      <c r="AO115" t="e">
        <f>'All regions'!B3162+"$F;@!&amp;dZ"</f>
        <v>#VALUE!</v>
      </c>
      <c r="AP115" t="e">
        <f>'All regions'!C3162+"$F;@!&amp;d["</f>
        <v>#VALUE!</v>
      </c>
      <c r="AQ115" t="e">
        <f>'All regions'!D3162+"$F;@!&amp;d\"</f>
        <v>#VALUE!</v>
      </c>
      <c r="AR115" t="e">
        <f>'All regions'!E3162+"$F;@!&amp;d]"</f>
        <v>#VALUE!</v>
      </c>
      <c r="AS115" t="e">
        <f>'All regions'!F3162+"$F;@!&amp;d^"</f>
        <v>#VALUE!</v>
      </c>
      <c r="AT115" t="e">
        <f>'All regions'!G3162+"$F;@!&amp;d_"</f>
        <v>#VALUE!</v>
      </c>
      <c r="AU115" t="e">
        <f>'All regions'!H3162+"$F;@!&amp;d`"</f>
        <v>#VALUE!</v>
      </c>
      <c r="AV115" t="e">
        <f>'All regions'!I3162+"$F;@!&amp;da"</f>
        <v>#VALUE!</v>
      </c>
      <c r="AW115" t="e">
        <f>'All regions'!A3163+"$F;@!&amp;db"</f>
        <v>#VALUE!</v>
      </c>
      <c r="AX115" t="e">
        <f>'All regions'!B3163+"$F;@!&amp;dc"</f>
        <v>#VALUE!</v>
      </c>
      <c r="AY115" t="e">
        <f>'All regions'!C3163+"$F;@!&amp;dd"</f>
        <v>#VALUE!</v>
      </c>
      <c r="AZ115" t="e">
        <f>'All regions'!D3163+"$F;@!&amp;de"</f>
        <v>#VALUE!</v>
      </c>
      <c r="BA115" t="e">
        <f>'All regions'!E3163+"$F;@!&amp;df"</f>
        <v>#VALUE!</v>
      </c>
      <c r="BB115" t="e">
        <f>'All regions'!F3163+"$F;@!&amp;dg"</f>
        <v>#VALUE!</v>
      </c>
      <c r="BC115" t="e">
        <f>'All regions'!G3163+"$F;@!&amp;dh"</f>
        <v>#VALUE!</v>
      </c>
      <c r="BD115" t="e">
        <f>'All regions'!H3163+"$F;@!&amp;di"</f>
        <v>#VALUE!</v>
      </c>
      <c r="BE115" t="e">
        <f>'All regions'!I3163+"$F;@!&amp;dj"</f>
        <v>#VALUE!</v>
      </c>
      <c r="BF115" t="e">
        <f>'All regions'!A3164+"$F;@!&amp;dk"</f>
        <v>#VALUE!</v>
      </c>
      <c r="BG115" t="e">
        <f>'All regions'!B3164+"$F;@!&amp;dl"</f>
        <v>#VALUE!</v>
      </c>
      <c r="BH115" t="e">
        <f>'All regions'!C3164+"$F;@!&amp;dm"</f>
        <v>#VALUE!</v>
      </c>
      <c r="BI115" t="e">
        <f>'All regions'!D3164+"$F;@!&amp;dn"</f>
        <v>#VALUE!</v>
      </c>
      <c r="BJ115" t="e">
        <f>'All regions'!E3164+"$F;@!&amp;do"</f>
        <v>#VALUE!</v>
      </c>
      <c r="BK115" t="e">
        <f>'All regions'!F3164+"$F;@!&amp;dp"</f>
        <v>#VALUE!</v>
      </c>
      <c r="BL115" t="e">
        <f>'All regions'!G3164+"$F;@!&amp;dq"</f>
        <v>#VALUE!</v>
      </c>
      <c r="BM115" t="e">
        <f>'All regions'!H3164+"$F;@!&amp;dr"</f>
        <v>#VALUE!</v>
      </c>
      <c r="BN115" t="e">
        <f>'All regions'!I3164+"$F;@!&amp;ds"</f>
        <v>#VALUE!</v>
      </c>
      <c r="BO115" t="e">
        <f>'All regions'!A3165+"$F;@!&amp;dt"</f>
        <v>#VALUE!</v>
      </c>
      <c r="BP115" t="e">
        <f>'All regions'!B3165+"$F;@!&amp;du"</f>
        <v>#VALUE!</v>
      </c>
      <c r="BQ115" t="e">
        <f>'All regions'!C3165+"$F;@!&amp;dv"</f>
        <v>#VALUE!</v>
      </c>
      <c r="BR115" t="e">
        <f>'All regions'!D3165+"$F;@!&amp;dw"</f>
        <v>#VALUE!</v>
      </c>
      <c r="BS115" t="e">
        <f>'All regions'!E3165+"$F;@!&amp;dx"</f>
        <v>#VALUE!</v>
      </c>
      <c r="BT115" t="e">
        <f>'All regions'!F3165+"$F;@!&amp;dy"</f>
        <v>#VALUE!</v>
      </c>
      <c r="BU115" t="e">
        <f>'All regions'!G3165+"$F;@!&amp;dz"</f>
        <v>#VALUE!</v>
      </c>
      <c r="BV115" t="e">
        <f>'All regions'!H3165+"$F;@!&amp;d{"</f>
        <v>#VALUE!</v>
      </c>
      <c r="BW115" t="e">
        <f>'All regions'!I3165+"$F;@!&amp;d|"</f>
        <v>#VALUE!</v>
      </c>
      <c r="BX115" t="e">
        <f>'All regions'!A3166+"$F;@!&amp;d}"</f>
        <v>#VALUE!</v>
      </c>
      <c r="BY115" t="e">
        <f>'All regions'!B3166+"$F;@!&amp;d~"</f>
        <v>#VALUE!</v>
      </c>
      <c r="BZ115" t="e">
        <f>'All regions'!C3166+"$F;@!&amp;e#"</f>
        <v>#VALUE!</v>
      </c>
      <c r="CA115" t="e">
        <f>'All regions'!D3166+"$F;@!&amp;e$"</f>
        <v>#VALUE!</v>
      </c>
      <c r="CB115" t="e">
        <f>'All regions'!E3166+"$F;@!&amp;e%"</f>
        <v>#VALUE!</v>
      </c>
      <c r="CC115" t="e">
        <f>'All regions'!F3166+"$F;@!&amp;e&amp;"</f>
        <v>#VALUE!</v>
      </c>
      <c r="CD115" t="e">
        <f>'All regions'!G3166+"$F;@!&amp;e'"</f>
        <v>#VALUE!</v>
      </c>
      <c r="CE115" t="e">
        <f>'All regions'!H3166+"$F;@!&amp;e("</f>
        <v>#VALUE!</v>
      </c>
      <c r="CF115" t="e">
        <f>'All regions'!I3166+"$F;@!&amp;e)"</f>
        <v>#VALUE!</v>
      </c>
      <c r="CG115" t="e">
        <f>'All regions'!A3167+"$F;@!&amp;e."</f>
        <v>#VALUE!</v>
      </c>
      <c r="CH115" t="e">
        <f>'All regions'!B3167+"$F;@!&amp;e/"</f>
        <v>#VALUE!</v>
      </c>
      <c r="CI115" t="e">
        <f>'All regions'!C3167+"$F;@!&amp;e0"</f>
        <v>#VALUE!</v>
      </c>
      <c r="CJ115" t="e">
        <f>'All regions'!D3167+"$F;@!&amp;e1"</f>
        <v>#VALUE!</v>
      </c>
      <c r="CK115" t="e">
        <f>'All regions'!E3167+"$F;@!&amp;e2"</f>
        <v>#VALUE!</v>
      </c>
      <c r="CL115" t="e">
        <f>'All regions'!F3167+"$F;@!&amp;e3"</f>
        <v>#VALUE!</v>
      </c>
      <c r="CM115" t="e">
        <f>'All regions'!G3167+"$F;@!&amp;e4"</f>
        <v>#VALUE!</v>
      </c>
      <c r="CN115" t="e">
        <f>'All regions'!H3167+"$F;@!&amp;e5"</f>
        <v>#VALUE!</v>
      </c>
      <c r="CO115" t="e">
        <f>'All regions'!I3167+"$F;@!&amp;e6"</f>
        <v>#VALUE!</v>
      </c>
      <c r="CP115" t="e">
        <f>'All regions'!A3168+"$F;@!&amp;e7"</f>
        <v>#VALUE!</v>
      </c>
      <c r="CQ115" t="e">
        <f>'All regions'!B3168+"$F;@!&amp;e8"</f>
        <v>#VALUE!</v>
      </c>
      <c r="CR115" t="e">
        <f>'All regions'!C3168+"$F;@!&amp;e9"</f>
        <v>#VALUE!</v>
      </c>
      <c r="CS115" t="e">
        <f>'All regions'!D3168+"$F;@!&amp;e:"</f>
        <v>#VALUE!</v>
      </c>
      <c r="CT115" t="e">
        <f>'All regions'!E3168+"$F;@!&amp;e;"</f>
        <v>#VALUE!</v>
      </c>
      <c r="CU115" t="e">
        <f>'All regions'!F3168+"$F;@!&amp;e&lt;"</f>
        <v>#VALUE!</v>
      </c>
      <c r="CV115" t="e">
        <f>'All regions'!G3168+"$F;@!&amp;e="</f>
        <v>#VALUE!</v>
      </c>
      <c r="CW115" t="e">
        <f>'All regions'!H3168+"$F;@!&amp;e&gt;"</f>
        <v>#VALUE!</v>
      </c>
      <c r="CX115" t="e">
        <f>'All regions'!I3168+"$F;@!&amp;e?"</f>
        <v>#VALUE!</v>
      </c>
      <c r="CY115" t="e">
        <f>'All regions'!A3169+"$F;@!&amp;e@"</f>
        <v>#VALUE!</v>
      </c>
      <c r="CZ115" t="e">
        <f>'All regions'!B3169+"$F;@!&amp;eA"</f>
        <v>#VALUE!</v>
      </c>
      <c r="DA115" t="e">
        <f>'All regions'!C3169+"$F;@!&amp;eB"</f>
        <v>#VALUE!</v>
      </c>
      <c r="DB115" t="e">
        <f>'All regions'!D3169+"$F;@!&amp;eC"</f>
        <v>#VALUE!</v>
      </c>
      <c r="DC115" t="e">
        <f>'All regions'!E3169+"$F;@!&amp;eD"</f>
        <v>#VALUE!</v>
      </c>
      <c r="DD115" t="e">
        <f>'All regions'!F3169+"$F;@!&amp;eE"</f>
        <v>#VALUE!</v>
      </c>
      <c r="DE115" t="e">
        <f>'All regions'!G3169+"$F;@!&amp;eF"</f>
        <v>#VALUE!</v>
      </c>
      <c r="DF115" t="e">
        <f>'All regions'!H3169+"$F;@!&amp;eG"</f>
        <v>#VALUE!</v>
      </c>
      <c r="DG115" t="e">
        <f>'All regions'!I3169+"$F;@!&amp;eH"</f>
        <v>#VALUE!</v>
      </c>
      <c r="DH115" t="e">
        <f>'All regions'!A3170+"$F;@!&amp;eI"</f>
        <v>#VALUE!</v>
      </c>
      <c r="DI115" t="e">
        <f>'All regions'!B3170+"$F;@!&amp;eJ"</f>
        <v>#VALUE!</v>
      </c>
      <c r="DJ115" t="e">
        <f>'All regions'!C3170+"$F;@!&amp;eK"</f>
        <v>#VALUE!</v>
      </c>
      <c r="DK115" t="e">
        <f>'All regions'!D3170+"$F;@!&amp;eL"</f>
        <v>#VALUE!</v>
      </c>
      <c r="DL115" t="e">
        <f>'All regions'!E3170+"$F;@!&amp;eM"</f>
        <v>#VALUE!</v>
      </c>
      <c r="DM115" t="e">
        <f>'All regions'!F3170+"$F;@!&amp;eN"</f>
        <v>#VALUE!</v>
      </c>
      <c r="DN115" t="e">
        <f>'All regions'!G3170+"$F;@!&amp;eO"</f>
        <v>#VALUE!</v>
      </c>
      <c r="DO115" t="e">
        <f>'All regions'!H3170+"$F;@!&amp;eP"</f>
        <v>#VALUE!</v>
      </c>
      <c r="DP115" t="e">
        <f>'All regions'!I3170+"$F;@!&amp;eQ"</f>
        <v>#VALUE!</v>
      </c>
      <c r="DQ115" t="e">
        <f>'All regions'!A3171+"$F;@!&amp;eR"</f>
        <v>#VALUE!</v>
      </c>
      <c r="DR115" t="e">
        <f>'All regions'!B3171+"$F;@!&amp;eS"</f>
        <v>#VALUE!</v>
      </c>
      <c r="DS115" t="e">
        <f>'All regions'!C3171+"$F;@!&amp;eT"</f>
        <v>#VALUE!</v>
      </c>
      <c r="DT115" t="e">
        <f>'All regions'!D3171+"$F;@!&amp;eU"</f>
        <v>#VALUE!</v>
      </c>
      <c r="DU115" t="e">
        <f>'All regions'!E3171+"$F;@!&amp;eV"</f>
        <v>#VALUE!</v>
      </c>
      <c r="DV115" t="e">
        <f>'All regions'!F3171+"$F;@!&amp;eW"</f>
        <v>#VALUE!</v>
      </c>
      <c r="DW115" t="e">
        <f>'All regions'!G3171+"$F;@!&amp;eX"</f>
        <v>#VALUE!</v>
      </c>
      <c r="DX115" t="e">
        <f>'All regions'!H3171+"$F;@!&amp;eY"</f>
        <v>#VALUE!</v>
      </c>
      <c r="DY115" t="e">
        <f>'All regions'!I3171+"$F;@!&amp;eZ"</f>
        <v>#VALUE!</v>
      </c>
      <c r="DZ115" t="e">
        <f>'All regions'!A3172+"$F;@!&amp;e["</f>
        <v>#VALUE!</v>
      </c>
      <c r="EA115" t="e">
        <f>'All regions'!B3172+"$F;@!&amp;e\"</f>
        <v>#VALUE!</v>
      </c>
      <c r="EB115" t="e">
        <f>'All regions'!C3172+"$F;@!&amp;e]"</f>
        <v>#VALUE!</v>
      </c>
      <c r="EC115" t="e">
        <f>'All regions'!D3172+"$F;@!&amp;e^"</f>
        <v>#VALUE!</v>
      </c>
      <c r="ED115" t="e">
        <f>'All regions'!E3172+"$F;@!&amp;e_"</f>
        <v>#VALUE!</v>
      </c>
      <c r="EE115" t="e">
        <f>'All regions'!F3172+"$F;@!&amp;e`"</f>
        <v>#VALUE!</v>
      </c>
      <c r="EF115" t="e">
        <f>'All regions'!G3172+"$F;@!&amp;ea"</f>
        <v>#VALUE!</v>
      </c>
      <c r="EG115" t="e">
        <f>'All regions'!H3172+"$F;@!&amp;eb"</f>
        <v>#VALUE!</v>
      </c>
      <c r="EH115" t="e">
        <f>'All regions'!I3172+"$F;@!&amp;ec"</f>
        <v>#VALUE!</v>
      </c>
      <c r="EI115" t="e">
        <f>'All regions'!A3173+"$F;@!&amp;ed"</f>
        <v>#VALUE!</v>
      </c>
      <c r="EJ115" t="e">
        <f>'All regions'!B3173+"$F;@!&amp;ee"</f>
        <v>#VALUE!</v>
      </c>
      <c r="EK115" t="e">
        <f>'All regions'!C3173+"$F;@!&amp;ef"</f>
        <v>#VALUE!</v>
      </c>
      <c r="EL115" t="e">
        <f>'All regions'!D3173+"$F;@!&amp;eg"</f>
        <v>#VALUE!</v>
      </c>
      <c r="EM115" t="e">
        <f>'All regions'!E3173+"$F;@!&amp;eh"</f>
        <v>#VALUE!</v>
      </c>
      <c r="EN115" t="e">
        <f>'All regions'!F3173+"$F;@!&amp;ei"</f>
        <v>#VALUE!</v>
      </c>
      <c r="EO115" t="e">
        <f>'All regions'!G3173+"$F;@!&amp;ej"</f>
        <v>#VALUE!</v>
      </c>
      <c r="EP115" t="e">
        <f>'All regions'!H3173+"$F;@!&amp;ek"</f>
        <v>#VALUE!</v>
      </c>
      <c r="EQ115" t="e">
        <f>'All regions'!I3173+"$F;@!&amp;el"</f>
        <v>#VALUE!</v>
      </c>
      <c r="ER115" t="e">
        <f>'All regions'!A3174+"$F;@!&amp;em"</f>
        <v>#VALUE!</v>
      </c>
      <c r="ES115" t="e">
        <f>'All regions'!B3174+"$F;@!&amp;en"</f>
        <v>#VALUE!</v>
      </c>
      <c r="ET115" t="e">
        <f>'All regions'!C3174+"$F;@!&amp;eo"</f>
        <v>#VALUE!</v>
      </c>
      <c r="EU115" t="e">
        <f>'All regions'!D3174+"$F;@!&amp;ep"</f>
        <v>#VALUE!</v>
      </c>
      <c r="EV115" t="e">
        <f>'All regions'!E3174+"$F;@!&amp;eq"</f>
        <v>#VALUE!</v>
      </c>
      <c r="EW115" t="e">
        <f>'All regions'!F3174+"$F;@!&amp;er"</f>
        <v>#VALUE!</v>
      </c>
      <c r="EX115" t="e">
        <f>'All regions'!G3174+"$F;@!&amp;es"</f>
        <v>#VALUE!</v>
      </c>
      <c r="EY115" t="e">
        <f>'All regions'!H3174+"$F;@!&amp;et"</f>
        <v>#VALUE!</v>
      </c>
      <c r="EZ115" t="e">
        <f>'All regions'!I3174+"$F;@!&amp;eu"</f>
        <v>#VALUE!</v>
      </c>
      <c r="FA115" t="e">
        <f>'All regions'!A3175+"$F;@!&amp;ev"</f>
        <v>#VALUE!</v>
      </c>
      <c r="FB115" t="e">
        <f>'All regions'!B3175+"$F;@!&amp;ew"</f>
        <v>#VALUE!</v>
      </c>
      <c r="FC115" t="e">
        <f>'All regions'!C3175+"$F;@!&amp;ex"</f>
        <v>#VALUE!</v>
      </c>
      <c r="FD115" t="e">
        <f>'All regions'!D3175+"$F;@!&amp;ey"</f>
        <v>#VALUE!</v>
      </c>
      <c r="FE115" t="e">
        <f>'All regions'!E3175+"$F;@!&amp;ez"</f>
        <v>#VALUE!</v>
      </c>
      <c r="FF115" t="e">
        <f>'All regions'!F3175+"$F;@!&amp;e{"</f>
        <v>#VALUE!</v>
      </c>
      <c r="FG115" t="e">
        <f>'All regions'!G3175+"$F;@!&amp;e|"</f>
        <v>#VALUE!</v>
      </c>
      <c r="FH115" t="e">
        <f>'All regions'!H3175+"$F;@!&amp;e}"</f>
        <v>#VALUE!</v>
      </c>
      <c r="FI115" t="e">
        <f>'All regions'!I3175+"$F;@!&amp;e~"</f>
        <v>#VALUE!</v>
      </c>
      <c r="FJ115" t="e">
        <f>'All regions'!A3176+"$F;@!&amp;f#"</f>
        <v>#VALUE!</v>
      </c>
      <c r="FK115" t="e">
        <f>'All regions'!B3176+"$F;@!&amp;f$"</f>
        <v>#VALUE!</v>
      </c>
      <c r="FL115" t="e">
        <f>'All regions'!C3176+"$F;@!&amp;f%"</f>
        <v>#VALUE!</v>
      </c>
      <c r="FM115" t="e">
        <f>'All regions'!D3176+"$F;@!&amp;f&amp;"</f>
        <v>#VALUE!</v>
      </c>
      <c r="FN115" t="e">
        <f>'All regions'!E3176+"$F;@!&amp;f'"</f>
        <v>#VALUE!</v>
      </c>
      <c r="FO115" t="e">
        <f>'All regions'!F3176+"$F;@!&amp;f("</f>
        <v>#VALUE!</v>
      </c>
      <c r="FP115" t="e">
        <f>'All regions'!G3176+"$F;@!&amp;f)"</f>
        <v>#VALUE!</v>
      </c>
      <c r="FQ115" t="e">
        <f>'All regions'!H3176+"$F;@!&amp;f."</f>
        <v>#VALUE!</v>
      </c>
      <c r="FR115" t="e">
        <f>'All regions'!I3176+"$F;@!&amp;f/"</f>
        <v>#VALUE!</v>
      </c>
      <c r="FS115" t="e">
        <f>'All regions'!A3177+"$F;@!&amp;f0"</f>
        <v>#VALUE!</v>
      </c>
      <c r="FT115" t="e">
        <f>'All regions'!B3177+"$F;@!&amp;f1"</f>
        <v>#VALUE!</v>
      </c>
      <c r="FU115" t="e">
        <f>'All regions'!C3177+"$F;@!&amp;f2"</f>
        <v>#VALUE!</v>
      </c>
      <c r="FV115" t="e">
        <f>'All regions'!D3177+"$F;@!&amp;f3"</f>
        <v>#VALUE!</v>
      </c>
      <c r="FW115" t="e">
        <f>'All regions'!E3177+"$F;@!&amp;f4"</f>
        <v>#VALUE!</v>
      </c>
      <c r="FX115" t="e">
        <f>'All regions'!F3177+"$F;@!&amp;f5"</f>
        <v>#VALUE!</v>
      </c>
      <c r="FY115" t="e">
        <f>'All regions'!G3177+"$F;@!&amp;f6"</f>
        <v>#VALUE!</v>
      </c>
      <c r="FZ115" t="e">
        <f>'All regions'!H3177+"$F;@!&amp;f7"</f>
        <v>#VALUE!</v>
      </c>
      <c r="GA115" t="e">
        <f>'All regions'!I3177+"$F;@!&amp;f8"</f>
        <v>#VALUE!</v>
      </c>
      <c r="GB115" t="e">
        <f>'All regions'!A3178+"$F;@!&amp;f9"</f>
        <v>#VALUE!</v>
      </c>
      <c r="GC115" t="e">
        <f>'All regions'!B3178+"$F;@!&amp;f:"</f>
        <v>#VALUE!</v>
      </c>
      <c r="GD115" t="e">
        <f>'All regions'!C3178+"$F;@!&amp;f;"</f>
        <v>#VALUE!</v>
      </c>
      <c r="GE115" t="e">
        <f>'All regions'!D3178+"$F;@!&amp;f&lt;"</f>
        <v>#VALUE!</v>
      </c>
      <c r="GF115" t="e">
        <f>'All regions'!E3178+"$F;@!&amp;f="</f>
        <v>#VALUE!</v>
      </c>
      <c r="GG115" t="e">
        <f>'All regions'!F3178+"$F;@!&amp;f&gt;"</f>
        <v>#VALUE!</v>
      </c>
      <c r="GH115" t="e">
        <f>'All regions'!G3178+"$F;@!&amp;f?"</f>
        <v>#VALUE!</v>
      </c>
      <c r="GI115" t="e">
        <f>'All regions'!H3178+"$F;@!&amp;f@"</f>
        <v>#VALUE!</v>
      </c>
      <c r="GJ115" t="e">
        <f>'All regions'!I3178+"$F;@!&amp;fA"</f>
        <v>#VALUE!</v>
      </c>
      <c r="GK115" t="e">
        <f>'All regions'!A3179+"$F;@!&amp;fB"</f>
        <v>#VALUE!</v>
      </c>
      <c r="GL115" t="e">
        <f>'All regions'!B3179+"$F;@!&amp;fC"</f>
        <v>#VALUE!</v>
      </c>
      <c r="GM115" t="e">
        <f>'All regions'!C3179+"$F;@!&amp;fD"</f>
        <v>#VALUE!</v>
      </c>
      <c r="GN115" t="e">
        <f>'All regions'!D3179+"$F;@!&amp;fE"</f>
        <v>#VALUE!</v>
      </c>
      <c r="GO115" t="e">
        <f>'All regions'!E3179+"$F;@!&amp;fF"</f>
        <v>#VALUE!</v>
      </c>
      <c r="GP115" t="e">
        <f>'All regions'!F3179+"$F;@!&amp;fG"</f>
        <v>#VALUE!</v>
      </c>
      <c r="GQ115" t="e">
        <f>'All regions'!G3179+"$F;@!&amp;fH"</f>
        <v>#VALUE!</v>
      </c>
      <c r="GR115" t="e">
        <f>'All regions'!H3179+"$F;@!&amp;fI"</f>
        <v>#VALUE!</v>
      </c>
      <c r="GS115" t="e">
        <f>'All regions'!I3179+"$F;@!&amp;fJ"</f>
        <v>#VALUE!</v>
      </c>
      <c r="GT115" t="e">
        <f>'All regions'!A3180+"$F;@!&amp;fK"</f>
        <v>#VALUE!</v>
      </c>
      <c r="GU115" t="e">
        <f>'All regions'!B3180+"$F;@!&amp;fL"</f>
        <v>#VALUE!</v>
      </c>
      <c r="GV115" t="e">
        <f>'All regions'!C3180+"$F;@!&amp;fM"</f>
        <v>#VALUE!</v>
      </c>
      <c r="GW115" t="e">
        <f>'All regions'!D3180+"$F;@!&amp;fN"</f>
        <v>#VALUE!</v>
      </c>
      <c r="GX115" t="e">
        <f>'All regions'!E3180+"$F;@!&amp;fO"</f>
        <v>#VALUE!</v>
      </c>
      <c r="GY115" t="e">
        <f>'All regions'!F3180+"$F;@!&amp;fP"</f>
        <v>#VALUE!</v>
      </c>
      <c r="GZ115" t="e">
        <f>'All regions'!G3180+"$F;@!&amp;fQ"</f>
        <v>#VALUE!</v>
      </c>
      <c r="HA115" t="e">
        <f>'All regions'!H3180+"$F;@!&amp;fR"</f>
        <v>#VALUE!</v>
      </c>
      <c r="HB115" t="e">
        <f>'All regions'!I3180+"$F;@!&amp;fS"</f>
        <v>#VALUE!</v>
      </c>
      <c r="HC115" t="e">
        <f>'All regions'!A3181+"$F;@!&amp;fT"</f>
        <v>#VALUE!</v>
      </c>
      <c r="HD115" t="e">
        <f>'All regions'!B3181+"$F;@!&amp;fU"</f>
        <v>#VALUE!</v>
      </c>
      <c r="HE115" t="e">
        <f>'All regions'!C3181+"$F;@!&amp;fV"</f>
        <v>#VALUE!</v>
      </c>
      <c r="HF115" t="e">
        <f>'All regions'!D3181+"$F;@!&amp;fW"</f>
        <v>#VALUE!</v>
      </c>
      <c r="HG115" t="e">
        <f>'All regions'!E3181+"$F;@!&amp;fX"</f>
        <v>#VALUE!</v>
      </c>
      <c r="HH115" t="e">
        <f>'All regions'!F3181+"$F;@!&amp;fY"</f>
        <v>#VALUE!</v>
      </c>
      <c r="HI115" t="e">
        <f>'All regions'!G3181+"$F;@!&amp;fZ"</f>
        <v>#VALUE!</v>
      </c>
      <c r="HJ115" t="e">
        <f>'All regions'!H3181+"$F;@!&amp;f["</f>
        <v>#VALUE!</v>
      </c>
      <c r="HK115" t="e">
        <f>'All regions'!I3181+"$F;@!&amp;f\"</f>
        <v>#VALUE!</v>
      </c>
      <c r="HL115" t="e">
        <f>'All regions'!A3182+"$F;@!&amp;f]"</f>
        <v>#VALUE!</v>
      </c>
      <c r="HM115" t="e">
        <f>'All regions'!B3182+"$F;@!&amp;f^"</f>
        <v>#VALUE!</v>
      </c>
      <c r="HN115" t="e">
        <f>'All regions'!C3182+"$F;@!&amp;f_"</f>
        <v>#VALUE!</v>
      </c>
      <c r="HO115" t="e">
        <f>'All regions'!D3182+"$F;@!&amp;f`"</f>
        <v>#VALUE!</v>
      </c>
      <c r="HP115" t="e">
        <f>'All regions'!E3182+"$F;@!&amp;fa"</f>
        <v>#VALUE!</v>
      </c>
      <c r="HQ115" t="e">
        <f>'All regions'!F3182+"$F;@!&amp;fb"</f>
        <v>#VALUE!</v>
      </c>
      <c r="HR115" t="e">
        <f>'All regions'!G3182+"$F;@!&amp;fc"</f>
        <v>#VALUE!</v>
      </c>
      <c r="HS115" t="e">
        <f>'All regions'!H3182+"$F;@!&amp;fd"</f>
        <v>#VALUE!</v>
      </c>
      <c r="HT115" t="e">
        <f>'All regions'!I3182+"$F;@!&amp;fe"</f>
        <v>#VALUE!</v>
      </c>
      <c r="HU115" t="e">
        <f>'All regions'!A3183+"$F;@!&amp;ff"</f>
        <v>#VALUE!</v>
      </c>
      <c r="HV115" t="e">
        <f>'All regions'!B3183+"$F;@!&amp;fg"</f>
        <v>#VALUE!</v>
      </c>
      <c r="HW115" t="e">
        <f>'All regions'!C3183+"$F;@!&amp;fh"</f>
        <v>#VALUE!</v>
      </c>
      <c r="HX115" t="e">
        <f>'All regions'!D3183+"$F;@!&amp;fi"</f>
        <v>#VALUE!</v>
      </c>
      <c r="HY115" t="e">
        <f>'All regions'!E3183+"$F;@!&amp;fj"</f>
        <v>#VALUE!</v>
      </c>
      <c r="HZ115" t="e">
        <f>'All regions'!F3183+"$F;@!&amp;fk"</f>
        <v>#VALUE!</v>
      </c>
      <c r="IA115" t="e">
        <f>'All regions'!G3183+"$F;@!&amp;fl"</f>
        <v>#VALUE!</v>
      </c>
      <c r="IB115" t="e">
        <f>'All regions'!H3183+"$F;@!&amp;fm"</f>
        <v>#VALUE!</v>
      </c>
      <c r="IC115" t="e">
        <f>'All regions'!I3183+"$F;@!&amp;fn"</f>
        <v>#VALUE!</v>
      </c>
      <c r="ID115" t="e">
        <f>'All regions'!A3184+"$F;@!&amp;fo"</f>
        <v>#VALUE!</v>
      </c>
      <c r="IE115" t="e">
        <f>'All regions'!B3184+"$F;@!&amp;fp"</f>
        <v>#VALUE!</v>
      </c>
      <c r="IF115" t="e">
        <f>'All regions'!C3184+"$F;@!&amp;fq"</f>
        <v>#VALUE!</v>
      </c>
      <c r="IG115" t="e">
        <f>'All regions'!D3184+"$F;@!&amp;fr"</f>
        <v>#VALUE!</v>
      </c>
      <c r="IH115" t="e">
        <f>'All regions'!E3184+"$F;@!&amp;fs"</f>
        <v>#VALUE!</v>
      </c>
      <c r="II115" t="e">
        <f>'All regions'!F3184+"$F;@!&amp;ft"</f>
        <v>#VALUE!</v>
      </c>
      <c r="IJ115" t="e">
        <f>'All regions'!G3184+"$F;@!&amp;fu"</f>
        <v>#VALUE!</v>
      </c>
      <c r="IK115" t="e">
        <f>'All regions'!H3184+"$F;@!&amp;fv"</f>
        <v>#VALUE!</v>
      </c>
      <c r="IL115" t="e">
        <f>'All regions'!I3184+"$F;@!&amp;fw"</f>
        <v>#VALUE!</v>
      </c>
      <c r="IM115" t="e">
        <f>'All regions'!A3185+"$F;@!&amp;fx"</f>
        <v>#VALUE!</v>
      </c>
      <c r="IN115" t="e">
        <f>'All regions'!B3185+"$F;@!&amp;fy"</f>
        <v>#VALUE!</v>
      </c>
      <c r="IO115" t="e">
        <f>'All regions'!C3185+"$F;@!&amp;fz"</f>
        <v>#VALUE!</v>
      </c>
      <c r="IP115" t="e">
        <f>'All regions'!D3185+"$F;@!&amp;f{"</f>
        <v>#VALUE!</v>
      </c>
      <c r="IQ115" t="e">
        <f>'All regions'!E3185+"$F;@!&amp;f|"</f>
        <v>#VALUE!</v>
      </c>
      <c r="IR115" t="e">
        <f>'All regions'!F3185+"$F;@!&amp;f}"</f>
        <v>#VALUE!</v>
      </c>
      <c r="IS115" t="e">
        <f>'All regions'!G3185+"$F;@!&amp;f~"</f>
        <v>#VALUE!</v>
      </c>
      <c r="IT115" t="e">
        <f>'All regions'!H3185+"$F;@!&amp;g#"</f>
        <v>#VALUE!</v>
      </c>
      <c r="IU115" t="e">
        <f>'All regions'!I3185+"$F;@!&amp;g$"</f>
        <v>#VALUE!</v>
      </c>
      <c r="IV115" t="e">
        <f>'All regions'!A3186+"$F;@!&amp;g%"</f>
        <v>#VALUE!</v>
      </c>
    </row>
    <row r="116" spans="6:256" x14ac:dyDescent="0.35">
      <c r="F116" t="e">
        <f>'All regions'!B3186+"$F;@!&amp;g&amp;"</f>
        <v>#VALUE!</v>
      </c>
      <c r="G116" t="e">
        <f>'All regions'!C3186+"$F;@!&amp;g'"</f>
        <v>#VALUE!</v>
      </c>
      <c r="H116" t="e">
        <f>'All regions'!D3186+"$F;@!&amp;g("</f>
        <v>#VALUE!</v>
      </c>
      <c r="I116" t="e">
        <f>'All regions'!E3186+"$F;@!&amp;g)"</f>
        <v>#VALUE!</v>
      </c>
      <c r="J116" t="e">
        <f>'All regions'!F3186+"$F;@!&amp;g."</f>
        <v>#VALUE!</v>
      </c>
      <c r="K116" t="e">
        <f>'All regions'!G3186+"$F;@!&amp;g/"</f>
        <v>#VALUE!</v>
      </c>
      <c r="L116" t="e">
        <f>'All regions'!H3186+"$F;@!&amp;g0"</f>
        <v>#VALUE!</v>
      </c>
      <c r="M116" t="e">
        <f>'All regions'!I3186+"$F;@!&amp;g1"</f>
        <v>#VALUE!</v>
      </c>
      <c r="N116" t="e">
        <f>'All regions'!A3187+"$F;@!&amp;g2"</f>
        <v>#VALUE!</v>
      </c>
      <c r="O116" t="e">
        <f>'All regions'!B3187+"$F;@!&amp;g3"</f>
        <v>#VALUE!</v>
      </c>
      <c r="P116" t="e">
        <f>'All regions'!C3187+"$F;@!&amp;g4"</f>
        <v>#VALUE!</v>
      </c>
      <c r="Q116" t="e">
        <f>'All regions'!D3187+"$F;@!&amp;g5"</f>
        <v>#VALUE!</v>
      </c>
      <c r="R116" t="e">
        <f>'All regions'!E3187+"$F;@!&amp;g6"</f>
        <v>#VALUE!</v>
      </c>
      <c r="S116" t="e">
        <f>'All regions'!F3187+"$F;@!&amp;g7"</f>
        <v>#VALUE!</v>
      </c>
      <c r="T116" t="e">
        <f>'All regions'!G3187+"$F;@!&amp;g8"</f>
        <v>#VALUE!</v>
      </c>
      <c r="U116" t="e">
        <f>'All regions'!H3187+"$F;@!&amp;g9"</f>
        <v>#VALUE!</v>
      </c>
      <c r="V116" t="e">
        <f>'All regions'!I3187+"$F;@!&amp;g:"</f>
        <v>#VALUE!</v>
      </c>
      <c r="W116" t="e">
        <f>'All regions'!A3188+"$F;@!&amp;g;"</f>
        <v>#VALUE!</v>
      </c>
      <c r="X116" t="e">
        <f>'All regions'!B3188+"$F;@!&amp;g&lt;"</f>
        <v>#VALUE!</v>
      </c>
      <c r="Y116" t="e">
        <f>'All regions'!C3188+"$F;@!&amp;g="</f>
        <v>#VALUE!</v>
      </c>
      <c r="Z116" t="e">
        <f>'All regions'!D3188+"$F;@!&amp;g&gt;"</f>
        <v>#VALUE!</v>
      </c>
      <c r="AA116" t="e">
        <f>'All regions'!E3188+"$F;@!&amp;g?"</f>
        <v>#VALUE!</v>
      </c>
      <c r="AB116" t="e">
        <f>'All regions'!F3188+"$F;@!&amp;g@"</f>
        <v>#VALUE!</v>
      </c>
      <c r="AC116" t="e">
        <f>'All regions'!G3188+"$F;@!&amp;gA"</f>
        <v>#VALUE!</v>
      </c>
      <c r="AD116" t="e">
        <f>'All regions'!H3188+"$F;@!&amp;gB"</f>
        <v>#VALUE!</v>
      </c>
      <c r="AE116" t="e">
        <f>'All regions'!I3188+"$F;@!&amp;gC"</f>
        <v>#VALUE!</v>
      </c>
      <c r="AF116" t="e">
        <f>'All regions'!A3189+"$F;@!&amp;gD"</f>
        <v>#VALUE!</v>
      </c>
      <c r="AG116" t="e">
        <f>'All regions'!B3189+"$F;@!&amp;gE"</f>
        <v>#VALUE!</v>
      </c>
      <c r="AH116" t="e">
        <f>'All regions'!C3189+"$F;@!&amp;gF"</f>
        <v>#VALUE!</v>
      </c>
      <c r="AI116" t="e">
        <f>'All regions'!D3189+"$F;@!&amp;gG"</f>
        <v>#VALUE!</v>
      </c>
      <c r="AJ116" t="e">
        <f>'All regions'!E3189+"$F;@!&amp;gH"</f>
        <v>#VALUE!</v>
      </c>
      <c r="AK116" t="e">
        <f>'All regions'!F3189+"$F;@!&amp;gI"</f>
        <v>#VALUE!</v>
      </c>
      <c r="AL116" t="e">
        <f>'All regions'!G3189+"$F;@!&amp;gJ"</f>
        <v>#VALUE!</v>
      </c>
      <c r="AM116" t="e">
        <f>'All regions'!H3189+"$F;@!&amp;gK"</f>
        <v>#VALUE!</v>
      </c>
      <c r="AN116" t="e">
        <f>'All regions'!I3189+"$F;@!&amp;gL"</f>
        <v>#VALUE!</v>
      </c>
      <c r="AO116" t="e">
        <f>'All regions'!A3190+"$F;@!&amp;gM"</f>
        <v>#VALUE!</v>
      </c>
      <c r="AP116" t="e">
        <f>'All regions'!B3190+"$F;@!&amp;gN"</f>
        <v>#VALUE!</v>
      </c>
      <c r="AQ116" t="e">
        <f>'All regions'!C3190+"$F;@!&amp;gO"</f>
        <v>#VALUE!</v>
      </c>
      <c r="AR116" t="e">
        <f>'All regions'!D3190+"$F;@!&amp;gP"</f>
        <v>#VALUE!</v>
      </c>
      <c r="AS116" t="e">
        <f>'All regions'!E3190+"$F;@!&amp;gQ"</f>
        <v>#VALUE!</v>
      </c>
      <c r="AT116" t="e">
        <f>'All regions'!F3190+"$F;@!&amp;gR"</f>
        <v>#VALUE!</v>
      </c>
      <c r="AU116" t="e">
        <f>'All regions'!G3190+"$F;@!&amp;gS"</f>
        <v>#VALUE!</v>
      </c>
      <c r="AV116" t="e">
        <f>'All regions'!H3190+"$F;@!&amp;gT"</f>
        <v>#VALUE!</v>
      </c>
      <c r="AW116" t="e">
        <f>'All regions'!I3190+"$F;@!&amp;gU"</f>
        <v>#VALUE!</v>
      </c>
      <c r="AX116" t="e">
        <f>'All regions'!A3191+"$F;@!&amp;gV"</f>
        <v>#VALUE!</v>
      </c>
      <c r="AY116" t="e">
        <f>'All regions'!B3191+"$F;@!&amp;gW"</f>
        <v>#VALUE!</v>
      </c>
      <c r="AZ116" t="e">
        <f>'All regions'!C3191+"$F;@!&amp;gX"</f>
        <v>#VALUE!</v>
      </c>
      <c r="BA116" t="e">
        <f>'All regions'!D3191+"$F;@!&amp;gY"</f>
        <v>#VALUE!</v>
      </c>
      <c r="BB116" t="e">
        <f>'All regions'!E3191+"$F;@!&amp;gZ"</f>
        <v>#VALUE!</v>
      </c>
      <c r="BC116" t="e">
        <f>'All regions'!F3191+"$F;@!&amp;g["</f>
        <v>#VALUE!</v>
      </c>
      <c r="BD116" t="e">
        <f>'All regions'!G3191+"$F;@!&amp;g\"</f>
        <v>#VALUE!</v>
      </c>
      <c r="BE116" t="e">
        <f>'All regions'!H3191+"$F;@!&amp;g]"</f>
        <v>#VALUE!</v>
      </c>
      <c r="BF116" t="e">
        <f>'All regions'!I3191+"$F;@!&amp;g^"</f>
        <v>#VALUE!</v>
      </c>
      <c r="BG116" t="e">
        <f>'All regions'!A3192+"$F;@!&amp;g_"</f>
        <v>#VALUE!</v>
      </c>
      <c r="BH116" t="e">
        <f>'All regions'!B3192+"$F;@!&amp;g`"</f>
        <v>#VALUE!</v>
      </c>
      <c r="BI116" t="e">
        <f>'All regions'!C3192+"$F;@!&amp;ga"</f>
        <v>#VALUE!</v>
      </c>
      <c r="BJ116" t="e">
        <f>'All regions'!D3192+"$F;@!&amp;gb"</f>
        <v>#VALUE!</v>
      </c>
      <c r="BK116" t="e">
        <f>'All regions'!E3192+"$F;@!&amp;gc"</f>
        <v>#VALUE!</v>
      </c>
      <c r="BL116" t="e">
        <f>'All regions'!F3192+"$F;@!&amp;gd"</f>
        <v>#VALUE!</v>
      </c>
      <c r="BM116" t="e">
        <f>'All regions'!G3192+"$F;@!&amp;ge"</f>
        <v>#VALUE!</v>
      </c>
      <c r="BN116" t="e">
        <f>'All regions'!H3192+"$F;@!&amp;gf"</f>
        <v>#VALUE!</v>
      </c>
      <c r="BO116" t="e">
        <f>'All regions'!I3192+"$F;@!&amp;gg"</f>
        <v>#VALUE!</v>
      </c>
      <c r="BP116" t="e">
        <f>'All regions'!A3193+"$F;@!&amp;gh"</f>
        <v>#VALUE!</v>
      </c>
      <c r="BQ116" t="e">
        <f>'All regions'!B3193+"$F;@!&amp;gi"</f>
        <v>#VALUE!</v>
      </c>
      <c r="BR116" t="e">
        <f>'All regions'!C3193+"$F;@!&amp;gj"</f>
        <v>#VALUE!</v>
      </c>
      <c r="BS116" t="e">
        <f>'All regions'!D3193+"$F;@!&amp;gk"</f>
        <v>#VALUE!</v>
      </c>
      <c r="BT116" t="e">
        <f>'All regions'!E3193+"$F;@!&amp;gl"</f>
        <v>#VALUE!</v>
      </c>
      <c r="BU116" t="e">
        <f>'All regions'!F3193+"$F;@!&amp;gm"</f>
        <v>#VALUE!</v>
      </c>
      <c r="BV116" t="e">
        <f>'All regions'!G3193+"$F;@!&amp;gn"</f>
        <v>#VALUE!</v>
      </c>
      <c r="BW116" t="e">
        <f>'All regions'!H3193+"$F;@!&amp;go"</f>
        <v>#VALUE!</v>
      </c>
      <c r="BX116" t="e">
        <f>'All regions'!I3193+"$F;@!&amp;gp"</f>
        <v>#VALUE!</v>
      </c>
      <c r="BY116" t="e">
        <f>'All regions'!A3194+"$F;@!&amp;gq"</f>
        <v>#VALUE!</v>
      </c>
      <c r="BZ116" t="e">
        <f>'All regions'!B3194+"$F;@!&amp;gr"</f>
        <v>#VALUE!</v>
      </c>
      <c r="CA116" t="e">
        <f>'All regions'!C3194+"$F;@!&amp;gs"</f>
        <v>#VALUE!</v>
      </c>
      <c r="CB116" t="e">
        <f>'All regions'!D3194+"$F;@!&amp;gt"</f>
        <v>#VALUE!</v>
      </c>
      <c r="CC116" t="e">
        <f>'All regions'!E3194+"$F;@!&amp;gu"</f>
        <v>#VALUE!</v>
      </c>
      <c r="CD116" t="e">
        <f>'All regions'!F3194+"$F;@!&amp;gv"</f>
        <v>#VALUE!</v>
      </c>
      <c r="CE116" t="e">
        <f>'All regions'!G3194+"$F;@!&amp;gw"</f>
        <v>#VALUE!</v>
      </c>
      <c r="CF116" t="e">
        <f>'All regions'!H3194+"$F;@!&amp;gx"</f>
        <v>#VALUE!</v>
      </c>
      <c r="CG116" t="e">
        <f>'All regions'!I3194+"$F;@!&amp;gy"</f>
        <v>#VALUE!</v>
      </c>
      <c r="CH116" t="e">
        <f>'All regions'!A3195+"$F;@!&amp;gz"</f>
        <v>#VALUE!</v>
      </c>
      <c r="CI116" t="e">
        <f>'All regions'!B3195+"$F;@!&amp;g{"</f>
        <v>#VALUE!</v>
      </c>
      <c r="CJ116" t="e">
        <f>'All regions'!C3195+"$F;@!&amp;g|"</f>
        <v>#VALUE!</v>
      </c>
      <c r="CK116" t="e">
        <f>'All regions'!D3195+"$F;@!&amp;g}"</f>
        <v>#VALUE!</v>
      </c>
      <c r="CL116" t="e">
        <f>'All regions'!E3195+"$F;@!&amp;g~"</f>
        <v>#VALUE!</v>
      </c>
      <c r="CM116" t="e">
        <f>'All regions'!F3195+"$F;@!&amp;h#"</f>
        <v>#VALUE!</v>
      </c>
      <c r="CN116" t="e">
        <f>'All regions'!G3195+"$F;@!&amp;h$"</f>
        <v>#VALUE!</v>
      </c>
      <c r="CO116" t="e">
        <f>'All regions'!H3195+"$F;@!&amp;h%"</f>
        <v>#VALUE!</v>
      </c>
      <c r="CP116" t="e">
        <f>'All regions'!I3195+"$F;@!&amp;h&amp;"</f>
        <v>#VALUE!</v>
      </c>
      <c r="CQ116" t="e">
        <f>'All regions'!A3196+"$F;@!&amp;h'"</f>
        <v>#VALUE!</v>
      </c>
      <c r="CR116" t="e">
        <f>'All regions'!B3196+"$F;@!&amp;h("</f>
        <v>#VALUE!</v>
      </c>
      <c r="CS116" t="e">
        <f>'All regions'!C3196+"$F;@!&amp;h)"</f>
        <v>#VALUE!</v>
      </c>
      <c r="CT116" t="e">
        <f>'All regions'!D3196+"$F;@!&amp;h."</f>
        <v>#VALUE!</v>
      </c>
      <c r="CU116" t="e">
        <f>'All regions'!E3196+"$F;@!&amp;h/"</f>
        <v>#VALUE!</v>
      </c>
      <c r="CV116" t="e">
        <f>'All regions'!F3196+"$F;@!&amp;h0"</f>
        <v>#VALUE!</v>
      </c>
      <c r="CW116" t="e">
        <f>'All regions'!G3196+"$F;@!&amp;h1"</f>
        <v>#VALUE!</v>
      </c>
      <c r="CX116" t="e">
        <f>'All regions'!H3196+"$F;@!&amp;h2"</f>
        <v>#VALUE!</v>
      </c>
      <c r="CY116" t="e">
        <f>'All regions'!I3196+"$F;@!&amp;h3"</f>
        <v>#VALUE!</v>
      </c>
      <c r="CZ116" t="e">
        <f>'All regions'!A3197+"$F;@!&amp;h4"</f>
        <v>#VALUE!</v>
      </c>
      <c r="DA116" t="e">
        <f>'All regions'!B3197+"$F;@!&amp;h5"</f>
        <v>#VALUE!</v>
      </c>
      <c r="DB116" t="e">
        <f>'All regions'!C3197+"$F;@!&amp;h6"</f>
        <v>#VALUE!</v>
      </c>
      <c r="DC116" t="e">
        <f>'All regions'!D3197+"$F;@!&amp;h7"</f>
        <v>#VALUE!</v>
      </c>
      <c r="DD116" t="e">
        <f>'All regions'!E3197+"$F;@!&amp;h8"</f>
        <v>#VALUE!</v>
      </c>
      <c r="DE116" t="e">
        <f>'All regions'!F3197+"$F;@!&amp;h9"</f>
        <v>#VALUE!</v>
      </c>
      <c r="DF116" t="e">
        <f>'All regions'!G3197+"$F;@!&amp;h:"</f>
        <v>#VALUE!</v>
      </c>
      <c r="DG116" t="e">
        <f>'All regions'!H3197+"$F;@!&amp;h;"</f>
        <v>#VALUE!</v>
      </c>
      <c r="DH116" t="e">
        <f>'All regions'!I3197+"$F;@!&amp;h&lt;"</f>
        <v>#VALUE!</v>
      </c>
      <c r="DI116" t="e">
        <f>'All regions'!A3198+"$F;@!&amp;h="</f>
        <v>#VALUE!</v>
      </c>
      <c r="DJ116" t="e">
        <f>'All regions'!B3198+"$F;@!&amp;h&gt;"</f>
        <v>#VALUE!</v>
      </c>
      <c r="DK116" t="e">
        <f>'All regions'!C3198+"$F;@!&amp;h?"</f>
        <v>#VALUE!</v>
      </c>
      <c r="DL116" t="e">
        <f>'All regions'!D3198+"$F;@!&amp;h@"</f>
        <v>#VALUE!</v>
      </c>
      <c r="DM116" t="e">
        <f>'All regions'!E3198+"$F;@!&amp;hA"</f>
        <v>#VALUE!</v>
      </c>
      <c r="DN116" t="e">
        <f>'All regions'!F3198+"$F;@!&amp;hB"</f>
        <v>#VALUE!</v>
      </c>
      <c r="DO116" t="e">
        <f>'All regions'!G3198+"$F;@!&amp;hC"</f>
        <v>#VALUE!</v>
      </c>
      <c r="DP116" t="e">
        <f>'All regions'!H3198+"$F;@!&amp;hD"</f>
        <v>#VALUE!</v>
      </c>
      <c r="DQ116" t="e">
        <f>'All regions'!I3198+"$F;@!&amp;hE"</f>
        <v>#VALUE!</v>
      </c>
      <c r="DR116" t="e">
        <f>'All regions'!A3199+"$F;@!&amp;hF"</f>
        <v>#VALUE!</v>
      </c>
      <c r="DS116" t="e">
        <f>'All regions'!B3199+"$F;@!&amp;hG"</f>
        <v>#VALUE!</v>
      </c>
      <c r="DT116" t="e">
        <f>'All regions'!C3199+"$F;@!&amp;hH"</f>
        <v>#VALUE!</v>
      </c>
      <c r="DU116" t="e">
        <f>'All regions'!D3199+"$F;@!&amp;hI"</f>
        <v>#VALUE!</v>
      </c>
      <c r="DV116" t="e">
        <f>'All regions'!E3199+"$F;@!&amp;hJ"</f>
        <v>#VALUE!</v>
      </c>
      <c r="DW116" t="e">
        <f>'All regions'!F3199+"$F;@!&amp;hK"</f>
        <v>#VALUE!</v>
      </c>
      <c r="DX116" t="e">
        <f>'All regions'!G3199+"$F;@!&amp;hL"</f>
        <v>#VALUE!</v>
      </c>
      <c r="DY116" t="e">
        <f>'All regions'!H3199+"$F;@!&amp;hM"</f>
        <v>#VALUE!</v>
      </c>
      <c r="DZ116" t="e">
        <f>'All regions'!I3199+"$F;@!&amp;hN"</f>
        <v>#VALUE!</v>
      </c>
      <c r="EA116" t="e">
        <f>'All regions'!A3200+"$F;@!&amp;hO"</f>
        <v>#VALUE!</v>
      </c>
      <c r="EB116" t="e">
        <f>'All regions'!B3200+"$F;@!&amp;hP"</f>
        <v>#VALUE!</v>
      </c>
      <c r="EC116" t="e">
        <f>'All regions'!C3200+"$F;@!&amp;hQ"</f>
        <v>#VALUE!</v>
      </c>
      <c r="ED116" t="e">
        <f>'All regions'!D3200+"$F;@!&amp;hR"</f>
        <v>#VALUE!</v>
      </c>
      <c r="EE116" t="e">
        <f>'All regions'!E3200+"$F;@!&amp;hS"</f>
        <v>#VALUE!</v>
      </c>
      <c r="EF116" t="e">
        <f>'All regions'!F3200+"$F;@!&amp;hT"</f>
        <v>#VALUE!</v>
      </c>
      <c r="EG116" t="e">
        <f>'All regions'!G3200+"$F;@!&amp;hU"</f>
        <v>#VALUE!</v>
      </c>
      <c r="EH116" t="e">
        <f>'All regions'!H3200+"$F;@!&amp;hV"</f>
        <v>#VALUE!</v>
      </c>
      <c r="EI116" t="e">
        <f>'All regions'!I3200+"$F;@!&amp;hW"</f>
        <v>#VALUE!</v>
      </c>
      <c r="EJ116" t="e">
        <f>'All regions'!A3201+"$F;@!&amp;hX"</f>
        <v>#VALUE!</v>
      </c>
      <c r="EK116" t="e">
        <f>'All regions'!B3201+"$F;@!&amp;hY"</f>
        <v>#VALUE!</v>
      </c>
      <c r="EL116" t="e">
        <f>'All regions'!C3201+"$F;@!&amp;hZ"</f>
        <v>#VALUE!</v>
      </c>
      <c r="EM116" t="e">
        <f>'All regions'!D3201+"$F;@!&amp;h["</f>
        <v>#VALUE!</v>
      </c>
      <c r="EN116" t="e">
        <f>'All regions'!E3201+"$F;@!&amp;h\"</f>
        <v>#VALUE!</v>
      </c>
      <c r="EO116" t="e">
        <f>'All regions'!F3201+"$F;@!&amp;h]"</f>
        <v>#VALUE!</v>
      </c>
      <c r="EP116" t="e">
        <f>'All regions'!G3201+"$F;@!&amp;h^"</f>
        <v>#VALUE!</v>
      </c>
      <c r="EQ116" t="e">
        <f>'All regions'!H3201+"$F;@!&amp;h_"</f>
        <v>#VALUE!</v>
      </c>
      <c r="ER116" t="e">
        <f>'All regions'!I3201+"$F;@!&amp;h`"</f>
        <v>#VALUE!</v>
      </c>
      <c r="ES116" t="e">
        <f>'All regions'!A3202+"$F;@!&amp;ha"</f>
        <v>#VALUE!</v>
      </c>
      <c r="ET116" t="e">
        <f>'All regions'!B3202+"$F;@!&amp;hb"</f>
        <v>#VALUE!</v>
      </c>
      <c r="EU116" t="e">
        <f>'All regions'!C3202+"$F;@!&amp;hc"</f>
        <v>#VALUE!</v>
      </c>
      <c r="EV116" t="e">
        <f>'All regions'!D3202+"$F;@!&amp;hd"</f>
        <v>#VALUE!</v>
      </c>
      <c r="EW116" t="e">
        <f>'All regions'!E3202+"$F;@!&amp;he"</f>
        <v>#VALUE!</v>
      </c>
      <c r="EX116" t="e">
        <f>'All regions'!F3202+"$F;@!&amp;hf"</f>
        <v>#VALUE!</v>
      </c>
      <c r="EY116" t="e">
        <f>'All regions'!G3202+"$F;@!&amp;hg"</f>
        <v>#VALUE!</v>
      </c>
      <c r="EZ116" t="e">
        <f>'All regions'!H3202+"$F;@!&amp;hh"</f>
        <v>#VALUE!</v>
      </c>
      <c r="FA116" t="e">
        <f>'All regions'!I3202+"$F;@!&amp;hi"</f>
        <v>#VALUE!</v>
      </c>
      <c r="FB116" t="e">
        <f>'All regions'!A3203+"$F;@!&amp;hj"</f>
        <v>#VALUE!</v>
      </c>
      <c r="FC116" t="e">
        <f>'All regions'!B3203+"$F;@!&amp;hk"</f>
        <v>#VALUE!</v>
      </c>
      <c r="FD116" t="e">
        <f>'All regions'!C3203+"$F;@!&amp;hl"</f>
        <v>#VALUE!</v>
      </c>
      <c r="FE116" t="e">
        <f>'All regions'!D3203+"$F;@!&amp;hm"</f>
        <v>#VALUE!</v>
      </c>
      <c r="FF116" t="e">
        <f>'All regions'!E3203+"$F;@!&amp;hn"</f>
        <v>#VALUE!</v>
      </c>
      <c r="FG116" t="e">
        <f>'All regions'!F3203+"$F;@!&amp;ho"</f>
        <v>#VALUE!</v>
      </c>
      <c r="FH116" t="e">
        <f>'All regions'!G3203+"$F;@!&amp;hp"</f>
        <v>#VALUE!</v>
      </c>
      <c r="FI116" t="e">
        <f>'All regions'!H3203+"$F;@!&amp;hq"</f>
        <v>#VALUE!</v>
      </c>
      <c r="FJ116" t="e">
        <f>'All regions'!I3203+"$F;@!&amp;hr"</f>
        <v>#VALUE!</v>
      </c>
      <c r="FK116" t="e">
        <f>'All regions'!A3204+"$F;@!&amp;hs"</f>
        <v>#VALUE!</v>
      </c>
      <c r="FL116" t="e">
        <f>'All regions'!B3204+"$F;@!&amp;ht"</f>
        <v>#VALUE!</v>
      </c>
      <c r="FM116" t="e">
        <f>'All regions'!C3204+"$F;@!&amp;hu"</f>
        <v>#VALUE!</v>
      </c>
      <c r="FN116" t="e">
        <f>'All regions'!D3204+"$F;@!&amp;hv"</f>
        <v>#VALUE!</v>
      </c>
      <c r="FO116" t="e">
        <f>'All regions'!E3204+"$F;@!&amp;hw"</f>
        <v>#VALUE!</v>
      </c>
      <c r="FP116" t="e">
        <f>'All regions'!F3204+"$F;@!&amp;hx"</f>
        <v>#VALUE!</v>
      </c>
      <c r="FQ116" t="e">
        <f>'All regions'!G3204+"$F;@!&amp;hy"</f>
        <v>#VALUE!</v>
      </c>
      <c r="FR116" t="e">
        <f>'All regions'!H3204+"$F;@!&amp;hz"</f>
        <v>#VALUE!</v>
      </c>
      <c r="FS116" t="e">
        <f>'All regions'!I3204+"$F;@!&amp;h{"</f>
        <v>#VALUE!</v>
      </c>
      <c r="FT116" t="e">
        <f>'All regions'!A3205+"$F;@!&amp;h|"</f>
        <v>#VALUE!</v>
      </c>
      <c r="FU116" t="e">
        <f>'All regions'!B3205+"$F;@!&amp;h}"</f>
        <v>#VALUE!</v>
      </c>
      <c r="FV116" t="e">
        <f>'All regions'!C3205+"$F;@!&amp;h~"</f>
        <v>#VALUE!</v>
      </c>
      <c r="FW116" t="e">
        <f>'All regions'!D3205+"$F;@!&amp;i#"</f>
        <v>#VALUE!</v>
      </c>
      <c r="FX116" t="e">
        <f>'All regions'!E3205+"$F;@!&amp;i$"</f>
        <v>#VALUE!</v>
      </c>
      <c r="FY116" t="e">
        <f>'All regions'!F3205+"$F;@!&amp;i%"</f>
        <v>#VALUE!</v>
      </c>
      <c r="FZ116" t="e">
        <f>'All regions'!G3205+"$F;@!&amp;i&amp;"</f>
        <v>#VALUE!</v>
      </c>
      <c r="GA116" t="e">
        <f>'All regions'!H3205+"$F;@!&amp;i'"</f>
        <v>#VALUE!</v>
      </c>
      <c r="GB116" t="e">
        <f>'All regions'!I3205+"$F;@!&amp;i("</f>
        <v>#VALUE!</v>
      </c>
      <c r="GC116" t="e">
        <f>'All regions'!A3206+"$F;@!&amp;i)"</f>
        <v>#VALUE!</v>
      </c>
      <c r="GD116" t="e">
        <f>'All regions'!B3206+"$F;@!&amp;i."</f>
        <v>#VALUE!</v>
      </c>
      <c r="GE116" t="e">
        <f>'All regions'!C3206+"$F;@!&amp;i/"</f>
        <v>#VALUE!</v>
      </c>
      <c r="GF116" t="e">
        <f>'All regions'!D3206+"$F;@!&amp;i0"</f>
        <v>#VALUE!</v>
      </c>
      <c r="GG116" t="e">
        <f>'All regions'!E3206+"$F;@!&amp;i1"</f>
        <v>#VALUE!</v>
      </c>
      <c r="GH116" t="e">
        <f>'All regions'!F3206+"$F;@!&amp;i2"</f>
        <v>#VALUE!</v>
      </c>
      <c r="GI116" t="e">
        <f>'All regions'!G3206+"$F;@!&amp;i3"</f>
        <v>#VALUE!</v>
      </c>
      <c r="GJ116" t="e">
        <f>'All regions'!H3206+"$F;@!&amp;i4"</f>
        <v>#VALUE!</v>
      </c>
      <c r="GK116" t="e">
        <f>'All regions'!I3206+"$F;@!&amp;i5"</f>
        <v>#VALUE!</v>
      </c>
      <c r="GL116" t="e">
        <f>'All regions'!A3207+"$F;@!&amp;i6"</f>
        <v>#VALUE!</v>
      </c>
      <c r="GM116" t="e">
        <f>'All regions'!B3207+"$F;@!&amp;i7"</f>
        <v>#VALUE!</v>
      </c>
      <c r="GN116" t="e">
        <f>'All regions'!C3207+"$F;@!&amp;i8"</f>
        <v>#VALUE!</v>
      </c>
      <c r="GO116" t="e">
        <f>'All regions'!D3207+"$F;@!&amp;i9"</f>
        <v>#VALUE!</v>
      </c>
      <c r="GP116" t="e">
        <f>'All regions'!E3207+"$F;@!&amp;i:"</f>
        <v>#VALUE!</v>
      </c>
      <c r="GQ116" t="e">
        <f>'All regions'!F3207+"$F;@!&amp;i;"</f>
        <v>#VALUE!</v>
      </c>
      <c r="GR116" t="e">
        <f>'All regions'!G3207+"$F;@!&amp;i&lt;"</f>
        <v>#VALUE!</v>
      </c>
      <c r="GS116" t="e">
        <f>'All regions'!H3207+"$F;@!&amp;i="</f>
        <v>#VALUE!</v>
      </c>
      <c r="GT116" t="e">
        <f>'All regions'!I3207+"$F;@!&amp;i&gt;"</f>
        <v>#VALUE!</v>
      </c>
      <c r="GU116" t="e">
        <f>'All regions'!A3208+"$F;@!&amp;i?"</f>
        <v>#VALUE!</v>
      </c>
      <c r="GV116" t="e">
        <f>'All regions'!B3208+"$F;@!&amp;i@"</f>
        <v>#VALUE!</v>
      </c>
      <c r="GW116" t="e">
        <f>'All regions'!C3208+"$F;@!&amp;iA"</f>
        <v>#VALUE!</v>
      </c>
      <c r="GX116" t="e">
        <f>'All regions'!D3208+"$F;@!&amp;iB"</f>
        <v>#VALUE!</v>
      </c>
      <c r="GY116" t="e">
        <f>'All regions'!E3208+"$F;@!&amp;iC"</f>
        <v>#VALUE!</v>
      </c>
      <c r="GZ116" t="e">
        <f>'All regions'!F3208+"$F;@!&amp;iD"</f>
        <v>#VALUE!</v>
      </c>
      <c r="HA116" t="e">
        <f>'All regions'!G3208+"$F;@!&amp;iE"</f>
        <v>#VALUE!</v>
      </c>
      <c r="HB116" t="e">
        <f>'All regions'!H3208+"$F;@!&amp;iF"</f>
        <v>#VALUE!</v>
      </c>
      <c r="HC116" t="e">
        <f>'All regions'!I3208+"$F;@!&amp;iG"</f>
        <v>#VALUE!</v>
      </c>
      <c r="HD116" t="e">
        <f>'All regions'!A3209+"$F;@!&amp;iH"</f>
        <v>#VALUE!</v>
      </c>
      <c r="HE116" t="e">
        <f>'All regions'!B3209+"$F;@!&amp;iI"</f>
        <v>#VALUE!</v>
      </c>
      <c r="HF116" t="e">
        <f>'All regions'!C3209+"$F;@!&amp;iJ"</f>
        <v>#VALUE!</v>
      </c>
      <c r="HG116" t="e">
        <f>'All regions'!D3209+"$F;@!&amp;iK"</f>
        <v>#VALUE!</v>
      </c>
      <c r="HH116" t="e">
        <f>'All regions'!E3209+"$F;@!&amp;iL"</f>
        <v>#VALUE!</v>
      </c>
      <c r="HI116" t="e">
        <f>'All regions'!F3209+"$F;@!&amp;iM"</f>
        <v>#VALUE!</v>
      </c>
      <c r="HJ116" t="e">
        <f>'All regions'!G3209+"$F;@!&amp;iN"</f>
        <v>#VALUE!</v>
      </c>
      <c r="HK116" t="e">
        <f>'All regions'!H3209+"$F;@!&amp;iO"</f>
        <v>#VALUE!</v>
      </c>
      <c r="HL116" t="e">
        <f>'All regions'!I3209+"$F;@!&amp;iP"</f>
        <v>#VALUE!</v>
      </c>
      <c r="HM116" t="e">
        <f>'All regions'!A3210+"$F;@!&amp;iQ"</f>
        <v>#VALUE!</v>
      </c>
      <c r="HN116" t="e">
        <f>'All regions'!B3210+"$F;@!&amp;iR"</f>
        <v>#VALUE!</v>
      </c>
      <c r="HO116" t="e">
        <f>'All regions'!C3210+"$F;@!&amp;iS"</f>
        <v>#VALUE!</v>
      </c>
      <c r="HP116" t="e">
        <f>'All regions'!D3210+"$F;@!&amp;iT"</f>
        <v>#VALUE!</v>
      </c>
      <c r="HQ116" t="e">
        <f>'All regions'!E3210+"$F;@!&amp;iU"</f>
        <v>#VALUE!</v>
      </c>
      <c r="HR116" t="e">
        <f>'All regions'!F3210+"$F;@!&amp;iV"</f>
        <v>#VALUE!</v>
      </c>
      <c r="HS116" t="e">
        <f>'All regions'!G3210+"$F;@!&amp;iW"</f>
        <v>#VALUE!</v>
      </c>
      <c r="HT116" t="e">
        <f>'All regions'!H3210+"$F;@!&amp;iX"</f>
        <v>#VALUE!</v>
      </c>
      <c r="HU116" t="e">
        <f>'All regions'!I3210+"$F;@!&amp;iY"</f>
        <v>#VALUE!</v>
      </c>
      <c r="HV116" t="e">
        <f>'All regions'!A3211+"$F;@!&amp;iZ"</f>
        <v>#VALUE!</v>
      </c>
      <c r="HW116" t="e">
        <f>'All regions'!B3211+"$F;@!&amp;i["</f>
        <v>#VALUE!</v>
      </c>
      <c r="HX116" t="e">
        <f>'All regions'!C3211+"$F;@!&amp;i\"</f>
        <v>#VALUE!</v>
      </c>
      <c r="HY116" t="e">
        <f>'All regions'!D3211+"$F;@!&amp;i]"</f>
        <v>#VALUE!</v>
      </c>
      <c r="HZ116" t="e">
        <f>'All regions'!E3211+"$F;@!&amp;i^"</f>
        <v>#VALUE!</v>
      </c>
      <c r="IA116" t="e">
        <f>'All regions'!F3211+"$F;@!&amp;i_"</f>
        <v>#VALUE!</v>
      </c>
      <c r="IB116" t="e">
        <f>'All regions'!G3211+"$F;@!&amp;i`"</f>
        <v>#VALUE!</v>
      </c>
      <c r="IC116" t="e">
        <f>'All regions'!H3211+"$F;@!&amp;ia"</f>
        <v>#VALUE!</v>
      </c>
      <c r="ID116" t="e">
        <f>'All regions'!I3211+"$F;@!&amp;ib"</f>
        <v>#VALUE!</v>
      </c>
      <c r="IE116" t="e">
        <f>'All regions'!A3212+"$F;@!&amp;ic"</f>
        <v>#VALUE!</v>
      </c>
      <c r="IF116" t="e">
        <f>'All regions'!B3212+"$F;@!&amp;id"</f>
        <v>#VALUE!</v>
      </c>
      <c r="IG116" t="e">
        <f>'All regions'!C3212+"$F;@!&amp;ie"</f>
        <v>#VALUE!</v>
      </c>
      <c r="IH116" t="e">
        <f>'All regions'!D3212+"$F;@!&amp;if"</f>
        <v>#VALUE!</v>
      </c>
      <c r="II116" t="e">
        <f>'All regions'!E3212+"$F;@!&amp;ig"</f>
        <v>#VALUE!</v>
      </c>
      <c r="IJ116" t="e">
        <f>'All regions'!F3212+"$F;@!&amp;ih"</f>
        <v>#VALUE!</v>
      </c>
      <c r="IK116" t="e">
        <f>'All regions'!G3212+"$F;@!&amp;ii"</f>
        <v>#VALUE!</v>
      </c>
      <c r="IL116" t="e">
        <f>'All regions'!H3212+"$F;@!&amp;ij"</f>
        <v>#VALUE!</v>
      </c>
      <c r="IM116" t="e">
        <f>'All regions'!I3212+"$F;@!&amp;ik"</f>
        <v>#VALUE!</v>
      </c>
      <c r="IN116" t="e">
        <f>'All regions'!A3213+"$F;@!&amp;il"</f>
        <v>#VALUE!</v>
      </c>
      <c r="IO116" t="e">
        <f>'All regions'!B3213+"$F;@!&amp;im"</f>
        <v>#VALUE!</v>
      </c>
      <c r="IP116" t="e">
        <f>'All regions'!C3213+"$F;@!&amp;in"</f>
        <v>#VALUE!</v>
      </c>
      <c r="IQ116" t="e">
        <f>'All regions'!D3213+"$F;@!&amp;io"</f>
        <v>#VALUE!</v>
      </c>
      <c r="IR116" t="e">
        <f>'All regions'!E3213+"$F;@!&amp;ip"</f>
        <v>#VALUE!</v>
      </c>
      <c r="IS116" t="e">
        <f>'All regions'!F3213+"$F;@!&amp;iq"</f>
        <v>#VALUE!</v>
      </c>
      <c r="IT116" t="e">
        <f>'All regions'!G3213+"$F;@!&amp;ir"</f>
        <v>#VALUE!</v>
      </c>
      <c r="IU116" t="e">
        <f>'All regions'!H3213+"$F;@!&amp;is"</f>
        <v>#VALUE!</v>
      </c>
      <c r="IV116" t="e">
        <f>'All regions'!I3213+"$F;@!&amp;it"</f>
        <v>#VALUE!</v>
      </c>
    </row>
    <row r="117" spans="6:256" x14ac:dyDescent="0.35">
      <c r="F117" t="e">
        <f>'All regions'!A3214+"$F;@!&amp;iu"</f>
        <v>#VALUE!</v>
      </c>
      <c r="G117" t="e">
        <f>'All regions'!B3214+"$F;@!&amp;iv"</f>
        <v>#VALUE!</v>
      </c>
      <c r="H117" t="e">
        <f>'All regions'!C3214+"$F;@!&amp;iw"</f>
        <v>#VALUE!</v>
      </c>
      <c r="I117" t="e">
        <f>'All regions'!D3214+"$F;@!&amp;ix"</f>
        <v>#VALUE!</v>
      </c>
      <c r="J117" t="e">
        <f>'All regions'!E3214+"$F;@!&amp;iy"</f>
        <v>#VALUE!</v>
      </c>
      <c r="K117" t="e">
        <f>'All regions'!F3214+"$F;@!&amp;iz"</f>
        <v>#VALUE!</v>
      </c>
      <c r="L117" t="e">
        <f>'All regions'!G3214+"$F;@!&amp;i{"</f>
        <v>#VALUE!</v>
      </c>
      <c r="M117" t="e">
        <f>'All regions'!H3214+"$F;@!&amp;i|"</f>
        <v>#VALUE!</v>
      </c>
      <c r="N117" t="e">
        <f>'All regions'!I3214+"$F;@!&amp;i}"</f>
        <v>#VALUE!</v>
      </c>
      <c r="O117" t="e">
        <f>'All regions'!A3215+"$F;@!&amp;i~"</f>
        <v>#VALUE!</v>
      </c>
      <c r="P117" t="e">
        <f>'All regions'!B3215+"$F;@!&amp;j#"</f>
        <v>#VALUE!</v>
      </c>
      <c r="Q117" t="e">
        <f>'All regions'!C3215+"$F;@!&amp;j$"</f>
        <v>#VALUE!</v>
      </c>
      <c r="R117" t="e">
        <f>'All regions'!D3215+"$F;@!&amp;j%"</f>
        <v>#VALUE!</v>
      </c>
      <c r="S117" t="e">
        <f>'All regions'!E3215+"$F;@!&amp;j&amp;"</f>
        <v>#VALUE!</v>
      </c>
      <c r="T117" t="e">
        <f>'All regions'!F3215+"$F;@!&amp;j'"</f>
        <v>#VALUE!</v>
      </c>
      <c r="U117" t="e">
        <f>'All regions'!G3215+"$F;@!&amp;j("</f>
        <v>#VALUE!</v>
      </c>
      <c r="V117" t="e">
        <f>'All regions'!H3215+"$F;@!&amp;j)"</f>
        <v>#VALUE!</v>
      </c>
      <c r="W117" t="e">
        <f>'All regions'!I3215+"$F;@!&amp;j."</f>
        <v>#VALUE!</v>
      </c>
      <c r="X117" t="e">
        <f>'All regions'!A3216+"$F;@!&amp;j/"</f>
        <v>#VALUE!</v>
      </c>
      <c r="Y117" t="e">
        <f>'All regions'!B3216+"$F;@!&amp;j0"</f>
        <v>#VALUE!</v>
      </c>
      <c r="Z117" t="e">
        <f>'All regions'!C3216+"$F;@!&amp;j1"</f>
        <v>#VALUE!</v>
      </c>
      <c r="AA117" t="e">
        <f>'All regions'!D3216+"$F;@!&amp;j2"</f>
        <v>#VALUE!</v>
      </c>
      <c r="AB117" t="e">
        <f>'All regions'!E3216+"$F;@!&amp;j3"</f>
        <v>#VALUE!</v>
      </c>
      <c r="AC117" t="e">
        <f>'All regions'!F3216+"$F;@!&amp;j4"</f>
        <v>#VALUE!</v>
      </c>
      <c r="AD117" t="e">
        <f>'All regions'!G3216+"$F;@!&amp;j5"</f>
        <v>#VALUE!</v>
      </c>
      <c r="AE117" t="e">
        <f>'All regions'!H3216+"$F;@!&amp;j6"</f>
        <v>#VALUE!</v>
      </c>
      <c r="AF117" t="e">
        <f>'All regions'!I3216+"$F;@!&amp;j7"</f>
        <v>#VALUE!</v>
      </c>
      <c r="AG117" t="e">
        <f>'All regions'!A3217+"$F;@!&amp;j8"</f>
        <v>#VALUE!</v>
      </c>
      <c r="AH117" t="e">
        <f>'All regions'!B3217+"$F;@!&amp;j9"</f>
        <v>#VALUE!</v>
      </c>
      <c r="AI117" t="e">
        <f>'All regions'!C3217+"$F;@!&amp;j:"</f>
        <v>#VALUE!</v>
      </c>
      <c r="AJ117" t="e">
        <f>'All regions'!D3217+"$F;@!&amp;j;"</f>
        <v>#VALUE!</v>
      </c>
      <c r="AK117" t="e">
        <f>'All regions'!E3217+"$F;@!&amp;j&lt;"</f>
        <v>#VALUE!</v>
      </c>
      <c r="AL117" t="e">
        <f>'All regions'!F3217+"$F;@!&amp;j="</f>
        <v>#VALUE!</v>
      </c>
      <c r="AM117" t="e">
        <f>'All regions'!G3217+"$F;@!&amp;j&gt;"</f>
        <v>#VALUE!</v>
      </c>
      <c r="AN117" t="e">
        <f>'All regions'!H3217+"$F;@!&amp;j?"</f>
        <v>#VALUE!</v>
      </c>
      <c r="AO117" t="e">
        <f>'All regions'!I3217+"$F;@!&amp;j@"</f>
        <v>#VALUE!</v>
      </c>
      <c r="AP117" t="e">
        <f>'All regions'!A3218+"$F;@!&amp;jA"</f>
        <v>#VALUE!</v>
      </c>
      <c r="AQ117" t="e">
        <f>'All regions'!B3218+"$F;@!&amp;jB"</f>
        <v>#VALUE!</v>
      </c>
      <c r="AR117" t="e">
        <f>'All regions'!C3218+"$F;@!&amp;jC"</f>
        <v>#VALUE!</v>
      </c>
      <c r="AS117" t="e">
        <f>'All regions'!D3218+"$F;@!&amp;jD"</f>
        <v>#VALUE!</v>
      </c>
      <c r="AT117" t="e">
        <f>'All regions'!E3218+"$F;@!&amp;jE"</f>
        <v>#VALUE!</v>
      </c>
      <c r="AU117" t="e">
        <f>'All regions'!F3218+"$F;@!&amp;jF"</f>
        <v>#VALUE!</v>
      </c>
      <c r="AV117" t="e">
        <f>'All regions'!G3218+"$F;@!&amp;jG"</f>
        <v>#VALUE!</v>
      </c>
      <c r="AW117" t="e">
        <f>'All regions'!H3218+"$F;@!&amp;jH"</f>
        <v>#VALUE!</v>
      </c>
      <c r="AX117" t="e">
        <f>'All regions'!I3218+"$F;@!&amp;jI"</f>
        <v>#VALUE!</v>
      </c>
      <c r="AY117" t="e">
        <f>'All regions'!A3219+"$F;@!&amp;jJ"</f>
        <v>#VALUE!</v>
      </c>
      <c r="AZ117" t="e">
        <f>'All regions'!B3219+"$F;@!&amp;jK"</f>
        <v>#VALUE!</v>
      </c>
      <c r="BA117" t="e">
        <f>'All regions'!C3219+"$F;@!&amp;jL"</f>
        <v>#VALUE!</v>
      </c>
      <c r="BB117" t="e">
        <f>'All regions'!D3219+"$F;@!&amp;jM"</f>
        <v>#VALUE!</v>
      </c>
      <c r="BC117" t="e">
        <f>'All regions'!E3219+"$F;@!&amp;jN"</f>
        <v>#VALUE!</v>
      </c>
      <c r="BD117" t="e">
        <f>'All regions'!F3219+"$F;@!&amp;jO"</f>
        <v>#VALUE!</v>
      </c>
      <c r="BE117" t="e">
        <f>'All regions'!G3219+"$F;@!&amp;jP"</f>
        <v>#VALUE!</v>
      </c>
      <c r="BF117" t="e">
        <f>'All regions'!H3219+"$F;@!&amp;jQ"</f>
        <v>#VALUE!</v>
      </c>
      <c r="BG117" t="e">
        <f>'All regions'!I3219+"$F;@!&amp;jR"</f>
        <v>#VALUE!</v>
      </c>
      <c r="BH117" t="e">
        <f>'All regions'!A3220+"$F;@!&amp;jS"</f>
        <v>#VALUE!</v>
      </c>
      <c r="BI117" t="e">
        <f>'All regions'!B3220+"$F;@!&amp;jT"</f>
        <v>#VALUE!</v>
      </c>
      <c r="BJ117" t="e">
        <f>'All regions'!C3220+"$F;@!&amp;jU"</f>
        <v>#VALUE!</v>
      </c>
      <c r="BK117" t="e">
        <f>'All regions'!D3220+"$F;@!&amp;jV"</f>
        <v>#VALUE!</v>
      </c>
      <c r="BL117" t="e">
        <f>'All regions'!E3220+"$F;@!&amp;jW"</f>
        <v>#VALUE!</v>
      </c>
      <c r="BM117" t="e">
        <f>'All regions'!F3220+"$F;@!&amp;jX"</f>
        <v>#VALUE!</v>
      </c>
      <c r="BN117" t="e">
        <f>'All regions'!G3220+"$F;@!&amp;jY"</f>
        <v>#VALUE!</v>
      </c>
      <c r="BO117" t="e">
        <f>'All regions'!H3220+"$F;@!&amp;jZ"</f>
        <v>#VALUE!</v>
      </c>
      <c r="BP117" t="e">
        <f>'All regions'!I3220+"$F;@!&amp;j["</f>
        <v>#VALUE!</v>
      </c>
      <c r="BQ117" t="e">
        <f>'All regions'!A3221+"$F;@!&amp;j\"</f>
        <v>#VALUE!</v>
      </c>
      <c r="BR117" t="e">
        <f>'All regions'!B3221+"$F;@!&amp;j]"</f>
        <v>#VALUE!</v>
      </c>
      <c r="BS117" t="e">
        <f>'All regions'!C3221+"$F;@!&amp;j^"</f>
        <v>#VALUE!</v>
      </c>
      <c r="BT117" t="e">
        <f>'All regions'!D3221+"$F;@!&amp;j_"</f>
        <v>#VALUE!</v>
      </c>
      <c r="BU117" t="e">
        <f>'All regions'!E3221+"$F;@!&amp;j`"</f>
        <v>#VALUE!</v>
      </c>
      <c r="BV117" t="e">
        <f>'All regions'!F3221+"$F;@!&amp;ja"</f>
        <v>#VALUE!</v>
      </c>
      <c r="BW117" t="e">
        <f>'All regions'!G3221+"$F;@!&amp;jb"</f>
        <v>#VALUE!</v>
      </c>
      <c r="BX117" t="e">
        <f>'All regions'!H3221+"$F;@!&amp;jc"</f>
        <v>#VALUE!</v>
      </c>
      <c r="BY117" t="e">
        <f>'All regions'!I3221+"$F;@!&amp;jd"</f>
        <v>#VALUE!</v>
      </c>
      <c r="BZ117" t="e">
        <f>'All regions'!A3222+"$F;@!&amp;je"</f>
        <v>#VALUE!</v>
      </c>
      <c r="CA117" t="e">
        <f>'All regions'!B3222+"$F;@!&amp;jf"</f>
        <v>#VALUE!</v>
      </c>
      <c r="CB117" t="e">
        <f>'All regions'!C3222+"$F;@!&amp;jg"</f>
        <v>#VALUE!</v>
      </c>
      <c r="CC117" t="e">
        <f>'All regions'!D3222+"$F;@!&amp;jh"</f>
        <v>#VALUE!</v>
      </c>
      <c r="CD117" t="e">
        <f>'All regions'!E3222+"$F;@!&amp;ji"</f>
        <v>#VALUE!</v>
      </c>
      <c r="CE117" t="e">
        <f>'All regions'!F3222+"$F;@!&amp;jj"</f>
        <v>#VALUE!</v>
      </c>
      <c r="CF117" t="e">
        <f>'All regions'!G3222+"$F;@!&amp;jk"</f>
        <v>#VALUE!</v>
      </c>
      <c r="CG117" t="e">
        <f>'All regions'!H3222+"$F;@!&amp;jl"</f>
        <v>#VALUE!</v>
      </c>
      <c r="CH117" t="e">
        <f>'All regions'!I3222+"$F;@!&amp;jm"</f>
        <v>#VALUE!</v>
      </c>
      <c r="CI117" t="e">
        <f>'All regions'!A3223+"$F;@!&amp;jn"</f>
        <v>#VALUE!</v>
      </c>
      <c r="CJ117" t="e">
        <f>'All regions'!B3223+"$F;@!&amp;jo"</f>
        <v>#VALUE!</v>
      </c>
      <c r="CK117" t="e">
        <f>'All regions'!C3223+"$F;@!&amp;jp"</f>
        <v>#VALUE!</v>
      </c>
      <c r="CL117" t="e">
        <f>'All regions'!D3223+"$F;@!&amp;jq"</f>
        <v>#VALUE!</v>
      </c>
      <c r="CM117" t="e">
        <f>'All regions'!E3223+"$F;@!&amp;jr"</f>
        <v>#VALUE!</v>
      </c>
      <c r="CN117" t="e">
        <f>'All regions'!F3223+"$F;@!&amp;js"</f>
        <v>#VALUE!</v>
      </c>
      <c r="CO117" t="e">
        <f>'All regions'!G3223+"$F;@!&amp;jt"</f>
        <v>#VALUE!</v>
      </c>
      <c r="CP117" t="e">
        <f>'All regions'!H3223+"$F;@!&amp;ju"</f>
        <v>#VALUE!</v>
      </c>
      <c r="CQ117" t="e">
        <f>'All regions'!I3223+"$F;@!&amp;jv"</f>
        <v>#VALUE!</v>
      </c>
      <c r="CR117" t="e">
        <f>'All regions'!A3224+"$F;@!&amp;jw"</f>
        <v>#VALUE!</v>
      </c>
      <c r="CS117" t="e">
        <f>'All regions'!B3224+"$F;@!&amp;jx"</f>
        <v>#VALUE!</v>
      </c>
      <c r="CT117" t="e">
        <f>'All regions'!C3224+"$F;@!&amp;jy"</f>
        <v>#VALUE!</v>
      </c>
      <c r="CU117" t="e">
        <f>'All regions'!D3224+"$F;@!&amp;jz"</f>
        <v>#VALUE!</v>
      </c>
      <c r="CV117" t="e">
        <f>'All regions'!E3224+"$F;@!&amp;j{"</f>
        <v>#VALUE!</v>
      </c>
      <c r="CW117" t="e">
        <f>'All regions'!F3224+"$F;@!&amp;j|"</f>
        <v>#VALUE!</v>
      </c>
      <c r="CX117" t="e">
        <f>'All regions'!G3224+"$F;@!&amp;j}"</f>
        <v>#VALUE!</v>
      </c>
      <c r="CY117" t="e">
        <f>'All regions'!H3224+"$F;@!&amp;j~"</f>
        <v>#VALUE!</v>
      </c>
      <c r="CZ117" t="e">
        <f>'All regions'!I3224+"$F;@!&amp;k#"</f>
        <v>#VALUE!</v>
      </c>
      <c r="DA117" t="e">
        <f>'All regions'!A3225+"$F;@!&amp;k$"</f>
        <v>#VALUE!</v>
      </c>
      <c r="DB117" t="e">
        <f>'All regions'!B3225+"$F;@!&amp;k%"</f>
        <v>#VALUE!</v>
      </c>
      <c r="DC117" t="e">
        <f>'All regions'!C3225+"$F;@!&amp;k&amp;"</f>
        <v>#VALUE!</v>
      </c>
      <c r="DD117" t="e">
        <f>'All regions'!D3225+"$F;@!&amp;k'"</f>
        <v>#VALUE!</v>
      </c>
      <c r="DE117" t="e">
        <f>'All regions'!E3225+"$F;@!&amp;k("</f>
        <v>#VALUE!</v>
      </c>
      <c r="DF117" t="e">
        <f>'All regions'!F3225+"$F;@!&amp;k)"</f>
        <v>#VALUE!</v>
      </c>
      <c r="DG117" t="e">
        <f>'All regions'!G3225+"$F;@!&amp;k."</f>
        <v>#VALUE!</v>
      </c>
      <c r="DH117" t="e">
        <f>'All regions'!H3225+"$F;@!&amp;k/"</f>
        <v>#VALUE!</v>
      </c>
      <c r="DI117" t="e">
        <f>'All regions'!I3225+"$F;@!&amp;k0"</f>
        <v>#VALUE!</v>
      </c>
      <c r="DJ117" t="e">
        <f>'All regions'!A3226+"$F;@!&amp;k1"</f>
        <v>#VALUE!</v>
      </c>
      <c r="DK117" t="e">
        <f>'All regions'!B3226+"$F;@!&amp;k2"</f>
        <v>#VALUE!</v>
      </c>
      <c r="DL117" t="e">
        <f>'All regions'!C3226+"$F;@!&amp;k3"</f>
        <v>#VALUE!</v>
      </c>
      <c r="DM117" t="e">
        <f>'All regions'!D3226+"$F;@!&amp;k4"</f>
        <v>#VALUE!</v>
      </c>
      <c r="DN117" t="e">
        <f>'All regions'!E3226+"$F;@!&amp;k5"</f>
        <v>#VALUE!</v>
      </c>
      <c r="DO117" t="e">
        <f>'All regions'!F3226+"$F;@!&amp;k6"</f>
        <v>#VALUE!</v>
      </c>
      <c r="DP117" t="e">
        <f>'All regions'!G3226+"$F;@!&amp;k7"</f>
        <v>#VALUE!</v>
      </c>
      <c r="DQ117" t="e">
        <f>'All regions'!H3226+"$F;@!&amp;k8"</f>
        <v>#VALUE!</v>
      </c>
      <c r="DR117" t="e">
        <f>'All regions'!I3226+"$F;@!&amp;k9"</f>
        <v>#VALUE!</v>
      </c>
      <c r="DS117" t="e">
        <f>'All regions'!A3227+"$F;@!&amp;k:"</f>
        <v>#VALUE!</v>
      </c>
      <c r="DT117" t="e">
        <f>'All regions'!B3227+"$F;@!&amp;k;"</f>
        <v>#VALUE!</v>
      </c>
      <c r="DU117" t="e">
        <f>'All regions'!C3227+"$F;@!&amp;k&lt;"</f>
        <v>#VALUE!</v>
      </c>
      <c r="DV117" t="e">
        <f>'All regions'!D3227+"$F;@!&amp;k="</f>
        <v>#VALUE!</v>
      </c>
      <c r="DW117" t="e">
        <f>'All regions'!E3227+"$F;@!&amp;k&gt;"</f>
        <v>#VALUE!</v>
      </c>
      <c r="DX117" t="e">
        <f>'All regions'!F3227+"$F;@!&amp;k?"</f>
        <v>#VALUE!</v>
      </c>
      <c r="DY117" t="e">
        <f>'All regions'!G3227+"$F;@!&amp;k@"</f>
        <v>#VALUE!</v>
      </c>
      <c r="DZ117" t="e">
        <f>'All regions'!H3227+"$F;@!&amp;kA"</f>
        <v>#VALUE!</v>
      </c>
      <c r="EA117" t="e">
        <f>'All regions'!I3227+"$F;@!&amp;kB"</f>
        <v>#VALUE!</v>
      </c>
      <c r="EB117" t="e">
        <f>'All regions'!A3228+"$F;@!&amp;kC"</f>
        <v>#VALUE!</v>
      </c>
      <c r="EC117" t="e">
        <f>'All regions'!B3228+"$F;@!&amp;kD"</f>
        <v>#VALUE!</v>
      </c>
      <c r="ED117" t="e">
        <f>'All regions'!C3228+"$F;@!&amp;kE"</f>
        <v>#VALUE!</v>
      </c>
      <c r="EE117" t="e">
        <f>'All regions'!D3228+"$F;@!&amp;kF"</f>
        <v>#VALUE!</v>
      </c>
      <c r="EF117" t="e">
        <f>'All regions'!E3228+"$F;@!&amp;kG"</f>
        <v>#VALUE!</v>
      </c>
      <c r="EG117" t="e">
        <f>'All regions'!F3228+"$F;@!&amp;kH"</f>
        <v>#VALUE!</v>
      </c>
      <c r="EH117" t="e">
        <f>'All regions'!G3228+"$F;@!&amp;kI"</f>
        <v>#VALUE!</v>
      </c>
      <c r="EI117" t="e">
        <f>'All regions'!H3228+"$F;@!&amp;kJ"</f>
        <v>#VALUE!</v>
      </c>
      <c r="EJ117" t="e">
        <f>'All regions'!I3228+"$F;@!&amp;kK"</f>
        <v>#VALUE!</v>
      </c>
      <c r="EK117" t="e">
        <f>'All regions'!A3229+"$F;@!&amp;kL"</f>
        <v>#VALUE!</v>
      </c>
      <c r="EL117" t="e">
        <f>'All regions'!B3229+"$F;@!&amp;kM"</f>
        <v>#VALUE!</v>
      </c>
      <c r="EM117" t="e">
        <f>'All regions'!C3229+"$F;@!&amp;kN"</f>
        <v>#VALUE!</v>
      </c>
      <c r="EN117" t="e">
        <f>'All regions'!D3229+"$F;@!&amp;kO"</f>
        <v>#VALUE!</v>
      </c>
      <c r="EO117" t="e">
        <f>'All regions'!E3229+"$F;@!&amp;kP"</f>
        <v>#VALUE!</v>
      </c>
      <c r="EP117" t="e">
        <f>'All regions'!F3229+"$F;@!&amp;kQ"</f>
        <v>#VALUE!</v>
      </c>
      <c r="EQ117" t="e">
        <f>'All regions'!G3229+"$F;@!&amp;kR"</f>
        <v>#VALUE!</v>
      </c>
      <c r="ER117" t="e">
        <f>'All regions'!H3229+"$F;@!&amp;kS"</f>
        <v>#VALUE!</v>
      </c>
      <c r="ES117" t="e">
        <f>'All regions'!I3229+"$F;@!&amp;kT"</f>
        <v>#VALUE!</v>
      </c>
      <c r="ET117" t="e">
        <f>'All regions'!A3230+"$F;@!&amp;kU"</f>
        <v>#VALUE!</v>
      </c>
      <c r="EU117" t="e">
        <f>'All regions'!B3230+"$F;@!&amp;kV"</f>
        <v>#VALUE!</v>
      </c>
      <c r="EV117" t="e">
        <f>'All regions'!C3230+"$F;@!&amp;kW"</f>
        <v>#VALUE!</v>
      </c>
      <c r="EW117" t="e">
        <f>'All regions'!D3230+"$F;@!&amp;kX"</f>
        <v>#VALUE!</v>
      </c>
      <c r="EX117" t="e">
        <f>'All regions'!E3230+"$F;@!&amp;kY"</f>
        <v>#VALUE!</v>
      </c>
      <c r="EY117" t="e">
        <f>'All regions'!F3230+"$F;@!&amp;kZ"</f>
        <v>#VALUE!</v>
      </c>
      <c r="EZ117" t="e">
        <f>'All regions'!G3230+"$F;@!&amp;k["</f>
        <v>#VALUE!</v>
      </c>
      <c r="FA117" t="e">
        <f>'All regions'!H3230+"$F;@!&amp;k\"</f>
        <v>#VALUE!</v>
      </c>
      <c r="FB117" t="e">
        <f>'All regions'!I3230+"$F;@!&amp;k]"</f>
        <v>#VALUE!</v>
      </c>
      <c r="FC117" t="e">
        <f>'All regions'!A3231+"$F;@!&amp;k^"</f>
        <v>#VALUE!</v>
      </c>
      <c r="FD117" t="e">
        <f>'All regions'!B3231+"$F;@!&amp;k_"</f>
        <v>#VALUE!</v>
      </c>
      <c r="FE117" t="e">
        <f>'All regions'!C3231+"$F;@!&amp;k`"</f>
        <v>#VALUE!</v>
      </c>
      <c r="FF117" t="e">
        <f>'All regions'!D3231+"$F;@!&amp;ka"</f>
        <v>#VALUE!</v>
      </c>
      <c r="FG117" t="e">
        <f>'All regions'!E3231+"$F;@!&amp;kb"</f>
        <v>#VALUE!</v>
      </c>
      <c r="FH117" t="e">
        <f>'All regions'!F3231+"$F;@!&amp;kc"</f>
        <v>#VALUE!</v>
      </c>
      <c r="FI117" t="e">
        <f>'All regions'!G3231+"$F;@!&amp;kd"</f>
        <v>#VALUE!</v>
      </c>
      <c r="FJ117" t="e">
        <f>'All regions'!H3231+"$F;@!&amp;ke"</f>
        <v>#VALUE!</v>
      </c>
      <c r="FK117" t="e">
        <f>'All regions'!I3231+"$F;@!&amp;kf"</f>
        <v>#VALUE!</v>
      </c>
      <c r="FL117" t="e">
        <f>'All regions'!A3232+"$F;@!&amp;kg"</f>
        <v>#VALUE!</v>
      </c>
      <c r="FM117" t="e">
        <f>'All regions'!B3232+"$F;@!&amp;kh"</f>
        <v>#VALUE!</v>
      </c>
      <c r="FN117" t="e">
        <f>'All regions'!C3232+"$F;@!&amp;ki"</f>
        <v>#VALUE!</v>
      </c>
      <c r="FO117" t="e">
        <f>'All regions'!D3232+"$F;@!&amp;kj"</f>
        <v>#VALUE!</v>
      </c>
      <c r="FP117" t="e">
        <f>'All regions'!E3232+"$F;@!&amp;kk"</f>
        <v>#VALUE!</v>
      </c>
      <c r="FQ117" t="e">
        <f>'All regions'!F3232+"$F;@!&amp;kl"</f>
        <v>#VALUE!</v>
      </c>
      <c r="FR117" t="e">
        <f>'All regions'!G3232+"$F;@!&amp;km"</f>
        <v>#VALUE!</v>
      </c>
      <c r="FS117" t="e">
        <f>'All regions'!H3232+"$F;@!&amp;kn"</f>
        <v>#VALUE!</v>
      </c>
      <c r="FT117" t="e">
        <f>'All regions'!I3232+"$F;@!&amp;ko"</f>
        <v>#VALUE!</v>
      </c>
      <c r="FU117" t="e">
        <f>'All regions'!A3233+"$F;@!&amp;kp"</f>
        <v>#VALUE!</v>
      </c>
      <c r="FV117" t="e">
        <f>'All regions'!B3233+"$F;@!&amp;kq"</f>
        <v>#VALUE!</v>
      </c>
      <c r="FW117" t="e">
        <f>'All regions'!C3233+"$F;@!&amp;kr"</f>
        <v>#VALUE!</v>
      </c>
      <c r="FX117" t="e">
        <f>'All regions'!D3233+"$F;@!&amp;ks"</f>
        <v>#VALUE!</v>
      </c>
      <c r="FY117" t="e">
        <f>'All regions'!E3233+"$F;@!&amp;kt"</f>
        <v>#VALUE!</v>
      </c>
      <c r="FZ117" t="e">
        <f>'All regions'!F3233+"$F;@!&amp;ku"</f>
        <v>#VALUE!</v>
      </c>
      <c r="GA117" t="e">
        <f>'All regions'!G3233+"$F;@!&amp;kv"</f>
        <v>#VALUE!</v>
      </c>
      <c r="GB117" t="e">
        <f>'All regions'!H3233+"$F;@!&amp;kw"</f>
        <v>#VALUE!</v>
      </c>
      <c r="GC117" t="e">
        <f>'All regions'!I3233+"$F;@!&amp;kx"</f>
        <v>#VALUE!</v>
      </c>
      <c r="GD117" t="e">
        <f>'All regions'!A3234+"$F;@!&amp;ky"</f>
        <v>#VALUE!</v>
      </c>
      <c r="GE117" t="e">
        <f>'All regions'!B3234+"$F;@!&amp;kz"</f>
        <v>#VALUE!</v>
      </c>
      <c r="GF117" t="e">
        <f>'All regions'!C3234+"$F;@!&amp;k{"</f>
        <v>#VALUE!</v>
      </c>
      <c r="GG117" t="e">
        <f>'All regions'!D3234+"$F;@!&amp;k|"</f>
        <v>#VALUE!</v>
      </c>
      <c r="GH117" t="e">
        <f>'All regions'!E3234+"$F;@!&amp;k}"</f>
        <v>#VALUE!</v>
      </c>
      <c r="GI117" t="e">
        <f>'All regions'!F3234+"$F;@!&amp;k~"</f>
        <v>#VALUE!</v>
      </c>
      <c r="GJ117" t="e">
        <f>'All regions'!G3234+"$F;@!&amp;l#"</f>
        <v>#VALUE!</v>
      </c>
      <c r="GK117" t="e">
        <f>'All regions'!H3234+"$F;@!&amp;l$"</f>
        <v>#VALUE!</v>
      </c>
      <c r="GL117" t="e">
        <f>'All regions'!I3234+"$F;@!&amp;l%"</f>
        <v>#VALUE!</v>
      </c>
      <c r="GM117" t="e">
        <f>'All regions'!A3235+"$F;@!&amp;l&amp;"</f>
        <v>#VALUE!</v>
      </c>
      <c r="GN117" t="e">
        <f>'All regions'!B3235+"$F;@!&amp;l'"</f>
        <v>#VALUE!</v>
      </c>
      <c r="GO117" t="e">
        <f>'All regions'!C3235+"$F;@!&amp;l("</f>
        <v>#VALUE!</v>
      </c>
      <c r="GP117" t="e">
        <f>'All regions'!D3235+"$F;@!&amp;l)"</f>
        <v>#VALUE!</v>
      </c>
      <c r="GQ117" t="e">
        <f>'All regions'!E3235+"$F;@!&amp;l."</f>
        <v>#VALUE!</v>
      </c>
      <c r="GR117" t="e">
        <f>'All regions'!F3235+"$F;@!&amp;l/"</f>
        <v>#VALUE!</v>
      </c>
      <c r="GS117" t="e">
        <f>'All regions'!G3235+"$F;@!&amp;l0"</f>
        <v>#VALUE!</v>
      </c>
      <c r="GT117" t="e">
        <f>'All regions'!H3235+"$F;@!&amp;l1"</f>
        <v>#VALUE!</v>
      </c>
      <c r="GU117" t="e">
        <f>'All regions'!I3235+"$F;@!&amp;l2"</f>
        <v>#VALUE!</v>
      </c>
      <c r="GV117" t="e">
        <f>'All regions'!A3236+"$F;@!&amp;l3"</f>
        <v>#VALUE!</v>
      </c>
      <c r="GW117" t="e">
        <f>'All regions'!B3236+"$F;@!&amp;l4"</f>
        <v>#VALUE!</v>
      </c>
      <c r="GX117" t="e">
        <f>'All regions'!C3236+"$F;@!&amp;l5"</f>
        <v>#VALUE!</v>
      </c>
      <c r="GY117" t="e">
        <f>'All regions'!D3236+"$F;@!&amp;l6"</f>
        <v>#VALUE!</v>
      </c>
      <c r="GZ117" t="e">
        <f>'All regions'!E3236+"$F;@!&amp;l7"</f>
        <v>#VALUE!</v>
      </c>
      <c r="HA117" t="e">
        <f>'All regions'!F3236+"$F;@!&amp;l8"</f>
        <v>#VALUE!</v>
      </c>
      <c r="HB117" t="e">
        <f>'All regions'!G3236+"$F;@!&amp;l9"</f>
        <v>#VALUE!</v>
      </c>
      <c r="HC117" t="e">
        <f>'All regions'!H3236+"$F;@!&amp;l:"</f>
        <v>#VALUE!</v>
      </c>
      <c r="HD117" t="e">
        <f>'All regions'!I3236+"$F;@!&amp;l;"</f>
        <v>#VALUE!</v>
      </c>
      <c r="HE117" t="e">
        <f>'All regions'!A3237+"$F;@!&amp;l&lt;"</f>
        <v>#VALUE!</v>
      </c>
      <c r="HF117" t="e">
        <f>'All regions'!B3237+"$F;@!&amp;l="</f>
        <v>#VALUE!</v>
      </c>
      <c r="HG117" t="e">
        <f>'All regions'!C3237+"$F;@!&amp;l&gt;"</f>
        <v>#VALUE!</v>
      </c>
      <c r="HH117" t="e">
        <f>'All regions'!D3237+"$F;@!&amp;l?"</f>
        <v>#VALUE!</v>
      </c>
      <c r="HI117" t="e">
        <f>'All regions'!E3237+"$F;@!&amp;l@"</f>
        <v>#VALUE!</v>
      </c>
      <c r="HJ117" t="e">
        <f>'All regions'!F3237+"$F;@!&amp;lA"</f>
        <v>#VALUE!</v>
      </c>
      <c r="HK117" t="e">
        <f>'All regions'!G3237+"$F;@!&amp;lB"</f>
        <v>#VALUE!</v>
      </c>
      <c r="HL117" t="e">
        <f>'All regions'!H3237+"$F;@!&amp;lC"</f>
        <v>#VALUE!</v>
      </c>
      <c r="HM117" t="e">
        <f>'All regions'!I3237+"$F;@!&amp;lD"</f>
        <v>#VALUE!</v>
      </c>
      <c r="HN117" t="e">
        <f>'All regions'!A3238+"$F;@!&amp;lE"</f>
        <v>#VALUE!</v>
      </c>
      <c r="HO117" t="e">
        <f>'All regions'!B3238+"$F;@!&amp;lF"</f>
        <v>#VALUE!</v>
      </c>
      <c r="HP117" t="e">
        <f>'All regions'!C3238+"$F;@!&amp;lG"</f>
        <v>#VALUE!</v>
      </c>
      <c r="HQ117" t="e">
        <f>'All regions'!D3238+"$F;@!&amp;lH"</f>
        <v>#VALUE!</v>
      </c>
      <c r="HR117" t="e">
        <f>'All regions'!E3238+"$F;@!&amp;lI"</f>
        <v>#VALUE!</v>
      </c>
      <c r="HS117" t="e">
        <f>'All regions'!F3238+"$F;@!&amp;lJ"</f>
        <v>#VALUE!</v>
      </c>
      <c r="HT117" t="e">
        <f>'All regions'!G3238+"$F;@!&amp;lK"</f>
        <v>#VALUE!</v>
      </c>
      <c r="HU117" t="e">
        <f>'All regions'!H3238+"$F;@!&amp;lL"</f>
        <v>#VALUE!</v>
      </c>
      <c r="HV117" t="e">
        <f>'All regions'!I3238+"$F;@!&amp;lM"</f>
        <v>#VALUE!</v>
      </c>
      <c r="HW117" t="e">
        <f>'All regions'!A3239+"$F;@!&amp;lN"</f>
        <v>#VALUE!</v>
      </c>
      <c r="HX117" t="e">
        <f>'All regions'!B3239+"$F;@!&amp;lO"</f>
        <v>#VALUE!</v>
      </c>
      <c r="HY117" t="e">
        <f>'All regions'!C3239+"$F;@!&amp;lP"</f>
        <v>#VALUE!</v>
      </c>
      <c r="HZ117" t="e">
        <f>'All regions'!D3239+"$F;@!&amp;lQ"</f>
        <v>#VALUE!</v>
      </c>
      <c r="IA117" t="e">
        <f>'All regions'!E3239+"$F;@!&amp;lR"</f>
        <v>#VALUE!</v>
      </c>
      <c r="IB117" t="e">
        <f>'All regions'!F3239+"$F;@!&amp;lS"</f>
        <v>#VALUE!</v>
      </c>
      <c r="IC117" t="e">
        <f>'All regions'!G3239+"$F;@!&amp;lT"</f>
        <v>#VALUE!</v>
      </c>
      <c r="ID117" t="e">
        <f>'All regions'!H3239+"$F;@!&amp;lU"</f>
        <v>#VALUE!</v>
      </c>
      <c r="IE117" t="e">
        <f>'All regions'!I3239+"$F;@!&amp;lV"</f>
        <v>#VALUE!</v>
      </c>
      <c r="IF117" t="e">
        <f>'All regions'!A3240+"$F;@!&amp;lW"</f>
        <v>#VALUE!</v>
      </c>
      <c r="IG117" t="e">
        <f>'All regions'!B3240+"$F;@!&amp;lX"</f>
        <v>#VALUE!</v>
      </c>
      <c r="IH117" t="e">
        <f>'All regions'!C3240+"$F;@!&amp;lY"</f>
        <v>#VALUE!</v>
      </c>
      <c r="II117" t="e">
        <f>'All regions'!D3240+"$F;@!&amp;lZ"</f>
        <v>#VALUE!</v>
      </c>
      <c r="IJ117" t="e">
        <f>'All regions'!E3240+"$F;@!&amp;l["</f>
        <v>#VALUE!</v>
      </c>
      <c r="IK117" t="e">
        <f>'All regions'!F3240+"$F;@!&amp;l\"</f>
        <v>#VALUE!</v>
      </c>
      <c r="IL117" t="e">
        <f>'All regions'!G3240+"$F;@!&amp;l]"</f>
        <v>#VALUE!</v>
      </c>
      <c r="IM117" t="e">
        <f>'All regions'!H3240+"$F;@!&amp;l^"</f>
        <v>#VALUE!</v>
      </c>
      <c r="IN117" t="e">
        <f>'All regions'!I3240+"$F;@!&amp;l_"</f>
        <v>#VALUE!</v>
      </c>
      <c r="IO117" t="e">
        <f>'All regions'!A3241+"$F;@!&amp;l`"</f>
        <v>#VALUE!</v>
      </c>
      <c r="IP117" t="e">
        <f>'All regions'!B3241+"$F;@!&amp;la"</f>
        <v>#VALUE!</v>
      </c>
      <c r="IQ117" t="e">
        <f>'All regions'!C3241+"$F;@!&amp;lb"</f>
        <v>#VALUE!</v>
      </c>
      <c r="IR117" t="e">
        <f>'All regions'!D3241+"$F;@!&amp;lc"</f>
        <v>#VALUE!</v>
      </c>
      <c r="IS117" t="e">
        <f>'All regions'!E3241+"$F;@!&amp;ld"</f>
        <v>#VALUE!</v>
      </c>
      <c r="IT117" t="e">
        <f>'All regions'!F3241+"$F;@!&amp;le"</f>
        <v>#VALUE!</v>
      </c>
      <c r="IU117" t="e">
        <f>'All regions'!G3241+"$F;@!&amp;lf"</f>
        <v>#VALUE!</v>
      </c>
      <c r="IV117" t="e">
        <f>'All regions'!H3241+"$F;@!&amp;lg"</f>
        <v>#VALUE!</v>
      </c>
    </row>
    <row r="118" spans="6:256" x14ac:dyDescent="0.35">
      <c r="F118" t="e">
        <f>'All regions'!I3241+"$F;@!&amp;lh"</f>
        <v>#VALUE!</v>
      </c>
      <c r="G118" t="e">
        <f>'All regions'!A3242+"$F;@!&amp;li"</f>
        <v>#VALUE!</v>
      </c>
      <c r="H118" t="e">
        <f>'All regions'!B3242+"$F;@!&amp;lj"</f>
        <v>#VALUE!</v>
      </c>
      <c r="I118" t="e">
        <f>'All regions'!C3242+"$F;@!&amp;lk"</f>
        <v>#VALUE!</v>
      </c>
      <c r="J118" t="e">
        <f>'All regions'!D3242+"$F;@!&amp;ll"</f>
        <v>#VALUE!</v>
      </c>
      <c r="K118" t="e">
        <f>'All regions'!E3242+"$F;@!&amp;lm"</f>
        <v>#VALUE!</v>
      </c>
      <c r="L118" t="e">
        <f>'All regions'!F3242+"$F;@!&amp;ln"</f>
        <v>#VALUE!</v>
      </c>
      <c r="M118" t="e">
        <f>'All regions'!G3242+"$F;@!&amp;lo"</f>
        <v>#VALUE!</v>
      </c>
      <c r="N118" t="e">
        <f>'All regions'!H3242+"$F;@!&amp;lp"</f>
        <v>#VALUE!</v>
      </c>
      <c r="O118" t="e">
        <f>'All regions'!I3242+"$F;@!&amp;lq"</f>
        <v>#VALUE!</v>
      </c>
      <c r="P118" t="e">
        <f>'All regions'!A3243+"$F;@!&amp;lr"</f>
        <v>#VALUE!</v>
      </c>
      <c r="Q118" t="e">
        <f>'All regions'!B3243+"$F;@!&amp;ls"</f>
        <v>#VALUE!</v>
      </c>
      <c r="R118" t="e">
        <f>'All regions'!C3243+"$F;@!&amp;lt"</f>
        <v>#VALUE!</v>
      </c>
      <c r="S118" t="e">
        <f>'All regions'!D3243+"$F;@!&amp;lu"</f>
        <v>#VALUE!</v>
      </c>
      <c r="T118" t="e">
        <f>'All regions'!E3243+"$F;@!&amp;lv"</f>
        <v>#VALUE!</v>
      </c>
      <c r="U118" t="e">
        <f>'All regions'!F3243+"$F;@!&amp;lw"</f>
        <v>#VALUE!</v>
      </c>
      <c r="V118" t="e">
        <f>'All regions'!G3243+"$F;@!&amp;lx"</f>
        <v>#VALUE!</v>
      </c>
      <c r="W118" t="e">
        <f>'All regions'!H3243+"$F;@!&amp;ly"</f>
        <v>#VALUE!</v>
      </c>
      <c r="X118" t="e">
        <f>'All regions'!I3243+"$F;@!&amp;lz"</f>
        <v>#VALUE!</v>
      </c>
      <c r="Y118" t="e">
        <f>'All regions'!A3244+"$F;@!&amp;l{"</f>
        <v>#VALUE!</v>
      </c>
      <c r="Z118" t="e">
        <f>'All regions'!B3244+"$F;@!&amp;l|"</f>
        <v>#VALUE!</v>
      </c>
      <c r="AA118" t="e">
        <f>'All regions'!C3244+"$F;@!&amp;l}"</f>
        <v>#VALUE!</v>
      </c>
      <c r="AB118" t="e">
        <f>'All regions'!D3244+"$F;@!&amp;l~"</f>
        <v>#VALUE!</v>
      </c>
      <c r="AC118" t="e">
        <f>'All regions'!E3244+"$F;@!&amp;m#"</f>
        <v>#VALUE!</v>
      </c>
      <c r="AD118" t="e">
        <f>'All regions'!F3244+"$F;@!&amp;m$"</f>
        <v>#VALUE!</v>
      </c>
      <c r="AE118" t="e">
        <f>'All regions'!G3244+"$F;@!&amp;m%"</f>
        <v>#VALUE!</v>
      </c>
      <c r="AF118" t="e">
        <f>'All regions'!H3244+"$F;@!&amp;m&amp;"</f>
        <v>#VALUE!</v>
      </c>
      <c r="AG118" t="e">
        <f>'All regions'!I3244+"$F;@!&amp;m'"</f>
        <v>#VALUE!</v>
      </c>
      <c r="AH118" t="e">
        <f>'All regions'!A3245+"$F;@!&amp;m("</f>
        <v>#VALUE!</v>
      </c>
      <c r="AI118" t="e">
        <f>'All regions'!B3245+"$F;@!&amp;m)"</f>
        <v>#VALUE!</v>
      </c>
      <c r="AJ118" t="e">
        <f>'All regions'!C3245+"$F;@!&amp;m."</f>
        <v>#VALUE!</v>
      </c>
      <c r="AK118" t="e">
        <f>'All regions'!D3245+"$F;@!&amp;m/"</f>
        <v>#VALUE!</v>
      </c>
      <c r="AL118" t="e">
        <f>'All regions'!E3245+"$F;@!&amp;m0"</f>
        <v>#VALUE!</v>
      </c>
      <c r="AM118" t="e">
        <f>'All regions'!F3245+"$F;@!&amp;m1"</f>
        <v>#VALUE!</v>
      </c>
      <c r="AN118" t="e">
        <f>'All regions'!G3245+"$F;@!&amp;m2"</f>
        <v>#VALUE!</v>
      </c>
      <c r="AO118" t="e">
        <f>'All regions'!H3245+"$F;@!&amp;m3"</f>
        <v>#VALUE!</v>
      </c>
      <c r="AP118" t="e">
        <f>'All regions'!I3245+"$F;@!&amp;m4"</f>
        <v>#VALUE!</v>
      </c>
      <c r="AQ118" t="e">
        <f>'All regions'!A3246+"$F;@!&amp;m5"</f>
        <v>#VALUE!</v>
      </c>
      <c r="AR118" t="e">
        <f>'All regions'!B3246+"$F;@!&amp;m6"</f>
        <v>#VALUE!</v>
      </c>
      <c r="AS118" t="e">
        <f>'All regions'!C3246+"$F;@!&amp;m7"</f>
        <v>#VALUE!</v>
      </c>
      <c r="AT118" t="e">
        <f>'All regions'!D3246+"$F;@!&amp;m8"</f>
        <v>#VALUE!</v>
      </c>
      <c r="AU118" t="e">
        <f>'All regions'!E3246+"$F;@!&amp;m9"</f>
        <v>#VALUE!</v>
      </c>
      <c r="AV118" t="e">
        <f>'All regions'!F3246+"$F;@!&amp;m:"</f>
        <v>#VALUE!</v>
      </c>
      <c r="AW118" t="e">
        <f>'All regions'!G3246+"$F;@!&amp;m;"</f>
        <v>#VALUE!</v>
      </c>
      <c r="AX118" t="e">
        <f>'All regions'!H3246+"$F;@!&amp;m&lt;"</f>
        <v>#VALUE!</v>
      </c>
      <c r="AY118" t="e">
        <f>'All regions'!I3246+"$F;@!&amp;m="</f>
        <v>#VALUE!</v>
      </c>
      <c r="AZ118" t="e">
        <f>'All regions'!A3247+"$F;@!&amp;m&gt;"</f>
        <v>#VALUE!</v>
      </c>
      <c r="BA118" t="e">
        <f>'All regions'!B3247+"$F;@!&amp;m?"</f>
        <v>#VALUE!</v>
      </c>
      <c r="BB118" t="e">
        <f>'All regions'!C3247+"$F;@!&amp;m@"</f>
        <v>#VALUE!</v>
      </c>
      <c r="BC118" t="e">
        <f>'All regions'!D3247+"$F;@!&amp;mA"</f>
        <v>#VALUE!</v>
      </c>
      <c r="BD118" t="e">
        <f>'All regions'!E3247+"$F;@!&amp;mB"</f>
        <v>#VALUE!</v>
      </c>
      <c r="BE118" t="e">
        <f>'All regions'!F3247+"$F;@!&amp;mC"</f>
        <v>#VALUE!</v>
      </c>
      <c r="BF118" t="e">
        <f>'All regions'!G3247+"$F;@!&amp;mD"</f>
        <v>#VALUE!</v>
      </c>
      <c r="BG118" t="e">
        <f>'All regions'!H3247+"$F;@!&amp;mE"</f>
        <v>#VALUE!</v>
      </c>
      <c r="BH118" t="e">
        <f>'All regions'!I3247+"$F;@!&amp;mF"</f>
        <v>#VALUE!</v>
      </c>
      <c r="BI118" t="e">
        <f>'All regions'!A3248+"$F;@!&amp;mG"</f>
        <v>#VALUE!</v>
      </c>
      <c r="BJ118" t="e">
        <f>'All regions'!B3248+"$F;@!&amp;mH"</f>
        <v>#VALUE!</v>
      </c>
      <c r="BK118" t="e">
        <f>'All regions'!C3248+"$F;@!&amp;mI"</f>
        <v>#VALUE!</v>
      </c>
      <c r="BL118" t="e">
        <f>'All regions'!D3248+"$F;@!&amp;mJ"</f>
        <v>#VALUE!</v>
      </c>
      <c r="BM118" t="e">
        <f>'All regions'!E3248+"$F;@!&amp;mK"</f>
        <v>#VALUE!</v>
      </c>
      <c r="BN118" t="e">
        <f>'All regions'!F3248+"$F;@!&amp;mL"</f>
        <v>#VALUE!</v>
      </c>
      <c r="BO118" t="e">
        <f>'All regions'!G3248+"$F;@!&amp;mM"</f>
        <v>#VALUE!</v>
      </c>
      <c r="BP118" t="e">
        <f>'All regions'!H3248+"$F;@!&amp;mN"</f>
        <v>#VALUE!</v>
      </c>
      <c r="BQ118" t="e">
        <f>'All regions'!I3248+"$F;@!&amp;mO"</f>
        <v>#VALUE!</v>
      </c>
      <c r="BR118" t="e">
        <f>'All regions'!A3249+"$F;@!&amp;mP"</f>
        <v>#VALUE!</v>
      </c>
      <c r="BS118" t="e">
        <f>'All regions'!B3249+"$F;@!&amp;mQ"</f>
        <v>#VALUE!</v>
      </c>
      <c r="BT118" t="e">
        <f>'All regions'!C3249+"$F;@!&amp;mR"</f>
        <v>#VALUE!</v>
      </c>
      <c r="BU118" t="e">
        <f>'All regions'!D3249+"$F;@!&amp;mS"</f>
        <v>#VALUE!</v>
      </c>
      <c r="BV118" t="e">
        <f>'All regions'!E3249+"$F;@!&amp;mT"</f>
        <v>#VALUE!</v>
      </c>
      <c r="BW118" t="e">
        <f>'All regions'!F3249+"$F;@!&amp;mU"</f>
        <v>#VALUE!</v>
      </c>
      <c r="BX118" t="e">
        <f>'All regions'!G3249+"$F;@!&amp;mV"</f>
        <v>#VALUE!</v>
      </c>
      <c r="BY118" t="e">
        <f>'All regions'!H3249+"$F;@!&amp;mW"</f>
        <v>#VALUE!</v>
      </c>
      <c r="BZ118" t="e">
        <f>'All regions'!I3249+"$F;@!&amp;mX"</f>
        <v>#VALUE!</v>
      </c>
      <c r="CA118" t="e">
        <f>'All regions'!A3250+"$F;@!&amp;mY"</f>
        <v>#VALUE!</v>
      </c>
      <c r="CB118" t="e">
        <f>'All regions'!B3250+"$F;@!&amp;mZ"</f>
        <v>#VALUE!</v>
      </c>
      <c r="CC118" t="e">
        <f>'All regions'!C3250+"$F;@!&amp;m["</f>
        <v>#VALUE!</v>
      </c>
      <c r="CD118" t="e">
        <f>'All regions'!D3250+"$F;@!&amp;m\"</f>
        <v>#VALUE!</v>
      </c>
      <c r="CE118" t="e">
        <f>'All regions'!E3250+"$F;@!&amp;m]"</f>
        <v>#VALUE!</v>
      </c>
      <c r="CF118" t="e">
        <f>'All regions'!F3250+"$F;@!&amp;m^"</f>
        <v>#VALUE!</v>
      </c>
      <c r="CG118" t="e">
        <f>'All regions'!G3250+"$F;@!&amp;m_"</f>
        <v>#VALUE!</v>
      </c>
      <c r="CH118" t="e">
        <f>'All regions'!H3250+"$F;@!&amp;m`"</f>
        <v>#VALUE!</v>
      </c>
      <c r="CI118" t="e">
        <f>'All regions'!I3250+"$F;@!&amp;ma"</f>
        <v>#VALUE!</v>
      </c>
      <c r="CJ118" t="e">
        <f>'All regions'!A3251+"$F;@!&amp;mb"</f>
        <v>#VALUE!</v>
      </c>
      <c r="CK118" t="e">
        <f>'All regions'!B3251+"$F;@!&amp;mc"</f>
        <v>#VALUE!</v>
      </c>
      <c r="CL118" t="e">
        <f>'All regions'!C3251+"$F;@!&amp;md"</f>
        <v>#VALUE!</v>
      </c>
      <c r="CM118" t="e">
        <f>'All regions'!D3251+"$F;@!&amp;me"</f>
        <v>#VALUE!</v>
      </c>
      <c r="CN118" t="e">
        <f>'All regions'!E3251+"$F;@!&amp;mf"</f>
        <v>#VALUE!</v>
      </c>
      <c r="CO118" t="e">
        <f>'All regions'!F3251+"$F;@!&amp;mg"</f>
        <v>#VALUE!</v>
      </c>
      <c r="CP118" t="e">
        <f>'All regions'!G3251+"$F;@!&amp;mh"</f>
        <v>#VALUE!</v>
      </c>
      <c r="CQ118" t="e">
        <f>'All regions'!H3251+"$F;@!&amp;mi"</f>
        <v>#VALUE!</v>
      </c>
      <c r="CR118" t="e">
        <f>'All regions'!I3251+"$F;@!&amp;mj"</f>
        <v>#VALUE!</v>
      </c>
      <c r="CS118" t="e">
        <f>'All regions'!A3252+"$F;@!&amp;mk"</f>
        <v>#VALUE!</v>
      </c>
      <c r="CT118" t="e">
        <f>'All regions'!B3252+"$F;@!&amp;ml"</f>
        <v>#VALUE!</v>
      </c>
      <c r="CU118" t="e">
        <f>'All regions'!C3252+"$F;@!&amp;mm"</f>
        <v>#VALUE!</v>
      </c>
      <c r="CV118" t="e">
        <f>'All regions'!D3252+"$F;@!&amp;mn"</f>
        <v>#VALUE!</v>
      </c>
      <c r="CW118" t="e">
        <f>'All regions'!E3252+"$F;@!&amp;mo"</f>
        <v>#VALUE!</v>
      </c>
      <c r="CX118" t="e">
        <f>'All regions'!F3252+"$F;@!&amp;mp"</f>
        <v>#VALUE!</v>
      </c>
      <c r="CY118" t="e">
        <f>'All regions'!G3252+"$F;@!&amp;mq"</f>
        <v>#VALUE!</v>
      </c>
      <c r="CZ118" t="e">
        <f>'All regions'!H3252+"$F;@!&amp;mr"</f>
        <v>#VALUE!</v>
      </c>
      <c r="DA118" t="e">
        <f>'All regions'!I3252+"$F;@!&amp;ms"</f>
        <v>#VALUE!</v>
      </c>
      <c r="DB118" t="e">
        <f>'All regions'!A3253+"$F;@!&amp;mt"</f>
        <v>#VALUE!</v>
      </c>
      <c r="DC118" t="e">
        <f>'All regions'!B3253+"$F;@!&amp;mu"</f>
        <v>#VALUE!</v>
      </c>
      <c r="DD118" t="e">
        <f>'All regions'!C3253+"$F;@!&amp;mv"</f>
        <v>#VALUE!</v>
      </c>
      <c r="DE118" t="e">
        <f>'All regions'!D3253+"$F;@!&amp;mw"</f>
        <v>#VALUE!</v>
      </c>
      <c r="DF118" t="e">
        <f>'All regions'!E3253+"$F;@!&amp;mx"</f>
        <v>#VALUE!</v>
      </c>
      <c r="DG118" t="e">
        <f>'All regions'!F3253+"$F;@!&amp;my"</f>
        <v>#VALUE!</v>
      </c>
      <c r="DH118" t="e">
        <f>'All regions'!G3253+"$F;@!&amp;mz"</f>
        <v>#VALUE!</v>
      </c>
      <c r="DI118" t="e">
        <f>'All regions'!H3253+"$F;@!&amp;m{"</f>
        <v>#VALUE!</v>
      </c>
      <c r="DJ118" t="e">
        <f>'All regions'!I3253+"$F;@!&amp;m|"</f>
        <v>#VALUE!</v>
      </c>
      <c r="DK118" t="e">
        <f>'All regions'!A3254+"$F;@!&amp;m}"</f>
        <v>#VALUE!</v>
      </c>
      <c r="DL118" t="e">
        <f>'All regions'!B3254+"$F;@!&amp;m~"</f>
        <v>#VALUE!</v>
      </c>
      <c r="DM118" t="e">
        <f>'All regions'!C3254+"$F;@!&amp;n#"</f>
        <v>#VALUE!</v>
      </c>
      <c r="DN118" t="e">
        <f>'All regions'!D3254+"$F;@!&amp;n$"</f>
        <v>#VALUE!</v>
      </c>
      <c r="DO118" t="e">
        <f>'All regions'!E3254+"$F;@!&amp;n%"</f>
        <v>#VALUE!</v>
      </c>
      <c r="DP118" t="e">
        <f>'All regions'!F3254+"$F;@!&amp;n&amp;"</f>
        <v>#VALUE!</v>
      </c>
      <c r="DQ118" t="e">
        <f>'All regions'!G3254+"$F;@!&amp;n'"</f>
        <v>#VALUE!</v>
      </c>
      <c r="DR118" t="e">
        <f>'All regions'!H3254+"$F;@!&amp;n("</f>
        <v>#VALUE!</v>
      </c>
      <c r="DS118" t="e">
        <f>'All regions'!I3254+"$F;@!&amp;n)"</f>
        <v>#VALUE!</v>
      </c>
      <c r="DT118" t="e">
        <f>'All regions'!A3255+"$F;@!&amp;n."</f>
        <v>#VALUE!</v>
      </c>
      <c r="DU118" t="e">
        <f>'All regions'!B3255+"$F;@!&amp;n/"</f>
        <v>#VALUE!</v>
      </c>
      <c r="DV118" t="e">
        <f>'All regions'!C3255+"$F;@!&amp;n0"</f>
        <v>#VALUE!</v>
      </c>
      <c r="DW118" t="e">
        <f>'All regions'!D3255+"$F;@!&amp;n1"</f>
        <v>#VALUE!</v>
      </c>
      <c r="DX118" t="e">
        <f>'All regions'!E3255+"$F;@!&amp;n2"</f>
        <v>#VALUE!</v>
      </c>
      <c r="DY118" t="e">
        <f>'All regions'!F3255+"$F;@!&amp;n3"</f>
        <v>#VALUE!</v>
      </c>
      <c r="DZ118" t="e">
        <f>'All regions'!G3255+"$F;@!&amp;n4"</f>
        <v>#VALUE!</v>
      </c>
      <c r="EA118" t="e">
        <f>'All regions'!H3255+"$F;@!&amp;n5"</f>
        <v>#VALUE!</v>
      </c>
      <c r="EB118" t="e">
        <f>'All regions'!I3255+"$F;@!&amp;n6"</f>
        <v>#VALUE!</v>
      </c>
      <c r="EC118" t="e">
        <f>'All regions'!A3256+"$F;@!&amp;n7"</f>
        <v>#VALUE!</v>
      </c>
      <c r="ED118" t="e">
        <f>'All regions'!B3256+"$F;@!&amp;n8"</f>
        <v>#VALUE!</v>
      </c>
      <c r="EE118" t="e">
        <f>'All regions'!C3256+"$F;@!&amp;n9"</f>
        <v>#VALUE!</v>
      </c>
      <c r="EF118" t="e">
        <f>'All regions'!D3256+"$F;@!&amp;n:"</f>
        <v>#VALUE!</v>
      </c>
      <c r="EG118" t="e">
        <f>'All regions'!E3256+"$F;@!&amp;n;"</f>
        <v>#VALUE!</v>
      </c>
      <c r="EH118" t="e">
        <f>'All regions'!F3256+"$F;@!&amp;n&lt;"</f>
        <v>#VALUE!</v>
      </c>
      <c r="EI118" t="e">
        <f>'All regions'!G3256+"$F;@!&amp;n="</f>
        <v>#VALUE!</v>
      </c>
      <c r="EJ118" t="e">
        <f>'All regions'!H3256+"$F;@!&amp;n&gt;"</f>
        <v>#VALUE!</v>
      </c>
      <c r="EK118" t="e">
        <f>'All regions'!I3256+"$F;@!&amp;n?"</f>
        <v>#VALUE!</v>
      </c>
      <c r="EL118" t="e">
        <f>'All regions'!A3257+"$F;@!&amp;n@"</f>
        <v>#VALUE!</v>
      </c>
      <c r="EM118" t="e">
        <f>'All regions'!B3257+"$F;@!&amp;nA"</f>
        <v>#VALUE!</v>
      </c>
      <c r="EN118" t="e">
        <f>'All regions'!C3257+"$F;@!&amp;nB"</f>
        <v>#VALUE!</v>
      </c>
      <c r="EO118" t="e">
        <f>'All regions'!D3257+"$F;@!&amp;nC"</f>
        <v>#VALUE!</v>
      </c>
      <c r="EP118" t="e">
        <f>'All regions'!E3257+"$F;@!&amp;nD"</f>
        <v>#VALUE!</v>
      </c>
      <c r="EQ118" t="e">
        <f>'All regions'!F3257+"$F;@!&amp;nE"</f>
        <v>#VALUE!</v>
      </c>
      <c r="ER118" t="e">
        <f>'All regions'!G3257+"$F;@!&amp;nF"</f>
        <v>#VALUE!</v>
      </c>
      <c r="ES118" t="e">
        <f>'All regions'!H3257+"$F;@!&amp;nG"</f>
        <v>#VALUE!</v>
      </c>
      <c r="ET118" t="e">
        <f>'All regions'!I3257+"$F;@!&amp;nH"</f>
        <v>#VALUE!</v>
      </c>
      <c r="EU118" t="e">
        <f>'All regions'!A3258+"$F;@!&amp;nI"</f>
        <v>#VALUE!</v>
      </c>
      <c r="EV118" t="e">
        <f>'All regions'!B3258+"$F;@!&amp;nJ"</f>
        <v>#VALUE!</v>
      </c>
      <c r="EW118" t="e">
        <f>'All regions'!C3258+"$F;@!&amp;nK"</f>
        <v>#VALUE!</v>
      </c>
      <c r="EX118" t="e">
        <f>'All regions'!D3258+"$F;@!&amp;nL"</f>
        <v>#VALUE!</v>
      </c>
      <c r="EY118" t="e">
        <f>'All regions'!E3258+"$F;@!&amp;nM"</f>
        <v>#VALUE!</v>
      </c>
      <c r="EZ118" t="e">
        <f>'All regions'!F3258+"$F;@!&amp;nN"</f>
        <v>#VALUE!</v>
      </c>
      <c r="FA118" t="e">
        <f>'All regions'!G3258+"$F;@!&amp;nO"</f>
        <v>#VALUE!</v>
      </c>
      <c r="FB118" t="e">
        <f>'All regions'!H3258+"$F;@!&amp;nP"</f>
        <v>#VALUE!</v>
      </c>
      <c r="FC118" t="e">
        <f>'All regions'!I3258+"$F;@!&amp;nQ"</f>
        <v>#VALUE!</v>
      </c>
      <c r="FD118" t="e">
        <f>'All regions'!A3259+"$F;@!&amp;nR"</f>
        <v>#VALUE!</v>
      </c>
      <c r="FE118" t="e">
        <f>'All regions'!B3259+"$F;@!&amp;nS"</f>
        <v>#VALUE!</v>
      </c>
      <c r="FF118" t="e">
        <f>'All regions'!C3259+"$F;@!&amp;nT"</f>
        <v>#VALUE!</v>
      </c>
      <c r="FG118" t="e">
        <f>'All regions'!D3259+"$F;@!&amp;nU"</f>
        <v>#VALUE!</v>
      </c>
      <c r="FH118" t="e">
        <f>'All regions'!E3259+"$F;@!&amp;nV"</f>
        <v>#VALUE!</v>
      </c>
      <c r="FI118" t="e">
        <f>'All regions'!F3259+"$F;@!&amp;nW"</f>
        <v>#VALUE!</v>
      </c>
      <c r="FJ118" t="e">
        <f>'All regions'!G3259+"$F;@!&amp;nX"</f>
        <v>#VALUE!</v>
      </c>
      <c r="FK118" t="e">
        <f>'All regions'!H3259+"$F;@!&amp;nY"</f>
        <v>#VALUE!</v>
      </c>
      <c r="FL118" t="e">
        <f>'All regions'!I3259+"$F;@!&amp;nZ"</f>
        <v>#VALUE!</v>
      </c>
      <c r="FM118" t="e">
        <f>'All regions'!A3260+"$F;@!&amp;n["</f>
        <v>#VALUE!</v>
      </c>
      <c r="FN118" t="e">
        <f>'All regions'!B3260+"$F;@!&amp;n\"</f>
        <v>#VALUE!</v>
      </c>
      <c r="FO118" t="e">
        <f>'All regions'!C3260+"$F;@!&amp;n]"</f>
        <v>#VALUE!</v>
      </c>
      <c r="FP118" t="e">
        <f>'All regions'!D3260+"$F;@!&amp;n^"</f>
        <v>#VALUE!</v>
      </c>
      <c r="FQ118" t="e">
        <f>'All regions'!E3260+"$F;@!&amp;n_"</f>
        <v>#VALUE!</v>
      </c>
      <c r="FR118" t="e">
        <f>'All regions'!F3260+"$F;@!&amp;n`"</f>
        <v>#VALUE!</v>
      </c>
      <c r="FS118" t="e">
        <f>'All regions'!G3260+"$F;@!&amp;na"</f>
        <v>#VALUE!</v>
      </c>
      <c r="FT118" t="e">
        <f>'All regions'!H3260+"$F;@!&amp;nb"</f>
        <v>#VALUE!</v>
      </c>
      <c r="FU118" t="e">
        <f>'All regions'!I3260+"$F;@!&amp;nc"</f>
        <v>#VALUE!</v>
      </c>
      <c r="FV118" t="e">
        <f>'All regions'!A3261+"$F;@!&amp;nd"</f>
        <v>#VALUE!</v>
      </c>
      <c r="FW118" t="e">
        <f>'All regions'!B3261+"$F;@!&amp;ne"</f>
        <v>#VALUE!</v>
      </c>
      <c r="FX118" t="e">
        <f>'All regions'!C3261+"$F;@!&amp;nf"</f>
        <v>#VALUE!</v>
      </c>
      <c r="FY118" t="e">
        <f>'All regions'!D3261+"$F;@!&amp;ng"</f>
        <v>#VALUE!</v>
      </c>
      <c r="FZ118" t="e">
        <f>'All regions'!E3261+"$F;@!&amp;nh"</f>
        <v>#VALUE!</v>
      </c>
      <c r="GA118" t="e">
        <f>'All regions'!F3261+"$F;@!&amp;ni"</f>
        <v>#VALUE!</v>
      </c>
      <c r="GB118" t="e">
        <f>'All regions'!G3261+"$F;@!&amp;nj"</f>
        <v>#VALUE!</v>
      </c>
      <c r="GC118" t="e">
        <f>'All regions'!H3261+"$F;@!&amp;nk"</f>
        <v>#VALUE!</v>
      </c>
      <c r="GD118" t="e">
        <f>'All regions'!I3261+"$F;@!&amp;nl"</f>
        <v>#VALUE!</v>
      </c>
      <c r="GE118" t="e">
        <f>'All regions'!A3262+"$F;@!&amp;nm"</f>
        <v>#VALUE!</v>
      </c>
      <c r="GF118" t="e">
        <f>'All regions'!B3262+"$F;@!&amp;nn"</f>
        <v>#VALUE!</v>
      </c>
      <c r="GG118" t="e">
        <f>'All regions'!C3262+"$F;@!&amp;no"</f>
        <v>#VALUE!</v>
      </c>
      <c r="GH118" t="e">
        <f>'All regions'!D3262+"$F;@!&amp;np"</f>
        <v>#VALUE!</v>
      </c>
      <c r="GI118" t="e">
        <f>'All regions'!E3262+"$F;@!&amp;nq"</f>
        <v>#VALUE!</v>
      </c>
      <c r="GJ118" t="e">
        <f>'All regions'!F3262+"$F;@!&amp;nr"</f>
        <v>#VALUE!</v>
      </c>
      <c r="GK118" t="e">
        <f>'All regions'!G3262+"$F;@!&amp;ns"</f>
        <v>#VALUE!</v>
      </c>
      <c r="GL118" t="e">
        <f>'All regions'!H3262+"$F;@!&amp;nt"</f>
        <v>#VALUE!</v>
      </c>
      <c r="GM118" t="e">
        <f>'All regions'!I3262+"$F;@!&amp;nu"</f>
        <v>#VALUE!</v>
      </c>
      <c r="GN118" t="e">
        <f>'All regions'!A3263+"$F;@!&amp;nv"</f>
        <v>#VALUE!</v>
      </c>
      <c r="GO118" t="e">
        <f>'All regions'!B3263+"$F;@!&amp;nw"</f>
        <v>#VALUE!</v>
      </c>
      <c r="GP118" t="e">
        <f>'All regions'!C3263+"$F;@!&amp;nx"</f>
        <v>#VALUE!</v>
      </c>
      <c r="GQ118" t="e">
        <f>'All regions'!D3263+"$F;@!&amp;ny"</f>
        <v>#VALUE!</v>
      </c>
      <c r="GR118" t="e">
        <f>'All regions'!E3263+"$F;@!&amp;nz"</f>
        <v>#VALUE!</v>
      </c>
      <c r="GS118" t="e">
        <f>'All regions'!F3263+"$F;@!&amp;n{"</f>
        <v>#VALUE!</v>
      </c>
      <c r="GT118" t="e">
        <f>'All regions'!G3263+"$F;@!&amp;n|"</f>
        <v>#VALUE!</v>
      </c>
      <c r="GU118" t="e">
        <f>'All regions'!H3263+"$F;@!&amp;n}"</f>
        <v>#VALUE!</v>
      </c>
      <c r="GV118" t="e">
        <f>'All regions'!I3263+"$F;@!&amp;n~"</f>
        <v>#VALUE!</v>
      </c>
      <c r="GW118" t="e">
        <f>'All regions'!A3264+"$F;@!&amp;o#"</f>
        <v>#VALUE!</v>
      </c>
      <c r="GX118" t="e">
        <f>'All regions'!B3264+"$F;@!&amp;o$"</f>
        <v>#VALUE!</v>
      </c>
      <c r="GY118" t="e">
        <f>'All regions'!C3264+"$F;@!&amp;o%"</f>
        <v>#VALUE!</v>
      </c>
      <c r="GZ118" t="e">
        <f>'All regions'!D3264+"$F;@!&amp;o&amp;"</f>
        <v>#VALUE!</v>
      </c>
      <c r="HA118" t="e">
        <f>'All regions'!E3264+"$F;@!&amp;o'"</f>
        <v>#VALUE!</v>
      </c>
      <c r="HB118" t="e">
        <f>'All regions'!F3264+"$F;@!&amp;o("</f>
        <v>#VALUE!</v>
      </c>
      <c r="HC118" t="e">
        <f>'All regions'!G3264+"$F;@!&amp;o)"</f>
        <v>#VALUE!</v>
      </c>
      <c r="HD118" t="e">
        <f>'All regions'!H3264+"$F;@!&amp;o."</f>
        <v>#VALUE!</v>
      </c>
      <c r="HE118" t="e">
        <f>'All regions'!I3264+"$F;@!&amp;o/"</f>
        <v>#VALUE!</v>
      </c>
      <c r="HF118" t="e">
        <f>'All regions'!A3265+"$F;@!&amp;o0"</f>
        <v>#VALUE!</v>
      </c>
      <c r="HG118" t="e">
        <f>'All regions'!B3265+"$F;@!&amp;o1"</f>
        <v>#VALUE!</v>
      </c>
      <c r="HH118" t="e">
        <f>'All regions'!C3265+"$F;@!&amp;o2"</f>
        <v>#VALUE!</v>
      </c>
      <c r="HI118" t="e">
        <f>'All regions'!D3265+"$F;@!&amp;o3"</f>
        <v>#VALUE!</v>
      </c>
      <c r="HJ118" t="e">
        <f>'All regions'!E3265+"$F;@!&amp;o4"</f>
        <v>#VALUE!</v>
      </c>
      <c r="HK118" t="e">
        <f>'All regions'!F3265+"$F;@!&amp;o5"</f>
        <v>#VALUE!</v>
      </c>
      <c r="HL118" t="e">
        <f>'All regions'!G3265+"$F;@!&amp;o6"</f>
        <v>#VALUE!</v>
      </c>
      <c r="HM118" t="e">
        <f>'All regions'!H3265+"$F;@!&amp;o7"</f>
        <v>#VALUE!</v>
      </c>
      <c r="HN118" t="e">
        <f>'All regions'!I3265+"$F;@!&amp;o8"</f>
        <v>#VALUE!</v>
      </c>
      <c r="HO118" t="e">
        <f>'All regions'!A3266+"$F;@!&amp;o9"</f>
        <v>#VALUE!</v>
      </c>
      <c r="HP118" t="e">
        <f>'All regions'!B3266+"$F;@!&amp;o:"</f>
        <v>#VALUE!</v>
      </c>
      <c r="HQ118" t="e">
        <f>'All regions'!C3266+"$F;@!&amp;o;"</f>
        <v>#VALUE!</v>
      </c>
      <c r="HR118" t="e">
        <f>'All regions'!D3266+"$F;@!&amp;o&lt;"</f>
        <v>#VALUE!</v>
      </c>
      <c r="HS118" t="e">
        <f>'All regions'!E3266+"$F;@!&amp;o="</f>
        <v>#VALUE!</v>
      </c>
      <c r="HT118" t="e">
        <f>'All regions'!F3266+"$F;@!&amp;o&gt;"</f>
        <v>#VALUE!</v>
      </c>
      <c r="HU118" t="e">
        <f>'All regions'!G3266+"$F;@!&amp;o?"</f>
        <v>#VALUE!</v>
      </c>
      <c r="HV118" t="e">
        <f>'All regions'!H3266+"$F;@!&amp;o@"</f>
        <v>#VALUE!</v>
      </c>
      <c r="HW118" t="e">
        <f>'All regions'!I3266+"$F;@!&amp;oA"</f>
        <v>#VALUE!</v>
      </c>
      <c r="HX118" t="e">
        <f>'All regions'!A3267+"$F;@!&amp;oB"</f>
        <v>#VALUE!</v>
      </c>
      <c r="HY118" t="e">
        <f>'All regions'!B3267+"$F;@!&amp;oC"</f>
        <v>#VALUE!</v>
      </c>
      <c r="HZ118" t="e">
        <f>'All regions'!C3267+"$F;@!&amp;oD"</f>
        <v>#VALUE!</v>
      </c>
      <c r="IA118" t="e">
        <f>'All regions'!D3267+"$F;@!&amp;oE"</f>
        <v>#VALUE!</v>
      </c>
      <c r="IB118" t="e">
        <f>'All regions'!E3267+"$F;@!&amp;oF"</f>
        <v>#VALUE!</v>
      </c>
      <c r="IC118" t="e">
        <f>'All regions'!F3267+"$F;@!&amp;oG"</f>
        <v>#VALUE!</v>
      </c>
      <c r="ID118" t="e">
        <f>'All regions'!G3267+"$F;@!&amp;oH"</f>
        <v>#VALUE!</v>
      </c>
      <c r="IE118" t="e">
        <f>'All regions'!H3267+"$F;@!&amp;oI"</f>
        <v>#VALUE!</v>
      </c>
      <c r="IF118" t="e">
        <f>'All regions'!I3267+"$F;@!&amp;oJ"</f>
        <v>#VALUE!</v>
      </c>
      <c r="IG118" t="e">
        <f>'All regions'!A3268+"$F;@!&amp;oK"</f>
        <v>#VALUE!</v>
      </c>
      <c r="IH118" t="e">
        <f>'All regions'!B3268+"$F;@!&amp;oL"</f>
        <v>#VALUE!</v>
      </c>
      <c r="II118" t="e">
        <f>'All regions'!C3268+"$F;@!&amp;oM"</f>
        <v>#VALUE!</v>
      </c>
      <c r="IJ118" t="e">
        <f>'All regions'!D3268+"$F;@!&amp;oN"</f>
        <v>#VALUE!</v>
      </c>
      <c r="IK118" t="e">
        <f>'All regions'!E3268+"$F;@!&amp;oO"</f>
        <v>#VALUE!</v>
      </c>
      <c r="IL118" t="e">
        <f>'All regions'!F3268+"$F;@!&amp;oP"</f>
        <v>#VALUE!</v>
      </c>
      <c r="IM118" t="e">
        <f>'All regions'!G3268+"$F;@!&amp;oQ"</f>
        <v>#VALUE!</v>
      </c>
      <c r="IN118" t="e">
        <f>'All regions'!H3268+"$F;@!&amp;oR"</f>
        <v>#VALUE!</v>
      </c>
      <c r="IO118" t="e">
        <f>'All regions'!I3268+"$F;@!&amp;oS"</f>
        <v>#VALUE!</v>
      </c>
      <c r="IP118" t="e">
        <f>'All regions'!A3269+"$F;@!&amp;oT"</f>
        <v>#VALUE!</v>
      </c>
      <c r="IQ118" t="e">
        <f>'All regions'!B3269+"$F;@!&amp;oU"</f>
        <v>#VALUE!</v>
      </c>
      <c r="IR118" t="e">
        <f>'All regions'!C3269+"$F;@!&amp;oV"</f>
        <v>#VALUE!</v>
      </c>
      <c r="IS118" t="e">
        <f>'All regions'!D3269+"$F;@!&amp;oW"</f>
        <v>#VALUE!</v>
      </c>
      <c r="IT118" t="e">
        <f>'All regions'!E3269+"$F;@!&amp;oX"</f>
        <v>#VALUE!</v>
      </c>
      <c r="IU118" t="e">
        <f>'All regions'!F3269+"$F;@!&amp;oY"</f>
        <v>#VALUE!</v>
      </c>
      <c r="IV118" t="e">
        <f>'All regions'!G3269+"$F;@!&amp;oZ"</f>
        <v>#VALUE!</v>
      </c>
    </row>
    <row r="119" spans="6:256" x14ac:dyDescent="0.35">
      <c r="F119" t="e">
        <f>'All regions'!H3269+"$F;@!&amp;o["</f>
        <v>#VALUE!</v>
      </c>
      <c r="G119" t="e">
        <f>'All regions'!I3269+"$F;@!&amp;o\"</f>
        <v>#VALUE!</v>
      </c>
      <c r="H119" t="e">
        <f>'All regions'!A3270+"$F;@!&amp;o]"</f>
        <v>#VALUE!</v>
      </c>
      <c r="I119" t="e">
        <f>'All regions'!B3270+"$F;@!&amp;o^"</f>
        <v>#VALUE!</v>
      </c>
      <c r="J119" t="e">
        <f>'All regions'!C3270+"$F;@!&amp;o_"</f>
        <v>#VALUE!</v>
      </c>
      <c r="K119" t="e">
        <f>'All regions'!D3270+"$F;@!&amp;o`"</f>
        <v>#VALUE!</v>
      </c>
      <c r="L119" t="e">
        <f>'All regions'!E3270+"$F;@!&amp;oa"</f>
        <v>#VALUE!</v>
      </c>
      <c r="M119" t="e">
        <f>'All regions'!F3270+"$F;@!&amp;ob"</f>
        <v>#VALUE!</v>
      </c>
      <c r="N119" t="e">
        <f>'All regions'!G3270+"$F;@!&amp;oc"</f>
        <v>#VALUE!</v>
      </c>
      <c r="O119" t="e">
        <f>'All regions'!H3270+"$F;@!&amp;od"</f>
        <v>#VALUE!</v>
      </c>
      <c r="P119" t="e">
        <f>'All regions'!I3270+"$F;@!&amp;oe"</f>
        <v>#VALUE!</v>
      </c>
      <c r="Q119" t="e">
        <f>'All regions'!A3271+"$F;@!&amp;of"</f>
        <v>#VALUE!</v>
      </c>
      <c r="R119" t="e">
        <f>'All regions'!B3271+"$F;@!&amp;og"</f>
        <v>#VALUE!</v>
      </c>
      <c r="S119" t="e">
        <f>'All regions'!C3271+"$F;@!&amp;oh"</f>
        <v>#VALUE!</v>
      </c>
      <c r="T119" t="e">
        <f>'All regions'!D3271+"$F;@!&amp;oi"</f>
        <v>#VALUE!</v>
      </c>
      <c r="U119" t="e">
        <f>'All regions'!E3271+"$F;@!&amp;oj"</f>
        <v>#VALUE!</v>
      </c>
      <c r="V119" t="e">
        <f>'All regions'!F3271+"$F;@!&amp;ok"</f>
        <v>#VALUE!</v>
      </c>
      <c r="W119" t="e">
        <f>'All regions'!G3271+"$F;@!&amp;ol"</f>
        <v>#VALUE!</v>
      </c>
      <c r="X119" t="e">
        <f>'All regions'!H3271+"$F;@!&amp;om"</f>
        <v>#VALUE!</v>
      </c>
      <c r="Y119" t="e">
        <f>'All regions'!I3271+"$F;@!&amp;on"</f>
        <v>#VALUE!</v>
      </c>
      <c r="Z119" t="e">
        <f>'All regions'!A3272+"$F;@!&amp;oo"</f>
        <v>#VALUE!</v>
      </c>
      <c r="AA119" t="e">
        <f>'All regions'!B3272+"$F;@!&amp;op"</f>
        <v>#VALUE!</v>
      </c>
      <c r="AB119" t="e">
        <f>'All regions'!C3272+"$F;@!&amp;oq"</f>
        <v>#VALUE!</v>
      </c>
      <c r="AC119" t="e">
        <f>'All regions'!D3272+"$F;@!&amp;or"</f>
        <v>#VALUE!</v>
      </c>
      <c r="AD119" t="e">
        <f>'All regions'!E3272+"$F;@!&amp;os"</f>
        <v>#VALUE!</v>
      </c>
      <c r="AE119" t="e">
        <f>'All regions'!F3272+"$F;@!&amp;ot"</f>
        <v>#VALUE!</v>
      </c>
      <c r="AF119" t="e">
        <f>'All regions'!G3272+"$F;@!&amp;ou"</f>
        <v>#VALUE!</v>
      </c>
      <c r="AG119" t="e">
        <f>'All regions'!H3272+"$F;@!&amp;ov"</f>
        <v>#VALUE!</v>
      </c>
      <c r="AH119" t="e">
        <f>'All regions'!I3272+"$F;@!&amp;ow"</f>
        <v>#VALUE!</v>
      </c>
      <c r="AI119" t="e">
        <f>'All regions'!A3273+"$F;@!&amp;ox"</f>
        <v>#VALUE!</v>
      </c>
      <c r="AJ119" t="e">
        <f>'All regions'!B3273+"$F;@!&amp;oy"</f>
        <v>#VALUE!</v>
      </c>
      <c r="AK119" t="e">
        <f>'All regions'!C3273+"$F;@!&amp;oz"</f>
        <v>#VALUE!</v>
      </c>
      <c r="AL119" t="e">
        <f>'All regions'!D3273+"$F;@!&amp;o{"</f>
        <v>#VALUE!</v>
      </c>
      <c r="AM119" t="e">
        <f>'All regions'!E3273+"$F;@!&amp;o|"</f>
        <v>#VALUE!</v>
      </c>
      <c r="AN119" t="e">
        <f>'All regions'!F3273+"$F;@!&amp;o}"</f>
        <v>#VALUE!</v>
      </c>
      <c r="AO119" t="e">
        <f>'All regions'!G3273+"$F;@!&amp;o~"</f>
        <v>#VALUE!</v>
      </c>
      <c r="AP119" t="e">
        <f>'All regions'!H3273+"$F;@!&amp;p#"</f>
        <v>#VALUE!</v>
      </c>
      <c r="AQ119" t="e">
        <f>'All regions'!I3273+"$F;@!&amp;p$"</f>
        <v>#VALUE!</v>
      </c>
      <c r="AR119" t="e">
        <f>'All regions'!A3275+"$F;@!&amp;p%"</f>
        <v>#VALUE!</v>
      </c>
      <c r="AS119" t="e">
        <f>'All regions'!B3275+"$F;@!&amp;p&amp;"</f>
        <v>#VALUE!</v>
      </c>
      <c r="AT119" t="e">
        <f>'All regions'!C3275+"$F;@!&amp;p'"</f>
        <v>#VALUE!</v>
      </c>
      <c r="AU119" t="e">
        <f>'All regions'!D3275+"$F;@!&amp;p("</f>
        <v>#VALUE!</v>
      </c>
      <c r="AV119" t="e">
        <f>'All regions'!E3275+"$F;@!&amp;p)"</f>
        <v>#VALUE!</v>
      </c>
      <c r="AW119" t="e">
        <f>'All regions'!F3275+"$F;@!&amp;p."</f>
        <v>#VALUE!</v>
      </c>
      <c r="AX119" t="e">
        <f>'All regions'!G3275+"$F;@!&amp;p/"</f>
        <v>#VALUE!</v>
      </c>
      <c r="AY119" t="e">
        <f>'All regions'!H3275+"$F;@!&amp;p0"</f>
        <v>#VALUE!</v>
      </c>
      <c r="AZ119" t="e">
        <f>'All regions'!I3275+"$F;@!&amp;p1"</f>
        <v>#VALUE!</v>
      </c>
      <c r="BA119" t="e">
        <f>'All regions'!A3276+"$F;@!&amp;p2"</f>
        <v>#VALUE!</v>
      </c>
      <c r="BB119" t="e">
        <f>'All regions'!B3276+"$F;@!&amp;p3"</f>
        <v>#VALUE!</v>
      </c>
      <c r="BC119" t="e">
        <f>'All regions'!C3276+"$F;@!&amp;p4"</f>
        <v>#VALUE!</v>
      </c>
      <c r="BD119" t="e">
        <f>'All regions'!D3276+"$F;@!&amp;p5"</f>
        <v>#VALUE!</v>
      </c>
      <c r="BE119" t="e">
        <f>'All regions'!E3276+"$F;@!&amp;p6"</f>
        <v>#VALUE!</v>
      </c>
      <c r="BF119" t="e">
        <f>'All regions'!F3276+"$F;@!&amp;p7"</f>
        <v>#VALUE!</v>
      </c>
      <c r="BG119" t="e">
        <f>'All regions'!G3276+"$F;@!&amp;p8"</f>
        <v>#VALUE!</v>
      </c>
      <c r="BH119" t="e">
        <f>'All regions'!H3276+"$F;@!&amp;p9"</f>
        <v>#VALUE!</v>
      </c>
      <c r="BI119" t="e">
        <f>'All regions'!I3276+"$F;@!&amp;p:"</f>
        <v>#VALUE!</v>
      </c>
      <c r="BJ119" t="e">
        <f>'All regions'!A3277+"$F;@!&amp;p;"</f>
        <v>#VALUE!</v>
      </c>
      <c r="BK119" t="e">
        <f>'All regions'!B3277+"$F;@!&amp;p&lt;"</f>
        <v>#VALUE!</v>
      </c>
      <c r="BL119" t="e">
        <f>'All regions'!C3277+"$F;@!&amp;p="</f>
        <v>#VALUE!</v>
      </c>
      <c r="BM119" t="e">
        <f>'All regions'!D3277+"$F;@!&amp;p&gt;"</f>
        <v>#VALUE!</v>
      </c>
      <c r="BN119" t="e">
        <f>'All regions'!E3277+"$F;@!&amp;p?"</f>
        <v>#VALUE!</v>
      </c>
      <c r="BO119" t="e">
        <f>'All regions'!F3277+"$F;@!&amp;p@"</f>
        <v>#VALUE!</v>
      </c>
      <c r="BP119" t="e">
        <f>'All regions'!G3277+"$F;@!&amp;pA"</f>
        <v>#VALUE!</v>
      </c>
      <c r="BQ119" t="e">
        <f>'All regions'!H3277+"$F;@!&amp;pB"</f>
        <v>#VALUE!</v>
      </c>
      <c r="BR119" t="e">
        <f>'All regions'!I3277+"$F;@!&amp;pC"</f>
        <v>#VALUE!</v>
      </c>
      <c r="BS119" t="e">
        <f>'All regions'!A3278+"$F;@!&amp;pD"</f>
        <v>#VALUE!</v>
      </c>
      <c r="BT119" t="e">
        <f>'All regions'!B3278+"$F;@!&amp;pE"</f>
        <v>#VALUE!</v>
      </c>
      <c r="BU119" t="e">
        <f>'All regions'!C3278+"$F;@!&amp;pF"</f>
        <v>#VALUE!</v>
      </c>
      <c r="BV119" t="e">
        <f>'All regions'!D3278+"$F;@!&amp;pG"</f>
        <v>#VALUE!</v>
      </c>
      <c r="BW119" t="e">
        <f>'All regions'!E3278+"$F;@!&amp;pH"</f>
        <v>#VALUE!</v>
      </c>
      <c r="BX119" t="e">
        <f>'All regions'!F3278+"$F;@!&amp;pI"</f>
        <v>#VALUE!</v>
      </c>
      <c r="BY119" t="e">
        <f>'All regions'!G3278+"$F;@!&amp;pJ"</f>
        <v>#VALUE!</v>
      </c>
      <c r="BZ119" t="e">
        <f>'All regions'!H3278+"$F;@!&amp;pK"</f>
        <v>#VALUE!</v>
      </c>
      <c r="CA119" t="e">
        <f>'All regions'!I3278+"$F;@!&amp;pL"</f>
        <v>#VALUE!</v>
      </c>
      <c r="CB119" t="e">
        <f>'All regions'!A3279+"$F;@!&amp;pM"</f>
        <v>#VALUE!</v>
      </c>
      <c r="CC119" t="e">
        <f>'All regions'!B3279+"$F;@!&amp;pN"</f>
        <v>#VALUE!</v>
      </c>
      <c r="CD119" t="e">
        <f>'All regions'!C3279+"$F;@!&amp;pO"</f>
        <v>#VALUE!</v>
      </c>
      <c r="CE119" t="e">
        <f>'All regions'!D3279+"$F;@!&amp;pP"</f>
        <v>#VALUE!</v>
      </c>
      <c r="CF119" t="e">
        <f>'All regions'!E3279+"$F;@!&amp;pQ"</f>
        <v>#VALUE!</v>
      </c>
      <c r="CG119" t="e">
        <f>'All regions'!F3279+"$F;@!&amp;pR"</f>
        <v>#VALUE!</v>
      </c>
      <c r="CH119" t="e">
        <f>'All regions'!G3279+"$F;@!&amp;pS"</f>
        <v>#VALUE!</v>
      </c>
      <c r="CI119" t="e">
        <f>'All regions'!H3279+"$F;@!&amp;pT"</f>
        <v>#VALUE!</v>
      </c>
      <c r="CJ119" t="e">
        <f>'All regions'!I3279+"$F;@!&amp;pU"</f>
        <v>#VALUE!</v>
      </c>
      <c r="CK119" t="e">
        <f>'All regions'!A3280+"$F;@!&amp;pV"</f>
        <v>#VALUE!</v>
      </c>
      <c r="CL119" t="e">
        <f>'All regions'!B3280+"$F;@!&amp;pW"</f>
        <v>#VALUE!</v>
      </c>
      <c r="CM119" t="e">
        <f>'All regions'!C3280+"$F;@!&amp;pX"</f>
        <v>#VALUE!</v>
      </c>
      <c r="CN119" t="e">
        <f>'All regions'!D3280+"$F;@!&amp;pY"</f>
        <v>#VALUE!</v>
      </c>
      <c r="CO119" t="e">
        <f>'All regions'!E3280+"$F;@!&amp;pZ"</f>
        <v>#VALUE!</v>
      </c>
      <c r="CP119" t="e">
        <f>'All regions'!F3280+"$F;@!&amp;p["</f>
        <v>#VALUE!</v>
      </c>
      <c r="CQ119" t="e">
        <f>'All regions'!G3280+"$F;@!&amp;p\"</f>
        <v>#VALUE!</v>
      </c>
      <c r="CR119" t="e">
        <f>'All regions'!H3280+"$F;@!&amp;p]"</f>
        <v>#VALUE!</v>
      </c>
      <c r="CS119" t="e">
        <f>'All regions'!I3280+"$F;@!&amp;p^"</f>
        <v>#VALUE!</v>
      </c>
      <c r="CT119" t="e">
        <f>'All regions'!A3281+"$F;@!&amp;p_"</f>
        <v>#VALUE!</v>
      </c>
      <c r="CU119" t="e">
        <f>'All regions'!B3281+"$F;@!&amp;p`"</f>
        <v>#VALUE!</v>
      </c>
      <c r="CV119" t="e">
        <f>'All regions'!C3281+"$F;@!&amp;pa"</f>
        <v>#VALUE!</v>
      </c>
      <c r="CW119" t="e">
        <f>'All regions'!D3281+"$F;@!&amp;pb"</f>
        <v>#VALUE!</v>
      </c>
      <c r="CX119" t="e">
        <f>'All regions'!E3281+"$F;@!&amp;pc"</f>
        <v>#VALUE!</v>
      </c>
      <c r="CY119" t="e">
        <f>'All regions'!F3281+"$F;@!&amp;pd"</f>
        <v>#VALUE!</v>
      </c>
      <c r="CZ119" t="e">
        <f>'All regions'!G3281+"$F;@!&amp;pe"</f>
        <v>#VALUE!</v>
      </c>
      <c r="DA119" t="e">
        <f>'All regions'!H3281+"$F;@!&amp;pf"</f>
        <v>#VALUE!</v>
      </c>
      <c r="DB119" t="e">
        <f>'All regions'!I3281+"$F;@!&amp;pg"</f>
        <v>#VALUE!</v>
      </c>
      <c r="DC119" t="e">
        <f>'All regions'!A3282+"$F;@!&amp;ph"</f>
        <v>#VALUE!</v>
      </c>
      <c r="DD119" t="e">
        <f>'All regions'!B3282+"$F;@!&amp;pi"</f>
        <v>#VALUE!</v>
      </c>
      <c r="DE119" t="e">
        <f>'All regions'!C3282+"$F;@!&amp;pj"</f>
        <v>#VALUE!</v>
      </c>
      <c r="DF119" t="e">
        <f>'All regions'!D3282+"$F;@!&amp;pk"</f>
        <v>#VALUE!</v>
      </c>
      <c r="DG119" t="e">
        <f>'All regions'!E3282+"$F;@!&amp;pl"</f>
        <v>#VALUE!</v>
      </c>
      <c r="DH119" t="e">
        <f>'All regions'!F3282+"$F;@!&amp;pm"</f>
        <v>#VALUE!</v>
      </c>
      <c r="DI119" t="e">
        <f>'All regions'!G3282+"$F;@!&amp;pn"</f>
        <v>#VALUE!</v>
      </c>
      <c r="DJ119" t="e">
        <f>'All regions'!H3282+"$F;@!&amp;po"</f>
        <v>#VALUE!</v>
      </c>
      <c r="DK119" t="e">
        <f>'All regions'!I3282+"$F;@!&amp;pp"</f>
        <v>#VALUE!</v>
      </c>
      <c r="DL119" t="e">
        <f>'All regions'!A3283+"$F;@!&amp;pq"</f>
        <v>#VALUE!</v>
      </c>
      <c r="DM119" t="e">
        <f>'All regions'!B3283+"$F;@!&amp;pr"</f>
        <v>#VALUE!</v>
      </c>
      <c r="DN119" t="e">
        <f>'All regions'!C3283+"$F;@!&amp;ps"</f>
        <v>#VALUE!</v>
      </c>
      <c r="DO119" t="e">
        <f>'All regions'!D3283+"$F;@!&amp;pt"</f>
        <v>#VALUE!</v>
      </c>
      <c r="DP119" t="e">
        <f>'All regions'!E3283+"$F;@!&amp;pu"</f>
        <v>#VALUE!</v>
      </c>
      <c r="DQ119" t="e">
        <f>'All regions'!F3283+"$F;@!&amp;pv"</f>
        <v>#VALUE!</v>
      </c>
      <c r="DR119" t="e">
        <f>'All regions'!G3283+"$F;@!&amp;pw"</f>
        <v>#VALUE!</v>
      </c>
      <c r="DS119" t="e">
        <f>'All regions'!H3283+"$F;@!&amp;px"</f>
        <v>#VALUE!</v>
      </c>
      <c r="DT119" t="e">
        <f>'All regions'!I3283+"$F;@!&amp;py"</f>
        <v>#VALUE!</v>
      </c>
      <c r="DU119" t="e">
        <f>'All regions'!A3284+"$F;@!&amp;pz"</f>
        <v>#VALUE!</v>
      </c>
      <c r="DV119" t="e">
        <f>'All regions'!B3284+"$F;@!&amp;p{"</f>
        <v>#VALUE!</v>
      </c>
      <c r="DW119" t="e">
        <f>'All regions'!C3284+"$F;@!&amp;p|"</f>
        <v>#VALUE!</v>
      </c>
      <c r="DX119" t="e">
        <f>'All regions'!D3284+"$F;@!&amp;p}"</f>
        <v>#VALUE!</v>
      </c>
      <c r="DY119" t="e">
        <f>'All regions'!E3284+"$F;@!&amp;p~"</f>
        <v>#VALUE!</v>
      </c>
      <c r="DZ119" t="e">
        <f>'All regions'!F3284+"$F;@!&amp;q#"</f>
        <v>#VALUE!</v>
      </c>
      <c r="EA119" t="e">
        <f>'All regions'!G3284+"$F;@!&amp;q$"</f>
        <v>#VALUE!</v>
      </c>
      <c r="EB119" t="e">
        <f>'All regions'!H3284+"$F;@!&amp;q%"</f>
        <v>#VALUE!</v>
      </c>
      <c r="EC119" t="e">
        <f>'All regions'!I3284+"$F;@!&amp;q&amp;"</f>
        <v>#VALUE!</v>
      </c>
      <c r="ED119" t="e">
        <f>'All regions'!A3285+"$F;@!&amp;q'"</f>
        <v>#VALUE!</v>
      </c>
      <c r="EE119" t="e">
        <f>'All regions'!B3285+"$F;@!&amp;q("</f>
        <v>#VALUE!</v>
      </c>
      <c r="EF119" t="e">
        <f>'All regions'!C3285+"$F;@!&amp;q)"</f>
        <v>#VALUE!</v>
      </c>
      <c r="EG119" t="e">
        <f>'All regions'!D3285+"$F;@!&amp;q."</f>
        <v>#VALUE!</v>
      </c>
      <c r="EH119" t="e">
        <f>'All regions'!E3285+"$F;@!&amp;q/"</f>
        <v>#VALUE!</v>
      </c>
      <c r="EI119" t="e">
        <f>'All regions'!F3285+"$F;@!&amp;q0"</f>
        <v>#VALUE!</v>
      </c>
      <c r="EJ119" t="e">
        <f>'All regions'!G3285+"$F;@!&amp;q1"</f>
        <v>#VALUE!</v>
      </c>
      <c r="EK119" t="e">
        <f>'All regions'!H3285+"$F;@!&amp;q2"</f>
        <v>#VALUE!</v>
      </c>
      <c r="EL119" t="e">
        <f>'All regions'!I3285+"$F;@!&amp;q3"</f>
        <v>#VALUE!</v>
      </c>
      <c r="EM119" t="e">
        <f>'All regions'!A3286+"$F;@!&amp;q4"</f>
        <v>#VALUE!</v>
      </c>
      <c r="EN119" t="e">
        <f>'All regions'!B3286+"$F;@!&amp;q5"</f>
        <v>#VALUE!</v>
      </c>
      <c r="EO119" t="e">
        <f>'All regions'!C3286+"$F;@!&amp;q6"</f>
        <v>#VALUE!</v>
      </c>
      <c r="EP119" t="e">
        <f>'All regions'!D3286+"$F;@!&amp;q7"</f>
        <v>#VALUE!</v>
      </c>
      <c r="EQ119" t="e">
        <f>'All regions'!E3286+"$F;@!&amp;q8"</f>
        <v>#VALUE!</v>
      </c>
      <c r="ER119" t="e">
        <f>'All regions'!F3286+"$F;@!&amp;q9"</f>
        <v>#VALUE!</v>
      </c>
      <c r="ES119" t="e">
        <f>'All regions'!G3286+"$F;@!&amp;q:"</f>
        <v>#VALUE!</v>
      </c>
      <c r="ET119" t="e">
        <f>'All regions'!H3286+"$F;@!&amp;q;"</f>
        <v>#VALUE!</v>
      </c>
      <c r="EU119" t="e">
        <f>'All regions'!I3286+"$F;@!&amp;q&lt;"</f>
        <v>#VALUE!</v>
      </c>
      <c r="EV119" t="e">
        <f>'All regions'!A3287+"$F;@!&amp;q="</f>
        <v>#VALUE!</v>
      </c>
      <c r="EW119" t="e">
        <f>'All regions'!B3287+"$F;@!&amp;q&gt;"</f>
        <v>#VALUE!</v>
      </c>
      <c r="EX119" t="e">
        <f>'All regions'!C3287+"$F;@!&amp;q?"</f>
        <v>#VALUE!</v>
      </c>
      <c r="EY119" t="e">
        <f>'All regions'!D3287+"$F;@!&amp;q@"</f>
        <v>#VALUE!</v>
      </c>
      <c r="EZ119" t="e">
        <f>'All regions'!E3287+"$F;@!&amp;qA"</f>
        <v>#VALUE!</v>
      </c>
      <c r="FA119" t="e">
        <f>'All regions'!F3287+"$F;@!&amp;qB"</f>
        <v>#VALUE!</v>
      </c>
      <c r="FB119" t="e">
        <f>'All regions'!G3287+"$F;@!&amp;qC"</f>
        <v>#VALUE!</v>
      </c>
      <c r="FC119" t="e">
        <f>'All regions'!H3287+"$F;@!&amp;qD"</f>
        <v>#VALUE!</v>
      </c>
      <c r="FD119" t="e">
        <f>'All regions'!I3287+"$F;@!&amp;qE"</f>
        <v>#VALUE!</v>
      </c>
      <c r="FE119" t="e">
        <f>'All regions'!A3288+"$F;@!&amp;qF"</f>
        <v>#VALUE!</v>
      </c>
      <c r="FF119" t="e">
        <f>'All regions'!B3288+"$F;@!&amp;qG"</f>
        <v>#VALUE!</v>
      </c>
      <c r="FG119" t="e">
        <f>'All regions'!C3288+"$F;@!&amp;qH"</f>
        <v>#VALUE!</v>
      </c>
      <c r="FH119" t="e">
        <f>'All regions'!D3288+"$F;@!&amp;qI"</f>
        <v>#VALUE!</v>
      </c>
      <c r="FI119" t="e">
        <f>'All regions'!E3288+"$F;@!&amp;qJ"</f>
        <v>#VALUE!</v>
      </c>
      <c r="FJ119" t="e">
        <f>'All regions'!F3288+"$F;@!&amp;qK"</f>
        <v>#VALUE!</v>
      </c>
      <c r="FK119" t="e">
        <f>'All regions'!G3288+"$F;@!&amp;qL"</f>
        <v>#VALUE!</v>
      </c>
      <c r="FL119" t="e">
        <f>'All regions'!H3288+"$F;@!&amp;qM"</f>
        <v>#VALUE!</v>
      </c>
      <c r="FM119" t="e">
        <f>'All regions'!I3288+"$F;@!&amp;qN"</f>
        <v>#VALUE!</v>
      </c>
      <c r="FN119" t="e">
        <f>'All regions'!A3289+"$F;@!&amp;qO"</f>
        <v>#VALUE!</v>
      </c>
      <c r="FO119" t="e">
        <f>'All regions'!B3289+"$F;@!&amp;qP"</f>
        <v>#VALUE!</v>
      </c>
      <c r="FP119" t="e">
        <f>'All regions'!C3289+"$F;@!&amp;qQ"</f>
        <v>#VALUE!</v>
      </c>
      <c r="FQ119" t="e">
        <f>'All regions'!D3289+"$F;@!&amp;qR"</f>
        <v>#VALUE!</v>
      </c>
      <c r="FR119" t="e">
        <f>'All regions'!E3289+"$F;@!&amp;qS"</f>
        <v>#VALUE!</v>
      </c>
      <c r="FS119" t="e">
        <f>'All regions'!F3289+"$F;@!&amp;qT"</f>
        <v>#VALUE!</v>
      </c>
      <c r="FT119" t="e">
        <f>'All regions'!G3289+"$F;@!&amp;qU"</f>
        <v>#VALUE!</v>
      </c>
      <c r="FU119" t="e">
        <f>'All regions'!H3289+"$F;@!&amp;qV"</f>
        <v>#VALUE!</v>
      </c>
      <c r="FV119" t="e">
        <f>'All regions'!I3289+"$F;@!&amp;qW"</f>
        <v>#VALUE!</v>
      </c>
      <c r="FW119" t="e">
        <f>'All regions'!A3290+"$F;@!&amp;qX"</f>
        <v>#VALUE!</v>
      </c>
      <c r="FX119" t="e">
        <f>'All regions'!B3290+"$F;@!&amp;qY"</f>
        <v>#VALUE!</v>
      </c>
      <c r="FY119" t="e">
        <f>'All regions'!C3290+"$F;@!&amp;qZ"</f>
        <v>#VALUE!</v>
      </c>
      <c r="FZ119" t="e">
        <f>'All regions'!D3290+"$F;@!&amp;q["</f>
        <v>#VALUE!</v>
      </c>
      <c r="GA119" t="e">
        <f>'All regions'!E3290+"$F;@!&amp;q\"</f>
        <v>#VALUE!</v>
      </c>
      <c r="GB119" t="e">
        <f>'All regions'!F3290+"$F;@!&amp;q]"</f>
        <v>#VALUE!</v>
      </c>
      <c r="GC119" t="e">
        <f>'All regions'!G3290+"$F;@!&amp;q^"</f>
        <v>#VALUE!</v>
      </c>
      <c r="GD119" t="e">
        <f>'All regions'!H3290+"$F;@!&amp;q_"</f>
        <v>#VALUE!</v>
      </c>
      <c r="GE119" t="e">
        <f>'All regions'!I3290+"$F;@!&amp;q`"</f>
        <v>#VALUE!</v>
      </c>
      <c r="GF119" t="e">
        <f>'All regions'!A3291+"$F;@!&amp;qa"</f>
        <v>#VALUE!</v>
      </c>
      <c r="GG119" t="e">
        <f>'All regions'!B3291+"$F;@!&amp;qb"</f>
        <v>#VALUE!</v>
      </c>
      <c r="GH119" t="e">
        <f>'All regions'!C3291+"$F;@!&amp;qc"</f>
        <v>#VALUE!</v>
      </c>
      <c r="GI119" t="e">
        <f>'All regions'!D3291+"$F;@!&amp;qd"</f>
        <v>#VALUE!</v>
      </c>
      <c r="GJ119" t="e">
        <f>'All regions'!E3291+"$F;@!&amp;qe"</f>
        <v>#VALUE!</v>
      </c>
      <c r="GK119" t="e">
        <f>'All regions'!F3291+"$F;@!&amp;qf"</f>
        <v>#VALUE!</v>
      </c>
      <c r="GL119" t="e">
        <f>'All regions'!G3291+"$F;@!&amp;qg"</f>
        <v>#VALUE!</v>
      </c>
      <c r="GM119" t="e">
        <f>'All regions'!H3291+"$F;@!&amp;qh"</f>
        <v>#VALUE!</v>
      </c>
      <c r="GN119" t="e">
        <f>'All regions'!I3291+"$F;@!&amp;qi"</f>
        <v>#VALUE!</v>
      </c>
      <c r="GO119" t="e">
        <f>'All regions'!A3292+"$F;@!&amp;qj"</f>
        <v>#VALUE!</v>
      </c>
      <c r="GP119" t="e">
        <f>'All regions'!B3292+"$F;@!&amp;qk"</f>
        <v>#VALUE!</v>
      </c>
      <c r="GQ119" t="e">
        <f>'All regions'!C3292+"$F;@!&amp;ql"</f>
        <v>#VALUE!</v>
      </c>
      <c r="GR119" t="e">
        <f>'All regions'!D3292+"$F;@!&amp;qm"</f>
        <v>#VALUE!</v>
      </c>
      <c r="GS119" t="e">
        <f>'All regions'!E3292+"$F;@!&amp;qn"</f>
        <v>#VALUE!</v>
      </c>
      <c r="GT119" t="e">
        <f>'All regions'!F3292+"$F;@!&amp;qo"</f>
        <v>#VALUE!</v>
      </c>
      <c r="GU119" t="e">
        <f>'All regions'!G3292+"$F;@!&amp;qp"</f>
        <v>#VALUE!</v>
      </c>
      <c r="GV119" t="e">
        <f>'All regions'!H3292+"$F;@!&amp;qq"</f>
        <v>#VALUE!</v>
      </c>
      <c r="GW119" t="e">
        <f>'All regions'!I3292+"$F;@!&amp;qr"</f>
        <v>#VALUE!</v>
      </c>
      <c r="GX119" t="e">
        <f>'All regions'!A3293+"$F;@!&amp;qs"</f>
        <v>#VALUE!</v>
      </c>
      <c r="GY119" t="e">
        <f>'All regions'!B3293+"$F;@!&amp;qt"</f>
        <v>#VALUE!</v>
      </c>
      <c r="GZ119" t="e">
        <f>'All regions'!C3293+"$F;@!&amp;qu"</f>
        <v>#VALUE!</v>
      </c>
      <c r="HA119" t="e">
        <f>'All regions'!D3293+"$F;@!&amp;qv"</f>
        <v>#VALUE!</v>
      </c>
      <c r="HB119" t="e">
        <f>'All regions'!E3293+"$F;@!&amp;qw"</f>
        <v>#VALUE!</v>
      </c>
      <c r="HC119" t="e">
        <f>'All regions'!F3293+"$F;@!&amp;qx"</f>
        <v>#VALUE!</v>
      </c>
      <c r="HD119" t="e">
        <f>'All regions'!G3293+"$F;@!&amp;qy"</f>
        <v>#VALUE!</v>
      </c>
      <c r="HE119" t="e">
        <f>'All regions'!H3293+"$F;@!&amp;qz"</f>
        <v>#VALUE!</v>
      </c>
      <c r="HF119" t="e">
        <f>'All regions'!I3293+"$F;@!&amp;q{"</f>
        <v>#VALUE!</v>
      </c>
      <c r="HG119" t="e">
        <f>'All regions'!A3294+"$F;@!&amp;q|"</f>
        <v>#VALUE!</v>
      </c>
      <c r="HH119" t="e">
        <f>'All regions'!B3294+"$F;@!&amp;q}"</f>
        <v>#VALUE!</v>
      </c>
      <c r="HI119" t="e">
        <f>'All regions'!C3294+"$F;@!&amp;q~"</f>
        <v>#VALUE!</v>
      </c>
      <c r="HJ119" t="e">
        <f>'All regions'!D3294+"$F;@!&amp;r#"</f>
        <v>#VALUE!</v>
      </c>
      <c r="HK119" t="e">
        <f>'All regions'!E3294+"$F;@!&amp;r$"</f>
        <v>#VALUE!</v>
      </c>
      <c r="HL119" t="e">
        <f>'All regions'!F3294+"$F;@!&amp;r%"</f>
        <v>#VALUE!</v>
      </c>
      <c r="HM119" t="e">
        <f>'All regions'!G3294+"$F;@!&amp;r&amp;"</f>
        <v>#VALUE!</v>
      </c>
      <c r="HN119" t="e">
        <f>'All regions'!H3294+"$F;@!&amp;r'"</f>
        <v>#VALUE!</v>
      </c>
      <c r="HO119" t="e">
        <f>'All regions'!I3294+"$F;@!&amp;r("</f>
        <v>#VALUE!</v>
      </c>
      <c r="HP119" t="e">
        <f>'All regions'!A3295+"$F;@!&amp;r)"</f>
        <v>#VALUE!</v>
      </c>
      <c r="HQ119" t="e">
        <f>'All regions'!B3295+"$F;@!&amp;r."</f>
        <v>#VALUE!</v>
      </c>
      <c r="HR119" t="e">
        <f>'All regions'!C3295+"$F;@!&amp;r/"</f>
        <v>#VALUE!</v>
      </c>
      <c r="HS119" t="e">
        <f>'All regions'!D3295+"$F;@!&amp;r0"</f>
        <v>#VALUE!</v>
      </c>
      <c r="HT119" t="e">
        <f>'All regions'!E3295+"$F;@!&amp;r1"</f>
        <v>#VALUE!</v>
      </c>
      <c r="HU119" t="e">
        <f>'All regions'!F3295+"$F;@!&amp;r2"</f>
        <v>#VALUE!</v>
      </c>
      <c r="HV119" t="e">
        <f>'All regions'!G3295+"$F;@!&amp;r3"</f>
        <v>#VALUE!</v>
      </c>
      <c r="HW119" t="e">
        <f>'All regions'!H3295+"$F;@!&amp;r4"</f>
        <v>#VALUE!</v>
      </c>
      <c r="HX119" t="e">
        <f>'All regions'!I3295+"$F;@!&amp;r5"</f>
        <v>#VALUE!</v>
      </c>
      <c r="HY119" t="e">
        <f>'All regions'!A3296+"$F;@!&amp;r6"</f>
        <v>#VALUE!</v>
      </c>
      <c r="HZ119" t="e">
        <f>'All regions'!B3296+"$F;@!&amp;r7"</f>
        <v>#VALUE!</v>
      </c>
      <c r="IA119" t="e">
        <f>'All regions'!C3296+"$F;@!&amp;r8"</f>
        <v>#VALUE!</v>
      </c>
      <c r="IB119" t="e">
        <f>'All regions'!D3296+"$F;@!&amp;r9"</f>
        <v>#VALUE!</v>
      </c>
      <c r="IC119" t="e">
        <f>'All regions'!E3296+"$F;@!&amp;r:"</f>
        <v>#VALUE!</v>
      </c>
      <c r="ID119" t="e">
        <f>'All regions'!F3296+"$F;@!&amp;r;"</f>
        <v>#VALUE!</v>
      </c>
      <c r="IE119" t="e">
        <f>'All regions'!G3296+"$F;@!&amp;r&lt;"</f>
        <v>#VALUE!</v>
      </c>
      <c r="IF119" t="e">
        <f>'All regions'!H3296+"$F;@!&amp;r="</f>
        <v>#VALUE!</v>
      </c>
      <c r="IG119" t="e">
        <f>'All regions'!I3296+"$F;@!&amp;r&gt;"</f>
        <v>#VALUE!</v>
      </c>
      <c r="IH119" t="e">
        <f>'All regions'!A3297+"$F;@!&amp;r?"</f>
        <v>#VALUE!</v>
      </c>
      <c r="II119" t="e">
        <f>'All regions'!B3297+"$F;@!&amp;r@"</f>
        <v>#VALUE!</v>
      </c>
      <c r="IJ119" t="e">
        <f>'All regions'!C3297+"$F;@!&amp;rA"</f>
        <v>#VALUE!</v>
      </c>
      <c r="IK119" t="e">
        <f>'All regions'!D3297+"$F;@!&amp;rB"</f>
        <v>#VALUE!</v>
      </c>
      <c r="IL119" t="e">
        <f>'All regions'!E3297+"$F;@!&amp;rC"</f>
        <v>#VALUE!</v>
      </c>
      <c r="IM119" t="e">
        <f>'All regions'!F3297+"$F;@!&amp;rD"</f>
        <v>#VALUE!</v>
      </c>
      <c r="IN119" t="e">
        <f>'All regions'!G3297+"$F;@!&amp;rE"</f>
        <v>#VALUE!</v>
      </c>
      <c r="IO119" t="e">
        <f>'All regions'!H3297+"$F;@!&amp;rF"</f>
        <v>#VALUE!</v>
      </c>
      <c r="IP119" t="e">
        <f>'All regions'!I3297+"$F;@!&amp;rG"</f>
        <v>#VALUE!</v>
      </c>
      <c r="IQ119" t="e">
        <f>'All regions'!A3298+"$F;@!&amp;rH"</f>
        <v>#VALUE!</v>
      </c>
      <c r="IR119" t="e">
        <f>'All regions'!B3298+"$F;@!&amp;rI"</f>
        <v>#VALUE!</v>
      </c>
      <c r="IS119" t="e">
        <f>'All regions'!C3298+"$F;@!&amp;rJ"</f>
        <v>#VALUE!</v>
      </c>
      <c r="IT119" t="e">
        <f>'All regions'!D3298+"$F;@!&amp;rK"</f>
        <v>#VALUE!</v>
      </c>
      <c r="IU119" t="e">
        <f>'All regions'!E3298+"$F;@!&amp;rL"</f>
        <v>#VALUE!</v>
      </c>
      <c r="IV119" t="e">
        <f>'All regions'!F3298+"$F;@!&amp;rM"</f>
        <v>#VALUE!</v>
      </c>
    </row>
    <row r="120" spans="6:256" x14ac:dyDescent="0.35">
      <c r="F120" t="e">
        <f>'All regions'!G3298+"$F;@!&amp;rN"</f>
        <v>#VALUE!</v>
      </c>
      <c r="G120" t="e">
        <f>'All regions'!H3298+"$F;@!&amp;rO"</f>
        <v>#VALUE!</v>
      </c>
      <c r="H120" t="e">
        <f>'All regions'!I3298+"$F;@!&amp;rP"</f>
        <v>#VALUE!</v>
      </c>
      <c r="I120" t="e">
        <f>'All regions'!A3299+"$F;@!&amp;rQ"</f>
        <v>#VALUE!</v>
      </c>
      <c r="J120" t="e">
        <f>'All regions'!B3299+"$F;@!&amp;rR"</f>
        <v>#VALUE!</v>
      </c>
      <c r="K120" t="e">
        <f>'All regions'!C3299+"$F;@!&amp;rS"</f>
        <v>#VALUE!</v>
      </c>
      <c r="L120" t="e">
        <f>'All regions'!D3299+"$F;@!&amp;rT"</f>
        <v>#VALUE!</v>
      </c>
      <c r="M120" t="e">
        <f>'All regions'!E3299+"$F;@!&amp;rU"</f>
        <v>#VALUE!</v>
      </c>
      <c r="N120" t="e">
        <f>'All regions'!F3299+"$F;@!&amp;rV"</f>
        <v>#VALUE!</v>
      </c>
      <c r="O120" t="e">
        <f>'All regions'!G3299+"$F;@!&amp;rW"</f>
        <v>#VALUE!</v>
      </c>
      <c r="P120" t="e">
        <f>'All regions'!H3299+"$F;@!&amp;rX"</f>
        <v>#VALUE!</v>
      </c>
      <c r="Q120" t="e">
        <f>'All regions'!I3299+"$F;@!&amp;rY"</f>
        <v>#VALUE!</v>
      </c>
      <c r="R120" t="e">
        <f>'All regions'!A3300+"$F;@!&amp;rZ"</f>
        <v>#VALUE!</v>
      </c>
      <c r="S120" t="e">
        <f>'All regions'!B3300+"$F;@!&amp;r["</f>
        <v>#VALUE!</v>
      </c>
      <c r="T120" t="e">
        <f>'All regions'!C3300+"$F;@!&amp;r\"</f>
        <v>#VALUE!</v>
      </c>
      <c r="U120" t="e">
        <f>'All regions'!D3300+"$F;@!&amp;r]"</f>
        <v>#VALUE!</v>
      </c>
      <c r="V120" t="e">
        <f>'All regions'!E3300+"$F;@!&amp;r^"</f>
        <v>#VALUE!</v>
      </c>
      <c r="W120" t="e">
        <f>'All regions'!F3300+"$F;@!&amp;r_"</f>
        <v>#VALUE!</v>
      </c>
      <c r="X120" t="e">
        <f>'All regions'!G3300+"$F;@!&amp;r`"</f>
        <v>#VALUE!</v>
      </c>
      <c r="Y120" t="e">
        <f>'All regions'!H3300+"$F;@!&amp;ra"</f>
        <v>#VALUE!</v>
      </c>
      <c r="Z120" t="e">
        <f>'All regions'!I3300+"$F;@!&amp;rb"</f>
        <v>#VALUE!</v>
      </c>
      <c r="AA120" t="e">
        <f>'All regions'!A3301+"$F;@!&amp;rc"</f>
        <v>#VALUE!</v>
      </c>
      <c r="AB120" t="e">
        <f>'All regions'!B3301+"$F;@!&amp;rd"</f>
        <v>#VALUE!</v>
      </c>
      <c r="AC120" t="e">
        <f>'All regions'!C3301+"$F;@!&amp;re"</f>
        <v>#VALUE!</v>
      </c>
      <c r="AD120" t="e">
        <f>'All regions'!D3301+"$F;@!&amp;rf"</f>
        <v>#VALUE!</v>
      </c>
      <c r="AE120" t="e">
        <f>'All regions'!E3301+"$F;@!&amp;rg"</f>
        <v>#VALUE!</v>
      </c>
      <c r="AF120" t="e">
        <f>'All regions'!F3301+"$F;@!&amp;rh"</f>
        <v>#VALUE!</v>
      </c>
      <c r="AG120" t="e">
        <f>'All regions'!G3301+"$F;@!&amp;ri"</f>
        <v>#VALUE!</v>
      </c>
      <c r="AH120" t="e">
        <f>'All regions'!H3301+"$F;@!&amp;rj"</f>
        <v>#VALUE!</v>
      </c>
      <c r="AI120" t="e">
        <f>'All regions'!I3301+"$F;@!&amp;rk"</f>
        <v>#VALUE!</v>
      </c>
      <c r="AJ120" t="e">
        <f>'All regions'!A3302+"$F;@!&amp;rl"</f>
        <v>#VALUE!</v>
      </c>
      <c r="AK120" t="e">
        <f>'All regions'!B3302+"$F;@!&amp;rm"</f>
        <v>#VALUE!</v>
      </c>
      <c r="AL120" t="e">
        <f>'All regions'!C3302+"$F;@!&amp;rn"</f>
        <v>#VALUE!</v>
      </c>
      <c r="AM120" t="e">
        <f>'All regions'!D3302+"$F;@!&amp;ro"</f>
        <v>#VALUE!</v>
      </c>
      <c r="AN120" t="e">
        <f>'All regions'!E3302+"$F;@!&amp;rp"</f>
        <v>#VALUE!</v>
      </c>
      <c r="AO120" t="e">
        <f>'All regions'!F3302+"$F;@!&amp;rq"</f>
        <v>#VALUE!</v>
      </c>
      <c r="AP120" t="e">
        <f>'All regions'!G3302+"$F;@!&amp;rr"</f>
        <v>#VALUE!</v>
      </c>
      <c r="AQ120" t="e">
        <f>'All regions'!H3302+"$F;@!&amp;rs"</f>
        <v>#VALUE!</v>
      </c>
      <c r="AR120" t="e">
        <f>'All regions'!I3302+"$F;@!&amp;rt"</f>
        <v>#VALUE!</v>
      </c>
      <c r="AS120" t="e">
        <f>'All regions'!A3303+"$F;@!&amp;ru"</f>
        <v>#VALUE!</v>
      </c>
      <c r="AT120" t="e">
        <f>'All regions'!B3303+"$F;@!&amp;rv"</f>
        <v>#VALUE!</v>
      </c>
      <c r="AU120" t="e">
        <f>'All regions'!C3303+"$F;@!&amp;rw"</f>
        <v>#VALUE!</v>
      </c>
      <c r="AV120" t="e">
        <f>'All regions'!D3303+"$F;@!&amp;rx"</f>
        <v>#VALUE!</v>
      </c>
      <c r="AW120" t="e">
        <f>'All regions'!E3303+"$F;@!&amp;ry"</f>
        <v>#VALUE!</v>
      </c>
      <c r="AX120" t="e">
        <f>'All regions'!F3303+"$F;@!&amp;rz"</f>
        <v>#VALUE!</v>
      </c>
      <c r="AY120" t="e">
        <f>'All regions'!G3303+"$F;@!&amp;r{"</f>
        <v>#VALUE!</v>
      </c>
      <c r="AZ120" t="e">
        <f>'All regions'!H3303+"$F;@!&amp;r|"</f>
        <v>#VALUE!</v>
      </c>
      <c r="BA120" t="e">
        <f>'All regions'!I3303+"$F;@!&amp;r}"</f>
        <v>#VALUE!</v>
      </c>
      <c r="BB120" t="e">
        <f>'All regions'!A3304+"$F;@!&amp;r~"</f>
        <v>#VALUE!</v>
      </c>
      <c r="BC120" t="e">
        <f>'All regions'!B3304+"$F;@!&amp;s#"</f>
        <v>#VALUE!</v>
      </c>
      <c r="BD120" t="e">
        <f>'All regions'!C3304+"$F;@!&amp;s$"</f>
        <v>#VALUE!</v>
      </c>
      <c r="BE120" t="e">
        <f>'All regions'!D3304+"$F;@!&amp;s%"</f>
        <v>#VALUE!</v>
      </c>
      <c r="BF120" t="e">
        <f>'All regions'!E3304+"$F;@!&amp;s&amp;"</f>
        <v>#VALUE!</v>
      </c>
      <c r="BG120" t="e">
        <f>'All regions'!F3304+"$F;@!&amp;s'"</f>
        <v>#VALUE!</v>
      </c>
      <c r="BH120" t="e">
        <f>'All regions'!G3304+"$F;@!&amp;s("</f>
        <v>#VALUE!</v>
      </c>
      <c r="BI120" t="e">
        <f>'All regions'!H3304+"$F;@!&amp;s)"</f>
        <v>#VALUE!</v>
      </c>
      <c r="BJ120" t="e">
        <f>'All regions'!I3304+"$F;@!&amp;s."</f>
        <v>#VALUE!</v>
      </c>
      <c r="BK120" t="e">
        <f>'All regions'!A3305+"$F;@!&amp;s/"</f>
        <v>#VALUE!</v>
      </c>
      <c r="BL120" t="e">
        <f>'All regions'!B3305+"$F;@!&amp;s0"</f>
        <v>#VALUE!</v>
      </c>
      <c r="BM120" t="e">
        <f>'All regions'!C3305+"$F;@!&amp;s1"</f>
        <v>#VALUE!</v>
      </c>
      <c r="BN120" t="e">
        <f>'All regions'!D3305+"$F;@!&amp;s2"</f>
        <v>#VALUE!</v>
      </c>
      <c r="BO120" t="e">
        <f>'All regions'!E3305+"$F;@!&amp;s3"</f>
        <v>#VALUE!</v>
      </c>
      <c r="BP120" t="e">
        <f>'All regions'!F3305+"$F;@!&amp;s4"</f>
        <v>#VALUE!</v>
      </c>
      <c r="BQ120" t="e">
        <f>'All regions'!G3305+"$F;@!&amp;s5"</f>
        <v>#VALUE!</v>
      </c>
      <c r="BR120" t="e">
        <f>'All regions'!H3305+"$F;@!&amp;s6"</f>
        <v>#VALUE!</v>
      </c>
      <c r="BS120" t="e">
        <f>'All regions'!I3305+"$F;@!&amp;s7"</f>
        <v>#VALUE!</v>
      </c>
      <c r="BT120" t="e">
        <f>'All regions'!A3306+"$F;@!&amp;s8"</f>
        <v>#VALUE!</v>
      </c>
      <c r="BU120" t="e">
        <f>'All regions'!B3306+"$F;@!&amp;s9"</f>
        <v>#VALUE!</v>
      </c>
      <c r="BV120" t="e">
        <f>'All regions'!C3306+"$F;@!&amp;s:"</f>
        <v>#VALUE!</v>
      </c>
      <c r="BW120" t="e">
        <f>'All regions'!D3306+"$F;@!&amp;s;"</f>
        <v>#VALUE!</v>
      </c>
      <c r="BX120" t="e">
        <f>'All regions'!E3306+"$F;@!&amp;s&lt;"</f>
        <v>#VALUE!</v>
      </c>
      <c r="BY120" t="e">
        <f>'All regions'!F3306+"$F;@!&amp;s="</f>
        <v>#VALUE!</v>
      </c>
      <c r="BZ120" t="e">
        <f>'All regions'!G3306+"$F;@!&amp;s&gt;"</f>
        <v>#VALUE!</v>
      </c>
      <c r="CA120" t="e">
        <f>'All regions'!H3306+"$F;@!&amp;s?"</f>
        <v>#VALUE!</v>
      </c>
      <c r="CB120" t="e">
        <f>'All regions'!I3306+"$F;@!&amp;s@"</f>
        <v>#VALUE!</v>
      </c>
      <c r="CC120" t="e">
        <f>'All regions'!A3307+"$F;@!&amp;sA"</f>
        <v>#VALUE!</v>
      </c>
      <c r="CD120" t="e">
        <f>'All regions'!B3307+"$F;@!&amp;sB"</f>
        <v>#VALUE!</v>
      </c>
      <c r="CE120" t="e">
        <f>'All regions'!C3307+"$F;@!&amp;sC"</f>
        <v>#VALUE!</v>
      </c>
      <c r="CF120" t="e">
        <f>'All regions'!D3307+"$F;@!&amp;sD"</f>
        <v>#VALUE!</v>
      </c>
      <c r="CG120" t="e">
        <f>'All regions'!E3307+"$F;@!&amp;sE"</f>
        <v>#VALUE!</v>
      </c>
      <c r="CH120" t="e">
        <f>'All regions'!F3307+"$F;@!&amp;sF"</f>
        <v>#VALUE!</v>
      </c>
      <c r="CI120" t="e">
        <f>'All regions'!G3307+"$F;@!&amp;sG"</f>
        <v>#VALUE!</v>
      </c>
      <c r="CJ120" t="e">
        <f>'All regions'!H3307+"$F;@!&amp;sH"</f>
        <v>#VALUE!</v>
      </c>
      <c r="CK120" t="e">
        <f>'All regions'!I3307+"$F;@!&amp;sI"</f>
        <v>#VALUE!</v>
      </c>
      <c r="CL120" t="e">
        <f>'All regions'!A3308+"$F;@!&amp;sJ"</f>
        <v>#VALUE!</v>
      </c>
      <c r="CM120" t="e">
        <f>'All regions'!B3308+"$F;@!&amp;sK"</f>
        <v>#VALUE!</v>
      </c>
      <c r="CN120" t="e">
        <f>'All regions'!C3308+"$F;@!&amp;sL"</f>
        <v>#VALUE!</v>
      </c>
      <c r="CO120" t="e">
        <f>'All regions'!D3308+"$F;@!&amp;sM"</f>
        <v>#VALUE!</v>
      </c>
      <c r="CP120" t="e">
        <f>'All regions'!E3308+"$F;@!&amp;sN"</f>
        <v>#VALUE!</v>
      </c>
      <c r="CQ120" t="e">
        <f>'All regions'!F3308+"$F;@!&amp;sO"</f>
        <v>#VALUE!</v>
      </c>
      <c r="CR120" t="e">
        <f>'All regions'!G3308+"$F;@!&amp;sP"</f>
        <v>#VALUE!</v>
      </c>
      <c r="CS120" t="e">
        <f>'All regions'!H3308+"$F;@!&amp;sQ"</f>
        <v>#VALUE!</v>
      </c>
      <c r="CT120" t="e">
        <f>'All regions'!I3308+"$F;@!&amp;sR"</f>
        <v>#VALUE!</v>
      </c>
      <c r="CU120" t="e">
        <f>'All regions'!A3309+"$F;@!&amp;sS"</f>
        <v>#VALUE!</v>
      </c>
      <c r="CV120" t="e">
        <f>'All regions'!B3309+"$F;@!&amp;sT"</f>
        <v>#VALUE!</v>
      </c>
      <c r="CW120" t="e">
        <f>'All regions'!C3309+"$F;@!&amp;sU"</f>
        <v>#VALUE!</v>
      </c>
      <c r="CX120" t="e">
        <f>'All regions'!D3309+"$F;@!&amp;sV"</f>
        <v>#VALUE!</v>
      </c>
      <c r="CY120" t="e">
        <f>'All regions'!E3309+"$F;@!&amp;sW"</f>
        <v>#VALUE!</v>
      </c>
      <c r="CZ120" t="e">
        <f>'All regions'!F3309+"$F;@!&amp;sX"</f>
        <v>#VALUE!</v>
      </c>
      <c r="DA120" t="e">
        <f>'All regions'!G3309+"$F;@!&amp;sY"</f>
        <v>#VALUE!</v>
      </c>
      <c r="DB120" t="e">
        <f>'All regions'!H3309+"$F;@!&amp;sZ"</f>
        <v>#VALUE!</v>
      </c>
      <c r="DC120" t="e">
        <f>'All regions'!I3309+"$F;@!&amp;s["</f>
        <v>#VALUE!</v>
      </c>
      <c r="DD120" t="e">
        <f>'All regions'!A3310+"$F;@!&amp;s\"</f>
        <v>#VALUE!</v>
      </c>
      <c r="DE120" t="e">
        <f>'All regions'!B3310+"$F;@!&amp;s]"</f>
        <v>#VALUE!</v>
      </c>
      <c r="DF120" t="e">
        <f>'All regions'!C3310+"$F;@!&amp;s^"</f>
        <v>#VALUE!</v>
      </c>
      <c r="DG120" t="e">
        <f>'All regions'!D3310+"$F;@!&amp;s_"</f>
        <v>#VALUE!</v>
      </c>
      <c r="DH120" t="e">
        <f>'All regions'!E3310+"$F;@!&amp;s`"</f>
        <v>#VALUE!</v>
      </c>
      <c r="DI120" t="e">
        <f>'All regions'!F3310+"$F;@!&amp;sa"</f>
        <v>#VALUE!</v>
      </c>
      <c r="DJ120" t="e">
        <f>'All regions'!G3310+"$F;@!&amp;sb"</f>
        <v>#VALUE!</v>
      </c>
      <c r="DK120" t="e">
        <f>'All regions'!H3310+"$F;@!&amp;sc"</f>
        <v>#VALUE!</v>
      </c>
      <c r="DL120" t="e">
        <f>'All regions'!I3310+"$F;@!&amp;sd"</f>
        <v>#VALUE!</v>
      </c>
      <c r="DM120" t="e">
        <f>'All regions'!A3311+"$F;@!&amp;se"</f>
        <v>#VALUE!</v>
      </c>
      <c r="DN120" t="e">
        <f>'All regions'!B3311+"$F;@!&amp;sf"</f>
        <v>#VALUE!</v>
      </c>
      <c r="DO120" t="e">
        <f>'All regions'!C3311+"$F;@!&amp;sg"</f>
        <v>#VALUE!</v>
      </c>
      <c r="DP120" t="e">
        <f>'All regions'!D3311+"$F;@!&amp;sh"</f>
        <v>#VALUE!</v>
      </c>
      <c r="DQ120" t="e">
        <f>'All regions'!E3311+"$F;@!&amp;si"</f>
        <v>#VALUE!</v>
      </c>
      <c r="DR120" t="e">
        <f>'All regions'!F3311+"$F;@!&amp;sj"</f>
        <v>#VALUE!</v>
      </c>
      <c r="DS120" t="e">
        <f>'All regions'!G3311+"$F;@!&amp;sk"</f>
        <v>#VALUE!</v>
      </c>
      <c r="DT120" t="e">
        <f>'All regions'!H3311+"$F;@!&amp;sl"</f>
        <v>#VALUE!</v>
      </c>
      <c r="DU120" t="e">
        <f>'All regions'!I3311+"$F;@!&amp;sm"</f>
        <v>#VALUE!</v>
      </c>
      <c r="DV120" t="e">
        <f>'All regions'!A3312+"$F;@!&amp;sn"</f>
        <v>#VALUE!</v>
      </c>
      <c r="DW120" t="e">
        <f>'All regions'!B3312+"$F;@!&amp;so"</f>
        <v>#VALUE!</v>
      </c>
      <c r="DX120" t="e">
        <f>'All regions'!C3312+"$F;@!&amp;sp"</f>
        <v>#VALUE!</v>
      </c>
      <c r="DY120" t="e">
        <f>'All regions'!D3312+"$F;@!&amp;sq"</f>
        <v>#VALUE!</v>
      </c>
      <c r="DZ120" t="e">
        <f>'All regions'!E3312+"$F;@!&amp;sr"</f>
        <v>#VALUE!</v>
      </c>
      <c r="EA120" t="e">
        <f>'All regions'!F3312+"$F;@!&amp;ss"</f>
        <v>#VALUE!</v>
      </c>
      <c r="EB120" t="e">
        <f>'All regions'!G3312+"$F;@!&amp;st"</f>
        <v>#VALUE!</v>
      </c>
      <c r="EC120" t="e">
        <f>'All regions'!H3312+"$F;@!&amp;su"</f>
        <v>#VALUE!</v>
      </c>
      <c r="ED120" t="e">
        <f>'All regions'!I3312+"$F;@!&amp;sv"</f>
        <v>#VALUE!</v>
      </c>
      <c r="EE120" t="e">
        <f>'All regions'!A3313+"$F;@!&amp;sw"</f>
        <v>#VALUE!</v>
      </c>
      <c r="EF120" t="e">
        <f>'All regions'!B3313+"$F;@!&amp;sx"</f>
        <v>#VALUE!</v>
      </c>
      <c r="EG120" t="e">
        <f>'All regions'!C3313+"$F;@!&amp;sy"</f>
        <v>#VALUE!</v>
      </c>
      <c r="EH120" t="e">
        <f>'All regions'!D3313+"$F;@!&amp;sz"</f>
        <v>#VALUE!</v>
      </c>
      <c r="EI120" t="e">
        <f>'All regions'!E3313+"$F;@!&amp;s{"</f>
        <v>#VALUE!</v>
      </c>
      <c r="EJ120" t="e">
        <f>'All regions'!F3313+"$F;@!&amp;s|"</f>
        <v>#VALUE!</v>
      </c>
      <c r="EK120" t="e">
        <f>'All regions'!G3313+"$F;@!&amp;s}"</f>
        <v>#VALUE!</v>
      </c>
      <c r="EL120" t="e">
        <f>'All regions'!H3313+"$F;@!&amp;s~"</f>
        <v>#VALUE!</v>
      </c>
      <c r="EM120" t="e">
        <f>'All regions'!I3313+"$F;@!&amp;t#"</f>
        <v>#VALUE!</v>
      </c>
      <c r="EN120" t="e">
        <f>'All regions'!A3314+"$F;@!&amp;t$"</f>
        <v>#VALUE!</v>
      </c>
      <c r="EO120" t="e">
        <f>'All regions'!B3314+"$F;@!&amp;t%"</f>
        <v>#VALUE!</v>
      </c>
      <c r="EP120" t="e">
        <f>'All regions'!C3314+"$F;@!&amp;t&amp;"</f>
        <v>#VALUE!</v>
      </c>
      <c r="EQ120" t="e">
        <f>'All regions'!D3314+"$F;@!&amp;t'"</f>
        <v>#VALUE!</v>
      </c>
      <c r="ER120" t="e">
        <f>'All regions'!E3314+"$F;@!&amp;t("</f>
        <v>#VALUE!</v>
      </c>
      <c r="ES120" t="e">
        <f>'All regions'!F3314+"$F;@!&amp;t)"</f>
        <v>#VALUE!</v>
      </c>
      <c r="ET120" t="e">
        <f>'All regions'!G3314+"$F;@!&amp;t."</f>
        <v>#VALUE!</v>
      </c>
      <c r="EU120" t="e">
        <f>'All regions'!H3314+"$F;@!&amp;t/"</f>
        <v>#VALUE!</v>
      </c>
      <c r="EV120" t="e">
        <f>'All regions'!I3314+"$F;@!&amp;t0"</f>
        <v>#VALUE!</v>
      </c>
      <c r="EW120" t="e">
        <f>'All regions'!A3315+"$F;@!&amp;t1"</f>
        <v>#VALUE!</v>
      </c>
      <c r="EX120" t="e">
        <f>'All regions'!B3315+"$F;@!&amp;t2"</f>
        <v>#VALUE!</v>
      </c>
      <c r="EY120" t="e">
        <f>'All regions'!C3315+"$F;@!&amp;t3"</f>
        <v>#VALUE!</v>
      </c>
      <c r="EZ120" t="e">
        <f>'All regions'!D3315+"$F;@!&amp;t4"</f>
        <v>#VALUE!</v>
      </c>
      <c r="FA120" t="e">
        <f>'All regions'!E3315+"$F;@!&amp;t5"</f>
        <v>#VALUE!</v>
      </c>
      <c r="FB120" t="e">
        <f>'All regions'!F3315+"$F;@!&amp;t6"</f>
        <v>#VALUE!</v>
      </c>
      <c r="FC120" t="e">
        <f>'All regions'!G3315+"$F;@!&amp;t7"</f>
        <v>#VALUE!</v>
      </c>
      <c r="FD120" t="e">
        <f>'All regions'!H3315+"$F;@!&amp;t8"</f>
        <v>#VALUE!</v>
      </c>
      <c r="FE120" t="e">
        <f>'All regions'!I3315+"$F;@!&amp;t9"</f>
        <v>#VALUE!</v>
      </c>
      <c r="FF120" t="e">
        <f>'All regions'!A3316+"$F;@!&amp;t:"</f>
        <v>#VALUE!</v>
      </c>
      <c r="FG120" t="e">
        <f>'All regions'!B3316+"$F;@!&amp;t;"</f>
        <v>#VALUE!</v>
      </c>
      <c r="FH120" t="e">
        <f>'All regions'!C3316+"$F;@!&amp;t&lt;"</f>
        <v>#VALUE!</v>
      </c>
      <c r="FI120" t="e">
        <f>'All regions'!D3316+"$F;@!&amp;t="</f>
        <v>#VALUE!</v>
      </c>
      <c r="FJ120" t="e">
        <f>'All regions'!E3316+"$F;@!&amp;t&gt;"</f>
        <v>#VALUE!</v>
      </c>
      <c r="FK120" t="e">
        <f>'All regions'!F3316+"$F;@!&amp;t?"</f>
        <v>#VALUE!</v>
      </c>
      <c r="FL120" t="e">
        <f>'All regions'!G3316+"$F;@!&amp;t@"</f>
        <v>#VALUE!</v>
      </c>
      <c r="FM120" t="e">
        <f>'All regions'!H3316+"$F;@!&amp;tA"</f>
        <v>#VALUE!</v>
      </c>
      <c r="FN120" t="e">
        <f>'All regions'!I3316+"$F;@!&amp;tB"</f>
        <v>#VALUE!</v>
      </c>
      <c r="FO120" t="e">
        <f>'All regions'!A3317+"$F;@!&amp;tC"</f>
        <v>#VALUE!</v>
      </c>
      <c r="FP120" t="e">
        <f>'All regions'!B3317+"$F;@!&amp;tD"</f>
        <v>#VALUE!</v>
      </c>
      <c r="FQ120" t="e">
        <f>'All regions'!C3317+"$F;@!&amp;tE"</f>
        <v>#VALUE!</v>
      </c>
      <c r="FR120" t="e">
        <f>'All regions'!D3317+"$F;@!&amp;tF"</f>
        <v>#VALUE!</v>
      </c>
      <c r="FS120" t="e">
        <f>'All regions'!E3317+"$F;@!&amp;tG"</f>
        <v>#VALUE!</v>
      </c>
      <c r="FT120" t="e">
        <f>'All regions'!F3317+"$F;@!&amp;tH"</f>
        <v>#VALUE!</v>
      </c>
      <c r="FU120" t="e">
        <f>'All regions'!G3317+"$F;@!&amp;tI"</f>
        <v>#VALUE!</v>
      </c>
      <c r="FV120" t="e">
        <f>'All regions'!H3317+"$F;@!&amp;tJ"</f>
        <v>#VALUE!</v>
      </c>
      <c r="FW120" t="e">
        <f>'All regions'!I3317+"$F;@!&amp;tK"</f>
        <v>#VALUE!</v>
      </c>
      <c r="FX120" t="e">
        <f>'All regions'!A3318+"$F;@!&amp;tL"</f>
        <v>#VALUE!</v>
      </c>
      <c r="FY120" t="e">
        <f>'All regions'!B3318+"$F;@!&amp;tM"</f>
        <v>#VALUE!</v>
      </c>
      <c r="FZ120" t="e">
        <f>'All regions'!C3318+"$F;@!&amp;tN"</f>
        <v>#VALUE!</v>
      </c>
      <c r="GA120" t="e">
        <f>'All regions'!D3318+"$F;@!&amp;tO"</f>
        <v>#VALUE!</v>
      </c>
      <c r="GB120" t="e">
        <f>'All regions'!E3318+"$F;@!&amp;tP"</f>
        <v>#VALUE!</v>
      </c>
      <c r="GC120" t="e">
        <f>'All regions'!F3318+"$F;@!&amp;tQ"</f>
        <v>#VALUE!</v>
      </c>
      <c r="GD120" t="e">
        <f>'All regions'!G3318+"$F;@!&amp;tR"</f>
        <v>#VALUE!</v>
      </c>
      <c r="GE120" t="e">
        <f>'All regions'!H3318+"$F;@!&amp;tS"</f>
        <v>#VALUE!</v>
      </c>
      <c r="GF120" t="e">
        <f>'All regions'!I3318+"$F;@!&amp;tT"</f>
        <v>#VALUE!</v>
      </c>
      <c r="GG120" t="e">
        <f>'All regions'!A3319+"$F;@!&amp;tU"</f>
        <v>#VALUE!</v>
      </c>
      <c r="GH120" t="e">
        <f>'All regions'!B3319+"$F;@!&amp;tV"</f>
        <v>#VALUE!</v>
      </c>
      <c r="GI120" t="e">
        <f>'All regions'!C3319+"$F;@!&amp;tW"</f>
        <v>#VALUE!</v>
      </c>
      <c r="GJ120" t="e">
        <f>'All regions'!D3319+"$F;@!&amp;tX"</f>
        <v>#VALUE!</v>
      </c>
      <c r="GK120" t="e">
        <f>'All regions'!E3319+"$F;@!&amp;tY"</f>
        <v>#VALUE!</v>
      </c>
      <c r="GL120" t="e">
        <f>'All regions'!F3319+"$F;@!&amp;tZ"</f>
        <v>#VALUE!</v>
      </c>
      <c r="GM120" t="e">
        <f>'All regions'!G3319+"$F;@!&amp;t["</f>
        <v>#VALUE!</v>
      </c>
      <c r="GN120" t="e">
        <f>'All regions'!H3319+"$F;@!&amp;t\"</f>
        <v>#VALUE!</v>
      </c>
      <c r="GO120" t="e">
        <f>'All regions'!I3319+"$F;@!&amp;t]"</f>
        <v>#VALUE!</v>
      </c>
      <c r="GP120" t="e">
        <f>'All regions'!A3320+"$F;@!&amp;t^"</f>
        <v>#VALUE!</v>
      </c>
      <c r="GQ120" t="e">
        <f>'All regions'!B3320+"$F;@!&amp;t_"</f>
        <v>#VALUE!</v>
      </c>
      <c r="GR120" t="e">
        <f>'All regions'!C3320+"$F;@!&amp;t`"</f>
        <v>#VALUE!</v>
      </c>
      <c r="GS120" t="e">
        <f>'All regions'!D3320+"$F;@!&amp;ta"</f>
        <v>#VALUE!</v>
      </c>
      <c r="GT120" t="e">
        <f>'All regions'!E3320+"$F;@!&amp;tb"</f>
        <v>#VALUE!</v>
      </c>
      <c r="GU120" t="e">
        <f>'All regions'!F3320+"$F;@!&amp;tc"</f>
        <v>#VALUE!</v>
      </c>
      <c r="GV120" t="e">
        <f>'All regions'!G3320+"$F;@!&amp;td"</f>
        <v>#VALUE!</v>
      </c>
      <c r="GW120" t="e">
        <f>'All regions'!H3320+"$F;@!&amp;te"</f>
        <v>#VALUE!</v>
      </c>
      <c r="GX120" t="e">
        <f>'All regions'!I3320+"$F;@!&amp;tf"</f>
        <v>#VALUE!</v>
      </c>
      <c r="GY120" t="e">
        <f>'All regions'!A3321+"$F;@!&amp;tg"</f>
        <v>#VALUE!</v>
      </c>
      <c r="GZ120" t="e">
        <f>'All regions'!B3321+"$F;@!&amp;th"</f>
        <v>#VALUE!</v>
      </c>
      <c r="HA120" t="e">
        <f>'All regions'!C3321+"$F;@!&amp;ti"</f>
        <v>#VALUE!</v>
      </c>
      <c r="HB120" t="e">
        <f>'All regions'!D3321+"$F;@!&amp;tj"</f>
        <v>#VALUE!</v>
      </c>
      <c r="HC120" t="e">
        <f>'All regions'!E3321+"$F;@!&amp;tk"</f>
        <v>#VALUE!</v>
      </c>
      <c r="HD120" t="e">
        <f>'All regions'!F3321+"$F;@!&amp;tl"</f>
        <v>#VALUE!</v>
      </c>
      <c r="HE120" t="e">
        <f>'All regions'!G3321+"$F;@!&amp;tm"</f>
        <v>#VALUE!</v>
      </c>
      <c r="HF120" t="e">
        <f>'All regions'!H3321+"$F;@!&amp;tn"</f>
        <v>#VALUE!</v>
      </c>
      <c r="HG120" t="e">
        <f>'All regions'!I3321+"$F;@!&amp;to"</f>
        <v>#VALUE!</v>
      </c>
      <c r="HH120" t="e">
        <f>'All regions'!A3322+"$F;@!&amp;tp"</f>
        <v>#VALUE!</v>
      </c>
      <c r="HI120" t="e">
        <f>'All regions'!B3322+"$F;@!&amp;tq"</f>
        <v>#VALUE!</v>
      </c>
      <c r="HJ120" t="e">
        <f>'All regions'!C3322+"$F;@!&amp;tr"</f>
        <v>#VALUE!</v>
      </c>
      <c r="HK120" t="e">
        <f>'All regions'!D3322+"$F;@!&amp;ts"</f>
        <v>#VALUE!</v>
      </c>
      <c r="HL120" t="e">
        <f>'All regions'!E3322+"$F;@!&amp;tt"</f>
        <v>#VALUE!</v>
      </c>
      <c r="HM120" t="e">
        <f>'All regions'!F3322+"$F;@!&amp;tu"</f>
        <v>#VALUE!</v>
      </c>
      <c r="HN120" t="e">
        <f>'All regions'!G3322+"$F;@!&amp;tv"</f>
        <v>#VALUE!</v>
      </c>
      <c r="HO120" t="e">
        <f>'All regions'!H3322+"$F;@!&amp;tw"</f>
        <v>#VALUE!</v>
      </c>
      <c r="HP120" t="e">
        <f>'All regions'!I3322+"$F;@!&amp;tx"</f>
        <v>#VALUE!</v>
      </c>
      <c r="HQ120" t="e">
        <f>'All regions'!A3323+"$F;@!&amp;ty"</f>
        <v>#VALUE!</v>
      </c>
      <c r="HR120" t="e">
        <f>'All regions'!B3323+"$F;@!&amp;tz"</f>
        <v>#VALUE!</v>
      </c>
      <c r="HS120" t="e">
        <f>'All regions'!C3323+"$F;@!&amp;t{"</f>
        <v>#VALUE!</v>
      </c>
      <c r="HT120" t="e">
        <f>'All regions'!D3323+"$F;@!&amp;t|"</f>
        <v>#VALUE!</v>
      </c>
      <c r="HU120" t="e">
        <f>'All regions'!E3323+"$F;@!&amp;t}"</f>
        <v>#VALUE!</v>
      </c>
      <c r="HV120" t="e">
        <f>'All regions'!F3323+"$F;@!&amp;t~"</f>
        <v>#VALUE!</v>
      </c>
      <c r="HW120" t="e">
        <f>'All regions'!G3323+"$F;@!&amp;u#"</f>
        <v>#VALUE!</v>
      </c>
      <c r="HX120" t="e">
        <f>'All regions'!H3323+"$F;@!&amp;u$"</f>
        <v>#VALUE!</v>
      </c>
      <c r="HY120" t="e">
        <f>'All regions'!I3323+"$F;@!&amp;u%"</f>
        <v>#VALUE!</v>
      </c>
      <c r="HZ120" t="e">
        <f>'All regions'!A3324+"$F;@!&amp;u&amp;"</f>
        <v>#VALUE!</v>
      </c>
      <c r="IA120" t="e">
        <f>'All regions'!B3324+"$F;@!&amp;u'"</f>
        <v>#VALUE!</v>
      </c>
      <c r="IB120" t="e">
        <f>'All regions'!C3324+"$F;@!&amp;u("</f>
        <v>#VALUE!</v>
      </c>
      <c r="IC120" t="e">
        <f>'All regions'!D3324+"$F;@!&amp;u)"</f>
        <v>#VALUE!</v>
      </c>
      <c r="ID120" t="e">
        <f>'All regions'!E3324+"$F;@!&amp;u."</f>
        <v>#VALUE!</v>
      </c>
      <c r="IE120" t="e">
        <f>'All regions'!F3324+"$F;@!&amp;u/"</f>
        <v>#VALUE!</v>
      </c>
      <c r="IF120" t="e">
        <f>'All regions'!G3324+"$F;@!&amp;u0"</f>
        <v>#VALUE!</v>
      </c>
      <c r="IG120" t="e">
        <f>'All regions'!H3324+"$F;@!&amp;u1"</f>
        <v>#VALUE!</v>
      </c>
      <c r="IH120" t="e">
        <f>'All regions'!I3324+"$F;@!&amp;u2"</f>
        <v>#VALUE!</v>
      </c>
      <c r="II120" t="e">
        <f>'All regions'!A3325+"$F;@!&amp;u3"</f>
        <v>#VALUE!</v>
      </c>
      <c r="IJ120" t="e">
        <f>'All regions'!B3325+"$F;@!&amp;u4"</f>
        <v>#VALUE!</v>
      </c>
      <c r="IK120" t="e">
        <f>'All regions'!C3325+"$F;@!&amp;u5"</f>
        <v>#VALUE!</v>
      </c>
      <c r="IL120" t="e">
        <f>'All regions'!D3325+"$F;@!&amp;u6"</f>
        <v>#VALUE!</v>
      </c>
      <c r="IM120" t="e">
        <f>'All regions'!E3325+"$F;@!&amp;u7"</f>
        <v>#VALUE!</v>
      </c>
      <c r="IN120" t="e">
        <f>'All regions'!F3325+"$F;@!&amp;u8"</f>
        <v>#VALUE!</v>
      </c>
      <c r="IO120" t="e">
        <f>'All regions'!G3325+"$F;@!&amp;u9"</f>
        <v>#VALUE!</v>
      </c>
      <c r="IP120" t="e">
        <f>'All regions'!H3325+"$F;@!&amp;u:"</f>
        <v>#VALUE!</v>
      </c>
      <c r="IQ120" t="e">
        <f>'All regions'!I3325+"$F;@!&amp;u;"</f>
        <v>#VALUE!</v>
      </c>
      <c r="IR120" t="e">
        <f>'All regions'!A3326+"$F;@!&amp;u&lt;"</f>
        <v>#VALUE!</v>
      </c>
      <c r="IS120" t="e">
        <f>'All regions'!B3326+"$F;@!&amp;u="</f>
        <v>#VALUE!</v>
      </c>
      <c r="IT120" t="e">
        <f>'All regions'!C3326+"$F;@!&amp;u&gt;"</f>
        <v>#VALUE!</v>
      </c>
      <c r="IU120" t="e">
        <f>'All regions'!D3326+"$F;@!&amp;u?"</f>
        <v>#VALUE!</v>
      </c>
      <c r="IV120" t="e">
        <f>'All regions'!E3326+"$F;@!&amp;u@"</f>
        <v>#VALUE!</v>
      </c>
    </row>
    <row r="121" spans="6:256" x14ac:dyDescent="0.35">
      <c r="F121" t="e">
        <f>'All regions'!F3326+"$F;@!&amp;uA"</f>
        <v>#VALUE!</v>
      </c>
      <c r="G121" t="e">
        <f>'All regions'!G3326+"$F;@!&amp;uB"</f>
        <v>#VALUE!</v>
      </c>
      <c r="H121" t="e">
        <f>'All regions'!H3326+"$F;@!&amp;uC"</f>
        <v>#VALUE!</v>
      </c>
      <c r="I121" t="e">
        <f>'All regions'!I3326+"$F;@!&amp;uD"</f>
        <v>#VALUE!</v>
      </c>
      <c r="J121" t="e">
        <f>'All regions'!A3327+"$F;@!&amp;uE"</f>
        <v>#VALUE!</v>
      </c>
      <c r="K121" t="e">
        <f>'All regions'!B3327+"$F;@!&amp;uF"</f>
        <v>#VALUE!</v>
      </c>
      <c r="L121" t="e">
        <f>'All regions'!C3327+"$F;@!&amp;uG"</f>
        <v>#VALUE!</v>
      </c>
      <c r="M121" t="e">
        <f>'All regions'!D3327+"$F;@!&amp;uH"</f>
        <v>#VALUE!</v>
      </c>
      <c r="N121" t="e">
        <f>'All regions'!E3327+"$F;@!&amp;uI"</f>
        <v>#VALUE!</v>
      </c>
      <c r="O121" t="e">
        <f>'All regions'!F3327+"$F;@!&amp;uJ"</f>
        <v>#VALUE!</v>
      </c>
      <c r="P121" t="e">
        <f>'All regions'!G3327+"$F;@!&amp;uK"</f>
        <v>#VALUE!</v>
      </c>
      <c r="Q121" t="e">
        <f>'All regions'!H3327+"$F;@!&amp;uL"</f>
        <v>#VALUE!</v>
      </c>
      <c r="R121" t="e">
        <f>'All regions'!I3327+"$F;@!&amp;uM"</f>
        <v>#VALUE!</v>
      </c>
      <c r="S121" t="e">
        <f>'All regions'!A3328+"$F;@!&amp;uN"</f>
        <v>#VALUE!</v>
      </c>
      <c r="T121" t="e">
        <f>'All regions'!B3328+"$F;@!&amp;uO"</f>
        <v>#VALUE!</v>
      </c>
      <c r="U121" t="e">
        <f>'All regions'!C3328+"$F;@!&amp;uP"</f>
        <v>#VALUE!</v>
      </c>
      <c r="V121" t="e">
        <f>'All regions'!D3328+"$F;@!&amp;uQ"</f>
        <v>#VALUE!</v>
      </c>
      <c r="W121" t="e">
        <f>'All regions'!E3328+"$F;@!&amp;uR"</f>
        <v>#VALUE!</v>
      </c>
      <c r="X121" t="e">
        <f>'All regions'!F3328+"$F;@!&amp;uS"</f>
        <v>#VALUE!</v>
      </c>
      <c r="Y121" t="e">
        <f>'All regions'!G3328+"$F;@!&amp;uT"</f>
        <v>#VALUE!</v>
      </c>
      <c r="Z121" t="e">
        <f>'All regions'!H3328+"$F;@!&amp;uU"</f>
        <v>#VALUE!</v>
      </c>
      <c r="AA121" t="e">
        <f>'All regions'!I3328+"$F;@!&amp;uV"</f>
        <v>#VALUE!</v>
      </c>
      <c r="AB121" t="e">
        <f>'All regions'!A3329+"$F;@!&amp;uW"</f>
        <v>#VALUE!</v>
      </c>
      <c r="AC121" t="e">
        <f>'All regions'!B3329+"$F;@!&amp;uX"</f>
        <v>#VALUE!</v>
      </c>
      <c r="AD121" t="e">
        <f>'All regions'!C3329+"$F;@!&amp;uY"</f>
        <v>#VALUE!</v>
      </c>
      <c r="AE121" t="e">
        <f>'All regions'!D3329+"$F;@!&amp;uZ"</f>
        <v>#VALUE!</v>
      </c>
      <c r="AF121" t="e">
        <f>'All regions'!E3329+"$F;@!&amp;u["</f>
        <v>#VALUE!</v>
      </c>
      <c r="AG121" t="e">
        <f>'All regions'!F3329+"$F;@!&amp;u\"</f>
        <v>#VALUE!</v>
      </c>
      <c r="AH121" t="e">
        <f>'All regions'!G3329+"$F;@!&amp;u]"</f>
        <v>#VALUE!</v>
      </c>
      <c r="AI121" t="e">
        <f>'All regions'!H3329+"$F;@!&amp;u^"</f>
        <v>#VALUE!</v>
      </c>
      <c r="AJ121" t="e">
        <f>'All regions'!I3329+"$F;@!&amp;u_"</f>
        <v>#VALUE!</v>
      </c>
      <c r="AK121" t="e">
        <f>'All regions'!A3330+"$F;@!&amp;u`"</f>
        <v>#VALUE!</v>
      </c>
      <c r="AL121" t="e">
        <f>'All regions'!B3330+"$F;@!&amp;ua"</f>
        <v>#VALUE!</v>
      </c>
      <c r="AM121" t="e">
        <f>'All regions'!C3330+"$F;@!&amp;ub"</f>
        <v>#VALUE!</v>
      </c>
      <c r="AN121" t="e">
        <f>'All regions'!D3330+"$F;@!&amp;uc"</f>
        <v>#VALUE!</v>
      </c>
      <c r="AO121" t="e">
        <f>'All regions'!E3330+"$F;@!&amp;ud"</f>
        <v>#VALUE!</v>
      </c>
      <c r="AP121" t="e">
        <f>'All regions'!F3330+"$F;@!&amp;ue"</f>
        <v>#VALUE!</v>
      </c>
      <c r="AQ121" t="e">
        <f>'All regions'!G3330+"$F;@!&amp;uf"</f>
        <v>#VALUE!</v>
      </c>
      <c r="AR121" t="e">
        <f>'All regions'!H3330+"$F;@!&amp;ug"</f>
        <v>#VALUE!</v>
      </c>
      <c r="AS121" t="e">
        <f>'All regions'!I3330+"$F;@!&amp;uh"</f>
        <v>#VALUE!</v>
      </c>
      <c r="AT121" t="e">
        <f>'All regions'!A3331+"$F;@!&amp;ui"</f>
        <v>#VALUE!</v>
      </c>
      <c r="AU121" t="e">
        <f>'All regions'!B3331+"$F;@!&amp;uj"</f>
        <v>#VALUE!</v>
      </c>
      <c r="AV121" t="e">
        <f>'All regions'!C3331+"$F;@!&amp;uk"</f>
        <v>#VALUE!</v>
      </c>
      <c r="AW121" t="e">
        <f>'All regions'!D3331+"$F;@!&amp;ul"</f>
        <v>#VALUE!</v>
      </c>
      <c r="AX121" t="e">
        <f>'All regions'!E3331+"$F;@!&amp;um"</f>
        <v>#VALUE!</v>
      </c>
      <c r="AY121" t="e">
        <f>'All regions'!F3331+"$F;@!&amp;un"</f>
        <v>#VALUE!</v>
      </c>
      <c r="AZ121" t="e">
        <f>'All regions'!G3331+"$F;@!&amp;uo"</f>
        <v>#VALUE!</v>
      </c>
      <c r="BA121" t="e">
        <f>'All regions'!H3331+"$F;@!&amp;up"</f>
        <v>#VALUE!</v>
      </c>
      <c r="BB121" t="e">
        <f>'All regions'!I3331+"$F;@!&amp;uq"</f>
        <v>#VALUE!</v>
      </c>
      <c r="BC121" t="e">
        <f>'All regions'!A3332+"$F;@!&amp;ur"</f>
        <v>#VALUE!</v>
      </c>
      <c r="BD121" t="e">
        <f>'All regions'!B3332+"$F;@!&amp;us"</f>
        <v>#VALUE!</v>
      </c>
      <c r="BE121" t="e">
        <f>'All regions'!C3332+"$F;@!&amp;ut"</f>
        <v>#VALUE!</v>
      </c>
      <c r="BF121" t="e">
        <f>'All regions'!D3332+"$F;@!&amp;uu"</f>
        <v>#VALUE!</v>
      </c>
      <c r="BG121" t="e">
        <f>'All regions'!E3332+"$F;@!&amp;uv"</f>
        <v>#VALUE!</v>
      </c>
      <c r="BH121" t="e">
        <f>'All regions'!F3332+"$F;@!&amp;uw"</f>
        <v>#VALUE!</v>
      </c>
      <c r="BI121" t="e">
        <f>'All regions'!G3332+"$F;@!&amp;ux"</f>
        <v>#VALUE!</v>
      </c>
      <c r="BJ121" t="e">
        <f>'All regions'!H3332+"$F;@!&amp;uy"</f>
        <v>#VALUE!</v>
      </c>
      <c r="BK121" t="e">
        <f>'All regions'!I3332+"$F;@!&amp;uz"</f>
        <v>#VALUE!</v>
      </c>
      <c r="BL121" t="e">
        <f>'All regions'!A3333+"$F;@!&amp;u{"</f>
        <v>#VALUE!</v>
      </c>
      <c r="BM121" t="e">
        <f>'All regions'!B3333+"$F;@!&amp;u|"</f>
        <v>#VALUE!</v>
      </c>
      <c r="BN121" t="e">
        <f>'All regions'!C3333+"$F;@!&amp;u}"</f>
        <v>#VALUE!</v>
      </c>
      <c r="BO121" t="e">
        <f>'All regions'!D3333+"$F;@!&amp;u~"</f>
        <v>#VALUE!</v>
      </c>
      <c r="BP121" t="e">
        <f>'All regions'!E3333+"$F;@!&amp;v#"</f>
        <v>#VALUE!</v>
      </c>
      <c r="BQ121" t="e">
        <f>'All regions'!F3333+"$F;@!&amp;v$"</f>
        <v>#VALUE!</v>
      </c>
      <c r="BR121" t="e">
        <f>'All regions'!G3333+"$F;@!&amp;v%"</f>
        <v>#VALUE!</v>
      </c>
      <c r="BS121" t="e">
        <f>'All regions'!H3333+"$F;@!&amp;v&amp;"</f>
        <v>#VALUE!</v>
      </c>
      <c r="BT121" t="e">
        <f>'All regions'!I3333+"$F;@!&amp;v'"</f>
        <v>#VALUE!</v>
      </c>
      <c r="BU121" t="e">
        <f>'All regions'!A3334+"$F;@!&amp;v("</f>
        <v>#VALUE!</v>
      </c>
      <c r="BV121" t="e">
        <f>'All regions'!B3334+"$F;@!&amp;v)"</f>
        <v>#VALUE!</v>
      </c>
      <c r="BW121" t="e">
        <f>'All regions'!C3334+"$F;@!&amp;v."</f>
        <v>#VALUE!</v>
      </c>
      <c r="BX121" t="e">
        <f>'All regions'!D3334+"$F;@!&amp;v/"</f>
        <v>#VALUE!</v>
      </c>
      <c r="BY121" t="e">
        <f>'All regions'!E3334+"$F;@!&amp;v0"</f>
        <v>#VALUE!</v>
      </c>
      <c r="BZ121" t="e">
        <f>'All regions'!F3334+"$F;@!&amp;v1"</f>
        <v>#VALUE!</v>
      </c>
      <c r="CA121" t="e">
        <f>'All regions'!G3334+"$F;@!&amp;v2"</f>
        <v>#VALUE!</v>
      </c>
      <c r="CB121" t="e">
        <f>'All regions'!H3334+"$F;@!&amp;v3"</f>
        <v>#VALUE!</v>
      </c>
      <c r="CC121" t="e">
        <f>'All regions'!I3334+"$F;@!&amp;v4"</f>
        <v>#VALUE!</v>
      </c>
      <c r="CD121" t="e">
        <f>'All regions'!A3335+"$F;@!&amp;v5"</f>
        <v>#VALUE!</v>
      </c>
      <c r="CE121" t="e">
        <f>'All regions'!B3335+"$F;@!&amp;v6"</f>
        <v>#VALUE!</v>
      </c>
      <c r="CF121" t="e">
        <f>'All regions'!C3335+"$F;@!&amp;v7"</f>
        <v>#VALUE!</v>
      </c>
      <c r="CG121" t="e">
        <f>'All regions'!D3335+"$F;@!&amp;v8"</f>
        <v>#VALUE!</v>
      </c>
      <c r="CH121" t="e">
        <f>'All regions'!E3335+"$F;@!&amp;v9"</f>
        <v>#VALUE!</v>
      </c>
      <c r="CI121" t="e">
        <f>'All regions'!F3335+"$F;@!&amp;v:"</f>
        <v>#VALUE!</v>
      </c>
      <c r="CJ121" t="e">
        <f>'All regions'!G3335+"$F;@!&amp;v;"</f>
        <v>#VALUE!</v>
      </c>
      <c r="CK121" t="e">
        <f>'All regions'!H3335+"$F;@!&amp;v&lt;"</f>
        <v>#VALUE!</v>
      </c>
      <c r="CL121" t="e">
        <f>'All regions'!I3335+"$F;@!&amp;v="</f>
        <v>#VALUE!</v>
      </c>
      <c r="CM121" t="e">
        <f>'All regions'!A3336+"$F;@!&amp;v&gt;"</f>
        <v>#VALUE!</v>
      </c>
      <c r="CN121" t="e">
        <f>'All regions'!B3336+"$F;@!&amp;v?"</f>
        <v>#VALUE!</v>
      </c>
      <c r="CO121" t="e">
        <f>'All regions'!C3336+"$F;@!&amp;v@"</f>
        <v>#VALUE!</v>
      </c>
      <c r="CP121" t="e">
        <f>'All regions'!D3336+"$F;@!&amp;vA"</f>
        <v>#VALUE!</v>
      </c>
      <c r="CQ121" t="e">
        <f>'All regions'!E3336+"$F;@!&amp;vB"</f>
        <v>#VALUE!</v>
      </c>
      <c r="CR121" t="e">
        <f>'All regions'!F3336+"$F;@!&amp;vC"</f>
        <v>#VALUE!</v>
      </c>
      <c r="CS121" t="e">
        <f>'All regions'!G3336+"$F;@!&amp;vD"</f>
        <v>#VALUE!</v>
      </c>
      <c r="CT121" t="e">
        <f>'All regions'!H3336+"$F;@!&amp;vE"</f>
        <v>#VALUE!</v>
      </c>
      <c r="CU121" t="e">
        <f>'All regions'!I3336+"$F;@!&amp;vF"</f>
        <v>#VALUE!</v>
      </c>
      <c r="CV121" t="e">
        <f>'All regions'!A3337+"$F;@!&amp;vG"</f>
        <v>#VALUE!</v>
      </c>
      <c r="CW121" t="e">
        <f>'All regions'!B3337+"$F;@!&amp;vH"</f>
        <v>#VALUE!</v>
      </c>
      <c r="CX121" t="e">
        <f>'All regions'!C3337+"$F;@!&amp;vI"</f>
        <v>#VALUE!</v>
      </c>
      <c r="CY121" t="e">
        <f>'All regions'!D3337+"$F;@!&amp;vJ"</f>
        <v>#VALUE!</v>
      </c>
      <c r="CZ121" t="e">
        <f>'All regions'!E3337+"$F;@!&amp;vK"</f>
        <v>#VALUE!</v>
      </c>
      <c r="DA121" t="e">
        <f>'All regions'!F3337+"$F;@!&amp;vL"</f>
        <v>#VALUE!</v>
      </c>
      <c r="DB121" t="e">
        <f>'All regions'!G3337+"$F;@!&amp;vM"</f>
        <v>#VALUE!</v>
      </c>
      <c r="DC121" t="e">
        <f>'All regions'!H3337+"$F;@!&amp;vN"</f>
        <v>#VALUE!</v>
      </c>
      <c r="DD121" t="e">
        <f>'All regions'!I3337+"$F;@!&amp;vO"</f>
        <v>#VALUE!</v>
      </c>
      <c r="DE121" t="e">
        <f>'All regions'!A3338+"$F;@!&amp;vP"</f>
        <v>#VALUE!</v>
      </c>
      <c r="DF121" t="e">
        <f>'All regions'!B3338+"$F;@!&amp;vQ"</f>
        <v>#VALUE!</v>
      </c>
      <c r="DG121" t="e">
        <f>'All regions'!C3338+"$F;@!&amp;vR"</f>
        <v>#VALUE!</v>
      </c>
      <c r="DH121" t="e">
        <f>'All regions'!D3338+"$F;@!&amp;vS"</f>
        <v>#VALUE!</v>
      </c>
      <c r="DI121" t="e">
        <f>'All regions'!E3338+"$F;@!&amp;vT"</f>
        <v>#VALUE!</v>
      </c>
      <c r="DJ121" t="e">
        <f>'All regions'!F3338+"$F;@!&amp;vU"</f>
        <v>#VALUE!</v>
      </c>
      <c r="DK121" t="e">
        <f>'All regions'!G3338+"$F;@!&amp;vV"</f>
        <v>#VALUE!</v>
      </c>
      <c r="DL121" t="e">
        <f>'All regions'!H3338+"$F;@!&amp;vW"</f>
        <v>#VALUE!</v>
      </c>
      <c r="DM121" t="e">
        <f>'All regions'!I3338+"$F;@!&amp;vX"</f>
        <v>#VALUE!</v>
      </c>
      <c r="DN121" t="e">
        <f>'All regions'!A3339+"$F;@!&amp;vY"</f>
        <v>#VALUE!</v>
      </c>
      <c r="DO121" t="e">
        <f>'All regions'!B3339+"$F;@!&amp;vZ"</f>
        <v>#VALUE!</v>
      </c>
      <c r="DP121" t="e">
        <f>'All regions'!C3339+"$F;@!&amp;v["</f>
        <v>#VALUE!</v>
      </c>
      <c r="DQ121" t="e">
        <f>'All regions'!D3339+"$F;@!&amp;v\"</f>
        <v>#VALUE!</v>
      </c>
      <c r="DR121" t="e">
        <f>'All regions'!E3339+"$F;@!&amp;v]"</f>
        <v>#VALUE!</v>
      </c>
      <c r="DS121" t="e">
        <f>'All regions'!F3339+"$F;@!&amp;v^"</f>
        <v>#VALUE!</v>
      </c>
      <c r="DT121" t="e">
        <f>'All regions'!G3339+"$F;@!&amp;v_"</f>
        <v>#VALUE!</v>
      </c>
      <c r="DU121" t="e">
        <f>'All regions'!H3339+"$F;@!&amp;v`"</f>
        <v>#VALUE!</v>
      </c>
      <c r="DV121" t="e">
        <f>'All regions'!I3339+"$F;@!&amp;va"</f>
        <v>#VALUE!</v>
      </c>
      <c r="DW121" t="e">
        <f>'All regions'!A3340+"$F;@!&amp;vb"</f>
        <v>#VALUE!</v>
      </c>
      <c r="DX121" t="e">
        <f>'All regions'!B3340+"$F;@!&amp;vc"</f>
        <v>#VALUE!</v>
      </c>
      <c r="DY121" t="e">
        <f>'All regions'!C3340+"$F;@!&amp;vd"</f>
        <v>#VALUE!</v>
      </c>
      <c r="DZ121" t="e">
        <f>'All regions'!D3340+"$F;@!&amp;ve"</f>
        <v>#VALUE!</v>
      </c>
      <c r="EA121" t="e">
        <f>'All regions'!E3340+"$F;@!&amp;vf"</f>
        <v>#VALUE!</v>
      </c>
      <c r="EB121" t="e">
        <f>'All regions'!F3340+"$F;@!&amp;vg"</f>
        <v>#VALUE!</v>
      </c>
      <c r="EC121" t="e">
        <f>'All regions'!G3340+"$F;@!&amp;vh"</f>
        <v>#VALUE!</v>
      </c>
      <c r="ED121" t="e">
        <f>'All regions'!H3340+"$F;@!&amp;vi"</f>
        <v>#VALUE!</v>
      </c>
      <c r="EE121" t="e">
        <f>'All regions'!I3340+"$F;@!&amp;vj"</f>
        <v>#VALUE!</v>
      </c>
      <c r="EF121" t="e">
        <f>'All regions'!A3341+"$F;@!&amp;vk"</f>
        <v>#VALUE!</v>
      </c>
      <c r="EG121" t="e">
        <f>'All regions'!B3341+"$F;@!&amp;vl"</f>
        <v>#VALUE!</v>
      </c>
      <c r="EH121" t="e">
        <f>'All regions'!C3341+"$F;@!&amp;vm"</f>
        <v>#VALUE!</v>
      </c>
      <c r="EI121" t="e">
        <f>'All regions'!D3341+"$F;@!&amp;vn"</f>
        <v>#VALUE!</v>
      </c>
      <c r="EJ121" t="e">
        <f>'All regions'!E3341+"$F;@!&amp;vo"</f>
        <v>#VALUE!</v>
      </c>
      <c r="EK121" t="e">
        <f>'All regions'!F3341+"$F;@!&amp;vp"</f>
        <v>#VALUE!</v>
      </c>
      <c r="EL121" t="e">
        <f>'All regions'!G3341+"$F;@!&amp;vq"</f>
        <v>#VALUE!</v>
      </c>
      <c r="EM121" t="e">
        <f>'All regions'!H3341+"$F;@!&amp;vr"</f>
        <v>#VALUE!</v>
      </c>
      <c r="EN121" t="e">
        <f>'All regions'!I3341+"$F;@!&amp;vs"</f>
        <v>#VALUE!</v>
      </c>
      <c r="EO121" t="e">
        <f>'All regions'!A3342+"$F;@!&amp;vt"</f>
        <v>#VALUE!</v>
      </c>
      <c r="EP121" t="e">
        <f>'All regions'!B3342+"$F;@!&amp;vu"</f>
        <v>#VALUE!</v>
      </c>
      <c r="EQ121" t="e">
        <f>'All regions'!C3342+"$F;@!&amp;vv"</f>
        <v>#VALUE!</v>
      </c>
      <c r="ER121" t="e">
        <f>'All regions'!D3342+"$F;@!&amp;vw"</f>
        <v>#VALUE!</v>
      </c>
      <c r="ES121" t="e">
        <f>'All regions'!E3342+"$F;@!&amp;vx"</f>
        <v>#VALUE!</v>
      </c>
      <c r="ET121" t="e">
        <f>'All regions'!F3342+"$F;@!&amp;vy"</f>
        <v>#VALUE!</v>
      </c>
      <c r="EU121" t="e">
        <f>'All regions'!G3342+"$F;@!&amp;vz"</f>
        <v>#VALUE!</v>
      </c>
      <c r="EV121" t="e">
        <f>'All regions'!H3342+"$F;@!&amp;v{"</f>
        <v>#VALUE!</v>
      </c>
      <c r="EW121" t="e">
        <f>'All regions'!I3342+"$F;@!&amp;v|"</f>
        <v>#VALUE!</v>
      </c>
      <c r="EX121" t="e">
        <f>'All regions'!A3343+"$F;@!&amp;v}"</f>
        <v>#VALUE!</v>
      </c>
      <c r="EY121" t="e">
        <f>'All regions'!B3343+"$F;@!&amp;v~"</f>
        <v>#VALUE!</v>
      </c>
      <c r="EZ121" t="e">
        <f>'All regions'!C3343+"$F;@!&amp;w#"</f>
        <v>#VALUE!</v>
      </c>
      <c r="FA121" t="e">
        <f>'All regions'!D3343+"$F;@!&amp;w$"</f>
        <v>#VALUE!</v>
      </c>
      <c r="FB121" t="e">
        <f>'All regions'!E3343+"$F;@!&amp;w%"</f>
        <v>#VALUE!</v>
      </c>
      <c r="FC121" t="e">
        <f>'All regions'!F3343+"$F;@!&amp;w&amp;"</f>
        <v>#VALUE!</v>
      </c>
      <c r="FD121" t="e">
        <f>'All regions'!G3343+"$F;@!&amp;w'"</f>
        <v>#VALUE!</v>
      </c>
      <c r="FE121" t="e">
        <f>'All regions'!H3343+"$F;@!&amp;w("</f>
        <v>#VALUE!</v>
      </c>
      <c r="FF121" t="e">
        <f>'All regions'!I3343+"$F;@!&amp;w)"</f>
        <v>#VALUE!</v>
      </c>
      <c r="FG121" t="e">
        <f>'All regions'!A3344+"$F;@!&amp;w."</f>
        <v>#VALUE!</v>
      </c>
      <c r="FH121" t="e">
        <f>'All regions'!B3344+"$F;@!&amp;w/"</f>
        <v>#VALUE!</v>
      </c>
      <c r="FI121" t="e">
        <f>'All regions'!C3344+"$F;@!&amp;w0"</f>
        <v>#VALUE!</v>
      </c>
      <c r="FJ121" t="e">
        <f>'All regions'!D3344+"$F;@!&amp;w1"</f>
        <v>#VALUE!</v>
      </c>
      <c r="FK121" t="e">
        <f>'All regions'!E3344+"$F;@!&amp;w2"</f>
        <v>#VALUE!</v>
      </c>
      <c r="FL121" t="e">
        <f>'All regions'!F3344+"$F;@!&amp;w3"</f>
        <v>#VALUE!</v>
      </c>
      <c r="FM121" t="e">
        <f>'All regions'!G3344+"$F;@!&amp;w4"</f>
        <v>#VALUE!</v>
      </c>
      <c r="FN121" t="e">
        <f>'All regions'!H3344+"$F;@!&amp;w5"</f>
        <v>#VALUE!</v>
      </c>
      <c r="FO121" t="e">
        <f>'All regions'!I3344+"$F;@!&amp;w6"</f>
        <v>#VALUE!</v>
      </c>
      <c r="FP121" t="e">
        <f>'All regions'!A3345+"$F;@!&amp;w7"</f>
        <v>#VALUE!</v>
      </c>
      <c r="FQ121" t="e">
        <f>'All regions'!B3345+"$F;@!&amp;w8"</f>
        <v>#VALUE!</v>
      </c>
      <c r="FR121" t="e">
        <f>'All regions'!C3345+"$F;@!&amp;w9"</f>
        <v>#VALUE!</v>
      </c>
      <c r="FS121" t="e">
        <f>'All regions'!D3345+"$F;@!&amp;w:"</f>
        <v>#VALUE!</v>
      </c>
      <c r="FT121" t="e">
        <f>'All regions'!E3345+"$F;@!&amp;w;"</f>
        <v>#VALUE!</v>
      </c>
      <c r="FU121" t="e">
        <f>'All regions'!F3345+"$F;@!&amp;w&lt;"</f>
        <v>#VALUE!</v>
      </c>
      <c r="FV121" t="e">
        <f>'All regions'!G3345+"$F;@!&amp;w="</f>
        <v>#VALUE!</v>
      </c>
      <c r="FW121" t="e">
        <f>'All regions'!H3345+"$F;@!&amp;w&gt;"</f>
        <v>#VALUE!</v>
      </c>
      <c r="FX121" t="e">
        <f>'All regions'!I3345+"$F;@!&amp;w?"</f>
        <v>#VALUE!</v>
      </c>
      <c r="FY121" t="e">
        <f>'All regions'!A3346+"$F;@!&amp;w@"</f>
        <v>#VALUE!</v>
      </c>
      <c r="FZ121" t="e">
        <f>'All regions'!B3346+"$F;@!&amp;wA"</f>
        <v>#VALUE!</v>
      </c>
      <c r="GA121" t="e">
        <f>'All regions'!C3346+"$F;@!&amp;wB"</f>
        <v>#VALUE!</v>
      </c>
      <c r="GB121" t="e">
        <f>'All regions'!D3346+"$F;@!&amp;wC"</f>
        <v>#VALUE!</v>
      </c>
      <c r="GC121" t="e">
        <f>'All regions'!E3346+"$F;@!&amp;wD"</f>
        <v>#VALUE!</v>
      </c>
      <c r="GD121" t="e">
        <f>'All regions'!F3346+"$F;@!&amp;wE"</f>
        <v>#VALUE!</v>
      </c>
      <c r="GE121" t="e">
        <f>'All regions'!G3346+"$F;@!&amp;wF"</f>
        <v>#VALUE!</v>
      </c>
      <c r="GF121" t="e">
        <f>'All regions'!H3346+"$F;@!&amp;wG"</f>
        <v>#VALUE!</v>
      </c>
      <c r="GG121" t="e">
        <f>'All regions'!I3346+"$F;@!&amp;wH"</f>
        <v>#VALUE!</v>
      </c>
      <c r="GH121" t="e">
        <f>'All regions'!A3347+"$F;@!&amp;wI"</f>
        <v>#VALUE!</v>
      </c>
      <c r="GI121" t="e">
        <f>'All regions'!B3347+"$F;@!&amp;wJ"</f>
        <v>#VALUE!</v>
      </c>
      <c r="GJ121" t="e">
        <f>'All regions'!C3347+"$F;@!&amp;wK"</f>
        <v>#VALUE!</v>
      </c>
      <c r="GK121" t="e">
        <f>'All regions'!D3347+"$F;@!&amp;wL"</f>
        <v>#VALUE!</v>
      </c>
      <c r="GL121" t="e">
        <f>'All regions'!E3347+"$F;@!&amp;wM"</f>
        <v>#VALUE!</v>
      </c>
      <c r="GM121" t="e">
        <f>'All regions'!F3347+"$F;@!&amp;wN"</f>
        <v>#VALUE!</v>
      </c>
      <c r="GN121" t="e">
        <f>'All regions'!G3347+"$F;@!&amp;wO"</f>
        <v>#VALUE!</v>
      </c>
      <c r="GO121" t="e">
        <f>'All regions'!H3347+"$F;@!&amp;wP"</f>
        <v>#VALUE!</v>
      </c>
      <c r="GP121" t="e">
        <f>'All regions'!I3347+"$F;@!&amp;wQ"</f>
        <v>#VALUE!</v>
      </c>
      <c r="GQ121" t="e">
        <f>'All regions'!A3348+"$F;@!&amp;wR"</f>
        <v>#VALUE!</v>
      </c>
      <c r="GR121" t="e">
        <f>'All regions'!B3348+"$F;@!&amp;wS"</f>
        <v>#VALUE!</v>
      </c>
      <c r="GS121" t="e">
        <f>'All regions'!C3348+"$F;@!&amp;wT"</f>
        <v>#VALUE!</v>
      </c>
      <c r="GT121" t="e">
        <f>'All regions'!D3348+"$F;@!&amp;wU"</f>
        <v>#VALUE!</v>
      </c>
      <c r="GU121" t="e">
        <f>'All regions'!E3348+"$F;@!&amp;wV"</f>
        <v>#VALUE!</v>
      </c>
      <c r="GV121" t="e">
        <f>'All regions'!F3348+"$F;@!&amp;wW"</f>
        <v>#VALUE!</v>
      </c>
      <c r="GW121" t="e">
        <f>'All regions'!G3348+"$F;@!&amp;wX"</f>
        <v>#VALUE!</v>
      </c>
      <c r="GX121" t="e">
        <f>'All regions'!H3348+"$F;@!&amp;wY"</f>
        <v>#VALUE!</v>
      </c>
      <c r="GY121" t="e">
        <f>'All regions'!I3348+"$F;@!&amp;wZ"</f>
        <v>#VALUE!</v>
      </c>
      <c r="GZ121" t="e">
        <f>'All regions'!A3349+"$F;@!&amp;w["</f>
        <v>#VALUE!</v>
      </c>
      <c r="HA121" t="e">
        <f>'All regions'!B3349+"$F;@!&amp;w\"</f>
        <v>#VALUE!</v>
      </c>
      <c r="HB121" t="e">
        <f>'All regions'!C3349+"$F;@!&amp;w]"</f>
        <v>#VALUE!</v>
      </c>
      <c r="HC121" t="e">
        <f>'All regions'!D3349+"$F;@!&amp;w^"</f>
        <v>#VALUE!</v>
      </c>
      <c r="HD121" t="e">
        <f>'All regions'!E3349+"$F;@!&amp;w_"</f>
        <v>#VALUE!</v>
      </c>
      <c r="HE121" t="e">
        <f>'All regions'!F3349+"$F;@!&amp;w`"</f>
        <v>#VALUE!</v>
      </c>
      <c r="HF121" t="e">
        <f>'All regions'!G3349+"$F;@!&amp;wa"</f>
        <v>#VALUE!</v>
      </c>
      <c r="HG121" t="e">
        <f>'All regions'!H3349+"$F;@!&amp;wb"</f>
        <v>#VALUE!</v>
      </c>
      <c r="HH121" t="e">
        <f>'All regions'!I3349+"$F;@!&amp;wc"</f>
        <v>#VALUE!</v>
      </c>
      <c r="HI121" t="e">
        <f>'All regions'!A3350+"$F;@!&amp;wd"</f>
        <v>#VALUE!</v>
      </c>
      <c r="HJ121" t="e">
        <f>'All regions'!B3350+"$F;@!&amp;we"</f>
        <v>#VALUE!</v>
      </c>
      <c r="HK121" t="e">
        <f>'All regions'!C3350+"$F;@!&amp;wf"</f>
        <v>#VALUE!</v>
      </c>
      <c r="HL121" t="e">
        <f>'All regions'!D3350+"$F;@!&amp;wg"</f>
        <v>#VALUE!</v>
      </c>
      <c r="HM121" t="e">
        <f>'All regions'!E3350+"$F;@!&amp;wh"</f>
        <v>#VALUE!</v>
      </c>
      <c r="HN121" t="e">
        <f>'All regions'!F3350+"$F;@!&amp;wi"</f>
        <v>#VALUE!</v>
      </c>
      <c r="HO121" t="e">
        <f>'All regions'!G3350+"$F;@!&amp;wj"</f>
        <v>#VALUE!</v>
      </c>
      <c r="HP121" t="e">
        <f>'All regions'!H3350+"$F;@!&amp;wk"</f>
        <v>#VALUE!</v>
      </c>
      <c r="HQ121" t="e">
        <f>'All regions'!I3350+"$F;@!&amp;wl"</f>
        <v>#VALUE!</v>
      </c>
      <c r="HR121" t="e">
        <f>'All regions'!A3351+"$F;@!&amp;wm"</f>
        <v>#VALUE!</v>
      </c>
      <c r="HS121" t="e">
        <f>'All regions'!B3351+"$F;@!&amp;wn"</f>
        <v>#VALUE!</v>
      </c>
      <c r="HT121" t="e">
        <f>'All regions'!C3351+"$F;@!&amp;wo"</f>
        <v>#VALUE!</v>
      </c>
      <c r="HU121" t="e">
        <f>'All regions'!D3351+"$F;@!&amp;wp"</f>
        <v>#VALUE!</v>
      </c>
      <c r="HV121" t="e">
        <f>'All regions'!E3351+"$F;@!&amp;wq"</f>
        <v>#VALUE!</v>
      </c>
      <c r="HW121" t="e">
        <f>'All regions'!F3351+"$F;@!&amp;wr"</f>
        <v>#VALUE!</v>
      </c>
      <c r="HX121" t="e">
        <f>'All regions'!G3351+"$F;@!&amp;ws"</f>
        <v>#VALUE!</v>
      </c>
      <c r="HY121" t="e">
        <f>'All regions'!H3351+"$F;@!&amp;wt"</f>
        <v>#VALUE!</v>
      </c>
      <c r="HZ121" t="e">
        <f>'All regions'!I3351+"$F;@!&amp;wu"</f>
        <v>#VALUE!</v>
      </c>
      <c r="IA121" t="e">
        <f>'All regions'!A3352+"$F;@!&amp;wv"</f>
        <v>#VALUE!</v>
      </c>
      <c r="IB121" t="e">
        <f>'All regions'!B3352+"$F;@!&amp;ww"</f>
        <v>#VALUE!</v>
      </c>
      <c r="IC121" t="e">
        <f>'All regions'!C3352+"$F;@!&amp;wx"</f>
        <v>#VALUE!</v>
      </c>
      <c r="ID121" t="e">
        <f>'All regions'!D3352+"$F;@!&amp;wy"</f>
        <v>#VALUE!</v>
      </c>
      <c r="IE121" t="e">
        <f>'All regions'!E3352+"$F;@!&amp;wz"</f>
        <v>#VALUE!</v>
      </c>
      <c r="IF121" t="e">
        <f>'All regions'!F3352+"$F;@!&amp;w{"</f>
        <v>#VALUE!</v>
      </c>
      <c r="IG121" t="e">
        <f>'All regions'!G3352+"$F;@!&amp;w|"</f>
        <v>#VALUE!</v>
      </c>
      <c r="IH121" t="e">
        <f>'All regions'!H3352+"$F;@!&amp;w}"</f>
        <v>#VALUE!</v>
      </c>
      <c r="II121" t="e">
        <f>'All regions'!I3352+"$F;@!&amp;w~"</f>
        <v>#VALUE!</v>
      </c>
      <c r="IJ121" t="e">
        <f>'All regions'!A3353+"$F;@!&amp;x#"</f>
        <v>#VALUE!</v>
      </c>
      <c r="IK121" t="e">
        <f>'All regions'!B3353+"$F;@!&amp;x$"</f>
        <v>#VALUE!</v>
      </c>
      <c r="IL121" t="e">
        <f>'All regions'!C3353+"$F;@!&amp;x%"</f>
        <v>#VALUE!</v>
      </c>
      <c r="IM121" t="e">
        <f>'All regions'!D3353+"$F;@!&amp;x&amp;"</f>
        <v>#VALUE!</v>
      </c>
      <c r="IN121" t="e">
        <f>'All regions'!E3353+"$F;@!&amp;x'"</f>
        <v>#VALUE!</v>
      </c>
      <c r="IO121" t="e">
        <f>'All regions'!F3353+"$F;@!&amp;x("</f>
        <v>#VALUE!</v>
      </c>
      <c r="IP121" t="e">
        <f>'All regions'!G3353+"$F;@!&amp;x)"</f>
        <v>#VALUE!</v>
      </c>
      <c r="IQ121" t="e">
        <f>'All regions'!H3353+"$F;@!&amp;x."</f>
        <v>#VALUE!</v>
      </c>
      <c r="IR121" t="e">
        <f>'All regions'!I3353+"$F;@!&amp;x/"</f>
        <v>#VALUE!</v>
      </c>
      <c r="IS121" t="e">
        <f>'All regions'!A3354+"$F;@!&amp;x0"</f>
        <v>#VALUE!</v>
      </c>
      <c r="IT121" t="e">
        <f>'All regions'!B3354+"$F;@!&amp;x1"</f>
        <v>#VALUE!</v>
      </c>
      <c r="IU121" t="e">
        <f>'All regions'!C3354+"$F;@!&amp;x2"</f>
        <v>#VALUE!</v>
      </c>
      <c r="IV121" t="e">
        <f>'All regions'!D3354+"$F;@!&amp;x3"</f>
        <v>#VALUE!</v>
      </c>
    </row>
    <row r="122" spans="6:256" x14ac:dyDescent="0.35">
      <c r="F122" t="e">
        <f>'All regions'!E3354+"$F;@!&amp;x4"</f>
        <v>#VALUE!</v>
      </c>
      <c r="G122" t="e">
        <f>'All regions'!F3354+"$F;@!&amp;x5"</f>
        <v>#VALUE!</v>
      </c>
      <c r="H122" t="e">
        <f>'All regions'!G3354+"$F;@!&amp;x6"</f>
        <v>#VALUE!</v>
      </c>
      <c r="I122" t="e">
        <f>'All regions'!H3354+"$F;@!&amp;x7"</f>
        <v>#VALUE!</v>
      </c>
      <c r="J122" t="e">
        <f>'All regions'!I3354+"$F;@!&amp;x8"</f>
        <v>#VALUE!</v>
      </c>
      <c r="K122" t="e">
        <f>'All regions'!A3355+"$F;@!&amp;x9"</f>
        <v>#VALUE!</v>
      </c>
      <c r="L122" t="e">
        <f>'All regions'!B3355+"$F;@!&amp;x:"</f>
        <v>#VALUE!</v>
      </c>
      <c r="M122" t="e">
        <f>'All regions'!C3355+"$F;@!&amp;x;"</f>
        <v>#VALUE!</v>
      </c>
      <c r="N122" t="e">
        <f>'All regions'!D3355+"$F;@!&amp;x&lt;"</f>
        <v>#VALUE!</v>
      </c>
      <c r="O122" t="e">
        <f>'All regions'!E3355+"$F;@!&amp;x="</f>
        <v>#VALUE!</v>
      </c>
      <c r="P122" t="e">
        <f>'All regions'!F3355+"$F;@!&amp;x&gt;"</f>
        <v>#VALUE!</v>
      </c>
      <c r="Q122" t="e">
        <f>'All regions'!G3355+"$F;@!&amp;x?"</f>
        <v>#VALUE!</v>
      </c>
      <c r="R122" t="e">
        <f>'All regions'!H3355+"$F;@!&amp;x@"</f>
        <v>#VALUE!</v>
      </c>
      <c r="S122" t="e">
        <f>'All regions'!I3355+"$F;@!&amp;xA"</f>
        <v>#VALUE!</v>
      </c>
      <c r="T122" t="e">
        <f>'All regions'!A3356+"$F;@!&amp;xB"</f>
        <v>#VALUE!</v>
      </c>
      <c r="U122" t="e">
        <f>'All regions'!B3356+"$F;@!&amp;xC"</f>
        <v>#VALUE!</v>
      </c>
      <c r="V122" t="e">
        <f>'All regions'!C3356+"$F;@!&amp;xD"</f>
        <v>#VALUE!</v>
      </c>
      <c r="W122" t="e">
        <f>'All regions'!D3356+"$F;@!&amp;xE"</f>
        <v>#VALUE!</v>
      </c>
      <c r="X122" t="e">
        <f>'All regions'!E3356+"$F;@!&amp;xF"</f>
        <v>#VALUE!</v>
      </c>
      <c r="Y122" t="e">
        <f>'All regions'!F3356+"$F;@!&amp;xG"</f>
        <v>#VALUE!</v>
      </c>
      <c r="Z122" t="e">
        <f>'All regions'!G3356+"$F;@!&amp;xH"</f>
        <v>#VALUE!</v>
      </c>
      <c r="AA122" t="e">
        <f>'All regions'!H3356+"$F;@!&amp;xI"</f>
        <v>#VALUE!</v>
      </c>
      <c r="AB122" t="e">
        <f>'All regions'!I3356+"$F;@!&amp;xJ"</f>
        <v>#VALUE!</v>
      </c>
      <c r="AC122" t="e">
        <f>'All regions'!A3357+"$F;@!&amp;xK"</f>
        <v>#VALUE!</v>
      </c>
      <c r="AD122" t="e">
        <f>'All regions'!B3357+"$F;@!&amp;xL"</f>
        <v>#VALUE!</v>
      </c>
      <c r="AE122" t="e">
        <f>'All regions'!C3357+"$F;@!&amp;xM"</f>
        <v>#VALUE!</v>
      </c>
      <c r="AF122" t="e">
        <f>'All regions'!D3357+"$F;@!&amp;xN"</f>
        <v>#VALUE!</v>
      </c>
      <c r="AG122" t="e">
        <f>'All regions'!E3357+"$F;@!&amp;xO"</f>
        <v>#VALUE!</v>
      </c>
      <c r="AH122" t="e">
        <f>'All regions'!F3357+"$F;@!&amp;xP"</f>
        <v>#VALUE!</v>
      </c>
      <c r="AI122" t="e">
        <f>'All regions'!G3357+"$F;@!&amp;xQ"</f>
        <v>#VALUE!</v>
      </c>
      <c r="AJ122" t="e">
        <f>'All regions'!H3357+"$F;@!&amp;xR"</f>
        <v>#VALUE!</v>
      </c>
      <c r="AK122" t="e">
        <f>'All regions'!I3357+"$F;@!&amp;xS"</f>
        <v>#VALUE!</v>
      </c>
      <c r="AL122" t="e">
        <f>'All regions'!A3358+"$F;@!&amp;xT"</f>
        <v>#VALUE!</v>
      </c>
      <c r="AM122" t="e">
        <f>'All regions'!B3358+"$F;@!&amp;xU"</f>
        <v>#VALUE!</v>
      </c>
      <c r="AN122" t="e">
        <f>'All regions'!C3358+"$F;@!&amp;xV"</f>
        <v>#VALUE!</v>
      </c>
      <c r="AO122" t="e">
        <f>'All regions'!D3358+"$F;@!&amp;xW"</f>
        <v>#VALUE!</v>
      </c>
      <c r="AP122" t="e">
        <f>'All regions'!E3358+"$F;@!&amp;xX"</f>
        <v>#VALUE!</v>
      </c>
      <c r="AQ122" t="e">
        <f>'All regions'!F3358+"$F;@!&amp;xY"</f>
        <v>#VALUE!</v>
      </c>
      <c r="AR122" t="e">
        <f>'All regions'!G3358+"$F;@!&amp;xZ"</f>
        <v>#VALUE!</v>
      </c>
      <c r="AS122" t="e">
        <f>'All regions'!H3358+"$F;@!&amp;x["</f>
        <v>#VALUE!</v>
      </c>
      <c r="AT122" t="e">
        <f>'All regions'!I3358+"$F;@!&amp;x\"</f>
        <v>#VALUE!</v>
      </c>
      <c r="AU122" t="e">
        <f>'All regions'!A3359+"$F;@!&amp;x]"</f>
        <v>#VALUE!</v>
      </c>
      <c r="AV122" t="e">
        <f>'All regions'!B3359+"$F;@!&amp;x^"</f>
        <v>#VALUE!</v>
      </c>
      <c r="AW122" t="e">
        <f>'All regions'!C3359+"$F;@!&amp;x_"</f>
        <v>#VALUE!</v>
      </c>
      <c r="AX122" t="e">
        <f>'All regions'!D3359+"$F;@!&amp;x`"</f>
        <v>#VALUE!</v>
      </c>
      <c r="AY122" t="e">
        <f>'All regions'!E3359+"$F;@!&amp;xa"</f>
        <v>#VALUE!</v>
      </c>
      <c r="AZ122" t="e">
        <f>'All regions'!F3359+"$F;@!&amp;xb"</f>
        <v>#VALUE!</v>
      </c>
      <c r="BA122" t="e">
        <f>'All regions'!G3359+"$F;@!&amp;xc"</f>
        <v>#VALUE!</v>
      </c>
      <c r="BB122" t="e">
        <f>'All regions'!H3359+"$F;@!&amp;xd"</f>
        <v>#VALUE!</v>
      </c>
      <c r="BC122" t="e">
        <f>'All regions'!I3359+"$F;@!&amp;xe"</f>
        <v>#VALUE!</v>
      </c>
      <c r="BD122" t="e">
        <f>'All regions'!A3360+"$F;@!&amp;xf"</f>
        <v>#VALUE!</v>
      </c>
      <c r="BE122" t="e">
        <f>'All regions'!B3360+"$F;@!&amp;xg"</f>
        <v>#VALUE!</v>
      </c>
      <c r="BF122" t="e">
        <f>'All regions'!C3360+"$F;@!&amp;xh"</f>
        <v>#VALUE!</v>
      </c>
      <c r="BG122" t="e">
        <f>'All regions'!D3360+"$F;@!&amp;xi"</f>
        <v>#VALUE!</v>
      </c>
      <c r="BH122" t="e">
        <f>'All regions'!E3360+"$F;@!&amp;xj"</f>
        <v>#VALUE!</v>
      </c>
      <c r="BI122" t="e">
        <f>'All regions'!F3360+"$F;@!&amp;xk"</f>
        <v>#VALUE!</v>
      </c>
      <c r="BJ122" t="e">
        <f>'All regions'!G3360+"$F;@!&amp;xl"</f>
        <v>#VALUE!</v>
      </c>
      <c r="BK122" t="e">
        <f>'All regions'!H3360+"$F;@!&amp;xm"</f>
        <v>#VALUE!</v>
      </c>
      <c r="BL122" t="e">
        <f>'All regions'!I3360+"$F;@!&amp;xn"</f>
        <v>#VALUE!</v>
      </c>
      <c r="BM122" t="e">
        <f>'All regions'!A3361+"$F;@!&amp;xo"</f>
        <v>#VALUE!</v>
      </c>
      <c r="BN122" t="e">
        <f>'All regions'!B3361+"$F;@!&amp;xp"</f>
        <v>#VALUE!</v>
      </c>
      <c r="BO122" t="e">
        <f>'All regions'!C3361+"$F;@!&amp;xq"</f>
        <v>#VALUE!</v>
      </c>
      <c r="BP122" t="e">
        <f>'All regions'!D3361+"$F;@!&amp;xr"</f>
        <v>#VALUE!</v>
      </c>
      <c r="BQ122" t="e">
        <f>'All regions'!E3361+"$F;@!&amp;xs"</f>
        <v>#VALUE!</v>
      </c>
      <c r="BR122" t="e">
        <f>'All regions'!F3361+"$F;@!&amp;xt"</f>
        <v>#VALUE!</v>
      </c>
      <c r="BS122" t="e">
        <f>'All regions'!G3361+"$F;@!&amp;xu"</f>
        <v>#VALUE!</v>
      </c>
      <c r="BT122" t="e">
        <f>'All regions'!H3361+"$F;@!&amp;xv"</f>
        <v>#VALUE!</v>
      </c>
      <c r="BU122" t="e">
        <f>'All regions'!I3361+"$F;@!&amp;xw"</f>
        <v>#VALUE!</v>
      </c>
      <c r="BV122" t="e">
        <f>'All regions'!A3362+"$F;@!&amp;xx"</f>
        <v>#VALUE!</v>
      </c>
      <c r="BW122" t="e">
        <f>'All regions'!B3362+"$F;@!&amp;xy"</f>
        <v>#VALUE!</v>
      </c>
      <c r="BX122" t="e">
        <f>'All regions'!C3362+"$F;@!&amp;xz"</f>
        <v>#VALUE!</v>
      </c>
      <c r="BY122" t="e">
        <f>'All regions'!D3362+"$F;@!&amp;x{"</f>
        <v>#VALUE!</v>
      </c>
      <c r="BZ122" t="e">
        <f>'All regions'!E3362+"$F;@!&amp;x|"</f>
        <v>#VALUE!</v>
      </c>
      <c r="CA122" t="e">
        <f>'All regions'!F3362+"$F;@!&amp;x}"</f>
        <v>#VALUE!</v>
      </c>
      <c r="CB122" t="e">
        <f>'All regions'!G3362+"$F;@!&amp;x~"</f>
        <v>#VALUE!</v>
      </c>
      <c r="CC122" t="e">
        <f>'All regions'!H3362+"$F;@!&amp;y#"</f>
        <v>#VALUE!</v>
      </c>
      <c r="CD122" t="e">
        <f>'All regions'!I3362+"$F;@!&amp;y$"</f>
        <v>#VALUE!</v>
      </c>
      <c r="CE122" t="e">
        <f>'All regions'!A3363+"$F;@!&amp;y%"</f>
        <v>#VALUE!</v>
      </c>
      <c r="CF122" t="e">
        <f>'All regions'!B3363+"$F;@!&amp;y&amp;"</f>
        <v>#VALUE!</v>
      </c>
      <c r="CG122" t="e">
        <f>'All regions'!C3363+"$F;@!&amp;y'"</f>
        <v>#VALUE!</v>
      </c>
      <c r="CH122" t="e">
        <f>'All regions'!D3363+"$F;@!&amp;y("</f>
        <v>#VALUE!</v>
      </c>
      <c r="CI122" t="e">
        <f>'All regions'!E3363+"$F;@!&amp;y)"</f>
        <v>#VALUE!</v>
      </c>
      <c r="CJ122" t="e">
        <f>'All regions'!F3363+"$F;@!&amp;y."</f>
        <v>#VALUE!</v>
      </c>
      <c r="CK122" t="e">
        <f>'All regions'!G3363+"$F;@!&amp;y/"</f>
        <v>#VALUE!</v>
      </c>
      <c r="CL122" t="e">
        <f>'All regions'!H3363+"$F;@!&amp;y0"</f>
        <v>#VALUE!</v>
      </c>
      <c r="CM122" t="e">
        <f>'All regions'!I3363+"$F;@!&amp;y1"</f>
        <v>#VALUE!</v>
      </c>
      <c r="CN122" t="e">
        <f>'All regions'!A3364+"$F;@!&amp;y2"</f>
        <v>#VALUE!</v>
      </c>
      <c r="CO122" t="e">
        <f>'All regions'!B3364+"$F;@!&amp;y3"</f>
        <v>#VALUE!</v>
      </c>
      <c r="CP122" t="e">
        <f>'All regions'!C3364+"$F;@!&amp;y4"</f>
        <v>#VALUE!</v>
      </c>
      <c r="CQ122" t="e">
        <f>'All regions'!D3364+"$F;@!&amp;y5"</f>
        <v>#VALUE!</v>
      </c>
      <c r="CR122" t="e">
        <f>'All regions'!E3364+"$F;@!&amp;y6"</f>
        <v>#VALUE!</v>
      </c>
      <c r="CS122" t="e">
        <f>'All regions'!F3364+"$F;@!&amp;y7"</f>
        <v>#VALUE!</v>
      </c>
      <c r="CT122" t="e">
        <f>'All regions'!G3364+"$F;@!&amp;y8"</f>
        <v>#VALUE!</v>
      </c>
      <c r="CU122" t="e">
        <f>'All regions'!H3364+"$F;@!&amp;y9"</f>
        <v>#VALUE!</v>
      </c>
      <c r="CV122" t="e">
        <f>'All regions'!I3364+"$F;@!&amp;y:"</f>
        <v>#VALUE!</v>
      </c>
      <c r="CW122" t="e">
        <f>'All regions'!A3365+"$F;@!&amp;y;"</f>
        <v>#VALUE!</v>
      </c>
      <c r="CX122" t="e">
        <f>'All regions'!B3365+"$F;@!&amp;y&lt;"</f>
        <v>#VALUE!</v>
      </c>
      <c r="CY122" t="e">
        <f>'All regions'!C3365+"$F;@!&amp;y="</f>
        <v>#VALUE!</v>
      </c>
      <c r="CZ122" t="e">
        <f>'All regions'!D3365+"$F;@!&amp;y&gt;"</f>
        <v>#VALUE!</v>
      </c>
      <c r="DA122" t="e">
        <f>'All regions'!E3365+"$F;@!&amp;y?"</f>
        <v>#VALUE!</v>
      </c>
      <c r="DB122" t="e">
        <f>'All regions'!F3365+"$F;@!&amp;y@"</f>
        <v>#VALUE!</v>
      </c>
      <c r="DC122" t="e">
        <f>'All regions'!G3365+"$F;@!&amp;yA"</f>
        <v>#VALUE!</v>
      </c>
      <c r="DD122" t="e">
        <f>'All regions'!H3365+"$F;@!&amp;yB"</f>
        <v>#VALUE!</v>
      </c>
      <c r="DE122" t="e">
        <f>'All regions'!I3365+"$F;@!&amp;yC"</f>
        <v>#VALUE!</v>
      </c>
      <c r="DF122" t="e">
        <f>'All regions'!A3366+"$F;@!&amp;yD"</f>
        <v>#VALUE!</v>
      </c>
      <c r="DG122" t="e">
        <f>'All regions'!B3366+"$F;@!&amp;yE"</f>
        <v>#VALUE!</v>
      </c>
      <c r="DH122" t="e">
        <f>'All regions'!C3366+"$F;@!&amp;yF"</f>
        <v>#VALUE!</v>
      </c>
      <c r="DI122" t="e">
        <f>'All regions'!D3366+"$F;@!&amp;yG"</f>
        <v>#VALUE!</v>
      </c>
      <c r="DJ122" t="e">
        <f>'All regions'!E3366+"$F;@!&amp;yH"</f>
        <v>#VALUE!</v>
      </c>
      <c r="DK122" t="e">
        <f>'All regions'!F3366+"$F;@!&amp;yI"</f>
        <v>#VALUE!</v>
      </c>
      <c r="DL122" t="e">
        <f>'All regions'!G3366+"$F;@!&amp;yJ"</f>
        <v>#VALUE!</v>
      </c>
      <c r="DM122" t="e">
        <f>'All regions'!H3366+"$F;@!&amp;yK"</f>
        <v>#VALUE!</v>
      </c>
      <c r="DN122" t="e">
        <f>'All regions'!I3366+"$F;@!&amp;yL"</f>
        <v>#VALUE!</v>
      </c>
      <c r="DO122" t="e">
        <f>'All regions'!A3367+"$F;@!&amp;yM"</f>
        <v>#VALUE!</v>
      </c>
      <c r="DP122" t="e">
        <f>'All regions'!B3367+"$F;@!&amp;yN"</f>
        <v>#VALUE!</v>
      </c>
      <c r="DQ122" t="e">
        <f>'All regions'!C3367+"$F;@!&amp;yO"</f>
        <v>#VALUE!</v>
      </c>
      <c r="DR122" t="e">
        <f>'All regions'!D3367+"$F;@!&amp;yP"</f>
        <v>#VALUE!</v>
      </c>
      <c r="DS122" t="e">
        <f>'All regions'!E3367+"$F;@!&amp;yQ"</f>
        <v>#VALUE!</v>
      </c>
      <c r="DT122" t="e">
        <f>'All regions'!F3367+"$F;@!&amp;yR"</f>
        <v>#VALUE!</v>
      </c>
      <c r="DU122" t="e">
        <f>'All regions'!G3367+"$F;@!&amp;yS"</f>
        <v>#VALUE!</v>
      </c>
      <c r="DV122" t="e">
        <f>'All regions'!H3367+"$F;@!&amp;yT"</f>
        <v>#VALUE!</v>
      </c>
      <c r="DW122" t="e">
        <f>'All regions'!I3367+"$F;@!&amp;yU"</f>
        <v>#VALUE!</v>
      </c>
      <c r="DX122" t="e">
        <f>'All regions'!A3368+"$F;@!&amp;yV"</f>
        <v>#VALUE!</v>
      </c>
      <c r="DY122" t="e">
        <f>'All regions'!B3368+"$F;@!&amp;yW"</f>
        <v>#VALUE!</v>
      </c>
      <c r="DZ122" t="e">
        <f>'All regions'!C3368+"$F;@!&amp;yX"</f>
        <v>#VALUE!</v>
      </c>
      <c r="EA122" t="e">
        <f>'All regions'!D3368+"$F;@!&amp;yY"</f>
        <v>#VALUE!</v>
      </c>
      <c r="EB122" t="e">
        <f>'All regions'!E3368+"$F;@!&amp;yZ"</f>
        <v>#VALUE!</v>
      </c>
      <c r="EC122" t="e">
        <f>'All regions'!F3368+"$F;@!&amp;y["</f>
        <v>#VALUE!</v>
      </c>
      <c r="ED122" t="e">
        <f>'All regions'!G3368+"$F;@!&amp;y\"</f>
        <v>#VALUE!</v>
      </c>
      <c r="EE122" t="e">
        <f>'All regions'!H3368+"$F;@!&amp;y]"</f>
        <v>#VALUE!</v>
      </c>
      <c r="EF122" t="e">
        <f>'All regions'!I3368+"$F;@!&amp;y^"</f>
        <v>#VALUE!</v>
      </c>
      <c r="EG122" t="e">
        <f>'All regions'!A3369+"$F;@!&amp;y_"</f>
        <v>#VALUE!</v>
      </c>
      <c r="EH122" t="e">
        <f>'All regions'!B3369+"$F;@!&amp;y`"</f>
        <v>#VALUE!</v>
      </c>
      <c r="EI122" t="e">
        <f>'All regions'!C3369+"$F;@!&amp;ya"</f>
        <v>#VALUE!</v>
      </c>
      <c r="EJ122" t="e">
        <f>'All regions'!D3369+"$F;@!&amp;yb"</f>
        <v>#VALUE!</v>
      </c>
      <c r="EK122" t="e">
        <f>'All regions'!E3369+"$F;@!&amp;yc"</f>
        <v>#VALUE!</v>
      </c>
      <c r="EL122" t="e">
        <f>'All regions'!F3369+"$F;@!&amp;yd"</f>
        <v>#VALUE!</v>
      </c>
      <c r="EM122" t="e">
        <f>'All regions'!G3369+"$F;@!&amp;ye"</f>
        <v>#VALUE!</v>
      </c>
      <c r="EN122" t="e">
        <f>'All regions'!H3369+"$F;@!&amp;yf"</f>
        <v>#VALUE!</v>
      </c>
      <c r="EO122" t="e">
        <f>'All regions'!I3369+"$F;@!&amp;yg"</f>
        <v>#VALUE!</v>
      </c>
      <c r="EP122" t="e">
        <f>'All regions'!A3370+"$F;@!&amp;yh"</f>
        <v>#VALUE!</v>
      </c>
      <c r="EQ122" t="e">
        <f>'All regions'!B3370+"$F;@!&amp;yi"</f>
        <v>#VALUE!</v>
      </c>
      <c r="ER122" t="e">
        <f>'All regions'!C3370+"$F;@!&amp;yj"</f>
        <v>#VALUE!</v>
      </c>
      <c r="ES122" t="e">
        <f>'All regions'!D3370+"$F;@!&amp;yk"</f>
        <v>#VALUE!</v>
      </c>
      <c r="ET122" t="e">
        <f>'All regions'!E3370+"$F;@!&amp;yl"</f>
        <v>#VALUE!</v>
      </c>
      <c r="EU122" t="e">
        <f>'All regions'!F3370+"$F;@!&amp;ym"</f>
        <v>#VALUE!</v>
      </c>
      <c r="EV122" t="e">
        <f>'All regions'!G3370+"$F;@!&amp;yn"</f>
        <v>#VALUE!</v>
      </c>
      <c r="EW122" t="e">
        <f>'All regions'!H3370+"$F;@!&amp;yo"</f>
        <v>#VALUE!</v>
      </c>
      <c r="EX122" t="e">
        <f>'All regions'!I3370+"$F;@!&amp;yp"</f>
        <v>#VALUE!</v>
      </c>
      <c r="EY122" t="e">
        <f>'All regions'!A3371+"$F;@!&amp;yq"</f>
        <v>#VALUE!</v>
      </c>
      <c r="EZ122" t="e">
        <f>'All regions'!B3371+"$F;@!&amp;yr"</f>
        <v>#VALUE!</v>
      </c>
      <c r="FA122" t="e">
        <f>'All regions'!C3371+"$F;@!&amp;ys"</f>
        <v>#VALUE!</v>
      </c>
      <c r="FB122" t="e">
        <f>'All regions'!D3371+"$F;@!&amp;yt"</f>
        <v>#VALUE!</v>
      </c>
      <c r="FC122" t="e">
        <f>'All regions'!E3371+"$F;@!&amp;yu"</f>
        <v>#VALUE!</v>
      </c>
      <c r="FD122" t="e">
        <f>'All regions'!F3371+"$F;@!&amp;yv"</f>
        <v>#VALUE!</v>
      </c>
      <c r="FE122" t="e">
        <f>'All regions'!G3371+"$F;@!&amp;yw"</f>
        <v>#VALUE!</v>
      </c>
      <c r="FF122" t="e">
        <f>'All regions'!H3371+"$F;@!&amp;yx"</f>
        <v>#VALUE!</v>
      </c>
      <c r="FG122" t="e">
        <f>'All regions'!I3371+"$F;@!&amp;yy"</f>
        <v>#VALUE!</v>
      </c>
      <c r="FH122" t="e">
        <f>'All regions'!A3372+"$F;@!&amp;yz"</f>
        <v>#VALUE!</v>
      </c>
      <c r="FI122" t="e">
        <f>'All regions'!B3372+"$F;@!&amp;y{"</f>
        <v>#VALUE!</v>
      </c>
      <c r="FJ122" t="e">
        <f>'All regions'!C3372+"$F;@!&amp;y|"</f>
        <v>#VALUE!</v>
      </c>
      <c r="FK122" t="e">
        <f>'All regions'!D3372+"$F;@!&amp;y}"</f>
        <v>#VALUE!</v>
      </c>
      <c r="FL122" t="e">
        <f>'All regions'!E3372+"$F;@!&amp;y~"</f>
        <v>#VALUE!</v>
      </c>
      <c r="FM122" t="e">
        <f>'All regions'!F3372+"$F;@!&amp;z#"</f>
        <v>#VALUE!</v>
      </c>
      <c r="FN122" t="e">
        <f>'All regions'!G3372+"$F;@!&amp;z$"</f>
        <v>#VALUE!</v>
      </c>
      <c r="FO122" t="e">
        <f>'All regions'!H3372+"$F;@!&amp;z%"</f>
        <v>#VALUE!</v>
      </c>
      <c r="FP122" t="e">
        <f>'All regions'!I3372+"$F;@!&amp;z&amp;"</f>
        <v>#VALUE!</v>
      </c>
      <c r="FQ122" t="e">
        <f>'All regions'!A3373+"$F;@!&amp;z'"</f>
        <v>#VALUE!</v>
      </c>
      <c r="FR122" t="e">
        <f>'All regions'!B3373+"$F;@!&amp;z("</f>
        <v>#VALUE!</v>
      </c>
      <c r="FS122" t="e">
        <f>'All regions'!C3373+"$F;@!&amp;z)"</f>
        <v>#VALUE!</v>
      </c>
      <c r="FT122" t="e">
        <f>'All regions'!D3373+"$F;@!&amp;z."</f>
        <v>#VALUE!</v>
      </c>
      <c r="FU122" t="e">
        <f>'All regions'!E3373+"$F;@!&amp;z/"</f>
        <v>#VALUE!</v>
      </c>
      <c r="FV122" t="e">
        <f>'All regions'!F3373+"$F;@!&amp;z0"</f>
        <v>#VALUE!</v>
      </c>
      <c r="FW122" t="e">
        <f>'All regions'!G3373+"$F;@!&amp;z1"</f>
        <v>#VALUE!</v>
      </c>
      <c r="FX122" t="e">
        <f>'All regions'!H3373+"$F;@!&amp;z2"</f>
        <v>#VALUE!</v>
      </c>
      <c r="FY122" t="e">
        <f>'All regions'!I3373+"$F;@!&amp;z3"</f>
        <v>#VALUE!</v>
      </c>
      <c r="FZ122" t="e">
        <f>'All regions'!A3374+"$F;@!&amp;z4"</f>
        <v>#VALUE!</v>
      </c>
      <c r="GA122" t="e">
        <f>'All regions'!B3374+"$F;@!&amp;z5"</f>
        <v>#VALUE!</v>
      </c>
      <c r="GB122" t="e">
        <f>'All regions'!C3374+"$F;@!&amp;z6"</f>
        <v>#VALUE!</v>
      </c>
      <c r="GC122" t="e">
        <f>'All regions'!D3374+"$F;@!&amp;z7"</f>
        <v>#VALUE!</v>
      </c>
      <c r="GD122" t="e">
        <f>'All regions'!E3374+"$F;@!&amp;z8"</f>
        <v>#VALUE!</v>
      </c>
      <c r="GE122" t="e">
        <f>'All regions'!F3374+"$F;@!&amp;z9"</f>
        <v>#VALUE!</v>
      </c>
      <c r="GF122" t="e">
        <f>'All regions'!G3374+"$F;@!&amp;z:"</f>
        <v>#VALUE!</v>
      </c>
      <c r="GG122" t="e">
        <f>'All regions'!H3374+"$F;@!&amp;z;"</f>
        <v>#VALUE!</v>
      </c>
      <c r="GH122" t="e">
        <f>'All regions'!I3374+"$F;@!&amp;z&lt;"</f>
        <v>#VALUE!</v>
      </c>
      <c r="GI122" t="e">
        <f>'All regions'!A3375+"$F;@!&amp;z="</f>
        <v>#VALUE!</v>
      </c>
      <c r="GJ122" t="e">
        <f>'All regions'!B3375+"$F;@!&amp;z&gt;"</f>
        <v>#VALUE!</v>
      </c>
      <c r="GK122" t="e">
        <f>'All regions'!C3375+"$F;@!&amp;z?"</f>
        <v>#VALUE!</v>
      </c>
      <c r="GL122" t="e">
        <f>'All regions'!D3375+"$F;@!&amp;z@"</f>
        <v>#VALUE!</v>
      </c>
      <c r="GM122" t="e">
        <f>'All regions'!E3375+"$F;@!&amp;zA"</f>
        <v>#VALUE!</v>
      </c>
      <c r="GN122" t="e">
        <f>'All regions'!F3375+"$F;@!&amp;zB"</f>
        <v>#VALUE!</v>
      </c>
      <c r="GO122" t="e">
        <f>'All regions'!G3375+"$F;@!&amp;zC"</f>
        <v>#VALUE!</v>
      </c>
      <c r="GP122" t="e">
        <f>'All regions'!H3375+"$F;@!&amp;zD"</f>
        <v>#VALUE!</v>
      </c>
      <c r="GQ122" t="e">
        <f>'All regions'!I3375+"$F;@!&amp;zE"</f>
        <v>#VALUE!</v>
      </c>
      <c r="GR122" t="e">
        <f>'All regions'!A3376+"$F;@!&amp;zF"</f>
        <v>#VALUE!</v>
      </c>
      <c r="GS122" t="e">
        <f>'All regions'!B3376+"$F;@!&amp;zG"</f>
        <v>#VALUE!</v>
      </c>
      <c r="GT122" t="e">
        <f>'All regions'!C3376+"$F;@!&amp;zH"</f>
        <v>#VALUE!</v>
      </c>
      <c r="GU122" t="e">
        <f>'All regions'!D3376+"$F;@!&amp;zI"</f>
        <v>#VALUE!</v>
      </c>
      <c r="GV122" t="e">
        <f>'All regions'!E3376+"$F;@!&amp;zJ"</f>
        <v>#VALUE!</v>
      </c>
      <c r="GW122" t="e">
        <f>'All regions'!F3376+"$F;@!&amp;zK"</f>
        <v>#VALUE!</v>
      </c>
      <c r="GX122" t="e">
        <f>'All regions'!G3376+"$F;@!&amp;zL"</f>
        <v>#VALUE!</v>
      </c>
      <c r="GY122" t="e">
        <f>'All regions'!H3376+"$F;@!&amp;zM"</f>
        <v>#VALUE!</v>
      </c>
      <c r="GZ122" t="e">
        <f>'All regions'!I3376+"$F;@!&amp;zN"</f>
        <v>#VALUE!</v>
      </c>
      <c r="HA122" t="e">
        <f>'All regions'!A3377+"$F;@!&amp;zO"</f>
        <v>#VALUE!</v>
      </c>
      <c r="HB122" t="e">
        <f>'All regions'!B3377+"$F;@!&amp;zP"</f>
        <v>#VALUE!</v>
      </c>
      <c r="HC122" t="e">
        <f>'All regions'!C3377+"$F;@!&amp;zQ"</f>
        <v>#VALUE!</v>
      </c>
      <c r="HD122" t="e">
        <f>'All regions'!D3377+"$F;@!&amp;zR"</f>
        <v>#VALUE!</v>
      </c>
      <c r="HE122" t="e">
        <f>'All regions'!E3377+"$F;@!&amp;zS"</f>
        <v>#VALUE!</v>
      </c>
      <c r="HF122" t="e">
        <f>'All regions'!F3377+"$F;@!&amp;zT"</f>
        <v>#VALUE!</v>
      </c>
      <c r="HG122" t="e">
        <f>'All regions'!G3377+"$F;@!&amp;zU"</f>
        <v>#VALUE!</v>
      </c>
      <c r="HH122" t="e">
        <f>'All regions'!H3377+"$F;@!&amp;zV"</f>
        <v>#VALUE!</v>
      </c>
      <c r="HI122" t="e">
        <f>'All regions'!I3377+"$F;@!&amp;zW"</f>
        <v>#VALUE!</v>
      </c>
      <c r="HJ122" t="e">
        <f>'All regions'!A3378+"$F;@!&amp;zX"</f>
        <v>#VALUE!</v>
      </c>
      <c r="HK122" t="e">
        <f>'All regions'!B3378+"$F;@!&amp;zY"</f>
        <v>#VALUE!</v>
      </c>
      <c r="HL122" t="e">
        <f>'All regions'!C3378+"$F;@!&amp;zZ"</f>
        <v>#VALUE!</v>
      </c>
      <c r="HM122" t="e">
        <f>'All regions'!D3378+"$F;@!&amp;z["</f>
        <v>#VALUE!</v>
      </c>
      <c r="HN122" t="e">
        <f>'All regions'!E3378+"$F;@!&amp;z\"</f>
        <v>#VALUE!</v>
      </c>
      <c r="HO122" t="e">
        <f>'All regions'!F3378+"$F;@!&amp;z]"</f>
        <v>#VALUE!</v>
      </c>
      <c r="HP122" t="e">
        <f>'All regions'!G3378+"$F;@!&amp;z^"</f>
        <v>#VALUE!</v>
      </c>
      <c r="HQ122" t="e">
        <f>'All regions'!H3378+"$F;@!&amp;z_"</f>
        <v>#VALUE!</v>
      </c>
      <c r="HR122" t="e">
        <f>'All regions'!I3378+"$F;@!&amp;z`"</f>
        <v>#VALUE!</v>
      </c>
      <c r="HS122" t="e">
        <f>'All regions'!A3379+"$F;@!&amp;za"</f>
        <v>#VALUE!</v>
      </c>
      <c r="HT122" t="e">
        <f>'All regions'!B3379+"$F;@!&amp;zb"</f>
        <v>#VALUE!</v>
      </c>
      <c r="HU122" t="e">
        <f>'All regions'!C3379+"$F;@!&amp;zc"</f>
        <v>#VALUE!</v>
      </c>
      <c r="HV122" t="e">
        <f>'All regions'!D3379+"$F;@!&amp;zd"</f>
        <v>#VALUE!</v>
      </c>
      <c r="HW122" t="e">
        <f>'All regions'!E3379+"$F;@!&amp;ze"</f>
        <v>#VALUE!</v>
      </c>
      <c r="HX122" t="e">
        <f>'All regions'!F3379+"$F;@!&amp;zf"</f>
        <v>#VALUE!</v>
      </c>
      <c r="HY122" t="e">
        <f>'All regions'!G3379+"$F;@!&amp;zg"</f>
        <v>#VALUE!</v>
      </c>
      <c r="HZ122" t="e">
        <f>'All regions'!H3379+"$F;@!&amp;zh"</f>
        <v>#VALUE!</v>
      </c>
      <c r="IA122" t="e">
        <f>'All regions'!I3379+"$F;@!&amp;zi"</f>
        <v>#VALUE!</v>
      </c>
      <c r="IB122" t="e">
        <f>'All regions'!A3380+"$F;@!&amp;zj"</f>
        <v>#VALUE!</v>
      </c>
      <c r="IC122" t="e">
        <f>'All regions'!B3380+"$F;@!&amp;zk"</f>
        <v>#VALUE!</v>
      </c>
      <c r="ID122" t="e">
        <f>'All regions'!C3380+"$F;@!&amp;zl"</f>
        <v>#VALUE!</v>
      </c>
      <c r="IE122" t="e">
        <f>'All regions'!D3380+"$F;@!&amp;zm"</f>
        <v>#VALUE!</v>
      </c>
      <c r="IF122" t="e">
        <f>'All regions'!E3380+"$F;@!&amp;zn"</f>
        <v>#VALUE!</v>
      </c>
      <c r="IG122" t="e">
        <f>'All regions'!F3380+"$F;@!&amp;zo"</f>
        <v>#VALUE!</v>
      </c>
      <c r="IH122" t="e">
        <f>'All regions'!G3380+"$F;@!&amp;zp"</f>
        <v>#VALUE!</v>
      </c>
      <c r="II122" t="e">
        <f>'All regions'!H3380+"$F;@!&amp;zq"</f>
        <v>#VALUE!</v>
      </c>
      <c r="IJ122" t="e">
        <f>'All regions'!I3380+"$F;@!&amp;zr"</f>
        <v>#VALUE!</v>
      </c>
      <c r="IK122" t="e">
        <f>'All regions'!A3381+"$F;@!&amp;zs"</f>
        <v>#VALUE!</v>
      </c>
      <c r="IL122" t="e">
        <f>'All regions'!B3381+"$F;@!&amp;zt"</f>
        <v>#VALUE!</v>
      </c>
      <c r="IM122" t="e">
        <f>'All regions'!C3381+"$F;@!&amp;zu"</f>
        <v>#VALUE!</v>
      </c>
      <c r="IN122" t="e">
        <f>'All regions'!D3381+"$F;@!&amp;zv"</f>
        <v>#VALUE!</v>
      </c>
      <c r="IO122" t="e">
        <f>'All regions'!E3381+"$F;@!&amp;zw"</f>
        <v>#VALUE!</v>
      </c>
      <c r="IP122" t="e">
        <f>'All regions'!F3381+"$F;@!&amp;zx"</f>
        <v>#VALUE!</v>
      </c>
      <c r="IQ122" t="e">
        <f>'All regions'!G3381+"$F;@!&amp;zy"</f>
        <v>#VALUE!</v>
      </c>
      <c r="IR122" t="e">
        <f>'All regions'!H3381+"$F;@!&amp;zz"</f>
        <v>#VALUE!</v>
      </c>
      <c r="IS122" t="e">
        <f>'All regions'!I3381+"$F;@!&amp;z{"</f>
        <v>#VALUE!</v>
      </c>
      <c r="IT122" t="e">
        <f>'All regions'!A3382+"$F;@!&amp;z|"</f>
        <v>#VALUE!</v>
      </c>
      <c r="IU122" t="e">
        <f>'All regions'!B3382+"$F;@!&amp;z}"</f>
        <v>#VALUE!</v>
      </c>
      <c r="IV122" t="e">
        <f>'All regions'!C3382+"$F;@!&amp;z~"</f>
        <v>#VALUE!</v>
      </c>
    </row>
    <row r="123" spans="6:256" x14ac:dyDescent="0.35">
      <c r="F123" t="e">
        <f>'All regions'!D3382+"$F;@!&amp;{#"</f>
        <v>#VALUE!</v>
      </c>
      <c r="G123" t="e">
        <f>'All regions'!E3382+"$F;@!&amp;{$"</f>
        <v>#VALUE!</v>
      </c>
      <c r="H123" t="e">
        <f>'All regions'!F3382+"$F;@!&amp;{%"</f>
        <v>#VALUE!</v>
      </c>
      <c r="I123" t="e">
        <f>'All regions'!G3382+"$F;@!&amp;{&amp;"</f>
        <v>#VALUE!</v>
      </c>
      <c r="J123" t="e">
        <f>'All regions'!H3382+"$F;@!&amp;{'"</f>
        <v>#VALUE!</v>
      </c>
      <c r="K123" t="e">
        <f>'All regions'!I3382+"$F;@!&amp;{("</f>
        <v>#VALUE!</v>
      </c>
      <c r="L123" t="e">
        <f>'All regions'!A3383+"$F;@!&amp;{)"</f>
        <v>#VALUE!</v>
      </c>
      <c r="M123" t="e">
        <f>'All regions'!B3383+"$F;@!&amp;{."</f>
        <v>#VALUE!</v>
      </c>
      <c r="N123" t="e">
        <f>'All regions'!C3383+"$F;@!&amp;{/"</f>
        <v>#VALUE!</v>
      </c>
      <c r="O123" t="e">
        <f>'All regions'!D3383+"$F;@!&amp;{0"</f>
        <v>#VALUE!</v>
      </c>
      <c r="P123" t="e">
        <f>'All regions'!E3383+"$F;@!&amp;{1"</f>
        <v>#VALUE!</v>
      </c>
      <c r="Q123" t="e">
        <f>'All regions'!F3383+"$F;@!&amp;{2"</f>
        <v>#VALUE!</v>
      </c>
      <c r="R123" t="e">
        <f>'All regions'!G3383+"$F;@!&amp;{3"</f>
        <v>#VALUE!</v>
      </c>
      <c r="S123" t="e">
        <f>'All regions'!H3383+"$F;@!&amp;{4"</f>
        <v>#VALUE!</v>
      </c>
      <c r="T123" t="e">
        <f>'All regions'!I3383+"$F;@!&amp;{5"</f>
        <v>#VALUE!</v>
      </c>
      <c r="U123" t="e">
        <f>'All regions'!A3384+"$F;@!&amp;{6"</f>
        <v>#VALUE!</v>
      </c>
      <c r="V123" t="e">
        <f>'All regions'!B3384+"$F;@!&amp;{7"</f>
        <v>#VALUE!</v>
      </c>
      <c r="W123" t="e">
        <f>'All regions'!C3384+"$F;@!&amp;{8"</f>
        <v>#VALUE!</v>
      </c>
      <c r="X123" t="e">
        <f>'All regions'!D3384+"$F;@!&amp;{9"</f>
        <v>#VALUE!</v>
      </c>
      <c r="Y123" t="e">
        <f>'All regions'!E3384+"$F;@!&amp;{:"</f>
        <v>#VALUE!</v>
      </c>
      <c r="Z123" t="e">
        <f>'All regions'!F3384+"$F;@!&amp;{;"</f>
        <v>#VALUE!</v>
      </c>
      <c r="AA123" t="e">
        <f>'All regions'!G3384+"$F;@!&amp;{&lt;"</f>
        <v>#VALUE!</v>
      </c>
      <c r="AB123" t="e">
        <f>'All regions'!H3384+"$F;@!&amp;{="</f>
        <v>#VALUE!</v>
      </c>
      <c r="AC123" t="e">
        <f>'All regions'!I3384+"$F;@!&amp;{&gt;"</f>
        <v>#VALUE!</v>
      </c>
      <c r="AD123" t="e">
        <f>'All regions'!A3385+"$F;@!&amp;{?"</f>
        <v>#VALUE!</v>
      </c>
      <c r="AE123" t="e">
        <f>'All regions'!B3385+"$F;@!&amp;{@"</f>
        <v>#VALUE!</v>
      </c>
      <c r="AF123" t="e">
        <f>'All regions'!C3385+"$F;@!&amp;{A"</f>
        <v>#VALUE!</v>
      </c>
      <c r="AG123" t="e">
        <f>'All regions'!D3385+"$F;@!&amp;{B"</f>
        <v>#VALUE!</v>
      </c>
      <c r="AH123" t="e">
        <f>'All regions'!E3385+"$F;@!&amp;{C"</f>
        <v>#VALUE!</v>
      </c>
      <c r="AI123" t="e">
        <f>'All regions'!F3385+"$F;@!&amp;{D"</f>
        <v>#VALUE!</v>
      </c>
      <c r="AJ123" t="e">
        <f>'All regions'!G3385+"$F;@!&amp;{E"</f>
        <v>#VALUE!</v>
      </c>
      <c r="AK123" t="e">
        <f>'All regions'!H3385+"$F;@!&amp;{F"</f>
        <v>#VALUE!</v>
      </c>
      <c r="AL123" t="e">
        <f>'All regions'!I3385+"$F;@!&amp;{G"</f>
        <v>#VALUE!</v>
      </c>
      <c r="AM123" t="e">
        <f>'All regions'!A3386+"$F;@!&amp;{H"</f>
        <v>#VALUE!</v>
      </c>
      <c r="AN123" t="e">
        <f>'All regions'!B3386+"$F;@!&amp;{I"</f>
        <v>#VALUE!</v>
      </c>
      <c r="AO123" t="e">
        <f>'All regions'!C3386+"$F;@!&amp;{J"</f>
        <v>#VALUE!</v>
      </c>
      <c r="AP123" t="e">
        <f>'All regions'!D3386+"$F;@!&amp;{K"</f>
        <v>#VALUE!</v>
      </c>
      <c r="AQ123" t="e">
        <f>'All regions'!E3386+"$F;@!&amp;{L"</f>
        <v>#VALUE!</v>
      </c>
      <c r="AR123" t="e">
        <f>'All regions'!F3386+"$F;@!&amp;{M"</f>
        <v>#VALUE!</v>
      </c>
      <c r="AS123" t="e">
        <f>'All regions'!G3386+"$F;@!&amp;{N"</f>
        <v>#VALUE!</v>
      </c>
      <c r="AT123" t="e">
        <f>'All regions'!H3386+"$F;@!&amp;{O"</f>
        <v>#VALUE!</v>
      </c>
      <c r="AU123" t="e">
        <f>'All regions'!I3386+"$F;@!&amp;{P"</f>
        <v>#VALUE!</v>
      </c>
      <c r="AV123" t="e">
        <f>'All regions'!A3387+"$F;@!&amp;{Q"</f>
        <v>#VALUE!</v>
      </c>
      <c r="AW123" t="e">
        <f>'All regions'!B3387+"$F;@!&amp;{R"</f>
        <v>#VALUE!</v>
      </c>
      <c r="AX123" t="e">
        <f>'All regions'!C3387+"$F;@!&amp;{S"</f>
        <v>#VALUE!</v>
      </c>
      <c r="AY123" t="e">
        <f>'All regions'!D3387+"$F;@!&amp;{T"</f>
        <v>#VALUE!</v>
      </c>
      <c r="AZ123" t="e">
        <f>'All regions'!E3387+"$F;@!&amp;{U"</f>
        <v>#VALUE!</v>
      </c>
      <c r="BA123" t="e">
        <f>'All regions'!F3387+"$F;@!&amp;{V"</f>
        <v>#VALUE!</v>
      </c>
      <c r="BB123" t="e">
        <f>'All regions'!G3387+"$F;@!&amp;{W"</f>
        <v>#VALUE!</v>
      </c>
      <c r="BC123" t="e">
        <f>'All regions'!H3387+"$F;@!&amp;{X"</f>
        <v>#VALUE!</v>
      </c>
      <c r="BD123" t="e">
        <f>'All regions'!I3387+"$F;@!&amp;{Y"</f>
        <v>#VALUE!</v>
      </c>
      <c r="BE123" t="e">
        <f>'All regions'!A3388+"$F;@!&amp;{Z"</f>
        <v>#VALUE!</v>
      </c>
      <c r="BF123" t="e">
        <f>'All regions'!B3388+"$F;@!&amp;{["</f>
        <v>#VALUE!</v>
      </c>
      <c r="BG123" t="e">
        <f>'All regions'!C3388+"$F;@!&amp;{\"</f>
        <v>#VALUE!</v>
      </c>
      <c r="BH123" t="e">
        <f>'All regions'!D3388+"$F;@!&amp;{]"</f>
        <v>#VALUE!</v>
      </c>
      <c r="BI123" t="e">
        <f>'All regions'!E3388+"$F;@!&amp;{^"</f>
        <v>#VALUE!</v>
      </c>
      <c r="BJ123" t="e">
        <f>'All regions'!F3388+"$F;@!&amp;{_"</f>
        <v>#VALUE!</v>
      </c>
      <c r="BK123" t="e">
        <f>'All regions'!G3388+"$F;@!&amp;{`"</f>
        <v>#VALUE!</v>
      </c>
      <c r="BL123" t="e">
        <f>'All regions'!H3388+"$F;@!&amp;{a"</f>
        <v>#VALUE!</v>
      </c>
      <c r="BM123" t="e">
        <f>'All regions'!I3388+"$F;@!&amp;{b"</f>
        <v>#VALUE!</v>
      </c>
      <c r="BN123" t="e">
        <f>'All regions'!A3389+"$F;@!&amp;{c"</f>
        <v>#VALUE!</v>
      </c>
      <c r="BO123" t="e">
        <f>'All regions'!B3389+"$F;@!&amp;{d"</f>
        <v>#VALUE!</v>
      </c>
      <c r="BP123" t="e">
        <f>'All regions'!C3389+"$F;@!&amp;{e"</f>
        <v>#VALUE!</v>
      </c>
      <c r="BQ123" t="e">
        <f>'All regions'!D3389+"$F;@!&amp;{f"</f>
        <v>#VALUE!</v>
      </c>
      <c r="BR123" t="e">
        <f>'All regions'!E3389+"$F;@!&amp;{g"</f>
        <v>#VALUE!</v>
      </c>
      <c r="BS123" t="e">
        <f>'All regions'!F3389+"$F;@!&amp;{h"</f>
        <v>#VALUE!</v>
      </c>
      <c r="BT123" t="e">
        <f>'All regions'!G3389+"$F;@!&amp;{i"</f>
        <v>#VALUE!</v>
      </c>
      <c r="BU123" t="e">
        <f>'All regions'!H3389+"$F;@!&amp;{j"</f>
        <v>#VALUE!</v>
      </c>
      <c r="BV123" t="e">
        <f>'All regions'!I3389+"$F;@!&amp;{k"</f>
        <v>#VALUE!</v>
      </c>
      <c r="BW123" t="e">
        <f>'All regions'!A3390+"$F;@!&amp;{l"</f>
        <v>#VALUE!</v>
      </c>
      <c r="BX123" t="e">
        <f>'All regions'!B3390+"$F;@!&amp;{m"</f>
        <v>#VALUE!</v>
      </c>
      <c r="BY123" t="e">
        <f>'All regions'!C3390+"$F;@!&amp;{n"</f>
        <v>#VALUE!</v>
      </c>
      <c r="BZ123" t="e">
        <f>'All regions'!D3390+"$F;@!&amp;{o"</f>
        <v>#VALUE!</v>
      </c>
      <c r="CA123" t="e">
        <f>'All regions'!E3390+"$F;@!&amp;{p"</f>
        <v>#VALUE!</v>
      </c>
      <c r="CB123" t="e">
        <f>'All regions'!F3390+"$F;@!&amp;{q"</f>
        <v>#VALUE!</v>
      </c>
      <c r="CC123" t="e">
        <f>'All regions'!G3390+"$F;@!&amp;{r"</f>
        <v>#VALUE!</v>
      </c>
      <c r="CD123" t="e">
        <f>'All regions'!H3390+"$F;@!&amp;{s"</f>
        <v>#VALUE!</v>
      </c>
      <c r="CE123" t="e">
        <f>'All regions'!I3390+"$F;@!&amp;{t"</f>
        <v>#VALUE!</v>
      </c>
      <c r="CF123" t="e">
        <f>'All regions'!A3391+"$F;@!&amp;{u"</f>
        <v>#VALUE!</v>
      </c>
      <c r="CG123" t="e">
        <f>'All regions'!B3391+"$F;@!&amp;{v"</f>
        <v>#VALUE!</v>
      </c>
      <c r="CH123" t="e">
        <f>'All regions'!C3391+"$F;@!&amp;{w"</f>
        <v>#VALUE!</v>
      </c>
      <c r="CI123" t="e">
        <f>'All regions'!D3391+"$F;@!&amp;{x"</f>
        <v>#VALUE!</v>
      </c>
      <c r="CJ123" t="e">
        <f>'All regions'!E3391+"$F;@!&amp;{y"</f>
        <v>#VALUE!</v>
      </c>
      <c r="CK123" t="e">
        <f>'All regions'!F3391+"$F;@!&amp;{z"</f>
        <v>#VALUE!</v>
      </c>
      <c r="CL123" t="e">
        <f>'All regions'!G3391+"$F;@!&amp;{{"</f>
        <v>#VALUE!</v>
      </c>
      <c r="CM123" t="e">
        <f>'All regions'!H3391+"$F;@!&amp;{|"</f>
        <v>#VALUE!</v>
      </c>
      <c r="CN123" t="e">
        <f>'All regions'!I3391+"$F;@!&amp;{}"</f>
        <v>#VALUE!</v>
      </c>
      <c r="CO123" t="e">
        <f>'All regions'!A3392+"$F;@!&amp;{~"</f>
        <v>#VALUE!</v>
      </c>
      <c r="CP123" t="e">
        <f>'All regions'!B3392+"$F;@!&amp;|#"</f>
        <v>#VALUE!</v>
      </c>
      <c r="CQ123" t="e">
        <f>'All regions'!C3392+"$F;@!&amp;|$"</f>
        <v>#VALUE!</v>
      </c>
      <c r="CR123" t="e">
        <f>'All regions'!D3392+"$F;@!&amp;|%"</f>
        <v>#VALUE!</v>
      </c>
      <c r="CS123" t="e">
        <f>'All regions'!E3392+"$F;@!&amp;|&amp;"</f>
        <v>#VALUE!</v>
      </c>
      <c r="CT123" t="e">
        <f>'All regions'!F3392+"$F;@!&amp;|'"</f>
        <v>#VALUE!</v>
      </c>
      <c r="CU123" t="e">
        <f>'All regions'!G3392+"$F;@!&amp;|("</f>
        <v>#VALUE!</v>
      </c>
      <c r="CV123" t="e">
        <f>'All regions'!H3392+"$F;@!&amp;|)"</f>
        <v>#VALUE!</v>
      </c>
      <c r="CW123" t="e">
        <f>'All regions'!I3392+"$F;@!&amp;|."</f>
        <v>#VALUE!</v>
      </c>
      <c r="CX123" t="e">
        <f>'All regions'!A3393+"$F;@!&amp;|/"</f>
        <v>#VALUE!</v>
      </c>
      <c r="CY123" t="e">
        <f>'All regions'!B3393+"$F;@!&amp;|0"</f>
        <v>#VALUE!</v>
      </c>
      <c r="CZ123" t="e">
        <f>'All regions'!C3393+"$F;@!&amp;|1"</f>
        <v>#VALUE!</v>
      </c>
      <c r="DA123" t="e">
        <f>'All regions'!D3393+"$F;@!&amp;|2"</f>
        <v>#VALUE!</v>
      </c>
      <c r="DB123" t="e">
        <f>'All regions'!E3393+"$F;@!&amp;|3"</f>
        <v>#VALUE!</v>
      </c>
      <c r="DC123" t="e">
        <f>'All regions'!F3393+"$F;@!&amp;|4"</f>
        <v>#VALUE!</v>
      </c>
      <c r="DD123" t="e">
        <f>'All regions'!G3393+"$F;@!&amp;|5"</f>
        <v>#VALUE!</v>
      </c>
      <c r="DE123" t="e">
        <f>'All regions'!H3393+"$F;@!&amp;|6"</f>
        <v>#VALUE!</v>
      </c>
      <c r="DF123" t="e">
        <f>'All regions'!I3393+"$F;@!&amp;|7"</f>
        <v>#VALUE!</v>
      </c>
      <c r="DG123" t="e">
        <f>'All regions'!A3395+"$F;@!&amp;|8"</f>
        <v>#VALUE!</v>
      </c>
      <c r="DH123" t="e">
        <f>'All regions'!B3395+"$F;@!&amp;|9"</f>
        <v>#VALUE!</v>
      </c>
      <c r="DI123" t="e">
        <f>'All regions'!C3395+"$F;@!&amp;|:"</f>
        <v>#VALUE!</v>
      </c>
      <c r="DJ123" t="e">
        <f>'All regions'!D3395+"$F;@!&amp;|;"</f>
        <v>#VALUE!</v>
      </c>
      <c r="DK123" t="e">
        <f>'All regions'!E3395+"$F;@!&amp;|&lt;"</f>
        <v>#VALUE!</v>
      </c>
      <c r="DL123" t="e">
        <f>'All regions'!F3395+"$F;@!&amp;|="</f>
        <v>#VALUE!</v>
      </c>
      <c r="DM123" t="e">
        <f>'All regions'!G3395+"$F;@!&amp;|&gt;"</f>
        <v>#VALUE!</v>
      </c>
      <c r="DN123" t="e">
        <f>'All regions'!H3395+"$F;@!&amp;|?"</f>
        <v>#VALUE!</v>
      </c>
      <c r="DO123" t="e">
        <f>'All regions'!I3395+"$F;@!&amp;|@"</f>
        <v>#VALUE!</v>
      </c>
      <c r="DP123" t="e">
        <f>'All regions'!A3396+"$F;@!&amp;|A"</f>
        <v>#VALUE!</v>
      </c>
      <c r="DQ123" t="e">
        <f>'All regions'!B3396+"$F;@!&amp;|B"</f>
        <v>#VALUE!</v>
      </c>
      <c r="DR123" t="e">
        <f>'All regions'!C3396+"$F;@!&amp;|C"</f>
        <v>#VALUE!</v>
      </c>
      <c r="DS123" t="e">
        <f>'All regions'!D3396+"$F;@!&amp;|D"</f>
        <v>#VALUE!</v>
      </c>
      <c r="DT123" t="e">
        <f>'All regions'!E3396+"$F;@!&amp;|E"</f>
        <v>#VALUE!</v>
      </c>
      <c r="DU123" t="e">
        <f>'All regions'!F3396+"$F;@!&amp;|F"</f>
        <v>#VALUE!</v>
      </c>
      <c r="DV123" t="e">
        <f>'All regions'!G3396+"$F;@!&amp;|G"</f>
        <v>#VALUE!</v>
      </c>
      <c r="DW123" t="e">
        <f>'All regions'!H3396+"$F;@!&amp;|H"</f>
        <v>#VALUE!</v>
      </c>
      <c r="DX123" t="e">
        <f>'All regions'!I3396+"$F;@!&amp;|I"</f>
        <v>#VALUE!</v>
      </c>
      <c r="DY123" t="e">
        <f>'All regions'!A3397+"$F;@!&amp;|J"</f>
        <v>#VALUE!</v>
      </c>
      <c r="DZ123" t="e">
        <f>'All regions'!B3397+"$F;@!&amp;|K"</f>
        <v>#VALUE!</v>
      </c>
      <c r="EA123" t="e">
        <f>'All regions'!C3397+"$F;@!&amp;|L"</f>
        <v>#VALUE!</v>
      </c>
      <c r="EB123" t="e">
        <f>'All regions'!D3397+"$F;@!&amp;|M"</f>
        <v>#VALUE!</v>
      </c>
      <c r="EC123" t="e">
        <f>'All regions'!E3397+"$F;@!&amp;|N"</f>
        <v>#VALUE!</v>
      </c>
      <c r="ED123" t="e">
        <f>'All regions'!F3397+"$F;@!&amp;|O"</f>
        <v>#VALUE!</v>
      </c>
      <c r="EE123" t="e">
        <f>'All regions'!G3397+"$F;@!&amp;|P"</f>
        <v>#VALUE!</v>
      </c>
      <c r="EF123" t="e">
        <f>'All regions'!H3397+"$F;@!&amp;|Q"</f>
        <v>#VALUE!</v>
      </c>
      <c r="EG123" t="e">
        <f>'All regions'!I3397+"$F;@!&amp;|R"</f>
        <v>#VALUE!</v>
      </c>
      <c r="EH123" t="e">
        <f>'All regions'!A3398+"$F;@!&amp;|S"</f>
        <v>#VALUE!</v>
      </c>
      <c r="EI123" t="e">
        <f>'All regions'!B3398+"$F;@!&amp;|T"</f>
        <v>#VALUE!</v>
      </c>
      <c r="EJ123" t="e">
        <f>'All regions'!C3398+"$F;@!&amp;|U"</f>
        <v>#VALUE!</v>
      </c>
      <c r="EK123" t="e">
        <f>'All regions'!D3398+"$F;@!&amp;|V"</f>
        <v>#VALUE!</v>
      </c>
      <c r="EL123" t="e">
        <f>'All regions'!E3398+"$F;@!&amp;|W"</f>
        <v>#VALUE!</v>
      </c>
      <c r="EM123" t="e">
        <f>'All regions'!F3398+"$F;@!&amp;|X"</f>
        <v>#VALUE!</v>
      </c>
      <c r="EN123" t="e">
        <f>'All regions'!G3398+"$F;@!&amp;|Y"</f>
        <v>#VALUE!</v>
      </c>
      <c r="EO123" t="e">
        <f>'All regions'!H3398+"$F;@!&amp;|Z"</f>
        <v>#VALUE!</v>
      </c>
      <c r="EP123" t="e">
        <f>'All regions'!I3398+"$F;@!&amp;|["</f>
        <v>#VALUE!</v>
      </c>
      <c r="EQ123" t="e">
        <f>'All regions'!A3399+"$F;@!&amp;|\"</f>
        <v>#VALUE!</v>
      </c>
      <c r="ER123" t="e">
        <f>'All regions'!B3399+"$F;@!&amp;|]"</f>
        <v>#VALUE!</v>
      </c>
      <c r="ES123" t="e">
        <f>'All regions'!C3399+"$F;@!&amp;|^"</f>
        <v>#VALUE!</v>
      </c>
      <c r="ET123" t="e">
        <f>'All regions'!D3399+"$F;@!&amp;|_"</f>
        <v>#VALUE!</v>
      </c>
      <c r="EU123" t="e">
        <f>'All regions'!E3399+"$F;@!&amp;|`"</f>
        <v>#VALUE!</v>
      </c>
      <c r="EV123" t="e">
        <f>'All regions'!F3399+"$F;@!&amp;|a"</f>
        <v>#VALUE!</v>
      </c>
      <c r="EW123" t="e">
        <f>'All regions'!G3399+"$F;@!&amp;|b"</f>
        <v>#VALUE!</v>
      </c>
      <c r="EX123" t="e">
        <f>'All regions'!H3399+"$F;@!&amp;|c"</f>
        <v>#VALUE!</v>
      </c>
      <c r="EY123" t="e">
        <f>'All regions'!I3399+"$F;@!&amp;|d"</f>
        <v>#VALUE!</v>
      </c>
      <c r="EZ123" t="e">
        <f>'All regions'!A3400+"$F;@!&amp;|e"</f>
        <v>#VALUE!</v>
      </c>
      <c r="FA123" t="e">
        <f>'All regions'!B3400+"$F;@!&amp;|f"</f>
        <v>#VALUE!</v>
      </c>
      <c r="FB123" t="e">
        <f>'All regions'!C3400+"$F;@!&amp;|g"</f>
        <v>#VALUE!</v>
      </c>
      <c r="FC123" t="e">
        <f>'All regions'!D3400+"$F;@!&amp;|h"</f>
        <v>#VALUE!</v>
      </c>
      <c r="FD123" t="e">
        <f>'All regions'!E3400+"$F;@!&amp;|i"</f>
        <v>#VALUE!</v>
      </c>
      <c r="FE123" t="e">
        <f>'All regions'!F3400+"$F;@!&amp;|j"</f>
        <v>#VALUE!</v>
      </c>
      <c r="FF123" t="e">
        <f>'All regions'!H3400+"$F;@!&amp;|k"</f>
        <v>#VALUE!</v>
      </c>
      <c r="FG123" t="e">
        <f>'All regions'!I3400+"$F;@!&amp;|l"</f>
        <v>#VALUE!</v>
      </c>
      <c r="FH123" t="e">
        <f>'All regions'!A3401+"$F;@!&amp;|m"</f>
        <v>#VALUE!</v>
      </c>
      <c r="FI123" t="e">
        <f>'All regions'!B3401+"$F;@!&amp;|n"</f>
        <v>#VALUE!</v>
      </c>
      <c r="FJ123" t="e">
        <f>'All regions'!C3401+"$F;@!&amp;|o"</f>
        <v>#VALUE!</v>
      </c>
      <c r="FK123" t="e">
        <f>'All regions'!D3401+"$F;@!&amp;|p"</f>
        <v>#VALUE!</v>
      </c>
      <c r="FL123" t="e">
        <f>'All regions'!E3401+"$F;@!&amp;|q"</f>
        <v>#VALUE!</v>
      </c>
      <c r="FM123" t="e">
        <f>'All regions'!F3401+"$F;@!&amp;|r"</f>
        <v>#VALUE!</v>
      </c>
      <c r="FN123" t="e">
        <f>'All regions'!G3401+"$F;@!&amp;|s"</f>
        <v>#VALUE!</v>
      </c>
      <c r="FO123" t="e">
        <f>'All regions'!H3401+"$F;@!&amp;|t"</f>
        <v>#VALUE!</v>
      </c>
      <c r="FP123" t="e">
        <f>'All regions'!I3401+"$F;@!&amp;|u"</f>
        <v>#VALUE!</v>
      </c>
      <c r="FQ123" t="e">
        <f>'All regions'!A3402+"$F;@!&amp;|v"</f>
        <v>#VALUE!</v>
      </c>
      <c r="FR123" t="e">
        <f>'All regions'!B3402+"$F;@!&amp;|w"</f>
        <v>#VALUE!</v>
      </c>
      <c r="FS123" t="e">
        <f>'All regions'!C3402+"$F;@!&amp;|x"</f>
        <v>#VALUE!</v>
      </c>
      <c r="FT123" t="e">
        <f>'All regions'!D3402+"$F;@!&amp;|y"</f>
        <v>#VALUE!</v>
      </c>
      <c r="FU123" t="e">
        <f>'All regions'!E3402+"$F;@!&amp;|z"</f>
        <v>#VALUE!</v>
      </c>
      <c r="FV123" t="e">
        <f>'All regions'!F3402+"$F;@!&amp;|{"</f>
        <v>#VALUE!</v>
      </c>
      <c r="FW123" t="e">
        <f>'All regions'!G3402+"$F;@!&amp;||"</f>
        <v>#VALUE!</v>
      </c>
      <c r="FX123" t="e">
        <f>'All regions'!H3402+"$F;@!&amp;|}"</f>
        <v>#VALUE!</v>
      </c>
      <c r="FY123" t="e">
        <f>'All regions'!I3402+"$F;@!&amp;|~"</f>
        <v>#VALUE!</v>
      </c>
      <c r="FZ123" t="e">
        <f>'All regions'!A3403+"$F;@!&amp;}#"</f>
        <v>#VALUE!</v>
      </c>
      <c r="GA123" t="e">
        <f>'All regions'!B3403+"$F;@!&amp;}$"</f>
        <v>#VALUE!</v>
      </c>
      <c r="GB123" t="e">
        <f>'All regions'!C3403+"$F;@!&amp;}%"</f>
        <v>#VALUE!</v>
      </c>
      <c r="GC123" t="e">
        <f>'All regions'!D3403+"$F;@!&amp;}&amp;"</f>
        <v>#VALUE!</v>
      </c>
      <c r="GD123" t="e">
        <f>'All regions'!E3403+"$F;@!&amp;}'"</f>
        <v>#VALUE!</v>
      </c>
      <c r="GE123" t="e">
        <f>'All regions'!F3403+"$F;@!&amp;}("</f>
        <v>#VALUE!</v>
      </c>
      <c r="GF123" t="e">
        <f>'All regions'!G3403+"$F;@!&amp;})"</f>
        <v>#VALUE!</v>
      </c>
      <c r="GG123" t="e">
        <f>'All regions'!H3403+"$F;@!&amp;}."</f>
        <v>#VALUE!</v>
      </c>
      <c r="GH123" t="e">
        <f>'All regions'!I3403+"$F;@!&amp;}/"</f>
        <v>#VALUE!</v>
      </c>
      <c r="GI123" t="e">
        <f>'All regions'!A3404+"$F;@!&amp;}0"</f>
        <v>#VALUE!</v>
      </c>
      <c r="GJ123" t="e">
        <f>'All regions'!B3404+"$F;@!&amp;}1"</f>
        <v>#VALUE!</v>
      </c>
      <c r="GK123" t="e">
        <f>'All regions'!C3404+"$F;@!&amp;}2"</f>
        <v>#VALUE!</v>
      </c>
      <c r="GL123" t="e">
        <f>'All regions'!D3404+"$F;@!&amp;}3"</f>
        <v>#VALUE!</v>
      </c>
      <c r="GM123" t="e">
        <f>'All regions'!E3404+"$F;@!&amp;}4"</f>
        <v>#VALUE!</v>
      </c>
      <c r="GN123" t="e">
        <f>'All regions'!F3404+"$F;@!&amp;}5"</f>
        <v>#VALUE!</v>
      </c>
      <c r="GO123" t="e">
        <f>'All regions'!G3404+"$F;@!&amp;}6"</f>
        <v>#VALUE!</v>
      </c>
      <c r="GP123" t="e">
        <f>'All regions'!H3404+"$F;@!&amp;}7"</f>
        <v>#VALUE!</v>
      </c>
      <c r="GQ123" t="e">
        <f>'All regions'!I3404+"$F;@!&amp;}8"</f>
        <v>#VALUE!</v>
      </c>
      <c r="GR123" t="e">
        <f>'All regions'!A3405+"$F;@!&amp;}9"</f>
        <v>#VALUE!</v>
      </c>
      <c r="GS123" t="e">
        <f>'All regions'!B3405+"$F;@!&amp;}:"</f>
        <v>#VALUE!</v>
      </c>
      <c r="GT123" t="e">
        <f>'All regions'!C3405+"$F;@!&amp;};"</f>
        <v>#VALUE!</v>
      </c>
      <c r="GU123" t="e">
        <f>'All regions'!D3405+"$F;@!&amp;}&lt;"</f>
        <v>#VALUE!</v>
      </c>
      <c r="GV123" t="e">
        <f>'All regions'!E3405+"$F;@!&amp;}="</f>
        <v>#VALUE!</v>
      </c>
      <c r="GW123" t="e">
        <f>'All regions'!F3405+"$F;@!&amp;}&gt;"</f>
        <v>#VALUE!</v>
      </c>
      <c r="GX123" t="e">
        <f>'All regions'!G3405+"$F;@!&amp;}?"</f>
        <v>#VALUE!</v>
      </c>
      <c r="GY123" t="e">
        <f>'All regions'!H3405+"$F;@!&amp;}@"</f>
        <v>#VALUE!</v>
      </c>
      <c r="GZ123" t="e">
        <f>'All regions'!I3405+"$F;@!&amp;}A"</f>
        <v>#VALUE!</v>
      </c>
      <c r="HA123" t="e">
        <f>'All regions'!A3406+"$F;@!&amp;}B"</f>
        <v>#VALUE!</v>
      </c>
      <c r="HB123" t="e">
        <f>'All regions'!B3406+"$F;@!&amp;}C"</f>
        <v>#VALUE!</v>
      </c>
      <c r="HC123" t="e">
        <f>'All regions'!C3406+"$F;@!&amp;}D"</f>
        <v>#VALUE!</v>
      </c>
      <c r="HD123" t="e">
        <f>'All regions'!D3406+"$F;@!&amp;}E"</f>
        <v>#VALUE!</v>
      </c>
      <c r="HE123" t="e">
        <f>'All regions'!E3406+"$F;@!&amp;}F"</f>
        <v>#VALUE!</v>
      </c>
      <c r="HF123" t="e">
        <f>'All regions'!F3406+"$F;@!&amp;}G"</f>
        <v>#VALUE!</v>
      </c>
      <c r="HG123" t="e">
        <f>'All regions'!G3406+"$F;@!&amp;}H"</f>
        <v>#VALUE!</v>
      </c>
      <c r="HH123" t="e">
        <f>'All regions'!H3406+"$F;@!&amp;}I"</f>
        <v>#VALUE!</v>
      </c>
      <c r="HI123" t="e">
        <f>'All regions'!I3406+"$F;@!&amp;}J"</f>
        <v>#VALUE!</v>
      </c>
      <c r="HJ123" t="e">
        <f>'All regions'!A3407+"$F;@!&amp;}K"</f>
        <v>#VALUE!</v>
      </c>
      <c r="HK123" t="e">
        <f>'All regions'!B3407+"$F;@!&amp;}L"</f>
        <v>#VALUE!</v>
      </c>
      <c r="HL123" t="e">
        <f>'All regions'!C3407+"$F;@!&amp;}M"</f>
        <v>#VALUE!</v>
      </c>
      <c r="HM123" t="e">
        <f>'All regions'!D3407+"$F;@!&amp;}N"</f>
        <v>#VALUE!</v>
      </c>
      <c r="HN123" t="e">
        <f>'All regions'!E3407+"$F;@!&amp;}O"</f>
        <v>#VALUE!</v>
      </c>
      <c r="HO123" t="e">
        <f>'All regions'!F3407+"$F;@!&amp;}P"</f>
        <v>#VALUE!</v>
      </c>
      <c r="HP123" t="e">
        <f>'All regions'!G3407+"$F;@!&amp;}Q"</f>
        <v>#VALUE!</v>
      </c>
      <c r="HQ123" t="e">
        <f>'All regions'!H3407+"$F;@!&amp;}R"</f>
        <v>#VALUE!</v>
      </c>
      <c r="HR123" t="e">
        <f>'All regions'!I3407+"$F;@!&amp;}S"</f>
        <v>#VALUE!</v>
      </c>
      <c r="HS123" t="e">
        <f>'All regions'!A3408+"$F;@!&amp;}T"</f>
        <v>#VALUE!</v>
      </c>
      <c r="HT123" t="e">
        <f>'All regions'!B3408+"$F;@!&amp;}U"</f>
        <v>#VALUE!</v>
      </c>
      <c r="HU123" t="e">
        <f>'All regions'!C3408+"$F;@!&amp;}V"</f>
        <v>#VALUE!</v>
      </c>
      <c r="HV123" t="e">
        <f>'All regions'!D3408+"$F;@!&amp;}W"</f>
        <v>#VALUE!</v>
      </c>
      <c r="HW123" t="e">
        <f>'All regions'!E3408+"$F;@!&amp;}X"</f>
        <v>#VALUE!</v>
      </c>
      <c r="HX123" t="e">
        <f>'All regions'!F3408+"$F;@!&amp;}Y"</f>
        <v>#VALUE!</v>
      </c>
      <c r="HY123" t="e">
        <f>'All regions'!G3408+"$F;@!&amp;}Z"</f>
        <v>#VALUE!</v>
      </c>
      <c r="HZ123" t="e">
        <f>'All regions'!H3408+"$F;@!&amp;}["</f>
        <v>#VALUE!</v>
      </c>
      <c r="IA123" t="e">
        <f>'All regions'!I3408+"$F;@!&amp;}\"</f>
        <v>#VALUE!</v>
      </c>
      <c r="IB123" t="e">
        <f>'All regions'!A3409+"$F;@!&amp;}]"</f>
        <v>#VALUE!</v>
      </c>
      <c r="IC123" t="e">
        <f>'All regions'!B3409+"$F;@!&amp;}^"</f>
        <v>#VALUE!</v>
      </c>
      <c r="ID123" t="e">
        <f>'All regions'!C3409+"$F;@!&amp;}_"</f>
        <v>#VALUE!</v>
      </c>
      <c r="IE123" t="e">
        <f>'All regions'!D3409+"$F;@!&amp;}`"</f>
        <v>#VALUE!</v>
      </c>
      <c r="IF123" t="e">
        <f>'All regions'!E3409+"$F;@!&amp;}a"</f>
        <v>#VALUE!</v>
      </c>
      <c r="IG123" t="e">
        <f>'All regions'!F3409+"$F;@!&amp;}b"</f>
        <v>#VALUE!</v>
      </c>
      <c r="IH123" t="e">
        <f>'All regions'!G3409+"$F;@!&amp;}c"</f>
        <v>#VALUE!</v>
      </c>
      <c r="II123" t="e">
        <f>'All regions'!H3409+"$F;@!&amp;}d"</f>
        <v>#VALUE!</v>
      </c>
      <c r="IJ123" t="e">
        <f>'All regions'!I3409+"$F;@!&amp;}e"</f>
        <v>#VALUE!</v>
      </c>
      <c r="IK123" t="e">
        <f>'All regions'!A3410+"$F;@!&amp;}f"</f>
        <v>#VALUE!</v>
      </c>
      <c r="IL123" t="e">
        <f>'All regions'!B3410+"$F;@!&amp;}g"</f>
        <v>#VALUE!</v>
      </c>
      <c r="IM123" t="e">
        <f>'All regions'!C3410+"$F;@!&amp;}h"</f>
        <v>#VALUE!</v>
      </c>
      <c r="IN123" t="e">
        <f>'All regions'!D3410+"$F;@!&amp;}i"</f>
        <v>#VALUE!</v>
      </c>
      <c r="IO123" t="e">
        <f>'All regions'!E3410+"$F;@!&amp;}j"</f>
        <v>#VALUE!</v>
      </c>
      <c r="IP123" t="e">
        <f>'All regions'!F3410+"$F;@!&amp;}k"</f>
        <v>#VALUE!</v>
      </c>
      <c r="IQ123" t="e">
        <f>'All regions'!G3410+"$F;@!&amp;}l"</f>
        <v>#VALUE!</v>
      </c>
      <c r="IR123" t="e">
        <f>'All regions'!H3410+"$F;@!&amp;}m"</f>
        <v>#VALUE!</v>
      </c>
      <c r="IS123" t="e">
        <f>'All regions'!I3410+"$F;@!&amp;}n"</f>
        <v>#VALUE!</v>
      </c>
      <c r="IT123" t="e">
        <f>'All regions'!A3411+"$F;@!&amp;}o"</f>
        <v>#VALUE!</v>
      </c>
      <c r="IU123" t="e">
        <f>'All regions'!B3411+"$F;@!&amp;}p"</f>
        <v>#VALUE!</v>
      </c>
      <c r="IV123" t="e">
        <f>'All regions'!C3411+"$F;@!&amp;}q"</f>
        <v>#VALUE!</v>
      </c>
    </row>
    <row r="124" spans="6:256" x14ac:dyDescent="0.35">
      <c r="F124" t="e">
        <f>'All regions'!D3411+"$F;@!&amp;}r"</f>
        <v>#VALUE!</v>
      </c>
      <c r="G124" t="e">
        <f>'All regions'!E3411+"$F;@!&amp;}s"</f>
        <v>#VALUE!</v>
      </c>
      <c r="H124" t="e">
        <f>'All regions'!F3411+"$F;@!&amp;}t"</f>
        <v>#VALUE!</v>
      </c>
      <c r="I124" t="e">
        <f>'All regions'!G3411+"$F;@!&amp;}u"</f>
        <v>#VALUE!</v>
      </c>
      <c r="J124" t="e">
        <f>'All regions'!H3411+"$F;@!&amp;}v"</f>
        <v>#VALUE!</v>
      </c>
      <c r="K124" t="e">
        <f>'All regions'!I3411+"$F;@!&amp;}w"</f>
        <v>#VALUE!</v>
      </c>
      <c r="L124" t="e">
        <f>'All regions'!A3412+"$F;@!&amp;}x"</f>
        <v>#VALUE!</v>
      </c>
      <c r="M124" t="e">
        <f>'All regions'!B3412+"$F;@!&amp;}y"</f>
        <v>#VALUE!</v>
      </c>
      <c r="N124" t="e">
        <f>'All regions'!C3412+"$F;@!&amp;}z"</f>
        <v>#VALUE!</v>
      </c>
      <c r="O124" t="e">
        <f>'All regions'!D3412+"$F;@!&amp;}{"</f>
        <v>#VALUE!</v>
      </c>
      <c r="P124" t="e">
        <f>'All regions'!E3412+"$F;@!&amp;}|"</f>
        <v>#VALUE!</v>
      </c>
      <c r="Q124" t="e">
        <f>'All regions'!F3412+"$F;@!&amp;}}"</f>
        <v>#VALUE!</v>
      </c>
      <c r="R124" t="e">
        <f>'All regions'!G3412+"$F;@!&amp;}~"</f>
        <v>#VALUE!</v>
      </c>
      <c r="S124" t="e">
        <f>'All regions'!H3412+"$F;@!&amp;~#"</f>
        <v>#VALUE!</v>
      </c>
      <c r="T124" t="e">
        <f>'All regions'!I3412+"$F;@!&amp;~$"</f>
        <v>#VALUE!</v>
      </c>
      <c r="U124" t="e">
        <f>'All regions'!A3413+"$F;@!&amp;~%"</f>
        <v>#VALUE!</v>
      </c>
      <c r="V124" t="e">
        <f>'All regions'!B3413+"$F;@!&amp;~&amp;"</f>
        <v>#VALUE!</v>
      </c>
      <c r="W124" t="e">
        <f>'All regions'!C3413+"$F;@!&amp;~'"</f>
        <v>#VALUE!</v>
      </c>
      <c r="X124" t="e">
        <f>'All regions'!D3413+"$F;@!&amp;~("</f>
        <v>#VALUE!</v>
      </c>
      <c r="Y124" t="e">
        <f>'All regions'!E3413+"$F;@!&amp;~)"</f>
        <v>#VALUE!</v>
      </c>
      <c r="Z124" t="e">
        <f>'All regions'!F3413+"$F;@!&amp;~."</f>
        <v>#VALUE!</v>
      </c>
      <c r="AA124" t="e">
        <f>'All regions'!G3413+"$F;@!&amp;~/"</f>
        <v>#VALUE!</v>
      </c>
      <c r="AB124" t="e">
        <f>'All regions'!H3413+"$F;@!&amp;~0"</f>
        <v>#VALUE!</v>
      </c>
      <c r="AC124" t="e">
        <f>'All regions'!I3413+"$F;@!&amp;~1"</f>
        <v>#VALUE!</v>
      </c>
      <c r="AD124" t="e">
        <f>'All regions'!A3414+"$F;@!&amp;~2"</f>
        <v>#VALUE!</v>
      </c>
      <c r="AE124" t="e">
        <f>'All regions'!B3414+"$F;@!&amp;~3"</f>
        <v>#VALUE!</v>
      </c>
      <c r="AF124" t="e">
        <f>'All regions'!C3414+"$F;@!&amp;~4"</f>
        <v>#VALUE!</v>
      </c>
      <c r="AG124" t="e">
        <f>'All regions'!D3414+"$F;@!&amp;~5"</f>
        <v>#VALUE!</v>
      </c>
      <c r="AH124" t="e">
        <f>'All regions'!E3414+"$F;@!&amp;~6"</f>
        <v>#VALUE!</v>
      </c>
      <c r="AI124" t="e">
        <f>'All regions'!F3414+"$F;@!&amp;~7"</f>
        <v>#VALUE!</v>
      </c>
      <c r="AJ124" t="e">
        <f>'All regions'!G3414+"$F;@!&amp;~8"</f>
        <v>#VALUE!</v>
      </c>
      <c r="AK124" t="e">
        <f>'All regions'!H3414+"$F;@!&amp;~9"</f>
        <v>#VALUE!</v>
      </c>
      <c r="AL124" t="e">
        <f>'All regions'!I3414+"$F;@!&amp;~:"</f>
        <v>#VALUE!</v>
      </c>
      <c r="AM124" t="e">
        <f>'All regions'!A3415+"$F;@!&amp;~;"</f>
        <v>#VALUE!</v>
      </c>
      <c r="AN124" t="e">
        <f>'All regions'!B3415+"$F;@!&amp;~&lt;"</f>
        <v>#VALUE!</v>
      </c>
      <c r="AO124" t="e">
        <f>'All regions'!C3415+"$F;@!&amp;~="</f>
        <v>#VALUE!</v>
      </c>
      <c r="AP124" t="e">
        <f>'All regions'!D3415+"$F;@!&amp;~&gt;"</f>
        <v>#VALUE!</v>
      </c>
      <c r="AQ124" t="e">
        <f>'All regions'!E3415+"$F;@!&amp;~?"</f>
        <v>#VALUE!</v>
      </c>
      <c r="AR124" t="e">
        <f>'All regions'!F3415+"$F;@!&amp;~@"</f>
        <v>#VALUE!</v>
      </c>
      <c r="AS124" t="e">
        <f>'All regions'!G3415+"$F;@!&amp;~A"</f>
        <v>#VALUE!</v>
      </c>
      <c r="AT124" t="e">
        <f>'All regions'!H3415+"$F;@!&amp;~B"</f>
        <v>#VALUE!</v>
      </c>
      <c r="AU124" t="e">
        <f>'All regions'!I3415+"$F;@!&amp;~C"</f>
        <v>#VALUE!</v>
      </c>
      <c r="AV124" t="e">
        <f>'All regions'!A3416+"$F;@!&amp;~D"</f>
        <v>#VALUE!</v>
      </c>
      <c r="AW124" t="e">
        <f>'All regions'!B3416+"$F;@!&amp;~E"</f>
        <v>#VALUE!</v>
      </c>
      <c r="AX124" t="e">
        <f>'All regions'!C3416+"$F;@!&amp;~F"</f>
        <v>#VALUE!</v>
      </c>
      <c r="AY124" t="e">
        <f>'All regions'!D3416+"$F;@!&amp;~G"</f>
        <v>#VALUE!</v>
      </c>
      <c r="AZ124" t="e">
        <f>'All regions'!E3416+"$F;@!&amp;~H"</f>
        <v>#VALUE!</v>
      </c>
      <c r="BA124" t="e">
        <f>'All regions'!F3416+"$F;@!&amp;~I"</f>
        <v>#VALUE!</v>
      </c>
      <c r="BB124" t="e">
        <f>'All regions'!G3416+"$F;@!&amp;~J"</f>
        <v>#VALUE!</v>
      </c>
      <c r="BC124" t="e">
        <f>'All regions'!H3416+"$F;@!&amp;~K"</f>
        <v>#VALUE!</v>
      </c>
      <c r="BD124" t="e">
        <f>'All regions'!I3416+"$F;@!&amp;~L"</f>
        <v>#VALUE!</v>
      </c>
      <c r="BE124" t="e">
        <f>'All regions'!A3417+"$F;@!&amp;~M"</f>
        <v>#VALUE!</v>
      </c>
      <c r="BF124" t="e">
        <f>'All regions'!B3417+"$F;@!&amp;~N"</f>
        <v>#VALUE!</v>
      </c>
      <c r="BG124" t="e">
        <f>'All regions'!C3417+"$F;@!&amp;~O"</f>
        <v>#VALUE!</v>
      </c>
      <c r="BH124" t="e">
        <f>'All regions'!D3417+"$F;@!&amp;~P"</f>
        <v>#VALUE!</v>
      </c>
      <c r="BI124" t="e">
        <f>'All regions'!E3417+"$F;@!&amp;~Q"</f>
        <v>#VALUE!</v>
      </c>
      <c r="BJ124" t="e">
        <f>'All regions'!F3417+"$F;@!&amp;~R"</f>
        <v>#VALUE!</v>
      </c>
      <c r="BK124" t="e">
        <f>'All regions'!G3417+"$F;@!&amp;~S"</f>
        <v>#VALUE!</v>
      </c>
      <c r="BL124" t="e">
        <f>'All regions'!H3417+"$F;@!&amp;~T"</f>
        <v>#VALUE!</v>
      </c>
      <c r="BM124" t="e">
        <f>'All regions'!I3417+"$F;@!&amp;~U"</f>
        <v>#VALUE!</v>
      </c>
      <c r="BN124" t="e">
        <f>'All regions'!A3418+"$F;@!&amp;~V"</f>
        <v>#VALUE!</v>
      </c>
      <c r="BO124" t="e">
        <f>'All regions'!B3418+"$F;@!&amp;~W"</f>
        <v>#VALUE!</v>
      </c>
      <c r="BP124" t="e">
        <f>'All regions'!C3418+"$F;@!&amp;~X"</f>
        <v>#VALUE!</v>
      </c>
      <c r="BQ124" t="e">
        <f>'All regions'!D3418+"$F;@!&amp;~Y"</f>
        <v>#VALUE!</v>
      </c>
      <c r="BR124" t="e">
        <f>'All regions'!E3418+"$F;@!&amp;~Z"</f>
        <v>#VALUE!</v>
      </c>
      <c r="BS124" t="e">
        <f>'All regions'!F3418+"$F;@!&amp;~["</f>
        <v>#VALUE!</v>
      </c>
      <c r="BT124" t="e">
        <f>'All regions'!G3418+"$F;@!&amp;~\"</f>
        <v>#VALUE!</v>
      </c>
      <c r="BU124" t="e">
        <f>'All regions'!H3418+"$F;@!&amp;~]"</f>
        <v>#VALUE!</v>
      </c>
      <c r="BV124" t="e">
        <f>'All regions'!I3418+"$F;@!&amp;~^"</f>
        <v>#VALUE!</v>
      </c>
      <c r="BW124" t="e">
        <f>'All regions'!A3419+"$F;@!&amp;~_"</f>
        <v>#VALUE!</v>
      </c>
      <c r="BX124" t="e">
        <f>'All regions'!B3419+"$F;@!&amp;~`"</f>
        <v>#VALUE!</v>
      </c>
      <c r="BY124" t="e">
        <f>'All regions'!C3419+"$F;@!&amp;~a"</f>
        <v>#VALUE!</v>
      </c>
      <c r="BZ124" t="e">
        <f>'All regions'!D3419+"$F;@!&amp;~b"</f>
        <v>#VALUE!</v>
      </c>
      <c r="CA124" t="e">
        <f>'All regions'!E3419+"$F;@!&amp;~c"</f>
        <v>#VALUE!</v>
      </c>
      <c r="CB124" t="e">
        <f>'All regions'!F3419+"$F;@!&amp;~d"</f>
        <v>#VALUE!</v>
      </c>
      <c r="CC124" t="e">
        <f>'All regions'!G3419+"$F;@!&amp;~e"</f>
        <v>#VALUE!</v>
      </c>
      <c r="CD124" t="e">
        <f>'All regions'!H3419+"$F;@!&amp;~f"</f>
        <v>#VALUE!</v>
      </c>
      <c r="CE124" t="e">
        <f>'All regions'!I3419+"$F;@!&amp;~g"</f>
        <v>#VALUE!</v>
      </c>
      <c r="CF124" t="e">
        <f>'All regions'!A3420+"$F;@!&amp;~h"</f>
        <v>#VALUE!</v>
      </c>
      <c r="CG124" t="e">
        <f>'All regions'!B3420+"$F;@!&amp;~i"</f>
        <v>#VALUE!</v>
      </c>
      <c r="CH124" t="e">
        <f>'All regions'!C3420+"$F;@!&amp;~j"</f>
        <v>#VALUE!</v>
      </c>
      <c r="CI124" t="e">
        <f>'All regions'!D3420+"$F;@!&amp;~k"</f>
        <v>#VALUE!</v>
      </c>
      <c r="CJ124" t="e">
        <f>'All regions'!E3420+"$F;@!&amp;~l"</f>
        <v>#VALUE!</v>
      </c>
      <c r="CK124" t="e">
        <f>'All regions'!F3420+"$F;@!&amp;~m"</f>
        <v>#VALUE!</v>
      </c>
      <c r="CL124" t="e">
        <f>'All regions'!G3420+"$F;@!&amp;~n"</f>
        <v>#VALUE!</v>
      </c>
      <c r="CM124" t="e">
        <f>'All regions'!H3420+"$F;@!&amp;~o"</f>
        <v>#VALUE!</v>
      </c>
      <c r="CN124" t="e">
        <f>'All regions'!I3420+"$F;@!&amp;~p"</f>
        <v>#VALUE!</v>
      </c>
      <c r="CO124" t="e">
        <f>'All regions'!A3421+"$F;@!&amp;~q"</f>
        <v>#VALUE!</v>
      </c>
      <c r="CP124" t="e">
        <f>'All regions'!B3421+"$F;@!&amp;~r"</f>
        <v>#VALUE!</v>
      </c>
      <c r="CQ124" t="e">
        <f>'All regions'!C3421+"$F;@!&amp;~s"</f>
        <v>#VALUE!</v>
      </c>
      <c r="CR124" t="e">
        <f>'All regions'!D3421+"$F;@!&amp;~t"</f>
        <v>#VALUE!</v>
      </c>
      <c r="CS124" t="e">
        <f>'All regions'!E3421+"$F;@!&amp;~u"</f>
        <v>#VALUE!</v>
      </c>
      <c r="CT124" t="e">
        <f>'All regions'!F3421+"$F;@!&amp;~v"</f>
        <v>#VALUE!</v>
      </c>
      <c r="CU124" t="e">
        <f>'All regions'!G3421+"$F;@!&amp;~w"</f>
        <v>#VALUE!</v>
      </c>
      <c r="CV124" t="e">
        <f>'All regions'!H3421+"$F;@!&amp;~x"</f>
        <v>#VALUE!</v>
      </c>
      <c r="CW124" t="e">
        <f>'All regions'!I3421+"$F;@!&amp;~y"</f>
        <v>#VALUE!</v>
      </c>
      <c r="CX124" t="e">
        <f>'All regions'!A3423+"$F;@!&amp;~z"</f>
        <v>#VALUE!</v>
      </c>
      <c r="CY124" t="e">
        <f>'All regions'!B3423+"$F;@!&amp;~{"</f>
        <v>#VALUE!</v>
      </c>
      <c r="CZ124" t="e">
        <f>'All regions'!C3423+"$F;@!&amp;~|"</f>
        <v>#VALUE!</v>
      </c>
      <c r="DA124" t="e">
        <f>'All regions'!D3423+"$F;@!&amp;~}"</f>
        <v>#VALUE!</v>
      </c>
      <c r="DB124" t="e">
        <f>'All regions'!E3423+"$F;@!&amp;~~"</f>
        <v>#VALUE!</v>
      </c>
      <c r="DC124" t="e">
        <f>'All regions'!F3423+"$F;@!'##"</f>
        <v>#VALUE!</v>
      </c>
      <c r="DD124" t="e">
        <f>'All regions'!G3423+"$F;@!'#$"</f>
        <v>#VALUE!</v>
      </c>
      <c r="DE124" t="e">
        <f>'All regions'!H3423+"$F;@!'#%"</f>
        <v>#VALUE!</v>
      </c>
      <c r="DF124" t="e">
        <f>'All regions'!I3423+"$F;@!'#&amp;"</f>
        <v>#VALUE!</v>
      </c>
      <c r="DG124" t="e">
        <f>'All regions'!A3424+"$F;@!'#'"</f>
        <v>#VALUE!</v>
      </c>
      <c r="DH124" t="e">
        <f>'All regions'!B3424+"$F;@!'#("</f>
        <v>#VALUE!</v>
      </c>
      <c r="DI124" t="e">
        <f>'All regions'!C3424+"$F;@!'#)"</f>
        <v>#VALUE!</v>
      </c>
      <c r="DJ124" t="e">
        <f>'All regions'!D3424+"$F;@!'#."</f>
        <v>#VALUE!</v>
      </c>
      <c r="DK124" t="e">
        <f>'All regions'!E3424+"$F;@!'#/"</f>
        <v>#VALUE!</v>
      </c>
      <c r="DL124" t="e">
        <f>'All regions'!F3424+"$F;@!'#0"</f>
        <v>#VALUE!</v>
      </c>
      <c r="DM124" t="e">
        <f>'All regions'!G3424+"$F;@!'#1"</f>
        <v>#VALUE!</v>
      </c>
      <c r="DN124" t="e">
        <f>'All regions'!H3424+"$F;@!'#2"</f>
        <v>#VALUE!</v>
      </c>
      <c r="DO124" t="e">
        <f>'All regions'!I3424+"$F;@!'#3"</f>
        <v>#VALUE!</v>
      </c>
      <c r="DP124" t="e">
        <f>'All regions'!A3425+"$F;@!'#4"</f>
        <v>#VALUE!</v>
      </c>
      <c r="DQ124" t="e">
        <f>'All regions'!B3425+"$F;@!'#5"</f>
        <v>#VALUE!</v>
      </c>
      <c r="DR124" t="e">
        <f>'All regions'!C3425+"$F;@!'#6"</f>
        <v>#VALUE!</v>
      </c>
      <c r="DS124" t="e">
        <f>'All regions'!D3425+"$F;@!'#7"</f>
        <v>#VALUE!</v>
      </c>
      <c r="DT124" t="e">
        <f>'All regions'!E3425+"$F;@!'#8"</f>
        <v>#VALUE!</v>
      </c>
      <c r="DU124" t="e">
        <f>'All regions'!F3425+"$F;@!'#9"</f>
        <v>#VALUE!</v>
      </c>
      <c r="DV124" t="e">
        <f>'All regions'!G3425+"$F;@!'#:"</f>
        <v>#VALUE!</v>
      </c>
      <c r="DW124" t="e">
        <f>'All regions'!H3425+"$F;@!'#;"</f>
        <v>#VALUE!</v>
      </c>
      <c r="DX124" t="e">
        <f>'All regions'!I3425+"$F;@!'#&lt;"</f>
        <v>#VALUE!</v>
      </c>
      <c r="DY124" t="e">
        <f>'All regions'!A3426+"$F;@!'#="</f>
        <v>#VALUE!</v>
      </c>
      <c r="DZ124" t="e">
        <f>'All regions'!B3426+"$F;@!'#&gt;"</f>
        <v>#VALUE!</v>
      </c>
      <c r="EA124" t="e">
        <f>'All regions'!C3426+"$F;@!'#?"</f>
        <v>#VALUE!</v>
      </c>
      <c r="EB124" t="e">
        <f>'All regions'!D3426+"$F;@!'#@"</f>
        <v>#VALUE!</v>
      </c>
      <c r="EC124" t="e">
        <f>'All regions'!E3426+"$F;@!'#A"</f>
        <v>#VALUE!</v>
      </c>
      <c r="ED124" t="e">
        <f>'All regions'!F3426+"$F;@!'#B"</f>
        <v>#VALUE!</v>
      </c>
      <c r="EE124" t="e">
        <f>'All regions'!G3426+"$F;@!'#C"</f>
        <v>#VALUE!</v>
      </c>
      <c r="EF124" t="e">
        <f>'All regions'!H3426+"$F;@!'#D"</f>
        <v>#VALUE!</v>
      </c>
      <c r="EG124" t="e">
        <f>'All regions'!I3426+"$F;@!'#E"</f>
        <v>#VALUE!</v>
      </c>
      <c r="EH124" t="e">
        <f>'All regions'!A3427+"$F;@!'#F"</f>
        <v>#VALUE!</v>
      </c>
      <c r="EI124" t="e">
        <f>'All regions'!B3427+"$F;@!'#G"</f>
        <v>#VALUE!</v>
      </c>
      <c r="EJ124" t="e">
        <f>'All regions'!C3427+"$F;@!'#H"</f>
        <v>#VALUE!</v>
      </c>
      <c r="EK124" t="e">
        <f>'All regions'!D3427+"$F;@!'#I"</f>
        <v>#VALUE!</v>
      </c>
      <c r="EL124" t="e">
        <f>'All regions'!E3427+"$F;@!'#J"</f>
        <v>#VALUE!</v>
      </c>
      <c r="EM124" t="e">
        <f>'All regions'!F3427+"$F;@!'#K"</f>
        <v>#VALUE!</v>
      </c>
      <c r="EN124" t="e">
        <f>'All regions'!G3427+"$F;@!'#L"</f>
        <v>#VALUE!</v>
      </c>
      <c r="EO124" t="e">
        <f>'All regions'!H3427+"$F;@!'#M"</f>
        <v>#VALUE!</v>
      </c>
      <c r="EP124" t="e">
        <f>'All regions'!I3427+"$F;@!'#N"</f>
        <v>#VALUE!</v>
      </c>
      <c r="EQ124" t="e">
        <f>'All regions'!A3428+"$F;@!'#O"</f>
        <v>#VALUE!</v>
      </c>
      <c r="ER124" t="e">
        <f>'All regions'!B3428+"$F;@!'#P"</f>
        <v>#VALUE!</v>
      </c>
      <c r="ES124" t="e">
        <f>'All regions'!C3428+"$F;@!'#Q"</f>
        <v>#VALUE!</v>
      </c>
      <c r="ET124" t="e">
        <f>'All regions'!D3428+"$F;@!'#R"</f>
        <v>#VALUE!</v>
      </c>
      <c r="EU124" t="e">
        <f>'All regions'!E3428+"$F;@!'#S"</f>
        <v>#VALUE!</v>
      </c>
      <c r="EV124" t="e">
        <f>'All regions'!F3428+"$F;@!'#T"</f>
        <v>#VALUE!</v>
      </c>
      <c r="EW124" t="e">
        <f>'All regions'!G3428+"$F;@!'#U"</f>
        <v>#VALUE!</v>
      </c>
      <c r="EX124" t="e">
        <f>'All regions'!H3428+"$F;@!'#V"</f>
        <v>#VALUE!</v>
      </c>
      <c r="EY124" t="e">
        <f>'All regions'!I3428+"$F;@!'#W"</f>
        <v>#VALUE!</v>
      </c>
      <c r="EZ124" t="e">
        <f>'All regions'!A3429+"$F;@!'#X"</f>
        <v>#VALUE!</v>
      </c>
      <c r="FA124" t="e">
        <f>'All regions'!B3429+"$F;@!'#Y"</f>
        <v>#VALUE!</v>
      </c>
      <c r="FB124" t="e">
        <f>'All regions'!C3429+"$F;@!'#Z"</f>
        <v>#VALUE!</v>
      </c>
      <c r="FC124" t="e">
        <f>'All regions'!D3429+"$F;@!'#["</f>
        <v>#VALUE!</v>
      </c>
      <c r="FD124" t="e">
        <f>'All regions'!E3429+"$F;@!'#\"</f>
        <v>#VALUE!</v>
      </c>
      <c r="FE124" t="e">
        <f>'All regions'!F3429+"$F;@!'#]"</f>
        <v>#VALUE!</v>
      </c>
      <c r="FF124" t="e">
        <f>'All regions'!G3429+"$F;@!'#^"</f>
        <v>#VALUE!</v>
      </c>
      <c r="FG124" t="e">
        <f>'All regions'!H3429+"$F;@!'#_"</f>
        <v>#VALUE!</v>
      </c>
      <c r="FH124" t="e">
        <f>'All regions'!I3429+"$F;@!'#`"</f>
        <v>#VALUE!</v>
      </c>
      <c r="FI124" t="e">
        <f>'All regions'!A3430+"$F;@!'#a"</f>
        <v>#VALUE!</v>
      </c>
      <c r="FJ124" t="e">
        <f>'All regions'!B3430+"$F;@!'#b"</f>
        <v>#VALUE!</v>
      </c>
      <c r="FK124" t="e">
        <f>'All regions'!C3430+"$F;@!'#c"</f>
        <v>#VALUE!</v>
      </c>
      <c r="FL124" t="e">
        <f>'All regions'!D3430+"$F;@!'#d"</f>
        <v>#VALUE!</v>
      </c>
      <c r="FM124" t="e">
        <f>'All regions'!E3430+"$F;@!'#e"</f>
        <v>#VALUE!</v>
      </c>
      <c r="FN124" t="e">
        <f>'All regions'!F3430+"$F;@!'#f"</f>
        <v>#VALUE!</v>
      </c>
      <c r="FO124" t="e">
        <f>'All regions'!G3430+"$F;@!'#g"</f>
        <v>#VALUE!</v>
      </c>
      <c r="FP124" t="e">
        <f>'All regions'!H3430+"$F;@!'#h"</f>
        <v>#VALUE!</v>
      </c>
      <c r="FQ124" t="e">
        <f>'All regions'!I3430+"$F;@!'#i"</f>
        <v>#VALUE!</v>
      </c>
      <c r="FR124" t="e">
        <f>'All regions'!A3431+"$F;@!'#j"</f>
        <v>#VALUE!</v>
      </c>
      <c r="FS124" t="e">
        <f>'All regions'!B3431+"$F;@!'#k"</f>
        <v>#VALUE!</v>
      </c>
      <c r="FT124" t="e">
        <f>'All regions'!C3431+"$F;@!'#l"</f>
        <v>#VALUE!</v>
      </c>
      <c r="FU124" t="e">
        <f>'All regions'!D3431+"$F;@!'#m"</f>
        <v>#VALUE!</v>
      </c>
      <c r="FV124" t="e">
        <f>'All regions'!E3431+"$F;@!'#n"</f>
        <v>#VALUE!</v>
      </c>
      <c r="FW124" t="e">
        <f>'All regions'!F3431+"$F;@!'#o"</f>
        <v>#VALUE!</v>
      </c>
      <c r="FX124" t="e">
        <f>'All regions'!G3431+"$F;@!'#p"</f>
        <v>#VALUE!</v>
      </c>
      <c r="FY124" t="e">
        <f>'All regions'!H3431+"$F;@!'#q"</f>
        <v>#VALUE!</v>
      </c>
      <c r="FZ124" t="e">
        <f>'All regions'!I3431+"$F;@!'#r"</f>
        <v>#VALUE!</v>
      </c>
      <c r="GA124" t="e">
        <f>'All regions'!A3432+"$F;@!'#s"</f>
        <v>#VALUE!</v>
      </c>
      <c r="GB124" t="e">
        <f>'All regions'!B3432+"$F;@!'#t"</f>
        <v>#VALUE!</v>
      </c>
      <c r="GC124" t="e">
        <f>'All regions'!C3432+"$F;@!'#u"</f>
        <v>#VALUE!</v>
      </c>
      <c r="GD124" t="e">
        <f>'All regions'!D3432+"$F;@!'#v"</f>
        <v>#VALUE!</v>
      </c>
      <c r="GE124" t="e">
        <f>'All regions'!E3432+"$F;@!'#w"</f>
        <v>#VALUE!</v>
      </c>
      <c r="GF124" t="e">
        <f>'All regions'!F3432+"$F;@!'#x"</f>
        <v>#VALUE!</v>
      </c>
      <c r="GG124" t="e">
        <f>'All regions'!G3432+"$F;@!'#y"</f>
        <v>#VALUE!</v>
      </c>
      <c r="GH124" t="e">
        <f>'All regions'!H3432+"$F;@!'#z"</f>
        <v>#VALUE!</v>
      </c>
      <c r="GI124" t="e">
        <f>'All regions'!I3432+"$F;@!'#{"</f>
        <v>#VALUE!</v>
      </c>
      <c r="GJ124" t="e">
        <f>'All regions'!A3433+"$F;@!'#|"</f>
        <v>#VALUE!</v>
      </c>
      <c r="GK124" t="e">
        <f>'All regions'!B3433+"$F;@!'#}"</f>
        <v>#VALUE!</v>
      </c>
      <c r="GL124" t="e">
        <f>'All regions'!C3433+"$F;@!'#~"</f>
        <v>#VALUE!</v>
      </c>
      <c r="GM124" t="e">
        <f>'All regions'!D3433+"$F;@!'$#"</f>
        <v>#VALUE!</v>
      </c>
      <c r="GN124" t="e">
        <f>'All regions'!E3433+"$F;@!'$$"</f>
        <v>#VALUE!</v>
      </c>
      <c r="GO124" t="e">
        <f>'All regions'!F3433+"$F;@!'$%"</f>
        <v>#VALUE!</v>
      </c>
      <c r="GP124" t="e">
        <f>'All regions'!G3433+"$F;@!'$&amp;"</f>
        <v>#VALUE!</v>
      </c>
      <c r="GQ124" t="e">
        <f>'All regions'!H3433+"$F;@!'$'"</f>
        <v>#VALUE!</v>
      </c>
      <c r="GR124" t="e">
        <f>'All regions'!I3433+"$F;@!'$("</f>
        <v>#VALUE!</v>
      </c>
      <c r="GS124" t="e">
        <f>'All regions'!A3434+"$F;@!'$)"</f>
        <v>#VALUE!</v>
      </c>
      <c r="GT124" t="e">
        <f>'All regions'!B3434+"$F;@!'$."</f>
        <v>#VALUE!</v>
      </c>
      <c r="GU124" t="e">
        <f>'All regions'!C3434+"$F;@!'$/"</f>
        <v>#VALUE!</v>
      </c>
      <c r="GV124" t="e">
        <f>'All regions'!D3434+"$F;@!'$0"</f>
        <v>#VALUE!</v>
      </c>
      <c r="GW124" t="e">
        <f>'All regions'!E3434+"$F;@!'$1"</f>
        <v>#VALUE!</v>
      </c>
      <c r="GX124" t="e">
        <f>'All regions'!F3434+"$F;@!'$2"</f>
        <v>#VALUE!</v>
      </c>
      <c r="GY124" t="e">
        <f>'All regions'!G3434+"$F;@!'$3"</f>
        <v>#VALUE!</v>
      </c>
      <c r="GZ124" t="e">
        <f>'All regions'!H3434+"$F;@!'$4"</f>
        <v>#VALUE!</v>
      </c>
      <c r="HA124" t="e">
        <f>'All regions'!I3434+"$F;@!'$5"</f>
        <v>#VALUE!</v>
      </c>
      <c r="HB124" t="e">
        <f>'All regions'!A3435+"$F;@!'$6"</f>
        <v>#VALUE!</v>
      </c>
      <c r="HC124" t="e">
        <f>'All regions'!B3435+"$F;@!'$7"</f>
        <v>#VALUE!</v>
      </c>
      <c r="HD124" t="e">
        <f>'All regions'!C3435+"$F;@!'$8"</f>
        <v>#VALUE!</v>
      </c>
      <c r="HE124" t="e">
        <f>'All regions'!D3435+"$F;@!'$9"</f>
        <v>#VALUE!</v>
      </c>
      <c r="HF124" t="e">
        <f>'All regions'!E3435+"$F;@!'$:"</f>
        <v>#VALUE!</v>
      </c>
      <c r="HG124" t="e">
        <f>'All regions'!F3435+"$F;@!'$;"</f>
        <v>#VALUE!</v>
      </c>
      <c r="HH124" t="e">
        <f>'All regions'!G3435+"$F;@!'$&lt;"</f>
        <v>#VALUE!</v>
      </c>
      <c r="HI124" t="e">
        <f>'All regions'!H3435+"$F;@!'$="</f>
        <v>#VALUE!</v>
      </c>
      <c r="HJ124" t="e">
        <f>'All regions'!I3435+"$F;@!'$&gt;"</f>
        <v>#VALUE!</v>
      </c>
      <c r="HK124" t="e">
        <f>'All regions'!A3436+"$F;@!'$?"</f>
        <v>#VALUE!</v>
      </c>
      <c r="HL124" t="e">
        <f>'All regions'!B3436+"$F;@!'$@"</f>
        <v>#VALUE!</v>
      </c>
      <c r="HM124" t="e">
        <f>'All regions'!C3436+"$F;@!'$A"</f>
        <v>#VALUE!</v>
      </c>
      <c r="HN124" t="e">
        <f>'All regions'!D3436+"$F;@!'$B"</f>
        <v>#VALUE!</v>
      </c>
      <c r="HO124" t="e">
        <f>'All regions'!E3436+"$F;@!'$C"</f>
        <v>#VALUE!</v>
      </c>
      <c r="HP124" t="e">
        <f>'All regions'!F3436+"$F;@!'$D"</f>
        <v>#VALUE!</v>
      </c>
      <c r="HQ124" t="e">
        <f>'All regions'!G3436+"$F;@!'$E"</f>
        <v>#VALUE!</v>
      </c>
      <c r="HR124" t="e">
        <f>'All regions'!H3436+"$F;@!'$F"</f>
        <v>#VALUE!</v>
      </c>
      <c r="HS124" t="e">
        <f>'All regions'!I3436+"$F;@!'$G"</f>
        <v>#VALUE!</v>
      </c>
      <c r="HT124" t="e">
        <f>'All regions'!A3437+"$F;@!'$H"</f>
        <v>#VALUE!</v>
      </c>
      <c r="HU124" t="e">
        <f>'All regions'!B3437+"$F;@!'$I"</f>
        <v>#VALUE!</v>
      </c>
      <c r="HV124" t="e">
        <f>'All regions'!C3437+"$F;@!'$J"</f>
        <v>#VALUE!</v>
      </c>
      <c r="HW124" t="e">
        <f>'All regions'!D3437+"$F;@!'$K"</f>
        <v>#VALUE!</v>
      </c>
      <c r="HX124" t="e">
        <f>'All regions'!E3437+"$F;@!'$L"</f>
        <v>#VALUE!</v>
      </c>
      <c r="HY124" t="e">
        <f>'All regions'!F3437+"$F;@!'$M"</f>
        <v>#VALUE!</v>
      </c>
      <c r="HZ124" t="e">
        <f>'All regions'!G3437+"$F;@!'$N"</f>
        <v>#VALUE!</v>
      </c>
      <c r="IA124" t="e">
        <f>'All regions'!H3437+"$F;@!'$O"</f>
        <v>#VALUE!</v>
      </c>
      <c r="IB124" t="e">
        <f>'All regions'!I3437+"$F;@!'$P"</f>
        <v>#VALUE!</v>
      </c>
      <c r="IC124" t="e">
        <f>'All regions'!A3438+"$F;@!'$Q"</f>
        <v>#VALUE!</v>
      </c>
      <c r="ID124" t="e">
        <f>'All regions'!B3438+"$F;@!'$R"</f>
        <v>#VALUE!</v>
      </c>
      <c r="IE124" t="e">
        <f>'All regions'!C3438+"$F;@!'$S"</f>
        <v>#VALUE!</v>
      </c>
      <c r="IF124" t="e">
        <f>'All regions'!D3438+"$F;@!'$T"</f>
        <v>#VALUE!</v>
      </c>
      <c r="IG124" t="e">
        <f>'All regions'!E3438+"$F;@!'$U"</f>
        <v>#VALUE!</v>
      </c>
      <c r="IH124" t="e">
        <f>'All regions'!F3438+"$F;@!'$V"</f>
        <v>#VALUE!</v>
      </c>
      <c r="II124" t="e">
        <f>'All regions'!G3438+"$F;@!'$W"</f>
        <v>#VALUE!</v>
      </c>
      <c r="IJ124" t="e">
        <f>'All regions'!H3438+"$F;@!'$X"</f>
        <v>#VALUE!</v>
      </c>
      <c r="IK124" t="e">
        <f>'All regions'!I3438+"$F;@!'$Y"</f>
        <v>#VALUE!</v>
      </c>
      <c r="IL124" t="e">
        <f>'All regions'!A3439+"$F;@!'$Z"</f>
        <v>#VALUE!</v>
      </c>
      <c r="IM124" t="e">
        <f>'All regions'!B3439+"$F;@!'$["</f>
        <v>#VALUE!</v>
      </c>
      <c r="IN124" t="e">
        <f>'All regions'!C3439+"$F;@!'$\"</f>
        <v>#VALUE!</v>
      </c>
      <c r="IO124" t="e">
        <f>'All regions'!D3439+"$F;@!'$]"</f>
        <v>#VALUE!</v>
      </c>
      <c r="IP124" t="e">
        <f>'All regions'!E3439+"$F;@!'$^"</f>
        <v>#VALUE!</v>
      </c>
      <c r="IQ124" t="e">
        <f>'All regions'!F3439+"$F;@!'$_"</f>
        <v>#VALUE!</v>
      </c>
      <c r="IR124" t="e">
        <f>'All regions'!G3439+"$F;@!'$`"</f>
        <v>#VALUE!</v>
      </c>
      <c r="IS124" t="e">
        <f>'All regions'!H3439+"$F;@!'$a"</f>
        <v>#VALUE!</v>
      </c>
      <c r="IT124" t="e">
        <f>'All regions'!I3439+"$F;@!'$b"</f>
        <v>#VALUE!</v>
      </c>
      <c r="IU124" t="e">
        <f>'All regions'!A3440+"$F;@!'$c"</f>
        <v>#VALUE!</v>
      </c>
      <c r="IV124" t="e">
        <f>'All regions'!B3440+"$F;@!'$d"</f>
        <v>#VALUE!</v>
      </c>
    </row>
    <row r="125" spans="6:256" x14ac:dyDescent="0.35">
      <c r="F125" t="e">
        <f>'All regions'!C3440+"$F;@!'$e"</f>
        <v>#VALUE!</v>
      </c>
      <c r="G125" t="e">
        <f>'All regions'!D3440+"$F;@!'$f"</f>
        <v>#VALUE!</v>
      </c>
      <c r="H125" t="e">
        <f>'All regions'!E3440+"$F;@!'$g"</f>
        <v>#VALUE!</v>
      </c>
      <c r="I125" t="e">
        <f>'All regions'!F3440+"$F;@!'$h"</f>
        <v>#VALUE!</v>
      </c>
      <c r="J125" t="e">
        <f>'All regions'!G3440+"$F;@!'$i"</f>
        <v>#VALUE!</v>
      </c>
      <c r="K125" t="e">
        <f>'All regions'!H3440+"$F;@!'$j"</f>
        <v>#VALUE!</v>
      </c>
      <c r="L125" t="e">
        <f>'All regions'!I3440+"$F;@!'$k"</f>
        <v>#VALUE!</v>
      </c>
      <c r="M125" t="e">
        <f>'All regions'!A3441+"$F;@!'$l"</f>
        <v>#VALUE!</v>
      </c>
      <c r="N125" t="e">
        <f>'All regions'!B3441+"$F;@!'$m"</f>
        <v>#VALUE!</v>
      </c>
      <c r="O125" t="e">
        <f>'All regions'!C3441+"$F;@!'$n"</f>
        <v>#VALUE!</v>
      </c>
      <c r="P125" t="e">
        <f>'All regions'!D3441+"$F;@!'$o"</f>
        <v>#VALUE!</v>
      </c>
      <c r="Q125" t="e">
        <f>'All regions'!E3441+"$F;@!'$p"</f>
        <v>#VALUE!</v>
      </c>
      <c r="R125" t="e">
        <f>'All regions'!F3441+"$F;@!'$q"</f>
        <v>#VALUE!</v>
      </c>
      <c r="S125" t="e">
        <f>'All regions'!G3441+"$F;@!'$r"</f>
        <v>#VALUE!</v>
      </c>
      <c r="T125" t="e">
        <f>'All regions'!H3441+"$F;@!'$s"</f>
        <v>#VALUE!</v>
      </c>
      <c r="U125" t="e">
        <f>'All regions'!I3441+"$F;@!'$t"</f>
        <v>#VALUE!</v>
      </c>
      <c r="V125" t="e">
        <f>'All regions'!A3442+"$F;@!'$u"</f>
        <v>#VALUE!</v>
      </c>
      <c r="W125" t="e">
        <f>'All regions'!B3442+"$F;@!'$v"</f>
        <v>#VALUE!</v>
      </c>
      <c r="X125" t="e">
        <f>'All regions'!C3442+"$F;@!'$w"</f>
        <v>#VALUE!</v>
      </c>
      <c r="Y125" t="e">
        <f>'All regions'!D3442+"$F;@!'$x"</f>
        <v>#VALUE!</v>
      </c>
      <c r="Z125" t="e">
        <f>'All regions'!E3442+"$F;@!'$y"</f>
        <v>#VALUE!</v>
      </c>
      <c r="AA125" t="e">
        <f>'All regions'!F3442+"$F;@!'$z"</f>
        <v>#VALUE!</v>
      </c>
      <c r="AB125" t="e">
        <f>'All regions'!G3442+"$F;@!'${"</f>
        <v>#VALUE!</v>
      </c>
      <c r="AC125" t="e">
        <f>'All regions'!H3442+"$F;@!'$|"</f>
        <v>#VALUE!</v>
      </c>
      <c r="AD125" t="e">
        <f>'All regions'!I3442+"$F;@!'$}"</f>
        <v>#VALUE!</v>
      </c>
      <c r="AE125" t="e">
        <f>'All regions'!A3443+"$F;@!'$~"</f>
        <v>#VALUE!</v>
      </c>
      <c r="AF125" t="e">
        <f>'All regions'!B3443+"$F;@!'%#"</f>
        <v>#VALUE!</v>
      </c>
      <c r="AG125" t="e">
        <f>'All regions'!C3443+"$F;@!'%$"</f>
        <v>#VALUE!</v>
      </c>
      <c r="AH125" t="e">
        <f>'All regions'!D3443+"$F;@!'%%"</f>
        <v>#VALUE!</v>
      </c>
      <c r="AI125" t="e">
        <f>'All regions'!E3443+"$F;@!'%&amp;"</f>
        <v>#VALUE!</v>
      </c>
      <c r="AJ125" t="e">
        <f>'All regions'!F3443+"$F;@!'%'"</f>
        <v>#VALUE!</v>
      </c>
      <c r="AK125" t="e">
        <f>'All regions'!G3443+"$F;@!'%("</f>
        <v>#VALUE!</v>
      </c>
      <c r="AL125" t="e">
        <f>'All regions'!H3443+"$F;@!'%)"</f>
        <v>#VALUE!</v>
      </c>
      <c r="AM125" t="e">
        <f>'All regions'!I3443+"$F;@!'%."</f>
        <v>#VALUE!</v>
      </c>
      <c r="AN125" t="e">
        <f>'All regions'!A3444+"$F;@!'%/"</f>
        <v>#VALUE!</v>
      </c>
      <c r="AO125" t="e">
        <f>'All regions'!B3444+"$F;@!'%0"</f>
        <v>#VALUE!</v>
      </c>
      <c r="AP125" t="e">
        <f>'All regions'!C3444+"$F;@!'%1"</f>
        <v>#VALUE!</v>
      </c>
      <c r="AQ125" t="e">
        <f>'All regions'!D3444+"$F;@!'%2"</f>
        <v>#VALUE!</v>
      </c>
      <c r="AR125" t="e">
        <f>'All regions'!E3444+"$F;@!'%3"</f>
        <v>#VALUE!</v>
      </c>
      <c r="AS125" t="e">
        <f>'All regions'!F3444+"$F;@!'%4"</f>
        <v>#VALUE!</v>
      </c>
      <c r="AT125" t="e">
        <f>'All regions'!G3444+"$F;@!'%5"</f>
        <v>#VALUE!</v>
      </c>
      <c r="AU125" t="e">
        <f>'All regions'!H3444+"$F;@!'%6"</f>
        <v>#VALUE!</v>
      </c>
      <c r="AV125" t="e">
        <f>'All regions'!I3444+"$F;@!'%7"</f>
        <v>#VALUE!</v>
      </c>
      <c r="AW125" t="e">
        <f>'All regions'!A3445+"$F;@!'%8"</f>
        <v>#VALUE!</v>
      </c>
      <c r="AX125" t="e">
        <f>'All regions'!B3445+"$F;@!'%9"</f>
        <v>#VALUE!</v>
      </c>
      <c r="AY125" t="e">
        <f>'All regions'!C3445+"$F;@!'%:"</f>
        <v>#VALUE!</v>
      </c>
      <c r="AZ125" t="e">
        <f>'All regions'!D3445+"$F;@!'%;"</f>
        <v>#VALUE!</v>
      </c>
      <c r="BA125" t="e">
        <f>'All regions'!E3445+"$F;@!'%&lt;"</f>
        <v>#VALUE!</v>
      </c>
      <c r="BB125" t="e">
        <f>'All regions'!F3445+"$F;@!'%="</f>
        <v>#VALUE!</v>
      </c>
      <c r="BC125" t="e">
        <f>'All regions'!G3445+"$F;@!'%&gt;"</f>
        <v>#VALUE!</v>
      </c>
      <c r="BD125" t="e">
        <f>'All regions'!H3445+"$F;@!'%?"</f>
        <v>#VALUE!</v>
      </c>
      <c r="BE125" t="e">
        <f>'All regions'!I3445+"$F;@!'%@"</f>
        <v>#VALUE!</v>
      </c>
      <c r="BF125" t="e">
        <f>'All regions'!A3446+"$F;@!'%A"</f>
        <v>#VALUE!</v>
      </c>
      <c r="BG125" t="e">
        <f>'All regions'!B3446+"$F;@!'%B"</f>
        <v>#VALUE!</v>
      </c>
      <c r="BH125" t="e">
        <f>'All regions'!C3446+"$F;@!'%C"</f>
        <v>#VALUE!</v>
      </c>
      <c r="BI125" t="e">
        <f>'All regions'!D3446+"$F;@!'%D"</f>
        <v>#VALUE!</v>
      </c>
      <c r="BJ125" t="e">
        <f>'All regions'!E3446+"$F;@!'%E"</f>
        <v>#VALUE!</v>
      </c>
      <c r="BK125" t="e">
        <f>'All regions'!F3446+"$F;@!'%F"</f>
        <v>#VALUE!</v>
      </c>
      <c r="BL125" t="e">
        <f>'All regions'!G3446+"$F;@!'%G"</f>
        <v>#VALUE!</v>
      </c>
      <c r="BM125" t="e">
        <f>'All regions'!H3446+"$F;@!'%H"</f>
        <v>#VALUE!</v>
      </c>
      <c r="BN125" t="e">
        <f>'All regions'!I3446+"$F;@!'%I"</f>
        <v>#VALUE!</v>
      </c>
      <c r="BO125" t="e">
        <f>'All regions'!A3447+"$F;@!'%J"</f>
        <v>#VALUE!</v>
      </c>
      <c r="BP125" t="e">
        <f>'All regions'!B3447+"$F;@!'%K"</f>
        <v>#VALUE!</v>
      </c>
      <c r="BQ125" t="e">
        <f>'All regions'!C3447+"$F;@!'%L"</f>
        <v>#VALUE!</v>
      </c>
      <c r="BR125" t="e">
        <f>'All regions'!D3447+"$F;@!'%M"</f>
        <v>#VALUE!</v>
      </c>
      <c r="BS125" t="e">
        <f>'All regions'!E3447+"$F;@!'%N"</f>
        <v>#VALUE!</v>
      </c>
      <c r="BT125" t="e">
        <f>'All regions'!F3447+"$F;@!'%O"</f>
        <v>#VALUE!</v>
      </c>
      <c r="BU125" t="e">
        <f>'All regions'!G3447+"$F;@!'%P"</f>
        <v>#VALUE!</v>
      </c>
      <c r="BV125" t="e">
        <f>'All regions'!H3447+"$F;@!'%Q"</f>
        <v>#VALUE!</v>
      </c>
      <c r="BW125" t="e">
        <f>'All regions'!I3447+"$F;@!'%R"</f>
        <v>#VALUE!</v>
      </c>
      <c r="BX125" t="e">
        <f>'All regions'!A3448+"$F;@!'%S"</f>
        <v>#VALUE!</v>
      </c>
      <c r="BY125" t="e">
        <f>'All regions'!B3448+"$F;@!'%T"</f>
        <v>#VALUE!</v>
      </c>
      <c r="BZ125" t="e">
        <f>'All regions'!C3448+"$F;@!'%U"</f>
        <v>#VALUE!</v>
      </c>
      <c r="CA125" t="e">
        <f>'All regions'!D3448+"$F;@!'%V"</f>
        <v>#VALUE!</v>
      </c>
      <c r="CB125" t="e">
        <f>'All regions'!E3448+"$F;@!'%W"</f>
        <v>#VALUE!</v>
      </c>
      <c r="CC125" t="e">
        <f>'All regions'!F3448+"$F;@!'%X"</f>
        <v>#VALUE!</v>
      </c>
      <c r="CD125" t="e">
        <f>'All regions'!G3448+"$F;@!'%Y"</f>
        <v>#VALUE!</v>
      </c>
      <c r="CE125" t="e">
        <f>'All regions'!H3448+"$F;@!'%Z"</f>
        <v>#VALUE!</v>
      </c>
      <c r="CF125" t="e">
        <f>'All regions'!I3448+"$F;@!'%["</f>
        <v>#VALUE!</v>
      </c>
      <c r="CG125" t="e">
        <f>'All regions'!A3449+"$F;@!'%\"</f>
        <v>#VALUE!</v>
      </c>
      <c r="CH125" t="e">
        <f>'All regions'!B3449+"$F;@!'%]"</f>
        <v>#VALUE!</v>
      </c>
      <c r="CI125" t="e">
        <f>'All regions'!C3449+"$F;@!'%^"</f>
        <v>#VALUE!</v>
      </c>
      <c r="CJ125" t="e">
        <f>'All regions'!D3449+"$F;@!'%_"</f>
        <v>#VALUE!</v>
      </c>
      <c r="CK125" t="e">
        <f>'All regions'!E3449+"$F;@!'%`"</f>
        <v>#VALUE!</v>
      </c>
      <c r="CL125" t="e">
        <f>'All regions'!F3449+"$F;@!'%a"</f>
        <v>#VALUE!</v>
      </c>
      <c r="CM125" t="e">
        <f>'All regions'!G3449+"$F;@!'%b"</f>
        <v>#VALUE!</v>
      </c>
      <c r="CN125" t="e">
        <f>'All regions'!H3449+"$F;@!'%c"</f>
        <v>#VALUE!</v>
      </c>
      <c r="CO125" t="e">
        <f>'All regions'!I3449+"$F;@!'%d"</f>
        <v>#VALUE!</v>
      </c>
      <c r="CP125" t="e">
        <f>'All regions'!A3450+"$F;@!'%e"</f>
        <v>#VALUE!</v>
      </c>
      <c r="CQ125" t="e">
        <f>'All regions'!B3450+"$F;@!'%f"</f>
        <v>#VALUE!</v>
      </c>
      <c r="CR125" t="e">
        <f>'All regions'!C3450+"$F;@!'%g"</f>
        <v>#VALUE!</v>
      </c>
      <c r="CS125" t="e">
        <f>'All regions'!D3450+"$F;@!'%h"</f>
        <v>#VALUE!</v>
      </c>
      <c r="CT125" t="e">
        <f>'All regions'!E3450+"$F;@!'%i"</f>
        <v>#VALUE!</v>
      </c>
      <c r="CU125" t="e">
        <f>'All regions'!F3450+"$F;@!'%j"</f>
        <v>#VALUE!</v>
      </c>
      <c r="CV125" t="e">
        <f>'All regions'!G3450+"$F;@!'%k"</f>
        <v>#VALUE!</v>
      </c>
      <c r="CW125" t="e">
        <f>'All regions'!H3450+"$F;@!'%l"</f>
        <v>#VALUE!</v>
      </c>
      <c r="CX125" t="e">
        <f>'All regions'!I3450+"$F;@!'%m"</f>
        <v>#VALUE!</v>
      </c>
      <c r="CY125" t="e">
        <f>'All regions'!A3451+"$F;@!'%n"</f>
        <v>#VALUE!</v>
      </c>
      <c r="CZ125" t="e">
        <f>'All regions'!B3451+"$F;@!'%o"</f>
        <v>#VALUE!</v>
      </c>
      <c r="DA125" t="e">
        <f>'All regions'!C3451+"$F;@!'%p"</f>
        <v>#VALUE!</v>
      </c>
      <c r="DB125" t="e">
        <f>'All regions'!D3451+"$F;@!'%q"</f>
        <v>#VALUE!</v>
      </c>
      <c r="DC125" t="e">
        <f>'All regions'!E3451+"$F;@!'%r"</f>
        <v>#VALUE!</v>
      </c>
      <c r="DD125" t="e">
        <f>'All regions'!F3451+"$F;@!'%s"</f>
        <v>#VALUE!</v>
      </c>
      <c r="DE125" t="e">
        <f>'All regions'!G3451+"$F;@!'%t"</f>
        <v>#VALUE!</v>
      </c>
      <c r="DF125" t="e">
        <f>'All regions'!H3451+"$F;@!'%u"</f>
        <v>#VALUE!</v>
      </c>
      <c r="DG125" t="e">
        <f>'All regions'!I3451+"$F;@!'%v"</f>
        <v>#VALUE!</v>
      </c>
      <c r="DH125" t="e">
        <f>'All regions'!A3452+"$F;@!'%w"</f>
        <v>#VALUE!</v>
      </c>
      <c r="DI125" t="e">
        <f>'All regions'!B3452+"$F;@!'%x"</f>
        <v>#VALUE!</v>
      </c>
      <c r="DJ125" t="e">
        <f>'All regions'!C3452+"$F;@!'%y"</f>
        <v>#VALUE!</v>
      </c>
      <c r="DK125" t="e">
        <f>'All regions'!D3452+"$F;@!'%z"</f>
        <v>#VALUE!</v>
      </c>
      <c r="DL125" t="e">
        <f>'All regions'!E3452+"$F;@!'%{"</f>
        <v>#VALUE!</v>
      </c>
      <c r="DM125" t="e">
        <f>'All regions'!F3452+"$F;@!'%|"</f>
        <v>#VALUE!</v>
      </c>
      <c r="DN125" t="e">
        <f>'All regions'!G3452+"$F;@!'%}"</f>
        <v>#VALUE!</v>
      </c>
      <c r="DO125" t="e">
        <f>'All regions'!H3452+"$F;@!'%~"</f>
        <v>#VALUE!</v>
      </c>
      <c r="DP125" t="e">
        <f>'All regions'!I3452+"$F;@!'&amp;#"</f>
        <v>#VALUE!</v>
      </c>
      <c r="DQ125" t="e">
        <f>'All regions'!A3453+"$F;@!'&amp;$"</f>
        <v>#VALUE!</v>
      </c>
      <c r="DR125" t="e">
        <f>'All regions'!B3453+"$F;@!'&amp;%"</f>
        <v>#VALUE!</v>
      </c>
      <c r="DS125" t="e">
        <f>'All regions'!C3453+"$F;@!'&amp;&amp;"</f>
        <v>#VALUE!</v>
      </c>
      <c r="DT125" t="e">
        <f>'All regions'!D3453+"$F;@!'&amp;'"</f>
        <v>#VALUE!</v>
      </c>
      <c r="DU125" t="e">
        <f>'All regions'!E3453+"$F;@!'&amp;("</f>
        <v>#VALUE!</v>
      </c>
      <c r="DV125" t="e">
        <f>'All regions'!F3453+"$F;@!'&amp;)"</f>
        <v>#VALUE!</v>
      </c>
      <c r="DW125" t="e">
        <f>'All regions'!G3453+"$F;@!'&amp;."</f>
        <v>#VALUE!</v>
      </c>
      <c r="DX125" t="e">
        <f>'All regions'!H3453+"$F;@!'&amp;/"</f>
        <v>#VALUE!</v>
      </c>
      <c r="DY125" t="e">
        <f>'All regions'!I3453+"$F;@!'&amp;0"</f>
        <v>#VALUE!</v>
      </c>
      <c r="DZ125" t="e">
        <f>'All regions'!A3454+"$F;@!'&amp;1"</f>
        <v>#VALUE!</v>
      </c>
      <c r="EA125" t="e">
        <f>'All regions'!B3454+"$F;@!'&amp;2"</f>
        <v>#VALUE!</v>
      </c>
      <c r="EB125" t="e">
        <f>'All regions'!C3454+"$F;@!'&amp;3"</f>
        <v>#VALUE!</v>
      </c>
      <c r="EC125" t="e">
        <f>'All regions'!D3454+"$F;@!'&amp;4"</f>
        <v>#VALUE!</v>
      </c>
      <c r="ED125" t="e">
        <f>'All regions'!E3454+"$F;@!'&amp;5"</f>
        <v>#VALUE!</v>
      </c>
      <c r="EE125" t="e">
        <f>'All regions'!F3454+"$F;@!'&amp;6"</f>
        <v>#VALUE!</v>
      </c>
      <c r="EF125" t="e">
        <f>'All regions'!G3454+"$F;@!'&amp;7"</f>
        <v>#VALUE!</v>
      </c>
      <c r="EG125" t="e">
        <f>'All regions'!H3454+"$F;@!'&amp;8"</f>
        <v>#VALUE!</v>
      </c>
      <c r="EH125" t="e">
        <f>'All regions'!I3454+"$F;@!'&amp;9"</f>
        <v>#VALUE!</v>
      </c>
      <c r="EI125" t="e">
        <f>'All regions'!A3455+"$F;@!'&amp;:"</f>
        <v>#VALUE!</v>
      </c>
      <c r="EJ125" t="e">
        <f>'All regions'!B3455+"$F;@!'&amp;;"</f>
        <v>#VALUE!</v>
      </c>
      <c r="EK125" t="e">
        <f>'All regions'!C3455+"$F;@!'&amp;&lt;"</f>
        <v>#VALUE!</v>
      </c>
      <c r="EL125" t="e">
        <f>'All regions'!D3455+"$F;@!'&amp;="</f>
        <v>#VALUE!</v>
      </c>
      <c r="EM125" t="e">
        <f>'All regions'!E3455+"$F;@!'&amp;&gt;"</f>
        <v>#VALUE!</v>
      </c>
      <c r="EN125" t="e">
        <f>'All regions'!F3455+"$F;@!'&amp;?"</f>
        <v>#VALUE!</v>
      </c>
      <c r="EO125" t="e">
        <f>'All regions'!G3455+"$F;@!'&amp;@"</f>
        <v>#VALUE!</v>
      </c>
      <c r="EP125" t="e">
        <f>'All regions'!H3455+"$F;@!'&amp;A"</f>
        <v>#VALUE!</v>
      </c>
      <c r="EQ125" t="e">
        <f>'All regions'!I3455+"$F;@!'&amp;B"</f>
        <v>#VALUE!</v>
      </c>
      <c r="ER125" t="e">
        <f>'All regions'!A3456+"$F;@!'&amp;C"</f>
        <v>#VALUE!</v>
      </c>
      <c r="ES125" t="e">
        <f>'All regions'!B3456+"$F;@!'&amp;D"</f>
        <v>#VALUE!</v>
      </c>
      <c r="ET125" t="e">
        <f>'All regions'!C3456+"$F;@!'&amp;E"</f>
        <v>#VALUE!</v>
      </c>
      <c r="EU125" t="e">
        <f>'All regions'!D3456+"$F;@!'&amp;F"</f>
        <v>#VALUE!</v>
      </c>
      <c r="EV125" t="e">
        <f>'All regions'!E3456+"$F;@!'&amp;G"</f>
        <v>#VALUE!</v>
      </c>
      <c r="EW125" t="e">
        <f>'All regions'!F3456+"$F;@!'&amp;H"</f>
        <v>#VALUE!</v>
      </c>
      <c r="EX125" t="e">
        <f>'All regions'!G3456+"$F;@!'&amp;I"</f>
        <v>#VALUE!</v>
      </c>
      <c r="EY125" t="e">
        <f>'All regions'!H3456+"$F;@!'&amp;J"</f>
        <v>#VALUE!</v>
      </c>
      <c r="EZ125" t="e">
        <f>'All regions'!I3456+"$F;@!'&amp;K"</f>
        <v>#VALUE!</v>
      </c>
      <c r="FA125" t="e">
        <f>'All regions'!A3457+"$F;@!'&amp;L"</f>
        <v>#VALUE!</v>
      </c>
      <c r="FB125" t="e">
        <f>'All regions'!B3457+"$F;@!'&amp;M"</f>
        <v>#VALUE!</v>
      </c>
      <c r="FC125" t="e">
        <f>'All regions'!C3457+"$F;@!'&amp;N"</f>
        <v>#VALUE!</v>
      </c>
      <c r="FD125" t="e">
        <f>'All regions'!D3457+"$F;@!'&amp;O"</f>
        <v>#VALUE!</v>
      </c>
      <c r="FE125" t="e">
        <f>'All regions'!E3457+"$F;@!'&amp;P"</f>
        <v>#VALUE!</v>
      </c>
      <c r="FF125" t="e">
        <f>'All regions'!F3457+"$F;@!'&amp;Q"</f>
        <v>#VALUE!</v>
      </c>
      <c r="FG125" t="e">
        <f>'All regions'!G3457+"$F;@!'&amp;R"</f>
        <v>#VALUE!</v>
      </c>
      <c r="FH125" t="e">
        <f>'All regions'!H3457+"$F;@!'&amp;S"</f>
        <v>#VALUE!</v>
      </c>
      <c r="FI125" t="e">
        <f>'All regions'!I3457+"$F;@!'&amp;T"</f>
        <v>#VALUE!</v>
      </c>
      <c r="FJ125" t="e">
        <f>'All regions'!A3458+"$F;@!'&amp;U"</f>
        <v>#VALUE!</v>
      </c>
      <c r="FK125" t="e">
        <f>'All regions'!B3458+"$F;@!'&amp;V"</f>
        <v>#VALUE!</v>
      </c>
      <c r="FL125" t="e">
        <f>'All regions'!C3458+"$F;@!'&amp;W"</f>
        <v>#VALUE!</v>
      </c>
      <c r="FM125" t="e">
        <f>'All regions'!D3458+"$F;@!'&amp;X"</f>
        <v>#VALUE!</v>
      </c>
      <c r="FN125" t="e">
        <f>'All regions'!E3458+"$F;@!'&amp;Y"</f>
        <v>#VALUE!</v>
      </c>
      <c r="FO125" t="e">
        <f>'All regions'!F3458+"$F;@!'&amp;Z"</f>
        <v>#VALUE!</v>
      </c>
      <c r="FP125" t="e">
        <f>'All regions'!G3458+"$F;@!'&amp;["</f>
        <v>#VALUE!</v>
      </c>
      <c r="FQ125" t="e">
        <f>'All regions'!H3458+"$F;@!'&amp;\"</f>
        <v>#VALUE!</v>
      </c>
      <c r="FR125" t="e">
        <f>'All regions'!I3458+"$F;@!'&amp;]"</f>
        <v>#VALUE!</v>
      </c>
      <c r="FS125" t="e">
        <f>'All regions'!A3459+"$F;@!'&amp;^"</f>
        <v>#VALUE!</v>
      </c>
      <c r="FT125" t="e">
        <f>'All regions'!B3459+"$F;@!'&amp;_"</f>
        <v>#VALUE!</v>
      </c>
      <c r="FU125" t="e">
        <f>'All regions'!C3459+"$F;@!'&amp;`"</f>
        <v>#VALUE!</v>
      </c>
      <c r="FV125" t="e">
        <f>'All regions'!D3459+"$F;@!'&amp;a"</f>
        <v>#VALUE!</v>
      </c>
      <c r="FW125" t="e">
        <f>'All regions'!E3459+"$F;@!'&amp;b"</f>
        <v>#VALUE!</v>
      </c>
      <c r="FX125" t="e">
        <f>'All regions'!F3459+"$F;@!'&amp;c"</f>
        <v>#VALUE!</v>
      </c>
      <c r="FY125" t="e">
        <f>'All regions'!G3459+"$F;@!'&amp;d"</f>
        <v>#VALUE!</v>
      </c>
      <c r="FZ125" t="e">
        <f>'All regions'!H3459+"$F;@!'&amp;e"</f>
        <v>#VALUE!</v>
      </c>
      <c r="GA125" t="e">
        <f>'All regions'!I3459+"$F;@!'&amp;f"</f>
        <v>#VALUE!</v>
      </c>
      <c r="GB125" t="e">
        <f>'All regions'!A3460+"$F;@!'&amp;g"</f>
        <v>#VALUE!</v>
      </c>
      <c r="GC125" t="e">
        <f>'All regions'!B3460+"$F;@!'&amp;h"</f>
        <v>#VALUE!</v>
      </c>
      <c r="GD125" t="e">
        <f>'All regions'!C3460+"$F;@!'&amp;i"</f>
        <v>#VALUE!</v>
      </c>
      <c r="GE125" t="e">
        <f>'All regions'!D3460+"$F;@!'&amp;j"</f>
        <v>#VALUE!</v>
      </c>
      <c r="GF125" t="e">
        <f>'All regions'!E3460+"$F;@!'&amp;k"</f>
        <v>#VALUE!</v>
      </c>
      <c r="GG125" t="e">
        <f>'All regions'!F3460+"$F;@!'&amp;l"</f>
        <v>#VALUE!</v>
      </c>
      <c r="GH125" t="e">
        <f>'All regions'!G3460+"$F;@!'&amp;m"</f>
        <v>#VALUE!</v>
      </c>
      <c r="GI125" t="e">
        <f>'All regions'!H3460+"$F;@!'&amp;n"</f>
        <v>#VALUE!</v>
      </c>
      <c r="GJ125" t="e">
        <f>'All regions'!I3460+"$F;@!'&amp;o"</f>
        <v>#VALUE!</v>
      </c>
      <c r="GK125" t="e">
        <f>'All regions'!A3461+"$F;@!'&amp;p"</f>
        <v>#VALUE!</v>
      </c>
      <c r="GL125" t="e">
        <f>'All regions'!B3461+"$F;@!'&amp;q"</f>
        <v>#VALUE!</v>
      </c>
      <c r="GM125" t="e">
        <f>'All regions'!C3461+"$F;@!'&amp;r"</f>
        <v>#VALUE!</v>
      </c>
      <c r="GN125" t="e">
        <f>'All regions'!D3461+"$F;@!'&amp;s"</f>
        <v>#VALUE!</v>
      </c>
      <c r="GO125" t="e">
        <f>'All regions'!E3461+"$F;@!'&amp;t"</f>
        <v>#VALUE!</v>
      </c>
      <c r="GP125" t="e">
        <f>'All regions'!F3461+"$F;@!'&amp;u"</f>
        <v>#VALUE!</v>
      </c>
      <c r="GQ125" t="e">
        <f>'All regions'!G3461+"$F;@!'&amp;v"</f>
        <v>#VALUE!</v>
      </c>
      <c r="GR125" t="e">
        <f>'All regions'!H3461+"$F;@!'&amp;w"</f>
        <v>#VALUE!</v>
      </c>
      <c r="GS125" t="e">
        <f>'All regions'!I3461+"$F;@!'&amp;x"</f>
        <v>#VALUE!</v>
      </c>
      <c r="GT125" t="e">
        <f>'All regions'!A3462+"$F;@!'&amp;y"</f>
        <v>#VALUE!</v>
      </c>
      <c r="GU125" t="e">
        <f>'All regions'!B3462+"$F;@!'&amp;z"</f>
        <v>#VALUE!</v>
      </c>
      <c r="GV125" t="e">
        <f>'All regions'!C3462+"$F;@!'&amp;{"</f>
        <v>#VALUE!</v>
      </c>
      <c r="GW125" t="e">
        <f>'All regions'!D3462+"$F;@!'&amp;|"</f>
        <v>#VALUE!</v>
      </c>
      <c r="GX125" t="e">
        <f>'All regions'!E3462+"$F;@!'&amp;}"</f>
        <v>#VALUE!</v>
      </c>
      <c r="GY125" t="e">
        <f>'All regions'!F3462+"$F;@!'&amp;~"</f>
        <v>#VALUE!</v>
      </c>
      <c r="GZ125" t="e">
        <f>'All regions'!G3462+"$F;@!''#"</f>
        <v>#VALUE!</v>
      </c>
      <c r="HA125" t="e">
        <f>'All regions'!H3462+"$F;@!''$"</f>
        <v>#VALUE!</v>
      </c>
      <c r="HB125" t="e">
        <f>'All regions'!I3462+"$F;@!''%"</f>
        <v>#VALUE!</v>
      </c>
      <c r="HC125" t="e">
        <f>'All regions'!A3463+"$F;@!''&amp;"</f>
        <v>#VALUE!</v>
      </c>
      <c r="HD125" t="e">
        <f>'All regions'!B3463+"$F;@!'''"</f>
        <v>#VALUE!</v>
      </c>
      <c r="HE125" t="e">
        <f>'All regions'!C3463+"$F;@!''("</f>
        <v>#VALUE!</v>
      </c>
      <c r="HF125" t="e">
        <f>'All regions'!D3463+"$F;@!'')"</f>
        <v>#VALUE!</v>
      </c>
      <c r="HG125" t="e">
        <f>'All regions'!E3463+"$F;@!''."</f>
        <v>#VALUE!</v>
      </c>
      <c r="HH125" t="e">
        <f>'All regions'!F3463+"$F;@!''/"</f>
        <v>#VALUE!</v>
      </c>
      <c r="HI125" t="e">
        <f>'All regions'!G3463+"$F;@!''0"</f>
        <v>#VALUE!</v>
      </c>
      <c r="HJ125" t="e">
        <f>'All regions'!H3463+"$F;@!''1"</f>
        <v>#VALUE!</v>
      </c>
      <c r="HK125" t="e">
        <f>'All regions'!I3463+"$F;@!''2"</f>
        <v>#VALUE!</v>
      </c>
      <c r="HL125" t="e">
        <f>'All regions'!A3464+"$F;@!''3"</f>
        <v>#VALUE!</v>
      </c>
      <c r="HM125" t="e">
        <f>'All regions'!B3464+"$F;@!''4"</f>
        <v>#VALUE!</v>
      </c>
      <c r="HN125" t="e">
        <f>'All regions'!C3464+"$F;@!''5"</f>
        <v>#VALUE!</v>
      </c>
      <c r="HO125" t="e">
        <f>'All regions'!D3464+"$F;@!''6"</f>
        <v>#VALUE!</v>
      </c>
      <c r="HP125" t="e">
        <f>'All regions'!E3464+"$F;@!''7"</f>
        <v>#VALUE!</v>
      </c>
      <c r="HQ125" t="e">
        <f>'All regions'!F3464+"$F;@!''8"</f>
        <v>#VALUE!</v>
      </c>
      <c r="HR125" t="e">
        <f>'All regions'!G3464+"$F;@!''9"</f>
        <v>#VALUE!</v>
      </c>
      <c r="HS125" t="e">
        <f>'All regions'!H3464+"$F;@!'':"</f>
        <v>#VALUE!</v>
      </c>
      <c r="HT125" t="e">
        <f>'All regions'!I3464+"$F;@!'';"</f>
        <v>#VALUE!</v>
      </c>
      <c r="HU125" t="e">
        <f>'All regions'!A3465+"$F;@!''&lt;"</f>
        <v>#VALUE!</v>
      </c>
      <c r="HV125" t="e">
        <f>'All regions'!B3465+"$F;@!''="</f>
        <v>#VALUE!</v>
      </c>
      <c r="HW125" t="e">
        <f>'All regions'!C3465+"$F;@!''&gt;"</f>
        <v>#VALUE!</v>
      </c>
      <c r="HX125" t="e">
        <f>'All regions'!D3465+"$F;@!''?"</f>
        <v>#VALUE!</v>
      </c>
      <c r="HY125" t="e">
        <f>'All regions'!E3465+"$F;@!''@"</f>
        <v>#VALUE!</v>
      </c>
      <c r="HZ125" t="e">
        <f>'All regions'!F3465+"$F;@!''A"</f>
        <v>#VALUE!</v>
      </c>
      <c r="IA125" t="e">
        <f>'All regions'!G3465+"$F;@!''B"</f>
        <v>#VALUE!</v>
      </c>
      <c r="IB125" t="e">
        <f>'All regions'!H3465+"$F;@!''C"</f>
        <v>#VALUE!</v>
      </c>
      <c r="IC125" t="e">
        <f>'All regions'!I3465+"$F;@!''D"</f>
        <v>#VALUE!</v>
      </c>
      <c r="ID125" t="e">
        <f>'All regions'!A3466+"$F;@!''E"</f>
        <v>#VALUE!</v>
      </c>
      <c r="IE125" t="e">
        <f>'All regions'!B3466+"$F;@!''F"</f>
        <v>#VALUE!</v>
      </c>
      <c r="IF125" t="e">
        <f>'All regions'!C3466+"$F;@!''G"</f>
        <v>#VALUE!</v>
      </c>
      <c r="IG125" t="e">
        <f>'All regions'!D3466+"$F;@!''H"</f>
        <v>#VALUE!</v>
      </c>
      <c r="IH125" t="e">
        <f>'All regions'!E3466+"$F;@!''I"</f>
        <v>#VALUE!</v>
      </c>
      <c r="II125" t="e">
        <f>'All regions'!F3466+"$F;@!''J"</f>
        <v>#VALUE!</v>
      </c>
      <c r="IJ125" t="e">
        <f>'All regions'!G3466+"$F;@!''K"</f>
        <v>#VALUE!</v>
      </c>
      <c r="IK125" t="e">
        <f>'All regions'!H3466+"$F;@!''L"</f>
        <v>#VALUE!</v>
      </c>
      <c r="IL125" t="e">
        <f>'All regions'!I3466+"$F;@!''M"</f>
        <v>#VALUE!</v>
      </c>
      <c r="IM125" t="e">
        <f>'All regions'!A3467+"$F;@!''N"</f>
        <v>#VALUE!</v>
      </c>
      <c r="IN125" t="e">
        <f>'All regions'!B3467+"$F;@!''O"</f>
        <v>#VALUE!</v>
      </c>
      <c r="IO125" t="e">
        <f>'All regions'!C3467+"$F;@!''P"</f>
        <v>#VALUE!</v>
      </c>
      <c r="IP125" t="e">
        <f>'All regions'!D3467+"$F;@!''Q"</f>
        <v>#VALUE!</v>
      </c>
      <c r="IQ125" t="e">
        <f>'All regions'!E3467+"$F;@!''R"</f>
        <v>#VALUE!</v>
      </c>
      <c r="IR125" t="e">
        <f>'All regions'!F3467+"$F;@!''S"</f>
        <v>#VALUE!</v>
      </c>
      <c r="IS125" t="e">
        <f>'All regions'!G3467+"$F;@!''T"</f>
        <v>#VALUE!</v>
      </c>
      <c r="IT125" t="e">
        <f>'All regions'!H3467+"$F;@!''U"</f>
        <v>#VALUE!</v>
      </c>
      <c r="IU125" t="e">
        <f>'All regions'!I3467+"$F;@!''V"</f>
        <v>#VALUE!</v>
      </c>
      <c r="IV125" t="e">
        <f>'All regions'!A3468+"$F;@!''W"</f>
        <v>#VALUE!</v>
      </c>
    </row>
    <row r="126" spans="6:256" x14ac:dyDescent="0.35">
      <c r="F126" t="e">
        <f>'All regions'!B3468+"$F;@!''X"</f>
        <v>#VALUE!</v>
      </c>
      <c r="G126" t="e">
        <f>'All regions'!C3468+"$F;@!''Y"</f>
        <v>#VALUE!</v>
      </c>
      <c r="H126" t="e">
        <f>'All regions'!D3468+"$F;@!''Z"</f>
        <v>#VALUE!</v>
      </c>
      <c r="I126" t="e">
        <f>'All regions'!E3468+"$F;@!''["</f>
        <v>#VALUE!</v>
      </c>
      <c r="J126" t="e">
        <f>'All regions'!F3468+"$F;@!''\"</f>
        <v>#VALUE!</v>
      </c>
      <c r="K126" t="e">
        <f>'All regions'!G3468+"$F;@!'']"</f>
        <v>#VALUE!</v>
      </c>
      <c r="L126" t="e">
        <f>'All regions'!H3468+"$F;@!''^"</f>
        <v>#VALUE!</v>
      </c>
      <c r="M126" t="e">
        <f>'All regions'!I3468+"$F;@!''_"</f>
        <v>#VALUE!</v>
      </c>
      <c r="N126" t="e">
        <f>'All regions'!A3469+"$F;@!''`"</f>
        <v>#VALUE!</v>
      </c>
      <c r="O126" t="e">
        <f>'All regions'!B3469+"$F;@!''a"</f>
        <v>#VALUE!</v>
      </c>
      <c r="P126" t="e">
        <f>'All regions'!C3469+"$F;@!''b"</f>
        <v>#VALUE!</v>
      </c>
      <c r="Q126" t="e">
        <f>'All regions'!D3469+"$F;@!''c"</f>
        <v>#VALUE!</v>
      </c>
      <c r="R126" t="e">
        <f>'All regions'!E3469+"$F;@!''d"</f>
        <v>#VALUE!</v>
      </c>
      <c r="S126" t="e">
        <f>'All regions'!F3469+"$F;@!''e"</f>
        <v>#VALUE!</v>
      </c>
      <c r="T126" t="e">
        <f>'All regions'!G3469+"$F;@!''f"</f>
        <v>#VALUE!</v>
      </c>
      <c r="U126" t="e">
        <f>'All regions'!H3469+"$F;@!''g"</f>
        <v>#VALUE!</v>
      </c>
      <c r="V126" t="e">
        <f>'All regions'!I3469+"$F;@!''h"</f>
        <v>#VALUE!</v>
      </c>
      <c r="W126" t="e">
        <f>'All regions'!A3470+"$F;@!''i"</f>
        <v>#VALUE!</v>
      </c>
      <c r="X126" t="e">
        <f>'All regions'!B3470+"$F;@!''j"</f>
        <v>#VALUE!</v>
      </c>
      <c r="Y126" t="e">
        <f>'All regions'!C3470+"$F;@!''k"</f>
        <v>#VALUE!</v>
      </c>
      <c r="Z126" t="e">
        <f>'All regions'!D3470+"$F;@!''l"</f>
        <v>#VALUE!</v>
      </c>
      <c r="AA126" t="e">
        <f>'All regions'!E3470+"$F;@!''m"</f>
        <v>#VALUE!</v>
      </c>
      <c r="AB126" t="e">
        <f>'All regions'!F3470+"$F;@!''n"</f>
        <v>#VALUE!</v>
      </c>
      <c r="AC126" t="e">
        <f>'All regions'!G3470+"$F;@!''o"</f>
        <v>#VALUE!</v>
      </c>
      <c r="AD126" t="e">
        <f>'All regions'!H3470+"$F;@!''p"</f>
        <v>#VALUE!</v>
      </c>
      <c r="AE126" t="e">
        <f>'All regions'!I3470+"$F;@!''q"</f>
        <v>#VALUE!</v>
      </c>
      <c r="AF126" t="e">
        <f>'All regions'!A3471+"$F;@!''r"</f>
        <v>#VALUE!</v>
      </c>
      <c r="AG126" t="e">
        <f>'All regions'!B3471+"$F;@!''s"</f>
        <v>#VALUE!</v>
      </c>
      <c r="AH126" t="e">
        <f>'All regions'!C3471+"$F;@!''t"</f>
        <v>#VALUE!</v>
      </c>
      <c r="AI126" t="e">
        <f>'All regions'!D3471+"$F;@!''u"</f>
        <v>#VALUE!</v>
      </c>
      <c r="AJ126" t="e">
        <f>'All regions'!E3471+"$F;@!''v"</f>
        <v>#VALUE!</v>
      </c>
      <c r="AK126" t="e">
        <f>'All regions'!F3471+"$F;@!''w"</f>
        <v>#VALUE!</v>
      </c>
      <c r="AL126" t="e">
        <f>'All regions'!G3471+"$F;@!''x"</f>
        <v>#VALUE!</v>
      </c>
      <c r="AM126" t="e">
        <f>'All regions'!H3471+"$F;@!''y"</f>
        <v>#VALUE!</v>
      </c>
      <c r="AN126" t="e">
        <f>'All regions'!I3471+"$F;@!''z"</f>
        <v>#VALUE!</v>
      </c>
      <c r="AO126" t="e">
        <f>'All regions'!A3472+"$F;@!''{"</f>
        <v>#VALUE!</v>
      </c>
      <c r="AP126" t="e">
        <f>'All regions'!B3472+"$F;@!''|"</f>
        <v>#VALUE!</v>
      </c>
      <c r="AQ126" t="e">
        <f>'All regions'!C3472+"$F;@!''}"</f>
        <v>#VALUE!</v>
      </c>
      <c r="AR126" t="e">
        <f>'All regions'!D3472+"$F;@!''~"</f>
        <v>#VALUE!</v>
      </c>
      <c r="AS126" t="e">
        <f>'All regions'!E3472+"$F;@!'(#"</f>
        <v>#VALUE!</v>
      </c>
      <c r="AT126" t="e">
        <f>'All regions'!F3472+"$F;@!'($"</f>
        <v>#VALUE!</v>
      </c>
      <c r="AU126" t="e">
        <f>'All regions'!G3472+"$F;@!'(%"</f>
        <v>#VALUE!</v>
      </c>
      <c r="AV126" t="e">
        <f>'All regions'!H3472+"$F;@!'(&amp;"</f>
        <v>#VALUE!</v>
      </c>
      <c r="AW126" t="e">
        <f>'All regions'!I3472+"$F;@!'('"</f>
        <v>#VALUE!</v>
      </c>
      <c r="AX126" t="e">
        <f>'All regions'!A3473+"$F;@!'(("</f>
        <v>#VALUE!</v>
      </c>
      <c r="AY126" t="e">
        <f>'All regions'!B3473+"$F;@!'()"</f>
        <v>#VALUE!</v>
      </c>
      <c r="AZ126" t="e">
        <f>'All regions'!C3473+"$F;@!'(."</f>
        <v>#VALUE!</v>
      </c>
      <c r="BA126" t="e">
        <f>'All regions'!D3473+"$F;@!'(/"</f>
        <v>#VALUE!</v>
      </c>
      <c r="BB126" t="e">
        <f>'All regions'!E3473+"$F;@!'(0"</f>
        <v>#VALUE!</v>
      </c>
      <c r="BC126" t="e">
        <f>'All regions'!F3473+"$F;@!'(1"</f>
        <v>#VALUE!</v>
      </c>
      <c r="BD126" t="e">
        <f>'All regions'!G3473+"$F;@!'(2"</f>
        <v>#VALUE!</v>
      </c>
      <c r="BE126" t="e">
        <f>'All regions'!H3473+"$F;@!'(3"</f>
        <v>#VALUE!</v>
      </c>
      <c r="BF126" t="e">
        <f>'All regions'!I3473+"$F;@!'(4"</f>
        <v>#VALUE!</v>
      </c>
      <c r="BG126" t="e">
        <f>'All regions'!A3474+"$F;@!'(5"</f>
        <v>#VALUE!</v>
      </c>
      <c r="BH126" t="e">
        <f>'All regions'!B3474+"$F;@!'(6"</f>
        <v>#VALUE!</v>
      </c>
      <c r="BI126" t="e">
        <f>'All regions'!C3474+"$F;@!'(7"</f>
        <v>#VALUE!</v>
      </c>
      <c r="BJ126" t="e">
        <f>'All regions'!D3474+"$F;@!'(8"</f>
        <v>#VALUE!</v>
      </c>
      <c r="BK126" t="e">
        <f>'All regions'!E3474+"$F;@!'(9"</f>
        <v>#VALUE!</v>
      </c>
      <c r="BL126" t="e">
        <f>'All regions'!F3474+"$F;@!'(:"</f>
        <v>#VALUE!</v>
      </c>
      <c r="BM126" t="e">
        <f>'All regions'!G3474+"$F;@!'(;"</f>
        <v>#VALUE!</v>
      </c>
      <c r="BN126" t="e">
        <f>'All regions'!H3474+"$F;@!'(&lt;"</f>
        <v>#VALUE!</v>
      </c>
      <c r="BO126" t="e">
        <f>'All regions'!I3474+"$F;@!'(="</f>
        <v>#VALUE!</v>
      </c>
      <c r="BP126" t="e">
        <f>'All regions'!A3475+"$F;@!'(&gt;"</f>
        <v>#VALUE!</v>
      </c>
      <c r="BQ126" t="e">
        <f>'All regions'!B3475+"$F;@!'(?"</f>
        <v>#VALUE!</v>
      </c>
      <c r="BR126" t="e">
        <f>'All regions'!C3475+"$F;@!'(@"</f>
        <v>#VALUE!</v>
      </c>
      <c r="BS126" t="e">
        <f>'All regions'!D3475+"$F;@!'(A"</f>
        <v>#VALUE!</v>
      </c>
      <c r="BT126" t="e">
        <f>'All regions'!E3475+"$F;@!'(B"</f>
        <v>#VALUE!</v>
      </c>
      <c r="BU126" t="e">
        <f>'All regions'!F3475+"$F;@!'(C"</f>
        <v>#VALUE!</v>
      </c>
      <c r="BV126" t="e">
        <f>'All regions'!G3475+"$F;@!'(D"</f>
        <v>#VALUE!</v>
      </c>
      <c r="BW126" t="e">
        <f>'All regions'!H3475+"$F;@!'(E"</f>
        <v>#VALUE!</v>
      </c>
      <c r="BX126" t="e">
        <f>'All regions'!I3475+"$F;@!'(F"</f>
        <v>#VALUE!</v>
      </c>
      <c r="BY126" t="e">
        <f>'All regions'!A3476+"$F;@!'(G"</f>
        <v>#VALUE!</v>
      </c>
      <c r="BZ126" t="e">
        <f>'All regions'!B3476+"$F;@!'(H"</f>
        <v>#VALUE!</v>
      </c>
      <c r="CA126" t="e">
        <f>'All regions'!C3476+"$F;@!'(I"</f>
        <v>#VALUE!</v>
      </c>
      <c r="CB126" t="e">
        <f>'All regions'!D3476+"$F;@!'(J"</f>
        <v>#VALUE!</v>
      </c>
      <c r="CC126" t="e">
        <f>'All regions'!E3476+"$F;@!'(K"</f>
        <v>#VALUE!</v>
      </c>
      <c r="CD126" t="e">
        <f>'All regions'!F3476+"$F;@!'(L"</f>
        <v>#VALUE!</v>
      </c>
      <c r="CE126" t="e">
        <f>'All regions'!G3476+"$F;@!'(M"</f>
        <v>#VALUE!</v>
      </c>
      <c r="CF126" t="e">
        <f>'All regions'!H3476+"$F;@!'(N"</f>
        <v>#VALUE!</v>
      </c>
      <c r="CG126" t="e">
        <f>'All regions'!I3476+"$F;@!'(O"</f>
        <v>#VALUE!</v>
      </c>
      <c r="CH126" t="e">
        <f>'All regions'!A3477+"$F;@!'(P"</f>
        <v>#VALUE!</v>
      </c>
      <c r="CI126" t="e">
        <f>'All regions'!B3477+"$F;@!'(Q"</f>
        <v>#VALUE!</v>
      </c>
      <c r="CJ126" t="e">
        <f>'All regions'!C3477+"$F;@!'(R"</f>
        <v>#VALUE!</v>
      </c>
      <c r="CK126" t="e">
        <f>'All regions'!D3477+"$F;@!'(S"</f>
        <v>#VALUE!</v>
      </c>
      <c r="CL126" t="e">
        <f>'All regions'!E3477+"$F;@!'(T"</f>
        <v>#VALUE!</v>
      </c>
      <c r="CM126" t="e">
        <f>'All regions'!F3477+"$F;@!'(U"</f>
        <v>#VALUE!</v>
      </c>
      <c r="CN126" t="e">
        <f>'All regions'!G3477+"$F;@!'(V"</f>
        <v>#VALUE!</v>
      </c>
      <c r="CO126" t="e">
        <f>'All regions'!H3477+"$F;@!'(W"</f>
        <v>#VALUE!</v>
      </c>
      <c r="CP126" t="e">
        <f>'All regions'!I3477+"$F;@!'(X"</f>
        <v>#VALUE!</v>
      </c>
      <c r="CQ126" t="e">
        <f>'All regions'!A3478+"$F;@!'(Y"</f>
        <v>#VALUE!</v>
      </c>
      <c r="CR126" t="e">
        <f>'All regions'!B3478+"$F;@!'(Z"</f>
        <v>#VALUE!</v>
      </c>
      <c r="CS126" t="e">
        <f>'All regions'!C3478+"$F;@!'(["</f>
        <v>#VALUE!</v>
      </c>
      <c r="CT126" t="e">
        <f>'All regions'!D3478+"$F;@!'(\"</f>
        <v>#VALUE!</v>
      </c>
      <c r="CU126" t="e">
        <f>'All regions'!E3478+"$F;@!'(]"</f>
        <v>#VALUE!</v>
      </c>
      <c r="CV126" t="e">
        <f>'All regions'!F3478+"$F;@!'(^"</f>
        <v>#VALUE!</v>
      </c>
      <c r="CW126" t="e">
        <f>'All regions'!G3478+"$F;@!'(_"</f>
        <v>#VALUE!</v>
      </c>
      <c r="CX126" t="e">
        <f>'All regions'!H3478+"$F;@!'(`"</f>
        <v>#VALUE!</v>
      </c>
      <c r="CY126" t="e">
        <f>'All regions'!I3478+"$F;@!'(a"</f>
        <v>#VALUE!</v>
      </c>
      <c r="CZ126" t="e">
        <f>'All regions'!A3479+"$F;@!'(b"</f>
        <v>#VALUE!</v>
      </c>
      <c r="DA126" t="e">
        <f>'All regions'!B3479+"$F;@!'(c"</f>
        <v>#VALUE!</v>
      </c>
      <c r="DB126" t="e">
        <f>'All regions'!C3479+"$F;@!'(d"</f>
        <v>#VALUE!</v>
      </c>
      <c r="DC126" t="e">
        <f>'All regions'!D3479+"$F;@!'(e"</f>
        <v>#VALUE!</v>
      </c>
      <c r="DD126" t="e">
        <f>'All regions'!E3479+"$F;@!'(f"</f>
        <v>#VALUE!</v>
      </c>
      <c r="DE126" t="e">
        <f>'All regions'!F3479+"$F;@!'(g"</f>
        <v>#VALUE!</v>
      </c>
      <c r="DF126" t="e">
        <f>'All regions'!G3479+"$F;@!'(h"</f>
        <v>#VALUE!</v>
      </c>
      <c r="DG126" t="e">
        <f>'All regions'!H3479+"$F;@!'(i"</f>
        <v>#VALUE!</v>
      </c>
      <c r="DH126" t="e">
        <f>'All regions'!I3479+"$F;@!'(j"</f>
        <v>#VALUE!</v>
      </c>
      <c r="DI126" t="e">
        <f>'All regions'!A3480+"$F;@!'(k"</f>
        <v>#VALUE!</v>
      </c>
      <c r="DJ126" t="e">
        <f>'All regions'!B3480+"$F;@!'(l"</f>
        <v>#VALUE!</v>
      </c>
      <c r="DK126" t="e">
        <f>'All regions'!C3480+"$F;@!'(m"</f>
        <v>#VALUE!</v>
      </c>
      <c r="DL126" t="e">
        <f>'All regions'!D3480+"$F;@!'(n"</f>
        <v>#VALUE!</v>
      </c>
      <c r="DM126" t="e">
        <f>'All regions'!E3480+"$F;@!'(o"</f>
        <v>#VALUE!</v>
      </c>
      <c r="DN126" t="e">
        <f>'All regions'!F3480+"$F;@!'(p"</f>
        <v>#VALUE!</v>
      </c>
      <c r="DO126" t="e">
        <f>'All regions'!G3480+"$F;@!'(q"</f>
        <v>#VALUE!</v>
      </c>
      <c r="DP126" t="e">
        <f>'All regions'!H3480+"$F;@!'(r"</f>
        <v>#VALUE!</v>
      </c>
      <c r="DQ126" t="e">
        <f>'All regions'!I3480+"$F;@!'(s"</f>
        <v>#VALUE!</v>
      </c>
      <c r="DR126" t="e">
        <f>'All regions'!A3481+"$F;@!'(t"</f>
        <v>#VALUE!</v>
      </c>
      <c r="DS126" t="e">
        <f>'All regions'!B3481+"$F;@!'(u"</f>
        <v>#VALUE!</v>
      </c>
      <c r="DT126" t="e">
        <f>'All regions'!C3481+"$F;@!'(v"</f>
        <v>#VALUE!</v>
      </c>
      <c r="DU126" t="e">
        <f>'All regions'!D3481+"$F;@!'(w"</f>
        <v>#VALUE!</v>
      </c>
      <c r="DV126" t="e">
        <f>'All regions'!E3481+"$F;@!'(x"</f>
        <v>#VALUE!</v>
      </c>
      <c r="DW126" t="e">
        <f>'All regions'!F3481+"$F;@!'(y"</f>
        <v>#VALUE!</v>
      </c>
      <c r="DX126" t="e">
        <f>'All regions'!G3481+"$F;@!'(z"</f>
        <v>#VALUE!</v>
      </c>
      <c r="DY126" t="e">
        <f>'All regions'!H3481+"$F;@!'({"</f>
        <v>#VALUE!</v>
      </c>
      <c r="DZ126" t="e">
        <f>'All regions'!I3481+"$F;@!'(|"</f>
        <v>#VALUE!</v>
      </c>
      <c r="EA126" t="e">
        <f>'All regions'!A3482+"$F;@!'(}"</f>
        <v>#VALUE!</v>
      </c>
      <c r="EB126" t="e">
        <f>'All regions'!B3482+"$F;@!'(~"</f>
        <v>#VALUE!</v>
      </c>
      <c r="EC126" t="e">
        <f>'All regions'!C3482+"$F;@!')#"</f>
        <v>#VALUE!</v>
      </c>
      <c r="ED126" t="e">
        <f>'All regions'!D3482+"$F;@!')$"</f>
        <v>#VALUE!</v>
      </c>
      <c r="EE126" t="e">
        <f>'All regions'!E3482+"$F;@!')%"</f>
        <v>#VALUE!</v>
      </c>
      <c r="EF126" t="e">
        <f>'All regions'!F3482+"$F;@!')&amp;"</f>
        <v>#VALUE!</v>
      </c>
      <c r="EG126" t="e">
        <f>'All regions'!G3482+"$F;@!')'"</f>
        <v>#VALUE!</v>
      </c>
      <c r="EH126" t="e">
        <f>'All regions'!H3482+"$F;@!')("</f>
        <v>#VALUE!</v>
      </c>
      <c r="EI126" t="e">
        <f>'All regions'!I3482+"$F;@!'))"</f>
        <v>#VALUE!</v>
      </c>
      <c r="EJ126" t="e">
        <f>'All regions'!A3483+"$F;@!')."</f>
        <v>#VALUE!</v>
      </c>
      <c r="EK126" t="e">
        <f>'All regions'!B3483+"$F;@!')/"</f>
        <v>#VALUE!</v>
      </c>
      <c r="EL126" t="e">
        <f>'All regions'!C3483+"$F;@!')0"</f>
        <v>#VALUE!</v>
      </c>
      <c r="EM126" t="e">
        <f>'All regions'!D3483+"$F;@!')1"</f>
        <v>#VALUE!</v>
      </c>
      <c r="EN126" t="e">
        <f>'All regions'!E3483+"$F;@!')2"</f>
        <v>#VALUE!</v>
      </c>
      <c r="EO126" t="e">
        <f>'All regions'!F3483+"$F;@!')3"</f>
        <v>#VALUE!</v>
      </c>
      <c r="EP126" t="e">
        <f>'All regions'!G3483+"$F;@!')4"</f>
        <v>#VALUE!</v>
      </c>
      <c r="EQ126" t="e">
        <f>'All regions'!H3483+"$F;@!')5"</f>
        <v>#VALUE!</v>
      </c>
      <c r="ER126" t="e">
        <f>'All regions'!I3483+"$F;@!')6"</f>
        <v>#VALUE!</v>
      </c>
      <c r="ES126" t="e">
        <f>'All regions'!A3484+"$F;@!')7"</f>
        <v>#VALUE!</v>
      </c>
      <c r="ET126" t="e">
        <f>'All regions'!B3484+"$F;@!')8"</f>
        <v>#VALUE!</v>
      </c>
      <c r="EU126" t="e">
        <f>'All regions'!C3484+"$F;@!')9"</f>
        <v>#VALUE!</v>
      </c>
      <c r="EV126" t="e">
        <f>'All regions'!D3484+"$F;@!'):"</f>
        <v>#VALUE!</v>
      </c>
      <c r="EW126" t="e">
        <f>'All regions'!E3484+"$F;@!');"</f>
        <v>#VALUE!</v>
      </c>
      <c r="EX126" t="e">
        <f>'All regions'!F3484+"$F;@!')&lt;"</f>
        <v>#VALUE!</v>
      </c>
      <c r="EY126" t="e">
        <f>'All regions'!G3484+"$F;@!')="</f>
        <v>#VALUE!</v>
      </c>
      <c r="EZ126" t="e">
        <f>'All regions'!H3484+"$F;@!')&gt;"</f>
        <v>#VALUE!</v>
      </c>
      <c r="FA126" t="e">
        <f>'All regions'!I3484+"$F;@!')?"</f>
        <v>#VALUE!</v>
      </c>
      <c r="FB126" t="e">
        <f>'All regions'!A3485+"$F;@!')@"</f>
        <v>#VALUE!</v>
      </c>
      <c r="FC126" t="e">
        <f>'All regions'!B3485+"$F;@!')A"</f>
        <v>#VALUE!</v>
      </c>
      <c r="FD126" t="e">
        <f>'All regions'!C3485+"$F;@!')B"</f>
        <v>#VALUE!</v>
      </c>
      <c r="FE126" t="e">
        <f>'All regions'!D3485+"$F;@!')C"</f>
        <v>#VALUE!</v>
      </c>
      <c r="FF126" t="e">
        <f>'All regions'!E3485+"$F;@!')D"</f>
        <v>#VALUE!</v>
      </c>
      <c r="FG126" t="e">
        <f>'All regions'!F3485+"$F;@!')E"</f>
        <v>#VALUE!</v>
      </c>
      <c r="FH126" t="e">
        <f>'All regions'!G3485+"$F;@!')F"</f>
        <v>#VALUE!</v>
      </c>
      <c r="FI126" t="e">
        <f>'All regions'!H3485+"$F;@!')G"</f>
        <v>#VALUE!</v>
      </c>
      <c r="FJ126" t="e">
        <f>'All regions'!I3485+"$F;@!')H"</f>
        <v>#VALUE!</v>
      </c>
      <c r="FK126" t="e">
        <f>'All regions'!A3486+"$F;@!')I"</f>
        <v>#VALUE!</v>
      </c>
      <c r="FL126" t="e">
        <f>'All regions'!B3486+"$F;@!')J"</f>
        <v>#VALUE!</v>
      </c>
      <c r="FM126" t="e">
        <f>'All regions'!C3486+"$F;@!')K"</f>
        <v>#VALUE!</v>
      </c>
      <c r="FN126" t="e">
        <f>'All regions'!D3486+"$F;@!')L"</f>
        <v>#VALUE!</v>
      </c>
      <c r="FO126" t="e">
        <f>'All regions'!E3486+"$F;@!')M"</f>
        <v>#VALUE!</v>
      </c>
      <c r="FP126" t="e">
        <f>'All regions'!F3486+"$F;@!')N"</f>
        <v>#VALUE!</v>
      </c>
      <c r="FQ126" t="e">
        <f>'All regions'!G3486+"$F;@!')O"</f>
        <v>#VALUE!</v>
      </c>
      <c r="FR126" t="e">
        <f>'All regions'!H3486+"$F;@!')P"</f>
        <v>#VALUE!</v>
      </c>
      <c r="FS126" t="e">
        <f>'All regions'!I3486+"$F;@!')Q"</f>
        <v>#VALUE!</v>
      </c>
      <c r="FT126" t="e">
        <f>'All regions'!A3487+"$F;@!')R"</f>
        <v>#VALUE!</v>
      </c>
      <c r="FU126" t="e">
        <f>'All regions'!B3487+"$F;@!')S"</f>
        <v>#VALUE!</v>
      </c>
      <c r="FV126" t="e">
        <f>'All regions'!C3487+"$F;@!')T"</f>
        <v>#VALUE!</v>
      </c>
      <c r="FW126" t="e">
        <f>'All regions'!D3487+"$F;@!')U"</f>
        <v>#VALUE!</v>
      </c>
      <c r="FX126" t="e">
        <f>'All regions'!E3487+"$F;@!')V"</f>
        <v>#VALUE!</v>
      </c>
      <c r="FY126" t="e">
        <f>'All regions'!F3487+"$F;@!')W"</f>
        <v>#VALUE!</v>
      </c>
      <c r="FZ126" t="e">
        <f>'All regions'!G3487+"$F;@!')X"</f>
        <v>#VALUE!</v>
      </c>
      <c r="GA126" t="e">
        <f>'All regions'!H3487+"$F;@!')Y"</f>
        <v>#VALUE!</v>
      </c>
      <c r="GB126" t="e">
        <f>'All regions'!I3487+"$F;@!')Z"</f>
        <v>#VALUE!</v>
      </c>
      <c r="GC126" t="e">
        <f>'All regions'!A3488+"$F;@!')["</f>
        <v>#VALUE!</v>
      </c>
      <c r="GD126" t="e">
        <f>'All regions'!B3488+"$F;@!')\"</f>
        <v>#VALUE!</v>
      </c>
      <c r="GE126" t="e">
        <f>'All regions'!C3488+"$F;@!')]"</f>
        <v>#VALUE!</v>
      </c>
      <c r="GF126" t="e">
        <f>'All regions'!D3488+"$F;@!')^"</f>
        <v>#VALUE!</v>
      </c>
      <c r="GG126" t="e">
        <f>'All regions'!E3488+"$F;@!')_"</f>
        <v>#VALUE!</v>
      </c>
      <c r="GH126" t="e">
        <f>'All regions'!F3488+"$F;@!')`"</f>
        <v>#VALUE!</v>
      </c>
      <c r="GI126" t="e">
        <f>'All regions'!G3488+"$F;@!')a"</f>
        <v>#VALUE!</v>
      </c>
      <c r="GJ126" t="e">
        <f>'All regions'!H3488+"$F;@!')b"</f>
        <v>#VALUE!</v>
      </c>
      <c r="GK126" t="e">
        <f>'All regions'!I3488+"$F;@!')c"</f>
        <v>#VALUE!</v>
      </c>
      <c r="GL126" t="e">
        <f>'All regions'!A3489+"$F;@!')d"</f>
        <v>#VALUE!</v>
      </c>
      <c r="GM126" t="e">
        <f>'All regions'!B3489+"$F;@!')e"</f>
        <v>#VALUE!</v>
      </c>
      <c r="GN126" t="e">
        <f>'All regions'!C3489+"$F;@!')f"</f>
        <v>#VALUE!</v>
      </c>
      <c r="GO126" t="e">
        <f>'All regions'!D3489+"$F;@!')g"</f>
        <v>#VALUE!</v>
      </c>
      <c r="GP126" t="e">
        <f>'All regions'!E3489+"$F;@!')h"</f>
        <v>#VALUE!</v>
      </c>
      <c r="GQ126" t="e">
        <f>'All regions'!F3489+"$F;@!')i"</f>
        <v>#VALUE!</v>
      </c>
      <c r="GR126" t="e">
        <f>'All regions'!G3489+"$F;@!')j"</f>
        <v>#VALUE!</v>
      </c>
      <c r="GS126" t="e">
        <f>'All regions'!H3489+"$F;@!')k"</f>
        <v>#VALUE!</v>
      </c>
      <c r="GT126" t="e">
        <f>'All regions'!I3489+"$F;@!')l"</f>
        <v>#VALUE!</v>
      </c>
      <c r="GU126" t="e">
        <f>'All regions'!A3490+"$F;@!')m"</f>
        <v>#VALUE!</v>
      </c>
      <c r="GV126" t="e">
        <f>'All regions'!B3490+"$F;@!')n"</f>
        <v>#VALUE!</v>
      </c>
      <c r="GW126" t="e">
        <f>'All regions'!C3490+"$F;@!')o"</f>
        <v>#VALUE!</v>
      </c>
      <c r="GX126" t="e">
        <f>'All regions'!D3490+"$F;@!')p"</f>
        <v>#VALUE!</v>
      </c>
      <c r="GY126" t="e">
        <f>'All regions'!E3490+"$F;@!')q"</f>
        <v>#VALUE!</v>
      </c>
      <c r="GZ126" t="e">
        <f>'All regions'!F3490+"$F;@!')r"</f>
        <v>#VALUE!</v>
      </c>
      <c r="HA126" t="e">
        <f>'All regions'!G3490+"$F;@!')s"</f>
        <v>#VALUE!</v>
      </c>
      <c r="HB126" t="e">
        <f>'All regions'!H3490+"$F;@!')t"</f>
        <v>#VALUE!</v>
      </c>
      <c r="HC126" t="e">
        <f>'All regions'!I3490+"$F;@!')u"</f>
        <v>#VALUE!</v>
      </c>
      <c r="HD126" t="e">
        <f>'All regions'!A3491+"$F;@!')v"</f>
        <v>#VALUE!</v>
      </c>
      <c r="HE126" t="e">
        <f>'All regions'!B3491+"$F;@!')w"</f>
        <v>#VALUE!</v>
      </c>
      <c r="HF126" t="e">
        <f>'All regions'!C3491+"$F;@!')x"</f>
        <v>#VALUE!</v>
      </c>
      <c r="HG126" t="e">
        <f>'All regions'!D3491+"$F;@!')y"</f>
        <v>#VALUE!</v>
      </c>
      <c r="HH126" t="e">
        <f>'All regions'!E3491+"$F;@!')z"</f>
        <v>#VALUE!</v>
      </c>
      <c r="HI126" t="e">
        <f>'All regions'!F3491+"$F;@!'){"</f>
        <v>#VALUE!</v>
      </c>
      <c r="HJ126" t="e">
        <f>'All regions'!G3491+"$F;@!')|"</f>
        <v>#VALUE!</v>
      </c>
      <c r="HK126" t="e">
        <f>'All regions'!H3491+"$F;@!')}"</f>
        <v>#VALUE!</v>
      </c>
      <c r="HL126" t="e">
        <f>'All regions'!I3491+"$F;@!')~"</f>
        <v>#VALUE!</v>
      </c>
      <c r="HM126" t="e">
        <f>'All regions'!A3492+"$F;@!'.#"</f>
        <v>#VALUE!</v>
      </c>
      <c r="HN126" t="e">
        <f>'All regions'!B3492+"$F;@!'.$"</f>
        <v>#VALUE!</v>
      </c>
      <c r="HO126" t="e">
        <f>'All regions'!C3492+"$F;@!'.%"</f>
        <v>#VALUE!</v>
      </c>
      <c r="HP126" t="e">
        <f>'All regions'!D3492+"$F;@!'.&amp;"</f>
        <v>#VALUE!</v>
      </c>
      <c r="HQ126" t="e">
        <f>'All regions'!E3492+"$F;@!'.'"</f>
        <v>#VALUE!</v>
      </c>
      <c r="HR126" t="e">
        <f>'All regions'!F3492+"$F;@!'.("</f>
        <v>#VALUE!</v>
      </c>
      <c r="HS126" t="e">
        <f>'All regions'!G3492+"$F;@!'.)"</f>
        <v>#VALUE!</v>
      </c>
      <c r="HT126" t="e">
        <f>'All regions'!H3492+"$F;@!'.."</f>
        <v>#VALUE!</v>
      </c>
      <c r="HU126" t="e">
        <f>'All regions'!I3492+"$F;@!'./"</f>
        <v>#VALUE!</v>
      </c>
      <c r="HV126" t="e">
        <f>'All regions'!A3493+"$F;@!'.0"</f>
        <v>#VALUE!</v>
      </c>
      <c r="HW126" t="e">
        <f>'All regions'!B3493+"$F;@!'.1"</f>
        <v>#VALUE!</v>
      </c>
      <c r="HX126" t="e">
        <f>'All regions'!C3493+"$F;@!'.2"</f>
        <v>#VALUE!</v>
      </c>
      <c r="HY126" t="e">
        <f>'All regions'!D3493+"$F;@!'.3"</f>
        <v>#VALUE!</v>
      </c>
      <c r="HZ126" t="e">
        <f>'All regions'!E3493+"$F;@!'.4"</f>
        <v>#VALUE!</v>
      </c>
      <c r="IA126" t="e">
        <f>'All regions'!F3493+"$F;@!'.5"</f>
        <v>#VALUE!</v>
      </c>
      <c r="IB126" t="e">
        <f>'All regions'!G3493+"$F;@!'.6"</f>
        <v>#VALUE!</v>
      </c>
      <c r="IC126" t="e">
        <f>'All regions'!H3493+"$F;@!'.7"</f>
        <v>#VALUE!</v>
      </c>
      <c r="ID126" t="e">
        <f>'All regions'!I3493+"$F;@!'.8"</f>
        <v>#VALUE!</v>
      </c>
      <c r="IE126" t="e">
        <f>'All regions'!A3494+"$F;@!'.9"</f>
        <v>#VALUE!</v>
      </c>
      <c r="IF126" t="e">
        <f>'All regions'!B3494+"$F;@!'.:"</f>
        <v>#VALUE!</v>
      </c>
      <c r="IG126" t="e">
        <f>'All regions'!C3494+"$F;@!'.;"</f>
        <v>#VALUE!</v>
      </c>
      <c r="IH126" t="e">
        <f>'All regions'!D3494+"$F;@!'.&lt;"</f>
        <v>#VALUE!</v>
      </c>
      <c r="II126" t="e">
        <f>'All regions'!E3494+"$F;@!'.="</f>
        <v>#VALUE!</v>
      </c>
      <c r="IJ126" t="e">
        <f>'All regions'!F3494+"$F;@!'.&gt;"</f>
        <v>#VALUE!</v>
      </c>
      <c r="IK126" t="e">
        <f>'All regions'!G3494+"$F;@!'.?"</f>
        <v>#VALUE!</v>
      </c>
      <c r="IL126" t="e">
        <f>'All regions'!H3494+"$F;@!'.@"</f>
        <v>#VALUE!</v>
      </c>
      <c r="IM126" t="e">
        <f>'All regions'!I3494+"$F;@!'.A"</f>
        <v>#VALUE!</v>
      </c>
      <c r="IN126" t="e">
        <f>'All regions'!A3495+"$F;@!'.B"</f>
        <v>#VALUE!</v>
      </c>
      <c r="IO126" t="e">
        <f>'All regions'!B3495+"$F;@!'.C"</f>
        <v>#VALUE!</v>
      </c>
      <c r="IP126" t="e">
        <f>'All regions'!C3495+"$F;@!'.D"</f>
        <v>#VALUE!</v>
      </c>
      <c r="IQ126" t="e">
        <f>'All regions'!D3495+"$F;@!'.E"</f>
        <v>#VALUE!</v>
      </c>
      <c r="IR126" t="e">
        <f>'All regions'!E3495+"$F;@!'.F"</f>
        <v>#VALUE!</v>
      </c>
      <c r="IS126" t="e">
        <f>'All regions'!F3495+"$F;@!'.G"</f>
        <v>#VALUE!</v>
      </c>
      <c r="IT126" t="e">
        <f>'All regions'!G3495+"$F;@!'.H"</f>
        <v>#VALUE!</v>
      </c>
      <c r="IU126" t="e">
        <f>'All regions'!H3495+"$F;@!'.I"</f>
        <v>#VALUE!</v>
      </c>
      <c r="IV126" t="e">
        <f>'All regions'!I3495+"$F;@!'.J"</f>
        <v>#VALUE!</v>
      </c>
    </row>
    <row r="127" spans="6:256" x14ac:dyDescent="0.35">
      <c r="F127" t="e">
        <f>'All regions'!A3496+"$F;@!'.K"</f>
        <v>#VALUE!</v>
      </c>
      <c r="G127" t="e">
        <f>'All regions'!B3496+"$F;@!'.L"</f>
        <v>#VALUE!</v>
      </c>
      <c r="H127" t="e">
        <f>'All regions'!C3496+"$F;@!'.M"</f>
        <v>#VALUE!</v>
      </c>
      <c r="I127" t="e">
        <f>'All regions'!D3496+"$F;@!'.N"</f>
        <v>#VALUE!</v>
      </c>
      <c r="J127" t="e">
        <f>'All regions'!E3496+"$F;@!'.O"</f>
        <v>#VALUE!</v>
      </c>
      <c r="K127" t="e">
        <f>'All regions'!F3496+"$F;@!'.P"</f>
        <v>#VALUE!</v>
      </c>
      <c r="L127" t="e">
        <f>'All regions'!G3496+"$F;@!'.Q"</f>
        <v>#VALUE!</v>
      </c>
      <c r="M127" t="e">
        <f>'All regions'!H3496+"$F;@!'.R"</f>
        <v>#VALUE!</v>
      </c>
      <c r="N127" t="e">
        <f>'All regions'!I3496+"$F;@!'.S"</f>
        <v>#VALUE!</v>
      </c>
      <c r="O127" t="e">
        <f>'All regions'!A3497+"$F;@!'.T"</f>
        <v>#VALUE!</v>
      </c>
      <c r="P127" t="e">
        <f>'All regions'!B3497+"$F;@!'.U"</f>
        <v>#VALUE!</v>
      </c>
      <c r="Q127" t="e">
        <f>'All regions'!C3497+"$F;@!'.V"</f>
        <v>#VALUE!</v>
      </c>
      <c r="R127" t="e">
        <f>'All regions'!D3497+"$F;@!'.W"</f>
        <v>#VALUE!</v>
      </c>
      <c r="S127" t="e">
        <f>'All regions'!E3497+"$F;@!'.X"</f>
        <v>#VALUE!</v>
      </c>
      <c r="T127" t="e">
        <f>'All regions'!F3497+"$F;@!'.Y"</f>
        <v>#VALUE!</v>
      </c>
      <c r="U127" t="e">
        <f>'All regions'!G3497+"$F;@!'.Z"</f>
        <v>#VALUE!</v>
      </c>
      <c r="V127" t="e">
        <f>'All regions'!H3497+"$F;@!'.["</f>
        <v>#VALUE!</v>
      </c>
      <c r="W127" t="e">
        <f>'All regions'!I3497+"$F;@!'.\"</f>
        <v>#VALUE!</v>
      </c>
      <c r="X127" t="e">
        <f>'All regions'!A3498+"$F;@!'.]"</f>
        <v>#VALUE!</v>
      </c>
      <c r="Y127" t="e">
        <f>'All regions'!B3498+"$F;@!'.^"</f>
        <v>#VALUE!</v>
      </c>
      <c r="Z127" t="e">
        <f>'All regions'!C3498+"$F;@!'._"</f>
        <v>#VALUE!</v>
      </c>
      <c r="AA127" t="e">
        <f>'All regions'!D3498+"$F;@!'.`"</f>
        <v>#VALUE!</v>
      </c>
      <c r="AB127" t="e">
        <f>'All regions'!E3498+"$F;@!'.a"</f>
        <v>#VALUE!</v>
      </c>
      <c r="AC127" t="e">
        <f>'All regions'!F3498+"$F;@!'.b"</f>
        <v>#VALUE!</v>
      </c>
      <c r="AD127" t="e">
        <f>'All regions'!G3498+"$F;@!'.c"</f>
        <v>#VALUE!</v>
      </c>
      <c r="AE127" t="e">
        <f>'All regions'!H3498+"$F;@!'.d"</f>
        <v>#VALUE!</v>
      </c>
      <c r="AF127" t="e">
        <f>'All regions'!I3498+"$F;@!'.e"</f>
        <v>#VALUE!</v>
      </c>
      <c r="AG127" t="e">
        <f>'All regions'!A3499+"$F;@!'.f"</f>
        <v>#VALUE!</v>
      </c>
      <c r="AH127" t="e">
        <f>'All regions'!B3499+"$F;@!'.g"</f>
        <v>#VALUE!</v>
      </c>
      <c r="AI127" t="e">
        <f>'All regions'!C3499+"$F;@!'.h"</f>
        <v>#VALUE!</v>
      </c>
      <c r="AJ127" t="e">
        <f>'All regions'!D3499+"$F;@!'.i"</f>
        <v>#VALUE!</v>
      </c>
      <c r="AK127" t="e">
        <f>'All regions'!E3499+"$F;@!'.j"</f>
        <v>#VALUE!</v>
      </c>
      <c r="AL127" t="e">
        <f>'All regions'!F3499+"$F;@!'.k"</f>
        <v>#VALUE!</v>
      </c>
      <c r="AM127" t="e">
        <f>'All regions'!G3499+"$F;@!'.l"</f>
        <v>#VALUE!</v>
      </c>
      <c r="AN127" t="e">
        <f>'All regions'!H3499+"$F;@!'.m"</f>
        <v>#VALUE!</v>
      </c>
      <c r="AO127" t="e">
        <f>'All regions'!I3499+"$F;@!'.n"</f>
        <v>#VALUE!</v>
      </c>
      <c r="AP127" t="e">
        <f>'All regions'!A3500+"$F;@!'.o"</f>
        <v>#VALUE!</v>
      </c>
      <c r="AQ127" t="e">
        <f>'All regions'!B3500+"$F;@!'.p"</f>
        <v>#VALUE!</v>
      </c>
      <c r="AR127" t="e">
        <f>'All regions'!C3500+"$F;@!'.q"</f>
        <v>#VALUE!</v>
      </c>
      <c r="AS127" t="e">
        <f>'All regions'!D3500+"$F;@!'.r"</f>
        <v>#VALUE!</v>
      </c>
      <c r="AT127" t="e">
        <f>'All regions'!E3500+"$F;@!'.s"</f>
        <v>#VALUE!</v>
      </c>
      <c r="AU127" t="e">
        <f>'All regions'!F3500+"$F;@!'.t"</f>
        <v>#VALUE!</v>
      </c>
      <c r="AV127" t="e">
        <f>'All regions'!G3500+"$F;@!'.u"</f>
        <v>#VALUE!</v>
      </c>
      <c r="AW127" t="e">
        <f>'All regions'!H3500+"$F;@!'.v"</f>
        <v>#VALUE!</v>
      </c>
      <c r="AX127" t="e">
        <f>'All regions'!I3500+"$F;@!'.w"</f>
        <v>#VALUE!</v>
      </c>
      <c r="AY127" t="e">
        <f>'All regions'!A3501+"$F;@!'.x"</f>
        <v>#VALUE!</v>
      </c>
      <c r="AZ127" t="e">
        <f>'All regions'!B3501+"$F;@!'.y"</f>
        <v>#VALUE!</v>
      </c>
      <c r="BA127" t="e">
        <f>'All regions'!C3501+"$F;@!'.z"</f>
        <v>#VALUE!</v>
      </c>
      <c r="BB127" t="e">
        <f>'All regions'!D3501+"$F;@!'.{"</f>
        <v>#VALUE!</v>
      </c>
      <c r="BC127" t="e">
        <f>'All regions'!E3501+"$F;@!'.|"</f>
        <v>#VALUE!</v>
      </c>
      <c r="BD127" t="e">
        <f>'All regions'!F3501+"$F;@!'.}"</f>
        <v>#VALUE!</v>
      </c>
      <c r="BE127" t="e">
        <f>'All regions'!G3501+"$F;@!'.~"</f>
        <v>#VALUE!</v>
      </c>
      <c r="BF127" t="e">
        <f>'All regions'!H3501+"$F;@!'/#"</f>
        <v>#VALUE!</v>
      </c>
      <c r="BG127" t="e">
        <f>'All regions'!I3501+"$F;@!'/$"</f>
        <v>#VALUE!</v>
      </c>
      <c r="BH127" t="e">
        <f>'All regions'!A3502+"$F;@!'/%"</f>
        <v>#VALUE!</v>
      </c>
      <c r="BI127" t="e">
        <f>'All regions'!B3502+"$F;@!'/&amp;"</f>
        <v>#VALUE!</v>
      </c>
      <c r="BJ127" t="e">
        <f>'All regions'!C3502+"$F;@!'/'"</f>
        <v>#VALUE!</v>
      </c>
      <c r="BK127" t="e">
        <f>'All regions'!D3502+"$F;@!'/("</f>
        <v>#VALUE!</v>
      </c>
      <c r="BL127" t="e">
        <f>'All regions'!E3502+"$F;@!'/)"</f>
        <v>#VALUE!</v>
      </c>
      <c r="BM127" t="e">
        <f>'All regions'!F3502+"$F;@!'/."</f>
        <v>#VALUE!</v>
      </c>
      <c r="BN127" t="e">
        <f>'All regions'!G3502+"$F;@!'//"</f>
        <v>#VALUE!</v>
      </c>
      <c r="BO127" t="e">
        <f>'All regions'!H3502+"$F;@!'/0"</f>
        <v>#VALUE!</v>
      </c>
      <c r="BP127" t="e">
        <f>'All regions'!I3502+"$F;@!'/1"</f>
        <v>#VALUE!</v>
      </c>
      <c r="BQ127" t="e">
        <f>'All regions'!A3503+"$F;@!'/2"</f>
        <v>#VALUE!</v>
      </c>
      <c r="BR127" t="e">
        <f>'All regions'!B3503+"$F;@!'/3"</f>
        <v>#VALUE!</v>
      </c>
      <c r="BS127" t="e">
        <f>'All regions'!C3503+"$F;@!'/4"</f>
        <v>#VALUE!</v>
      </c>
      <c r="BT127" t="e">
        <f>'All regions'!D3503+"$F;@!'/5"</f>
        <v>#VALUE!</v>
      </c>
      <c r="BU127" t="e">
        <f>'All regions'!E3503+"$F;@!'/6"</f>
        <v>#VALUE!</v>
      </c>
      <c r="BV127" t="e">
        <f>'All regions'!F3503+"$F;@!'/7"</f>
        <v>#VALUE!</v>
      </c>
      <c r="BW127" t="e">
        <f>'All regions'!G3503+"$F;@!'/8"</f>
        <v>#VALUE!</v>
      </c>
      <c r="BX127" t="e">
        <f>'All regions'!H3503+"$F;@!'/9"</f>
        <v>#VALUE!</v>
      </c>
      <c r="BY127" t="e">
        <f>'All regions'!I3503+"$F;@!'/:"</f>
        <v>#VALUE!</v>
      </c>
      <c r="BZ127" t="e">
        <f>'All regions'!A3504+"$F;@!'/;"</f>
        <v>#VALUE!</v>
      </c>
      <c r="CA127" t="e">
        <f>'All regions'!B3504+"$F;@!'/&lt;"</f>
        <v>#VALUE!</v>
      </c>
      <c r="CB127" t="e">
        <f>'All regions'!C3504+"$F;@!'/="</f>
        <v>#VALUE!</v>
      </c>
      <c r="CC127" t="e">
        <f>'All regions'!D3504+"$F;@!'/&gt;"</f>
        <v>#VALUE!</v>
      </c>
      <c r="CD127" t="e">
        <f>'All regions'!E3504+"$F;@!'/?"</f>
        <v>#VALUE!</v>
      </c>
      <c r="CE127" t="e">
        <f>'All regions'!F3504+"$F;@!'/@"</f>
        <v>#VALUE!</v>
      </c>
      <c r="CF127" t="e">
        <f>'All regions'!G3504+"$F;@!'/A"</f>
        <v>#VALUE!</v>
      </c>
      <c r="CG127" t="e">
        <f>'All regions'!H3504+"$F;@!'/B"</f>
        <v>#VALUE!</v>
      </c>
      <c r="CH127" t="e">
        <f>'All regions'!I3504+"$F;@!'/C"</f>
        <v>#VALUE!</v>
      </c>
      <c r="CI127" t="e">
        <f>'All regions'!A3505+"$F;@!'/D"</f>
        <v>#VALUE!</v>
      </c>
      <c r="CJ127" t="e">
        <f>'All regions'!B3505+"$F;@!'/E"</f>
        <v>#VALUE!</v>
      </c>
      <c r="CK127" t="e">
        <f>'All regions'!C3505+"$F;@!'/F"</f>
        <v>#VALUE!</v>
      </c>
      <c r="CL127" t="e">
        <f>'All regions'!D3505+"$F;@!'/G"</f>
        <v>#VALUE!</v>
      </c>
      <c r="CM127" t="e">
        <f>'All regions'!E3505+"$F;@!'/H"</f>
        <v>#VALUE!</v>
      </c>
      <c r="CN127" t="e">
        <f>'All regions'!F3505+"$F;@!'/I"</f>
        <v>#VALUE!</v>
      </c>
      <c r="CO127" t="e">
        <f>'All regions'!G3505+"$F;@!'/J"</f>
        <v>#VALUE!</v>
      </c>
      <c r="CP127" t="e">
        <f>'All regions'!H3505+"$F;@!'/K"</f>
        <v>#VALUE!</v>
      </c>
      <c r="CQ127" t="e">
        <f>'All regions'!I3505+"$F;@!'/L"</f>
        <v>#VALUE!</v>
      </c>
      <c r="CR127" t="e">
        <f>'All regions'!A3506+"$F;@!'/M"</f>
        <v>#VALUE!</v>
      </c>
      <c r="CS127" t="e">
        <f>'All regions'!B3506+"$F;@!'/N"</f>
        <v>#VALUE!</v>
      </c>
      <c r="CT127" t="e">
        <f>'All regions'!C3506+"$F;@!'/O"</f>
        <v>#VALUE!</v>
      </c>
      <c r="CU127" t="e">
        <f>'All regions'!D3506+"$F;@!'/P"</f>
        <v>#VALUE!</v>
      </c>
      <c r="CV127" t="e">
        <f>'All regions'!E3506+"$F;@!'/Q"</f>
        <v>#VALUE!</v>
      </c>
      <c r="CW127" t="e">
        <f>'All regions'!F3506+"$F;@!'/R"</f>
        <v>#VALUE!</v>
      </c>
      <c r="CX127" t="e">
        <f>'All regions'!G3506+"$F;@!'/S"</f>
        <v>#VALUE!</v>
      </c>
      <c r="CY127" t="e">
        <f>'All regions'!H3506+"$F;@!'/T"</f>
        <v>#VALUE!</v>
      </c>
      <c r="CZ127" t="e">
        <f>'All regions'!I3506+"$F;@!'/U"</f>
        <v>#VALUE!</v>
      </c>
      <c r="DA127" t="e">
        <f>'All regions'!A3507+"$F;@!'/V"</f>
        <v>#VALUE!</v>
      </c>
      <c r="DB127" t="e">
        <f>'All regions'!B3507+"$F;@!'/W"</f>
        <v>#VALUE!</v>
      </c>
      <c r="DC127" t="e">
        <f>'All regions'!C3507+"$F;@!'/X"</f>
        <v>#VALUE!</v>
      </c>
      <c r="DD127" t="e">
        <f>'All regions'!D3507+"$F;@!'/Y"</f>
        <v>#VALUE!</v>
      </c>
      <c r="DE127" t="e">
        <f>'All regions'!E3507+"$F;@!'/Z"</f>
        <v>#VALUE!</v>
      </c>
      <c r="DF127" t="e">
        <f>'All regions'!F3507+"$F;@!'/["</f>
        <v>#VALUE!</v>
      </c>
      <c r="DG127" t="e">
        <f>'All regions'!G3507+"$F;@!'/\"</f>
        <v>#VALUE!</v>
      </c>
      <c r="DH127" t="e">
        <f>'All regions'!H3507+"$F;@!'/]"</f>
        <v>#VALUE!</v>
      </c>
      <c r="DI127" t="e">
        <f>'All regions'!I3507+"$F;@!'/^"</f>
        <v>#VALUE!</v>
      </c>
      <c r="DJ127" t="e">
        <f>'All regions'!A3508+"$F;@!'/_"</f>
        <v>#VALUE!</v>
      </c>
      <c r="DK127" t="e">
        <f>'All regions'!B3508+"$F;@!'/`"</f>
        <v>#VALUE!</v>
      </c>
      <c r="DL127" t="e">
        <f>'All regions'!C3508+"$F;@!'/a"</f>
        <v>#VALUE!</v>
      </c>
      <c r="DM127" t="e">
        <f>'All regions'!D3508+"$F;@!'/b"</f>
        <v>#VALUE!</v>
      </c>
      <c r="DN127" t="e">
        <f>'All regions'!E3508+"$F;@!'/c"</f>
        <v>#VALUE!</v>
      </c>
      <c r="DO127" t="e">
        <f>'All regions'!F3508+"$F;@!'/d"</f>
        <v>#VALUE!</v>
      </c>
      <c r="DP127" t="e">
        <f>'All regions'!G3508+"$F;@!'/e"</f>
        <v>#VALUE!</v>
      </c>
      <c r="DQ127" t="e">
        <f>'All regions'!H3508+"$F;@!'/f"</f>
        <v>#VALUE!</v>
      </c>
      <c r="DR127" t="e">
        <f>'All regions'!I3508+"$F;@!'/g"</f>
        <v>#VALUE!</v>
      </c>
      <c r="DS127" t="e">
        <f>'All regions'!A3509+"$F;@!'/h"</f>
        <v>#VALUE!</v>
      </c>
      <c r="DT127" t="e">
        <f>'All regions'!B3509+"$F;@!'/i"</f>
        <v>#VALUE!</v>
      </c>
      <c r="DU127" t="e">
        <f>'All regions'!C3509+"$F;@!'/j"</f>
        <v>#VALUE!</v>
      </c>
      <c r="DV127" t="e">
        <f>'All regions'!D3509+"$F;@!'/k"</f>
        <v>#VALUE!</v>
      </c>
      <c r="DW127" t="e">
        <f>'All regions'!E3509+"$F;@!'/l"</f>
        <v>#VALUE!</v>
      </c>
      <c r="DX127" t="e">
        <f>'All regions'!F3509+"$F;@!'/m"</f>
        <v>#VALUE!</v>
      </c>
      <c r="DY127" t="e">
        <f>'All regions'!G3509+"$F;@!'/n"</f>
        <v>#VALUE!</v>
      </c>
      <c r="DZ127" t="e">
        <f>'All regions'!H3509+"$F;@!'/o"</f>
        <v>#VALUE!</v>
      </c>
      <c r="EA127" t="e">
        <f>'All regions'!I3509+"$F;@!'/p"</f>
        <v>#VALUE!</v>
      </c>
      <c r="EB127" t="e">
        <f>'All regions'!A3510+"$F;@!'/q"</f>
        <v>#VALUE!</v>
      </c>
      <c r="EC127" t="e">
        <f>'All regions'!B3510+"$F;@!'/r"</f>
        <v>#VALUE!</v>
      </c>
      <c r="ED127" t="e">
        <f>'All regions'!C3510+"$F;@!'/s"</f>
        <v>#VALUE!</v>
      </c>
      <c r="EE127" t="e">
        <f>'All regions'!D3510+"$F;@!'/t"</f>
        <v>#VALUE!</v>
      </c>
      <c r="EF127" t="e">
        <f>'All regions'!E3510+"$F;@!'/u"</f>
        <v>#VALUE!</v>
      </c>
      <c r="EG127" t="e">
        <f>'All regions'!F3510+"$F;@!'/v"</f>
        <v>#VALUE!</v>
      </c>
      <c r="EH127" t="e">
        <f>'All regions'!G3510+"$F;@!'/w"</f>
        <v>#VALUE!</v>
      </c>
      <c r="EI127" t="e">
        <f>'All regions'!H3510+"$F;@!'/x"</f>
        <v>#VALUE!</v>
      </c>
      <c r="EJ127" t="e">
        <f>'All regions'!I3510+"$F;@!'/y"</f>
        <v>#VALUE!</v>
      </c>
      <c r="EK127" t="e">
        <f>'All regions'!A3511+"$F;@!'/z"</f>
        <v>#VALUE!</v>
      </c>
      <c r="EL127" t="e">
        <f>'All regions'!B3511+"$F;@!'/{"</f>
        <v>#VALUE!</v>
      </c>
      <c r="EM127" t="e">
        <f>'All regions'!C3511+"$F;@!'/|"</f>
        <v>#VALUE!</v>
      </c>
      <c r="EN127" t="e">
        <f>'All regions'!D3511+"$F;@!'/}"</f>
        <v>#VALUE!</v>
      </c>
      <c r="EO127" t="e">
        <f>'All regions'!E3511+"$F;@!'/~"</f>
        <v>#VALUE!</v>
      </c>
      <c r="EP127" t="e">
        <f>'All regions'!F3511+"$F;@!'0#"</f>
        <v>#VALUE!</v>
      </c>
      <c r="EQ127" t="e">
        <f>'All regions'!G3511+"$F;@!'0$"</f>
        <v>#VALUE!</v>
      </c>
      <c r="ER127" t="e">
        <f>'All regions'!H3511+"$F;@!'0%"</f>
        <v>#VALUE!</v>
      </c>
      <c r="ES127" t="e">
        <f>'All regions'!I3511+"$F;@!'0&amp;"</f>
        <v>#VALUE!</v>
      </c>
      <c r="ET127" t="e">
        <f>'All regions'!A3512+"$F;@!'0'"</f>
        <v>#VALUE!</v>
      </c>
      <c r="EU127" t="e">
        <f>'All regions'!B3512+"$F;@!'0("</f>
        <v>#VALUE!</v>
      </c>
      <c r="EV127" t="e">
        <f>'All regions'!C3512+"$F;@!'0)"</f>
        <v>#VALUE!</v>
      </c>
      <c r="EW127" t="e">
        <f>'All regions'!D3512+"$F;@!'0."</f>
        <v>#VALUE!</v>
      </c>
      <c r="EX127" t="e">
        <f>'All regions'!E3512+"$F;@!'0/"</f>
        <v>#VALUE!</v>
      </c>
      <c r="EY127" t="e">
        <f>'All regions'!F3512+"$F;@!'00"</f>
        <v>#VALUE!</v>
      </c>
      <c r="EZ127" t="e">
        <f>'All regions'!G3512+"$F;@!'01"</f>
        <v>#VALUE!</v>
      </c>
      <c r="FA127" t="e">
        <f>'All regions'!H3512+"$F;@!'02"</f>
        <v>#VALUE!</v>
      </c>
      <c r="FB127" t="e">
        <f>'All regions'!I3512+"$F;@!'03"</f>
        <v>#VALUE!</v>
      </c>
      <c r="FC127" t="e">
        <f>'All regions'!A3513+"$F;@!'04"</f>
        <v>#VALUE!</v>
      </c>
      <c r="FD127" t="e">
        <f>'All regions'!B3513+"$F;@!'05"</f>
        <v>#VALUE!</v>
      </c>
      <c r="FE127" t="e">
        <f>'All regions'!C3513+"$F;@!'06"</f>
        <v>#VALUE!</v>
      </c>
      <c r="FF127" t="e">
        <f>'All regions'!D3513+"$F;@!'07"</f>
        <v>#VALUE!</v>
      </c>
      <c r="FG127" t="e">
        <f>'All regions'!E3513+"$F;@!'08"</f>
        <v>#VALUE!</v>
      </c>
      <c r="FH127" t="e">
        <f>'All regions'!F3513+"$F;@!'09"</f>
        <v>#VALUE!</v>
      </c>
      <c r="FI127" t="e">
        <f>'All regions'!G3513+"$F;@!'0:"</f>
        <v>#VALUE!</v>
      </c>
      <c r="FJ127" t="e">
        <f>'All regions'!H3513+"$F;@!'0;"</f>
        <v>#VALUE!</v>
      </c>
      <c r="FK127" t="e">
        <f>'All regions'!I3513+"$F;@!'0&lt;"</f>
        <v>#VALUE!</v>
      </c>
      <c r="FL127" t="e">
        <f>'All regions'!A3514+"$F;@!'0="</f>
        <v>#VALUE!</v>
      </c>
      <c r="FM127" t="e">
        <f>'All regions'!B3514+"$F;@!'0&gt;"</f>
        <v>#VALUE!</v>
      </c>
      <c r="FN127" t="e">
        <f>'All regions'!C3514+"$F;@!'0?"</f>
        <v>#VALUE!</v>
      </c>
      <c r="FO127" t="e">
        <f>'All regions'!D3514+"$F;@!'0@"</f>
        <v>#VALUE!</v>
      </c>
      <c r="FP127" t="e">
        <f>'All regions'!E3514+"$F;@!'0A"</f>
        <v>#VALUE!</v>
      </c>
      <c r="FQ127" t="e">
        <f>'All regions'!F3514+"$F;@!'0B"</f>
        <v>#VALUE!</v>
      </c>
      <c r="FR127" t="e">
        <f>'All regions'!G3514+"$F;@!'0C"</f>
        <v>#VALUE!</v>
      </c>
      <c r="FS127" t="e">
        <f>'All regions'!H3514+"$F;@!'0D"</f>
        <v>#VALUE!</v>
      </c>
      <c r="FT127" t="e">
        <f>'All regions'!I3514+"$F;@!'0E"</f>
        <v>#VALUE!</v>
      </c>
      <c r="FU127" t="e">
        <f>'All regions'!A3515+"$F;@!'0F"</f>
        <v>#VALUE!</v>
      </c>
      <c r="FV127" t="e">
        <f>'All regions'!B3515+"$F;@!'0G"</f>
        <v>#VALUE!</v>
      </c>
      <c r="FW127" t="e">
        <f>'All regions'!C3515+"$F;@!'0H"</f>
        <v>#VALUE!</v>
      </c>
      <c r="FX127" t="e">
        <f>'All regions'!D3515+"$F;@!'0I"</f>
        <v>#VALUE!</v>
      </c>
      <c r="FY127" t="e">
        <f>'All regions'!E3515+"$F;@!'0J"</f>
        <v>#VALUE!</v>
      </c>
      <c r="FZ127" t="e">
        <f>'All regions'!F3515+"$F;@!'0K"</f>
        <v>#VALUE!</v>
      </c>
      <c r="GA127" t="e">
        <f>'All regions'!G3515+"$F;@!'0L"</f>
        <v>#VALUE!</v>
      </c>
      <c r="GB127" t="e">
        <f>'All regions'!H3515+"$F;@!'0M"</f>
        <v>#VALUE!</v>
      </c>
      <c r="GC127" t="e">
        <f>'All regions'!I3515+"$F;@!'0N"</f>
        <v>#VALUE!</v>
      </c>
      <c r="GD127" t="e">
        <f>'All regions'!A3516+"$F;@!'0O"</f>
        <v>#VALUE!</v>
      </c>
      <c r="GE127" t="e">
        <f>'All regions'!B3516+"$F;@!'0P"</f>
        <v>#VALUE!</v>
      </c>
      <c r="GF127" t="e">
        <f>'All regions'!C3516+"$F;@!'0Q"</f>
        <v>#VALUE!</v>
      </c>
      <c r="GG127" t="e">
        <f>'All regions'!D3516+"$F;@!'0R"</f>
        <v>#VALUE!</v>
      </c>
      <c r="GH127" t="e">
        <f>'All regions'!E3516+"$F;@!'0S"</f>
        <v>#VALUE!</v>
      </c>
      <c r="GI127" t="e">
        <f>'All regions'!F3516+"$F;@!'0T"</f>
        <v>#VALUE!</v>
      </c>
      <c r="GJ127" t="e">
        <f>'All regions'!G3516+"$F;@!'0U"</f>
        <v>#VALUE!</v>
      </c>
      <c r="GK127" t="e">
        <f>'All regions'!H3516+"$F;@!'0V"</f>
        <v>#VALUE!</v>
      </c>
      <c r="GL127" t="e">
        <f>'All regions'!I3516+"$F;@!'0W"</f>
        <v>#VALUE!</v>
      </c>
      <c r="GM127" t="e">
        <f>'All regions'!A3517+"$F;@!'0X"</f>
        <v>#VALUE!</v>
      </c>
      <c r="GN127" t="e">
        <f>'All regions'!B3517+"$F;@!'0Y"</f>
        <v>#VALUE!</v>
      </c>
      <c r="GO127" t="e">
        <f>'All regions'!C3517+"$F;@!'0Z"</f>
        <v>#VALUE!</v>
      </c>
      <c r="GP127" t="e">
        <f>'All regions'!D3517+"$F;@!'0["</f>
        <v>#VALUE!</v>
      </c>
      <c r="GQ127" t="e">
        <f>'All regions'!E3517+"$F;@!'0\"</f>
        <v>#VALUE!</v>
      </c>
      <c r="GR127" t="e">
        <f>'All regions'!F3517+"$F;@!'0]"</f>
        <v>#VALUE!</v>
      </c>
      <c r="GS127" t="e">
        <f>'All regions'!G3517+"$F;@!'0^"</f>
        <v>#VALUE!</v>
      </c>
      <c r="GT127" t="e">
        <f>'All regions'!H3517+"$F;@!'0_"</f>
        <v>#VALUE!</v>
      </c>
      <c r="GU127" t="e">
        <f>'All regions'!I3517+"$F;@!'0`"</f>
        <v>#VALUE!</v>
      </c>
      <c r="GV127" t="e">
        <f>'All regions'!A3518+"$F;@!'0a"</f>
        <v>#VALUE!</v>
      </c>
      <c r="GW127" t="e">
        <f>'All regions'!B3518+"$F;@!'0b"</f>
        <v>#VALUE!</v>
      </c>
      <c r="GX127" t="e">
        <f>'All regions'!C3518+"$F;@!'0c"</f>
        <v>#VALUE!</v>
      </c>
      <c r="GY127" t="e">
        <f>'All regions'!D3518+"$F;@!'0d"</f>
        <v>#VALUE!</v>
      </c>
      <c r="GZ127" t="e">
        <f>'All regions'!E3518+"$F;@!'0e"</f>
        <v>#VALUE!</v>
      </c>
      <c r="HA127" t="e">
        <f>'All regions'!F3518+"$F;@!'0f"</f>
        <v>#VALUE!</v>
      </c>
      <c r="HB127" t="e">
        <f>'All regions'!G3518+"$F;@!'0g"</f>
        <v>#VALUE!</v>
      </c>
      <c r="HC127" t="e">
        <f>'All regions'!H3518+"$F;@!'0h"</f>
        <v>#VALUE!</v>
      </c>
      <c r="HD127" t="e">
        <f>'All regions'!I3518+"$F;@!'0i"</f>
        <v>#VALUE!</v>
      </c>
      <c r="HE127" t="e">
        <f>'All regions'!A3519+"$F;@!'0j"</f>
        <v>#VALUE!</v>
      </c>
      <c r="HF127" t="e">
        <f>'All regions'!B3519+"$F;@!'0k"</f>
        <v>#VALUE!</v>
      </c>
      <c r="HG127" t="e">
        <f>'All regions'!C3519+"$F;@!'0l"</f>
        <v>#VALUE!</v>
      </c>
      <c r="HH127" t="e">
        <f>'All regions'!D3519+"$F;@!'0m"</f>
        <v>#VALUE!</v>
      </c>
      <c r="HI127" t="e">
        <f>'All regions'!E3519+"$F;@!'0n"</f>
        <v>#VALUE!</v>
      </c>
      <c r="HJ127" t="e">
        <f>'All regions'!F3519+"$F;@!'0o"</f>
        <v>#VALUE!</v>
      </c>
      <c r="HK127" t="e">
        <f>'All regions'!G3519+"$F;@!'0p"</f>
        <v>#VALUE!</v>
      </c>
      <c r="HL127" t="e">
        <f>'All regions'!H3519+"$F;@!'0q"</f>
        <v>#VALUE!</v>
      </c>
      <c r="HM127" t="e">
        <f>'All regions'!I3519+"$F;@!'0r"</f>
        <v>#VALUE!</v>
      </c>
      <c r="HN127" t="e">
        <f>'All regions'!A3520+"$F;@!'0s"</f>
        <v>#VALUE!</v>
      </c>
      <c r="HO127" t="e">
        <f>'All regions'!B3520+"$F;@!'0t"</f>
        <v>#VALUE!</v>
      </c>
      <c r="HP127" t="e">
        <f>'All regions'!C3520+"$F;@!'0u"</f>
        <v>#VALUE!</v>
      </c>
      <c r="HQ127" t="e">
        <f>'All regions'!D3520+"$F;@!'0v"</f>
        <v>#VALUE!</v>
      </c>
      <c r="HR127" t="e">
        <f>'All regions'!E3520+"$F;@!'0w"</f>
        <v>#VALUE!</v>
      </c>
      <c r="HS127" t="e">
        <f>'All regions'!F3520+"$F;@!'0x"</f>
        <v>#VALUE!</v>
      </c>
      <c r="HT127" t="e">
        <f>'All regions'!G3520+"$F;@!'0y"</f>
        <v>#VALUE!</v>
      </c>
      <c r="HU127" t="e">
        <f>'All regions'!H3520+"$F;@!'0z"</f>
        <v>#VALUE!</v>
      </c>
      <c r="HV127" t="e">
        <f>'All regions'!I3520+"$F;@!'0{"</f>
        <v>#VALUE!</v>
      </c>
      <c r="HW127" t="e">
        <f>'All regions'!A3521+"$F;@!'0|"</f>
        <v>#VALUE!</v>
      </c>
      <c r="HX127" t="e">
        <f>'All regions'!B3521+"$F;@!'0}"</f>
        <v>#VALUE!</v>
      </c>
      <c r="HY127" t="e">
        <f>'All regions'!C3521+"$F;@!'0~"</f>
        <v>#VALUE!</v>
      </c>
      <c r="HZ127" t="e">
        <f>'All regions'!D3521+"$F;@!'1#"</f>
        <v>#VALUE!</v>
      </c>
      <c r="IA127" t="e">
        <f>'All regions'!E3521+"$F;@!'1$"</f>
        <v>#VALUE!</v>
      </c>
      <c r="IB127" t="e">
        <f>'All regions'!F3521+"$F;@!'1%"</f>
        <v>#VALUE!</v>
      </c>
      <c r="IC127" t="e">
        <f>'All regions'!G3521+"$F;@!'1&amp;"</f>
        <v>#VALUE!</v>
      </c>
      <c r="ID127" t="e">
        <f>'All regions'!H3521+"$F;@!'1'"</f>
        <v>#VALUE!</v>
      </c>
      <c r="IE127" t="e">
        <f>'All regions'!I3521+"$F;@!'1("</f>
        <v>#VALUE!</v>
      </c>
      <c r="IF127" t="e">
        <f>'All regions'!A3522+"$F;@!'1)"</f>
        <v>#VALUE!</v>
      </c>
      <c r="IG127" t="e">
        <f>'All regions'!B3522+"$F;@!'1."</f>
        <v>#VALUE!</v>
      </c>
      <c r="IH127" t="e">
        <f>'All regions'!C3522+"$F;@!'1/"</f>
        <v>#VALUE!</v>
      </c>
      <c r="II127" t="e">
        <f>'All regions'!D3522+"$F;@!'10"</f>
        <v>#VALUE!</v>
      </c>
      <c r="IJ127" t="e">
        <f>'All regions'!E3522+"$F;@!'11"</f>
        <v>#VALUE!</v>
      </c>
      <c r="IK127" t="e">
        <f>'All regions'!F3522+"$F;@!'12"</f>
        <v>#VALUE!</v>
      </c>
      <c r="IL127" t="e">
        <f>'All regions'!G3522+"$F;@!'13"</f>
        <v>#VALUE!</v>
      </c>
      <c r="IM127" t="e">
        <f>'All regions'!H3522+"$F;@!'14"</f>
        <v>#VALUE!</v>
      </c>
      <c r="IN127" t="e">
        <f>'All regions'!I3522+"$F;@!'15"</f>
        <v>#VALUE!</v>
      </c>
      <c r="IO127" t="e">
        <f>'All regions'!A3523+"$F;@!'16"</f>
        <v>#VALUE!</v>
      </c>
      <c r="IP127" t="e">
        <f>'All regions'!B3523+"$F;@!'17"</f>
        <v>#VALUE!</v>
      </c>
      <c r="IQ127" t="e">
        <f>'All regions'!C3523+"$F;@!'18"</f>
        <v>#VALUE!</v>
      </c>
      <c r="IR127" t="e">
        <f>'All regions'!D3523+"$F;@!'19"</f>
        <v>#VALUE!</v>
      </c>
      <c r="IS127" t="e">
        <f>'All regions'!E3523+"$F;@!'1:"</f>
        <v>#VALUE!</v>
      </c>
      <c r="IT127" t="e">
        <f>'All regions'!F3523+"$F;@!'1;"</f>
        <v>#VALUE!</v>
      </c>
      <c r="IU127" t="e">
        <f>'All regions'!G3523+"$F;@!'1&lt;"</f>
        <v>#VALUE!</v>
      </c>
      <c r="IV127" t="e">
        <f>'All regions'!H3523+"$F;@!'1="</f>
        <v>#VALUE!</v>
      </c>
    </row>
    <row r="128" spans="6:256" x14ac:dyDescent="0.35">
      <c r="F128" t="e">
        <f>'All regions'!I3523+"$F;@!'1&gt;"</f>
        <v>#VALUE!</v>
      </c>
      <c r="G128" t="e">
        <f>'All regions'!A3524+"$F;@!'1?"</f>
        <v>#VALUE!</v>
      </c>
      <c r="H128" t="e">
        <f>'All regions'!B3524+"$F;@!'1@"</f>
        <v>#VALUE!</v>
      </c>
      <c r="I128" t="e">
        <f>'All regions'!C3524+"$F;@!'1A"</f>
        <v>#VALUE!</v>
      </c>
      <c r="J128" t="e">
        <f>'All regions'!D3524+"$F;@!'1B"</f>
        <v>#VALUE!</v>
      </c>
      <c r="K128" t="e">
        <f>'All regions'!E3524+"$F;@!'1C"</f>
        <v>#VALUE!</v>
      </c>
      <c r="L128" t="e">
        <f>'All regions'!F3524+"$F;@!'1D"</f>
        <v>#VALUE!</v>
      </c>
      <c r="M128" t="e">
        <f>'All regions'!G3524+"$F;@!'1E"</f>
        <v>#VALUE!</v>
      </c>
      <c r="N128" t="e">
        <f>'All regions'!H3524+"$F;@!'1F"</f>
        <v>#VALUE!</v>
      </c>
      <c r="O128" t="e">
        <f>'All regions'!I3524+"$F;@!'1G"</f>
        <v>#VALUE!</v>
      </c>
      <c r="P128" t="e">
        <f>'All regions'!A3525+"$F;@!'1H"</f>
        <v>#VALUE!</v>
      </c>
      <c r="Q128" t="e">
        <f>'All regions'!B3525+"$F;@!'1I"</f>
        <v>#VALUE!</v>
      </c>
      <c r="R128" t="e">
        <f>'All regions'!C3525+"$F;@!'1J"</f>
        <v>#VALUE!</v>
      </c>
      <c r="S128" t="e">
        <f>'All regions'!D3525+"$F;@!'1K"</f>
        <v>#VALUE!</v>
      </c>
      <c r="T128" t="e">
        <f>'All regions'!E3525+"$F;@!'1L"</f>
        <v>#VALUE!</v>
      </c>
      <c r="U128" t="e">
        <f>'All regions'!F3525+"$F;@!'1M"</f>
        <v>#VALUE!</v>
      </c>
      <c r="V128" t="e">
        <f>'All regions'!G3525+"$F;@!'1N"</f>
        <v>#VALUE!</v>
      </c>
      <c r="W128" t="e">
        <f>'All regions'!H3525+"$F;@!'1O"</f>
        <v>#VALUE!</v>
      </c>
      <c r="X128" t="e">
        <f>'All regions'!I3525+"$F;@!'1P"</f>
        <v>#VALUE!</v>
      </c>
      <c r="Y128" t="e">
        <f>'All regions'!A3526+"$F;@!'1Q"</f>
        <v>#VALUE!</v>
      </c>
      <c r="Z128" t="e">
        <f>'All regions'!B3526+"$F;@!'1R"</f>
        <v>#VALUE!</v>
      </c>
      <c r="AA128" t="e">
        <f>'All regions'!C3526+"$F;@!'1S"</f>
        <v>#VALUE!</v>
      </c>
      <c r="AB128" t="e">
        <f>'All regions'!D3526+"$F;@!'1T"</f>
        <v>#VALUE!</v>
      </c>
      <c r="AC128" t="e">
        <f>'All regions'!E3526+"$F;@!'1U"</f>
        <v>#VALUE!</v>
      </c>
      <c r="AD128" t="e">
        <f>'All regions'!F3526+"$F;@!'1V"</f>
        <v>#VALUE!</v>
      </c>
      <c r="AE128" t="e">
        <f>'All regions'!G3526+"$F;@!'1W"</f>
        <v>#VALUE!</v>
      </c>
      <c r="AF128" t="e">
        <f>'All regions'!H3526+"$F;@!'1X"</f>
        <v>#VALUE!</v>
      </c>
      <c r="AG128" t="e">
        <f>'All regions'!I3526+"$F;@!'1Y"</f>
        <v>#VALUE!</v>
      </c>
      <c r="AH128" t="e">
        <f>'All regions'!A3527+"$F;@!'1Z"</f>
        <v>#VALUE!</v>
      </c>
      <c r="AI128" t="e">
        <f>'All regions'!B3527+"$F;@!'1["</f>
        <v>#VALUE!</v>
      </c>
      <c r="AJ128" t="e">
        <f>'All regions'!C3527+"$F;@!'1\"</f>
        <v>#VALUE!</v>
      </c>
      <c r="AK128" t="e">
        <f>'All regions'!D3527+"$F;@!'1]"</f>
        <v>#VALUE!</v>
      </c>
      <c r="AL128" t="e">
        <f>'All regions'!E3527+"$F;@!'1^"</f>
        <v>#VALUE!</v>
      </c>
      <c r="AM128" t="e">
        <f>'All regions'!F3527+"$F;@!'1_"</f>
        <v>#VALUE!</v>
      </c>
      <c r="AN128" t="e">
        <f>'All regions'!G3527+"$F;@!'1`"</f>
        <v>#VALUE!</v>
      </c>
      <c r="AO128" t="e">
        <f>'All regions'!H3527+"$F;@!'1a"</f>
        <v>#VALUE!</v>
      </c>
      <c r="AP128" t="e">
        <f>'All regions'!I3527+"$F;@!'1b"</f>
        <v>#VALUE!</v>
      </c>
      <c r="AQ128" t="e">
        <f>'All regions'!A3528+"$F;@!'1c"</f>
        <v>#VALUE!</v>
      </c>
      <c r="AR128" t="e">
        <f>'All regions'!B3528+"$F;@!'1d"</f>
        <v>#VALUE!</v>
      </c>
      <c r="AS128" t="e">
        <f>'All regions'!C3528+"$F;@!'1e"</f>
        <v>#VALUE!</v>
      </c>
      <c r="AT128" t="e">
        <f>'All regions'!D3528+"$F;@!'1f"</f>
        <v>#VALUE!</v>
      </c>
      <c r="AU128" t="e">
        <f>'All regions'!E3528+"$F;@!'1g"</f>
        <v>#VALUE!</v>
      </c>
      <c r="AV128" t="e">
        <f>'All regions'!F3528+"$F;@!'1h"</f>
        <v>#VALUE!</v>
      </c>
      <c r="AW128" t="e">
        <f>'All regions'!G3528+"$F;@!'1i"</f>
        <v>#VALUE!</v>
      </c>
      <c r="AX128" t="e">
        <f>'All regions'!H3528+"$F;@!'1j"</f>
        <v>#VALUE!</v>
      </c>
      <c r="AY128" t="e">
        <f>'All regions'!I3528+"$F;@!'1k"</f>
        <v>#VALUE!</v>
      </c>
      <c r="AZ128" t="e">
        <f>'All regions'!A3529+"$F;@!'1l"</f>
        <v>#VALUE!</v>
      </c>
      <c r="BA128" t="e">
        <f>'All regions'!B3529+"$F;@!'1m"</f>
        <v>#VALUE!</v>
      </c>
      <c r="BB128" t="e">
        <f>'All regions'!C3529+"$F;@!'1n"</f>
        <v>#VALUE!</v>
      </c>
      <c r="BC128" t="e">
        <f>'All regions'!D3529+"$F;@!'1o"</f>
        <v>#VALUE!</v>
      </c>
      <c r="BD128" t="e">
        <f>'All regions'!E3529+"$F;@!'1p"</f>
        <v>#VALUE!</v>
      </c>
      <c r="BE128" t="e">
        <f>'All regions'!F3529+"$F;@!'1q"</f>
        <v>#VALUE!</v>
      </c>
      <c r="BF128" t="e">
        <f>'All regions'!G3529+"$F;@!'1r"</f>
        <v>#VALUE!</v>
      </c>
      <c r="BG128" t="e">
        <f>'All regions'!H3529+"$F;@!'1s"</f>
        <v>#VALUE!</v>
      </c>
      <c r="BH128" t="e">
        <f>'All regions'!I3529+"$F;@!'1t"</f>
        <v>#VALUE!</v>
      </c>
      <c r="BI128" t="e">
        <f>'All regions'!A3530+"$F;@!'1u"</f>
        <v>#VALUE!</v>
      </c>
      <c r="BJ128" t="e">
        <f>'All regions'!B3530+"$F;@!'1v"</f>
        <v>#VALUE!</v>
      </c>
      <c r="BK128" t="e">
        <f>'All regions'!C3530+"$F;@!'1w"</f>
        <v>#VALUE!</v>
      </c>
      <c r="BL128" t="e">
        <f>'All regions'!D3530+"$F;@!'1x"</f>
        <v>#VALUE!</v>
      </c>
      <c r="BM128" t="e">
        <f>'All regions'!E3530+"$F;@!'1y"</f>
        <v>#VALUE!</v>
      </c>
      <c r="BN128" t="e">
        <f>'All regions'!F3530+"$F;@!'1z"</f>
        <v>#VALUE!</v>
      </c>
      <c r="BO128" t="e">
        <f>'All regions'!G3530+"$F;@!'1{"</f>
        <v>#VALUE!</v>
      </c>
      <c r="BP128" t="e">
        <f>'All regions'!H3530+"$F;@!'1|"</f>
        <v>#VALUE!</v>
      </c>
      <c r="BQ128" t="e">
        <f>'All regions'!I3530+"$F;@!'1}"</f>
        <v>#VALUE!</v>
      </c>
      <c r="BR128" t="e">
        <f>'All regions'!A3531+"$F;@!'1~"</f>
        <v>#VALUE!</v>
      </c>
      <c r="BS128" t="e">
        <f>'All regions'!B3531+"$F;@!'2#"</f>
        <v>#VALUE!</v>
      </c>
      <c r="BT128" t="e">
        <f>'All regions'!C3531+"$F;@!'2$"</f>
        <v>#VALUE!</v>
      </c>
      <c r="BU128" t="e">
        <f>'All regions'!D3531+"$F;@!'2%"</f>
        <v>#VALUE!</v>
      </c>
      <c r="BV128" t="e">
        <f>'All regions'!E3531+"$F;@!'2&amp;"</f>
        <v>#VALUE!</v>
      </c>
      <c r="BW128" t="e">
        <f>'All regions'!F3531+"$F;@!'2'"</f>
        <v>#VALUE!</v>
      </c>
      <c r="BX128" t="e">
        <f>'All regions'!G3531+"$F;@!'2("</f>
        <v>#VALUE!</v>
      </c>
      <c r="BY128" t="e">
        <f>'All regions'!H3531+"$F;@!'2)"</f>
        <v>#VALUE!</v>
      </c>
      <c r="BZ128" t="e">
        <f>'All regions'!I3531+"$F;@!'2."</f>
        <v>#VALUE!</v>
      </c>
      <c r="CA128" t="e">
        <f>'All regions'!A3532+"$F;@!'2/"</f>
        <v>#VALUE!</v>
      </c>
      <c r="CB128" t="e">
        <f>'All regions'!B3532+"$F;@!'20"</f>
        <v>#VALUE!</v>
      </c>
      <c r="CC128" t="e">
        <f>'All regions'!C3532+"$F;@!'21"</f>
        <v>#VALUE!</v>
      </c>
      <c r="CD128" t="e">
        <f>'All regions'!D3532+"$F;@!'22"</f>
        <v>#VALUE!</v>
      </c>
      <c r="CE128" t="e">
        <f>'All regions'!E3532+"$F;@!'23"</f>
        <v>#VALUE!</v>
      </c>
      <c r="CF128" t="e">
        <f>'All regions'!F3532+"$F;@!'24"</f>
        <v>#VALUE!</v>
      </c>
      <c r="CG128" t="e">
        <f>'All regions'!G3532+"$F;@!'25"</f>
        <v>#VALUE!</v>
      </c>
      <c r="CH128" t="e">
        <f>'All regions'!H3532+"$F;@!'26"</f>
        <v>#VALUE!</v>
      </c>
      <c r="CI128" t="e">
        <f>'All regions'!I3532+"$F;@!'27"</f>
        <v>#VALUE!</v>
      </c>
      <c r="CJ128" t="e">
        <f>'All regions'!A3533+"$F;@!'28"</f>
        <v>#VALUE!</v>
      </c>
      <c r="CK128" t="e">
        <f>'All regions'!B3533+"$F;@!'29"</f>
        <v>#VALUE!</v>
      </c>
      <c r="CL128" t="e">
        <f>'All regions'!C3533+"$F;@!'2:"</f>
        <v>#VALUE!</v>
      </c>
      <c r="CM128" t="e">
        <f>'All regions'!D3533+"$F;@!'2;"</f>
        <v>#VALUE!</v>
      </c>
      <c r="CN128" t="e">
        <f>'All regions'!E3533+"$F;@!'2&lt;"</f>
        <v>#VALUE!</v>
      </c>
      <c r="CO128" t="e">
        <f>'All regions'!F3533+"$F;@!'2="</f>
        <v>#VALUE!</v>
      </c>
      <c r="CP128" t="e">
        <f>'All regions'!G3533+"$F;@!'2&gt;"</f>
        <v>#VALUE!</v>
      </c>
      <c r="CQ128" t="e">
        <f>'All regions'!H3533+"$F;@!'2?"</f>
        <v>#VALUE!</v>
      </c>
      <c r="CR128" t="e">
        <f>'All regions'!I3533+"$F;@!'2@"</f>
        <v>#VALUE!</v>
      </c>
      <c r="CS128" t="e">
        <f>'All regions'!A3534+"$F;@!'2A"</f>
        <v>#VALUE!</v>
      </c>
      <c r="CT128" t="e">
        <f>'All regions'!B3534+"$F;@!'2B"</f>
        <v>#VALUE!</v>
      </c>
      <c r="CU128" t="e">
        <f>'All regions'!C3534+"$F;@!'2C"</f>
        <v>#VALUE!</v>
      </c>
      <c r="CV128" t="e">
        <f>'All regions'!D3534+"$F;@!'2D"</f>
        <v>#VALUE!</v>
      </c>
      <c r="CW128" t="e">
        <f>'All regions'!E3534+"$F;@!'2E"</f>
        <v>#VALUE!</v>
      </c>
      <c r="CX128" t="e">
        <f>'All regions'!F3534+"$F;@!'2F"</f>
        <v>#VALUE!</v>
      </c>
      <c r="CY128" t="e">
        <f>'All regions'!G3534+"$F;@!'2G"</f>
        <v>#VALUE!</v>
      </c>
      <c r="CZ128" t="e">
        <f>'All regions'!H3534+"$F;@!'2H"</f>
        <v>#VALUE!</v>
      </c>
      <c r="DA128" t="e">
        <f>'All regions'!I3534+"$F;@!'2I"</f>
        <v>#VALUE!</v>
      </c>
      <c r="DB128" t="e">
        <f>'All regions'!A3535+"$F;@!'2J"</f>
        <v>#VALUE!</v>
      </c>
      <c r="DC128" t="e">
        <f>'All regions'!B3535+"$F;@!'2K"</f>
        <v>#VALUE!</v>
      </c>
      <c r="DD128" t="e">
        <f>'All regions'!C3535+"$F;@!'2L"</f>
        <v>#VALUE!</v>
      </c>
      <c r="DE128" t="e">
        <f>'All regions'!D3535+"$F;@!'2M"</f>
        <v>#VALUE!</v>
      </c>
      <c r="DF128" t="e">
        <f>'All regions'!E3535+"$F;@!'2N"</f>
        <v>#VALUE!</v>
      </c>
      <c r="DG128" t="e">
        <f>'All regions'!F3535+"$F;@!'2O"</f>
        <v>#VALUE!</v>
      </c>
      <c r="DH128" t="e">
        <f>'All regions'!G3535+"$F;@!'2P"</f>
        <v>#VALUE!</v>
      </c>
      <c r="DI128" t="e">
        <f>'All regions'!H3535+"$F;@!'2Q"</f>
        <v>#VALUE!</v>
      </c>
      <c r="DJ128" t="e">
        <f>'All regions'!I3535+"$F;@!'2R"</f>
        <v>#VALUE!</v>
      </c>
      <c r="DK128" t="e">
        <f>'All regions'!A3536+"$F;@!'2S"</f>
        <v>#VALUE!</v>
      </c>
      <c r="DL128" t="e">
        <f>'All regions'!B3536+"$F;@!'2T"</f>
        <v>#VALUE!</v>
      </c>
      <c r="DM128" t="e">
        <f>'All regions'!C3536+"$F;@!'2U"</f>
        <v>#VALUE!</v>
      </c>
      <c r="DN128" t="e">
        <f>'All regions'!D3536+"$F;@!'2V"</f>
        <v>#VALUE!</v>
      </c>
      <c r="DO128" t="e">
        <f>'All regions'!E3536+"$F;@!'2W"</f>
        <v>#VALUE!</v>
      </c>
      <c r="DP128" t="e">
        <f>'All regions'!F3536+"$F;@!'2X"</f>
        <v>#VALUE!</v>
      </c>
      <c r="DQ128" t="e">
        <f>'All regions'!G3536+"$F;@!'2Y"</f>
        <v>#VALUE!</v>
      </c>
      <c r="DR128" t="e">
        <f>'All regions'!H3536+"$F;@!'2Z"</f>
        <v>#VALUE!</v>
      </c>
      <c r="DS128" t="e">
        <f>'All regions'!I3536+"$F;@!'2["</f>
        <v>#VALUE!</v>
      </c>
      <c r="DT128" t="e">
        <f>'All regions'!A3537+"$F;@!'2\"</f>
        <v>#VALUE!</v>
      </c>
      <c r="DU128" t="e">
        <f>'All regions'!B3537+"$F;@!'2]"</f>
        <v>#VALUE!</v>
      </c>
      <c r="DV128" t="e">
        <f>'All regions'!C3537+"$F;@!'2^"</f>
        <v>#VALUE!</v>
      </c>
      <c r="DW128" t="e">
        <f>'All regions'!D3537+"$F;@!'2_"</f>
        <v>#VALUE!</v>
      </c>
      <c r="DX128" t="e">
        <f>'All regions'!E3537+"$F;@!'2`"</f>
        <v>#VALUE!</v>
      </c>
      <c r="DY128" t="e">
        <f>'All regions'!F3537+"$F;@!'2a"</f>
        <v>#VALUE!</v>
      </c>
      <c r="DZ128" t="e">
        <f>'All regions'!G3537+"$F;@!'2b"</f>
        <v>#VALUE!</v>
      </c>
      <c r="EA128" t="e">
        <f>'All regions'!H3537+"$F;@!'2c"</f>
        <v>#VALUE!</v>
      </c>
      <c r="EB128" t="e">
        <f>'All regions'!I3537+"$F;@!'2d"</f>
        <v>#VALUE!</v>
      </c>
      <c r="EC128" t="e">
        <f>'All regions'!A3538+"$F;@!'2e"</f>
        <v>#VALUE!</v>
      </c>
      <c r="ED128" t="e">
        <f>'All regions'!B3538+"$F;@!'2f"</f>
        <v>#VALUE!</v>
      </c>
      <c r="EE128" t="e">
        <f>'All regions'!C3538+"$F;@!'2g"</f>
        <v>#VALUE!</v>
      </c>
      <c r="EF128" t="e">
        <f>'All regions'!D3538+"$F;@!'2h"</f>
        <v>#VALUE!</v>
      </c>
      <c r="EG128" t="e">
        <f>'All regions'!E3538+"$F;@!'2i"</f>
        <v>#VALUE!</v>
      </c>
      <c r="EH128" t="e">
        <f>'All regions'!F3538+"$F;@!'2j"</f>
        <v>#VALUE!</v>
      </c>
      <c r="EI128" t="e">
        <f>'All regions'!G3538+"$F;@!'2k"</f>
        <v>#VALUE!</v>
      </c>
      <c r="EJ128" t="e">
        <f>'All regions'!H3538+"$F;@!'2l"</f>
        <v>#VALUE!</v>
      </c>
      <c r="EK128" t="e">
        <f>'All regions'!I3538+"$F;@!'2m"</f>
        <v>#VALUE!</v>
      </c>
      <c r="EL128" t="e">
        <f>'All regions'!A3539+"$F;@!'2n"</f>
        <v>#VALUE!</v>
      </c>
      <c r="EM128" t="e">
        <f>'All regions'!B3539+"$F;@!'2o"</f>
        <v>#VALUE!</v>
      </c>
      <c r="EN128" t="e">
        <f>'All regions'!C3539+"$F;@!'2p"</f>
        <v>#VALUE!</v>
      </c>
      <c r="EO128" t="e">
        <f>'All regions'!D3539+"$F;@!'2q"</f>
        <v>#VALUE!</v>
      </c>
      <c r="EP128" t="e">
        <f>'All regions'!E3539+"$F;@!'2r"</f>
        <v>#VALUE!</v>
      </c>
      <c r="EQ128" t="e">
        <f>'All regions'!F3539+"$F;@!'2s"</f>
        <v>#VALUE!</v>
      </c>
      <c r="ER128" t="e">
        <f>'All regions'!G3539+"$F;@!'2t"</f>
        <v>#VALUE!</v>
      </c>
      <c r="ES128" t="e">
        <f>'All regions'!H3539+"$F;@!'2u"</f>
        <v>#VALUE!</v>
      </c>
      <c r="ET128" t="e">
        <f>'All regions'!I3539+"$F;@!'2v"</f>
        <v>#VALUE!</v>
      </c>
      <c r="EU128" t="e">
        <f>'All regions'!A3540+"$F;@!'2w"</f>
        <v>#VALUE!</v>
      </c>
      <c r="EV128" t="e">
        <f>'All regions'!B3540+"$F;@!'2x"</f>
        <v>#VALUE!</v>
      </c>
      <c r="EW128" t="e">
        <f>'All regions'!C3540+"$F;@!'2y"</f>
        <v>#VALUE!</v>
      </c>
      <c r="EX128" t="e">
        <f>'All regions'!D3540+"$F;@!'2z"</f>
        <v>#VALUE!</v>
      </c>
      <c r="EY128" t="e">
        <f>'All regions'!E3540+"$F;@!'2{"</f>
        <v>#VALUE!</v>
      </c>
      <c r="EZ128" t="e">
        <f>'All regions'!F3540+"$F;@!'2|"</f>
        <v>#VALUE!</v>
      </c>
      <c r="FA128" t="e">
        <f>'All regions'!G3540+"$F;@!'2}"</f>
        <v>#VALUE!</v>
      </c>
      <c r="FB128" t="e">
        <f>'All regions'!H3540+"$F;@!'2~"</f>
        <v>#VALUE!</v>
      </c>
      <c r="FC128" t="e">
        <f>'All regions'!I3540+"$F;@!'3#"</f>
        <v>#VALUE!</v>
      </c>
      <c r="FD128" t="e">
        <f>'All regions'!A3541+"$F;@!'3$"</f>
        <v>#VALUE!</v>
      </c>
      <c r="FE128" t="e">
        <f>'All regions'!B3541+"$F;@!'3%"</f>
        <v>#VALUE!</v>
      </c>
      <c r="FF128" t="e">
        <f>'All regions'!C3541+"$F;@!'3&amp;"</f>
        <v>#VALUE!</v>
      </c>
      <c r="FG128" t="e">
        <f>'All regions'!D3541+"$F;@!'3'"</f>
        <v>#VALUE!</v>
      </c>
      <c r="FH128" t="e">
        <f>'All regions'!E3541+"$F;@!'3("</f>
        <v>#VALUE!</v>
      </c>
      <c r="FI128" t="e">
        <f>'All regions'!F3541+"$F;@!'3)"</f>
        <v>#VALUE!</v>
      </c>
      <c r="FJ128" t="e">
        <f>'All regions'!G3541+"$F;@!'3."</f>
        <v>#VALUE!</v>
      </c>
      <c r="FK128" t="e">
        <f>'All regions'!H3541+"$F;@!'3/"</f>
        <v>#VALUE!</v>
      </c>
      <c r="FL128" t="e">
        <f>'All regions'!I3541+"$F;@!'30"</f>
        <v>#VALUE!</v>
      </c>
      <c r="FM128" t="e">
        <f>'All regions'!A3542+"$F;@!'31"</f>
        <v>#VALUE!</v>
      </c>
      <c r="FN128" t="e">
        <f>'All regions'!B3542+"$F;@!'32"</f>
        <v>#VALUE!</v>
      </c>
      <c r="FO128" t="e">
        <f>'All regions'!C3542+"$F;@!'33"</f>
        <v>#VALUE!</v>
      </c>
      <c r="FP128" t="e">
        <f>'All regions'!D3542+"$F;@!'34"</f>
        <v>#VALUE!</v>
      </c>
      <c r="FQ128" t="e">
        <f>'All regions'!E3542+"$F;@!'35"</f>
        <v>#VALUE!</v>
      </c>
      <c r="FR128" t="e">
        <f>'All regions'!F3542+"$F;@!'36"</f>
        <v>#VALUE!</v>
      </c>
      <c r="FS128" t="e">
        <f>'All regions'!G3542+"$F;@!'37"</f>
        <v>#VALUE!</v>
      </c>
      <c r="FT128" t="e">
        <f>'All regions'!H3542+"$F;@!'38"</f>
        <v>#VALUE!</v>
      </c>
      <c r="FU128" t="e">
        <f>'All regions'!I3542+"$F;@!'39"</f>
        <v>#VALUE!</v>
      </c>
      <c r="FV128" t="e">
        <f>'All regions'!A3543+"$F;@!'3:"</f>
        <v>#VALUE!</v>
      </c>
      <c r="FW128" t="e">
        <f>'All regions'!B3543+"$F;@!'3;"</f>
        <v>#VALUE!</v>
      </c>
      <c r="FX128" t="e">
        <f>'All regions'!C3543+"$F;@!'3&lt;"</f>
        <v>#VALUE!</v>
      </c>
      <c r="FY128" t="e">
        <f>'All regions'!D3543+"$F;@!'3="</f>
        <v>#VALUE!</v>
      </c>
      <c r="FZ128" t="e">
        <f>'All regions'!E3543+"$F;@!'3&gt;"</f>
        <v>#VALUE!</v>
      </c>
      <c r="GA128" t="e">
        <f>'All regions'!F3543+"$F;@!'3?"</f>
        <v>#VALUE!</v>
      </c>
      <c r="GB128" t="e">
        <f>'All regions'!G3543+"$F;@!'3@"</f>
        <v>#VALUE!</v>
      </c>
      <c r="GC128" t="e">
        <f>'All regions'!H3543+"$F;@!'3A"</f>
        <v>#VALUE!</v>
      </c>
      <c r="GD128" t="e">
        <f>'All regions'!I3543+"$F;@!'3B"</f>
        <v>#VALUE!</v>
      </c>
      <c r="GE128" t="e">
        <f>'All regions'!A3544+"$F;@!'3C"</f>
        <v>#VALUE!</v>
      </c>
      <c r="GF128" t="e">
        <f>'All regions'!B3544+"$F;@!'3D"</f>
        <v>#VALUE!</v>
      </c>
      <c r="GG128" t="e">
        <f>'All regions'!C3544+"$F;@!'3E"</f>
        <v>#VALUE!</v>
      </c>
      <c r="GH128" t="e">
        <f>'All regions'!D3544+"$F;@!'3F"</f>
        <v>#VALUE!</v>
      </c>
      <c r="GI128" t="e">
        <f>'All regions'!E3544+"$F;@!'3G"</f>
        <v>#VALUE!</v>
      </c>
      <c r="GJ128" t="e">
        <f>'All regions'!F3544+"$F;@!'3H"</f>
        <v>#VALUE!</v>
      </c>
      <c r="GK128" t="e">
        <f>'All regions'!G3544+"$F;@!'3I"</f>
        <v>#VALUE!</v>
      </c>
      <c r="GL128" t="e">
        <f>'All regions'!H3544+"$F;@!'3J"</f>
        <v>#VALUE!</v>
      </c>
      <c r="GM128" t="e">
        <f>'All regions'!I3544+"$F;@!'3K"</f>
        <v>#VALUE!</v>
      </c>
      <c r="GN128" t="e">
        <f>'All regions'!A3545+"$F;@!'3L"</f>
        <v>#VALUE!</v>
      </c>
      <c r="GO128" t="e">
        <f>'All regions'!B3545+"$F;@!'3M"</f>
        <v>#VALUE!</v>
      </c>
      <c r="GP128" t="e">
        <f>'All regions'!C3545+"$F;@!'3N"</f>
        <v>#VALUE!</v>
      </c>
      <c r="GQ128" t="e">
        <f>'All regions'!D3545+"$F;@!'3O"</f>
        <v>#VALUE!</v>
      </c>
      <c r="GR128" t="e">
        <f>'All regions'!E3545+"$F;@!'3P"</f>
        <v>#VALUE!</v>
      </c>
      <c r="GS128" t="e">
        <f>'All regions'!F3545+"$F;@!'3Q"</f>
        <v>#VALUE!</v>
      </c>
      <c r="GT128" t="e">
        <f>'All regions'!G3545+"$F;@!'3R"</f>
        <v>#VALUE!</v>
      </c>
      <c r="GU128" t="e">
        <f>'All regions'!H3545+"$F;@!'3S"</f>
        <v>#VALUE!</v>
      </c>
      <c r="GV128" t="e">
        <f>'All regions'!I3545+"$F;@!'3T"</f>
        <v>#VALUE!</v>
      </c>
      <c r="GW128" t="e">
        <f>'All regions'!A3546+"$F;@!'3U"</f>
        <v>#VALUE!</v>
      </c>
      <c r="GX128" t="e">
        <f>'All regions'!B3546+"$F;@!'3V"</f>
        <v>#VALUE!</v>
      </c>
      <c r="GY128" t="e">
        <f>'All regions'!C3546+"$F;@!'3W"</f>
        <v>#VALUE!</v>
      </c>
      <c r="GZ128" t="e">
        <f>'All regions'!D3546+"$F;@!'3X"</f>
        <v>#VALUE!</v>
      </c>
      <c r="HA128" t="e">
        <f>'All regions'!E3546+"$F;@!'3Y"</f>
        <v>#VALUE!</v>
      </c>
      <c r="HB128" t="e">
        <f>'All regions'!F3546+"$F;@!'3Z"</f>
        <v>#VALUE!</v>
      </c>
      <c r="HC128" t="e">
        <f>'All regions'!G3546+"$F;@!'3["</f>
        <v>#VALUE!</v>
      </c>
      <c r="HD128" t="e">
        <f>'All regions'!H3546+"$F;@!'3\"</f>
        <v>#VALUE!</v>
      </c>
      <c r="HE128" t="e">
        <f>'All regions'!I3546+"$F;@!'3]"</f>
        <v>#VALUE!</v>
      </c>
      <c r="HF128" t="e">
        <f>'All regions'!A3547+"$F;@!'3^"</f>
        <v>#VALUE!</v>
      </c>
      <c r="HG128" t="e">
        <f>'All regions'!B3547+"$F;@!'3_"</f>
        <v>#VALUE!</v>
      </c>
      <c r="HH128" t="e">
        <f>'All regions'!C3547+"$F;@!'3`"</f>
        <v>#VALUE!</v>
      </c>
      <c r="HI128" t="e">
        <f>'All regions'!D3547+"$F;@!'3a"</f>
        <v>#VALUE!</v>
      </c>
      <c r="HJ128" t="e">
        <f>'All regions'!E3547+"$F;@!'3b"</f>
        <v>#VALUE!</v>
      </c>
      <c r="HK128" t="e">
        <f>'All regions'!F3547+"$F;@!'3c"</f>
        <v>#VALUE!</v>
      </c>
      <c r="HL128" t="e">
        <f>'All regions'!G3547+"$F;@!'3d"</f>
        <v>#VALUE!</v>
      </c>
      <c r="HM128" t="e">
        <f>'All regions'!H3547+"$F;@!'3e"</f>
        <v>#VALUE!</v>
      </c>
      <c r="HN128" t="e">
        <f>'All regions'!I3547+"$F;@!'3f"</f>
        <v>#VALUE!</v>
      </c>
      <c r="HO128" t="e">
        <f>'All regions'!A3548+"$F;@!'3g"</f>
        <v>#VALUE!</v>
      </c>
      <c r="HP128" t="e">
        <f>'All regions'!B3548+"$F;@!'3h"</f>
        <v>#VALUE!</v>
      </c>
      <c r="HQ128" t="e">
        <f>'All regions'!C3548+"$F;@!'3i"</f>
        <v>#VALUE!</v>
      </c>
      <c r="HR128" t="e">
        <f>'All regions'!D3548+"$F;@!'3j"</f>
        <v>#VALUE!</v>
      </c>
      <c r="HS128" t="e">
        <f>'All regions'!E3548+"$F;@!'3k"</f>
        <v>#VALUE!</v>
      </c>
      <c r="HT128" t="e">
        <f>'All regions'!F3548+"$F;@!'3l"</f>
        <v>#VALUE!</v>
      </c>
      <c r="HU128" t="e">
        <f>'All regions'!G3548+"$F;@!'3m"</f>
        <v>#VALUE!</v>
      </c>
      <c r="HV128" t="e">
        <f>'All regions'!H3548+"$F;@!'3n"</f>
        <v>#VALUE!</v>
      </c>
      <c r="HW128" t="e">
        <f>'All regions'!I3548+"$F;@!'3o"</f>
        <v>#VALUE!</v>
      </c>
      <c r="HX128" t="e">
        <f>'All regions'!A3549+"$F;@!'3p"</f>
        <v>#VALUE!</v>
      </c>
      <c r="HY128" t="e">
        <f>'All regions'!B3549+"$F;@!'3q"</f>
        <v>#VALUE!</v>
      </c>
      <c r="HZ128" t="e">
        <f>'All regions'!C3549+"$F;@!'3r"</f>
        <v>#VALUE!</v>
      </c>
      <c r="IA128" t="e">
        <f>'All regions'!D3549+"$F;@!'3s"</f>
        <v>#VALUE!</v>
      </c>
      <c r="IB128" t="e">
        <f>'All regions'!E3549+"$F;@!'3t"</f>
        <v>#VALUE!</v>
      </c>
      <c r="IC128" t="e">
        <f>'All regions'!F3549+"$F;@!'3u"</f>
        <v>#VALUE!</v>
      </c>
      <c r="ID128" t="e">
        <f>'All regions'!G3549+"$F;@!'3v"</f>
        <v>#VALUE!</v>
      </c>
      <c r="IE128" t="e">
        <f>'All regions'!H3549+"$F;@!'3w"</f>
        <v>#VALUE!</v>
      </c>
      <c r="IF128" t="e">
        <f>'All regions'!I3549+"$F;@!'3x"</f>
        <v>#VALUE!</v>
      </c>
      <c r="IG128" t="e">
        <f>'All regions'!A3550+"$F;@!'3y"</f>
        <v>#VALUE!</v>
      </c>
      <c r="IH128" t="e">
        <f>'All regions'!B3550+"$F;@!'3z"</f>
        <v>#VALUE!</v>
      </c>
      <c r="II128" t="e">
        <f>'All regions'!C3550+"$F;@!'3{"</f>
        <v>#VALUE!</v>
      </c>
      <c r="IJ128" t="e">
        <f>'All regions'!D3550+"$F;@!'3|"</f>
        <v>#VALUE!</v>
      </c>
      <c r="IK128" t="e">
        <f>'All regions'!E3550+"$F;@!'3}"</f>
        <v>#VALUE!</v>
      </c>
      <c r="IL128" t="e">
        <f>'All regions'!F3550+"$F;@!'3~"</f>
        <v>#VALUE!</v>
      </c>
      <c r="IM128" t="e">
        <f>'All regions'!G3550+"$F;@!'4#"</f>
        <v>#VALUE!</v>
      </c>
      <c r="IN128" t="e">
        <f>'All regions'!H3550+"$F;@!'4$"</f>
        <v>#VALUE!</v>
      </c>
      <c r="IO128" t="e">
        <f>'All regions'!I3550+"$F;@!'4%"</f>
        <v>#VALUE!</v>
      </c>
      <c r="IP128" t="e">
        <f>'All regions'!A3551+"$F;@!'4&amp;"</f>
        <v>#VALUE!</v>
      </c>
      <c r="IQ128" t="e">
        <f>'All regions'!B3551+"$F;@!'4'"</f>
        <v>#VALUE!</v>
      </c>
      <c r="IR128" t="e">
        <f>'All regions'!C3551+"$F;@!'4("</f>
        <v>#VALUE!</v>
      </c>
      <c r="IS128" t="e">
        <f>'All regions'!D3551+"$F;@!'4)"</f>
        <v>#VALUE!</v>
      </c>
      <c r="IT128" t="e">
        <f>'All regions'!E3551+"$F;@!'4."</f>
        <v>#VALUE!</v>
      </c>
      <c r="IU128" t="e">
        <f>'All regions'!F3551+"$F;@!'4/"</f>
        <v>#VALUE!</v>
      </c>
      <c r="IV128" t="e">
        <f>'All regions'!G3551+"$F;@!'40"</f>
        <v>#VALUE!</v>
      </c>
    </row>
    <row r="129" spans="6:256" x14ac:dyDescent="0.35">
      <c r="F129" t="e">
        <f>'All regions'!H3551+"$F;@!'41"</f>
        <v>#VALUE!</v>
      </c>
      <c r="G129" t="e">
        <f>'All regions'!I3551+"$F;@!'42"</f>
        <v>#VALUE!</v>
      </c>
      <c r="H129" t="e">
        <f>'All regions'!A3552+"$F;@!'43"</f>
        <v>#VALUE!</v>
      </c>
      <c r="I129" t="e">
        <f>'All regions'!B3552+"$F;@!'44"</f>
        <v>#VALUE!</v>
      </c>
      <c r="J129" t="e">
        <f>'All regions'!C3552+"$F;@!'45"</f>
        <v>#VALUE!</v>
      </c>
      <c r="K129" t="e">
        <f>'All regions'!D3552+"$F;@!'46"</f>
        <v>#VALUE!</v>
      </c>
      <c r="L129" t="e">
        <f>'All regions'!E3552+"$F;@!'47"</f>
        <v>#VALUE!</v>
      </c>
      <c r="M129" t="e">
        <f>'All regions'!F3552+"$F;@!'48"</f>
        <v>#VALUE!</v>
      </c>
      <c r="N129" t="e">
        <f>'All regions'!G3552+"$F;@!'49"</f>
        <v>#VALUE!</v>
      </c>
      <c r="O129" t="e">
        <f>'All regions'!H3552+"$F;@!'4:"</f>
        <v>#VALUE!</v>
      </c>
      <c r="P129" t="e">
        <f>'All regions'!I3552+"$F;@!'4;"</f>
        <v>#VALUE!</v>
      </c>
      <c r="Q129" t="e">
        <f>'All regions'!A3553+"$F;@!'4&lt;"</f>
        <v>#VALUE!</v>
      </c>
      <c r="R129" t="e">
        <f>'All regions'!B3553+"$F;@!'4="</f>
        <v>#VALUE!</v>
      </c>
      <c r="S129" t="e">
        <f>'All regions'!C3553+"$F;@!'4&gt;"</f>
        <v>#VALUE!</v>
      </c>
      <c r="T129" t="e">
        <f>'All regions'!D3553+"$F;@!'4?"</f>
        <v>#VALUE!</v>
      </c>
      <c r="U129" t="e">
        <f>'All regions'!E3553+"$F;@!'4@"</f>
        <v>#VALUE!</v>
      </c>
      <c r="V129" t="e">
        <f>'All regions'!F3553+"$F;@!'4A"</f>
        <v>#VALUE!</v>
      </c>
      <c r="W129" t="e">
        <f>'All regions'!G3553+"$F;@!'4B"</f>
        <v>#VALUE!</v>
      </c>
      <c r="X129" t="e">
        <f>'All regions'!H3553+"$F;@!'4C"</f>
        <v>#VALUE!</v>
      </c>
      <c r="Y129" t="e">
        <f>'All regions'!I3553+"$F;@!'4D"</f>
        <v>#VALUE!</v>
      </c>
      <c r="Z129" t="e">
        <f>'All regions'!A3554+"$F;@!'4E"</f>
        <v>#VALUE!</v>
      </c>
      <c r="AA129" t="e">
        <f>'All regions'!B3554+"$F;@!'4F"</f>
        <v>#VALUE!</v>
      </c>
      <c r="AB129" t="e">
        <f>'All regions'!C3554+"$F;@!'4G"</f>
        <v>#VALUE!</v>
      </c>
      <c r="AC129" t="e">
        <f>'All regions'!D3554+"$F;@!'4H"</f>
        <v>#VALUE!</v>
      </c>
      <c r="AD129" t="e">
        <f>'All regions'!E3554+"$F;@!'4I"</f>
        <v>#VALUE!</v>
      </c>
      <c r="AE129" t="e">
        <f>'All regions'!F3554+"$F;@!'4J"</f>
        <v>#VALUE!</v>
      </c>
      <c r="AF129" t="e">
        <f>'All regions'!G3554+"$F;@!'4K"</f>
        <v>#VALUE!</v>
      </c>
      <c r="AG129" t="e">
        <f>'All regions'!H3554+"$F;@!'4L"</f>
        <v>#VALUE!</v>
      </c>
      <c r="AH129" t="e">
        <f>'All regions'!I3554+"$F;@!'4M"</f>
        <v>#VALUE!</v>
      </c>
      <c r="AI129" t="e">
        <f>'All regions'!A3555+"$F;@!'4N"</f>
        <v>#VALUE!</v>
      </c>
      <c r="AJ129" t="e">
        <f>'All regions'!B3555+"$F;@!'4O"</f>
        <v>#VALUE!</v>
      </c>
      <c r="AK129" t="e">
        <f>'All regions'!C3555+"$F;@!'4P"</f>
        <v>#VALUE!</v>
      </c>
      <c r="AL129" t="e">
        <f>'All regions'!D3555+"$F;@!'4Q"</f>
        <v>#VALUE!</v>
      </c>
      <c r="AM129" t="e">
        <f>'All regions'!E3555+"$F;@!'4R"</f>
        <v>#VALUE!</v>
      </c>
      <c r="AN129" t="e">
        <f>'All regions'!F3555+"$F;@!'4S"</f>
        <v>#VALUE!</v>
      </c>
      <c r="AO129" t="e">
        <f>'All regions'!G3555+"$F;@!'4T"</f>
        <v>#VALUE!</v>
      </c>
      <c r="AP129" t="e">
        <f>'All regions'!H3555+"$F;@!'4U"</f>
        <v>#VALUE!</v>
      </c>
      <c r="AQ129" t="e">
        <f>'All regions'!I3555+"$F;@!'4V"</f>
        <v>#VALUE!</v>
      </c>
      <c r="AR129" t="e">
        <f>'All regions'!A3556+"$F;@!'4W"</f>
        <v>#VALUE!</v>
      </c>
      <c r="AS129" t="e">
        <f>'All regions'!B3556+"$F;@!'4X"</f>
        <v>#VALUE!</v>
      </c>
      <c r="AT129" t="e">
        <f>'All regions'!C3556+"$F;@!'4Y"</f>
        <v>#VALUE!</v>
      </c>
      <c r="AU129" t="e">
        <f>'All regions'!D3556+"$F;@!'4Z"</f>
        <v>#VALUE!</v>
      </c>
      <c r="AV129" t="e">
        <f>'All regions'!E3556+"$F;@!'4["</f>
        <v>#VALUE!</v>
      </c>
      <c r="AW129" t="e">
        <f>'All regions'!F3556+"$F;@!'4\"</f>
        <v>#VALUE!</v>
      </c>
      <c r="AX129" t="e">
        <f>'All regions'!G3556+"$F;@!'4]"</f>
        <v>#VALUE!</v>
      </c>
      <c r="AY129" t="e">
        <f>'All regions'!H3556+"$F;@!'4^"</f>
        <v>#VALUE!</v>
      </c>
      <c r="AZ129" t="e">
        <f>'All regions'!I3556+"$F;@!'4_"</f>
        <v>#VALUE!</v>
      </c>
      <c r="BA129" t="e">
        <f>'All regions'!A3557+"$F;@!'4`"</f>
        <v>#VALUE!</v>
      </c>
      <c r="BB129" t="e">
        <f>'All regions'!B3557+"$F;@!'4a"</f>
        <v>#VALUE!</v>
      </c>
      <c r="BC129" t="e">
        <f>'All regions'!C3557+"$F;@!'4b"</f>
        <v>#VALUE!</v>
      </c>
      <c r="BD129" t="e">
        <f>'All regions'!D3557+"$F;@!'4c"</f>
        <v>#VALUE!</v>
      </c>
      <c r="BE129" t="e">
        <f>'All regions'!E3557+"$F;@!'4d"</f>
        <v>#VALUE!</v>
      </c>
      <c r="BF129" t="e">
        <f>'All regions'!F3557+"$F;@!'4e"</f>
        <v>#VALUE!</v>
      </c>
      <c r="BG129" t="e">
        <f>'All regions'!G3557+"$F;@!'4f"</f>
        <v>#VALUE!</v>
      </c>
      <c r="BH129" t="e">
        <f>'All regions'!H3557+"$F;@!'4g"</f>
        <v>#VALUE!</v>
      </c>
      <c r="BI129" t="e">
        <f>'All regions'!I3557+"$F;@!'4h"</f>
        <v>#VALUE!</v>
      </c>
      <c r="BJ129" t="e">
        <f>'All regions'!A3558+"$F;@!'4i"</f>
        <v>#VALUE!</v>
      </c>
      <c r="BK129" t="e">
        <f>'All regions'!B3558+"$F;@!'4j"</f>
        <v>#VALUE!</v>
      </c>
      <c r="BL129" t="e">
        <f>'All regions'!C3558+"$F;@!'4k"</f>
        <v>#VALUE!</v>
      </c>
      <c r="BM129" t="e">
        <f>'All regions'!D3558+"$F;@!'4l"</f>
        <v>#VALUE!</v>
      </c>
      <c r="BN129" t="e">
        <f>'All regions'!E3558+"$F;@!'4m"</f>
        <v>#VALUE!</v>
      </c>
      <c r="BO129" t="e">
        <f>'All regions'!F3558+"$F;@!'4n"</f>
        <v>#VALUE!</v>
      </c>
      <c r="BP129" t="e">
        <f>'All regions'!G3558+"$F;@!'4o"</f>
        <v>#VALUE!</v>
      </c>
      <c r="BQ129" t="e">
        <f>'All regions'!H3558+"$F;@!'4p"</f>
        <v>#VALUE!</v>
      </c>
      <c r="BR129" t="e">
        <f>'All regions'!I3558+"$F;@!'4q"</f>
        <v>#VALUE!</v>
      </c>
      <c r="BS129" t="e">
        <f>'All regions'!A3559+"$F;@!'4r"</f>
        <v>#VALUE!</v>
      </c>
      <c r="BT129" t="e">
        <f>'All regions'!B3559+"$F;@!'4s"</f>
        <v>#VALUE!</v>
      </c>
      <c r="BU129" t="e">
        <f>'All regions'!C3559+"$F;@!'4t"</f>
        <v>#VALUE!</v>
      </c>
      <c r="BV129" t="e">
        <f>'All regions'!D3559+"$F;@!'4u"</f>
        <v>#VALUE!</v>
      </c>
      <c r="BW129" t="e">
        <f>'All regions'!E3559+"$F;@!'4v"</f>
        <v>#VALUE!</v>
      </c>
      <c r="BX129" t="e">
        <f>'All regions'!F3559+"$F;@!'4w"</f>
        <v>#VALUE!</v>
      </c>
      <c r="BY129" t="e">
        <f>'All regions'!G3559+"$F;@!'4x"</f>
        <v>#VALUE!</v>
      </c>
      <c r="BZ129" t="e">
        <f>'All regions'!H3559+"$F;@!'4y"</f>
        <v>#VALUE!</v>
      </c>
      <c r="CA129" t="e">
        <f>'All regions'!I3559+"$F;@!'4z"</f>
        <v>#VALUE!</v>
      </c>
      <c r="CB129" t="e">
        <f>'All regions'!A3560+"$F;@!'4{"</f>
        <v>#VALUE!</v>
      </c>
      <c r="CC129" t="e">
        <f>'All regions'!B3560+"$F;@!'4|"</f>
        <v>#VALUE!</v>
      </c>
      <c r="CD129" t="e">
        <f>'All regions'!C3560+"$F;@!'4}"</f>
        <v>#VALUE!</v>
      </c>
      <c r="CE129" t="e">
        <f>'All regions'!D3560+"$F;@!'4~"</f>
        <v>#VALUE!</v>
      </c>
      <c r="CF129" t="e">
        <f>'All regions'!E3560+"$F;@!'5#"</f>
        <v>#VALUE!</v>
      </c>
      <c r="CG129" t="e">
        <f>'All regions'!F3560+"$F;@!'5$"</f>
        <v>#VALUE!</v>
      </c>
      <c r="CH129" t="e">
        <f>'All regions'!G3560+"$F;@!'5%"</f>
        <v>#VALUE!</v>
      </c>
      <c r="CI129" t="e">
        <f>'All regions'!H3560+"$F;@!'5&amp;"</f>
        <v>#VALUE!</v>
      </c>
      <c r="CJ129" t="e">
        <f>'All regions'!I3560+"$F;@!'5'"</f>
        <v>#VALUE!</v>
      </c>
      <c r="CK129" t="e">
        <f>'All regions'!A3561+"$F;@!'5("</f>
        <v>#VALUE!</v>
      </c>
      <c r="CL129" t="e">
        <f>'All regions'!B3561+"$F;@!'5)"</f>
        <v>#VALUE!</v>
      </c>
      <c r="CM129" t="e">
        <f>'All regions'!C3561+"$F;@!'5."</f>
        <v>#VALUE!</v>
      </c>
      <c r="CN129" t="e">
        <f>'All regions'!D3561+"$F;@!'5/"</f>
        <v>#VALUE!</v>
      </c>
      <c r="CO129" t="e">
        <f>'All regions'!E3561+"$F;@!'50"</f>
        <v>#VALUE!</v>
      </c>
      <c r="CP129" t="e">
        <f>'All regions'!F3561+"$F;@!'51"</f>
        <v>#VALUE!</v>
      </c>
      <c r="CQ129" t="e">
        <f>'All regions'!G3561+"$F;@!'52"</f>
        <v>#VALUE!</v>
      </c>
      <c r="CR129" t="e">
        <f>'All regions'!H3561+"$F;@!'53"</f>
        <v>#VALUE!</v>
      </c>
      <c r="CS129" t="e">
        <f>'All regions'!I3561+"$F;@!'54"</f>
        <v>#VALUE!</v>
      </c>
      <c r="CT129" t="e">
        <f>'All regions'!A3562+"$F;@!'55"</f>
        <v>#VALUE!</v>
      </c>
      <c r="CU129" t="e">
        <f>'All regions'!B3562+"$F;@!'56"</f>
        <v>#VALUE!</v>
      </c>
      <c r="CV129" t="e">
        <f>'All regions'!C3562+"$F;@!'57"</f>
        <v>#VALUE!</v>
      </c>
      <c r="CW129" t="e">
        <f>'All regions'!D3562+"$F;@!'58"</f>
        <v>#VALUE!</v>
      </c>
      <c r="CX129" t="e">
        <f>'All regions'!E3562+"$F;@!'59"</f>
        <v>#VALUE!</v>
      </c>
      <c r="CY129" t="e">
        <f>'All regions'!F3562+"$F;@!'5:"</f>
        <v>#VALUE!</v>
      </c>
      <c r="CZ129" t="e">
        <f>'All regions'!G3562+"$F;@!'5;"</f>
        <v>#VALUE!</v>
      </c>
      <c r="DA129" t="e">
        <f>'All regions'!H3562+"$F;@!'5&lt;"</f>
        <v>#VALUE!</v>
      </c>
      <c r="DB129" t="e">
        <f>'All regions'!I3562+"$F;@!'5="</f>
        <v>#VALUE!</v>
      </c>
      <c r="DC129" t="e">
        <f>'All regions'!A3563+"$F;@!'5&gt;"</f>
        <v>#VALUE!</v>
      </c>
      <c r="DD129" t="e">
        <f>'All regions'!B3563+"$F;@!'5?"</f>
        <v>#VALUE!</v>
      </c>
      <c r="DE129" t="e">
        <f>'All regions'!C3563+"$F;@!'5@"</f>
        <v>#VALUE!</v>
      </c>
      <c r="DF129" t="e">
        <f>'All regions'!D3563+"$F;@!'5A"</f>
        <v>#VALUE!</v>
      </c>
      <c r="DG129" t="e">
        <f>'All regions'!E3563+"$F;@!'5B"</f>
        <v>#VALUE!</v>
      </c>
      <c r="DH129" t="e">
        <f>'All regions'!F3563+"$F;@!'5C"</f>
        <v>#VALUE!</v>
      </c>
      <c r="DI129" t="e">
        <f>'All regions'!G3563+"$F;@!'5D"</f>
        <v>#VALUE!</v>
      </c>
      <c r="DJ129" t="e">
        <f>'All regions'!H3563+"$F;@!'5E"</f>
        <v>#VALUE!</v>
      </c>
      <c r="DK129" t="e">
        <f>'All regions'!I3563+"$F;@!'5F"</f>
        <v>#VALUE!</v>
      </c>
      <c r="DL129" t="e">
        <f>'All regions'!A3564+"$F;@!'5G"</f>
        <v>#VALUE!</v>
      </c>
      <c r="DM129" t="e">
        <f>'All regions'!B3564+"$F;@!'5H"</f>
        <v>#VALUE!</v>
      </c>
      <c r="DN129" t="e">
        <f>'All regions'!C3564+"$F;@!'5I"</f>
        <v>#VALUE!</v>
      </c>
      <c r="DO129" t="e">
        <f>'All regions'!D3564+"$F;@!'5J"</f>
        <v>#VALUE!</v>
      </c>
      <c r="DP129" t="e">
        <f>'All regions'!E3564+"$F;@!'5K"</f>
        <v>#VALUE!</v>
      </c>
      <c r="DQ129" t="e">
        <f>'All regions'!F3564+"$F;@!'5L"</f>
        <v>#VALUE!</v>
      </c>
      <c r="DR129" t="e">
        <f>'All regions'!G3564+"$F;@!'5M"</f>
        <v>#VALUE!</v>
      </c>
      <c r="DS129" t="e">
        <f>'All regions'!H3564+"$F;@!'5N"</f>
        <v>#VALUE!</v>
      </c>
      <c r="DT129" t="e">
        <f>'All regions'!I3564+"$F;@!'5O"</f>
        <v>#VALUE!</v>
      </c>
      <c r="DU129" t="e">
        <f>'All regions'!A3565+"$F;@!'5P"</f>
        <v>#VALUE!</v>
      </c>
      <c r="DV129" t="e">
        <f>'All regions'!B3565+"$F;@!'5Q"</f>
        <v>#VALUE!</v>
      </c>
      <c r="DW129" t="e">
        <f>'All regions'!C3565+"$F;@!'5R"</f>
        <v>#VALUE!</v>
      </c>
      <c r="DX129" t="e">
        <f>'All regions'!D3565+"$F;@!'5S"</f>
        <v>#VALUE!</v>
      </c>
      <c r="DY129" t="e">
        <f>'All regions'!E3565+"$F;@!'5T"</f>
        <v>#VALUE!</v>
      </c>
      <c r="DZ129" t="e">
        <f>'All regions'!F3565+"$F;@!'5U"</f>
        <v>#VALUE!</v>
      </c>
      <c r="EA129" t="e">
        <f>'All regions'!G3565+"$F;@!'5V"</f>
        <v>#VALUE!</v>
      </c>
      <c r="EB129" t="e">
        <f>'All regions'!H3565+"$F;@!'5W"</f>
        <v>#VALUE!</v>
      </c>
      <c r="EC129" t="e">
        <f>'All regions'!I3565+"$F;@!'5X"</f>
        <v>#VALUE!</v>
      </c>
      <c r="ED129" t="e">
        <f>'All regions'!A3566+"$F;@!'5Y"</f>
        <v>#VALUE!</v>
      </c>
      <c r="EE129" t="e">
        <f>'All regions'!B3566+"$F;@!'5Z"</f>
        <v>#VALUE!</v>
      </c>
      <c r="EF129" t="e">
        <f>'All regions'!C3566+"$F;@!'5["</f>
        <v>#VALUE!</v>
      </c>
      <c r="EG129" t="e">
        <f>'All regions'!D3566+"$F;@!'5\"</f>
        <v>#VALUE!</v>
      </c>
      <c r="EH129" t="e">
        <f>'All regions'!E3566+"$F;@!'5]"</f>
        <v>#VALUE!</v>
      </c>
      <c r="EI129" t="e">
        <f>'All regions'!F3566+"$F;@!'5^"</f>
        <v>#VALUE!</v>
      </c>
      <c r="EJ129" t="e">
        <f>'All regions'!G3566+"$F;@!'5_"</f>
        <v>#VALUE!</v>
      </c>
      <c r="EK129" t="e">
        <f>'All regions'!H3566+"$F;@!'5`"</f>
        <v>#VALUE!</v>
      </c>
      <c r="EL129" t="e">
        <f>'All regions'!I3566+"$F;@!'5a"</f>
        <v>#VALUE!</v>
      </c>
      <c r="EM129" t="e">
        <f>'All regions'!A3567+"$F;@!'5b"</f>
        <v>#VALUE!</v>
      </c>
      <c r="EN129" t="e">
        <f>'All regions'!B3567+"$F;@!'5c"</f>
        <v>#VALUE!</v>
      </c>
      <c r="EO129" t="e">
        <f>'All regions'!C3567+"$F;@!'5d"</f>
        <v>#VALUE!</v>
      </c>
      <c r="EP129" t="e">
        <f>'All regions'!D3567+"$F;@!'5e"</f>
        <v>#VALUE!</v>
      </c>
      <c r="EQ129" t="e">
        <f>'All regions'!E3567+"$F;@!'5f"</f>
        <v>#VALUE!</v>
      </c>
      <c r="ER129" t="e">
        <f>'All regions'!F3567+"$F;@!'5g"</f>
        <v>#VALUE!</v>
      </c>
      <c r="ES129" t="e">
        <f>'All regions'!G3567+"$F;@!'5h"</f>
        <v>#VALUE!</v>
      </c>
      <c r="ET129" t="e">
        <f>'All regions'!H3567+"$F;@!'5i"</f>
        <v>#VALUE!</v>
      </c>
      <c r="EU129" t="e">
        <f>'All regions'!I3567+"$F;@!'5j"</f>
        <v>#VALUE!</v>
      </c>
      <c r="EV129" t="e">
        <f>'All regions'!A3568+"$F;@!'5k"</f>
        <v>#VALUE!</v>
      </c>
      <c r="EW129" t="e">
        <f>'All regions'!B3568+"$F;@!'5l"</f>
        <v>#VALUE!</v>
      </c>
      <c r="EX129" t="e">
        <f>'All regions'!C3568+"$F;@!'5m"</f>
        <v>#VALUE!</v>
      </c>
      <c r="EY129" t="e">
        <f>'All regions'!D3568+"$F;@!'5n"</f>
        <v>#VALUE!</v>
      </c>
      <c r="EZ129" t="e">
        <f>'All regions'!E3568+"$F;@!'5o"</f>
        <v>#VALUE!</v>
      </c>
      <c r="FA129" t="e">
        <f>'All regions'!F3568+"$F;@!'5p"</f>
        <v>#VALUE!</v>
      </c>
      <c r="FB129" t="e">
        <f>'All regions'!G3568+"$F;@!'5q"</f>
        <v>#VALUE!</v>
      </c>
      <c r="FC129" t="e">
        <f>'All regions'!H3568+"$F;@!'5r"</f>
        <v>#VALUE!</v>
      </c>
      <c r="FD129" t="e">
        <f>'All regions'!I3568+"$F;@!'5s"</f>
        <v>#VALUE!</v>
      </c>
      <c r="FE129" t="e">
        <f>'All regions'!A3569+"$F;@!'5t"</f>
        <v>#VALUE!</v>
      </c>
      <c r="FF129" t="e">
        <f>'All regions'!B3569+"$F;@!'5u"</f>
        <v>#VALUE!</v>
      </c>
      <c r="FG129" t="e">
        <f>'All regions'!C3569+"$F;@!'5v"</f>
        <v>#VALUE!</v>
      </c>
      <c r="FH129" t="e">
        <f>'All regions'!D3569+"$F;@!'5w"</f>
        <v>#VALUE!</v>
      </c>
      <c r="FI129" t="e">
        <f>'All regions'!E3569+"$F;@!'5x"</f>
        <v>#VALUE!</v>
      </c>
      <c r="FJ129" t="e">
        <f>'All regions'!F3569+"$F;@!'5y"</f>
        <v>#VALUE!</v>
      </c>
      <c r="FK129" t="e">
        <f>'All regions'!G3569+"$F;@!'5z"</f>
        <v>#VALUE!</v>
      </c>
      <c r="FL129" t="e">
        <f>'All regions'!H3569+"$F;@!'5{"</f>
        <v>#VALUE!</v>
      </c>
      <c r="FM129" t="e">
        <f>'All regions'!I3569+"$F;@!'5|"</f>
        <v>#VALUE!</v>
      </c>
      <c r="FN129" t="e">
        <f>'All regions'!A3570+"$F;@!'5}"</f>
        <v>#VALUE!</v>
      </c>
      <c r="FO129" t="e">
        <f>'All regions'!B3570+"$F;@!'5~"</f>
        <v>#VALUE!</v>
      </c>
      <c r="FP129" t="e">
        <f>'All regions'!C3570+"$F;@!'6#"</f>
        <v>#VALUE!</v>
      </c>
      <c r="FQ129" t="e">
        <f>'All regions'!D3570+"$F;@!'6$"</f>
        <v>#VALUE!</v>
      </c>
      <c r="FR129" t="e">
        <f>'All regions'!E3570+"$F;@!'6%"</f>
        <v>#VALUE!</v>
      </c>
      <c r="FS129" t="e">
        <f>'All regions'!F3570+"$F;@!'6&amp;"</f>
        <v>#VALUE!</v>
      </c>
      <c r="FT129" t="e">
        <f>'All regions'!G3570+"$F;@!'6'"</f>
        <v>#VALUE!</v>
      </c>
      <c r="FU129" t="e">
        <f>'All regions'!H3570+"$F;@!'6("</f>
        <v>#VALUE!</v>
      </c>
      <c r="FV129" t="e">
        <f>'All regions'!I3570+"$F;@!'6)"</f>
        <v>#VALUE!</v>
      </c>
      <c r="FW129" t="e">
        <f>'All regions'!A3571+"$F;@!'6."</f>
        <v>#VALUE!</v>
      </c>
      <c r="FX129" t="e">
        <f>'All regions'!B3571+"$F;@!'6/"</f>
        <v>#VALUE!</v>
      </c>
      <c r="FY129" t="e">
        <f>'All regions'!C3571+"$F;@!'60"</f>
        <v>#VALUE!</v>
      </c>
      <c r="FZ129" t="e">
        <f>'All regions'!D3571+"$F;@!'61"</f>
        <v>#VALUE!</v>
      </c>
      <c r="GA129" t="e">
        <f>'All regions'!E3571+"$F;@!'62"</f>
        <v>#VALUE!</v>
      </c>
      <c r="GB129" t="e">
        <f>'All regions'!F3571+"$F;@!'63"</f>
        <v>#VALUE!</v>
      </c>
      <c r="GC129" t="e">
        <f>'All regions'!G3571+"$F;@!'64"</f>
        <v>#VALUE!</v>
      </c>
      <c r="GD129" t="e">
        <f>'All regions'!H3571+"$F;@!'65"</f>
        <v>#VALUE!</v>
      </c>
      <c r="GE129" t="e">
        <f>'All regions'!I3571+"$F;@!'66"</f>
        <v>#VALUE!</v>
      </c>
      <c r="GF129" t="e">
        <f>'All regions'!A3572+"$F;@!'67"</f>
        <v>#VALUE!</v>
      </c>
      <c r="GG129" t="e">
        <f>'All regions'!B3572+"$F;@!'68"</f>
        <v>#VALUE!</v>
      </c>
      <c r="GH129" t="e">
        <f>'All regions'!C3572+"$F;@!'69"</f>
        <v>#VALUE!</v>
      </c>
      <c r="GI129" t="e">
        <f>'All regions'!D3572+"$F;@!'6:"</f>
        <v>#VALUE!</v>
      </c>
      <c r="GJ129" t="e">
        <f>'All regions'!E3572+"$F;@!'6;"</f>
        <v>#VALUE!</v>
      </c>
      <c r="GK129" t="e">
        <f>'All regions'!F3572+"$F;@!'6&lt;"</f>
        <v>#VALUE!</v>
      </c>
      <c r="GL129" t="e">
        <f>'All regions'!G3572+"$F;@!'6="</f>
        <v>#VALUE!</v>
      </c>
      <c r="GM129" t="e">
        <f>'All regions'!H3572+"$F;@!'6&gt;"</f>
        <v>#VALUE!</v>
      </c>
      <c r="GN129" t="e">
        <f>'All regions'!I3572+"$F;@!'6?"</f>
        <v>#VALUE!</v>
      </c>
      <c r="GO129" t="e">
        <f>'All regions'!A3573+"$F;@!'6@"</f>
        <v>#VALUE!</v>
      </c>
      <c r="GP129" t="e">
        <f>'All regions'!B3573+"$F;@!'6A"</f>
        <v>#VALUE!</v>
      </c>
      <c r="GQ129" t="e">
        <f>'All regions'!C3573+"$F;@!'6B"</f>
        <v>#VALUE!</v>
      </c>
      <c r="GR129" t="e">
        <f>'All regions'!D3573+"$F;@!'6C"</f>
        <v>#VALUE!</v>
      </c>
      <c r="GS129" t="e">
        <f>'All regions'!E3573+"$F;@!'6D"</f>
        <v>#VALUE!</v>
      </c>
      <c r="GT129" t="e">
        <f>'All regions'!F3573+"$F;@!'6E"</f>
        <v>#VALUE!</v>
      </c>
      <c r="GU129" t="e">
        <f>'All regions'!G3573+"$F;@!'6F"</f>
        <v>#VALUE!</v>
      </c>
      <c r="GV129" t="e">
        <f>'All regions'!H3573+"$F;@!'6G"</f>
        <v>#VALUE!</v>
      </c>
      <c r="GW129" t="e">
        <f>'All regions'!I3573+"$F;@!'6H"</f>
        <v>#VALUE!</v>
      </c>
      <c r="GX129" t="e">
        <f>'All regions'!A3574+"$F;@!'6I"</f>
        <v>#VALUE!</v>
      </c>
      <c r="GY129" t="e">
        <f>'All regions'!B3574+"$F;@!'6J"</f>
        <v>#VALUE!</v>
      </c>
      <c r="GZ129" t="e">
        <f>'All regions'!C3574+"$F;@!'6K"</f>
        <v>#VALUE!</v>
      </c>
      <c r="HA129" t="e">
        <f>'All regions'!D3574+"$F;@!'6L"</f>
        <v>#VALUE!</v>
      </c>
      <c r="HB129" t="e">
        <f>'All regions'!E3574+"$F;@!'6M"</f>
        <v>#VALUE!</v>
      </c>
      <c r="HC129" t="e">
        <f>'All regions'!F3574+"$F;@!'6N"</f>
        <v>#VALUE!</v>
      </c>
      <c r="HD129" t="e">
        <f>'All regions'!G3574+"$F;@!'6O"</f>
        <v>#VALUE!</v>
      </c>
      <c r="HE129" t="e">
        <f>'All regions'!H3574+"$F;@!'6P"</f>
        <v>#VALUE!</v>
      </c>
      <c r="HF129" t="e">
        <f>'All regions'!I3574+"$F;@!'6Q"</f>
        <v>#VALUE!</v>
      </c>
      <c r="HG129" t="e">
        <f>'All regions'!A3575+"$F;@!'6R"</f>
        <v>#VALUE!</v>
      </c>
      <c r="HH129" t="e">
        <f>'All regions'!B3575+"$F;@!'6S"</f>
        <v>#VALUE!</v>
      </c>
      <c r="HI129" t="e">
        <f>'All regions'!C3575+"$F;@!'6T"</f>
        <v>#VALUE!</v>
      </c>
      <c r="HJ129" t="e">
        <f>'All regions'!D3575+"$F;@!'6U"</f>
        <v>#VALUE!</v>
      </c>
      <c r="HK129" t="e">
        <f>'All regions'!E3575+"$F;@!'6V"</f>
        <v>#VALUE!</v>
      </c>
      <c r="HL129" t="e">
        <f>'All regions'!F3575+"$F;@!'6W"</f>
        <v>#VALUE!</v>
      </c>
      <c r="HM129" t="e">
        <f>'All regions'!G3575+"$F;@!'6X"</f>
        <v>#VALUE!</v>
      </c>
      <c r="HN129" t="e">
        <f>'All regions'!H3575+"$F;@!'6Y"</f>
        <v>#VALUE!</v>
      </c>
      <c r="HO129" t="e">
        <f>'All regions'!I3575+"$F;@!'6Z"</f>
        <v>#VALUE!</v>
      </c>
      <c r="HP129" t="e">
        <f>'All regions'!A3576+"$F;@!'6["</f>
        <v>#VALUE!</v>
      </c>
      <c r="HQ129" t="e">
        <f>'All regions'!B3576+"$F;@!'6\"</f>
        <v>#VALUE!</v>
      </c>
      <c r="HR129" t="e">
        <f>'All regions'!C3576+"$F;@!'6]"</f>
        <v>#VALUE!</v>
      </c>
      <c r="HS129" t="e">
        <f>'All regions'!D3576+"$F;@!'6^"</f>
        <v>#VALUE!</v>
      </c>
      <c r="HT129" t="e">
        <f>'All regions'!E3576+"$F;@!'6_"</f>
        <v>#VALUE!</v>
      </c>
      <c r="HU129" t="e">
        <f>'All regions'!F3576+"$F;@!'6`"</f>
        <v>#VALUE!</v>
      </c>
      <c r="HV129" t="e">
        <f>'All regions'!G3576+"$F;@!'6a"</f>
        <v>#VALUE!</v>
      </c>
      <c r="HW129" t="e">
        <f>'All regions'!H3576+"$F;@!'6b"</f>
        <v>#VALUE!</v>
      </c>
      <c r="HX129" t="e">
        <f>'All regions'!I3576+"$F;@!'6c"</f>
        <v>#VALUE!</v>
      </c>
      <c r="HY129" t="e">
        <f>'All regions'!A3577+"$F;@!'6d"</f>
        <v>#VALUE!</v>
      </c>
      <c r="HZ129" t="e">
        <f>'All regions'!B3577+"$F;@!'6e"</f>
        <v>#VALUE!</v>
      </c>
      <c r="IA129" t="e">
        <f>'All regions'!C3577+"$F;@!'6f"</f>
        <v>#VALUE!</v>
      </c>
      <c r="IB129" t="e">
        <f>'All regions'!D3577+"$F;@!'6g"</f>
        <v>#VALUE!</v>
      </c>
      <c r="IC129" t="e">
        <f>'All regions'!E3577+"$F;@!'6h"</f>
        <v>#VALUE!</v>
      </c>
      <c r="ID129" t="e">
        <f>'All regions'!F3577+"$F;@!'6i"</f>
        <v>#VALUE!</v>
      </c>
      <c r="IE129" t="e">
        <f>'All regions'!G3577+"$F;@!'6j"</f>
        <v>#VALUE!</v>
      </c>
      <c r="IF129" t="e">
        <f>'All regions'!H3577+"$F;@!'6k"</f>
        <v>#VALUE!</v>
      </c>
      <c r="IG129" t="e">
        <f>'All regions'!I3577+"$F;@!'6l"</f>
        <v>#VALUE!</v>
      </c>
      <c r="IH129" t="e">
        <f>'All regions'!A3578+"$F;@!'6m"</f>
        <v>#VALUE!</v>
      </c>
      <c r="II129" t="e">
        <f>'All regions'!B3578+"$F;@!'6n"</f>
        <v>#VALUE!</v>
      </c>
      <c r="IJ129" t="e">
        <f>'All regions'!C3578+"$F;@!'6o"</f>
        <v>#VALUE!</v>
      </c>
      <c r="IK129" t="e">
        <f>'All regions'!D3578+"$F;@!'6p"</f>
        <v>#VALUE!</v>
      </c>
      <c r="IL129" t="e">
        <f>'All regions'!E3578+"$F;@!'6q"</f>
        <v>#VALUE!</v>
      </c>
      <c r="IM129" t="e">
        <f>'All regions'!F3578+"$F;@!'6r"</f>
        <v>#VALUE!</v>
      </c>
      <c r="IN129" t="e">
        <f>'All regions'!G3578+"$F;@!'6s"</f>
        <v>#VALUE!</v>
      </c>
      <c r="IO129" t="e">
        <f>'All regions'!H3578+"$F;@!'6t"</f>
        <v>#VALUE!</v>
      </c>
      <c r="IP129" t="e">
        <f>'All regions'!I3578+"$F;@!'6u"</f>
        <v>#VALUE!</v>
      </c>
      <c r="IQ129" t="e">
        <f>'All regions'!A3579+"$F;@!'6v"</f>
        <v>#VALUE!</v>
      </c>
      <c r="IR129" t="e">
        <f>'All regions'!B3579+"$F;@!'6w"</f>
        <v>#VALUE!</v>
      </c>
      <c r="IS129" t="e">
        <f>'All regions'!C3579+"$F;@!'6x"</f>
        <v>#VALUE!</v>
      </c>
      <c r="IT129" t="e">
        <f>'All regions'!D3579+"$F;@!'6y"</f>
        <v>#VALUE!</v>
      </c>
      <c r="IU129" t="e">
        <f>'All regions'!E3579+"$F;@!'6z"</f>
        <v>#VALUE!</v>
      </c>
      <c r="IV129" t="e">
        <f>'All regions'!F3579+"$F;@!'6{"</f>
        <v>#VALUE!</v>
      </c>
    </row>
    <row r="130" spans="6:256" x14ac:dyDescent="0.35">
      <c r="F130" t="e">
        <f>'All regions'!G3579+"$F;@!'6|"</f>
        <v>#VALUE!</v>
      </c>
      <c r="G130" t="e">
        <f>'All regions'!H3579+"$F;@!'6}"</f>
        <v>#VALUE!</v>
      </c>
      <c r="H130" t="e">
        <f>'All regions'!I3579+"$F;@!'6~"</f>
        <v>#VALUE!</v>
      </c>
      <c r="I130" t="e">
        <f>'All regions'!A3580+"$F;@!'7#"</f>
        <v>#VALUE!</v>
      </c>
      <c r="J130" t="e">
        <f>'All regions'!B3580+"$F;@!'7$"</f>
        <v>#VALUE!</v>
      </c>
      <c r="K130" t="e">
        <f>'All regions'!C3580+"$F;@!'7%"</f>
        <v>#VALUE!</v>
      </c>
      <c r="L130" t="e">
        <f>'All regions'!D3580+"$F;@!'7&amp;"</f>
        <v>#VALUE!</v>
      </c>
      <c r="M130" t="e">
        <f>'All regions'!E3580+"$F;@!'7'"</f>
        <v>#VALUE!</v>
      </c>
      <c r="N130" t="e">
        <f>'All regions'!F3580+"$F;@!'7("</f>
        <v>#VALUE!</v>
      </c>
      <c r="O130" t="e">
        <f>'All regions'!G3580+"$F;@!'7)"</f>
        <v>#VALUE!</v>
      </c>
      <c r="P130" t="e">
        <f>'All regions'!H3580+"$F;@!'7."</f>
        <v>#VALUE!</v>
      </c>
      <c r="Q130" t="e">
        <f>'All regions'!I3580+"$F;@!'7/"</f>
        <v>#VALUE!</v>
      </c>
      <c r="R130" t="e">
        <f>'All regions'!A3581+"$F;@!'70"</f>
        <v>#VALUE!</v>
      </c>
      <c r="S130" t="e">
        <f>'All regions'!B3581+"$F;@!'71"</f>
        <v>#VALUE!</v>
      </c>
      <c r="T130" t="e">
        <f>'All regions'!C3581+"$F;@!'72"</f>
        <v>#VALUE!</v>
      </c>
      <c r="U130" t="e">
        <f>'All regions'!D3581+"$F;@!'73"</f>
        <v>#VALUE!</v>
      </c>
      <c r="V130" t="e">
        <f>'All regions'!E3581+"$F;@!'74"</f>
        <v>#VALUE!</v>
      </c>
      <c r="W130" t="e">
        <f>'All regions'!F3581+"$F;@!'75"</f>
        <v>#VALUE!</v>
      </c>
      <c r="X130" t="e">
        <f>'All regions'!G3581+"$F;@!'76"</f>
        <v>#VALUE!</v>
      </c>
      <c r="Y130" t="e">
        <f>'All regions'!H3581+"$F;@!'77"</f>
        <v>#VALUE!</v>
      </c>
      <c r="Z130" t="e">
        <f>'All regions'!I3581+"$F;@!'78"</f>
        <v>#VALUE!</v>
      </c>
      <c r="AA130" t="e">
        <f>'All regions'!A3582+"$F;@!'79"</f>
        <v>#VALUE!</v>
      </c>
      <c r="AB130" t="e">
        <f>'All regions'!B3582+"$F;@!'7:"</f>
        <v>#VALUE!</v>
      </c>
      <c r="AC130" t="e">
        <f>'All regions'!C3582+"$F;@!'7;"</f>
        <v>#VALUE!</v>
      </c>
      <c r="AD130" t="e">
        <f>'All regions'!D3582+"$F;@!'7&lt;"</f>
        <v>#VALUE!</v>
      </c>
      <c r="AE130" t="e">
        <f>'All regions'!E3582+"$F;@!'7="</f>
        <v>#VALUE!</v>
      </c>
      <c r="AF130" t="e">
        <f>'All regions'!F3582+"$F;@!'7&gt;"</f>
        <v>#VALUE!</v>
      </c>
      <c r="AG130" t="e">
        <f>'All regions'!G3582+"$F;@!'7?"</f>
        <v>#VALUE!</v>
      </c>
      <c r="AH130" t="e">
        <f>'All regions'!H3582+"$F;@!'7@"</f>
        <v>#VALUE!</v>
      </c>
      <c r="AI130" t="e">
        <f>'All regions'!I3582+"$F;@!'7A"</f>
        <v>#VALUE!</v>
      </c>
      <c r="AJ130" t="e">
        <f>'All regions'!A3583+"$F;@!'7B"</f>
        <v>#VALUE!</v>
      </c>
      <c r="AK130" t="e">
        <f>'All regions'!B3583+"$F;@!'7C"</f>
        <v>#VALUE!</v>
      </c>
      <c r="AL130" t="e">
        <f>'All regions'!C3583+"$F;@!'7D"</f>
        <v>#VALUE!</v>
      </c>
      <c r="AM130" t="e">
        <f>'All regions'!D3583+"$F;@!'7E"</f>
        <v>#VALUE!</v>
      </c>
      <c r="AN130" t="e">
        <f>'All regions'!E3583+"$F;@!'7F"</f>
        <v>#VALUE!</v>
      </c>
      <c r="AO130" t="e">
        <f>'All regions'!F3583+"$F;@!'7G"</f>
        <v>#VALUE!</v>
      </c>
      <c r="AP130" t="e">
        <f>'All regions'!G3583+"$F;@!'7H"</f>
        <v>#VALUE!</v>
      </c>
      <c r="AQ130" t="e">
        <f>'All regions'!H3583+"$F;@!'7I"</f>
        <v>#VALUE!</v>
      </c>
      <c r="AR130" t="e">
        <f>'All regions'!I3583+"$F;@!'7J"</f>
        <v>#VALUE!</v>
      </c>
      <c r="AS130" t="e">
        <f>'All regions'!A3584+"$F;@!'7K"</f>
        <v>#VALUE!</v>
      </c>
      <c r="AT130" t="e">
        <f>'All regions'!B3584+"$F;@!'7L"</f>
        <v>#VALUE!</v>
      </c>
      <c r="AU130" t="e">
        <f>'All regions'!C3584+"$F;@!'7M"</f>
        <v>#VALUE!</v>
      </c>
      <c r="AV130" t="e">
        <f>'All regions'!D3584+"$F;@!'7N"</f>
        <v>#VALUE!</v>
      </c>
      <c r="AW130" t="e">
        <f>'All regions'!E3584+"$F;@!'7O"</f>
        <v>#VALUE!</v>
      </c>
      <c r="AX130" t="e">
        <f>'All regions'!F3584+"$F;@!'7P"</f>
        <v>#VALUE!</v>
      </c>
      <c r="AY130" t="e">
        <f>'All regions'!G3584+"$F;@!'7Q"</f>
        <v>#VALUE!</v>
      </c>
      <c r="AZ130" t="e">
        <f>'All regions'!H3584+"$F;@!'7R"</f>
        <v>#VALUE!</v>
      </c>
      <c r="BA130" t="e">
        <f>'All regions'!I3584+"$F;@!'7S"</f>
        <v>#VALUE!</v>
      </c>
      <c r="BB130" t="e">
        <f>'All regions'!A3585+"$F;@!'7T"</f>
        <v>#VALUE!</v>
      </c>
      <c r="BC130" t="e">
        <f>'All regions'!B3585+"$F;@!'7U"</f>
        <v>#VALUE!</v>
      </c>
      <c r="BD130" t="e">
        <f>'All regions'!C3585+"$F;@!'7V"</f>
        <v>#VALUE!</v>
      </c>
      <c r="BE130" t="e">
        <f>'All regions'!D3585+"$F;@!'7W"</f>
        <v>#VALUE!</v>
      </c>
      <c r="BF130" t="e">
        <f>'All regions'!E3585+"$F;@!'7X"</f>
        <v>#VALUE!</v>
      </c>
      <c r="BG130" t="e">
        <f>'All regions'!F3585+"$F;@!'7Y"</f>
        <v>#VALUE!</v>
      </c>
      <c r="BH130" t="e">
        <f>'All regions'!G3585+"$F;@!'7Z"</f>
        <v>#VALUE!</v>
      </c>
      <c r="BI130" t="e">
        <f>'All regions'!H3585+"$F;@!'7["</f>
        <v>#VALUE!</v>
      </c>
      <c r="BJ130" t="e">
        <f>'All regions'!I3585+"$F;@!'7\"</f>
        <v>#VALUE!</v>
      </c>
      <c r="BK130" t="e">
        <f>'All regions'!A3586+"$F;@!'7]"</f>
        <v>#VALUE!</v>
      </c>
      <c r="BL130" t="e">
        <f>'All regions'!B3586+"$F;@!'7^"</f>
        <v>#VALUE!</v>
      </c>
      <c r="BM130" t="e">
        <f>'All regions'!C3586+"$F;@!'7_"</f>
        <v>#VALUE!</v>
      </c>
      <c r="BN130" t="e">
        <f>'All regions'!D3586+"$F;@!'7`"</f>
        <v>#VALUE!</v>
      </c>
      <c r="BO130" t="e">
        <f>'All regions'!E3586+"$F;@!'7a"</f>
        <v>#VALUE!</v>
      </c>
      <c r="BP130" t="e">
        <f>'All regions'!F3586+"$F;@!'7b"</f>
        <v>#VALUE!</v>
      </c>
      <c r="BQ130" t="e">
        <f>'All regions'!G3586+"$F;@!'7c"</f>
        <v>#VALUE!</v>
      </c>
      <c r="BR130" t="e">
        <f>'All regions'!H3586+"$F;@!'7d"</f>
        <v>#VALUE!</v>
      </c>
      <c r="BS130" t="e">
        <f>'All regions'!I3586+"$F;@!'7e"</f>
        <v>#VALUE!</v>
      </c>
      <c r="BT130" t="e">
        <f>'All regions'!A3587+"$F;@!'7f"</f>
        <v>#VALUE!</v>
      </c>
      <c r="BU130" t="e">
        <f>'All regions'!B3587+"$F;@!'7g"</f>
        <v>#VALUE!</v>
      </c>
      <c r="BV130" t="e">
        <f>'All regions'!C3587+"$F;@!'7h"</f>
        <v>#VALUE!</v>
      </c>
      <c r="BW130" t="e">
        <f>'All regions'!D3587+"$F;@!'7i"</f>
        <v>#VALUE!</v>
      </c>
      <c r="BX130" t="e">
        <f>'All regions'!E3587+"$F;@!'7j"</f>
        <v>#VALUE!</v>
      </c>
      <c r="BY130" t="e">
        <f>'All regions'!F3587+"$F;@!'7k"</f>
        <v>#VALUE!</v>
      </c>
      <c r="BZ130" t="e">
        <f>'All regions'!G3587+"$F;@!'7l"</f>
        <v>#VALUE!</v>
      </c>
      <c r="CA130" t="e">
        <f>'All regions'!H3587+"$F;@!'7m"</f>
        <v>#VALUE!</v>
      </c>
      <c r="CB130" t="e">
        <f>'All regions'!I3587+"$F;@!'7n"</f>
        <v>#VALUE!</v>
      </c>
      <c r="CC130" t="e">
        <f>'All regions'!A3588+"$F;@!'7o"</f>
        <v>#VALUE!</v>
      </c>
      <c r="CD130" t="e">
        <f>'All regions'!B3588+"$F;@!'7p"</f>
        <v>#VALUE!</v>
      </c>
      <c r="CE130" t="e">
        <f>'All regions'!C3588+"$F;@!'7q"</f>
        <v>#VALUE!</v>
      </c>
      <c r="CF130" t="e">
        <f>'All regions'!D3588+"$F;@!'7r"</f>
        <v>#VALUE!</v>
      </c>
      <c r="CG130" t="e">
        <f>'All regions'!E3588+"$F;@!'7s"</f>
        <v>#VALUE!</v>
      </c>
      <c r="CH130" t="e">
        <f>'All regions'!F3588+"$F;@!'7t"</f>
        <v>#VALUE!</v>
      </c>
      <c r="CI130" t="e">
        <f>'All regions'!G3588+"$F;@!'7u"</f>
        <v>#VALUE!</v>
      </c>
      <c r="CJ130" t="e">
        <f>'All regions'!H3588+"$F;@!'7v"</f>
        <v>#VALUE!</v>
      </c>
      <c r="CK130" t="e">
        <f>'All regions'!I3588+"$F;@!'7w"</f>
        <v>#VALUE!</v>
      </c>
      <c r="CL130" t="e">
        <f>'All regions'!A3589+"$F;@!'7x"</f>
        <v>#VALUE!</v>
      </c>
      <c r="CM130" t="e">
        <f>'All regions'!B3589+"$F;@!'7y"</f>
        <v>#VALUE!</v>
      </c>
      <c r="CN130" t="e">
        <f>'All regions'!C3589+"$F;@!'7z"</f>
        <v>#VALUE!</v>
      </c>
      <c r="CO130" t="e">
        <f>'All regions'!D3589+"$F;@!'7{"</f>
        <v>#VALUE!</v>
      </c>
      <c r="CP130" t="e">
        <f>'All regions'!E3589+"$F;@!'7|"</f>
        <v>#VALUE!</v>
      </c>
      <c r="CQ130" t="e">
        <f>'All regions'!F3589+"$F;@!'7}"</f>
        <v>#VALUE!</v>
      </c>
      <c r="CR130" t="e">
        <f>'All regions'!G3589+"$F;@!'7~"</f>
        <v>#VALUE!</v>
      </c>
      <c r="CS130" t="e">
        <f>'All regions'!H3589+"$F;@!'8#"</f>
        <v>#VALUE!</v>
      </c>
      <c r="CT130" t="e">
        <f>'All regions'!I3589+"$F;@!'8$"</f>
        <v>#VALUE!</v>
      </c>
      <c r="CU130" t="e">
        <f>'All regions'!A3590+"$F;@!'8%"</f>
        <v>#VALUE!</v>
      </c>
      <c r="CV130" t="e">
        <f>'All regions'!B3590+"$F;@!'8&amp;"</f>
        <v>#VALUE!</v>
      </c>
      <c r="CW130" t="e">
        <f>'All regions'!C3590+"$F;@!'8'"</f>
        <v>#VALUE!</v>
      </c>
      <c r="CX130" t="e">
        <f>'All regions'!D3590+"$F;@!'8("</f>
        <v>#VALUE!</v>
      </c>
      <c r="CY130" t="e">
        <f>'All regions'!E3590+"$F;@!'8)"</f>
        <v>#VALUE!</v>
      </c>
      <c r="CZ130" t="e">
        <f>'All regions'!F3590+"$F;@!'8."</f>
        <v>#VALUE!</v>
      </c>
      <c r="DA130" t="e">
        <f>'All regions'!G3590+"$F;@!'8/"</f>
        <v>#VALUE!</v>
      </c>
      <c r="DB130" t="e">
        <f>'All regions'!H3590+"$F;@!'80"</f>
        <v>#VALUE!</v>
      </c>
      <c r="DC130" t="e">
        <f>'All regions'!I3590+"$F;@!'81"</f>
        <v>#VALUE!</v>
      </c>
      <c r="DD130" t="e">
        <f>'All regions'!A3591+"$F;@!'82"</f>
        <v>#VALUE!</v>
      </c>
      <c r="DE130" t="e">
        <f>'All regions'!B3591+"$F;@!'83"</f>
        <v>#VALUE!</v>
      </c>
      <c r="DF130" t="e">
        <f>'All regions'!C3591+"$F;@!'84"</f>
        <v>#VALUE!</v>
      </c>
      <c r="DG130" t="e">
        <f>'All regions'!D3591+"$F;@!'85"</f>
        <v>#VALUE!</v>
      </c>
      <c r="DH130" t="e">
        <f>'All regions'!E3591+"$F;@!'86"</f>
        <v>#VALUE!</v>
      </c>
      <c r="DI130" t="e">
        <f>'All regions'!F3591+"$F;@!'87"</f>
        <v>#VALUE!</v>
      </c>
      <c r="DJ130" t="e">
        <f>'All regions'!G3591+"$F;@!'88"</f>
        <v>#VALUE!</v>
      </c>
      <c r="DK130" t="e">
        <f>'All regions'!H3591+"$F;@!'89"</f>
        <v>#VALUE!</v>
      </c>
      <c r="DL130" t="e">
        <f>'All regions'!I3591+"$F;@!'8:"</f>
        <v>#VALUE!</v>
      </c>
      <c r="DM130" t="e">
        <f>'All regions'!A3592+"$F;@!'8;"</f>
        <v>#VALUE!</v>
      </c>
      <c r="DN130" t="e">
        <f>'All regions'!B3592+"$F;@!'8&lt;"</f>
        <v>#VALUE!</v>
      </c>
      <c r="DO130" t="e">
        <f>'All regions'!C3592+"$F;@!'8="</f>
        <v>#VALUE!</v>
      </c>
      <c r="DP130" t="e">
        <f>'All regions'!D3592+"$F;@!'8&gt;"</f>
        <v>#VALUE!</v>
      </c>
      <c r="DQ130" t="e">
        <f>'All regions'!E3592+"$F;@!'8?"</f>
        <v>#VALUE!</v>
      </c>
      <c r="DR130" t="e">
        <f>'All regions'!F3592+"$F;@!'8@"</f>
        <v>#VALUE!</v>
      </c>
      <c r="DS130" t="e">
        <f>'All regions'!G3592+"$F;@!'8A"</f>
        <v>#VALUE!</v>
      </c>
      <c r="DT130" t="e">
        <f>'All regions'!H3592+"$F;@!'8B"</f>
        <v>#VALUE!</v>
      </c>
      <c r="DU130" t="e">
        <f>'All regions'!I3592+"$F;@!'8C"</f>
        <v>#VALUE!</v>
      </c>
      <c r="DV130" t="e">
        <f>'All regions'!A3593+"$F;@!'8D"</f>
        <v>#VALUE!</v>
      </c>
      <c r="DW130" t="e">
        <f>'All regions'!B3593+"$F;@!'8E"</f>
        <v>#VALUE!</v>
      </c>
      <c r="DX130" t="e">
        <f>'All regions'!C3593+"$F;@!'8F"</f>
        <v>#VALUE!</v>
      </c>
      <c r="DY130" t="e">
        <f>'All regions'!D3593+"$F;@!'8G"</f>
        <v>#VALUE!</v>
      </c>
      <c r="DZ130" t="e">
        <f>'All regions'!E3593+"$F;@!'8H"</f>
        <v>#VALUE!</v>
      </c>
      <c r="EA130" t="e">
        <f>'All regions'!F3593+"$F;@!'8I"</f>
        <v>#VALUE!</v>
      </c>
      <c r="EB130" t="e">
        <f>'All regions'!G3593+"$F;@!'8J"</f>
        <v>#VALUE!</v>
      </c>
      <c r="EC130" t="e">
        <f>'All regions'!H3593+"$F;@!'8K"</f>
        <v>#VALUE!</v>
      </c>
      <c r="ED130" t="e">
        <f>'All regions'!I3593+"$F;@!'8L"</f>
        <v>#VALUE!</v>
      </c>
      <c r="EE130" t="e">
        <f>'All regions'!A3594+"$F;@!'8M"</f>
        <v>#VALUE!</v>
      </c>
      <c r="EF130" t="e">
        <f>'All regions'!B3594+"$F;@!'8N"</f>
        <v>#VALUE!</v>
      </c>
      <c r="EG130" t="e">
        <f>'All regions'!C3594+"$F;@!'8O"</f>
        <v>#VALUE!</v>
      </c>
      <c r="EH130" t="e">
        <f>'All regions'!D3594+"$F;@!'8P"</f>
        <v>#VALUE!</v>
      </c>
      <c r="EI130" t="e">
        <f>'All regions'!E3594+"$F;@!'8Q"</f>
        <v>#VALUE!</v>
      </c>
      <c r="EJ130" t="e">
        <f>'All regions'!F3594+"$F;@!'8R"</f>
        <v>#VALUE!</v>
      </c>
      <c r="EK130" t="e">
        <f>'All regions'!G3594+"$F;@!'8S"</f>
        <v>#VALUE!</v>
      </c>
      <c r="EL130" t="e">
        <f>'All regions'!H3594+"$F;@!'8T"</f>
        <v>#VALUE!</v>
      </c>
      <c r="EM130" t="e">
        <f>'All regions'!I3594+"$F;@!'8U"</f>
        <v>#VALUE!</v>
      </c>
      <c r="EN130" t="e">
        <f>'All regions'!A3595+"$F;@!'8V"</f>
        <v>#VALUE!</v>
      </c>
      <c r="EO130" t="e">
        <f>'All regions'!B3595+"$F;@!'8W"</f>
        <v>#VALUE!</v>
      </c>
      <c r="EP130" t="e">
        <f>'All regions'!C3595+"$F;@!'8X"</f>
        <v>#VALUE!</v>
      </c>
      <c r="EQ130" t="e">
        <f>'All regions'!D3595+"$F;@!'8Y"</f>
        <v>#VALUE!</v>
      </c>
      <c r="ER130" t="e">
        <f>'All regions'!E3595+"$F;@!'8Z"</f>
        <v>#VALUE!</v>
      </c>
      <c r="ES130" t="e">
        <f>'All regions'!F3595+"$F;@!'8["</f>
        <v>#VALUE!</v>
      </c>
      <c r="ET130" t="e">
        <f>'All regions'!G3595+"$F;@!'8\"</f>
        <v>#VALUE!</v>
      </c>
      <c r="EU130" t="e">
        <f>'All regions'!H3595+"$F;@!'8]"</f>
        <v>#VALUE!</v>
      </c>
      <c r="EV130" t="e">
        <f>'All regions'!I3595+"$F;@!'8^"</f>
        <v>#VALUE!</v>
      </c>
      <c r="EW130" t="e">
        <f>'All regions'!A3596+"$F;@!'8_"</f>
        <v>#VALUE!</v>
      </c>
      <c r="EX130" t="e">
        <f>'All regions'!B3596+"$F;@!'8`"</f>
        <v>#VALUE!</v>
      </c>
      <c r="EY130" t="e">
        <f>'All regions'!C3596+"$F;@!'8a"</f>
        <v>#VALUE!</v>
      </c>
      <c r="EZ130" t="e">
        <f>'All regions'!D3596+"$F;@!'8b"</f>
        <v>#VALUE!</v>
      </c>
      <c r="FA130" t="e">
        <f>'All regions'!E3596+"$F;@!'8c"</f>
        <v>#VALUE!</v>
      </c>
      <c r="FB130" t="e">
        <f>'All regions'!F3596+"$F;@!'8d"</f>
        <v>#VALUE!</v>
      </c>
      <c r="FC130" t="e">
        <f>'All regions'!G3596+"$F;@!'8e"</f>
        <v>#VALUE!</v>
      </c>
      <c r="FD130" t="e">
        <f>'All regions'!H3596+"$F;@!'8f"</f>
        <v>#VALUE!</v>
      </c>
      <c r="FE130" t="e">
        <f>'All regions'!I3596+"$F;@!'8g"</f>
        <v>#VALUE!</v>
      </c>
      <c r="FF130" t="e">
        <f>'All regions'!A3597+"$F;@!'8h"</f>
        <v>#VALUE!</v>
      </c>
      <c r="FG130" t="e">
        <f>'All regions'!B3597+"$F;@!'8i"</f>
        <v>#VALUE!</v>
      </c>
      <c r="FH130" t="e">
        <f>'All regions'!C3597+"$F;@!'8j"</f>
        <v>#VALUE!</v>
      </c>
      <c r="FI130" t="e">
        <f>'All regions'!D3597+"$F;@!'8k"</f>
        <v>#VALUE!</v>
      </c>
      <c r="FJ130" t="e">
        <f>'All regions'!E3597+"$F;@!'8l"</f>
        <v>#VALUE!</v>
      </c>
      <c r="FK130" t="e">
        <f>'All regions'!F3597+"$F;@!'8m"</f>
        <v>#VALUE!</v>
      </c>
      <c r="FL130" t="e">
        <f>'All regions'!G3597+"$F;@!'8n"</f>
        <v>#VALUE!</v>
      </c>
      <c r="FM130" t="e">
        <f>'All regions'!H3597+"$F;@!'8o"</f>
        <v>#VALUE!</v>
      </c>
      <c r="FN130" t="e">
        <f>'All regions'!I3597+"$F;@!'8p"</f>
        <v>#VALUE!</v>
      </c>
      <c r="FO130" t="e">
        <f>'All regions'!A3598+"$F;@!'8q"</f>
        <v>#VALUE!</v>
      </c>
      <c r="FP130" t="e">
        <f>'All regions'!B3598+"$F;@!'8r"</f>
        <v>#VALUE!</v>
      </c>
      <c r="FQ130" t="e">
        <f>'All regions'!C3598+"$F;@!'8s"</f>
        <v>#VALUE!</v>
      </c>
      <c r="FR130" t="e">
        <f>'All regions'!D3598+"$F;@!'8t"</f>
        <v>#VALUE!</v>
      </c>
      <c r="FS130" t="e">
        <f>'All regions'!E3598+"$F;@!'8u"</f>
        <v>#VALUE!</v>
      </c>
      <c r="FT130" t="e">
        <f>'All regions'!F3598+"$F;@!'8v"</f>
        <v>#VALUE!</v>
      </c>
      <c r="FU130" t="e">
        <f>'All regions'!G3598+"$F;@!'8w"</f>
        <v>#VALUE!</v>
      </c>
      <c r="FV130" t="e">
        <f>'All regions'!H3598+"$F;@!'8x"</f>
        <v>#VALUE!</v>
      </c>
      <c r="FW130" t="e">
        <f>'All regions'!I3598+"$F;@!'8y"</f>
        <v>#VALUE!</v>
      </c>
      <c r="FX130" t="e">
        <f>'All regions'!A3599+"$F;@!'8z"</f>
        <v>#VALUE!</v>
      </c>
      <c r="FY130" t="e">
        <f>'All regions'!B3599+"$F;@!'8{"</f>
        <v>#VALUE!</v>
      </c>
      <c r="FZ130" t="e">
        <f>'All regions'!C3599+"$F;@!'8|"</f>
        <v>#VALUE!</v>
      </c>
      <c r="GA130" t="e">
        <f>'All regions'!D3599+"$F;@!'8}"</f>
        <v>#VALUE!</v>
      </c>
      <c r="GB130" t="e">
        <f>'All regions'!E3599+"$F;@!'8~"</f>
        <v>#VALUE!</v>
      </c>
      <c r="GC130" t="e">
        <f>'All regions'!F3599+"$F;@!'9#"</f>
        <v>#VALUE!</v>
      </c>
      <c r="GD130" t="e">
        <f>'All regions'!G3599+"$F;@!'9$"</f>
        <v>#VALUE!</v>
      </c>
      <c r="GE130" t="e">
        <f>'All regions'!H3599+"$F;@!'9%"</f>
        <v>#VALUE!</v>
      </c>
      <c r="GF130" t="e">
        <f>'All regions'!I3599+"$F;@!'9&amp;"</f>
        <v>#VALUE!</v>
      </c>
      <c r="GG130" t="e">
        <f>'All regions'!A3600+"$F;@!'9'"</f>
        <v>#VALUE!</v>
      </c>
      <c r="GH130" t="e">
        <f>'All regions'!B3600+"$F;@!'9("</f>
        <v>#VALUE!</v>
      </c>
      <c r="GI130" t="e">
        <f>'All regions'!C3600+"$F;@!'9)"</f>
        <v>#VALUE!</v>
      </c>
      <c r="GJ130" t="e">
        <f>'All regions'!D3600+"$F;@!'9."</f>
        <v>#VALUE!</v>
      </c>
      <c r="GK130" t="e">
        <f>'All regions'!E3600+"$F;@!'9/"</f>
        <v>#VALUE!</v>
      </c>
      <c r="GL130" t="e">
        <f>'All regions'!F3600+"$F;@!'90"</f>
        <v>#VALUE!</v>
      </c>
      <c r="GM130" t="e">
        <f>'All regions'!G3600+"$F;@!'91"</f>
        <v>#VALUE!</v>
      </c>
      <c r="GN130" t="e">
        <f>'All regions'!H3600+"$F;@!'92"</f>
        <v>#VALUE!</v>
      </c>
      <c r="GO130" t="e">
        <f>'All regions'!I3600+"$F;@!'93"</f>
        <v>#VALUE!</v>
      </c>
      <c r="GP130" t="e">
        <f>'All regions'!A3601+"$F;@!'94"</f>
        <v>#VALUE!</v>
      </c>
      <c r="GQ130" t="e">
        <f>'All regions'!B3601+"$F;@!'95"</f>
        <v>#VALUE!</v>
      </c>
      <c r="GR130" t="e">
        <f>'All regions'!C3601+"$F;@!'96"</f>
        <v>#VALUE!</v>
      </c>
      <c r="GS130" t="e">
        <f>'All regions'!D3601+"$F;@!'97"</f>
        <v>#VALUE!</v>
      </c>
      <c r="GT130" t="e">
        <f>'All regions'!E3601+"$F;@!'98"</f>
        <v>#VALUE!</v>
      </c>
      <c r="GU130" t="e">
        <f>'All regions'!F3601+"$F;@!'99"</f>
        <v>#VALUE!</v>
      </c>
      <c r="GV130" t="e">
        <f>'All regions'!G3601+"$F;@!'9:"</f>
        <v>#VALUE!</v>
      </c>
      <c r="GW130" t="e">
        <f>'All regions'!H3601+"$F;@!'9;"</f>
        <v>#VALUE!</v>
      </c>
      <c r="GX130" t="e">
        <f>'All regions'!I3601+"$F;@!'9&lt;"</f>
        <v>#VALUE!</v>
      </c>
      <c r="GY130" t="e">
        <f>'All regions'!A3602+"$F;@!'9="</f>
        <v>#VALUE!</v>
      </c>
      <c r="GZ130" t="e">
        <f>'All regions'!B3602+"$F;@!'9&gt;"</f>
        <v>#VALUE!</v>
      </c>
      <c r="HA130" t="e">
        <f>'All regions'!C3602+"$F;@!'9?"</f>
        <v>#VALUE!</v>
      </c>
      <c r="HB130" t="e">
        <f>'All regions'!D3602+"$F;@!'9@"</f>
        <v>#VALUE!</v>
      </c>
      <c r="HC130" t="e">
        <f>'All regions'!E3602+"$F;@!'9A"</f>
        <v>#VALUE!</v>
      </c>
      <c r="HD130" t="e">
        <f>'All regions'!F3602+"$F;@!'9B"</f>
        <v>#VALUE!</v>
      </c>
      <c r="HE130" t="e">
        <f>'All regions'!G3602+"$F;@!'9C"</f>
        <v>#VALUE!</v>
      </c>
      <c r="HF130" t="e">
        <f>'All regions'!H3602+"$F;@!'9D"</f>
        <v>#VALUE!</v>
      </c>
      <c r="HG130" t="e">
        <f>'All regions'!I3602+"$F;@!'9E"</f>
        <v>#VALUE!</v>
      </c>
      <c r="HH130" t="e">
        <f>'All regions'!A3603+"$F;@!'9F"</f>
        <v>#VALUE!</v>
      </c>
      <c r="HI130" t="e">
        <f>'All regions'!B3603+"$F;@!'9G"</f>
        <v>#VALUE!</v>
      </c>
      <c r="HJ130" t="e">
        <f>'All regions'!C3603+"$F;@!'9H"</f>
        <v>#VALUE!</v>
      </c>
      <c r="HK130" t="e">
        <f>'All regions'!D3603+"$F;@!'9I"</f>
        <v>#VALUE!</v>
      </c>
      <c r="HL130" t="e">
        <f>'All regions'!E3603+"$F;@!'9J"</f>
        <v>#VALUE!</v>
      </c>
      <c r="HM130" t="e">
        <f>'All regions'!F3603+"$F;@!'9K"</f>
        <v>#VALUE!</v>
      </c>
      <c r="HN130" t="e">
        <f>'All regions'!G3603+"$F;@!'9L"</f>
        <v>#VALUE!</v>
      </c>
      <c r="HO130" t="e">
        <f>'All regions'!H3603+"$F;@!'9M"</f>
        <v>#VALUE!</v>
      </c>
      <c r="HP130" t="e">
        <f>'All regions'!I3603+"$F;@!'9N"</f>
        <v>#VALUE!</v>
      </c>
      <c r="HQ130" t="e">
        <f>'All regions'!A3604+"$F;@!'9O"</f>
        <v>#VALUE!</v>
      </c>
      <c r="HR130" t="e">
        <f>'All regions'!B3604+"$F;@!'9P"</f>
        <v>#VALUE!</v>
      </c>
      <c r="HS130" t="e">
        <f>'All regions'!C3604+"$F;@!'9Q"</f>
        <v>#VALUE!</v>
      </c>
      <c r="HT130" t="e">
        <f>'All regions'!D3604+"$F;@!'9R"</f>
        <v>#VALUE!</v>
      </c>
      <c r="HU130" t="e">
        <f>'All regions'!E3604+"$F;@!'9S"</f>
        <v>#VALUE!</v>
      </c>
      <c r="HV130" t="e">
        <f>'All regions'!F3604+"$F;@!'9T"</f>
        <v>#VALUE!</v>
      </c>
      <c r="HW130" t="e">
        <f>'All regions'!G3604+"$F;@!'9U"</f>
        <v>#VALUE!</v>
      </c>
      <c r="HX130" t="e">
        <f>'All regions'!H3604+"$F;@!'9V"</f>
        <v>#VALUE!</v>
      </c>
      <c r="HY130" t="e">
        <f>'All regions'!I3604+"$F;@!'9W"</f>
        <v>#VALUE!</v>
      </c>
      <c r="HZ130" t="e">
        <f>'All regions'!A3605+"$F;@!'9X"</f>
        <v>#VALUE!</v>
      </c>
      <c r="IA130" t="e">
        <f>'All regions'!B3605+"$F;@!'9Y"</f>
        <v>#VALUE!</v>
      </c>
      <c r="IB130" t="e">
        <f>'All regions'!C3605+"$F;@!'9Z"</f>
        <v>#VALUE!</v>
      </c>
      <c r="IC130" t="e">
        <f>'All regions'!D3605+"$F;@!'9["</f>
        <v>#VALUE!</v>
      </c>
      <c r="ID130" t="e">
        <f>'All regions'!E3605+"$F;@!'9\"</f>
        <v>#VALUE!</v>
      </c>
      <c r="IE130" t="e">
        <f>'All regions'!F3605+"$F;@!'9]"</f>
        <v>#VALUE!</v>
      </c>
      <c r="IF130" t="e">
        <f>'All regions'!G3605+"$F;@!'9^"</f>
        <v>#VALUE!</v>
      </c>
      <c r="IG130" t="e">
        <f>'All regions'!H3605+"$F;@!'9_"</f>
        <v>#VALUE!</v>
      </c>
      <c r="IH130" t="e">
        <f>'All regions'!I3605+"$F;@!'9`"</f>
        <v>#VALUE!</v>
      </c>
      <c r="II130" t="e">
        <f>'All regions'!A3606+"$F;@!'9a"</f>
        <v>#VALUE!</v>
      </c>
      <c r="IJ130" t="e">
        <f>'All regions'!B3606+"$F;@!'9b"</f>
        <v>#VALUE!</v>
      </c>
      <c r="IK130" t="e">
        <f>'All regions'!C3606+"$F;@!'9c"</f>
        <v>#VALUE!</v>
      </c>
      <c r="IL130" t="e">
        <f>'All regions'!D3606+"$F;@!'9d"</f>
        <v>#VALUE!</v>
      </c>
      <c r="IM130" t="e">
        <f>'All regions'!E3606+"$F;@!'9e"</f>
        <v>#VALUE!</v>
      </c>
      <c r="IN130" t="e">
        <f>'All regions'!F3606+"$F;@!'9f"</f>
        <v>#VALUE!</v>
      </c>
      <c r="IO130" t="e">
        <f>'All regions'!G3606+"$F;@!'9g"</f>
        <v>#VALUE!</v>
      </c>
      <c r="IP130" t="e">
        <f>'All regions'!H3606+"$F;@!'9h"</f>
        <v>#VALUE!</v>
      </c>
      <c r="IQ130" t="e">
        <f>'All regions'!I3606+"$F;@!'9i"</f>
        <v>#VALUE!</v>
      </c>
      <c r="IR130" t="e">
        <f>'All regions'!A3607+"$F;@!'9j"</f>
        <v>#VALUE!</v>
      </c>
      <c r="IS130" t="e">
        <f>'All regions'!B3607+"$F;@!'9k"</f>
        <v>#VALUE!</v>
      </c>
      <c r="IT130" t="e">
        <f>'All regions'!C3607+"$F;@!'9l"</f>
        <v>#VALUE!</v>
      </c>
      <c r="IU130" t="e">
        <f>'All regions'!D3607+"$F;@!'9m"</f>
        <v>#VALUE!</v>
      </c>
      <c r="IV130" t="e">
        <f>'All regions'!E3607+"$F;@!'9n"</f>
        <v>#VALUE!</v>
      </c>
    </row>
    <row r="131" spans="6:256" x14ac:dyDescent="0.35">
      <c r="F131" t="e">
        <f>'All regions'!F3607+"$F;@!'9o"</f>
        <v>#VALUE!</v>
      </c>
      <c r="G131" t="e">
        <f>'All regions'!G3607+"$F;@!'9p"</f>
        <v>#VALUE!</v>
      </c>
      <c r="H131" t="e">
        <f>'All regions'!H3607+"$F;@!'9q"</f>
        <v>#VALUE!</v>
      </c>
      <c r="I131" t="e">
        <f>'All regions'!I3607+"$F;@!'9r"</f>
        <v>#VALUE!</v>
      </c>
      <c r="J131" t="e">
        <f>'All regions'!A3608+"$F;@!'9s"</f>
        <v>#VALUE!</v>
      </c>
      <c r="K131" t="e">
        <f>'All regions'!B3608+"$F;@!'9t"</f>
        <v>#VALUE!</v>
      </c>
      <c r="L131" t="e">
        <f>'All regions'!C3608+"$F;@!'9u"</f>
        <v>#VALUE!</v>
      </c>
      <c r="M131" t="e">
        <f>'All regions'!D3608+"$F;@!'9v"</f>
        <v>#VALUE!</v>
      </c>
      <c r="N131" t="e">
        <f>'All regions'!E3608+"$F;@!'9w"</f>
        <v>#VALUE!</v>
      </c>
      <c r="O131" t="e">
        <f>'All regions'!F3608+"$F;@!'9x"</f>
        <v>#VALUE!</v>
      </c>
      <c r="P131" t="e">
        <f>'All regions'!G3608+"$F;@!'9y"</f>
        <v>#VALUE!</v>
      </c>
      <c r="Q131" t="e">
        <f>'All regions'!H3608+"$F;@!'9z"</f>
        <v>#VALUE!</v>
      </c>
      <c r="R131" t="e">
        <f>'All regions'!I3608+"$F;@!'9{"</f>
        <v>#VALUE!</v>
      </c>
      <c r="S131" t="e">
        <f>'All regions'!A3609+"$F;@!'9|"</f>
        <v>#VALUE!</v>
      </c>
      <c r="T131" t="e">
        <f>'All regions'!B3609+"$F;@!'9}"</f>
        <v>#VALUE!</v>
      </c>
      <c r="U131" t="e">
        <f>'All regions'!C3609+"$F;@!'9~"</f>
        <v>#VALUE!</v>
      </c>
      <c r="V131" t="e">
        <f>'All regions'!D3609+"$F;@!':#"</f>
        <v>#VALUE!</v>
      </c>
      <c r="W131" t="e">
        <f>'All regions'!E3609+"$F;@!':$"</f>
        <v>#VALUE!</v>
      </c>
      <c r="X131" t="e">
        <f>'All regions'!F3609+"$F;@!':%"</f>
        <v>#VALUE!</v>
      </c>
      <c r="Y131" t="e">
        <f>'All regions'!G3609+"$F;@!':&amp;"</f>
        <v>#VALUE!</v>
      </c>
      <c r="Z131" t="e">
        <f>'All regions'!H3609+"$F;@!':'"</f>
        <v>#VALUE!</v>
      </c>
      <c r="AA131" t="e">
        <f>'All regions'!I3609+"$F;@!':("</f>
        <v>#VALUE!</v>
      </c>
      <c r="AB131" t="e">
        <f>'All regions'!A3610+"$F;@!':)"</f>
        <v>#VALUE!</v>
      </c>
      <c r="AC131" t="e">
        <f>'All regions'!B3610+"$F;@!':."</f>
        <v>#VALUE!</v>
      </c>
      <c r="AD131" t="e">
        <f>'All regions'!C3610+"$F;@!':/"</f>
        <v>#VALUE!</v>
      </c>
      <c r="AE131" t="e">
        <f>'All regions'!D3610+"$F;@!':0"</f>
        <v>#VALUE!</v>
      </c>
      <c r="AF131" t="e">
        <f>'All regions'!E3610+"$F;@!':1"</f>
        <v>#VALUE!</v>
      </c>
      <c r="AG131" t="e">
        <f>'All regions'!F3610+"$F;@!':2"</f>
        <v>#VALUE!</v>
      </c>
      <c r="AH131" t="e">
        <f>'All regions'!G3610+"$F;@!':3"</f>
        <v>#VALUE!</v>
      </c>
      <c r="AI131" t="e">
        <f>'All regions'!H3610+"$F;@!':4"</f>
        <v>#VALUE!</v>
      </c>
      <c r="AJ131" t="e">
        <f>'All regions'!I3610+"$F;@!':5"</f>
        <v>#VALUE!</v>
      </c>
      <c r="AK131" t="e">
        <f>'All regions'!A3611+"$F;@!':6"</f>
        <v>#VALUE!</v>
      </c>
      <c r="AL131" t="e">
        <f>'All regions'!B3611+"$F;@!':7"</f>
        <v>#VALUE!</v>
      </c>
      <c r="AM131" t="e">
        <f>'All regions'!C3611+"$F;@!':8"</f>
        <v>#VALUE!</v>
      </c>
      <c r="AN131" t="e">
        <f>'All regions'!D3611+"$F;@!':9"</f>
        <v>#VALUE!</v>
      </c>
      <c r="AO131" t="e">
        <f>'All regions'!E3611+"$F;@!'::"</f>
        <v>#VALUE!</v>
      </c>
      <c r="AP131" t="e">
        <f>'All regions'!F3611+"$F;@!':;"</f>
        <v>#VALUE!</v>
      </c>
      <c r="AQ131" t="e">
        <f>'All regions'!G3611+"$F;@!':&lt;"</f>
        <v>#VALUE!</v>
      </c>
      <c r="AR131" t="e">
        <f>'All regions'!H3611+"$F;@!':="</f>
        <v>#VALUE!</v>
      </c>
      <c r="AS131" t="e">
        <f>'All regions'!I3611+"$F;@!':&gt;"</f>
        <v>#VALUE!</v>
      </c>
      <c r="AT131" t="e">
        <f>'All regions'!A3612+"$F;@!':?"</f>
        <v>#VALUE!</v>
      </c>
      <c r="AU131" t="e">
        <f>'All regions'!B3612+"$F;@!':@"</f>
        <v>#VALUE!</v>
      </c>
      <c r="AV131" t="e">
        <f>'All regions'!C3612+"$F;@!':A"</f>
        <v>#VALUE!</v>
      </c>
      <c r="AW131" t="e">
        <f>'All regions'!D3612+"$F;@!':B"</f>
        <v>#VALUE!</v>
      </c>
      <c r="AX131" t="e">
        <f>'All regions'!E3612+"$F;@!':C"</f>
        <v>#VALUE!</v>
      </c>
      <c r="AY131" t="e">
        <f>'All regions'!F3612+"$F;@!':D"</f>
        <v>#VALUE!</v>
      </c>
      <c r="AZ131" t="e">
        <f>'All regions'!G3612+"$F;@!':E"</f>
        <v>#VALUE!</v>
      </c>
      <c r="BA131" t="e">
        <f>'All regions'!H3612+"$F;@!':F"</f>
        <v>#VALUE!</v>
      </c>
      <c r="BB131" t="e">
        <f>'All regions'!I3612+"$F;@!':G"</f>
        <v>#VALUE!</v>
      </c>
      <c r="BC131" t="e">
        <f>'All regions'!A3613+"$F;@!':H"</f>
        <v>#VALUE!</v>
      </c>
      <c r="BD131" t="e">
        <f>'All regions'!B3613+"$F;@!':I"</f>
        <v>#VALUE!</v>
      </c>
      <c r="BE131" t="e">
        <f>'All regions'!C3613+"$F;@!':J"</f>
        <v>#VALUE!</v>
      </c>
      <c r="BF131" t="e">
        <f>'All regions'!D3613+"$F;@!':K"</f>
        <v>#VALUE!</v>
      </c>
      <c r="BG131" t="e">
        <f>'All regions'!E3613+"$F;@!':L"</f>
        <v>#VALUE!</v>
      </c>
      <c r="BH131" t="e">
        <f>'All regions'!F3613+"$F;@!':M"</f>
        <v>#VALUE!</v>
      </c>
      <c r="BI131" t="e">
        <f>'All regions'!G3613+"$F;@!':N"</f>
        <v>#VALUE!</v>
      </c>
      <c r="BJ131" t="e">
        <f>'All regions'!H3613+"$F;@!':O"</f>
        <v>#VALUE!</v>
      </c>
      <c r="BK131" t="e">
        <f>'All regions'!I3613+"$F;@!':P"</f>
        <v>#VALUE!</v>
      </c>
      <c r="BL131" t="e">
        <f>'All regions'!A3614+"$F;@!':Q"</f>
        <v>#VALUE!</v>
      </c>
      <c r="BM131" t="e">
        <f>'All regions'!B3614+"$F;@!':R"</f>
        <v>#VALUE!</v>
      </c>
      <c r="BN131" t="e">
        <f>'All regions'!C3614+"$F;@!':S"</f>
        <v>#VALUE!</v>
      </c>
      <c r="BO131" t="e">
        <f>'All regions'!D3614+"$F;@!':T"</f>
        <v>#VALUE!</v>
      </c>
      <c r="BP131" t="e">
        <f>'All regions'!E3614+"$F;@!':U"</f>
        <v>#VALUE!</v>
      </c>
      <c r="BQ131" t="e">
        <f>'All regions'!F3614+"$F;@!':V"</f>
        <v>#VALUE!</v>
      </c>
      <c r="BR131" t="e">
        <f>'All regions'!G3614+"$F;@!':W"</f>
        <v>#VALUE!</v>
      </c>
      <c r="BS131" t="e">
        <f>'All regions'!H3614+"$F;@!':X"</f>
        <v>#VALUE!</v>
      </c>
      <c r="BT131" t="e">
        <f>'All regions'!I3614+"$F;@!':Y"</f>
        <v>#VALUE!</v>
      </c>
      <c r="BU131" t="e">
        <f>'All regions'!A3615+"$F;@!':Z"</f>
        <v>#VALUE!</v>
      </c>
      <c r="BV131" t="e">
        <f>'All regions'!B3615+"$F;@!':["</f>
        <v>#VALUE!</v>
      </c>
      <c r="BW131" t="e">
        <f>'All regions'!C3615+"$F;@!':\"</f>
        <v>#VALUE!</v>
      </c>
      <c r="BX131" t="e">
        <f>'All regions'!D3615+"$F;@!':]"</f>
        <v>#VALUE!</v>
      </c>
      <c r="BY131" t="e">
        <f>'All regions'!E3615+"$F;@!':^"</f>
        <v>#VALUE!</v>
      </c>
      <c r="BZ131" t="e">
        <f>'All regions'!F3615+"$F;@!':_"</f>
        <v>#VALUE!</v>
      </c>
      <c r="CA131" t="e">
        <f>'All regions'!G3615+"$F;@!':`"</f>
        <v>#VALUE!</v>
      </c>
      <c r="CB131" t="e">
        <f>'All regions'!H3615+"$F;@!':a"</f>
        <v>#VALUE!</v>
      </c>
      <c r="CC131" t="e">
        <f>'All regions'!I3615+"$F;@!':b"</f>
        <v>#VALUE!</v>
      </c>
      <c r="CD131" t="e">
        <f>'All regions'!A3616+"$F;@!':c"</f>
        <v>#VALUE!</v>
      </c>
      <c r="CE131" t="e">
        <f>'All regions'!B3616+"$F;@!':d"</f>
        <v>#VALUE!</v>
      </c>
      <c r="CF131" t="e">
        <f>'All regions'!C3616+"$F;@!':e"</f>
        <v>#VALUE!</v>
      </c>
      <c r="CG131" t="e">
        <f>'All regions'!D3616+"$F;@!':f"</f>
        <v>#VALUE!</v>
      </c>
      <c r="CH131" t="e">
        <f>'All regions'!E3616+"$F;@!':g"</f>
        <v>#VALUE!</v>
      </c>
      <c r="CI131" t="e">
        <f>'All regions'!F3616+"$F;@!':h"</f>
        <v>#VALUE!</v>
      </c>
      <c r="CJ131" t="e">
        <f>'All regions'!G3616+"$F;@!':i"</f>
        <v>#VALUE!</v>
      </c>
      <c r="CK131" t="e">
        <f>'All regions'!H3616+"$F;@!':j"</f>
        <v>#VALUE!</v>
      </c>
      <c r="CL131" t="e">
        <f>'All regions'!I3616+"$F;@!':k"</f>
        <v>#VALUE!</v>
      </c>
      <c r="CM131" t="e">
        <f>'All regions'!A3617+"$F;@!':l"</f>
        <v>#VALUE!</v>
      </c>
      <c r="CN131" t="e">
        <f>'All regions'!B3617+"$F;@!':m"</f>
        <v>#VALUE!</v>
      </c>
      <c r="CO131" t="e">
        <f>'All regions'!C3617+"$F;@!':n"</f>
        <v>#VALUE!</v>
      </c>
      <c r="CP131" t="e">
        <f>'All regions'!D3617+"$F;@!':o"</f>
        <v>#VALUE!</v>
      </c>
      <c r="CQ131" t="e">
        <f>'All regions'!E3617+"$F;@!':p"</f>
        <v>#VALUE!</v>
      </c>
      <c r="CR131" t="e">
        <f>'All regions'!F3617+"$F;@!':q"</f>
        <v>#VALUE!</v>
      </c>
      <c r="CS131" t="e">
        <f>'All regions'!G3617+"$F;@!':r"</f>
        <v>#VALUE!</v>
      </c>
      <c r="CT131" t="e">
        <f>'All regions'!H3617+"$F;@!':s"</f>
        <v>#VALUE!</v>
      </c>
      <c r="CU131" t="e">
        <f>'All regions'!I3617+"$F;@!':t"</f>
        <v>#VALUE!</v>
      </c>
      <c r="CV131" t="e">
        <f>'All regions'!A3618+"$F;@!':u"</f>
        <v>#VALUE!</v>
      </c>
      <c r="CW131" t="e">
        <f>'All regions'!B3618+"$F;@!':v"</f>
        <v>#VALUE!</v>
      </c>
      <c r="CX131" t="e">
        <f>'All regions'!C3618+"$F;@!':w"</f>
        <v>#VALUE!</v>
      </c>
      <c r="CY131" t="e">
        <f>'All regions'!D3618+"$F;@!':x"</f>
        <v>#VALUE!</v>
      </c>
      <c r="CZ131" t="e">
        <f>'All regions'!E3618+"$F;@!':y"</f>
        <v>#VALUE!</v>
      </c>
      <c r="DA131" t="e">
        <f>'All regions'!F3618+"$F;@!':z"</f>
        <v>#VALUE!</v>
      </c>
      <c r="DB131" t="e">
        <f>'All regions'!G3618+"$F;@!':{"</f>
        <v>#VALUE!</v>
      </c>
      <c r="DC131" t="e">
        <f>'All regions'!H3618+"$F;@!':|"</f>
        <v>#VALUE!</v>
      </c>
      <c r="DD131" t="e">
        <f>'All regions'!I3618+"$F;@!':}"</f>
        <v>#VALUE!</v>
      </c>
      <c r="DE131" t="e">
        <f>'All regions'!A3619+"$F;@!':~"</f>
        <v>#VALUE!</v>
      </c>
      <c r="DF131" t="e">
        <f>'All regions'!B3619+"$F;@!';#"</f>
        <v>#VALUE!</v>
      </c>
      <c r="DG131" t="e">
        <f>'All regions'!C3619+"$F;@!';$"</f>
        <v>#VALUE!</v>
      </c>
      <c r="DH131" t="e">
        <f>'All regions'!D3619+"$F;@!';%"</f>
        <v>#VALUE!</v>
      </c>
      <c r="DI131" t="e">
        <f>'All regions'!E3619+"$F;@!';&amp;"</f>
        <v>#VALUE!</v>
      </c>
      <c r="DJ131" t="e">
        <f>'All regions'!F3619+"$F;@!';'"</f>
        <v>#VALUE!</v>
      </c>
      <c r="DK131" t="e">
        <f>'All regions'!G3619+"$F;@!';("</f>
        <v>#VALUE!</v>
      </c>
      <c r="DL131" t="e">
        <f>'All regions'!H3619+"$F;@!';)"</f>
        <v>#VALUE!</v>
      </c>
      <c r="DM131" t="e">
        <f>'All regions'!I3619+"$F;@!';."</f>
        <v>#VALUE!</v>
      </c>
      <c r="DN131" t="e">
        <f>'All regions'!A3620+"$F;@!';/"</f>
        <v>#VALUE!</v>
      </c>
      <c r="DO131" t="e">
        <f>'All regions'!B3620+"$F;@!';0"</f>
        <v>#VALUE!</v>
      </c>
      <c r="DP131" t="e">
        <f>'All regions'!C3620+"$F;@!';1"</f>
        <v>#VALUE!</v>
      </c>
      <c r="DQ131" t="e">
        <f>'All regions'!D3620+"$F;@!';2"</f>
        <v>#VALUE!</v>
      </c>
      <c r="DR131" t="e">
        <f>'All regions'!E3620+"$F;@!';3"</f>
        <v>#VALUE!</v>
      </c>
      <c r="DS131" t="e">
        <f>'All regions'!F3620+"$F;@!';4"</f>
        <v>#VALUE!</v>
      </c>
      <c r="DT131" t="e">
        <f>'All regions'!G3620+"$F;@!';5"</f>
        <v>#VALUE!</v>
      </c>
      <c r="DU131" t="e">
        <f>'All regions'!H3620+"$F;@!';6"</f>
        <v>#VALUE!</v>
      </c>
      <c r="DV131" t="e">
        <f>'All regions'!I3620+"$F;@!';7"</f>
        <v>#VALUE!</v>
      </c>
      <c r="DW131" t="e">
        <f>'All regions'!A3621+"$F;@!';8"</f>
        <v>#VALUE!</v>
      </c>
      <c r="DX131" t="e">
        <f>'All regions'!B3621+"$F;@!';9"</f>
        <v>#VALUE!</v>
      </c>
      <c r="DY131" t="e">
        <f>'All regions'!C3621+"$F;@!';:"</f>
        <v>#VALUE!</v>
      </c>
      <c r="DZ131" t="e">
        <f>'All regions'!D3621+"$F;@!';;"</f>
        <v>#VALUE!</v>
      </c>
      <c r="EA131" t="e">
        <f>'All regions'!E3621+"$F;@!';&lt;"</f>
        <v>#VALUE!</v>
      </c>
      <c r="EB131" t="e">
        <f>'All regions'!F3621+"$F;@!';="</f>
        <v>#VALUE!</v>
      </c>
      <c r="EC131" t="e">
        <f>'All regions'!G3621+"$F;@!';&gt;"</f>
        <v>#VALUE!</v>
      </c>
      <c r="ED131" t="e">
        <f>'All regions'!H3621+"$F;@!';?"</f>
        <v>#VALUE!</v>
      </c>
      <c r="EE131" t="e">
        <f>'All regions'!I3621+"$F;@!';@"</f>
        <v>#VALUE!</v>
      </c>
      <c r="EF131" t="e">
        <f>'All regions'!A3622+"$F;@!';A"</f>
        <v>#VALUE!</v>
      </c>
      <c r="EG131" t="e">
        <f>'All regions'!B3622+"$F;@!';B"</f>
        <v>#VALUE!</v>
      </c>
      <c r="EH131" t="e">
        <f>'All regions'!C3622+"$F;@!';C"</f>
        <v>#VALUE!</v>
      </c>
      <c r="EI131" t="e">
        <f>'All regions'!D3622+"$F;@!';D"</f>
        <v>#VALUE!</v>
      </c>
      <c r="EJ131" t="e">
        <f>'All regions'!E3622+"$F;@!';E"</f>
        <v>#VALUE!</v>
      </c>
      <c r="EK131" t="e">
        <f>'All regions'!F3622+"$F;@!';F"</f>
        <v>#VALUE!</v>
      </c>
      <c r="EL131" t="e">
        <f>'All regions'!G3622+"$F;@!';G"</f>
        <v>#VALUE!</v>
      </c>
      <c r="EM131" t="e">
        <f>'All regions'!H3622+"$F;@!';H"</f>
        <v>#VALUE!</v>
      </c>
      <c r="EN131" t="e">
        <f>'All regions'!I3622+"$F;@!';I"</f>
        <v>#VALUE!</v>
      </c>
      <c r="EO131" t="e">
        <f>'All regions'!A3623+"$F;@!';J"</f>
        <v>#VALUE!</v>
      </c>
      <c r="EP131" t="e">
        <f>'All regions'!B3623+"$F;@!';K"</f>
        <v>#VALUE!</v>
      </c>
      <c r="EQ131" t="e">
        <f>'All regions'!C3623+"$F;@!';L"</f>
        <v>#VALUE!</v>
      </c>
      <c r="ER131" t="e">
        <f>'All regions'!D3623+"$F;@!';M"</f>
        <v>#VALUE!</v>
      </c>
      <c r="ES131" t="e">
        <f>'All regions'!E3623+"$F;@!';N"</f>
        <v>#VALUE!</v>
      </c>
      <c r="ET131" t="e">
        <f>'All regions'!F3623+"$F;@!';O"</f>
        <v>#VALUE!</v>
      </c>
      <c r="EU131" t="e">
        <f>'All regions'!G3623+"$F;@!';P"</f>
        <v>#VALUE!</v>
      </c>
      <c r="EV131" t="e">
        <f>'All regions'!H3623+"$F;@!';Q"</f>
        <v>#VALUE!</v>
      </c>
      <c r="EW131" t="e">
        <f>'All regions'!I3623+"$F;@!';R"</f>
        <v>#VALUE!</v>
      </c>
      <c r="EX131" t="e">
        <f>'All regions'!A3624+"$F;@!';S"</f>
        <v>#VALUE!</v>
      </c>
      <c r="EY131" t="e">
        <f>'All regions'!B3624+"$F;@!';T"</f>
        <v>#VALUE!</v>
      </c>
      <c r="EZ131" t="e">
        <f>'All regions'!C3624+"$F;@!';U"</f>
        <v>#VALUE!</v>
      </c>
      <c r="FA131" t="e">
        <f>'All regions'!D3624+"$F;@!';V"</f>
        <v>#VALUE!</v>
      </c>
      <c r="FB131" t="e">
        <f>'All regions'!E3624+"$F;@!';W"</f>
        <v>#VALUE!</v>
      </c>
      <c r="FC131" t="e">
        <f>'All regions'!F3624+"$F;@!';X"</f>
        <v>#VALUE!</v>
      </c>
      <c r="FD131" t="e">
        <f>'All regions'!G3624+"$F;@!';Y"</f>
        <v>#VALUE!</v>
      </c>
      <c r="FE131" t="e">
        <f>'All regions'!H3624+"$F;@!';Z"</f>
        <v>#VALUE!</v>
      </c>
      <c r="FF131" t="e">
        <f>'All regions'!I3624+"$F;@!';["</f>
        <v>#VALUE!</v>
      </c>
      <c r="FG131" t="e">
        <f>'All regions'!A3625+"$F;@!';\"</f>
        <v>#VALUE!</v>
      </c>
      <c r="FH131" t="e">
        <f>'All regions'!B3625+"$F;@!';]"</f>
        <v>#VALUE!</v>
      </c>
      <c r="FI131" t="e">
        <f>'All regions'!C3625+"$F;@!';^"</f>
        <v>#VALUE!</v>
      </c>
      <c r="FJ131" t="e">
        <f>'All regions'!D3625+"$F;@!';_"</f>
        <v>#VALUE!</v>
      </c>
      <c r="FK131" t="e">
        <f>'All regions'!E3625+"$F;@!';`"</f>
        <v>#VALUE!</v>
      </c>
      <c r="FL131" t="e">
        <f>'All regions'!F3625+"$F;@!';a"</f>
        <v>#VALUE!</v>
      </c>
      <c r="FM131" t="e">
        <f>'All regions'!G3625+"$F;@!';b"</f>
        <v>#VALUE!</v>
      </c>
      <c r="FN131" t="e">
        <f>'All regions'!H3625+"$F;@!';c"</f>
        <v>#VALUE!</v>
      </c>
      <c r="FO131" t="e">
        <f>'All regions'!I3625+"$F;@!';d"</f>
        <v>#VALUE!</v>
      </c>
      <c r="FP131" t="e">
        <f>'All regions'!A3626+"$F;@!';e"</f>
        <v>#VALUE!</v>
      </c>
      <c r="FQ131" t="e">
        <f>'All regions'!B3626+"$F;@!';f"</f>
        <v>#VALUE!</v>
      </c>
      <c r="FR131" t="e">
        <f>'All regions'!C3626+"$F;@!';g"</f>
        <v>#VALUE!</v>
      </c>
      <c r="FS131" t="e">
        <f>'All regions'!D3626+"$F;@!';h"</f>
        <v>#VALUE!</v>
      </c>
      <c r="FT131" t="e">
        <f>'All regions'!E3626+"$F;@!';i"</f>
        <v>#VALUE!</v>
      </c>
      <c r="FU131" t="e">
        <f>'All regions'!F3626+"$F;@!';j"</f>
        <v>#VALUE!</v>
      </c>
      <c r="FV131" t="e">
        <f>'All regions'!G3626+"$F;@!';k"</f>
        <v>#VALUE!</v>
      </c>
      <c r="FW131" t="e">
        <f>'All regions'!H3626+"$F;@!';l"</f>
        <v>#VALUE!</v>
      </c>
      <c r="FX131" t="e">
        <f>'All regions'!I3626+"$F;@!';m"</f>
        <v>#VALUE!</v>
      </c>
      <c r="FY131" t="e">
        <f>'All regions'!A3627+"$F;@!';n"</f>
        <v>#VALUE!</v>
      </c>
      <c r="FZ131" t="e">
        <f>'All regions'!B3627+"$F;@!';o"</f>
        <v>#VALUE!</v>
      </c>
      <c r="GA131" t="e">
        <f>'All regions'!C3627+"$F;@!';p"</f>
        <v>#VALUE!</v>
      </c>
      <c r="GB131" t="e">
        <f>'All regions'!D3627+"$F;@!';q"</f>
        <v>#VALUE!</v>
      </c>
      <c r="GC131" t="e">
        <f>'All regions'!E3627+"$F;@!';r"</f>
        <v>#VALUE!</v>
      </c>
      <c r="GD131" t="e">
        <f>'All regions'!F3627+"$F;@!';s"</f>
        <v>#VALUE!</v>
      </c>
      <c r="GE131" t="e">
        <f>'All regions'!G3627+"$F;@!';t"</f>
        <v>#VALUE!</v>
      </c>
      <c r="GF131" t="e">
        <f>'All regions'!H3627+"$F;@!';u"</f>
        <v>#VALUE!</v>
      </c>
      <c r="GG131" t="e">
        <f>'All regions'!I3627+"$F;@!';v"</f>
        <v>#VALUE!</v>
      </c>
      <c r="GH131" t="e">
        <f>'All regions'!A3628+"$F;@!';w"</f>
        <v>#VALUE!</v>
      </c>
      <c r="GI131" t="e">
        <f>'All regions'!B3628+"$F;@!';x"</f>
        <v>#VALUE!</v>
      </c>
      <c r="GJ131" t="e">
        <f>'All regions'!C3628+"$F;@!';y"</f>
        <v>#VALUE!</v>
      </c>
      <c r="GK131" t="e">
        <f>'All regions'!D3628+"$F;@!';z"</f>
        <v>#VALUE!</v>
      </c>
      <c r="GL131" t="e">
        <f>'All regions'!E3628+"$F;@!';{"</f>
        <v>#VALUE!</v>
      </c>
      <c r="GM131" t="e">
        <f>'All regions'!F3628+"$F;@!';|"</f>
        <v>#VALUE!</v>
      </c>
      <c r="GN131" t="e">
        <f>'All regions'!G3628+"$F;@!';}"</f>
        <v>#VALUE!</v>
      </c>
      <c r="GO131" t="e">
        <f>'All regions'!H3628+"$F;@!';~"</f>
        <v>#VALUE!</v>
      </c>
      <c r="GP131" t="e">
        <f>'All regions'!I3628+"$F;@!'&lt;#"</f>
        <v>#VALUE!</v>
      </c>
      <c r="GQ131" t="e">
        <f>'All regions'!A3629+"$F;@!'&lt;$"</f>
        <v>#VALUE!</v>
      </c>
      <c r="GR131" t="e">
        <f>'All regions'!B3629+"$F;@!'&lt;%"</f>
        <v>#VALUE!</v>
      </c>
      <c r="GS131" t="e">
        <f>'All regions'!C3629+"$F;@!'&lt;&amp;"</f>
        <v>#VALUE!</v>
      </c>
      <c r="GT131" t="e">
        <f>'All regions'!D3629+"$F;@!'&lt;'"</f>
        <v>#VALUE!</v>
      </c>
      <c r="GU131" t="e">
        <f>'All regions'!E3629+"$F;@!'&lt;("</f>
        <v>#VALUE!</v>
      </c>
      <c r="GV131" t="e">
        <f>'All regions'!F3629+"$F;@!'&lt;)"</f>
        <v>#VALUE!</v>
      </c>
      <c r="GW131" t="e">
        <f>'All regions'!G3629+"$F;@!'&lt;."</f>
        <v>#VALUE!</v>
      </c>
      <c r="GX131" t="e">
        <f>'All regions'!H3629+"$F;@!'&lt;/"</f>
        <v>#VALUE!</v>
      </c>
      <c r="GY131" t="e">
        <f>'All regions'!I3629+"$F;@!'&lt;0"</f>
        <v>#VALUE!</v>
      </c>
      <c r="GZ131" t="e">
        <f>'All regions'!A3630+"$F;@!'&lt;1"</f>
        <v>#VALUE!</v>
      </c>
      <c r="HA131" t="e">
        <f>'All regions'!B3630+"$F;@!'&lt;2"</f>
        <v>#VALUE!</v>
      </c>
      <c r="HB131" t="e">
        <f>'All regions'!C3630+"$F;@!'&lt;3"</f>
        <v>#VALUE!</v>
      </c>
      <c r="HC131" t="e">
        <f>'All regions'!D3630+"$F;@!'&lt;4"</f>
        <v>#VALUE!</v>
      </c>
      <c r="HD131" t="e">
        <f>'All regions'!E3630+"$F;@!'&lt;5"</f>
        <v>#VALUE!</v>
      </c>
      <c r="HE131" t="e">
        <f>'All regions'!F3630+"$F;@!'&lt;6"</f>
        <v>#VALUE!</v>
      </c>
      <c r="HF131" t="e">
        <f>'All regions'!G3630+"$F;@!'&lt;7"</f>
        <v>#VALUE!</v>
      </c>
      <c r="HG131" t="e">
        <f>'All regions'!H3630+"$F;@!'&lt;8"</f>
        <v>#VALUE!</v>
      </c>
      <c r="HH131" t="e">
        <f>'All regions'!I3630+"$F;@!'&lt;9"</f>
        <v>#VALUE!</v>
      </c>
      <c r="HI131" t="e">
        <f>'All regions'!A3631+"$F;@!'&lt;:"</f>
        <v>#VALUE!</v>
      </c>
      <c r="HJ131" t="e">
        <f>'All regions'!B3631+"$F;@!'&lt;;"</f>
        <v>#VALUE!</v>
      </c>
      <c r="HK131" t="e">
        <f>'All regions'!C3631+"$F;@!'&lt;&lt;"</f>
        <v>#VALUE!</v>
      </c>
      <c r="HL131" t="e">
        <f>'All regions'!D3631+"$F;@!'&lt;="</f>
        <v>#VALUE!</v>
      </c>
      <c r="HM131" t="e">
        <f>'All regions'!E3631+"$F;@!'&lt;&gt;"</f>
        <v>#VALUE!</v>
      </c>
      <c r="HN131" t="e">
        <f>'All regions'!F3631+"$F;@!'&lt;?"</f>
        <v>#VALUE!</v>
      </c>
      <c r="HO131" t="e">
        <f>'All regions'!G3631+"$F;@!'&lt;@"</f>
        <v>#VALUE!</v>
      </c>
      <c r="HP131" t="e">
        <f>'All regions'!H3631+"$F;@!'&lt;A"</f>
        <v>#VALUE!</v>
      </c>
      <c r="HQ131" t="e">
        <f>'All regions'!I3631+"$F;@!'&lt;B"</f>
        <v>#VALUE!</v>
      </c>
      <c r="HR131" t="e">
        <f>'All regions'!A3632+"$F;@!'&lt;C"</f>
        <v>#VALUE!</v>
      </c>
      <c r="HS131" t="e">
        <f>'All regions'!B3632+"$F;@!'&lt;D"</f>
        <v>#VALUE!</v>
      </c>
      <c r="HT131" t="e">
        <f>'All regions'!C3632+"$F;@!'&lt;E"</f>
        <v>#VALUE!</v>
      </c>
      <c r="HU131" t="e">
        <f>'All regions'!D3632+"$F;@!'&lt;F"</f>
        <v>#VALUE!</v>
      </c>
      <c r="HV131" t="e">
        <f>'All regions'!E3632+"$F;@!'&lt;G"</f>
        <v>#VALUE!</v>
      </c>
      <c r="HW131" t="e">
        <f>'All regions'!F3632+"$F;@!'&lt;H"</f>
        <v>#VALUE!</v>
      </c>
      <c r="HX131" t="e">
        <f>'All regions'!G3632+"$F;@!'&lt;I"</f>
        <v>#VALUE!</v>
      </c>
      <c r="HY131" t="e">
        <f>'All regions'!H3632+"$F;@!'&lt;J"</f>
        <v>#VALUE!</v>
      </c>
      <c r="HZ131" t="e">
        <f>'All regions'!I3632+"$F;@!'&lt;K"</f>
        <v>#VALUE!</v>
      </c>
      <c r="IA131" t="e">
        <f>'All regions'!A3633+"$F;@!'&lt;L"</f>
        <v>#VALUE!</v>
      </c>
      <c r="IB131" t="e">
        <f>'All regions'!B3633+"$F;@!'&lt;M"</f>
        <v>#VALUE!</v>
      </c>
      <c r="IC131" t="e">
        <f>'All regions'!C3633+"$F;@!'&lt;N"</f>
        <v>#VALUE!</v>
      </c>
      <c r="ID131" t="e">
        <f>'All regions'!D3633+"$F;@!'&lt;O"</f>
        <v>#VALUE!</v>
      </c>
      <c r="IE131" t="e">
        <f>'All regions'!E3633+"$F;@!'&lt;P"</f>
        <v>#VALUE!</v>
      </c>
      <c r="IF131" t="e">
        <f>'All regions'!F3633+"$F;@!'&lt;Q"</f>
        <v>#VALUE!</v>
      </c>
      <c r="IG131" t="e">
        <f>'All regions'!G3633+"$F;@!'&lt;R"</f>
        <v>#VALUE!</v>
      </c>
      <c r="IH131" t="e">
        <f>'All regions'!H3633+"$F;@!'&lt;S"</f>
        <v>#VALUE!</v>
      </c>
      <c r="II131" t="e">
        <f>'All regions'!I3633+"$F;@!'&lt;T"</f>
        <v>#VALUE!</v>
      </c>
      <c r="IJ131" t="e">
        <f>'All regions'!A3634+"$F;@!'&lt;U"</f>
        <v>#VALUE!</v>
      </c>
      <c r="IK131" t="e">
        <f>'All regions'!B3634+"$F;@!'&lt;V"</f>
        <v>#VALUE!</v>
      </c>
      <c r="IL131" t="e">
        <f>'All regions'!C3634+"$F;@!'&lt;W"</f>
        <v>#VALUE!</v>
      </c>
      <c r="IM131" t="e">
        <f>'All regions'!D3634+"$F;@!'&lt;X"</f>
        <v>#VALUE!</v>
      </c>
      <c r="IN131" t="e">
        <f>'All regions'!E3634+"$F;@!'&lt;Y"</f>
        <v>#VALUE!</v>
      </c>
      <c r="IO131" t="e">
        <f>'All regions'!F3634+"$F;@!'&lt;Z"</f>
        <v>#VALUE!</v>
      </c>
      <c r="IP131" t="e">
        <f>'All regions'!G3634+"$F;@!'&lt;["</f>
        <v>#VALUE!</v>
      </c>
      <c r="IQ131" t="e">
        <f>'All regions'!H3634+"$F;@!'&lt;\"</f>
        <v>#VALUE!</v>
      </c>
      <c r="IR131" t="e">
        <f>'All regions'!I3634+"$F;@!'&lt;]"</f>
        <v>#VALUE!</v>
      </c>
      <c r="IS131" t="e">
        <f>'All regions'!A3635+"$F;@!'&lt;^"</f>
        <v>#VALUE!</v>
      </c>
      <c r="IT131" t="e">
        <f>'All regions'!B3635+"$F;@!'&lt;_"</f>
        <v>#VALUE!</v>
      </c>
      <c r="IU131" t="e">
        <f>'All regions'!C3635+"$F;@!'&lt;`"</f>
        <v>#VALUE!</v>
      </c>
      <c r="IV131" t="e">
        <f>'All regions'!D3635+"$F;@!'&lt;a"</f>
        <v>#VALUE!</v>
      </c>
    </row>
    <row r="132" spans="6:256" x14ac:dyDescent="0.35">
      <c r="F132" t="e">
        <f>'All regions'!E3635+"$F;@!'&lt;b"</f>
        <v>#VALUE!</v>
      </c>
      <c r="G132" t="e">
        <f>'All regions'!F3635+"$F;@!'&lt;c"</f>
        <v>#VALUE!</v>
      </c>
      <c r="H132" t="e">
        <f>'All regions'!G3635+"$F;@!'&lt;d"</f>
        <v>#VALUE!</v>
      </c>
      <c r="I132" t="e">
        <f>'All regions'!H3635+"$F;@!'&lt;e"</f>
        <v>#VALUE!</v>
      </c>
      <c r="J132" t="e">
        <f>'All regions'!I3635+"$F;@!'&lt;f"</f>
        <v>#VALUE!</v>
      </c>
      <c r="K132" t="e">
        <f>'All regions'!A3636+"$F;@!'&lt;g"</f>
        <v>#VALUE!</v>
      </c>
      <c r="L132" t="e">
        <f>'All regions'!B3636+"$F;@!'&lt;h"</f>
        <v>#VALUE!</v>
      </c>
      <c r="M132" t="e">
        <f>'All regions'!C3636+"$F;@!'&lt;i"</f>
        <v>#VALUE!</v>
      </c>
      <c r="N132" t="e">
        <f>'All regions'!D3636+"$F;@!'&lt;j"</f>
        <v>#VALUE!</v>
      </c>
      <c r="O132" t="e">
        <f>'All regions'!E3636+"$F;@!'&lt;k"</f>
        <v>#VALUE!</v>
      </c>
      <c r="P132" t="e">
        <f>'All regions'!F3636+"$F;@!'&lt;l"</f>
        <v>#VALUE!</v>
      </c>
      <c r="Q132" t="e">
        <f>'All regions'!G3636+"$F;@!'&lt;m"</f>
        <v>#VALUE!</v>
      </c>
      <c r="R132" t="e">
        <f>'All regions'!H3636+"$F;@!'&lt;n"</f>
        <v>#VALUE!</v>
      </c>
      <c r="S132" t="e">
        <f>'All regions'!I3636+"$F;@!'&lt;o"</f>
        <v>#VALUE!</v>
      </c>
      <c r="T132" t="e">
        <f>'All regions'!A3637+"$F;@!'&lt;p"</f>
        <v>#VALUE!</v>
      </c>
      <c r="U132" t="e">
        <f>'All regions'!B3637+"$F;@!'&lt;q"</f>
        <v>#VALUE!</v>
      </c>
      <c r="V132" t="e">
        <f>'All regions'!C3637+"$F;@!'&lt;r"</f>
        <v>#VALUE!</v>
      </c>
      <c r="W132" t="e">
        <f>'All regions'!D3637+"$F;@!'&lt;s"</f>
        <v>#VALUE!</v>
      </c>
      <c r="X132" t="e">
        <f>'All regions'!E3637+"$F;@!'&lt;t"</f>
        <v>#VALUE!</v>
      </c>
      <c r="Y132" t="e">
        <f>'All regions'!F3637+"$F;@!'&lt;u"</f>
        <v>#VALUE!</v>
      </c>
      <c r="Z132" t="e">
        <f>'All regions'!G3637+"$F;@!'&lt;v"</f>
        <v>#VALUE!</v>
      </c>
      <c r="AA132" t="e">
        <f>'All regions'!H3637+"$F;@!'&lt;w"</f>
        <v>#VALUE!</v>
      </c>
      <c r="AB132" t="e">
        <f>'All regions'!I3637+"$F;@!'&lt;x"</f>
        <v>#VALUE!</v>
      </c>
      <c r="AC132" t="e">
        <f>'All regions'!A3638+"$F;@!'&lt;y"</f>
        <v>#VALUE!</v>
      </c>
      <c r="AD132" t="e">
        <f>'All regions'!B3638+"$F;@!'&lt;z"</f>
        <v>#VALUE!</v>
      </c>
      <c r="AE132" t="e">
        <f>'All regions'!C3638+"$F;@!'&lt;{"</f>
        <v>#VALUE!</v>
      </c>
      <c r="AF132" t="e">
        <f>'All regions'!D3638+"$F;@!'&lt;|"</f>
        <v>#VALUE!</v>
      </c>
      <c r="AG132" t="e">
        <f>'All regions'!E3638+"$F;@!'&lt;}"</f>
        <v>#VALUE!</v>
      </c>
      <c r="AH132" t="e">
        <f>'All regions'!F3638+"$F;@!'&lt;~"</f>
        <v>#VALUE!</v>
      </c>
      <c r="AI132" t="e">
        <f>'All regions'!G3638+"$F;@!'=#"</f>
        <v>#VALUE!</v>
      </c>
      <c r="AJ132" t="e">
        <f>'All regions'!H3638+"$F;@!'=$"</f>
        <v>#VALUE!</v>
      </c>
      <c r="AK132" t="e">
        <f>'All regions'!I3638+"$F;@!'=%"</f>
        <v>#VALUE!</v>
      </c>
      <c r="AL132" t="e">
        <f>'All regions'!A3639+"$F;@!'=&amp;"</f>
        <v>#VALUE!</v>
      </c>
      <c r="AM132" t="e">
        <f>'All regions'!B3639+"$F;@!'='"</f>
        <v>#VALUE!</v>
      </c>
      <c r="AN132" t="e">
        <f>'All regions'!C3639+"$F;@!'=("</f>
        <v>#VALUE!</v>
      </c>
      <c r="AO132" t="e">
        <f>'All regions'!D3639+"$F;@!'=)"</f>
        <v>#VALUE!</v>
      </c>
      <c r="AP132" t="e">
        <f>'All regions'!E3639+"$F;@!'=."</f>
        <v>#VALUE!</v>
      </c>
      <c r="AQ132" t="e">
        <f>'All regions'!F3639+"$F;@!'=/"</f>
        <v>#VALUE!</v>
      </c>
      <c r="AR132" t="e">
        <f>'All regions'!G3639+"$F;@!'=0"</f>
        <v>#VALUE!</v>
      </c>
      <c r="AS132" t="e">
        <f>'All regions'!H3639+"$F;@!'=1"</f>
        <v>#VALUE!</v>
      </c>
      <c r="AT132" t="e">
        <f>'All regions'!I3639+"$F;@!'=2"</f>
        <v>#VALUE!</v>
      </c>
      <c r="AU132" t="e">
        <f>'All regions'!A3640+"$F;@!'=3"</f>
        <v>#VALUE!</v>
      </c>
      <c r="AV132" t="e">
        <f>'All regions'!B3640+"$F;@!'=4"</f>
        <v>#VALUE!</v>
      </c>
      <c r="AW132" t="e">
        <f>'All regions'!C3640+"$F;@!'=5"</f>
        <v>#VALUE!</v>
      </c>
      <c r="AX132" t="e">
        <f>'All regions'!D3640+"$F;@!'=6"</f>
        <v>#VALUE!</v>
      </c>
      <c r="AY132" t="e">
        <f>'All regions'!E3640+"$F;@!'=7"</f>
        <v>#VALUE!</v>
      </c>
      <c r="AZ132" t="e">
        <f>'All regions'!F3640+"$F;@!'=8"</f>
        <v>#VALUE!</v>
      </c>
      <c r="BA132" t="e">
        <f>'All regions'!G3640+"$F;@!'=9"</f>
        <v>#VALUE!</v>
      </c>
      <c r="BB132" t="e">
        <f>'All regions'!H3640+"$F;@!'=:"</f>
        <v>#VALUE!</v>
      </c>
      <c r="BC132" t="e">
        <f>'All regions'!I3640+"$F;@!'=;"</f>
        <v>#VALUE!</v>
      </c>
      <c r="BD132" t="e">
        <f>'All regions'!A3641+"$F;@!'=&lt;"</f>
        <v>#VALUE!</v>
      </c>
      <c r="BE132" t="e">
        <f>'All regions'!B3641+"$F;@!'=="</f>
        <v>#VALUE!</v>
      </c>
      <c r="BF132" t="e">
        <f>'All regions'!C3641+"$F;@!'=&gt;"</f>
        <v>#VALUE!</v>
      </c>
      <c r="BG132" t="e">
        <f>'All regions'!D3641+"$F;@!'=?"</f>
        <v>#VALUE!</v>
      </c>
      <c r="BH132" t="e">
        <f>'All regions'!E3641+"$F;@!'=@"</f>
        <v>#VALUE!</v>
      </c>
      <c r="BI132" t="e">
        <f>'All regions'!F3641+"$F;@!'=A"</f>
        <v>#VALUE!</v>
      </c>
      <c r="BJ132" t="e">
        <f>'All regions'!G3641+"$F;@!'=B"</f>
        <v>#VALUE!</v>
      </c>
      <c r="BK132" t="e">
        <f>'All regions'!H3641+"$F;@!'=C"</f>
        <v>#VALUE!</v>
      </c>
      <c r="BL132" t="e">
        <f>'All regions'!I3641+"$F;@!'=D"</f>
        <v>#VALUE!</v>
      </c>
      <c r="BM132" t="e">
        <f>'All regions'!A3642+"$F;@!'=E"</f>
        <v>#VALUE!</v>
      </c>
      <c r="BN132" t="e">
        <f>'All regions'!B3642+"$F;@!'=F"</f>
        <v>#VALUE!</v>
      </c>
      <c r="BO132" t="e">
        <f>'All regions'!C3642+"$F;@!'=G"</f>
        <v>#VALUE!</v>
      </c>
      <c r="BP132" t="e">
        <f>'All regions'!D3642+"$F;@!'=H"</f>
        <v>#VALUE!</v>
      </c>
      <c r="BQ132" t="e">
        <f>'All regions'!E3642+"$F;@!'=I"</f>
        <v>#VALUE!</v>
      </c>
      <c r="BR132" t="e">
        <f>'All regions'!F3642+"$F;@!'=J"</f>
        <v>#VALUE!</v>
      </c>
      <c r="BS132" t="e">
        <f>'All regions'!G3642+"$F;@!'=K"</f>
        <v>#VALUE!</v>
      </c>
      <c r="BT132" t="e">
        <f>'All regions'!H3642+"$F;@!'=L"</f>
        <v>#VALUE!</v>
      </c>
      <c r="BU132" t="e">
        <f>'All regions'!I3642+"$F;@!'=M"</f>
        <v>#VALUE!</v>
      </c>
      <c r="BV132" t="e">
        <f>'All regions'!A3643+"$F;@!'=N"</f>
        <v>#VALUE!</v>
      </c>
      <c r="BW132" t="e">
        <f>'All regions'!B3643+"$F;@!'=O"</f>
        <v>#VALUE!</v>
      </c>
      <c r="BX132" t="e">
        <f>'All regions'!C3643+"$F;@!'=P"</f>
        <v>#VALUE!</v>
      </c>
      <c r="BY132" t="e">
        <f>'All regions'!D3643+"$F;@!'=Q"</f>
        <v>#VALUE!</v>
      </c>
      <c r="BZ132" t="e">
        <f>'All regions'!E3643+"$F;@!'=R"</f>
        <v>#VALUE!</v>
      </c>
      <c r="CA132" t="e">
        <f>'All regions'!F3643+"$F;@!'=S"</f>
        <v>#VALUE!</v>
      </c>
      <c r="CB132" t="e">
        <f>'All regions'!G3643+"$F;@!'=T"</f>
        <v>#VALUE!</v>
      </c>
      <c r="CC132" t="e">
        <f>'All regions'!H3643+"$F;@!'=U"</f>
        <v>#VALUE!</v>
      </c>
      <c r="CD132" t="e">
        <f>'All regions'!I3643+"$F;@!'=V"</f>
        <v>#VALUE!</v>
      </c>
      <c r="CE132" t="e">
        <f>'All regions'!A3644+"$F;@!'=W"</f>
        <v>#VALUE!</v>
      </c>
      <c r="CF132" t="e">
        <f>'All regions'!B3644+"$F;@!'=X"</f>
        <v>#VALUE!</v>
      </c>
      <c r="CG132" t="e">
        <f>'All regions'!C3644+"$F;@!'=Y"</f>
        <v>#VALUE!</v>
      </c>
      <c r="CH132" t="e">
        <f>'All regions'!D3644+"$F;@!'=Z"</f>
        <v>#VALUE!</v>
      </c>
      <c r="CI132" t="e">
        <f>'All regions'!E3644+"$F;@!'=["</f>
        <v>#VALUE!</v>
      </c>
      <c r="CJ132" t="e">
        <f>'All regions'!F3644+"$F;@!'=\"</f>
        <v>#VALUE!</v>
      </c>
      <c r="CK132" t="e">
        <f>'All regions'!G3644+"$F;@!'=]"</f>
        <v>#VALUE!</v>
      </c>
      <c r="CL132" t="e">
        <f>'All regions'!H3644+"$F;@!'=^"</f>
        <v>#VALUE!</v>
      </c>
      <c r="CM132" t="e">
        <f>'All regions'!I3644+"$F;@!'=_"</f>
        <v>#VALUE!</v>
      </c>
      <c r="CN132" t="e">
        <f>'All regions'!A3645+"$F;@!'=`"</f>
        <v>#VALUE!</v>
      </c>
      <c r="CO132" t="e">
        <f>'All regions'!B3645+"$F;@!'=a"</f>
        <v>#VALUE!</v>
      </c>
      <c r="CP132" t="e">
        <f>'All regions'!C3645+"$F;@!'=b"</f>
        <v>#VALUE!</v>
      </c>
      <c r="CQ132" t="e">
        <f>'All regions'!D3645+"$F;@!'=c"</f>
        <v>#VALUE!</v>
      </c>
      <c r="CR132" t="e">
        <f>'All regions'!E3645+"$F;@!'=d"</f>
        <v>#VALUE!</v>
      </c>
      <c r="CS132" t="e">
        <f>'All regions'!F3645+"$F;@!'=e"</f>
        <v>#VALUE!</v>
      </c>
      <c r="CT132" t="e">
        <f>'All regions'!G3645+"$F;@!'=f"</f>
        <v>#VALUE!</v>
      </c>
      <c r="CU132" t="e">
        <f>'All regions'!H3645+"$F;@!'=g"</f>
        <v>#VALUE!</v>
      </c>
      <c r="CV132" t="e">
        <f>'All regions'!I3645+"$F;@!'=h"</f>
        <v>#VALUE!</v>
      </c>
      <c r="CW132" t="e">
        <f>'All regions'!A3646+"$F;@!'=i"</f>
        <v>#VALUE!</v>
      </c>
      <c r="CX132" t="e">
        <f>'All regions'!B3646+"$F;@!'=j"</f>
        <v>#VALUE!</v>
      </c>
      <c r="CY132" t="e">
        <f>'All regions'!C3646+"$F;@!'=k"</f>
        <v>#VALUE!</v>
      </c>
      <c r="CZ132" t="e">
        <f>'All regions'!D3646+"$F;@!'=l"</f>
        <v>#VALUE!</v>
      </c>
      <c r="DA132" t="e">
        <f>'All regions'!E3646+"$F;@!'=m"</f>
        <v>#VALUE!</v>
      </c>
      <c r="DB132" t="e">
        <f>'All regions'!F3646+"$F;@!'=n"</f>
        <v>#VALUE!</v>
      </c>
      <c r="DC132" t="e">
        <f>'All regions'!G3646+"$F;@!'=o"</f>
        <v>#VALUE!</v>
      </c>
      <c r="DD132" t="e">
        <f>'All regions'!H3646+"$F;@!'=p"</f>
        <v>#VALUE!</v>
      </c>
      <c r="DE132" t="e">
        <f>'All regions'!I3646+"$F;@!'=q"</f>
        <v>#VALUE!</v>
      </c>
      <c r="DF132" t="e">
        <f>'All regions'!A3647+"$F;@!'=r"</f>
        <v>#VALUE!</v>
      </c>
      <c r="DG132" t="e">
        <f>'All regions'!B3647+"$F;@!'=s"</f>
        <v>#VALUE!</v>
      </c>
      <c r="DH132" t="e">
        <f>'All regions'!C3647+"$F;@!'=t"</f>
        <v>#VALUE!</v>
      </c>
      <c r="DI132" t="e">
        <f>'All regions'!D3647+"$F;@!'=u"</f>
        <v>#VALUE!</v>
      </c>
      <c r="DJ132" t="e">
        <f>'All regions'!E3647+"$F;@!'=v"</f>
        <v>#VALUE!</v>
      </c>
      <c r="DK132" t="e">
        <f>'All regions'!F3647+"$F;@!'=w"</f>
        <v>#VALUE!</v>
      </c>
      <c r="DL132" t="e">
        <f>'All regions'!G3647+"$F;@!'=x"</f>
        <v>#VALUE!</v>
      </c>
      <c r="DM132" t="e">
        <f>'All regions'!H3647+"$F;@!'=y"</f>
        <v>#VALUE!</v>
      </c>
      <c r="DN132" t="e">
        <f>'All regions'!I3647+"$F;@!'=z"</f>
        <v>#VALUE!</v>
      </c>
      <c r="DO132" t="e">
        <f>'All regions'!A3648+"$F;@!'={"</f>
        <v>#VALUE!</v>
      </c>
      <c r="DP132" t="e">
        <f>'All regions'!B3648+"$F;@!'=|"</f>
        <v>#VALUE!</v>
      </c>
      <c r="DQ132" t="e">
        <f>'All regions'!C3648+"$F;@!'=}"</f>
        <v>#VALUE!</v>
      </c>
      <c r="DR132" t="e">
        <f>'All regions'!D3648+"$F;@!'=~"</f>
        <v>#VALUE!</v>
      </c>
      <c r="DS132" t="e">
        <f>'All regions'!E3648+"$F;@!'&gt;#"</f>
        <v>#VALUE!</v>
      </c>
      <c r="DT132" t="e">
        <f>'All regions'!F3648+"$F;@!'&gt;$"</f>
        <v>#VALUE!</v>
      </c>
      <c r="DU132" t="e">
        <f>'All regions'!G3648+"$F;@!'&gt;%"</f>
        <v>#VALUE!</v>
      </c>
      <c r="DV132" t="e">
        <f>'All regions'!H3648+"$F;@!'&gt;&amp;"</f>
        <v>#VALUE!</v>
      </c>
      <c r="DW132" t="e">
        <f>'All regions'!I3648+"$F;@!'&gt;'"</f>
        <v>#VALUE!</v>
      </c>
      <c r="DX132" t="e">
        <f>'All regions'!A3649+"$F;@!'&gt;("</f>
        <v>#VALUE!</v>
      </c>
      <c r="DY132" t="e">
        <f>'All regions'!B3649+"$F;@!'&gt;)"</f>
        <v>#VALUE!</v>
      </c>
      <c r="DZ132" t="e">
        <f>'All regions'!C3649+"$F;@!'&gt;."</f>
        <v>#VALUE!</v>
      </c>
      <c r="EA132" t="e">
        <f>'All regions'!D3649+"$F;@!'&gt;/"</f>
        <v>#VALUE!</v>
      </c>
      <c r="EB132" t="e">
        <f>'All regions'!E3649+"$F;@!'&gt;0"</f>
        <v>#VALUE!</v>
      </c>
      <c r="EC132" t="e">
        <f>'All regions'!F3649+"$F;@!'&gt;1"</f>
        <v>#VALUE!</v>
      </c>
      <c r="ED132" t="e">
        <f>'All regions'!G3649+"$F;@!'&gt;2"</f>
        <v>#VALUE!</v>
      </c>
      <c r="EE132" t="e">
        <f>'All regions'!H3649+"$F;@!'&gt;3"</f>
        <v>#VALUE!</v>
      </c>
      <c r="EF132" t="e">
        <f>'All regions'!I3649+"$F;@!'&gt;4"</f>
        <v>#VALUE!</v>
      </c>
      <c r="EG132" t="e">
        <f>'All regions'!A3650+"$F;@!'&gt;5"</f>
        <v>#VALUE!</v>
      </c>
      <c r="EH132" t="e">
        <f>'All regions'!B3650+"$F;@!'&gt;6"</f>
        <v>#VALUE!</v>
      </c>
      <c r="EI132" t="e">
        <f>'All regions'!C3650+"$F;@!'&gt;7"</f>
        <v>#VALUE!</v>
      </c>
      <c r="EJ132" t="e">
        <f>'All regions'!D3650+"$F;@!'&gt;8"</f>
        <v>#VALUE!</v>
      </c>
      <c r="EK132" t="e">
        <f>'All regions'!E3650+"$F;@!'&gt;9"</f>
        <v>#VALUE!</v>
      </c>
      <c r="EL132" t="e">
        <f>'All regions'!F3650+"$F;@!'&gt;:"</f>
        <v>#VALUE!</v>
      </c>
      <c r="EM132" t="e">
        <f>'All regions'!G3650+"$F;@!'&gt;;"</f>
        <v>#VALUE!</v>
      </c>
      <c r="EN132" t="e">
        <f>'All regions'!H3650+"$F;@!'&gt;&lt;"</f>
        <v>#VALUE!</v>
      </c>
      <c r="EO132" t="e">
        <f>'All regions'!I3650+"$F;@!'&gt;="</f>
        <v>#VALUE!</v>
      </c>
      <c r="EP132" t="e">
        <f>'All regions'!A3651+"$F;@!'&gt;&gt;"</f>
        <v>#VALUE!</v>
      </c>
      <c r="EQ132" t="e">
        <f>'All regions'!B3651+"$F;@!'&gt;?"</f>
        <v>#VALUE!</v>
      </c>
      <c r="ER132" t="e">
        <f>'All regions'!C3651+"$F;@!'&gt;@"</f>
        <v>#VALUE!</v>
      </c>
      <c r="ES132" t="e">
        <f>'All regions'!D3651+"$F;@!'&gt;A"</f>
        <v>#VALUE!</v>
      </c>
      <c r="ET132" t="e">
        <f>'All regions'!E3651+"$F;@!'&gt;B"</f>
        <v>#VALUE!</v>
      </c>
      <c r="EU132" t="e">
        <f>'All regions'!F3651+"$F;@!'&gt;C"</f>
        <v>#VALUE!</v>
      </c>
      <c r="EV132" t="e">
        <f>'All regions'!G3651+"$F;@!'&gt;D"</f>
        <v>#VALUE!</v>
      </c>
      <c r="EW132" t="e">
        <f>'All regions'!H3651+"$F;@!'&gt;E"</f>
        <v>#VALUE!</v>
      </c>
      <c r="EX132" t="e">
        <f>'All regions'!I3651+"$F;@!'&gt;F"</f>
        <v>#VALUE!</v>
      </c>
      <c r="EY132" t="e">
        <f>'All regions'!A3652+"$F;@!'&gt;G"</f>
        <v>#VALUE!</v>
      </c>
      <c r="EZ132" t="e">
        <f>'All regions'!B3652+"$F;@!'&gt;H"</f>
        <v>#VALUE!</v>
      </c>
      <c r="FA132" t="e">
        <f>'All regions'!C3652+"$F;@!'&gt;I"</f>
        <v>#VALUE!</v>
      </c>
      <c r="FB132" t="e">
        <f>'All regions'!D3652+"$F;@!'&gt;J"</f>
        <v>#VALUE!</v>
      </c>
      <c r="FC132" t="e">
        <f>'All regions'!E3652+"$F;@!'&gt;K"</f>
        <v>#VALUE!</v>
      </c>
      <c r="FD132" t="e">
        <f>'All regions'!F3652+"$F;@!'&gt;L"</f>
        <v>#VALUE!</v>
      </c>
      <c r="FE132" t="e">
        <f>'All regions'!G3652+"$F;@!'&gt;M"</f>
        <v>#VALUE!</v>
      </c>
      <c r="FF132" t="e">
        <f>'All regions'!H3652+"$F;@!'&gt;N"</f>
        <v>#VALUE!</v>
      </c>
      <c r="FG132" t="e">
        <f>'All regions'!I3652+"$F;@!'&gt;O"</f>
        <v>#VALUE!</v>
      </c>
      <c r="FH132" t="e">
        <f>'All regions'!A3653+"$F;@!'&gt;P"</f>
        <v>#VALUE!</v>
      </c>
      <c r="FI132" t="e">
        <f>'All regions'!B3653+"$F;@!'&gt;Q"</f>
        <v>#VALUE!</v>
      </c>
      <c r="FJ132" t="e">
        <f>'All regions'!C3653+"$F;@!'&gt;R"</f>
        <v>#VALUE!</v>
      </c>
      <c r="FK132" t="e">
        <f>'All regions'!D3653+"$F;@!'&gt;S"</f>
        <v>#VALUE!</v>
      </c>
      <c r="FL132" t="e">
        <f>'All regions'!E3653+"$F;@!'&gt;T"</f>
        <v>#VALUE!</v>
      </c>
      <c r="FM132" t="e">
        <f>'All regions'!F3653+"$F;@!'&gt;U"</f>
        <v>#VALUE!</v>
      </c>
      <c r="FN132" t="e">
        <f>'All regions'!G3653+"$F;@!'&gt;V"</f>
        <v>#VALUE!</v>
      </c>
      <c r="FO132" t="e">
        <f>'All regions'!H3653+"$F;@!'&gt;W"</f>
        <v>#VALUE!</v>
      </c>
      <c r="FP132" t="e">
        <f>'All regions'!I3653+"$F;@!'&gt;X"</f>
        <v>#VALUE!</v>
      </c>
      <c r="FQ132" t="e">
        <f>'All regions'!A3654+"$F;@!'&gt;Y"</f>
        <v>#VALUE!</v>
      </c>
      <c r="FR132" t="e">
        <f>'All regions'!B3654+"$F;@!'&gt;Z"</f>
        <v>#VALUE!</v>
      </c>
      <c r="FS132" t="e">
        <f>'All regions'!C3654+"$F;@!'&gt;["</f>
        <v>#VALUE!</v>
      </c>
      <c r="FT132" t="e">
        <f>'All regions'!D3654+"$F;@!'&gt;\"</f>
        <v>#VALUE!</v>
      </c>
      <c r="FU132" t="e">
        <f>'All regions'!E3654+"$F;@!'&gt;]"</f>
        <v>#VALUE!</v>
      </c>
      <c r="FV132" t="e">
        <f>'All regions'!F3654+"$F;@!'&gt;^"</f>
        <v>#VALUE!</v>
      </c>
      <c r="FW132" t="e">
        <f>'All regions'!G3654+"$F;@!'&gt;_"</f>
        <v>#VALUE!</v>
      </c>
      <c r="FX132" t="e">
        <f>'All regions'!H3654+"$F;@!'&gt;`"</f>
        <v>#VALUE!</v>
      </c>
      <c r="FY132" t="e">
        <f>'All regions'!I3654+"$F;@!'&gt;a"</f>
        <v>#VALUE!</v>
      </c>
      <c r="FZ132" t="e">
        <f>'All regions'!A3655+"$F;@!'&gt;b"</f>
        <v>#VALUE!</v>
      </c>
      <c r="GA132" t="e">
        <f>'All regions'!B3655+"$F;@!'&gt;c"</f>
        <v>#VALUE!</v>
      </c>
      <c r="GB132" t="e">
        <f>'All regions'!C3655+"$F;@!'&gt;d"</f>
        <v>#VALUE!</v>
      </c>
      <c r="GC132" t="e">
        <f>'All regions'!D3655+"$F;@!'&gt;e"</f>
        <v>#VALUE!</v>
      </c>
      <c r="GD132" t="e">
        <f>'All regions'!E3655+"$F;@!'&gt;f"</f>
        <v>#VALUE!</v>
      </c>
      <c r="GE132" t="e">
        <f>'All regions'!F3655+"$F;@!'&gt;g"</f>
        <v>#VALUE!</v>
      </c>
      <c r="GF132" t="e">
        <f>'All regions'!G3655+"$F;@!'&gt;h"</f>
        <v>#VALUE!</v>
      </c>
      <c r="GG132" t="e">
        <f>'All regions'!H3655+"$F;@!'&gt;i"</f>
        <v>#VALUE!</v>
      </c>
      <c r="GH132" t="e">
        <f>'All regions'!I3655+"$F;@!'&gt;j"</f>
        <v>#VALUE!</v>
      </c>
      <c r="GI132" t="e">
        <f>'All regions'!A3656+"$F;@!'&gt;k"</f>
        <v>#VALUE!</v>
      </c>
      <c r="GJ132" t="e">
        <f>'All regions'!B3656+"$F;@!'&gt;l"</f>
        <v>#VALUE!</v>
      </c>
      <c r="GK132" t="e">
        <f>'All regions'!C3656+"$F;@!'&gt;m"</f>
        <v>#VALUE!</v>
      </c>
      <c r="GL132" t="e">
        <f>'All regions'!D3656+"$F;@!'&gt;n"</f>
        <v>#VALUE!</v>
      </c>
      <c r="GM132" t="e">
        <f>'All regions'!E3656+"$F;@!'&gt;o"</f>
        <v>#VALUE!</v>
      </c>
      <c r="GN132" t="e">
        <f>'All regions'!F3656+"$F;@!'&gt;p"</f>
        <v>#VALUE!</v>
      </c>
      <c r="GO132" t="e">
        <f>'All regions'!G3656+"$F;@!'&gt;q"</f>
        <v>#VALUE!</v>
      </c>
      <c r="GP132" t="e">
        <f>'All regions'!H3656+"$F;@!'&gt;r"</f>
        <v>#VALUE!</v>
      </c>
      <c r="GQ132" t="e">
        <f>'All regions'!I3656+"$F;@!'&gt;s"</f>
        <v>#VALUE!</v>
      </c>
      <c r="GR132" t="e">
        <f>'All regions'!A3657+"$F;@!'&gt;t"</f>
        <v>#VALUE!</v>
      </c>
      <c r="GS132" t="e">
        <f>'All regions'!B3657+"$F;@!'&gt;u"</f>
        <v>#VALUE!</v>
      </c>
      <c r="GT132" t="e">
        <f>'All regions'!C3657+"$F;@!'&gt;v"</f>
        <v>#VALUE!</v>
      </c>
      <c r="GU132" t="e">
        <f>'All regions'!D3657+"$F;@!'&gt;w"</f>
        <v>#VALUE!</v>
      </c>
      <c r="GV132" t="e">
        <f>'All regions'!E3657+"$F;@!'&gt;x"</f>
        <v>#VALUE!</v>
      </c>
      <c r="GW132" t="e">
        <f>'All regions'!F3657+"$F;@!'&gt;y"</f>
        <v>#VALUE!</v>
      </c>
      <c r="GX132" t="e">
        <f>'All regions'!G3657+"$F;@!'&gt;z"</f>
        <v>#VALUE!</v>
      </c>
      <c r="GY132" t="e">
        <f>'All regions'!H3657+"$F;@!'&gt;{"</f>
        <v>#VALUE!</v>
      </c>
      <c r="GZ132" t="e">
        <f>'All regions'!I3657+"$F;@!'&gt;|"</f>
        <v>#VALUE!</v>
      </c>
      <c r="HA132" t="e">
        <f>'All regions'!A3658+"$F;@!'&gt;}"</f>
        <v>#VALUE!</v>
      </c>
      <c r="HB132" t="e">
        <f>'All regions'!B3658+"$F;@!'&gt;~"</f>
        <v>#VALUE!</v>
      </c>
      <c r="HC132" t="e">
        <f>'All regions'!C3658+"$F;@!'?#"</f>
        <v>#VALUE!</v>
      </c>
      <c r="HD132" t="e">
        <f>'All regions'!D3658+"$F;@!'?$"</f>
        <v>#VALUE!</v>
      </c>
      <c r="HE132" t="e">
        <f>'All regions'!E3658+"$F;@!'?%"</f>
        <v>#VALUE!</v>
      </c>
      <c r="HF132" t="e">
        <f>'All regions'!F3658+"$F;@!'?&amp;"</f>
        <v>#VALUE!</v>
      </c>
      <c r="HG132" t="e">
        <f>'All regions'!G3658+"$F;@!'?'"</f>
        <v>#VALUE!</v>
      </c>
      <c r="HH132" t="e">
        <f>'All regions'!H3658+"$F;@!'?("</f>
        <v>#VALUE!</v>
      </c>
      <c r="HI132" t="e">
        <f>'All regions'!I3658+"$F;@!'?)"</f>
        <v>#VALUE!</v>
      </c>
      <c r="HJ132" t="e">
        <f>'All regions'!A3659+"$F;@!'?."</f>
        <v>#VALUE!</v>
      </c>
      <c r="HK132" t="e">
        <f>'All regions'!B3659+"$F;@!'?/"</f>
        <v>#VALUE!</v>
      </c>
      <c r="HL132" t="e">
        <f>'All regions'!C3659+"$F;@!'?0"</f>
        <v>#VALUE!</v>
      </c>
      <c r="HM132" t="e">
        <f>'All regions'!D3659+"$F;@!'?1"</f>
        <v>#VALUE!</v>
      </c>
      <c r="HN132" t="e">
        <f>'All regions'!E3659+"$F;@!'?2"</f>
        <v>#VALUE!</v>
      </c>
      <c r="HO132" t="e">
        <f>'All regions'!F3659+"$F;@!'?3"</f>
        <v>#VALUE!</v>
      </c>
      <c r="HP132" t="e">
        <f>'All regions'!G3659+"$F;@!'?4"</f>
        <v>#VALUE!</v>
      </c>
      <c r="HQ132" t="e">
        <f>'All regions'!H3659+"$F;@!'?5"</f>
        <v>#VALUE!</v>
      </c>
      <c r="HR132" t="e">
        <f>'All regions'!I3659+"$F;@!'?6"</f>
        <v>#VALUE!</v>
      </c>
      <c r="HS132" t="e">
        <f>'All regions'!A3660+"$F;@!'?7"</f>
        <v>#VALUE!</v>
      </c>
      <c r="HT132" t="e">
        <f>'All regions'!B3660+"$F;@!'?8"</f>
        <v>#VALUE!</v>
      </c>
      <c r="HU132" t="e">
        <f>'All regions'!C3660+"$F;@!'?9"</f>
        <v>#VALUE!</v>
      </c>
      <c r="HV132" t="e">
        <f>'All regions'!D3660+"$F;@!'?:"</f>
        <v>#VALUE!</v>
      </c>
      <c r="HW132" t="e">
        <f>'All regions'!E3660+"$F;@!'?;"</f>
        <v>#VALUE!</v>
      </c>
      <c r="HX132" t="e">
        <f>'All regions'!F3660+"$F;@!'?&lt;"</f>
        <v>#VALUE!</v>
      </c>
      <c r="HY132" t="e">
        <f>'All regions'!G3660+"$F;@!'?="</f>
        <v>#VALUE!</v>
      </c>
      <c r="HZ132" t="e">
        <f>'All regions'!H3660+"$F;@!'?&gt;"</f>
        <v>#VALUE!</v>
      </c>
      <c r="IA132" t="e">
        <f>'All regions'!I3660+"$F;@!'??"</f>
        <v>#VALUE!</v>
      </c>
      <c r="IB132" t="e">
        <f>'All regions'!A3663+"$F;@!'?@"</f>
        <v>#VALUE!</v>
      </c>
      <c r="IC132" t="e">
        <f>'All regions'!B3663+"$F;@!'?A"</f>
        <v>#VALUE!</v>
      </c>
      <c r="ID132" t="e">
        <f>'All regions'!C3663+"$F;@!'?B"</f>
        <v>#VALUE!</v>
      </c>
      <c r="IE132" t="e">
        <f>'All regions'!D3663+"$F;@!'?C"</f>
        <v>#VALUE!</v>
      </c>
      <c r="IF132" t="e">
        <f>'All regions'!E3663+"$F;@!'?D"</f>
        <v>#VALUE!</v>
      </c>
      <c r="IG132" t="e">
        <f>'All regions'!F3663+"$F;@!'?E"</f>
        <v>#VALUE!</v>
      </c>
      <c r="IH132" t="e">
        <f>'All regions'!G3663+"$F;@!'?F"</f>
        <v>#VALUE!</v>
      </c>
      <c r="II132" t="e">
        <f>'All regions'!H3663+"$F;@!'?G"</f>
        <v>#VALUE!</v>
      </c>
      <c r="IJ132" t="e">
        <f>'All regions'!I3663+"$F;@!'?H"</f>
        <v>#VALUE!</v>
      </c>
      <c r="IK132" t="e">
        <f>'All regions'!A3664+"$F;@!'?I"</f>
        <v>#VALUE!</v>
      </c>
      <c r="IL132" t="e">
        <f>'All regions'!B3664+"$F;@!'?J"</f>
        <v>#VALUE!</v>
      </c>
      <c r="IM132" t="e">
        <f>'All regions'!C3664+"$F;@!'?K"</f>
        <v>#VALUE!</v>
      </c>
      <c r="IN132" t="e">
        <f>'All regions'!D3664+"$F;@!'?L"</f>
        <v>#VALUE!</v>
      </c>
      <c r="IO132" t="e">
        <f>'All regions'!E3664+"$F;@!'?M"</f>
        <v>#VALUE!</v>
      </c>
      <c r="IP132" t="e">
        <f>'All regions'!F3664+"$F;@!'?N"</f>
        <v>#VALUE!</v>
      </c>
      <c r="IQ132" t="e">
        <f>'All regions'!G3664+"$F;@!'?O"</f>
        <v>#VALUE!</v>
      </c>
      <c r="IR132" t="e">
        <f>'All regions'!H3664+"$F;@!'?P"</f>
        <v>#VALUE!</v>
      </c>
      <c r="IS132" t="e">
        <f>'All regions'!I3664+"$F;@!'?Q"</f>
        <v>#VALUE!</v>
      </c>
      <c r="IT132" t="e">
        <f>'All regions'!A3665+"$F;@!'?R"</f>
        <v>#VALUE!</v>
      </c>
      <c r="IU132" t="e">
        <f>'All regions'!B3665+"$F;@!'?S"</f>
        <v>#VALUE!</v>
      </c>
      <c r="IV132" t="e">
        <f>'All regions'!C3665+"$F;@!'?T"</f>
        <v>#VALUE!</v>
      </c>
    </row>
    <row r="133" spans="6:256" x14ac:dyDescent="0.35">
      <c r="F133" t="e">
        <f>'All regions'!D3665+"$F;@!'?U"</f>
        <v>#VALUE!</v>
      </c>
      <c r="G133" t="e">
        <f>'All regions'!E3665+"$F;@!'?V"</f>
        <v>#VALUE!</v>
      </c>
      <c r="H133" t="e">
        <f>'All regions'!F3665+"$F;@!'?W"</f>
        <v>#VALUE!</v>
      </c>
      <c r="I133" t="e">
        <f>'All regions'!G3665+"$F;@!'?X"</f>
        <v>#VALUE!</v>
      </c>
      <c r="J133" t="e">
        <f>'All regions'!H3665+"$F;@!'?Y"</f>
        <v>#VALUE!</v>
      </c>
      <c r="K133" t="e">
        <f>'All regions'!I3665+"$F;@!'?Z"</f>
        <v>#VALUE!</v>
      </c>
      <c r="L133" t="e">
        <f>'All regions'!A3667+"$F;@!'?["</f>
        <v>#VALUE!</v>
      </c>
      <c r="M133" t="e">
        <f>'All regions'!B3667+"$F;@!'?\"</f>
        <v>#VALUE!</v>
      </c>
      <c r="N133" t="e">
        <f>'All regions'!C3667+"$F;@!'?]"</f>
        <v>#VALUE!</v>
      </c>
      <c r="O133" t="e">
        <f>'All regions'!D3667+"$F;@!'?^"</f>
        <v>#VALUE!</v>
      </c>
      <c r="P133" t="e">
        <f>'All regions'!E3667+"$F;@!'?_"</f>
        <v>#VALUE!</v>
      </c>
      <c r="Q133" t="e">
        <f>'All regions'!F3667+"$F;@!'?`"</f>
        <v>#VALUE!</v>
      </c>
      <c r="R133" t="e">
        <f>'All regions'!G3667+"$F;@!'?a"</f>
        <v>#VALUE!</v>
      </c>
      <c r="S133" t="e">
        <f>'All regions'!H3667+"$F;@!'?b"</f>
        <v>#VALUE!</v>
      </c>
      <c r="T133" t="e">
        <f>'All regions'!I3667+"$F;@!'?c"</f>
        <v>#VALUE!</v>
      </c>
      <c r="U133" t="e">
        <f>'All regions'!A3668+"$F;@!'?d"</f>
        <v>#VALUE!</v>
      </c>
      <c r="V133" t="e">
        <f>'All regions'!B3668+"$F;@!'?e"</f>
        <v>#VALUE!</v>
      </c>
      <c r="W133" t="e">
        <f>'All regions'!C3668+"$F;@!'?f"</f>
        <v>#VALUE!</v>
      </c>
      <c r="X133" t="e">
        <f>'All regions'!D3668+"$F;@!'?g"</f>
        <v>#VALUE!</v>
      </c>
      <c r="Y133" t="e">
        <f>'All regions'!E3668+"$F;@!'?h"</f>
        <v>#VALUE!</v>
      </c>
      <c r="Z133" t="e">
        <f>'All regions'!F3668+"$F;@!'?i"</f>
        <v>#VALUE!</v>
      </c>
      <c r="AA133" t="e">
        <f>'All regions'!G3668+"$F;@!'?j"</f>
        <v>#VALUE!</v>
      </c>
      <c r="AB133" t="e">
        <f>'All regions'!H3668+"$F;@!'?k"</f>
        <v>#VALUE!</v>
      </c>
      <c r="AC133" t="e">
        <f>'All regions'!I3668+"$F;@!'?l"</f>
        <v>#VALUE!</v>
      </c>
      <c r="AD133" t="e">
        <f>'All regions'!A3669+"$F;@!'?m"</f>
        <v>#VALUE!</v>
      </c>
      <c r="AE133" t="e">
        <f>'All regions'!B3669+"$F;@!'?n"</f>
        <v>#VALUE!</v>
      </c>
      <c r="AF133" t="e">
        <f>'All regions'!C3669+"$F;@!'?o"</f>
        <v>#VALUE!</v>
      </c>
      <c r="AG133" t="e">
        <f>'All regions'!D3669+"$F;@!'?p"</f>
        <v>#VALUE!</v>
      </c>
      <c r="AH133" t="e">
        <f>'All regions'!E3669+"$F;@!'?q"</f>
        <v>#VALUE!</v>
      </c>
      <c r="AI133" t="e">
        <f>'All regions'!F3669+"$F;@!'?r"</f>
        <v>#VALUE!</v>
      </c>
      <c r="AJ133" t="e">
        <f>'All regions'!G3669+"$F;@!'?s"</f>
        <v>#VALUE!</v>
      </c>
      <c r="AK133" t="e">
        <f>'All regions'!H3669+"$F;@!'?t"</f>
        <v>#VALUE!</v>
      </c>
      <c r="AL133" t="e">
        <f>'All regions'!I3669+"$F;@!'?u"</f>
        <v>#VALUE!</v>
      </c>
      <c r="AM133" t="e">
        <f>'All regions'!A3670+"$F;@!'?v"</f>
        <v>#VALUE!</v>
      </c>
      <c r="AN133" t="e">
        <f>'All regions'!B3670+"$F;@!'?w"</f>
        <v>#VALUE!</v>
      </c>
      <c r="AO133" t="e">
        <f>'All regions'!C3670+"$F;@!'?x"</f>
        <v>#VALUE!</v>
      </c>
      <c r="AP133" t="e">
        <f>'All regions'!D3670+"$F;@!'?y"</f>
        <v>#VALUE!</v>
      </c>
      <c r="AQ133" t="e">
        <f>'All regions'!E3670+"$F;@!'?z"</f>
        <v>#VALUE!</v>
      </c>
      <c r="AR133" t="e">
        <f>'All regions'!F3670+"$F;@!'?{"</f>
        <v>#VALUE!</v>
      </c>
      <c r="AS133" t="e">
        <f>'All regions'!G3670+"$F;@!'?|"</f>
        <v>#VALUE!</v>
      </c>
      <c r="AT133" t="e">
        <f>'All regions'!H3670+"$F;@!'?}"</f>
        <v>#VALUE!</v>
      </c>
      <c r="AU133" t="e">
        <f>'All regions'!I3670+"$F;@!'?~"</f>
        <v>#VALUE!</v>
      </c>
      <c r="AV133" t="e">
        <f>'All regions'!A3671+"$F;@!'@#"</f>
        <v>#VALUE!</v>
      </c>
      <c r="AW133" t="e">
        <f>'All regions'!B3671+"$F;@!'@$"</f>
        <v>#VALUE!</v>
      </c>
      <c r="AX133" t="e">
        <f>'All regions'!C3671+"$F;@!'@%"</f>
        <v>#VALUE!</v>
      </c>
      <c r="AY133" t="e">
        <f>'All regions'!D3671+"$F;@!'@&amp;"</f>
        <v>#VALUE!</v>
      </c>
      <c r="AZ133" t="e">
        <f>'All regions'!E3671+"$F;@!'@'"</f>
        <v>#VALUE!</v>
      </c>
      <c r="BA133" t="e">
        <f>'All regions'!F3671+"$F;@!'@("</f>
        <v>#VALUE!</v>
      </c>
      <c r="BB133" t="e">
        <f>'All regions'!G3671+"$F;@!'@)"</f>
        <v>#VALUE!</v>
      </c>
      <c r="BC133" t="e">
        <f>'All regions'!H3671+"$F;@!'@."</f>
        <v>#VALUE!</v>
      </c>
      <c r="BD133" t="e">
        <f>'All regions'!I3671+"$F;@!'@/"</f>
        <v>#VALUE!</v>
      </c>
      <c r="BE133" t="e">
        <f>'All regions'!A3672+"$F;@!'@0"</f>
        <v>#VALUE!</v>
      </c>
      <c r="BF133" t="e">
        <f>'All regions'!B3672+"$F;@!'@1"</f>
        <v>#VALUE!</v>
      </c>
      <c r="BG133" t="e">
        <f>'All regions'!C3672+"$F;@!'@2"</f>
        <v>#VALUE!</v>
      </c>
      <c r="BH133" t="e">
        <f>'All regions'!D3672+"$F;@!'@3"</f>
        <v>#VALUE!</v>
      </c>
      <c r="BI133" t="e">
        <f>'All regions'!E3672+"$F;@!'@4"</f>
        <v>#VALUE!</v>
      </c>
      <c r="BJ133" t="e">
        <f>'All regions'!F3672+"$F;@!'@5"</f>
        <v>#VALUE!</v>
      </c>
      <c r="BK133" t="e">
        <f>'All regions'!G3672+"$F;@!'@6"</f>
        <v>#VALUE!</v>
      </c>
      <c r="BL133" t="e">
        <f>'All regions'!H3672+"$F;@!'@7"</f>
        <v>#VALUE!</v>
      </c>
      <c r="BM133" t="e">
        <f>'All regions'!I3672+"$F;@!'@8"</f>
        <v>#VALUE!</v>
      </c>
      <c r="BN133" t="e">
        <f>'All regions'!A3673+"$F;@!'@9"</f>
        <v>#VALUE!</v>
      </c>
      <c r="BO133" t="e">
        <f>'All regions'!B3673+"$F;@!'@:"</f>
        <v>#VALUE!</v>
      </c>
      <c r="BP133" t="e">
        <f>'All regions'!C3673+"$F;@!'@;"</f>
        <v>#VALUE!</v>
      </c>
      <c r="BQ133" t="e">
        <f>'All regions'!D3673+"$F;@!'@&lt;"</f>
        <v>#VALUE!</v>
      </c>
      <c r="BR133" t="e">
        <f>'All regions'!E3673+"$F;@!'@="</f>
        <v>#VALUE!</v>
      </c>
      <c r="BS133" t="e">
        <f>'All regions'!F3673+"$F;@!'@&gt;"</f>
        <v>#VALUE!</v>
      </c>
      <c r="BT133" t="e">
        <f>'All regions'!G3673+"$F;@!'@?"</f>
        <v>#VALUE!</v>
      </c>
      <c r="BU133" t="e">
        <f>'All regions'!H3673+"$F;@!'@@"</f>
        <v>#VALUE!</v>
      </c>
      <c r="BV133" t="e">
        <f>'All regions'!I3673+"$F;@!'@A"</f>
        <v>#VALUE!</v>
      </c>
      <c r="BW133" t="e">
        <f>'All regions'!A3674+"$F;@!'@B"</f>
        <v>#VALUE!</v>
      </c>
      <c r="BX133" t="e">
        <f>'All regions'!B3674+"$F;@!'@C"</f>
        <v>#VALUE!</v>
      </c>
      <c r="BY133" t="e">
        <f>'All regions'!C3674+"$F;@!'@D"</f>
        <v>#VALUE!</v>
      </c>
      <c r="BZ133" t="e">
        <f>'All regions'!D3674+"$F;@!'@E"</f>
        <v>#VALUE!</v>
      </c>
      <c r="CA133" t="e">
        <f>'All regions'!E3674+"$F;@!'@F"</f>
        <v>#VALUE!</v>
      </c>
      <c r="CB133" t="e">
        <f>'All regions'!F3674+"$F;@!'@G"</f>
        <v>#VALUE!</v>
      </c>
      <c r="CC133" t="e">
        <f>'All regions'!G3674+"$F;@!'@H"</f>
        <v>#VALUE!</v>
      </c>
      <c r="CD133" t="e">
        <f>'All regions'!H3674+"$F;@!'@I"</f>
        <v>#VALUE!</v>
      </c>
      <c r="CE133" t="e">
        <f>'All regions'!I3674+"$F;@!'@J"</f>
        <v>#VALUE!</v>
      </c>
      <c r="CF133" t="e">
        <f>'All regions'!A3675+"$F;@!'@K"</f>
        <v>#VALUE!</v>
      </c>
      <c r="CG133" t="e">
        <f>'All regions'!B3675+"$F;@!'@L"</f>
        <v>#VALUE!</v>
      </c>
      <c r="CH133" t="e">
        <f>'All regions'!C3675+"$F;@!'@M"</f>
        <v>#VALUE!</v>
      </c>
      <c r="CI133" t="e">
        <f>'All regions'!D3675+"$F;@!'@N"</f>
        <v>#VALUE!</v>
      </c>
      <c r="CJ133" t="e">
        <f>'All regions'!E3675+"$F;@!'@O"</f>
        <v>#VALUE!</v>
      </c>
      <c r="CK133" t="e">
        <f>'All regions'!F3675+"$F;@!'@P"</f>
        <v>#VALUE!</v>
      </c>
      <c r="CL133" t="e">
        <f>'All regions'!G3675+"$F;@!'@Q"</f>
        <v>#VALUE!</v>
      </c>
      <c r="CM133" t="e">
        <f>'All regions'!H3675+"$F;@!'@R"</f>
        <v>#VALUE!</v>
      </c>
      <c r="CN133" t="e">
        <f>'All regions'!I3675+"$F;@!'@S"</f>
        <v>#VALUE!</v>
      </c>
      <c r="CO133" t="e">
        <f>'All regions'!A3676+"$F;@!'@T"</f>
        <v>#VALUE!</v>
      </c>
      <c r="CP133" t="e">
        <f>'All regions'!B3676+"$F;@!'@U"</f>
        <v>#VALUE!</v>
      </c>
      <c r="CQ133" t="e">
        <f>'All regions'!C3676+"$F;@!'@V"</f>
        <v>#VALUE!</v>
      </c>
      <c r="CR133" t="e">
        <f>'All regions'!D3676+"$F;@!'@W"</f>
        <v>#VALUE!</v>
      </c>
      <c r="CS133" t="e">
        <f>'All regions'!E3676+"$F;@!'@X"</f>
        <v>#VALUE!</v>
      </c>
      <c r="CT133" t="e">
        <f>'All regions'!F3676+"$F;@!'@Y"</f>
        <v>#VALUE!</v>
      </c>
      <c r="CU133" t="e">
        <f>'All regions'!G3676+"$F;@!'@Z"</f>
        <v>#VALUE!</v>
      </c>
      <c r="CV133" t="e">
        <f>'All regions'!H3676+"$F;@!'@["</f>
        <v>#VALUE!</v>
      </c>
      <c r="CW133" t="e">
        <f>'All regions'!I3676+"$F;@!'@\"</f>
        <v>#VALUE!</v>
      </c>
      <c r="CX133" t="e">
        <f>'All regions'!A3677+"$F;@!'@]"</f>
        <v>#VALUE!</v>
      </c>
      <c r="CY133" t="e">
        <f>'All regions'!B3677+"$F;@!'@^"</f>
        <v>#VALUE!</v>
      </c>
      <c r="CZ133" t="e">
        <f>'All regions'!C3677+"$F;@!'@_"</f>
        <v>#VALUE!</v>
      </c>
      <c r="DA133" t="e">
        <f>'All regions'!D3677+"$F;@!'@`"</f>
        <v>#VALUE!</v>
      </c>
      <c r="DB133" t="e">
        <f>'All regions'!E3677+"$F;@!'@a"</f>
        <v>#VALUE!</v>
      </c>
      <c r="DC133" t="e">
        <f>'All regions'!F3677+"$F;@!'@b"</f>
        <v>#VALUE!</v>
      </c>
      <c r="DD133" t="e">
        <f>'All regions'!G3677+"$F;@!'@c"</f>
        <v>#VALUE!</v>
      </c>
      <c r="DE133" t="e">
        <f>'All regions'!H3677+"$F;@!'@d"</f>
        <v>#VALUE!</v>
      </c>
      <c r="DF133" t="e">
        <f>'All regions'!I3677+"$F;@!'@e"</f>
        <v>#VALUE!</v>
      </c>
      <c r="DG133" t="e">
        <f>'All regions'!A3678+"$F;@!'@f"</f>
        <v>#VALUE!</v>
      </c>
      <c r="DH133" t="e">
        <f>'All regions'!B3678+"$F;@!'@g"</f>
        <v>#VALUE!</v>
      </c>
      <c r="DI133" t="e">
        <f>'All regions'!C3678+"$F;@!'@h"</f>
        <v>#VALUE!</v>
      </c>
      <c r="DJ133" t="e">
        <f>'All regions'!D3678+"$F;@!'@i"</f>
        <v>#VALUE!</v>
      </c>
      <c r="DK133" t="e">
        <f>'All regions'!E3678+"$F;@!'@j"</f>
        <v>#VALUE!</v>
      </c>
      <c r="DL133" t="e">
        <f>'All regions'!F3678+"$F;@!'@k"</f>
        <v>#VALUE!</v>
      </c>
      <c r="DM133" t="e">
        <f>'All regions'!G3678+"$F;@!'@l"</f>
        <v>#VALUE!</v>
      </c>
      <c r="DN133" t="e">
        <f>'All regions'!H3678+"$F;@!'@m"</f>
        <v>#VALUE!</v>
      </c>
      <c r="DO133" t="e">
        <f>'All regions'!I3678+"$F;@!'@n"</f>
        <v>#VALUE!</v>
      </c>
      <c r="DP133" t="e">
        <f>'All regions'!A3679+"$F;@!'@o"</f>
        <v>#VALUE!</v>
      </c>
      <c r="DQ133" t="e">
        <f>'All regions'!B3679+"$F;@!'@p"</f>
        <v>#VALUE!</v>
      </c>
      <c r="DR133" t="e">
        <f>'All regions'!C3679+"$F;@!'@q"</f>
        <v>#VALUE!</v>
      </c>
      <c r="DS133" t="e">
        <f>'All regions'!D3679+"$F;@!'@r"</f>
        <v>#VALUE!</v>
      </c>
      <c r="DT133" t="e">
        <f>'All regions'!E3679+"$F;@!'@s"</f>
        <v>#VALUE!</v>
      </c>
      <c r="DU133" t="e">
        <f>'All regions'!F3679+"$F;@!'@t"</f>
        <v>#VALUE!</v>
      </c>
      <c r="DV133" t="e">
        <f>'All regions'!G3679+"$F;@!'@u"</f>
        <v>#VALUE!</v>
      </c>
      <c r="DW133" t="e">
        <f>'All regions'!H3679+"$F;@!'@v"</f>
        <v>#VALUE!</v>
      </c>
      <c r="DX133" t="e">
        <f>'All regions'!I3679+"$F;@!'@w"</f>
        <v>#VALUE!</v>
      </c>
      <c r="DY133" t="e">
        <f>'All regions'!A3680+"$F;@!'@x"</f>
        <v>#VALUE!</v>
      </c>
      <c r="DZ133" t="e">
        <f>'All regions'!B3680+"$F;@!'@y"</f>
        <v>#VALUE!</v>
      </c>
      <c r="EA133" t="e">
        <f>'All regions'!C3680+"$F;@!'@z"</f>
        <v>#VALUE!</v>
      </c>
      <c r="EB133" t="e">
        <f>'All regions'!D3680+"$F;@!'@{"</f>
        <v>#VALUE!</v>
      </c>
      <c r="EC133" t="e">
        <f>'All regions'!E3680+"$F;@!'@|"</f>
        <v>#VALUE!</v>
      </c>
      <c r="ED133" t="e">
        <f>'All regions'!F3680+"$F;@!'@}"</f>
        <v>#VALUE!</v>
      </c>
      <c r="EE133" t="e">
        <f>'All regions'!G3680+"$F;@!'@~"</f>
        <v>#VALUE!</v>
      </c>
      <c r="EF133" t="e">
        <f>'All regions'!H3680+"$F;@!'A#"</f>
        <v>#VALUE!</v>
      </c>
      <c r="EG133" t="e">
        <f>'All regions'!I3680+"$F;@!'A$"</f>
        <v>#VALUE!</v>
      </c>
      <c r="EH133" t="e">
        <f>'All regions'!A3681+"$F;@!'A%"</f>
        <v>#VALUE!</v>
      </c>
      <c r="EI133" t="e">
        <f>'All regions'!B3681+"$F;@!'A&amp;"</f>
        <v>#VALUE!</v>
      </c>
      <c r="EJ133" t="e">
        <f>'All regions'!C3681+"$F;@!'A'"</f>
        <v>#VALUE!</v>
      </c>
      <c r="EK133" t="e">
        <f>'All regions'!D3681+"$F;@!'A("</f>
        <v>#VALUE!</v>
      </c>
      <c r="EL133" t="e">
        <f>'All regions'!E3681+"$F;@!'A)"</f>
        <v>#VALUE!</v>
      </c>
      <c r="EM133" t="e">
        <f>'All regions'!F3681+"$F;@!'A."</f>
        <v>#VALUE!</v>
      </c>
      <c r="EN133" t="e">
        <f>'All regions'!G3681+"$F;@!'A/"</f>
        <v>#VALUE!</v>
      </c>
      <c r="EO133" t="e">
        <f>'All regions'!H3681+"$F;@!'A0"</f>
        <v>#VALUE!</v>
      </c>
      <c r="EP133" t="e">
        <f>'All regions'!I3681+"$F;@!'A1"</f>
        <v>#VALUE!</v>
      </c>
      <c r="EQ133" t="e">
        <f>'All regions'!A3682+"$F;@!'A2"</f>
        <v>#VALUE!</v>
      </c>
      <c r="ER133" t="e">
        <f>'All regions'!B3682+"$F;@!'A3"</f>
        <v>#VALUE!</v>
      </c>
      <c r="ES133" t="e">
        <f>'All regions'!C3682+"$F;@!'A4"</f>
        <v>#VALUE!</v>
      </c>
      <c r="ET133" t="e">
        <f>'All regions'!D3682+"$F;@!'A5"</f>
        <v>#VALUE!</v>
      </c>
      <c r="EU133" t="e">
        <f>'All regions'!E3682+"$F;@!'A6"</f>
        <v>#VALUE!</v>
      </c>
      <c r="EV133" t="e">
        <f>'All regions'!F3682+"$F;@!'A7"</f>
        <v>#VALUE!</v>
      </c>
      <c r="EW133" t="e">
        <f>'All regions'!G3682+"$F;@!'A8"</f>
        <v>#VALUE!</v>
      </c>
      <c r="EX133" t="e">
        <f>'All regions'!H3682+"$F;@!'A9"</f>
        <v>#VALUE!</v>
      </c>
      <c r="EY133" t="e">
        <f>'All regions'!I3682+"$F;@!'A:"</f>
        <v>#VALUE!</v>
      </c>
      <c r="EZ133" t="e">
        <f>'All regions'!A3683+"$F;@!'A;"</f>
        <v>#VALUE!</v>
      </c>
      <c r="FA133" t="e">
        <f>'All regions'!B3683+"$F;@!'A&lt;"</f>
        <v>#VALUE!</v>
      </c>
      <c r="FB133" t="e">
        <f>'All regions'!C3683+"$F;@!'A="</f>
        <v>#VALUE!</v>
      </c>
      <c r="FC133" t="e">
        <f>'All regions'!D3683+"$F;@!'A&gt;"</f>
        <v>#VALUE!</v>
      </c>
      <c r="FD133" t="e">
        <f>'All regions'!E3683+"$F;@!'A?"</f>
        <v>#VALUE!</v>
      </c>
      <c r="FE133" t="e">
        <f>'All regions'!F3683+"$F;@!'A@"</f>
        <v>#VALUE!</v>
      </c>
      <c r="FF133" t="e">
        <f>'All regions'!G3683+"$F;@!'AA"</f>
        <v>#VALUE!</v>
      </c>
      <c r="FG133" t="e">
        <f>'All regions'!H3683+"$F;@!'AB"</f>
        <v>#VALUE!</v>
      </c>
      <c r="FH133" t="e">
        <f>'All regions'!I3683+"$F;@!'AC"</f>
        <v>#VALUE!</v>
      </c>
      <c r="FI133" t="e">
        <f>'All regions'!A3684+"$F;@!'AD"</f>
        <v>#VALUE!</v>
      </c>
      <c r="FJ133" t="e">
        <f>'All regions'!B3684+"$F;@!'AE"</f>
        <v>#VALUE!</v>
      </c>
      <c r="FK133" t="e">
        <f>'All regions'!C3684+"$F;@!'AF"</f>
        <v>#VALUE!</v>
      </c>
      <c r="FL133" t="e">
        <f>'All regions'!D3684+"$F;@!'AG"</f>
        <v>#VALUE!</v>
      </c>
      <c r="FM133" t="e">
        <f>'All regions'!E3684+"$F;@!'AH"</f>
        <v>#VALUE!</v>
      </c>
      <c r="FN133" t="e">
        <f>'All regions'!F3684+"$F;@!'AI"</f>
        <v>#VALUE!</v>
      </c>
      <c r="FO133" t="e">
        <f>'All regions'!G3684+"$F;@!'AJ"</f>
        <v>#VALUE!</v>
      </c>
      <c r="FP133" t="e">
        <f>'All regions'!H3684+"$F;@!'AK"</f>
        <v>#VALUE!</v>
      </c>
      <c r="FQ133" t="e">
        <f>'All regions'!I3684+"$F;@!'AL"</f>
        <v>#VALUE!</v>
      </c>
      <c r="FR133" t="e">
        <f>'All regions'!A3685+"$F;@!'AM"</f>
        <v>#VALUE!</v>
      </c>
      <c r="FS133" t="e">
        <f>'All regions'!B3685+"$F;@!'AN"</f>
        <v>#VALUE!</v>
      </c>
      <c r="FT133" t="e">
        <f>'All regions'!C3685+"$F;@!'AO"</f>
        <v>#VALUE!</v>
      </c>
      <c r="FU133" t="e">
        <f>'All regions'!D3685+"$F;@!'AP"</f>
        <v>#VALUE!</v>
      </c>
      <c r="FV133" t="e">
        <f>'All regions'!E3685+"$F;@!'AQ"</f>
        <v>#VALUE!</v>
      </c>
      <c r="FW133" t="e">
        <f>'All regions'!F3685+"$F;@!'AR"</f>
        <v>#VALUE!</v>
      </c>
      <c r="FX133" t="e">
        <f>'All regions'!G3685+"$F;@!'AS"</f>
        <v>#VALUE!</v>
      </c>
      <c r="FY133" t="e">
        <f>'All regions'!H3685+"$F;@!'AT"</f>
        <v>#VALUE!</v>
      </c>
      <c r="FZ133" t="e">
        <f>'All regions'!I3685+"$F;@!'AU"</f>
        <v>#VALUE!</v>
      </c>
      <c r="GA133" t="e">
        <f>'All regions'!A3686+"$F;@!'AV"</f>
        <v>#VALUE!</v>
      </c>
      <c r="GB133" t="e">
        <f>'All regions'!B3686+"$F;@!'AW"</f>
        <v>#VALUE!</v>
      </c>
      <c r="GC133" t="e">
        <f>'All regions'!C3686+"$F;@!'AX"</f>
        <v>#VALUE!</v>
      </c>
      <c r="GD133" t="e">
        <f>'All regions'!D3686+"$F;@!'AY"</f>
        <v>#VALUE!</v>
      </c>
      <c r="GE133" t="e">
        <f>'All regions'!E3686+"$F;@!'AZ"</f>
        <v>#VALUE!</v>
      </c>
      <c r="GF133" t="e">
        <f>'All regions'!F3686+"$F;@!'A["</f>
        <v>#VALUE!</v>
      </c>
      <c r="GG133" t="e">
        <f>'All regions'!G3686+"$F;@!'A\"</f>
        <v>#VALUE!</v>
      </c>
      <c r="GH133" t="e">
        <f>'All regions'!H3686+"$F;@!'A]"</f>
        <v>#VALUE!</v>
      </c>
      <c r="GI133" t="e">
        <f>'All regions'!I3686+"$F;@!'A^"</f>
        <v>#VALUE!</v>
      </c>
      <c r="GJ133" t="e">
        <f>'All regions'!A3687+"$F;@!'A_"</f>
        <v>#VALUE!</v>
      </c>
      <c r="GK133" t="e">
        <f>'All regions'!B3687+"$F;@!'A`"</f>
        <v>#VALUE!</v>
      </c>
      <c r="GL133" t="e">
        <f>'All regions'!C3687+"$F;@!'Aa"</f>
        <v>#VALUE!</v>
      </c>
      <c r="GM133" t="e">
        <f>'All regions'!D3687+"$F;@!'Ab"</f>
        <v>#VALUE!</v>
      </c>
      <c r="GN133" t="e">
        <f>'All regions'!E3687+"$F;@!'Ac"</f>
        <v>#VALUE!</v>
      </c>
      <c r="GO133" t="e">
        <f>'All regions'!F3687+"$F;@!'Ad"</f>
        <v>#VALUE!</v>
      </c>
      <c r="GP133" t="e">
        <f>'All regions'!G3687+"$F;@!'Ae"</f>
        <v>#VALUE!</v>
      </c>
      <c r="GQ133" t="e">
        <f>'All regions'!H3687+"$F;@!'Af"</f>
        <v>#VALUE!</v>
      </c>
      <c r="GR133" t="e">
        <f>'All regions'!I3687+"$F;@!'Ag"</f>
        <v>#VALUE!</v>
      </c>
      <c r="GS133" t="e">
        <f>'All regions'!A3688+"$F;@!'Ah"</f>
        <v>#VALUE!</v>
      </c>
      <c r="GT133" t="e">
        <f>'All regions'!B3688+"$F;@!'Ai"</f>
        <v>#VALUE!</v>
      </c>
      <c r="GU133" t="e">
        <f>'All regions'!C3688+"$F;@!'Aj"</f>
        <v>#VALUE!</v>
      </c>
      <c r="GV133" t="e">
        <f>'All regions'!D3688+"$F;@!'Ak"</f>
        <v>#VALUE!</v>
      </c>
      <c r="GW133" t="e">
        <f>'All regions'!E3688+"$F;@!'Al"</f>
        <v>#VALUE!</v>
      </c>
      <c r="GX133" t="e">
        <f>'All regions'!F3688+"$F;@!'Am"</f>
        <v>#VALUE!</v>
      </c>
      <c r="GY133" t="e">
        <f>'All regions'!G3688+"$F;@!'An"</f>
        <v>#VALUE!</v>
      </c>
      <c r="GZ133" t="e">
        <f>'All regions'!H3688+"$F;@!'Ao"</f>
        <v>#VALUE!</v>
      </c>
      <c r="HA133" t="e">
        <f>'All regions'!I3688+"$F;@!'Ap"</f>
        <v>#VALUE!</v>
      </c>
      <c r="HB133" t="e">
        <f>'All regions'!A3689+"$F;@!'Aq"</f>
        <v>#VALUE!</v>
      </c>
      <c r="HC133" t="e">
        <f>'All regions'!B3689+"$F;@!'Ar"</f>
        <v>#VALUE!</v>
      </c>
      <c r="HD133" t="e">
        <f>'All regions'!C3689+"$F;@!'As"</f>
        <v>#VALUE!</v>
      </c>
      <c r="HE133" t="e">
        <f>'All regions'!D3689+"$F;@!'At"</f>
        <v>#VALUE!</v>
      </c>
      <c r="HF133" t="e">
        <f>'All regions'!E3689+"$F;@!'Au"</f>
        <v>#VALUE!</v>
      </c>
      <c r="HG133" t="e">
        <f>'All regions'!F3689+"$F;@!'Av"</f>
        <v>#VALUE!</v>
      </c>
      <c r="HH133" t="e">
        <f>'All regions'!G3689+"$F;@!'Aw"</f>
        <v>#VALUE!</v>
      </c>
      <c r="HI133" t="e">
        <f>'All regions'!H3689+"$F;@!'Ax"</f>
        <v>#VALUE!</v>
      </c>
      <c r="HJ133" t="e">
        <f>'All regions'!I3689+"$F;@!'Ay"</f>
        <v>#VALUE!</v>
      </c>
      <c r="HK133" t="e">
        <f>'All regions'!A3690+"$F;@!'Az"</f>
        <v>#VALUE!</v>
      </c>
      <c r="HL133" t="e">
        <f>'All regions'!B3690+"$F;@!'A{"</f>
        <v>#VALUE!</v>
      </c>
      <c r="HM133" t="e">
        <f>'All regions'!C3690+"$F;@!'A|"</f>
        <v>#VALUE!</v>
      </c>
      <c r="HN133" t="e">
        <f>'All regions'!D3690+"$F;@!'A}"</f>
        <v>#VALUE!</v>
      </c>
      <c r="HO133" t="e">
        <f>'All regions'!E3690+"$F;@!'A~"</f>
        <v>#VALUE!</v>
      </c>
      <c r="HP133" t="e">
        <f>'All regions'!F3690+"$F;@!'B#"</f>
        <v>#VALUE!</v>
      </c>
      <c r="HQ133" t="e">
        <f>'All regions'!G3690+"$F;@!'B$"</f>
        <v>#VALUE!</v>
      </c>
      <c r="HR133" t="e">
        <f>'All regions'!H3690+"$F;@!'B%"</f>
        <v>#VALUE!</v>
      </c>
      <c r="HS133" t="e">
        <f>'All regions'!I3690+"$F;@!'B&amp;"</f>
        <v>#VALUE!</v>
      </c>
      <c r="HT133" t="e">
        <f>'All regions'!A3691+"$F;@!'B'"</f>
        <v>#VALUE!</v>
      </c>
      <c r="HU133" t="e">
        <f>'All regions'!B3691+"$F;@!'B("</f>
        <v>#VALUE!</v>
      </c>
      <c r="HV133" t="e">
        <f>'All regions'!C3691+"$F;@!'B)"</f>
        <v>#VALUE!</v>
      </c>
      <c r="HW133" t="e">
        <f>'All regions'!D3691+"$F;@!'B."</f>
        <v>#VALUE!</v>
      </c>
      <c r="HX133" t="e">
        <f>'All regions'!E3691+"$F;@!'B/"</f>
        <v>#VALUE!</v>
      </c>
      <c r="HY133" t="e">
        <f>'All regions'!F3691+"$F;@!'B0"</f>
        <v>#VALUE!</v>
      </c>
      <c r="HZ133" t="e">
        <f>'All regions'!G3691+"$F;@!'B1"</f>
        <v>#VALUE!</v>
      </c>
      <c r="IA133" t="e">
        <f>'All regions'!H3691+"$F;@!'B2"</f>
        <v>#VALUE!</v>
      </c>
      <c r="IB133" t="e">
        <f>'All regions'!I3691+"$F;@!'B3"</f>
        <v>#VALUE!</v>
      </c>
      <c r="IC133" t="e">
        <f>'All regions'!A3692+"$F;@!'B4"</f>
        <v>#VALUE!</v>
      </c>
      <c r="ID133" t="e">
        <f>'All regions'!B3692+"$F;@!'B5"</f>
        <v>#VALUE!</v>
      </c>
      <c r="IE133" t="e">
        <f>'All regions'!C3692+"$F;@!'B6"</f>
        <v>#VALUE!</v>
      </c>
      <c r="IF133" t="e">
        <f>'All regions'!D3692+"$F;@!'B7"</f>
        <v>#VALUE!</v>
      </c>
      <c r="IG133" t="e">
        <f>'All regions'!E3692+"$F;@!'B8"</f>
        <v>#VALUE!</v>
      </c>
      <c r="IH133" t="e">
        <f>'All regions'!F3692+"$F;@!'B9"</f>
        <v>#VALUE!</v>
      </c>
      <c r="II133" t="e">
        <f>'All regions'!G3692+"$F;@!'B:"</f>
        <v>#VALUE!</v>
      </c>
      <c r="IJ133" t="e">
        <f>'All regions'!H3692+"$F;@!'B;"</f>
        <v>#VALUE!</v>
      </c>
      <c r="IK133" t="e">
        <f>'All regions'!I3692+"$F;@!'B&lt;"</f>
        <v>#VALUE!</v>
      </c>
      <c r="IL133" t="e">
        <f>'All regions'!A3693+"$F;@!'B="</f>
        <v>#VALUE!</v>
      </c>
      <c r="IM133" t="e">
        <f>'All regions'!B3693+"$F;@!'B&gt;"</f>
        <v>#VALUE!</v>
      </c>
      <c r="IN133" t="e">
        <f>'All regions'!C3693+"$F;@!'B?"</f>
        <v>#VALUE!</v>
      </c>
      <c r="IO133" t="e">
        <f>'All regions'!D3693+"$F;@!'B@"</f>
        <v>#VALUE!</v>
      </c>
      <c r="IP133" t="e">
        <f>'All regions'!E3693+"$F;@!'BA"</f>
        <v>#VALUE!</v>
      </c>
      <c r="IQ133" t="e">
        <f>'All regions'!F3693+"$F;@!'BB"</f>
        <v>#VALUE!</v>
      </c>
      <c r="IR133" t="e">
        <f>'All regions'!G3693+"$F;@!'BC"</f>
        <v>#VALUE!</v>
      </c>
      <c r="IS133" t="e">
        <f>'All regions'!H3693+"$F;@!'BD"</f>
        <v>#VALUE!</v>
      </c>
      <c r="IT133" t="e">
        <f>'All regions'!I3693+"$F;@!'BE"</f>
        <v>#VALUE!</v>
      </c>
      <c r="IU133" t="e">
        <f>'All regions'!A3694+"$F;@!'BF"</f>
        <v>#VALUE!</v>
      </c>
      <c r="IV133" t="e">
        <f>'All regions'!B3694+"$F;@!'BG"</f>
        <v>#VALUE!</v>
      </c>
    </row>
    <row r="134" spans="6:256" x14ac:dyDescent="0.35">
      <c r="F134" t="e">
        <f>'All regions'!C3694+"$F;@!'BH"</f>
        <v>#VALUE!</v>
      </c>
      <c r="G134" t="e">
        <f>'All regions'!D3694+"$F;@!'BI"</f>
        <v>#VALUE!</v>
      </c>
      <c r="H134" t="e">
        <f>'All regions'!E3694+"$F;@!'BJ"</f>
        <v>#VALUE!</v>
      </c>
      <c r="I134" t="e">
        <f>'All regions'!F3694+"$F;@!'BK"</f>
        <v>#VALUE!</v>
      </c>
      <c r="J134" t="e">
        <f>'All regions'!G3694+"$F;@!'BL"</f>
        <v>#VALUE!</v>
      </c>
      <c r="K134" t="e">
        <f>'All regions'!H3694+"$F;@!'BM"</f>
        <v>#VALUE!</v>
      </c>
      <c r="L134" t="e">
        <f>'All regions'!I3694+"$F;@!'BN"</f>
        <v>#VALUE!</v>
      </c>
      <c r="M134" t="e">
        <f>'All regions'!A3695+"$F;@!'BO"</f>
        <v>#VALUE!</v>
      </c>
      <c r="N134" t="e">
        <f>'All regions'!B3695+"$F;@!'BP"</f>
        <v>#VALUE!</v>
      </c>
      <c r="O134" t="e">
        <f>'All regions'!C3695+"$F;@!'BQ"</f>
        <v>#VALUE!</v>
      </c>
      <c r="P134" t="e">
        <f>'All regions'!D3695+"$F;@!'BR"</f>
        <v>#VALUE!</v>
      </c>
      <c r="Q134" t="e">
        <f>'All regions'!E3695+"$F;@!'BS"</f>
        <v>#VALUE!</v>
      </c>
      <c r="R134" t="e">
        <f>'All regions'!F3695+"$F;@!'BT"</f>
        <v>#VALUE!</v>
      </c>
      <c r="S134" t="e">
        <f>'All regions'!G3695+"$F;@!'BU"</f>
        <v>#VALUE!</v>
      </c>
      <c r="T134" t="e">
        <f>'All regions'!H3695+"$F;@!'BV"</f>
        <v>#VALUE!</v>
      </c>
      <c r="U134" t="e">
        <f>'All regions'!I3695+"$F;@!'BW"</f>
        <v>#VALUE!</v>
      </c>
      <c r="V134" t="e">
        <f>'All regions'!A3696+"$F;@!'BX"</f>
        <v>#VALUE!</v>
      </c>
      <c r="W134" t="e">
        <f>'All regions'!B3696+"$F;@!'BY"</f>
        <v>#VALUE!</v>
      </c>
      <c r="X134" t="e">
        <f>'All regions'!C3696+"$F;@!'BZ"</f>
        <v>#VALUE!</v>
      </c>
      <c r="Y134" t="e">
        <f>'All regions'!D3696+"$F;@!'B["</f>
        <v>#VALUE!</v>
      </c>
      <c r="Z134" t="e">
        <f>'All regions'!E3696+"$F;@!'B\"</f>
        <v>#VALUE!</v>
      </c>
      <c r="AA134" t="e">
        <f>'All regions'!F3696+"$F;@!'B]"</f>
        <v>#VALUE!</v>
      </c>
      <c r="AB134" t="e">
        <f>'All regions'!G3696+"$F;@!'B^"</f>
        <v>#VALUE!</v>
      </c>
      <c r="AC134" t="e">
        <f>'All regions'!H3696+"$F;@!'B_"</f>
        <v>#VALUE!</v>
      </c>
      <c r="AD134" t="e">
        <f>'All regions'!I3696+"$F;@!'B`"</f>
        <v>#VALUE!</v>
      </c>
      <c r="AE134" t="e">
        <f>'All regions'!A3697+"$F;@!'Ba"</f>
        <v>#VALUE!</v>
      </c>
      <c r="AF134" t="e">
        <f>'All regions'!B3697+"$F;@!'Bb"</f>
        <v>#VALUE!</v>
      </c>
      <c r="AG134" t="e">
        <f>'All regions'!C3697+"$F;@!'Bc"</f>
        <v>#VALUE!</v>
      </c>
      <c r="AH134" t="e">
        <f>'All regions'!D3697+"$F;@!'Bd"</f>
        <v>#VALUE!</v>
      </c>
      <c r="AI134" t="e">
        <f>'All regions'!E3697+"$F;@!'Be"</f>
        <v>#VALUE!</v>
      </c>
      <c r="AJ134" t="e">
        <f>'All regions'!F3697+"$F;@!'Bf"</f>
        <v>#VALUE!</v>
      </c>
      <c r="AK134" t="e">
        <f>'All regions'!G3697+"$F;@!'Bg"</f>
        <v>#VALUE!</v>
      </c>
      <c r="AL134" t="e">
        <f>'All regions'!H3697+"$F;@!'Bh"</f>
        <v>#VALUE!</v>
      </c>
      <c r="AM134" t="e">
        <f>'All regions'!I3697+"$F;@!'Bi"</f>
        <v>#VALUE!</v>
      </c>
      <c r="AN134" t="e">
        <f>'All regions'!A3698+"$F;@!'Bj"</f>
        <v>#VALUE!</v>
      </c>
      <c r="AO134" t="e">
        <f>'All regions'!B3698+"$F;@!'Bk"</f>
        <v>#VALUE!</v>
      </c>
      <c r="AP134" t="e">
        <f>'All regions'!C3698+"$F;@!'Bl"</f>
        <v>#VALUE!</v>
      </c>
      <c r="AQ134" t="e">
        <f>'All regions'!D3698+"$F;@!'Bm"</f>
        <v>#VALUE!</v>
      </c>
      <c r="AR134" t="e">
        <f>'All regions'!E3698+"$F;@!'Bn"</f>
        <v>#VALUE!</v>
      </c>
      <c r="AS134" t="e">
        <f>'All regions'!F3698+"$F;@!'Bo"</f>
        <v>#VALUE!</v>
      </c>
      <c r="AT134" t="e">
        <f>'All regions'!G3698+"$F;@!'Bp"</f>
        <v>#VALUE!</v>
      </c>
      <c r="AU134" t="e">
        <f>'All regions'!H3698+"$F;@!'Bq"</f>
        <v>#VALUE!</v>
      </c>
      <c r="AV134" t="e">
        <f>'All regions'!I3698+"$F;@!'Br"</f>
        <v>#VALUE!</v>
      </c>
      <c r="AW134" t="e">
        <f>'All regions'!A3699+"$F;@!'Bs"</f>
        <v>#VALUE!</v>
      </c>
      <c r="AX134" t="e">
        <f>'All regions'!B3699+"$F;@!'Bt"</f>
        <v>#VALUE!</v>
      </c>
      <c r="AY134" t="e">
        <f>'All regions'!C3699+"$F;@!'Bu"</f>
        <v>#VALUE!</v>
      </c>
      <c r="AZ134" t="e">
        <f>'All regions'!D3699+"$F;@!'Bv"</f>
        <v>#VALUE!</v>
      </c>
      <c r="BA134" t="e">
        <f>'All regions'!E3699+"$F;@!'Bw"</f>
        <v>#VALUE!</v>
      </c>
      <c r="BB134" t="e">
        <f>'All regions'!F3699+"$F;@!'Bx"</f>
        <v>#VALUE!</v>
      </c>
      <c r="BC134" t="e">
        <f>'All regions'!G3699+"$F;@!'By"</f>
        <v>#VALUE!</v>
      </c>
      <c r="BD134" t="e">
        <f>'All regions'!H3699+"$F;@!'Bz"</f>
        <v>#VALUE!</v>
      </c>
      <c r="BE134" t="e">
        <f>'All regions'!I3699+"$F;@!'B{"</f>
        <v>#VALUE!</v>
      </c>
      <c r="BF134" t="e">
        <f>'All regions'!A3700+"$F;@!'B|"</f>
        <v>#VALUE!</v>
      </c>
      <c r="BG134" t="e">
        <f>'All regions'!B3700+"$F;@!'B}"</f>
        <v>#VALUE!</v>
      </c>
      <c r="BH134" t="e">
        <f>'All regions'!C3700+"$F;@!'B~"</f>
        <v>#VALUE!</v>
      </c>
      <c r="BI134" t="e">
        <f>'All regions'!D3700+"$F;@!'C#"</f>
        <v>#VALUE!</v>
      </c>
      <c r="BJ134" t="e">
        <f>'All regions'!E3700+"$F;@!'C$"</f>
        <v>#VALUE!</v>
      </c>
      <c r="BK134" t="e">
        <f>'All regions'!F3700+"$F;@!'C%"</f>
        <v>#VALUE!</v>
      </c>
      <c r="BL134" t="e">
        <f>'All regions'!G3700+"$F;@!'C&amp;"</f>
        <v>#VALUE!</v>
      </c>
      <c r="BM134" t="e">
        <f>'All regions'!H3700+"$F;@!'C'"</f>
        <v>#VALUE!</v>
      </c>
      <c r="BN134" t="e">
        <f>'All regions'!I3700+"$F;@!'C("</f>
        <v>#VALUE!</v>
      </c>
      <c r="BO134" t="e">
        <f>'All regions'!A3701+"$F;@!'C)"</f>
        <v>#VALUE!</v>
      </c>
      <c r="BP134" t="e">
        <f>'All regions'!B3701+"$F;@!'C."</f>
        <v>#VALUE!</v>
      </c>
      <c r="BQ134" t="e">
        <f>'All regions'!C3701+"$F;@!'C/"</f>
        <v>#VALUE!</v>
      </c>
      <c r="BR134" t="e">
        <f>'All regions'!D3701+"$F;@!'C0"</f>
        <v>#VALUE!</v>
      </c>
      <c r="BS134" t="e">
        <f>'All regions'!E3701+"$F;@!'C1"</f>
        <v>#VALUE!</v>
      </c>
      <c r="BT134" t="e">
        <f>'All regions'!F3701+"$F;@!'C2"</f>
        <v>#VALUE!</v>
      </c>
      <c r="BU134" t="e">
        <f>'All regions'!G3701+"$F;@!'C3"</f>
        <v>#VALUE!</v>
      </c>
      <c r="BV134" t="e">
        <f>'All regions'!H3701+"$F;@!'C4"</f>
        <v>#VALUE!</v>
      </c>
      <c r="BW134" t="e">
        <f>'All regions'!I3701+"$F;@!'C5"</f>
        <v>#VALUE!</v>
      </c>
      <c r="BX134" t="e">
        <f>'All regions'!A3702+"$F;@!'C6"</f>
        <v>#VALUE!</v>
      </c>
      <c r="BY134" t="e">
        <f>'All regions'!B3702+"$F;@!'C7"</f>
        <v>#VALUE!</v>
      </c>
      <c r="BZ134" t="e">
        <f>'All regions'!C3702+"$F;@!'C8"</f>
        <v>#VALUE!</v>
      </c>
      <c r="CA134" t="e">
        <f>'All regions'!D3702+"$F;@!'C9"</f>
        <v>#VALUE!</v>
      </c>
      <c r="CB134" t="e">
        <f>'All regions'!E3702+"$F;@!'C:"</f>
        <v>#VALUE!</v>
      </c>
      <c r="CC134" t="e">
        <f>'All regions'!F3702+"$F;@!'C;"</f>
        <v>#VALUE!</v>
      </c>
      <c r="CD134" t="e">
        <f>'All regions'!G3702+"$F;@!'C&lt;"</f>
        <v>#VALUE!</v>
      </c>
      <c r="CE134" t="e">
        <f>'All regions'!H3702+"$F;@!'C="</f>
        <v>#VALUE!</v>
      </c>
      <c r="CF134" t="e">
        <f>'All regions'!I3702+"$F;@!'C&gt;"</f>
        <v>#VALUE!</v>
      </c>
      <c r="CG134" t="e">
        <f>'All regions'!A3703+"$F;@!'C?"</f>
        <v>#VALUE!</v>
      </c>
      <c r="CH134" t="e">
        <f>'All regions'!B3703+"$F;@!'C@"</f>
        <v>#VALUE!</v>
      </c>
      <c r="CI134" t="e">
        <f>'All regions'!C3703+"$F;@!'CA"</f>
        <v>#VALUE!</v>
      </c>
      <c r="CJ134" t="e">
        <f>'All regions'!D3703+"$F;@!'CB"</f>
        <v>#VALUE!</v>
      </c>
      <c r="CK134" t="e">
        <f>'All regions'!E3703+"$F;@!'CC"</f>
        <v>#VALUE!</v>
      </c>
      <c r="CL134" t="e">
        <f>'All regions'!F3703+"$F;@!'CD"</f>
        <v>#VALUE!</v>
      </c>
      <c r="CM134" t="e">
        <f>'All regions'!G3703+"$F;@!'CE"</f>
        <v>#VALUE!</v>
      </c>
      <c r="CN134" t="e">
        <f>'All regions'!H3703+"$F;@!'CF"</f>
        <v>#VALUE!</v>
      </c>
      <c r="CO134" t="e">
        <f>'All regions'!I3703+"$F;@!'CG"</f>
        <v>#VALUE!</v>
      </c>
      <c r="CP134" t="e">
        <f>'All regions'!A3704+"$F;@!'CH"</f>
        <v>#VALUE!</v>
      </c>
      <c r="CQ134" t="e">
        <f>'All regions'!B3704+"$F;@!'CI"</f>
        <v>#VALUE!</v>
      </c>
      <c r="CR134" t="e">
        <f>'All regions'!C3704+"$F;@!'CJ"</f>
        <v>#VALUE!</v>
      </c>
      <c r="CS134" t="e">
        <f>'All regions'!D3704+"$F;@!'CK"</f>
        <v>#VALUE!</v>
      </c>
      <c r="CT134" t="e">
        <f>'All regions'!E3704+"$F;@!'CL"</f>
        <v>#VALUE!</v>
      </c>
      <c r="CU134" t="e">
        <f>'All regions'!F3704+"$F;@!'CM"</f>
        <v>#VALUE!</v>
      </c>
      <c r="CV134" t="e">
        <f>'All regions'!G3704+"$F;@!'CN"</f>
        <v>#VALUE!</v>
      </c>
      <c r="CW134" t="e">
        <f>'All regions'!H3704+"$F;@!'CO"</f>
        <v>#VALUE!</v>
      </c>
      <c r="CX134" t="e">
        <f>'All regions'!I3704+"$F;@!'CP"</f>
        <v>#VALUE!</v>
      </c>
      <c r="CY134" t="e">
        <f>'All regions'!A3705+"$F;@!'CQ"</f>
        <v>#VALUE!</v>
      </c>
      <c r="CZ134" t="e">
        <f>'All regions'!B3705+"$F;@!'CR"</f>
        <v>#VALUE!</v>
      </c>
      <c r="DA134" t="e">
        <f>'All regions'!C3705+"$F;@!'CS"</f>
        <v>#VALUE!</v>
      </c>
      <c r="DB134" t="e">
        <f>'All regions'!D3705+"$F;@!'CT"</f>
        <v>#VALUE!</v>
      </c>
      <c r="DC134" t="e">
        <f>'All regions'!E3705+"$F;@!'CU"</f>
        <v>#VALUE!</v>
      </c>
      <c r="DD134" t="e">
        <f>'All regions'!F3705+"$F;@!'CV"</f>
        <v>#VALUE!</v>
      </c>
      <c r="DE134" t="e">
        <f>'All regions'!G3705+"$F;@!'CW"</f>
        <v>#VALUE!</v>
      </c>
      <c r="DF134" t="e">
        <f>'All regions'!H3705+"$F;@!'CX"</f>
        <v>#VALUE!</v>
      </c>
      <c r="DG134" t="e">
        <f>'All regions'!I3705+"$F;@!'CY"</f>
        <v>#VALUE!</v>
      </c>
      <c r="DH134" t="e">
        <f>'All regions'!A3706+"$F;@!'CZ"</f>
        <v>#VALUE!</v>
      </c>
      <c r="DI134" t="e">
        <f>'All regions'!B3706+"$F;@!'C["</f>
        <v>#VALUE!</v>
      </c>
      <c r="DJ134" t="e">
        <f>'All regions'!C3706+"$F;@!'C\"</f>
        <v>#VALUE!</v>
      </c>
      <c r="DK134" t="e">
        <f>'All regions'!D3706+"$F;@!'C]"</f>
        <v>#VALUE!</v>
      </c>
      <c r="DL134" t="e">
        <f>'All regions'!E3706+"$F;@!'C^"</f>
        <v>#VALUE!</v>
      </c>
      <c r="DM134" t="e">
        <f>'All regions'!F3706+"$F;@!'C_"</f>
        <v>#VALUE!</v>
      </c>
      <c r="DN134" t="e">
        <f>'All regions'!G3706+"$F;@!'C`"</f>
        <v>#VALUE!</v>
      </c>
      <c r="DO134" t="e">
        <f>'All regions'!H3706+"$F;@!'Ca"</f>
        <v>#VALUE!</v>
      </c>
      <c r="DP134" t="e">
        <f>'All regions'!I3706+"$F;@!'Cb"</f>
        <v>#VALUE!</v>
      </c>
      <c r="DQ134" t="e">
        <f>'All regions'!A3707+"$F;@!'Cc"</f>
        <v>#VALUE!</v>
      </c>
      <c r="DR134" t="e">
        <f>'All regions'!B3707+"$F;@!'Cd"</f>
        <v>#VALUE!</v>
      </c>
      <c r="DS134" t="e">
        <f>'All regions'!C3707+"$F;@!'Ce"</f>
        <v>#VALUE!</v>
      </c>
      <c r="DT134" t="e">
        <f>'All regions'!D3707+"$F;@!'Cf"</f>
        <v>#VALUE!</v>
      </c>
      <c r="DU134" t="e">
        <f>'All regions'!E3707+"$F;@!'Cg"</f>
        <v>#VALUE!</v>
      </c>
      <c r="DV134" t="e">
        <f>'All regions'!F3707+"$F;@!'Ch"</f>
        <v>#VALUE!</v>
      </c>
      <c r="DW134" t="e">
        <f>'All regions'!G3707+"$F;@!'Ci"</f>
        <v>#VALUE!</v>
      </c>
      <c r="DX134" t="e">
        <f>'All regions'!H3707+"$F;@!'Cj"</f>
        <v>#VALUE!</v>
      </c>
      <c r="DY134" t="e">
        <f>'All regions'!I3707+"$F;@!'Ck"</f>
        <v>#VALUE!</v>
      </c>
      <c r="DZ134" t="e">
        <f>'All regions'!A3708+"$F;@!'Cl"</f>
        <v>#VALUE!</v>
      </c>
      <c r="EA134" t="e">
        <f>'All regions'!B3708+"$F;@!'Cm"</f>
        <v>#VALUE!</v>
      </c>
      <c r="EB134" t="e">
        <f>'All regions'!C3708+"$F;@!'Cn"</f>
        <v>#VALUE!</v>
      </c>
      <c r="EC134" t="e">
        <f>'All regions'!D3708+"$F;@!'Co"</f>
        <v>#VALUE!</v>
      </c>
      <c r="ED134" t="e">
        <f>'All regions'!E3708+"$F;@!'Cp"</f>
        <v>#VALUE!</v>
      </c>
      <c r="EE134" t="e">
        <f>'All regions'!F3708+"$F;@!'Cq"</f>
        <v>#VALUE!</v>
      </c>
      <c r="EF134" t="e">
        <f>'All regions'!G3708+"$F;@!'Cr"</f>
        <v>#VALUE!</v>
      </c>
      <c r="EG134" t="e">
        <f>'All regions'!H3708+"$F;@!'Cs"</f>
        <v>#VALUE!</v>
      </c>
      <c r="EH134" t="e">
        <f>'All regions'!I3708+"$F;@!'Ct"</f>
        <v>#VALUE!</v>
      </c>
      <c r="EI134" t="e">
        <f>'All regions'!A3709+"$F;@!'Cu"</f>
        <v>#VALUE!</v>
      </c>
      <c r="EJ134" t="e">
        <f>'All regions'!B3709+"$F;@!'Cv"</f>
        <v>#VALUE!</v>
      </c>
      <c r="EK134" t="e">
        <f>'All regions'!C3709+"$F;@!'Cw"</f>
        <v>#VALUE!</v>
      </c>
      <c r="EL134" t="e">
        <f>'All regions'!D3709+"$F;@!'Cx"</f>
        <v>#VALUE!</v>
      </c>
      <c r="EM134" t="e">
        <f>'All regions'!E3709+"$F;@!'Cy"</f>
        <v>#VALUE!</v>
      </c>
      <c r="EN134" t="e">
        <f>'All regions'!F3709+"$F;@!'Cz"</f>
        <v>#VALUE!</v>
      </c>
      <c r="EO134" t="e">
        <f>'All regions'!G3709+"$F;@!'C{"</f>
        <v>#VALUE!</v>
      </c>
      <c r="EP134" t="e">
        <f>'All regions'!H3709+"$F;@!'C|"</f>
        <v>#VALUE!</v>
      </c>
      <c r="EQ134" t="e">
        <f>'All regions'!I3709+"$F;@!'C}"</f>
        <v>#VALUE!</v>
      </c>
      <c r="ER134" t="e">
        <f>'All regions'!A3710+"$F;@!'C~"</f>
        <v>#VALUE!</v>
      </c>
      <c r="ES134" t="e">
        <f>'All regions'!B3710+"$F;@!'D#"</f>
        <v>#VALUE!</v>
      </c>
      <c r="ET134" t="e">
        <f>'All regions'!C3710+"$F;@!'D$"</f>
        <v>#VALUE!</v>
      </c>
      <c r="EU134" t="e">
        <f>'All regions'!D3710+"$F;@!'D%"</f>
        <v>#VALUE!</v>
      </c>
      <c r="EV134" t="e">
        <f>'All regions'!E3710+"$F;@!'D&amp;"</f>
        <v>#VALUE!</v>
      </c>
      <c r="EW134" t="e">
        <f>'All regions'!F3710+"$F;@!'D'"</f>
        <v>#VALUE!</v>
      </c>
      <c r="EX134" t="e">
        <f>'All regions'!G3710+"$F;@!'D("</f>
        <v>#VALUE!</v>
      </c>
      <c r="EY134" t="e">
        <f>'All regions'!H3710+"$F;@!'D)"</f>
        <v>#VALUE!</v>
      </c>
      <c r="EZ134" t="e">
        <f>'All regions'!I3710+"$F;@!'D."</f>
        <v>#VALUE!</v>
      </c>
      <c r="FA134" t="e">
        <f>'All regions'!A3711+"$F;@!'D/"</f>
        <v>#VALUE!</v>
      </c>
      <c r="FB134" t="e">
        <f>'All regions'!B3711+"$F;@!'D0"</f>
        <v>#VALUE!</v>
      </c>
      <c r="FC134" t="e">
        <f>'All regions'!C3711+"$F;@!'D1"</f>
        <v>#VALUE!</v>
      </c>
      <c r="FD134" t="e">
        <f>'All regions'!D3711+"$F;@!'D2"</f>
        <v>#VALUE!</v>
      </c>
      <c r="FE134" t="e">
        <f>'All regions'!E3711+"$F;@!'D3"</f>
        <v>#VALUE!</v>
      </c>
      <c r="FF134" t="e">
        <f>'All regions'!F3711+"$F;@!'D4"</f>
        <v>#VALUE!</v>
      </c>
      <c r="FG134" t="e">
        <f>'All regions'!G3711+"$F;@!'D5"</f>
        <v>#VALUE!</v>
      </c>
      <c r="FH134" t="e">
        <f>'All regions'!H3711+"$F;@!'D6"</f>
        <v>#VALUE!</v>
      </c>
      <c r="FI134" t="e">
        <f>'All regions'!I3711+"$F;@!'D7"</f>
        <v>#VALUE!</v>
      </c>
      <c r="FJ134" t="e">
        <f>'All regions'!A3712+"$F;@!'D8"</f>
        <v>#VALUE!</v>
      </c>
      <c r="FK134" t="e">
        <f>'All regions'!B3712+"$F;@!'D9"</f>
        <v>#VALUE!</v>
      </c>
      <c r="FL134" t="e">
        <f>'All regions'!C3712+"$F;@!'D:"</f>
        <v>#VALUE!</v>
      </c>
      <c r="FM134" t="e">
        <f>'All regions'!D3712+"$F;@!'D;"</f>
        <v>#VALUE!</v>
      </c>
      <c r="FN134" t="e">
        <f>'All regions'!E3712+"$F;@!'D&lt;"</f>
        <v>#VALUE!</v>
      </c>
      <c r="FO134" t="e">
        <f>'All regions'!F3712+"$F;@!'D="</f>
        <v>#VALUE!</v>
      </c>
      <c r="FP134" t="e">
        <f>'All regions'!G3712+"$F;@!'D&gt;"</f>
        <v>#VALUE!</v>
      </c>
      <c r="FQ134" t="e">
        <f>'All regions'!H3712+"$F;@!'D?"</f>
        <v>#VALUE!</v>
      </c>
      <c r="FR134" t="e">
        <f>'All regions'!I3712+"$F;@!'D@"</f>
        <v>#VALUE!</v>
      </c>
      <c r="FS134" t="e">
        <f>'All regions'!A3713+"$F;@!'DA"</f>
        <v>#VALUE!</v>
      </c>
      <c r="FT134" t="e">
        <f>'All regions'!B3713+"$F;@!'DB"</f>
        <v>#VALUE!</v>
      </c>
      <c r="FU134" t="e">
        <f>'All regions'!C3713+"$F;@!'DC"</f>
        <v>#VALUE!</v>
      </c>
      <c r="FV134" t="e">
        <f>'All regions'!D3713+"$F;@!'DD"</f>
        <v>#VALUE!</v>
      </c>
      <c r="FW134" t="e">
        <f>'All regions'!E3713+"$F;@!'DE"</f>
        <v>#VALUE!</v>
      </c>
      <c r="FX134" t="e">
        <f>'All regions'!F3713+"$F;@!'DF"</f>
        <v>#VALUE!</v>
      </c>
      <c r="FY134" t="e">
        <f>'All regions'!G3713+"$F;@!'DG"</f>
        <v>#VALUE!</v>
      </c>
      <c r="FZ134" t="e">
        <f>'All regions'!H3713+"$F;@!'DH"</f>
        <v>#VALUE!</v>
      </c>
      <c r="GA134" t="e">
        <f>'All regions'!I3713+"$F;@!'DI"</f>
        <v>#VALUE!</v>
      </c>
      <c r="GB134" t="e">
        <f>'All regions'!A3714+"$F;@!'DJ"</f>
        <v>#VALUE!</v>
      </c>
      <c r="GC134" t="e">
        <f>'All regions'!B3714+"$F;@!'DK"</f>
        <v>#VALUE!</v>
      </c>
      <c r="GD134" t="e">
        <f>'All regions'!C3714+"$F;@!'DL"</f>
        <v>#VALUE!</v>
      </c>
      <c r="GE134" t="e">
        <f>'All regions'!D3714+"$F;@!'DM"</f>
        <v>#VALUE!</v>
      </c>
      <c r="GF134" t="e">
        <f>'All regions'!E3714+"$F;@!'DN"</f>
        <v>#VALUE!</v>
      </c>
      <c r="GG134" t="e">
        <f>'All regions'!F3714+"$F;@!'DO"</f>
        <v>#VALUE!</v>
      </c>
      <c r="GH134" t="e">
        <f>'All regions'!G3714+"$F;@!'DP"</f>
        <v>#VALUE!</v>
      </c>
      <c r="GI134" t="e">
        <f>'All regions'!H3714+"$F;@!'DQ"</f>
        <v>#VALUE!</v>
      </c>
      <c r="GJ134" t="e">
        <f>'All regions'!I3714+"$F;@!'DR"</f>
        <v>#VALUE!</v>
      </c>
      <c r="GK134" t="e">
        <f>'All regions'!A3715+"$F;@!'DS"</f>
        <v>#VALUE!</v>
      </c>
      <c r="GL134" t="e">
        <f>'All regions'!B3715+"$F;@!'DT"</f>
        <v>#VALUE!</v>
      </c>
      <c r="GM134" t="e">
        <f>'All regions'!C3715+"$F;@!'DU"</f>
        <v>#VALUE!</v>
      </c>
      <c r="GN134" t="e">
        <f>'All regions'!D3715+"$F;@!'DV"</f>
        <v>#VALUE!</v>
      </c>
      <c r="GO134" t="e">
        <f>'All regions'!E3715+"$F;@!'DW"</f>
        <v>#VALUE!</v>
      </c>
      <c r="GP134" t="e">
        <f>'All regions'!F3715+"$F;@!'DX"</f>
        <v>#VALUE!</v>
      </c>
      <c r="GQ134" t="e">
        <f>'All regions'!G3715+"$F;@!'DY"</f>
        <v>#VALUE!</v>
      </c>
      <c r="GR134" t="e">
        <f>'All regions'!H3715+"$F;@!'DZ"</f>
        <v>#VALUE!</v>
      </c>
      <c r="GS134" t="e">
        <f>'All regions'!I3715+"$F;@!'D["</f>
        <v>#VALUE!</v>
      </c>
      <c r="GT134" t="e">
        <f>'All regions'!A3716+"$F;@!'D\"</f>
        <v>#VALUE!</v>
      </c>
      <c r="GU134" t="e">
        <f>'All regions'!B3716+"$F;@!'D]"</f>
        <v>#VALUE!</v>
      </c>
      <c r="GV134" t="e">
        <f>'All regions'!C3716+"$F;@!'D^"</f>
        <v>#VALUE!</v>
      </c>
      <c r="GW134" t="e">
        <f>'All regions'!D3716+"$F;@!'D_"</f>
        <v>#VALUE!</v>
      </c>
      <c r="GX134" t="e">
        <f>'All regions'!E3716+"$F;@!'D`"</f>
        <v>#VALUE!</v>
      </c>
      <c r="GY134" t="e">
        <f>'All regions'!F3716+"$F;@!'Da"</f>
        <v>#VALUE!</v>
      </c>
      <c r="GZ134" t="e">
        <f>'All regions'!G3716+"$F;@!'Db"</f>
        <v>#VALUE!</v>
      </c>
      <c r="HA134" t="e">
        <f>'All regions'!H3716+"$F;@!'Dc"</f>
        <v>#VALUE!</v>
      </c>
      <c r="HB134" t="e">
        <f>'All regions'!I3716+"$F;@!'Dd"</f>
        <v>#VALUE!</v>
      </c>
      <c r="HC134" t="e">
        <f>'All regions'!A3717+"$F;@!'De"</f>
        <v>#VALUE!</v>
      </c>
      <c r="HD134" t="e">
        <f>'All regions'!B3717+"$F;@!'Df"</f>
        <v>#VALUE!</v>
      </c>
      <c r="HE134" t="e">
        <f>'All regions'!C3717+"$F;@!'Dg"</f>
        <v>#VALUE!</v>
      </c>
      <c r="HF134" t="e">
        <f>'All regions'!D3717+"$F;@!'Dh"</f>
        <v>#VALUE!</v>
      </c>
      <c r="HG134" t="e">
        <f>'All regions'!E3717+"$F;@!'Di"</f>
        <v>#VALUE!</v>
      </c>
      <c r="HH134" t="e">
        <f>'All regions'!F3717+"$F;@!'Dj"</f>
        <v>#VALUE!</v>
      </c>
      <c r="HI134" t="e">
        <f>'All regions'!G3717+"$F;@!'Dk"</f>
        <v>#VALUE!</v>
      </c>
      <c r="HJ134" t="e">
        <f>'All regions'!H3717+"$F;@!'Dl"</f>
        <v>#VALUE!</v>
      </c>
      <c r="HK134" t="e">
        <f>'All regions'!I3717+"$F;@!'Dm"</f>
        <v>#VALUE!</v>
      </c>
      <c r="HL134" t="e">
        <f>'All regions'!A3718+"$F;@!'Dn"</f>
        <v>#VALUE!</v>
      </c>
      <c r="HM134" t="e">
        <f>'All regions'!B3718+"$F;@!'Do"</f>
        <v>#VALUE!</v>
      </c>
      <c r="HN134" t="e">
        <f>'All regions'!C3718+"$F;@!'Dp"</f>
        <v>#VALUE!</v>
      </c>
      <c r="HO134" t="e">
        <f>'All regions'!D3718+"$F;@!'Dq"</f>
        <v>#VALUE!</v>
      </c>
      <c r="HP134" t="e">
        <f>'All regions'!E3718+"$F;@!'Dr"</f>
        <v>#VALUE!</v>
      </c>
      <c r="HQ134" t="e">
        <f>'All regions'!F3718+"$F;@!'Ds"</f>
        <v>#VALUE!</v>
      </c>
      <c r="HR134" t="e">
        <f>'All regions'!G3718+"$F;@!'Dt"</f>
        <v>#VALUE!</v>
      </c>
      <c r="HS134" t="e">
        <f>'All regions'!H3718+"$F;@!'Du"</f>
        <v>#VALUE!</v>
      </c>
      <c r="HT134" t="e">
        <f>'All regions'!I3718+"$F;@!'Dv"</f>
        <v>#VALUE!</v>
      </c>
      <c r="HU134" t="e">
        <f>'All regions'!A3719+"$F;@!'Dw"</f>
        <v>#VALUE!</v>
      </c>
      <c r="HV134" t="e">
        <f>'All regions'!B3719+"$F;@!'Dx"</f>
        <v>#VALUE!</v>
      </c>
      <c r="HW134" t="e">
        <f>'All regions'!C3719+"$F;@!'Dy"</f>
        <v>#VALUE!</v>
      </c>
      <c r="HX134" t="e">
        <f>'All regions'!D3719+"$F;@!'Dz"</f>
        <v>#VALUE!</v>
      </c>
      <c r="HY134" t="e">
        <f>'All regions'!E3719+"$F;@!'D{"</f>
        <v>#VALUE!</v>
      </c>
      <c r="HZ134" t="e">
        <f>'All regions'!F3719+"$F;@!'D|"</f>
        <v>#VALUE!</v>
      </c>
      <c r="IA134" t="e">
        <f>'All regions'!G3719+"$F;@!'D}"</f>
        <v>#VALUE!</v>
      </c>
      <c r="IB134" t="e">
        <f>'All regions'!H3719+"$F;@!'D~"</f>
        <v>#VALUE!</v>
      </c>
      <c r="IC134" t="e">
        <f>'All regions'!I3719+"$F;@!'E#"</f>
        <v>#VALUE!</v>
      </c>
      <c r="ID134" t="e">
        <f>'All regions'!A3720+"$F;@!'E$"</f>
        <v>#VALUE!</v>
      </c>
      <c r="IE134" t="e">
        <f>'All regions'!B3720+"$F;@!'E%"</f>
        <v>#VALUE!</v>
      </c>
      <c r="IF134" t="e">
        <f>'All regions'!C3720+"$F;@!'E&amp;"</f>
        <v>#VALUE!</v>
      </c>
      <c r="IG134" t="e">
        <f>'All regions'!D3720+"$F;@!'E'"</f>
        <v>#VALUE!</v>
      </c>
      <c r="IH134" t="e">
        <f>'All regions'!E3720+"$F;@!'E("</f>
        <v>#VALUE!</v>
      </c>
      <c r="II134" t="e">
        <f>'All regions'!F3720+"$F;@!'E)"</f>
        <v>#VALUE!</v>
      </c>
      <c r="IJ134" t="e">
        <f>'All regions'!G3720+"$F;@!'E."</f>
        <v>#VALUE!</v>
      </c>
      <c r="IK134" t="e">
        <f>'All regions'!H3720+"$F;@!'E/"</f>
        <v>#VALUE!</v>
      </c>
      <c r="IL134" t="e">
        <f>'All regions'!I3720+"$F;@!'E0"</f>
        <v>#VALUE!</v>
      </c>
      <c r="IM134" t="e">
        <f>'All regions'!A3721+"$F;@!'E1"</f>
        <v>#VALUE!</v>
      </c>
      <c r="IN134" t="e">
        <f>'All regions'!B3721+"$F;@!'E2"</f>
        <v>#VALUE!</v>
      </c>
      <c r="IO134" t="e">
        <f>'All regions'!C3721+"$F;@!'E3"</f>
        <v>#VALUE!</v>
      </c>
      <c r="IP134" t="e">
        <f>'All regions'!D3721+"$F;@!'E4"</f>
        <v>#VALUE!</v>
      </c>
      <c r="IQ134" t="e">
        <f>'All regions'!E3721+"$F;@!'E5"</f>
        <v>#VALUE!</v>
      </c>
      <c r="IR134" t="e">
        <f>'All regions'!F3721+"$F;@!'E6"</f>
        <v>#VALUE!</v>
      </c>
      <c r="IS134" t="e">
        <f>'All regions'!G3721+"$F;@!'E7"</f>
        <v>#VALUE!</v>
      </c>
      <c r="IT134" t="e">
        <f>'All regions'!H3721+"$F;@!'E8"</f>
        <v>#VALUE!</v>
      </c>
      <c r="IU134" t="e">
        <f>'All regions'!I3721+"$F;@!'E9"</f>
        <v>#VALUE!</v>
      </c>
      <c r="IV134" t="e">
        <f>'All regions'!A3722+"$F;@!'E:"</f>
        <v>#VALUE!</v>
      </c>
    </row>
    <row r="135" spans="6:256" x14ac:dyDescent="0.35">
      <c r="F135" t="e">
        <f>'All regions'!B3722+"$F;@!'E;"</f>
        <v>#VALUE!</v>
      </c>
      <c r="G135" t="e">
        <f>'All regions'!C3722+"$F;@!'E&lt;"</f>
        <v>#VALUE!</v>
      </c>
      <c r="H135" t="e">
        <f>'All regions'!D3722+"$F;@!'E="</f>
        <v>#VALUE!</v>
      </c>
      <c r="I135" t="e">
        <f>'All regions'!E3722+"$F;@!'E&gt;"</f>
        <v>#VALUE!</v>
      </c>
      <c r="J135" t="e">
        <f>'All regions'!F3722+"$F;@!'E?"</f>
        <v>#VALUE!</v>
      </c>
      <c r="K135" t="e">
        <f>'All regions'!G3722+"$F;@!'E@"</f>
        <v>#VALUE!</v>
      </c>
      <c r="L135" t="e">
        <f>'All regions'!H3722+"$F;@!'EA"</f>
        <v>#VALUE!</v>
      </c>
      <c r="M135" t="e">
        <f>'All regions'!I3722+"$F;@!'EB"</f>
        <v>#VALUE!</v>
      </c>
      <c r="N135" t="e">
        <f>'All regions'!A3723+"$F;@!'EC"</f>
        <v>#VALUE!</v>
      </c>
      <c r="O135" t="e">
        <f>'All regions'!B3723+"$F;@!'ED"</f>
        <v>#VALUE!</v>
      </c>
      <c r="P135" t="e">
        <f>'All regions'!C3723+"$F;@!'EE"</f>
        <v>#VALUE!</v>
      </c>
      <c r="Q135" t="e">
        <f>'All regions'!D3723+"$F;@!'EF"</f>
        <v>#VALUE!</v>
      </c>
      <c r="R135" t="e">
        <f>'All regions'!E3723+"$F;@!'EG"</f>
        <v>#VALUE!</v>
      </c>
      <c r="S135" t="e">
        <f>'All regions'!F3723+"$F;@!'EH"</f>
        <v>#VALUE!</v>
      </c>
      <c r="T135" t="e">
        <f>'All regions'!G3723+"$F;@!'EI"</f>
        <v>#VALUE!</v>
      </c>
      <c r="U135" t="e">
        <f>'All regions'!H3723+"$F;@!'EJ"</f>
        <v>#VALUE!</v>
      </c>
      <c r="V135" t="e">
        <f>'All regions'!I3723+"$F;@!'EK"</f>
        <v>#VALUE!</v>
      </c>
      <c r="W135" t="e">
        <f>'All regions'!A3724+"$F;@!'EL"</f>
        <v>#VALUE!</v>
      </c>
      <c r="X135" t="e">
        <f>'All regions'!B3724+"$F;@!'EM"</f>
        <v>#VALUE!</v>
      </c>
      <c r="Y135" t="e">
        <f>'All regions'!C3724+"$F;@!'EN"</f>
        <v>#VALUE!</v>
      </c>
      <c r="Z135" t="e">
        <f>'All regions'!D3724+"$F;@!'EO"</f>
        <v>#VALUE!</v>
      </c>
      <c r="AA135" t="e">
        <f>'All regions'!E3724+"$F;@!'EP"</f>
        <v>#VALUE!</v>
      </c>
      <c r="AB135" t="e">
        <f>'All regions'!F3724+"$F;@!'EQ"</f>
        <v>#VALUE!</v>
      </c>
      <c r="AC135" t="e">
        <f>'All regions'!G3724+"$F;@!'ER"</f>
        <v>#VALUE!</v>
      </c>
      <c r="AD135" t="e">
        <f>'All regions'!H3724+"$F;@!'ES"</f>
        <v>#VALUE!</v>
      </c>
      <c r="AE135" t="e">
        <f>'All regions'!I3724+"$F;@!'ET"</f>
        <v>#VALUE!</v>
      </c>
      <c r="AF135" t="e">
        <f>'All regions'!A3725+"$F;@!'EU"</f>
        <v>#VALUE!</v>
      </c>
      <c r="AG135" t="e">
        <f>'All regions'!B3725+"$F;@!'EV"</f>
        <v>#VALUE!</v>
      </c>
      <c r="AH135" t="e">
        <f>'All regions'!C3725+"$F;@!'EW"</f>
        <v>#VALUE!</v>
      </c>
      <c r="AI135" t="e">
        <f>'All regions'!D3725+"$F;@!'EX"</f>
        <v>#VALUE!</v>
      </c>
      <c r="AJ135" t="e">
        <f>'All regions'!E3725+"$F;@!'EY"</f>
        <v>#VALUE!</v>
      </c>
      <c r="AK135" t="e">
        <f>'All regions'!F3725+"$F;@!'EZ"</f>
        <v>#VALUE!</v>
      </c>
      <c r="AL135" t="e">
        <f>'All regions'!G3725+"$F;@!'E["</f>
        <v>#VALUE!</v>
      </c>
      <c r="AM135" t="e">
        <f>'All regions'!H3725+"$F;@!'E\"</f>
        <v>#VALUE!</v>
      </c>
      <c r="AN135" t="e">
        <f>'All regions'!I3725+"$F;@!'E]"</f>
        <v>#VALUE!</v>
      </c>
      <c r="AO135" t="e">
        <f>'All regions'!A3726+"$F;@!'E^"</f>
        <v>#VALUE!</v>
      </c>
      <c r="AP135" t="e">
        <f>'All regions'!B3726+"$F;@!'E_"</f>
        <v>#VALUE!</v>
      </c>
      <c r="AQ135" t="e">
        <f>'All regions'!C3726+"$F;@!'E`"</f>
        <v>#VALUE!</v>
      </c>
      <c r="AR135" t="e">
        <f>'All regions'!D3726+"$F;@!'Ea"</f>
        <v>#VALUE!</v>
      </c>
      <c r="AS135" t="e">
        <f>'All regions'!E3726+"$F;@!'Eb"</f>
        <v>#VALUE!</v>
      </c>
      <c r="AT135" t="e">
        <f>'All regions'!F3726+"$F;@!'Ec"</f>
        <v>#VALUE!</v>
      </c>
      <c r="AU135" t="e">
        <f>'All regions'!G3726+"$F;@!'Ed"</f>
        <v>#VALUE!</v>
      </c>
      <c r="AV135" t="e">
        <f>'All regions'!H3726+"$F;@!'Ee"</f>
        <v>#VALUE!</v>
      </c>
      <c r="AW135" t="e">
        <f>'All regions'!I3726+"$F;@!'Ef"</f>
        <v>#VALUE!</v>
      </c>
      <c r="AX135" t="e">
        <f>'All regions'!A3727+"$F;@!'Eg"</f>
        <v>#VALUE!</v>
      </c>
      <c r="AY135" t="e">
        <f>'All regions'!B3727+"$F;@!'Eh"</f>
        <v>#VALUE!</v>
      </c>
      <c r="AZ135" t="e">
        <f>'All regions'!C3727+"$F;@!'Ei"</f>
        <v>#VALUE!</v>
      </c>
      <c r="BA135" t="e">
        <f>'All regions'!D3727+"$F;@!'Ej"</f>
        <v>#VALUE!</v>
      </c>
      <c r="BB135" t="e">
        <f>'All regions'!E3727+"$F;@!'Ek"</f>
        <v>#VALUE!</v>
      </c>
      <c r="BC135" t="e">
        <f>'All regions'!F3727+"$F;@!'El"</f>
        <v>#VALUE!</v>
      </c>
      <c r="BD135" t="e">
        <f>'All regions'!G3727+"$F;@!'Em"</f>
        <v>#VALUE!</v>
      </c>
      <c r="BE135" t="e">
        <f>'All regions'!H3727+"$F;@!'En"</f>
        <v>#VALUE!</v>
      </c>
      <c r="BF135" t="e">
        <f>'All regions'!I3727+"$F;@!'Eo"</f>
        <v>#VALUE!</v>
      </c>
      <c r="BG135" t="e">
        <f>'All regions'!A3728+"$F;@!'Ep"</f>
        <v>#VALUE!</v>
      </c>
      <c r="BH135" t="e">
        <f>'All regions'!B3728+"$F;@!'Eq"</f>
        <v>#VALUE!</v>
      </c>
      <c r="BI135" t="e">
        <f>'All regions'!C3728+"$F;@!'Er"</f>
        <v>#VALUE!</v>
      </c>
      <c r="BJ135" t="e">
        <f>'All regions'!D3728+"$F;@!'Es"</f>
        <v>#VALUE!</v>
      </c>
      <c r="BK135" t="e">
        <f>'All regions'!E3728+"$F;@!'Et"</f>
        <v>#VALUE!</v>
      </c>
      <c r="BL135" t="e">
        <f>'All regions'!F3728+"$F;@!'Eu"</f>
        <v>#VALUE!</v>
      </c>
      <c r="BM135" t="e">
        <f>'All regions'!G3728+"$F;@!'Ev"</f>
        <v>#VALUE!</v>
      </c>
      <c r="BN135" t="e">
        <f>'All regions'!H3728+"$F;@!'Ew"</f>
        <v>#VALUE!</v>
      </c>
      <c r="BO135" t="e">
        <f>'All regions'!I3728+"$F;@!'Ex"</f>
        <v>#VALUE!</v>
      </c>
      <c r="BP135" t="e">
        <f>'All regions'!A3729+"$F;@!'Ey"</f>
        <v>#VALUE!</v>
      </c>
      <c r="BQ135" t="e">
        <f>'All regions'!B3729+"$F;@!'Ez"</f>
        <v>#VALUE!</v>
      </c>
      <c r="BR135" t="e">
        <f>'All regions'!C3729+"$F;@!'E{"</f>
        <v>#VALUE!</v>
      </c>
      <c r="BS135" t="e">
        <f>'All regions'!D3729+"$F;@!'E|"</f>
        <v>#VALUE!</v>
      </c>
      <c r="BT135" t="e">
        <f>'All regions'!E3729+"$F;@!'E}"</f>
        <v>#VALUE!</v>
      </c>
      <c r="BU135" t="e">
        <f>'All regions'!F3729+"$F;@!'E~"</f>
        <v>#VALUE!</v>
      </c>
      <c r="BV135" t="e">
        <f>'All regions'!G3729+"$F;@!'F#"</f>
        <v>#VALUE!</v>
      </c>
      <c r="BW135" t="e">
        <f>'All regions'!H3729+"$F;@!'F$"</f>
        <v>#VALUE!</v>
      </c>
      <c r="BX135" t="e">
        <f>'All regions'!I3729+"$F;@!'F%"</f>
        <v>#VALUE!</v>
      </c>
      <c r="BY135" t="e">
        <f>'All regions'!A3730+"$F;@!'F&amp;"</f>
        <v>#VALUE!</v>
      </c>
      <c r="BZ135" t="e">
        <f>'All regions'!B3730+"$F;@!'F'"</f>
        <v>#VALUE!</v>
      </c>
      <c r="CA135" t="e">
        <f>'All regions'!C3730+"$F;@!'F("</f>
        <v>#VALUE!</v>
      </c>
      <c r="CB135" t="e">
        <f>'All regions'!D3730+"$F;@!'F)"</f>
        <v>#VALUE!</v>
      </c>
      <c r="CC135" t="e">
        <f>'All regions'!E3730+"$F;@!'F."</f>
        <v>#VALUE!</v>
      </c>
      <c r="CD135" t="e">
        <f>'All regions'!F3730+"$F;@!'F/"</f>
        <v>#VALUE!</v>
      </c>
      <c r="CE135" t="e">
        <f>'All regions'!G3730+"$F;@!'F0"</f>
        <v>#VALUE!</v>
      </c>
      <c r="CF135" t="e">
        <f>'All regions'!H3730+"$F;@!'F1"</f>
        <v>#VALUE!</v>
      </c>
      <c r="CG135" t="e">
        <f>'All regions'!I3730+"$F;@!'F2"</f>
        <v>#VALUE!</v>
      </c>
      <c r="CH135" t="e">
        <f>'All regions'!A3731+"$F;@!'F3"</f>
        <v>#VALUE!</v>
      </c>
      <c r="CI135" t="e">
        <f>'All regions'!B3731+"$F;@!'F4"</f>
        <v>#VALUE!</v>
      </c>
      <c r="CJ135" t="e">
        <f>'All regions'!C3731+"$F;@!'F5"</f>
        <v>#VALUE!</v>
      </c>
      <c r="CK135" t="e">
        <f>'All regions'!D3731+"$F;@!'F6"</f>
        <v>#VALUE!</v>
      </c>
      <c r="CL135" t="e">
        <f>'All regions'!E3731+"$F;@!'F7"</f>
        <v>#VALUE!</v>
      </c>
      <c r="CM135" t="e">
        <f>'All regions'!F3731+"$F;@!'F8"</f>
        <v>#VALUE!</v>
      </c>
      <c r="CN135" t="e">
        <f>'All regions'!G3731+"$F;@!'F9"</f>
        <v>#VALUE!</v>
      </c>
      <c r="CO135" t="e">
        <f>'All regions'!H3731+"$F;@!'F:"</f>
        <v>#VALUE!</v>
      </c>
      <c r="CP135" t="e">
        <f>'All regions'!I3731+"$F;@!'F;"</f>
        <v>#VALUE!</v>
      </c>
      <c r="CQ135" t="e">
        <f>'All regions'!A3732+"$F;@!'F&lt;"</f>
        <v>#VALUE!</v>
      </c>
      <c r="CR135" t="e">
        <f>'All regions'!B3732+"$F;@!'F="</f>
        <v>#VALUE!</v>
      </c>
      <c r="CS135" t="e">
        <f>'All regions'!C3732+"$F;@!'F&gt;"</f>
        <v>#VALUE!</v>
      </c>
      <c r="CT135" t="e">
        <f>'All regions'!D3732+"$F;@!'F?"</f>
        <v>#VALUE!</v>
      </c>
      <c r="CU135" t="e">
        <f>'All regions'!E3732+"$F;@!'F@"</f>
        <v>#VALUE!</v>
      </c>
      <c r="CV135" t="e">
        <f>'All regions'!F3732+"$F;@!'FA"</f>
        <v>#VALUE!</v>
      </c>
      <c r="CW135" t="e">
        <f>'All regions'!G3732+"$F;@!'FB"</f>
        <v>#VALUE!</v>
      </c>
      <c r="CX135" t="e">
        <f>'All regions'!H3732+"$F;@!'FC"</f>
        <v>#VALUE!</v>
      </c>
      <c r="CY135" t="e">
        <f>'All regions'!I3732+"$F;@!'FD"</f>
        <v>#VALUE!</v>
      </c>
      <c r="CZ135" t="e">
        <f>'All regions'!A3733+"$F;@!'FE"</f>
        <v>#VALUE!</v>
      </c>
      <c r="DA135" t="e">
        <f>'All regions'!B3733+"$F;@!'FF"</f>
        <v>#VALUE!</v>
      </c>
      <c r="DB135" t="e">
        <f>'All regions'!C3733+"$F;@!'FG"</f>
        <v>#VALUE!</v>
      </c>
      <c r="DC135" t="e">
        <f>'All regions'!D3733+"$F;@!'FH"</f>
        <v>#VALUE!</v>
      </c>
      <c r="DD135" t="e">
        <f>'All regions'!E3733+"$F;@!'FI"</f>
        <v>#VALUE!</v>
      </c>
      <c r="DE135" t="e">
        <f>'All regions'!F3733+"$F;@!'FJ"</f>
        <v>#VALUE!</v>
      </c>
      <c r="DF135" t="e">
        <f>'All regions'!G3733+"$F;@!'FK"</f>
        <v>#VALUE!</v>
      </c>
      <c r="DG135" t="e">
        <f>'All regions'!H3733+"$F;@!'FL"</f>
        <v>#VALUE!</v>
      </c>
      <c r="DH135" t="e">
        <f>'All regions'!I3733+"$F;@!'FM"</f>
        <v>#VALUE!</v>
      </c>
      <c r="DI135" t="e">
        <f>'All regions'!A3734+"$F;@!'FN"</f>
        <v>#VALUE!</v>
      </c>
      <c r="DJ135" t="e">
        <f>'All regions'!B3734+"$F;@!'FO"</f>
        <v>#VALUE!</v>
      </c>
      <c r="DK135" t="e">
        <f>'All regions'!C3734+"$F;@!'FP"</f>
        <v>#VALUE!</v>
      </c>
      <c r="DL135" t="e">
        <f>'All regions'!D3734+"$F;@!'FQ"</f>
        <v>#VALUE!</v>
      </c>
      <c r="DM135" t="e">
        <f>'All regions'!E3734+"$F;@!'FR"</f>
        <v>#VALUE!</v>
      </c>
      <c r="DN135" t="e">
        <f>'All regions'!F3734+"$F;@!'FS"</f>
        <v>#VALUE!</v>
      </c>
      <c r="DO135" t="e">
        <f>'All regions'!G3734+"$F;@!'FT"</f>
        <v>#VALUE!</v>
      </c>
      <c r="DP135" t="e">
        <f>'All regions'!H3734+"$F;@!'FU"</f>
        <v>#VALUE!</v>
      </c>
      <c r="DQ135" t="e">
        <f>'All regions'!I3734+"$F;@!'FV"</f>
        <v>#VALUE!</v>
      </c>
      <c r="DR135" t="e">
        <f>'All regions'!A3735+"$F;@!'FW"</f>
        <v>#VALUE!</v>
      </c>
      <c r="DS135" t="e">
        <f>'All regions'!B3735+"$F;@!'FX"</f>
        <v>#VALUE!</v>
      </c>
      <c r="DT135" t="e">
        <f>'All regions'!C3735+"$F;@!'FY"</f>
        <v>#VALUE!</v>
      </c>
      <c r="DU135" t="e">
        <f>'All regions'!D3735+"$F;@!'FZ"</f>
        <v>#VALUE!</v>
      </c>
      <c r="DV135" t="e">
        <f>'All regions'!E3735+"$F;@!'F["</f>
        <v>#VALUE!</v>
      </c>
      <c r="DW135" t="e">
        <f>'All regions'!F3735+"$F;@!'F\"</f>
        <v>#VALUE!</v>
      </c>
      <c r="DX135" t="e">
        <f>'All regions'!G3735+"$F;@!'F]"</f>
        <v>#VALUE!</v>
      </c>
      <c r="DY135" t="e">
        <f>'All regions'!H3735+"$F;@!'F^"</f>
        <v>#VALUE!</v>
      </c>
      <c r="DZ135" t="e">
        <f>'All regions'!I3735+"$F;@!'F_"</f>
        <v>#VALUE!</v>
      </c>
      <c r="EA135" t="e">
        <f>'All regions'!A3736+"$F;@!'F`"</f>
        <v>#VALUE!</v>
      </c>
      <c r="EB135" t="e">
        <f>'All regions'!B3736+"$F;@!'Fa"</f>
        <v>#VALUE!</v>
      </c>
      <c r="EC135" t="e">
        <f>'All regions'!C3736+"$F;@!'Fb"</f>
        <v>#VALUE!</v>
      </c>
      <c r="ED135" t="e">
        <f>'All regions'!D3736+"$F;@!'Fc"</f>
        <v>#VALUE!</v>
      </c>
      <c r="EE135" t="e">
        <f>'All regions'!E3736+"$F;@!'Fd"</f>
        <v>#VALUE!</v>
      </c>
      <c r="EF135" t="e">
        <f>'All regions'!F3736+"$F;@!'Fe"</f>
        <v>#VALUE!</v>
      </c>
      <c r="EG135" t="e">
        <f>'All regions'!G3736+"$F;@!'Ff"</f>
        <v>#VALUE!</v>
      </c>
      <c r="EH135" t="e">
        <f>'All regions'!H3736+"$F;@!'Fg"</f>
        <v>#VALUE!</v>
      </c>
      <c r="EI135" t="e">
        <f>'All regions'!I3736+"$F;@!'Fh"</f>
        <v>#VALUE!</v>
      </c>
      <c r="EJ135" t="e">
        <f>'All regions'!A3737+"$F;@!'Fi"</f>
        <v>#VALUE!</v>
      </c>
      <c r="EK135" t="e">
        <f>'All regions'!B3737+"$F;@!'Fj"</f>
        <v>#VALUE!</v>
      </c>
      <c r="EL135" t="e">
        <f>'All regions'!C3737+"$F;@!'Fk"</f>
        <v>#VALUE!</v>
      </c>
      <c r="EM135" t="e">
        <f>'All regions'!D3737+"$F;@!'Fl"</f>
        <v>#VALUE!</v>
      </c>
      <c r="EN135" t="e">
        <f>'All regions'!E3737+"$F;@!'Fm"</f>
        <v>#VALUE!</v>
      </c>
      <c r="EO135" t="e">
        <f>'All regions'!F3737+"$F;@!'Fn"</f>
        <v>#VALUE!</v>
      </c>
      <c r="EP135" t="e">
        <f>'All regions'!G3737+"$F;@!'Fo"</f>
        <v>#VALUE!</v>
      </c>
      <c r="EQ135" t="e">
        <f>'All regions'!H3737+"$F;@!'Fp"</f>
        <v>#VALUE!</v>
      </c>
      <c r="ER135" t="e">
        <f>'All regions'!I3737+"$F;@!'Fq"</f>
        <v>#VALUE!</v>
      </c>
      <c r="ES135" t="e">
        <f>'All regions'!A3738+"$F;@!'Fr"</f>
        <v>#VALUE!</v>
      </c>
      <c r="ET135" t="e">
        <f>'All regions'!B3738+"$F;@!'Fs"</f>
        <v>#VALUE!</v>
      </c>
      <c r="EU135" t="e">
        <f>'All regions'!C3738+"$F;@!'Ft"</f>
        <v>#VALUE!</v>
      </c>
      <c r="EV135" t="e">
        <f>'All regions'!D3738+"$F;@!'Fu"</f>
        <v>#VALUE!</v>
      </c>
      <c r="EW135" t="e">
        <f>'All regions'!E3738+"$F;@!'Fv"</f>
        <v>#VALUE!</v>
      </c>
      <c r="EX135" t="e">
        <f>'All regions'!F3738+"$F;@!'Fw"</f>
        <v>#VALUE!</v>
      </c>
      <c r="EY135" t="e">
        <f>'All regions'!G3738+"$F;@!'Fx"</f>
        <v>#VALUE!</v>
      </c>
      <c r="EZ135" t="e">
        <f>'All regions'!H3738+"$F;@!'Fy"</f>
        <v>#VALUE!</v>
      </c>
      <c r="FA135" t="e">
        <f>'All regions'!I3738+"$F;@!'Fz"</f>
        <v>#VALUE!</v>
      </c>
      <c r="FB135" t="e">
        <f>'All regions'!A3739+"$F;@!'F{"</f>
        <v>#VALUE!</v>
      </c>
      <c r="FC135" t="e">
        <f>'All regions'!B3739+"$F;@!'F|"</f>
        <v>#VALUE!</v>
      </c>
      <c r="FD135" t="e">
        <f>'All regions'!C3739+"$F;@!'F}"</f>
        <v>#VALUE!</v>
      </c>
      <c r="FE135" t="e">
        <f>'All regions'!D3739+"$F;@!'F~"</f>
        <v>#VALUE!</v>
      </c>
      <c r="FF135" t="e">
        <f>'All regions'!E3739+"$F;@!'G#"</f>
        <v>#VALUE!</v>
      </c>
      <c r="FG135" t="e">
        <f>'All regions'!F3739+"$F;@!'G$"</f>
        <v>#VALUE!</v>
      </c>
      <c r="FH135" t="e">
        <f>'All regions'!G3739+"$F;@!'G%"</f>
        <v>#VALUE!</v>
      </c>
      <c r="FI135" t="e">
        <f>'All regions'!H3739+"$F;@!'G&amp;"</f>
        <v>#VALUE!</v>
      </c>
      <c r="FJ135" t="e">
        <f>'All regions'!I3739+"$F;@!'G'"</f>
        <v>#VALUE!</v>
      </c>
      <c r="FK135" t="e">
        <f>'All regions'!A3740+"$F;@!'G("</f>
        <v>#VALUE!</v>
      </c>
      <c r="FL135" t="e">
        <f>'All regions'!B3740+"$F;@!'G)"</f>
        <v>#VALUE!</v>
      </c>
      <c r="FM135" t="e">
        <f>'All regions'!C3740+"$F;@!'G."</f>
        <v>#VALUE!</v>
      </c>
      <c r="FN135" t="e">
        <f>'All regions'!D3740+"$F;@!'G/"</f>
        <v>#VALUE!</v>
      </c>
      <c r="FO135" t="e">
        <f>'All regions'!E3740+"$F;@!'G0"</f>
        <v>#VALUE!</v>
      </c>
      <c r="FP135" t="e">
        <f>'All regions'!F3740+"$F;@!'G1"</f>
        <v>#VALUE!</v>
      </c>
      <c r="FQ135" t="e">
        <f>'All regions'!G3740+"$F;@!'G2"</f>
        <v>#VALUE!</v>
      </c>
      <c r="FR135" t="e">
        <f>'All regions'!H3740+"$F;@!'G3"</f>
        <v>#VALUE!</v>
      </c>
      <c r="FS135" t="e">
        <f>'All regions'!I3740+"$F;@!'G4"</f>
        <v>#VALUE!</v>
      </c>
      <c r="FT135" t="e">
        <f>'All regions'!A3741+"$F;@!'G5"</f>
        <v>#VALUE!</v>
      </c>
      <c r="FU135" t="e">
        <f>'All regions'!B3741+"$F;@!'G6"</f>
        <v>#VALUE!</v>
      </c>
      <c r="FV135" t="e">
        <f>'All regions'!C3741+"$F;@!'G7"</f>
        <v>#VALUE!</v>
      </c>
      <c r="FW135" t="e">
        <f>'All regions'!D3741+"$F;@!'G8"</f>
        <v>#VALUE!</v>
      </c>
      <c r="FX135" t="e">
        <f>'All regions'!E3741+"$F;@!'G9"</f>
        <v>#VALUE!</v>
      </c>
      <c r="FY135" t="e">
        <f>'All regions'!F3741+"$F;@!'G:"</f>
        <v>#VALUE!</v>
      </c>
      <c r="FZ135" t="e">
        <f>'All regions'!G3741+"$F;@!'G;"</f>
        <v>#VALUE!</v>
      </c>
      <c r="GA135" t="e">
        <f>'All regions'!H3741+"$F;@!'G&lt;"</f>
        <v>#VALUE!</v>
      </c>
      <c r="GB135" t="e">
        <f>'All regions'!I3741+"$F;@!'G="</f>
        <v>#VALUE!</v>
      </c>
      <c r="GC135" t="e">
        <f>'All regions'!A3742+"$F;@!'G&gt;"</f>
        <v>#VALUE!</v>
      </c>
      <c r="GD135" t="e">
        <f>'All regions'!B3742+"$F;@!'G?"</f>
        <v>#VALUE!</v>
      </c>
      <c r="GE135" t="e">
        <f>'All regions'!C3742+"$F;@!'G@"</f>
        <v>#VALUE!</v>
      </c>
      <c r="GF135" t="e">
        <f>'All regions'!D3742+"$F;@!'GA"</f>
        <v>#VALUE!</v>
      </c>
      <c r="GG135" t="e">
        <f>'All regions'!E3742+"$F;@!'GB"</f>
        <v>#VALUE!</v>
      </c>
      <c r="GH135" t="e">
        <f>'All regions'!F3742+"$F;@!'GC"</f>
        <v>#VALUE!</v>
      </c>
      <c r="GI135" t="e">
        <f>'All regions'!G3742+"$F;@!'GD"</f>
        <v>#VALUE!</v>
      </c>
      <c r="GJ135" t="e">
        <f>'All regions'!H3742+"$F;@!'GE"</f>
        <v>#VALUE!</v>
      </c>
      <c r="GK135" t="e">
        <f>'All regions'!I3742+"$F;@!'GF"</f>
        <v>#VALUE!</v>
      </c>
      <c r="GL135" t="e">
        <f>'All regions'!A3743+"$F;@!'GG"</f>
        <v>#VALUE!</v>
      </c>
      <c r="GM135" t="e">
        <f>'All regions'!B3743+"$F;@!'GH"</f>
        <v>#VALUE!</v>
      </c>
      <c r="GN135" t="e">
        <f>'All regions'!C3743+"$F;@!'GI"</f>
        <v>#VALUE!</v>
      </c>
      <c r="GO135" t="e">
        <f>'All regions'!D3743+"$F;@!'GJ"</f>
        <v>#VALUE!</v>
      </c>
      <c r="GP135" t="e">
        <f>'All regions'!E3743+"$F;@!'GK"</f>
        <v>#VALUE!</v>
      </c>
      <c r="GQ135" t="e">
        <f>'All regions'!F3743+"$F;@!'GL"</f>
        <v>#VALUE!</v>
      </c>
      <c r="GR135" t="e">
        <f>'All regions'!G3743+"$F;@!'GM"</f>
        <v>#VALUE!</v>
      </c>
      <c r="GS135" t="e">
        <f>'All regions'!H3743+"$F;@!'GN"</f>
        <v>#VALUE!</v>
      </c>
      <c r="GT135" t="e">
        <f>'All regions'!I3743+"$F;@!'GO"</f>
        <v>#VALUE!</v>
      </c>
      <c r="GU135" t="e">
        <f>'All regions'!A3744+"$F;@!'GP"</f>
        <v>#VALUE!</v>
      </c>
      <c r="GV135" t="e">
        <f>'All regions'!B3744+"$F;@!'GQ"</f>
        <v>#VALUE!</v>
      </c>
      <c r="GW135" t="e">
        <f>'All regions'!C3744+"$F;@!'GR"</f>
        <v>#VALUE!</v>
      </c>
      <c r="GX135" t="e">
        <f>'All regions'!D3744+"$F;@!'GS"</f>
        <v>#VALUE!</v>
      </c>
      <c r="GY135" t="e">
        <f>'All regions'!E3744+"$F;@!'GT"</f>
        <v>#VALUE!</v>
      </c>
      <c r="GZ135" t="e">
        <f>'All regions'!F3744+"$F;@!'GU"</f>
        <v>#VALUE!</v>
      </c>
      <c r="HA135" t="e">
        <f>'All regions'!G3744+"$F;@!'GV"</f>
        <v>#VALUE!</v>
      </c>
      <c r="HB135" t="e">
        <f>'All regions'!H3744+"$F;@!'GW"</f>
        <v>#VALUE!</v>
      </c>
      <c r="HC135" t="e">
        <f>'All regions'!I3744+"$F;@!'GX"</f>
        <v>#VALUE!</v>
      </c>
      <c r="HD135" t="e">
        <f>'All regions'!A3745+"$F;@!'GY"</f>
        <v>#VALUE!</v>
      </c>
      <c r="HE135" t="e">
        <f>'All regions'!B3745+"$F;@!'GZ"</f>
        <v>#VALUE!</v>
      </c>
      <c r="HF135" t="e">
        <f>'All regions'!C3745+"$F;@!'G["</f>
        <v>#VALUE!</v>
      </c>
      <c r="HG135" t="e">
        <f>'All regions'!D3745+"$F;@!'G\"</f>
        <v>#VALUE!</v>
      </c>
      <c r="HH135" t="e">
        <f>'All regions'!E3745+"$F;@!'G]"</f>
        <v>#VALUE!</v>
      </c>
      <c r="HI135" t="e">
        <f>'All regions'!F3745+"$F;@!'G^"</f>
        <v>#VALUE!</v>
      </c>
      <c r="HJ135" t="e">
        <f>'All regions'!G3745+"$F;@!'G_"</f>
        <v>#VALUE!</v>
      </c>
      <c r="HK135" t="e">
        <f>'All regions'!H3745+"$F;@!'G`"</f>
        <v>#VALUE!</v>
      </c>
      <c r="HL135" t="e">
        <f>'All regions'!I3745+"$F;@!'Ga"</f>
        <v>#VALUE!</v>
      </c>
      <c r="HM135" t="e">
        <f>'All regions'!A3746+"$F;@!'Gb"</f>
        <v>#VALUE!</v>
      </c>
      <c r="HN135" t="e">
        <f>'All regions'!B3746+"$F;@!'Gc"</f>
        <v>#VALUE!</v>
      </c>
      <c r="HO135" t="e">
        <f>'All regions'!C3746+"$F;@!'Gd"</f>
        <v>#VALUE!</v>
      </c>
      <c r="HP135" t="e">
        <f>'All regions'!D3746+"$F;@!'Ge"</f>
        <v>#VALUE!</v>
      </c>
      <c r="HQ135" t="e">
        <f>'All regions'!E3746+"$F;@!'Gf"</f>
        <v>#VALUE!</v>
      </c>
      <c r="HR135" t="e">
        <f>'All regions'!F3746+"$F;@!'Gg"</f>
        <v>#VALUE!</v>
      </c>
      <c r="HS135" t="e">
        <f>'All regions'!G3746+"$F;@!'Gh"</f>
        <v>#VALUE!</v>
      </c>
      <c r="HT135" t="e">
        <f>'All regions'!H3746+"$F;@!'Gi"</f>
        <v>#VALUE!</v>
      </c>
      <c r="HU135" t="e">
        <f>'All regions'!I3746+"$F;@!'Gj"</f>
        <v>#VALUE!</v>
      </c>
      <c r="HV135" t="e">
        <f>'All regions'!A3747+"$F;@!'Gk"</f>
        <v>#VALUE!</v>
      </c>
      <c r="HW135" t="e">
        <f>'All regions'!B3747+"$F;@!'Gl"</f>
        <v>#VALUE!</v>
      </c>
      <c r="HX135" t="e">
        <f>'All regions'!C3747+"$F;@!'Gm"</f>
        <v>#VALUE!</v>
      </c>
      <c r="HY135" t="e">
        <f>'All regions'!D3747+"$F;@!'Gn"</f>
        <v>#VALUE!</v>
      </c>
      <c r="HZ135" t="e">
        <f>'All regions'!E3747+"$F;@!'Go"</f>
        <v>#VALUE!</v>
      </c>
      <c r="IA135" t="e">
        <f>'All regions'!F3747+"$F;@!'Gp"</f>
        <v>#VALUE!</v>
      </c>
      <c r="IB135" t="e">
        <f>'All regions'!G3747+"$F;@!'Gq"</f>
        <v>#VALUE!</v>
      </c>
      <c r="IC135" t="e">
        <f>'All regions'!H3747+"$F;@!'Gr"</f>
        <v>#VALUE!</v>
      </c>
      <c r="ID135" t="e">
        <f>'All regions'!I3747+"$F;@!'Gs"</f>
        <v>#VALUE!</v>
      </c>
      <c r="IE135" t="e">
        <f>'All regions'!A3748+"$F;@!'Gt"</f>
        <v>#VALUE!</v>
      </c>
      <c r="IF135" t="e">
        <f>'All regions'!B3748+"$F;@!'Gu"</f>
        <v>#VALUE!</v>
      </c>
      <c r="IG135" t="e">
        <f>'All regions'!C3748+"$F;@!'Gv"</f>
        <v>#VALUE!</v>
      </c>
      <c r="IH135" t="e">
        <f>'All regions'!D3748+"$F;@!'Gw"</f>
        <v>#VALUE!</v>
      </c>
      <c r="II135" t="e">
        <f>'All regions'!E3748+"$F;@!'Gx"</f>
        <v>#VALUE!</v>
      </c>
      <c r="IJ135" t="e">
        <f>'All regions'!F3748+"$F;@!'Gy"</f>
        <v>#VALUE!</v>
      </c>
      <c r="IK135" t="e">
        <f>'All regions'!G3748+"$F;@!'Gz"</f>
        <v>#VALUE!</v>
      </c>
      <c r="IL135" t="e">
        <f>'All regions'!H3748+"$F;@!'G{"</f>
        <v>#VALUE!</v>
      </c>
      <c r="IM135" t="e">
        <f>'All regions'!I3748+"$F;@!'G|"</f>
        <v>#VALUE!</v>
      </c>
      <c r="IN135" t="e">
        <f>'All regions'!A3749+"$F;@!'G}"</f>
        <v>#VALUE!</v>
      </c>
      <c r="IO135" t="e">
        <f>'All regions'!B3749+"$F;@!'G~"</f>
        <v>#VALUE!</v>
      </c>
      <c r="IP135" t="e">
        <f>'All regions'!C3749+"$F;@!'H#"</f>
        <v>#VALUE!</v>
      </c>
      <c r="IQ135" t="e">
        <f>'All regions'!D3749+"$F;@!'H$"</f>
        <v>#VALUE!</v>
      </c>
      <c r="IR135" t="e">
        <f>'All regions'!E3749+"$F;@!'H%"</f>
        <v>#VALUE!</v>
      </c>
      <c r="IS135" t="e">
        <f>'All regions'!F3749+"$F;@!'H&amp;"</f>
        <v>#VALUE!</v>
      </c>
      <c r="IT135" t="e">
        <f>'All regions'!G3749+"$F;@!'H'"</f>
        <v>#VALUE!</v>
      </c>
      <c r="IU135" t="e">
        <f>'All regions'!H3749+"$F;@!'H("</f>
        <v>#VALUE!</v>
      </c>
      <c r="IV135" t="e">
        <f>'All regions'!I3749+"$F;@!'H)"</f>
        <v>#VALUE!</v>
      </c>
    </row>
    <row r="136" spans="6:256" x14ac:dyDescent="0.35">
      <c r="F136" t="e">
        <f>'All regions'!A3750+"$F;@!'H."</f>
        <v>#VALUE!</v>
      </c>
      <c r="G136" t="e">
        <f>'All regions'!B3750+"$F;@!'H/"</f>
        <v>#VALUE!</v>
      </c>
      <c r="H136" t="e">
        <f>'All regions'!C3750+"$F;@!'H0"</f>
        <v>#VALUE!</v>
      </c>
      <c r="I136" t="e">
        <f>'All regions'!D3750+"$F;@!'H1"</f>
        <v>#VALUE!</v>
      </c>
      <c r="J136" t="e">
        <f>'All regions'!E3750+"$F;@!'H2"</f>
        <v>#VALUE!</v>
      </c>
      <c r="K136" t="e">
        <f>'All regions'!F3750+"$F;@!'H3"</f>
        <v>#VALUE!</v>
      </c>
      <c r="L136" t="e">
        <f>'All regions'!G3750+"$F;@!'H4"</f>
        <v>#VALUE!</v>
      </c>
      <c r="M136" t="e">
        <f>'All regions'!H3750+"$F;@!'H5"</f>
        <v>#VALUE!</v>
      </c>
      <c r="N136" t="e">
        <f>'All regions'!I3750+"$F;@!'H6"</f>
        <v>#VALUE!</v>
      </c>
      <c r="O136" t="e">
        <f>'All regions'!A3751+"$F;@!'H7"</f>
        <v>#VALUE!</v>
      </c>
      <c r="P136" t="e">
        <f>'All regions'!B3751+"$F;@!'H8"</f>
        <v>#VALUE!</v>
      </c>
      <c r="Q136" t="e">
        <f>'All regions'!C3751+"$F;@!'H9"</f>
        <v>#VALUE!</v>
      </c>
      <c r="R136" t="e">
        <f>'All regions'!D3751+"$F;@!'H:"</f>
        <v>#VALUE!</v>
      </c>
      <c r="S136" t="e">
        <f>'All regions'!E3751+"$F;@!'H;"</f>
        <v>#VALUE!</v>
      </c>
      <c r="T136" t="e">
        <f>'All regions'!F3751+"$F;@!'H&lt;"</f>
        <v>#VALUE!</v>
      </c>
      <c r="U136" t="e">
        <f>'All regions'!G3751+"$F;@!'H="</f>
        <v>#VALUE!</v>
      </c>
      <c r="V136" t="e">
        <f>'All regions'!H3751+"$F;@!'H&gt;"</f>
        <v>#VALUE!</v>
      </c>
      <c r="W136" t="e">
        <f>'All regions'!I3751+"$F;@!'H?"</f>
        <v>#VALUE!</v>
      </c>
      <c r="X136" t="e">
        <f>'All regions'!A3752+"$F;@!'H@"</f>
        <v>#VALUE!</v>
      </c>
      <c r="Y136" t="e">
        <f>'All regions'!B3752+"$F;@!'HA"</f>
        <v>#VALUE!</v>
      </c>
      <c r="Z136" t="e">
        <f>'All regions'!C3752+"$F;@!'HB"</f>
        <v>#VALUE!</v>
      </c>
      <c r="AA136" t="e">
        <f>'All regions'!D3752+"$F;@!'HC"</f>
        <v>#VALUE!</v>
      </c>
      <c r="AB136" t="e">
        <f>'All regions'!E3752+"$F;@!'HD"</f>
        <v>#VALUE!</v>
      </c>
      <c r="AC136" t="e">
        <f>'All regions'!F3752+"$F;@!'HE"</f>
        <v>#VALUE!</v>
      </c>
      <c r="AD136" t="e">
        <f>'All regions'!G3752+"$F;@!'HF"</f>
        <v>#VALUE!</v>
      </c>
      <c r="AE136" t="e">
        <f>'All regions'!H3752+"$F;@!'HG"</f>
        <v>#VALUE!</v>
      </c>
      <c r="AF136" t="e">
        <f>'All regions'!I3752+"$F;@!'HH"</f>
        <v>#VALUE!</v>
      </c>
      <c r="AG136" t="e">
        <f>'All regions'!A3753+"$F;@!'HI"</f>
        <v>#VALUE!</v>
      </c>
      <c r="AH136" t="e">
        <f>'All regions'!B3753+"$F;@!'HJ"</f>
        <v>#VALUE!</v>
      </c>
      <c r="AI136" t="e">
        <f>'All regions'!C3753+"$F;@!'HK"</f>
        <v>#VALUE!</v>
      </c>
      <c r="AJ136" t="e">
        <f>'All regions'!D3753+"$F;@!'HL"</f>
        <v>#VALUE!</v>
      </c>
      <c r="AK136" t="e">
        <f>'All regions'!E3753+"$F;@!'HM"</f>
        <v>#VALUE!</v>
      </c>
      <c r="AL136" t="e">
        <f>'All regions'!F3753+"$F;@!'HN"</f>
        <v>#VALUE!</v>
      </c>
      <c r="AM136" t="e">
        <f>'All regions'!G3753+"$F;@!'HO"</f>
        <v>#VALUE!</v>
      </c>
      <c r="AN136" t="e">
        <f>'All regions'!H3753+"$F;@!'HP"</f>
        <v>#VALUE!</v>
      </c>
      <c r="AO136" t="e">
        <f>'All regions'!I3753+"$F;@!'HQ"</f>
        <v>#VALUE!</v>
      </c>
      <c r="AP136" t="e">
        <f>'All regions'!A3754+"$F;@!'HR"</f>
        <v>#VALUE!</v>
      </c>
      <c r="AQ136" t="e">
        <f>'All regions'!B3754+"$F;@!'HS"</f>
        <v>#VALUE!</v>
      </c>
      <c r="AR136" t="e">
        <f>'All regions'!C3754+"$F;@!'HT"</f>
        <v>#VALUE!</v>
      </c>
      <c r="AS136" t="e">
        <f>'All regions'!D3754+"$F;@!'HU"</f>
        <v>#VALUE!</v>
      </c>
      <c r="AT136" t="e">
        <f>'All regions'!E3754+"$F;@!'HV"</f>
        <v>#VALUE!</v>
      </c>
      <c r="AU136" t="e">
        <f>'All regions'!F3754+"$F;@!'HW"</f>
        <v>#VALUE!</v>
      </c>
      <c r="AV136" t="e">
        <f>'All regions'!G3754+"$F;@!'HX"</f>
        <v>#VALUE!</v>
      </c>
      <c r="AW136" t="e">
        <f>'All regions'!H3754+"$F;@!'HY"</f>
        <v>#VALUE!</v>
      </c>
      <c r="AX136" t="e">
        <f>'All regions'!I3754+"$F;@!'HZ"</f>
        <v>#VALUE!</v>
      </c>
      <c r="AY136" t="e">
        <f>'All regions'!A3755+"$F;@!'H["</f>
        <v>#VALUE!</v>
      </c>
      <c r="AZ136" t="e">
        <f>'All regions'!B3755+"$F;@!'H\"</f>
        <v>#VALUE!</v>
      </c>
      <c r="BA136" t="e">
        <f>'All regions'!C3755+"$F;@!'H]"</f>
        <v>#VALUE!</v>
      </c>
      <c r="BB136" t="e">
        <f>'All regions'!D3755+"$F;@!'H^"</f>
        <v>#VALUE!</v>
      </c>
      <c r="BC136" t="e">
        <f>'All regions'!E3755+"$F;@!'H_"</f>
        <v>#VALUE!</v>
      </c>
      <c r="BD136" t="e">
        <f>'All regions'!F3755+"$F;@!'H`"</f>
        <v>#VALUE!</v>
      </c>
      <c r="BE136" t="e">
        <f>'All regions'!G3755+"$F;@!'Ha"</f>
        <v>#VALUE!</v>
      </c>
      <c r="BF136" t="e">
        <f>'All regions'!H3755+"$F;@!'Hb"</f>
        <v>#VALUE!</v>
      </c>
      <c r="BG136" t="e">
        <f>'All regions'!I3755+"$F;@!'Hc"</f>
        <v>#VALUE!</v>
      </c>
      <c r="BH136" t="e">
        <f>'All regions'!A3756+"$F;@!'Hd"</f>
        <v>#VALUE!</v>
      </c>
      <c r="BI136" t="e">
        <f>'All regions'!B3756+"$F;@!'He"</f>
        <v>#VALUE!</v>
      </c>
      <c r="BJ136" t="e">
        <f>'All regions'!C3756+"$F;@!'Hf"</f>
        <v>#VALUE!</v>
      </c>
      <c r="BK136" t="e">
        <f>'All regions'!D3756+"$F;@!'Hg"</f>
        <v>#VALUE!</v>
      </c>
      <c r="BL136" t="e">
        <f>'All regions'!E3756+"$F;@!'Hh"</f>
        <v>#VALUE!</v>
      </c>
      <c r="BM136" t="e">
        <f>'All regions'!F3756+"$F;@!'Hi"</f>
        <v>#VALUE!</v>
      </c>
      <c r="BN136" t="e">
        <f>'All regions'!G3756+"$F;@!'Hj"</f>
        <v>#VALUE!</v>
      </c>
      <c r="BO136" t="e">
        <f>'All regions'!H3756+"$F;@!'Hk"</f>
        <v>#VALUE!</v>
      </c>
      <c r="BP136" t="e">
        <f>'All regions'!I3756+"$F;@!'Hl"</f>
        <v>#VALUE!</v>
      </c>
      <c r="BQ136" t="e">
        <f>'All regions'!A3757+"$F;@!'Hm"</f>
        <v>#VALUE!</v>
      </c>
      <c r="BR136" t="e">
        <f>'All regions'!B3757+"$F;@!'Hn"</f>
        <v>#VALUE!</v>
      </c>
      <c r="BS136" t="e">
        <f>'All regions'!C3757+"$F;@!'Ho"</f>
        <v>#VALUE!</v>
      </c>
      <c r="BT136" t="e">
        <f>'All regions'!D3757+"$F;@!'Hp"</f>
        <v>#VALUE!</v>
      </c>
      <c r="BU136" t="e">
        <f>'All regions'!E3757+"$F;@!'Hq"</f>
        <v>#VALUE!</v>
      </c>
      <c r="BV136" t="e">
        <f>'All regions'!F3757+"$F;@!'Hr"</f>
        <v>#VALUE!</v>
      </c>
      <c r="BW136" t="e">
        <f>'All regions'!G3757+"$F;@!'Hs"</f>
        <v>#VALUE!</v>
      </c>
      <c r="BX136" t="e">
        <f>'All regions'!H3757+"$F;@!'Ht"</f>
        <v>#VALUE!</v>
      </c>
      <c r="BY136" t="e">
        <f>'All regions'!I3757+"$F;@!'Hu"</f>
        <v>#VALUE!</v>
      </c>
      <c r="BZ136" t="e">
        <f>'All regions'!A3758+"$F;@!'Hv"</f>
        <v>#VALUE!</v>
      </c>
      <c r="CA136" t="e">
        <f>'All regions'!B3758+"$F;@!'Hw"</f>
        <v>#VALUE!</v>
      </c>
      <c r="CB136" t="e">
        <f>'All regions'!C3758+"$F;@!'Hx"</f>
        <v>#VALUE!</v>
      </c>
      <c r="CC136" t="e">
        <f>'All regions'!D3758+"$F;@!'Hy"</f>
        <v>#VALUE!</v>
      </c>
      <c r="CD136" t="e">
        <f>'All regions'!E3758+"$F;@!'Hz"</f>
        <v>#VALUE!</v>
      </c>
      <c r="CE136" t="e">
        <f>'All regions'!F3758+"$F;@!'H{"</f>
        <v>#VALUE!</v>
      </c>
      <c r="CF136" t="e">
        <f>'All regions'!G3758+"$F;@!'H|"</f>
        <v>#VALUE!</v>
      </c>
      <c r="CG136" t="e">
        <f>'All regions'!H3758+"$F;@!'H}"</f>
        <v>#VALUE!</v>
      </c>
      <c r="CH136" t="e">
        <f>'All regions'!I3758+"$F;@!'H~"</f>
        <v>#VALUE!</v>
      </c>
      <c r="CI136" t="e">
        <f>'All regions'!A3759+"$F;@!'I#"</f>
        <v>#VALUE!</v>
      </c>
      <c r="CJ136" t="e">
        <f>'All regions'!B3759+"$F;@!'I$"</f>
        <v>#VALUE!</v>
      </c>
      <c r="CK136" t="e">
        <f>'All regions'!C3759+"$F;@!'I%"</f>
        <v>#VALUE!</v>
      </c>
      <c r="CL136" t="e">
        <f>'All regions'!D3759+"$F;@!'I&amp;"</f>
        <v>#VALUE!</v>
      </c>
      <c r="CM136" t="e">
        <f>'All regions'!E3759+"$F;@!'I'"</f>
        <v>#VALUE!</v>
      </c>
      <c r="CN136" t="e">
        <f>'All regions'!F3759+"$F;@!'I("</f>
        <v>#VALUE!</v>
      </c>
      <c r="CO136" t="e">
        <f>'All regions'!G3759+"$F;@!'I)"</f>
        <v>#VALUE!</v>
      </c>
      <c r="CP136" t="e">
        <f>'All regions'!H3759+"$F;@!'I."</f>
        <v>#VALUE!</v>
      </c>
      <c r="CQ136" t="e">
        <f>'All regions'!I3759+"$F;@!'I/"</f>
        <v>#VALUE!</v>
      </c>
      <c r="CR136" t="e">
        <f>'All regions'!A3760+"$F;@!'I0"</f>
        <v>#VALUE!</v>
      </c>
      <c r="CS136" t="e">
        <f>'All regions'!B3760+"$F;@!'I1"</f>
        <v>#VALUE!</v>
      </c>
      <c r="CT136" t="e">
        <f>'All regions'!C3760+"$F;@!'I2"</f>
        <v>#VALUE!</v>
      </c>
      <c r="CU136" t="e">
        <f>'All regions'!D3760+"$F;@!'I3"</f>
        <v>#VALUE!</v>
      </c>
      <c r="CV136" t="e">
        <f>'All regions'!E3760+"$F;@!'I4"</f>
        <v>#VALUE!</v>
      </c>
      <c r="CW136" t="e">
        <f>'All regions'!F3760+"$F;@!'I5"</f>
        <v>#VALUE!</v>
      </c>
      <c r="CX136" t="e">
        <f>'All regions'!G3760+"$F;@!'I6"</f>
        <v>#VALUE!</v>
      </c>
      <c r="CY136" t="e">
        <f>'All regions'!H3760+"$F;@!'I7"</f>
        <v>#VALUE!</v>
      </c>
      <c r="CZ136" t="e">
        <f>'All regions'!I3760+"$F;@!'I8"</f>
        <v>#VALUE!</v>
      </c>
      <c r="DA136" t="e">
        <f>'All regions'!A3761+"$F;@!'I9"</f>
        <v>#VALUE!</v>
      </c>
      <c r="DB136" t="e">
        <f>'All regions'!B3761+"$F;@!'I:"</f>
        <v>#VALUE!</v>
      </c>
      <c r="DC136" t="e">
        <f>'All regions'!C3761+"$F;@!'I;"</f>
        <v>#VALUE!</v>
      </c>
      <c r="DD136" t="e">
        <f>'All regions'!D3761+"$F;@!'I&lt;"</f>
        <v>#VALUE!</v>
      </c>
      <c r="DE136" t="e">
        <f>'All regions'!E3761+"$F;@!'I="</f>
        <v>#VALUE!</v>
      </c>
      <c r="DF136" t="e">
        <f>'All regions'!F3761+"$F;@!'I&gt;"</f>
        <v>#VALUE!</v>
      </c>
      <c r="DG136" t="e">
        <f>'All regions'!G3761+"$F;@!'I?"</f>
        <v>#VALUE!</v>
      </c>
      <c r="DH136" t="e">
        <f>'All regions'!H3761+"$F;@!'I@"</f>
        <v>#VALUE!</v>
      </c>
      <c r="DI136" t="e">
        <f>'All regions'!I3761+"$F;@!'IA"</f>
        <v>#VALUE!</v>
      </c>
      <c r="DJ136" t="e">
        <f>'All regions'!A3762+"$F;@!'IB"</f>
        <v>#VALUE!</v>
      </c>
      <c r="DK136" t="e">
        <f>'All regions'!B3762+"$F;@!'IC"</f>
        <v>#VALUE!</v>
      </c>
      <c r="DL136" t="e">
        <f>'All regions'!C3762+"$F;@!'ID"</f>
        <v>#VALUE!</v>
      </c>
      <c r="DM136" t="e">
        <f>'All regions'!D3762+"$F;@!'IE"</f>
        <v>#VALUE!</v>
      </c>
      <c r="DN136" t="e">
        <f>'All regions'!E3762+"$F;@!'IF"</f>
        <v>#VALUE!</v>
      </c>
      <c r="DO136" t="e">
        <f>'All regions'!F3762+"$F;@!'IG"</f>
        <v>#VALUE!</v>
      </c>
      <c r="DP136" t="e">
        <f>'All regions'!G3762+"$F;@!'IH"</f>
        <v>#VALUE!</v>
      </c>
      <c r="DQ136" t="e">
        <f>'All regions'!H3762+"$F;@!'II"</f>
        <v>#VALUE!</v>
      </c>
      <c r="DR136" t="e">
        <f>'All regions'!I3762+"$F;@!'IJ"</f>
        <v>#VALUE!</v>
      </c>
      <c r="DS136" t="e">
        <f>'All regions'!A3763+"$F;@!'IK"</f>
        <v>#VALUE!</v>
      </c>
      <c r="DT136" t="e">
        <f>'All regions'!B3763+"$F;@!'IL"</f>
        <v>#VALUE!</v>
      </c>
      <c r="DU136" t="e">
        <f>'All regions'!C3763+"$F;@!'IM"</f>
        <v>#VALUE!</v>
      </c>
      <c r="DV136" t="e">
        <f>'All regions'!D3763+"$F;@!'IN"</f>
        <v>#VALUE!</v>
      </c>
      <c r="DW136" t="e">
        <f>'All regions'!E3763+"$F;@!'IO"</f>
        <v>#VALUE!</v>
      </c>
      <c r="DX136" t="e">
        <f>'All regions'!F3763+"$F;@!'IP"</f>
        <v>#VALUE!</v>
      </c>
      <c r="DY136" t="e">
        <f>'All regions'!G3763+"$F;@!'IQ"</f>
        <v>#VALUE!</v>
      </c>
      <c r="DZ136" t="e">
        <f>'All regions'!H3763+"$F;@!'IR"</f>
        <v>#VALUE!</v>
      </c>
      <c r="EA136" t="e">
        <f>'All regions'!I3763+"$F;@!'IS"</f>
        <v>#VALUE!</v>
      </c>
      <c r="EB136" t="e">
        <f>'All regions'!A3764+"$F;@!'IT"</f>
        <v>#VALUE!</v>
      </c>
      <c r="EC136" t="e">
        <f>'All regions'!B3764+"$F;@!'IU"</f>
        <v>#VALUE!</v>
      </c>
      <c r="ED136" t="e">
        <f>'All regions'!C3764+"$F;@!'IV"</f>
        <v>#VALUE!</v>
      </c>
      <c r="EE136" t="e">
        <f>'All regions'!D3764+"$F;@!'IW"</f>
        <v>#VALUE!</v>
      </c>
      <c r="EF136" t="e">
        <f>'All regions'!E3764+"$F;@!'IX"</f>
        <v>#VALUE!</v>
      </c>
      <c r="EG136" t="e">
        <f>'All regions'!F3764+"$F;@!'IY"</f>
        <v>#VALUE!</v>
      </c>
      <c r="EH136" t="e">
        <f>'All regions'!G3764+"$F;@!'IZ"</f>
        <v>#VALUE!</v>
      </c>
      <c r="EI136" t="e">
        <f>'All regions'!H3764+"$F;@!'I["</f>
        <v>#VALUE!</v>
      </c>
      <c r="EJ136" t="e">
        <f>'All regions'!I3764+"$F;@!'I\"</f>
        <v>#VALUE!</v>
      </c>
      <c r="EK136" t="e">
        <f>'All regions'!A3765+"$F;@!'I]"</f>
        <v>#VALUE!</v>
      </c>
      <c r="EL136" t="e">
        <f>'All regions'!B3765+"$F;@!'I^"</f>
        <v>#VALUE!</v>
      </c>
      <c r="EM136" t="e">
        <f>'All regions'!C3765+"$F;@!'I_"</f>
        <v>#VALUE!</v>
      </c>
      <c r="EN136" t="e">
        <f>'All regions'!D3765+"$F;@!'I`"</f>
        <v>#VALUE!</v>
      </c>
      <c r="EO136" t="e">
        <f>'All regions'!E3765+"$F;@!'Ia"</f>
        <v>#VALUE!</v>
      </c>
      <c r="EP136" t="e">
        <f>'All regions'!F3765+"$F;@!'Ib"</f>
        <v>#VALUE!</v>
      </c>
      <c r="EQ136" t="e">
        <f>'All regions'!G3765+"$F;@!'Ic"</f>
        <v>#VALUE!</v>
      </c>
      <c r="ER136" t="e">
        <f>'All regions'!H3765+"$F;@!'Id"</f>
        <v>#VALUE!</v>
      </c>
      <c r="ES136" t="e">
        <f>'All regions'!I3765+"$F;@!'Ie"</f>
        <v>#VALUE!</v>
      </c>
      <c r="ET136" t="e">
        <f>'All regions'!A3766+"$F;@!'If"</f>
        <v>#VALUE!</v>
      </c>
      <c r="EU136" t="e">
        <f>'All regions'!B3766+"$F;@!'Ig"</f>
        <v>#VALUE!</v>
      </c>
      <c r="EV136" t="e">
        <f>'All regions'!C3766+"$F;@!'Ih"</f>
        <v>#VALUE!</v>
      </c>
      <c r="EW136" t="e">
        <f>'All regions'!D3766+"$F;@!'Ii"</f>
        <v>#VALUE!</v>
      </c>
      <c r="EX136" t="e">
        <f>'All regions'!E3766+"$F;@!'Ij"</f>
        <v>#VALUE!</v>
      </c>
      <c r="EY136" t="e">
        <f>'All regions'!F3766+"$F;@!'Ik"</f>
        <v>#VALUE!</v>
      </c>
      <c r="EZ136" t="e">
        <f>'All regions'!G3766+"$F;@!'Il"</f>
        <v>#VALUE!</v>
      </c>
      <c r="FA136" t="e">
        <f>'All regions'!H3766+"$F;@!'Im"</f>
        <v>#VALUE!</v>
      </c>
      <c r="FB136" t="e">
        <f>'All regions'!I3766+"$F;@!'In"</f>
        <v>#VALUE!</v>
      </c>
      <c r="FC136" t="e">
        <f>'All regions'!A3767+"$F;@!'Io"</f>
        <v>#VALUE!</v>
      </c>
      <c r="FD136" t="e">
        <f>'All regions'!B3767+"$F;@!'Ip"</f>
        <v>#VALUE!</v>
      </c>
      <c r="FE136" t="e">
        <f>'All regions'!C3767+"$F;@!'Iq"</f>
        <v>#VALUE!</v>
      </c>
      <c r="FF136" t="e">
        <f>'All regions'!D3767+"$F;@!'Ir"</f>
        <v>#VALUE!</v>
      </c>
      <c r="FG136" t="e">
        <f>'All regions'!E3767+"$F;@!'Is"</f>
        <v>#VALUE!</v>
      </c>
      <c r="FH136" t="e">
        <f>'All regions'!F3767+"$F;@!'It"</f>
        <v>#VALUE!</v>
      </c>
      <c r="FI136" t="e">
        <f>'All regions'!G3767+"$F;@!'Iu"</f>
        <v>#VALUE!</v>
      </c>
      <c r="FJ136" t="e">
        <f>'All regions'!H3767+"$F;@!'Iv"</f>
        <v>#VALUE!</v>
      </c>
      <c r="FK136" t="e">
        <f>'All regions'!I3767+"$F;@!'Iw"</f>
        <v>#VALUE!</v>
      </c>
      <c r="FL136" t="e">
        <f>'All regions'!A3768+"$F;@!'Ix"</f>
        <v>#VALUE!</v>
      </c>
      <c r="FM136" t="e">
        <f>'All regions'!B3768+"$F;@!'Iy"</f>
        <v>#VALUE!</v>
      </c>
      <c r="FN136" t="e">
        <f>'All regions'!C3768+"$F;@!'Iz"</f>
        <v>#VALUE!</v>
      </c>
      <c r="FO136" t="e">
        <f>'All regions'!D3768+"$F;@!'I{"</f>
        <v>#VALUE!</v>
      </c>
      <c r="FP136" t="e">
        <f>'All regions'!E3768+"$F;@!'I|"</f>
        <v>#VALUE!</v>
      </c>
      <c r="FQ136" t="e">
        <f>'All regions'!F3768+"$F;@!'I}"</f>
        <v>#VALUE!</v>
      </c>
      <c r="FR136" t="e">
        <f>'All regions'!G3768+"$F;@!'I~"</f>
        <v>#VALUE!</v>
      </c>
      <c r="FS136" t="e">
        <f>'All regions'!H3768+"$F;@!'J#"</f>
        <v>#VALUE!</v>
      </c>
      <c r="FT136" t="e">
        <f>'All regions'!I3768+"$F;@!'J$"</f>
        <v>#VALUE!</v>
      </c>
      <c r="FU136" t="e">
        <f>'All regions'!A3769+"$F;@!'J%"</f>
        <v>#VALUE!</v>
      </c>
      <c r="FV136" t="e">
        <f>'All regions'!B3769+"$F;@!'J&amp;"</f>
        <v>#VALUE!</v>
      </c>
      <c r="FW136" t="e">
        <f>'All regions'!C3769+"$F;@!'J'"</f>
        <v>#VALUE!</v>
      </c>
      <c r="FX136" t="e">
        <f>'All regions'!D3769+"$F;@!'J("</f>
        <v>#VALUE!</v>
      </c>
      <c r="FY136" t="e">
        <f>'All regions'!E3769+"$F;@!'J)"</f>
        <v>#VALUE!</v>
      </c>
      <c r="FZ136" t="e">
        <f>'All regions'!F3769+"$F;@!'J."</f>
        <v>#VALUE!</v>
      </c>
      <c r="GA136" t="e">
        <f>'All regions'!G3769+"$F;@!'J/"</f>
        <v>#VALUE!</v>
      </c>
      <c r="GB136" t="e">
        <f>'All regions'!H3769+"$F;@!'J0"</f>
        <v>#VALUE!</v>
      </c>
      <c r="GC136" t="e">
        <f>'All regions'!I3769+"$F;@!'J1"</f>
        <v>#VALUE!</v>
      </c>
      <c r="GD136" t="e">
        <f>'All regions'!A3770+"$F;@!'J2"</f>
        <v>#VALUE!</v>
      </c>
      <c r="GE136" t="e">
        <f>'All regions'!B3770+"$F;@!'J3"</f>
        <v>#VALUE!</v>
      </c>
      <c r="GF136" t="e">
        <f>'All regions'!C3770+"$F;@!'J4"</f>
        <v>#VALUE!</v>
      </c>
      <c r="GG136" t="e">
        <f>'All regions'!D3770+"$F;@!'J5"</f>
        <v>#VALUE!</v>
      </c>
      <c r="GH136" t="e">
        <f>'All regions'!E3770+"$F;@!'J6"</f>
        <v>#VALUE!</v>
      </c>
      <c r="GI136" t="e">
        <f>'All regions'!F3770+"$F;@!'J7"</f>
        <v>#VALUE!</v>
      </c>
      <c r="GJ136" t="e">
        <f>'All regions'!G3770+"$F;@!'J8"</f>
        <v>#VALUE!</v>
      </c>
      <c r="GK136" t="e">
        <f>'All regions'!H3770+"$F;@!'J9"</f>
        <v>#VALUE!</v>
      </c>
      <c r="GL136" t="e">
        <f>'All regions'!I3770+"$F;@!'J:"</f>
        <v>#VALUE!</v>
      </c>
      <c r="GM136" t="e">
        <f>'All regions'!A3771+"$F;@!'J;"</f>
        <v>#VALUE!</v>
      </c>
      <c r="GN136" t="e">
        <f>'All regions'!B3771+"$F;@!'J&lt;"</f>
        <v>#VALUE!</v>
      </c>
      <c r="GO136" t="e">
        <f>'All regions'!C3771+"$F;@!'J="</f>
        <v>#VALUE!</v>
      </c>
      <c r="GP136" t="e">
        <f>'All regions'!D3771+"$F;@!'J&gt;"</f>
        <v>#VALUE!</v>
      </c>
      <c r="GQ136" t="e">
        <f>'All regions'!E3771+"$F;@!'J?"</f>
        <v>#VALUE!</v>
      </c>
      <c r="GR136" t="e">
        <f>'All regions'!F3771+"$F;@!'J@"</f>
        <v>#VALUE!</v>
      </c>
      <c r="GS136" t="e">
        <f>'All regions'!G3771+"$F;@!'JA"</f>
        <v>#VALUE!</v>
      </c>
      <c r="GT136" t="e">
        <f>'All regions'!H3771+"$F;@!'JB"</f>
        <v>#VALUE!</v>
      </c>
      <c r="GU136" t="e">
        <f>'All regions'!I3771+"$F;@!'JC"</f>
        <v>#VALUE!</v>
      </c>
      <c r="GV136" t="e">
        <f>'All regions'!A3772+"$F;@!'JD"</f>
        <v>#VALUE!</v>
      </c>
      <c r="GW136" t="e">
        <f>'All regions'!B3772+"$F;@!'JE"</f>
        <v>#VALUE!</v>
      </c>
      <c r="GX136" t="e">
        <f>'All regions'!C3772+"$F;@!'JF"</f>
        <v>#VALUE!</v>
      </c>
      <c r="GY136" t="e">
        <f>'All regions'!D3772+"$F;@!'JG"</f>
        <v>#VALUE!</v>
      </c>
      <c r="GZ136" t="e">
        <f>'All regions'!E3772+"$F;@!'JH"</f>
        <v>#VALUE!</v>
      </c>
      <c r="HA136" t="e">
        <f>'All regions'!F3772+"$F;@!'JI"</f>
        <v>#VALUE!</v>
      </c>
      <c r="HB136" t="e">
        <f>'All regions'!G3772+"$F;@!'JJ"</f>
        <v>#VALUE!</v>
      </c>
      <c r="HC136" t="e">
        <f>'All regions'!H3772+"$F;@!'JK"</f>
        <v>#VALUE!</v>
      </c>
      <c r="HD136" t="e">
        <f>'All regions'!I3772+"$F;@!'JL"</f>
        <v>#VALUE!</v>
      </c>
      <c r="HE136" t="e">
        <f>'All regions'!A3773+"$F;@!'JM"</f>
        <v>#VALUE!</v>
      </c>
      <c r="HF136" t="e">
        <f>'All regions'!B3773+"$F;@!'JN"</f>
        <v>#VALUE!</v>
      </c>
      <c r="HG136" t="e">
        <f>'All regions'!C3773+"$F;@!'JO"</f>
        <v>#VALUE!</v>
      </c>
      <c r="HH136" t="e">
        <f>'All regions'!D3773+"$F;@!'JP"</f>
        <v>#VALUE!</v>
      </c>
      <c r="HI136" t="e">
        <f>'All regions'!E3773+"$F;@!'JQ"</f>
        <v>#VALUE!</v>
      </c>
      <c r="HJ136" t="e">
        <f>'All regions'!F3773+"$F;@!'JR"</f>
        <v>#VALUE!</v>
      </c>
      <c r="HK136" t="e">
        <f>'All regions'!G3773+"$F;@!'JS"</f>
        <v>#VALUE!</v>
      </c>
      <c r="HL136" t="e">
        <f>'All regions'!H3773+"$F;@!'JT"</f>
        <v>#VALUE!</v>
      </c>
      <c r="HM136" t="e">
        <f>'All regions'!I3773+"$F;@!'JU"</f>
        <v>#VALUE!</v>
      </c>
      <c r="HN136" t="e">
        <f>'All regions'!A3774+"$F;@!'JV"</f>
        <v>#VALUE!</v>
      </c>
      <c r="HO136" t="e">
        <f>'All regions'!B3774+"$F;@!'JW"</f>
        <v>#VALUE!</v>
      </c>
      <c r="HP136" t="e">
        <f>'All regions'!C3774+"$F;@!'JX"</f>
        <v>#VALUE!</v>
      </c>
      <c r="HQ136" t="e">
        <f>'All regions'!D3774+"$F;@!'JY"</f>
        <v>#VALUE!</v>
      </c>
      <c r="HR136" t="e">
        <f>'All regions'!E3774+"$F;@!'JZ"</f>
        <v>#VALUE!</v>
      </c>
      <c r="HS136" t="e">
        <f>'All regions'!F3774+"$F;@!'J["</f>
        <v>#VALUE!</v>
      </c>
      <c r="HT136" t="e">
        <f>'All regions'!G3774+"$F;@!'J\"</f>
        <v>#VALUE!</v>
      </c>
      <c r="HU136" t="e">
        <f>'All regions'!H3774+"$F;@!'J]"</f>
        <v>#VALUE!</v>
      </c>
      <c r="HV136" t="e">
        <f>'All regions'!I3774+"$F;@!'J^"</f>
        <v>#VALUE!</v>
      </c>
      <c r="HW136" t="e">
        <f>'All regions'!A3775+"$F;@!'J_"</f>
        <v>#VALUE!</v>
      </c>
      <c r="HX136" t="e">
        <f>'All regions'!B3775+"$F;@!'J`"</f>
        <v>#VALUE!</v>
      </c>
      <c r="HY136" t="e">
        <f>'All regions'!C3775+"$F;@!'Ja"</f>
        <v>#VALUE!</v>
      </c>
      <c r="HZ136" t="e">
        <f>'All regions'!D3775+"$F;@!'Jb"</f>
        <v>#VALUE!</v>
      </c>
      <c r="IA136" t="e">
        <f>'All regions'!E3775+"$F;@!'Jc"</f>
        <v>#VALUE!</v>
      </c>
      <c r="IB136" t="e">
        <f>'All regions'!F3775+"$F;@!'Jd"</f>
        <v>#VALUE!</v>
      </c>
      <c r="IC136" t="e">
        <f>'All regions'!G3775+"$F;@!'Je"</f>
        <v>#VALUE!</v>
      </c>
      <c r="ID136" t="e">
        <f>'All regions'!H3775+"$F;@!'Jf"</f>
        <v>#VALUE!</v>
      </c>
      <c r="IE136" t="e">
        <f>'All regions'!I3775+"$F;@!'Jg"</f>
        <v>#VALUE!</v>
      </c>
      <c r="IF136" t="e">
        <f>'All regions'!A3776+"$F;@!'Jh"</f>
        <v>#VALUE!</v>
      </c>
      <c r="IG136" t="e">
        <f>'All regions'!B3776+"$F;@!'Ji"</f>
        <v>#VALUE!</v>
      </c>
      <c r="IH136" t="e">
        <f>'All regions'!C3776+"$F;@!'Jj"</f>
        <v>#VALUE!</v>
      </c>
      <c r="II136" t="e">
        <f>'All regions'!D3776+"$F;@!'Jk"</f>
        <v>#VALUE!</v>
      </c>
      <c r="IJ136" t="e">
        <f>'All regions'!E3776+"$F;@!'Jl"</f>
        <v>#VALUE!</v>
      </c>
      <c r="IK136" t="e">
        <f>'All regions'!F3776+"$F;@!'Jm"</f>
        <v>#VALUE!</v>
      </c>
      <c r="IL136" t="e">
        <f>'All regions'!G3776+"$F;@!'Jn"</f>
        <v>#VALUE!</v>
      </c>
      <c r="IM136" t="e">
        <f>'All regions'!H3776+"$F;@!'Jo"</f>
        <v>#VALUE!</v>
      </c>
      <c r="IN136" t="e">
        <f>'All regions'!I3776+"$F;@!'Jp"</f>
        <v>#VALUE!</v>
      </c>
      <c r="IO136" t="e">
        <f>'All regions'!A3777+"$F;@!'Jq"</f>
        <v>#VALUE!</v>
      </c>
      <c r="IP136" t="e">
        <f>'All regions'!B3777+"$F;@!'Jr"</f>
        <v>#VALUE!</v>
      </c>
      <c r="IQ136" t="e">
        <f>'All regions'!C3777+"$F;@!'Js"</f>
        <v>#VALUE!</v>
      </c>
      <c r="IR136" t="e">
        <f>'All regions'!D3777+"$F;@!'Jt"</f>
        <v>#VALUE!</v>
      </c>
      <c r="IS136" t="e">
        <f>'All regions'!E3777+"$F;@!'Ju"</f>
        <v>#VALUE!</v>
      </c>
      <c r="IT136" t="e">
        <f>'All regions'!F3777+"$F;@!'Jv"</f>
        <v>#VALUE!</v>
      </c>
      <c r="IU136" t="e">
        <f>'All regions'!G3777+"$F;@!'Jw"</f>
        <v>#VALUE!</v>
      </c>
      <c r="IV136" t="e">
        <f>'All regions'!H3777+"$F;@!'Jx"</f>
        <v>#VALUE!</v>
      </c>
    </row>
    <row r="137" spans="6:256" x14ac:dyDescent="0.35">
      <c r="F137" t="e">
        <f>'All regions'!I3777+"$F;@!'Jy"</f>
        <v>#VALUE!</v>
      </c>
      <c r="G137" t="e">
        <f>'All regions'!A3778+"$F;@!'Jz"</f>
        <v>#VALUE!</v>
      </c>
      <c r="H137" t="e">
        <f>'All regions'!B3778+"$F;@!'J{"</f>
        <v>#VALUE!</v>
      </c>
      <c r="I137" t="e">
        <f>'All regions'!C3778+"$F;@!'J|"</f>
        <v>#VALUE!</v>
      </c>
      <c r="J137" t="e">
        <f>'All regions'!D3778+"$F;@!'J}"</f>
        <v>#VALUE!</v>
      </c>
      <c r="K137" t="e">
        <f>'All regions'!E3778+"$F;@!'J~"</f>
        <v>#VALUE!</v>
      </c>
      <c r="L137" t="e">
        <f>'All regions'!F3778+"$F;@!'K#"</f>
        <v>#VALUE!</v>
      </c>
      <c r="M137" t="e">
        <f>'All regions'!G3778+"$F;@!'K$"</f>
        <v>#VALUE!</v>
      </c>
      <c r="N137" t="e">
        <f>'All regions'!H3778+"$F;@!'K%"</f>
        <v>#VALUE!</v>
      </c>
      <c r="O137" t="e">
        <f>'All regions'!I3778+"$F;@!'K&amp;"</f>
        <v>#VALUE!</v>
      </c>
      <c r="P137" t="e">
        <f>'All regions'!A3779+"$F;@!'K'"</f>
        <v>#VALUE!</v>
      </c>
      <c r="Q137" t="e">
        <f>'All regions'!B3779+"$F;@!'K("</f>
        <v>#VALUE!</v>
      </c>
      <c r="R137" t="e">
        <f>'All regions'!C3779+"$F;@!'K)"</f>
        <v>#VALUE!</v>
      </c>
      <c r="S137" t="e">
        <f>'All regions'!D3779+"$F;@!'K."</f>
        <v>#VALUE!</v>
      </c>
      <c r="T137" t="e">
        <f>'All regions'!E3779+"$F;@!'K/"</f>
        <v>#VALUE!</v>
      </c>
      <c r="U137" t="e">
        <f>'All regions'!F3779+"$F;@!'K0"</f>
        <v>#VALUE!</v>
      </c>
      <c r="V137" t="e">
        <f>'All regions'!G3779+"$F;@!'K1"</f>
        <v>#VALUE!</v>
      </c>
      <c r="W137" t="e">
        <f>'All regions'!H3779+"$F;@!'K2"</f>
        <v>#VALUE!</v>
      </c>
      <c r="X137" t="e">
        <f>'All regions'!I3779+"$F;@!'K3"</f>
        <v>#VALUE!</v>
      </c>
      <c r="Y137" t="e">
        <f>'All regions'!A3780+"$F;@!'K4"</f>
        <v>#VALUE!</v>
      </c>
      <c r="Z137" t="e">
        <f>'All regions'!B3780+"$F;@!'K5"</f>
        <v>#VALUE!</v>
      </c>
      <c r="AA137" t="e">
        <f>'All regions'!C3780+"$F;@!'K6"</f>
        <v>#VALUE!</v>
      </c>
      <c r="AB137" t="e">
        <f>'All regions'!D3780+"$F;@!'K7"</f>
        <v>#VALUE!</v>
      </c>
      <c r="AC137" t="e">
        <f>'All regions'!E3780+"$F;@!'K8"</f>
        <v>#VALUE!</v>
      </c>
      <c r="AD137" t="e">
        <f>'All regions'!F3780+"$F;@!'K9"</f>
        <v>#VALUE!</v>
      </c>
      <c r="AE137" t="e">
        <f>'All regions'!G3780+"$F;@!'K:"</f>
        <v>#VALUE!</v>
      </c>
      <c r="AF137" t="e">
        <f>'All regions'!H3780+"$F;@!'K;"</f>
        <v>#VALUE!</v>
      </c>
      <c r="AG137" t="e">
        <f>'All regions'!I3780+"$F;@!'K&lt;"</f>
        <v>#VALUE!</v>
      </c>
      <c r="AH137" t="e">
        <f>'All regions'!A3781+"$F;@!'K="</f>
        <v>#VALUE!</v>
      </c>
      <c r="AI137" t="e">
        <f>'All regions'!B3781+"$F;@!'K&gt;"</f>
        <v>#VALUE!</v>
      </c>
      <c r="AJ137" t="e">
        <f>'All regions'!C3781+"$F;@!'K?"</f>
        <v>#VALUE!</v>
      </c>
      <c r="AK137" t="e">
        <f>'All regions'!D3781+"$F;@!'K@"</f>
        <v>#VALUE!</v>
      </c>
      <c r="AL137" t="e">
        <f>'All regions'!E3781+"$F;@!'KA"</f>
        <v>#VALUE!</v>
      </c>
      <c r="AM137" t="e">
        <f>'All regions'!F3781+"$F;@!'KB"</f>
        <v>#VALUE!</v>
      </c>
      <c r="AN137" t="e">
        <f>'All regions'!G3781+"$F;@!'KC"</f>
        <v>#VALUE!</v>
      </c>
      <c r="AO137" t="e">
        <f>'All regions'!H3781+"$F;@!'KD"</f>
        <v>#VALUE!</v>
      </c>
      <c r="AP137" t="e">
        <f>'All regions'!I3781+"$F;@!'KE"</f>
        <v>#VALUE!</v>
      </c>
      <c r="AQ137" t="e">
        <f>'All regions'!A3782+"$F;@!'KF"</f>
        <v>#VALUE!</v>
      </c>
      <c r="AR137" t="e">
        <f>'All regions'!B3782+"$F;@!'KG"</f>
        <v>#VALUE!</v>
      </c>
      <c r="AS137" t="e">
        <f>'All regions'!C3782+"$F;@!'KH"</f>
        <v>#VALUE!</v>
      </c>
      <c r="AT137" t="e">
        <f>'All regions'!D3782+"$F;@!'KI"</f>
        <v>#VALUE!</v>
      </c>
      <c r="AU137" t="e">
        <f>'All regions'!E3782+"$F;@!'KJ"</f>
        <v>#VALUE!</v>
      </c>
      <c r="AV137" t="e">
        <f>'All regions'!F3782+"$F;@!'KK"</f>
        <v>#VALUE!</v>
      </c>
      <c r="AW137" t="e">
        <f>'All regions'!G3782+"$F;@!'KL"</f>
        <v>#VALUE!</v>
      </c>
      <c r="AX137" t="e">
        <f>'All regions'!H3782+"$F;@!'KM"</f>
        <v>#VALUE!</v>
      </c>
      <c r="AY137" t="e">
        <f>'All regions'!I3782+"$F;@!'KN"</f>
        <v>#VALUE!</v>
      </c>
      <c r="AZ137" t="e">
        <f>'All regions'!A3783+"$F;@!'KO"</f>
        <v>#VALUE!</v>
      </c>
      <c r="BA137" t="e">
        <f>'All regions'!B3783+"$F;@!'KP"</f>
        <v>#VALUE!</v>
      </c>
      <c r="BB137" t="e">
        <f>'All regions'!C3783+"$F;@!'KQ"</f>
        <v>#VALUE!</v>
      </c>
      <c r="BC137" t="e">
        <f>'All regions'!D3783+"$F;@!'KR"</f>
        <v>#VALUE!</v>
      </c>
      <c r="BD137" t="e">
        <f>'All regions'!E3783+"$F;@!'KS"</f>
        <v>#VALUE!</v>
      </c>
      <c r="BE137" t="e">
        <f>'All regions'!F3783+"$F;@!'KT"</f>
        <v>#VALUE!</v>
      </c>
      <c r="BF137" t="e">
        <f>'All regions'!G3783+"$F;@!'KU"</f>
        <v>#VALUE!</v>
      </c>
      <c r="BG137" t="e">
        <f>'All regions'!H3783+"$F;@!'KV"</f>
        <v>#VALUE!</v>
      </c>
      <c r="BH137" t="e">
        <f>'All regions'!I3783+"$F;@!'KW"</f>
        <v>#VALUE!</v>
      </c>
      <c r="BI137" t="e">
        <f>'All regions'!A3784+"$F;@!'KX"</f>
        <v>#VALUE!</v>
      </c>
      <c r="BJ137" t="e">
        <f>'All regions'!B3784+"$F;@!'KY"</f>
        <v>#VALUE!</v>
      </c>
      <c r="BK137" t="e">
        <f>'All regions'!C3784+"$F;@!'KZ"</f>
        <v>#VALUE!</v>
      </c>
      <c r="BL137" t="e">
        <f>'All regions'!D3784+"$F;@!'K["</f>
        <v>#VALUE!</v>
      </c>
      <c r="BM137" t="e">
        <f>'All regions'!E3784+"$F;@!'K\"</f>
        <v>#VALUE!</v>
      </c>
      <c r="BN137" t="e">
        <f>'All regions'!F3784+"$F;@!'K]"</f>
        <v>#VALUE!</v>
      </c>
      <c r="BO137" t="e">
        <f>'All regions'!G3784+"$F;@!'K^"</f>
        <v>#VALUE!</v>
      </c>
      <c r="BP137" t="e">
        <f>'All regions'!H3784+"$F;@!'K_"</f>
        <v>#VALUE!</v>
      </c>
      <c r="BQ137" t="e">
        <f>'All regions'!I3784+"$F;@!'K`"</f>
        <v>#VALUE!</v>
      </c>
      <c r="BR137" t="e">
        <f>'All regions'!A3785+"$F;@!'Ka"</f>
        <v>#VALUE!</v>
      </c>
      <c r="BS137" t="e">
        <f>'All regions'!B3785+"$F;@!'Kb"</f>
        <v>#VALUE!</v>
      </c>
      <c r="BT137" t="e">
        <f>'All regions'!C3785+"$F;@!'Kc"</f>
        <v>#VALUE!</v>
      </c>
      <c r="BU137" t="e">
        <f>'All regions'!D3785+"$F;@!'Kd"</f>
        <v>#VALUE!</v>
      </c>
      <c r="BV137" t="e">
        <f>'All regions'!E3785+"$F;@!'Ke"</f>
        <v>#VALUE!</v>
      </c>
      <c r="BW137" t="e">
        <f>'All regions'!F3785+"$F;@!'Kf"</f>
        <v>#VALUE!</v>
      </c>
      <c r="BX137" t="e">
        <f>'All regions'!G3785+"$F;@!'Kg"</f>
        <v>#VALUE!</v>
      </c>
      <c r="BY137" t="e">
        <f>'All regions'!H3785+"$F;@!'Kh"</f>
        <v>#VALUE!</v>
      </c>
      <c r="BZ137" t="e">
        <f>'All regions'!I3785+"$F;@!'Ki"</f>
        <v>#VALUE!</v>
      </c>
      <c r="CA137" t="e">
        <f>'All regions'!A3786+"$F;@!'Kj"</f>
        <v>#VALUE!</v>
      </c>
      <c r="CB137" t="e">
        <f>'All regions'!B3786+"$F;@!'Kk"</f>
        <v>#VALUE!</v>
      </c>
      <c r="CC137" t="e">
        <f>'All regions'!C3786+"$F;@!'Kl"</f>
        <v>#VALUE!</v>
      </c>
      <c r="CD137" t="e">
        <f>'All regions'!D3786+"$F;@!'Km"</f>
        <v>#VALUE!</v>
      </c>
      <c r="CE137" t="e">
        <f>'All regions'!E3786+"$F;@!'Kn"</f>
        <v>#VALUE!</v>
      </c>
      <c r="CF137" t="e">
        <f>'All regions'!F3786+"$F;@!'Ko"</f>
        <v>#VALUE!</v>
      </c>
      <c r="CG137" t="e">
        <f>'All regions'!G3786+"$F;@!'Kp"</f>
        <v>#VALUE!</v>
      </c>
      <c r="CH137" t="e">
        <f>'All regions'!H3786+"$F;@!'Kq"</f>
        <v>#VALUE!</v>
      </c>
      <c r="CI137" t="e">
        <f>'All regions'!I3786+"$F;@!'Kr"</f>
        <v>#VALUE!</v>
      </c>
      <c r="CJ137" t="e">
        <f>'All regions'!A3787+"$F;@!'Ks"</f>
        <v>#VALUE!</v>
      </c>
      <c r="CK137" t="e">
        <f>'All regions'!B3787+"$F;@!'Kt"</f>
        <v>#VALUE!</v>
      </c>
      <c r="CL137" t="e">
        <f>'All regions'!C3787+"$F;@!'Ku"</f>
        <v>#VALUE!</v>
      </c>
      <c r="CM137" t="e">
        <f>'All regions'!D3787+"$F;@!'Kv"</f>
        <v>#VALUE!</v>
      </c>
      <c r="CN137" t="e">
        <f>'All regions'!E3787+"$F;@!'Kw"</f>
        <v>#VALUE!</v>
      </c>
      <c r="CO137" t="e">
        <f>'All regions'!F3787+"$F;@!'Kx"</f>
        <v>#VALUE!</v>
      </c>
      <c r="CP137" t="e">
        <f>'All regions'!G3787+"$F;@!'Ky"</f>
        <v>#VALUE!</v>
      </c>
      <c r="CQ137" t="e">
        <f>'All regions'!H3787+"$F;@!'Kz"</f>
        <v>#VALUE!</v>
      </c>
      <c r="CR137" t="e">
        <f>'All regions'!I3787+"$F;@!'K{"</f>
        <v>#VALUE!</v>
      </c>
      <c r="CS137" t="e">
        <f>'All regions'!A3788+"$F;@!'K|"</f>
        <v>#VALUE!</v>
      </c>
      <c r="CT137" t="e">
        <f>'All regions'!B3788+"$F;@!'K}"</f>
        <v>#VALUE!</v>
      </c>
      <c r="CU137" t="e">
        <f>'All regions'!C3788+"$F;@!'K~"</f>
        <v>#VALUE!</v>
      </c>
      <c r="CV137" t="e">
        <f>'All regions'!D3788+"$F;@!'L#"</f>
        <v>#VALUE!</v>
      </c>
      <c r="CW137" t="e">
        <f>'All regions'!E3788+"$F;@!'L$"</f>
        <v>#VALUE!</v>
      </c>
      <c r="CX137" t="e">
        <f>'All regions'!F3788+"$F;@!'L%"</f>
        <v>#VALUE!</v>
      </c>
      <c r="CY137" t="e">
        <f>'All regions'!G3788+"$F;@!'L&amp;"</f>
        <v>#VALUE!</v>
      </c>
      <c r="CZ137" t="e">
        <f>'All regions'!H3788+"$F;@!'L'"</f>
        <v>#VALUE!</v>
      </c>
      <c r="DA137" t="e">
        <f>'All regions'!I3788+"$F;@!'L("</f>
        <v>#VALUE!</v>
      </c>
      <c r="DB137" t="e">
        <f>'All regions'!A3789+"$F;@!'L)"</f>
        <v>#VALUE!</v>
      </c>
      <c r="DC137" t="e">
        <f>'All regions'!B3789+"$F;@!'L."</f>
        <v>#VALUE!</v>
      </c>
      <c r="DD137" t="e">
        <f>'All regions'!C3789+"$F;@!'L/"</f>
        <v>#VALUE!</v>
      </c>
      <c r="DE137" t="e">
        <f>'All regions'!D3789+"$F;@!'L0"</f>
        <v>#VALUE!</v>
      </c>
      <c r="DF137" t="e">
        <f>'All regions'!E3789+"$F;@!'L1"</f>
        <v>#VALUE!</v>
      </c>
      <c r="DG137" t="e">
        <f>'All regions'!F3789+"$F;@!'L2"</f>
        <v>#VALUE!</v>
      </c>
      <c r="DH137" t="e">
        <f>'All regions'!G3789+"$F;@!'L3"</f>
        <v>#VALUE!</v>
      </c>
      <c r="DI137" t="e">
        <f>'All regions'!H3789+"$F;@!'L4"</f>
        <v>#VALUE!</v>
      </c>
      <c r="DJ137" t="e">
        <f>'All regions'!I3789+"$F;@!'L5"</f>
        <v>#VALUE!</v>
      </c>
      <c r="DK137" t="e">
        <f>'All regions'!A3790+"$F;@!'L6"</f>
        <v>#VALUE!</v>
      </c>
      <c r="DL137" t="e">
        <f>'All regions'!B3790+"$F;@!'L7"</f>
        <v>#VALUE!</v>
      </c>
      <c r="DM137" t="e">
        <f>'All regions'!C3790+"$F;@!'L8"</f>
        <v>#VALUE!</v>
      </c>
      <c r="DN137" t="e">
        <f>'All regions'!D3790+"$F;@!'L9"</f>
        <v>#VALUE!</v>
      </c>
      <c r="DO137" t="e">
        <f>'All regions'!E3790+"$F;@!'L:"</f>
        <v>#VALUE!</v>
      </c>
      <c r="DP137" t="e">
        <f>'All regions'!F3790+"$F;@!'L;"</f>
        <v>#VALUE!</v>
      </c>
      <c r="DQ137" t="e">
        <f>'All regions'!G3790+"$F;@!'L&lt;"</f>
        <v>#VALUE!</v>
      </c>
      <c r="DR137" t="e">
        <f>'All regions'!H3790+"$F;@!'L="</f>
        <v>#VALUE!</v>
      </c>
      <c r="DS137" t="e">
        <f>'All regions'!I3790+"$F;@!'L&gt;"</f>
        <v>#VALUE!</v>
      </c>
      <c r="DT137" t="e">
        <f>'All regions'!A3791+"$F;@!'L?"</f>
        <v>#VALUE!</v>
      </c>
      <c r="DU137" t="e">
        <f>'All regions'!B3791+"$F;@!'L@"</f>
        <v>#VALUE!</v>
      </c>
      <c r="DV137" t="e">
        <f>'All regions'!C3791+"$F;@!'LA"</f>
        <v>#VALUE!</v>
      </c>
      <c r="DW137" t="e">
        <f>'All regions'!D3791+"$F;@!'LB"</f>
        <v>#VALUE!</v>
      </c>
      <c r="DX137" t="e">
        <f>'All regions'!E3791+"$F;@!'LC"</f>
        <v>#VALUE!</v>
      </c>
      <c r="DY137" t="e">
        <f>'All regions'!F3791+"$F;@!'LD"</f>
        <v>#VALUE!</v>
      </c>
      <c r="DZ137" t="e">
        <f>'All regions'!G3791+"$F;@!'LE"</f>
        <v>#VALUE!</v>
      </c>
      <c r="EA137" t="e">
        <f>'All regions'!H3791+"$F;@!'LF"</f>
        <v>#VALUE!</v>
      </c>
      <c r="EB137" t="e">
        <f>'All regions'!I3791+"$F;@!'LG"</f>
        <v>#VALUE!</v>
      </c>
      <c r="EC137" t="e">
        <f>'All regions'!A3792+"$F;@!'LH"</f>
        <v>#VALUE!</v>
      </c>
      <c r="ED137" t="e">
        <f>'All regions'!B3792+"$F;@!'LI"</f>
        <v>#VALUE!</v>
      </c>
      <c r="EE137" t="e">
        <f>'All regions'!C3792+"$F;@!'LJ"</f>
        <v>#VALUE!</v>
      </c>
      <c r="EF137" t="e">
        <f>'All regions'!D3792+"$F;@!'LK"</f>
        <v>#VALUE!</v>
      </c>
      <c r="EG137" t="e">
        <f>'All regions'!E3792+"$F;@!'LL"</f>
        <v>#VALUE!</v>
      </c>
      <c r="EH137" t="e">
        <f>'All regions'!F3792+"$F;@!'LM"</f>
        <v>#VALUE!</v>
      </c>
      <c r="EI137" t="e">
        <f>'All regions'!G3792+"$F;@!'LN"</f>
        <v>#VALUE!</v>
      </c>
      <c r="EJ137" t="e">
        <f>'All regions'!H3792+"$F;@!'LO"</f>
        <v>#VALUE!</v>
      </c>
      <c r="EK137" t="e">
        <f>'All regions'!I3792+"$F;@!'LP"</f>
        <v>#VALUE!</v>
      </c>
      <c r="EL137" t="e">
        <f>'All regions'!A3793+"$F;@!'LQ"</f>
        <v>#VALUE!</v>
      </c>
      <c r="EM137" t="e">
        <f>'All regions'!B3793+"$F;@!'LR"</f>
        <v>#VALUE!</v>
      </c>
      <c r="EN137" t="e">
        <f>'All regions'!C3793+"$F;@!'LS"</f>
        <v>#VALUE!</v>
      </c>
      <c r="EO137" t="e">
        <f>'All regions'!D3793+"$F;@!'LT"</f>
        <v>#VALUE!</v>
      </c>
      <c r="EP137" t="e">
        <f>'All regions'!E3793+"$F;@!'LU"</f>
        <v>#VALUE!</v>
      </c>
      <c r="EQ137" t="e">
        <f>'All regions'!F3793+"$F;@!'LV"</f>
        <v>#VALUE!</v>
      </c>
      <c r="ER137" t="e">
        <f>'All regions'!G3793+"$F;@!'LW"</f>
        <v>#VALUE!</v>
      </c>
      <c r="ES137" t="e">
        <f>'All regions'!H3793+"$F;@!'LX"</f>
        <v>#VALUE!</v>
      </c>
      <c r="ET137" t="e">
        <f>'All regions'!I3793+"$F;@!'LY"</f>
        <v>#VALUE!</v>
      </c>
      <c r="EU137" t="e">
        <f>'All regions'!A3794+"$F;@!'LZ"</f>
        <v>#VALUE!</v>
      </c>
      <c r="EV137" t="e">
        <f>'All regions'!B3794+"$F;@!'L["</f>
        <v>#VALUE!</v>
      </c>
      <c r="EW137" t="e">
        <f>'All regions'!C3794+"$F;@!'L\"</f>
        <v>#VALUE!</v>
      </c>
      <c r="EX137" t="e">
        <f>'All regions'!D3794+"$F;@!'L]"</f>
        <v>#VALUE!</v>
      </c>
      <c r="EY137" t="e">
        <f>'All regions'!E3794+"$F;@!'L^"</f>
        <v>#VALUE!</v>
      </c>
      <c r="EZ137" t="e">
        <f>'All regions'!F3794+"$F;@!'L_"</f>
        <v>#VALUE!</v>
      </c>
      <c r="FA137" t="e">
        <f>'All regions'!G3794+"$F;@!'L`"</f>
        <v>#VALUE!</v>
      </c>
      <c r="FB137" t="e">
        <f>'All regions'!H3794+"$F;@!'La"</f>
        <v>#VALUE!</v>
      </c>
      <c r="FC137" t="e">
        <f>'All regions'!I3794+"$F;@!'Lb"</f>
        <v>#VALUE!</v>
      </c>
      <c r="FD137" t="e">
        <f>'All regions'!A3795+"$F;@!'Lc"</f>
        <v>#VALUE!</v>
      </c>
      <c r="FE137" t="e">
        <f>'All regions'!B3795+"$F;@!'Ld"</f>
        <v>#VALUE!</v>
      </c>
      <c r="FF137" t="e">
        <f>'All regions'!C3795+"$F;@!'Le"</f>
        <v>#VALUE!</v>
      </c>
      <c r="FG137" t="e">
        <f>'All regions'!D3795+"$F;@!'Lf"</f>
        <v>#VALUE!</v>
      </c>
      <c r="FH137" t="e">
        <f>'All regions'!E3795+"$F;@!'Lg"</f>
        <v>#VALUE!</v>
      </c>
      <c r="FI137" t="e">
        <f>'All regions'!F3795+"$F;@!'Lh"</f>
        <v>#VALUE!</v>
      </c>
      <c r="FJ137" t="e">
        <f>'All regions'!G3795+"$F;@!'Li"</f>
        <v>#VALUE!</v>
      </c>
      <c r="FK137" t="e">
        <f>'All regions'!H3795+"$F;@!'Lj"</f>
        <v>#VALUE!</v>
      </c>
      <c r="FL137" t="e">
        <f>'All regions'!I3795+"$F;@!'Lk"</f>
        <v>#VALUE!</v>
      </c>
      <c r="FM137" t="e">
        <f>'All regions'!A3796+"$F;@!'Ll"</f>
        <v>#VALUE!</v>
      </c>
      <c r="FN137" t="e">
        <f>'All regions'!B3796+"$F;@!'Lm"</f>
        <v>#VALUE!</v>
      </c>
      <c r="FO137" t="e">
        <f>'All regions'!C3796+"$F;@!'Ln"</f>
        <v>#VALUE!</v>
      </c>
      <c r="FP137" t="e">
        <f>'All regions'!D3796+"$F;@!'Lo"</f>
        <v>#VALUE!</v>
      </c>
      <c r="FQ137" t="e">
        <f>'All regions'!E3796+"$F;@!'Lp"</f>
        <v>#VALUE!</v>
      </c>
      <c r="FR137" t="e">
        <f>'All regions'!F3796+"$F;@!'Lq"</f>
        <v>#VALUE!</v>
      </c>
      <c r="FS137" t="e">
        <f>'All regions'!G3796+"$F;@!'Lr"</f>
        <v>#VALUE!</v>
      </c>
      <c r="FT137" t="e">
        <f>'All regions'!H3796+"$F;@!'Ls"</f>
        <v>#VALUE!</v>
      </c>
      <c r="FU137" t="e">
        <f>'All regions'!I3796+"$F;@!'Lt"</f>
        <v>#VALUE!</v>
      </c>
      <c r="FV137" t="e">
        <f>'All regions'!A3797+"$F;@!'Lu"</f>
        <v>#VALUE!</v>
      </c>
      <c r="FW137" t="e">
        <f>'All regions'!B3797+"$F;@!'Lv"</f>
        <v>#VALUE!</v>
      </c>
      <c r="FX137" t="e">
        <f>'All regions'!C3797+"$F;@!'Lw"</f>
        <v>#VALUE!</v>
      </c>
      <c r="FY137" t="e">
        <f>'All regions'!D3797+"$F;@!'Lx"</f>
        <v>#VALUE!</v>
      </c>
      <c r="FZ137" t="e">
        <f>'All regions'!E3797+"$F;@!'Ly"</f>
        <v>#VALUE!</v>
      </c>
      <c r="GA137" t="e">
        <f>'All regions'!F3797+"$F;@!'Lz"</f>
        <v>#VALUE!</v>
      </c>
      <c r="GB137" t="e">
        <f>'All regions'!G3797+"$F;@!'L{"</f>
        <v>#VALUE!</v>
      </c>
      <c r="GC137" t="e">
        <f>'All regions'!H3797+"$F;@!'L|"</f>
        <v>#VALUE!</v>
      </c>
      <c r="GD137" t="e">
        <f>'All regions'!I3797+"$F;@!'L}"</f>
        <v>#VALUE!</v>
      </c>
      <c r="GE137" t="e">
        <f>'All regions'!A3798+"$F;@!'L~"</f>
        <v>#VALUE!</v>
      </c>
      <c r="GF137" t="e">
        <f>'All regions'!B3798+"$F;@!'M#"</f>
        <v>#VALUE!</v>
      </c>
      <c r="GG137" t="e">
        <f>'All regions'!C3798+"$F;@!'M$"</f>
        <v>#VALUE!</v>
      </c>
      <c r="GH137" t="e">
        <f>'All regions'!D3798+"$F;@!'M%"</f>
        <v>#VALUE!</v>
      </c>
      <c r="GI137" t="e">
        <f>'All regions'!E3798+"$F;@!'M&amp;"</f>
        <v>#VALUE!</v>
      </c>
      <c r="GJ137" t="e">
        <f>'All regions'!F3798+"$F;@!'M'"</f>
        <v>#VALUE!</v>
      </c>
      <c r="GK137" t="e">
        <f>'All regions'!G3798+"$F;@!'M("</f>
        <v>#VALUE!</v>
      </c>
      <c r="GL137" t="e">
        <f>'All regions'!H3798+"$F;@!'M)"</f>
        <v>#VALUE!</v>
      </c>
      <c r="GM137" t="e">
        <f>'All regions'!I3798+"$F;@!'M."</f>
        <v>#VALUE!</v>
      </c>
      <c r="GN137" t="e">
        <f>'All regions'!A3799+"$F;@!'M/"</f>
        <v>#VALUE!</v>
      </c>
      <c r="GO137" t="e">
        <f>'All regions'!B3799+"$F;@!'M0"</f>
        <v>#VALUE!</v>
      </c>
      <c r="GP137" t="e">
        <f>'All regions'!C3799+"$F;@!'M1"</f>
        <v>#VALUE!</v>
      </c>
      <c r="GQ137" t="e">
        <f>'All regions'!D3799+"$F;@!'M2"</f>
        <v>#VALUE!</v>
      </c>
      <c r="GR137" t="e">
        <f>'All regions'!E3799+"$F;@!'M3"</f>
        <v>#VALUE!</v>
      </c>
      <c r="GS137" t="e">
        <f>'All regions'!F3799+"$F;@!'M4"</f>
        <v>#VALUE!</v>
      </c>
      <c r="GT137" t="e">
        <f>'All regions'!G3799+"$F;@!'M5"</f>
        <v>#VALUE!</v>
      </c>
      <c r="GU137" t="e">
        <f>'All regions'!H3799+"$F;@!'M6"</f>
        <v>#VALUE!</v>
      </c>
      <c r="GV137" t="e">
        <f>'All regions'!I3799+"$F;@!'M7"</f>
        <v>#VALUE!</v>
      </c>
      <c r="GW137" t="e">
        <f>'All regions'!A3800+"$F;@!'M8"</f>
        <v>#VALUE!</v>
      </c>
      <c r="GX137" t="e">
        <f>'All regions'!B3800+"$F;@!'M9"</f>
        <v>#VALUE!</v>
      </c>
      <c r="GY137" t="e">
        <f>'All regions'!C3800+"$F;@!'M:"</f>
        <v>#VALUE!</v>
      </c>
      <c r="GZ137" t="e">
        <f>'All regions'!D3800+"$F;@!'M;"</f>
        <v>#VALUE!</v>
      </c>
      <c r="HA137" t="e">
        <f>'All regions'!E3800+"$F;@!'M&lt;"</f>
        <v>#VALUE!</v>
      </c>
      <c r="HB137" t="e">
        <f>'All regions'!F3800+"$F;@!'M="</f>
        <v>#VALUE!</v>
      </c>
      <c r="HC137" t="e">
        <f>'All regions'!G3800+"$F;@!'M&gt;"</f>
        <v>#VALUE!</v>
      </c>
      <c r="HD137" t="e">
        <f>'All regions'!H3800+"$F;@!'M?"</f>
        <v>#VALUE!</v>
      </c>
      <c r="HE137" t="e">
        <f>'All regions'!I3800+"$F;@!'M@"</f>
        <v>#VALUE!</v>
      </c>
      <c r="HF137" t="e">
        <f>'All regions'!A3801+"$F;@!'MA"</f>
        <v>#VALUE!</v>
      </c>
      <c r="HG137" t="e">
        <f>'All regions'!B3801+"$F;@!'MB"</f>
        <v>#VALUE!</v>
      </c>
      <c r="HH137" t="e">
        <f>'All regions'!C3801+"$F;@!'MC"</f>
        <v>#VALUE!</v>
      </c>
      <c r="HI137" t="e">
        <f>'All regions'!D3801+"$F;@!'MD"</f>
        <v>#VALUE!</v>
      </c>
      <c r="HJ137" t="e">
        <f>'All regions'!E3801+"$F;@!'ME"</f>
        <v>#VALUE!</v>
      </c>
      <c r="HK137" t="e">
        <f>'All regions'!F3801+"$F;@!'MF"</f>
        <v>#VALUE!</v>
      </c>
      <c r="HL137" t="e">
        <f>'All regions'!G3801+"$F;@!'MG"</f>
        <v>#VALUE!</v>
      </c>
      <c r="HM137" t="e">
        <f>'All regions'!H3801+"$F;@!'MH"</f>
        <v>#VALUE!</v>
      </c>
      <c r="HN137" t="e">
        <f>'All regions'!I3801+"$F;@!'MI"</f>
        <v>#VALUE!</v>
      </c>
      <c r="HO137" t="e">
        <f>'All regions'!A3802+"$F;@!'MJ"</f>
        <v>#VALUE!</v>
      </c>
      <c r="HP137" t="e">
        <f>'All regions'!B3802+"$F;@!'MK"</f>
        <v>#VALUE!</v>
      </c>
      <c r="HQ137" t="e">
        <f>'All regions'!C3802+"$F;@!'ML"</f>
        <v>#VALUE!</v>
      </c>
      <c r="HR137" t="e">
        <f>'All regions'!D3802+"$F;@!'MM"</f>
        <v>#VALUE!</v>
      </c>
      <c r="HS137" t="e">
        <f>'All regions'!E3802+"$F;@!'MN"</f>
        <v>#VALUE!</v>
      </c>
      <c r="HT137" t="e">
        <f>'All regions'!F3802+"$F;@!'MO"</f>
        <v>#VALUE!</v>
      </c>
      <c r="HU137" t="e">
        <f>'All regions'!G3802+"$F;@!'MP"</f>
        <v>#VALUE!</v>
      </c>
      <c r="HV137" t="e">
        <f>'All regions'!H3802+"$F;@!'MQ"</f>
        <v>#VALUE!</v>
      </c>
      <c r="HW137" t="e">
        <f>'All regions'!I3802+"$F;@!'MR"</f>
        <v>#VALUE!</v>
      </c>
      <c r="HX137" t="e">
        <f>'All regions'!A3803+"$F;@!'MS"</f>
        <v>#VALUE!</v>
      </c>
      <c r="HY137" t="e">
        <f>'All regions'!B3803+"$F;@!'MT"</f>
        <v>#VALUE!</v>
      </c>
      <c r="HZ137" t="e">
        <f>'All regions'!C3803+"$F;@!'MU"</f>
        <v>#VALUE!</v>
      </c>
      <c r="IA137" t="e">
        <f>'All regions'!D3803+"$F;@!'MV"</f>
        <v>#VALUE!</v>
      </c>
      <c r="IB137" t="e">
        <f>'All regions'!E3803+"$F;@!'MW"</f>
        <v>#VALUE!</v>
      </c>
      <c r="IC137" t="e">
        <f>'All regions'!F3803+"$F;@!'MX"</f>
        <v>#VALUE!</v>
      </c>
      <c r="ID137" t="e">
        <f>'All regions'!G3803+"$F;@!'MY"</f>
        <v>#VALUE!</v>
      </c>
      <c r="IE137" t="e">
        <f>'All regions'!H3803+"$F;@!'MZ"</f>
        <v>#VALUE!</v>
      </c>
      <c r="IF137" t="e">
        <f>'All regions'!I3803+"$F;@!'M["</f>
        <v>#VALUE!</v>
      </c>
      <c r="IG137" t="e">
        <f>'All regions'!A3804+"$F;@!'M\"</f>
        <v>#VALUE!</v>
      </c>
      <c r="IH137" t="e">
        <f>'All regions'!B3804+"$F;@!'M]"</f>
        <v>#VALUE!</v>
      </c>
      <c r="II137" t="e">
        <f>'All regions'!C3804+"$F;@!'M^"</f>
        <v>#VALUE!</v>
      </c>
      <c r="IJ137" t="e">
        <f>'All regions'!D3804+"$F;@!'M_"</f>
        <v>#VALUE!</v>
      </c>
      <c r="IK137" t="e">
        <f>'All regions'!E3804+"$F;@!'M`"</f>
        <v>#VALUE!</v>
      </c>
      <c r="IL137" t="e">
        <f>'All regions'!F3804+"$F;@!'Ma"</f>
        <v>#VALUE!</v>
      </c>
      <c r="IM137" t="e">
        <f>'All regions'!G3804+"$F;@!'Mb"</f>
        <v>#VALUE!</v>
      </c>
      <c r="IN137" t="e">
        <f>'All regions'!H3804+"$F;@!'Mc"</f>
        <v>#VALUE!</v>
      </c>
      <c r="IO137" t="e">
        <f>'All regions'!I3804+"$F;@!'Md"</f>
        <v>#VALUE!</v>
      </c>
      <c r="IP137" t="e">
        <f>'All regions'!A3805+"$F;@!'Me"</f>
        <v>#VALUE!</v>
      </c>
      <c r="IQ137" t="e">
        <f>'All regions'!B3805+"$F;@!'Mf"</f>
        <v>#VALUE!</v>
      </c>
      <c r="IR137" t="e">
        <f>'All regions'!C3805+"$F;@!'Mg"</f>
        <v>#VALUE!</v>
      </c>
      <c r="IS137" t="e">
        <f>'All regions'!D3805+"$F;@!'Mh"</f>
        <v>#VALUE!</v>
      </c>
      <c r="IT137" t="e">
        <f>'All regions'!E3805+"$F;@!'Mi"</f>
        <v>#VALUE!</v>
      </c>
      <c r="IU137" t="e">
        <f>'All regions'!F3805+"$F;@!'Mj"</f>
        <v>#VALUE!</v>
      </c>
      <c r="IV137" t="e">
        <f>'All regions'!G3805+"$F;@!'Mk"</f>
        <v>#VALUE!</v>
      </c>
    </row>
    <row r="138" spans="6:256" x14ac:dyDescent="0.35">
      <c r="F138" t="e">
        <f>'All regions'!H3805+"$F;@!'Ml"</f>
        <v>#VALUE!</v>
      </c>
      <c r="G138" t="e">
        <f>'All regions'!I3805+"$F;@!'Mm"</f>
        <v>#VALUE!</v>
      </c>
      <c r="H138" t="e">
        <f>'All regions'!A3806+"$F;@!'Mn"</f>
        <v>#VALUE!</v>
      </c>
      <c r="I138" t="e">
        <f>'All regions'!B3806+"$F;@!'Mo"</f>
        <v>#VALUE!</v>
      </c>
      <c r="J138" t="e">
        <f>'All regions'!C3806+"$F;@!'Mp"</f>
        <v>#VALUE!</v>
      </c>
      <c r="K138" t="e">
        <f>'All regions'!D3806+"$F;@!'Mq"</f>
        <v>#VALUE!</v>
      </c>
      <c r="L138" t="e">
        <f>'All regions'!E3806+"$F;@!'Mr"</f>
        <v>#VALUE!</v>
      </c>
      <c r="M138" t="e">
        <f>'All regions'!F3806+"$F;@!'Ms"</f>
        <v>#VALUE!</v>
      </c>
      <c r="N138" t="e">
        <f>'All regions'!G3806+"$F;@!'Mt"</f>
        <v>#VALUE!</v>
      </c>
      <c r="O138" t="e">
        <f>'All regions'!H3806+"$F;@!'Mu"</f>
        <v>#VALUE!</v>
      </c>
      <c r="P138" t="e">
        <f>'All regions'!I3806+"$F;@!'Mv"</f>
        <v>#VALUE!</v>
      </c>
      <c r="Q138" t="e">
        <f>'All regions'!A3807+"$F;@!'Mw"</f>
        <v>#VALUE!</v>
      </c>
      <c r="R138" t="e">
        <f>'All regions'!B3807+"$F;@!'Mx"</f>
        <v>#VALUE!</v>
      </c>
      <c r="S138" t="e">
        <f>'All regions'!C3807+"$F;@!'My"</f>
        <v>#VALUE!</v>
      </c>
      <c r="T138" t="e">
        <f>'All regions'!D3807+"$F;@!'Mz"</f>
        <v>#VALUE!</v>
      </c>
      <c r="U138" t="e">
        <f>'All regions'!E3807+"$F;@!'M{"</f>
        <v>#VALUE!</v>
      </c>
      <c r="V138" t="e">
        <f>'All regions'!F3807+"$F;@!'M|"</f>
        <v>#VALUE!</v>
      </c>
      <c r="W138" t="e">
        <f>'All regions'!G3807+"$F;@!'M}"</f>
        <v>#VALUE!</v>
      </c>
      <c r="X138" t="e">
        <f>'All regions'!H3807+"$F;@!'M~"</f>
        <v>#VALUE!</v>
      </c>
      <c r="Y138" t="e">
        <f>'All regions'!I3807+"$F;@!'N#"</f>
        <v>#VALUE!</v>
      </c>
      <c r="Z138" t="e">
        <f>'All regions'!A3808+"$F;@!'N$"</f>
        <v>#VALUE!</v>
      </c>
      <c r="AA138" t="e">
        <f>'All regions'!B3808+"$F;@!'N%"</f>
        <v>#VALUE!</v>
      </c>
      <c r="AB138" t="e">
        <f>'All regions'!C3808+"$F;@!'N&amp;"</f>
        <v>#VALUE!</v>
      </c>
      <c r="AC138" t="e">
        <f>'All regions'!D3808+"$F;@!'N'"</f>
        <v>#VALUE!</v>
      </c>
      <c r="AD138" t="e">
        <f>'All regions'!E3808+"$F;@!'N("</f>
        <v>#VALUE!</v>
      </c>
      <c r="AE138" t="e">
        <f>'All regions'!F3808+"$F;@!'N)"</f>
        <v>#VALUE!</v>
      </c>
      <c r="AF138" t="e">
        <f>'All regions'!G3808+"$F;@!'N."</f>
        <v>#VALUE!</v>
      </c>
      <c r="AG138" t="e">
        <f>'All regions'!H3808+"$F;@!'N/"</f>
        <v>#VALUE!</v>
      </c>
      <c r="AH138" t="e">
        <f>'All regions'!I3808+"$F;@!'N0"</f>
        <v>#VALUE!</v>
      </c>
      <c r="AI138" t="e">
        <f>'All regions'!A3809+"$F;@!'N1"</f>
        <v>#VALUE!</v>
      </c>
      <c r="AJ138" t="e">
        <f>'All regions'!B3809+"$F;@!'N2"</f>
        <v>#VALUE!</v>
      </c>
      <c r="AK138" t="e">
        <f>'All regions'!C3809+"$F;@!'N3"</f>
        <v>#VALUE!</v>
      </c>
      <c r="AL138" t="e">
        <f>'All regions'!D3809+"$F;@!'N4"</f>
        <v>#VALUE!</v>
      </c>
      <c r="AM138" t="e">
        <f>'All regions'!E3809+"$F;@!'N5"</f>
        <v>#VALUE!</v>
      </c>
      <c r="AN138" t="e">
        <f>'All regions'!F3809+"$F;@!'N6"</f>
        <v>#VALUE!</v>
      </c>
      <c r="AO138" t="e">
        <f>'All regions'!G3809+"$F;@!'N7"</f>
        <v>#VALUE!</v>
      </c>
      <c r="AP138" t="e">
        <f>'All regions'!H3809+"$F;@!'N8"</f>
        <v>#VALUE!</v>
      </c>
      <c r="AQ138" t="e">
        <f>'All regions'!I3809+"$F;@!'N9"</f>
        <v>#VALUE!</v>
      </c>
      <c r="AR138" t="e">
        <f>'All regions'!A3810+"$F;@!'N:"</f>
        <v>#VALUE!</v>
      </c>
      <c r="AS138" t="e">
        <f>'All regions'!B3810+"$F;@!'N;"</f>
        <v>#VALUE!</v>
      </c>
      <c r="AT138" t="e">
        <f>'All regions'!C3810+"$F;@!'N&lt;"</f>
        <v>#VALUE!</v>
      </c>
      <c r="AU138" t="e">
        <f>'All regions'!D3810+"$F;@!'N="</f>
        <v>#VALUE!</v>
      </c>
      <c r="AV138" t="e">
        <f>'All regions'!E3810+"$F;@!'N&gt;"</f>
        <v>#VALUE!</v>
      </c>
      <c r="AW138" t="e">
        <f>'All regions'!F3810+"$F;@!'N?"</f>
        <v>#VALUE!</v>
      </c>
      <c r="AX138" t="e">
        <f>'All regions'!G3810+"$F;@!'N@"</f>
        <v>#VALUE!</v>
      </c>
      <c r="AY138" t="e">
        <f>'All regions'!H3810+"$F;@!'NA"</f>
        <v>#VALUE!</v>
      </c>
      <c r="AZ138" t="e">
        <f>'All regions'!I3810+"$F;@!'NB"</f>
        <v>#VALUE!</v>
      </c>
      <c r="BA138" t="e">
        <f>'All regions'!A3811+"$F;@!'NC"</f>
        <v>#VALUE!</v>
      </c>
      <c r="BB138" t="e">
        <f>'All regions'!B3811+"$F;@!'ND"</f>
        <v>#VALUE!</v>
      </c>
      <c r="BC138" t="e">
        <f>'All regions'!C3811+"$F;@!'NE"</f>
        <v>#VALUE!</v>
      </c>
      <c r="BD138" t="e">
        <f>'All regions'!D3811+"$F;@!'NF"</f>
        <v>#VALUE!</v>
      </c>
      <c r="BE138" t="e">
        <f>'All regions'!E3811+"$F;@!'NG"</f>
        <v>#VALUE!</v>
      </c>
      <c r="BF138" t="e">
        <f>'All regions'!F3811+"$F;@!'NH"</f>
        <v>#VALUE!</v>
      </c>
      <c r="BG138" t="e">
        <f>'All regions'!G3811+"$F;@!'NI"</f>
        <v>#VALUE!</v>
      </c>
      <c r="BH138" t="e">
        <f>'All regions'!H3811+"$F;@!'NJ"</f>
        <v>#VALUE!</v>
      </c>
      <c r="BI138" t="e">
        <f>'All regions'!I3811+"$F;@!'NK"</f>
        <v>#VALUE!</v>
      </c>
      <c r="BJ138" t="e">
        <f>'All regions'!A3812+"$F;@!'NL"</f>
        <v>#VALUE!</v>
      </c>
      <c r="BK138" t="e">
        <f>'All regions'!B3812+"$F;@!'NM"</f>
        <v>#VALUE!</v>
      </c>
      <c r="BL138" t="e">
        <f>'All regions'!C3812+"$F;@!'NN"</f>
        <v>#VALUE!</v>
      </c>
      <c r="BM138" t="e">
        <f>'All regions'!D3812+"$F;@!'NO"</f>
        <v>#VALUE!</v>
      </c>
      <c r="BN138" t="e">
        <f>'All regions'!E3812+"$F;@!'NP"</f>
        <v>#VALUE!</v>
      </c>
      <c r="BO138" t="e">
        <f>'All regions'!F3812+"$F;@!'NQ"</f>
        <v>#VALUE!</v>
      </c>
      <c r="BP138" t="e">
        <f>'All regions'!G3812+"$F;@!'NR"</f>
        <v>#VALUE!</v>
      </c>
      <c r="BQ138" t="e">
        <f>'All regions'!H3812+"$F;@!'NS"</f>
        <v>#VALUE!</v>
      </c>
      <c r="BR138" t="e">
        <f>'All regions'!I3812+"$F;@!'NT"</f>
        <v>#VALUE!</v>
      </c>
      <c r="BS138" t="e">
        <f>'All regions'!A3813+"$F;@!'NU"</f>
        <v>#VALUE!</v>
      </c>
      <c r="BT138" t="e">
        <f>'All regions'!B3813+"$F;@!'NV"</f>
        <v>#VALUE!</v>
      </c>
      <c r="BU138" t="e">
        <f>'All regions'!C3813+"$F;@!'NW"</f>
        <v>#VALUE!</v>
      </c>
      <c r="BV138" t="e">
        <f>'All regions'!D3813+"$F;@!'NX"</f>
        <v>#VALUE!</v>
      </c>
      <c r="BW138" t="e">
        <f>'All regions'!E3813+"$F;@!'NY"</f>
        <v>#VALUE!</v>
      </c>
      <c r="BX138" t="e">
        <f>'All regions'!F3813+"$F;@!'NZ"</f>
        <v>#VALUE!</v>
      </c>
      <c r="BY138" t="e">
        <f>'All regions'!G3813+"$F;@!'N["</f>
        <v>#VALUE!</v>
      </c>
      <c r="BZ138" t="e">
        <f>'All regions'!H3813+"$F;@!'N\"</f>
        <v>#VALUE!</v>
      </c>
      <c r="CA138" t="e">
        <f>'All regions'!I3813+"$F;@!'N]"</f>
        <v>#VALUE!</v>
      </c>
      <c r="CB138" t="e">
        <f>'All regions'!A3814+"$F;@!'N^"</f>
        <v>#VALUE!</v>
      </c>
      <c r="CC138" t="e">
        <f>'All regions'!B3814+"$F;@!'N_"</f>
        <v>#VALUE!</v>
      </c>
      <c r="CD138" t="e">
        <f>'All regions'!C3814+"$F;@!'N`"</f>
        <v>#VALUE!</v>
      </c>
      <c r="CE138" t="e">
        <f>'All regions'!D3814+"$F;@!'Na"</f>
        <v>#VALUE!</v>
      </c>
      <c r="CF138" t="e">
        <f>'All regions'!E3814+"$F;@!'Nb"</f>
        <v>#VALUE!</v>
      </c>
      <c r="CG138" t="e">
        <f>'All regions'!F3814+"$F;@!'Nc"</f>
        <v>#VALUE!</v>
      </c>
      <c r="CH138" t="e">
        <f>'All regions'!G3814+"$F;@!'Nd"</f>
        <v>#VALUE!</v>
      </c>
      <c r="CI138" t="e">
        <f>'All regions'!H3814+"$F;@!'Ne"</f>
        <v>#VALUE!</v>
      </c>
      <c r="CJ138" t="e">
        <f>'All regions'!I3814+"$F;@!'Nf"</f>
        <v>#VALUE!</v>
      </c>
      <c r="CK138" t="e">
        <f>'All regions'!A3815+"$F;@!'Ng"</f>
        <v>#VALUE!</v>
      </c>
      <c r="CL138" t="e">
        <f>'All regions'!B3815+"$F;@!'Nh"</f>
        <v>#VALUE!</v>
      </c>
      <c r="CM138" t="e">
        <f>'All regions'!C3815+"$F;@!'Ni"</f>
        <v>#VALUE!</v>
      </c>
      <c r="CN138" t="e">
        <f>'All regions'!D3815+"$F;@!'Nj"</f>
        <v>#VALUE!</v>
      </c>
      <c r="CO138" t="e">
        <f>'All regions'!E3815+"$F;@!'Nk"</f>
        <v>#VALUE!</v>
      </c>
      <c r="CP138" t="e">
        <f>'All regions'!F3815+"$F;@!'Nl"</f>
        <v>#VALUE!</v>
      </c>
      <c r="CQ138" t="e">
        <f>'All regions'!G3815+"$F;@!'Nm"</f>
        <v>#VALUE!</v>
      </c>
      <c r="CR138" t="e">
        <f>'All regions'!H3815+"$F;@!'Nn"</f>
        <v>#VALUE!</v>
      </c>
      <c r="CS138" t="e">
        <f>'All regions'!I3815+"$F;@!'No"</f>
        <v>#VALUE!</v>
      </c>
      <c r="CT138" t="e">
        <f>'All regions'!A3816+"$F;@!'Np"</f>
        <v>#VALUE!</v>
      </c>
      <c r="CU138" t="e">
        <f>'All regions'!B3816+"$F;@!'Nq"</f>
        <v>#VALUE!</v>
      </c>
      <c r="CV138" t="e">
        <f>'All regions'!C3816+"$F;@!'Nr"</f>
        <v>#VALUE!</v>
      </c>
      <c r="CW138" t="e">
        <f>'All regions'!D3816+"$F;@!'Ns"</f>
        <v>#VALUE!</v>
      </c>
      <c r="CX138" t="e">
        <f>'All regions'!E3816+"$F;@!'Nt"</f>
        <v>#VALUE!</v>
      </c>
      <c r="CY138" t="e">
        <f>'All regions'!F3816+"$F;@!'Nu"</f>
        <v>#VALUE!</v>
      </c>
      <c r="CZ138" t="e">
        <f>'All regions'!G3816+"$F;@!'Nv"</f>
        <v>#VALUE!</v>
      </c>
      <c r="DA138" t="e">
        <f>'All regions'!H3816+"$F;@!'Nw"</f>
        <v>#VALUE!</v>
      </c>
      <c r="DB138" t="e">
        <f>'All regions'!I3816+"$F;@!'Nx"</f>
        <v>#VALUE!</v>
      </c>
      <c r="DC138" t="e">
        <f>'All regions'!A3817+"$F;@!'Ny"</f>
        <v>#VALUE!</v>
      </c>
      <c r="DD138" t="e">
        <f>'All regions'!B3817+"$F;@!'Nz"</f>
        <v>#VALUE!</v>
      </c>
      <c r="DE138" t="e">
        <f>'All regions'!C3817+"$F;@!'N{"</f>
        <v>#VALUE!</v>
      </c>
      <c r="DF138" t="e">
        <f>'All regions'!D3817+"$F;@!'N|"</f>
        <v>#VALUE!</v>
      </c>
      <c r="DG138" t="e">
        <f>'All regions'!E3817+"$F;@!'N}"</f>
        <v>#VALUE!</v>
      </c>
      <c r="DH138" t="e">
        <f>'All regions'!F3817+"$F;@!'N~"</f>
        <v>#VALUE!</v>
      </c>
      <c r="DI138" t="e">
        <f>'All regions'!G3817+"$F;@!'O#"</f>
        <v>#VALUE!</v>
      </c>
      <c r="DJ138" t="e">
        <f>'All regions'!H3817+"$F;@!'O$"</f>
        <v>#VALUE!</v>
      </c>
      <c r="DK138" t="e">
        <f>'All regions'!I3817+"$F;@!'O%"</f>
        <v>#VALUE!</v>
      </c>
      <c r="DL138" t="e">
        <f>'All regions'!A3818+"$F;@!'O&amp;"</f>
        <v>#VALUE!</v>
      </c>
      <c r="DM138" t="e">
        <f>'All regions'!B3818+"$F;@!'O'"</f>
        <v>#VALUE!</v>
      </c>
      <c r="DN138" t="e">
        <f>'All regions'!C3818+"$F;@!'O("</f>
        <v>#VALUE!</v>
      </c>
      <c r="DO138" t="e">
        <f>'All regions'!D3818+"$F;@!'O)"</f>
        <v>#VALUE!</v>
      </c>
      <c r="DP138" t="e">
        <f>'All regions'!E3818+"$F;@!'O."</f>
        <v>#VALUE!</v>
      </c>
      <c r="DQ138" t="e">
        <f>'All regions'!F3818+"$F;@!'O/"</f>
        <v>#VALUE!</v>
      </c>
      <c r="DR138" t="e">
        <f>'All regions'!G3818+"$F;@!'O0"</f>
        <v>#VALUE!</v>
      </c>
      <c r="DS138" t="e">
        <f>'All regions'!H3818+"$F;@!'O1"</f>
        <v>#VALUE!</v>
      </c>
      <c r="DT138" t="e">
        <f>'All regions'!I3818+"$F;@!'O2"</f>
        <v>#VALUE!</v>
      </c>
      <c r="DU138" t="e">
        <f>'All regions'!A3819+"$F;@!'O3"</f>
        <v>#VALUE!</v>
      </c>
      <c r="DV138" t="e">
        <f>'All regions'!B3819+"$F;@!'O4"</f>
        <v>#VALUE!</v>
      </c>
      <c r="DW138" t="e">
        <f>'All regions'!C3819+"$F;@!'O5"</f>
        <v>#VALUE!</v>
      </c>
      <c r="DX138" t="e">
        <f>'All regions'!D3819+"$F;@!'O6"</f>
        <v>#VALUE!</v>
      </c>
      <c r="DY138" t="e">
        <f>'All regions'!E3819+"$F;@!'O7"</f>
        <v>#VALUE!</v>
      </c>
      <c r="DZ138" t="e">
        <f>'All regions'!F3819+"$F;@!'O8"</f>
        <v>#VALUE!</v>
      </c>
      <c r="EA138" t="e">
        <f>'All regions'!G3819+"$F;@!'O9"</f>
        <v>#VALUE!</v>
      </c>
      <c r="EB138" t="e">
        <f>'All regions'!H3819+"$F;@!'O:"</f>
        <v>#VALUE!</v>
      </c>
      <c r="EC138" t="e">
        <f>'All regions'!I3819+"$F;@!'O;"</f>
        <v>#VALUE!</v>
      </c>
      <c r="ED138" t="e">
        <f>'All regions'!A3820+"$F;@!'O&lt;"</f>
        <v>#VALUE!</v>
      </c>
      <c r="EE138" t="e">
        <f>'All regions'!B3820+"$F;@!'O="</f>
        <v>#VALUE!</v>
      </c>
      <c r="EF138" t="e">
        <f>'All regions'!C3820+"$F;@!'O&gt;"</f>
        <v>#VALUE!</v>
      </c>
      <c r="EG138" t="e">
        <f>'All regions'!D3820+"$F;@!'O?"</f>
        <v>#VALUE!</v>
      </c>
      <c r="EH138" t="e">
        <f>'All regions'!E3820+"$F;@!'O@"</f>
        <v>#VALUE!</v>
      </c>
      <c r="EI138" t="e">
        <f>'All regions'!F3820+"$F;@!'OA"</f>
        <v>#VALUE!</v>
      </c>
      <c r="EJ138" t="e">
        <f>'All regions'!G3820+"$F;@!'OB"</f>
        <v>#VALUE!</v>
      </c>
      <c r="EK138" t="e">
        <f>'All regions'!H3820+"$F;@!'OC"</f>
        <v>#VALUE!</v>
      </c>
      <c r="EL138" t="e">
        <f>'All regions'!I3820+"$F;@!'OD"</f>
        <v>#VALUE!</v>
      </c>
      <c r="EM138" t="e">
        <f>'All regions'!A3821+"$F;@!'OE"</f>
        <v>#VALUE!</v>
      </c>
      <c r="EN138" t="e">
        <f>'All regions'!B3821+"$F;@!'OF"</f>
        <v>#VALUE!</v>
      </c>
      <c r="EO138" t="e">
        <f>'All regions'!C3821+"$F;@!'OG"</f>
        <v>#VALUE!</v>
      </c>
      <c r="EP138" t="e">
        <f>'All regions'!D3821+"$F;@!'OH"</f>
        <v>#VALUE!</v>
      </c>
      <c r="EQ138" t="e">
        <f>'All regions'!E3821+"$F;@!'OI"</f>
        <v>#VALUE!</v>
      </c>
      <c r="ER138" t="e">
        <f>'All regions'!F3821+"$F;@!'OJ"</f>
        <v>#VALUE!</v>
      </c>
      <c r="ES138" t="e">
        <f>'All regions'!G3821+"$F;@!'OK"</f>
        <v>#VALUE!</v>
      </c>
      <c r="ET138" t="e">
        <f>'All regions'!H3821+"$F;@!'OL"</f>
        <v>#VALUE!</v>
      </c>
      <c r="EU138" t="e">
        <f>'All regions'!I3821+"$F;@!'OM"</f>
        <v>#VALUE!</v>
      </c>
      <c r="EV138" t="e">
        <f>'All regions'!A3822+"$F;@!'ON"</f>
        <v>#VALUE!</v>
      </c>
      <c r="EW138" t="e">
        <f>'All regions'!B3822+"$F;@!'OO"</f>
        <v>#VALUE!</v>
      </c>
      <c r="EX138" t="e">
        <f>'All regions'!C3822+"$F;@!'OP"</f>
        <v>#VALUE!</v>
      </c>
      <c r="EY138" t="e">
        <f>'All regions'!D3822+"$F;@!'OQ"</f>
        <v>#VALUE!</v>
      </c>
      <c r="EZ138" t="e">
        <f>'All regions'!E3822+"$F;@!'OR"</f>
        <v>#VALUE!</v>
      </c>
      <c r="FA138" t="e">
        <f>'All regions'!F3822+"$F;@!'OS"</f>
        <v>#VALUE!</v>
      </c>
      <c r="FB138" t="e">
        <f>'All regions'!G3822+"$F;@!'OT"</f>
        <v>#VALUE!</v>
      </c>
      <c r="FC138" t="e">
        <f>'All regions'!H3822+"$F;@!'OU"</f>
        <v>#VALUE!</v>
      </c>
      <c r="FD138" t="e">
        <f>'All regions'!I3822+"$F;@!'OV"</f>
        <v>#VALUE!</v>
      </c>
      <c r="FE138" t="e">
        <f>'All regions'!A3823+"$F;@!'OW"</f>
        <v>#VALUE!</v>
      </c>
      <c r="FF138" t="e">
        <f>'All regions'!B3823+"$F;@!'OX"</f>
        <v>#VALUE!</v>
      </c>
      <c r="FG138" t="e">
        <f>'All regions'!C3823+"$F;@!'OY"</f>
        <v>#VALUE!</v>
      </c>
      <c r="FH138" t="e">
        <f>'All regions'!D3823+"$F;@!'OZ"</f>
        <v>#VALUE!</v>
      </c>
      <c r="FI138" t="e">
        <f>'All regions'!E3823+"$F;@!'O["</f>
        <v>#VALUE!</v>
      </c>
      <c r="FJ138" t="e">
        <f>'All regions'!F3823+"$F;@!'O\"</f>
        <v>#VALUE!</v>
      </c>
      <c r="FK138" t="e">
        <f>'All regions'!G3823+"$F;@!'O]"</f>
        <v>#VALUE!</v>
      </c>
      <c r="FL138" t="e">
        <f>'All regions'!H3823+"$F;@!'O^"</f>
        <v>#VALUE!</v>
      </c>
      <c r="FM138" t="e">
        <f>'All regions'!I3823+"$F;@!'O_"</f>
        <v>#VALUE!</v>
      </c>
      <c r="FN138" t="e">
        <f>'All regions'!A3824+"$F;@!'O`"</f>
        <v>#VALUE!</v>
      </c>
      <c r="FO138" t="e">
        <f>'All regions'!B3824+"$F;@!'Oa"</f>
        <v>#VALUE!</v>
      </c>
      <c r="FP138" t="e">
        <f>'All regions'!C3824+"$F;@!'Ob"</f>
        <v>#VALUE!</v>
      </c>
      <c r="FQ138" t="e">
        <f>'All regions'!D3824+"$F;@!'Oc"</f>
        <v>#VALUE!</v>
      </c>
      <c r="FR138" t="e">
        <f>'All regions'!E3824+"$F;@!'Od"</f>
        <v>#VALUE!</v>
      </c>
      <c r="FS138" t="e">
        <f>'All regions'!F3824+"$F;@!'Oe"</f>
        <v>#VALUE!</v>
      </c>
      <c r="FT138" t="e">
        <f>'All regions'!G3824+"$F;@!'Of"</f>
        <v>#VALUE!</v>
      </c>
      <c r="FU138" t="e">
        <f>'All regions'!H3824+"$F;@!'Og"</f>
        <v>#VALUE!</v>
      </c>
      <c r="FV138" t="e">
        <f>'All regions'!I3824+"$F;@!'Oh"</f>
        <v>#VALUE!</v>
      </c>
      <c r="FW138" t="e">
        <f>'All regions'!A3825+"$F;@!'Oi"</f>
        <v>#VALUE!</v>
      </c>
      <c r="FX138" t="e">
        <f>'All regions'!B3825+"$F;@!'Oj"</f>
        <v>#VALUE!</v>
      </c>
      <c r="FY138" t="e">
        <f>'All regions'!C3825+"$F;@!'Ok"</f>
        <v>#VALUE!</v>
      </c>
      <c r="FZ138" t="e">
        <f>'All regions'!D3825+"$F;@!'Ol"</f>
        <v>#VALUE!</v>
      </c>
      <c r="GA138" t="e">
        <f>'All regions'!E3825+"$F;@!'Om"</f>
        <v>#VALUE!</v>
      </c>
      <c r="GB138" t="e">
        <f>'All regions'!F3825+"$F;@!'On"</f>
        <v>#VALUE!</v>
      </c>
      <c r="GC138" t="e">
        <f>'All regions'!G3825+"$F;@!'Oo"</f>
        <v>#VALUE!</v>
      </c>
      <c r="GD138" t="e">
        <f>'All regions'!H3825+"$F;@!'Op"</f>
        <v>#VALUE!</v>
      </c>
      <c r="GE138" t="e">
        <f>'All regions'!I3825+"$F;@!'Oq"</f>
        <v>#VALUE!</v>
      </c>
      <c r="GF138" t="e">
        <f>'All regions'!A3826+"$F;@!'Or"</f>
        <v>#VALUE!</v>
      </c>
      <c r="GG138" t="e">
        <f>'All regions'!B3826+"$F;@!'Os"</f>
        <v>#VALUE!</v>
      </c>
      <c r="GH138" t="e">
        <f>'All regions'!C3826+"$F;@!'Ot"</f>
        <v>#VALUE!</v>
      </c>
      <c r="GI138" t="e">
        <f>'All regions'!D3826+"$F;@!'Ou"</f>
        <v>#VALUE!</v>
      </c>
      <c r="GJ138" t="e">
        <f>'All regions'!E3826+"$F;@!'Ov"</f>
        <v>#VALUE!</v>
      </c>
      <c r="GK138" t="e">
        <f>'All regions'!F3826+"$F;@!'Ow"</f>
        <v>#VALUE!</v>
      </c>
      <c r="GL138" t="e">
        <f>'All regions'!G3826+"$F;@!'Ox"</f>
        <v>#VALUE!</v>
      </c>
      <c r="GM138" t="e">
        <f>'All regions'!H3826+"$F;@!'Oy"</f>
        <v>#VALUE!</v>
      </c>
      <c r="GN138" t="e">
        <f>'All regions'!I3826+"$F;@!'Oz"</f>
        <v>#VALUE!</v>
      </c>
      <c r="GO138" t="e">
        <f>'All regions'!A3827+"$F;@!'O{"</f>
        <v>#VALUE!</v>
      </c>
      <c r="GP138" t="e">
        <f>'All regions'!B3827+"$F;@!'O|"</f>
        <v>#VALUE!</v>
      </c>
      <c r="GQ138" t="e">
        <f>'All regions'!C3827+"$F;@!'O}"</f>
        <v>#VALUE!</v>
      </c>
      <c r="GR138" t="e">
        <f>'All regions'!D3827+"$F;@!'O~"</f>
        <v>#VALUE!</v>
      </c>
      <c r="GS138" t="e">
        <f>'All regions'!E3827+"$F;@!'P#"</f>
        <v>#VALUE!</v>
      </c>
      <c r="GT138" t="e">
        <f>'All regions'!F3827+"$F;@!'P$"</f>
        <v>#VALUE!</v>
      </c>
      <c r="GU138" t="e">
        <f>'All regions'!G3827+"$F;@!'P%"</f>
        <v>#VALUE!</v>
      </c>
      <c r="GV138" t="e">
        <f>'All regions'!H3827+"$F;@!'P&amp;"</f>
        <v>#VALUE!</v>
      </c>
      <c r="GW138" t="e">
        <f>'All regions'!I3827+"$F;@!'P'"</f>
        <v>#VALUE!</v>
      </c>
      <c r="GX138" t="e">
        <f>'All regions'!A3828+"$F;@!'P("</f>
        <v>#VALUE!</v>
      </c>
      <c r="GY138" t="e">
        <f>'All regions'!B3828+"$F;@!'P)"</f>
        <v>#VALUE!</v>
      </c>
      <c r="GZ138" t="e">
        <f>'All regions'!C3828+"$F;@!'P."</f>
        <v>#VALUE!</v>
      </c>
      <c r="HA138" t="e">
        <f>'All regions'!D3828+"$F;@!'P/"</f>
        <v>#VALUE!</v>
      </c>
      <c r="HB138" t="e">
        <f>'All regions'!E3828+"$F;@!'P0"</f>
        <v>#VALUE!</v>
      </c>
      <c r="HC138" t="e">
        <f>'All regions'!F3828+"$F;@!'P1"</f>
        <v>#VALUE!</v>
      </c>
      <c r="HD138" t="e">
        <f>'All regions'!G3828+"$F;@!'P2"</f>
        <v>#VALUE!</v>
      </c>
      <c r="HE138" t="e">
        <f>'All regions'!H3828+"$F;@!'P3"</f>
        <v>#VALUE!</v>
      </c>
      <c r="HF138" t="e">
        <f>'All regions'!I3828+"$F;@!'P4"</f>
        <v>#VALUE!</v>
      </c>
      <c r="HG138" t="e">
        <f>'All regions'!A3829+"$F;@!'P5"</f>
        <v>#VALUE!</v>
      </c>
      <c r="HH138" t="e">
        <f>'All regions'!B3829+"$F;@!'P6"</f>
        <v>#VALUE!</v>
      </c>
      <c r="HI138" t="e">
        <f>'All regions'!C3829+"$F;@!'P7"</f>
        <v>#VALUE!</v>
      </c>
      <c r="HJ138" t="e">
        <f>'All regions'!D3829+"$F;@!'P8"</f>
        <v>#VALUE!</v>
      </c>
      <c r="HK138" t="e">
        <f>'All regions'!E3829+"$F;@!'P9"</f>
        <v>#VALUE!</v>
      </c>
      <c r="HL138" t="e">
        <f>'All regions'!F3829+"$F;@!'P:"</f>
        <v>#VALUE!</v>
      </c>
      <c r="HM138" t="e">
        <f>'All regions'!G3829+"$F;@!'P;"</f>
        <v>#VALUE!</v>
      </c>
      <c r="HN138" t="e">
        <f>'All regions'!H3829+"$F;@!'P&lt;"</f>
        <v>#VALUE!</v>
      </c>
      <c r="HO138" t="e">
        <f>'All regions'!I3829+"$F;@!'P="</f>
        <v>#VALUE!</v>
      </c>
      <c r="HP138" t="e">
        <f>'All regions'!A3830+"$F;@!'P&gt;"</f>
        <v>#VALUE!</v>
      </c>
      <c r="HQ138" t="e">
        <f>'All regions'!B3830+"$F;@!'P?"</f>
        <v>#VALUE!</v>
      </c>
      <c r="HR138" t="e">
        <f>'All regions'!C3830+"$F;@!'P@"</f>
        <v>#VALUE!</v>
      </c>
      <c r="HS138" t="e">
        <f>'All regions'!D3830+"$F;@!'PA"</f>
        <v>#VALUE!</v>
      </c>
      <c r="HT138" t="e">
        <f>'All regions'!E3830+"$F;@!'PB"</f>
        <v>#VALUE!</v>
      </c>
      <c r="HU138" t="e">
        <f>'All regions'!F3830+"$F;@!'PC"</f>
        <v>#VALUE!</v>
      </c>
      <c r="HV138" t="e">
        <f>'All regions'!G3830+"$F;@!'PD"</f>
        <v>#VALUE!</v>
      </c>
      <c r="HW138" t="e">
        <f>'All regions'!H3830+"$F;@!'PE"</f>
        <v>#VALUE!</v>
      </c>
      <c r="HX138" t="e">
        <f>'All regions'!I3830+"$F;@!'PF"</f>
        <v>#VALUE!</v>
      </c>
      <c r="HY138" t="e">
        <f>'All regions'!A3831+"$F;@!'PG"</f>
        <v>#VALUE!</v>
      </c>
      <c r="HZ138" t="e">
        <f>'All regions'!B3831+"$F;@!'PH"</f>
        <v>#VALUE!</v>
      </c>
      <c r="IA138" t="e">
        <f>'All regions'!C3831+"$F;@!'PI"</f>
        <v>#VALUE!</v>
      </c>
      <c r="IB138" t="e">
        <f>'All regions'!D3831+"$F;@!'PJ"</f>
        <v>#VALUE!</v>
      </c>
      <c r="IC138" t="e">
        <f>'All regions'!E3831+"$F;@!'PK"</f>
        <v>#VALUE!</v>
      </c>
      <c r="ID138" t="e">
        <f>'All regions'!F3831+"$F;@!'PL"</f>
        <v>#VALUE!</v>
      </c>
      <c r="IE138" t="e">
        <f>'All regions'!G3831+"$F;@!'PM"</f>
        <v>#VALUE!</v>
      </c>
      <c r="IF138" t="e">
        <f>'All regions'!H3831+"$F;@!'PN"</f>
        <v>#VALUE!</v>
      </c>
      <c r="IG138" t="e">
        <f>'All regions'!I3831+"$F;@!'PO"</f>
        <v>#VALUE!</v>
      </c>
      <c r="IH138" t="e">
        <f>'All regions'!A3832+"$F;@!'PP"</f>
        <v>#VALUE!</v>
      </c>
      <c r="II138" t="e">
        <f>'All regions'!B3832+"$F;@!'PQ"</f>
        <v>#VALUE!</v>
      </c>
      <c r="IJ138" t="e">
        <f>'All regions'!C3832+"$F;@!'PR"</f>
        <v>#VALUE!</v>
      </c>
      <c r="IK138" t="e">
        <f>'All regions'!D3832+"$F;@!'PS"</f>
        <v>#VALUE!</v>
      </c>
      <c r="IL138" t="e">
        <f>'All regions'!E3832+"$F;@!'PT"</f>
        <v>#VALUE!</v>
      </c>
      <c r="IM138" t="e">
        <f>'All regions'!F3832+"$F;@!'PU"</f>
        <v>#VALUE!</v>
      </c>
      <c r="IN138" t="e">
        <f>'All regions'!G3832+"$F;@!'PV"</f>
        <v>#VALUE!</v>
      </c>
      <c r="IO138" t="e">
        <f>'All regions'!H3832+"$F;@!'PW"</f>
        <v>#VALUE!</v>
      </c>
      <c r="IP138" t="e">
        <f>'All regions'!I3832+"$F;@!'PX"</f>
        <v>#VALUE!</v>
      </c>
      <c r="IQ138" t="e">
        <f>'All regions'!A3833+"$F;@!'PY"</f>
        <v>#VALUE!</v>
      </c>
      <c r="IR138" t="e">
        <f>'All regions'!B3833+"$F;@!'PZ"</f>
        <v>#VALUE!</v>
      </c>
      <c r="IS138" t="e">
        <f>'All regions'!C3833+"$F;@!'P["</f>
        <v>#VALUE!</v>
      </c>
      <c r="IT138" t="e">
        <f>'All regions'!D3833+"$F;@!'P\"</f>
        <v>#VALUE!</v>
      </c>
      <c r="IU138" t="e">
        <f>'All regions'!E3833+"$F;@!'P]"</f>
        <v>#VALUE!</v>
      </c>
      <c r="IV138" t="e">
        <f>'All regions'!F3833+"$F;@!'P^"</f>
        <v>#VALUE!</v>
      </c>
    </row>
    <row r="139" spans="6:256" x14ac:dyDescent="0.35">
      <c r="F139" t="e">
        <f>'All regions'!G3833+"$F;@!'P_"</f>
        <v>#VALUE!</v>
      </c>
      <c r="G139" t="e">
        <f>'All regions'!H3833+"$F;@!'P`"</f>
        <v>#VALUE!</v>
      </c>
      <c r="H139" t="e">
        <f>'All regions'!I3833+"$F;@!'Pa"</f>
        <v>#VALUE!</v>
      </c>
      <c r="I139" t="e">
        <f>'All regions'!A3834+"$F;@!'Pb"</f>
        <v>#VALUE!</v>
      </c>
      <c r="J139" t="e">
        <f>'All regions'!B3834+"$F;@!'Pc"</f>
        <v>#VALUE!</v>
      </c>
      <c r="K139" t="e">
        <f>'All regions'!C3834+"$F;@!'Pd"</f>
        <v>#VALUE!</v>
      </c>
      <c r="L139" t="e">
        <f>'All regions'!D3834+"$F;@!'Pe"</f>
        <v>#VALUE!</v>
      </c>
      <c r="M139" t="e">
        <f>'All regions'!E3834+"$F;@!'Pf"</f>
        <v>#VALUE!</v>
      </c>
      <c r="N139" t="e">
        <f>'All regions'!F3834+"$F;@!'Pg"</f>
        <v>#VALUE!</v>
      </c>
      <c r="O139" t="e">
        <f>'All regions'!G3834+"$F;@!'Ph"</f>
        <v>#VALUE!</v>
      </c>
      <c r="P139" t="e">
        <f>'All regions'!H3834+"$F;@!'Pi"</f>
        <v>#VALUE!</v>
      </c>
      <c r="Q139" t="e">
        <f>'All regions'!I3834+"$F;@!'Pj"</f>
        <v>#VALUE!</v>
      </c>
      <c r="R139" t="e">
        <f>'All regions'!A3835+"$F;@!'Pk"</f>
        <v>#VALUE!</v>
      </c>
      <c r="S139" t="e">
        <f>'All regions'!B3835+"$F;@!'Pl"</f>
        <v>#VALUE!</v>
      </c>
      <c r="T139" t="e">
        <f>'All regions'!C3835+"$F;@!'Pm"</f>
        <v>#VALUE!</v>
      </c>
      <c r="U139" t="e">
        <f>'All regions'!D3835+"$F;@!'Pn"</f>
        <v>#VALUE!</v>
      </c>
      <c r="V139" t="e">
        <f>'All regions'!E3835+"$F;@!'Po"</f>
        <v>#VALUE!</v>
      </c>
      <c r="W139" t="e">
        <f>'All regions'!F3835+"$F;@!'Pp"</f>
        <v>#VALUE!</v>
      </c>
      <c r="X139" t="e">
        <f>'All regions'!G3835+"$F;@!'Pq"</f>
        <v>#VALUE!</v>
      </c>
      <c r="Y139" t="e">
        <f>'All regions'!H3835+"$F;@!'Pr"</f>
        <v>#VALUE!</v>
      </c>
      <c r="Z139" t="e">
        <f>'All regions'!I3835+"$F;@!'Ps"</f>
        <v>#VALUE!</v>
      </c>
      <c r="AA139" t="e">
        <f>'All regions'!A3836+"$F;@!'Pt"</f>
        <v>#VALUE!</v>
      </c>
      <c r="AB139" t="e">
        <f>'All regions'!B3836+"$F;@!'Pu"</f>
        <v>#VALUE!</v>
      </c>
      <c r="AC139" t="e">
        <f>'All regions'!C3836+"$F;@!'Pv"</f>
        <v>#VALUE!</v>
      </c>
      <c r="AD139" t="e">
        <f>'All regions'!D3836+"$F;@!'Pw"</f>
        <v>#VALUE!</v>
      </c>
      <c r="AE139" t="e">
        <f>'All regions'!E3836+"$F;@!'Px"</f>
        <v>#VALUE!</v>
      </c>
      <c r="AF139" t="e">
        <f>'All regions'!F3836+"$F;@!'Py"</f>
        <v>#VALUE!</v>
      </c>
      <c r="AG139" t="e">
        <f>'All regions'!G3836+"$F;@!'Pz"</f>
        <v>#VALUE!</v>
      </c>
      <c r="AH139" t="e">
        <f>'All regions'!H3836+"$F;@!'P{"</f>
        <v>#VALUE!</v>
      </c>
      <c r="AI139" t="e">
        <f>'All regions'!I3836+"$F;@!'P|"</f>
        <v>#VALUE!</v>
      </c>
      <c r="AJ139" t="e">
        <f>'All regions'!A3837+"$F;@!'P}"</f>
        <v>#VALUE!</v>
      </c>
      <c r="AK139" t="e">
        <f>'All regions'!B3837+"$F;@!'P~"</f>
        <v>#VALUE!</v>
      </c>
      <c r="AL139" t="e">
        <f>'All regions'!C3837+"$F;@!'Q#"</f>
        <v>#VALUE!</v>
      </c>
      <c r="AM139" t="e">
        <f>'All regions'!D3837+"$F;@!'Q$"</f>
        <v>#VALUE!</v>
      </c>
      <c r="AN139" t="e">
        <f>'All regions'!E3837+"$F;@!'Q%"</f>
        <v>#VALUE!</v>
      </c>
      <c r="AO139" t="e">
        <f>'All regions'!F3837+"$F;@!'Q&amp;"</f>
        <v>#VALUE!</v>
      </c>
      <c r="AP139" t="e">
        <f>'All regions'!G3837+"$F;@!'Q'"</f>
        <v>#VALUE!</v>
      </c>
      <c r="AQ139" t="e">
        <f>'All regions'!H3837+"$F;@!'Q("</f>
        <v>#VALUE!</v>
      </c>
      <c r="AR139" t="e">
        <f>'All regions'!I3837+"$F;@!'Q)"</f>
        <v>#VALUE!</v>
      </c>
      <c r="AS139" t="e">
        <f>'All regions'!A3838+"$F;@!'Q."</f>
        <v>#VALUE!</v>
      </c>
      <c r="AT139" t="e">
        <f>'All regions'!B3838+"$F;@!'Q/"</f>
        <v>#VALUE!</v>
      </c>
      <c r="AU139" t="e">
        <f>'All regions'!C3838+"$F;@!'Q0"</f>
        <v>#VALUE!</v>
      </c>
      <c r="AV139" t="e">
        <f>'All regions'!D3838+"$F;@!'Q1"</f>
        <v>#VALUE!</v>
      </c>
      <c r="AW139" t="e">
        <f>'All regions'!E3838+"$F;@!'Q2"</f>
        <v>#VALUE!</v>
      </c>
      <c r="AX139" t="e">
        <f>'All regions'!F3838+"$F;@!'Q3"</f>
        <v>#VALUE!</v>
      </c>
      <c r="AY139" t="e">
        <f>'All regions'!G3838+"$F;@!'Q4"</f>
        <v>#VALUE!</v>
      </c>
      <c r="AZ139" t="e">
        <f>'All regions'!H3838+"$F;@!'Q5"</f>
        <v>#VALUE!</v>
      </c>
      <c r="BA139" t="e">
        <f>'All regions'!I3838+"$F;@!'Q6"</f>
        <v>#VALUE!</v>
      </c>
      <c r="BB139" t="e">
        <f>'All regions'!A3839+"$F;@!'Q7"</f>
        <v>#VALUE!</v>
      </c>
      <c r="BC139" t="e">
        <f>'All regions'!B3839+"$F;@!'Q8"</f>
        <v>#VALUE!</v>
      </c>
      <c r="BD139" t="e">
        <f>'All regions'!C3839+"$F;@!'Q9"</f>
        <v>#VALUE!</v>
      </c>
      <c r="BE139" t="e">
        <f>'All regions'!D3839+"$F;@!'Q:"</f>
        <v>#VALUE!</v>
      </c>
      <c r="BF139" t="e">
        <f>'All regions'!E3839+"$F;@!'Q;"</f>
        <v>#VALUE!</v>
      </c>
      <c r="BG139" t="e">
        <f>'All regions'!F3839+"$F;@!'Q&lt;"</f>
        <v>#VALUE!</v>
      </c>
      <c r="BH139" t="e">
        <f>'All regions'!G3839+"$F;@!'Q="</f>
        <v>#VALUE!</v>
      </c>
      <c r="BI139" t="e">
        <f>'All regions'!H3839+"$F;@!'Q&gt;"</f>
        <v>#VALUE!</v>
      </c>
      <c r="BJ139" t="e">
        <f>'All regions'!I3839+"$F;@!'Q?"</f>
        <v>#VALUE!</v>
      </c>
      <c r="BK139" t="e">
        <f>'All regions'!A3840+"$F;@!'Q@"</f>
        <v>#VALUE!</v>
      </c>
      <c r="BL139" t="e">
        <f>'All regions'!B3840+"$F;@!'QA"</f>
        <v>#VALUE!</v>
      </c>
      <c r="BM139" t="e">
        <f>'All regions'!C3840+"$F;@!'QB"</f>
        <v>#VALUE!</v>
      </c>
      <c r="BN139" t="e">
        <f>'All regions'!D3840+"$F;@!'QC"</f>
        <v>#VALUE!</v>
      </c>
      <c r="BO139" t="e">
        <f>'All regions'!E3840+"$F;@!'QD"</f>
        <v>#VALUE!</v>
      </c>
      <c r="BP139" t="e">
        <f>'All regions'!F3840+"$F;@!'QE"</f>
        <v>#VALUE!</v>
      </c>
      <c r="BQ139" t="e">
        <f>'All regions'!G3840+"$F;@!'QF"</f>
        <v>#VALUE!</v>
      </c>
      <c r="BR139" t="e">
        <f>'All regions'!H3840+"$F;@!'QG"</f>
        <v>#VALUE!</v>
      </c>
      <c r="BS139" t="e">
        <f>'All regions'!I3840+"$F;@!'QH"</f>
        <v>#VALUE!</v>
      </c>
      <c r="BT139" t="e">
        <f>'All regions'!A3841+"$F;@!'QI"</f>
        <v>#VALUE!</v>
      </c>
      <c r="BU139" t="e">
        <f>'All regions'!B3841+"$F;@!'QJ"</f>
        <v>#VALUE!</v>
      </c>
      <c r="BV139" t="e">
        <f>'All regions'!C3841+"$F;@!'QK"</f>
        <v>#VALUE!</v>
      </c>
      <c r="BW139" t="e">
        <f>'All regions'!D3841+"$F;@!'QL"</f>
        <v>#VALUE!</v>
      </c>
      <c r="BX139" t="e">
        <f>'All regions'!E3841+"$F;@!'QM"</f>
        <v>#VALUE!</v>
      </c>
      <c r="BY139" t="e">
        <f>'All regions'!F3841+"$F;@!'QN"</f>
        <v>#VALUE!</v>
      </c>
      <c r="BZ139" t="e">
        <f>'All regions'!G3841+"$F;@!'QO"</f>
        <v>#VALUE!</v>
      </c>
      <c r="CA139" t="e">
        <f>'All regions'!H3841+"$F;@!'QP"</f>
        <v>#VALUE!</v>
      </c>
      <c r="CB139" t="e">
        <f>'All regions'!I3841+"$F;@!'QQ"</f>
        <v>#VALUE!</v>
      </c>
      <c r="CC139" t="e">
        <f>'All regions'!A3842+"$F;@!'QR"</f>
        <v>#VALUE!</v>
      </c>
      <c r="CD139" t="e">
        <f>'All regions'!B3842+"$F;@!'QS"</f>
        <v>#VALUE!</v>
      </c>
      <c r="CE139" t="e">
        <f>'All regions'!C3842+"$F;@!'QT"</f>
        <v>#VALUE!</v>
      </c>
      <c r="CF139" t="e">
        <f>'All regions'!D3842+"$F;@!'QU"</f>
        <v>#VALUE!</v>
      </c>
      <c r="CG139" t="e">
        <f>'All regions'!E3842+"$F;@!'QV"</f>
        <v>#VALUE!</v>
      </c>
      <c r="CH139" t="e">
        <f>'All regions'!F3842+"$F;@!'QW"</f>
        <v>#VALUE!</v>
      </c>
      <c r="CI139" t="e">
        <f>'All regions'!G3842+"$F;@!'QX"</f>
        <v>#VALUE!</v>
      </c>
      <c r="CJ139" t="e">
        <f>'All regions'!H3842+"$F;@!'QY"</f>
        <v>#VALUE!</v>
      </c>
      <c r="CK139" t="e">
        <f>'All regions'!I3842+"$F;@!'QZ"</f>
        <v>#VALUE!</v>
      </c>
      <c r="CL139" t="e">
        <f>'All regions'!A3843+"$F;@!'Q["</f>
        <v>#VALUE!</v>
      </c>
      <c r="CM139" t="e">
        <f>'All regions'!B3843+"$F;@!'Q\"</f>
        <v>#VALUE!</v>
      </c>
      <c r="CN139" t="e">
        <f>'All regions'!C3843+"$F;@!'Q]"</f>
        <v>#VALUE!</v>
      </c>
      <c r="CO139" t="e">
        <f>'All regions'!D3843+"$F;@!'Q^"</f>
        <v>#VALUE!</v>
      </c>
      <c r="CP139" t="e">
        <f>'All regions'!E3843+"$F;@!'Q_"</f>
        <v>#VALUE!</v>
      </c>
      <c r="CQ139" t="e">
        <f>'All regions'!F3843+"$F;@!'Q`"</f>
        <v>#VALUE!</v>
      </c>
      <c r="CR139" t="e">
        <f>'All regions'!G3843+"$F;@!'Qa"</f>
        <v>#VALUE!</v>
      </c>
      <c r="CS139" t="e">
        <f>'All regions'!H3843+"$F;@!'Qb"</f>
        <v>#VALUE!</v>
      </c>
      <c r="CT139" t="e">
        <f>'All regions'!I3843+"$F;@!'Qc"</f>
        <v>#VALUE!</v>
      </c>
      <c r="CU139" t="e">
        <f>'All regions'!A3844+"$F;@!'Qd"</f>
        <v>#VALUE!</v>
      </c>
      <c r="CV139" t="e">
        <f>'All regions'!B3844+"$F;@!'Qe"</f>
        <v>#VALUE!</v>
      </c>
      <c r="CW139" t="e">
        <f>'All regions'!C3844+"$F;@!'Qf"</f>
        <v>#VALUE!</v>
      </c>
      <c r="CX139" t="e">
        <f>'All regions'!D3844+"$F;@!'Qg"</f>
        <v>#VALUE!</v>
      </c>
      <c r="CY139" t="e">
        <f>'All regions'!E3844+"$F;@!'Qh"</f>
        <v>#VALUE!</v>
      </c>
      <c r="CZ139" t="e">
        <f>'All regions'!F3844+"$F;@!'Qi"</f>
        <v>#VALUE!</v>
      </c>
      <c r="DA139" t="e">
        <f>'All regions'!G3844+"$F;@!'Qj"</f>
        <v>#VALUE!</v>
      </c>
      <c r="DB139" t="e">
        <f>'All regions'!H3844+"$F;@!'Qk"</f>
        <v>#VALUE!</v>
      </c>
      <c r="DC139" t="e">
        <f>'All regions'!I3844+"$F;@!'Ql"</f>
        <v>#VALUE!</v>
      </c>
      <c r="DD139" t="e">
        <f>'All regions'!A3845+"$F;@!'Qm"</f>
        <v>#VALUE!</v>
      </c>
      <c r="DE139" t="e">
        <f>'All regions'!B3845+"$F;@!'Qn"</f>
        <v>#VALUE!</v>
      </c>
      <c r="DF139" t="e">
        <f>'All regions'!C3845+"$F;@!'Qo"</f>
        <v>#VALUE!</v>
      </c>
      <c r="DG139" t="e">
        <f>'All regions'!D3845+"$F;@!'Qp"</f>
        <v>#VALUE!</v>
      </c>
      <c r="DH139" t="e">
        <f>'All regions'!E3845+"$F;@!'Qq"</f>
        <v>#VALUE!</v>
      </c>
      <c r="DI139" t="e">
        <f>'All regions'!F3845+"$F;@!'Qr"</f>
        <v>#VALUE!</v>
      </c>
      <c r="DJ139" t="e">
        <f>'All regions'!G3845+"$F;@!'Qs"</f>
        <v>#VALUE!</v>
      </c>
      <c r="DK139" t="e">
        <f>'All regions'!H3845+"$F;@!'Qt"</f>
        <v>#VALUE!</v>
      </c>
      <c r="DL139" t="e">
        <f>'All regions'!I3845+"$F;@!'Qu"</f>
        <v>#VALUE!</v>
      </c>
      <c r="DM139" t="e">
        <f>'All regions'!A3846+"$F;@!'Qv"</f>
        <v>#VALUE!</v>
      </c>
      <c r="DN139" t="e">
        <f>'All regions'!B3846+"$F;@!'Qw"</f>
        <v>#VALUE!</v>
      </c>
      <c r="DO139" t="e">
        <f>'All regions'!C3846+"$F;@!'Qx"</f>
        <v>#VALUE!</v>
      </c>
      <c r="DP139" t="e">
        <f>'All regions'!D3846+"$F;@!'Qy"</f>
        <v>#VALUE!</v>
      </c>
      <c r="DQ139" t="e">
        <f>'All regions'!E3846+"$F;@!'Qz"</f>
        <v>#VALUE!</v>
      </c>
      <c r="DR139" t="e">
        <f>'All regions'!F3846+"$F;@!'Q{"</f>
        <v>#VALUE!</v>
      </c>
      <c r="DS139" t="e">
        <f>'All regions'!G3846+"$F;@!'Q|"</f>
        <v>#VALUE!</v>
      </c>
      <c r="DT139" t="e">
        <f>'All regions'!H3846+"$F;@!'Q}"</f>
        <v>#VALUE!</v>
      </c>
      <c r="DU139" t="e">
        <f>'All regions'!I3846+"$F;@!'Q~"</f>
        <v>#VALUE!</v>
      </c>
      <c r="DV139" t="e">
        <f>'All regions'!A3847+"$F;@!'R#"</f>
        <v>#VALUE!</v>
      </c>
      <c r="DW139" t="e">
        <f>'All regions'!B3847+"$F;@!'R$"</f>
        <v>#VALUE!</v>
      </c>
      <c r="DX139" t="e">
        <f>'All regions'!C3847+"$F;@!'R%"</f>
        <v>#VALUE!</v>
      </c>
      <c r="DY139" t="e">
        <f>'All regions'!D3847+"$F;@!'R&amp;"</f>
        <v>#VALUE!</v>
      </c>
      <c r="DZ139" t="e">
        <f>'All regions'!E3847+"$F;@!'R'"</f>
        <v>#VALUE!</v>
      </c>
      <c r="EA139" t="e">
        <f>'All regions'!F3847+"$F;@!'R("</f>
        <v>#VALUE!</v>
      </c>
      <c r="EB139" t="e">
        <f>'All regions'!G3847+"$F;@!'R)"</f>
        <v>#VALUE!</v>
      </c>
      <c r="EC139" t="e">
        <f>'All regions'!H3847+"$F;@!'R."</f>
        <v>#VALUE!</v>
      </c>
      <c r="ED139" t="e">
        <f>'All regions'!I3847+"$F;@!'R/"</f>
        <v>#VALUE!</v>
      </c>
      <c r="EE139" t="e">
        <f>'All regions'!A3848+"$F;@!'R0"</f>
        <v>#VALUE!</v>
      </c>
      <c r="EF139" t="e">
        <f>'All regions'!B3848+"$F;@!'R1"</f>
        <v>#VALUE!</v>
      </c>
      <c r="EG139" t="e">
        <f>'All regions'!C3848+"$F;@!'R2"</f>
        <v>#VALUE!</v>
      </c>
      <c r="EH139" t="e">
        <f>'All regions'!D3848+"$F;@!'R3"</f>
        <v>#VALUE!</v>
      </c>
      <c r="EI139" t="e">
        <f>'All regions'!E3848+"$F;@!'R4"</f>
        <v>#VALUE!</v>
      </c>
      <c r="EJ139" t="e">
        <f>'All regions'!F3848+"$F;@!'R5"</f>
        <v>#VALUE!</v>
      </c>
      <c r="EK139" t="e">
        <f>'All regions'!G3848+"$F;@!'R6"</f>
        <v>#VALUE!</v>
      </c>
      <c r="EL139" t="e">
        <f>'All regions'!H3848+"$F;@!'R7"</f>
        <v>#VALUE!</v>
      </c>
      <c r="EM139" t="e">
        <f>'All regions'!I3848+"$F;@!'R8"</f>
        <v>#VALUE!</v>
      </c>
      <c r="EN139" t="e">
        <f>'All regions'!A3849+"$F;@!'R9"</f>
        <v>#VALUE!</v>
      </c>
      <c r="EO139" t="e">
        <f>'All regions'!B3849+"$F;@!'R:"</f>
        <v>#VALUE!</v>
      </c>
      <c r="EP139" t="e">
        <f>'All regions'!C3849+"$F;@!'R;"</f>
        <v>#VALUE!</v>
      </c>
      <c r="EQ139" t="e">
        <f>'All regions'!D3849+"$F;@!'R&lt;"</f>
        <v>#VALUE!</v>
      </c>
      <c r="ER139" t="e">
        <f>'All regions'!E3849+"$F;@!'R="</f>
        <v>#VALUE!</v>
      </c>
      <c r="ES139" t="e">
        <f>'All regions'!F3849+"$F;@!'R&gt;"</f>
        <v>#VALUE!</v>
      </c>
      <c r="ET139" t="e">
        <f>'All regions'!G3849+"$F;@!'R?"</f>
        <v>#VALUE!</v>
      </c>
      <c r="EU139" t="e">
        <f>'All regions'!H3849+"$F;@!'R@"</f>
        <v>#VALUE!</v>
      </c>
      <c r="EV139" t="e">
        <f>'All regions'!I3849+"$F;@!'RA"</f>
        <v>#VALUE!</v>
      </c>
      <c r="EW139" t="e">
        <f>'All regions'!A3850+"$F;@!'RB"</f>
        <v>#VALUE!</v>
      </c>
      <c r="EX139" t="e">
        <f>'All regions'!B3850+"$F;@!'RC"</f>
        <v>#VALUE!</v>
      </c>
      <c r="EY139" t="e">
        <f>'All regions'!C3850+"$F;@!'RD"</f>
        <v>#VALUE!</v>
      </c>
      <c r="EZ139" t="e">
        <f>'All regions'!D3850+"$F;@!'RE"</f>
        <v>#VALUE!</v>
      </c>
      <c r="FA139" t="e">
        <f>'All regions'!E3850+"$F;@!'RF"</f>
        <v>#VALUE!</v>
      </c>
      <c r="FB139" t="e">
        <f>'All regions'!F3850+"$F;@!'RG"</f>
        <v>#VALUE!</v>
      </c>
      <c r="FC139" t="e">
        <f>'All regions'!G3850+"$F;@!'RH"</f>
        <v>#VALUE!</v>
      </c>
      <c r="FD139" t="e">
        <f>'All regions'!H3850+"$F;@!'RI"</f>
        <v>#VALUE!</v>
      </c>
      <c r="FE139" t="e">
        <f>'All regions'!I3850+"$F;@!'RJ"</f>
        <v>#VALUE!</v>
      </c>
      <c r="FF139" t="e">
        <f>'All regions'!A3851+"$F;@!'RK"</f>
        <v>#VALUE!</v>
      </c>
      <c r="FG139" t="e">
        <f>'All regions'!B3851+"$F;@!'RL"</f>
        <v>#VALUE!</v>
      </c>
      <c r="FH139" t="e">
        <f>'All regions'!C3851+"$F;@!'RM"</f>
        <v>#VALUE!</v>
      </c>
      <c r="FI139" t="e">
        <f>'All regions'!D3851+"$F;@!'RN"</f>
        <v>#VALUE!</v>
      </c>
      <c r="FJ139" t="e">
        <f>'All regions'!E3851+"$F;@!'RO"</f>
        <v>#VALUE!</v>
      </c>
      <c r="FK139" t="e">
        <f>'All regions'!F3851+"$F;@!'RP"</f>
        <v>#VALUE!</v>
      </c>
      <c r="FL139" t="e">
        <f>'All regions'!G3851+"$F;@!'RQ"</f>
        <v>#VALUE!</v>
      </c>
      <c r="FM139" t="e">
        <f>'All regions'!H3851+"$F;@!'RR"</f>
        <v>#VALUE!</v>
      </c>
      <c r="FN139" t="e">
        <f>'All regions'!I3851+"$F;@!'RS"</f>
        <v>#VALUE!</v>
      </c>
      <c r="FO139" t="e">
        <f>'All regions'!A3852+"$F;@!'RT"</f>
        <v>#VALUE!</v>
      </c>
      <c r="FP139" t="e">
        <f>'All regions'!B3852+"$F;@!'RU"</f>
        <v>#VALUE!</v>
      </c>
      <c r="FQ139" t="e">
        <f>'All regions'!C3852+"$F;@!'RV"</f>
        <v>#VALUE!</v>
      </c>
      <c r="FR139" t="e">
        <f>'All regions'!D3852+"$F;@!'RW"</f>
        <v>#VALUE!</v>
      </c>
      <c r="FS139" t="e">
        <f>'All regions'!E3852+"$F;@!'RX"</f>
        <v>#VALUE!</v>
      </c>
      <c r="FT139" t="e">
        <f>'All regions'!F3852+"$F;@!'RY"</f>
        <v>#VALUE!</v>
      </c>
      <c r="FU139" t="e">
        <f>'All regions'!G3852+"$F;@!'RZ"</f>
        <v>#VALUE!</v>
      </c>
      <c r="FV139" t="e">
        <f>'All regions'!H3852+"$F;@!'R["</f>
        <v>#VALUE!</v>
      </c>
      <c r="FW139" t="e">
        <f>'All regions'!I3852+"$F;@!'R\"</f>
        <v>#VALUE!</v>
      </c>
      <c r="FX139" t="e">
        <f>'All regions'!A3853+"$F;@!'R]"</f>
        <v>#VALUE!</v>
      </c>
      <c r="FY139" t="e">
        <f>'All regions'!B3853+"$F;@!'R^"</f>
        <v>#VALUE!</v>
      </c>
      <c r="FZ139" t="e">
        <f>'All regions'!C3853+"$F;@!'R_"</f>
        <v>#VALUE!</v>
      </c>
      <c r="GA139" t="e">
        <f>'All regions'!D3853+"$F;@!'R`"</f>
        <v>#VALUE!</v>
      </c>
      <c r="GB139" t="e">
        <f>'All regions'!E3853+"$F;@!'Ra"</f>
        <v>#VALUE!</v>
      </c>
      <c r="GC139" t="e">
        <f>'All regions'!F3853+"$F;@!'Rb"</f>
        <v>#VALUE!</v>
      </c>
      <c r="GD139" t="e">
        <f>'All regions'!G3853+"$F;@!'Rc"</f>
        <v>#VALUE!</v>
      </c>
      <c r="GE139" t="e">
        <f>'All regions'!H3853+"$F;@!'Rd"</f>
        <v>#VALUE!</v>
      </c>
      <c r="GF139" t="e">
        <f>'All regions'!I3853+"$F;@!'Re"</f>
        <v>#VALUE!</v>
      </c>
      <c r="GG139" t="e">
        <f>'All regions'!A3854+"$F;@!'Rf"</f>
        <v>#VALUE!</v>
      </c>
      <c r="GH139" t="e">
        <f>'All regions'!B3854+"$F;@!'Rg"</f>
        <v>#VALUE!</v>
      </c>
      <c r="GI139" t="e">
        <f>'All regions'!C3854+"$F;@!'Rh"</f>
        <v>#VALUE!</v>
      </c>
      <c r="GJ139" t="e">
        <f>'All regions'!D3854+"$F;@!'Ri"</f>
        <v>#VALUE!</v>
      </c>
      <c r="GK139" t="e">
        <f>'All regions'!E3854+"$F;@!'Rj"</f>
        <v>#VALUE!</v>
      </c>
      <c r="GL139" t="e">
        <f>'All regions'!F3854+"$F;@!'Rk"</f>
        <v>#VALUE!</v>
      </c>
      <c r="GM139" t="e">
        <f>'All regions'!G3854+"$F;@!'Rl"</f>
        <v>#VALUE!</v>
      </c>
      <c r="GN139" t="e">
        <f>'All regions'!H3854+"$F;@!'Rm"</f>
        <v>#VALUE!</v>
      </c>
      <c r="GO139" t="e">
        <f>'All regions'!I3854+"$F;@!'Rn"</f>
        <v>#VALUE!</v>
      </c>
      <c r="GP139" t="e">
        <f>'All regions'!A3855+"$F;@!'Ro"</f>
        <v>#VALUE!</v>
      </c>
      <c r="GQ139" t="e">
        <f>'All regions'!B3855+"$F;@!'Rp"</f>
        <v>#VALUE!</v>
      </c>
      <c r="GR139" t="e">
        <f>'All regions'!C3855+"$F;@!'Rq"</f>
        <v>#VALUE!</v>
      </c>
      <c r="GS139" t="e">
        <f>'All regions'!D3855+"$F;@!'Rr"</f>
        <v>#VALUE!</v>
      </c>
      <c r="GT139" t="e">
        <f>'All regions'!E3855+"$F;@!'Rs"</f>
        <v>#VALUE!</v>
      </c>
      <c r="GU139" t="e">
        <f>'All regions'!F3855+"$F;@!'Rt"</f>
        <v>#VALUE!</v>
      </c>
      <c r="GV139" t="e">
        <f>'All regions'!G3855+"$F;@!'Ru"</f>
        <v>#VALUE!</v>
      </c>
      <c r="GW139" t="e">
        <f>'All regions'!H3855+"$F;@!'Rv"</f>
        <v>#VALUE!</v>
      </c>
      <c r="GX139" t="e">
        <f>'All regions'!I3855+"$F;@!'Rw"</f>
        <v>#VALUE!</v>
      </c>
      <c r="GY139" t="e">
        <f>'All regions'!A3856+"$F;@!'Rx"</f>
        <v>#VALUE!</v>
      </c>
      <c r="GZ139" t="e">
        <f>'All regions'!B3856+"$F;@!'Ry"</f>
        <v>#VALUE!</v>
      </c>
      <c r="HA139" t="e">
        <f>'All regions'!C3856+"$F;@!'Rz"</f>
        <v>#VALUE!</v>
      </c>
      <c r="HB139" t="e">
        <f>'All regions'!D3856+"$F;@!'R{"</f>
        <v>#VALUE!</v>
      </c>
      <c r="HC139" t="e">
        <f>'All regions'!E3856+"$F;@!'R|"</f>
        <v>#VALUE!</v>
      </c>
      <c r="HD139" t="e">
        <f>'All regions'!F3856+"$F;@!'R}"</f>
        <v>#VALUE!</v>
      </c>
      <c r="HE139" t="e">
        <f>'All regions'!G3856+"$F;@!'R~"</f>
        <v>#VALUE!</v>
      </c>
      <c r="HF139" t="e">
        <f>'All regions'!H3856+"$F;@!'S#"</f>
        <v>#VALUE!</v>
      </c>
      <c r="HG139" t="e">
        <f>'All regions'!I3856+"$F;@!'S$"</f>
        <v>#VALUE!</v>
      </c>
      <c r="HH139" t="e">
        <f>'All regions'!A3857+"$F;@!'S%"</f>
        <v>#VALUE!</v>
      </c>
      <c r="HI139" t="e">
        <f>'All regions'!B3857+"$F;@!'S&amp;"</f>
        <v>#VALUE!</v>
      </c>
      <c r="HJ139" t="e">
        <f>'All regions'!C3857+"$F;@!'S'"</f>
        <v>#VALUE!</v>
      </c>
      <c r="HK139" t="e">
        <f>'All regions'!D3857+"$F;@!'S("</f>
        <v>#VALUE!</v>
      </c>
      <c r="HL139" t="e">
        <f>'All regions'!E3857+"$F;@!'S)"</f>
        <v>#VALUE!</v>
      </c>
      <c r="HM139" t="e">
        <f>'All regions'!F3857+"$F;@!'S."</f>
        <v>#VALUE!</v>
      </c>
      <c r="HN139" t="e">
        <f>'All regions'!G3857+"$F;@!'S/"</f>
        <v>#VALUE!</v>
      </c>
      <c r="HO139" t="e">
        <f>'All regions'!H3857+"$F;@!'S0"</f>
        <v>#VALUE!</v>
      </c>
      <c r="HP139" t="e">
        <f>'All regions'!I3857+"$F;@!'S1"</f>
        <v>#VALUE!</v>
      </c>
      <c r="HQ139" t="e">
        <f>'All regions'!A3858+"$F;@!'S2"</f>
        <v>#VALUE!</v>
      </c>
      <c r="HR139" t="e">
        <f>'All regions'!B3858+"$F;@!'S3"</f>
        <v>#VALUE!</v>
      </c>
      <c r="HS139" t="e">
        <f>'All regions'!C3858+"$F;@!'S4"</f>
        <v>#VALUE!</v>
      </c>
      <c r="HT139" t="e">
        <f>'All regions'!D3858+"$F;@!'S5"</f>
        <v>#VALUE!</v>
      </c>
      <c r="HU139" t="e">
        <f>'All regions'!E3858+"$F;@!'S6"</f>
        <v>#VALUE!</v>
      </c>
      <c r="HV139" t="e">
        <f>'All regions'!F3858+"$F;@!'S7"</f>
        <v>#VALUE!</v>
      </c>
      <c r="HW139" t="e">
        <f>'All regions'!G3858+"$F;@!'S8"</f>
        <v>#VALUE!</v>
      </c>
      <c r="HX139" t="e">
        <f>'All regions'!H3858+"$F;@!'S9"</f>
        <v>#VALUE!</v>
      </c>
      <c r="HY139" t="e">
        <f>'All regions'!I3858+"$F;@!'S:"</f>
        <v>#VALUE!</v>
      </c>
      <c r="HZ139" t="e">
        <f>'All regions'!A3859+"$F;@!'S;"</f>
        <v>#VALUE!</v>
      </c>
      <c r="IA139" t="e">
        <f>'All regions'!B3859+"$F;@!'S&lt;"</f>
        <v>#VALUE!</v>
      </c>
      <c r="IB139" t="e">
        <f>'All regions'!C3859+"$F;@!'S="</f>
        <v>#VALUE!</v>
      </c>
      <c r="IC139" t="e">
        <f>'All regions'!D3859+"$F;@!'S&gt;"</f>
        <v>#VALUE!</v>
      </c>
      <c r="ID139" t="e">
        <f>'All regions'!E3859+"$F;@!'S?"</f>
        <v>#VALUE!</v>
      </c>
      <c r="IE139" t="e">
        <f>'All regions'!F3859+"$F;@!'S@"</f>
        <v>#VALUE!</v>
      </c>
      <c r="IF139" t="e">
        <f>'All regions'!G3859+"$F;@!'SA"</f>
        <v>#VALUE!</v>
      </c>
      <c r="IG139" t="e">
        <f>'All regions'!H3859+"$F;@!'SB"</f>
        <v>#VALUE!</v>
      </c>
      <c r="IH139" t="e">
        <f>'All regions'!I3859+"$F;@!'SC"</f>
        <v>#VALUE!</v>
      </c>
      <c r="II139" t="e">
        <f>'All regions'!A3860+"$F;@!'SD"</f>
        <v>#VALUE!</v>
      </c>
      <c r="IJ139" t="e">
        <f>'All regions'!B3860+"$F;@!'SE"</f>
        <v>#VALUE!</v>
      </c>
      <c r="IK139" t="e">
        <f>'All regions'!C3860+"$F;@!'SF"</f>
        <v>#VALUE!</v>
      </c>
      <c r="IL139" t="e">
        <f>'All regions'!D3860+"$F;@!'SG"</f>
        <v>#VALUE!</v>
      </c>
      <c r="IM139" t="e">
        <f>'All regions'!E3860+"$F;@!'SH"</f>
        <v>#VALUE!</v>
      </c>
      <c r="IN139" t="e">
        <f>'All regions'!F3860+"$F;@!'SI"</f>
        <v>#VALUE!</v>
      </c>
      <c r="IO139" t="e">
        <f>'All regions'!G3860+"$F;@!'SJ"</f>
        <v>#VALUE!</v>
      </c>
      <c r="IP139" t="e">
        <f>'All regions'!H3860+"$F;@!'SK"</f>
        <v>#VALUE!</v>
      </c>
      <c r="IQ139" t="e">
        <f>'All regions'!I3860+"$F;@!'SL"</f>
        <v>#VALUE!</v>
      </c>
      <c r="IR139" t="e">
        <f>'All regions'!A3861+"$F;@!'SM"</f>
        <v>#VALUE!</v>
      </c>
      <c r="IS139" t="e">
        <f>'All regions'!B3861+"$F;@!'SN"</f>
        <v>#VALUE!</v>
      </c>
      <c r="IT139" t="e">
        <f>'All regions'!C3861+"$F;@!'SO"</f>
        <v>#VALUE!</v>
      </c>
      <c r="IU139" t="e">
        <f>'All regions'!D3861+"$F;@!'SP"</f>
        <v>#VALUE!</v>
      </c>
      <c r="IV139" t="e">
        <f>'All regions'!E3861+"$F;@!'SQ"</f>
        <v>#VALUE!</v>
      </c>
    </row>
    <row r="140" spans="6:256" x14ac:dyDescent="0.35">
      <c r="F140" t="e">
        <f>'All regions'!F3861+"$F;@!'SR"</f>
        <v>#VALUE!</v>
      </c>
      <c r="G140" t="e">
        <f>'All regions'!G3861+"$F;@!'SS"</f>
        <v>#VALUE!</v>
      </c>
      <c r="H140" t="e">
        <f>'All regions'!H3861+"$F;@!'ST"</f>
        <v>#VALUE!</v>
      </c>
      <c r="I140" t="e">
        <f>'All regions'!I3861+"$F;@!'SU"</f>
        <v>#VALUE!</v>
      </c>
      <c r="J140" t="e">
        <f>'All regions'!A3862+"$F;@!'SV"</f>
        <v>#VALUE!</v>
      </c>
      <c r="K140" t="e">
        <f>'All regions'!B3862+"$F;@!'SW"</f>
        <v>#VALUE!</v>
      </c>
      <c r="L140" t="e">
        <f>'All regions'!C3862+"$F;@!'SX"</f>
        <v>#VALUE!</v>
      </c>
      <c r="M140" t="e">
        <f>'All regions'!D3862+"$F;@!'SY"</f>
        <v>#VALUE!</v>
      </c>
      <c r="N140" t="e">
        <f>'All regions'!E3862+"$F;@!'SZ"</f>
        <v>#VALUE!</v>
      </c>
      <c r="O140" t="e">
        <f>'All regions'!F3862+"$F;@!'S["</f>
        <v>#VALUE!</v>
      </c>
      <c r="P140" t="e">
        <f>'All regions'!G3862+"$F;@!'S\"</f>
        <v>#VALUE!</v>
      </c>
      <c r="Q140" t="e">
        <f>'All regions'!H3862+"$F;@!'S]"</f>
        <v>#VALUE!</v>
      </c>
      <c r="R140" t="e">
        <f>'All regions'!I3862+"$F;@!'S^"</f>
        <v>#VALUE!</v>
      </c>
      <c r="S140" t="e">
        <f>'All regions'!A3863+"$F;@!'S_"</f>
        <v>#VALUE!</v>
      </c>
      <c r="T140" t="e">
        <f>'All regions'!B3863+"$F;@!'S`"</f>
        <v>#VALUE!</v>
      </c>
      <c r="U140" t="e">
        <f>'All regions'!C3863+"$F;@!'Sa"</f>
        <v>#VALUE!</v>
      </c>
      <c r="V140" t="e">
        <f>'All regions'!D3863+"$F;@!'Sb"</f>
        <v>#VALUE!</v>
      </c>
      <c r="W140" t="e">
        <f>'All regions'!E3863+"$F;@!'Sc"</f>
        <v>#VALUE!</v>
      </c>
      <c r="X140" t="e">
        <f>'All regions'!F3863+"$F;@!'Sd"</f>
        <v>#VALUE!</v>
      </c>
      <c r="Y140" t="e">
        <f>'All regions'!G3863+"$F;@!'Se"</f>
        <v>#VALUE!</v>
      </c>
      <c r="Z140" t="e">
        <f>'All regions'!H3863+"$F;@!'Sf"</f>
        <v>#VALUE!</v>
      </c>
      <c r="AA140" t="e">
        <f>'All regions'!I3863+"$F;@!'Sg"</f>
        <v>#VALUE!</v>
      </c>
      <c r="AB140" t="e">
        <f>'All regions'!A3864+"$F;@!'Sh"</f>
        <v>#VALUE!</v>
      </c>
      <c r="AC140" t="e">
        <f>'All regions'!B3864+"$F;@!'Si"</f>
        <v>#VALUE!</v>
      </c>
      <c r="AD140" t="e">
        <f>'All regions'!C3864+"$F;@!'Sj"</f>
        <v>#VALUE!</v>
      </c>
      <c r="AE140" t="e">
        <f>'All regions'!D3864+"$F;@!'Sk"</f>
        <v>#VALUE!</v>
      </c>
      <c r="AF140" t="e">
        <f>'All regions'!E3864+"$F;@!'Sl"</f>
        <v>#VALUE!</v>
      </c>
      <c r="AG140" t="e">
        <f>'All regions'!F3864+"$F;@!'Sm"</f>
        <v>#VALUE!</v>
      </c>
      <c r="AH140" t="e">
        <f>'All regions'!G3864+"$F;@!'Sn"</f>
        <v>#VALUE!</v>
      </c>
      <c r="AI140" t="e">
        <f>'All regions'!H3864+"$F;@!'So"</f>
        <v>#VALUE!</v>
      </c>
      <c r="AJ140" t="e">
        <f>'All regions'!I3864+"$F;@!'Sp"</f>
        <v>#VALUE!</v>
      </c>
      <c r="AK140" t="e">
        <f>'All regions'!A3865+"$F;@!'Sq"</f>
        <v>#VALUE!</v>
      </c>
      <c r="AL140" t="e">
        <f>'All regions'!B3865+"$F;@!'Sr"</f>
        <v>#VALUE!</v>
      </c>
      <c r="AM140" t="e">
        <f>'All regions'!C3865+"$F;@!'Ss"</f>
        <v>#VALUE!</v>
      </c>
      <c r="AN140" t="e">
        <f>'All regions'!D3865+"$F;@!'St"</f>
        <v>#VALUE!</v>
      </c>
      <c r="AO140" t="e">
        <f>'All regions'!E3865+"$F;@!'Su"</f>
        <v>#VALUE!</v>
      </c>
      <c r="AP140" t="e">
        <f>'All regions'!F3865+"$F;@!'Sv"</f>
        <v>#VALUE!</v>
      </c>
      <c r="AQ140" t="e">
        <f>'All regions'!G3865+"$F;@!'Sw"</f>
        <v>#VALUE!</v>
      </c>
      <c r="AR140" t="e">
        <f>'All regions'!H3865+"$F;@!'Sx"</f>
        <v>#VALUE!</v>
      </c>
      <c r="AS140" t="e">
        <f>'All regions'!I3865+"$F;@!'Sy"</f>
        <v>#VALUE!</v>
      </c>
      <c r="AT140" t="e">
        <f>'All regions'!A3866+"$F;@!'Sz"</f>
        <v>#VALUE!</v>
      </c>
      <c r="AU140" t="e">
        <f>'All regions'!B3866+"$F;@!'S{"</f>
        <v>#VALUE!</v>
      </c>
      <c r="AV140" t="e">
        <f>'All regions'!C3866+"$F;@!'S|"</f>
        <v>#VALUE!</v>
      </c>
      <c r="AW140" t="e">
        <f>'All regions'!D3866+"$F;@!'S}"</f>
        <v>#VALUE!</v>
      </c>
      <c r="AX140" t="e">
        <f>'All regions'!E3866+"$F;@!'S~"</f>
        <v>#VALUE!</v>
      </c>
      <c r="AY140" t="e">
        <f>'All regions'!F3866+"$F;@!'T#"</f>
        <v>#VALUE!</v>
      </c>
      <c r="AZ140" t="e">
        <f>'All regions'!G3866+"$F;@!'T$"</f>
        <v>#VALUE!</v>
      </c>
      <c r="BA140" t="e">
        <f>'All regions'!H3866+"$F;@!'T%"</f>
        <v>#VALUE!</v>
      </c>
      <c r="BB140" t="e">
        <f>'All regions'!I3866+"$F;@!'T&amp;"</f>
        <v>#VALUE!</v>
      </c>
      <c r="BC140" t="e">
        <f>'All regions'!A3867+"$F;@!'T'"</f>
        <v>#VALUE!</v>
      </c>
      <c r="BD140" t="e">
        <f>'All regions'!B3867+"$F;@!'T("</f>
        <v>#VALUE!</v>
      </c>
      <c r="BE140" t="e">
        <f>'All regions'!C3867+"$F;@!'T)"</f>
        <v>#VALUE!</v>
      </c>
      <c r="BF140" t="e">
        <f>'All regions'!D3867+"$F;@!'T."</f>
        <v>#VALUE!</v>
      </c>
      <c r="BG140" t="e">
        <f>'All regions'!E3867+"$F;@!'T/"</f>
        <v>#VALUE!</v>
      </c>
      <c r="BH140" t="e">
        <f>'All regions'!F3867+"$F;@!'T0"</f>
        <v>#VALUE!</v>
      </c>
      <c r="BI140" t="e">
        <f>'All regions'!G3867+"$F;@!'T1"</f>
        <v>#VALUE!</v>
      </c>
      <c r="BJ140" t="e">
        <f>'All regions'!H3867+"$F;@!'T2"</f>
        <v>#VALUE!</v>
      </c>
      <c r="BK140" t="e">
        <f>'All regions'!I3867+"$F;@!'T3"</f>
        <v>#VALUE!</v>
      </c>
      <c r="BL140" t="e">
        <f>'All regions'!A3868+"$F;@!'T4"</f>
        <v>#VALUE!</v>
      </c>
      <c r="BM140" t="e">
        <f>'All regions'!B3868+"$F;@!'T5"</f>
        <v>#VALUE!</v>
      </c>
      <c r="BN140" t="e">
        <f>'All regions'!C3868+"$F;@!'T6"</f>
        <v>#VALUE!</v>
      </c>
      <c r="BO140" t="e">
        <f>'All regions'!D3868+"$F;@!'T7"</f>
        <v>#VALUE!</v>
      </c>
      <c r="BP140" t="e">
        <f>'All regions'!E3868+"$F;@!'T8"</f>
        <v>#VALUE!</v>
      </c>
      <c r="BQ140" t="e">
        <f>'All regions'!F3868+"$F;@!'T9"</f>
        <v>#VALUE!</v>
      </c>
      <c r="BR140" t="e">
        <f>'All regions'!G3868+"$F;@!'T:"</f>
        <v>#VALUE!</v>
      </c>
      <c r="BS140" t="e">
        <f>'All regions'!H3868+"$F;@!'T;"</f>
        <v>#VALUE!</v>
      </c>
      <c r="BT140" t="e">
        <f>'All regions'!I3868+"$F;@!'T&lt;"</f>
        <v>#VALUE!</v>
      </c>
      <c r="BU140" t="e">
        <f>'All regions'!A3869+"$F;@!'T="</f>
        <v>#VALUE!</v>
      </c>
      <c r="BV140" t="e">
        <f>'All regions'!B3869+"$F;@!'T&gt;"</f>
        <v>#VALUE!</v>
      </c>
      <c r="BW140" t="e">
        <f>'All regions'!C3869+"$F;@!'T?"</f>
        <v>#VALUE!</v>
      </c>
      <c r="BX140" t="e">
        <f>'All regions'!D3869+"$F;@!'T@"</f>
        <v>#VALUE!</v>
      </c>
      <c r="BY140" t="e">
        <f>'All regions'!E3869+"$F;@!'TA"</f>
        <v>#VALUE!</v>
      </c>
      <c r="BZ140" t="e">
        <f>'All regions'!F3869+"$F;@!'TB"</f>
        <v>#VALUE!</v>
      </c>
      <c r="CA140" t="e">
        <f>'All regions'!G3869+"$F;@!'TC"</f>
        <v>#VALUE!</v>
      </c>
      <c r="CB140" t="e">
        <f>'All regions'!H3869+"$F;@!'TD"</f>
        <v>#VALUE!</v>
      </c>
      <c r="CC140" t="e">
        <f>'All regions'!I3869+"$F;@!'TE"</f>
        <v>#VALUE!</v>
      </c>
      <c r="CD140" t="e">
        <f>'All regions'!A3870+"$F;@!'TF"</f>
        <v>#VALUE!</v>
      </c>
      <c r="CE140" t="e">
        <f>'All regions'!B3870+"$F;@!'TG"</f>
        <v>#VALUE!</v>
      </c>
      <c r="CF140" t="e">
        <f>'All regions'!C3870+"$F;@!'TH"</f>
        <v>#VALUE!</v>
      </c>
      <c r="CG140" t="e">
        <f>'All regions'!D3870+"$F;@!'TI"</f>
        <v>#VALUE!</v>
      </c>
      <c r="CH140" t="e">
        <f>'All regions'!E3870+"$F;@!'TJ"</f>
        <v>#VALUE!</v>
      </c>
      <c r="CI140" t="e">
        <f>'All regions'!F3870+"$F;@!'TK"</f>
        <v>#VALUE!</v>
      </c>
      <c r="CJ140" t="e">
        <f>'All regions'!G3870+"$F;@!'TL"</f>
        <v>#VALUE!</v>
      </c>
      <c r="CK140" t="e">
        <f>'All regions'!H3870+"$F;@!'TM"</f>
        <v>#VALUE!</v>
      </c>
      <c r="CL140" t="e">
        <f>'All regions'!I3870+"$F;@!'TN"</f>
        <v>#VALUE!</v>
      </c>
      <c r="CM140" t="e">
        <f>'All regions'!A3871+"$F;@!'TO"</f>
        <v>#VALUE!</v>
      </c>
      <c r="CN140" t="e">
        <f>'All regions'!B3871+"$F;@!'TP"</f>
        <v>#VALUE!</v>
      </c>
      <c r="CO140" t="e">
        <f>'All regions'!C3871+"$F;@!'TQ"</f>
        <v>#VALUE!</v>
      </c>
      <c r="CP140" t="e">
        <f>'All regions'!D3871+"$F;@!'TR"</f>
        <v>#VALUE!</v>
      </c>
      <c r="CQ140" t="e">
        <f>'All regions'!E3871+"$F;@!'TS"</f>
        <v>#VALUE!</v>
      </c>
      <c r="CR140" t="e">
        <f>'All regions'!F3871+"$F;@!'TT"</f>
        <v>#VALUE!</v>
      </c>
      <c r="CS140" t="e">
        <f>'All regions'!G3871+"$F;@!'TU"</f>
        <v>#VALUE!</v>
      </c>
      <c r="CT140" t="e">
        <f>'All regions'!H3871+"$F;@!'TV"</f>
        <v>#VALUE!</v>
      </c>
      <c r="CU140" t="e">
        <f>'All regions'!I3871+"$F;@!'TW"</f>
        <v>#VALUE!</v>
      </c>
      <c r="CV140" t="e">
        <f>'All regions'!A3872+"$F;@!'TX"</f>
        <v>#VALUE!</v>
      </c>
      <c r="CW140" t="e">
        <f>'All regions'!B3872+"$F;@!'TY"</f>
        <v>#VALUE!</v>
      </c>
      <c r="CX140" t="e">
        <f>'All regions'!C3872+"$F;@!'TZ"</f>
        <v>#VALUE!</v>
      </c>
      <c r="CY140" t="e">
        <f>'All regions'!D3872+"$F;@!'T["</f>
        <v>#VALUE!</v>
      </c>
      <c r="CZ140" t="e">
        <f>'All regions'!E3872+"$F;@!'T\"</f>
        <v>#VALUE!</v>
      </c>
      <c r="DA140" t="e">
        <f>'All regions'!F3872+"$F;@!'T]"</f>
        <v>#VALUE!</v>
      </c>
      <c r="DB140" t="e">
        <f>'All regions'!G3872+"$F;@!'T^"</f>
        <v>#VALUE!</v>
      </c>
      <c r="DC140" t="e">
        <f>'All regions'!H3872+"$F;@!'T_"</f>
        <v>#VALUE!</v>
      </c>
      <c r="DD140" t="e">
        <f>'All regions'!I3872+"$F;@!'T`"</f>
        <v>#VALUE!</v>
      </c>
      <c r="DE140" t="e">
        <f>'All regions'!A3873+"$F;@!'Ta"</f>
        <v>#VALUE!</v>
      </c>
      <c r="DF140" t="e">
        <f>'All regions'!B3873+"$F;@!'Tb"</f>
        <v>#VALUE!</v>
      </c>
      <c r="DG140" t="e">
        <f>'All regions'!C3873+"$F;@!'Tc"</f>
        <v>#VALUE!</v>
      </c>
      <c r="DH140" t="e">
        <f>'All regions'!D3873+"$F;@!'Td"</f>
        <v>#VALUE!</v>
      </c>
      <c r="DI140" t="e">
        <f>'All regions'!E3873+"$F;@!'Te"</f>
        <v>#VALUE!</v>
      </c>
      <c r="DJ140" t="e">
        <f>'All regions'!F3873+"$F;@!'Tf"</f>
        <v>#VALUE!</v>
      </c>
      <c r="DK140" t="e">
        <f>'All regions'!G3873+"$F;@!'Tg"</f>
        <v>#VALUE!</v>
      </c>
      <c r="DL140" t="e">
        <f>'All regions'!H3873+"$F;@!'Th"</f>
        <v>#VALUE!</v>
      </c>
      <c r="DM140" t="e">
        <f>'All regions'!I3873+"$F;@!'Ti"</f>
        <v>#VALUE!</v>
      </c>
      <c r="DN140" t="e">
        <f>'All regions'!A3874+"$F;@!'Tj"</f>
        <v>#VALUE!</v>
      </c>
      <c r="DO140" t="e">
        <f>'All regions'!B3874+"$F;@!'Tk"</f>
        <v>#VALUE!</v>
      </c>
      <c r="DP140" t="e">
        <f>'All regions'!C3874+"$F;@!'Tl"</f>
        <v>#VALUE!</v>
      </c>
      <c r="DQ140" t="e">
        <f>'All regions'!D3874+"$F;@!'Tm"</f>
        <v>#VALUE!</v>
      </c>
      <c r="DR140" t="e">
        <f>'All regions'!E3874+"$F;@!'Tn"</f>
        <v>#VALUE!</v>
      </c>
      <c r="DS140" t="e">
        <f>'All regions'!F3874+"$F;@!'To"</f>
        <v>#VALUE!</v>
      </c>
      <c r="DT140" t="e">
        <f>'All regions'!G3874+"$F;@!'Tp"</f>
        <v>#VALUE!</v>
      </c>
      <c r="DU140" t="e">
        <f>'All regions'!H3874+"$F;@!'Tq"</f>
        <v>#VALUE!</v>
      </c>
      <c r="DV140" t="e">
        <f>'All regions'!I3874+"$F;@!'Tr"</f>
        <v>#VALUE!</v>
      </c>
      <c r="DW140" t="e">
        <f>'All regions'!A3875+"$F;@!'Ts"</f>
        <v>#VALUE!</v>
      </c>
      <c r="DX140" t="e">
        <f>'All regions'!B3875+"$F;@!'Tt"</f>
        <v>#VALUE!</v>
      </c>
      <c r="DY140" t="e">
        <f>'All regions'!C3875+"$F;@!'Tu"</f>
        <v>#VALUE!</v>
      </c>
      <c r="DZ140" t="e">
        <f>'All regions'!D3875+"$F;@!'Tv"</f>
        <v>#VALUE!</v>
      </c>
      <c r="EA140" t="e">
        <f>'All regions'!E3875+"$F;@!'Tw"</f>
        <v>#VALUE!</v>
      </c>
      <c r="EB140" t="e">
        <f>'All regions'!F3875+"$F;@!'Tx"</f>
        <v>#VALUE!</v>
      </c>
      <c r="EC140" t="e">
        <f>'All regions'!G3875+"$F;@!'Ty"</f>
        <v>#VALUE!</v>
      </c>
      <c r="ED140" t="e">
        <f>'All regions'!H3875+"$F;@!'Tz"</f>
        <v>#VALUE!</v>
      </c>
      <c r="EE140" t="e">
        <f>'All regions'!I3875+"$F;@!'T{"</f>
        <v>#VALUE!</v>
      </c>
      <c r="EF140" t="e">
        <f>'All regions'!A3876+"$F;@!'T|"</f>
        <v>#VALUE!</v>
      </c>
      <c r="EG140" t="e">
        <f>'All regions'!B3876+"$F;@!'T}"</f>
        <v>#VALUE!</v>
      </c>
      <c r="EH140" t="e">
        <f>'All regions'!C3876+"$F;@!'T~"</f>
        <v>#VALUE!</v>
      </c>
      <c r="EI140" t="e">
        <f>'All regions'!D3876+"$F;@!'U#"</f>
        <v>#VALUE!</v>
      </c>
      <c r="EJ140" t="e">
        <f>'All regions'!E3876+"$F;@!'U$"</f>
        <v>#VALUE!</v>
      </c>
      <c r="EK140" t="e">
        <f>'All regions'!F3876+"$F;@!'U%"</f>
        <v>#VALUE!</v>
      </c>
      <c r="EL140" t="e">
        <f>'All regions'!G3876+"$F;@!'U&amp;"</f>
        <v>#VALUE!</v>
      </c>
      <c r="EM140" t="e">
        <f>'All regions'!H3876+"$F;@!'U'"</f>
        <v>#VALUE!</v>
      </c>
      <c r="EN140" t="e">
        <f>'All regions'!I3876+"$F;@!'U("</f>
        <v>#VALUE!</v>
      </c>
      <c r="EO140" t="e">
        <f>'All regions'!A3877+"$F;@!'U)"</f>
        <v>#VALUE!</v>
      </c>
      <c r="EP140" t="e">
        <f>'All regions'!B3877+"$F;@!'U."</f>
        <v>#VALUE!</v>
      </c>
      <c r="EQ140" t="e">
        <f>'All regions'!C3877+"$F;@!'U/"</f>
        <v>#VALUE!</v>
      </c>
      <c r="ER140" t="e">
        <f>'All regions'!D3877+"$F;@!'U0"</f>
        <v>#VALUE!</v>
      </c>
      <c r="ES140" t="e">
        <f>'All regions'!E3877+"$F;@!'U1"</f>
        <v>#VALUE!</v>
      </c>
      <c r="ET140" t="e">
        <f>'All regions'!F3877+"$F;@!'U2"</f>
        <v>#VALUE!</v>
      </c>
      <c r="EU140" t="e">
        <f>'All regions'!G3877+"$F;@!'U3"</f>
        <v>#VALUE!</v>
      </c>
      <c r="EV140" t="e">
        <f>'All regions'!H3877+"$F;@!'U4"</f>
        <v>#VALUE!</v>
      </c>
      <c r="EW140" t="e">
        <f>'All regions'!I3877+"$F;@!'U5"</f>
        <v>#VALUE!</v>
      </c>
      <c r="EX140" t="e">
        <f>'All regions'!A3878+"$F;@!'U6"</f>
        <v>#VALUE!</v>
      </c>
      <c r="EY140" t="e">
        <f>'All regions'!B3878+"$F;@!'U7"</f>
        <v>#VALUE!</v>
      </c>
      <c r="EZ140" t="e">
        <f>'All regions'!C3878+"$F;@!'U8"</f>
        <v>#VALUE!</v>
      </c>
      <c r="FA140" t="e">
        <f>'All regions'!D3878+"$F;@!'U9"</f>
        <v>#VALUE!</v>
      </c>
      <c r="FB140" t="e">
        <f>'All regions'!E3878+"$F;@!'U:"</f>
        <v>#VALUE!</v>
      </c>
      <c r="FC140" t="e">
        <f>'All regions'!F3878+"$F;@!'U;"</f>
        <v>#VALUE!</v>
      </c>
      <c r="FD140" t="e">
        <f>'All regions'!G3878+"$F;@!'U&lt;"</f>
        <v>#VALUE!</v>
      </c>
      <c r="FE140" t="e">
        <f>'All regions'!H3878+"$F;@!'U="</f>
        <v>#VALUE!</v>
      </c>
      <c r="FF140" t="e">
        <f>'All regions'!I3878+"$F;@!'U&gt;"</f>
        <v>#VALUE!</v>
      </c>
      <c r="FG140" t="e">
        <f>'All regions'!A3879+"$F;@!'U?"</f>
        <v>#VALUE!</v>
      </c>
      <c r="FH140" t="e">
        <f>'All regions'!B3879+"$F;@!'U@"</f>
        <v>#VALUE!</v>
      </c>
      <c r="FI140" t="e">
        <f>'All regions'!C3879+"$F;@!'UA"</f>
        <v>#VALUE!</v>
      </c>
      <c r="FJ140" t="e">
        <f>'All regions'!D3879+"$F;@!'UB"</f>
        <v>#VALUE!</v>
      </c>
      <c r="FK140" t="e">
        <f>'All regions'!E3879+"$F;@!'UC"</f>
        <v>#VALUE!</v>
      </c>
      <c r="FL140" t="e">
        <f>'All regions'!F3879+"$F;@!'UD"</f>
        <v>#VALUE!</v>
      </c>
      <c r="FM140" t="e">
        <f>'All regions'!G3879+"$F;@!'UE"</f>
        <v>#VALUE!</v>
      </c>
      <c r="FN140" t="e">
        <f>'All regions'!H3879+"$F;@!'UF"</f>
        <v>#VALUE!</v>
      </c>
      <c r="FO140" t="e">
        <f>'All regions'!I3879+"$F;@!'UG"</f>
        <v>#VALUE!</v>
      </c>
      <c r="FP140" t="e">
        <f>'All regions'!A3880+"$F;@!'UH"</f>
        <v>#VALUE!</v>
      </c>
      <c r="FQ140" t="e">
        <f>'All regions'!B3880+"$F;@!'UI"</f>
        <v>#VALUE!</v>
      </c>
      <c r="FR140" t="e">
        <f>'All regions'!C3880+"$F;@!'UJ"</f>
        <v>#VALUE!</v>
      </c>
      <c r="FS140" t="e">
        <f>'All regions'!D3880+"$F;@!'UK"</f>
        <v>#VALUE!</v>
      </c>
      <c r="FT140" t="e">
        <f>'All regions'!E3880+"$F;@!'UL"</f>
        <v>#VALUE!</v>
      </c>
      <c r="FU140" t="e">
        <f>'All regions'!F3880+"$F;@!'UM"</f>
        <v>#VALUE!</v>
      </c>
      <c r="FV140" t="e">
        <f>'All regions'!G3880+"$F;@!'UN"</f>
        <v>#VALUE!</v>
      </c>
      <c r="FW140" t="e">
        <f>'All regions'!H3880+"$F;@!'UO"</f>
        <v>#VALUE!</v>
      </c>
      <c r="FX140" t="e">
        <f>'All regions'!I3880+"$F;@!'UP"</f>
        <v>#VALUE!</v>
      </c>
      <c r="FY140" t="e">
        <f>'All regions'!A3881+"$F;@!'UQ"</f>
        <v>#VALUE!</v>
      </c>
      <c r="FZ140" t="e">
        <f>'All regions'!B3881+"$F;@!'UR"</f>
        <v>#VALUE!</v>
      </c>
      <c r="GA140" t="e">
        <f>'All regions'!C3881+"$F;@!'US"</f>
        <v>#VALUE!</v>
      </c>
      <c r="GB140" t="e">
        <f>'All regions'!D3881+"$F;@!'UT"</f>
        <v>#VALUE!</v>
      </c>
      <c r="GC140" t="e">
        <f>'All regions'!E3881+"$F;@!'UU"</f>
        <v>#VALUE!</v>
      </c>
      <c r="GD140" t="e">
        <f>'All regions'!F3881+"$F;@!'UV"</f>
        <v>#VALUE!</v>
      </c>
      <c r="GE140" t="e">
        <f>'All regions'!G3881+"$F;@!'UW"</f>
        <v>#VALUE!</v>
      </c>
      <c r="GF140" t="e">
        <f>'All regions'!H3881+"$F;@!'UX"</f>
        <v>#VALUE!</v>
      </c>
      <c r="GG140" t="e">
        <f>'All regions'!I3881+"$F;@!'UY"</f>
        <v>#VALUE!</v>
      </c>
      <c r="GH140" t="e">
        <f>'All regions'!A3882+"$F;@!'UZ"</f>
        <v>#VALUE!</v>
      </c>
      <c r="GI140" t="e">
        <f>'All regions'!B3882+"$F;@!'U["</f>
        <v>#VALUE!</v>
      </c>
      <c r="GJ140" t="e">
        <f>'All regions'!C3882+"$F;@!'U\"</f>
        <v>#VALUE!</v>
      </c>
      <c r="GK140" t="e">
        <f>'All regions'!D3882+"$F;@!'U]"</f>
        <v>#VALUE!</v>
      </c>
      <c r="GL140" t="e">
        <f>'All regions'!E3882+"$F;@!'U^"</f>
        <v>#VALUE!</v>
      </c>
      <c r="GM140" t="e">
        <f>'All regions'!F3882+"$F;@!'U_"</f>
        <v>#VALUE!</v>
      </c>
      <c r="GN140" t="e">
        <f>'All regions'!G3882+"$F;@!'U`"</f>
        <v>#VALUE!</v>
      </c>
      <c r="GO140" t="e">
        <f>'All regions'!H3882+"$F;@!'Ua"</f>
        <v>#VALUE!</v>
      </c>
      <c r="GP140" t="e">
        <f>'All regions'!I3882+"$F;@!'Ub"</f>
        <v>#VALUE!</v>
      </c>
      <c r="GQ140" t="e">
        <f>'All regions'!A3883+"$F;@!'Uc"</f>
        <v>#VALUE!</v>
      </c>
      <c r="GR140" t="e">
        <f>'All regions'!B3883+"$F;@!'Ud"</f>
        <v>#VALUE!</v>
      </c>
      <c r="GS140" t="e">
        <f>'All regions'!C3883+"$F;@!'Ue"</f>
        <v>#VALUE!</v>
      </c>
      <c r="GT140" t="e">
        <f>'All regions'!D3883+"$F;@!'Uf"</f>
        <v>#VALUE!</v>
      </c>
      <c r="GU140" t="e">
        <f>'All regions'!E3883+"$F;@!'Ug"</f>
        <v>#VALUE!</v>
      </c>
      <c r="GV140" t="e">
        <f>'All regions'!F3883+"$F;@!'Uh"</f>
        <v>#VALUE!</v>
      </c>
      <c r="GW140" t="e">
        <f>'All regions'!G3883+"$F;@!'Ui"</f>
        <v>#VALUE!</v>
      </c>
      <c r="GX140" t="e">
        <f>'All regions'!H3883+"$F;@!'Uj"</f>
        <v>#VALUE!</v>
      </c>
      <c r="GY140" t="e">
        <f>'All regions'!I3883+"$F;@!'Uk"</f>
        <v>#VALUE!</v>
      </c>
      <c r="GZ140" t="e">
        <f>'All regions'!A3884+"$F;@!'Ul"</f>
        <v>#VALUE!</v>
      </c>
      <c r="HA140" t="e">
        <f>'All regions'!B3884+"$F;@!'Um"</f>
        <v>#VALUE!</v>
      </c>
      <c r="HB140" t="e">
        <f>'All regions'!C3884+"$F;@!'Un"</f>
        <v>#VALUE!</v>
      </c>
      <c r="HC140" t="e">
        <f>'All regions'!D3884+"$F;@!'Uo"</f>
        <v>#VALUE!</v>
      </c>
      <c r="HD140" t="e">
        <f>'All regions'!E3884+"$F;@!'Up"</f>
        <v>#VALUE!</v>
      </c>
      <c r="HE140" t="e">
        <f>'All regions'!F3884+"$F;@!'Uq"</f>
        <v>#VALUE!</v>
      </c>
      <c r="HF140" t="e">
        <f>'All regions'!G3884+"$F;@!'Ur"</f>
        <v>#VALUE!</v>
      </c>
      <c r="HG140" t="e">
        <f>'All regions'!H3884+"$F;@!'Us"</f>
        <v>#VALUE!</v>
      </c>
      <c r="HH140" t="e">
        <f>'All regions'!I3884+"$F;@!'Ut"</f>
        <v>#VALUE!</v>
      </c>
      <c r="HI140" t="e">
        <f>'All regions'!A3885+"$F;@!'Uu"</f>
        <v>#VALUE!</v>
      </c>
      <c r="HJ140" t="e">
        <f>'All regions'!B3885+"$F;@!'Uv"</f>
        <v>#VALUE!</v>
      </c>
      <c r="HK140" t="e">
        <f>'All regions'!C3885+"$F;@!'Uw"</f>
        <v>#VALUE!</v>
      </c>
      <c r="HL140" t="e">
        <f>'All regions'!D3885+"$F;@!'Ux"</f>
        <v>#VALUE!</v>
      </c>
      <c r="HM140" t="e">
        <f>'All regions'!E3885+"$F;@!'Uy"</f>
        <v>#VALUE!</v>
      </c>
      <c r="HN140" t="e">
        <f>'All regions'!F3885+"$F;@!'Uz"</f>
        <v>#VALUE!</v>
      </c>
      <c r="HO140" t="e">
        <f>'All regions'!G3885+"$F;@!'U{"</f>
        <v>#VALUE!</v>
      </c>
      <c r="HP140" t="e">
        <f>'All regions'!H3885+"$F;@!'U|"</f>
        <v>#VALUE!</v>
      </c>
      <c r="HQ140" t="e">
        <f>'All regions'!I3885+"$F;@!'U}"</f>
        <v>#VALUE!</v>
      </c>
      <c r="HR140" t="e">
        <f>'All regions'!A3886+"$F;@!'U~"</f>
        <v>#VALUE!</v>
      </c>
      <c r="HS140" t="e">
        <f>'All regions'!B3886+"$F;@!'V#"</f>
        <v>#VALUE!</v>
      </c>
      <c r="HT140" t="e">
        <f>'All regions'!C3886+"$F;@!'V$"</f>
        <v>#VALUE!</v>
      </c>
      <c r="HU140" t="e">
        <f>'All regions'!D3886+"$F;@!'V%"</f>
        <v>#VALUE!</v>
      </c>
      <c r="HV140" t="e">
        <f>'All regions'!E3886+"$F;@!'V&amp;"</f>
        <v>#VALUE!</v>
      </c>
      <c r="HW140" t="e">
        <f>'All regions'!F3886+"$F;@!'V'"</f>
        <v>#VALUE!</v>
      </c>
      <c r="HX140" t="e">
        <f>'All regions'!G3886+"$F;@!'V("</f>
        <v>#VALUE!</v>
      </c>
      <c r="HY140" t="e">
        <f>'All regions'!H3886+"$F;@!'V)"</f>
        <v>#VALUE!</v>
      </c>
      <c r="HZ140" t="e">
        <f>'All regions'!I3886+"$F;@!'V."</f>
        <v>#VALUE!</v>
      </c>
      <c r="IA140" t="e">
        <f>'All regions'!A3887+"$F;@!'V/"</f>
        <v>#VALUE!</v>
      </c>
      <c r="IB140" t="e">
        <f>'All regions'!B3887+"$F;@!'V0"</f>
        <v>#VALUE!</v>
      </c>
      <c r="IC140" t="e">
        <f>'All regions'!C3887+"$F;@!'V1"</f>
        <v>#VALUE!</v>
      </c>
      <c r="ID140" t="e">
        <f>'All regions'!D3887+"$F;@!'V2"</f>
        <v>#VALUE!</v>
      </c>
      <c r="IE140" t="e">
        <f>'All regions'!E3887+"$F;@!'V3"</f>
        <v>#VALUE!</v>
      </c>
      <c r="IF140" t="e">
        <f>'All regions'!F3887+"$F;@!'V4"</f>
        <v>#VALUE!</v>
      </c>
      <c r="IG140" t="e">
        <f>'All regions'!G3887+"$F;@!'V5"</f>
        <v>#VALUE!</v>
      </c>
      <c r="IH140" t="e">
        <f>'All regions'!H3887+"$F;@!'V6"</f>
        <v>#VALUE!</v>
      </c>
      <c r="II140" t="e">
        <f>'All regions'!I3887+"$F;@!'V7"</f>
        <v>#VALUE!</v>
      </c>
      <c r="IJ140" t="e">
        <f>'All regions'!A3888+"$F;@!'V8"</f>
        <v>#VALUE!</v>
      </c>
      <c r="IK140" t="e">
        <f>'All regions'!B3888+"$F;@!'V9"</f>
        <v>#VALUE!</v>
      </c>
      <c r="IL140" t="e">
        <f>'All regions'!C3888+"$F;@!'V:"</f>
        <v>#VALUE!</v>
      </c>
      <c r="IM140" t="e">
        <f>'All regions'!D3888+"$F;@!'V;"</f>
        <v>#VALUE!</v>
      </c>
      <c r="IN140" t="e">
        <f>'All regions'!E3888+"$F;@!'V&lt;"</f>
        <v>#VALUE!</v>
      </c>
      <c r="IO140" t="e">
        <f>'All regions'!F3888+"$F;@!'V="</f>
        <v>#VALUE!</v>
      </c>
      <c r="IP140" t="e">
        <f>'All regions'!G3888+"$F;@!'V&gt;"</f>
        <v>#VALUE!</v>
      </c>
      <c r="IQ140" t="e">
        <f>'All regions'!H3888+"$F;@!'V?"</f>
        <v>#VALUE!</v>
      </c>
      <c r="IR140" t="e">
        <f>'All regions'!I3888+"$F;@!'V@"</f>
        <v>#VALUE!</v>
      </c>
      <c r="IS140" t="e">
        <f>'All regions'!A3889+"$F;@!'VA"</f>
        <v>#VALUE!</v>
      </c>
      <c r="IT140" t="e">
        <f>'All regions'!B3889+"$F;@!'VB"</f>
        <v>#VALUE!</v>
      </c>
      <c r="IU140" t="e">
        <f>'All regions'!C3889+"$F;@!'VC"</f>
        <v>#VALUE!</v>
      </c>
      <c r="IV140" t="e">
        <f>'All regions'!D3889+"$F;@!'VD"</f>
        <v>#VALUE!</v>
      </c>
    </row>
    <row r="141" spans="6:256" x14ac:dyDescent="0.35">
      <c r="F141" t="e">
        <f>'All regions'!E3889+"$F;@!'VE"</f>
        <v>#VALUE!</v>
      </c>
      <c r="G141" t="e">
        <f>'All regions'!F3889+"$F;@!'VF"</f>
        <v>#VALUE!</v>
      </c>
      <c r="H141" t="e">
        <f>'All regions'!G3889+"$F;@!'VG"</f>
        <v>#VALUE!</v>
      </c>
      <c r="I141" t="e">
        <f>'All regions'!H3889+"$F;@!'VH"</f>
        <v>#VALUE!</v>
      </c>
      <c r="J141" t="e">
        <f>'All regions'!I3889+"$F;@!'VI"</f>
        <v>#VALUE!</v>
      </c>
      <c r="K141" t="e">
        <f>'All regions'!A3890+"$F;@!'VJ"</f>
        <v>#VALUE!</v>
      </c>
      <c r="L141" t="e">
        <f>'All regions'!B3890+"$F;@!'VK"</f>
        <v>#VALUE!</v>
      </c>
      <c r="M141" t="e">
        <f>'All regions'!C3890+"$F;@!'VL"</f>
        <v>#VALUE!</v>
      </c>
      <c r="N141" t="e">
        <f>'All regions'!D3890+"$F;@!'VM"</f>
        <v>#VALUE!</v>
      </c>
      <c r="O141" t="e">
        <f>'All regions'!E3890+"$F;@!'VN"</f>
        <v>#VALUE!</v>
      </c>
      <c r="P141" t="e">
        <f>'All regions'!F3890+"$F;@!'VO"</f>
        <v>#VALUE!</v>
      </c>
      <c r="Q141" t="e">
        <f>'All regions'!G3890+"$F;@!'VP"</f>
        <v>#VALUE!</v>
      </c>
      <c r="R141" t="e">
        <f>'All regions'!H3890+"$F;@!'VQ"</f>
        <v>#VALUE!</v>
      </c>
      <c r="S141" t="e">
        <f>'All regions'!I3890+"$F;@!'VR"</f>
        <v>#VALUE!</v>
      </c>
      <c r="T141" t="e">
        <f>'All regions'!A3891+"$F;@!'VS"</f>
        <v>#VALUE!</v>
      </c>
      <c r="U141" t="e">
        <f>'All regions'!B3891+"$F;@!'VT"</f>
        <v>#VALUE!</v>
      </c>
      <c r="V141" t="e">
        <f>'All regions'!C3891+"$F;@!'VU"</f>
        <v>#VALUE!</v>
      </c>
      <c r="W141" t="e">
        <f>'All regions'!D3891+"$F;@!'VV"</f>
        <v>#VALUE!</v>
      </c>
      <c r="X141" t="e">
        <f>'All regions'!E3891+"$F;@!'VW"</f>
        <v>#VALUE!</v>
      </c>
      <c r="Y141" t="e">
        <f>'All regions'!F3891+"$F;@!'VX"</f>
        <v>#VALUE!</v>
      </c>
      <c r="Z141" t="e">
        <f>'All regions'!G3891+"$F;@!'VY"</f>
        <v>#VALUE!</v>
      </c>
      <c r="AA141" t="e">
        <f>'All regions'!H3891+"$F;@!'VZ"</f>
        <v>#VALUE!</v>
      </c>
      <c r="AB141" t="e">
        <f>'All regions'!I3891+"$F;@!'V["</f>
        <v>#VALUE!</v>
      </c>
      <c r="AC141" t="e">
        <f>'All regions'!A3892+"$F;@!'V\"</f>
        <v>#VALUE!</v>
      </c>
      <c r="AD141" t="e">
        <f>'All regions'!B3892+"$F;@!'V]"</f>
        <v>#VALUE!</v>
      </c>
      <c r="AE141" t="e">
        <f>'All regions'!C3892+"$F;@!'V^"</f>
        <v>#VALUE!</v>
      </c>
      <c r="AF141" t="e">
        <f>'All regions'!D3892+"$F;@!'V_"</f>
        <v>#VALUE!</v>
      </c>
      <c r="AG141" t="e">
        <f>'All regions'!E3892+"$F;@!'V`"</f>
        <v>#VALUE!</v>
      </c>
      <c r="AH141" t="e">
        <f>'All regions'!F3892+"$F;@!'Va"</f>
        <v>#VALUE!</v>
      </c>
      <c r="AI141" t="e">
        <f>'All regions'!G3892+"$F;@!'Vb"</f>
        <v>#VALUE!</v>
      </c>
      <c r="AJ141" t="e">
        <f>'All regions'!H3892+"$F;@!'Vc"</f>
        <v>#VALUE!</v>
      </c>
      <c r="AK141" t="e">
        <f>'All regions'!I3892+"$F;@!'Vd"</f>
        <v>#VALUE!</v>
      </c>
      <c r="AL141" t="e">
        <f>'All regions'!A3893+"$F;@!'Ve"</f>
        <v>#VALUE!</v>
      </c>
      <c r="AM141" t="e">
        <f>'All regions'!B3893+"$F;@!'Vf"</f>
        <v>#VALUE!</v>
      </c>
      <c r="AN141" t="e">
        <f>'All regions'!C3893+"$F;@!'Vg"</f>
        <v>#VALUE!</v>
      </c>
      <c r="AO141" t="e">
        <f>'All regions'!D3893+"$F;@!'Vh"</f>
        <v>#VALUE!</v>
      </c>
      <c r="AP141" t="e">
        <f>'All regions'!E3893+"$F;@!'Vi"</f>
        <v>#VALUE!</v>
      </c>
      <c r="AQ141" t="e">
        <f>'All regions'!F3893+"$F;@!'Vj"</f>
        <v>#VALUE!</v>
      </c>
      <c r="AR141" t="e">
        <f>'All regions'!G3893+"$F;@!'Vk"</f>
        <v>#VALUE!</v>
      </c>
      <c r="AS141" t="e">
        <f>'All regions'!H3893+"$F;@!'Vl"</f>
        <v>#VALUE!</v>
      </c>
      <c r="AT141" t="e">
        <f>'All regions'!I3893+"$F;@!'Vm"</f>
        <v>#VALUE!</v>
      </c>
      <c r="AU141" t="e">
        <f>'All regions'!A3894+"$F;@!'Vn"</f>
        <v>#VALUE!</v>
      </c>
      <c r="AV141" t="e">
        <f>'All regions'!B3894+"$F;@!'Vo"</f>
        <v>#VALUE!</v>
      </c>
      <c r="AW141" t="e">
        <f>'All regions'!C3894+"$F;@!'Vp"</f>
        <v>#VALUE!</v>
      </c>
      <c r="AX141" t="e">
        <f>'All regions'!D3894+"$F;@!'Vq"</f>
        <v>#VALUE!</v>
      </c>
      <c r="AY141" t="e">
        <f>'All regions'!E3894+"$F;@!'Vr"</f>
        <v>#VALUE!</v>
      </c>
      <c r="AZ141" t="e">
        <f>'All regions'!F3894+"$F;@!'Vs"</f>
        <v>#VALUE!</v>
      </c>
      <c r="BA141" t="e">
        <f>'All regions'!G3894+"$F;@!'Vt"</f>
        <v>#VALUE!</v>
      </c>
      <c r="BB141" t="e">
        <f>'All regions'!H3894+"$F;@!'Vu"</f>
        <v>#VALUE!</v>
      </c>
      <c r="BC141" t="e">
        <f>'All regions'!I3894+"$F;@!'Vv"</f>
        <v>#VALUE!</v>
      </c>
      <c r="BD141" t="e">
        <f>'All regions'!A3895+"$F;@!'Vw"</f>
        <v>#VALUE!</v>
      </c>
      <c r="BE141" t="e">
        <f>'All regions'!B3895+"$F;@!'Vx"</f>
        <v>#VALUE!</v>
      </c>
      <c r="BF141" t="e">
        <f>'All regions'!C3895+"$F;@!'Vy"</f>
        <v>#VALUE!</v>
      </c>
      <c r="BG141" t="e">
        <f>'All regions'!D3895+"$F;@!'Vz"</f>
        <v>#VALUE!</v>
      </c>
      <c r="BH141" t="e">
        <f>'All regions'!E3895+"$F;@!'V{"</f>
        <v>#VALUE!</v>
      </c>
      <c r="BI141" t="e">
        <f>'All regions'!F3895+"$F;@!'V|"</f>
        <v>#VALUE!</v>
      </c>
      <c r="BJ141" t="e">
        <f>'All regions'!G3895+"$F;@!'V}"</f>
        <v>#VALUE!</v>
      </c>
      <c r="BK141" t="e">
        <f>'All regions'!H3895+"$F;@!'V~"</f>
        <v>#VALUE!</v>
      </c>
      <c r="BL141" t="e">
        <f>'All regions'!I3895+"$F;@!'W#"</f>
        <v>#VALUE!</v>
      </c>
      <c r="BM141" t="e">
        <f>'All regions'!A3896+"$F;@!'W$"</f>
        <v>#VALUE!</v>
      </c>
      <c r="BN141" t="e">
        <f>'All regions'!B3896+"$F;@!'W%"</f>
        <v>#VALUE!</v>
      </c>
      <c r="BO141" t="e">
        <f>'All regions'!C3896+"$F;@!'W&amp;"</f>
        <v>#VALUE!</v>
      </c>
      <c r="BP141" t="e">
        <f>'All regions'!D3896+"$F;@!'W'"</f>
        <v>#VALUE!</v>
      </c>
      <c r="BQ141" t="e">
        <f>'All regions'!E3896+"$F;@!'W("</f>
        <v>#VALUE!</v>
      </c>
      <c r="BR141" t="e">
        <f>'All regions'!F3896+"$F;@!'W)"</f>
        <v>#VALUE!</v>
      </c>
      <c r="BS141" t="e">
        <f>'All regions'!G3896+"$F;@!'W."</f>
        <v>#VALUE!</v>
      </c>
      <c r="BT141" t="e">
        <f>'All regions'!H3896+"$F;@!'W/"</f>
        <v>#VALUE!</v>
      </c>
      <c r="BU141" t="e">
        <f>'All regions'!I3896+"$F;@!'W0"</f>
        <v>#VALUE!</v>
      </c>
      <c r="BV141" t="e">
        <f>'All regions'!A3897+"$F;@!'W1"</f>
        <v>#VALUE!</v>
      </c>
      <c r="BW141" t="e">
        <f>'All regions'!B3897+"$F;@!'W2"</f>
        <v>#VALUE!</v>
      </c>
      <c r="BX141" t="e">
        <f>'All regions'!C3897+"$F;@!'W3"</f>
        <v>#VALUE!</v>
      </c>
      <c r="BY141" t="e">
        <f>'All regions'!D3897+"$F;@!'W4"</f>
        <v>#VALUE!</v>
      </c>
      <c r="BZ141" t="e">
        <f>'All regions'!E3897+"$F;@!'W5"</f>
        <v>#VALUE!</v>
      </c>
      <c r="CA141" t="e">
        <f>'All regions'!F3897+"$F;@!'W6"</f>
        <v>#VALUE!</v>
      </c>
      <c r="CB141" t="e">
        <f>'All regions'!G3897+"$F;@!'W7"</f>
        <v>#VALUE!</v>
      </c>
      <c r="CC141" t="e">
        <f>'All regions'!H3897+"$F;@!'W8"</f>
        <v>#VALUE!</v>
      </c>
      <c r="CD141" t="e">
        <f>'All regions'!I3897+"$F;@!'W9"</f>
        <v>#VALUE!</v>
      </c>
      <c r="CE141" t="e">
        <f>'All regions'!A3898+"$F;@!'W:"</f>
        <v>#VALUE!</v>
      </c>
      <c r="CF141" t="e">
        <f>'All regions'!B3898+"$F;@!'W;"</f>
        <v>#VALUE!</v>
      </c>
      <c r="CG141" t="e">
        <f>'All regions'!C3898+"$F;@!'W&lt;"</f>
        <v>#VALUE!</v>
      </c>
      <c r="CH141" t="e">
        <f>'All regions'!D3898+"$F;@!'W="</f>
        <v>#VALUE!</v>
      </c>
      <c r="CI141" t="e">
        <f>'All regions'!E3898+"$F;@!'W&gt;"</f>
        <v>#VALUE!</v>
      </c>
      <c r="CJ141" t="e">
        <f>'All regions'!F3898+"$F;@!'W?"</f>
        <v>#VALUE!</v>
      </c>
      <c r="CK141" t="e">
        <f>'All regions'!G3898+"$F;@!'W@"</f>
        <v>#VALUE!</v>
      </c>
      <c r="CL141" t="e">
        <f>'All regions'!H3898+"$F;@!'WA"</f>
        <v>#VALUE!</v>
      </c>
      <c r="CM141" t="e">
        <f>'All regions'!I3898+"$F;@!'WB"</f>
        <v>#VALUE!</v>
      </c>
      <c r="CN141" t="e">
        <f>'All regions'!A3899+"$F;@!'WC"</f>
        <v>#VALUE!</v>
      </c>
      <c r="CO141" t="e">
        <f>'All regions'!B3899+"$F;@!'WD"</f>
        <v>#VALUE!</v>
      </c>
      <c r="CP141" t="e">
        <f>'All regions'!C3899+"$F;@!'WE"</f>
        <v>#VALUE!</v>
      </c>
      <c r="CQ141" t="e">
        <f>'All regions'!D3899+"$F;@!'WF"</f>
        <v>#VALUE!</v>
      </c>
      <c r="CR141" t="e">
        <f>'All regions'!E3899+"$F;@!'WG"</f>
        <v>#VALUE!</v>
      </c>
      <c r="CS141" t="e">
        <f>'All regions'!F3899+"$F;@!'WH"</f>
        <v>#VALUE!</v>
      </c>
      <c r="CT141" t="e">
        <f>'All regions'!G3899+"$F;@!'WI"</f>
        <v>#VALUE!</v>
      </c>
      <c r="CU141" t="e">
        <f>'All regions'!H3899+"$F;@!'WJ"</f>
        <v>#VALUE!</v>
      </c>
      <c r="CV141" t="e">
        <f>'All regions'!I3899+"$F;@!'WK"</f>
        <v>#VALUE!</v>
      </c>
      <c r="CW141" t="e">
        <f>'All regions'!A3900+"$F;@!'WL"</f>
        <v>#VALUE!</v>
      </c>
      <c r="CX141" t="e">
        <f>'All regions'!B3900+"$F;@!'WM"</f>
        <v>#VALUE!</v>
      </c>
      <c r="CY141" t="e">
        <f>'All regions'!C3900+"$F;@!'WN"</f>
        <v>#VALUE!</v>
      </c>
      <c r="CZ141" t="e">
        <f>'All regions'!D3900+"$F;@!'WO"</f>
        <v>#VALUE!</v>
      </c>
      <c r="DA141" t="e">
        <f>'All regions'!E3900+"$F;@!'WP"</f>
        <v>#VALUE!</v>
      </c>
      <c r="DB141" t="e">
        <f>'All regions'!F3900+"$F;@!'WQ"</f>
        <v>#VALUE!</v>
      </c>
      <c r="DC141" t="e">
        <f>'All regions'!G3900+"$F;@!'WR"</f>
        <v>#VALUE!</v>
      </c>
      <c r="DD141" t="e">
        <f>'All regions'!H3900+"$F;@!'WS"</f>
        <v>#VALUE!</v>
      </c>
      <c r="DE141" t="e">
        <f>'All regions'!I3900+"$F;@!'WT"</f>
        <v>#VALUE!</v>
      </c>
      <c r="DF141" t="e">
        <f>'All regions'!A3901+"$F;@!'WU"</f>
        <v>#VALUE!</v>
      </c>
      <c r="DG141" t="e">
        <f>'All regions'!B3901+"$F;@!'WV"</f>
        <v>#VALUE!</v>
      </c>
      <c r="DH141" t="e">
        <f>'All regions'!C3901+"$F;@!'WW"</f>
        <v>#VALUE!</v>
      </c>
      <c r="DI141" t="e">
        <f>'All regions'!D3901+"$F;@!'WX"</f>
        <v>#VALUE!</v>
      </c>
      <c r="DJ141" t="e">
        <f>'All regions'!E3901+"$F;@!'WY"</f>
        <v>#VALUE!</v>
      </c>
      <c r="DK141" t="e">
        <f>'All regions'!F3901+"$F;@!'WZ"</f>
        <v>#VALUE!</v>
      </c>
      <c r="DL141" t="e">
        <f>'All regions'!G3901+"$F;@!'W["</f>
        <v>#VALUE!</v>
      </c>
      <c r="DM141" t="e">
        <f>'All regions'!H3901+"$F;@!'W\"</f>
        <v>#VALUE!</v>
      </c>
      <c r="DN141" t="e">
        <f>'All regions'!I3901+"$F;@!'W]"</f>
        <v>#VALUE!</v>
      </c>
      <c r="DO141" t="e">
        <f>'All regions'!A3902+"$F;@!'W^"</f>
        <v>#VALUE!</v>
      </c>
      <c r="DP141" t="e">
        <f>'All regions'!B3902+"$F;@!'W_"</f>
        <v>#VALUE!</v>
      </c>
      <c r="DQ141" t="e">
        <f>'All regions'!C3902+"$F;@!'W`"</f>
        <v>#VALUE!</v>
      </c>
      <c r="DR141" t="e">
        <f>'All regions'!D3902+"$F;@!'Wa"</f>
        <v>#VALUE!</v>
      </c>
      <c r="DS141" t="e">
        <f>'All regions'!E3902+"$F;@!'Wb"</f>
        <v>#VALUE!</v>
      </c>
      <c r="DT141" t="e">
        <f>'All regions'!F3902+"$F;@!'Wc"</f>
        <v>#VALUE!</v>
      </c>
      <c r="DU141" t="e">
        <f>'All regions'!G3902+"$F;@!'Wd"</f>
        <v>#VALUE!</v>
      </c>
      <c r="DV141" t="e">
        <f>'All regions'!H3902+"$F;@!'We"</f>
        <v>#VALUE!</v>
      </c>
      <c r="DW141" t="e">
        <f>'All regions'!I3902+"$F;@!'Wf"</f>
        <v>#VALUE!</v>
      </c>
      <c r="DX141" t="e">
        <f>'All regions'!A3903+"$F;@!'Wg"</f>
        <v>#VALUE!</v>
      </c>
      <c r="DY141" t="e">
        <f>'All regions'!B3903+"$F;@!'Wh"</f>
        <v>#VALUE!</v>
      </c>
      <c r="DZ141" t="e">
        <f>'All regions'!C3903+"$F;@!'Wi"</f>
        <v>#VALUE!</v>
      </c>
      <c r="EA141" t="e">
        <f>'All regions'!D3903+"$F;@!'Wj"</f>
        <v>#VALUE!</v>
      </c>
      <c r="EB141" t="e">
        <f>'All regions'!E3903+"$F;@!'Wk"</f>
        <v>#VALUE!</v>
      </c>
      <c r="EC141" t="e">
        <f>'All regions'!F3903+"$F;@!'Wl"</f>
        <v>#VALUE!</v>
      </c>
      <c r="ED141" t="e">
        <f>'All regions'!G3903+"$F;@!'Wm"</f>
        <v>#VALUE!</v>
      </c>
      <c r="EE141" t="e">
        <f>'All regions'!H3903+"$F;@!'Wn"</f>
        <v>#VALUE!</v>
      </c>
      <c r="EF141" t="e">
        <f>'All regions'!I3903+"$F;@!'Wo"</f>
        <v>#VALUE!</v>
      </c>
      <c r="EG141" t="e">
        <f>'All regions'!A3904+"$F;@!'Wp"</f>
        <v>#VALUE!</v>
      </c>
      <c r="EH141" t="e">
        <f>'All regions'!B3904+"$F;@!'Wq"</f>
        <v>#VALUE!</v>
      </c>
      <c r="EI141" t="e">
        <f>'All regions'!C3904+"$F;@!'Wr"</f>
        <v>#VALUE!</v>
      </c>
      <c r="EJ141" t="e">
        <f>'All regions'!D3904+"$F;@!'Ws"</f>
        <v>#VALUE!</v>
      </c>
      <c r="EK141" t="e">
        <f>'All regions'!E3904+"$F;@!'Wt"</f>
        <v>#VALUE!</v>
      </c>
      <c r="EL141" t="e">
        <f>'All regions'!F3904+"$F;@!'Wu"</f>
        <v>#VALUE!</v>
      </c>
      <c r="EM141" t="e">
        <f>'All regions'!G3904+"$F;@!'Wv"</f>
        <v>#VALUE!</v>
      </c>
      <c r="EN141" t="e">
        <f>'All regions'!H3904+"$F;@!'Ww"</f>
        <v>#VALUE!</v>
      </c>
      <c r="EO141" t="e">
        <f>'All regions'!I3904+"$F;@!'Wx"</f>
        <v>#VALUE!</v>
      </c>
      <c r="EP141" t="e">
        <f>'All regions'!A3905+"$F;@!'Wy"</f>
        <v>#VALUE!</v>
      </c>
      <c r="EQ141" t="e">
        <f>'All regions'!B3905+"$F;@!'Wz"</f>
        <v>#VALUE!</v>
      </c>
      <c r="ER141" t="e">
        <f>'All regions'!C3905+"$F;@!'W{"</f>
        <v>#VALUE!</v>
      </c>
      <c r="ES141" t="e">
        <f>'All regions'!D3905+"$F;@!'W|"</f>
        <v>#VALUE!</v>
      </c>
      <c r="ET141" t="e">
        <f>'All regions'!E3905+"$F;@!'W}"</f>
        <v>#VALUE!</v>
      </c>
      <c r="EU141" t="e">
        <f>'All regions'!F3905+"$F;@!'W~"</f>
        <v>#VALUE!</v>
      </c>
      <c r="EV141" t="e">
        <f>'All regions'!G3905+"$F;@!'X#"</f>
        <v>#VALUE!</v>
      </c>
      <c r="EW141" t="e">
        <f>'All regions'!H3905+"$F;@!'X$"</f>
        <v>#VALUE!</v>
      </c>
      <c r="EX141" t="e">
        <f>'All regions'!I3905+"$F;@!'X%"</f>
        <v>#VALUE!</v>
      </c>
      <c r="EY141" t="e">
        <f>'All regions'!A3906+"$F;@!'X&amp;"</f>
        <v>#VALUE!</v>
      </c>
      <c r="EZ141" t="e">
        <f>'All regions'!B3906+"$F;@!'X'"</f>
        <v>#VALUE!</v>
      </c>
      <c r="FA141" t="e">
        <f>'All regions'!C3906+"$F;@!'X("</f>
        <v>#VALUE!</v>
      </c>
      <c r="FB141" t="e">
        <f>'All regions'!D3906+"$F;@!'X)"</f>
        <v>#VALUE!</v>
      </c>
      <c r="FC141" t="e">
        <f>'All regions'!E3906+"$F;@!'X."</f>
        <v>#VALUE!</v>
      </c>
      <c r="FD141" t="e">
        <f>'All regions'!F3906+"$F;@!'X/"</f>
        <v>#VALUE!</v>
      </c>
      <c r="FE141" t="e">
        <f>'All regions'!G3906+"$F;@!'X0"</f>
        <v>#VALUE!</v>
      </c>
      <c r="FF141" t="e">
        <f>'All regions'!H3906+"$F;@!'X1"</f>
        <v>#VALUE!</v>
      </c>
      <c r="FG141" t="e">
        <f>'All regions'!I3906+"$F;@!'X2"</f>
        <v>#VALUE!</v>
      </c>
      <c r="FH141" t="e">
        <f>'All regions'!A3907+"$F;@!'X3"</f>
        <v>#VALUE!</v>
      </c>
      <c r="FI141" t="e">
        <f>'All regions'!B3907+"$F;@!'X4"</f>
        <v>#VALUE!</v>
      </c>
      <c r="FJ141" t="e">
        <f>'All regions'!C3907+"$F;@!'X5"</f>
        <v>#VALUE!</v>
      </c>
      <c r="FK141" t="e">
        <f>'All regions'!D3907+"$F;@!'X6"</f>
        <v>#VALUE!</v>
      </c>
      <c r="FL141" t="e">
        <f>'All regions'!E3907+"$F;@!'X7"</f>
        <v>#VALUE!</v>
      </c>
      <c r="FM141" t="e">
        <f>'All regions'!F3907+"$F;@!'X8"</f>
        <v>#VALUE!</v>
      </c>
      <c r="FN141" t="e">
        <f>'All regions'!G3907+"$F;@!'X9"</f>
        <v>#VALUE!</v>
      </c>
      <c r="FO141" t="e">
        <f>'All regions'!H3907+"$F;@!'X:"</f>
        <v>#VALUE!</v>
      </c>
      <c r="FP141" t="e">
        <f>'All regions'!I3907+"$F;@!'X;"</f>
        <v>#VALUE!</v>
      </c>
      <c r="FQ141" t="e">
        <f>'All regions'!A3908+"$F;@!'X&lt;"</f>
        <v>#VALUE!</v>
      </c>
      <c r="FR141" t="e">
        <f>'All regions'!B3908+"$F;@!'X="</f>
        <v>#VALUE!</v>
      </c>
      <c r="FS141" t="e">
        <f>'All regions'!C3908+"$F;@!'X&gt;"</f>
        <v>#VALUE!</v>
      </c>
      <c r="FT141" t="e">
        <f>'All regions'!D3908+"$F;@!'X?"</f>
        <v>#VALUE!</v>
      </c>
      <c r="FU141" t="e">
        <f>'All regions'!E3908+"$F;@!'X@"</f>
        <v>#VALUE!</v>
      </c>
      <c r="FV141" t="e">
        <f>'All regions'!F3908+"$F;@!'XA"</f>
        <v>#VALUE!</v>
      </c>
      <c r="FW141" t="e">
        <f>'All regions'!G3908+"$F;@!'XB"</f>
        <v>#VALUE!</v>
      </c>
      <c r="FX141" t="e">
        <f>'All regions'!H3908+"$F;@!'XC"</f>
        <v>#VALUE!</v>
      </c>
      <c r="FY141" t="e">
        <f>'All regions'!I3908+"$F;@!'XD"</f>
        <v>#VALUE!</v>
      </c>
      <c r="FZ141" t="e">
        <f>'All regions'!A3909+"$F;@!'XE"</f>
        <v>#VALUE!</v>
      </c>
      <c r="GA141" t="e">
        <f>'All regions'!B3909+"$F;@!'XF"</f>
        <v>#VALUE!</v>
      </c>
      <c r="GB141" t="e">
        <f>'All regions'!C3909+"$F;@!'XG"</f>
        <v>#VALUE!</v>
      </c>
      <c r="GC141" t="e">
        <f>'All regions'!D3909+"$F;@!'XH"</f>
        <v>#VALUE!</v>
      </c>
      <c r="GD141" t="e">
        <f>'All regions'!E3909+"$F;@!'XI"</f>
        <v>#VALUE!</v>
      </c>
      <c r="GE141" t="e">
        <f>'All regions'!F3909+"$F;@!'XJ"</f>
        <v>#VALUE!</v>
      </c>
      <c r="GF141" t="e">
        <f>'All regions'!G3909+"$F;@!'XK"</f>
        <v>#VALUE!</v>
      </c>
      <c r="GG141" t="e">
        <f>'All regions'!H3909+"$F;@!'XL"</f>
        <v>#VALUE!</v>
      </c>
      <c r="GH141" t="e">
        <f>'All regions'!I3909+"$F;@!'XM"</f>
        <v>#VALUE!</v>
      </c>
      <c r="GI141" t="e">
        <f>'All regions'!A3910+"$F;@!'XN"</f>
        <v>#VALUE!</v>
      </c>
      <c r="GJ141" t="e">
        <f>'All regions'!B3910+"$F;@!'XO"</f>
        <v>#VALUE!</v>
      </c>
      <c r="GK141" t="e">
        <f>'All regions'!C3910+"$F;@!'XP"</f>
        <v>#VALUE!</v>
      </c>
      <c r="GL141" t="e">
        <f>'All regions'!D3910+"$F;@!'XQ"</f>
        <v>#VALUE!</v>
      </c>
      <c r="GM141" t="e">
        <f>'All regions'!E3910+"$F;@!'XR"</f>
        <v>#VALUE!</v>
      </c>
      <c r="GN141" t="e">
        <f>'All regions'!F3910+"$F;@!'XS"</f>
        <v>#VALUE!</v>
      </c>
      <c r="GO141" t="e">
        <f>'All regions'!G3910+"$F;@!'XT"</f>
        <v>#VALUE!</v>
      </c>
      <c r="GP141" t="e">
        <f>'All regions'!H3910+"$F;@!'XU"</f>
        <v>#VALUE!</v>
      </c>
      <c r="GQ141" t="e">
        <f>'All regions'!I3910+"$F;@!'XV"</f>
        <v>#VALUE!</v>
      </c>
      <c r="GR141" t="e">
        <f>'All regions'!A3911+"$F;@!'XW"</f>
        <v>#VALUE!</v>
      </c>
      <c r="GS141" t="e">
        <f>'All regions'!B3911+"$F;@!'XX"</f>
        <v>#VALUE!</v>
      </c>
      <c r="GT141" t="e">
        <f>'All regions'!C3911+"$F;@!'XY"</f>
        <v>#VALUE!</v>
      </c>
      <c r="GU141" t="e">
        <f>'All regions'!D3911+"$F;@!'XZ"</f>
        <v>#VALUE!</v>
      </c>
      <c r="GV141" t="e">
        <f>'All regions'!E3911+"$F;@!'X["</f>
        <v>#VALUE!</v>
      </c>
      <c r="GW141" t="e">
        <f>'All regions'!F3911+"$F;@!'X\"</f>
        <v>#VALUE!</v>
      </c>
      <c r="GX141" t="e">
        <f>'All regions'!G3911+"$F;@!'X]"</f>
        <v>#VALUE!</v>
      </c>
      <c r="GY141" t="e">
        <f>'All regions'!H3911+"$F;@!'X^"</f>
        <v>#VALUE!</v>
      </c>
      <c r="GZ141" t="e">
        <f>'All regions'!I3911+"$F;@!'X_"</f>
        <v>#VALUE!</v>
      </c>
      <c r="HA141" t="e">
        <f>'All regions'!A3912+"$F;@!'X`"</f>
        <v>#VALUE!</v>
      </c>
      <c r="HB141" t="e">
        <f>'All regions'!B3912+"$F;@!'Xa"</f>
        <v>#VALUE!</v>
      </c>
      <c r="HC141" t="e">
        <f>'All regions'!C3912+"$F;@!'Xb"</f>
        <v>#VALUE!</v>
      </c>
      <c r="HD141" t="e">
        <f>'All regions'!D3912+"$F;@!'Xc"</f>
        <v>#VALUE!</v>
      </c>
      <c r="HE141" t="e">
        <f>'All regions'!E3912+"$F;@!'Xd"</f>
        <v>#VALUE!</v>
      </c>
      <c r="HF141" t="e">
        <f>'All regions'!F3912+"$F;@!'Xe"</f>
        <v>#VALUE!</v>
      </c>
      <c r="HG141" t="e">
        <f>'All regions'!G3912+"$F;@!'Xf"</f>
        <v>#VALUE!</v>
      </c>
      <c r="HH141" t="e">
        <f>'All regions'!H3912+"$F;@!'Xg"</f>
        <v>#VALUE!</v>
      </c>
      <c r="HI141" t="e">
        <f>'All regions'!I3912+"$F;@!'Xh"</f>
        <v>#VALUE!</v>
      </c>
      <c r="HJ141" t="e">
        <f>'All regions'!A3913+"$F;@!'Xi"</f>
        <v>#VALUE!</v>
      </c>
      <c r="HK141" t="e">
        <f>'All regions'!B3913+"$F;@!'Xj"</f>
        <v>#VALUE!</v>
      </c>
      <c r="HL141" t="e">
        <f>'All regions'!C3913+"$F;@!'Xk"</f>
        <v>#VALUE!</v>
      </c>
      <c r="HM141" t="e">
        <f>'All regions'!D3913+"$F;@!'Xl"</f>
        <v>#VALUE!</v>
      </c>
      <c r="HN141" t="e">
        <f>'All regions'!E3913+"$F;@!'Xm"</f>
        <v>#VALUE!</v>
      </c>
      <c r="HO141" t="e">
        <f>'All regions'!F3913+"$F;@!'Xn"</f>
        <v>#VALUE!</v>
      </c>
      <c r="HP141" t="e">
        <f>'All regions'!G3913+"$F;@!'Xo"</f>
        <v>#VALUE!</v>
      </c>
      <c r="HQ141" t="e">
        <f>'All regions'!H3913+"$F;@!'Xp"</f>
        <v>#VALUE!</v>
      </c>
      <c r="HR141" t="e">
        <f>'All regions'!I3913+"$F;@!'Xq"</f>
        <v>#VALUE!</v>
      </c>
      <c r="HS141" t="e">
        <f>'All regions'!A3914+"$F;@!'Xr"</f>
        <v>#VALUE!</v>
      </c>
      <c r="HT141" t="e">
        <f>'All regions'!B3914+"$F;@!'Xs"</f>
        <v>#VALUE!</v>
      </c>
      <c r="HU141" t="e">
        <f>'All regions'!C3914+"$F;@!'Xt"</f>
        <v>#VALUE!</v>
      </c>
      <c r="HV141" t="e">
        <f>'All regions'!D3914+"$F;@!'Xu"</f>
        <v>#VALUE!</v>
      </c>
      <c r="HW141" t="e">
        <f>'All regions'!E3914+"$F;@!'Xv"</f>
        <v>#VALUE!</v>
      </c>
      <c r="HX141" t="e">
        <f>'All regions'!F3914+"$F;@!'Xw"</f>
        <v>#VALUE!</v>
      </c>
      <c r="HY141" t="e">
        <f>'All regions'!G3914+"$F;@!'Xx"</f>
        <v>#VALUE!</v>
      </c>
      <c r="HZ141" t="e">
        <f>'All regions'!H3914+"$F;@!'Xy"</f>
        <v>#VALUE!</v>
      </c>
      <c r="IA141" t="e">
        <f>'All regions'!I3914+"$F;@!'Xz"</f>
        <v>#VALUE!</v>
      </c>
      <c r="IB141" t="e">
        <f>'All regions'!A3915+"$F;@!'X{"</f>
        <v>#VALUE!</v>
      </c>
      <c r="IC141" t="e">
        <f>'All regions'!B3915+"$F;@!'X|"</f>
        <v>#VALUE!</v>
      </c>
      <c r="ID141" t="e">
        <f>'All regions'!C3915+"$F;@!'X}"</f>
        <v>#VALUE!</v>
      </c>
      <c r="IE141" t="e">
        <f>'All regions'!D3915+"$F;@!'X~"</f>
        <v>#VALUE!</v>
      </c>
      <c r="IF141" t="e">
        <f>'All regions'!E3915+"$F;@!'Y#"</f>
        <v>#VALUE!</v>
      </c>
      <c r="IG141" t="e">
        <f>'All regions'!F3915+"$F;@!'Y$"</f>
        <v>#VALUE!</v>
      </c>
      <c r="IH141" t="e">
        <f>'All regions'!G3915+"$F;@!'Y%"</f>
        <v>#VALUE!</v>
      </c>
      <c r="II141" t="e">
        <f>'All regions'!H3915+"$F;@!'Y&amp;"</f>
        <v>#VALUE!</v>
      </c>
      <c r="IJ141" t="e">
        <f>'All regions'!I3915+"$F;@!'Y'"</f>
        <v>#VALUE!</v>
      </c>
      <c r="IK141" t="e">
        <f>'All regions'!A3916+"$F;@!'Y("</f>
        <v>#VALUE!</v>
      </c>
      <c r="IL141" t="e">
        <f>'All regions'!B3916+"$F;@!'Y)"</f>
        <v>#VALUE!</v>
      </c>
      <c r="IM141" t="e">
        <f>'All regions'!C3916+"$F;@!'Y."</f>
        <v>#VALUE!</v>
      </c>
      <c r="IN141" t="e">
        <f>'All regions'!D3916+"$F;@!'Y/"</f>
        <v>#VALUE!</v>
      </c>
      <c r="IO141" t="e">
        <f>'All regions'!E3916+"$F;@!'Y0"</f>
        <v>#VALUE!</v>
      </c>
      <c r="IP141" t="e">
        <f>'All regions'!F3916+"$F;@!'Y1"</f>
        <v>#VALUE!</v>
      </c>
      <c r="IQ141" t="e">
        <f>'All regions'!G3916+"$F;@!'Y2"</f>
        <v>#VALUE!</v>
      </c>
      <c r="IR141" t="e">
        <f>'All regions'!H3916+"$F;@!'Y3"</f>
        <v>#VALUE!</v>
      </c>
      <c r="IS141" t="e">
        <f>'All regions'!I3916+"$F;@!'Y4"</f>
        <v>#VALUE!</v>
      </c>
      <c r="IT141" t="e">
        <f>'All regions'!A3917+"$F;@!'Y5"</f>
        <v>#VALUE!</v>
      </c>
      <c r="IU141" t="e">
        <f>'All regions'!B3917+"$F;@!'Y6"</f>
        <v>#VALUE!</v>
      </c>
      <c r="IV141" t="e">
        <f>'All regions'!C3917+"$F;@!'Y7"</f>
        <v>#VALUE!</v>
      </c>
    </row>
    <row r="142" spans="6:256" x14ac:dyDescent="0.35">
      <c r="F142" t="e">
        <f>'All regions'!D3917+"$F;@!'Y8"</f>
        <v>#VALUE!</v>
      </c>
      <c r="G142" t="e">
        <f>'All regions'!E3917+"$F;@!'Y9"</f>
        <v>#VALUE!</v>
      </c>
      <c r="H142" t="e">
        <f>'All regions'!F3917+"$F;@!'Y:"</f>
        <v>#VALUE!</v>
      </c>
      <c r="I142" t="e">
        <f>'All regions'!G3917+"$F;@!'Y;"</f>
        <v>#VALUE!</v>
      </c>
      <c r="J142" t="e">
        <f>'All regions'!H3917+"$F;@!'Y&lt;"</f>
        <v>#VALUE!</v>
      </c>
      <c r="K142" t="e">
        <f>'All regions'!I3917+"$F;@!'Y="</f>
        <v>#VALUE!</v>
      </c>
      <c r="L142" t="e">
        <f>'All regions'!A3918+"$F;@!'Y&gt;"</f>
        <v>#VALUE!</v>
      </c>
      <c r="M142" t="e">
        <f>'All regions'!B3918+"$F;@!'Y?"</f>
        <v>#VALUE!</v>
      </c>
      <c r="N142" t="e">
        <f>'All regions'!C3918+"$F;@!'Y@"</f>
        <v>#VALUE!</v>
      </c>
      <c r="O142" t="e">
        <f>'All regions'!D3918+"$F;@!'YA"</f>
        <v>#VALUE!</v>
      </c>
      <c r="P142" t="e">
        <f>'All regions'!E3918+"$F;@!'YB"</f>
        <v>#VALUE!</v>
      </c>
      <c r="Q142" t="e">
        <f>'All regions'!F3918+"$F;@!'YC"</f>
        <v>#VALUE!</v>
      </c>
      <c r="R142" t="e">
        <f>'All regions'!G3918+"$F;@!'YD"</f>
        <v>#VALUE!</v>
      </c>
      <c r="S142" t="e">
        <f>'All regions'!H3918+"$F;@!'YE"</f>
        <v>#VALUE!</v>
      </c>
      <c r="T142" t="e">
        <f>'All regions'!I3918+"$F;@!'YF"</f>
        <v>#VALUE!</v>
      </c>
      <c r="U142" t="e">
        <f>'All regions'!A3919+"$F;@!'YG"</f>
        <v>#VALUE!</v>
      </c>
      <c r="V142" t="e">
        <f>'All regions'!B3919+"$F;@!'YH"</f>
        <v>#VALUE!</v>
      </c>
      <c r="W142" t="e">
        <f>'All regions'!C3919+"$F;@!'YI"</f>
        <v>#VALUE!</v>
      </c>
      <c r="X142" t="e">
        <f>'All regions'!D3919+"$F;@!'YJ"</f>
        <v>#VALUE!</v>
      </c>
      <c r="Y142" t="e">
        <f>'All regions'!E3919+"$F;@!'YK"</f>
        <v>#VALUE!</v>
      </c>
      <c r="Z142" t="e">
        <f>'All regions'!F3919+"$F;@!'YL"</f>
        <v>#VALUE!</v>
      </c>
      <c r="AA142" t="e">
        <f>'All regions'!G3919+"$F;@!'YM"</f>
        <v>#VALUE!</v>
      </c>
      <c r="AB142" t="e">
        <f>'All regions'!H3919+"$F;@!'YN"</f>
        <v>#VALUE!</v>
      </c>
      <c r="AC142" t="e">
        <f>'All regions'!I3919+"$F;@!'YO"</f>
        <v>#VALUE!</v>
      </c>
      <c r="AD142" t="e">
        <f>'All regions'!A3920+"$F;@!'YP"</f>
        <v>#VALUE!</v>
      </c>
      <c r="AE142" t="e">
        <f>'All regions'!B3920+"$F;@!'YQ"</f>
        <v>#VALUE!</v>
      </c>
      <c r="AF142" t="e">
        <f>'All regions'!C3920+"$F;@!'YR"</f>
        <v>#VALUE!</v>
      </c>
      <c r="AG142" t="e">
        <f>'All regions'!D3920+"$F;@!'YS"</f>
        <v>#VALUE!</v>
      </c>
      <c r="AH142" t="e">
        <f>'All regions'!E3920+"$F;@!'YT"</f>
        <v>#VALUE!</v>
      </c>
      <c r="AI142" t="e">
        <f>'All regions'!F3920+"$F;@!'YU"</f>
        <v>#VALUE!</v>
      </c>
      <c r="AJ142" t="e">
        <f>'All regions'!G3920+"$F;@!'YV"</f>
        <v>#VALUE!</v>
      </c>
      <c r="AK142" t="e">
        <f>'All regions'!H3920+"$F;@!'YW"</f>
        <v>#VALUE!</v>
      </c>
      <c r="AL142" t="e">
        <f>'All regions'!I3920+"$F;@!'YX"</f>
        <v>#VALUE!</v>
      </c>
      <c r="AM142" t="e">
        <f>'All regions'!A3921+"$F;@!'YY"</f>
        <v>#VALUE!</v>
      </c>
      <c r="AN142" t="e">
        <f>'All regions'!B3921+"$F;@!'YZ"</f>
        <v>#VALUE!</v>
      </c>
      <c r="AO142" t="e">
        <f>'All regions'!C3921+"$F;@!'Y["</f>
        <v>#VALUE!</v>
      </c>
      <c r="AP142" t="e">
        <f>'All regions'!D3921+"$F;@!'Y\"</f>
        <v>#VALUE!</v>
      </c>
      <c r="AQ142" t="e">
        <f>'All regions'!E3921+"$F;@!'Y]"</f>
        <v>#VALUE!</v>
      </c>
      <c r="AR142" t="e">
        <f>'All regions'!F3921+"$F;@!'Y^"</f>
        <v>#VALUE!</v>
      </c>
      <c r="AS142" t="e">
        <f>'All regions'!G3921+"$F;@!'Y_"</f>
        <v>#VALUE!</v>
      </c>
      <c r="AT142" t="e">
        <f>'All regions'!H3921+"$F;@!'Y`"</f>
        <v>#VALUE!</v>
      </c>
      <c r="AU142" t="e">
        <f>'All regions'!I3921+"$F;@!'Ya"</f>
        <v>#VALUE!</v>
      </c>
      <c r="AV142" t="e">
        <f>'All regions'!A3922+"$F;@!'Yb"</f>
        <v>#VALUE!</v>
      </c>
      <c r="AW142" t="e">
        <f>'All regions'!B3922+"$F;@!'Yc"</f>
        <v>#VALUE!</v>
      </c>
      <c r="AX142" t="e">
        <f>'All regions'!C3922+"$F;@!'Yd"</f>
        <v>#VALUE!</v>
      </c>
      <c r="AY142" t="e">
        <f>'All regions'!D3922+"$F;@!'Ye"</f>
        <v>#VALUE!</v>
      </c>
      <c r="AZ142" t="e">
        <f>'All regions'!E3922+"$F;@!'Yf"</f>
        <v>#VALUE!</v>
      </c>
      <c r="BA142" t="e">
        <f>'All regions'!F3922+"$F;@!'Yg"</f>
        <v>#VALUE!</v>
      </c>
      <c r="BB142" t="e">
        <f>'All regions'!G3922+"$F;@!'Yh"</f>
        <v>#VALUE!</v>
      </c>
      <c r="BC142" t="e">
        <f>'All regions'!H3922+"$F;@!'Yi"</f>
        <v>#VALUE!</v>
      </c>
      <c r="BD142" t="e">
        <f>'All regions'!I3922+"$F;@!'Yj"</f>
        <v>#VALUE!</v>
      </c>
      <c r="BE142" t="e">
        <f>'All regions'!A3923+"$F;@!'Yk"</f>
        <v>#VALUE!</v>
      </c>
      <c r="BF142" t="e">
        <f>'All regions'!B3923+"$F;@!'Yl"</f>
        <v>#VALUE!</v>
      </c>
      <c r="BG142" t="e">
        <f>'All regions'!C3923+"$F;@!'Ym"</f>
        <v>#VALUE!</v>
      </c>
      <c r="BH142" t="e">
        <f>'All regions'!D3923+"$F;@!'Yn"</f>
        <v>#VALUE!</v>
      </c>
      <c r="BI142" t="e">
        <f>'All regions'!E3923+"$F;@!'Yo"</f>
        <v>#VALUE!</v>
      </c>
      <c r="BJ142" t="e">
        <f>'All regions'!F3923+"$F;@!'Yp"</f>
        <v>#VALUE!</v>
      </c>
      <c r="BK142" t="e">
        <f>'All regions'!G3923+"$F;@!'Yq"</f>
        <v>#VALUE!</v>
      </c>
      <c r="BL142" t="e">
        <f>'All regions'!H3923+"$F;@!'Yr"</f>
        <v>#VALUE!</v>
      </c>
      <c r="BM142" t="e">
        <f>'All regions'!I3923+"$F;@!'Ys"</f>
        <v>#VALUE!</v>
      </c>
      <c r="BN142" t="e">
        <f>'All regions'!A3924+"$F;@!'Yt"</f>
        <v>#VALUE!</v>
      </c>
      <c r="BO142" t="e">
        <f>'All regions'!B3924+"$F;@!'Yu"</f>
        <v>#VALUE!</v>
      </c>
      <c r="BP142" t="e">
        <f>'All regions'!C3924+"$F;@!'Yv"</f>
        <v>#VALUE!</v>
      </c>
      <c r="BQ142" t="e">
        <f>'All regions'!D3924+"$F;@!'Yw"</f>
        <v>#VALUE!</v>
      </c>
      <c r="BR142" t="e">
        <f>'All regions'!E3924+"$F;@!'Yx"</f>
        <v>#VALUE!</v>
      </c>
      <c r="BS142" t="e">
        <f>'All regions'!F3924+"$F;@!'Yy"</f>
        <v>#VALUE!</v>
      </c>
      <c r="BT142" t="e">
        <f>'All regions'!G3924+"$F;@!'Yz"</f>
        <v>#VALUE!</v>
      </c>
      <c r="BU142" t="e">
        <f>'All regions'!H3924+"$F;@!'Y{"</f>
        <v>#VALUE!</v>
      </c>
      <c r="BV142" t="e">
        <f>'All regions'!I3924+"$F;@!'Y|"</f>
        <v>#VALUE!</v>
      </c>
      <c r="BW142" t="e">
        <f>'All regions'!A3925+"$F;@!'Y}"</f>
        <v>#VALUE!</v>
      </c>
      <c r="BX142" t="e">
        <f>'All regions'!B3925+"$F;@!'Y~"</f>
        <v>#VALUE!</v>
      </c>
      <c r="BY142" t="e">
        <f>'All regions'!C3925+"$F;@!'Z#"</f>
        <v>#VALUE!</v>
      </c>
      <c r="BZ142" t="e">
        <f>'All regions'!D3925+"$F;@!'Z$"</f>
        <v>#VALUE!</v>
      </c>
      <c r="CA142" t="e">
        <f>'All regions'!E3925+"$F;@!'Z%"</f>
        <v>#VALUE!</v>
      </c>
      <c r="CB142" t="e">
        <f>'All regions'!F3925+"$F;@!'Z&amp;"</f>
        <v>#VALUE!</v>
      </c>
      <c r="CC142" t="e">
        <f>'All regions'!G3925+"$F;@!'Z'"</f>
        <v>#VALUE!</v>
      </c>
      <c r="CD142" t="e">
        <f>'All regions'!H3925+"$F;@!'Z("</f>
        <v>#VALUE!</v>
      </c>
      <c r="CE142" t="e">
        <f>'All regions'!I3925+"$F;@!'Z)"</f>
        <v>#VALUE!</v>
      </c>
      <c r="CF142" t="e">
        <f>'All regions'!A3926+"$F;@!'Z."</f>
        <v>#VALUE!</v>
      </c>
      <c r="CG142" t="e">
        <f>'All regions'!B3926+"$F;@!'Z/"</f>
        <v>#VALUE!</v>
      </c>
      <c r="CH142" t="e">
        <f>'All regions'!C3926+"$F;@!'Z0"</f>
        <v>#VALUE!</v>
      </c>
      <c r="CI142" t="e">
        <f>'All regions'!D3926+"$F;@!'Z1"</f>
        <v>#VALUE!</v>
      </c>
      <c r="CJ142" t="e">
        <f>'All regions'!E3926+"$F;@!'Z2"</f>
        <v>#VALUE!</v>
      </c>
      <c r="CK142" t="e">
        <f>'All regions'!F3926+"$F;@!'Z3"</f>
        <v>#VALUE!</v>
      </c>
      <c r="CL142" t="e">
        <f>'All regions'!G3926+"$F;@!'Z4"</f>
        <v>#VALUE!</v>
      </c>
      <c r="CM142" t="e">
        <f>'All regions'!H3926+"$F;@!'Z5"</f>
        <v>#VALUE!</v>
      </c>
      <c r="CN142" t="e">
        <f>'All regions'!I3926+"$F;@!'Z6"</f>
        <v>#VALUE!</v>
      </c>
      <c r="CO142" t="e">
        <f>'All regions'!A3927+"$F;@!'Z7"</f>
        <v>#VALUE!</v>
      </c>
      <c r="CP142" t="e">
        <f>'All regions'!B3927+"$F;@!'Z8"</f>
        <v>#VALUE!</v>
      </c>
      <c r="CQ142" t="e">
        <f>'All regions'!C3927+"$F;@!'Z9"</f>
        <v>#VALUE!</v>
      </c>
      <c r="CR142" t="e">
        <f>'All regions'!D3927+"$F;@!'Z:"</f>
        <v>#VALUE!</v>
      </c>
      <c r="CS142" t="e">
        <f>'All regions'!E3927+"$F;@!'Z;"</f>
        <v>#VALUE!</v>
      </c>
      <c r="CT142" t="e">
        <f>'All regions'!F3927+"$F;@!'Z&lt;"</f>
        <v>#VALUE!</v>
      </c>
      <c r="CU142" t="e">
        <f>'All regions'!G3927+"$F;@!'Z="</f>
        <v>#VALUE!</v>
      </c>
      <c r="CV142" t="e">
        <f>'All regions'!H3927+"$F;@!'Z&gt;"</f>
        <v>#VALUE!</v>
      </c>
      <c r="CW142" t="e">
        <f>'All regions'!I3927+"$F;@!'Z?"</f>
        <v>#VALUE!</v>
      </c>
      <c r="CX142" t="e">
        <f>'All regions'!A3928+"$F;@!'Z@"</f>
        <v>#VALUE!</v>
      </c>
      <c r="CY142" t="e">
        <f>'All regions'!B3928+"$F;@!'ZA"</f>
        <v>#VALUE!</v>
      </c>
      <c r="CZ142" t="e">
        <f>'All regions'!C3928+"$F;@!'ZB"</f>
        <v>#VALUE!</v>
      </c>
      <c r="DA142" t="e">
        <f>'All regions'!D3928+"$F;@!'ZC"</f>
        <v>#VALUE!</v>
      </c>
      <c r="DB142" t="e">
        <f>'All regions'!E3928+"$F;@!'ZD"</f>
        <v>#VALUE!</v>
      </c>
      <c r="DC142" t="e">
        <f>'All regions'!F3928+"$F;@!'ZE"</f>
        <v>#VALUE!</v>
      </c>
      <c r="DD142" t="e">
        <f>'All regions'!G3928+"$F;@!'ZF"</f>
        <v>#VALUE!</v>
      </c>
      <c r="DE142" t="e">
        <f>'All regions'!H3928+"$F;@!'ZG"</f>
        <v>#VALUE!</v>
      </c>
      <c r="DF142" t="e">
        <f>'All regions'!I3928+"$F;@!'ZH"</f>
        <v>#VALUE!</v>
      </c>
      <c r="DG142" t="e">
        <f>'All regions'!A3929+"$F;@!'ZI"</f>
        <v>#VALUE!</v>
      </c>
      <c r="DH142" t="e">
        <f>'All regions'!B3929+"$F;@!'ZJ"</f>
        <v>#VALUE!</v>
      </c>
      <c r="DI142" t="e">
        <f>'All regions'!C3929+"$F;@!'ZK"</f>
        <v>#VALUE!</v>
      </c>
      <c r="DJ142" t="e">
        <f>'All regions'!D3929+"$F;@!'ZL"</f>
        <v>#VALUE!</v>
      </c>
      <c r="DK142" t="e">
        <f>'All regions'!E3929+"$F;@!'ZM"</f>
        <v>#VALUE!</v>
      </c>
      <c r="DL142" t="e">
        <f>'All regions'!F3929+"$F;@!'ZN"</f>
        <v>#VALUE!</v>
      </c>
      <c r="DM142" t="e">
        <f>'All regions'!G3929+"$F;@!'ZO"</f>
        <v>#VALUE!</v>
      </c>
      <c r="DN142" t="e">
        <f>'All regions'!H3929+"$F;@!'ZP"</f>
        <v>#VALUE!</v>
      </c>
      <c r="DO142" t="e">
        <f>'All regions'!I3929+"$F;@!'ZQ"</f>
        <v>#VALUE!</v>
      </c>
      <c r="DP142" t="e">
        <f>'All regions'!A3930+"$F;@!'ZR"</f>
        <v>#VALUE!</v>
      </c>
      <c r="DQ142" t="e">
        <f>'All regions'!B3930+"$F;@!'ZS"</f>
        <v>#VALUE!</v>
      </c>
      <c r="DR142" t="e">
        <f>'All regions'!C3930+"$F;@!'ZT"</f>
        <v>#VALUE!</v>
      </c>
      <c r="DS142" t="e">
        <f>'All regions'!D3930+"$F;@!'ZU"</f>
        <v>#VALUE!</v>
      </c>
      <c r="DT142" t="e">
        <f>'All regions'!E3930+"$F;@!'ZV"</f>
        <v>#VALUE!</v>
      </c>
      <c r="DU142" t="e">
        <f>'All regions'!F3930+"$F;@!'ZW"</f>
        <v>#VALUE!</v>
      </c>
      <c r="DV142" t="e">
        <f>'All regions'!G3930+"$F;@!'ZX"</f>
        <v>#VALUE!</v>
      </c>
      <c r="DW142" t="e">
        <f>'All regions'!H3930+"$F;@!'ZY"</f>
        <v>#VALUE!</v>
      </c>
      <c r="DX142" t="e">
        <f>'All regions'!I3930+"$F;@!'ZZ"</f>
        <v>#VALUE!</v>
      </c>
      <c r="DY142" t="e">
        <f>'All regions'!A3931+"$F;@!'Z["</f>
        <v>#VALUE!</v>
      </c>
      <c r="DZ142" t="e">
        <f>'All regions'!B3931+"$F;@!'Z\"</f>
        <v>#VALUE!</v>
      </c>
      <c r="EA142" t="e">
        <f>'All regions'!C3931+"$F;@!'Z]"</f>
        <v>#VALUE!</v>
      </c>
      <c r="EB142" t="e">
        <f>'All regions'!D3931+"$F;@!'Z^"</f>
        <v>#VALUE!</v>
      </c>
      <c r="EC142" t="e">
        <f>'All regions'!E3931+"$F;@!'Z_"</f>
        <v>#VALUE!</v>
      </c>
      <c r="ED142" t="e">
        <f>'All regions'!F3931+"$F;@!'Z`"</f>
        <v>#VALUE!</v>
      </c>
      <c r="EE142" t="e">
        <f>'All regions'!G3931+"$F;@!'Za"</f>
        <v>#VALUE!</v>
      </c>
      <c r="EF142" t="e">
        <f>'All regions'!H3931+"$F;@!'Zb"</f>
        <v>#VALUE!</v>
      </c>
      <c r="EG142" t="e">
        <f>'All regions'!I3931+"$F;@!'Zc"</f>
        <v>#VALUE!</v>
      </c>
      <c r="EH142" t="e">
        <f>'All regions'!A3932+"$F;@!'Zd"</f>
        <v>#VALUE!</v>
      </c>
      <c r="EI142" t="e">
        <f>'All regions'!B3932+"$F;@!'Ze"</f>
        <v>#VALUE!</v>
      </c>
      <c r="EJ142" t="e">
        <f>'All regions'!C3932+"$F;@!'Zf"</f>
        <v>#VALUE!</v>
      </c>
      <c r="EK142" t="e">
        <f>'All regions'!D3932+"$F;@!'Zg"</f>
        <v>#VALUE!</v>
      </c>
      <c r="EL142" t="e">
        <f>'All regions'!E3932+"$F;@!'Zh"</f>
        <v>#VALUE!</v>
      </c>
      <c r="EM142" t="e">
        <f>'All regions'!F3932+"$F;@!'Zi"</f>
        <v>#VALUE!</v>
      </c>
      <c r="EN142" t="e">
        <f>'All regions'!G3932+"$F;@!'Zj"</f>
        <v>#VALUE!</v>
      </c>
      <c r="EO142" t="e">
        <f>'All regions'!H3932+"$F;@!'Zk"</f>
        <v>#VALUE!</v>
      </c>
      <c r="EP142" t="e">
        <f>'All regions'!I3932+"$F;@!'Zl"</f>
        <v>#VALUE!</v>
      </c>
      <c r="EQ142" t="e">
        <f>'All regions'!A3933+"$F;@!'Zm"</f>
        <v>#VALUE!</v>
      </c>
      <c r="ER142" t="e">
        <f>'All regions'!B3933+"$F;@!'Zn"</f>
        <v>#VALUE!</v>
      </c>
      <c r="ES142" t="e">
        <f>'All regions'!C3933+"$F;@!'Zo"</f>
        <v>#VALUE!</v>
      </c>
      <c r="ET142" t="e">
        <f>'All regions'!D3933+"$F;@!'Zp"</f>
        <v>#VALUE!</v>
      </c>
      <c r="EU142" t="e">
        <f>'All regions'!E3933+"$F;@!'Zq"</f>
        <v>#VALUE!</v>
      </c>
      <c r="EV142" t="e">
        <f>'All regions'!F3933+"$F;@!'Zr"</f>
        <v>#VALUE!</v>
      </c>
      <c r="EW142" t="e">
        <f>'All regions'!G3933+"$F;@!'Zs"</f>
        <v>#VALUE!</v>
      </c>
      <c r="EX142" t="e">
        <f>'All regions'!H3933+"$F;@!'Zt"</f>
        <v>#VALUE!</v>
      </c>
      <c r="EY142" t="e">
        <f>'All regions'!I3933+"$F;@!'Zu"</f>
        <v>#VALUE!</v>
      </c>
      <c r="EZ142" t="e">
        <f>'All regions'!A3934+"$F;@!'Zv"</f>
        <v>#VALUE!</v>
      </c>
      <c r="FA142" t="e">
        <f>'All regions'!B3934+"$F;@!'Zw"</f>
        <v>#VALUE!</v>
      </c>
      <c r="FB142" t="e">
        <f>'All regions'!C3934+"$F;@!'Zx"</f>
        <v>#VALUE!</v>
      </c>
      <c r="FC142" t="e">
        <f>'All regions'!D3934+"$F;@!'Zy"</f>
        <v>#VALUE!</v>
      </c>
      <c r="FD142" t="e">
        <f>'All regions'!E3934+"$F;@!'Zz"</f>
        <v>#VALUE!</v>
      </c>
      <c r="FE142" t="e">
        <f>'All regions'!F3934+"$F;@!'Z{"</f>
        <v>#VALUE!</v>
      </c>
      <c r="FF142" t="e">
        <f>'All regions'!G3934+"$F;@!'Z|"</f>
        <v>#VALUE!</v>
      </c>
      <c r="FG142" t="e">
        <f>'All regions'!H3934+"$F;@!'Z}"</f>
        <v>#VALUE!</v>
      </c>
      <c r="FH142" t="e">
        <f>'All regions'!I3934+"$F;@!'Z~"</f>
        <v>#VALUE!</v>
      </c>
      <c r="FI142" t="e">
        <f>'All regions'!A3935+"$F;@!'[#"</f>
        <v>#VALUE!</v>
      </c>
      <c r="FJ142" t="e">
        <f>'All regions'!B3935+"$F;@!'[$"</f>
        <v>#VALUE!</v>
      </c>
      <c r="FK142" t="e">
        <f>'All regions'!C3935+"$F;@!'[%"</f>
        <v>#VALUE!</v>
      </c>
      <c r="FL142" t="e">
        <f>'All regions'!D3935+"$F;@!'[&amp;"</f>
        <v>#VALUE!</v>
      </c>
      <c r="FM142" t="e">
        <f>'All regions'!E3935+"$F;@!'['"</f>
        <v>#VALUE!</v>
      </c>
      <c r="FN142" t="e">
        <f>'All regions'!F3935+"$F;@!'[("</f>
        <v>#VALUE!</v>
      </c>
      <c r="FO142" t="e">
        <f>'All regions'!G3935+"$F;@!'[)"</f>
        <v>#VALUE!</v>
      </c>
      <c r="FP142" t="e">
        <f>'All regions'!H3935+"$F;@!'[."</f>
        <v>#VALUE!</v>
      </c>
      <c r="FQ142" t="e">
        <f>'All regions'!I3935+"$F;@!'[/"</f>
        <v>#VALUE!</v>
      </c>
      <c r="FR142" t="e">
        <f>'All regions'!A3936+"$F;@!'[0"</f>
        <v>#VALUE!</v>
      </c>
      <c r="FS142" t="e">
        <f>'All regions'!B3936+"$F;@!'[1"</f>
        <v>#VALUE!</v>
      </c>
      <c r="FT142" t="e">
        <f>'All regions'!C3936+"$F;@!'[2"</f>
        <v>#VALUE!</v>
      </c>
      <c r="FU142" t="e">
        <f>'All regions'!D3936+"$F;@!'[3"</f>
        <v>#VALUE!</v>
      </c>
      <c r="FV142" t="e">
        <f>'All regions'!E3936+"$F;@!'[4"</f>
        <v>#VALUE!</v>
      </c>
      <c r="FW142" t="e">
        <f>'All regions'!F3936+"$F;@!'[5"</f>
        <v>#VALUE!</v>
      </c>
      <c r="FX142" t="e">
        <f>'All regions'!G3936+"$F;@!'[6"</f>
        <v>#VALUE!</v>
      </c>
      <c r="FY142" t="e">
        <f>'All regions'!H3936+"$F;@!'[7"</f>
        <v>#VALUE!</v>
      </c>
      <c r="FZ142" t="e">
        <f>'All regions'!I3936+"$F;@!'[8"</f>
        <v>#VALUE!</v>
      </c>
      <c r="GA142" t="e">
        <f>'All regions'!A3937+"$F;@!'[9"</f>
        <v>#VALUE!</v>
      </c>
      <c r="GB142" t="e">
        <f>'All regions'!B3937+"$F;@!'[:"</f>
        <v>#VALUE!</v>
      </c>
      <c r="GC142" t="e">
        <f>'All regions'!C3937+"$F;@!'[;"</f>
        <v>#VALUE!</v>
      </c>
      <c r="GD142" t="e">
        <f>'All regions'!D3937+"$F;@!'[&lt;"</f>
        <v>#VALUE!</v>
      </c>
      <c r="GE142" t="e">
        <f>'All regions'!E3937+"$F;@!'[="</f>
        <v>#VALUE!</v>
      </c>
      <c r="GF142" t="e">
        <f>'All regions'!F3937+"$F;@!'[&gt;"</f>
        <v>#VALUE!</v>
      </c>
      <c r="GG142" t="e">
        <f>'All regions'!G3937+"$F;@!'[?"</f>
        <v>#VALUE!</v>
      </c>
      <c r="GH142" t="e">
        <f>'All regions'!H3937+"$F;@!'[@"</f>
        <v>#VALUE!</v>
      </c>
      <c r="GI142" t="e">
        <f>'All regions'!I3937+"$F;@!'[A"</f>
        <v>#VALUE!</v>
      </c>
      <c r="GJ142" t="e">
        <f>'All regions'!A3938+"$F;@!'[B"</f>
        <v>#VALUE!</v>
      </c>
      <c r="GK142" t="e">
        <f>'All regions'!B3938+"$F;@!'[C"</f>
        <v>#VALUE!</v>
      </c>
      <c r="GL142" t="e">
        <f>'All regions'!C3938+"$F;@!'[D"</f>
        <v>#VALUE!</v>
      </c>
      <c r="GM142" t="e">
        <f>'All regions'!D3938+"$F;@!'[E"</f>
        <v>#VALUE!</v>
      </c>
      <c r="GN142" t="e">
        <f>'All regions'!E3938+"$F;@!'[F"</f>
        <v>#VALUE!</v>
      </c>
      <c r="GO142" t="e">
        <f>'All regions'!F3938+"$F;@!'[G"</f>
        <v>#VALUE!</v>
      </c>
      <c r="GP142" t="e">
        <f>'All regions'!G3938+"$F;@!'[H"</f>
        <v>#VALUE!</v>
      </c>
      <c r="GQ142" t="e">
        <f>'All regions'!H3938+"$F;@!'[I"</f>
        <v>#VALUE!</v>
      </c>
      <c r="GR142" t="e">
        <f>'All regions'!I3938+"$F;@!'[J"</f>
        <v>#VALUE!</v>
      </c>
      <c r="GS142" t="e">
        <f>'All regions'!A3939+"$F;@!'[K"</f>
        <v>#VALUE!</v>
      </c>
      <c r="GT142" t="e">
        <f>'All regions'!B3939+"$F;@!'[L"</f>
        <v>#VALUE!</v>
      </c>
      <c r="GU142" t="e">
        <f>'All regions'!C3939+"$F;@!'[M"</f>
        <v>#VALUE!</v>
      </c>
      <c r="GV142" t="e">
        <f>'All regions'!D3939+"$F;@!'[N"</f>
        <v>#VALUE!</v>
      </c>
      <c r="GW142" t="e">
        <f>'All regions'!E3939+"$F;@!'[O"</f>
        <v>#VALUE!</v>
      </c>
      <c r="GX142" t="e">
        <f>'All regions'!F3939+"$F;@!'[P"</f>
        <v>#VALUE!</v>
      </c>
      <c r="GY142" t="e">
        <f>'All regions'!G3939+"$F;@!'[Q"</f>
        <v>#VALUE!</v>
      </c>
      <c r="GZ142" t="e">
        <f>'All regions'!H3939+"$F;@!'[R"</f>
        <v>#VALUE!</v>
      </c>
      <c r="HA142" t="e">
        <f>'All regions'!I3939+"$F;@!'[S"</f>
        <v>#VALUE!</v>
      </c>
      <c r="HB142" t="e">
        <f>'All regions'!A3940+"$F;@!'[T"</f>
        <v>#VALUE!</v>
      </c>
      <c r="HC142" t="e">
        <f>'All regions'!B3940+"$F;@!'[U"</f>
        <v>#VALUE!</v>
      </c>
      <c r="HD142" t="e">
        <f>'All regions'!C3940+"$F;@!'[V"</f>
        <v>#VALUE!</v>
      </c>
      <c r="HE142" t="e">
        <f>'All regions'!D3940+"$F;@!'[W"</f>
        <v>#VALUE!</v>
      </c>
      <c r="HF142" t="e">
        <f>'All regions'!E3940+"$F;@!'[X"</f>
        <v>#VALUE!</v>
      </c>
      <c r="HG142" t="e">
        <f>'All regions'!F3940+"$F;@!'[Y"</f>
        <v>#VALUE!</v>
      </c>
      <c r="HH142" t="e">
        <f>'All regions'!G3940+"$F;@!'[Z"</f>
        <v>#VALUE!</v>
      </c>
      <c r="HI142" t="e">
        <f>'All regions'!H3940+"$F;@!'[["</f>
        <v>#VALUE!</v>
      </c>
      <c r="HJ142" t="e">
        <f>'All regions'!I3940+"$F;@!'[\"</f>
        <v>#VALUE!</v>
      </c>
      <c r="HK142" t="e">
        <f>'All regions'!A3941+"$F;@!'[]"</f>
        <v>#VALUE!</v>
      </c>
      <c r="HL142" t="e">
        <f>'All regions'!B3941+"$F;@!'[^"</f>
        <v>#VALUE!</v>
      </c>
      <c r="HM142" t="e">
        <f>'All regions'!C3941+"$F;@!'[_"</f>
        <v>#VALUE!</v>
      </c>
      <c r="HN142" t="e">
        <f>'All regions'!D3941+"$F;@!'[`"</f>
        <v>#VALUE!</v>
      </c>
      <c r="HO142" t="e">
        <f>'All regions'!E3941+"$F;@!'[a"</f>
        <v>#VALUE!</v>
      </c>
      <c r="HP142" t="e">
        <f>'All regions'!F3941+"$F;@!'[b"</f>
        <v>#VALUE!</v>
      </c>
      <c r="HQ142" t="e">
        <f>'All regions'!G3941+"$F;@!'[c"</f>
        <v>#VALUE!</v>
      </c>
      <c r="HR142" t="e">
        <f>'All regions'!H3941+"$F;@!'[d"</f>
        <v>#VALUE!</v>
      </c>
      <c r="HS142" t="e">
        <f>'All regions'!I3941+"$F;@!'[e"</f>
        <v>#VALUE!</v>
      </c>
      <c r="HT142" t="e">
        <f>'All regions'!A3942+"$F;@!'[f"</f>
        <v>#VALUE!</v>
      </c>
      <c r="HU142" t="e">
        <f>'All regions'!B3942+"$F;@!'[g"</f>
        <v>#VALUE!</v>
      </c>
      <c r="HV142" t="e">
        <f>'All regions'!C3942+"$F;@!'[h"</f>
        <v>#VALUE!</v>
      </c>
      <c r="HW142" t="e">
        <f>'All regions'!D3942+"$F;@!'[i"</f>
        <v>#VALUE!</v>
      </c>
      <c r="HX142" t="e">
        <f>'All regions'!E3942+"$F;@!'[j"</f>
        <v>#VALUE!</v>
      </c>
      <c r="HY142" t="e">
        <f>'All regions'!F3942+"$F;@!'[k"</f>
        <v>#VALUE!</v>
      </c>
      <c r="HZ142" t="e">
        <f>'All regions'!G3942+"$F;@!'[l"</f>
        <v>#VALUE!</v>
      </c>
      <c r="IA142" t="e">
        <f>'All regions'!H3942+"$F;@!'[m"</f>
        <v>#VALUE!</v>
      </c>
      <c r="IB142" t="e">
        <f>'All regions'!I3942+"$F;@!'[n"</f>
        <v>#VALUE!</v>
      </c>
      <c r="IC142" t="e">
        <f>'All regions'!A3943+"$F;@!'[o"</f>
        <v>#VALUE!</v>
      </c>
      <c r="ID142" t="e">
        <f>'All regions'!B3943+"$F;@!'[p"</f>
        <v>#VALUE!</v>
      </c>
      <c r="IE142" t="e">
        <f>'All regions'!C3943+"$F;@!'[q"</f>
        <v>#VALUE!</v>
      </c>
      <c r="IF142" t="e">
        <f>'All regions'!D3943+"$F;@!'[r"</f>
        <v>#VALUE!</v>
      </c>
      <c r="IG142" t="e">
        <f>'All regions'!E3943+"$F;@!'[s"</f>
        <v>#VALUE!</v>
      </c>
      <c r="IH142" t="e">
        <f>'All regions'!F3943+"$F;@!'[t"</f>
        <v>#VALUE!</v>
      </c>
      <c r="II142" t="e">
        <f>'All regions'!G3943+"$F;@!'[u"</f>
        <v>#VALUE!</v>
      </c>
      <c r="IJ142" t="e">
        <f>'All regions'!H3943+"$F;@!'[v"</f>
        <v>#VALUE!</v>
      </c>
      <c r="IK142" t="e">
        <f>'All regions'!I3943+"$F;@!'[w"</f>
        <v>#VALUE!</v>
      </c>
      <c r="IL142" t="e">
        <f>'All regions'!A3944+"$F;@!'[x"</f>
        <v>#VALUE!</v>
      </c>
      <c r="IM142" t="e">
        <f>'All regions'!B3944+"$F;@!'[y"</f>
        <v>#VALUE!</v>
      </c>
      <c r="IN142" t="e">
        <f>'All regions'!C3944+"$F;@!'[z"</f>
        <v>#VALUE!</v>
      </c>
      <c r="IO142" t="e">
        <f>'All regions'!D3944+"$F;@!'[{"</f>
        <v>#VALUE!</v>
      </c>
      <c r="IP142" t="e">
        <f>'All regions'!E3944+"$F;@!'[|"</f>
        <v>#VALUE!</v>
      </c>
      <c r="IQ142" t="e">
        <f>'All regions'!F3944+"$F;@!'[}"</f>
        <v>#VALUE!</v>
      </c>
      <c r="IR142" t="e">
        <f>'All regions'!G3944+"$F;@!'[~"</f>
        <v>#VALUE!</v>
      </c>
      <c r="IS142" t="e">
        <f>'All regions'!H3944+"$F;@!'\#"</f>
        <v>#VALUE!</v>
      </c>
      <c r="IT142" t="e">
        <f>'All regions'!I3944+"$F;@!'\$"</f>
        <v>#VALUE!</v>
      </c>
      <c r="IU142" t="e">
        <f>'All regions'!A3945+"$F;@!'\%"</f>
        <v>#VALUE!</v>
      </c>
      <c r="IV142" t="e">
        <f>'All regions'!B3945+"$F;@!'\&amp;"</f>
        <v>#VALUE!</v>
      </c>
    </row>
    <row r="143" spans="6:256" x14ac:dyDescent="0.35">
      <c r="F143" t="e">
        <f>'All regions'!C3945+"$F;@!'\'"</f>
        <v>#VALUE!</v>
      </c>
      <c r="G143" t="e">
        <f>'All regions'!D3945+"$F;@!'\("</f>
        <v>#VALUE!</v>
      </c>
      <c r="H143" t="e">
        <f>'All regions'!E3945+"$F;@!'\)"</f>
        <v>#VALUE!</v>
      </c>
      <c r="I143" t="e">
        <f>'All regions'!F3945+"$F;@!'\."</f>
        <v>#VALUE!</v>
      </c>
      <c r="J143" t="e">
        <f>'All regions'!G3945+"$F;@!'\/"</f>
        <v>#VALUE!</v>
      </c>
      <c r="K143" t="e">
        <f>'All regions'!H3945+"$F;@!'\0"</f>
        <v>#VALUE!</v>
      </c>
      <c r="L143" t="e">
        <f>'All regions'!I3945+"$F;@!'\1"</f>
        <v>#VALUE!</v>
      </c>
      <c r="M143" t="e">
        <f>'All regions'!A3946+"$F;@!'\2"</f>
        <v>#VALUE!</v>
      </c>
      <c r="N143" t="e">
        <f>'All regions'!B3946+"$F;@!'\3"</f>
        <v>#VALUE!</v>
      </c>
      <c r="O143" t="e">
        <f>'All regions'!C3946+"$F;@!'\4"</f>
        <v>#VALUE!</v>
      </c>
      <c r="P143" t="e">
        <f>'All regions'!D3946+"$F;@!'\5"</f>
        <v>#VALUE!</v>
      </c>
      <c r="Q143" t="e">
        <f>'All regions'!E3946+"$F;@!'\6"</f>
        <v>#VALUE!</v>
      </c>
      <c r="R143" t="e">
        <f>'All regions'!F3946+"$F;@!'\7"</f>
        <v>#VALUE!</v>
      </c>
      <c r="S143" t="e">
        <f>'All regions'!G3946+"$F;@!'\8"</f>
        <v>#VALUE!</v>
      </c>
      <c r="T143" t="e">
        <f>'All regions'!H3946+"$F;@!'\9"</f>
        <v>#VALUE!</v>
      </c>
      <c r="U143" t="e">
        <f>'All regions'!I3946+"$F;@!'\:"</f>
        <v>#VALUE!</v>
      </c>
      <c r="V143" t="e">
        <f>'All regions'!A3947+"$F;@!'\;"</f>
        <v>#VALUE!</v>
      </c>
      <c r="W143" t="e">
        <f>'All regions'!B3947+"$F;@!'\&lt;"</f>
        <v>#VALUE!</v>
      </c>
      <c r="X143" t="e">
        <f>'All regions'!C3947+"$F;@!'\="</f>
        <v>#VALUE!</v>
      </c>
      <c r="Y143" t="e">
        <f>'All regions'!D3947+"$F;@!'\&gt;"</f>
        <v>#VALUE!</v>
      </c>
      <c r="Z143" t="e">
        <f>'All regions'!E3947+"$F;@!'\?"</f>
        <v>#VALUE!</v>
      </c>
      <c r="AA143" t="e">
        <f>'All regions'!F3947+"$F;@!'\@"</f>
        <v>#VALUE!</v>
      </c>
      <c r="AB143" t="e">
        <f>'All regions'!G3947+"$F;@!'\A"</f>
        <v>#VALUE!</v>
      </c>
      <c r="AC143" t="e">
        <f>'All regions'!H3947+"$F;@!'\B"</f>
        <v>#VALUE!</v>
      </c>
      <c r="AD143" t="e">
        <f>'All regions'!I3947+"$F;@!'\C"</f>
        <v>#VALUE!</v>
      </c>
      <c r="AE143" t="e">
        <f>'All regions'!A3948+"$F;@!'\D"</f>
        <v>#VALUE!</v>
      </c>
      <c r="AF143" t="e">
        <f>'All regions'!B3948+"$F;@!'\E"</f>
        <v>#VALUE!</v>
      </c>
      <c r="AG143" t="e">
        <f>'All regions'!C3948+"$F;@!'\F"</f>
        <v>#VALUE!</v>
      </c>
      <c r="AH143" t="e">
        <f>'All regions'!D3948+"$F;@!'\G"</f>
        <v>#VALUE!</v>
      </c>
      <c r="AI143" t="e">
        <f>'All regions'!E3948+"$F;@!'\H"</f>
        <v>#VALUE!</v>
      </c>
      <c r="AJ143" t="e">
        <f>'All regions'!F3948+"$F;@!'\I"</f>
        <v>#VALUE!</v>
      </c>
      <c r="AK143" t="e">
        <f>'All regions'!G3948+"$F;@!'\J"</f>
        <v>#VALUE!</v>
      </c>
      <c r="AL143" t="e">
        <f>'All regions'!H3948+"$F;@!'\K"</f>
        <v>#VALUE!</v>
      </c>
      <c r="AM143" t="e">
        <f>'All regions'!I3948+"$F;@!'\L"</f>
        <v>#VALUE!</v>
      </c>
      <c r="AN143" t="e">
        <f>'All regions'!A3949+"$F;@!'\M"</f>
        <v>#VALUE!</v>
      </c>
      <c r="AO143" t="e">
        <f>'All regions'!B3949+"$F;@!'\N"</f>
        <v>#VALUE!</v>
      </c>
      <c r="AP143" t="e">
        <f>'All regions'!C3949+"$F;@!'\O"</f>
        <v>#VALUE!</v>
      </c>
      <c r="AQ143" t="e">
        <f>'All regions'!D3949+"$F;@!'\P"</f>
        <v>#VALUE!</v>
      </c>
      <c r="AR143" t="e">
        <f>'All regions'!E3949+"$F;@!'\Q"</f>
        <v>#VALUE!</v>
      </c>
      <c r="AS143" t="e">
        <f>'All regions'!F3949+"$F;@!'\R"</f>
        <v>#VALUE!</v>
      </c>
      <c r="AT143" t="e">
        <f>'All regions'!G3949+"$F;@!'\S"</f>
        <v>#VALUE!</v>
      </c>
      <c r="AU143" t="e">
        <f>'All regions'!H3949+"$F;@!'\T"</f>
        <v>#VALUE!</v>
      </c>
      <c r="AV143" t="e">
        <f>'All regions'!I3949+"$F;@!'\U"</f>
        <v>#VALUE!</v>
      </c>
      <c r="AW143" t="e">
        <f>'All regions'!A3950+"$F;@!'\V"</f>
        <v>#VALUE!</v>
      </c>
      <c r="AX143" t="e">
        <f>'All regions'!B3950+"$F;@!'\W"</f>
        <v>#VALUE!</v>
      </c>
      <c r="AY143" t="e">
        <f>'All regions'!C3950+"$F;@!'\X"</f>
        <v>#VALUE!</v>
      </c>
      <c r="AZ143" t="e">
        <f>'All regions'!D3950+"$F;@!'\Y"</f>
        <v>#VALUE!</v>
      </c>
      <c r="BA143" t="e">
        <f>'All regions'!E3950+"$F;@!'\Z"</f>
        <v>#VALUE!</v>
      </c>
      <c r="BB143" t="e">
        <f>'All regions'!F3950+"$F;@!'\["</f>
        <v>#VALUE!</v>
      </c>
      <c r="BC143" t="e">
        <f>'All regions'!G3950+"$F;@!'\\"</f>
        <v>#VALUE!</v>
      </c>
      <c r="BD143" t="e">
        <f>'All regions'!H3950+"$F;@!'\]"</f>
        <v>#VALUE!</v>
      </c>
      <c r="BE143" t="e">
        <f>'All regions'!I3950+"$F;@!'\^"</f>
        <v>#VALUE!</v>
      </c>
      <c r="BF143" t="e">
        <f>'All regions'!A3951+"$F;@!'\_"</f>
        <v>#VALUE!</v>
      </c>
      <c r="BG143" t="e">
        <f>'All regions'!B3951+"$F;@!'\`"</f>
        <v>#VALUE!</v>
      </c>
      <c r="BH143" t="e">
        <f>'All regions'!C3951+"$F;@!'\a"</f>
        <v>#VALUE!</v>
      </c>
      <c r="BI143" t="e">
        <f>'All regions'!D3951+"$F;@!'\b"</f>
        <v>#VALUE!</v>
      </c>
      <c r="BJ143" t="e">
        <f>'All regions'!E3951+"$F;@!'\c"</f>
        <v>#VALUE!</v>
      </c>
      <c r="BK143" t="e">
        <f>'All regions'!F3951+"$F;@!'\d"</f>
        <v>#VALUE!</v>
      </c>
      <c r="BL143" t="e">
        <f>'All regions'!G3951+"$F;@!'\e"</f>
        <v>#VALUE!</v>
      </c>
      <c r="BM143" t="e">
        <f>'All regions'!H3951+"$F;@!'\f"</f>
        <v>#VALUE!</v>
      </c>
      <c r="BN143" t="e">
        <f>'All regions'!I3951+"$F;@!'\g"</f>
        <v>#VALUE!</v>
      </c>
      <c r="BO143" t="e">
        <f>'All regions'!A3952+"$F;@!'\h"</f>
        <v>#VALUE!</v>
      </c>
      <c r="BP143" t="e">
        <f>'All regions'!B3952+"$F;@!'\i"</f>
        <v>#VALUE!</v>
      </c>
      <c r="BQ143" t="e">
        <f>'All regions'!C3952+"$F;@!'\j"</f>
        <v>#VALUE!</v>
      </c>
      <c r="BR143" t="e">
        <f>'All regions'!D3952+"$F;@!'\k"</f>
        <v>#VALUE!</v>
      </c>
      <c r="BS143" t="e">
        <f>'All regions'!E3952+"$F;@!'\l"</f>
        <v>#VALUE!</v>
      </c>
      <c r="BT143" t="e">
        <f>'All regions'!F3952+"$F;@!'\m"</f>
        <v>#VALUE!</v>
      </c>
      <c r="BU143" t="e">
        <f>'All regions'!G3952+"$F;@!'\n"</f>
        <v>#VALUE!</v>
      </c>
      <c r="BV143" t="e">
        <f>'All regions'!H3952+"$F;@!'\o"</f>
        <v>#VALUE!</v>
      </c>
      <c r="BW143" t="e">
        <f>'All regions'!I3952+"$F;@!'\p"</f>
        <v>#VALUE!</v>
      </c>
      <c r="BX143" t="e">
        <f>'All regions'!A3953+"$F;@!'\q"</f>
        <v>#VALUE!</v>
      </c>
      <c r="BY143" t="e">
        <f>'All regions'!B3953+"$F;@!'\r"</f>
        <v>#VALUE!</v>
      </c>
      <c r="BZ143" t="e">
        <f>'All regions'!C3953+"$F;@!'\s"</f>
        <v>#VALUE!</v>
      </c>
      <c r="CA143" t="e">
        <f>'All regions'!D3953+"$F;@!'\t"</f>
        <v>#VALUE!</v>
      </c>
      <c r="CB143" t="e">
        <f>'All regions'!E3953+"$F;@!'\u"</f>
        <v>#VALUE!</v>
      </c>
      <c r="CC143" t="e">
        <f>'All regions'!F3953+"$F;@!'\v"</f>
        <v>#VALUE!</v>
      </c>
      <c r="CD143" t="e">
        <f>'All regions'!G3953+"$F;@!'\w"</f>
        <v>#VALUE!</v>
      </c>
      <c r="CE143" t="e">
        <f>'All regions'!H3953+"$F;@!'\x"</f>
        <v>#VALUE!</v>
      </c>
      <c r="CF143" t="e">
        <f>'All regions'!I3953+"$F;@!'\y"</f>
        <v>#VALUE!</v>
      </c>
      <c r="CG143" t="e">
        <f>'All regions'!A3954+"$F;@!'\z"</f>
        <v>#VALUE!</v>
      </c>
      <c r="CH143" t="e">
        <f>'All regions'!B3954+"$F;@!'\{"</f>
        <v>#VALUE!</v>
      </c>
      <c r="CI143" t="e">
        <f>'All regions'!C3954+"$F;@!'\|"</f>
        <v>#VALUE!</v>
      </c>
      <c r="CJ143" t="e">
        <f>'All regions'!D3954+"$F;@!'\}"</f>
        <v>#VALUE!</v>
      </c>
      <c r="CK143" t="e">
        <f>'All regions'!E3954+"$F;@!'\~"</f>
        <v>#VALUE!</v>
      </c>
      <c r="CL143" t="e">
        <f>'All regions'!F3954+"$F;@!']#"</f>
        <v>#VALUE!</v>
      </c>
      <c r="CM143" t="e">
        <f>'All regions'!G3954+"$F;@!']$"</f>
        <v>#VALUE!</v>
      </c>
      <c r="CN143" t="e">
        <f>'All regions'!H3954+"$F;@!']%"</f>
        <v>#VALUE!</v>
      </c>
      <c r="CO143" t="e">
        <f>'All regions'!I3954+"$F;@!']&amp;"</f>
        <v>#VALUE!</v>
      </c>
      <c r="CP143" t="e">
        <f>'All regions'!A3955+"$F;@!']'"</f>
        <v>#VALUE!</v>
      </c>
      <c r="CQ143" t="e">
        <f>'All regions'!B3955+"$F;@!']("</f>
        <v>#VALUE!</v>
      </c>
      <c r="CR143" t="e">
        <f>'All regions'!C3955+"$F;@!'])"</f>
        <v>#VALUE!</v>
      </c>
      <c r="CS143" t="e">
        <f>'All regions'!D3955+"$F;@!']."</f>
        <v>#VALUE!</v>
      </c>
      <c r="CT143" t="e">
        <f>'All regions'!E3955+"$F;@!']/"</f>
        <v>#VALUE!</v>
      </c>
      <c r="CU143" t="e">
        <f>'All regions'!F3955+"$F;@!']0"</f>
        <v>#VALUE!</v>
      </c>
      <c r="CV143" t="e">
        <f>'All regions'!G3955+"$F;@!']1"</f>
        <v>#VALUE!</v>
      </c>
      <c r="CW143" t="e">
        <f>'All regions'!H3955+"$F;@!']2"</f>
        <v>#VALUE!</v>
      </c>
      <c r="CX143" t="e">
        <f>'All regions'!I3955+"$F;@!']3"</f>
        <v>#VALUE!</v>
      </c>
      <c r="CY143" t="e">
        <f>'All regions'!A3956+"$F;@!']4"</f>
        <v>#VALUE!</v>
      </c>
      <c r="CZ143" t="e">
        <f>'All regions'!B3956+"$F;@!']5"</f>
        <v>#VALUE!</v>
      </c>
      <c r="DA143" t="e">
        <f>'All regions'!C3956+"$F;@!']6"</f>
        <v>#VALUE!</v>
      </c>
      <c r="DB143" t="e">
        <f>'All regions'!D3956+"$F;@!']7"</f>
        <v>#VALUE!</v>
      </c>
      <c r="DC143" t="e">
        <f>'All regions'!E3956+"$F;@!']8"</f>
        <v>#VALUE!</v>
      </c>
      <c r="DD143" t="e">
        <f>'All regions'!F3956+"$F;@!']9"</f>
        <v>#VALUE!</v>
      </c>
      <c r="DE143" t="e">
        <f>'All regions'!G3956+"$F;@!']:"</f>
        <v>#VALUE!</v>
      </c>
      <c r="DF143" t="e">
        <f>'All regions'!H3956+"$F;@!'];"</f>
        <v>#VALUE!</v>
      </c>
      <c r="DG143" t="e">
        <f>'All regions'!I3956+"$F;@!']&lt;"</f>
        <v>#VALUE!</v>
      </c>
      <c r="DH143" t="e">
        <f>'All regions'!A3957+"$F;@!']="</f>
        <v>#VALUE!</v>
      </c>
      <c r="DI143" t="e">
        <f>'All regions'!B3957+"$F;@!']&gt;"</f>
        <v>#VALUE!</v>
      </c>
      <c r="DJ143" t="e">
        <f>'All regions'!C3957+"$F;@!']?"</f>
        <v>#VALUE!</v>
      </c>
      <c r="DK143" t="e">
        <f>'All regions'!D3957+"$F;@!']@"</f>
        <v>#VALUE!</v>
      </c>
      <c r="DL143" t="e">
        <f>'All regions'!E3957+"$F;@!']A"</f>
        <v>#VALUE!</v>
      </c>
      <c r="DM143" t="e">
        <f>'All regions'!F3957+"$F;@!']B"</f>
        <v>#VALUE!</v>
      </c>
      <c r="DN143" t="e">
        <f>'All regions'!G3957+"$F;@!']C"</f>
        <v>#VALUE!</v>
      </c>
      <c r="DO143" t="e">
        <f>'All regions'!H3957+"$F;@!']D"</f>
        <v>#VALUE!</v>
      </c>
      <c r="DP143" t="e">
        <f>'All regions'!I3957+"$F;@!']E"</f>
        <v>#VALUE!</v>
      </c>
      <c r="DQ143" t="e">
        <f>'All regions'!A3958+"$F;@!']F"</f>
        <v>#VALUE!</v>
      </c>
      <c r="DR143" t="e">
        <f>'All regions'!B3958+"$F;@!']G"</f>
        <v>#VALUE!</v>
      </c>
      <c r="DS143" t="e">
        <f>'All regions'!C3958+"$F;@!']H"</f>
        <v>#VALUE!</v>
      </c>
      <c r="DT143" t="e">
        <f>'All regions'!D3958+"$F;@!']I"</f>
        <v>#VALUE!</v>
      </c>
      <c r="DU143" t="e">
        <f>'All regions'!E3958+"$F;@!']J"</f>
        <v>#VALUE!</v>
      </c>
      <c r="DV143" t="e">
        <f>'All regions'!F3958+"$F;@!']K"</f>
        <v>#VALUE!</v>
      </c>
      <c r="DW143" t="e">
        <f>'All regions'!G3958+"$F;@!']L"</f>
        <v>#VALUE!</v>
      </c>
      <c r="DX143" t="e">
        <f>'All regions'!H3958+"$F;@!']M"</f>
        <v>#VALUE!</v>
      </c>
      <c r="DY143" t="e">
        <f>'All regions'!I3958+"$F;@!']N"</f>
        <v>#VALUE!</v>
      </c>
      <c r="DZ143" t="e">
        <f>'All regions'!A3959+"$F;@!']O"</f>
        <v>#VALUE!</v>
      </c>
      <c r="EA143" t="e">
        <f>'All regions'!B3959+"$F;@!']P"</f>
        <v>#VALUE!</v>
      </c>
      <c r="EB143" t="e">
        <f>'All regions'!C3959+"$F;@!']Q"</f>
        <v>#VALUE!</v>
      </c>
      <c r="EC143" t="e">
        <f>'All regions'!D3959+"$F;@!']R"</f>
        <v>#VALUE!</v>
      </c>
      <c r="ED143" t="e">
        <f>'All regions'!E3959+"$F;@!']S"</f>
        <v>#VALUE!</v>
      </c>
      <c r="EE143" t="e">
        <f>'All regions'!F3959+"$F;@!']T"</f>
        <v>#VALUE!</v>
      </c>
      <c r="EF143" t="e">
        <f>'All regions'!G3959+"$F;@!']U"</f>
        <v>#VALUE!</v>
      </c>
      <c r="EG143" t="e">
        <f>'All regions'!H3959+"$F;@!']V"</f>
        <v>#VALUE!</v>
      </c>
      <c r="EH143" t="e">
        <f>'All regions'!I3959+"$F;@!']W"</f>
        <v>#VALUE!</v>
      </c>
      <c r="EI143" t="e">
        <f>'All regions'!A3960+"$F;@!']X"</f>
        <v>#VALUE!</v>
      </c>
      <c r="EJ143" t="e">
        <f>'All regions'!B3960+"$F;@!']Y"</f>
        <v>#VALUE!</v>
      </c>
      <c r="EK143" t="e">
        <f>'All regions'!C3960+"$F;@!']Z"</f>
        <v>#VALUE!</v>
      </c>
      <c r="EL143" t="e">
        <f>'All regions'!D3960+"$F;@!']["</f>
        <v>#VALUE!</v>
      </c>
      <c r="EM143" t="e">
        <f>'All regions'!E3960+"$F;@!']\"</f>
        <v>#VALUE!</v>
      </c>
      <c r="EN143" t="e">
        <f>'All regions'!F3960+"$F;@!']]"</f>
        <v>#VALUE!</v>
      </c>
      <c r="EO143" t="e">
        <f>'All regions'!G3960+"$F;@!']^"</f>
        <v>#VALUE!</v>
      </c>
      <c r="EP143" t="e">
        <f>'All regions'!H3960+"$F;@!']_"</f>
        <v>#VALUE!</v>
      </c>
      <c r="EQ143" t="e">
        <f>'All regions'!I3960+"$F;@!']`"</f>
        <v>#VALUE!</v>
      </c>
      <c r="ER143" t="e">
        <f>'All regions'!A3961+"$F;@!']a"</f>
        <v>#VALUE!</v>
      </c>
      <c r="ES143" t="e">
        <f>'All regions'!B3961+"$F;@!']b"</f>
        <v>#VALUE!</v>
      </c>
      <c r="ET143" t="e">
        <f>'All regions'!C3961+"$F;@!']c"</f>
        <v>#VALUE!</v>
      </c>
      <c r="EU143" t="e">
        <f>'All regions'!D3961+"$F;@!']d"</f>
        <v>#VALUE!</v>
      </c>
      <c r="EV143" t="e">
        <f>'All regions'!E3961+"$F;@!']e"</f>
        <v>#VALUE!</v>
      </c>
      <c r="EW143" t="e">
        <f>'All regions'!F3961+"$F;@!']f"</f>
        <v>#VALUE!</v>
      </c>
      <c r="EX143" t="e">
        <f>'All regions'!G3961+"$F;@!']g"</f>
        <v>#VALUE!</v>
      </c>
      <c r="EY143" t="e">
        <f>'All regions'!H3961+"$F;@!']h"</f>
        <v>#VALUE!</v>
      </c>
      <c r="EZ143" t="e">
        <f>'All regions'!I3961+"$F;@!']i"</f>
        <v>#VALUE!</v>
      </c>
      <c r="FA143" t="e">
        <f>'All regions'!A3962+"$F;@!']j"</f>
        <v>#VALUE!</v>
      </c>
      <c r="FB143" t="e">
        <f>'All regions'!B3962+"$F;@!']k"</f>
        <v>#VALUE!</v>
      </c>
      <c r="FC143" t="e">
        <f>'All regions'!C3962+"$F;@!']l"</f>
        <v>#VALUE!</v>
      </c>
      <c r="FD143" t="e">
        <f>'All regions'!D3962+"$F;@!']m"</f>
        <v>#VALUE!</v>
      </c>
      <c r="FE143" t="e">
        <f>'All regions'!E3962+"$F;@!']n"</f>
        <v>#VALUE!</v>
      </c>
      <c r="FF143" t="e">
        <f>'All regions'!F3962+"$F;@!']o"</f>
        <v>#VALUE!</v>
      </c>
      <c r="FG143" t="e">
        <f>'All regions'!G3962+"$F;@!']p"</f>
        <v>#VALUE!</v>
      </c>
      <c r="FH143" t="e">
        <f>'All regions'!H3962+"$F;@!']q"</f>
        <v>#VALUE!</v>
      </c>
      <c r="FI143" t="e">
        <f>'All regions'!I3962+"$F;@!']r"</f>
        <v>#VALUE!</v>
      </c>
      <c r="FJ143" t="e">
        <f>'All regions'!A3963+"$F;@!']s"</f>
        <v>#VALUE!</v>
      </c>
      <c r="FK143" t="e">
        <f>'All regions'!B3963+"$F;@!']t"</f>
        <v>#VALUE!</v>
      </c>
      <c r="FL143" t="e">
        <f>'All regions'!C3963+"$F;@!']u"</f>
        <v>#VALUE!</v>
      </c>
      <c r="FM143" t="e">
        <f>'All regions'!D3963+"$F;@!']v"</f>
        <v>#VALUE!</v>
      </c>
      <c r="FN143" t="e">
        <f>'All regions'!E3963+"$F;@!']w"</f>
        <v>#VALUE!</v>
      </c>
      <c r="FO143" t="e">
        <f>'All regions'!F3963+"$F;@!']x"</f>
        <v>#VALUE!</v>
      </c>
      <c r="FP143" t="e">
        <f>'All regions'!G3963+"$F;@!']y"</f>
        <v>#VALUE!</v>
      </c>
      <c r="FQ143" t="e">
        <f>'All regions'!H3963+"$F;@!']z"</f>
        <v>#VALUE!</v>
      </c>
      <c r="FR143" t="e">
        <f>'All regions'!I3963+"$F;@!']{"</f>
        <v>#VALUE!</v>
      </c>
      <c r="FS143" t="e">
        <f>'All regions'!A3964+"$F;@!']|"</f>
        <v>#VALUE!</v>
      </c>
      <c r="FT143" t="e">
        <f>'All regions'!B3964+"$F;@!']}"</f>
        <v>#VALUE!</v>
      </c>
      <c r="FU143" t="e">
        <f>'All regions'!C3964+"$F;@!']~"</f>
        <v>#VALUE!</v>
      </c>
      <c r="FV143" t="e">
        <f>'All regions'!D3964+"$F;@!'^#"</f>
        <v>#VALUE!</v>
      </c>
      <c r="FW143" t="e">
        <f>'All regions'!E3964+"$F;@!'^$"</f>
        <v>#VALUE!</v>
      </c>
      <c r="FX143" t="e">
        <f>'All regions'!F3964+"$F;@!'^%"</f>
        <v>#VALUE!</v>
      </c>
      <c r="FY143" t="e">
        <f>'All regions'!G3964+"$F;@!'^&amp;"</f>
        <v>#VALUE!</v>
      </c>
      <c r="FZ143" t="e">
        <f>'All regions'!H3964+"$F;@!'^'"</f>
        <v>#VALUE!</v>
      </c>
      <c r="GA143" t="e">
        <f>'All regions'!I3964+"$F;@!'^("</f>
        <v>#VALUE!</v>
      </c>
      <c r="GB143" t="e">
        <f>'All regions'!A3965+"$F;@!'^)"</f>
        <v>#VALUE!</v>
      </c>
      <c r="GC143" t="e">
        <f>'All regions'!B3965+"$F;@!'^."</f>
        <v>#VALUE!</v>
      </c>
      <c r="GD143" t="e">
        <f>'All regions'!C3965+"$F;@!'^/"</f>
        <v>#VALUE!</v>
      </c>
      <c r="GE143" t="e">
        <f>'All regions'!D3965+"$F;@!'^0"</f>
        <v>#VALUE!</v>
      </c>
      <c r="GF143" t="e">
        <f>'All regions'!E3965+"$F;@!'^1"</f>
        <v>#VALUE!</v>
      </c>
      <c r="GG143" t="e">
        <f>'All regions'!F3965+"$F;@!'^2"</f>
        <v>#VALUE!</v>
      </c>
      <c r="GH143" t="e">
        <f>'All regions'!G3965+"$F;@!'^3"</f>
        <v>#VALUE!</v>
      </c>
      <c r="GI143" t="e">
        <f>'All regions'!H3965+"$F;@!'^4"</f>
        <v>#VALUE!</v>
      </c>
      <c r="GJ143" t="e">
        <f>'All regions'!I3965+"$F;@!'^5"</f>
        <v>#VALUE!</v>
      </c>
      <c r="GK143" t="e">
        <f>'All regions'!A3966+"$F;@!'^6"</f>
        <v>#VALUE!</v>
      </c>
      <c r="GL143" t="e">
        <f>'All regions'!B3966+"$F;@!'^7"</f>
        <v>#VALUE!</v>
      </c>
      <c r="GM143" t="e">
        <f>'All regions'!C3966+"$F;@!'^8"</f>
        <v>#VALUE!</v>
      </c>
      <c r="GN143" t="e">
        <f>'All regions'!D3966+"$F;@!'^9"</f>
        <v>#VALUE!</v>
      </c>
      <c r="GO143" t="e">
        <f>'All regions'!E3966+"$F;@!'^:"</f>
        <v>#VALUE!</v>
      </c>
      <c r="GP143" t="e">
        <f>'All regions'!F3966+"$F;@!'^;"</f>
        <v>#VALUE!</v>
      </c>
      <c r="GQ143" t="e">
        <f>'All regions'!G3966+"$F;@!'^&lt;"</f>
        <v>#VALUE!</v>
      </c>
      <c r="GR143" t="e">
        <f>'All regions'!H3966+"$F;@!'^="</f>
        <v>#VALUE!</v>
      </c>
      <c r="GS143" t="e">
        <f>'All regions'!I3966+"$F;@!'^&gt;"</f>
        <v>#VALUE!</v>
      </c>
      <c r="GT143" t="e">
        <f>'All regions'!A3967+"$F;@!'^?"</f>
        <v>#VALUE!</v>
      </c>
      <c r="GU143" t="e">
        <f>'All regions'!B3967+"$F;@!'^@"</f>
        <v>#VALUE!</v>
      </c>
      <c r="GV143" t="e">
        <f>'All regions'!C3967+"$F;@!'^A"</f>
        <v>#VALUE!</v>
      </c>
      <c r="GW143" t="e">
        <f>'All regions'!D3967+"$F;@!'^B"</f>
        <v>#VALUE!</v>
      </c>
      <c r="GX143" t="e">
        <f>'All regions'!E3967+"$F;@!'^C"</f>
        <v>#VALUE!</v>
      </c>
      <c r="GY143" t="e">
        <f>'All regions'!F3967+"$F;@!'^D"</f>
        <v>#VALUE!</v>
      </c>
      <c r="GZ143" t="e">
        <f>'All regions'!G3967+"$F;@!'^E"</f>
        <v>#VALUE!</v>
      </c>
      <c r="HA143" t="e">
        <f>'All regions'!H3967+"$F;@!'^F"</f>
        <v>#VALUE!</v>
      </c>
      <c r="HB143" t="e">
        <f>'All regions'!I3967+"$F;@!'^G"</f>
        <v>#VALUE!</v>
      </c>
      <c r="HC143" t="e">
        <f>'All regions'!A3968+"$F;@!'^H"</f>
        <v>#VALUE!</v>
      </c>
      <c r="HD143" t="e">
        <f>'All regions'!B3968+"$F;@!'^I"</f>
        <v>#VALUE!</v>
      </c>
      <c r="HE143" t="e">
        <f>'All regions'!C3968+"$F;@!'^J"</f>
        <v>#VALUE!</v>
      </c>
      <c r="HF143" t="e">
        <f>'All regions'!D3968+"$F;@!'^K"</f>
        <v>#VALUE!</v>
      </c>
      <c r="HG143" t="e">
        <f>'All regions'!E3968+"$F;@!'^L"</f>
        <v>#VALUE!</v>
      </c>
      <c r="HH143" t="e">
        <f>'All regions'!F3968+"$F;@!'^M"</f>
        <v>#VALUE!</v>
      </c>
      <c r="HI143" t="e">
        <f>'All regions'!G3968+"$F;@!'^N"</f>
        <v>#VALUE!</v>
      </c>
      <c r="HJ143" t="e">
        <f>'All regions'!H3968+"$F;@!'^O"</f>
        <v>#VALUE!</v>
      </c>
      <c r="HK143" t="e">
        <f>'All regions'!I3968+"$F;@!'^P"</f>
        <v>#VALUE!</v>
      </c>
      <c r="HL143" t="e">
        <f>'All regions'!A3969+"$F;@!'^Q"</f>
        <v>#VALUE!</v>
      </c>
      <c r="HM143" t="e">
        <f>'All regions'!B3969+"$F;@!'^R"</f>
        <v>#VALUE!</v>
      </c>
      <c r="HN143" t="e">
        <f>'All regions'!C3969+"$F;@!'^S"</f>
        <v>#VALUE!</v>
      </c>
      <c r="HO143" t="e">
        <f>'All regions'!D3969+"$F;@!'^T"</f>
        <v>#VALUE!</v>
      </c>
      <c r="HP143" t="e">
        <f>'All regions'!E3969+"$F;@!'^U"</f>
        <v>#VALUE!</v>
      </c>
      <c r="HQ143" t="e">
        <f>'All regions'!F3969+"$F;@!'^V"</f>
        <v>#VALUE!</v>
      </c>
      <c r="HR143" t="e">
        <f>'All regions'!G3969+"$F;@!'^W"</f>
        <v>#VALUE!</v>
      </c>
      <c r="HS143" t="e">
        <f>'All regions'!H3969+"$F;@!'^X"</f>
        <v>#VALUE!</v>
      </c>
      <c r="HT143" t="e">
        <f>'All regions'!I3969+"$F;@!'^Y"</f>
        <v>#VALUE!</v>
      </c>
      <c r="HU143" t="e">
        <f>'All regions'!A3970+"$F;@!'^Z"</f>
        <v>#VALUE!</v>
      </c>
      <c r="HV143" t="e">
        <f>'All regions'!B3970+"$F;@!'^["</f>
        <v>#VALUE!</v>
      </c>
      <c r="HW143" t="e">
        <f>'All regions'!C3970+"$F;@!'^\"</f>
        <v>#VALUE!</v>
      </c>
      <c r="HX143" t="e">
        <f>'All regions'!D3970+"$F;@!'^]"</f>
        <v>#VALUE!</v>
      </c>
      <c r="HY143" t="e">
        <f>'All regions'!E3970+"$F;@!'^^"</f>
        <v>#VALUE!</v>
      </c>
      <c r="HZ143" t="e">
        <f>'All regions'!F3970+"$F;@!'^_"</f>
        <v>#VALUE!</v>
      </c>
      <c r="IA143" t="e">
        <f>'All regions'!G3970+"$F;@!'^`"</f>
        <v>#VALUE!</v>
      </c>
      <c r="IB143" t="e">
        <f>'All regions'!H3970+"$F;@!'^a"</f>
        <v>#VALUE!</v>
      </c>
      <c r="IC143" t="e">
        <f>'All regions'!I3970+"$F;@!'^b"</f>
        <v>#VALUE!</v>
      </c>
      <c r="ID143" t="e">
        <f>'All regions'!A3971+"$F;@!'^c"</f>
        <v>#VALUE!</v>
      </c>
      <c r="IE143" t="e">
        <f>'All regions'!B3971+"$F;@!'^d"</f>
        <v>#VALUE!</v>
      </c>
      <c r="IF143" t="e">
        <f>'All regions'!C3971+"$F;@!'^e"</f>
        <v>#VALUE!</v>
      </c>
      <c r="IG143" t="e">
        <f>'All regions'!D3971+"$F;@!'^f"</f>
        <v>#VALUE!</v>
      </c>
      <c r="IH143" t="e">
        <f>'All regions'!E3971+"$F;@!'^g"</f>
        <v>#VALUE!</v>
      </c>
      <c r="II143" t="e">
        <f>'All regions'!F3971+"$F;@!'^h"</f>
        <v>#VALUE!</v>
      </c>
      <c r="IJ143" t="e">
        <f>'All regions'!G3971+"$F;@!'^i"</f>
        <v>#VALUE!</v>
      </c>
      <c r="IK143" t="e">
        <f>'All regions'!H3971+"$F;@!'^j"</f>
        <v>#VALUE!</v>
      </c>
      <c r="IL143" t="e">
        <f>'All regions'!I3971+"$F;@!'^k"</f>
        <v>#VALUE!</v>
      </c>
      <c r="IM143" t="e">
        <f>'All regions'!A3972+"$F;@!'^l"</f>
        <v>#VALUE!</v>
      </c>
      <c r="IN143" t="e">
        <f>'All regions'!B3972+"$F;@!'^m"</f>
        <v>#VALUE!</v>
      </c>
      <c r="IO143" t="e">
        <f>'All regions'!C3972+"$F;@!'^n"</f>
        <v>#VALUE!</v>
      </c>
      <c r="IP143" t="e">
        <f>'All regions'!D3972+"$F;@!'^o"</f>
        <v>#VALUE!</v>
      </c>
      <c r="IQ143" t="e">
        <f>'All regions'!E3972+"$F;@!'^p"</f>
        <v>#VALUE!</v>
      </c>
      <c r="IR143" t="e">
        <f>'All regions'!F3972+"$F;@!'^q"</f>
        <v>#VALUE!</v>
      </c>
      <c r="IS143" t="e">
        <f>'All regions'!G3972+"$F;@!'^r"</f>
        <v>#VALUE!</v>
      </c>
      <c r="IT143" t="e">
        <f>'All regions'!H3972+"$F;@!'^s"</f>
        <v>#VALUE!</v>
      </c>
      <c r="IU143" t="e">
        <f>'All regions'!I3972+"$F;@!'^t"</f>
        <v>#VALUE!</v>
      </c>
      <c r="IV143" t="e">
        <f>'All regions'!A3973+"$F;@!'^u"</f>
        <v>#VALUE!</v>
      </c>
    </row>
    <row r="144" spans="6:256" x14ac:dyDescent="0.35">
      <c r="F144" t="e">
        <f>'All regions'!B3973+"$F;@!'^v"</f>
        <v>#VALUE!</v>
      </c>
      <c r="G144" t="e">
        <f>'All regions'!C3973+"$F;@!'^w"</f>
        <v>#VALUE!</v>
      </c>
      <c r="H144" t="e">
        <f>'All regions'!D3973+"$F;@!'^x"</f>
        <v>#VALUE!</v>
      </c>
      <c r="I144" t="e">
        <f>'All regions'!E3973+"$F;@!'^y"</f>
        <v>#VALUE!</v>
      </c>
      <c r="J144" t="e">
        <f>'All regions'!F3973+"$F;@!'^z"</f>
        <v>#VALUE!</v>
      </c>
      <c r="K144" t="e">
        <f>'All regions'!G3973+"$F;@!'^{"</f>
        <v>#VALUE!</v>
      </c>
      <c r="L144" t="e">
        <f>'All regions'!H3973+"$F;@!'^|"</f>
        <v>#VALUE!</v>
      </c>
      <c r="M144" t="e">
        <f>'All regions'!I3973+"$F;@!'^}"</f>
        <v>#VALUE!</v>
      </c>
      <c r="N144" t="e">
        <f>'All regions'!A3974+"$F;@!'^~"</f>
        <v>#VALUE!</v>
      </c>
      <c r="O144" t="e">
        <f>'All regions'!B3974+"$F;@!'_#"</f>
        <v>#VALUE!</v>
      </c>
      <c r="P144" t="e">
        <f>'All regions'!C3974+"$F;@!'_$"</f>
        <v>#VALUE!</v>
      </c>
      <c r="Q144" t="e">
        <f>'All regions'!D3974+"$F;@!'_%"</f>
        <v>#VALUE!</v>
      </c>
      <c r="R144" t="e">
        <f>'All regions'!E3974+"$F;@!'_&amp;"</f>
        <v>#VALUE!</v>
      </c>
      <c r="S144" t="e">
        <f>'All regions'!F3974+"$F;@!'_'"</f>
        <v>#VALUE!</v>
      </c>
      <c r="T144" t="e">
        <f>'All regions'!G3974+"$F;@!'_("</f>
        <v>#VALUE!</v>
      </c>
      <c r="U144" t="e">
        <f>'All regions'!H3974+"$F;@!'_)"</f>
        <v>#VALUE!</v>
      </c>
      <c r="V144" t="e">
        <f>'All regions'!I3974+"$F;@!'_."</f>
        <v>#VALUE!</v>
      </c>
      <c r="W144" t="e">
        <f>'All regions'!A3975+"$F;@!'_/"</f>
        <v>#VALUE!</v>
      </c>
      <c r="X144" t="e">
        <f>'All regions'!B3975+"$F;@!'_0"</f>
        <v>#VALUE!</v>
      </c>
      <c r="Y144" t="e">
        <f>'All regions'!C3975+"$F;@!'_1"</f>
        <v>#VALUE!</v>
      </c>
      <c r="Z144" t="e">
        <f>'All regions'!D3975+"$F;@!'_2"</f>
        <v>#VALUE!</v>
      </c>
      <c r="AA144" t="e">
        <f>'All regions'!E3975+"$F;@!'_3"</f>
        <v>#VALUE!</v>
      </c>
      <c r="AB144" t="e">
        <f>'All regions'!F3975+"$F;@!'_4"</f>
        <v>#VALUE!</v>
      </c>
      <c r="AC144" t="e">
        <f>'All regions'!G3975+"$F;@!'_5"</f>
        <v>#VALUE!</v>
      </c>
      <c r="AD144" t="e">
        <f>'All regions'!H3975+"$F;@!'_6"</f>
        <v>#VALUE!</v>
      </c>
      <c r="AE144" t="e">
        <f>'All regions'!I3975+"$F;@!'_7"</f>
        <v>#VALUE!</v>
      </c>
      <c r="AF144" t="e">
        <f>'All regions'!A3976+"$F;@!'_8"</f>
        <v>#VALUE!</v>
      </c>
      <c r="AG144" t="e">
        <f>'All regions'!B3976+"$F;@!'_9"</f>
        <v>#VALUE!</v>
      </c>
      <c r="AH144" t="e">
        <f>'All regions'!C3976+"$F;@!'_:"</f>
        <v>#VALUE!</v>
      </c>
      <c r="AI144" t="e">
        <f>'All regions'!D3976+"$F;@!'_;"</f>
        <v>#VALUE!</v>
      </c>
      <c r="AJ144" t="e">
        <f>'All regions'!E3976+"$F;@!'_&lt;"</f>
        <v>#VALUE!</v>
      </c>
      <c r="AK144" t="e">
        <f>'All regions'!F3976+"$F;@!'_="</f>
        <v>#VALUE!</v>
      </c>
      <c r="AL144" t="e">
        <f>'All regions'!G3976+"$F;@!'_&gt;"</f>
        <v>#VALUE!</v>
      </c>
      <c r="AM144" t="e">
        <f>'All regions'!H3976+"$F;@!'_?"</f>
        <v>#VALUE!</v>
      </c>
      <c r="AN144" t="e">
        <f>'All regions'!I3976+"$F;@!'_@"</f>
        <v>#VALUE!</v>
      </c>
      <c r="AO144" t="e">
        <f>'All regions'!A3977+"$F;@!'_A"</f>
        <v>#VALUE!</v>
      </c>
      <c r="AP144" t="e">
        <f>'All regions'!B3977+"$F;@!'_B"</f>
        <v>#VALUE!</v>
      </c>
      <c r="AQ144" t="e">
        <f>'All regions'!C3977+"$F;@!'_C"</f>
        <v>#VALUE!</v>
      </c>
      <c r="AR144" t="e">
        <f>'All regions'!D3977+"$F;@!'_D"</f>
        <v>#VALUE!</v>
      </c>
      <c r="AS144" t="e">
        <f>'All regions'!E3977+"$F;@!'_E"</f>
        <v>#VALUE!</v>
      </c>
      <c r="AT144" t="e">
        <f>'All regions'!F3977+"$F;@!'_F"</f>
        <v>#VALUE!</v>
      </c>
      <c r="AU144" t="e">
        <f>'All regions'!G3977+"$F;@!'_G"</f>
        <v>#VALUE!</v>
      </c>
      <c r="AV144" t="e">
        <f>'All regions'!H3977+"$F;@!'_H"</f>
        <v>#VALUE!</v>
      </c>
      <c r="AW144" t="e">
        <f>'All regions'!I3977+"$F;@!'_I"</f>
        <v>#VALUE!</v>
      </c>
      <c r="AX144" t="e">
        <f>'All regions'!A3978+"$F;@!'_J"</f>
        <v>#VALUE!</v>
      </c>
      <c r="AY144" t="e">
        <f>'All regions'!B3978+"$F;@!'_K"</f>
        <v>#VALUE!</v>
      </c>
      <c r="AZ144" t="e">
        <f>'All regions'!C3978+"$F;@!'_L"</f>
        <v>#VALUE!</v>
      </c>
      <c r="BA144" t="e">
        <f>'All regions'!D3978+"$F;@!'_M"</f>
        <v>#VALUE!</v>
      </c>
      <c r="BB144" t="e">
        <f>'All regions'!E3978+"$F;@!'_N"</f>
        <v>#VALUE!</v>
      </c>
      <c r="BC144" t="e">
        <f>'All regions'!F3978+"$F;@!'_O"</f>
        <v>#VALUE!</v>
      </c>
      <c r="BD144" t="e">
        <f>'All regions'!G3978+"$F;@!'_P"</f>
        <v>#VALUE!</v>
      </c>
      <c r="BE144" t="e">
        <f>'All regions'!H3978+"$F;@!'_Q"</f>
        <v>#VALUE!</v>
      </c>
      <c r="BF144" t="e">
        <f>'All regions'!I3978+"$F;@!'_R"</f>
        <v>#VALUE!</v>
      </c>
      <c r="BG144" t="e">
        <f>'All regions'!A3979+"$F;@!'_S"</f>
        <v>#VALUE!</v>
      </c>
      <c r="BH144" t="e">
        <f>'All regions'!B3979+"$F;@!'_T"</f>
        <v>#VALUE!</v>
      </c>
      <c r="BI144" t="e">
        <f>'All regions'!C3979+"$F;@!'_U"</f>
        <v>#VALUE!</v>
      </c>
      <c r="BJ144" t="e">
        <f>'All regions'!D3979+"$F;@!'_V"</f>
        <v>#VALUE!</v>
      </c>
      <c r="BK144" t="e">
        <f>'All regions'!E3979+"$F;@!'_W"</f>
        <v>#VALUE!</v>
      </c>
      <c r="BL144" t="e">
        <f>'All regions'!F3979+"$F;@!'_X"</f>
        <v>#VALUE!</v>
      </c>
      <c r="BM144" t="e">
        <f>'All regions'!G3979+"$F;@!'_Y"</f>
        <v>#VALUE!</v>
      </c>
      <c r="BN144" t="e">
        <f>'All regions'!H3979+"$F;@!'_Z"</f>
        <v>#VALUE!</v>
      </c>
      <c r="BO144" t="e">
        <f>'All regions'!I3979+"$F;@!'_["</f>
        <v>#VALUE!</v>
      </c>
      <c r="BP144" t="e">
        <f>'All regions'!A3980+"$F;@!'_\"</f>
        <v>#VALUE!</v>
      </c>
      <c r="BQ144" t="e">
        <f>'All regions'!B3980+"$F;@!'_]"</f>
        <v>#VALUE!</v>
      </c>
      <c r="BR144" t="e">
        <f>'All regions'!C3980+"$F;@!'_^"</f>
        <v>#VALUE!</v>
      </c>
      <c r="BS144" t="e">
        <f>'All regions'!D3980+"$F;@!'__"</f>
        <v>#VALUE!</v>
      </c>
      <c r="BT144" t="e">
        <f>'All regions'!E3980+"$F;@!'_`"</f>
        <v>#VALUE!</v>
      </c>
      <c r="BU144" t="e">
        <f>'All regions'!F3980+"$F;@!'_a"</f>
        <v>#VALUE!</v>
      </c>
      <c r="BV144" t="e">
        <f>'All regions'!G3980+"$F;@!'_b"</f>
        <v>#VALUE!</v>
      </c>
      <c r="BW144" t="e">
        <f>'All regions'!H3980+"$F;@!'_c"</f>
        <v>#VALUE!</v>
      </c>
      <c r="BX144" t="e">
        <f>'All regions'!I3980+"$F;@!'_d"</f>
        <v>#VALUE!</v>
      </c>
      <c r="BY144" t="e">
        <f>'All regions'!A3981+"$F;@!'_e"</f>
        <v>#VALUE!</v>
      </c>
      <c r="BZ144" t="e">
        <f>'All regions'!B3981+"$F;@!'_f"</f>
        <v>#VALUE!</v>
      </c>
      <c r="CA144" t="e">
        <f>'All regions'!C3981+"$F;@!'_g"</f>
        <v>#VALUE!</v>
      </c>
      <c r="CB144" t="e">
        <f>'All regions'!D3981+"$F;@!'_h"</f>
        <v>#VALUE!</v>
      </c>
      <c r="CC144" t="e">
        <f>'All regions'!E3981+"$F;@!'_i"</f>
        <v>#VALUE!</v>
      </c>
      <c r="CD144" t="e">
        <f>'All regions'!F3981+"$F;@!'_j"</f>
        <v>#VALUE!</v>
      </c>
      <c r="CE144" t="e">
        <f>'All regions'!G3981+"$F;@!'_k"</f>
        <v>#VALUE!</v>
      </c>
      <c r="CF144" t="e">
        <f>'All regions'!H3981+"$F;@!'_l"</f>
        <v>#VALUE!</v>
      </c>
      <c r="CG144" t="e">
        <f>'All regions'!I3981+"$F;@!'_m"</f>
        <v>#VALUE!</v>
      </c>
      <c r="CH144" t="e">
        <f>'All regions'!A3982+"$F;@!'_n"</f>
        <v>#VALUE!</v>
      </c>
      <c r="CI144" t="e">
        <f>'All regions'!B3982+"$F;@!'_o"</f>
        <v>#VALUE!</v>
      </c>
      <c r="CJ144" t="e">
        <f>'All regions'!C3982+"$F;@!'_p"</f>
        <v>#VALUE!</v>
      </c>
      <c r="CK144" t="e">
        <f>'All regions'!D3982+"$F;@!'_q"</f>
        <v>#VALUE!</v>
      </c>
      <c r="CL144" t="e">
        <f>'All regions'!E3982+"$F;@!'_r"</f>
        <v>#VALUE!</v>
      </c>
      <c r="CM144" t="e">
        <f>'All regions'!F3982+"$F;@!'_s"</f>
        <v>#VALUE!</v>
      </c>
      <c r="CN144" t="e">
        <f>'All regions'!G3982+"$F;@!'_t"</f>
        <v>#VALUE!</v>
      </c>
      <c r="CO144" t="e">
        <f>'All regions'!H3982+"$F;@!'_u"</f>
        <v>#VALUE!</v>
      </c>
      <c r="CP144" t="e">
        <f>'All regions'!I3982+"$F;@!'_v"</f>
        <v>#VALUE!</v>
      </c>
      <c r="CQ144" t="e">
        <f>'All regions'!A3983+"$F;@!'_w"</f>
        <v>#VALUE!</v>
      </c>
      <c r="CR144" t="e">
        <f>'All regions'!B3983+"$F;@!'_x"</f>
        <v>#VALUE!</v>
      </c>
      <c r="CS144" t="e">
        <f>'All regions'!C3983+"$F;@!'_y"</f>
        <v>#VALUE!</v>
      </c>
      <c r="CT144" t="e">
        <f>'All regions'!D3983+"$F;@!'_z"</f>
        <v>#VALUE!</v>
      </c>
      <c r="CU144" t="e">
        <f>'All regions'!E3983+"$F;@!'_{"</f>
        <v>#VALUE!</v>
      </c>
      <c r="CV144" t="e">
        <f>'All regions'!F3983+"$F;@!'_|"</f>
        <v>#VALUE!</v>
      </c>
      <c r="CW144" t="e">
        <f>'All regions'!G3983+"$F;@!'_}"</f>
        <v>#VALUE!</v>
      </c>
      <c r="CX144" t="e">
        <f>'All regions'!H3983+"$F;@!'_~"</f>
        <v>#VALUE!</v>
      </c>
      <c r="CY144" t="e">
        <f>'All regions'!I3983+"$F;@!'`#"</f>
        <v>#VALUE!</v>
      </c>
      <c r="CZ144" t="e">
        <f>'All regions'!A3984+"$F;@!'`$"</f>
        <v>#VALUE!</v>
      </c>
      <c r="DA144" t="e">
        <f>'All regions'!B3984+"$F;@!'`%"</f>
        <v>#VALUE!</v>
      </c>
      <c r="DB144" t="e">
        <f>'All regions'!C3984+"$F;@!'`&amp;"</f>
        <v>#VALUE!</v>
      </c>
      <c r="DC144" t="e">
        <f>'All regions'!D3984+"$F;@!'`'"</f>
        <v>#VALUE!</v>
      </c>
      <c r="DD144" t="e">
        <f>'All regions'!E3984+"$F;@!'`("</f>
        <v>#VALUE!</v>
      </c>
      <c r="DE144" t="e">
        <f>'All regions'!F3984+"$F;@!'`)"</f>
        <v>#VALUE!</v>
      </c>
      <c r="DF144" t="e">
        <f>'All regions'!G3984+"$F;@!'`."</f>
        <v>#VALUE!</v>
      </c>
      <c r="DG144" t="e">
        <f>'All regions'!H3984+"$F;@!'`/"</f>
        <v>#VALUE!</v>
      </c>
      <c r="DH144" t="e">
        <f>'All regions'!I3984+"$F;@!'`0"</f>
        <v>#VALUE!</v>
      </c>
      <c r="DI144" t="e">
        <f>'All regions'!A3985+"$F;@!'`1"</f>
        <v>#VALUE!</v>
      </c>
      <c r="DJ144" t="e">
        <f>'All regions'!B3985+"$F;@!'`2"</f>
        <v>#VALUE!</v>
      </c>
      <c r="DK144" t="e">
        <f>'All regions'!C3985+"$F;@!'`3"</f>
        <v>#VALUE!</v>
      </c>
      <c r="DL144" t="e">
        <f>'All regions'!D3985+"$F;@!'`4"</f>
        <v>#VALUE!</v>
      </c>
      <c r="DM144" t="e">
        <f>'All regions'!E3985+"$F;@!'`5"</f>
        <v>#VALUE!</v>
      </c>
      <c r="DN144" t="e">
        <f>'All regions'!F3985+"$F;@!'`6"</f>
        <v>#VALUE!</v>
      </c>
      <c r="DO144" t="e">
        <f>'All regions'!G3985+"$F;@!'`7"</f>
        <v>#VALUE!</v>
      </c>
      <c r="DP144" t="e">
        <f>'All regions'!H3985+"$F;@!'`8"</f>
        <v>#VALUE!</v>
      </c>
      <c r="DQ144" t="e">
        <f>'All regions'!I3985+"$F;@!'`9"</f>
        <v>#VALUE!</v>
      </c>
      <c r="DR144" t="e">
        <f>'All regions'!A3986+"$F;@!'`:"</f>
        <v>#VALUE!</v>
      </c>
      <c r="DS144" t="e">
        <f>'All regions'!B3986+"$F;@!'`;"</f>
        <v>#VALUE!</v>
      </c>
      <c r="DT144" t="e">
        <f>'All regions'!C3986+"$F;@!'`&lt;"</f>
        <v>#VALUE!</v>
      </c>
      <c r="DU144" t="e">
        <f>'All regions'!D3986+"$F;@!'`="</f>
        <v>#VALUE!</v>
      </c>
      <c r="DV144" t="e">
        <f>'All regions'!E3986+"$F;@!'`&gt;"</f>
        <v>#VALUE!</v>
      </c>
      <c r="DW144" t="e">
        <f>'All regions'!F3986+"$F;@!'`?"</f>
        <v>#VALUE!</v>
      </c>
      <c r="DX144" t="e">
        <f>'All regions'!G3986+"$F;@!'`@"</f>
        <v>#VALUE!</v>
      </c>
      <c r="DY144" t="e">
        <f>'All regions'!H3986+"$F;@!'`A"</f>
        <v>#VALUE!</v>
      </c>
      <c r="DZ144" t="e">
        <f>'All regions'!I3986+"$F;@!'`B"</f>
        <v>#VALUE!</v>
      </c>
      <c r="EA144" t="e">
        <f>'All regions'!A3987+"$F;@!'`C"</f>
        <v>#VALUE!</v>
      </c>
      <c r="EB144" t="e">
        <f>'All regions'!B3987+"$F;@!'`D"</f>
        <v>#VALUE!</v>
      </c>
      <c r="EC144" t="e">
        <f>'All regions'!C3987+"$F;@!'`E"</f>
        <v>#VALUE!</v>
      </c>
      <c r="ED144" t="e">
        <f>'All regions'!D3987+"$F;@!'`F"</f>
        <v>#VALUE!</v>
      </c>
      <c r="EE144" t="e">
        <f>'All regions'!E3987+"$F;@!'`G"</f>
        <v>#VALUE!</v>
      </c>
      <c r="EF144" t="e">
        <f>'All regions'!F3987+"$F;@!'`H"</f>
        <v>#VALUE!</v>
      </c>
      <c r="EG144" t="e">
        <f>'All regions'!G3987+"$F;@!'`I"</f>
        <v>#VALUE!</v>
      </c>
      <c r="EH144" t="e">
        <f>'All regions'!H3987+"$F;@!'`J"</f>
        <v>#VALUE!</v>
      </c>
      <c r="EI144" t="e">
        <f>'All regions'!I3987+"$F;@!'`K"</f>
        <v>#VALUE!</v>
      </c>
      <c r="EJ144" t="e">
        <f>'All regions'!A3988+"$F;@!'`L"</f>
        <v>#VALUE!</v>
      </c>
      <c r="EK144" t="e">
        <f>'All regions'!B3988+"$F;@!'`M"</f>
        <v>#VALUE!</v>
      </c>
      <c r="EL144" t="e">
        <f>'All regions'!C3988+"$F;@!'`N"</f>
        <v>#VALUE!</v>
      </c>
      <c r="EM144" t="e">
        <f>'All regions'!D3988+"$F;@!'`O"</f>
        <v>#VALUE!</v>
      </c>
      <c r="EN144" t="e">
        <f>'All regions'!E3988+"$F;@!'`P"</f>
        <v>#VALUE!</v>
      </c>
      <c r="EO144" t="e">
        <f>'All regions'!F3988+"$F;@!'`Q"</f>
        <v>#VALUE!</v>
      </c>
      <c r="EP144" t="e">
        <f>'All regions'!G3988+"$F;@!'`R"</f>
        <v>#VALUE!</v>
      </c>
      <c r="EQ144" t="e">
        <f>'All regions'!H3988+"$F;@!'`S"</f>
        <v>#VALUE!</v>
      </c>
      <c r="ER144" t="e">
        <f>'All regions'!I3988+"$F;@!'`T"</f>
        <v>#VALUE!</v>
      </c>
      <c r="ES144" t="e">
        <f>'All regions'!A3989+"$F;@!'`U"</f>
        <v>#VALUE!</v>
      </c>
      <c r="ET144" t="e">
        <f>'All regions'!B3989+"$F;@!'`V"</f>
        <v>#VALUE!</v>
      </c>
      <c r="EU144" t="e">
        <f>'All regions'!C3989+"$F;@!'`W"</f>
        <v>#VALUE!</v>
      </c>
      <c r="EV144" t="e">
        <f>'All regions'!D3989+"$F;@!'`X"</f>
        <v>#VALUE!</v>
      </c>
      <c r="EW144" t="e">
        <f>'All regions'!E3989+"$F;@!'`Y"</f>
        <v>#VALUE!</v>
      </c>
      <c r="EX144" t="e">
        <f>'All regions'!F3989+"$F;@!'`Z"</f>
        <v>#VALUE!</v>
      </c>
      <c r="EY144" t="e">
        <f>'All regions'!G3989+"$F;@!'`["</f>
        <v>#VALUE!</v>
      </c>
      <c r="EZ144" t="e">
        <f>'All regions'!H3989+"$F;@!'`\"</f>
        <v>#VALUE!</v>
      </c>
      <c r="FA144" t="e">
        <f>'All regions'!I3989+"$F;@!'`]"</f>
        <v>#VALUE!</v>
      </c>
      <c r="FB144" t="e">
        <f>'All regions'!A3990+"$F;@!'`^"</f>
        <v>#VALUE!</v>
      </c>
      <c r="FC144" t="e">
        <f>'All regions'!B3990+"$F;@!'`_"</f>
        <v>#VALUE!</v>
      </c>
      <c r="FD144" t="e">
        <f>'All regions'!C3990+"$F;@!'``"</f>
        <v>#VALUE!</v>
      </c>
      <c r="FE144" t="e">
        <f>'All regions'!D3990+"$F;@!'`a"</f>
        <v>#VALUE!</v>
      </c>
      <c r="FF144" t="e">
        <f>'All regions'!E3990+"$F;@!'`b"</f>
        <v>#VALUE!</v>
      </c>
      <c r="FG144" t="e">
        <f>'All regions'!F3990+"$F;@!'`c"</f>
        <v>#VALUE!</v>
      </c>
      <c r="FH144" t="e">
        <f>'All regions'!G3990+"$F;@!'`d"</f>
        <v>#VALUE!</v>
      </c>
      <c r="FI144" t="e">
        <f>'All regions'!H3990+"$F;@!'`e"</f>
        <v>#VALUE!</v>
      </c>
      <c r="FJ144" t="e">
        <f>'All regions'!I3990+"$F;@!'`f"</f>
        <v>#VALUE!</v>
      </c>
      <c r="FK144" t="e">
        <f>'All regions'!A3991+"$F;@!'`g"</f>
        <v>#VALUE!</v>
      </c>
      <c r="FL144" t="e">
        <f>'All regions'!B3991+"$F;@!'`h"</f>
        <v>#VALUE!</v>
      </c>
      <c r="FM144" t="e">
        <f>'All regions'!C3991+"$F;@!'`i"</f>
        <v>#VALUE!</v>
      </c>
      <c r="FN144" t="e">
        <f>'All regions'!D3991+"$F;@!'`j"</f>
        <v>#VALUE!</v>
      </c>
      <c r="FO144" t="e">
        <f>'All regions'!E3991+"$F;@!'`k"</f>
        <v>#VALUE!</v>
      </c>
      <c r="FP144" t="e">
        <f>'All regions'!F3991+"$F;@!'`l"</f>
        <v>#VALUE!</v>
      </c>
      <c r="FQ144" t="e">
        <f>'All regions'!G3991+"$F;@!'`m"</f>
        <v>#VALUE!</v>
      </c>
      <c r="FR144" t="e">
        <f>'All regions'!H3991+"$F;@!'`n"</f>
        <v>#VALUE!</v>
      </c>
      <c r="FS144" t="e">
        <f>'All regions'!I3991+"$F;@!'`o"</f>
        <v>#VALUE!</v>
      </c>
      <c r="FT144" t="e">
        <f>'All regions'!A3992+"$F;@!'`p"</f>
        <v>#VALUE!</v>
      </c>
      <c r="FU144" t="e">
        <f>'All regions'!B3992+"$F;@!'`q"</f>
        <v>#VALUE!</v>
      </c>
      <c r="FV144" t="e">
        <f>'All regions'!C3992+"$F;@!'`r"</f>
        <v>#VALUE!</v>
      </c>
      <c r="FW144" t="e">
        <f>'All regions'!D3992+"$F;@!'`s"</f>
        <v>#VALUE!</v>
      </c>
      <c r="FX144" t="e">
        <f>'All regions'!E3992+"$F;@!'`t"</f>
        <v>#VALUE!</v>
      </c>
      <c r="FY144" t="e">
        <f>'All regions'!F3992+"$F;@!'`u"</f>
        <v>#VALUE!</v>
      </c>
      <c r="FZ144" t="e">
        <f>'All regions'!G3992+"$F;@!'`v"</f>
        <v>#VALUE!</v>
      </c>
      <c r="GA144" t="e">
        <f>'All regions'!H3992+"$F;@!'`w"</f>
        <v>#VALUE!</v>
      </c>
      <c r="GB144" t="e">
        <f>'All regions'!I3992+"$F;@!'`x"</f>
        <v>#VALUE!</v>
      </c>
      <c r="GC144" t="e">
        <f>'All regions'!A3993+"$F;@!'`y"</f>
        <v>#VALUE!</v>
      </c>
      <c r="GD144" t="e">
        <f>'All regions'!B3993+"$F;@!'`z"</f>
        <v>#VALUE!</v>
      </c>
      <c r="GE144" t="e">
        <f>'All regions'!C3993+"$F;@!'`{"</f>
        <v>#VALUE!</v>
      </c>
      <c r="GF144" t="e">
        <f>'All regions'!D3993+"$F;@!'`|"</f>
        <v>#VALUE!</v>
      </c>
      <c r="GG144" t="e">
        <f>'All regions'!E3993+"$F;@!'`}"</f>
        <v>#VALUE!</v>
      </c>
      <c r="GH144" t="e">
        <f>'All regions'!F3993+"$F;@!'`~"</f>
        <v>#VALUE!</v>
      </c>
      <c r="GI144" t="e">
        <f>'All regions'!G3993+"$F;@!'a#"</f>
        <v>#VALUE!</v>
      </c>
      <c r="GJ144" t="e">
        <f>'All regions'!H3993+"$F;@!'a$"</f>
        <v>#VALUE!</v>
      </c>
      <c r="GK144" t="e">
        <f>'All regions'!I3993+"$F;@!'a%"</f>
        <v>#VALUE!</v>
      </c>
      <c r="GL144" t="e">
        <f>'All regions'!A3994+"$F;@!'a&amp;"</f>
        <v>#VALUE!</v>
      </c>
      <c r="GM144" t="e">
        <f>'All regions'!B3994+"$F;@!'a'"</f>
        <v>#VALUE!</v>
      </c>
      <c r="GN144" t="e">
        <f>'All regions'!C3994+"$F;@!'a("</f>
        <v>#VALUE!</v>
      </c>
      <c r="GO144" t="e">
        <f>'All regions'!D3994+"$F;@!'a)"</f>
        <v>#VALUE!</v>
      </c>
      <c r="GP144" t="e">
        <f>'All regions'!E3994+"$F;@!'a."</f>
        <v>#VALUE!</v>
      </c>
      <c r="GQ144" t="e">
        <f>'All regions'!F3994+"$F;@!'a/"</f>
        <v>#VALUE!</v>
      </c>
      <c r="GR144" t="e">
        <f>'All regions'!G3994+"$F;@!'a0"</f>
        <v>#VALUE!</v>
      </c>
      <c r="GS144" t="e">
        <f>'All regions'!H3994+"$F;@!'a1"</f>
        <v>#VALUE!</v>
      </c>
      <c r="GT144" t="e">
        <f>'All regions'!I3994+"$F;@!'a2"</f>
        <v>#VALUE!</v>
      </c>
      <c r="GU144" t="e">
        <f>'All regions'!A3995+"$F;@!'a3"</f>
        <v>#VALUE!</v>
      </c>
      <c r="GV144" t="e">
        <f>'All regions'!B3995+"$F;@!'a4"</f>
        <v>#VALUE!</v>
      </c>
      <c r="GW144" t="e">
        <f>'All regions'!C3995+"$F;@!'a5"</f>
        <v>#VALUE!</v>
      </c>
      <c r="GX144" t="e">
        <f>'All regions'!D3995+"$F;@!'a6"</f>
        <v>#VALUE!</v>
      </c>
      <c r="GY144" t="e">
        <f>'All regions'!E3995+"$F;@!'a7"</f>
        <v>#VALUE!</v>
      </c>
      <c r="GZ144" t="e">
        <f>'All regions'!F3995+"$F;@!'a8"</f>
        <v>#VALUE!</v>
      </c>
      <c r="HA144" t="e">
        <f>'All regions'!G3995+"$F;@!'a9"</f>
        <v>#VALUE!</v>
      </c>
      <c r="HB144" t="e">
        <f>'All regions'!H3995+"$F;@!'a:"</f>
        <v>#VALUE!</v>
      </c>
      <c r="HC144" t="e">
        <f>'All regions'!I3995+"$F;@!'a;"</f>
        <v>#VALUE!</v>
      </c>
      <c r="HD144" t="e">
        <f>'All regions'!A3996+"$F;@!'a&lt;"</f>
        <v>#VALUE!</v>
      </c>
      <c r="HE144" t="e">
        <f>'All regions'!B3996+"$F;@!'a="</f>
        <v>#VALUE!</v>
      </c>
      <c r="HF144" t="e">
        <f>'All regions'!C3996+"$F;@!'a&gt;"</f>
        <v>#VALUE!</v>
      </c>
      <c r="HG144" t="e">
        <f>'All regions'!D3996+"$F;@!'a?"</f>
        <v>#VALUE!</v>
      </c>
      <c r="HH144" t="e">
        <f>'All regions'!E3996+"$F;@!'a@"</f>
        <v>#VALUE!</v>
      </c>
      <c r="HI144" t="e">
        <f>'All regions'!F3996+"$F;@!'aA"</f>
        <v>#VALUE!</v>
      </c>
      <c r="HJ144" t="e">
        <f>'All regions'!G3996+"$F;@!'aB"</f>
        <v>#VALUE!</v>
      </c>
      <c r="HK144" t="e">
        <f>'All regions'!H3996+"$F;@!'aC"</f>
        <v>#VALUE!</v>
      </c>
      <c r="HL144" t="e">
        <f>'All regions'!I3996+"$F;@!'aD"</f>
        <v>#VALUE!</v>
      </c>
      <c r="HM144" t="e">
        <f>'All regions'!A3997+"$F;@!'aE"</f>
        <v>#VALUE!</v>
      </c>
      <c r="HN144" t="e">
        <f>'All regions'!B3997+"$F;@!'aF"</f>
        <v>#VALUE!</v>
      </c>
      <c r="HO144" t="e">
        <f>'All regions'!C3997+"$F;@!'aG"</f>
        <v>#VALUE!</v>
      </c>
      <c r="HP144" t="e">
        <f>'All regions'!D3997+"$F;@!'aH"</f>
        <v>#VALUE!</v>
      </c>
      <c r="HQ144" t="e">
        <f>'All regions'!E3997+"$F;@!'aI"</f>
        <v>#VALUE!</v>
      </c>
      <c r="HR144" t="e">
        <f>'All regions'!F3997+"$F;@!'aJ"</f>
        <v>#VALUE!</v>
      </c>
      <c r="HS144" t="e">
        <f>'All regions'!G3997+"$F;@!'aK"</f>
        <v>#VALUE!</v>
      </c>
      <c r="HT144" t="e">
        <f>'All regions'!H3997+"$F;@!'aL"</f>
        <v>#VALUE!</v>
      </c>
      <c r="HU144" t="e">
        <f>'All regions'!I3997+"$F;@!'aM"</f>
        <v>#VALUE!</v>
      </c>
      <c r="HV144" t="e">
        <f>'All regions'!A3998+"$F;@!'aN"</f>
        <v>#VALUE!</v>
      </c>
      <c r="HW144" t="e">
        <f>'All regions'!B3998+"$F;@!'aO"</f>
        <v>#VALUE!</v>
      </c>
      <c r="HX144" t="e">
        <f>'All regions'!C3998+"$F;@!'aP"</f>
        <v>#VALUE!</v>
      </c>
      <c r="HY144" t="e">
        <f>'All regions'!D3998+"$F;@!'aQ"</f>
        <v>#VALUE!</v>
      </c>
      <c r="HZ144" t="e">
        <f>'All regions'!E3998+"$F;@!'aR"</f>
        <v>#VALUE!</v>
      </c>
      <c r="IA144" t="e">
        <f>'All regions'!F3998+"$F;@!'aS"</f>
        <v>#VALUE!</v>
      </c>
      <c r="IB144" t="e">
        <f>'All regions'!G3998+"$F;@!'aT"</f>
        <v>#VALUE!</v>
      </c>
      <c r="IC144" t="e">
        <f>'All regions'!H3998+"$F;@!'aU"</f>
        <v>#VALUE!</v>
      </c>
      <c r="ID144" t="e">
        <f>'All regions'!I3998+"$F;@!'aV"</f>
        <v>#VALUE!</v>
      </c>
      <c r="IE144" t="e">
        <f>'All regions'!A3999+"$F;@!'aW"</f>
        <v>#VALUE!</v>
      </c>
      <c r="IF144" t="e">
        <f>'All regions'!B3999+"$F;@!'aX"</f>
        <v>#VALUE!</v>
      </c>
      <c r="IG144" t="e">
        <f>'All regions'!C3999+"$F;@!'aY"</f>
        <v>#VALUE!</v>
      </c>
      <c r="IH144" t="e">
        <f>'All regions'!D3999+"$F;@!'aZ"</f>
        <v>#VALUE!</v>
      </c>
      <c r="II144" t="e">
        <f>'All regions'!E3999+"$F;@!'a["</f>
        <v>#VALUE!</v>
      </c>
      <c r="IJ144" t="e">
        <f>'All regions'!F3999+"$F;@!'a\"</f>
        <v>#VALUE!</v>
      </c>
      <c r="IK144" t="e">
        <f>'All regions'!G3999+"$F;@!'a]"</f>
        <v>#VALUE!</v>
      </c>
      <c r="IL144" t="e">
        <f>'All regions'!H3999+"$F;@!'a^"</f>
        <v>#VALUE!</v>
      </c>
      <c r="IM144" t="e">
        <f>'All regions'!I3999+"$F;@!'a_"</f>
        <v>#VALUE!</v>
      </c>
      <c r="IN144" t="e">
        <f>'All regions'!A4000+"$F;@!'a`"</f>
        <v>#VALUE!</v>
      </c>
      <c r="IO144" t="e">
        <f>'All regions'!B4000+"$F;@!'aa"</f>
        <v>#VALUE!</v>
      </c>
      <c r="IP144" t="e">
        <f>'All regions'!C4000+"$F;@!'ab"</f>
        <v>#VALUE!</v>
      </c>
      <c r="IQ144" t="e">
        <f>'All regions'!D4000+"$F;@!'ac"</f>
        <v>#VALUE!</v>
      </c>
      <c r="IR144" t="e">
        <f>'All regions'!E4000+"$F;@!'ad"</f>
        <v>#VALUE!</v>
      </c>
      <c r="IS144" t="e">
        <f>'All regions'!F4000+"$F;@!'ae"</f>
        <v>#VALUE!</v>
      </c>
      <c r="IT144" t="e">
        <f>'All regions'!G4000+"$F;@!'af"</f>
        <v>#VALUE!</v>
      </c>
      <c r="IU144" t="e">
        <f>'All regions'!H4000+"$F;@!'ag"</f>
        <v>#VALUE!</v>
      </c>
      <c r="IV144" t="e">
        <f>'All regions'!I4000+"$F;@!'ah"</f>
        <v>#VALUE!</v>
      </c>
    </row>
    <row r="145" spans="6:256" x14ac:dyDescent="0.35">
      <c r="F145" t="e">
        <f>'All regions'!A4001+"$F;@!'ai"</f>
        <v>#VALUE!</v>
      </c>
      <c r="G145" t="e">
        <f>'All regions'!B4001+"$F;@!'aj"</f>
        <v>#VALUE!</v>
      </c>
      <c r="H145" t="e">
        <f>'All regions'!C4001+"$F;@!'ak"</f>
        <v>#VALUE!</v>
      </c>
      <c r="I145" t="e">
        <f>'All regions'!D4001+"$F;@!'al"</f>
        <v>#VALUE!</v>
      </c>
      <c r="J145" t="e">
        <f>'All regions'!E4001+"$F;@!'am"</f>
        <v>#VALUE!</v>
      </c>
      <c r="K145" t="e">
        <f>'All regions'!F4001+"$F;@!'an"</f>
        <v>#VALUE!</v>
      </c>
      <c r="L145" t="e">
        <f>'All regions'!G4001+"$F;@!'ao"</f>
        <v>#VALUE!</v>
      </c>
      <c r="M145" t="e">
        <f>'All regions'!H4001+"$F;@!'ap"</f>
        <v>#VALUE!</v>
      </c>
      <c r="N145" t="e">
        <f>'All regions'!I4001+"$F;@!'aq"</f>
        <v>#VALUE!</v>
      </c>
      <c r="O145" t="e">
        <f>'All regions'!A4002+"$F;@!'ar"</f>
        <v>#VALUE!</v>
      </c>
      <c r="P145" t="e">
        <f>'All regions'!B4002+"$F;@!'as"</f>
        <v>#VALUE!</v>
      </c>
      <c r="Q145" t="e">
        <f>'All regions'!C4002+"$F;@!'at"</f>
        <v>#VALUE!</v>
      </c>
      <c r="R145" t="e">
        <f>'All regions'!D4002+"$F;@!'au"</f>
        <v>#VALUE!</v>
      </c>
      <c r="S145" t="e">
        <f>'All regions'!E4002+"$F;@!'av"</f>
        <v>#VALUE!</v>
      </c>
      <c r="T145" t="e">
        <f>'All regions'!F4002+"$F;@!'aw"</f>
        <v>#VALUE!</v>
      </c>
      <c r="U145" t="e">
        <f>'All regions'!G4002+"$F;@!'ax"</f>
        <v>#VALUE!</v>
      </c>
      <c r="V145" t="e">
        <f>'All regions'!H4002+"$F;@!'ay"</f>
        <v>#VALUE!</v>
      </c>
      <c r="W145" t="e">
        <f>'All regions'!I4002+"$F;@!'az"</f>
        <v>#VALUE!</v>
      </c>
      <c r="X145" t="e">
        <f>'All regions'!A4003+"$F;@!'a{"</f>
        <v>#VALUE!</v>
      </c>
      <c r="Y145" t="e">
        <f>'All regions'!B4003+"$F;@!'a|"</f>
        <v>#VALUE!</v>
      </c>
      <c r="Z145" t="e">
        <f>'All regions'!C4003+"$F;@!'a}"</f>
        <v>#VALUE!</v>
      </c>
      <c r="AA145" t="e">
        <f>'All regions'!D4003+"$F;@!'a~"</f>
        <v>#VALUE!</v>
      </c>
      <c r="AB145" t="e">
        <f>'All regions'!E4003+"$F;@!'b#"</f>
        <v>#VALUE!</v>
      </c>
      <c r="AC145" t="e">
        <f>'All regions'!F4003+"$F;@!'b$"</f>
        <v>#VALUE!</v>
      </c>
      <c r="AD145" t="e">
        <f>'All regions'!G4003+"$F;@!'b%"</f>
        <v>#VALUE!</v>
      </c>
      <c r="AE145" t="e">
        <f>'All regions'!H4003+"$F;@!'b&amp;"</f>
        <v>#VALUE!</v>
      </c>
      <c r="AF145" t="e">
        <f>'All regions'!I4003+"$F;@!'b'"</f>
        <v>#VALUE!</v>
      </c>
      <c r="AG145" t="e">
        <f>'All regions'!A4004+"$F;@!'b("</f>
        <v>#VALUE!</v>
      </c>
      <c r="AH145" t="e">
        <f>'All regions'!B4004+"$F;@!'b)"</f>
        <v>#VALUE!</v>
      </c>
      <c r="AI145" t="e">
        <f>'All regions'!C4004+"$F;@!'b."</f>
        <v>#VALUE!</v>
      </c>
      <c r="AJ145" t="e">
        <f>'All regions'!D4004+"$F;@!'b/"</f>
        <v>#VALUE!</v>
      </c>
      <c r="AK145" t="e">
        <f>'All regions'!E4004+"$F;@!'b0"</f>
        <v>#VALUE!</v>
      </c>
      <c r="AL145" t="e">
        <f>'All regions'!F4004+"$F;@!'b1"</f>
        <v>#VALUE!</v>
      </c>
      <c r="AM145" t="e">
        <f>'All regions'!G4004+"$F;@!'b2"</f>
        <v>#VALUE!</v>
      </c>
      <c r="AN145" t="e">
        <f>'All regions'!H4004+"$F;@!'b3"</f>
        <v>#VALUE!</v>
      </c>
      <c r="AO145" t="e">
        <f>'All regions'!I4004+"$F;@!'b4"</f>
        <v>#VALUE!</v>
      </c>
      <c r="AP145" t="e">
        <f>'All regions'!A4005+"$F;@!'b5"</f>
        <v>#VALUE!</v>
      </c>
      <c r="AQ145" t="e">
        <f>'All regions'!B4005+"$F;@!'b6"</f>
        <v>#VALUE!</v>
      </c>
      <c r="AR145" t="e">
        <f>'All regions'!C4005+"$F;@!'b7"</f>
        <v>#VALUE!</v>
      </c>
      <c r="AS145" t="e">
        <f>'All regions'!D4005+"$F;@!'b8"</f>
        <v>#VALUE!</v>
      </c>
      <c r="AT145" t="e">
        <f>'All regions'!E4005+"$F;@!'b9"</f>
        <v>#VALUE!</v>
      </c>
      <c r="AU145" t="e">
        <f>'All regions'!F4005+"$F;@!'b:"</f>
        <v>#VALUE!</v>
      </c>
      <c r="AV145" t="e">
        <f>'All regions'!G4005+"$F;@!'b;"</f>
        <v>#VALUE!</v>
      </c>
      <c r="AW145" t="e">
        <f>'All regions'!H4005+"$F;@!'b&lt;"</f>
        <v>#VALUE!</v>
      </c>
      <c r="AX145" t="e">
        <f>'All regions'!I4005+"$F;@!'b="</f>
        <v>#VALUE!</v>
      </c>
      <c r="AY145" t="e">
        <f>'All regions'!A4006+"$F;@!'b&gt;"</f>
        <v>#VALUE!</v>
      </c>
      <c r="AZ145" t="e">
        <f>'All regions'!B4006+"$F;@!'b?"</f>
        <v>#VALUE!</v>
      </c>
      <c r="BA145" t="e">
        <f>'All regions'!C4006+"$F;@!'b@"</f>
        <v>#VALUE!</v>
      </c>
      <c r="BB145" t="e">
        <f>'All regions'!D4006+"$F;@!'bA"</f>
        <v>#VALUE!</v>
      </c>
      <c r="BC145" t="e">
        <f>'All regions'!E4006+"$F;@!'bB"</f>
        <v>#VALUE!</v>
      </c>
      <c r="BD145" t="e">
        <f>'All regions'!F4006+"$F;@!'bC"</f>
        <v>#VALUE!</v>
      </c>
      <c r="BE145" t="e">
        <f>'All regions'!G4006+"$F;@!'bD"</f>
        <v>#VALUE!</v>
      </c>
      <c r="BF145" t="e">
        <f>'All regions'!H4006+"$F;@!'bE"</f>
        <v>#VALUE!</v>
      </c>
      <c r="BG145" t="e">
        <f>'All regions'!I4006+"$F;@!'bF"</f>
        <v>#VALUE!</v>
      </c>
      <c r="BH145" t="e">
        <f>'All regions'!A4007+"$F;@!'bG"</f>
        <v>#VALUE!</v>
      </c>
      <c r="BI145" t="e">
        <f>'All regions'!B4007+"$F;@!'bH"</f>
        <v>#VALUE!</v>
      </c>
      <c r="BJ145" t="e">
        <f>'All regions'!C4007+"$F;@!'bI"</f>
        <v>#VALUE!</v>
      </c>
      <c r="BK145" t="e">
        <f>'All regions'!D4007+"$F;@!'bJ"</f>
        <v>#VALUE!</v>
      </c>
      <c r="BL145" t="e">
        <f>'All regions'!E4007+"$F;@!'bK"</f>
        <v>#VALUE!</v>
      </c>
      <c r="BM145" t="e">
        <f>'All regions'!F4007+"$F;@!'bL"</f>
        <v>#VALUE!</v>
      </c>
      <c r="BN145" t="e">
        <f>'All regions'!G4007+"$F;@!'bM"</f>
        <v>#VALUE!</v>
      </c>
      <c r="BO145" t="e">
        <f>'All regions'!H4007+"$F;@!'bN"</f>
        <v>#VALUE!</v>
      </c>
      <c r="BP145" t="e">
        <f>'All regions'!I4007+"$F;@!'bO"</f>
        <v>#VALUE!</v>
      </c>
      <c r="BQ145" t="e">
        <f>'All regions'!A4008+"$F;@!'bP"</f>
        <v>#VALUE!</v>
      </c>
      <c r="BR145" t="e">
        <f>'All regions'!B4008+"$F;@!'bQ"</f>
        <v>#VALUE!</v>
      </c>
      <c r="BS145" t="e">
        <f>'All regions'!C4008+"$F;@!'bR"</f>
        <v>#VALUE!</v>
      </c>
      <c r="BT145" t="e">
        <f>'All regions'!D4008+"$F;@!'bS"</f>
        <v>#VALUE!</v>
      </c>
      <c r="BU145" t="e">
        <f>'All regions'!E4008+"$F;@!'bT"</f>
        <v>#VALUE!</v>
      </c>
      <c r="BV145" t="e">
        <f>'All regions'!F4008+"$F;@!'bU"</f>
        <v>#VALUE!</v>
      </c>
      <c r="BW145" t="e">
        <f>'All regions'!G4008+"$F;@!'bV"</f>
        <v>#VALUE!</v>
      </c>
      <c r="BX145" t="e">
        <f>'All regions'!H4008+"$F;@!'bW"</f>
        <v>#VALUE!</v>
      </c>
      <c r="BY145" t="e">
        <f>'All regions'!I4008+"$F;@!'bX"</f>
        <v>#VALUE!</v>
      </c>
      <c r="BZ145" t="e">
        <f>'All regions'!A4009+"$F;@!'bY"</f>
        <v>#VALUE!</v>
      </c>
      <c r="CA145" t="e">
        <f>'All regions'!B4009+"$F;@!'bZ"</f>
        <v>#VALUE!</v>
      </c>
      <c r="CB145" t="e">
        <f>'All regions'!C4009+"$F;@!'b["</f>
        <v>#VALUE!</v>
      </c>
      <c r="CC145" t="e">
        <f>'All regions'!D4009+"$F;@!'b\"</f>
        <v>#VALUE!</v>
      </c>
      <c r="CD145" t="e">
        <f>'All regions'!E4009+"$F;@!'b]"</f>
        <v>#VALUE!</v>
      </c>
      <c r="CE145" t="e">
        <f>'All regions'!F4009+"$F;@!'b^"</f>
        <v>#VALUE!</v>
      </c>
      <c r="CF145" t="e">
        <f>'All regions'!G4009+"$F;@!'b_"</f>
        <v>#VALUE!</v>
      </c>
      <c r="CG145" t="e">
        <f>'All regions'!H4009+"$F;@!'b`"</f>
        <v>#VALUE!</v>
      </c>
      <c r="CH145" t="e">
        <f>'All regions'!I4009+"$F;@!'ba"</f>
        <v>#VALUE!</v>
      </c>
      <c r="CI145" t="e">
        <f>'All regions'!A4010+"$F;@!'bb"</f>
        <v>#VALUE!</v>
      </c>
      <c r="CJ145" t="e">
        <f>'All regions'!B4010+"$F;@!'bc"</f>
        <v>#VALUE!</v>
      </c>
      <c r="CK145" t="e">
        <f>'All regions'!C4010+"$F;@!'bd"</f>
        <v>#VALUE!</v>
      </c>
      <c r="CL145" t="e">
        <f>'All regions'!D4010+"$F;@!'be"</f>
        <v>#VALUE!</v>
      </c>
      <c r="CM145" t="e">
        <f>'All regions'!E4010+"$F;@!'bf"</f>
        <v>#VALUE!</v>
      </c>
      <c r="CN145" t="e">
        <f>'All regions'!F4010+"$F;@!'bg"</f>
        <v>#VALUE!</v>
      </c>
      <c r="CO145" t="e">
        <f>'All regions'!G4010+"$F;@!'bh"</f>
        <v>#VALUE!</v>
      </c>
      <c r="CP145" t="e">
        <f>'All regions'!H4010+"$F;@!'bi"</f>
        <v>#VALUE!</v>
      </c>
      <c r="CQ145" t="e">
        <f>'All regions'!I4010+"$F;@!'bj"</f>
        <v>#VALUE!</v>
      </c>
      <c r="CR145" t="e">
        <f>'All regions'!A4011+"$F;@!'bk"</f>
        <v>#VALUE!</v>
      </c>
      <c r="CS145" t="e">
        <f>'All regions'!B4011+"$F;@!'bl"</f>
        <v>#VALUE!</v>
      </c>
      <c r="CT145" t="e">
        <f>'All regions'!C4011+"$F;@!'bm"</f>
        <v>#VALUE!</v>
      </c>
      <c r="CU145" t="e">
        <f>'All regions'!D4011+"$F;@!'bn"</f>
        <v>#VALUE!</v>
      </c>
      <c r="CV145" t="e">
        <f>'All regions'!E4011+"$F;@!'bo"</f>
        <v>#VALUE!</v>
      </c>
      <c r="CW145" t="e">
        <f>'All regions'!F4011+"$F;@!'bp"</f>
        <v>#VALUE!</v>
      </c>
      <c r="CX145" t="e">
        <f>'All regions'!G4011+"$F;@!'bq"</f>
        <v>#VALUE!</v>
      </c>
      <c r="CY145" t="e">
        <f>'All regions'!H4011+"$F;@!'br"</f>
        <v>#VALUE!</v>
      </c>
      <c r="CZ145" t="e">
        <f>'All regions'!I4011+"$F;@!'bs"</f>
        <v>#VALUE!</v>
      </c>
      <c r="DA145" t="e">
        <f>'All regions'!A4012+"$F;@!'bt"</f>
        <v>#VALUE!</v>
      </c>
      <c r="DB145" t="e">
        <f>'All regions'!B4012+"$F;@!'bu"</f>
        <v>#VALUE!</v>
      </c>
      <c r="DC145" t="e">
        <f>'All regions'!C4012+"$F;@!'bv"</f>
        <v>#VALUE!</v>
      </c>
      <c r="DD145" t="e">
        <f>'All regions'!D4012+"$F;@!'bw"</f>
        <v>#VALUE!</v>
      </c>
      <c r="DE145" t="e">
        <f>'All regions'!E4012+"$F;@!'bx"</f>
        <v>#VALUE!</v>
      </c>
      <c r="DF145" t="e">
        <f>'All regions'!F4012+"$F;@!'by"</f>
        <v>#VALUE!</v>
      </c>
      <c r="DG145" t="e">
        <f>'All regions'!G4012+"$F;@!'bz"</f>
        <v>#VALUE!</v>
      </c>
      <c r="DH145" t="e">
        <f>'All regions'!H4012+"$F;@!'b{"</f>
        <v>#VALUE!</v>
      </c>
      <c r="DI145" t="e">
        <f>'All regions'!I4012+"$F;@!'b|"</f>
        <v>#VALUE!</v>
      </c>
      <c r="DJ145" t="e">
        <f>'All regions'!A4013+"$F;@!'b}"</f>
        <v>#VALUE!</v>
      </c>
      <c r="DK145" t="e">
        <f>'All regions'!B4013+"$F;@!'b~"</f>
        <v>#VALUE!</v>
      </c>
      <c r="DL145" t="e">
        <f>'All regions'!C4013+"$F;@!'c#"</f>
        <v>#VALUE!</v>
      </c>
      <c r="DM145" t="e">
        <f>'All regions'!D4013+"$F;@!'c$"</f>
        <v>#VALUE!</v>
      </c>
      <c r="DN145" t="e">
        <f>'All regions'!E4013+"$F;@!'c%"</f>
        <v>#VALUE!</v>
      </c>
      <c r="DO145" t="e">
        <f>'All regions'!F4013+"$F;@!'c&amp;"</f>
        <v>#VALUE!</v>
      </c>
      <c r="DP145" t="e">
        <f>'All regions'!G4013+"$F;@!'c'"</f>
        <v>#VALUE!</v>
      </c>
      <c r="DQ145" t="e">
        <f>'All regions'!H4013+"$F;@!'c("</f>
        <v>#VALUE!</v>
      </c>
      <c r="DR145" t="e">
        <f>'All regions'!I4013+"$F;@!'c)"</f>
        <v>#VALUE!</v>
      </c>
      <c r="DS145" t="e">
        <f>'All regions'!A4014+"$F;@!'c."</f>
        <v>#VALUE!</v>
      </c>
      <c r="DT145" t="e">
        <f>'All regions'!B4014+"$F;@!'c/"</f>
        <v>#VALUE!</v>
      </c>
      <c r="DU145" t="e">
        <f>'All regions'!C4014+"$F;@!'c0"</f>
        <v>#VALUE!</v>
      </c>
      <c r="DV145" t="e">
        <f>'All regions'!D4014+"$F;@!'c1"</f>
        <v>#VALUE!</v>
      </c>
      <c r="DW145" t="e">
        <f>'All regions'!E4014+"$F;@!'c2"</f>
        <v>#VALUE!</v>
      </c>
      <c r="DX145" t="e">
        <f>'All regions'!F4014+"$F;@!'c3"</f>
        <v>#VALUE!</v>
      </c>
      <c r="DY145" t="e">
        <f>'All regions'!G4014+"$F;@!'c4"</f>
        <v>#VALUE!</v>
      </c>
      <c r="DZ145" t="e">
        <f>'All regions'!H4014+"$F;@!'c5"</f>
        <v>#VALUE!</v>
      </c>
      <c r="EA145" t="e">
        <f>'All regions'!I4014+"$F;@!'c6"</f>
        <v>#VALUE!</v>
      </c>
      <c r="EB145" t="e">
        <f>'All regions'!A4015+"$F;@!'c7"</f>
        <v>#VALUE!</v>
      </c>
      <c r="EC145" t="e">
        <f>'All regions'!B4015+"$F;@!'c8"</f>
        <v>#VALUE!</v>
      </c>
      <c r="ED145" t="e">
        <f>'All regions'!C4015+"$F;@!'c9"</f>
        <v>#VALUE!</v>
      </c>
      <c r="EE145" t="e">
        <f>'All regions'!D4015+"$F;@!'c:"</f>
        <v>#VALUE!</v>
      </c>
      <c r="EF145" t="e">
        <f>'All regions'!E4015+"$F;@!'c;"</f>
        <v>#VALUE!</v>
      </c>
      <c r="EG145" t="e">
        <f>'All regions'!F4015+"$F;@!'c&lt;"</f>
        <v>#VALUE!</v>
      </c>
      <c r="EH145" t="e">
        <f>'All regions'!G4015+"$F;@!'c="</f>
        <v>#VALUE!</v>
      </c>
      <c r="EI145" t="e">
        <f>'All regions'!H4015+"$F;@!'c&gt;"</f>
        <v>#VALUE!</v>
      </c>
      <c r="EJ145" t="e">
        <f>'All regions'!I4015+"$F;@!'c?"</f>
        <v>#VALUE!</v>
      </c>
      <c r="EK145" t="e">
        <f>'All regions'!A4016+"$F;@!'c@"</f>
        <v>#VALUE!</v>
      </c>
      <c r="EL145" t="e">
        <f>'All regions'!B4016+"$F;@!'cA"</f>
        <v>#VALUE!</v>
      </c>
      <c r="EM145" t="e">
        <f>'All regions'!C4016+"$F;@!'cB"</f>
        <v>#VALUE!</v>
      </c>
      <c r="EN145" t="e">
        <f>'All regions'!D4016+"$F;@!'cC"</f>
        <v>#VALUE!</v>
      </c>
      <c r="EO145" t="e">
        <f>'All regions'!E4016+"$F;@!'cD"</f>
        <v>#VALUE!</v>
      </c>
      <c r="EP145" t="e">
        <f>'All regions'!F4016+"$F;@!'cE"</f>
        <v>#VALUE!</v>
      </c>
      <c r="EQ145" t="e">
        <f>'All regions'!G4016+"$F;@!'cF"</f>
        <v>#VALUE!</v>
      </c>
      <c r="ER145" t="e">
        <f>'All regions'!H4016+"$F;@!'cG"</f>
        <v>#VALUE!</v>
      </c>
      <c r="ES145" t="e">
        <f>'All regions'!I4016+"$F;@!'cH"</f>
        <v>#VALUE!</v>
      </c>
      <c r="ET145" t="e">
        <f>'All regions'!A4017+"$F;@!'cI"</f>
        <v>#VALUE!</v>
      </c>
      <c r="EU145" t="e">
        <f>'All regions'!B4017+"$F;@!'cJ"</f>
        <v>#VALUE!</v>
      </c>
      <c r="EV145" t="e">
        <f>'All regions'!C4017+"$F;@!'cK"</f>
        <v>#VALUE!</v>
      </c>
      <c r="EW145" t="e">
        <f>'All regions'!D4017+"$F;@!'cL"</f>
        <v>#VALUE!</v>
      </c>
      <c r="EX145" t="e">
        <f>'All regions'!E4017+"$F;@!'cM"</f>
        <v>#VALUE!</v>
      </c>
      <c r="EY145" t="e">
        <f>'All regions'!F4017+"$F;@!'cN"</f>
        <v>#VALUE!</v>
      </c>
      <c r="EZ145" t="e">
        <f>'All regions'!G4017+"$F;@!'cO"</f>
        <v>#VALUE!</v>
      </c>
      <c r="FA145" t="e">
        <f>'All regions'!H4017+"$F;@!'cP"</f>
        <v>#VALUE!</v>
      </c>
      <c r="FB145" t="e">
        <f>'All regions'!I4017+"$F;@!'cQ"</f>
        <v>#VALUE!</v>
      </c>
      <c r="FC145" t="e">
        <f>'All regions'!A4018+"$F;@!'cR"</f>
        <v>#VALUE!</v>
      </c>
      <c r="FD145" t="e">
        <f>'All regions'!B4018+"$F;@!'cS"</f>
        <v>#VALUE!</v>
      </c>
      <c r="FE145" t="e">
        <f>'All regions'!C4018+"$F;@!'cT"</f>
        <v>#VALUE!</v>
      </c>
      <c r="FF145" t="e">
        <f>'All regions'!D4018+"$F;@!'cU"</f>
        <v>#VALUE!</v>
      </c>
      <c r="FG145" t="e">
        <f>'All regions'!E4018+"$F;@!'cV"</f>
        <v>#VALUE!</v>
      </c>
      <c r="FH145" t="e">
        <f>'All regions'!F4018+"$F;@!'cW"</f>
        <v>#VALUE!</v>
      </c>
      <c r="FI145" t="e">
        <f>'All regions'!G4018+"$F;@!'cX"</f>
        <v>#VALUE!</v>
      </c>
      <c r="FJ145" t="e">
        <f>'All regions'!H4018+"$F;@!'cY"</f>
        <v>#VALUE!</v>
      </c>
      <c r="FK145" t="e">
        <f>'All regions'!I4018+"$F;@!'cZ"</f>
        <v>#VALUE!</v>
      </c>
      <c r="FL145" t="e">
        <f>'All regions'!A4019+"$F;@!'c["</f>
        <v>#VALUE!</v>
      </c>
      <c r="FM145" t="e">
        <f>'All regions'!B4019+"$F;@!'c\"</f>
        <v>#VALUE!</v>
      </c>
      <c r="FN145" t="e">
        <f>'All regions'!C4019+"$F;@!'c]"</f>
        <v>#VALUE!</v>
      </c>
      <c r="FO145" t="e">
        <f>'All regions'!D4019+"$F;@!'c^"</f>
        <v>#VALUE!</v>
      </c>
      <c r="FP145" t="e">
        <f>'All regions'!E4019+"$F;@!'c_"</f>
        <v>#VALUE!</v>
      </c>
      <c r="FQ145" t="e">
        <f>'All regions'!F4019+"$F;@!'c`"</f>
        <v>#VALUE!</v>
      </c>
      <c r="FR145" t="e">
        <f>'All regions'!G4019+"$F;@!'ca"</f>
        <v>#VALUE!</v>
      </c>
      <c r="FS145" t="e">
        <f>'All regions'!H4019+"$F;@!'cb"</f>
        <v>#VALUE!</v>
      </c>
      <c r="FT145" t="e">
        <f>'All regions'!I4019+"$F;@!'cc"</f>
        <v>#VALUE!</v>
      </c>
      <c r="FU145" t="e">
        <f>'All regions'!A4020+"$F;@!'cd"</f>
        <v>#VALUE!</v>
      </c>
      <c r="FV145" t="e">
        <f>'All regions'!B4020+"$F;@!'ce"</f>
        <v>#VALUE!</v>
      </c>
      <c r="FW145" t="e">
        <f>'All regions'!C4020+"$F;@!'cf"</f>
        <v>#VALUE!</v>
      </c>
      <c r="FX145" t="e">
        <f>'All regions'!D4020+"$F;@!'cg"</f>
        <v>#VALUE!</v>
      </c>
      <c r="FY145" t="e">
        <f>'All regions'!E4020+"$F;@!'ch"</f>
        <v>#VALUE!</v>
      </c>
      <c r="FZ145" t="e">
        <f>'All regions'!F4020+"$F;@!'ci"</f>
        <v>#VALUE!</v>
      </c>
      <c r="GA145" t="e">
        <f>'All regions'!G4020+"$F;@!'cj"</f>
        <v>#VALUE!</v>
      </c>
      <c r="GB145" t="e">
        <f>'All regions'!H4020+"$F;@!'ck"</f>
        <v>#VALUE!</v>
      </c>
      <c r="GC145" t="e">
        <f>'All regions'!I4020+"$F;@!'cl"</f>
        <v>#VALUE!</v>
      </c>
      <c r="GD145" t="e">
        <f>'All regions'!A4021+"$F;@!'cm"</f>
        <v>#VALUE!</v>
      </c>
      <c r="GE145" t="e">
        <f>'All regions'!B4021+"$F;@!'cn"</f>
        <v>#VALUE!</v>
      </c>
      <c r="GF145" t="e">
        <f>'All regions'!C4021+"$F;@!'co"</f>
        <v>#VALUE!</v>
      </c>
      <c r="GG145" t="e">
        <f>'All regions'!D4021+"$F;@!'cp"</f>
        <v>#VALUE!</v>
      </c>
      <c r="GH145" t="e">
        <f>'All regions'!E4021+"$F;@!'cq"</f>
        <v>#VALUE!</v>
      </c>
      <c r="GI145" t="e">
        <f>'All regions'!F4021+"$F;@!'cr"</f>
        <v>#VALUE!</v>
      </c>
      <c r="GJ145" t="e">
        <f>'All regions'!G4021+"$F;@!'cs"</f>
        <v>#VALUE!</v>
      </c>
      <c r="GK145" t="e">
        <f>'All regions'!H4021+"$F;@!'ct"</f>
        <v>#VALUE!</v>
      </c>
      <c r="GL145" t="e">
        <f>'All regions'!I4021+"$F;@!'cu"</f>
        <v>#VALUE!</v>
      </c>
      <c r="GM145" t="e">
        <f>'All regions'!A4022+"$F;@!'cv"</f>
        <v>#VALUE!</v>
      </c>
      <c r="GN145" t="e">
        <f>'All regions'!B4022+"$F;@!'cw"</f>
        <v>#VALUE!</v>
      </c>
      <c r="GO145" t="e">
        <f>'All regions'!C4022+"$F;@!'cx"</f>
        <v>#VALUE!</v>
      </c>
      <c r="GP145" t="e">
        <f>'All regions'!D4022+"$F;@!'cy"</f>
        <v>#VALUE!</v>
      </c>
      <c r="GQ145" t="e">
        <f>'All regions'!E4022+"$F;@!'cz"</f>
        <v>#VALUE!</v>
      </c>
      <c r="GR145" t="e">
        <f>'All regions'!F4022+"$F;@!'c{"</f>
        <v>#VALUE!</v>
      </c>
      <c r="GS145" t="e">
        <f>'All regions'!G4022+"$F;@!'c|"</f>
        <v>#VALUE!</v>
      </c>
      <c r="GT145" t="e">
        <f>'All regions'!H4022+"$F;@!'c}"</f>
        <v>#VALUE!</v>
      </c>
      <c r="GU145" t="e">
        <f>'All regions'!I4022+"$F;@!'c~"</f>
        <v>#VALUE!</v>
      </c>
      <c r="GV145" t="e">
        <f>'All regions'!A4023+"$F;@!'d#"</f>
        <v>#VALUE!</v>
      </c>
      <c r="GW145" t="e">
        <f>'All regions'!B4023+"$F;@!'d$"</f>
        <v>#VALUE!</v>
      </c>
      <c r="GX145" t="e">
        <f>'All regions'!C4023+"$F;@!'d%"</f>
        <v>#VALUE!</v>
      </c>
      <c r="GY145" t="e">
        <f>'All regions'!D4023+"$F;@!'d&amp;"</f>
        <v>#VALUE!</v>
      </c>
      <c r="GZ145" t="e">
        <f>'All regions'!E4023+"$F;@!'d'"</f>
        <v>#VALUE!</v>
      </c>
      <c r="HA145" t="e">
        <f>'All regions'!F4023+"$F;@!'d("</f>
        <v>#VALUE!</v>
      </c>
      <c r="HB145" t="e">
        <f>'All regions'!G4023+"$F;@!'d)"</f>
        <v>#VALUE!</v>
      </c>
      <c r="HC145" t="e">
        <f>'All regions'!H4023+"$F;@!'d."</f>
        <v>#VALUE!</v>
      </c>
      <c r="HD145" t="e">
        <f>'All regions'!I4023+"$F;@!'d/"</f>
        <v>#VALUE!</v>
      </c>
      <c r="HE145" t="e">
        <f>'All regions'!A4024+"$F;@!'d0"</f>
        <v>#VALUE!</v>
      </c>
      <c r="HF145" t="e">
        <f>'All regions'!B4024+"$F;@!'d1"</f>
        <v>#VALUE!</v>
      </c>
      <c r="HG145" t="e">
        <f>'All regions'!C4024+"$F;@!'d2"</f>
        <v>#VALUE!</v>
      </c>
      <c r="HH145" t="e">
        <f>'All regions'!D4024+"$F;@!'d3"</f>
        <v>#VALUE!</v>
      </c>
      <c r="HI145" t="e">
        <f>'All regions'!E4024+"$F;@!'d4"</f>
        <v>#VALUE!</v>
      </c>
      <c r="HJ145" t="e">
        <f>'All regions'!F4024+"$F;@!'d5"</f>
        <v>#VALUE!</v>
      </c>
      <c r="HK145" t="e">
        <f>'All regions'!G4024+"$F;@!'d6"</f>
        <v>#VALUE!</v>
      </c>
      <c r="HL145" t="e">
        <f>'All regions'!H4024+"$F;@!'d7"</f>
        <v>#VALUE!</v>
      </c>
      <c r="HM145" t="e">
        <f>'All regions'!I4024+"$F;@!'d8"</f>
        <v>#VALUE!</v>
      </c>
      <c r="HN145" t="e">
        <f>'All regions'!A4025+"$F;@!'d9"</f>
        <v>#VALUE!</v>
      </c>
      <c r="HO145" t="e">
        <f>'All regions'!B4025+"$F;@!'d:"</f>
        <v>#VALUE!</v>
      </c>
      <c r="HP145" t="e">
        <f>'All regions'!C4025+"$F;@!'d;"</f>
        <v>#VALUE!</v>
      </c>
      <c r="HQ145" t="e">
        <f>'All regions'!D4025+"$F;@!'d&lt;"</f>
        <v>#VALUE!</v>
      </c>
      <c r="HR145" t="e">
        <f>'All regions'!E4025+"$F;@!'d="</f>
        <v>#VALUE!</v>
      </c>
      <c r="HS145" t="e">
        <f>'All regions'!F4025+"$F;@!'d&gt;"</f>
        <v>#VALUE!</v>
      </c>
      <c r="HT145" t="e">
        <f>'All regions'!G4025+"$F;@!'d?"</f>
        <v>#VALUE!</v>
      </c>
      <c r="HU145" t="e">
        <f>'All regions'!H4025+"$F;@!'d@"</f>
        <v>#VALUE!</v>
      </c>
      <c r="HV145" t="e">
        <f>'All regions'!I4025+"$F;@!'dA"</f>
        <v>#VALUE!</v>
      </c>
      <c r="HW145" t="e">
        <f>'All regions'!A4026+"$F;@!'dB"</f>
        <v>#VALUE!</v>
      </c>
      <c r="HX145" t="e">
        <f>'All regions'!B4026+"$F;@!'dC"</f>
        <v>#VALUE!</v>
      </c>
      <c r="HY145" t="e">
        <f>'All regions'!C4026+"$F;@!'dD"</f>
        <v>#VALUE!</v>
      </c>
      <c r="HZ145" t="e">
        <f>'All regions'!D4026+"$F;@!'dE"</f>
        <v>#VALUE!</v>
      </c>
      <c r="IA145" t="e">
        <f>'All regions'!E4026+"$F;@!'dF"</f>
        <v>#VALUE!</v>
      </c>
      <c r="IB145" t="e">
        <f>'All regions'!F4026+"$F;@!'dG"</f>
        <v>#VALUE!</v>
      </c>
      <c r="IC145" t="e">
        <f>'All regions'!G4026+"$F;@!'dH"</f>
        <v>#VALUE!</v>
      </c>
      <c r="ID145" t="e">
        <f>'All regions'!H4026+"$F;@!'dI"</f>
        <v>#VALUE!</v>
      </c>
      <c r="IE145" t="e">
        <f>'All regions'!I4026+"$F;@!'dJ"</f>
        <v>#VALUE!</v>
      </c>
      <c r="IF145" t="e">
        <f>'All regions'!A4027+"$F;@!'dK"</f>
        <v>#VALUE!</v>
      </c>
      <c r="IG145" t="e">
        <f>'All regions'!B4027+"$F;@!'dL"</f>
        <v>#VALUE!</v>
      </c>
      <c r="IH145" t="e">
        <f>'All regions'!C4027+"$F;@!'dM"</f>
        <v>#VALUE!</v>
      </c>
      <c r="II145" t="e">
        <f>'All regions'!D4027+"$F;@!'dN"</f>
        <v>#VALUE!</v>
      </c>
      <c r="IJ145" t="e">
        <f>'All regions'!E4027+"$F;@!'dO"</f>
        <v>#VALUE!</v>
      </c>
      <c r="IK145" t="e">
        <f>'All regions'!F4027+"$F;@!'dP"</f>
        <v>#VALUE!</v>
      </c>
      <c r="IL145" t="e">
        <f>'All regions'!G4027+"$F;@!'dQ"</f>
        <v>#VALUE!</v>
      </c>
      <c r="IM145" t="e">
        <f>'All regions'!H4027+"$F;@!'dR"</f>
        <v>#VALUE!</v>
      </c>
      <c r="IN145" t="e">
        <f>'All regions'!I4027+"$F;@!'dS"</f>
        <v>#VALUE!</v>
      </c>
      <c r="IO145" t="e">
        <f>'All regions'!A4028+"$F;@!'dT"</f>
        <v>#VALUE!</v>
      </c>
      <c r="IP145" t="e">
        <f>'All regions'!B4028+"$F;@!'dU"</f>
        <v>#VALUE!</v>
      </c>
      <c r="IQ145" t="e">
        <f>'All regions'!C4028+"$F;@!'dV"</f>
        <v>#VALUE!</v>
      </c>
      <c r="IR145" t="e">
        <f>'All regions'!D4028+"$F;@!'dW"</f>
        <v>#VALUE!</v>
      </c>
      <c r="IS145" t="e">
        <f>'All regions'!E4028+"$F;@!'dX"</f>
        <v>#VALUE!</v>
      </c>
      <c r="IT145" t="e">
        <f>'All regions'!F4028+"$F;@!'dY"</f>
        <v>#VALUE!</v>
      </c>
      <c r="IU145" t="e">
        <f>'All regions'!G4028+"$F;@!'dZ"</f>
        <v>#VALUE!</v>
      </c>
      <c r="IV145" t="e">
        <f>'All regions'!H4028+"$F;@!'d["</f>
        <v>#VALUE!</v>
      </c>
    </row>
    <row r="146" spans="6:256" x14ac:dyDescent="0.35">
      <c r="F146" t="e">
        <f>'All regions'!I4028+"$F;@!'d\"</f>
        <v>#VALUE!</v>
      </c>
      <c r="G146" t="e">
        <f>'All regions'!A4029+"$F;@!'d]"</f>
        <v>#VALUE!</v>
      </c>
      <c r="H146" t="e">
        <f>'All regions'!B4029+"$F;@!'d^"</f>
        <v>#VALUE!</v>
      </c>
      <c r="I146" t="e">
        <f>'All regions'!C4029+"$F;@!'d_"</f>
        <v>#VALUE!</v>
      </c>
      <c r="J146" t="e">
        <f>'All regions'!D4029+"$F;@!'d`"</f>
        <v>#VALUE!</v>
      </c>
      <c r="K146" t="e">
        <f>'All regions'!E4029+"$F;@!'da"</f>
        <v>#VALUE!</v>
      </c>
      <c r="L146" t="e">
        <f>'All regions'!F4029+"$F;@!'db"</f>
        <v>#VALUE!</v>
      </c>
      <c r="M146" t="e">
        <f>'All regions'!G4029+"$F;@!'dc"</f>
        <v>#VALUE!</v>
      </c>
      <c r="N146" t="e">
        <f>'All regions'!H4029+"$F;@!'dd"</f>
        <v>#VALUE!</v>
      </c>
      <c r="O146" t="e">
        <f>'All regions'!I4029+"$F;@!'de"</f>
        <v>#VALUE!</v>
      </c>
      <c r="P146" t="e">
        <f>'All regions'!A4030+"$F;@!'df"</f>
        <v>#VALUE!</v>
      </c>
      <c r="Q146" t="e">
        <f>'All regions'!B4030+"$F;@!'dg"</f>
        <v>#VALUE!</v>
      </c>
      <c r="R146" t="e">
        <f>'All regions'!C4030+"$F;@!'dh"</f>
        <v>#VALUE!</v>
      </c>
      <c r="S146" t="e">
        <f>'All regions'!D4030+"$F;@!'di"</f>
        <v>#VALUE!</v>
      </c>
      <c r="T146" t="e">
        <f>'All regions'!E4030+"$F;@!'dj"</f>
        <v>#VALUE!</v>
      </c>
      <c r="U146" t="e">
        <f>'All regions'!F4030+"$F;@!'dk"</f>
        <v>#VALUE!</v>
      </c>
      <c r="V146" t="e">
        <f>'All regions'!G4030+"$F;@!'dl"</f>
        <v>#VALUE!</v>
      </c>
      <c r="W146" t="e">
        <f>'All regions'!H4030+"$F;@!'dm"</f>
        <v>#VALUE!</v>
      </c>
      <c r="X146" t="e">
        <f>'All regions'!I4030+"$F;@!'dn"</f>
        <v>#VALUE!</v>
      </c>
      <c r="Y146" t="e">
        <f>'All regions'!A4031+"$F;@!'do"</f>
        <v>#VALUE!</v>
      </c>
      <c r="Z146" t="e">
        <f>'All regions'!B4031+"$F;@!'dp"</f>
        <v>#VALUE!</v>
      </c>
      <c r="AA146" t="e">
        <f>'All regions'!C4031+"$F;@!'dq"</f>
        <v>#VALUE!</v>
      </c>
      <c r="AB146" t="e">
        <f>'All regions'!D4031+"$F;@!'dr"</f>
        <v>#VALUE!</v>
      </c>
      <c r="AC146" t="e">
        <f>'All regions'!E4031+"$F;@!'ds"</f>
        <v>#VALUE!</v>
      </c>
      <c r="AD146" t="e">
        <f>'All regions'!F4031+"$F;@!'dt"</f>
        <v>#VALUE!</v>
      </c>
      <c r="AE146" t="e">
        <f>'All regions'!G4031+"$F;@!'du"</f>
        <v>#VALUE!</v>
      </c>
      <c r="AF146" t="e">
        <f>'All regions'!H4031+"$F;@!'dv"</f>
        <v>#VALUE!</v>
      </c>
      <c r="AG146" t="e">
        <f>'All regions'!I4031+"$F;@!'dw"</f>
        <v>#VALUE!</v>
      </c>
      <c r="AH146" t="e">
        <f>'All regions'!A4032+"$F;@!'dx"</f>
        <v>#VALUE!</v>
      </c>
      <c r="AI146" t="e">
        <f>'All regions'!B4032+"$F;@!'dy"</f>
        <v>#VALUE!</v>
      </c>
      <c r="AJ146" t="e">
        <f>'All regions'!C4032+"$F;@!'dz"</f>
        <v>#VALUE!</v>
      </c>
      <c r="AK146" t="e">
        <f>'All regions'!D4032+"$F;@!'d{"</f>
        <v>#VALUE!</v>
      </c>
      <c r="AL146" t="e">
        <f>'All regions'!E4032+"$F;@!'d|"</f>
        <v>#VALUE!</v>
      </c>
      <c r="AM146" t="e">
        <f>'All regions'!F4032+"$F;@!'d}"</f>
        <v>#VALUE!</v>
      </c>
      <c r="AN146" t="e">
        <f>'All regions'!G4032+"$F;@!'d~"</f>
        <v>#VALUE!</v>
      </c>
      <c r="AO146" t="e">
        <f>'All regions'!H4032+"$F;@!'e#"</f>
        <v>#VALUE!</v>
      </c>
      <c r="AP146" t="e">
        <f>'All regions'!I4032+"$F;@!'e$"</f>
        <v>#VALUE!</v>
      </c>
      <c r="AQ146" t="e">
        <f>'All regions'!A4033+"$F;@!'e%"</f>
        <v>#VALUE!</v>
      </c>
      <c r="AR146" t="e">
        <f>'All regions'!B4033+"$F;@!'e&amp;"</f>
        <v>#VALUE!</v>
      </c>
      <c r="AS146" t="e">
        <f>'All regions'!C4033+"$F;@!'e'"</f>
        <v>#VALUE!</v>
      </c>
      <c r="AT146" t="e">
        <f>'All regions'!D4033+"$F;@!'e("</f>
        <v>#VALUE!</v>
      </c>
      <c r="AU146" t="e">
        <f>'All regions'!E4033+"$F;@!'e)"</f>
        <v>#VALUE!</v>
      </c>
      <c r="AV146" t="e">
        <f>'All regions'!F4033+"$F;@!'e."</f>
        <v>#VALUE!</v>
      </c>
      <c r="AW146" t="e">
        <f>'All regions'!G4033+"$F;@!'e/"</f>
        <v>#VALUE!</v>
      </c>
      <c r="AX146" t="e">
        <f>'All regions'!H4033+"$F;@!'e0"</f>
        <v>#VALUE!</v>
      </c>
      <c r="AY146" t="e">
        <f>'All regions'!I4033+"$F;@!'e1"</f>
        <v>#VALUE!</v>
      </c>
      <c r="AZ146" t="e">
        <f>'All regions'!A4034+"$F;@!'e2"</f>
        <v>#VALUE!</v>
      </c>
      <c r="BA146" t="e">
        <f>'All regions'!B4034+"$F;@!'e3"</f>
        <v>#VALUE!</v>
      </c>
      <c r="BB146" t="e">
        <f>'All regions'!C4034+"$F;@!'e4"</f>
        <v>#VALUE!</v>
      </c>
      <c r="BC146" t="e">
        <f>'All regions'!D4034+"$F;@!'e5"</f>
        <v>#VALUE!</v>
      </c>
      <c r="BD146" t="e">
        <f>'All regions'!E4034+"$F;@!'e6"</f>
        <v>#VALUE!</v>
      </c>
      <c r="BE146" t="e">
        <f>'All regions'!F4034+"$F;@!'e7"</f>
        <v>#VALUE!</v>
      </c>
      <c r="BF146" t="e">
        <f>'All regions'!G4034+"$F;@!'e8"</f>
        <v>#VALUE!</v>
      </c>
      <c r="BG146" t="e">
        <f>'All regions'!H4034+"$F;@!'e9"</f>
        <v>#VALUE!</v>
      </c>
      <c r="BH146" t="e">
        <f>'All regions'!I4034+"$F;@!'e:"</f>
        <v>#VALUE!</v>
      </c>
      <c r="BI146" t="e">
        <f>'All regions'!A4035+"$F;@!'e;"</f>
        <v>#VALUE!</v>
      </c>
      <c r="BJ146" t="e">
        <f>'All regions'!B4035+"$F;@!'e&lt;"</f>
        <v>#VALUE!</v>
      </c>
      <c r="BK146" t="e">
        <f>'All regions'!C4035+"$F;@!'e="</f>
        <v>#VALUE!</v>
      </c>
      <c r="BL146" t="e">
        <f>'All regions'!D4035+"$F;@!'e&gt;"</f>
        <v>#VALUE!</v>
      </c>
      <c r="BM146" t="e">
        <f>'All regions'!E4035+"$F;@!'e?"</f>
        <v>#VALUE!</v>
      </c>
      <c r="BN146" t="e">
        <f>'All regions'!F4035+"$F;@!'e@"</f>
        <v>#VALUE!</v>
      </c>
      <c r="BO146" t="e">
        <f>'All regions'!G4035+"$F;@!'eA"</f>
        <v>#VALUE!</v>
      </c>
      <c r="BP146" t="e">
        <f>'All regions'!H4035+"$F;@!'eB"</f>
        <v>#VALUE!</v>
      </c>
      <c r="BQ146" t="e">
        <f>'All regions'!I4035+"$F;@!'eC"</f>
        <v>#VALUE!</v>
      </c>
      <c r="BR146" t="e">
        <f>'All regions'!A4036+"$F;@!'eD"</f>
        <v>#VALUE!</v>
      </c>
      <c r="BS146" t="e">
        <f>'All regions'!B4036+"$F;@!'eE"</f>
        <v>#VALUE!</v>
      </c>
      <c r="BT146" t="e">
        <f>'All regions'!C4036+"$F;@!'eF"</f>
        <v>#VALUE!</v>
      </c>
      <c r="BU146" t="e">
        <f>'All regions'!D4036+"$F;@!'eG"</f>
        <v>#VALUE!</v>
      </c>
      <c r="BV146" t="e">
        <f>'All regions'!E4036+"$F;@!'eH"</f>
        <v>#VALUE!</v>
      </c>
      <c r="BW146" t="e">
        <f>'All regions'!F4036+"$F;@!'eI"</f>
        <v>#VALUE!</v>
      </c>
      <c r="BX146" t="e">
        <f>'All regions'!G4036+"$F;@!'eJ"</f>
        <v>#VALUE!</v>
      </c>
      <c r="BY146" t="e">
        <f>'All regions'!H4036+"$F;@!'eK"</f>
        <v>#VALUE!</v>
      </c>
      <c r="BZ146" t="e">
        <f>'All regions'!I4036+"$F;@!'eL"</f>
        <v>#VALUE!</v>
      </c>
      <c r="CA146" t="e">
        <f>'All regions'!A4037+"$F;@!'eM"</f>
        <v>#VALUE!</v>
      </c>
      <c r="CB146" t="e">
        <f>'All regions'!B4037+"$F;@!'eN"</f>
        <v>#VALUE!</v>
      </c>
      <c r="CC146" t="e">
        <f>'All regions'!C4037+"$F;@!'eO"</f>
        <v>#VALUE!</v>
      </c>
      <c r="CD146" t="e">
        <f>'All regions'!D4037+"$F;@!'eP"</f>
        <v>#VALUE!</v>
      </c>
      <c r="CE146" t="e">
        <f>'All regions'!E4037+"$F;@!'eQ"</f>
        <v>#VALUE!</v>
      </c>
      <c r="CF146" t="e">
        <f>'All regions'!F4037+"$F;@!'eR"</f>
        <v>#VALUE!</v>
      </c>
      <c r="CG146" t="e">
        <f>'All regions'!G4037+"$F;@!'eS"</f>
        <v>#VALUE!</v>
      </c>
      <c r="CH146" t="e">
        <f>'All regions'!H4037+"$F;@!'eT"</f>
        <v>#VALUE!</v>
      </c>
      <c r="CI146" t="e">
        <f>'All regions'!I4037+"$F;@!'eU"</f>
        <v>#VALUE!</v>
      </c>
      <c r="CJ146" t="e">
        <f>'All regions'!A4038+"$F;@!'eV"</f>
        <v>#VALUE!</v>
      </c>
      <c r="CK146" t="e">
        <f>'All regions'!B4038+"$F;@!'eW"</f>
        <v>#VALUE!</v>
      </c>
      <c r="CL146" t="e">
        <f>'All regions'!C4038+"$F;@!'eX"</f>
        <v>#VALUE!</v>
      </c>
      <c r="CM146" t="e">
        <f>'All regions'!D4038+"$F;@!'eY"</f>
        <v>#VALUE!</v>
      </c>
      <c r="CN146" t="e">
        <f>'All regions'!E4038+"$F;@!'eZ"</f>
        <v>#VALUE!</v>
      </c>
      <c r="CO146" t="e">
        <f>'All regions'!F4038+"$F;@!'e["</f>
        <v>#VALUE!</v>
      </c>
      <c r="CP146" t="e">
        <f>'All regions'!G4038+"$F;@!'e\"</f>
        <v>#VALUE!</v>
      </c>
      <c r="CQ146" t="e">
        <f>'All regions'!H4038+"$F;@!'e]"</f>
        <v>#VALUE!</v>
      </c>
      <c r="CR146" t="e">
        <f>'All regions'!I4038+"$F;@!'e^"</f>
        <v>#VALUE!</v>
      </c>
      <c r="CS146" t="e">
        <f>'All regions'!A4039+"$F;@!'e_"</f>
        <v>#VALUE!</v>
      </c>
      <c r="CT146" t="e">
        <f>'All regions'!B4039+"$F;@!'e`"</f>
        <v>#VALUE!</v>
      </c>
      <c r="CU146" t="e">
        <f>'All regions'!C4039+"$F;@!'ea"</f>
        <v>#VALUE!</v>
      </c>
      <c r="CV146" t="e">
        <f>'All regions'!D4039+"$F;@!'eb"</f>
        <v>#VALUE!</v>
      </c>
      <c r="CW146" t="e">
        <f>'All regions'!E4039+"$F;@!'ec"</f>
        <v>#VALUE!</v>
      </c>
      <c r="CX146" t="e">
        <f>'All regions'!F4039+"$F;@!'ed"</f>
        <v>#VALUE!</v>
      </c>
      <c r="CY146" t="e">
        <f>'All regions'!G4039+"$F;@!'ee"</f>
        <v>#VALUE!</v>
      </c>
      <c r="CZ146" t="e">
        <f>'All regions'!H4039+"$F;@!'ef"</f>
        <v>#VALUE!</v>
      </c>
      <c r="DA146" t="e">
        <f>'All regions'!I4039+"$F;@!'eg"</f>
        <v>#VALUE!</v>
      </c>
      <c r="DB146" t="e">
        <f>'All regions'!A4040+"$F;@!'eh"</f>
        <v>#VALUE!</v>
      </c>
      <c r="DC146" t="e">
        <f>'All regions'!B4040+"$F;@!'ei"</f>
        <v>#VALUE!</v>
      </c>
      <c r="DD146" t="e">
        <f>'All regions'!C4040+"$F;@!'ej"</f>
        <v>#VALUE!</v>
      </c>
      <c r="DE146" t="e">
        <f>'All regions'!D4040+"$F;@!'ek"</f>
        <v>#VALUE!</v>
      </c>
      <c r="DF146" t="e">
        <f>'All regions'!E4040+"$F;@!'el"</f>
        <v>#VALUE!</v>
      </c>
      <c r="DG146" t="e">
        <f>'All regions'!F4040+"$F;@!'em"</f>
        <v>#VALUE!</v>
      </c>
      <c r="DH146" t="e">
        <f>'All regions'!G4040+"$F;@!'en"</f>
        <v>#VALUE!</v>
      </c>
      <c r="DI146" t="e">
        <f>'All regions'!H4040+"$F;@!'eo"</f>
        <v>#VALUE!</v>
      </c>
      <c r="DJ146" t="e">
        <f>'All regions'!I4040+"$F;@!'ep"</f>
        <v>#VALUE!</v>
      </c>
      <c r="DK146" t="e">
        <f>'All regions'!A4041+"$F;@!'eq"</f>
        <v>#VALUE!</v>
      </c>
      <c r="DL146" t="e">
        <f>'All regions'!B4041+"$F;@!'er"</f>
        <v>#VALUE!</v>
      </c>
      <c r="DM146" t="e">
        <f>'All regions'!C4041+"$F;@!'es"</f>
        <v>#VALUE!</v>
      </c>
      <c r="DN146" t="e">
        <f>'All regions'!D4041+"$F;@!'et"</f>
        <v>#VALUE!</v>
      </c>
      <c r="DO146" t="e">
        <f>'All regions'!E4041+"$F;@!'eu"</f>
        <v>#VALUE!</v>
      </c>
      <c r="DP146" t="e">
        <f>'All regions'!F4041+"$F;@!'ev"</f>
        <v>#VALUE!</v>
      </c>
      <c r="DQ146" t="e">
        <f>'All regions'!G4041+"$F;@!'ew"</f>
        <v>#VALUE!</v>
      </c>
      <c r="DR146" t="e">
        <f>'All regions'!H4041+"$F;@!'ex"</f>
        <v>#VALUE!</v>
      </c>
      <c r="DS146" t="e">
        <f>'All regions'!I4041+"$F;@!'ey"</f>
        <v>#VALUE!</v>
      </c>
      <c r="DT146" t="e">
        <f>'All regions'!A4042+"$F;@!'ez"</f>
        <v>#VALUE!</v>
      </c>
      <c r="DU146" t="e">
        <f>'All regions'!B4042+"$F;@!'e{"</f>
        <v>#VALUE!</v>
      </c>
      <c r="DV146" t="e">
        <f>'All regions'!C4042+"$F;@!'e|"</f>
        <v>#VALUE!</v>
      </c>
      <c r="DW146" t="e">
        <f>'All regions'!D4042+"$F;@!'e}"</f>
        <v>#VALUE!</v>
      </c>
      <c r="DX146" t="e">
        <f>'All regions'!E4042+"$F;@!'e~"</f>
        <v>#VALUE!</v>
      </c>
      <c r="DY146" t="e">
        <f>'All regions'!F4042+"$F;@!'f#"</f>
        <v>#VALUE!</v>
      </c>
      <c r="DZ146" t="e">
        <f>'All regions'!G4042+"$F;@!'f$"</f>
        <v>#VALUE!</v>
      </c>
      <c r="EA146" t="e">
        <f>'All regions'!H4042+"$F;@!'f%"</f>
        <v>#VALUE!</v>
      </c>
      <c r="EB146" t="e">
        <f>'All regions'!I4042+"$F;@!'f&amp;"</f>
        <v>#VALUE!</v>
      </c>
      <c r="EC146" t="e">
        <f>'All regions'!A4043+"$F;@!'f'"</f>
        <v>#VALUE!</v>
      </c>
      <c r="ED146" t="e">
        <f>'All regions'!B4043+"$F;@!'f("</f>
        <v>#VALUE!</v>
      </c>
      <c r="EE146" t="e">
        <f>'All regions'!C4043+"$F;@!'f)"</f>
        <v>#VALUE!</v>
      </c>
      <c r="EF146" t="e">
        <f>'All regions'!D4043+"$F;@!'f."</f>
        <v>#VALUE!</v>
      </c>
      <c r="EG146" t="e">
        <f>'All regions'!E4043+"$F;@!'f/"</f>
        <v>#VALUE!</v>
      </c>
      <c r="EH146" t="e">
        <f>'All regions'!F4043+"$F;@!'f0"</f>
        <v>#VALUE!</v>
      </c>
      <c r="EI146" t="e">
        <f>'All regions'!G4043+"$F;@!'f1"</f>
        <v>#VALUE!</v>
      </c>
      <c r="EJ146" t="e">
        <f>'All regions'!H4043+"$F;@!'f2"</f>
        <v>#VALUE!</v>
      </c>
      <c r="EK146" t="e">
        <f>'All regions'!I4043+"$F;@!'f3"</f>
        <v>#VALUE!</v>
      </c>
      <c r="EL146" t="e">
        <f>'All regions'!A4044+"$F;@!'f4"</f>
        <v>#VALUE!</v>
      </c>
      <c r="EM146" t="e">
        <f>'All regions'!B4044+"$F;@!'f5"</f>
        <v>#VALUE!</v>
      </c>
      <c r="EN146" t="e">
        <f>'All regions'!C4044+"$F;@!'f6"</f>
        <v>#VALUE!</v>
      </c>
      <c r="EO146" t="e">
        <f>'All regions'!D4044+"$F;@!'f7"</f>
        <v>#VALUE!</v>
      </c>
      <c r="EP146" t="e">
        <f>'All regions'!E4044+"$F;@!'f8"</f>
        <v>#VALUE!</v>
      </c>
      <c r="EQ146" t="e">
        <f>'All regions'!F4044+"$F;@!'f9"</f>
        <v>#VALUE!</v>
      </c>
      <c r="ER146" t="e">
        <f>'All regions'!G4044+"$F;@!'f:"</f>
        <v>#VALUE!</v>
      </c>
      <c r="ES146" t="e">
        <f>'All regions'!H4044+"$F;@!'f;"</f>
        <v>#VALUE!</v>
      </c>
      <c r="ET146" t="e">
        <f>'All regions'!I4044+"$F;@!'f&lt;"</f>
        <v>#VALUE!</v>
      </c>
      <c r="EU146" t="e">
        <f>'All regions'!A4045+"$F;@!'f="</f>
        <v>#VALUE!</v>
      </c>
      <c r="EV146" t="e">
        <f>'All regions'!B4045+"$F;@!'f&gt;"</f>
        <v>#VALUE!</v>
      </c>
      <c r="EW146" t="e">
        <f>'All regions'!C4045+"$F;@!'f?"</f>
        <v>#VALUE!</v>
      </c>
      <c r="EX146" t="e">
        <f>'All regions'!D4045+"$F;@!'f@"</f>
        <v>#VALUE!</v>
      </c>
      <c r="EY146" t="e">
        <f>'All regions'!E4045+"$F;@!'fA"</f>
        <v>#VALUE!</v>
      </c>
      <c r="EZ146" t="e">
        <f>'All regions'!F4045+"$F;@!'fB"</f>
        <v>#VALUE!</v>
      </c>
      <c r="FA146" t="e">
        <f>'All regions'!G4045+"$F;@!'fC"</f>
        <v>#VALUE!</v>
      </c>
      <c r="FB146" t="e">
        <f>'All regions'!H4045+"$F;@!'fD"</f>
        <v>#VALUE!</v>
      </c>
      <c r="FC146" t="e">
        <f>'All regions'!I4045+"$F;@!'fE"</f>
        <v>#VALUE!</v>
      </c>
      <c r="FD146" t="e">
        <f>'All regions'!A4046+"$F;@!'fF"</f>
        <v>#VALUE!</v>
      </c>
      <c r="FE146" t="e">
        <f>'All regions'!B4046+"$F;@!'fG"</f>
        <v>#VALUE!</v>
      </c>
      <c r="FF146" t="e">
        <f>'All regions'!C4046+"$F;@!'fH"</f>
        <v>#VALUE!</v>
      </c>
      <c r="FG146" t="e">
        <f>'All regions'!D4046+"$F;@!'fI"</f>
        <v>#VALUE!</v>
      </c>
      <c r="FH146" t="e">
        <f>'All regions'!E4046+"$F;@!'fJ"</f>
        <v>#VALUE!</v>
      </c>
      <c r="FI146" t="e">
        <f>'All regions'!F4046+"$F;@!'fK"</f>
        <v>#VALUE!</v>
      </c>
      <c r="FJ146" t="e">
        <f>'All regions'!G4046+"$F;@!'fL"</f>
        <v>#VALUE!</v>
      </c>
      <c r="FK146" t="e">
        <f>'All regions'!H4046+"$F;@!'fM"</f>
        <v>#VALUE!</v>
      </c>
      <c r="FL146" t="e">
        <f>'All regions'!I4046+"$F;@!'fN"</f>
        <v>#VALUE!</v>
      </c>
      <c r="FM146" t="e">
        <f>'All regions'!A4047+"$F;@!'fO"</f>
        <v>#VALUE!</v>
      </c>
      <c r="FN146" t="e">
        <f>'All regions'!B4047+"$F;@!'fP"</f>
        <v>#VALUE!</v>
      </c>
      <c r="FO146" t="e">
        <f>'All regions'!C4047+"$F;@!'fQ"</f>
        <v>#VALUE!</v>
      </c>
      <c r="FP146" t="e">
        <f>'All regions'!D4047+"$F;@!'fR"</f>
        <v>#VALUE!</v>
      </c>
      <c r="FQ146" t="e">
        <f>'All regions'!E4047+"$F;@!'fS"</f>
        <v>#VALUE!</v>
      </c>
      <c r="FR146" t="e">
        <f>'All regions'!F4047+"$F;@!'fT"</f>
        <v>#VALUE!</v>
      </c>
      <c r="FS146" t="e">
        <f>'All regions'!G4047+"$F;@!'fU"</f>
        <v>#VALUE!</v>
      </c>
      <c r="FT146" t="e">
        <f>'All regions'!H4047+"$F;@!'fV"</f>
        <v>#VALUE!</v>
      </c>
      <c r="FU146" t="e">
        <f>'All regions'!I4047+"$F;@!'fW"</f>
        <v>#VALUE!</v>
      </c>
      <c r="FV146" t="e">
        <f>'All regions'!A4048+"$F;@!'fX"</f>
        <v>#VALUE!</v>
      </c>
      <c r="FW146" t="e">
        <f>'All regions'!B4048+"$F;@!'fY"</f>
        <v>#VALUE!</v>
      </c>
      <c r="FX146" t="e">
        <f>'All regions'!C4048+"$F;@!'fZ"</f>
        <v>#VALUE!</v>
      </c>
      <c r="FY146" t="e">
        <f>'All regions'!D4048+"$F;@!'f["</f>
        <v>#VALUE!</v>
      </c>
      <c r="FZ146" t="e">
        <f>'All regions'!E4048+"$F;@!'f\"</f>
        <v>#VALUE!</v>
      </c>
      <c r="GA146" t="e">
        <f>'All regions'!F4048+"$F;@!'f]"</f>
        <v>#VALUE!</v>
      </c>
      <c r="GB146" t="e">
        <f>'All regions'!G4048+"$F;@!'f^"</f>
        <v>#VALUE!</v>
      </c>
      <c r="GC146" t="e">
        <f>'All regions'!H4048+"$F;@!'f_"</f>
        <v>#VALUE!</v>
      </c>
      <c r="GD146" t="e">
        <f>'All regions'!I4048+"$F;@!'f`"</f>
        <v>#VALUE!</v>
      </c>
      <c r="GE146" t="e">
        <f>'All regions'!A4049+"$F;@!'fa"</f>
        <v>#VALUE!</v>
      </c>
      <c r="GF146" t="e">
        <f>'All regions'!B4049+"$F;@!'fb"</f>
        <v>#VALUE!</v>
      </c>
      <c r="GG146" t="e">
        <f>'All regions'!C4049+"$F;@!'fc"</f>
        <v>#VALUE!</v>
      </c>
      <c r="GH146" t="e">
        <f>'All regions'!D4049+"$F;@!'fd"</f>
        <v>#VALUE!</v>
      </c>
      <c r="GI146" t="e">
        <f>'All regions'!E4049+"$F;@!'fe"</f>
        <v>#VALUE!</v>
      </c>
      <c r="GJ146" t="e">
        <f>'All regions'!F4049+"$F;@!'ff"</f>
        <v>#VALUE!</v>
      </c>
      <c r="GK146" t="e">
        <f>'All regions'!G4049+"$F;@!'fg"</f>
        <v>#VALUE!</v>
      </c>
      <c r="GL146" t="e">
        <f>'All regions'!H4049+"$F;@!'fh"</f>
        <v>#VALUE!</v>
      </c>
      <c r="GM146" t="e">
        <f>'All regions'!I4049+"$F;@!'fi"</f>
        <v>#VALUE!</v>
      </c>
      <c r="GN146" t="e">
        <f>'All regions'!A4050+"$F;@!'fj"</f>
        <v>#VALUE!</v>
      </c>
      <c r="GO146" t="e">
        <f>'All regions'!B4050+"$F;@!'fk"</f>
        <v>#VALUE!</v>
      </c>
      <c r="GP146" t="e">
        <f>'All regions'!C4050+"$F;@!'fl"</f>
        <v>#VALUE!</v>
      </c>
      <c r="GQ146" t="e">
        <f>'All regions'!D4050+"$F;@!'fm"</f>
        <v>#VALUE!</v>
      </c>
      <c r="GR146" t="e">
        <f>'All regions'!E4050+"$F;@!'fn"</f>
        <v>#VALUE!</v>
      </c>
      <c r="GS146" t="e">
        <f>'All regions'!F4050+"$F;@!'fo"</f>
        <v>#VALUE!</v>
      </c>
      <c r="GT146" t="e">
        <f>'All regions'!G4050+"$F;@!'fp"</f>
        <v>#VALUE!</v>
      </c>
      <c r="GU146" t="e">
        <f>'All regions'!H4050+"$F;@!'fq"</f>
        <v>#VALUE!</v>
      </c>
      <c r="GV146" t="e">
        <f>'All regions'!I4050+"$F;@!'fr"</f>
        <v>#VALUE!</v>
      </c>
      <c r="GW146" t="e">
        <f>'All regions'!A4051+"$F;@!'fs"</f>
        <v>#VALUE!</v>
      </c>
      <c r="GX146" t="e">
        <f>'All regions'!B4051+"$F;@!'ft"</f>
        <v>#VALUE!</v>
      </c>
      <c r="GY146" t="e">
        <f>'All regions'!C4051+"$F;@!'fu"</f>
        <v>#VALUE!</v>
      </c>
      <c r="GZ146" t="e">
        <f>'All regions'!D4051+"$F;@!'fv"</f>
        <v>#VALUE!</v>
      </c>
      <c r="HA146" t="e">
        <f>'All regions'!E4051+"$F;@!'fw"</f>
        <v>#VALUE!</v>
      </c>
      <c r="HB146" t="e">
        <f>'All regions'!F4051+"$F;@!'fx"</f>
        <v>#VALUE!</v>
      </c>
      <c r="HC146" t="e">
        <f>'All regions'!G4051+"$F;@!'fy"</f>
        <v>#VALUE!</v>
      </c>
      <c r="HD146" t="e">
        <f>'All regions'!H4051+"$F;@!'fz"</f>
        <v>#VALUE!</v>
      </c>
      <c r="HE146" t="e">
        <f>'All regions'!I4051+"$F;@!'f{"</f>
        <v>#VALUE!</v>
      </c>
      <c r="HF146" t="e">
        <f>'All regions'!A4052+"$F;@!'f|"</f>
        <v>#VALUE!</v>
      </c>
      <c r="HG146" t="e">
        <f>'All regions'!B4052+"$F;@!'f}"</f>
        <v>#VALUE!</v>
      </c>
      <c r="HH146" t="e">
        <f>'All regions'!C4052+"$F;@!'f~"</f>
        <v>#VALUE!</v>
      </c>
      <c r="HI146" t="e">
        <f>'All regions'!D4052+"$F;@!'g#"</f>
        <v>#VALUE!</v>
      </c>
      <c r="HJ146" t="e">
        <f>'All regions'!E4052+"$F;@!'g$"</f>
        <v>#VALUE!</v>
      </c>
      <c r="HK146" t="e">
        <f>'All regions'!F4052+"$F;@!'g%"</f>
        <v>#VALUE!</v>
      </c>
      <c r="HL146" t="e">
        <f>'All regions'!G4052+"$F;@!'g&amp;"</f>
        <v>#VALUE!</v>
      </c>
      <c r="HM146" t="e">
        <f>'All regions'!H4052+"$F;@!'g'"</f>
        <v>#VALUE!</v>
      </c>
      <c r="HN146" t="e">
        <f>'All regions'!I4052+"$F;@!'g("</f>
        <v>#VALUE!</v>
      </c>
      <c r="HO146" t="e">
        <f>'All regions'!A4053+"$F;@!'g)"</f>
        <v>#VALUE!</v>
      </c>
      <c r="HP146" t="e">
        <f>'All regions'!B4053+"$F;@!'g."</f>
        <v>#VALUE!</v>
      </c>
      <c r="HQ146" t="e">
        <f>'All regions'!C4053+"$F;@!'g/"</f>
        <v>#VALUE!</v>
      </c>
      <c r="HR146" t="e">
        <f>'All regions'!D4053+"$F;@!'g0"</f>
        <v>#VALUE!</v>
      </c>
      <c r="HS146" t="e">
        <f>'All regions'!E4053+"$F;@!'g1"</f>
        <v>#VALUE!</v>
      </c>
      <c r="HT146" t="e">
        <f>'All regions'!F4053+"$F;@!'g2"</f>
        <v>#VALUE!</v>
      </c>
      <c r="HU146" t="e">
        <f>'All regions'!G4053+"$F;@!'g3"</f>
        <v>#VALUE!</v>
      </c>
      <c r="HV146" t="e">
        <f>'All regions'!H4053+"$F;@!'g4"</f>
        <v>#VALUE!</v>
      </c>
      <c r="HW146" t="e">
        <f>'All regions'!I4053+"$F;@!'g5"</f>
        <v>#VALUE!</v>
      </c>
      <c r="HX146" t="e">
        <f>'All regions'!A4054+"$F;@!'g6"</f>
        <v>#VALUE!</v>
      </c>
      <c r="HY146" t="e">
        <f>'All regions'!B4054+"$F;@!'g7"</f>
        <v>#VALUE!</v>
      </c>
      <c r="HZ146" t="e">
        <f>'All regions'!C4054+"$F;@!'g8"</f>
        <v>#VALUE!</v>
      </c>
      <c r="IA146" t="e">
        <f>'All regions'!D4054+"$F;@!'g9"</f>
        <v>#VALUE!</v>
      </c>
      <c r="IB146" t="e">
        <f>'All regions'!E4054+"$F;@!'g:"</f>
        <v>#VALUE!</v>
      </c>
      <c r="IC146" t="e">
        <f>'All regions'!F4054+"$F;@!'g;"</f>
        <v>#VALUE!</v>
      </c>
      <c r="ID146" t="e">
        <f>'All regions'!G4054+"$F;@!'g&lt;"</f>
        <v>#VALUE!</v>
      </c>
      <c r="IE146" t="e">
        <f>'All regions'!H4054+"$F;@!'g="</f>
        <v>#VALUE!</v>
      </c>
      <c r="IF146" t="e">
        <f>'All regions'!I4054+"$F;@!'g&gt;"</f>
        <v>#VALUE!</v>
      </c>
      <c r="IG146" t="e">
        <f>'All regions'!A4055+"$F;@!'g?"</f>
        <v>#VALUE!</v>
      </c>
      <c r="IH146" t="e">
        <f>'All regions'!B4055+"$F;@!'g@"</f>
        <v>#VALUE!</v>
      </c>
      <c r="II146" t="e">
        <f>'All regions'!C4055+"$F;@!'gA"</f>
        <v>#VALUE!</v>
      </c>
      <c r="IJ146" t="e">
        <f>'All regions'!D4055+"$F;@!'gB"</f>
        <v>#VALUE!</v>
      </c>
      <c r="IK146" t="e">
        <f>'All regions'!E4055+"$F;@!'gC"</f>
        <v>#VALUE!</v>
      </c>
      <c r="IL146" t="e">
        <f>'All regions'!F4055+"$F;@!'gD"</f>
        <v>#VALUE!</v>
      </c>
      <c r="IM146" t="e">
        <f>'All regions'!G4055+"$F;@!'gE"</f>
        <v>#VALUE!</v>
      </c>
      <c r="IN146" t="e">
        <f>'All regions'!H4055+"$F;@!'gF"</f>
        <v>#VALUE!</v>
      </c>
      <c r="IO146" t="e">
        <f>'All regions'!I4055+"$F;@!'gG"</f>
        <v>#VALUE!</v>
      </c>
      <c r="IP146" t="e">
        <f>'All regions'!A4056+"$F;@!'gH"</f>
        <v>#VALUE!</v>
      </c>
      <c r="IQ146" t="e">
        <f>'All regions'!B4056+"$F;@!'gI"</f>
        <v>#VALUE!</v>
      </c>
      <c r="IR146" t="e">
        <f>'All regions'!C4056+"$F;@!'gJ"</f>
        <v>#VALUE!</v>
      </c>
      <c r="IS146" t="e">
        <f>'All regions'!D4056+"$F;@!'gK"</f>
        <v>#VALUE!</v>
      </c>
      <c r="IT146" t="e">
        <f>'All regions'!E4056+"$F;@!'gL"</f>
        <v>#VALUE!</v>
      </c>
      <c r="IU146" t="e">
        <f>'All regions'!F4056+"$F;@!'gM"</f>
        <v>#VALUE!</v>
      </c>
      <c r="IV146" t="e">
        <f>'All regions'!G4056+"$F;@!'gN"</f>
        <v>#VALUE!</v>
      </c>
    </row>
    <row r="147" spans="6:256" x14ac:dyDescent="0.35">
      <c r="F147" t="e">
        <f>'All regions'!H4056+"$F;@!'gO"</f>
        <v>#VALUE!</v>
      </c>
      <c r="G147" t="e">
        <f>'All regions'!I4056+"$F;@!'gP"</f>
        <v>#VALUE!</v>
      </c>
      <c r="H147" t="e">
        <f>'All regions'!A4057+"$F;@!'gQ"</f>
        <v>#VALUE!</v>
      </c>
      <c r="I147" t="e">
        <f>'All regions'!B4057+"$F;@!'gR"</f>
        <v>#VALUE!</v>
      </c>
      <c r="J147" t="e">
        <f>'All regions'!C4057+"$F;@!'gS"</f>
        <v>#VALUE!</v>
      </c>
      <c r="K147" t="e">
        <f>'All regions'!D4057+"$F;@!'gT"</f>
        <v>#VALUE!</v>
      </c>
      <c r="L147" t="e">
        <f>'All regions'!E4057+"$F;@!'gU"</f>
        <v>#VALUE!</v>
      </c>
      <c r="M147" t="e">
        <f>'All regions'!F4057+"$F;@!'gV"</f>
        <v>#VALUE!</v>
      </c>
      <c r="N147" t="e">
        <f>'All regions'!G4057+"$F;@!'gW"</f>
        <v>#VALUE!</v>
      </c>
      <c r="O147" t="e">
        <f>'All regions'!H4057+"$F;@!'gX"</f>
        <v>#VALUE!</v>
      </c>
      <c r="P147" t="e">
        <f>'All regions'!I4057+"$F;@!'gY"</f>
        <v>#VALUE!</v>
      </c>
      <c r="Q147" t="e">
        <f>'All regions'!A4058+"$F;@!'gZ"</f>
        <v>#VALUE!</v>
      </c>
      <c r="R147" t="e">
        <f>'All regions'!B4058+"$F;@!'g["</f>
        <v>#VALUE!</v>
      </c>
      <c r="S147" t="e">
        <f>'All regions'!C4058+"$F;@!'g\"</f>
        <v>#VALUE!</v>
      </c>
      <c r="T147" t="e">
        <f>'All regions'!D4058+"$F;@!'g]"</f>
        <v>#VALUE!</v>
      </c>
      <c r="U147" t="e">
        <f>'All regions'!E4058+"$F;@!'g^"</f>
        <v>#VALUE!</v>
      </c>
      <c r="V147" t="e">
        <f>'All regions'!F4058+"$F;@!'g_"</f>
        <v>#VALUE!</v>
      </c>
      <c r="W147" t="e">
        <f>'All regions'!G4058+"$F;@!'g`"</f>
        <v>#VALUE!</v>
      </c>
      <c r="X147" t="e">
        <f>'All regions'!H4058+"$F;@!'ga"</f>
        <v>#VALUE!</v>
      </c>
      <c r="Y147" t="e">
        <f>'All regions'!I4058+"$F;@!'gb"</f>
        <v>#VALUE!</v>
      </c>
      <c r="Z147" t="e">
        <f>'All regions'!A4059+"$F;@!'gc"</f>
        <v>#VALUE!</v>
      </c>
      <c r="AA147" t="e">
        <f>'All regions'!B4059+"$F;@!'gd"</f>
        <v>#VALUE!</v>
      </c>
      <c r="AB147" t="e">
        <f>'All regions'!C4059+"$F;@!'ge"</f>
        <v>#VALUE!</v>
      </c>
      <c r="AC147" t="e">
        <f>'All regions'!D4059+"$F;@!'gf"</f>
        <v>#VALUE!</v>
      </c>
      <c r="AD147" t="e">
        <f>'All regions'!E4059+"$F;@!'gg"</f>
        <v>#VALUE!</v>
      </c>
      <c r="AE147" t="e">
        <f>'All regions'!F4059+"$F;@!'gh"</f>
        <v>#VALUE!</v>
      </c>
      <c r="AF147" t="e">
        <f>'All regions'!G4059+"$F;@!'gi"</f>
        <v>#VALUE!</v>
      </c>
      <c r="AG147" t="e">
        <f>'All regions'!H4059+"$F;@!'gj"</f>
        <v>#VALUE!</v>
      </c>
      <c r="AH147" t="e">
        <f>'All regions'!I4059+"$F;@!'gk"</f>
        <v>#VALUE!</v>
      </c>
      <c r="AI147" t="e">
        <f>'All regions'!A4060+"$F;@!'gl"</f>
        <v>#VALUE!</v>
      </c>
      <c r="AJ147" t="e">
        <f>'All regions'!B4060+"$F;@!'gm"</f>
        <v>#VALUE!</v>
      </c>
      <c r="AK147" t="e">
        <f>'All regions'!C4060+"$F;@!'gn"</f>
        <v>#VALUE!</v>
      </c>
      <c r="AL147" t="e">
        <f>'All regions'!D4060+"$F;@!'go"</f>
        <v>#VALUE!</v>
      </c>
      <c r="AM147" t="e">
        <f>'All regions'!E4060+"$F;@!'gp"</f>
        <v>#VALUE!</v>
      </c>
      <c r="AN147" t="e">
        <f>'All regions'!F4060+"$F;@!'gq"</f>
        <v>#VALUE!</v>
      </c>
      <c r="AO147" t="e">
        <f>'All regions'!G4060+"$F;@!'gr"</f>
        <v>#VALUE!</v>
      </c>
      <c r="AP147" t="e">
        <f>'All regions'!H4060+"$F;@!'gs"</f>
        <v>#VALUE!</v>
      </c>
      <c r="AQ147" t="e">
        <f>'All regions'!I4060+"$F;@!'gt"</f>
        <v>#VALUE!</v>
      </c>
      <c r="AR147" t="e">
        <f>'All regions'!A4061+"$F;@!'gu"</f>
        <v>#VALUE!</v>
      </c>
      <c r="AS147" t="e">
        <f>'All regions'!B4061+"$F;@!'gv"</f>
        <v>#VALUE!</v>
      </c>
      <c r="AT147" t="e">
        <f>'All regions'!C4061+"$F;@!'gw"</f>
        <v>#VALUE!</v>
      </c>
      <c r="AU147" t="e">
        <f>'All regions'!D4061+"$F;@!'gx"</f>
        <v>#VALUE!</v>
      </c>
      <c r="AV147" t="e">
        <f>'All regions'!E4061+"$F;@!'gy"</f>
        <v>#VALUE!</v>
      </c>
      <c r="AW147" t="e">
        <f>'All regions'!F4061+"$F;@!'gz"</f>
        <v>#VALUE!</v>
      </c>
      <c r="AX147" t="e">
        <f>'All regions'!G4061+"$F;@!'g{"</f>
        <v>#VALUE!</v>
      </c>
      <c r="AY147" t="e">
        <f>'All regions'!H4061+"$F;@!'g|"</f>
        <v>#VALUE!</v>
      </c>
      <c r="AZ147" t="e">
        <f>'All regions'!I4061+"$F;@!'g}"</f>
        <v>#VALUE!</v>
      </c>
      <c r="BA147" t="e">
        <f>'All regions'!A4062+"$F;@!'g~"</f>
        <v>#VALUE!</v>
      </c>
      <c r="BB147" t="e">
        <f>'All regions'!B4062+"$F;@!'h#"</f>
        <v>#VALUE!</v>
      </c>
      <c r="BC147" t="e">
        <f>'All regions'!C4062+"$F;@!'h$"</f>
        <v>#VALUE!</v>
      </c>
      <c r="BD147" t="e">
        <f>'All regions'!D4062+"$F;@!'h%"</f>
        <v>#VALUE!</v>
      </c>
      <c r="BE147" t="e">
        <f>'All regions'!E4062+"$F;@!'h&amp;"</f>
        <v>#VALUE!</v>
      </c>
      <c r="BF147" t="e">
        <f>'All regions'!F4062+"$F;@!'h'"</f>
        <v>#VALUE!</v>
      </c>
      <c r="BG147" t="e">
        <f>'All regions'!G4062+"$F;@!'h("</f>
        <v>#VALUE!</v>
      </c>
      <c r="BH147" t="e">
        <f>'All regions'!H4062+"$F;@!'h)"</f>
        <v>#VALUE!</v>
      </c>
      <c r="BI147" t="e">
        <f>'All regions'!I4062+"$F;@!'h."</f>
        <v>#VALUE!</v>
      </c>
      <c r="BJ147" t="e">
        <f>'All regions'!A4063+"$F;@!'h/"</f>
        <v>#VALUE!</v>
      </c>
      <c r="BK147" t="e">
        <f>'All regions'!B4063+"$F;@!'h0"</f>
        <v>#VALUE!</v>
      </c>
      <c r="BL147" t="e">
        <f>'All regions'!C4063+"$F;@!'h1"</f>
        <v>#VALUE!</v>
      </c>
      <c r="BM147" t="e">
        <f>'All regions'!D4063+"$F;@!'h2"</f>
        <v>#VALUE!</v>
      </c>
      <c r="BN147" t="e">
        <f>'All regions'!E4063+"$F;@!'h3"</f>
        <v>#VALUE!</v>
      </c>
      <c r="BO147" t="e">
        <f>'All regions'!F4063+"$F;@!'h4"</f>
        <v>#VALUE!</v>
      </c>
      <c r="BP147" t="e">
        <f>'All regions'!G4063+"$F;@!'h5"</f>
        <v>#VALUE!</v>
      </c>
      <c r="BQ147" t="e">
        <f>'All regions'!H4063+"$F;@!'h6"</f>
        <v>#VALUE!</v>
      </c>
      <c r="BR147" t="e">
        <f>'All regions'!I4063+"$F;@!'h7"</f>
        <v>#VALUE!</v>
      </c>
      <c r="BS147" t="e">
        <f>'All regions'!A4064+"$F;@!'h8"</f>
        <v>#VALUE!</v>
      </c>
      <c r="BT147" t="e">
        <f>'All regions'!B4064+"$F;@!'h9"</f>
        <v>#VALUE!</v>
      </c>
      <c r="BU147" t="e">
        <f>'All regions'!C4064+"$F;@!'h:"</f>
        <v>#VALUE!</v>
      </c>
      <c r="BV147" t="e">
        <f>'All regions'!D4064+"$F;@!'h;"</f>
        <v>#VALUE!</v>
      </c>
      <c r="BW147" t="e">
        <f>'All regions'!E4064+"$F;@!'h&lt;"</f>
        <v>#VALUE!</v>
      </c>
      <c r="BX147" t="e">
        <f>'All regions'!F4064+"$F;@!'h="</f>
        <v>#VALUE!</v>
      </c>
      <c r="BY147" t="e">
        <f>'All regions'!G4064+"$F;@!'h&gt;"</f>
        <v>#VALUE!</v>
      </c>
      <c r="BZ147" t="e">
        <f>'All regions'!H4064+"$F;@!'h?"</f>
        <v>#VALUE!</v>
      </c>
      <c r="CA147" t="e">
        <f>'All regions'!I4064+"$F;@!'h@"</f>
        <v>#VALUE!</v>
      </c>
      <c r="CB147" t="e">
        <f>'All regions'!A4065+"$F;@!'hA"</f>
        <v>#VALUE!</v>
      </c>
      <c r="CC147" t="e">
        <f>'All regions'!B4065+"$F;@!'hB"</f>
        <v>#VALUE!</v>
      </c>
      <c r="CD147" t="e">
        <f>'All regions'!C4065+"$F;@!'hC"</f>
        <v>#VALUE!</v>
      </c>
      <c r="CE147" t="e">
        <f>'All regions'!D4065+"$F;@!'hD"</f>
        <v>#VALUE!</v>
      </c>
      <c r="CF147" t="e">
        <f>'All regions'!E4065+"$F;@!'hE"</f>
        <v>#VALUE!</v>
      </c>
      <c r="CG147" t="e">
        <f>'All regions'!F4065+"$F;@!'hF"</f>
        <v>#VALUE!</v>
      </c>
      <c r="CH147" t="e">
        <f>'All regions'!G4065+"$F;@!'hG"</f>
        <v>#VALUE!</v>
      </c>
      <c r="CI147" t="e">
        <f>'All regions'!H4065+"$F;@!'hH"</f>
        <v>#VALUE!</v>
      </c>
      <c r="CJ147" t="e">
        <f>'All regions'!I4065+"$F;@!'hI"</f>
        <v>#VALUE!</v>
      </c>
      <c r="CK147" t="e">
        <f>'All regions'!A4066+"$F;@!'hJ"</f>
        <v>#VALUE!</v>
      </c>
      <c r="CL147" t="e">
        <f>'All regions'!B4066+"$F;@!'hK"</f>
        <v>#VALUE!</v>
      </c>
      <c r="CM147" t="e">
        <f>'All regions'!C4066+"$F;@!'hL"</f>
        <v>#VALUE!</v>
      </c>
      <c r="CN147" t="e">
        <f>'All regions'!D4066+"$F;@!'hM"</f>
        <v>#VALUE!</v>
      </c>
      <c r="CO147" t="e">
        <f>'All regions'!E4066+"$F;@!'hN"</f>
        <v>#VALUE!</v>
      </c>
      <c r="CP147" t="e">
        <f>'All regions'!F4066+"$F;@!'hO"</f>
        <v>#VALUE!</v>
      </c>
      <c r="CQ147" t="e">
        <f>'All regions'!G4066+"$F;@!'hP"</f>
        <v>#VALUE!</v>
      </c>
      <c r="CR147" t="e">
        <f>'All regions'!H4066+"$F;@!'hQ"</f>
        <v>#VALUE!</v>
      </c>
      <c r="CS147" t="e">
        <f>'All regions'!I4066+"$F;@!'hR"</f>
        <v>#VALUE!</v>
      </c>
      <c r="CT147" t="e">
        <f>'All regions'!A4067+"$F;@!'hS"</f>
        <v>#VALUE!</v>
      </c>
      <c r="CU147" t="e">
        <f>'All regions'!B4067+"$F;@!'hT"</f>
        <v>#VALUE!</v>
      </c>
      <c r="CV147" t="e">
        <f>'All regions'!C4067+"$F;@!'hU"</f>
        <v>#VALUE!</v>
      </c>
      <c r="CW147" t="e">
        <f>'All regions'!D4067+"$F;@!'hV"</f>
        <v>#VALUE!</v>
      </c>
      <c r="CX147" t="e">
        <f>'All regions'!E4067+"$F;@!'hW"</f>
        <v>#VALUE!</v>
      </c>
      <c r="CY147" t="e">
        <f>'All regions'!F4067+"$F;@!'hX"</f>
        <v>#VALUE!</v>
      </c>
      <c r="CZ147" t="e">
        <f>'All regions'!G4067+"$F;@!'hY"</f>
        <v>#VALUE!</v>
      </c>
      <c r="DA147" t="e">
        <f>'All regions'!H4067+"$F;@!'hZ"</f>
        <v>#VALUE!</v>
      </c>
      <c r="DB147" t="e">
        <f>'All regions'!I4067+"$F;@!'h["</f>
        <v>#VALUE!</v>
      </c>
      <c r="DC147" t="e">
        <f>'All regions'!A4068+"$F;@!'h\"</f>
        <v>#VALUE!</v>
      </c>
      <c r="DD147" t="e">
        <f>'All regions'!B4068+"$F;@!'h]"</f>
        <v>#VALUE!</v>
      </c>
      <c r="DE147" t="e">
        <f>'All regions'!C4068+"$F;@!'h^"</f>
        <v>#VALUE!</v>
      </c>
      <c r="DF147" t="e">
        <f>'All regions'!D4068+"$F;@!'h_"</f>
        <v>#VALUE!</v>
      </c>
      <c r="DG147" t="e">
        <f>'All regions'!E4068+"$F;@!'h`"</f>
        <v>#VALUE!</v>
      </c>
      <c r="DH147" t="e">
        <f>'All regions'!F4068+"$F;@!'ha"</f>
        <v>#VALUE!</v>
      </c>
      <c r="DI147" t="e">
        <f>'All regions'!G4068+"$F;@!'hb"</f>
        <v>#VALUE!</v>
      </c>
      <c r="DJ147" t="e">
        <f>'All regions'!H4068+"$F;@!'hc"</f>
        <v>#VALUE!</v>
      </c>
      <c r="DK147" t="e">
        <f>'All regions'!I4068+"$F;@!'hd"</f>
        <v>#VALUE!</v>
      </c>
      <c r="DL147" t="e">
        <f>'All regions'!A4069+"$F;@!'he"</f>
        <v>#VALUE!</v>
      </c>
      <c r="DM147" t="e">
        <f>'All regions'!B4069+"$F;@!'hf"</f>
        <v>#VALUE!</v>
      </c>
      <c r="DN147" t="e">
        <f>'All regions'!C4069+"$F;@!'hg"</f>
        <v>#VALUE!</v>
      </c>
      <c r="DO147" t="e">
        <f>'All regions'!D4069+"$F;@!'hh"</f>
        <v>#VALUE!</v>
      </c>
      <c r="DP147" t="e">
        <f>'All regions'!E4069+"$F;@!'hi"</f>
        <v>#VALUE!</v>
      </c>
      <c r="DQ147" t="e">
        <f>'All regions'!F4069+"$F;@!'hj"</f>
        <v>#VALUE!</v>
      </c>
      <c r="DR147" t="e">
        <f>'All regions'!G4069+"$F;@!'hk"</f>
        <v>#VALUE!</v>
      </c>
      <c r="DS147" t="e">
        <f>'All regions'!H4069+"$F;@!'hl"</f>
        <v>#VALUE!</v>
      </c>
      <c r="DT147" t="e">
        <f>'All regions'!I4069+"$F;@!'hm"</f>
        <v>#VALUE!</v>
      </c>
      <c r="DU147" t="e">
        <f>'All regions'!A4070+"$F;@!'hn"</f>
        <v>#VALUE!</v>
      </c>
      <c r="DV147" t="e">
        <f>'All regions'!B4070+"$F;@!'ho"</f>
        <v>#VALUE!</v>
      </c>
      <c r="DW147" t="e">
        <f>'All regions'!C4070+"$F;@!'hp"</f>
        <v>#VALUE!</v>
      </c>
      <c r="DX147" t="e">
        <f>'All regions'!D4070+"$F;@!'hq"</f>
        <v>#VALUE!</v>
      </c>
      <c r="DY147" t="e">
        <f>'All regions'!E4070+"$F;@!'hr"</f>
        <v>#VALUE!</v>
      </c>
      <c r="DZ147" t="e">
        <f>'All regions'!F4070+"$F;@!'hs"</f>
        <v>#VALUE!</v>
      </c>
      <c r="EA147" t="e">
        <f>'All regions'!G4070+"$F;@!'ht"</f>
        <v>#VALUE!</v>
      </c>
      <c r="EB147" t="e">
        <f>'All regions'!H4070+"$F;@!'hu"</f>
        <v>#VALUE!</v>
      </c>
      <c r="EC147" t="e">
        <f>'All regions'!I4070+"$F;@!'hv"</f>
        <v>#VALUE!</v>
      </c>
      <c r="ED147" t="e">
        <f>'All regions'!A4071+"$F;@!'hw"</f>
        <v>#VALUE!</v>
      </c>
      <c r="EE147" t="e">
        <f>'All regions'!B4071+"$F;@!'hx"</f>
        <v>#VALUE!</v>
      </c>
      <c r="EF147" t="e">
        <f>'All regions'!C4071+"$F;@!'hy"</f>
        <v>#VALUE!</v>
      </c>
      <c r="EG147" t="e">
        <f>'All regions'!D4071+"$F;@!'hz"</f>
        <v>#VALUE!</v>
      </c>
      <c r="EH147" t="e">
        <f>'All regions'!E4071+"$F;@!'h{"</f>
        <v>#VALUE!</v>
      </c>
      <c r="EI147" t="e">
        <f>'All regions'!F4071+"$F;@!'h|"</f>
        <v>#VALUE!</v>
      </c>
      <c r="EJ147" t="e">
        <f>'All regions'!G4071+"$F;@!'h}"</f>
        <v>#VALUE!</v>
      </c>
      <c r="EK147" t="e">
        <f>'All regions'!H4071+"$F;@!'h~"</f>
        <v>#VALUE!</v>
      </c>
      <c r="EL147" t="e">
        <f>'All regions'!I4071+"$F;@!'i#"</f>
        <v>#VALUE!</v>
      </c>
      <c r="EM147" t="e">
        <f>'All regions'!A4072+"$F;@!'i$"</f>
        <v>#VALUE!</v>
      </c>
      <c r="EN147" t="e">
        <f>'All regions'!B4072+"$F;@!'i%"</f>
        <v>#VALUE!</v>
      </c>
      <c r="EO147" t="e">
        <f>'All regions'!C4072+"$F;@!'i&amp;"</f>
        <v>#VALUE!</v>
      </c>
      <c r="EP147" t="e">
        <f>'All regions'!D4072+"$F;@!'i'"</f>
        <v>#VALUE!</v>
      </c>
      <c r="EQ147" t="e">
        <f>'All regions'!E4072+"$F;@!'i("</f>
        <v>#VALUE!</v>
      </c>
      <c r="ER147" t="e">
        <f>'All regions'!F4072+"$F;@!'i)"</f>
        <v>#VALUE!</v>
      </c>
      <c r="ES147" t="e">
        <f>'All regions'!G4072+"$F;@!'i."</f>
        <v>#VALUE!</v>
      </c>
      <c r="ET147" t="e">
        <f>'All regions'!H4072+"$F;@!'i/"</f>
        <v>#VALUE!</v>
      </c>
      <c r="EU147" t="e">
        <f>'All regions'!I4072+"$F;@!'i0"</f>
        <v>#VALUE!</v>
      </c>
      <c r="EV147" t="e">
        <f>'All regions'!A4073+"$F;@!'i1"</f>
        <v>#VALUE!</v>
      </c>
      <c r="EW147" t="e">
        <f>'All regions'!B4073+"$F;@!'i2"</f>
        <v>#VALUE!</v>
      </c>
      <c r="EX147" t="e">
        <f>'All regions'!C4073+"$F;@!'i3"</f>
        <v>#VALUE!</v>
      </c>
      <c r="EY147" t="e">
        <f>'All regions'!D4073+"$F;@!'i4"</f>
        <v>#VALUE!</v>
      </c>
      <c r="EZ147" t="e">
        <f>'All regions'!E4073+"$F;@!'i5"</f>
        <v>#VALUE!</v>
      </c>
      <c r="FA147" t="e">
        <f>'All regions'!F4073+"$F;@!'i6"</f>
        <v>#VALUE!</v>
      </c>
      <c r="FB147" t="e">
        <f>'All regions'!G4073+"$F;@!'i7"</f>
        <v>#VALUE!</v>
      </c>
      <c r="FC147" t="e">
        <f>'All regions'!H4073+"$F;@!'i8"</f>
        <v>#VALUE!</v>
      </c>
      <c r="FD147" t="e">
        <f>'All regions'!I4073+"$F;@!'i9"</f>
        <v>#VALUE!</v>
      </c>
      <c r="FE147" t="e">
        <f>'All regions'!A4074+"$F;@!'i:"</f>
        <v>#VALUE!</v>
      </c>
      <c r="FF147" t="e">
        <f>'All regions'!B4074+"$F;@!'i;"</f>
        <v>#VALUE!</v>
      </c>
      <c r="FG147" t="e">
        <f>'All regions'!C4074+"$F;@!'i&lt;"</f>
        <v>#VALUE!</v>
      </c>
      <c r="FH147" t="e">
        <f>'All regions'!D4074+"$F;@!'i="</f>
        <v>#VALUE!</v>
      </c>
      <c r="FI147" t="e">
        <f>'All regions'!E4074+"$F;@!'i&gt;"</f>
        <v>#VALUE!</v>
      </c>
      <c r="FJ147" t="e">
        <f>'All regions'!F4074+"$F;@!'i?"</f>
        <v>#VALUE!</v>
      </c>
      <c r="FK147" t="e">
        <f>'All regions'!G4074+"$F;@!'i@"</f>
        <v>#VALUE!</v>
      </c>
      <c r="FL147" t="e">
        <f>'All regions'!H4074+"$F;@!'iA"</f>
        <v>#VALUE!</v>
      </c>
      <c r="FM147" t="e">
        <f>'All regions'!I4074+"$F;@!'iB"</f>
        <v>#VALUE!</v>
      </c>
      <c r="FN147" t="e">
        <f>'All regions'!A4075+"$F;@!'iC"</f>
        <v>#VALUE!</v>
      </c>
      <c r="FO147" t="e">
        <f>'All regions'!B4075+"$F;@!'iD"</f>
        <v>#VALUE!</v>
      </c>
      <c r="FP147" t="e">
        <f>'All regions'!C4075+"$F;@!'iE"</f>
        <v>#VALUE!</v>
      </c>
      <c r="FQ147" t="e">
        <f>'All regions'!D4075+"$F;@!'iF"</f>
        <v>#VALUE!</v>
      </c>
      <c r="FR147" t="e">
        <f>'All regions'!E4075+"$F;@!'iG"</f>
        <v>#VALUE!</v>
      </c>
      <c r="FS147" t="e">
        <f>'All regions'!F4075+"$F;@!'iH"</f>
        <v>#VALUE!</v>
      </c>
      <c r="FT147" t="e">
        <f>'All regions'!G4075+"$F;@!'iI"</f>
        <v>#VALUE!</v>
      </c>
      <c r="FU147" t="e">
        <f>'All regions'!H4075+"$F;@!'iJ"</f>
        <v>#VALUE!</v>
      </c>
      <c r="FV147" t="e">
        <f>'All regions'!I4075+"$F;@!'iK"</f>
        <v>#VALUE!</v>
      </c>
      <c r="FW147" t="e">
        <f>'All regions'!A4076+"$F;@!'iL"</f>
        <v>#VALUE!</v>
      </c>
      <c r="FX147" t="e">
        <f>'All regions'!B4076+"$F;@!'iM"</f>
        <v>#VALUE!</v>
      </c>
      <c r="FY147" t="e">
        <f>'All regions'!C4076+"$F;@!'iN"</f>
        <v>#VALUE!</v>
      </c>
      <c r="FZ147" t="e">
        <f>'All regions'!D4076+"$F;@!'iO"</f>
        <v>#VALUE!</v>
      </c>
      <c r="GA147" t="e">
        <f>'All regions'!E4076+"$F;@!'iP"</f>
        <v>#VALUE!</v>
      </c>
      <c r="GB147" t="e">
        <f>'All regions'!F4076+"$F;@!'iQ"</f>
        <v>#VALUE!</v>
      </c>
      <c r="GC147" t="e">
        <f>'All regions'!G4076+"$F;@!'iR"</f>
        <v>#VALUE!</v>
      </c>
      <c r="GD147" t="e">
        <f>'All regions'!H4076+"$F;@!'iS"</f>
        <v>#VALUE!</v>
      </c>
      <c r="GE147" t="e">
        <f>'All regions'!I4076+"$F;@!'iT"</f>
        <v>#VALUE!</v>
      </c>
      <c r="GF147" t="e">
        <f>'All regions'!A4077+"$F;@!'iU"</f>
        <v>#VALUE!</v>
      </c>
      <c r="GG147" t="e">
        <f>'All regions'!B4077+"$F;@!'iV"</f>
        <v>#VALUE!</v>
      </c>
      <c r="GH147" t="e">
        <f>'All regions'!C4077+"$F;@!'iW"</f>
        <v>#VALUE!</v>
      </c>
      <c r="GI147" t="e">
        <f>'All regions'!D4077+"$F;@!'iX"</f>
        <v>#VALUE!</v>
      </c>
      <c r="GJ147" t="e">
        <f>'All regions'!E4077+"$F;@!'iY"</f>
        <v>#VALUE!</v>
      </c>
      <c r="GK147" t="e">
        <f>'All regions'!F4077+"$F;@!'iZ"</f>
        <v>#VALUE!</v>
      </c>
      <c r="GL147" t="e">
        <f>'All regions'!G4077+"$F;@!'i["</f>
        <v>#VALUE!</v>
      </c>
      <c r="GM147" t="e">
        <f>'All regions'!H4077+"$F;@!'i\"</f>
        <v>#VALUE!</v>
      </c>
      <c r="GN147" t="e">
        <f>'All regions'!I4077+"$F;@!'i]"</f>
        <v>#VALUE!</v>
      </c>
      <c r="GO147" t="e">
        <f>'All regions'!A4078+"$F;@!'i^"</f>
        <v>#VALUE!</v>
      </c>
      <c r="GP147" t="e">
        <f>'All regions'!B4078+"$F;@!'i_"</f>
        <v>#VALUE!</v>
      </c>
      <c r="GQ147" t="e">
        <f>'All regions'!C4078+"$F;@!'i`"</f>
        <v>#VALUE!</v>
      </c>
      <c r="GR147" t="e">
        <f>'All regions'!D4078+"$F;@!'ia"</f>
        <v>#VALUE!</v>
      </c>
      <c r="GS147" t="e">
        <f>'All regions'!E4078+"$F;@!'ib"</f>
        <v>#VALUE!</v>
      </c>
      <c r="GT147" t="e">
        <f>'All regions'!F4078+"$F;@!'ic"</f>
        <v>#VALUE!</v>
      </c>
      <c r="GU147" t="e">
        <f>'All regions'!G4078+"$F;@!'id"</f>
        <v>#VALUE!</v>
      </c>
      <c r="GV147" t="e">
        <f>'All regions'!H4078+"$F;@!'ie"</f>
        <v>#VALUE!</v>
      </c>
      <c r="GW147" t="e">
        <f>'All regions'!I4078+"$F;@!'if"</f>
        <v>#VALUE!</v>
      </c>
      <c r="GX147" t="e">
        <f>'All regions'!A4079+"$F;@!'ig"</f>
        <v>#VALUE!</v>
      </c>
      <c r="GY147" t="e">
        <f>'All regions'!B4079+"$F;@!'ih"</f>
        <v>#VALUE!</v>
      </c>
      <c r="GZ147" t="e">
        <f>'All regions'!C4079+"$F;@!'ii"</f>
        <v>#VALUE!</v>
      </c>
      <c r="HA147" t="e">
        <f>'All regions'!D4079+"$F;@!'ij"</f>
        <v>#VALUE!</v>
      </c>
      <c r="HB147" t="e">
        <f>'All regions'!E4079+"$F;@!'ik"</f>
        <v>#VALUE!</v>
      </c>
      <c r="HC147" t="e">
        <f>'All regions'!F4079+"$F;@!'il"</f>
        <v>#VALUE!</v>
      </c>
      <c r="HD147" t="e">
        <f>'All regions'!G4079+"$F;@!'im"</f>
        <v>#VALUE!</v>
      </c>
      <c r="HE147" t="e">
        <f>'All regions'!H4079+"$F;@!'in"</f>
        <v>#VALUE!</v>
      </c>
      <c r="HF147" t="e">
        <f>'All regions'!I4079+"$F;@!'io"</f>
        <v>#VALUE!</v>
      </c>
      <c r="HG147" t="e">
        <f>'All regions'!A4080+"$F;@!'ip"</f>
        <v>#VALUE!</v>
      </c>
      <c r="HH147" t="e">
        <f>'All regions'!B4080+"$F;@!'iq"</f>
        <v>#VALUE!</v>
      </c>
      <c r="HI147" t="e">
        <f>'All regions'!C4080+"$F;@!'ir"</f>
        <v>#VALUE!</v>
      </c>
      <c r="HJ147" t="e">
        <f>'All regions'!D4080+"$F;@!'is"</f>
        <v>#VALUE!</v>
      </c>
      <c r="HK147" t="e">
        <f>'All regions'!E4080+"$F;@!'it"</f>
        <v>#VALUE!</v>
      </c>
      <c r="HL147" t="e">
        <f>'All regions'!F4080+"$F;@!'iu"</f>
        <v>#VALUE!</v>
      </c>
      <c r="HM147" t="e">
        <f>'All regions'!G4080+"$F;@!'iv"</f>
        <v>#VALUE!</v>
      </c>
      <c r="HN147" t="e">
        <f>'All regions'!H4080+"$F;@!'iw"</f>
        <v>#VALUE!</v>
      </c>
      <c r="HO147" t="e">
        <f>'All regions'!I4080+"$F;@!'ix"</f>
        <v>#VALUE!</v>
      </c>
      <c r="HP147" t="e">
        <f>'All regions'!A4081+"$F;@!'iy"</f>
        <v>#VALUE!</v>
      </c>
      <c r="HQ147" t="e">
        <f>'All regions'!B4081+"$F;@!'iz"</f>
        <v>#VALUE!</v>
      </c>
      <c r="HR147" t="e">
        <f>'All regions'!C4081+"$F;@!'i{"</f>
        <v>#VALUE!</v>
      </c>
      <c r="HS147" t="e">
        <f>'All regions'!D4081+"$F;@!'i|"</f>
        <v>#VALUE!</v>
      </c>
      <c r="HT147" t="e">
        <f>'All regions'!E4081+"$F;@!'i}"</f>
        <v>#VALUE!</v>
      </c>
      <c r="HU147" t="e">
        <f>'All regions'!F4081+"$F;@!'i~"</f>
        <v>#VALUE!</v>
      </c>
      <c r="HV147" t="e">
        <f>'All regions'!G4081+"$F;@!'j#"</f>
        <v>#VALUE!</v>
      </c>
      <c r="HW147" t="e">
        <f>'All regions'!H4081+"$F;@!'j$"</f>
        <v>#VALUE!</v>
      </c>
      <c r="HX147" t="e">
        <f>'All regions'!I4081+"$F;@!'j%"</f>
        <v>#VALUE!</v>
      </c>
      <c r="HY147" t="e">
        <f>'All regions'!A4082+"$F;@!'j&amp;"</f>
        <v>#VALUE!</v>
      </c>
      <c r="HZ147" t="e">
        <f>'All regions'!B4082+"$F;@!'j'"</f>
        <v>#VALUE!</v>
      </c>
      <c r="IA147" t="e">
        <f>'All regions'!C4082+"$F;@!'j("</f>
        <v>#VALUE!</v>
      </c>
      <c r="IB147" t="e">
        <f>'All regions'!D4082+"$F;@!'j)"</f>
        <v>#VALUE!</v>
      </c>
      <c r="IC147" t="e">
        <f>'All regions'!E4082+"$F;@!'j."</f>
        <v>#VALUE!</v>
      </c>
      <c r="ID147" t="e">
        <f>'All regions'!F4082+"$F;@!'j/"</f>
        <v>#VALUE!</v>
      </c>
      <c r="IE147" t="e">
        <f>'All regions'!G4082+"$F;@!'j0"</f>
        <v>#VALUE!</v>
      </c>
      <c r="IF147" t="e">
        <f>'All regions'!H4082+"$F;@!'j1"</f>
        <v>#VALUE!</v>
      </c>
      <c r="IG147" t="e">
        <f>'All regions'!I4082+"$F;@!'j2"</f>
        <v>#VALUE!</v>
      </c>
      <c r="IH147" t="e">
        <f>'All regions'!A4083+"$F;@!'j3"</f>
        <v>#VALUE!</v>
      </c>
      <c r="II147" t="e">
        <f>'All regions'!B4083+"$F;@!'j4"</f>
        <v>#VALUE!</v>
      </c>
      <c r="IJ147" t="e">
        <f>'All regions'!C4083+"$F;@!'j5"</f>
        <v>#VALUE!</v>
      </c>
      <c r="IK147" t="e">
        <f>'All regions'!D4083+"$F;@!'j6"</f>
        <v>#VALUE!</v>
      </c>
      <c r="IL147" t="e">
        <f>'All regions'!E4083+"$F;@!'j7"</f>
        <v>#VALUE!</v>
      </c>
      <c r="IM147" t="e">
        <f>'All regions'!F4083+"$F;@!'j8"</f>
        <v>#VALUE!</v>
      </c>
      <c r="IN147" t="e">
        <f>'All regions'!G4083+"$F;@!'j9"</f>
        <v>#VALUE!</v>
      </c>
      <c r="IO147" t="e">
        <f>'All regions'!H4083+"$F;@!'j:"</f>
        <v>#VALUE!</v>
      </c>
      <c r="IP147" t="e">
        <f>'All regions'!I4083+"$F;@!'j;"</f>
        <v>#VALUE!</v>
      </c>
      <c r="IQ147" t="e">
        <f>'All regions'!A4084+"$F;@!'j&lt;"</f>
        <v>#VALUE!</v>
      </c>
      <c r="IR147" t="e">
        <f>'All regions'!B4084+"$F;@!'j="</f>
        <v>#VALUE!</v>
      </c>
      <c r="IS147" t="e">
        <f>'All regions'!C4084+"$F;@!'j&gt;"</f>
        <v>#VALUE!</v>
      </c>
      <c r="IT147" t="e">
        <f>'All regions'!D4084+"$F;@!'j?"</f>
        <v>#VALUE!</v>
      </c>
      <c r="IU147" t="e">
        <f>'All regions'!E4084+"$F;@!'j@"</f>
        <v>#VALUE!</v>
      </c>
      <c r="IV147" t="e">
        <f>'All regions'!F4084+"$F;@!'jA"</f>
        <v>#VALUE!</v>
      </c>
    </row>
    <row r="148" spans="6:256" x14ac:dyDescent="0.35">
      <c r="F148" t="e">
        <f>'All regions'!G4084+"$F;@!'jB"</f>
        <v>#VALUE!</v>
      </c>
      <c r="G148" t="e">
        <f>'All regions'!H4084+"$F;@!'jC"</f>
        <v>#VALUE!</v>
      </c>
      <c r="H148" t="e">
        <f>'All regions'!I4084+"$F;@!'jD"</f>
        <v>#VALUE!</v>
      </c>
      <c r="I148" t="e">
        <f>'All regions'!A4085+"$F;@!'jE"</f>
        <v>#VALUE!</v>
      </c>
      <c r="J148" t="e">
        <f>'All regions'!B4085+"$F;@!'jF"</f>
        <v>#VALUE!</v>
      </c>
      <c r="K148" t="e">
        <f>'All regions'!C4085+"$F;@!'jG"</f>
        <v>#VALUE!</v>
      </c>
      <c r="L148" t="e">
        <f>'All regions'!D4085+"$F;@!'jH"</f>
        <v>#VALUE!</v>
      </c>
      <c r="M148" t="e">
        <f>'All regions'!E4085+"$F;@!'jI"</f>
        <v>#VALUE!</v>
      </c>
      <c r="N148" t="e">
        <f>'All regions'!F4085+"$F;@!'jJ"</f>
        <v>#VALUE!</v>
      </c>
      <c r="O148" t="e">
        <f>'All regions'!G4085+"$F;@!'jK"</f>
        <v>#VALUE!</v>
      </c>
      <c r="P148" t="e">
        <f>'All regions'!H4085+"$F;@!'jL"</f>
        <v>#VALUE!</v>
      </c>
      <c r="Q148" t="e">
        <f>'All regions'!I4085+"$F;@!'jM"</f>
        <v>#VALUE!</v>
      </c>
      <c r="R148" t="e">
        <f>'All regions'!A4086+"$F;@!'jN"</f>
        <v>#VALUE!</v>
      </c>
      <c r="S148" t="e">
        <f>'All regions'!B4086+"$F;@!'jO"</f>
        <v>#VALUE!</v>
      </c>
      <c r="T148" t="e">
        <f>'All regions'!C4086+"$F;@!'jP"</f>
        <v>#VALUE!</v>
      </c>
      <c r="U148" t="e">
        <f>'All regions'!D4086+"$F;@!'jQ"</f>
        <v>#VALUE!</v>
      </c>
      <c r="V148" t="e">
        <f>'All regions'!E4086+"$F;@!'jR"</f>
        <v>#VALUE!</v>
      </c>
      <c r="W148" t="e">
        <f>'All regions'!F4086+"$F;@!'jS"</f>
        <v>#VALUE!</v>
      </c>
      <c r="X148" t="e">
        <f>'All regions'!G4086+"$F;@!'jT"</f>
        <v>#VALUE!</v>
      </c>
      <c r="Y148" t="e">
        <f>'All regions'!H4086+"$F;@!'jU"</f>
        <v>#VALUE!</v>
      </c>
      <c r="Z148" t="e">
        <f>'All regions'!I4086+"$F;@!'jV"</f>
        <v>#VALUE!</v>
      </c>
      <c r="AA148" t="e">
        <f>'All regions'!A4087+"$F;@!'jW"</f>
        <v>#VALUE!</v>
      </c>
      <c r="AB148" t="e">
        <f>'All regions'!B4087+"$F;@!'jX"</f>
        <v>#VALUE!</v>
      </c>
      <c r="AC148" t="e">
        <f>'All regions'!C4087+"$F;@!'jY"</f>
        <v>#VALUE!</v>
      </c>
      <c r="AD148" t="e">
        <f>'All regions'!D4087+"$F;@!'jZ"</f>
        <v>#VALUE!</v>
      </c>
      <c r="AE148" t="e">
        <f>'All regions'!E4087+"$F;@!'j["</f>
        <v>#VALUE!</v>
      </c>
      <c r="AF148" t="e">
        <f>'All regions'!F4087+"$F;@!'j\"</f>
        <v>#VALUE!</v>
      </c>
      <c r="AG148" t="e">
        <f>'All regions'!G4087+"$F;@!'j]"</f>
        <v>#VALUE!</v>
      </c>
      <c r="AH148" t="e">
        <f>'All regions'!H4087+"$F;@!'j^"</f>
        <v>#VALUE!</v>
      </c>
      <c r="AI148" t="e">
        <f>'All regions'!I4087+"$F;@!'j_"</f>
        <v>#VALUE!</v>
      </c>
      <c r="AJ148" t="e">
        <f>'All regions'!A4088+"$F;@!'j`"</f>
        <v>#VALUE!</v>
      </c>
      <c r="AK148" t="e">
        <f>'All regions'!B4088+"$F;@!'ja"</f>
        <v>#VALUE!</v>
      </c>
      <c r="AL148" t="e">
        <f>'All regions'!C4088+"$F;@!'jb"</f>
        <v>#VALUE!</v>
      </c>
      <c r="AM148" t="e">
        <f>'All regions'!D4088+"$F;@!'jc"</f>
        <v>#VALUE!</v>
      </c>
      <c r="AN148" t="e">
        <f>'All regions'!E4088+"$F;@!'jd"</f>
        <v>#VALUE!</v>
      </c>
      <c r="AO148" t="e">
        <f>'All regions'!F4088+"$F;@!'je"</f>
        <v>#VALUE!</v>
      </c>
      <c r="AP148" t="e">
        <f>'All regions'!G4088+"$F;@!'jf"</f>
        <v>#VALUE!</v>
      </c>
      <c r="AQ148" t="e">
        <f>'All regions'!H4088+"$F;@!'jg"</f>
        <v>#VALUE!</v>
      </c>
      <c r="AR148" t="e">
        <f>'All regions'!I4088+"$F;@!'jh"</f>
        <v>#VALUE!</v>
      </c>
      <c r="AS148" t="e">
        <f>'All regions'!A4089+"$F;@!'ji"</f>
        <v>#VALUE!</v>
      </c>
      <c r="AT148" t="e">
        <f>'All regions'!B4089+"$F;@!'jj"</f>
        <v>#VALUE!</v>
      </c>
      <c r="AU148" t="e">
        <f>'All regions'!C4089+"$F;@!'jk"</f>
        <v>#VALUE!</v>
      </c>
      <c r="AV148" t="e">
        <f>'All regions'!D4089+"$F;@!'jl"</f>
        <v>#VALUE!</v>
      </c>
      <c r="AW148" t="e">
        <f>'All regions'!E4089+"$F;@!'jm"</f>
        <v>#VALUE!</v>
      </c>
      <c r="AX148" t="e">
        <f>'All regions'!F4089+"$F;@!'jn"</f>
        <v>#VALUE!</v>
      </c>
      <c r="AY148" t="e">
        <f>'All regions'!G4089+"$F;@!'jo"</f>
        <v>#VALUE!</v>
      </c>
      <c r="AZ148" t="e">
        <f>'All regions'!H4089+"$F;@!'jp"</f>
        <v>#VALUE!</v>
      </c>
      <c r="BA148" t="e">
        <f>'All regions'!I4089+"$F;@!'jq"</f>
        <v>#VALUE!</v>
      </c>
      <c r="BB148" t="e">
        <f>'All regions'!A4090+"$F;@!'jr"</f>
        <v>#VALUE!</v>
      </c>
      <c r="BC148" t="e">
        <f>'All regions'!B4090+"$F;@!'js"</f>
        <v>#VALUE!</v>
      </c>
      <c r="BD148" t="e">
        <f>'All regions'!C4090+"$F;@!'jt"</f>
        <v>#VALUE!</v>
      </c>
      <c r="BE148" t="e">
        <f>'All regions'!D4090+"$F;@!'ju"</f>
        <v>#VALUE!</v>
      </c>
      <c r="BF148" t="e">
        <f>'All regions'!E4090+"$F;@!'jv"</f>
        <v>#VALUE!</v>
      </c>
      <c r="BG148" t="e">
        <f>'All regions'!F4090+"$F;@!'jw"</f>
        <v>#VALUE!</v>
      </c>
      <c r="BH148" t="e">
        <f>'All regions'!G4090+"$F;@!'jx"</f>
        <v>#VALUE!</v>
      </c>
      <c r="BI148" t="e">
        <f>'All regions'!H4090+"$F;@!'jy"</f>
        <v>#VALUE!</v>
      </c>
      <c r="BJ148" t="e">
        <f>'All regions'!I4090+"$F;@!'jz"</f>
        <v>#VALUE!</v>
      </c>
      <c r="BK148" t="e">
        <f>'All regions'!A4091+"$F;@!'j{"</f>
        <v>#VALUE!</v>
      </c>
      <c r="BL148" t="e">
        <f>'All regions'!B4091+"$F;@!'j|"</f>
        <v>#VALUE!</v>
      </c>
      <c r="BM148" t="e">
        <f>'All regions'!C4091+"$F;@!'j}"</f>
        <v>#VALUE!</v>
      </c>
      <c r="BN148" t="e">
        <f>'All regions'!D4091+"$F;@!'j~"</f>
        <v>#VALUE!</v>
      </c>
      <c r="BO148" t="e">
        <f>'All regions'!E4091+"$F;@!'k#"</f>
        <v>#VALUE!</v>
      </c>
      <c r="BP148" t="e">
        <f>'All regions'!F4091+"$F;@!'k$"</f>
        <v>#VALUE!</v>
      </c>
      <c r="BQ148" t="e">
        <f>'All regions'!G4091+"$F;@!'k%"</f>
        <v>#VALUE!</v>
      </c>
      <c r="BR148" t="e">
        <f>'All regions'!H4091+"$F;@!'k&amp;"</f>
        <v>#VALUE!</v>
      </c>
      <c r="BS148" t="e">
        <f>'All regions'!I4091+"$F;@!'k'"</f>
        <v>#VALUE!</v>
      </c>
      <c r="BT148" t="e">
        <f>'All regions'!A4092+"$F;@!'k("</f>
        <v>#VALUE!</v>
      </c>
      <c r="BU148" t="e">
        <f>'All regions'!B4092+"$F;@!'k)"</f>
        <v>#VALUE!</v>
      </c>
      <c r="BV148" t="e">
        <f>'All regions'!C4092+"$F;@!'k."</f>
        <v>#VALUE!</v>
      </c>
      <c r="BW148" t="e">
        <f>'All regions'!D4092+"$F;@!'k/"</f>
        <v>#VALUE!</v>
      </c>
      <c r="BX148" t="e">
        <f>'All regions'!E4092+"$F;@!'k0"</f>
        <v>#VALUE!</v>
      </c>
      <c r="BY148" t="e">
        <f>'All regions'!F4092+"$F;@!'k1"</f>
        <v>#VALUE!</v>
      </c>
      <c r="BZ148" t="e">
        <f>'All regions'!G4092+"$F;@!'k2"</f>
        <v>#VALUE!</v>
      </c>
      <c r="CA148" t="e">
        <f>'All regions'!H4092+"$F;@!'k3"</f>
        <v>#VALUE!</v>
      </c>
      <c r="CB148" t="e">
        <f>'All regions'!I4092+"$F;@!'k4"</f>
        <v>#VALUE!</v>
      </c>
      <c r="CC148" t="e">
        <f>'All regions'!A4093+"$F;@!'k5"</f>
        <v>#VALUE!</v>
      </c>
      <c r="CD148" t="e">
        <f>'All regions'!B4093+"$F;@!'k6"</f>
        <v>#VALUE!</v>
      </c>
      <c r="CE148" t="e">
        <f>'All regions'!C4093+"$F;@!'k7"</f>
        <v>#VALUE!</v>
      </c>
      <c r="CF148" t="e">
        <f>'All regions'!D4093+"$F;@!'k8"</f>
        <v>#VALUE!</v>
      </c>
      <c r="CG148" t="e">
        <f>'All regions'!E4093+"$F;@!'k9"</f>
        <v>#VALUE!</v>
      </c>
      <c r="CH148" t="e">
        <f>'All regions'!F4093+"$F;@!'k:"</f>
        <v>#VALUE!</v>
      </c>
      <c r="CI148" t="e">
        <f>'All regions'!G4093+"$F;@!'k;"</f>
        <v>#VALUE!</v>
      </c>
      <c r="CJ148" t="e">
        <f>'All regions'!H4093+"$F;@!'k&lt;"</f>
        <v>#VALUE!</v>
      </c>
      <c r="CK148" t="e">
        <f>'All regions'!I4093+"$F;@!'k="</f>
        <v>#VALUE!</v>
      </c>
      <c r="CL148" t="e">
        <f>'All regions'!A4094+"$F;@!'k&gt;"</f>
        <v>#VALUE!</v>
      </c>
      <c r="CM148" t="e">
        <f>'All regions'!B4094+"$F;@!'k?"</f>
        <v>#VALUE!</v>
      </c>
      <c r="CN148" t="e">
        <f>'All regions'!C4094+"$F;@!'k@"</f>
        <v>#VALUE!</v>
      </c>
      <c r="CO148" t="e">
        <f>'All regions'!D4094+"$F;@!'kA"</f>
        <v>#VALUE!</v>
      </c>
      <c r="CP148" t="e">
        <f>'All regions'!E4094+"$F;@!'kB"</f>
        <v>#VALUE!</v>
      </c>
      <c r="CQ148" t="e">
        <f>'All regions'!F4094+"$F;@!'kC"</f>
        <v>#VALUE!</v>
      </c>
      <c r="CR148" t="e">
        <f>'All regions'!G4094+"$F;@!'kD"</f>
        <v>#VALUE!</v>
      </c>
      <c r="CS148" t="e">
        <f>'All regions'!H4094+"$F;@!'kE"</f>
        <v>#VALUE!</v>
      </c>
      <c r="CT148" t="e">
        <f>'All regions'!I4094+"$F;@!'kF"</f>
        <v>#VALUE!</v>
      </c>
      <c r="CU148" t="e">
        <f>'All regions'!A4095+"$F;@!'kG"</f>
        <v>#VALUE!</v>
      </c>
      <c r="CV148" t="e">
        <f>'All regions'!B4095+"$F;@!'kH"</f>
        <v>#VALUE!</v>
      </c>
      <c r="CW148" t="e">
        <f>'All regions'!C4095+"$F;@!'kI"</f>
        <v>#VALUE!</v>
      </c>
      <c r="CX148" t="e">
        <f>'All regions'!D4095+"$F;@!'kJ"</f>
        <v>#VALUE!</v>
      </c>
      <c r="CY148" t="e">
        <f>'All regions'!E4095+"$F;@!'kK"</f>
        <v>#VALUE!</v>
      </c>
      <c r="CZ148" t="e">
        <f>'All regions'!F4095+"$F;@!'kL"</f>
        <v>#VALUE!</v>
      </c>
      <c r="DA148" t="e">
        <f>'All regions'!G4095+"$F;@!'kM"</f>
        <v>#VALUE!</v>
      </c>
      <c r="DB148" t="e">
        <f>'All regions'!H4095+"$F;@!'kN"</f>
        <v>#VALUE!</v>
      </c>
      <c r="DC148" t="e">
        <f>'All regions'!I4095+"$F;@!'kO"</f>
        <v>#VALUE!</v>
      </c>
      <c r="DD148" t="e">
        <f>'All regions'!A4096+"$F;@!'kP"</f>
        <v>#VALUE!</v>
      </c>
      <c r="DE148" t="e">
        <f>'All regions'!B4096+"$F;@!'kQ"</f>
        <v>#VALUE!</v>
      </c>
      <c r="DF148" t="e">
        <f>'All regions'!C4096+"$F;@!'kR"</f>
        <v>#VALUE!</v>
      </c>
      <c r="DG148" t="e">
        <f>'All regions'!D4096+"$F;@!'kS"</f>
        <v>#VALUE!</v>
      </c>
      <c r="DH148" t="e">
        <f>'All regions'!E4096+"$F;@!'kT"</f>
        <v>#VALUE!</v>
      </c>
      <c r="DI148" t="e">
        <f>'All regions'!F4096+"$F;@!'kU"</f>
        <v>#VALUE!</v>
      </c>
      <c r="DJ148" t="e">
        <f>'All regions'!G4096+"$F;@!'kV"</f>
        <v>#VALUE!</v>
      </c>
      <c r="DK148" t="e">
        <f>'All regions'!H4096+"$F;@!'kW"</f>
        <v>#VALUE!</v>
      </c>
      <c r="DL148" t="e">
        <f>'All regions'!I4096+"$F;@!'kX"</f>
        <v>#VALUE!</v>
      </c>
      <c r="DM148" t="e">
        <f>'All regions'!A4097+"$F;@!'kY"</f>
        <v>#VALUE!</v>
      </c>
      <c r="DN148" t="e">
        <f>'All regions'!B4097+"$F;@!'kZ"</f>
        <v>#VALUE!</v>
      </c>
      <c r="DO148" t="e">
        <f>'All regions'!C4097+"$F;@!'k["</f>
        <v>#VALUE!</v>
      </c>
      <c r="DP148" t="e">
        <f>'All regions'!D4097+"$F;@!'k\"</f>
        <v>#VALUE!</v>
      </c>
      <c r="DQ148" t="e">
        <f>'All regions'!E4097+"$F;@!'k]"</f>
        <v>#VALUE!</v>
      </c>
      <c r="DR148" t="e">
        <f>'All regions'!F4097+"$F;@!'k^"</f>
        <v>#VALUE!</v>
      </c>
      <c r="DS148" t="e">
        <f>'All regions'!G4097+"$F;@!'k_"</f>
        <v>#VALUE!</v>
      </c>
      <c r="DT148" t="e">
        <f>'All regions'!H4097+"$F;@!'k`"</f>
        <v>#VALUE!</v>
      </c>
      <c r="DU148" t="e">
        <f>'All regions'!I4097+"$F;@!'ka"</f>
        <v>#VALUE!</v>
      </c>
      <c r="DV148" t="e">
        <f>'All regions'!A4098+"$F;@!'kb"</f>
        <v>#VALUE!</v>
      </c>
      <c r="DW148" t="e">
        <f>'All regions'!B4098+"$F;@!'kc"</f>
        <v>#VALUE!</v>
      </c>
      <c r="DX148" t="e">
        <f>'All regions'!C4098+"$F;@!'kd"</f>
        <v>#VALUE!</v>
      </c>
      <c r="DY148" t="e">
        <f>'All regions'!D4098+"$F;@!'ke"</f>
        <v>#VALUE!</v>
      </c>
      <c r="DZ148" t="e">
        <f>'All regions'!E4098+"$F;@!'kf"</f>
        <v>#VALUE!</v>
      </c>
      <c r="EA148" t="e">
        <f>'All regions'!F4098+"$F;@!'kg"</f>
        <v>#VALUE!</v>
      </c>
      <c r="EB148" t="e">
        <f>'All regions'!G4098+"$F;@!'kh"</f>
        <v>#VALUE!</v>
      </c>
      <c r="EC148" t="e">
        <f>'All regions'!H4098+"$F;@!'ki"</f>
        <v>#VALUE!</v>
      </c>
      <c r="ED148" t="e">
        <f>'All regions'!I4098+"$F;@!'kj"</f>
        <v>#VALUE!</v>
      </c>
      <c r="EE148" t="e">
        <f>'All regions'!A4099+"$F;@!'kk"</f>
        <v>#VALUE!</v>
      </c>
      <c r="EF148" t="e">
        <f>'All regions'!B4099+"$F;@!'kl"</f>
        <v>#VALUE!</v>
      </c>
      <c r="EG148" t="e">
        <f>'All regions'!C4099+"$F;@!'km"</f>
        <v>#VALUE!</v>
      </c>
      <c r="EH148" t="e">
        <f>'All regions'!D4099+"$F;@!'kn"</f>
        <v>#VALUE!</v>
      </c>
      <c r="EI148" t="e">
        <f>'All regions'!E4099+"$F;@!'ko"</f>
        <v>#VALUE!</v>
      </c>
      <c r="EJ148" t="e">
        <f>'All regions'!F4099+"$F;@!'kp"</f>
        <v>#VALUE!</v>
      </c>
      <c r="EK148" t="e">
        <f>'All regions'!G4099+"$F;@!'kq"</f>
        <v>#VALUE!</v>
      </c>
      <c r="EL148" t="e">
        <f>'All regions'!H4099+"$F;@!'kr"</f>
        <v>#VALUE!</v>
      </c>
      <c r="EM148" t="e">
        <f>'All regions'!I4099+"$F;@!'ks"</f>
        <v>#VALUE!</v>
      </c>
      <c r="EN148" t="e">
        <f>'All regions'!A4100+"$F;@!'kt"</f>
        <v>#VALUE!</v>
      </c>
      <c r="EO148" t="e">
        <f>'All regions'!B4100+"$F;@!'ku"</f>
        <v>#VALUE!</v>
      </c>
      <c r="EP148" t="e">
        <f>'All regions'!C4100+"$F;@!'kv"</f>
        <v>#VALUE!</v>
      </c>
      <c r="EQ148" t="e">
        <f>'All regions'!D4100+"$F;@!'kw"</f>
        <v>#VALUE!</v>
      </c>
      <c r="ER148" t="e">
        <f>'All regions'!E4100+"$F;@!'kx"</f>
        <v>#VALUE!</v>
      </c>
      <c r="ES148" t="e">
        <f>'All regions'!F4100+"$F;@!'ky"</f>
        <v>#VALUE!</v>
      </c>
      <c r="ET148" t="e">
        <f>'All regions'!G4100+"$F;@!'kz"</f>
        <v>#VALUE!</v>
      </c>
      <c r="EU148" t="e">
        <f>'All regions'!H4100+"$F;@!'k{"</f>
        <v>#VALUE!</v>
      </c>
      <c r="EV148" t="e">
        <f>'All regions'!I4100+"$F;@!'k|"</f>
        <v>#VALUE!</v>
      </c>
      <c r="EW148" t="e">
        <f>'All regions'!A4101+"$F;@!'k}"</f>
        <v>#VALUE!</v>
      </c>
      <c r="EX148" t="e">
        <f>'All regions'!B4101+"$F;@!'k~"</f>
        <v>#VALUE!</v>
      </c>
      <c r="EY148" t="e">
        <f>'All regions'!C4101+"$F;@!'l#"</f>
        <v>#VALUE!</v>
      </c>
      <c r="EZ148" t="e">
        <f>'All regions'!D4101+"$F;@!'l$"</f>
        <v>#VALUE!</v>
      </c>
      <c r="FA148" t="e">
        <f>'All regions'!E4101+"$F;@!'l%"</f>
        <v>#VALUE!</v>
      </c>
      <c r="FB148" t="e">
        <f>'All regions'!F4101+"$F;@!'l&amp;"</f>
        <v>#VALUE!</v>
      </c>
      <c r="FC148" t="e">
        <f>'All regions'!G4101+"$F;@!'l'"</f>
        <v>#VALUE!</v>
      </c>
      <c r="FD148" t="e">
        <f>'All regions'!H4101+"$F;@!'l("</f>
        <v>#VALUE!</v>
      </c>
      <c r="FE148" t="e">
        <f>'All regions'!I4101+"$F;@!'l)"</f>
        <v>#VALUE!</v>
      </c>
      <c r="FF148" t="e">
        <f>'All regions'!A4102+"$F;@!'l."</f>
        <v>#VALUE!</v>
      </c>
      <c r="FG148" t="e">
        <f>'All regions'!B4102+"$F;@!'l/"</f>
        <v>#VALUE!</v>
      </c>
      <c r="FH148" t="e">
        <f>'All regions'!C4102+"$F;@!'l0"</f>
        <v>#VALUE!</v>
      </c>
      <c r="FI148" t="e">
        <f>'All regions'!D4102+"$F;@!'l1"</f>
        <v>#VALUE!</v>
      </c>
      <c r="FJ148" t="e">
        <f>'All regions'!E4102+"$F;@!'l2"</f>
        <v>#VALUE!</v>
      </c>
      <c r="FK148" t="e">
        <f>'All regions'!F4102+"$F;@!'l3"</f>
        <v>#VALUE!</v>
      </c>
      <c r="FL148" t="e">
        <f>'All regions'!G4102+"$F;@!'l4"</f>
        <v>#VALUE!</v>
      </c>
      <c r="FM148" t="e">
        <f>'All regions'!H4102+"$F;@!'l5"</f>
        <v>#VALUE!</v>
      </c>
      <c r="FN148" t="e">
        <f>'All regions'!I4102+"$F;@!'l6"</f>
        <v>#VALUE!</v>
      </c>
      <c r="FO148" t="e">
        <f>'All regions'!A4103+"$F;@!'l7"</f>
        <v>#VALUE!</v>
      </c>
      <c r="FP148" t="e">
        <f>'All regions'!B4103+"$F;@!'l8"</f>
        <v>#VALUE!</v>
      </c>
      <c r="FQ148" t="e">
        <f>'All regions'!C4103+"$F;@!'l9"</f>
        <v>#VALUE!</v>
      </c>
      <c r="FR148" t="e">
        <f>'All regions'!D4103+"$F;@!'l:"</f>
        <v>#VALUE!</v>
      </c>
      <c r="FS148" t="e">
        <f>'All regions'!E4103+"$F;@!'l;"</f>
        <v>#VALUE!</v>
      </c>
      <c r="FT148" t="e">
        <f>'All regions'!F4103+"$F;@!'l&lt;"</f>
        <v>#VALUE!</v>
      </c>
      <c r="FU148" t="e">
        <f>'All regions'!G4103+"$F;@!'l="</f>
        <v>#VALUE!</v>
      </c>
      <c r="FV148" t="e">
        <f>'All regions'!H4103+"$F;@!'l&gt;"</f>
        <v>#VALUE!</v>
      </c>
      <c r="FW148" t="e">
        <f>'All regions'!I4103+"$F;@!'l?"</f>
        <v>#VALUE!</v>
      </c>
      <c r="FX148" t="e">
        <f>'All regions'!A4104+"$F;@!'l@"</f>
        <v>#VALUE!</v>
      </c>
      <c r="FY148" t="e">
        <f>'All regions'!B4104+"$F;@!'lA"</f>
        <v>#VALUE!</v>
      </c>
      <c r="FZ148" t="e">
        <f>'All regions'!C4104+"$F;@!'lB"</f>
        <v>#VALUE!</v>
      </c>
      <c r="GA148" t="e">
        <f>'All regions'!D4104+"$F;@!'lC"</f>
        <v>#VALUE!</v>
      </c>
      <c r="GB148" t="e">
        <f>'All regions'!E4104+"$F;@!'lD"</f>
        <v>#VALUE!</v>
      </c>
      <c r="GC148" t="e">
        <f>'All regions'!F4104+"$F;@!'lE"</f>
        <v>#VALUE!</v>
      </c>
      <c r="GD148" t="e">
        <f>'All regions'!G4104+"$F;@!'lF"</f>
        <v>#VALUE!</v>
      </c>
      <c r="GE148" t="e">
        <f>'All regions'!H4104+"$F;@!'lG"</f>
        <v>#VALUE!</v>
      </c>
      <c r="GF148" t="e">
        <f>'All regions'!I4104+"$F;@!'lH"</f>
        <v>#VALUE!</v>
      </c>
      <c r="GG148" t="e">
        <f>'All regions'!A4105+"$F;@!'lI"</f>
        <v>#VALUE!</v>
      </c>
      <c r="GH148" t="e">
        <f>'All regions'!B4105+"$F;@!'lJ"</f>
        <v>#VALUE!</v>
      </c>
      <c r="GI148" t="e">
        <f>'All regions'!C4105+"$F;@!'lK"</f>
        <v>#VALUE!</v>
      </c>
      <c r="GJ148" t="e">
        <f>'All regions'!D4105+"$F;@!'lL"</f>
        <v>#VALUE!</v>
      </c>
      <c r="GK148" t="e">
        <f>'All regions'!E4105+"$F;@!'lM"</f>
        <v>#VALUE!</v>
      </c>
      <c r="GL148" t="e">
        <f>'All regions'!F4105+"$F;@!'lN"</f>
        <v>#VALUE!</v>
      </c>
      <c r="GM148" t="e">
        <f>'All regions'!G4105+"$F;@!'lO"</f>
        <v>#VALUE!</v>
      </c>
      <c r="GN148" t="e">
        <f>'All regions'!H4105+"$F;@!'lP"</f>
        <v>#VALUE!</v>
      </c>
      <c r="GO148" t="e">
        <f>'All regions'!I4105+"$F;@!'lQ"</f>
        <v>#VALUE!</v>
      </c>
      <c r="GP148" t="e">
        <f>'All regions'!A4106+"$F;@!'lR"</f>
        <v>#VALUE!</v>
      </c>
      <c r="GQ148" t="e">
        <f>'All regions'!B4106+"$F;@!'lS"</f>
        <v>#VALUE!</v>
      </c>
      <c r="GR148" t="e">
        <f>'All regions'!C4106+"$F;@!'lT"</f>
        <v>#VALUE!</v>
      </c>
      <c r="GS148" t="e">
        <f>'All regions'!D4106+"$F;@!'lU"</f>
        <v>#VALUE!</v>
      </c>
      <c r="GT148" t="e">
        <f>'All regions'!E4106+"$F;@!'lV"</f>
        <v>#VALUE!</v>
      </c>
      <c r="GU148" t="e">
        <f>'All regions'!F4106+"$F;@!'lW"</f>
        <v>#VALUE!</v>
      </c>
      <c r="GV148" t="e">
        <f>'All regions'!G4106+"$F;@!'lX"</f>
        <v>#VALUE!</v>
      </c>
      <c r="GW148" t="e">
        <f>'All regions'!H4106+"$F;@!'lY"</f>
        <v>#VALUE!</v>
      </c>
      <c r="GX148" t="e">
        <f>'All regions'!I4106+"$F;@!'lZ"</f>
        <v>#VALUE!</v>
      </c>
      <c r="GY148" t="e">
        <f>'All regions'!A4107+"$F;@!'l["</f>
        <v>#VALUE!</v>
      </c>
      <c r="GZ148" t="e">
        <f>'All regions'!B4107+"$F;@!'l\"</f>
        <v>#VALUE!</v>
      </c>
      <c r="HA148" t="e">
        <f>'All regions'!C4107+"$F;@!'l]"</f>
        <v>#VALUE!</v>
      </c>
      <c r="HB148" t="e">
        <f>'All regions'!D4107+"$F;@!'l^"</f>
        <v>#VALUE!</v>
      </c>
      <c r="HC148" t="e">
        <f>'All regions'!E4107+"$F;@!'l_"</f>
        <v>#VALUE!</v>
      </c>
      <c r="HD148" t="e">
        <f>'All regions'!F4107+"$F;@!'l`"</f>
        <v>#VALUE!</v>
      </c>
      <c r="HE148" t="e">
        <f>'All regions'!G4107+"$F;@!'la"</f>
        <v>#VALUE!</v>
      </c>
      <c r="HF148" t="e">
        <f>'All regions'!H4107+"$F;@!'lb"</f>
        <v>#VALUE!</v>
      </c>
      <c r="HG148" t="e">
        <f>'All regions'!I4107+"$F;@!'lc"</f>
        <v>#VALUE!</v>
      </c>
      <c r="HH148" t="e">
        <f>'All regions'!A4108+"$F;@!'ld"</f>
        <v>#VALUE!</v>
      </c>
      <c r="HI148" t="e">
        <f>'All regions'!B4108+"$F;@!'le"</f>
        <v>#VALUE!</v>
      </c>
      <c r="HJ148" t="e">
        <f>'All regions'!C4108+"$F;@!'lf"</f>
        <v>#VALUE!</v>
      </c>
      <c r="HK148" t="e">
        <f>'All regions'!D4108+"$F;@!'lg"</f>
        <v>#VALUE!</v>
      </c>
      <c r="HL148" t="e">
        <f>'All regions'!E4108+"$F;@!'lh"</f>
        <v>#VALUE!</v>
      </c>
      <c r="HM148" t="e">
        <f>'All regions'!F4108+"$F;@!'li"</f>
        <v>#VALUE!</v>
      </c>
      <c r="HN148" t="e">
        <f>'All regions'!G4108+"$F;@!'lj"</f>
        <v>#VALUE!</v>
      </c>
      <c r="HO148" t="e">
        <f>'All regions'!H4108+"$F;@!'lk"</f>
        <v>#VALUE!</v>
      </c>
      <c r="HP148" t="e">
        <f>'All regions'!I4108+"$F;@!'ll"</f>
        <v>#VALUE!</v>
      </c>
      <c r="HQ148" t="e">
        <f>'All regions'!A4109+"$F;@!'lm"</f>
        <v>#VALUE!</v>
      </c>
      <c r="HR148" t="e">
        <f>'All regions'!B4109+"$F;@!'ln"</f>
        <v>#VALUE!</v>
      </c>
      <c r="HS148" t="e">
        <f>'All regions'!C4109+"$F;@!'lo"</f>
        <v>#VALUE!</v>
      </c>
      <c r="HT148" t="e">
        <f>'All regions'!D4109+"$F;@!'lp"</f>
        <v>#VALUE!</v>
      </c>
      <c r="HU148" t="e">
        <f>'All regions'!E4109+"$F;@!'lq"</f>
        <v>#VALUE!</v>
      </c>
      <c r="HV148" t="e">
        <f>'All regions'!F4109+"$F;@!'lr"</f>
        <v>#VALUE!</v>
      </c>
      <c r="HW148" t="e">
        <f>'All regions'!G4109+"$F;@!'ls"</f>
        <v>#VALUE!</v>
      </c>
      <c r="HX148" t="e">
        <f>'All regions'!H4109+"$F;@!'lt"</f>
        <v>#VALUE!</v>
      </c>
      <c r="HY148" t="e">
        <f>'All regions'!I4109+"$F;@!'lu"</f>
        <v>#VALUE!</v>
      </c>
      <c r="HZ148" t="e">
        <f>'All regions'!A4110+"$F;@!'lv"</f>
        <v>#VALUE!</v>
      </c>
      <c r="IA148" t="e">
        <f>'All regions'!B4110+"$F;@!'lw"</f>
        <v>#VALUE!</v>
      </c>
      <c r="IB148" t="e">
        <f>'All regions'!C4110+"$F;@!'lx"</f>
        <v>#VALUE!</v>
      </c>
      <c r="IC148" t="e">
        <f>'All regions'!D4110+"$F;@!'ly"</f>
        <v>#VALUE!</v>
      </c>
      <c r="ID148" t="e">
        <f>'All regions'!E4110+"$F;@!'lz"</f>
        <v>#VALUE!</v>
      </c>
      <c r="IE148" t="e">
        <f>'All regions'!F4110+"$F;@!'l{"</f>
        <v>#VALUE!</v>
      </c>
      <c r="IF148" t="e">
        <f>'All regions'!G4110+"$F;@!'l|"</f>
        <v>#VALUE!</v>
      </c>
      <c r="IG148" t="e">
        <f>'All regions'!H4110+"$F;@!'l}"</f>
        <v>#VALUE!</v>
      </c>
      <c r="IH148" t="e">
        <f>'All regions'!I4110+"$F;@!'l~"</f>
        <v>#VALUE!</v>
      </c>
      <c r="II148" t="e">
        <f>'All regions'!A4111+"$F;@!'m#"</f>
        <v>#VALUE!</v>
      </c>
      <c r="IJ148" t="e">
        <f>'All regions'!B4111+"$F;@!'m$"</f>
        <v>#VALUE!</v>
      </c>
      <c r="IK148" t="e">
        <f>'All regions'!C4111+"$F;@!'m%"</f>
        <v>#VALUE!</v>
      </c>
      <c r="IL148" t="e">
        <f>'All regions'!D4111+"$F;@!'m&amp;"</f>
        <v>#VALUE!</v>
      </c>
      <c r="IM148" t="e">
        <f>'All regions'!E4111+"$F;@!'m'"</f>
        <v>#VALUE!</v>
      </c>
      <c r="IN148" t="e">
        <f>'All regions'!F4111+"$F;@!'m("</f>
        <v>#VALUE!</v>
      </c>
      <c r="IO148" t="e">
        <f>'All regions'!G4111+"$F;@!'m)"</f>
        <v>#VALUE!</v>
      </c>
      <c r="IP148" t="e">
        <f>'All regions'!H4111+"$F;@!'m."</f>
        <v>#VALUE!</v>
      </c>
      <c r="IQ148" t="e">
        <f>'All regions'!I4111+"$F;@!'m/"</f>
        <v>#VALUE!</v>
      </c>
      <c r="IR148" t="e">
        <f>'All regions'!A4112+"$F;@!'m0"</f>
        <v>#VALUE!</v>
      </c>
      <c r="IS148" t="e">
        <f>'All regions'!B4112+"$F;@!'m1"</f>
        <v>#VALUE!</v>
      </c>
      <c r="IT148" t="e">
        <f>'All regions'!C4112+"$F;@!'m2"</f>
        <v>#VALUE!</v>
      </c>
      <c r="IU148" t="e">
        <f>'All regions'!D4112+"$F;@!'m3"</f>
        <v>#VALUE!</v>
      </c>
      <c r="IV148" t="e">
        <f>'All regions'!E4112+"$F;@!'m4"</f>
        <v>#VALUE!</v>
      </c>
    </row>
    <row r="149" spans="6:256" x14ac:dyDescent="0.35">
      <c r="F149" t="e">
        <f>'All regions'!F4112+"$F;@!'m5"</f>
        <v>#VALUE!</v>
      </c>
      <c r="G149" t="e">
        <f>'All regions'!G4112+"$F;@!'m6"</f>
        <v>#VALUE!</v>
      </c>
      <c r="H149" t="e">
        <f>'All regions'!H4112+"$F;@!'m7"</f>
        <v>#VALUE!</v>
      </c>
      <c r="I149" t="e">
        <f>'All regions'!I4112+"$F;@!'m8"</f>
        <v>#VALUE!</v>
      </c>
      <c r="J149" t="e">
        <f>'All regions'!A4113+"$F;@!'m9"</f>
        <v>#VALUE!</v>
      </c>
      <c r="K149" t="e">
        <f>'All regions'!B4113+"$F;@!'m:"</f>
        <v>#VALUE!</v>
      </c>
      <c r="L149" t="e">
        <f>'All regions'!C4113+"$F;@!'m;"</f>
        <v>#VALUE!</v>
      </c>
      <c r="M149" t="e">
        <f>'All regions'!D4113+"$F;@!'m&lt;"</f>
        <v>#VALUE!</v>
      </c>
      <c r="N149" t="e">
        <f>'All regions'!E4113+"$F;@!'m="</f>
        <v>#VALUE!</v>
      </c>
      <c r="O149" t="e">
        <f>'All regions'!F4113+"$F;@!'m&gt;"</f>
        <v>#VALUE!</v>
      </c>
      <c r="P149" t="e">
        <f>'All regions'!G4113+"$F;@!'m?"</f>
        <v>#VALUE!</v>
      </c>
      <c r="Q149" t="e">
        <f>'All regions'!H4113+"$F;@!'m@"</f>
        <v>#VALUE!</v>
      </c>
      <c r="R149" t="e">
        <f>'All regions'!I4113+"$F;@!'mA"</f>
        <v>#VALUE!</v>
      </c>
      <c r="S149" t="e">
        <f>'All regions'!A4114+"$F;@!'mB"</f>
        <v>#VALUE!</v>
      </c>
      <c r="T149" t="e">
        <f>'All regions'!B4114+"$F;@!'mC"</f>
        <v>#VALUE!</v>
      </c>
      <c r="U149" t="e">
        <f>'All regions'!C4114+"$F;@!'mD"</f>
        <v>#VALUE!</v>
      </c>
      <c r="V149" t="e">
        <f>'All regions'!D4114+"$F;@!'mE"</f>
        <v>#VALUE!</v>
      </c>
      <c r="W149" t="e">
        <f>'All regions'!E4114+"$F;@!'mF"</f>
        <v>#VALUE!</v>
      </c>
      <c r="X149" t="e">
        <f>'All regions'!F4114+"$F;@!'mG"</f>
        <v>#VALUE!</v>
      </c>
      <c r="Y149" t="e">
        <f>'All regions'!G4114+"$F;@!'mH"</f>
        <v>#VALUE!</v>
      </c>
      <c r="Z149" t="e">
        <f>'All regions'!H4114+"$F;@!'mI"</f>
        <v>#VALUE!</v>
      </c>
      <c r="AA149" t="e">
        <f>'All regions'!I4114+"$F;@!'mJ"</f>
        <v>#VALUE!</v>
      </c>
      <c r="AB149" t="e">
        <f>'All regions'!A4115+"$F;@!'mK"</f>
        <v>#VALUE!</v>
      </c>
      <c r="AC149" t="e">
        <f>'All regions'!B4115+"$F;@!'mL"</f>
        <v>#VALUE!</v>
      </c>
      <c r="AD149" t="e">
        <f>'All regions'!C4115+"$F;@!'mM"</f>
        <v>#VALUE!</v>
      </c>
      <c r="AE149" t="e">
        <f>'All regions'!D4115+"$F;@!'mN"</f>
        <v>#VALUE!</v>
      </c>
      <c r="AF149" t="e">
        <f>'All regions'!E4115+"$F;@!'mO"</f>
        <v>#VALUE!</v>
      </c>
      <c r="AG149" t="e">
        <f>'All regions'!F4115+"$F;@!'mP"</f>
        <v>#VALUE!</v>
      </c>
      <c r="AH149" t="e">
        <f>'All regions'!G4115+"$F;@!'mQ"</f>
        <v>#VALUE!</v>
      </c>
      <c r="AI149" t="e">
        <f>'All regions'!H4115+"$F;@!'mR"</f>
        <v>#VALUE!</v>
      </c>
      <c r="AJ149" t="e">
        <f>'All regions'!I4115+"$F;@!'mS"</f>
        <v>#VALUE!</v>
      </c>
      <c r="AK149" t="e">
        <f>'All regions'!A4116+"$F;@!'mT"</f>
        <v>#VALUE!</v>
      </c>
      <c r="AL149" t="e">
        <f>'All regions'!B4116+"$F;@!'mU"</f>
        <v>#VALUE!</v>
      </c>
      <c r="AM149" t="e">
        <f>'All regions'!C4116+"$F;@!'mV"</f>
        <v>#VALUE!</v>
      </c>
      <c r="AN149" t="e">
        <f>'All regions'!D4116+"$F;@!'mW"</f>
        <v>#VALUE!</v>
      </c>
      <c r="AO149" t="e">
        <f>'All regions'!E4116+"$F;@!'mX"</f>
        <v>#VALUE!</v>
      </c>
      <c r="AP149" t="e">
        <f>'All regions'!F4116+"$F;@!'mY"</f>
        <v>#VALUE!</v>
      </c>
      <c r="AQ149" t="e">
        <f>'All regions'!G4116+"$F;@!'mZ"</f>
        <v>#VALUE!</v>
      </c>
      <c r="AR149" t="e">
        <f>'All regions'!H4116+"$F;@!'m["</f>
        <v>#VALUE!</v>
      </c>
      <c r="AS149" t="e">
        <f>'All regions'!I4116+"$F;@!'m\"</f>
        <v>#VALUE!</v>
      </c>
      <c r="AT149" t="e">
        <f>'All regions'!A4117+"$F;@!'m]"</f>
        <v>#VALUE!</v>
      </c>
      <c r="AU149" t="e">
        <f>'All regions'!B4117+"$F;@!'m^"</f>
        <v>#VALUE!</v>
      </c>
      <c r="AV149" t="e">
        <f>'All regions'!C4117+"$F;@!'m_"</f>
        <v>#VALUE!</v>
      </c>
      <c r="AW149" t="e">
        <f>'All regions'!D4117+"$F;@!'m`"</f>
        <v>#VALUE!</v>
      </c>
      <c r="AX149" t="e">
        <f>'All regions'!E4117+"$F;@!'ma"</f>
        <v>#VALUE!</v>
      </c>
      <c r="AY149" t="e">
        <f>'All regions'!F4117+"$F;@!'mb"</f>
        <v>#VALUE!</v>
      </c>
      <c r="AZ149" t="e">
        <f>'All regions'!G4117+"$F;@!'mc"</f>
        <v>#VALUE!</v>
      </c>
      <c r="BA149" t="e">
        <f>'All regions'!H4117+"$F;@!'md"</f>
        <v>#VALUE!</v>
      </c>
      <c r="BB149" t="e">
        <f>'All regions'!I4117+"$F;@!'me"</f>
        <v>#VALUE!</v>
      </c>
      <c r="BC149" t="e">
        <f>'All regions'!A4118+"$F;@!'mf"</f>
        <v>#VALUE!</v>
      </c>
      <c r="BD149" t="e">
        <f>'All regions'!B4118+"$F;@!'mg"</f>
        <v>#VALUE!</v>
      </c>
      <c r="BE149" t="e">
        <f>'All regions'!C4118+"$F;@!'mh"</f>
        <v>#VALUE!</v>
      </c>
      <c r="BF149" t="e">
        <f>'All regions'!D4118+"$F;@!'mi"</f>
        <v>#VALUE!</v>
      </c>
      <c r="BG149" t="e">
        <f>'All regions'!E4118+"$F;@!'mj"</f>
        <v>#VALUE!</v>
      </c>
      <c r="BH149" t="e">
        <f>'All regions'!F4118+"$F;@!'mk"</f>
        <v>#VALUE!</v>
      </c>
      <c r="BI149" t="e">
        <f>'All regions'!G4118+"$F;@!'ml"</f>
        <v>#VALUE!</v>
      </c>
      <c r="BJ149" t="e">
        <f>'All regions'!H4118+"$F;@!'mm"</f>
        <v>#VALUE!</v>
      </c>
      <c r="BK149" t="e">
        <f>'All regions'!I4118+"$F;@!'mn"</f>
        <v>#VALUE!</v>
      </c>
      <c r="BL149" t="e">
        <f>'All regions'!A4119+"$F;@!'mo"</f>
        <v>#VALUE!</v>
      </c>
      <c r="BM149" t="e">
        <f>'All regions'!B4119+"$F;@!'mp"</f>
        <v>#VALUE!</v>
      </c>
      <c r="BN149" t="e">
        <f>'All regions'!C4119+"$F;@!'mq"</f>
        <v>#VALUE!</v>
      </c>
      <c r="BO149" t="e">
        <f>'All regions'!D4119+"$F;@!'mr"</f>
        <v>#VALUE!</v>
      </c>
      <c r="BP149" t="e">
        <f>'All regions'!E4119+"$F;@!'ms"</f>
        <v>#VALUE!</v>
      </c>
      <c r="BQ149" t="e">
        <f>'All regions'!F4119+"$F;@!'mt"</f>
        <v>#VALUE!</v>
      </c>
      <c r="BR149" t="e">
        <f>'All regions'!G4119+"$F;@!'mu"</f>
        <v>#VALUE!</v>
      </c>
      <c r="BS149" t="e">
        <f>'All regions'!H4119+"$F;@!'mv"</f>
        <v>#VALUE!</v>
      </c>
      <c r="BT149" t="e">
        <f>'All regions'!I4119+"$F;@!'mw"</f>
        <v>#VALUE!</v>
      </c>
      <c r="BU149" t="e">
        <f>'All regions'!A4120+"$F;@!'mx"</f>
        <v>#VALUE!</v>
      </c>
      <c r="BV149" t="e">
        <f>'All regions'!B4120+"$F;@!'my"</f>
        <v>#VALUE!</v>
      </c>
      <c r="BW149" t="e">
        <f>'All regions'!C4120+"$F;@!'mz"</f>
        <v>#VALUE!</v>
      </c>
      <c r="BX149" t="e">
        <f>'All regions'!D4120+"$F;@!'m{"</f>
        <v>#VALUE!</v>
      </c>
      <c r="BY149" t="e">
        <f>'All regions'!E4120+"$F;@!'m|"</f>
        <v>#VALUE!</v>
      </c>
      <c r="BZ149" t="e">
        <f>'All regions'!F4120+"$F;@!'m}"</f>
        <v>#VALUE!</v>
      </c>
      <c r="CA149" t="e">
        <f>'All regions'!G4120+"$F;@!'m~"</f>
        <v>#VALUE!</v>
      </c>
      <c r="CB149" t="e">
        <f>'All regions'!H4120+"$F;@!'n#"</f>
        <v>#VALUE!</v>
      </c>
      <c r="CC149" t="e">
        <f>'All regions'!I4120+"$F;@!'n$"</f>
        <v>#VALUE!</v>
      </c>
      <c r="CD149" t="e">
        <f>'All regions'!A4121+"$F;@!'n%"</f>
        <v>#VALUE!</v>
      </c>
      <c r="CE149" t="e">
        <f>'All regions'!B4121+"$F;@!'n&amp;"</f>
        <v>#VALUE!</v>
      </c>
      <c r="CF149" t="e">
        <f>'All regions'!C4121+"$F;@!'n'"</f>
        <v>#VALUE!</v>
      </c>
      <c r="CG149" t="e">
        <f>'All regions'!D4121+"$F;@!'n("</f>
        <v>#VALUE!</v>
      </c>
      <c r="CH149" t="e">
        <f>'All regions'!E4121+"$F;@!'n)"</f>
        <v>#VALUE!</v>
      </c>
      <c r="CI149" t="e">
        <f>'All regions'!F4121+"$F;@!'n."</f>
        <v>#VALUE!</v>
      </c>
      <c r="CJ149" t="e">
        <f>'All regions'!G4121+"$F;@!'n/"</f>
        <v>#VALUE!</v>
      </c>
      <c r="CK149" t="e">
        <f>'All regions'!H4121+"$F;@!'n0"</f>
        <v>#VALUE!</v>
      </c>
      <c r="CL149" t="e">
        <f>'All regions'!I4121+"$F;@!'n1"</f>
        <v>#VALUE!</v>
      </c>
      <c r="CM149" t="e">
        <f>'All regions'!A4122+"$F;@!'n2"</f>
        <v>#VALUE!</v>
      </c>
      <c r="CN149" t="e">
        <f>'All regions'!B4122+"$F;@!'n3"</f>
        <v>#VALUE!</v>
      </c>
      <c r="CO149" t="e">
        <f>'All regions'!C4122+"$F;@!'n4"</f>
        <v>#VALUE!</v>
      </c>
      <c r="CP149" t="e">
        <f>'All regions'!D4122+"$F;@!'n5"</f>
        <v>#VALUE!</v>
      </c>
      <c r="CQ149" t="e">
        <f>'All regions'!E4122+"$F;@!'n6"</f>
        <v>#VALUE!</v>
      </c>
      <c r="CR149" t="e">
        <f>'All regions'!F4122+"$F;@!'n7"</f>
        <v>#VALUE!</v>
      </c>
      <c r="CS149" t="e">
        <f>'All regions'!G4122+"$F;@!'n8"</f>
        <v>#VALUE!</v>
      </c>
      <c r="CT149" t="e">
        <f>'All regions'!H4122+"$F;@!'n9"</f>
        <v>#VALUE!</v>
      </c>
      <c r="CU149" t="e">
        <f>'All regions'!I4122+"$F;@!'n:"</f>
        <v>#VALUE!</v>
      </c>
      <c r="CV149" t="e">
        <f>'All regions'!A4123+"$F;@!'n;"</f>
        <v>#VALUE!</v>
      </c>
      <c r="CW149" t="e">
        <f>'All regions'!B4123+"$F;@!'n&lt;"</f>
        <v>#VALUE!</v>
      </c>
      <c r="CX149" t="e">
        <f>'All regions'!C4123+"$F;@!'n="</f>
        <v>#VALUE!</v>
      </c>
      <c r="CY149" t="e">
        <f>'All regions'!D4123+"$F;@!'n&gt;"</f>
        <v>#VALUE!</v>
      </c>
      <c r="CZ149" t="e">
        <f>'All regions'!E4123+"$F;@!'n?"</f>
        <v>#VALUE!</v>
      </c>
      <c r="DA149" t="e">
        <f>'All regions'!F4123+"$F;@!'n@"</f>
        <v>#VALUE!</v>
      </c>
      <c r="DB149" t="e">
        <f>'All regions'!G4123+"$F;@!'nA"</f>
        <v>#VALUE!</v>
      </c>
      <c r="DC149" t="e">
        <f>'All regions'!H4123+"$F;@!'nB"</f>
        <v>#VALUE!</v>
      </c>
      <c r="DD149" t="e">
        <f>'All regions'!I4123+"$F;@!'nC"</f>
        <v>#VALUE!</v>
      </c>
      <c r="DE149" t="e">
        <f>'All regions'!A4124+"$F;@!'nD"</f>
        <v>#VALUE!</v>
      </c>
      <c r="DF149" t="e">
        <f>'All regions'!B4124+"$F;@!'nE"</f>
        <v>#VALUE!</v>
      </c>
      <c r="DG149" t="e">
        <f>'All regions'!C4124+"$F;@!'nF"</f>
        <v>#VALUE!</v>
      </c>
      <c r="DH149" t="e">
        <f>'All regions'!D4124+"$F;@!'nG"</f>
        <v>#VALUE!</v>
      </c>
      <c r="DI149" t="e">
        <f>'All regions'!E4124+"$F;@!'nH"</f>
        <v>#VALUE!</v>
      </c>
      <c r="DJ149" t="e">
        <f>'All regions'!F4124+"$F;@!'nI"</f>
        <v>#VALUE!</v>
      </c>
      <c r="DK149" t="e">
        <f>'All regions'!G4124+"$F;@!'nJ"</f>
        <v>#VALUE!</v>
      </c>
      <c r="DL149" t="e">
        <f>'All regions'!H4124+"$F;@!'nK"</f>
        <v>#VALUE!</v>
      </c>
      <c r="DM149" t="e">
        <f>'All regions'!I4124+"$F;@!'nL"</f>
        <v>#VALUE!</v>
      </c>
      <c r="DN149" t="e">
        <f>'All regions'!A4125+"$F;@!'nM"</f>
        <v>#VALUE!</v>
      </c>
      <c r="DO149" t="e">
        <f>'All regions'!B4125+"$F;@!'nN"</f>
        <v>#VALUE!</v>
      </c>
      <c r="DP149" t="e">
        <f>'All regions'!C4125+"$F;@!'nO"</f>
        <v>#VALUE!</v>
      </c>
      <c r="DQ149" t="e">
        <f>'All regions'!D4125+"$F;@!'nP"</f>
        <v>#VALUE!</v>
      </c>
      <c r="DR149" t="e">
        <f>'All regions'!E4125+"$F;@!'nQ"</f>
        <v>#VALUE!</v>
      </c>
      <c r="DS149" t="e">
        <f>'All regions'!F4125+"$F;@!'nR"</f>
        <v>#VALUE!</v>
      </c>
      <c r="DT149" t="e">
        <f>'All regions'!G4125+"$F;@!'nS"</f>
        <v>#VALUE!</v>
      </c>
      <c r="DU149" t="e">
        <f>'All regions'!H4125+"$F;@!'nT"</f>
        <v>#VALUE!</v>
      </c>
      <c r="DV149" t="e">
        <f>'All regions'!I4125+"$F;@!'nU"</f>
        <v>#VALUE!</v>
      </c>
      <c r="DW149" t="e">
        <f>'All regions'!A4126+"$F;@!'nV"</f>
        <v>#VALUE!</v>
      </c>
      <c r="DX149" t="e">
        <f>'All regions'!B4126+"$F;@!'nW"</f>
        <v>#VALUE!</v>
      </c>
      <c r="DY149" t="e">
        <f>'All regions'!C4126+"$F;@!'nX"</f>
        <v>#VALUE!</v>
      </c>
      <c r="DZ149" t="e">
        <f>'All regions'!D4126+"$F;@!'nY"</f>
        <v>#VALUE!</v>
      </c>
      <c r="EA149" t="e">
        <f>'All regions'!E4126+"$F;@!'nZ"</f>
        <v>#VALUE!</v>
      </c>
      <c r="EB149" t="e">
        <f>'All regions'!F4126+"$F;@!'n["</f>
        <v>#VALUE!</v>
      </c>
      <c r="EC149" t="e">
        <f>'All regions'!G4126+"$F;@!'n\"</f>
        <v>#VALUE!</v>
      </c>
      <c r="ED149" t="e">
        <f>'All regions'!H4126+"$F;@!'n]"</f>
        <v>#VALUE!</v>
      </c>
      <c r="EE149" t="e">
        <f>'All regions'!I4126+"$F;@!'n^"</f>
        <v>#VALUE!</v>
      </c>
      <c r="EF149" t="e">
        <f>'All regions'!A4127+"$F;@!'n_"</f>
        <v>#VALUE!</v>
      </c>
      <c r="EG149" t="e">
        <f>'All regions'!B4127+"$F;@!'n`"</f>
        <v>#VALUE!</v>
      </c>
      <c r="EH149" t="e">
        <f>'All regions'!C4127+"$F;@!'na"</f>
        <v>#VALUE!</v>
      </c>
      <c r="EI149" t="e">
        <f>'All regions'!D4127+"$F;@!'nb"</f>
        <v>#VALUE!</v>
      </c>
      <c r="EJ149" t="e">
        <f>'All regions'!E4127+"$F;@!'nc"</f>
        <v>#VALUE!</v>
      </c>
      <c r="EK149" t="e">
        <f>'All regions'!F4127+"$F;@!'nd"</f>
        <v>#VALUE!</v>
      </c>
      <c r="EL149" t="e">
        <f>'All regions'!G4127+"$F;@!'ne"</f>
        <v>#VALUE!</v>
      </c>
      <c r="EM149" t="e">
        <f>'All regions'!H4127+"$F;@!'nf"</f>
        <v>#VALUE!</v>
      </c>
      <c r="EN149" t="e">
        <f>'All regions'!I4127+"$F;@!'ng"</f>
        <v>#VALUE!</v>
      </c>
      <c r="EO149" t="e">
        <f>'All regions'!A4128+"$F;@!'nh"</f>
        <v>#VALUE!</v>
      </c>
      <c r="EP149" t="e">
        <f>'All regions'!B4128+"$F;@!'ni"</f>
        <v>#VALUE!</v>
      </c>
      <c r="EQ149" t="e">
        <f>'All regions'!C4128+"$F;@!'nj"</f>
        <v>#VALUE!</v>
      </c>
      <c r="ER149" t="e">
        <f>'All regions'!D4128+"$F;@!'nk"</f>
        <v>#VALUE!</v>
      </c>
      <c r="ES149" t="e">
        <f>'All regions'!E4128+"$F;@!'nl"</f>
        <v>#VALUE!</v>
      </c>
      <c r="ET149" t="e">
        <f>'All regions'!F4128+"$F;@!'nm"</f>
        <v>#VALUE!</v>
      </c>
      <c r="EU149" t="e">
        <f>'All regions'!G4128+"$F;@!'nn"</f>
        <v>#VALUE!</v>
      </c>
      <c r="EV149" t="e">
        <f>'All regions'!H4128+"$F;@!'no"</f>
        <v>#VALUE!</v>
      </c>
      <c r="EW149" t="e">
        <f>'All regions'!I4128+"$F;@!'np"</f>
        <v>#VALUE!</v>
      </c>
      <c r="EX149" t="e">
        <f>'All regions'!A4129+"$F;@!'nq"</f>
        <v>#VALUE!</v>
      </c>
      <c r="EY149" t="e">
        <f>'All regions'!B4129+"$F;@!'nr"</f>
        <v>#VALUE!</v>
      </c>
      <c r="EZ149" t="e">
        <f>'All regions'!C4129+"$F;@!'ns"</f>
        <v>#VALUE!</v>
      </c>
      <c r="FA149" t="e">
        <f>'All regions'!D4129+"$F;@!'nt"</f>
        <v>#VALUE!</v>
      </c>
      <c r="FB149" t="e">
        <f>'All regions'!E4129+"$F;@!'nu"</f>
        <v>#VALUE!</v>
      </c>
      <c r="FC149" t="e">
        <f>'All regions'!F4129+"$F;@!'nv"</f>
        <v>#VALUE!</v>
      </c>
      <c r="FD149" t="e">
        <f>'All regions'!G4129+"$F;@!'nw"</f>
        <v>#VALUE!</v>
      </c>
      <c r="FE149" t="e">
        <f>'All regions'!H4129+"$F;@!'nx"</f>
        <v>#VALUE!</v>
      </c>
      <c r="FF149" t="e">
        <f>'All regions'!I4129+"$F;@!'ny"</f>
        <v>#VALUE!</v>
      </c>
      <c r="FG149" t="e">
        <f>'All regions'!A4130+"$F;@!'nz"</f>
        <v>#VALUE!</v>
      </c>
      <c r="FH149" t="e">
        <f>'All regions'!B4130+"$F;@!'n{"</f>
        <v>#VALUE!</v>
      </c>
      <c r="FI149" t="e">
        <f>'All regions'!C4130+"$F;@!'n|"</f>
        <v>#VALUE!</v>
      </c>
      <c r="FJ149" t="e">
        <f>'All regions'!D4130+"$F;@!'n}"</f>
        <v>#VALUE!</v>
      </c>
      <c r="FK149" t="e">
        <f>'All regions'!E4130+"$F;@!'n~"</f>
        <v>#VALUE!</v>
      </c>
      <c r="FL149" t="e">
        <f>'All regions'!F4130+"$F;@!'o#"</f>
        <v>#VALUE!</v>
      </c>
      <c r="FM149" t="e">
        <f>'All regions'!G4130+"$F;@!'o$"</f>
        <v>#VALUE!</v>
      </c>
      <c r="FN149" t="e">
        <f>'All regions'!H4130+"$F;@!'o%"</f>
        <v>#VALUE!</v>
      </c>
      <c r="FO149" t="e">
        <f>'All regions'!I4130+"$F;@!'o&amp;"</f>
        <v>#VALUE!</v>
      </c>
      <c r="FP149" t="e">
        <f>'All regions'!A4131+"$F;@!'o'"</f>
        <v>#VALUE!</v>
      </c>
      <c r="FQ149" t="e">
        <f>'All regions'!B4131+"$F;@!'o("</f>
        <v>#VALUE!</v>
      </c>
      <c r="FR149" t="e">
        <f>'All regions'!C4131+"$F;@!'o)"</f>
        <v>#VALUE!</v>
      </c>
      <c r="FS149" t="e">
        <f>'All regions'!D4131+"$F;@!'o."</f>
        <v>#VALUE!</v>
      </c>
      <c r="FT149" t="e">
        <f>'All regions'!E4131+"$F;@!'o/"</f>
        <v>#VALUE!</v>
      </c>
      <c r="FU149" t="e">
        <f>'All regions'!F4131+"$F;@!'o0"</f>
        <v>#VALUE!</v>
      </c>
      <c r="FV149" t="e">
        <f>'All regions'!G4131+"$F;@!'o1"</f>
        <v>#VALUE!</v>
      </c>
      <c r="FW149" t="e">
        <f>'All regions'!H4131+"$F;@!'o2"</f>
        <v>#VALUE!</v>
      </c>
      <c r="FX149" t="e">
        <f>'All regions'!I4131+"$F;@!'o3"</f>
        <v>#VALUE!</v>
      </c>
      <c r="FY149" t="e">
        <f>'All regions'!A4132+"$F;@!'o4"</f>
        <v>#VALUE!</v>
      </c>
      <c r="FZ149" t="e">
        <f>'All regions'!B4132+"$F;@!'o5"</f>
        <v>#VALUE!</v>
      </c>
      <c r="GA149" t="e">
        <f>'All regions'!C4132+"$F;@!'o6"</f>
        <v>#VALUE!</v>
      </c>
      <c r="GB149" t="e">
        <f>'All regions'!D4132+"$F;@!'o7"</f>
        <v>#VALUE!</v>
      </c>
      <c r="GC149" t="e">
        <f>'All regions'!E4132+"$F;@!'o8"</f>
        <v>#VALUE!</v>
      </c>
      <c r="GD149" t="e">
        <f>'All regions'!F4132+"$F;@!'o9"</f>
        <v>#VALUE!</v>
      </c>
      <c r="GE149" t="e">
        <f>'All regions'!G4132+"$F;@!'o:"</f>
        <v>#VALUE!</v>
      </c>
      <c r="GF149" t="e">
        <f>'All regions'!H4132+"$F;@!'o;"</f>
        <v>#VALUE!</v>
      </c>
      <c r="GG149" t="e">
        <f>'All regions'!I4132+"$F;@!'o&lt;"</f>
        <v>#VALUE!</v>
      </c>
      <c r="GH149" t="e">
        <f>'All regions'!A4133+"$F;@!'o="</f>
        <v>#VALUE!</v>
      </c>
      <c r="GI149" t="e">
        <f>'All regions'!B4133+"$F;@!'o&gt;"</f>
        <v>#VALUE!</v>
      </c>
      <c r="GJ149" t="e">
        <f>'All regions'!C4133+"$F;@!'o?"</f>
        <v>#VALUE!</v>
      </c>
      <c r="GK149" t="e">
        <f>'All regions'!D4133+"$F;@!'o@"</f>
        <v>#VALUE!</v>
      </c>
      <c r="GL149" t="e">
        <f>'All regions'!E4133+"$F;@!'oA"</f>
        <v>#VALUE!</v>
      </c>
      <c r="GM149" t="e">
        <f>'All regions'!F4133+"$F;@!'oB"</f>
        <v>#VALUE!</v>
      </c>
      <c r="GN149" t="e">
        <f>'All regions'!G4133+"$F;@!'oC"</f>
        <v>#VALUE!</v>
      </c>
      <c r="GO149" t="e">
        <f>'All regions'!H4133+"$F;@!'oD"</f>
        <v>#VALUE!</v>
      </c>
      <c r="GP149" t="e">
        <f>'All regions'!I4133+"$F;@!'oE"</f>
        <v>#VALUE!</v>
      </c>
      <c r="GQ149" t="e">
        <f>'All regions'!A4134+"$F;@!'oF"</f>
        <v>#VALUE!</v>
      </c>
      <c r="GR149" t="e">
        <f>'All regions'!B4134+"$F;@!'oG"</f>
        <v>#VALUE!</v>
      </c>
      <c r="GS149" t="e">
        <f>'All regions'!C4134+"$F;@!'oH"</f>
        <v>#VALUE!</v>
      </c>
      <c r="GT149" t="e">
        <f>'All regions'!D4134+"$F;@!'oI"</f>
        <v>#VALUE!</v>
      </c>
      <c r="GU149" t="e">
        <f>'All regions'!E4134+"$F;@!'oJ"</f>
        <v>#VALUE!</v>
      </c>
      <c r="GV149" t="e">
        <f>'All regions'!F4134+"$F;@!'oK"</f>
        <v>#VALUE!</v>
      </c>
      <c r="GW149" t="e">
        <f>'All regions'!G4134+"$F;@!'oL"</f>
        <v>#VALUE!</v>
      </c>
      <c r="GX149" t="e">
        <f>'All regions'!H4134+"$F;@!'oM"</f>
        <v>#VALUE!</v>
      </c>
      <c r="GY149" t="e">
        <f>'All regions'!I4134+"$F;@!'oN"</f>
        <v>#VALUE!</v>
      </c>
      <c r="GZ149" t="e">
        <f>'All regions'!A4135+"$F;@!'oO"</f>
        <v>#VALUE!</v>
      </c>
      <c r="HA149" t="e">
        <f>'All regions'!B4135+"$F;@!'oP"</f>
        <v>#VALUE!</v>
      </c>
      <c r="HB149" t="e">
        <f>'All regions'!C4135+"$F;@!'oQ"</f>
        <v>#VALUE!</v>
      </c>
      <c r="HC149" t="e">
        <f>'All regions'!D4135+"$F;@!'oR"</f>
        <v>#VALUE!</v>
      </c>
      <c r="HD149" t="e">
        <f>'All regions'!E4135+"$F;@!'oS"</f>
        <v>#VALUE!</v>
      </c>
      <c r="HE149" t="e">
        <f>'All regions'!F4135+"$F;@!'oT"</f>
        <v>#VALUE!</v>
      </c>
      <c r="HF149" t="e">
        <f>'All regions'!G4135+"$F;@!'oU"</f>
        <v>#VALUE!</v>
      </c>
      <c r="HG149" t="e">
        <f>'All regions'!H4135+"$F;@!'oV"</f>
        <v>#VALUE!</v>
      </c>
      <c r="HH149" t="e">
        <f>'All regions'!I4135+"$F;@!'oW"</f>
        <v>#VALUE!</v>
      </c>
      <c r="HI149" t="e">
        <f>'All regions'!A4136+"$F;@!'oX"</f>
        <v>#VALUE!</v>
      </c>
      <c r="HJ149" t="e">
        <f>'All regions'!B4136+"$F;@!'oY"</f>
        <v>#VALUE!</v>
      </c>
      <c r="HK149" t="e">
        <f>'All regions'!C4136+"$F;@!'oZ"</f>
        <v>#VALUE!</v>
      </c>
      <c r="HL149" t="e">
        <f>'All regions'!D4136+"$F;@!'o["</f>
        <v>#VALUE!</v>
      </c>
      <c r="HM149" t="e">
        <f>'All regions'!E4136+"$F;@!'o\"</f>
        <v>#VALUE!</v>
      </c>
      <c r="HN149" t="e">
        <f>'All regions'!F4136+"$F;@!'o]"</f>
        <v>#VALUE!</v>
      </c>
      <c r="HO149" t="e">
        <f>'All regions'!G4136+"$F;@!'o^"</f>
        <v>#VALUE!</v>
      </c>
      <c r="HP149" t="e">
        <f>'All regions'!H4136+"$F;@!'o_"</f>
        <v>#VALUE!</v>
      </c>
      <c r="HQ149" t="e">
        <f>'All regions'!I4136+"$F;@!'o`"</f>
        <v>#VALUE!</v>
      </c>
      <c r="HR149" t="e">
        <f>'All regions'!A4137+"$F;@!'oa"</f>
        <v>#VALUE!</v>
      </c>
      <c r="HS149" t="e">
        <f>'All regions'!B4137+"$F;@!'ob"</f>
        <v>#VALUE!</v>
      </c>
      <c r="HT149" t="e">
        <f>'All regions'!C4137+"$F;@!'oc"</f>
        <v>#VALUE!</v>
      </c>
      <c r="HU149" t="e">
        <f>'All regions'!D4137+"$F;@!'od"</f>
        <v>#VALUE!</v>
      </c>
      <c r="HV149" t="e">
        <f>'All regions'!E4137+"$F;@!'oe"</f>
        <v>#VALUE!</v>
      </c>
      <c r="HW149" t="e">
        <f>'All regions'!F4137+"$F;@!'of"</f>
        <v>#VALUE!</v>
      </c>
      <c r="HX149" t="e">
        <f>'All regions'!G4137+"$F;@!'og"</f>
        <v>#VALUE!</v>
      </c>
      <c r="HY149" t="e">
        <f>'All regions'!H4137+"$F;@!'oh"</f>
        <v>#VALUE!</v>
      </c>
      <c r="HZ149" t="e">
        <f>'All regions'!I4137+"$F;@!'oi"</f>
        <v>#VALUE!</v>
      </c>
      <c r="IA149" t="e">
        <f>'All regions'!A4138+"$F;@!'oj"</f>
        <v>#VALUE!</v>
      </c>
      <c r="IB149" t="e">
        <f>'All regions'!B4138+"$F;@!'ok"</f>
        <v>#VALUE!</v>
      </c>
      <c r="IC149" t="e">
        <f>'All regions'!C4138+"$F;@!'ol"</f>
        <v>#VALUE!</v>
      </c>
      <c r="ID149" t="e">
        <f>'All regions'!D4138+"$F;@!'om"</f>
        <v>#VALUE!</v>
      </c>
      <c r="IE149" t="e">
        <f>'All regions'!E4138+"$F;@!'on"</f>
        <v>#VALUE!</v>
      </c>
      <c r="IF149" t="e">
        <f>'All regions'!F4138+"$F;@!'oo"</f>
        <v>#VALUE!</v>
      </c>
      <c r="IG149" t="e">
        <f>'All regions'!G4138+"$F;@!'op"</f>
        <v>#VALUE!</v>
      </c>
      <c r="IH149" t="e">
        <f>'All regions'!H4138+"$F;@!'oq"</f>
        <v>#VALUE!</v>
      </c>
      <c r="II149" t="e">
        <f>'All regions'!I4138+"$F;@!'or"</f>
        <v>#VALUE!</v>
      </c>
      <c r="IJ149" t="e">
        <f>'All regions'!A4139+"$F;@!'os"</f>
        <v>#VALUE!</v>
      </c>
      <c r="IK149" t="e">
        <f>'All regions'!B4139+"$F;@!'ot"</f>
        <v>#VALUE!</v>
      </c>
      <c r="IL149" t="e">
        <f>'All regions'!C4139+"$F;@!'ou"</f>
        <v>#VALUE!</v>
      </c>
      <c r="IM149" t="e">
        <f>'All regions'!D4139+"$F;@!'ov"</f>
        <v>#VALUE!</v>
      </c>
      <c r="IN149" t="e">
        <f>'All regions'!E4139+"$F;@!'ow"</f>
        <v>#VALUE!</v>
      </c>
      <c r="IO149" t="e">
        <f>'All regions'!F4139+"$F;@!'ox"</f>
        <v>#VALUE!</v>
      </c>
      <c r="IP149" t="e">
        <f>'All regions'!G4139+"$F;@!'oy"</f>
        <v>#VALUE!</v>
      </c>
      <c r="IQ149" t="e">
        <f>'All regions'!H4139+"$F;@!'oz"</f>
        <v>#VALUE!</v>
      </c>
      <c r="IR149" t="e">
        <f>'All regions'!I4139+"$F;@!'o{"</f>
        <v>#VALUE!</v>
      </c>
      <c r="IS149" t="e">
        <f>'All regions'!A4140+"$F;@!'o|"</f>
        <v>#VALUE!</v>
      </c>
      <c r="IT149" t="e">
        <f>'All regions'!B4140+"$F;@!'o}"</f>
        <v>#VALUE!</v>
      </c>
      <c r="IU149" t="e">
        <f>'All regions'!C4140+"$F;@!'o~"</f>
        <v>#VALUE!</v>
      </c>
      <c r="IV149" t="e">
        <f>'All regions'!D4140+"$F;@!'p#"</f>
        <v>#VALUE!</v>
      </c>
    </row>
    <row r="150" spans="6:256" x14ac:dyDescent="0.35">
      <c r="F150" t="e">
        <f>'All regions'!E4140+"$F;@!'p$"</f>
        <v>#VALUE!</v>
      </c>
      <c r="G150" t="e">
        <f>'All regions'!F4140+"$F;@!'p%"</f>
        <v>#VALUE!</v>
      </c>
      <c r="H150" t="e">
        <f>'All regions'!G4140+"$F;@!'p&amp;"</f>
        <v>#VALUE!</v>
      </c>
      <c r="I150" t="e">
        <f>'All regions'!H4140+"$F;@!'p'"</f>
        <v>#VALUE!</v>
      </c>
      <c r="J150" t="e">
        <f>'All regions'!I4140+"$F;@!'p("</f>
        <v>#VALUE!</v>
      </c>
      <c r="K150" t="e">
        <f>'All regions'!A4141+"$F;@!'p)"</f>
        <v>#VALUE!</v>
      </c>
      <c r="L150" t="e">
        <f>'All regions'!B4141+"$F;@!'p."</f>
        <v>#VALUE!</v>
      </c>
      <c r="M150" t="e">
        <f>'All regions'!C4141+"$F;@!'p/"</f>
        <v>#VALUE!</v>
      </c>
      <c r="N150" t="e">
        <f>'All regions'!D4141+"$F;@!'p0"</f>
        <v>#VALUE!</v>
      </c>
      <c r="O150" t="e">
        <f>'All regions'!E4141+"$F;@!'p1"</f>
        <v>#VALUE!</v>
      </c>
      <c r="P150" t="e">
        <f>'All regions'!F4141+"$F;@!'p2"</f>
        <v>#VALUE!</v>
      </c>
      <c r="Q150" t="e">
        <f>'All regions'!G4141+"$F;@!'p3"</f>
        <v>#VALUE!</v>
      </c>
      <c r="R150" t="e">
        <f>'All regions'!H4141+"$F;@!'p4"</f>
        <v>#VALUE!</v>
      </c>
      <c r="S150" t="e">
        <f>'All regions'!I4141+"$F;@!'p5"</f>
        <v>#VALUE!</v>
      </c>
      <c r="T150" t="e">
        <f>'All regions'!A4142+"$F;@!'p6"</f>
        <v>#VALUE!</v>
      </c>
      <c r="U150" t="e">
        <f>'All regions'!B4142+"$F;@!'p7"</f>
        <v>#VALUE!</v>
      </c>
      <c r="V150" t="e">
        <f>'All regions'!C4142+"$F;@!'p8"</f>
        <v>#VALUE!</v>
      </c>
      <c r="W150" t="e">
        <f>'All regions'!D4142+"$F;@!'p9"</f>
        <v>#VALUE!</v>
      </c>
      <c r="X150" t="e">
        <f>'All regions'!E4142+"$F;@!'p:"</f>
        <v>#VALUE!</v>
      </c>
      <c r="Y150" t="e">
        <f>'All regions'!F4142+"$F;@!'p;"</f>
        <v>#VALUE!</v>
      </c>
      <c r="Z150" t="e">
        <f>'All regions'!G4142+"$F;@!'p&lt;"</f>
        <v>#VALUE!</v>
      </c>
      <c r="AA150" t="e">
        <f>'All regions'!H4142+"$F;@!'p="</f>
        <v>#VALUE!</v>
      </c>
      <c r="AB150" t="e">
        <f>'All regions'!I4142+"$F;@!'p&gt;"</f>
        <v>#VALUE!</v>
      </c>
      <c r="AC150" t="e">
        <f>'All regions'!A4143+"$F;@!'p?"</f>
        <v>#VALUE!</v>
      </c>
      <c r="AD150" t="e">
        <f>'All regions'!B4143+"$F;@!'p@"</f>
        <v>#VALUE!</v>
      </c>
      <c r="AE150" t="e">
        <f>'All regions'!C4143+"$F;@!'pA"</f>
        <v>#VALUE!</v>
      </c>
      <c r="AF150" t="e">
        <f>'All regions'!D4143+"$F;@!'pB"</f>
        <v>#VALUE!</v>
      </c>
      <c r="AG150" t="e">
        <f>'All regions'!E4143+"$F;@!'pC"</f>
        <v>#VALUE!</v>
      </c>
      <c r="AH150" t="e">
        <f>'All regions'!F4143+"$F;@!'pD"</f>
        <v>#VALUE!</v>
      </c>
      <c r="AI150" t="e">
        <f>'All regions'!G4143+"$F;@!'pE"</f>
        <v>#VALUE!</v>
      </c>
      <c r="AJ150" t="e">
        <f>'All regions'!H4143+"$F;@!'pF"</f>
        <v>#VALUE!</v>
      </c>
      <c r="AK150" t="e">
        <f>'All regions'!I4143+"$F;@!'pG"</f>
        <v>#VALUE!</v>
      </c>
      <c r="AL150" t="e">
        <f>'All regions'!A4144+"$F;@!'pH"</f>
        <v>#VALUE!</v>
      </c>
      <c r="AM150" t="e">
        <f>'All regions'!B4144+"$F;@!'pI"</f>
        <v>#VALUE!</v>
      </c>
      <c r="AN150" t="e">
        <f>'All regions'!C4144+"$F;@!'pJ"</f>
        <v>#VALUE!</v>
      </c>
      <c r="AO150" t="e">
        <f>'All regions'!D4144+"$F;@!'pK"</f>
        <v>#VALUE!</v>
      </c>
      <c r="AP150" t="e">
        <f>'All regions'!E4144+"$F;@!'pL"</f>
        <v>#VALUE!</v>
      </c>
      <c r="AQ150" t="e">
        <f>'All regions'!F4144+"$F;@!'pM"</f>
        <v>#VALUE!</v>
      </c>
      <c r="AR150" t="e">
        <f>'All regions'!G4144+"$F;@!'pN"</f>
        <v>#VALUE!</v>
      </c>
      <c r="AS150" t="e">
        <f>'All regions'!H4144+"$F;@!'pO"</f>
        <v>#VALUE!</v>
      </c>
      <c r="AT150" t="e">
        <f>'All regions'!I4144+"$F;@!'pP"</f>
        <v>#VALUE!</v>
      </c>
      <c r="AU150" t="e">
        <f>'All regions'!A4145+"$F;@!'pQ"</f>
        <v>#VALUE!</v>
      </c>
      <c r="AV150" t="e">
        <f>'All regions'!B4145+"$F;@!'pR"</f>
        <v>#VALUE!</v>
      </c>
      <c r="AW150" t="e">
        <f>'All regions'!C4145+"$F;@!'pS"</f>
        <v>#VALUE!</v>
      </c>
      <c r="AX150" t="e">
        <f>'All regions'!D4145+"$F;@!'pT"</f>
        <v>#VALUE!</v>
      </c>
      <c r="AY150" t="e">
        <f>'All regions'!E4145+"$F;@!'pU"</f>
        <v>#VALUE!</v>
      </c>
      <c r="AZ150" t="e">
        <f>'All regions'!F4145+"$F;@!'pV"</f>
        <v>#VALUE!</v>
      </c>
      <c r="BA150" t="e">
        <f>'All regions'!G4145+"$F;@!'pW"</f>
        <v>#VALUE!</v>
      </c>
      <c r="BB150" t="e">
        <f>'All regions'!H4145+"$F;@!'pX"</f>
        <v>#VALUE!</v>
      </c>
      <c r="BC150" t="e">
        <f>'All regions'!I4145+"$F;@!'pY"</f>
        <v>#VALUE!</v>
      </c>
      <c r="BD150" t="e">
        <f>'All regions'!A4146+"$F;@!'pZ"</f>
        <v>#VALUE!</v>
      </c>
      <c r="BE150" t="e">
        <f>'All regions'!B4146+"$F;@!'p["</f>
        <v>#VALUE!</v>
      </c>
      <c r="BF150" t="e">
        <f>'All regions'!C4146+"$F;@!'p\"</f>
        <v>#VALUE!</v>
      </c>
      <c r="BG150" t="e">
        <f>'All regions'!D4146+"$F;@!'p]"</f>
        <v>#VALUE!</v>
      </c>
      <c r="BH150" t="e">
        <f>'All regions'!E4146+"$F;@!'p^"</f>
        <v>#VALUE!</v>
      </c>
      <c r="BI150" t="e">
        <f>'All regions'!F4146+"$F;@!'p_"</f>
        <v>#VALUE!</v>
      </c>
      <c r="BJ150" t="e">
        <f>'All regions'!G4146+"$F;@!'p`"</f>
        <v>#VALUE!</v>
      </c>
      <c r="BK150" t="e">
        <f>'All regions'!H4146+"$F;@!'pa"</f>
        <v>#VALUE!</v>
      </c>
      <c r="BL150" t="e">
        <f>'All regions'!I4146+"$F;@!'pb"</f>
        <v>#VALUE!</v>
      </c>
      <c r="BM150" t="e">
        <f>'All regions'!A4147+"$F;@!'pc"</f>
        <v>#VALUE!</v>
      </c>
      <c r="BN150" t="e">
        <f>'All regions'!B4147+"$F;@!'pd"</f>
        <v>#VALUE!</v>
      </c>
      <c r="BO150" t="e">
        <f>'All regions'!C4147+"$F;@!'pe"</f>
        <v>#VALUE!</v>
      </c>
      <c r="BP150" t="e">
        <f>'All regions'!D4147+"$F;@!'pf"</f>
        <v>#VALUE!</v>
      </c>
      <c r="BQ150" t="e">
        <f>'All regions'!E4147+"$F;@!'pg"</f>
        <v>#VALUE!</v>
      </c>
      <c r="BR150" t="e">
        <f>'All regions'!F4147+"$F;@!'ph"</f>
        <v>#VALUE!</v>
      </c>
      <c r="BS150" t="e">
        <f>'All regions'!G4147+"$F;@!'pi"</f>
        <v>#VALUE!</v>
      </c>
      <c r="BT150" t="e">
        <f>'All regions'!H4147+"$F;@!'pj"</f>
        <v>#VALUE!</v>
      </c>
      <c r="BU150" t="e">
        <f>'All regions'!I4147+"$F;@!'pk"</f>
        <v>#VALUE!</v>
      </c>
      <c r="BV150" t="e">
        <f>'All regions'!A4148+"$F;@!'pl"</f>
        <v>#VALUE!</v>
      </c>
      <c r="BW150" t="e">
        <f>'All regions'!B4148+"$F;@!'pm"</f>
        <v>#VALUE!</v>
      </c>
      <c r="BX150" t="e">
        <f>'All regions'!C4148+"$F;@!'pn"</f>
        <v>#VALUE!</v>
      </c>
      <c r="BY150" t="e">
        <f>'All regions'!D4148+"$F;@!'po"</f>
        <v>#VALUE!</v>
      </c>
      <c r="BZ150" t="e">
        <f>'All regions'!E4148+"$F;@!'pp"</f>
        <v>#VALUE!</v>
      </c>
      <c r="CA150" t="e">
        <f>'All regions'!F4148+"$F;@!'pq"</f>
        <v>#VALUE!</v>
      </c>
      <c r="CB150" t="e">
        <f>'All regions'!G4148+"$F;@!'pr"</f>
        <v>#VALUE!</v>
      </c>
      <c r="CC150" t="e">
        <f>'All regions'!H4148+"$F;@!'ps"</f>
        <v>#VALUE!</v>
      </c>
      <c r="CD150" t="e">
        <f>'All regions'!I4148+"$F;@!'pt"</f>
        <v>#VALUE!</v>
      </c>
      <c r="CE150" t="e">
        <f>'All regions'!A4149+"$F;@!'pu"</f>
        <v>#VALUE!</v>
      </c>
      <c r="CF150" t="e">
        <f>'All regions'!B4149+"$F;@!'pv"</f>
        <v>#VALUE!</v>
      </c>
      <c r="CG150" t="e">
        <f>'All regions'!C4149+"$F;@!'pw"</f>
        <v>#VALUE!</v>
      </c>
      <c r="CH150" t="e">
        <f>'All regions'!D4149+"$F;@!'px"</f>
        <v>#VALUE!</v>
      </c>
      <c r="CI150" t="e">
        <f>'All regions'!E4149+"$F;@!'py"</f>
        <v>#VALUE!</v>
      </c>
      <c r="CJ150" t="e">
        <f>'All regions'!F4149+"$F;@!'pz"</f>
        <v>#VALUE!</v>
      </c>
      <c r="CK150" t="e">
        <f>'All regions'!G4149+"$F;@!'p{"</f>
        <v>#VALUE!</v>
      </c>
      <c r="CL150" t="e">
        <f>'All regions'!H4149+"$F;@!'p|"</f>
        <v>#VALUE!</v>
      </c>
      <c r="CM150" t="e">
        <f>'All regions'!I4149+"$F;@!'p}"</f>
        <v>#VALUE!</v>
      </c>
      <c r="CN150" t="e">
        <f>'All regions'!A4150+"$F;@!'p~"</f>
        <v>#VALUE!</v>
      </c>
      <c r="CO150" t="e">
        <f>'All regions'!B4150+"$F;@!'q#"</f>
        <v>#VALUE!</v>
      </c>
      <c r="CP150" t="e">
        <f>'All regions'!C4150+"$F;@!'q$"</f>
        <v>#VALUE!</v>
      </c>
      <c r="CQ150" t="e">
        <f>'All regions'!D4150+"$F;@!'q%"</f>
        <v>#VALUE!</v>
      </c>
      <c r="CR150" t="e">
        <f>'All regions'!E4150+"$F;@!'q&amp;"</f>
        <v>#VALUE!</v>
      </c>
      <c r="CS150" t="e">
        <f>'All regions'!F4150+"$F;@!'q'"</f>
        <v>#VALUE!</v>
      </c>
      <c r="CT150" t="e">
        <f>'All regions'!G4150+"$F;@!'q("</f>
        <v>#VALUE!</v>
      </c>
      <c r="CU150" t="e">
        <f>'All regions'!H4150+"$F;@!'q)"</f>
        <v>#VALUE!</v>
      </c>
      <c r="CV150" t="e">
        <f>'All regions'!I4150+"$F;@!'q."</f>
        <v>#VALUE!</v>
      </c>
      <c r="CW150" t="e">
        <f>'All regions'!A4151+"$F;@!'q/"</f>
        <v>#VALUE!</v>
      </c>
      <c r="CX150" t="e">
        <f>'All regions'!B4151+"$F;@!'q0"</f>
        <v>#VALUE!</v>
      </c>
      <c r="CY150" t="e">
        <f>'All regions'!C4151+"$F;@!'q1"</f>
        <v>#VALUE!</v>
      </c>
      <c r="CZ150" t="e">
        <f>'All regions'!D4151+"$F;@!'q2"</f>
        <v>#VALUE!</v>
      </c>
      <c r="DA150" t="e">
        <f>'All regions'!E4151+"$F;@!'q3"</f>
        <v>#VALUE!</v>
      </c>
      <c r="DB150" t="e">
        <f>'All regions'!F4151+"$F;@!'q4"</f>
        <v>#VALUE!</v>
      </c>
      <c r="DC150" t="e">
        <f>'All regions'!G4151+"$F;@!'q5"</f>
        <v>#VALUE!</v>
      </c>
      <c r="DD150" t="e">
        <f>'All regions'!H4151+"$F;@!'q6"</f>
        <v>#VALUE!</v>
      </c>
      <c r="DE150" t="e">
        <f>'All regions'!I4151+"$F;@!'q7"</f>
        <v>#VALUE!</v>
      </c>
      <c r="DF150" t="e">
        <f>'All regions'!A4152+"$F;@!'q8"</f>
        <v>#VALUE!</v>
      </c>
      <c r="DG150" t="e">
        <f>'All regions'!B4152+"$F;@!'q9"</f>
        <v>#VALUE!</v>
      </c>
      <c r="DH150" t="e">
        <f>'All regions'!C4152+"$F;@!'q:"</f>
        <v>#VALUE!</v>
      </c>
      <c r="DI150" t="e">
        <f>'All regions'!D4152+"$F;@!'q;"</f>
        <v>#VALUE!</v>
      </c>
      <c r="DJ150" t="e">
        <f>'All regions'!E4152+"$F;@!'q&lt;"</f>
        <v>#VALUE!</v>
      </c>
      <c r="DK150" t="e">
        <f>'All regions'!F4152+"$F;@!'q="</f>
        <v>#VALUE!</v>
      </c>
      <c r="DL150" t="e">
        <f>'All regions'!G4152+"$F;@!'q&gt;"</f>
        <v>#VALUE!</v>
      </c>
      <c r="DM150" t="e">
        <f>'All regions'!H4152+"$F;@!'q?"</f>
        <v>#VALUE!</v>
      </c>
      <c r="DN150" t="e">
        <f>'All regions'!I4152+"$F;@!'q@"</f>
        <v>#VALUE!</v>
      </c>
      <c r="DO150" t="e">
        <f>'All regions'!A4153+"$F;@!'qA"</f>
        <v>#VALUE!</v>
      </c>
      <c r="DP150" t="e">
        <f>'All regions'!B4153+"$F;@!'qB"</f>
        <v>#VALUE!</v>
      </c>
      <c r="DQ150" t="e">
        <f>'All regions'!C4153+"$F;@!'qC"</f>
        <v>#VALUE!</v>
      </c>
      <c r="DR150" t="e">
        <f>'All regions'!D4153+"$F;@!'qD"</f>
        <v>#VALUE!</v>
      </c>
      <c r="DS150" t="e">
        <f>'All regions'!E4153+"$F;@!'qE"</f>
        <v>#VALUE!</v>
      </c>
      <c r="DT150" t="e">
        <f>'All regions'!F4153+"$F;@!'qF"</f>
        <v>#VALUE!</v>
      </c>
      <c r="DU150" t="e">
        <f>'All regions'!G4153+"$F;@!'qG"</f>
        <v>#VALUE!</v>
      </c>
      <c r="DV150" t="e">
        <f>'All regions'!H4153+"$F;@!'qH"</f>
        <v>#VALUE!</v>
      </c>
      <c r="DW150" t="e">
        <f>'All regions'!I4153+"$F;@!'qI"</f>
        <v>#VALUE!</v>
      </c>
      <c r="DX150" t="e">
        <f>'All regions'!A4154+"$F;@!'qJ"</f>
        <v>#VALUE!</v>
      </c>
      <c r="DY150" t="e">
        <f>'All regions'!B4154+"$F;@!'qK"</f>
        <v>#VALUE!</v>
      </c>
      <c r="DZ150" t="e">
        <f>'All regions'!C4154+"$F;@!'qL"</f>
        <v>#VALUE!</v>
      </c>
      <c r="EA150" t="e">
        <f>'All regions'!D4154+"$F;@!'qM"</f>
        <v>#VALUE!</v>
      </c>
      <c r="EB150" t="e">
        <f>'All regions'!E4154+"$F;@!'qN"</f>
        <v>#VALUE!</v>
      </c>
      <c r="EC150" t="e">
        <f>'All regions'!F4154+"$F;@!'qO"</f>
        <v>#VALUE!</v>
      </c>
      <c r="ED150" t="e">
        <f>'All regions'!G4154+"$F;@!'qP"</f>
        <v>#VALUE!</v>
      </c>
      <c r="EE150" t="e">
        <f>'All regions'!H4154+"$F;@!'qQ"</f>
        <v>#VALUE!</v>
      </c>
      <c r="EF150" t="e">
        <f>'All regions'!I4154+"$F;@!'qR"</f>
        <v>#VALUE!</v>
      </c>
      <c r="EG150" t="e">
        <f>'All regions'!A4155+"$F;@!'qS"</f>
        <v>#VALUE!</v>
      </c>
      <c r="EH150" t="e">
        <f>'All regions'!B4155+"$F;@!'qT"</f>
        <v>#VALUE!</v>
      </c>
      <c r="EI150" t="e">
        <f>'All regions'!C4155+"$F;@!'qU"</f>
        <v>#VALUE!</v>
      </c>
      <c r="EJ150" t="e">
        <f>'All regions'!D4155+"$F;@!'qV"</f>
        <v>#VALUE!</v>
      </c>
      <c r="EK150" t="e">
        <f>'All regions'!E4155+"$F;@!'qW"</f>
        <v>#VALUE!</v>
      </c>
      <c r="EL150" t="e">
        <f>'All regions'!F4155+"$F;@!'qX"</f>
        <v>#VALUE!</v>
      </c>
      <c r="EM150" t="e">
        <f>'All regions'!G4155+"$F;@!'qY"</f>
        <v>#VALUE!</v>
      </c>
      <c r="EN150" t="e">
        <f>'All regions'!H4155+"$F;@!'qZ"</f>
        <v>#VALUE!</v>
      </c>
      <c r="EO150" t="e">
        <f>'All regions'!I4155+"$F;@!'q["</f>
        <v>#VALUE!</v>
      </c>
      <c r="EP150" t="e">
        <f>'All regions'!A4156+"$F;@!'q\"</f>
        <v>#VALUE!</v>
      </c>
      <c r="EQ150" t="e">
        <f>'All regions'!B4156+"$F;@!'q]"</f>
        <v>#VALUE!</v>
      </c>
      <c r="ER150" t="e">
        <f>'All regions'!C4156+"$F;@!'q^"</f>
        <v>#VALUE!</v>
      </c>
      <c r="ES150" t="e">
        <f>'All regions'!D4156+"$F;@!'q_"</f>
        <v>#VALUE!</v>
      </c>
      <c r="ET150" t="e">
        <f>'All regions'!E4156+"$F;@!'q`"</f>
        <v>#VALUE!</v>
      </c>
      <c r="EU150" t="e">
        <f>'All regions'!F4156+"$F;@!'qa"</f>
        <v>#VALUE!</v>
      </c>
      <c r="EV150" t="e">
        <f>'All regions'!G4156+"$F;@!'qb"</f>
        <v>#VALUE!</v>
      </c>
      <c r="EW150" t="e">
        <f>'All regions'!H4156+"$F;@!'qc"</f>
        <v>#VALUE!</v>
      </c>
      <c r="EX150" t="e">
        <f>'All regions'!I4156+"$F;@!'qd"</f>
        <v>#VALUE!</v>
      </c>
      <c r="EY150" t="e">
        <f>'All regions'!A4157+"$F;@!'qe"</f>
        <v>#VALUE!</v>
      </c>
      <c r="EZ150" t="e">
        <f>'All regions'!B4157+"$F;@!'qf"</f>
        <v>#VALUE!</v>
      </c>
      <c r="FA150" t="e">
        <f>'All regions'!C4157+"$F;@!'qg"</f>
        <v>#VALUE!</v>
      </c>
      <c r="FB150" t="e">
        <f>'All regions'!D4157+"$F;@!'qh"</f>
        <v>#VALUE!</v>
      </c>
      <c r="FC150" t="e">
        <f>'All regions'!E4157+"$F;@!'qi"</f>
        <v>#VALUE!</v>
      </c>
      <c r="FD150" t="e">
        <f>'All regions'!F4157+"$F;@!'qj"</f>
        <v>#VALUE!</v>
      </c>
      <c r="FE150" t="e">
        <f>'All regions'!G4157+"$F;@!'qk"</f>
        <v>#VALUE!</v>
      </c>
      <c r="FF150" t="e">
        <f>'All regions'!H4157+"$F;@!'ql"</f>
        <v>#VALUE!</v>
      </c>
      <c r="FG150" t="e">
        <f>'All regions'!I4157+"$F;@!'qm"</f>
        <v>#VALUE!</v>
      </c>
      <c r="FH150" t="e">
        <f>'All regions'!A4158+"$F;@!'qn"</f>
        <v>#VALUE!</v>
      </c>
      <c r="FI150" t="e">
        <f>'All regions'!B4158+"$F;@!'qo"</f>
        <v>#VALUE!</v>
      </c>
      <c r="FJ150" t="e">
        <f>'All regions'!C4158+"$F;@!'qp"</f>
        <v>#VALUE!</v>
      </c>
      <c r="FK150" t="e">
        <f>'All regions'!D4158+"$F;@!'qq"</f>
        <v>#VALUE!</v>
      </c>
      <c r="FL150" t="e">
        <f>'All regions'!E4158+"$F;@!'qr"</f>
        <v>#VALUE!</v>
      </c>
      <c r="FM150" t="e">
        <f>'All regions'!F4158+"$F;@!'qs"</f>
        <v>#VALUE!</v>
      </c>
      <c r="FN150" t="e">
        <f>'All regions'!G4158+"$F;@!'qt"</f>
        <v>#VALUE!</v>
      </c>
      <c r="FO150" t="e">
        <f>'All regions'!H4158+"$F;@!'qu"</f>
        <v>#VALUE!</v>
      </c>
      <c r="FP150" t="e">
        <f>'All regions'!I4158+"$F;@!'qv"</f>
        <v>#VALUE!</v>
      </c>
      <c r="FQ150" t="e">
        <f>'All regions'!A4159+"$F;@!'qw"</f>
        <v>#VALUE!</v>
      </c>
      <c r="FR150" t="e">
        <f>'All regions'!B4159+"$F;@!'qx"</f>
        <v>#VALUE!</v>
      </c>
      <c r="FS150" t="e">
        <f>'All regions'!C4159+"$F;@!'qy"</f>
        <v>#VALUE!</v>
      </c>
      <c r="FT150" t="e">
        <f>'All regions'!D4159+"$F;@!'qz"</f>
        <v>#VALUE!</v>
      </c>
      <c r="FU150" t="e">
        <f>'All regions'!E4159+"$F;@!'q{"</f>
        <v>#VALUE!</v>
      </c>
      <c r="FV150" t="e">
        <f>'All regions'!F4159+"$F;@!'q|"</f>
        <v>#VALUE!</v>
      </c>
      <c r="FW150" t="e">
        <f>'All regions'!G4159+"$F;@!'q}"</f>
        <v>#VALUE!</v>
      </c>
      <c r="FX150" t="e">
        <f>'All regions'!H4159+"$F;@!'q~"</f>
        <v>#VALUE!</v>
      </c>
      <c r="FY150" t="e">
        <f>'All regions'!I4159+"$F;@!'r#"</f>
        <v>#VALUE!</v>
      </c>
      <c r="FZ150" t="e">
        <f>'All regions'!A4160+"$F;@!'r$"</f>
        <v>#VALUE!</v>
      </c>
      <c r="GA150" t="e">
        <f>'All regions'!B4160+"$F;@!'r%"</f>
        <v>#VALUE!</v>
      </c>
      <c r="GB150" t="e">
        <f>'All regions'!C4160+"$F;@!'r&amp;"</f>
        <v>#VALUE!</v>
      </c>
      <c r="GC150" t="e">
        <f>'All regions'!D4160+"$F;@!'r'"</f>
        <v>#VALUE!</v>
      </c>
      <c r="GD150" t="e">
        <f>'All regions'!E4160+"$F;@!'r("</f>
        <v>#VALUE!</v>
      </c>
      <c r="GE150" t="e">
        <f>'All regions'!F4160+"$F;@!'r)"</f>
        <v>#VALUE!</v>
      </c>
      <c r="GF150" t="e">
        <f>'All regions'!G4160+"$F;@!'r."</f>
        <v>#VALUE!</v>
      </c>
      <c r="GG150" t="e">
        <f>'All regions'!H4160+"$F;@!'r/"</f>
        <v>#VALUE!</v>
      </c>
      <c r="GH150" t="e">
        <f>'All regions'!I4160+"$F;@!'r0"</f>
        <v>#VALUE!</v>
      </c>
      <c r="GI150" t="e">
        <f>'All regions'!A4161+"$F;@!'r1"</f>
        <v>#VALUE!</v>
      </c>
      <c r="GJ150" t="e">
        <f>'All regions'!B4161+"$F;@!'r2"</f>
        <v>#VALUE!</v>
      </c>
      <c r="GK150" t="e">
        <f>'All regions'!C4161+"$F;@!'r3"</f>
        <v>#VALUE!</v>
      </c>
      <c r="GL150" t="e">
        <f>'All regions'!D4161+"$F;@!'r4"</f>
        <v>#VALUE!</v>
      </c>
      <c r="GM150" t="e">
        <f>'All regions'!E4161+"$F;@!'r5"</f>
        <v>#VALUE!</v>
      </c>
      <c r="GN150" t="e">
        <f>'All regions'!F4161+"$F;@!'r6"</f>
        <v>#VALUE!</v>
      </c>
      <c r="GO150" t="e">
        <f>'All regions'!G4161+"$F;@!'r7"</f>
        <v>#VALUE!</v>
      </c>
      <c r="GP150" t="e">
        <f>'All regions'!H4161+"$F;@!'r8"</f>
        <v>#VALUE!</v>
      </c>
      <c r="GQ150" t="e">
        <f>'All regions'!I4161+"$F;@!'r9"</f>
        <v>#VALUE!</v>
      </c>
      <c r="GR150" t="e">
        <f>'All regions'!A4162+"$F;@!'r:"</f>
        <v>#VALUE!</v>
      </c>
      <c r="GS150" t="e">
        <f>'All regions'!B4162+"$F;@!'r;"</f>
        <v>#VALUE!</v>
      </c>
      <c r="GT150" t="e">
        <f>'All regions'!C4162+"$F;@!'r&lt;"</f>
        <v>#VALUE!</v>
      </c>
      <c r="GU150" t="e">
        <f>'All regions'!D4162+"$F;@!'r="</f>
        <v>#VALUE!</v>
      </c>
      <c r="GV150" t="e">
        <f>'All regions'!E4162+"$F;@!'r&gt;"</f>
        <v>#VALUE!</v>
      </c>
      <c r="GW150" t="e">
        <f>'All regions'!F4162+"$F;@!'r?"</f>
        <v>#VALUE!</v>
      </c>
      <c r="GX150" t="e">
        <f>'All regions'!G4162+"$F;@!'r@"</f>
        <v>#VALUE!</v>
      </c>
      <c r="GY150" t="e">
        <f>'All regions'!H4162+"$F;@!'rA"</f>
        <v>#VALUE!</v>
      </c>
      <c r="GZ150" t="e">
        <f>'All regions'!I4162+"$F;@!'rB"</f>
        <v>#VALUE!</v>
      </c>
      <c r="HA150" t="e">
        <f>'All regions'!A4163+"$F;@!'rC"</f>
        <v>#VALUE!</v>
      </c>
      <c r="HB150" t="e">
        <f>'All regions'!B4163+"$F;@!'rD"</f>
        <v>#VALUE!</v>
      </c>
      <c r="HC150" t="e">
        <f>'All regions'!C4163+"$F;@!'rE"</f>
        <v>#VALUE!</v>
      </c>
      <c r="HD150" t="e">
        <f>'All regions'!D4163+"$F;@!'rF"</f>
        <v>#VALUE!</v>
      </c>
      <c r="HE150" t="e">
        <f>'All regions'!E4163+"$F;@!'rG"</f>
        <v>#VALUE!</v>
      </c>
      <c r="HF150" t="e">
        <f>'All regions'!F4163+"$F;@!'rH"</f>
        <v>#VALUE!</v>
      </c>
      <c r="HG150" t="e">
        <f>'All regions'!G4163+"$F;@!'rI"</f>
        <v>#VALUE!</v>
      </c>
      <c r="HH150" t="e">
        <f>'All regions'!H4163+"$F;@!'rJ"</f>
        <v>#VALUE!</v>
      </c>
      <c r="HI150" t="e">
        <f>'All regions'!I4163+"$F;@!'rK"</f>
        <v>#VALUE!</v>
      </c>
      <c r="HJ150" t="e">
        <f>'All regions'!A4164+"$F;@!'rL"</f>
        <v>#VALUE!</v>
      </c>
      <c r="HK150" t="e">
        <f>'All regions'!B4164+"$F;@!'rM"</f>
        <v>#VALUE!</v>
      </c>
      <c r="HL150" t="e">
        <f>'All regions'!C4164+"$F;@!'rN"</f>
        <v>#VALUE!</v>
      </c>
      <c r="HM150" t="e">
        <f>'All regions'!D4164+"$F;@!'rO"</f>
        <v>#VALUE!</v>
      </c>
      <c r="HN150" t="e">
        <f>'All regions'!E4164+"$F;@!'rP"</f>
        <v>#VALUE!</v>
      </c>
      <c r="HO150" t="e">
        <f>'All regions'!F4164+"$F;@!'rQ"</f>
        <v>#VALUE!</v>
      </c>
      <c r="HP150" t="e">
        <f>'All regions'!G4164+"$F;@!'rR"</f>
        <v>#VALUE!</v>
      </c>
      <c r="HQ150" t="e">
        <f>'All regions'!H4164+"$F;@!'rS"</f>
        <v>#VALUE!</v>
      </c>
      <c r="HR150" t="e">
        <f>'All regions'!I4164+"$F;@!'rT"</f>
        <v>#VALUE!</v>
      </c>
      <c r="HS150" t="e">
        <f>'All regions'!A4165+"$F;@!'rU"</f>
        <v>#VALUE!</v>
      </c>
      <c r="HT150" t="e">
        <f>'All regions'!B4165+"$F;@!'rV"</f>
        <v>#VALUE!</v>
      </c>
      <c r="HU150" t="e">
        <f>'All regions'!C4165+"$F;@!'rW"</f>
        <v>#VALUE!</v>
      </c>
      <c r="HV150" t="e">
        <f>'All regions'!D4165+"$F;@!'rX"</f>
        <v>#VALUE!</v>
      </c>
      <c r="HW150" t="e">
        <f>'All regions'!E4165+"$F;@!'rY"</f>
        <v>#VALUE!</v>
      </c>
      <c r="HX150" t="e">
        <f>'All regions'!F4165+"$F;@!'rZ"</f>
        <v>#VALUE!</v>
      </c>
      <c r="HY150" t="e">
        <f>'All regions'!G4165+"$F;@!'r["</f>
        <v>#VALUE!</v>
      </c>
      <c r="HZ150" t="e">
        <f>'All regions'!H4165+"$F;@!'r\"</f>
        <v>#VALUE!</v>
      </c>
      <c r="IA150" t="e">
        <f>'All regions'!I4165+"$F;@!'r]"</f>
        <v>#VALUE!</v>
      </c>
      <c r="IB150" t="e">
        <f>'All regions'!A4166+"$F;@!'r^"</f>
        <v>#VALUE!</v>
      </c>
      <c r="IC150" t="e">
        <f>'All regions'!B4166+"$F;@!'r_"</f>
        <v>#VALUE!</v>
      </c>
      <c r="ID150" t="e">
        <f>'All regions'!C4166+"$F;@!'r`"</f>
        <v>#VALUE!</v>
      </c>
      <c r="IE150" t="e">
        <f>'All regions'!D4166+"$F;@!'ra"</f>
        <v>#VALUE!</v>
      </c>
      <c r="IF150" t="e">
        <f>'All regions'!E4166+"$F;@!'rb"</f>
        <v>#VALUE!</v>
      </c>
      <c r="IG150" t="e">
        <f>'All regions'!F4166+"$F;@!'rc"</f>
        <v>#VALUE!</v>
      </c>
      <c r="IH150" t="e">
        <f>'All regions'!G4166+"$F;@!'rd"</f>
        <v>#VALUE!</v>
      </c>
      <c r="II150" t="e">
        <f>'All regions'!H4166+"$F;@!'re"</f>
        <v>#VALUE!</v>
      </c>
      <c r="IJ150" t="e">
        <f>'All regions'!I4166+"$F;@!'rf"</f>
        <v>#VALUE!</v>
      </c>
      <c r="IK150" t="e">
        <f>'All regions'!A4167+"$F;@!'rg"</f>
        <v>#VALUE!</v>
      </c>
      <c r="IL150" t="e">
        <f>'All regions'!B4167+"$F;@!'rh"</f>
        <v>#VALUE!</v>
      </c>
      <c r="IM150" t="e">
        <f>'All regions'!C4167+"$F;@!'ri"</f>
        <v>#VALUE!</v>
      </c>
      <c r="IN150" t="e">
        <f>'All regions'!D4167+"$F;@!'rj"</f>
        <v>#VALUE!</v>
      </c>
      <c r="IO150" t="e">
        <f>'All regions'!E4167+"$F;@!'rk"</f>
        <v>#VALUE!</v>
      </c>
      <c r="IP150" t="e">
        <f>'All regions'!F4167+"$F;@!'rl"</f>
        <v>#VALUE!</v>
      </c>
      <c r="IQ150" t="e">
        <f>'All regions'!G4167+"$F;@!'rm"</f>
        <v>#VALUE!</v>
      </c>
      <c r="IR150" t="e">
        <f>'All regions'!H4167+"$F;@!'rn"</f>
        <v>#VALUE!</v>
      </c>
      <c r="IS150" t="e">
        <f>'All regions'!I4167+"$F;@!'ro"</f>
        <v>#VALUE!</v>
      </c>
      <c r="IT150" t="e">
        <f>'All regions'!A4168+"$F;@!'rp"</f>
        <v>#VALUE!</v>
      </c>
      <c r="IU150" t="e">
        <f>'All regions'!B4168+"$F;@!'rq"</f>
        <v>#VALUE!</v>
      </c>
      <c r="IV150" t="e">
        <f>'All regions'!C4168+"$F;@!'rr"</f>
        <v>#VALUE!</v>
      </c>
    </row>
    <row r="151" spans="6:256" x14ac:dyDescent="0.35">
      <c r="F151" t="e">
        <f>'All regions'!D4168+"$F;@!'rs"</f>
        <v>#VALUE!</v>
      </c>
      <c r="G151" t="e">
        <f>'All regions'!E4168+"$F;@!'rt"</f>
        <v>#VALUE!</v>
      </c>
      <c r="H151" t="e">
        <f>'All regions'!F4168+"$F;@!'ru"</f>
        <v>#VALUE!</v>
      </c>
      <c r="I151" t="e">
        <f>'All regions'!G4168+"$F;@!'rv"</f>
        <v>#VALUE!</v>
      </c>
      <c r="J151" t="e">
        <f>'All regions'!H4168+"$F;@!'rw"</f>
        <v>#VALUE!</v>
      </c>
      <c r="K151" t="e">
        <f>'All regions'!I4168+"$F;@!'rx"</f>
        <v>#VALUE!</v>
      </c>
      <c r="L151" t="e">
        <f>'All regions'!A4169+"$F;@!'ry"</f>
        <v>#VALUE!</v>
      </c>
      <c r="M151" t="e">
        <f>'All regions'!B4169+"$F;@!'rz"</f>
        <v>#VALUE!</v>
      </c>
      <c r="N151" t="e">
        <f>'All regions'!C4169+"$F;@!'r{"</f>
        <v>#VALUE!</v>
      </c>
      <c r="O151" t="e">
        <f>'All regions'!D4169+"$F;@!'r|"</f>
        <v>#VALUE!</v>
      </c>
      <c r="P151" t="e">
        <f>'All regions'!E4169+"$F;@!'r}"</f>
        <v>#VALUE!</v>
      </c>
      <c r="Q151" t="e">
        <f>'All regions'!F4169+"$F;@!'r~"</f>
        <v>#VALUE!</v>
      </c>
      <c r="R151" t="e">
        <f>'All regions'!G4169+"$F;@!'s#"</f>
        <v>#VALUE!</v>
      </c>
      <c r="S151" t="e">
        <f>'All regions'!H4169+"$F;@!'s$"</f>
        <v>#VALUE!</v>
      </c>
      <c r="T151" t="e">
        <f>'All regions'!I4169+"$F;@!'s%"</f>
        <v>#VALUE!</v>
      </c>
      <c r="U151" t="e">
        <f>'All regions'!A4170+"$F;@!'s&amp;"</f>
        <v>#VALUE!</v>
      </c>
      <c r="V151" t="e">
        <f>'All regions'!B4170+"$F;@!'s'"</f>
        <v>#VALUE!</v>
      </c>
      <c r="W151" t="e">
        <f>'All regions'!C4170+"$F;@!'s("</f>
        <v>#VALUE!</v>
      </c>
      <c r="X151" t="e">
        <f>'All regions'!D4170+"$F;@!'s)"</f>
        <v>#VALUE!</v>
      </c>
      <c r="Y151" t="e">
        <f>'All regions'!E4170+"$F;@!'s."</f>
        <v>#VALUE!</v>
      </c>
      <c r="Z151" t="e">
        <f>'All regions'!F4170+"$F;@!'s/"</f>
        <v>#VALUE!</v>
      </c>
      <c r="AA151" t="e">
        <f>'All regions'!G4170+"$F;@!'s0"</f>
        <v>#VALUE!</v>
      </c>
      <c r="AB151" t="e">
        <f>'All regions'!H4170+"$F;@!'s1"</f>
        <v>#VALUE!</v>
      </c>
      <c r="AC151" t="e">
        <f>'All regions'!I4170+"$F;@!'s2"</f>
        <v>#VALUE!</v>
      </c>
      <c r="AD151" t="e">
        <f>'All regions'!A4171+"$F;@!'s3"</f>
        <v>#VALUE!</v>
      </c>
      <c r="AE151" t="e">
        <f>'All regions'!B4171+"$F;@!'s4"</f>
        <v>#VALUE!</v>
      </c>
      <c r="AF151" t="e">
        <f>'All regions'!C4171+"$F;@!'s5"</f>
        <v>#VALUE!</v>
      </c>
      <c r="AG151" t="e">
        <f>'All regions'!D4171+"$F;@!'s6"</f>
        <v>#VALUE!</v>
      </c>
      <c r="AH151" t="e">
        <f>'All regions'!E4171+"$F;@!'s7"</f>
        <v>#VALUE!</v>
      </c>
      <c r="AI151" t="e">
        <f>'All regions'!F4171+"$F;@!'s8"</f>
        <v>#VALUE!</v>
      </c>
      <c r="AJ151" t="e">
        <f>'All regions'!G4171+"$F;@!'s9"</f>
        <v>#VALUE!</v>
      </c>
      <c r="AK151" t="e">
        <f>'All regions'!H4171+"$F;@!'s:"</f>
        <v>#VALUE!</v>
      </c>
      <c r="AL151" t="e">
        <f>'All regions'!I4171+"$F;@!'s;"</f>
        <v>#VALUE!</v>
      </c>
      <c r="AM151" t="e">
        <f>'All regions'!A4172+"$F;@!'s&lt;"</f>
        <v>#VALUE!</v>
      </c>
      <c r="AN151" t="e">
        <f>'All regions'!B4172+"$F;@!'s="</f>
        <v>#VALUE!</v>
      </c>
      <c r="AO151" t="e">
        <f>'All regions'!C4172+"$F;@!'s&gt;"</f>
        <v>#VALUE!</v>
      </c>
      <c r="AP151" t="e">
        <f>'All regions'!D4172+"$F;@!'s?"</f>
        <v>#VALUE!</v>
      </c>
      <c r="AQ151" t="e">
        <f>'All regions'!E4172+"$F;@!'s@"</f>
        <v>#VALUE!</v>
      </c>
      <c r="AR151" t="e">
        <f>'All regions'!F4172+"$F;@!'sA"</f>
        <v>#VALUE!</v>
      </c>
      <c r="AS151" t="e">
        <f>'All regions'!G4172+"$F;@!'sB"</f>
        <v>#VALUE!</v>
      </c>
      <c r="AT151" t="e">
        <f>'All regions'!H4172+"$F;@!'sC"</f>
        <v>#VALUE!</v>
      </c>
      <c r="AU151" t="e">
        <f>'All regions'!I4172+"$F;@!'sD"</f>
        <v>#VALUE!</v>
      </c>
      <c r="AV151" t="e">
        <f>'All regions'!A4173+"$F;@!'sE"</f>
        <v>#VALUE!</v>
      </c>
      <c r="AW151" t="e">
        <f>'All regions'!B4173+"$F;@!'sF"</f>
        <v>#VALUE!</v>
      </c>
      <c r="AX151" t="e">
        <f>'All regions'!C4173+"$F;@!'sG"</f>
        <v>#VALUE!</v>
      </c>
      <c r="AY151" t="e">
        <f>'All regions'!D4173+"$F;@!'sH"</f>
        <v>#VALUE!</v>
      </c>
      <c r="AZ151" t="e">
        <f>'All regions'!E4173+"$F;@!'sI"</f>
        <v>#VALUE!</v>
      </c>
      <c r="BA151" t="e">
        <f>'All regions'!F4173+"$F;@!'sJ"</f>
        <v>#VALUE!</v>
      </c>
      <c r="BB151" t="e">
        <f>'All regions'!G4173+"$F;@!'sK"</f>
        <v>#VALUE!</v>
      </c>
      <c r="BC151" t="e">
        <f>'All regions'!H4173+"$F;@!'sL"</f>
        <v>#VALUE!</v>
      </c>
      <c r="BD151" t="e">
        <f>'All regions'!I4173+"$F;@!'sM"</f>
        <v>#VALUE!</v>
      </c>
      <c r="BE151" t="e">
        <f>'All regions'!A4174+"$F;@!'sN"</f>
        <v>#VALUE!</v>
      </c>
      <c r="BF151" t="e">
        <f>'All regions'!B4174+"$F;@!'sO"</f>
        <v>#VALUE!</v>
      </c>
      <c r="BG151" t="e">
        <f>'All regions'!C4174+"$F;@!'sP"</f>
        <v>#VALUE!</v>
      </c>
      <c r="BH151" t="e">
        <f>'All regions'!D4174+"$F;@!'sQ"</f>
        <v>#VALUE!</v>
      </c>
      <c r="BI151" t="e">
        <f>'All regions'!E4174+"$F;@!'sR"</f>
        <v>#VALUE!</v>
      </c>
      <c r="BJ151" t="e">
        <f>'All regions'!F4174+"$F;@!'sS"</f>
        <v>#VALUE!</v>
      </c>
      <c r="BK151" t="e">
        <f>'All regions'!G4174+"$F;@!'sT"</f>
        <v>#VALUE!</v>
      </c>
      <c r="BL151" t="e">
        <f>'All regions'!H4174+"$F;@!'sU"</f>
        <v>#VALUE!</v>
      </c>
      <c r="BM151" t="e">
        <f>'All regions'!I4174+"$F;@!'sV"</f>
        <v>#VALUE!</v>
      </c>
      <c r="BN151" t="e">
        <f>'All regions'!A4175+"$F;@!'sW"</f>
        <v>#VALUE!</v>
      </c>
      <c r="BO151" t="e">
        <f>'All regions'!B4175+"$F;@!'sX"</f>
        <v>#VALUE!</v>
      </c>
      <c r="BP151" t="e">
        <f>'All regions'!C4175+"$F;@!'sY"</f>
        <v>#VALUE!</v>
      </c>
      <c r="BQ151" t="e">
        <f>'All regions'!D4175+"$F;@!'sZ"</f>
        <v>#VALUE!</v>
      </c>
      <c r="BR151" t="e">
        <f>'All regions'!E4175+"$F;@!'s["</f>
        <v>#VALUE!</v>
      </c>
      <c r="BS151" t="e">
        <f>'All regions'!F4175+"$F;@!'s\"</f>
        <v>#VALUE!</v>
      </c>
      <c r="BT151" t="e">
        <f>'All regions'!G4175+"$F;@!'s]"</f>
        <v>#VALUE!</v>
      </c>
      <c r="BU151" t="e">
        <f>'All regions'!H4175+"$F;@!'s^"</f>
        <v>#VALUE!</v>
      </c>
      <c r="BV151" t="e">
        <f>'All regions'!I4175+"$F;@!'s_"</f>
        <v>#VALUE!</v>
      </c>
      <c r="BW151" t="e">
        <f>'All regions'!A4176+"$F;@!'s`"</f>
        <v>#VALUE!</v>
      </c>
      <c r="BX151" t="e">
        <f>'All regions'!B4176+"$F;@!'sa"</f>
        <v>#VALUE!</v>
      </c>
      <c r="BY151" t="e">
        <f>'All regions'!C4176+"$F;@!'sb"</f>
        <v>#VALUE!</v>
      </c>
      <c r="BZ151" t="e">
        <f>'All regions'!D4176+"$F;@!'sc"</f>
        <v>#VALUE!</v>
      </c>
      <c r="CA151" t="e">
        <f>'All regions'!E4176+"$F;@!'sd"</f>
        <v>#VALUE!</v>
      </c>
      <c r="CB151" t="e">
        <f>'All regions'!F4176+"$F;@!'se"</f>
        <v>#VALUE!</v>
      </c>
      <c r="CC151" t="e">
        <f>'All regions'!G4176+"$F;@!'sf"</f>
        <v>#VALUE!</v>
      </c>
      <c r="CD151" t="e">
        <f>'All regions'!H4176+"$F;@!'sg"</f>
        <v>#VALUE!</v>
      </c>
      <c r="CE151" t="e">
        <f>'All regions'!I4176+"$F;@!'sh"</f>
        <v>#VALUE!</v>
      </c>
      <c r="CF151" t="e">
        <f>'All regions'!A4177+"$F;@!'si"</f>
        <v>#VALUE!</v>
      </c>
      <c r="CG151" t="e">
        <f>'All regions'!B4177+"$F;@!'sj"</f>
        <v>#VALUE!</v>
      </c>
      <c r="CH151" t="e">
        <f>'All regions'!C4177+"$F;@!'sk"</f>
        <v>#VALUE!</v>
      </c>
      <c r="CI151" t="e">
        <f>'All regions'!D4177+"$F;@!'sl"</f>
        <v>#VALUE!</v>
      </c>
      <c r="CJ151" t="e">
        <f>'All regions'!E4177+"$F;@!'sm"</f>
        <v>#VALUE!</v>
      </c>
      <c r="CK151" t="e">
        <f>'All regions'!F4177+"$F;@!'sn"</f>
        <v>#VALUE!</v>
      </c>
      <c r="CL151" t="e">
        <f>'All regions'!G4177+"$F;@!'so"</f>
        <v>#VALUE!</v>
      </c>
      <c r="CM151" t="e">
        <f>'All regions'!H4177+"$F;@!'sp"</f>
        <v>#VALUE!</v>
      </c>
      <c r="CN151" t="e">
        <f>'All regions'!I4177+"$F;@!'sq"</f>
        <v>#VALUE!</v>
      </c>
      <c r="CO151" t="e">
        <f>'All regions'!A4178+"$F;@!'sr"</f>
        <v>#VALUE!</v>
      </c>
      <c r="CP151" t="e">
        <f>'All regions'!B4178+"$F;@!'ss"</f>
        <v>#VALUE!</v>
      </c>
      <c r="CQ151" t="e">
        <f>'All regions'!C4178+"$F;@!'st"</f>
        <v>#VALUE!</v>
      </c>
      <c r="CR151" t="e">
        <f>'All regions'!D4178+"$F;@!'su"</f>
        <v>#VALUE!</v>
      </c>
      <c r="CS151" t="e">
        <f>'All regions'!E4178+"$F;@!'sv"</f>
        <v>#VALUE!</v>
      </c>
      <c r="CT151" t="e">
        <f>'All regions'!F4178+"$F;@!'sw"</f>
        <v>#VALUE!</v>
      </c>
      <c r="CU151" t="e">
        <f>'All regions'!G4178+"$F;@!'sx"</f>
        <v>#VALUE!</v>
      </c>
      <c r="CV151" t="e">
        <f>'All regions'!H4178+"$F;@!'sy"</f>
        <v>#VALUE!</v>
      </c>
      <c r="CW151" t="e">
        <f>'All regions'!I4178+"$F;@!'sz"</f>
        <v>#VALUE!</v>
      </c>
      <c r="CX151" t="e">
        <f>'All regions'!A4179+"$F;@!'s{"</f>
        <v>#VALUE!</v>
      </c>
      <c r="CY151" t="e">
        <f>'All regions'!B4179+"$F;@!'s|"</f>
        <v>#VALUE!</v>
      </c>
      <c r="CZ151" t="e">
        <f>'All regions'!C4179+"$F;@!'s}"</f>
        <v>#VALUE!</v>
      </c>
      <c r="DA151" t="e">
        <f>'All regions'!D4179+"$F;@!'s~"</f>
        <v>#VALUE!</v>
      </c>
      <c r="DB151" t="e">
        <f>'All regions'!E4179+"$F;@!'t#"</f>
        <v>#VALUE!</v>
      </c>
      <c r="DC151" t="e">
        <f>'All regions'!F4179+"$F;@!'t$"</f>
        <v>#VALUE!</v>
      </c>
      <c r="DD151" t="e">
        <f>'All regions'!G4179+"$F;@!'t%"</f>
        <v>#VALUE!</v>
      </c>
      <c r="DE151" t="e">
        <f>'All regions'!H4179+"$F;@!'t&amp;"</f>
        <v>#VALUE!</v>
      </c>
      <c r="DF151" t="e">
        <f>'All regions'!I4179+"$F;@!'t'"</f>
        <v>#VALUE!</v>
      </c>
      <c r="DG151" t="e">
        <f>'All regions'!A4180+"$F;@!'t("</f>
        <v>#VALUE!</v>
      </c>
      <c r="DH151" t="e">
        <f>'All regions'!B4180+"$F;@!'t)"</f>
        <v>#VALUE!</v>
      </c>
      <c r="DI151" t="e">
        <f>'All regions'!C4180+"$F;@!'t."</f>
        <v>#VALUE!</v>
      </c>
      <c r="DJ151" t="e">
        <f>'All regions'!D4180+"$F;@!'t/"</f>
        <v>#VALUE!</v>
      </c>
      <c r="DK151" t="e">
        <f>'All regions'!E4180+"$F;@!'t0"</f>
        <v>#VALUE!</v>
      </c>
      <c r="DL151" t="e">
        <f>'All regions'!F4180+"$F;@!'t1"</f>
        <v>#VALUE!</v>
      </c>
      <c r="DM151" t="e">
        <f>'All regions'!G4180+"$F;@!'t2"</f>
        <v>#VALUE!</v>
      </c>
      <c r="DN151" t="e">
        <f>'All regions'!H4180+"$F;@!'t3"</f>
        <v>#VALUE!</v>
      </c>
      <c r="DO151" t="e">
        <f>'All regions'!I4180+"$F;@!'t4"</f>
        <v>#VALUE!</v>
      </c>
      <c r="DP151" t="e">
        <f>'All regions'!A4181+"$F;@!'t5"</f>
        <v>#VALUE!</v>
      </c>
      <c r="DQ151" t="e">
        <f>'All regions'!B4181+"$F;@!'t6"</f>
        <v>#VALUE!</v>
      </c>
      <c r="DR151" t="e">
        <f>'All regions'!C4181+"$F;@!'t7"</f>
        <v>#VALUE!</v>
      </c>
      <c r="DS151" t="e">
        <f>'All regions'!D4181+"$F;@!'t8"</f>
        <v>#VALUE!</v>
      </c>
      <c r="DT151" t="e">
        <f>'All regions'!E4181+"$F;@!'t9"</f>
        <v>#VALUE!</v>
      </c>
      <c r="DU151" t="e">
        <f>'All regions'!F4181+"$F;@!'t:"</f>
        <v>#VALUE!</v>
      </c>
      <c r="DV151" t="e">
        <f>'All regions'!G4181+"$F;@!'t;"</f>
        <v>#VALUE!</v>
      </c>
      <c r="DW151" t="e">
        <f>'All regions'!H4181+"$F;@!'t&lt;"</f>
        <v>#VALUE!</v>
      </c>
      <c r="DX151" t="e">
        <f>'All regions'!I4181+"$F;@!'t="</f>
        <v>#VALUE!</v>
      </c>
      <c r="DY151" t="e">
        <f>'All regions'!A4182+"$F;@!'t&gt;"</f>
        <v>#VALUE!</v>
      </c>
      <c r="DZ151" t="e">
        <f>'All regions'!B4182+"$F;@!'t?"</f>
        <v>#VALUE!</v>
      </c>
      <c r="EA151" t="e">
        <f>'All regions'!C4182+"$F;@!'t@"</f>
        <v>#VALUE!</v>
      </c>
      <c r="EB151" t="e">
        <f>'All regions'!D4182+"$F;@!'tA"</f>
        <v>#VALUE!</v>
      </c>
      <c r="EC151" t="e">
        <f>'All regions'!E4182+"$F;@!'tB"</f>
        <v>#VALUE!</v>
      </c>
      <c r="ED151" t="e">
        <f>'All regions'!F4182+"$F;@!'tC"</f>
        <v>#VALUE!</v>
      </c>
      <c r="EE151" t="e">
        <f>'All regions'!G4182+"$F;@!'tD"</f>
        <v>#VALUE!</v>
      </c>
      <c r="EF151" t="e">
        <f>'All regions'!H4182+"$F;@!'tE"</f>
        <v>#VALUE!</v>
      </c>
      <c r="EG151" t="e">
        <f>'All regions'!I4182+"$F;@!'tF"</f>
        <v>#VALUE!</v>
      </c>
      <c r="EH151" t="e">
        <f>'All regions'!A4183+"$F;@!'tG"</f>
        <v>#VALUE!</v>
      </c>
      <c r="EI151" t="e">
        <f>'All regions'!B4183+"$F;@!'tH"</f>
        <v>#VALUE!</v>
      </c>
      <c r="EJ151" t="e">
        <f>'All regions'!C4183+"$F;@!'tI"</f>
        <v>#VALUE!</v>
      </c>
      <c r="EK151" t="e">
        <f>'All regions'!D4183+"$F;@!'tJ"</f>
        <v>#VALUE!</v>
      </c>
      <c r="EL151" t="e">
        <f>'All regions'!E4183+"$F;@!'tK"</f>
        <v>#VALUE!</v>
      </c>
      <c r="EM151" t="e">
        <f>'All regions'!F4183+"$F;@!'tL"</f>
        <v>#VALUE!</v>
      </c>
      <c r="EN151" t="e">
        <f>'All regions'!G4183+"$F;@!'tM"</f>
        <v>#VALUE!</v>
      </c>
      <c r="EO151" t="e">
        <f>'All regions'!H4183+"$F;@!'tN"</f>
        <v>#VALUE!</v>
      </c>
      <c r="EP151" t="e">
        <f>'All regions'!I4183+"$F;@!'tO"</f>
        <v>#VALUE!</v>
      </c>
      <c r="EQ151" t="e">
        <f>'All regions'!A4184+"$F;@!'tP"</f>
        <v>#VALUE!</v>
      </c>
      <c r="ER151" t="e">
        <f>'All regions'!B4184+"$F;@!'tQ"</f>
        <v>#VALUE!</v>
      </c>
      <c r="ES151" t="e">
        <f>'All regions'!C4184+"$F;@!'tR"</f>
        <v>#VALUE!</v>
      </c>
      <c r="ET151" t="e">
        <f>'All regions'!D4184+"$F;@!'tS"</f>
        <v>#VALUE!</v>
      </c>
      <c r="EU151" t="e">
        <f>'All regions'!E4184+"$F;@!'tT"</f>
        <v>#VALUE!</v>
      </c>
      <c r="EV151" t="e">
        <f>'All regions'!F4184+"$F;@!'tU"</f>
        <v>#VALUE!</v>
      </c>
      <c r="EW151" t="e">
        <f>'All regions'!G4184+"$F;@!'tV"</f>
        <v>#VALUE!</v>
      </c>
      <c r="EX151" t="e">
        <f>'All regions'!H4184+"$F;@!'tW"</f>
        <v>#VALUE!</v>
      </c>
      <c r="EY151" t="e">
        <f>'All regions'!I4184+"$F;@!'tX"</f>
        <v>#VALUE!</v>
      </c>
      <c r="EZ151" t="e">
        <f>'All regions'!A4185+"$F;@!'tY"</f>
        <v>#VALUE!</v>
      </c>
      <c r="FA151" t="e">
        <f>'All regions'!B4185+"$F;@!'tZ"</f>
        <v>#VALUE!</v>
      </c>
      <c r="FB151" t="e">
        <f>'All regions'!C4185+"$F;@!'t["</f>
        <v>#VALUE!</v>
      </c>
      <c r="FC151" t="e">
        <f>'All regions'!D4185+"$F;@!'t\"</f>
        <v>#VALUE!</v>
      </c>
      <c r="FD151" t="e">
        <f>'All regions'!E4185+"$F;@!'t]"</f>
        <v>#VALUE!</v>
      </c>
      <c r="FE151" t="e">
        <f>'All regions'!F4185+"$F;@!'t^"</f>
        <v>#VALUE!</v>
      </c>
      <c r="FF151" t="e">
        <f>'All regions'!G4185+"$F;@!'t_"</f>
        <v>#VALUE!</v>
      </c>
      <c r="FG151" t="e">
        <f>'All regions'!H4185+"$F;@!'t`"</f>
        <v>#VALUE!</v>
      </c>
      <c r="FH151" t="e">
        <f>'All regions'!I4185+"$F;@!'ta"</f>
        <v>#VALUE!</v>
      </c>
      <c r="FI151" t="e">
        <f>'All regions'!A4186+"$F;@!'tb"</f>
        <v>#VALUE!</v>
      </c>
      <c r="FJ151" t="e">
        <f>'All regions'!B4186+"$F;@!'tc"</f>
        <v>#VALUE!</v>
      </c>
      <c r="FK151" t="e">
        <f>'All regions'!C4186+"$F;@!'td"</f>
        <v>#VALUE!</v>
      </c>
      <c r="FL151" t="e">
        <f>'All regions'!D4186+"$F;@!'te"</f>
        <v>#VALUE!</v>
      </c>
      <c r="FM151" t="e">
        <f>'All regions'!E4186+"$F;@!'tf"</f>
        <v>#VALUE!</v>
      </c>
      <c r="FN151" t="e">
        <f>'All regions'!F4186+"$F;@!'tg"</f>
        <v>#VALUE!</v>
      </c>
      <c r="FO151" t="e">
        <f>'All regions'!G4186+"$F;@!'th"</f>
        <v>#VALUE!</v>
      </c>
      <c r="FP151" t="e">
        <f>'All regions'!H4186+"$F;@!'ti"</f>
        <v>#VALUE!</v>
      </c>
      <c r="FQ151" t="e">
        <f>'All regions'!I4186+"$F;@!'tj"</f>
        <v>#VALUE!</v>
      </c>
      <c r="FR151" t="e">
        <f>'All regions'!A4187+"$F;@!'tk"</f>
        <v>#VALUE!</v>
      </c>
      <c r="FS151" t="e">
        <f>'All regions'!B4187+"$F;@!'tl"</f>
        <v>#VALUE!</v>
      </c>
      <c r="FT151" t="e">
        <f>'All regions'!C4187+"$F;@!'tm"</f>
        <v>#VALUE!</v>
      </c>
      <c r="FU151" t="e">
        <f>'All regions'!D4187+"$F;@!'tn"</f>
        <v>#VALUE!</v>
      </c>
      <c r="FV151" t="e">
        <f>'All regions'!E4187+"$F;@!'to"</f>
        <v>#VALUE!</v>
      </c>
      <c r="FW151" t="e">
        <f>'All regions'!F4187+"$F;@!'tp"</f>
        <v>#VALUE!</v>
      </c>
      <c r="FX151" t="e">
        <f>'All regions'!G4187+"$F;@!'tq"</f>
        <v>#VALUE!</v>
      </c>
      <c r="FY151" t="e">
        <f>'All regions'!H4187+"$F;@!'tr"</f>
        <v>#VALUE!</v>
      </c>
      <c r="FZ151" t="e">
        <f>'All regions'!I4187+"$F;@!'ts"</f>
        <v>#VALUE!</v>
      </c>
      <c r="GA151" t="e">
        <f>'All regions'!A4188+"$F;@!'tt"</f>
        <v>#VALUE!</v>
      </c>
      <c r="GB151" t="e">
        <f>'All regions'!B4188+"$F;@!'tu"</f>
        <v>#VALUE!</v>
      </c>
      <c r="GC151" t="e">
        <f>'All regions'!C4188+"$F;@!'tv"</f>
        <v>#VALUE!</v>
      </c>
      <c r="GD151" t="e">
        <f>'All regions'!D4188+"$F;@!'tw"</f>
        <v>#VALUE!</v>
      </c>
      <c r="GE151" t="e">
        <f>'All regions'!E4188+"$F;@!'tx"</f>
        <v>#VALUE!</v>
      </c>
      <c r="GF151" t="e">
        <f>'All regions'!F4188+"$F;@!'ty"</f>
        <v>#VALUE!</v>
      </c>
      <c r="GG151" t="e">
        <f>'All regions'!G4188+"$F;@!'tz"</f>
        <v>#VALUE!</v>
      </c>
      <c r="GH151" t="e">
        <f>'All regions'!H4188+"$F;@!'t{"</f>
        <v>#VALUE!</v>
      </c>
      <c r="GI151" t="e">
        <f>'All regions'!I4188+"$F;@!'t|"</f>
        <v>#VALUE!</v>
      </c>
      <c r="GJ151" t="e">
        <f>'All regions'!A4189+"$F;@!'t}"</f>
        <v>#VALUE!</v>
      </c>
      <c r="GK151" t="e">
        <f>'All regions'!B4189+"$F;@!'t~"</f>
        <v>#VALUE!</v>
      </c>
      <c r="GL151" t="e">
        <f>'All regions'!C4189+"$F;@!'u#"</f>
        <v>#VALUE!</v>
      </c>
      <c r="GM151" t="e">
        <f>'All regions'!D4189+"$F;@!'u$"</f>
        <v>#VALUE!</v>
      </c>
      <c r="GN151" t="e">
        <f>'All regions'!E4189+"$F;@!'u%"</f>
        <v>#VALUE!</v>
      </c>
      <c r="GO151" t="e">
        <f>'All regions'!F4189+"$F;@!'u&amp;"</f>
        <v>#VALUE!</v>
      </c>
      <c r="GP151" t="e">
        <f>'All regions'!G4189+"$F;@!'u'"</f>
        <v>#VALUE!</v>
      </c>
      <c r="GQ151" t="e">
        <f>'All regions'!H4189+"$F;@!'u("</f>
        <v>#VALUE!</v>
      </c>
      <c r="GR151" t="e">
        <f>'All regions'!I4189+"$F;@!'u)"</f>
        <v>#VALUE!</v>
      </c>
      <c r="GS151" t="e">
        <f>'All regions'!A4190+"$F;@!'u."</f>
        <v>#VALUE!</v>
      </c>
      <c r="GT151" t="e">
        <f>'All regions'!B4190+"$F;@!'u/"</f>
        <v>#VALUE!</v>
      </c>
      <c r="GU151" t="e">
        <f>'All regions'!C4190+"$F;@!'u0"</f>
        <v>#VALUE!</v>
      </c>
      <c r="GV151" t="e">
        <f>'All regions'!D4190+"$F;@!'u1"</f>
        <v>#VALUE!</v>
      </c>
      <c r="GW151" t="e">
        <f>'All regions'!E4190+"$F;@!'u2"</f>
        <v>#VALUE!</v>
      </c>
      <c r="GX151" t="e">
        <f>'All regions'!F4190+"$F;@!'u3"</f>
        <v>#VALUE!</v>
      </c>
      <c r="GY151" t="e">
        <f>'All regions'!G4190+"$F;@!'u4"</f>
        <v>#VALUE!</v>
      </c>
      <c r="GZ151" t="e">
        <f>'All regions'!H4190+"$F;@!'u5"</f>
        <v>#VALUE!</v>
      </c>
      <c r="HA151" t="e">
        <f>'All regions'!I4190+"$F;@!'u6"</f>
        <v>#VALUE!</v>
      </c>
      <c r="HB151" t="e">
        <f>'All regions'!A4191+"$F;@!'u7"</f>
        <v>#VALUE!</v>
      </c>
      <c r="HC151" t="e">
        <f>'All regions'!B4191+"$F;@!'u8"</f>
        <v>#VALUE!</v>
      </c>
      <c r="HD151" t="e">
        <f>'All regions'!C4191+"$F;@!'u9"</f>
        <v>#VALUE!</v>
      </c>
      <c r="HE151" t="e">
        <f>'All regions'!D4191+"$F;@!'u:"</f>
        <v>#VALUE!</v>
      </c>
      <c r="HF151" t="e">
        <f>'All regions'!E4191+"$F;@!'u;"</f>
        <v>#VALUE!</v>
      </c>
      <c r="HG151" t="e">
        <f>'All regions'!F4191+"$F;@!'u&lt;"</f>
        <v>#VALUE!</v>
      </c>
      <c r="HH151" t="e">
        <f>'All regions'!G4191+"$F;@!'u="</f>
        <v>#VALUE!</v>
      </c>
      <c r="HI151" t="e">
        <f>'All regions'!H4191+"$F;@!'u&gt;"</f>
        <v>#VALUE!</v>
      </c>
      <c r="HJ151" t="e">
        <f>'All regions'!I4191+"$F;@!'u?"</f>
        <v>#VALUE!</v>
      </c>
      <c r="HK151" t="e">
        <f>'All regions'!A4192+"$F;@!'u@"</f>
        <v>#VALUE!</v>
      </c>
      <c r="HL151" t="e">
        <f>'All regions'!B4192+"$F;@!'uA"</f>
        <v>#VALUE!</v>
      </c>
      <c r="HM151" t="e">
        <f>'All regions'!C4192+"$F;@!'uB"</f>
        <v>#VALUE!</v>
      </c>
      <c r="HN151" t="e">
        <f>'All regions'!D4192+"$F;@!'uC"</f>
        <v>#VALUE!</v>
      </c>
      <c r="HO151" t="e">
        <f>'All regions'!E4192+"$F;@!'uD"</f>
        <v>#VALUE!</v>
      </c>
      <c r="HP151" t="e">
        <f>'All regions'!F4192+"$F;@!'uE"</f>
        <v>#VALUE!</v>
      </c>
      <c r="HQ151" t="e">
        <f>'All regions'!G4192+"$F;@!'uF"</f>
        <v>#VALUE!</v>
      </c>
      <c r="HR151" t="e">
        <f>'All regions'!H4192+"$F;@!'uG"</f>
        <v>#VALUE!</v>
      </c>
      <c r="HS151" t="e">
        <f>'All regions'!I4192+"$F;@!'uH"</f>
        <v>#VALUE!</v>
      </c>
      <c r="HT151" t="e">
        <f>'All regions'!A4193+"$F;@!'uI"</f>
        <v>#VALUE!</v>
      </c>
      <c r="HU151" t="e">
        <f>'All regions'!B4193+"$F;@!'uJ"</f>
        <v>#VALUE!</v>
      </c>
      <c r="HV151" t="e">
        <f>'All regions'!C4193+"$F;@!'uK"</f>
        <v>#VALUE!</v>
      </c>
      <c r="HW151" t="e">
        <f>'All regions'!D4193+"$F;@!'uL"</f>
        <v>#VALUE!</v>
      </c>
      <c r="HX151" t="e">
        <f>'All regions'!E4193+"$F;@!'uM"</f>
        <v>#VALUE!</v>
      </c>
      <c r="HY151" t="e">
        <f>'All regions'!F4193+"$F;@!'uN"</f>
        <v>#VALUE!</v>
      </c>
      <c r="HZ151" t="e">
        <f>'All regions'!G4193+"$F;@!'uO"</f>
        <v>#VALUE!</v>
      </c>
      <c r="IA151" t="e">
        <f>'All regions'!H4193+"$F;@!'uP"</f>
        <v>#VALUE!</v>
      </c>
      <c r="IB151" t="e">
        <f>'All regions'!I4193+"$F;@!'uQ"</f>
        <v>#VALUE!</v>
      </c>
      <c r="IC151" t="e">
        <f>'All regions'!A4194+"$F;@!'uR"</f>
        <v>#VALUE!</v>
      </c>
      <c r="ID151" t="e">
        <f>'All regions'!B4194+"$F;@!'uS"</f>
        <v>#VALUE!</v>
      </c>
      <c r="IE151" t="e">
        <f>'All regions'!C4194+"$F;@!'uT"</f>
        <v>#VALUE!</v>
      </c>
      <c r="IF151" t="e">
        <f>'All regions'!D4194+"$F;@!'uU"</f>
        <v>#VALUE!</v>
      </c>
      <c r="IG151" t="e">
        <f>'All regions'!E4194+"$F;@!'uV"</f>
        <v>#VALUE!</v>
      </c>
      <c r="IH151" t="e">
        <f>'All regions'!F4194+"$F;@!'uW"</f>
        <v>#VALUE!</v>
      </c>
      <c r="II151" t="e">
        <f>'All regions'!G4194+"$F;@!'uX"</f>
        <v>#VALUE!</v>
      </c>
      <c r="IJ151" t="e">
        <f>'All regions'!H4194+"$F;@!'uY"</f>
        <v>#VALUE!</v>
      </c>
      <c r="IK151" t="e">
        <f>'All regions'!I4194+"$F;@!'uZ"</f>
        <v>#VALUE!</v>
      </c>
      <c r="IL151" t="e">
        <f>'All regions'!A4195+"$F;@!'u["</f>
        <v>#VALUE!</v>
      </c>
      <c r="IM151" t="e">
        <f>'All regions'!B4195+"$F;@!'u\"</f>
        <v>#VALUE!</v>
      </c>
      <c r="IN151" t="e">
        <f>'All regions'!C4195+"$F;@!'u]"</f>
        <v>#VALUE!</v>
      </c>
      <c r="IO151" t="e">
        <f>'All regions'!D4195+"$F;@!'u^"</f>
        <v>#VALUE!</v>
      </c>
      <c r="IP151" t="e">
        <f>'All regions'!E4195+"$F;@!'u_"</f>
        <v>#VALUE!</v>
      </c>
      <c r="IQ151" t="e">
        <f>'All regions'!F4195+"$F;@!'u`"</f>
        <v>#VALUE!</v>
      </c>
      <c r="IR151" t="e">
        <f>'All regions'!G4195+"$F;@!'ua"</f>
        <v>#VALUE!</v>
      </c>
      <c r="IS151" t="e">
        <f>'All regions'!H4195+"$F;@!'ub"</f>
        <v>#VALUE!</v>
      </c>
      <c r="IT151" t="e">
        <f>'All regions'!I4195+"$F;@!'uc"</f>
        <v>#VALUE!</v>
      </c>
      <c r="IU151" t="e">
        <f>'All regions'!A4196+"$F;@!'ud"</f>
        <v>#VALUE!</v>
      </c>
      <c r="IV151" t="e">
        <f>'All regions'!B4196+"$F;@!'ue"</f>
        <v>#VALUE!</v>
      </c>
    </row>
    <row r="152" spans="6:256" x14ac:dyDescent="0.35">
      <c r="F152" t="e">
        <f>'All regions'!C4196+"$F;@!'uf"</f>
        <v>#VALUE!</v>
      </c>
      <c r="G152" t="e">
        <f>'All regions'!D4196+"$F;@!'ug"</f>
        <v>#VALUE!</v>
      </c>
      <c r="H152" t="e">
        <f>'All regions'!E4196+"$F;@!'uh"</f>
        <v>#VALUE!</v>
      </c>
      <c r="I152" t="e">
        <f>'All regions'!F4196+"$F;@!'ui"</f>
        <v>#VALUE!</v>
      </c>
      <c r="J152" t="e">
        <f>'All regions'!G4196+"$F;@!'uj"</f>
        <v>#VALUE!</v>
      </c>
      <c r="K152" t="e">
        <f>'All regions'!H4196+"$F;@!'uk"</f>
        <v>#VALUE!</v>
      </c>
      <c r="L152" t="e">
        <f>'All regions'!I4196+"$F;@!'ul"</f>
        <v>#VALUE!</v>
      </c>
      <c r="M152" t="e">
        <f>'All regions'!A4197+"$F;@!'um"</f>
        <v>#VALUE!</v>
      </c>
      <c r="N152" t="e">
        <f>'All regions'!B4197+"$F;@!'un"</f>
        <v>#VALUE!</v>
      </c>
      <c r="O152" t="e">
        <f>'All regions'!C4197+"$F;@!'uo"</f>
        <v>#VALUE!</v>
      </c>
      <c r="P152" t="e">
        <f>'All regions'!D4197+"$F;@!'up"</f>
        <v>#VALUE!</v>
      </c>
      <c r="Q152" t="e">
        <f>'All regions'!E4197+"$F;@!'uq"</f>
        <v>#VALUE!</v>
      </c>
      <c r="R152" t="e">
        <f>'All regions'!F4197+"$F;@!'ur"</f>
        <v>#VALUE!</v>
      </c>
      <c r="S152" t="e">
        <f>'All regions'!G4197+"$F;@!'us"</f>
        <v>#VALUE!</v>
      </c>
      <c r="T152" t="e">
        <f>'All regions'!H4197+"$F;@!'ut"</f>
        <v>#VALUE!</v>
      </c>
      <c r="U152" t="e">
        <f>'All regions'!I4197+"$F;@!'uu"</f>
        <v>#VALUE!</v>
      </c>
      <c r="V152" t="e">
        <f>'All regions'!A4198+"$F;@!'uv"</f>
        <v>#VALUE!</v>
      </c>
      <c r="W152" t="e">
        <f>'All regions'!B4198+"$F;@!'uw"</f>
        <v>#VALUE!</v>
      </c>
      <c r="X152" t="e">
        <f>'All regions'!C4198+"$F;@!'ux"</f>
        <v>#VALUE!</v>
      </c>
      <c r="Y152" t="e">
        <f>'All regions'!D4198+"$F;@!'uy"</f>
        <v>#VALUE!</v>
      </c>
      <c r="Z152" t="e">
        <f>'All regions'!E4198+"$F;@!'uz"</f>
        <v>#VALUE!</v>
      </c>
      <c r="AA152" t="e">
        <f>'All regions'!F4198+"$F;@!'u{"</f>
        <v>#VALUE!</v>
      </c>
      <c r="AB152" t="e">
        <f>'All regions'!G4198+"$F;@!'u|"</f>
        <v>#VALUE!</v>
      </c>
      <c r="AC152" t="e">
        <f>'All regions'!H4198+"$F;@!'u}"</f>
        <v>#VALUE!</v>
      </c>
      <c r="AD152" t="e">
        <f>'All regions'!I4198+"$F;@!'u~"</f>
        <v>#VALUE!</v>
      </c>
      <c r="AE152" t="e">
        <f>'All regions'!A4199+"$F;@!'v#"</f>
        <v>#VALUE!</v>
      </c>
      <c r="AF152" t="e">
        <f>'All regions'!B4199+"$F;@!'v$"</f>
        <v>#VALUE!</v>
      </c>
      <c r="AG152" t="e">
        <f>'All regions'!C4199+"$F;@!'v%"</f>
        <v>#VALUE!</v>
      </c>
      <c r="AH152" t="e">
        <f>'All regions'!D4199+"$F;@!'v&amp;"</f>
        <v>#VALUE!</v>
      </c>
      <c r="AI152" t="e">
        <f>'All regions'!E4199+"$F;@!'v'"</f>
        <v>#VALUE!</v>
      </c>
      <c r="AJ152" t="e">
        <f>'All regions'!F4199+"$F;@!'v("</f>
        <v>#VALUE!</v>
      </c>
      <c r="AK152" t="e">
        <f>'All regions'!G4199+"$F;@!'v)"</f>
        <v>#VALUE!</v>
      </c>
      <c r="AL152" t="e">
        <f>'All regions'!H4199+"$F;@!'v."</f>
        <v>#VALUE!</v>
      </c>
      <c r="AM152" t="e">
        <f>'All regions'!I4199+"$F;@!'v/"</f>
        <v>#VALUE!</v>
      </c>
      <c r="AN152" t="e">
        <f>'All regions'!A4200+"$F;@!'v0"</f>
        <v>#VALUE!</v>
      </c>
      <c r="AO152" t="e">
        <f>'All regions'!B4200+"$F;@!'v1"</f>
        <v>#VALUE!</v>
      </c>
      <c r="AP152" t="e">
        <f>'All regions'!C4200+"$F;@!'v2"</f>
        <v>#VALUE!</v>
      </c>
      <c r="AQ152" t="e">
        <f>'All regions'!D4200+"$F;@!'v3"</f>
        <v>#VALUE!</v>
      </c>
      <c r="AR152" t="e">
        <f>'All regions'!E4200+"$F;@!'v4"</f>
        <v>#VALUE!</v>
      </c>
      <c r="AS152" t="e">
        <f>'All regions'!F4200+"$F;@!'v5"</f>
        <v>#VALUE!</v>
      </c>
      <c r="AT152" t="e">
        <f>'All regions'!G4200+"$F;@!'v6"</f>
        <v>#VALUE!</v>
      </c>
      <c r="AU152" t="e">
        <f>'All regions'!H4200+"$F;@!'v7"</f>
        <v>#VALUE!</v>
      </c>
      <c r="AV152" t="e">
        <f>'All regions'!I4200+"$F;@!'v8"</f>
        <v>#VALUE!</v>
      </c>
      <c r="AW152" t="e">
        <f>'All regions'!A4201+"$F;@!'v9"</f>
        <v>#VALUE!</v>
      </c>
      <c r="AX152" t="e">
        <f>'All regions'!B4201+"$F;@!'v:"</f>
        <v>#VALUE!</v>
      </c>
      <c r="AY152" t="e">
        <f>'All regions'!C4201+"$F;@!'v;"</f>
        <v>#VALUE!</v>
      </c>
      <c r="AZ152" t="e">
        <f>'All regions'!D4201+"$F;@!'v&lt;"</f>
        <v>#VALUE!</v>
      </c>
      <c r="BA152" t="e">
        <f>'All regions'!E4201+"$F;@!'v="</f>
        <v>#VALUE!</v>
      </c>
      <c r="BB152" t="e">
        <f>'All regions'!F4201+"$F;@!'v&gt;"</f>
        <v>#VALUE!</v>
      </c>
      <c r="BC152" t="e">
        <f>'All regions'!G4201+"$F;@!'v?"</f>
        <v>#VALUE!</v>
      </c>
      <c r="BD152" t="e">
        <f>'All regions'!H4201+"$F;@!'v@"</f>
        <v>#VALUE!</v>
      </c>
      <c r="BE152" t="e">
        <f>'All regions'!I4201+"$F;@!'vA"</f>
        <v>#VALUE!</v>
      </c>
      <c r="BF152" t="e">
        <f>'All regions'!A4202+"$F;@!'vB"</f>
        <v>#VALUE!</v>
      </c>
      <c r="BG152" t="e">
        <f>'All regions'!B4202+"$F;@!'vC"</f>
        <v>#VALUE!</v>
      </c>
      <c r="BH152" t="e">
        <f>'All regions'!C4202+"$F;@!'vD"</f>
        <v>#VALUE!</v>
      </c>
      <c r="BI152" t="e">
        <f>'All regions'!D4202+"$F;@!'vE"</f>
        <v>#VALUE!</v>
      </c>
      <c r="BJ152" t="e">
        <f>'All regions'!E4202+"$F;@!'vF"</f>
        <v>#VALUE!</v>
      </c>
      <c r="BK152" t="e">
        <f>'All regions'!F4202+"$F;@!'vG"</f>
        <v>#VALUE!</v>
      </c>
      <c r="BL152" t="e">
        <f>'All regions'!G4202+"$F;@!'vH"</f>
        <v>#VALUE!</v>
      </c>
      <c r="BM152" t="e">
        <f>'All regions'!H4202+"$F;@!'vI"</f>
        <v>#VALUE!</v>
      </c>
      <c r="BN152" t="e">
        <f>'All regions'!I4202+"$F;@!'vJ"</f>
        <v>#VALUE!</v>
      </c>
      <c r="BO152" t="e">
        <f>'All regions'!A4203+"$F;@!'vK"</f>
        <v>#VALUE!</v>
      </c>
      <c r="BP152" t="e">
        <f>'All regions'!B4203+"$F;@!'vL"</f>
        <v>#VALUE!</v>
      </c>
      <c r="BQ152" t="e">
        <f>'All regions'!C4203+"$F;@!'vM"</f>
        <v>#VALUE!</v>
      </c>
      <c r="BR152" t="e">
        <f>'All regions'!D4203+"$F;@!'vN"</f>
        <v>#VALUE!</v>
      </c>
      <c r="BS152" t="e">
        <f>'All regions'!E4203+"$F;@!'vO"</f>
        <v>#VALUE!</v>
      </c>
      <c r="BT152" t="e">
        <f>'All regions'!F4203+"$F;@!'vP"</f>
        <v>#VALUE!</v>
      </c>
      <c r="BU152" t="e">
        <f>'All regions'!G4203+"$F;@!'vQ"</f>
        <v>#VALUE!</v>
      </c>
      <c r="BV152" t="e">
        <f>'All regions'!H4203+"$F;@!'vR"</f>
        <v>#VALUE!</v>
      </c>
      <c r="BW152" t="e">
        <f>'All regions'!I4203+"$F;@!'vS"</f>
        <v>#VALUE!</v>
      </c>
      <c r="BX152" t="e">
        <f>'All regions'!A4204+"$F;@!'vT"</f>
        <v>#VALUE!</v>
      </c>
      <c r="BY152" t="e">
        <f>'All regions'!B4204+"$F;@!'vU"</f>
        <v>#VALUE!</v>
      </c>
      <c r="BZ152" t="e">
        <f>'All regions'!C4204+"$F;@!'vV"</f>
        <v>#VALUE!</v>
      </c>
      <c r="CA152" t="e">
        <f>'All regions'!D4204+"$F;@!'vW"</f>
        <v>#VALUE!</v>
      </c>
      <c r="CB152" t="e">
        <f>'All regions'!E4204+"$F;@!'vX"</f>
        <v>#VALUE!</v>
      </c>
      <c r="CC152" t="e">
        <f>'All regions'!F4204+"$F;@!'vY"</f>
        <v>#VALUE!</v>
      </c>
      <c r="CD152" t="e">
        <f>'All regions'!G4204+"$F;@!'vZ"</f>
        <v>#VALUE!</v>
      </c>
      <c r="CE152" t="e">
        <f>'All regions'!H4204+"$F;@!'v["</f>
        <v>#VALUE!</v>
      </c>
      <c r="CF152" t="e">
        <f>'All regions'!I4204+"$F;@!'v\"</f>
        <v>#VALUE!</v>
      </c>
      <c r="CG152" t="e">
        <f>'All regions'!A4205+"$F;@!'v]"</f>
        <v>#VALUE!</v>
      </c>
      <c r="CH152" t="e">
        <f>'All regions'!B4205+"$F;@!'v^"</f>
        <v>#VALUE!</v>
      </c>
      <c r="CI152" t="e">
        <f>'All regions'!C4205+"$F;@!'v_"</f>
        <v>#VALUE!</v>
      </c>
      <c r="CJ152" t="e">
        <f>'All regions'!D4205+"$F;@!'v`"</f>
        <v>#VALUE!</v>
      </c>
      <c r="CK152" t="e">
        <f>'All regions'!E4205+"$F;@!'va"</f>
        <v>#VALUE!</v>
      </c>
      <c r="CL152" t="e">
        <f>'All regions'!F4205+"$F;@!'vb"</f>
        <v>#VALUE!</v>
      </c>
      <c r="CM152" t="e">
        <f>'All regions'!G4205+"$F;@!'vc"</f>
        <v>#VALUE!</v>
      </c>
      <c r="CN152" t="e">
        <f>'All regions'!H4205+"$F;@!'vd"</f>
        <v>#VALUE!</v>
      </c>
      <c r="CO152" t="e">
        <f>'All regions'!I4205+"$F;@!'ve"</f>
        <v>#VALUE!</v>
      </c>
      <c r="CP152" t="e">
        <f>'All regions'!A4206+"$F;@!'vf"</f>
        <v>#VALUE!</v>
      </c>
      <c r="CQ152" t="e">
        <f>'All regions'!B4206+"$F;@!'vg"</f>
        <v>#VALUE!</v>
      </c>
      <c r="CR152" t="e">
        <f>'All regions'!C4206+"$F;@!'vh"</f>
        <v>#VALUE!</v>
      </c>
      <c r="CS152" t="e">
        <f>'All regions'!D4206+"$F;@!'vi"</f>
        <v>#VALUE!</v>
      </c>
      <c r="CT152" t="e">
        <f>'All regions'!E4206+"$F;@!'vj"</f>
        <v>#VALUE!</v>
      </c>
      <c r="CU152" t="e">
        <f>'All regions'!F4206+"$F;@!'vk"</f>
        <v>#VALUE!</v>
      </c>
      <c r="CV152" t="e">
        <f>'All regions'!G4206+"$F;@!'vl"</f>
        <v>#VALUE!</v>
      </c>
      <c r="CW152" t="e">
        <f>'All regions'!H4206+"$F;@!'vm"</f>
        <v>#VALUE!</v>
      </c>
      <c r="CX152" t="e">
        <f>'All regions'!I4206+"$F;@!'vn"</f>
        <v>#VALUE!</v>
      </c>
      <c r="CY152" t="e">
        <f>'All regions'!A4207+"$F;@!'vo"</f>
        <v>#VALUE!</v>
      </c>
      <c r="CZ152" t="e">
        <f>'All regions'!B4207+"$F;@!'vp"</f>
        <v>#VALUE!</v>
      </c>
      <c r="DA152" t="e">
        <f>'All regions'!C4207+"$F;@!'vq"</f>
        <v>#VALUE!</v>
      </c>
      <c r="DB152" t="e">
        <f>'All regions'!D4207+"$F;@!'vr"</f>
        <v>#VALUE!</v>
      </c>
      <c r="DC152" t="e">
        <f>'All regions'!E4207+"$F;@!'vs"</f>
        <v>#VALUE!</v>
      </c>
      <c r="DD152" t="e">
        <f>'All regions'!F4207+"$F;@!'vt"</f>
        <v>#VALUE!</v>
      </c>
      <c r="DE152" t="e">
        <f>'All regions'!G4207+"$F;@!'vu"</f>
        <v>#VALUE!</v>
      </c>
      <c r="DF152" t="e">
        <f>'All regions'!H4207+"$F;@!'vv"</f>
        <v>#VALUE!</v>
      </c>
      <c r="DG152" t="e">
        <f>'All regions'!I4207+"$F;@!'vw"</f>
        <v>#VALUE!</v>
      </c>
      <c r="DH152" t="e">
        <f>'All regions'!A4208+"$F;@!'vx"</f>
        <v>#VALUE!</v>
      </c>
      <c r="DI152" t="e">
        <f>'All regions'!B4208+"$F;@!'vy"</f>
        <v>#VALUE!</v>
      </c>
      <c r="DJ152" t="e">
        <f>'All regions'!C4208+"$F;@!'vz"</f>
        <v>#VALUE!</v>
      </c>
      <c r="DK152" t="e">
        <f>'All regions'!D4208+"$F;@!'v{"</f>
        <v>#VALUE!</v>
      </c>
      <c r="DL152" t="e">
        <f>'All regions'!E4208+"$F;@!'v|"</f>
        <v>#VALUE!</v>
      </c>
      <c r="DM152" t="e">
        <f>'All regions'!F4208+"$F;@!'v}"</f>
        <v>#VALUE!</v>
      </c>
      <c r="DN152" t="e">
        <f>'All regions'!G4208+"$F;@!'v~"</f>
        <v>#VALUE!</v>
      </c>
      <c r="DO152" t="e">
        <f>'All regions'!H4208+"$F;@!'w#"</f>
        <v>#VALUE!</v>
      </c>
      <c r="DP152" t="e">
        <f>'All regions'!I4208+"$F;@!'w$"</f>
        <v>#VALUE!</v>
      </c>
      <c r="DQ152" t="e">
        <f>'All regions'!A4209+"$F;@!'w%"</f>
        <v>#VALUE!</v>
      </c>
      <c r="DR152" t="e">
        <f>'All regions'!B4209+"$F;@!'w&amp;"</f>
        <v>#VALUE!</v>
      </c>
      <c r="DS152" t="e">
        <f>'All regions'!C4209+"$F;@!'w'"</f>
        <v>#VALUE!</v>
      </c>
      <c r="DT152" t="e">
        <f>'All regions'!D4209+"$F;@!'w("</f>
        <v>#VALUE!</v>
      </c>
      <c r="DU152" t="e">
        <f>'All regions'!E4209+"$F;@!'w)"</f>
        <v>#VALUE!</v>
      </c>
      <c r="DV152" t="e">
        <f>'All regions'!F4209+"$F;@!'w."</f>
        <v>#VALUE!</v>
      </c>
      <c r="DW152" t="e">
        <f>'All regions'!G4209+"$F;@!'w/"</f>
        <v>#VALUE!</v>
      </c>
      <c r="DX152" t="e">
        <f>'All regions'!H4209+"$F;@!'w0"</f>
        <v>#VALUE!</v>
      </c>
      <c r="DY152" t="e">
        <f>'All regions'!I4209+"$F;@!'w1"</f>
        <v>#VALUE!</v>
      </c>
      <c r="DZ152" t="e">
        <f>'All regions'!A4210+"$F;@!'w2"</f>
        <v>#VALUE!</v>
      </c>
      <c r="EA152" t="e">
        <f>'All regions'!B4210+"$F;@!'w3"</f>
        <v>#VALUE!</v>
      </c>
      <c r="EB152" t="e">
        <f>'All regions'!C4210+"$F;@!'w4"</f>
        <v>#VALUE!</v>
      </c>
      <c r="EC152" t="e">
        <f>'All regions'!D4210+"$F;@!'w5"</f>
        <v>#VALUE!</v>
      </c>
      <c r="ED152" t="e">
        <f>'All regions'!E4210+"$F;@!'w6"</f>
        <v>#VALUE!</v>
      </c>
      <c r="EE152" t="e">
        <f>'All regions'!F4210+"$F;@!'w7"</f>
        <v>#VALUE!</v>
      </c>
      <c r="EF152" t="e">
        <f>'All regions'!G4210+"$F;@!'w8"</f>
        <v>#VALUE!</v>
      </c>
      <c r="EG152" t="e">
        <f>'All regions'!H4210+"$F;@!'w9"</f>
        <v>#VALUE!</v>
      </c>
      <c r="EH152" t="e">
        <f>'All regions'!I4210+"$F;@!'w:"</f>
        <v>#VALUE!</v>
      </c>
      <c r="EI152" t="e">
        <f>'All regions'!A4211+"$F;@!'w;"</f>
        <v>#VALUE!</v>
      </c>
      <c r="EJ152" t="e">
        <f>'All regions'!B4211+"$F;@!'w&lt;"</f>
        <v>#VALUE!</v>
      </c>
      <c r="EK152" t="e">
        <f>'All regions'!C4211+"$F;@!'w="</f>
        <v>#VALUE!</v>
      </c>
      <c r="EL152" t="e">
        <f>'All regions'!D4211+"$F;@!'w&gt;"</f>
        <v>#VALUE!</v>
      </c>
      <c r="EM152" t="e">
        <f>'All regions'!E4211+"$F;@!'w?"</f>
        <v>#VALUE!</v>
      </c>
      <c r="EN152" t="e">
        <f>'All regions'!F4211+"$F;@!'w@"</f>
        <v>#VALUE!</v>
      </c>
      <c r="EO152" t="e">
        <f>'All regions'!G4211+"$F;@!'wA"</f>
        <v>#VALUE!</v>
      </c>
      <c r="EP152" t="e">
        <f>'All regions'!H4211+"$F;@!'wB"</f>
        <v>#VALUE!</v>
      </c>
      <c r="EQ152" t="e">
        <f>'All regions'!I4211+"$F;@!'wC"</f>
        <v>#VALUE!</v>
      </c>
      <c r="ER152" t="e">
        <f>'All regions'!A4212+"$F;@!'wD"</f>
        <v>#VALUE!</v>
      </c>
      <c r="ES152" t="e">
        <f>'All regions'!B4212+"$F;@!'wE"</f>
        <v>#VALUE!</v>
      </c>
      <c r="ET152" t="e">
        <f>'All regions'!C4212+"$F;@!'wF"</f>
        <v>#VALUE!</v>
      </c>
      <c r="EU152" t="e">
        <f>'All regions'!D4212+"$F;@!'wG"</f>
        <v>#VALUE!</v>
      </c>
      <c r="EV152" t="e">
        <f>'All regions'!E4212+"$F;@!'wH"</f>
        <v>#VALUE!</v>
      </c>
      <c r="EW152" t="e">
        <f>'All regions'!F4212+"$F;@!'wI"</f>
        <v>#VALUE!</v>
      </c>
      <c r="EX152" t="e">
        <f>'All regions'!G4212+"$F;@!'wJ"</f>
        <v>#VALUE!</v>
      </c>
      <c r="EY152" t="e">
        <f>'All regions'!H4212+"$F;@!'wK"</f>
        <v>#VALUE!</v>
      </c>
      <c r="EZ152" t="e">
        <f>'All regions'!I4212+"$F;@!'wL"</f>
        <v>#VALUE!</v>
      </c>
      <c r="FA152" t="e">
        <f>'All regions'!A4213+"$F;@!'wM"</f>
        <v>#VALUE!</v>
      </c>
      <c r="FB152" t="e">
        <f>'All regions'!B4213+"$F;@!'wN"</f>
        <v>#VALUE!</v>
      </c>
      <c r="FC152" t="e">
        <f>'All regions'!C4213+"$F;@!'wO"</f>
        <v>#VALUE!</v>
      </c>
      <c r="FD152" t="e">
        <f>'All regions'!D4213+"$F;@!'wP"</f>
        <v>#VALUE!</v>
      </c>
      <c r="FE152" t="e">
        <f>'All regions'!E4213+"$F;@!'wQ"</f>
        <v>#VALUE!</v>
      </c>
      <c r="FF152" t="e">
        <f>'All regions'!F4213+"$F;@!'wR"</f>
        <v>#VALUE!</v>
      </c>
      <c r="FG152" t="e">
        <f>'All regions'!G4213+"$F;@!'wS"</f>
        <v>#VALUE!</v>
      </c>
      <c r="FH152" t="e">
        <f>'All regions'!H4213+"$F;@!'wT"</f>
        <v>#VALUE!</v>
      </c>
      <c r="FI152" t="e">
        <f>'All regions'!I4213+"$F;@!'wU"</f>
        <v>#VALUE!</v>
      </c>
      <c r="FJ152" t="e">
        <f>'All regions'!A4214+"$F;@!'wV"</f>
        <v>#VALUE!</v>
      </c>
      <c r="FK152" t="e">
        <f>'All regions'!B4214+"$F;@!'wW"</f>
        <v>#VALUE!</v>
      </c>
      <c r="FL152" t="e">
        <f>'All regions'!C4214+"$F;@!'wX"</f>
        <v>#VALUE!</v>
      </c>
      <c r="FM152" t="e">
        <f>'All regions'!D4214+"$F;@!'wY"</f>
        <v>#VALUE!</v>
      </c>
      <c r="FN152" t="e">
        <f>'All regions'!E4214+"$F;@!'wZ"</f>
        <v>#VALUE!</v>
      </c>
      <c r="FO152" t="e">
        <f>'All regions'!F4214+"$F;@!'w["</f>
        <v>#VALUE!</v>
      </c>
      <c r="FP152" t="e">
        <f>'All regions'!G4214+"$F;@!'w\"</f>
        <v>#VALUE!</v>
      </c>
      <c r="FQ152" t="e">
        <f>'All regions'!H4214+"$F;@!'w]"</f>
        <v>#VALUE!</v>
      </c>
      <c r="FR152" t="e">
        <f>'All regions'!I4214+"$F;@!'w^"</f>
        <v>#VALUE!</v>
      </c>
      <c r="FS152" t="e">
        <f>'All regions'!A4215+"$F;@!'w_"</f>
        <v>#VALUE!</v>
      </c>
      <c r="FT152" t="e">
        <f>'All regions'!B4215+"$F;@!'w`"</f>
        <v>#VALUE!</v>
      </c>
      <c r="FU152" t="e">
        <f>'All regions'!C4215+"$F;@!'wa"</f>
        <v>#VALUE!</v>
      </c>
      <c r="FV152" t="e">
        <f>'All regions'!D4215+"$F;@!'wb"</f>
        <v>#VALUE!</v>
      </c>
      <c r="FW152" t="e">
        <f>'All regions'!E4215+"$F;@!'wc"</f>
        <v>#VALUE!</v>
      </c>
      <c r="FX152" t="e">
        <f>'All regions'!F4215+"$F;@!'wd"</f>
        <v>#VALUE!</v>
      </c>
      <c r="FY152" t="e">
        <f>'All regions'!G4215+"$F;@!'we"</f>
        <v>#VALUE!</v>
      </c>
      <c r="FZ152" t="e">
        <f>'All regions'!H4215+"$F;@!'wf"</f>
        <v>#VALUE!</v>
      </c>
      <c r="GA152" t="e">
        <f>'All regions'!I4215+"$F;@!'wg"</f>
        <v>#VALUE!</v>
      </c>
      <c r="GB152" t="e">
        <f>'All regions'!A4216+"$F;@!'wh"</f>
        <v>#VALUE!</v>
      </c>
      <c r="GC152" t="e">
        <f>'All regions'!B4216+"$F;@!'wi"</f>
        <v>#VALUE!</v>
      </c>
      <c r="GD152" t="e">
        <f>'All regions'!C4216+"$F;@!'wj"</f>
        <v>#VALUE!</v>
      </c>
      <c r="GE152" t="e">
        <f>'All regions'!D4216+"$F;@!'wk"</f>
        <v>#VALUE!</v>
      </c>
      <c r="GF152" t="e">
        <f>'All regions'!E4216+"$F;@!'wl"</f>
        <v>#VALUE!</v>
      </c>
      <c r="GG152" t="e">
        <f>'All regions'!F4216+"$F;@!'wm"</f>
        <v>#VALUE!</v>
      </c>
      <c r="GH152" t="e">
        <f>'All regions'!G4216+"$F;@!'wn"</f>
        <v>#VALUE!</v>
      </c>
      <c r="GI152" t="e">
        <f>'All regions'!H4216+"$F;@!'wo"</f>
        <v>#VALUE!</v>
      </c>
      <c r="GJ152" t="e">
        <f>'All regions'!I4216+"$F;@!'wp"</f>
        <v>#VALUE!</v>
      </c>
      <c r="GK152" t="e">
        <f>'All regions'!A4217+"$F;@!'wq"</f>
        <v>#VALUE!</v>
      </c>
      <c r="GL152" t="e">
        <f>'All regions'!B4217+"$F;@!'wr"</f>
        <v>#VALUE!</v>
      </c>
      <c r="GM152" t="e">
        <f>'All regions'!C4217+"$F;@!'ws"</f>
        <v>#VALUE!</v>
      </c>
      <c r="GN152" t="e">
        <f>'All regions'!D4217+"$F;@!'wt"</f>
        <v>#VALUE!</v>
      </c>
      <c r="GO152" t="e">
        <f>'All regions'!E4217+"$F;@!'wu"</f>
        <v>#VALUE!</v>
      </c>
      <c r="GP152" t="e">
        <f>'All regions'!F4217+"$F;@!'wv"</f>
        <v>#VALUE!</v>
      </c>
      <c r="GQ152" t="e">
        <f>'All regions'!G4217+"$F;@!'ww"</f>
        <v>#VALUE!</v>
      </c>
      <c r="GR152" t="e">
        <f>'All regions'!H4217+"$F;@!'wx"</f>
        <v>#VALUE!</v>
      </c>
      <c r="GS152" t="e">
        <f>'All regions'!I4217+"$F;@!'wy"</f>
        <v>#VALUE!</v>
      </c>
      <c r="GT152" t="e">
        <f>'All regions'!A4218+"$F;@!'wz"</f>
        <v>#VALUE!</v>
      </c>
      <c r="GU152" t="e">
        <f>'All regions'!B4218+"$F;@!'w{"</f>
        <v>#VALUE!</v>
      </c>
      <c r="GV152" t="e">
        <f>'All regions'!C4218+"$F;@!'w|"</f>
        <v>#VALUE!</v>
      </c>
      <c r="GW152" t="e">
        <f>'All regions'!D4218+"$F;@!'w}"</f>
        <v>#VALUE!</v>
      </c>
      <c r="GX152" t="e">
        <f>'All regions'!E4218+"$F;@!'w~"</f>
        <v>#VALUE!</v>
      </c>
      <c r="GY152" t="e">
        <f>'All regions'!F4218+"$F;@!'x#"</f>
        <v>#VALUE!</v>
      </c>
      <c r="GZ152" t="e">
        <f>'All regions'!G4218+"$F;@!'x$"</f>
        <v>#VALUE!</v>
      </c>
      <c r="HA152" t="e">
        <f>'All regions'!H4218+"$F;@!'x%"</f>
        <v>#VALUE!</v>
      </c>
      <c r="HB152" t="e">
        <f>'All regions'!I4218+"$F;@!'x&amp;"</f>
        <v>#VALUE!</v>
      </c>
      <c r="HC152" t="e">
        <f>'All regions'!A4219+"$F;@!'x'"</f>
        <v>#VALUE!</v>
      </c>
      <c r="HD152" t="e">
        <f>'All regions'!B4219+"$F;@!'x("</f>
        <v>#VALUE!</v>
      </c>
      <c r="HE152" t="e">
        <f>'All regions'!C4219+"$F;@!'x)"</f>
        <v>#VALUE!</v>
      </c>
      <c r="HF152" t="e">
        <f>'All regions'!D4219+"$F;@!'x."</f>
        <v>#VALUE!</v>
      </c>
      <c r="HG152" t="e">
        <f>'All regions'!E4219+"$F;@!'x/"</f>
        <v>#VALUE!</v>
      </c>
      <c r="HH152" t="e">
        <f>'All regions'!F4219+"$F;@!'x0"</f>
        <v>#VALUE!</v>
      </c>
      <c r="HI152" t="e">
        <f>'All regions'!G4219+"$F;@!'x1"</f>
        <v>#VALUE!</v>
      </c>
      <c r="HJ152" t="e">
        <f>'All regions'!H4219+"$F;@!'x2"</f>
        <v>#VALUE!</v>
      </c>
      <c r="HK152" t="e">
        <f>'All regions'!I4219+"$F;@!'x3"</f>
        <v>#VALUE!</v>
      </c>
      <c r="HL152" t="e">
        <f>'All regions'!A4220+"$F;@!'x4"</f>
        <v>#VALUE!</v>
      </c>
      <c r="HM152" t="e">
        <f>'All regions'!B4220+"$F;@!'x5"</f>
        <v>#VALUE!</v>
      </c>
      <c r="HN152" t="e">
        <f>'All regions'!C4220+"$F;@!'x6"</f>
        <v>#VALUE!</v>
      </c>
      <c r="HO152" t="e">
        <f>'All regions'!D4220+"$F;@!'x7"</f>
        <v>#VALUE!</v>
      </c>
      <c r="HP152" t="e">
        <f>'All regions'!E4220+"$F;@!'x8"</f>
        <v>#VALUE!</v>
      </c>
      <c r="HQ152" t="e">
        <f>'All regions'!F4220+"$F;@!'x9"</f>
        <v>#VALUE!</v>
      </c>
      <c r="HR152" t="e">
        <f>'All regions'!G4220+"$F;@!'x:"</f>
        <v>#VALUE!</v>
      </c>
      <c r="HS152" t="e">
        <f>'All regions'!H4220+"$F;@!'x;"</f>
        <v>#VALUE!</v>
      </c>
      <c r="HT152" t="e">
        <f>'All regions'!I4220+"$F;@!'x&lt;"</f>
        <v>#VALUE!</v>
      </c>
      <c r="HU152" t="e">
        <f>'All regions'!A4221+"$F;@!'x="</f>
        <v>#VALUE!</v>
      </c>
      <c r="HV152" t="e">
        <f>'All regions'!B4221+"$F;@!'x&gt;"</f>
        <v>#VALUE!</v>
      </c>
      <c r="HW152" t="e">
        <f>'All regions'!C4221+"$F;@!'x?"</f>
        <v>#VALUE!</v>
      </c>
      <c r="HX152" t="e">
        <f>'All regions'!D4221+"$F;@!'x@"</f>
        <v>#VALUE!</v>
      </c>
      <c r="HY152" t="e">
        <f>'All regions'!E4221+"$F;@!'xA"</f>
        <v>#VALUE!</v>
      </c>
      <c r="HZ152" t="e">
        <f>'All regions'!F4221+"$F;@!'xB"</f>
        <v>#VALUE!</v>
      </c>
      <c r="IA152" t="e">
        <f>'All regions'!G4221+"$F;@!'xC"</f>
        <v>#VALUE!</v>
      </c>
      <c r="IB152" t="e">
        <f>'All regions'!H4221+"$F;@!'xD"</f>
        <v>#VALUE!</v>
      </c>
      <c r="IC152" t="e">
        <f>'All regions'!I4221+"$F;@!'xE"</f>
        <v>#VALUE!</v>
      </c>
      <c r="ID152" t="e">
        <f>'All regions'!A4222+"$F;@!'xF"</f>
        <v>#VALUE!</v>
      </c>
      <c r="IE152" t="e">
        <f>'All regions'!B4222+"$F;@!'xG"</f>
        <v>#VALUE!</v>
      </c>
      <c r="IF152" t="e">
        <f>'All regions'!C4222+"$F;@!'xH"</f>
        <v>#VALUE!</v>
      </c>
      <c r="IG152" t="e">
        <f>'All regions'!D4222+"$F;@!'xI"</f>
        <v>#VALUE!</v>
      </c>
      <c r="IH152" t="e">
        <f>'All regions'!E4222+"$F;@!'xJ"</f>
        <v>#VALUE!</v>
      </c>
      <c r="II152" t="e">
        <f>'All regions'!F4222+"$F;@!'xK"</f>
        <v>#VALUE!</v>
      </c>
      <c r="IJ152" t="e">
        <f>'All regions'!G4222+"$F;@!'xL"</f>
        <v>#VALUE!</v>
      </c>
      <c r="IK152" t="e">
        <f>'All regions'!H4222+"$F;@!'xM"</f>
        <v>#VALUE!</v>
      </c>
      <c r="IL152" t="e">
        <f>'All regions'!I4222+"$F;@!'xN"</f>
        <v>#VALUE!</v>
      </c>
      <c r="IM152" t="e">
        <f>'All regions'!A4223+"$F;@!'xO"</f>
        <v>#VALUE!</v>
      </c>
      <c r="IN152" t="e">
        <f>'All regions'!B4223+"$F;@!'xP"</f>
        <v>#VALUE!</v>
      </c>
      <c r="IO152" t="e">
        <f>'All regions'!C4223+"$F;@!'xQ"</f>
        <v>#VALUE!</v>
      </c>
      <c r="IP152" t="e">
        <f>'All regions'!D4223+"$F;@!'xR"</f>
        <v>#VALUE!</v>
      </c>
      <c r="IQ152" t="e">
        <f>'All regions'!E4223+"$F;@!'xS"</f>
        <v>#VALUE!</v>
      </c>
      <c r="IR152" t="e">
        <f>'All regions'!F4223+"$F;@!'xT"</f>
        <v>#VALUE!</v>
      </c>
      <c r="IS152" t="e">
        <f>'All regions'!G4223+"$F;@!'xU"</f>
        <v>#VALUE!</v>
      </c>
      <c r="IT152" t="e">
        <f>'All regions'!H4223+"$F;@!'xV"</f>
        <v>#VALUE!</v>
      </c>
      <c r="IU152" t="e">
        <f>'All regions'!I4223+"$F;@!'xW"</f>
        <v>#VALUE!</v>
      </c>
      <c r="IV152" t="e">
        <f>'All regions'!A4224+"$F;@!'xX"</f>
        <v>#VALUE!</v>
      </c>
    </row>
    <row r="153" spans="6:256" x14ac:dyDescent="0.35">
      <c r="F153" t="e">
        <f>'All regions'!B4224+"$F;@!'xY"</f>
        <v>#VALUE!</v>
      </c>
      <c r="G153" t="e">
        <f>'All regions'!C4224+"$F;@!'xZ"</f>
        <v>#VALUE!</v>
      </c>
      <c r="H153" t="e">
        <f>'All regions'!D4224+"$F;@!'x["</f>
        <v>#VALUE!</v>
      </c>
      <c r="I153" t="e">
        <f>'All regions'!E4224+"$F;@!'x\"</f>
        <v>#VALUE!</v>
      </c>
      <c r="J153" t="e">
        <f>'All regions'!F4224+"$F;@!'x]"</f>
        <v>#VALUE!</v>
      </c>
      <c r="K153" t="e">
        <f>'All regions'!G4224+"$F;@!'x^"</f>
        <v>#VALUE!</v>
      </c>
      <c r="L153" t="e">
        <f>'All regions'!H4224+"$F;@!'x_"</f>
        <v>#VALUE!</v>
      </c>
      <c r="M153" t="e">
        <f>'All regions'!I4224+"$F;@!'x`"</f>
        <v>#VALUE!</v>
      </c>
      <c r="N153" t="e">
        <f>'All regions'!A4225+"$F;@!'xa"</f>
        <v>#VALUE!</v>
      </c>
      <c r="O153" t="e">
        <f>'All regions'!B4225+"$F;@!'xb"</f>
        <v>#VALUE!</v>
      </c>
      <c r="P153" t="e">
        <f>'All regions'!C4225+"$F;@!'xc"</f>
        <v>#VALUE!</v>
      </c>
      <c r="Q153" t="e">
        <f>'All regions'!D4225+"$F;@!'xd"</f>
        <v>#VALUE!</v>
      </c>
      <c r="R153" t="e">
        <f>'All regions'!E4225+"$F;@!'xe"</f>
        <v>#VALUE!</v>
      </c>
      <c r="S153" t="e">
        <f>'All regions'!F4225+"$F;@!'xf"</f>
        <v>#VALUE!</v>
      </c>
      <c r="T153" t="e">
        <f>'All regions'!G4225+"$F;@!'xg"</f>
        <v>#VALUE!</v>
      </c>
      <c r="U153" t="e">
        <f>'All regions'!H4225+"$F;@!'xh"</f>
        <v>#VALUE!</v>
      </c>
      <c r="V153" t="e">
        <f>'All regions'!I4225+"$F;@!'xi"</f>
        <v>#VALUE!</v>
      </c>
      <c r="W153" t="e">
        <f>'All regions'!A4226+"$F;@!'xj"</f>
        <v>#VALUE!</v>
      </c>
      <c r="X153" t="e">
        <f>'All regions'!B4226+"$F;@!'xk"</f>
        <v>#VALUE!</v>
      </c>
      <c r="Y153" t="e">
        <f>'All regions'!C4226+"$F;@!'xl"</f>
        <v>#VALUE!</v>
      </c>
      <c r="Z153" t="e">
        <f>'All regions'!D4226+"$F;@!'xm"</f>
        <v>#VALUE!</v>
      </c>
      <c r="AA153" t="e">
        <f>'All regions'!E4226+"$F;@!'xn"</f>
        <v>#VALUE!</v>
      </c>
      <c r="AB153" t="e">
        <f>'All regions'!F4226+"$F;@!'xo"</f>
        <v>#VALUE!</v>
      </c>
      <c r="AC153" t="e">
        <f>'All regions'!G4226+"$F;@!'xp"</f>
        <v>#VALUE!</v>
      </c>
      <c r="AD153" t="e">
        <f>'All regions'!H4226+"$F;@!'xq"</f>
        <v>#VALUE!</v>
      </c>
      <c r="AE153" t="e">
        <f>'All regions'!I4226+"$F;@!'xr"</f>
        <v>#VALUE!</v>
      </c>
      <c r="AF153" t="e">
        <f>'All regions'!A4227+"$F;@!'xs"</f>
        <v>#VALUE!</v>
      </c>
      <c r="AG153" t="e">
        <f>'All regions'!B4227+"$F;@!'xt"</f>
        <v>#VALUE!</v>
      </c>
      <c r="AH153" t="e">
        <f>'All regions'!C4227+"$F;@!'xu"</f>
        <v>#VALUE!</v>
      </c>
      <c r="AI153" t="e">
        <f>'All regions'!D4227+"$F;@!'xv"</f>
        <v>#VALUE!</v>
      </c>
      <c r="AJ153" t="e">
        <f>'All regions'!E4227+"$F;@!'xw"</f>
        <v>#VALUE!</v>
      </c>
      <c r="AK153" t="e">
        <f>'All regions'!F4227+"$F;@!'xx"</f>
        <v>#VALUE!</v>
      </c>
      <c r="AL153" t="e">
        <f>'All regions'!G4227+"$F;@!'xy"</f>
        <v>#VALUE!</v>
      </c>
      <c r="AM153" t="e">
        <f>'All regions'!H4227+"$F;@!'xz"</f>
        <v>#VALUE!</v>
      </c>
      <c r="AN153" t="e">
        <f>'All regions'!I4227+"$F;@!'x{"</f>
        <v>#VALUE!</v>
      </c>
      <c r="AO153" t="e">
        <f>'All regions'!A4228+"$F;@!'x|"</f>
        <v>#VALUE!</v>
      </c>
      <c r="AP153" t="e">
        <f>'All regions'!B4228+"$F;@!'x}"</f>
        <v>#VALUE!</v>
      </c>
      <c r="AQ153" t="e">
        <f>'All regions'!C4228+"$F;@!'x~"</f>
        <v>#VALUE!</v>
      </c>
      <c r="AR153" t="e">
        <f>'All regions'!D4228+"$F;@!'y#"</f>
        <v>#VALUE!</v>
      </c>
      <c r="AS153" t="e">
        <f>'All regions'!E4228+"$F;@!'y$"</f>
        <v>#VALUE!</v>
      </c>
      <c r="AT153" t="e">
        <f>'All regions'!F4228+"$F;@!'y%"</f>
        <v>#VALUE!</v>
      </c>
      <c r="AU153" t="e">
        <f>'All regions'!G4228+"$F;@!'y&amp;"</f>
        <v>#VALUE!</v>
      </c>
      <c r="AV153" t="e">
        <f>'All regions'!H4228+"$F;@!'y'"</f>
        <v>#VALUE!</v>
      </c>
      <c r="AW153" t="e">
        <f>'All regions'!I4228+"$F;@!'y("</f>
        <v>#VALUE!</v>
      </c>
      <c r="AX153" t="e">
        <f>'All regions'!A4229+"$F;@!'y)"</f>
        <v>#VALUE!</v>
      </c>
      <c r="AY153" t="e">
        <f>'All regions'!B4229+"$F;@!'y."</f>
        <v>#VALUE!</v>
      </c>
      <c r="AZ153" t="e">
        <f>'All regions'!C4229+"$F;@!'y/"</f>
        <v>#VALUE!</v>
      </c>
      <c r="BA153" t="e">
        <f>'All regions'!D4229+"$F;@!'y0"</f>
        <v>#VALUE!</v>
      </c>
      <c r="BB153" t="e">
        <f>'All regions'!E4229+"$F;@!'y1"</f>
        <v>#VALUE!</v>
      </c>
      <c r="BC153" t="e">
        <f>'All regions'!F4229+"$F;@!'y2"</f>
        <v>#VALUE!</v>
      </c>
      <c r="BD153" t="e">
        <f>'All regions'!G4229+"$F;@!'y3"</f>
        <v>#VALUE!</v>
      </c>
      <c r="BE153" t="e">
        <f>'All regions'!H4229+"$F;@!'y4"</f>
        <v>#VALUE!</v>
      </c>
      <c r="BF153" t="e">
        <f>'All regions'!I4229+"$F;@!'y5"</f>
        <v>#VALUE!</v>
      </c>
      <c r="BG153" t="e">
        <f>'All regions'!A4230+"$F;@!'y6"</f>
        <v>#VALUE!</v>
      </c>
      <c r="BH153" t="e">
        <f>'All regions'!B4230+"$F;@!'y7"</f>
        <v>#VALUE!</v>
      </c>
      <c r="BI153" t="e">
        <f>'All regions'!C4230+"$F;@!'y8"</f>
        <v>#VALUE!</v>
      </c>
      <c r="BJ153" t="e">
        <f>'All regions'!D4230+"$F;@!'y9"</f>
        <v>#VALUE!</v>
      </c>
      <c r="BK153" t="e">
        <f>'All regions'!E4230+"$F;@!'y:"</f>
        <v>#VALUE!</v>
      </c>
      <c r="BL153" t="e">
        <f>'All regions'!F4230+"$F;@!'y;"</f>
        <v>#VALUE!</v>
      </c>
      <c r="BM153" t="e">
        <f>'All regions'!G4230+"$F;@!'y&lt;"</f>
        <v>#VALUE!</v>
      </c>
      <c r="BN153" t="e">
        <f>'All regions'!H4230+"$F;@!'y="</f>
        <v>#VALUE!</v>
      </c>
      <c r="BO153" t="e">
        <f>'All regions'!I4230+"$F;@!'y&gt;"</f>
        <v>#VALUE!</v>
      </c>
      <c r="BP153" t="e">
        <f>'All regions'!A4231+"$F;@!'y?"</f>
        <v>#VALUE!</v>
      </c>
      <c r="BQ153" t="e">
        <f>'All regions'!B4231+"$F;@!'y@"</f>
        <v>#VALUE!</v>
      </c>
      <c r="BR153" t="e">
        <f>'All regions'!C4231+"$F;@!'yA"</f>
        <v>#VALUE!</v>
      </c>
      <c r="BS153" t="e">
        <f>'All regions'!D4231+"$F;@!'yB"</f>
        <v>#VALUE!</v>
      </c>
      <c r="BT153" t="e">
        <f>'All regions'!E4231+"$F;@!'yC"</f>
        <v>#VALUE!</v>
      </c>
      <c r="BU153" t="e">
        <f>'All regions'!F4231+"$F;@!'yD"</f>
        <v>#VALUE!</v>
      </c>
      <c r="BV153" t="e">
        <f>'All regions'!G4231+"$F;@!'yE"</f>
        <v>#VALUE!</v>
      </c>
      <c r="BW153" t="e">
        <f>'All regions'!H4231+"$F;@!'yF"</f>
        <v>#VALUE!</v>
      </c>
      <c r="BX153" t="e">
        <f>'All regions'!I4231+"$F;@!'yG"</f>
        <v>#VALUE!</v>
      </c>
      <c r="BY153" t="e">
        <f>'All regions'!A4232+"$F;@!'yH"</f>
        <v>#VALUE!</v>
      </c>
      <c r="BZ153" t="e">
        <f>'All regions'!B4232+"$F;@!'yI"</f>
        <v>#VALUE!</v>
      </c>
      <c r="CA153" t="e">
        <f>'All regions'!C4232+"$F;@!'yJ"</f>
        <v>#VALUE!</v>
      </c>
      <c r="CB153" t="e">
        <f>'All regions'!D4232+"$F;@!'yK"</f>
        <v>#VALUE!</v>
      </c>
      <c r="CC153" t="e">
        <f>'All regions'!E4232+"$F;@!'yL"</f>
        <v>#VALUE!</v>
      </c>
      <c r="CD153" t="e">
        <f>'All regions'!F4232+"$F;@!'yM"</f>
        <v>#VALUE!</v>
      </c>
      <c r="CE153" t="e">
        <f>'All regions'!G4232+"$F;@!'yN"</f>
        <v>#VALUE!</v>
      </c>
      <c r="CF153" t="e">
        <f>'All regions'!H4232+"$F;@!'yO"</f>
        <v>#VALUE!</v>
      </c>
      <c r="CG153" t="e">
        <f>'All regions'!I4232+"$F;@!'yP"</f>
        <v>#VALUE!</v>
      </c>
      <c r="CH153" t="e">
        <f>'All regions'!A4233+"$F;@!'yQ"</f>
        <v>#VALUE!</v>
      </c>
      <c r="CI153" t="e">
        <f>'All regions'!B4233+"$F;@!'yR"</f>
        <v>#VALUE!</v>
      </c>
      <c r="CJ153" t="e">
        <f>'All regions'!C4233+"$F;@!'yS"</f>
        <v>#VALUE!</v>
      </c>
      <c r="CK153" t="e">
        <f>'All regions'!D4233+"$F;@!'yT"</f>
        <v>#VALUE!</v>
      </c>
      <c r="CL153" t="e">
        <f>'All regions'!E4233+"$F;@!'yU"</f>
        <v>#VALUE!</v>
      </c>
      <c r="CM153" t="e">
        <f>'All regions'!F4233+"$F;@!'yV"</f>
        <v>#VALUE!</v>
      </c>
      <c r="CN153" t="e">
        <f>'All regions'!G4233+"$F;@!'yW"</f>
        <v>#VALUE!</v>
      </c>
      <c r="CO153" t="e">
        <f>'All regions'!H4233+"$F;@!'yX"</f>
        <v>#VALUE!</v>
      </c>
      <c r="CP153" t="e">
        <f>'All regions'!I4233+"$F;@!'yY"</f>
        <v>#VALUE!</v>
      </c>
      <c r="CQ153" t="e">
        <f>'All regions'!A4234+"$F;@!'yZ"</f>
        <v>#VALUE!</v>
      </c>
      <c r="CR153" t="e">
        <f>'All regions'!B4234+"$F;@!'y["</f>
        <v>#VALUE!</v>
      </c>
      <c r="CS153" t="e">
        <f>'All regions'!C4234+"$F;@!'y\"</f>
        <v>#VALUE!</v>
      </c>
      <c r="CT153" t="e">
        <f>'All regions'!D4234+"$F;@!'y]"</f>
        <v>#VALUE!</v>
      </c>
      <c r="CU153" t="e">
        <f>'All regions'!E4234+"$F;@!'y^"</f>
        <v>#VALUE!</v>
      </c>
      <c r="CV153" t="e">
        <f>'All regions'!F4234+"$F;@!'y_"</f>
        <v>#VALUE!</v>
      </c>
      <c r="CW153" t="e">
        <f>'All regions'!G4234+"$F;@!'y`"</f>
        <v>#VALUE!</v>
      </c>
      <c r="CX153" t="e">
        <f>'All regions'!H4234+"$F;@!'ya"</f>
        <v>#VALUE!</v>
      </c>
      <c r="CY153" t="e">
        <f>'All regions'!I4234+"$F;@!'yb"</f>
        <v>#VALUE!</v>
      </c>
      <c r="CZ153" t="e">
        <f>'All regions'!A4235+"$F;@!'yc"</f>
        <v>#VALUE!</v>
      </c>
      <c r="DA153" t="e">
        <f>'All regions'!B4235+"$F;@!'yd"</f>
        <v>#VALUE!</v>
      </c>
      <c r="DB153" t="e">
        <f>'All regions'!C4235+"$F;@!'ye"</f>
        <v>#VALUE!</v>
      </c>
      <c r="DC153" t="e">
        <f>'All regions'!D4235+"$F;@!'yf"</f>
        <v>#VALUE!</v>
      </c>
      <c r="DD153" t="e">
        <f>'All regions'!E4235+"$F;@!'yg"</f>
        <v>#VALUE!</v>
      </c>
      <c r="DE153" t="e">
        <f>'All regions'!F4235+"$F;@!'yh"</f>
        <v>#VALUE!</v>
      </c>
      <c r="DF153" t="e">
        <f>'All regions'!G4235+"$F;@!'yi"</f>
        <v>#VALUE!</v>
      </c>
      <c r="DG153" t="e">
        <f>'All regions'!H4235+"$F;@!'yj"</f>
        <v>#VALUE!</v>
      </c>
      <c r="DH153" t="e">
        <f>'All regions'!I4235+"$F;@!'yk"</f>
        <v>#VALUE!</v>
      </c>
      <c r="DI153" t="e">
        <f>'All regions'!A4236+"$F;@!'yl"</f>
        <v>#VALUE!</v>
      </c>
      <c r="DJ153" t="e">
        <f>'All regions'!B4236+"$F;@!'ym"</f>
        <v>#VALUE!</v>
      </c>
      <c r="DK153" t="e">
        <f>'All regions'!C4236+"$F;@!'yn"</f>
        <v>#VALUE!</v>
      </c>
      <c r="DL153" t="e">
        <f>'All regions'!D4236+"$F;@!'yo"</f>
        <v>#VALUE!</v>
      </c>
      <c r="DM153" t="e">
        <f>'All regions'!E4236+"$F;@!'yp"</f>
        <v>#VALUE!</v>
      </c>
      <c r="DN153" t="e">
        <f>'All regions'!F4236+"$F;@!'yq"</f>
        <v>#VALUE!</v>
      </c>
      <c r="DO153" t="e">
        <f>'All regions'!G4236+"$F;@!'yr"</f>
        <v>#VALUE!</v>
      </c>
      <c r="DP153" t="e">
        <f>'All regions'!H4236+"$F;@!'ys"</f>
        <v>#VALUE!</v>
      </c>
      <c r="DQ153" t="e">
        <f>'All regions'!I4236+"$F;@!'yt"</f>
        <v>#VALUE!</v>
      </c>
      <c r="DR153" t="e">
        <f>'All regions'!A4237+"$F;@!'yu"</f>
        <v>#VALUE!</v>
      </c>
      <c r="DS153" t="e">
        <f>'All regions'!B4237+"$F;@!'yv"</f>
        <v>#VALUE!</v>
      </c>
      <c r="DT153" t="e">
        <f>'All regions'!C4237+"$F;@!'yw"</f>
        <v>#VALUE!</v>
      </c>
      <c r="DU153" t="e">
        <f>'All regions'!D4237+"$F;@!'yx"</f>
        <v>#VALUE!</v>
      </c>
      <c r="DV153" t="e">
        <f>'All regions'!E4237+"$F;@!'yy"</f>
        <v>#VALUE!</v>
      </c>
      <c r="DW153" t="e">
        <f>'All regions'!F4237+"$F;@!'yz"</f>
        <v>#VALUE!</v>
      </c>
      <c r="DX153" t="e">
        <f>'All regions'!G4237+"$F;@!'y{"</f>
        <v>#VALUE!</v>
      </c>
      <c r="DY153" t="e">
        <f>'All regions'!H4237+"$F;@!'y|"</f>
        <v>#VALUE!</v>
      </c>
      <c r="DZ153" t="e">
        <f>'All regions'!I4237+"$F;@!'y}"</f>
        <v>#VALUE!</v>
      </c>
      <c r="EA153" t="e">
        <f>'All regions'!A4238+"$F;@!'y~"</f>
        <v>#VALUE!</v>
      </c>
      <c r="EB153" t="e">
        <f>'All regions'!B4238+"$F;@!'z#"</f>
        <v>#VALUE!</v>
      </c>
      <c r="EC153" t="e">
        <f>'All regions'!C4238+"$F;@!'z$"</f>
        <v>#VALUE!</v>
      </c>
      <c r="ED153" t="e">
        <f>'All regions'!D4238+"$F;@!'z%"</f>
        <v>#VALUE!</v>
      </c>
      <c r="EE153" t="e">
        <f>'All regions'!E4238+"$F;@!'z&amp;"</f>
        <v>#VALUE!</v>
      </c>
      <c r="EF153" t="e">
        <f>'All regions'!F4238+"$F;@!'z'"</f>
        <v>#VALUE!</v>
      </c>
      <c r="EG153" t="e">
        <f>'All regions'!G4238+"$F;@!'z("</f>
        <v>#VALUE!</v>
      </c>
      <c r="EH153" t="e">
        <f>'All regions'!H4238+"$F;@!'z)"</f>
        <v>#VALUE!</v>
      </c>
      <c r="EI153" t="e">
        <f>'All regions'!I4238+"$F;@!'z."</f>
        <v>#VALUE!</v>
      </c>
      <c r="EJ153" t="e">
        <f>'All regions'!A4239+"$F;@!'z/"</f>
        <v>#VALUE!</v>
      </c>
      <c r="EK153" t="e">
        <f>'All regions'!B4239+"$F;@!'z0"</f>
        <v>#VALUE!</v>
      </c>
      <c r="EL153" t="e">
        <f>'All regions'!C4239+"$F;@!'z1"</f>
        <v>#VALUE!</v>
      </c>
      <c r="EM153" t="e">
        <f>'All regions'!D4239+"$F;@!'z2"</f>
        <v>#VALUE!</v>
      </c>
      <c r="EN153" t="e">
        <f>'All regions'!E4239+"$F;@!'z3"</f>
        <v>#VALUE!</v>
      </c>
      <c r="EO153" t="e">
        <f>'All regions'!F4239+"$F;@!'z4"</f>
        <v>#VALUE!</v>
      </c>
      <c r="EP153" t="e">
        <f>'All regions'!G4239+"$F;@!'z5"</f>
        <v>#VALUE!</v>
      </c>
      <c r="EQ153" t="e">
        <f>'All regions'!H4239+"$F;@!'z6"</f>
        <v>#VALUE!</v>
      </c>
      <c r="ER153" t="e">
        <f>'All regions'!I4239+"$F;@!'z7"</f>
        <v>#VALUE!</v>
      </c>
      <c r="ES153" t="e">
        <f>'All regions'!A4240+"$F;@!'z8"</f>
        <v>#VALUE!</v>
      </c>
      <c r="ET153" t="e">
        <f>'All regions'!B4240+"$F;@!'z9"</f>
        <v>#VALUE!</v>
      </c>
      <c r="EU153" t="e">
        <f>'All regions'!C4240+"$F;@!'z:"</f>
        <v>#VALUE!</v>
      </c>
      <c r="EV153" t="e">
        <f>'All regions'!D4240+"$F;@!'z;"</f>
        <v>#VALUE!</v>
      </c>
      <c r="EW153" t="e">
        <f>'All regions'!E4240+"$F;@!'z&lt;"</f>
        <v>#VALUE!</v>
      </c>
      <c r="EX153" t="e">
        <f>'All regions'!F4240+"$F;@!'z="</f>
        <v>#VALUE!</v>
      </c>
      <c r="EY153" t="e">
        <f>'All regions'!G4240+"$F;@!'z&gt;"</f>
        <v>#VALUE!</v>
      </c>
      <c r="EZ153" t="e">
        <f>'All regions'!H4240+"$F;@!'z?"</f>
        <v>#VALUE!</v>
      </c>
      <c r="FA153" t="e">
        <f>'All regions'!I4240+"$F;@!'z@"</f>
        <v>#VALUE!</v>
      </c>
      <c r="FB153" t="e">
        <f>'All regions'!A4241+"$F;@!'zA"</f>
        <v>#VALUE!</v>
      </c>
      <c r="FC153" t="e">
        <f>'All regions'!B4241+"$F;@!'zB"</f>
        <v>#VALUE!</v>
      </c>
      <c r="FD153" t="e">
        <f>'All regions'!C4241+"$F;@!'zC"</f>
        <v>#VALUE!</v>
      </c>
      <c r="FE153" t="e">
        <f>'All regions'!D4241+"$F;@!'zD"</f>
        <v>#VALUE!</v>
      </c>
      <c r="FF153" t="e">
        <f>'All regions'!E4241+"$F;@!'zE"</f>
        <v>#VALUE!</v>
      </c>
      <c r="FG153" t="e">
        <f>'All regions'!F4241+"$F;@!'zF"</f>
        <v>#VALUE!</v>
      </c>
      <c r="FH153" t="e">
        <f>'All regions'!G4241+"$F;@!'zG"</f>
        <v>#VALUE!</v>
      </c>
      <c r="FI153" t="e">
        <f>'All regions'!H4241+"$F;@!'zH"</f>
        <v>#VALUE!</v>
      </c>
      <c r="FJ153" t="e">
        <f>'All regions'!I4241+"$F;@!'zI"</f>
        <v>#VALUE!</v>
      </c>
      <c r="FK153" t="e">
        <f>'All regions'!A4242+"$F;@!'zJ"</f>
        <v>#VALUE!</v>
      </c>
      <c r="FL153" t="e">
        <f>'All regions'!B4242+"$F;@!'zK"</f>
        <v>#VALUE!</v>
      </c>
      <c r="FM153" t="e">
        <f>'All regions'!C4242+"$F;@!'zL"</f>
        <v>#VALUE!</v>
      </c>
      <c r="FN153" t="e">
        <f>'All regions'!D4242+"$F;@!'zM"</f>
        <v>#VALUE!</v>
      </c>
      <c r="FO153" t="e">
        <f>'All regions'!E4242+"$F;@!'zN"</f>
        <v>#VALUE!</v>
      </c>
      <c r="FP153" t="e">
        <f>'All regions'!F4242+"$F;@!'zO"</f>
        <v>#VALUE!</v>
      </c>
      <c r="FQ153" t="e">
        <f>'All regions'!G4242+"$F;@!'zP"</f>
        <v>#VALUE!</v>
      </c>
      <c r="FR153" t="e">
        <f>'All regions'!H4242+"$F;@!'zQ"</f>
        <v>#VALUE!</v>
      </c>
      <c r="FS153" t="e">
        <f>'All regions'!I4242+"$F;@!'zR"</f>
        <v>#VALUE!</v>
      </c>
      <c r="FT153" t="e">
        <f>'All regions'!A4243+"$F;@!'zS"</f>
        <v>#VALUE!</v>
      </c>
      <c r="FU153" t="e">
        <f>'All regions'!B4243+"$F;@!'zT"</f>
        <v>#VALUE!</v>
      </c>
      <c r="FV153" t="e">
        <f>'All regions'!C4243+"$F;@!'zU"</f>
        <v>#VALUE!</v>
      </c>
      <c r="FW153" t="e">
        <f>'All regions'!D4243+"$F;@!'zV"</f>
        <v>#VALUE!</v>
      </c>
      <c r="FX153" t="e">
        <f>'All regions'!E4243+"$F;@!'zW"</f>
        <v>#VALUE!</v>
      </c>
      <c r="FY153" t="e">
        <f>'All regions'!F4243+"$F;@!'zX"</f>
        <v>#VALUE!</v>
      </c>
      <c r="FZ153" t="e">
        <f>'All regions'!G4243+"$F;@!'zY"</f>
        <v>#VALUE!</v>
      </c>
      <c r="GA153" t="e">
        <f>'All regions'!H4243+"$F;@!'zZ"</f>
        <v>#VALUE!</v>
      </c>
      <c r="GB153" t="e">
        <f>'All regions'!I4243+"$F;@!'z["</f>
        <v>#VALUE!</v>
      </c>
      <c r="GC153" t="e">
        <f>'All regions'!A4244+"$F;@!'z\"</f>
        <v>#VALUE!</v>
      </c>
      <c r="GD153" t="e">
        <f>'All regions'!B4244+"$F;@!'z]"</f>
        <v>#VALUE!</v>
      </c>
      <c r="GE153" t="e">
        <f>'All regions'!C4244+"$F;@!'z^"</f>
        <v>#VALUE!</v>
      </c>
      <c r="GF153" t="e">
        <f>'All regions'!D4244+"$F;@!'z_"</f>
        <v>#VALUE!</v>
      </c>
      <c r="GG153" t="e">
        <f>'All regions'!E4244+"$F;@!'z`"</f>
        <v>#VALUE!</v>
      </c>
      <c r="GH153" t="e">
        <f>'All regions'!F4244+"$F;@!'za"</f>
        <v>#VALUE!</v>
      </c>
      <c r="GI153" t="e">
        <f>'All regions'!G4244+"$F;@!'zb"</f>
        <v>#VALUE!</v>
      </c>
      <c r="GJ153" t="e">
        <f>'All regions'!H4244+"$F;@!'zc"</f>
        <v>#VALUE!</v>
      </c>
      <c r="GK153" t="e">
        <f>'All regions'!I4244+"$F;@!'zd"</f>
        <v>#VALUE!</v>
      </c>
      <c r="GL153" t="e">
        <f>'All regions'!A4245+"$F;@!'ze"</f>
        <v>#VALUE!</v>
      </c>
      <c r="GM153" t="e">
        <f>'All regions'!B4245+"$F;@!'zf"</f>
        <v>#VALUE!</v>
      </c>
      <c r="GN153" t="e">
        <f>'All regions'!C4245+"$F;@!'zg"</f>
        <v>#VALUE!</v>
      </c>
      <c r="GO153" t="e">
        <f>'All regions'!D4245+"$F;@!'zh"</f>
        <v>#VALUE!</v>
      </c>
      <c r="GP153" t="e">
        <f>'All regions'!E4245+"$F;@!'zi"</f>
        <v>#VALUE!</v>
      </c>
      <c r="GQ153" t="e">
        <f>'All regions'!F4245+"$F;@!'zj"</f>
        <v>#VALUE!</v>
      </c>
      <c r="GR153" t="e">
        <f>'All regions'!G4245+"$F;@!'zk"</f>
        <v>#VALUE!</v>
      </c>
      <c r="GS153" t="e">
        <f>'All regions'!H4245+"$F;@!'zl"</f>
        <v>#VALUE!</v>
      </c>
      <c r="GT153" t="e">
        <f>'All regions'!I4245+"$F;@!'zm"</f>
        <v>#VALUE!</v>
      </c>
      <c r="GU153" t="e">
        <f>'All regions'!A4246+"$F;@!'zn"</f>
        <v>#VALUE!</v>
      </c>
      <c r="GV153" t="e">
        <f>'All regions'!B4246+"$F;@!'zo"</f>
        <v>#VALUE!</v>
      </c>
      <c r="GW153" t="e">
        <f>'All regions'!C4246+"$F;@!'zp"</f>
        <v>#VALUE!</v>
      </c>
      <c r="GX153" t="e">
        <f>'All regions'!D4246+"$F;@!'zq"</f>
        <v>#VALUE!</v>
      </c>
      <c r="GY153" t="e">
        <f>'All regions'!E4246+"$F;@!'zr"</f>
        <v>#VALUE!</v>
      </c>
      <c r="GZ153" t="e">
        <f>'All regions'!F4246+"$F;@!'zs"</f>
        <v>#VALUE!</v>
      </c>
      <c r="HA153" t="e">
        <f>'All regions'!G4246+"$F;@!'zt"</f>
        <v>#VALUE!</v>
      </c>
      <c r="HB153" t="e">
        <f>'All regions'!H4246+"$F;@!'zu"</f>
        <v>#VALUE!</v>
      </c>
      <c r="HC153" t="e">
        <f>'All regions'!I4246+"$F;@!'zv"</f>
        <v>#VALUE!</v>
      </c>
      <c r="HD153" t="e">
        <f>'All regions'!A4247+"$F;@!'zw"</f>
        <v>#VALUE!</v>
      </c>
      <c r="HE153" t="e">
        <f>'All regions'!B4247+"$F;@!'zx"</f>
        <v>#VALUE!</v>
      </c>
      <c r="HF153" t="e">
        <f>'All regions'!C4247+"$F;@!'zy"</f>
        <v>#VALUE!</v>
      </c>
      <c r="HG153" t="e">
        <f>'All regions'!D4247+"$F;@!'zz"</f>
        <v>#VALUE!</v>
      </c>
      <c r="HH153" t="e">
        <f>'All regions'!E4247+"$F;@!'z{"</f>
        <v>#VALUE!</v>
      </c>
      <c r="HI153" t="e">
        <f>'All regions'!F4247+"$F;@!'z|"</f>
        <v>#VALUE!</v>
      </c>
      <c r="HJ153" t="e">
        <f>'All regions'!G4247+"$F;@!'z}"</f>
        <v>#VALUE!</v>
      </c>
      <c r="HK153" t="e">
        <f>'All regions'!H4247+"$F;@!'z~"</f>
        <v>#VALUE!</v>
      </c>
      <c r="HL153" t="e">
        <f>'All regions'!I4247+"$F;@!'{#"</f>
        <v>#VALUE!</v>
      </c>
      <c r="HM153" t="e">
        <f>'All regions'!A4248+"$F;@!'{$"</f>
        <v>#VALUE!</v>
      </c>
      <c r="HN153" t="e">
        <f>'All regions'!B4248+"$F;@!'{%"</f>
        <v>#VALUE!</v>
      </c>
      <c r="HO153" t="e">
        <f>'All regions'!C4248+"$F;@!'{&amp;"</f>
        <v>#VALUE!</v>
      </c>
      <c r="HP153" t="e">
        <f>'All regions'!D4248+"$F;@!'{'"</f>
        <v>#VALUE!</v>
      </c>
      <c r="HQ153" t="e">
        <f>'All regions'!E4248+"$F;@!'{("</f>
        <v>#VALUE!</v>
      </c>
      <c r="HR153" t="e">
        <f>'All regions'!F4248+"$F;@!'{)"</f>
        <v>#VALUE!</v>
      </c>
      <c r="HS153" t="e">
        <f>'All regions'!G4248+"$F;@!'{."</f>
        <v>#VALUE!</v>
      </c>
      <c r="HT153" t="e">
        <f>'All regions'!H4248+"$F;@!'{/"</f>
        <v>#VALUE!</v>
      </c>
      <c r="HU153" t="e">
        <f>'All regions'!I4248+"$F;@!'{0"</f>
        <v>#VALUE!</v>
      </c>
      <c r="HV153" t="e">
        <f>'All regions'!A4249+"$F;@!'{1"</f>
        <v>#VALUE!</v>
      </c>
      <c r="HW153" t="e">
        <f>'All regions'!B4249+"$F;@!'{2"</f>
        <v>#VALUE!</v>
      </c>
      <c r="HX153" t="e">
        <f>'All regions'!C4249+"$F;@!'{3"</f>
        <v>#VALUE!</v>
      </c>
      <c r="HY153" t="e">
        <f>'All regions'!D4249+"$F;@!'{4"</f>
        <v>#VALUE!</v>
      </c>
      <c r="HZ153" t="e">
        <f>'All regions'!E4249+"$F;@!'{5"</f>
        <v>#VALUE!</v>
      </c>
      <c r="IA153" t="e">
        <f>'All regions'!F4249+"$F;@!'{6"</f>
        <v>#VALUE!</v>
      </c>
      <c r="IB153" t="e">
        <f>'All regions'!G4249+"$F;@!'{7"</f>
        <v>#VALUE!</v>
      </c>
      <c r="IC153" t="e">
        <f>'All regions'!H4249+"$F;@!'{8"</f>
        <v>#VALUE!</v>
      </c>
      <c r="ID153" t="e">
        <f>'All regions'!I4249+"$F;@!'{9"</f>
        <v>#VALUE!</v>
      </c>
      <c r="IE153" t="e">
        <f>'All regions'!A4250+"$F;@!'{:"</f>
        <v>#VALUE!</v>
      </c>
      <c r="IF153" t="e">
        <f>'All regions'!B4250+"$F;@!'{;"</f>
        <v>#VALUE!</v>
      </c>
      <c r="IG153" t="e">
        <f>'All regions'!C4250+"$F;@!'{&lt;"</f>
        <v>#VALUE!</v>
      </c>
      <c r="IH153" t="e">
        <f>'All regions'!D4250+"$F;@!'{="</f>
        <v>#VALUE!</v>
      </c>
      <c r="II153" t="e">
        <f>'All regions'!E4250+"$F;@!'{&gt;"</f>
        <v>#VALUE!</v>
      </c>
      <c r="IJ153" t="e">
        <f>'All regions'!F4250+"$F;@!'{?"</f>
        <v>#VALUE!</v>
      </c>
      <c r="IK153" t="e">
        <f>'All regions'!G4250+"$F;@!'{@"</f>
        <v>#VALUE!</v>
      </c>
      <c r="IL153" t="e">
        <f>'All regions'!H4250+"$F;@!'{A"</f>
        <v>#VALUE!</v>
      </c>
      <c r="IM153" t="e">
        <f>'All regions'!I4250+"$F;@!'{B"</f>
        <v>#VALUE!</v>
      </c>
      <c r="IN153" t="e">
        <f>'All regions'!A4251+"$F;@!'{C"</f>
        <v>#VALUE!</v>
      </c>
      <c r="IO153" t="e">
        <f>'All regions'!B4251+"$F;@!'{D"</f>
        <v>#VALUE!</v>
      </c>
      <c r="IP153" t="e">
        <f>'All regions'!C4251+"$F;@!'{E"</f>
        <v>#VALUE!</v>
      </c>
      <c r="IQ153" t="e">
        <f>'All regions'!D4251+"$F;@!'{F"</f>
        <v>#VALUE!</v>
      </c>
      <c r="IR153" t="e">
        <f>'All regions'!E4251+"$F;@!'{G"</f>
        <v>#VALUE!</v>
      </c>
      <c r="IS153" t="e">
        <f>'All regions'!F4251+"$F;@!'{H"</f>
        <v>#VALUE!</v>
      </c>
      <c r="IT153" t="e">
        <f>'All regions'!G4251+"$F;@!'{I"</f>
        <v>#VALUE!</v>
      </c>
      <c r="IU153" t="e">
        <f>'All regions'!H4251+"$F;@!'{J"</f>
        <v>#VALUE!</v>
      </c>
      <c r="IV153" t="e">
        <f>'All regions'!I4251+"$F;@!'{K"</f>
        <v>#VALUE!</v>
      </c>
    </row>
    <row r="154" spans="6:256" x14ac:dyDescent="0.35">
      <c r="F154" t="e">
        <f>'All regions'!A4252+"$F;@!'{L"</f>
        <v>#VALUE!</v>
      </c>
      <c r="G154" t="e">
        <f>'All regions'!B4252+"$F;@!'{M"</f>
        <v>#VALUE!</v>
      </c>
      <c r="H154" t="e">
        <f>'All regions'!C4252+"$F;@!'{N"</f>
        <v>#VALUE!</v>
      </c>
      <c r="I154" t="e">
        <f>'All regions'!D4252+"$F;@!'{O"</f>
        <v>#VALUE!</v>
      </c>
      <c r="J154" t="e">
        <f>'All regions'!E4252+"$F;@!'{P"</f>
        <v>#VALUE!</v>
      </c>
      <c r="K154" t="e">
        <f>'All regions'!F4252+"$F;@!'{Q"</f>
        <v>#VALUE!</v>
      </c>
      <c r="L154" t="e">
        <f>'All regions'!G4252+"$F;@!'{R"</f>
        <v>#VALUE!</v>
      </c>
      <c r="M154" t="e">
        <f>'All regions'!H4252+"$F;@!'{S"</f>
        <v>#VALUE!</v>
      </c>
      <c r="N154" t="e">
        <f>'All regions'!I4252+"$F;@!'{T"</f>
        <v>#VALUE!</v>
      </c>
      <c r="O154" t="e">
        <f>'All regions'!A4253+"$F;@!'{U"</f>
        <v>#VALUE!</v>
      </c>
      <c r="P154" t="e">
        <f>'All regions'!B4253+"$F;@!'{V"</f>
        <v>#VALUE!</v>
      </c>
      <c r="Q154" t="e">
        <f>'All regions'!C4253+"$F;@!'{W"</f>
        <v>#VALUE!</v>
      </c>
      <c r="R154" t="e">
        <f>'All regions'!D4253+"$F;@!'{X"</f>
        <v>#VALUE!</v>
      </c>
      <c r="S154" t="e">
        <f>'All regions'!E4253+"$F;@!'{Y"</f>
        <v>#VALUE!</v>
      </c>
      <c r="T154" t="e">
        <f>'All regions'!F4253+"$F;@!'{Z"</f>
        <v>#VALUE!</v>
      </c>
      <c r="U154" t="e">
        <f>'All regions'!G4253+"$F;@!'{["</f>
        <v>#VALUE!</v>
      </c>
      <c r="V154" t="e">
        <f>'All regions'!H4253+"$F;@!'{\"</f>
        <v>#VALUE!</v>
      </c>
      <c r="W154" t="e">
        <f>'All regions'!I4253+"$F;@!'{]"</f>
        <v>#VALUE!</v>
      </c>
      <c r="X154" t="e">
        <f>'All regions'!A4254+"$F;@!'{^"</f>
        <v>#VALUE!</v>
      </c>
      <c r="Y154" t="e">
        <f>'All regions'!B4254+"$F;@!'{_"</f>
        <v>#VALUE!</v>
      </c>
      <c r="Z154" t="e">
        <f>'All regions'!C4254+"$F;@!'{`"</f>
        <v>#VALUE!</v>
      </c>
      <c r="AA154" t="e">
        <f>'All regions'!D4254+"$F;@!'{a"</f>
        <v>#VALUE!</v>
      </c>
      <c r="AB154" t="e">
        <f>'All regions'!E4254+"$F;@!'{b"</f>
        <v>#VALUE!</v>
      </c>
      <c r="AC154" t="e">
        <f>'All regions'!F4254+"$F;@!'{c"</f>
        <v>#VALUE!</v>
      </c>
      <c r="AD154" t="e">
        <f>'All regions'!G4254+"$F;@!'{d"</f>
        <v>#VALUE!</v>
      </c>
      <c r="AE154" t="e">
        <f>'All regions'!H4254+"$F;@!'{e"</f>
        <v>#VALUE!</v>
      </c>
      <c r="AF154" t="e">
        <f>'All regions'!I4254+"$F;@!'{f"</f>
        <v>#VALUE!</v>
      </c>
      <c r="AG154" t="e">
        <f>'All regions'!A4255+"$F;@!'{g"</f>
        <v>#VALUE!</v>
      </c>
      <c r="AH154" t="e">
        <f>'All regions'!B4255+"$F;@!'{h"</f>
        <v>#VALUE!</v>
      </c>
      <c r="AI154" t="e">
        <f>'All regions'!C4255+"$F;@!'{i"</f>
        <v>#VALUE!</v>
      </c>
      <c r="AJ154" t="e">
        <f>'All regions'!D4255+"$F;@!'{j"</f>
        <v>#VALUE!</v>
      </c>
      <c r="AK154" t="e">
        <f>'All regions'!E4255+"$F;@!'{k"</f>
        <v>#VALUE!</v>
      </c>
      <c r="AL154" t="e">
        <f>'All regions'!F4255+"$F;@!'{l"</f>
        <v>#VALUE!</v>
      </c>
      <c r="AM154" t="e">
        <f>'All regions'!G4255+"$F;@!'{m"</f>
        <v>#VALUE!</v>
      </c>
      <c r="AN154" t="e">
        <f>'All regions'!H4255+"$F;@!'{n"</f>
        <v>#VALUE!</v>
      </c>
      <c r="AO154" t="e">
        <f>'All regions'!I4255+"$F;@!'{o"</f>
        <v>#VALUE!</v>
      </c>
      <c r="AP154" t="e">
        <f>'All regions'!A4256+"$F;@!'{p"</f>
        <v>#VALUE!</v>
      </c>
      <c r="AQ154" t="e">
        <f>'All regions'!B4256+"$F;@!'{q"</f>
        <v>#VALUE!</v>
      </c>
      <c r="AR154" t="e">
        <f>'All regions'!C4256+"$F;@!'{r"</f>
        <v>#VALUE!</v>
      </c>
      <c r="AS154" t="e">
        <f>'All regions'!D4256+"$F;@!'{s"</f>
        <v>#VALUE!</v>
      </c>
      <c r="AT154" t="e">
        <f>'All regions'!E4256+"$F;@!'{t"</f>
        <v>#VALUE!</v>
      </c>
      <c r="AU154" t="e">
        <f>'All regions'!F4256+"$F;@!'{u"</f>
        <v>#VALUE!</v>
      </c>
      <c r="AV154" t="e">
        <f>'All regions'!G4256+"$F;@!'{v"</f>
        <v>#VALUE!</v>
      </c>
      <c r="AW154" t="e">
        <f>'All regions'!H4256+"$F;@!'{w"</f>
        <v>#VALUE!</v>
      </c>
      <c r="AX154" t="e">
        <f>'All regions'!I4256+"$F;@!'{x"</f>
        <v>#VALUE!</v>
      </c>
      <c r="AY154" t="e">
        <f>'All regions'!A4257+"$F;@!'{y"</f>
        <v>#VALUE!</v>
      </c>
      <c r="AZ154" t="e">
        <f>'All regions'!B4257+"$F;@!'{z"</f>
        <v>#VALUE!</v>
      </c>
      <c r="BA154" t="e">
        <f>'All regions'!C4257+"$F;@!'{{"</f>
        <v>#VALUE!</v>
      </c>
      <c r="BB154" t="e">
        <f>'All regions'!D4257+"$F;@!'{|"</f>
        <v>#VALUE!</v>
      </c>
      <c r="BC154" t="e">
        <f>'All regions'!E4257+"$F;@!'{}"</f>
        <v>#VALUE!</v>
      </c>
      <c r="BD154" t="e">
        <f>'All regions'!F4257+"$F;@!'{~"</f>
        <v>#VALUE!</v>
      </c>
      <c r="BE154" t="e">
        <f>'All regions'!G4257+"$F;@!'|#"</f>
        <v>#VALUE!</v>
      </c>
      <c r="BF154" t="e">
        <f>'All regions'!H4257+"$F;@!'|$"</f>
        <v>#VALUE!</v>
      </c>
      <c r="BG154" t="e">
        <f>'All regions'!I4257+"$F;@!'|%"</f>
        <v>#VALUE!</v>
      </c>
      <c r="BH154" t="e">
        <f>'All regions'!A4258+"$F;@!'|&amp;"</f>
        <v>#VALUE!</v>
      </c>
      <c r="BI154" t="e">
        <f>'All regions'!B4258+"$F;@!'|'"</f>
        <v>#VALUE!</v>
      </c>
      <c r="BJ154" t="e">
        <f>'All regions'!C4258+"$F;@!'|("</f>
        <v>#VALUE!</v>
      </c>
      <c r="BK154" t="e">
        <f>'All regions'!D4258+"$F;@!'|)"</f>
        <v>#VALUE!</v>
      </c>
      <c r="BL154" t="e">
        <f>'All regions'!E4258+"$F;@!'|."</f>
        <v>#VALUE!</v>
      </c>
      <c r="BM154" t="e">
        <f>'All regions'!F4258+"$F;@!'|/"</f>
        <v>#VALUE!</v>
      </c>
      <c r="BN154" t="e">
        <f>'All regions'!G4258+"$F;@!'|0"</f>
        <v>#VALUE!</v>
      </c>
      <c r="BO154" t="e">
        <f>'All regions'!H4258+"$F;@!'|1"</f>
        <v>#VALUE!</v>
      </c>
      <c r="BP154" t="e">
        <f>'All regions'!I4258+"$F;@!'|2"</f>
        <v>#VALUE!</v>
      </c>
      <c r="BQ154" t="e">
        <f>'All regions'!A4259+"$F;@!'|3"</f>
        <v>#VALUE!</v>
      </c>
      <c r="BR154" t="e">
        <f>'All regions'!B4259+"$F;@!'|4"</f>
        <v>#VALUE!</v>
      </c>
      <c r="BS154" t="e">
        <f>'All regions'!C4259+"$F;@!'|5"</f>
        <v>#VALUE!</v>
      </c>
      <c r="BT154" t="e">
        <f>'All regions'!D4259+"$F;@!'|6"</f>
        <v>#VALUE!</v>
      </c>
      <c r="BU154" t="e">
        <f>'All regions'!E4259+"$F;@!'|7"</f>
        <v>#VALUE!</v>
      </c>
      <c r="BV154" t="e">
        <f>'All regions'!F4259+"$F;@!'|8"</f>
        <v>#VALUE!</v>
      </c>
      <c r="BW154" t="e">
        <f>'All regions'!G4259+"$F;@!'|9"</f>
        <v>#VALUE!</v>
      </c>
      <c r="BX154" t="e">
        <f>'All regions'!H4259+"$F;@!'|:"</f>
        <v>#VALUE!</v>
      </c>
      <c r="BY154" t="e">
        <f>'All regions'!I4259+"$F;@!'|;"</f>
        <v>#VALUE!</v>
      </c>
      <c r="BZ154" t="e">
        <f>'All regions'!A4260+"$F;@!'|&lt;"</f>
        <v>#VALUE!</v>
      </c>
      <c r="CA154" t="e">
        <f>'All regions'!B4260+"$F;@!'|="</f>
        <v>#VALUE!</v>
      </c>
      <c r="CB154" t="e">
        <f>'All regions'!C4260+"$F;@!'|&gt;"</f>
        <v>#VALUE!</v>
      </c>
      <c r="CC154" t="e">
        <f>'All regions'!D4260+"$F;@!'|?"</f>
        <v>#VALUE!</v>
      </c>
      <c r="CD154" t="e">
        <f>'All regions'!E4260+"$F;@!'|@"</f>
        <v>#VALUE!</v>
      </c>
      <c r="CE154" t="e">
        <f>'All regions'!F4260+"$F;@!'|A"</f>
        <v>#VALUE!</v>
      </c>
      <c r="CF154" t="e">
        <f>'All regions'!G4260+"$F;@!'|B"</f>
        <v>#VALUE!</v>
      </c>
      <c r="CG154" t="e">
        <f>'All regions'!H4260+"$F;@!'|C"</f>
        <v>#VALUE!</v>
      </c>
      <c r="CH154" t="e">
        <f>'All regions'!I4260+"$F;@!'|D"</f>
        <v>#VALUE!</v>
      </c>
      <c r="CI154" t="e">
        <f>'All regions'!A4261+"$F;@!'|E"</f>
        <v>#VALUE!</v>
      </c>
      <c r="CJ154" t="e">
        <f>'All regions'!B4261+"$F;@!'|F"</f>
        <v>#VALUE!</v>
      </c>
      <c r="CK154" t="e">
        <f>'All regions'!C4261+"$F;@!'|G"</f>
        <v>#VALUE!</v>
      </c>
      <c r="CL154" t="e">
        <f>'All regions'!D4261+"$F;@!'|H"</f>
        <v>#VALUE!</v>
      </c>
      <c r="CM154" t="e">
        <f>'All regions'!E4261+"$F;@!'|I"</f>
        <v>#VALUE!</v>
      </c>
      <c r="CN154" t="e">
        <f>'All regions'!F4261+"$F;@!'|J"</f>
        <v>#VALUE!</v>
      </c>
      <c r="CO154" t="e">
        <f>'All regions'!G4261+"$F;@!'|K"</f>
        <v>#VALUE!</v>
      </c>
      <c r="CP154" t="e">
        <f>'All regions'!H4261+"$F;@!'|L"</f>
        <v>#VALUE!</v>
      </c>
      <c r="CQ154" t="e">
        <f>'All regions'!I4261+"$F;@!'|M"</f>
        <v>#VALUE!</v>
      </c>
      <c r="CR154" t="e">
        <f>'All regions'!A4262+"$F;@!'|N"</f>
        <v>#VALUE!</v>
      </c>
      <c r="CS154" t="e">
        <f>'All regions'!B4262+"$F;@!'|O"</f>
        <v>#VALUE!</v>
      </c>
      <c r="CT154" t="e">
        <f>'All regions'!C4262+"$F;@!'|P"</f>
        <v>#VALUE!</v>
      </c>
      <c r="CU154" t="e">
        <f>'All regions'!D4262+"$F;@!'|Q"</f>
        <v>#VALUE!</v>
      </c>
      <c r="CV154" t="e">
        <f>'All regions'!E4262+"$F;@!'|R"</f>
        <v>#VALUE!</v>
      </c>
      <c r="CW154" t="e">
        <f>'All regions'!F4262+"$F;@!'|S"</f>
        <v>#VALUE!</v>
      </c>
      <c r="CX154" t="e">
        <f>'All regions'!G4262+"$F;@!'|T"</f>
        <v>#VALUE!</v>
      </c>
      <c r="CY154" t="e">
        <f>'All regions'!H4262+"$F;@!'|U"</f>
        <v>#VALUE!</v>
      </c>
      <c r="CZ154" t="e">
        <f>'All regions'!I4262+"$F;@!'|V"</f>
        <v>#VALUE!</v>
      </c>
      <c r="DA154" t="e">
        <f>'All regions'!A4263+"$F;@!'|W"</f>
        <v>#VALUE!</v>
      </c>
      <c r="DB154" t="e">
        <f>'All regions'!B4263+"$F;@!'|X"</f>
        <v>#VALUE!</v>
      </c>
      <c r="DC154" t="e">
        <f>'All regions'!C4263+"$F;@!'|Y"</f>
        <v>#VALUE!</v>
      </c>
      <c r="DD154" t="e">
        <f>'All regions'!D4263+"$F;@!'|Z"</f>
        <v>#VALUE!</v>
      </c>
      <c r="DE154" t="e">
        <f>'All regions'!E4263+"$F;@!'|["</f>
        <v>#VALUE!</v>
      </c>
      <c r="DF154" t="e">
        <f>'All regions'!F4263+"$F;@!'|\"</f>
        <v>#VALUE!</v>
      </c>
      <c r="DG154" t="e">
        <f>'All regions'!G4263+"$F;@!'|]"</f>
        <v>#VALUE!</v>
      </c>
      <c r="DH154" t="e">
        <f>'All regions'!H4263+"$F;@!'|^"</f>
        <v>#VALUE!</v>
      </c>
      <c r="DI154" t="e">
        <f>'All regions'!I4263+"$F;@!'|_"</f>
        <v>#VALUE!</v>
      </c>
      <c r="DJ154" t="e">
        <f>'All regions'!A4264+"$F;@!'|`"</f>
        <v>#VALUE!</v>
      </c>
      <c r="DK154" t="e">
        <f>'All regions'!B4264+"$F;@!'|a"</f>
        <v>#VALUE!</v>
      </c>
      <c r="DL154" t="e">
        <f>'All regions'!C4264+"$F;@!'|b"</f>
        <v>#VALUE!</v>
      </c>
      <c r="DM154" t="e">
        <f>'All regions'!D4264+"$F;@!'|c"</f>
        <v>#VALUE!</v>
      </c>
      <c r="DN154" t="e">
        <f>'All regions'!E4264+"$F;@!'|d"</f>
        <v>#VALUE!</v>
      </c>
      <c r="DO154" t="e">
        <f>'All regions'!F4264+"$F;@!'|e"</f>
        <v>#VALUE!</v>
      </c>
      <c r="DP154" t="e">
        <f>'All regions'!G4264+"$F;@!'|f"</f>
        <v>#VALUE!</v>
      </c>
      <c r="DQ154" t="e">
        <f>'All regions'!H4264+"$F;@!'|g"</f>
        <v>#VALUE!</v>
      </c>
      <c r="DR154" t="e">
        <f>'All regions'!I4264+"$F;@!'|h"</f>
        <v>#VALUE!</v>
      </c>
      <c r="DS154" t="e">
        <f>'All regions'!A4265+"$F;@!'|i"</f>
        <v>#VALUE!</v>
      </c>
      <c r="DT154" t="e">
        <f>'All regions'!B4265+"$F;@!'|j"</f>
        <v>#VALUE!</v>
      </c>
      <c r="DU154" t="e">
        <f>'All regions'!C4265+"$F;@!'|k"</f>
        <v>#VALUE!</v>
      </c>
      <c r="DV154" t="e">
        <f>'All regions'!D4265+"$F;@!'|l"</f>
        <v>#VALUE!</v>
      </c>
      <c r="DW154" t="e">
        <f>'All regions'!E4265+"$F;@!'|m"</f>
        <v>#VALUE!</v>
      </c>
      <c r="DX154" t="e">
        <f>'All regions'!F4265+"$F;@!'|n"</f>
        <v>#VALUE!</v>
      </c>
      <c r="DY154" t="e">
        <f>'All regions'!G4265+"$F;@!'|o"</f>
        <v>#VALUE!</v>
      </c>
      <c r="DZ154" t="e">
        <f>'All regions'!H4265+"$F;@!'|p"</f>
        <v>#VALUE!</v>
      </c>
      <c r="EA154" t="e">
        <f>'All regions'!I4265+"$F;@!'|q"</f>
        <v>#VALUE!</v>
      </c>
      <c r="EB154" t="e">
        <f>'All regions'!A4266+"$F;@!'|r"</f>
        <v>#VALUE!</v>
      </c>
      <c r="EC154" t="e">
        <f>'All regions'!B4266+"$F;@!'|s"</f>
        <v>#VALUE!</v>
      </c>
      <c r="ED154" t="e">
        <f>'All regions'!C4266+"$F;@!'|t"</f>
        <v>#VALUE!</v>
      </c>
      <c r="EE154" t="e">
        <f>'All regions'!D4266+"$F;@!'|u"</f>
        <v>#VALUE!</v>
      </c>
      <c r="EF154" t="e">
        <f>'All regions'!E4266+"$F;@!'|v"</f>
        <v>#VALUE!</v>
      </c>
      <c r="EG154" t="e">
        <f>'All regions'!F4266+"$F;@!'|w"</f>
        <v>#VALUE!</v>
      </c>
      <c r="EH154" t="e">
        <f>'All regions'!G4266+"$F;@!'|x"</f>
        <v>#VALUE!</v>
      </c>
      <c r="EI154" t="e">
        <f>'All regions'!H4266+"$F;@!'|y"</f>
        <v>#VALUE!</v>
      </c>
      <c r="EJ154" t="e">
        <f>'All regions'!I4266+"$F;@!'|z"</f>
        <v>#VALUE!</v>
      </c>
      <c r="EK154" t="e">
        <f>'All regions'!A4267+"$F;@!'|{"</f>
        <v>#VALUE!</v>
      </c>
      <c r="EL154" t="e">
        <f>'All regions'!B4267+"$F;@!'||"</f>
        <v>#VALUE!</v>
      </c>
      <c r="EM154" t="e">
        <f>'All regions'!C4267+"$F;@!'|}"</f>
        <v>#VALUE!</v>
      </c>
      <c r="EN154" t="e">
        <f>'All regions'!D4267+"$F;@!'|~"</f>
        <v>#VALUE!</v>
      </c>
      <c r="EO154" t="e">
        <f>'All regions'!E4267+"$F;@!'}#"</f>
        <v>#VALUE!</v>
      </c>
      <c r="EP154" t="e">
        <f>'All regions'!F4267+"$F;@!'}$"</f>
        <v>#VALUE!</v>
      </c>
      <c r="EQ154" t="e">
        <f>'All regions'!G4267+"$F;@!'}%"</f>
        <v>#VALUE!</v>
      </c>
      <c r="ER154" t="e">
        <f>'All regions'!H4267+"$F;@!'}&amp;"</f>
        <v>#VALUE!</v>
      </c>
      <c r="ES154" t="e">
        <f>'All regions'!I4267+"$F;@!'}'"</f>
        <v>#VALUE!</v>
      </c>
      <c r="ET154" t="e">
        <f>'All regions'!A4268+"$F;@!'}("</f>
        <v>#VALUE!</v>
      </c>
      <c r="EU154" t="e">
        <f>'All regions'!B4268+"$F;@!'})"</f>
        <v>#VALUE!</v>
      </c>
      <c r="EV154" t="e">
        <f>'All regions'!C4268+"$F;@!'}."</f>
        <v>#VALUE!</v>
      </c>
      <c r="EW154" t="e">
        <f>'All regions'!D4268+"$F;@!'}/"</f>
        <v>#VALUE!</v>
      </c>
      <c r="EX154" t="e">
        <f>'All regions'!E4268+"$F;@!'}0"</f>
        <v>#VALUE!</v>
      </c>
      <c r="EY154" t="e">
        <f>'All regions'!F4268+"$F;@!'}1"</f>
        <v>#VALUE!</v>
      </c>
      <c r="EZ154" t="e">
        <f>'All regions'!G4268+"$F;@!'}2"</f>
        <v>#VALUE!</v>
      </c>
      <c r="FA154" t="e">
        <f>'All regions'!H4268+"$F;@!'}3"</f>
        <v>#VALUE!</v>
      </c>
      <c r="FB154" t="e">
        <f>'All regions'!I4268+"$F;@!'}4"</f>
        <v>#VALUE!</v>
      </c>
      <c r="FC154" t="e">
        <f>'All regions'!A4269+"$F;@!'}5"</f>
        <v>#VALUE!</v>
      </c>
      <c r="FD154" t="e">
        <f>'All regions'!B4269+"$F;@!'}6"</f>
        <v>#VALUE!</v>
      </c>
      <c r="FE154" t="e">
        <f>'All regions'!C4269+"$F;@!'}7"</f>
        <v>#VALUE!</v>
      </c>
      <c r="FF154" t="e">
        <f>'All regions'!D4269+"$F;@!'}8"</f>
        <v>#VALUE!</v>
      </c>
      <c r="FG154" t="e">
        <f>'All regions'!E4269+"$F;@!'}9"</f>
        <v>#VALUE!</v>
      </c>
      <c r="FH154" t="e">
        <f>'All regions'!F4269+"$F;@!'}:"</f>
        <v>#VALUE!</v>
      </c>
      <c r="FI154" t="e">
        <f>'All regions'!G4269+"$F;@!'};"</f>
        <v>#VALUE!</v>
      </c>
      <c r="FJ154" t="e">
        <f>'All regions'!H4269+"$F;@!'}&lt;"</f>
        <v>#VALUE!</v>
      </c>
      <c r="FK154" t="e">
        <f>'All regions'!I4269+"$F;@!'}="</f>
        <v>#VALUE!</v>
      </c>
      <c r="FL154" t="e">
        <f>'All regions'!A4270+"$F;@!'}&gt;"</f>
        <v>#VALUE!</v>
      </c>
      <c r="FM154" t="e">
        <f>'All regions'!B4270+"$F;@!'}?"</f>
        <v>#VALUE!</v>
      </c>
      <c r="FN154" t="e">
        <f>'All regions'!C4270+"$F;@!'}@"</f>
        <v>#VALUE!</v>
      </c>
      <c r="FO154" t="e">
        <f>'All regions'!D4270+"$F;@!'}A"</f>
        <v>#VALUE!</v>
      </c>
      <c r="FP154" t="e">
        <f>'All regions'!E4270+"$F;@!'}B"</f>
        <v>#VALUE!</v>
      </c>
      <c r="FQ154" t="e">
        <f>'All regions'!F4270+"$F;@!'}C"</f>
        <v>#VALUE!</v>
      </c>
      <c r="FR154" t="e">
        <f>'All regions'!G4270+"$F;@!'}D"</f>
        <v>#VALUE!</v>
      </c>
      <c r="FS154" t="e">
        <f>'All regions'!H4270+"$F;@!'}E"</f>
        <v>#VALUE!</v>
      </c>
      <c r="FT154" t="e">
        <f>'All regions'!I4270+"$F;@!'}F"</f>
        <v>#VALUE!</v>
      </c>
      <c r="FU154" t="e">
        <f>'All regions'!A4271+"$F;@!'}G"</f>
        <v>#VALUE!</v>
      </c>
      <c r="FV154" t="e">
        <f>'All regions'!B4271+"$F;@!'}H"</f>
        <v>#VALUE!</v>
      </c>
      <c r="FW154" t="e">
        <f>'All regions'!C4271+"$F;@!'}I"</f>
        <v>#VALUE!</v>
      </c>
      <c r="FX154" t="e">
        <f>'All regions'!D4271+"$F;@!'}J"</f>
        <v>#VALUE!</v>
      </c>
      <c r="FY154" t="e">
        <f>'All regions'!E4271+"$F;@!'}K"</f>
        <v>#VALUE!</v>
      </c>
      <c r="FZ154" t="e">
        <f>'All regions'!F4271+"$F;@!'}L"</f>
        <v>#VALUE!</v>
      </c>
      <c r="GA154" t="e">
        <f>'All regions'!G4271+"$F;@!'}M"</f>
        <v>#VALUE!</v>
      </c>
      <c r="GB154" t="e">
        <f>'All regions'!H4271+"$F;@!'}N"</f>
        <v>#VALUE!</v>
      </c>
      <c r="GC154" t="e">
        <f>'All regions'!I4271+"$F;@!'}O"</f>
        <v>#VALUE!</v>
      </c>
      <c r="GD154" t="e">
        <f>'All regions'!A4272+"$F;@!'}P"</f>
        <v>#VALUE!</v>
      </c>
      <c r="GE154" t="e">
        <f>'All regions'!B4272+"$F;@!'}Q"</f>
        <v>#VALUE!</v>
      </c>
      <c r="GF154" t="e">
        <f>'All regions'!C4272+"$F;@!'}R"</f>
        <v>#VALUE!</v>
      </c>
      <c r="GG154" t="e">
        <f>'All regions'!D4272+"$F;@!'}S"</f>
        <v>#VALUE!</v>
      </c>
      <c r="GH154" t="e">
        <f>'All regions'!E4272+"$F;@!'}T"</f>
        <v>#VALUE!</v>
      </c>
      <c r="GI154" t="e">
        <f>'All regions'!F4272+"$F;@!'}U"</f>
        <v>#VALUE!</v>
      </c>
      <c r="GJ154" t="e">
        <f>'All regions'!G4272+"$F;@!'}V"</f>
        <v>#VALUE!</v>
      </c>
      <c r="GK154" t="e">
        <f>'All regions'!H4272+"$F;@!'}W"</f>
        <v>#VALUE!</v>
      </c>
      <c r="GL154" t="e">
        <f>'All regions'!I4272+"$F;@!'}X"</f>
        <v>#VALUE!</v>
      </c>
      <c r="GM154" t="e">
        <f>'All regions'!A4273+"$F;@!'}Y"</f>
        <v>#VALUE!</v>
      </c>
      <c r="GN154" t="e">
        <f>'All regions'!B4273+"$F;@!'}Z"</f>
        <v>#VALUE!</v>
      </c>
      <c r="GO154" t="e">
        <f>'All regions'!C4273+"$F;@!'}["</f>
        <v>#VALUE!</v>
      </c>
      <c r="GP154" t="e">
        <f>'All regions'!D4273+"$F;@!'}\"</f>
        <v>#VALUE!</v>
      </c>
      <c r="GQ154" t="e">
        <f>'All regions'!E4273+"$F;@!'}]"</f>
        <v>#VALUE!</v>
      </c>
      <c r="GR154" t="e">
        <f>'All regions'!F4273+"$F;@!'}^"</f>
        <v>#VALUE!</v>
      </c>
      <c r="GS154" t="e">
        <f>'All regions'!G4273+"$F;@!'}_"</f>
        <v>#VALUE!</v>
      </c>
      <c r="GT154" t="e">
        <f>'All regions'!H4273+"$F;@!'}`"</f>
        <v>#VALUE!</v>
      </c>
      <c r="GU154" t="e">
        <f>'All regions'!I4273+"$F;@!'}a"</f>
        <v>#VALUE!</v>
      </c>
      <c r="GV154" t="e">
        <f>'All regions'!A4274+"$F;@!'}b"</f>
        <v>#VALUE!</v>
      </c>
      <c r="GW154" t="e">
        <f>'All regions'!B4274+"$F;@!'}c"</f>
        <v>#VALUE!</v>
      </c>
      <c r="GX154" t="e">
        <f>'All regions'!C4274+"$F;@!'}d"</f>
        <v>#VALUE!</v>
      </c>
      <c r="GY154" t="e">
        <f>'All regions'!D4274+"$F;@!'}e"</f>
        <v>#VALUE!</v>
      </c>
      <c r="GZ154" t="e">
        <f>'All regions'!E4274+"$F;@!'}f"</f>
        <v>#VALUE!</v>
      </c>
      <c r="HA154" t="e">
        <f>'All regions'!F4274+"$F;@!'}g"</f>
        <v>#VALUE!</v>
      </c>
      <c r="HB154" t="e">
        <f>'All regions'!G4274+"$F;@!'}h"</f>
        <v>#VALUE!</v>
      </c>
      <c r="HC154" t="e">
        <f>'All regions'!H4274+"$F;@!'}i"</f>
        <v>#VALUE!</v>
      </c>
      <c r="HD154" t="e">
        <f>'All regions'!I4274+"$F;@!'}j"</f>
        <v>#VALUE!</v>
      </c>
      <c r="HE154" t="e">
        <f>'All regions'!A4275+"$F;@!'}k"</f>
        <v>#VALUE!</v>
      </c>
      <c r="HF154" t="e">
        <f>'All regions'!B4275+"$F;@!'}l"</f>
        <v>#VALUE!</v>
      </c>
      <c r="HG154" t="e">
        <f>'All regions'!C4275+"$F;@!'}m"</f>
        <v>#VALUE!</v>
      </c>
      <c r="HH154" t="e">
        <f>'All regions'!D4275+"$F;@!'}n"</f>
        <v>#VALUE!</v>
      </c>
      <c r="HI154" t="e">
        <f>'All regions'!E4275+"$F;@!'}o"</f>
        <v>#VALUE!</v>
      </c>
      <c r="HJ154" t="e">
        <f>'All regions'!F4275+"$F;@!'}p"</f>
        <v>#VALUE!</v>
      </c>
      <c r="HK154" t="e">
        <f>'All regions'!G4275+"$F;@!'}q"</f>
        <v>#VALUE!</v>
      </c>
      <c r="HL154" t="e">
        <f>'All regions'!H4275+"$F;@!'}r"</f>
        <v>#VALUE!</v>
      </c>
      <c r="HM154" t="e">
        <f>'All regions'!I4275+"$F;@!'}s"</f>
        <v>#VALUE!</v>
      </c>
      <c r="HN154" t="e">
        <f>'All regions'!A4276+"$F;@!'}t"</f>
        <v>#VALUE!</v>
      </c>
      <c r="HO154" t="e">
        <f>'All regions'!B4276+"$F;@!'}u"</f>
        <v>#VALUE!</v>
      </c>
      <c r="HP154" t="e">
        <f>'All regions'!C4276+"$F;@!'}v"</f>
        <v>#VALUE!</v>
      </c>
      <c r="HQ154" t="e">
        <f>'All regions'!D4276+"$F;@!'}w"</f>
        <v>#VALUE!</v>
      </c>
      <c r="HR154" t="e">
        <f>'All regions'!E4276+"$F;@!'}x"</f>
        <v>#VALUE!</v>
      </c>
      <c r="HS154" t="e">
        <f>'All regions'!F4276+"$F;@!'}y"</f>
        <v>#VALUE!</v>
      </c>
      <c r="HT154" t="e">
        <f>'All regions'!G4276+"$F;@!'}z"</f>
        <v>#VALUE!</v>
      </c>
      <c r="HU154" t="e">
        <f>'All regions'!H4276+"$F;@!'}{"</f>
        <v>#VALUE!</v>
      </c>
      <c r="HV154" t="e">
        <f>'All regions'!I4276+"$F;@!'}|"</f>
        <v>#VALUE!</v>
      </c>
      <c r="HW154" t="e">
        <f>'All regions'!A4277+"$F;@!'}}"</f>
        <v>#VALUE!</v>
      </c>
      <c r="HX154" t="e">
        <f>'All regions'!B4277+"$F;@!'}~"</f>
        <v>#VALUE!</v>
      </c>
      <c r="HY154" t="e">
        <f>'All regions'!C4277+"$F;@!'~#"</f>
        <v>#VALUE!</v>
      </c>
      <c r="HZ154" t="e">
        <f>'All regions'!D4277+"$F;@!'~$"</f>
        <v>#VALUE!</v>
      </c>
      <c r="IA154" t="e">
        <f>'All regions'!E4277+"$F;@!'~%"</f>
        <v>#VALUE!</v>
      </c>
      <c r="IB154" t="e">
        <f>'All regions'!F4277+"$F;@!'~&amp;"</f>
        <v>#VALUE!</v>
      </c>
      <c r="IC154" t="e">
        <f>'All regions'!G4277+"$F;@!'~'"</f>
        <v>#VALUE!</v>
      </c>
      <c r="ID154" t="e">
        <f>'All regions'!H4277+"$F;@!'~("</f>
        <v>#VALUE!</v>
      </c>
      <c r="IE154" t="e">
        <f>'All regions'!I4277+"$F;@!'~)"</f>
        <v>#VALUE!</v>
      </c>
      <c r="IF154" t="e">
        <f>'All regions'!A4278+"$F;@!'~."</f>
        <v>#VALUE!</v>
      </c>
      <c r="IG154" t="e">
        <f>'All regions'!B4278+"$F;@!'~/"</f>
        <v>#VALUE!</v>
      </c>
      <c r="IH154" t="e">
        <f>'All regions'!C4278+"$F;@!'~0"</f>
        <v>#VALUE!</v>
      </c>
      <c r="II154" t="e">
        <f>'All regions'!D4278+"$F;@!'~1"</f>
        <v>#VALUE!</v>
      </c>
      <c r="IJ154" t="e">
        <f>'All regions'!E4278+"$F;@!'~2"</f>
        <v>#VALUE!</v>
      </c>
      <c r="IK154" t="e">
        <f>'All regions'!F4278+"$F;@!'~3"</f>
        <v>#VALUE!</v>
      </c>
      <c r="IL154" t="e">
        <f>'All regions'!G4278+"$F;@!'~4"</f>
        <v>#VALUE!</v>
      </c>
      <c r="IM154" t="e">
        <f>'All regions'!H4278+"$F;@!'~5"</f>
        <v>#VALUE!</v>
      </c>
      <c r="IN154" t="e">
        <f>'All regions'!I4278+"$F;@!'~6"</f>
        <v>#VALUE!</v>
      </c>
      <c r="IO154" t="e">
        <f>'All regions'!A4279+"$F;@!'~7"</f>
        <v>#VALUE!</v>
      </c>
      <c r="IP154" t="e">
        <f>'All regions'!B4279+"$F;@!'~8"</f>
        <v>#VALUE!</v>
      </c>
      <c r="IQ154" t="e">
        <f>'All regions'!C4279+"$F;@!'~9"</f>
        <v>#VALUE!</v>
      </c>
      <c r="IR154" t="e">
        <f>'All regions'!D4279+"$F;@!'~:"</f>
        <v>#VALUE!</v>
      </c>
      <c r="IS154" t="e">
        <f>'All regions'!E4279+"$F;@!'~;"</f>
        <v>#VALUE!</v>
      </c>
      <c r="IT154" t="e">
        <f>'All regions'!F4279+"$F;@!'~&lt;"</f>
        <v>#VALUE!</v>
      </c>
      <c r="IU154" t="e">
        <f>'All regions'!G4279+"$F;@!'~="</f>
        <v>#VALUE!</v>
      </c>
      <c r="IV154" t="e">
        <f>'All regions'!H4279+"$F;@!'~&gt;"</f>
        <v>#VALUE!</v>
      </c>
    </row>
    <row r="155" spans="6:256" x14ac:dyDescent="0.35">
      <c r="F155" t="e">
        <f>'All regions'!I4279+"$F;@!'~?"</f>
        <v>#VALUE!</v>
      </c>
      <c r="G155" t="e">
        <f>'All regions'!A4280+"$F;@!'~@"</f>
        <v>#VALUE!</v>
      </c>
      <c r="H155" t="e">
        <f>'All regions'!B4280+"$F;@!'~A"</f>
        <v>#VALUE!</v>
      </c>
      <c r="I155" t="e">
        <f>'All regions'!C4280+"$F;@!'~B"</f>
        <v>#VALUE!</v>
      </c>
      <c r="J155" t="e">
        <f>'All regions'!D4280+"$F;@!'~C"</f>
        <v>#VALUE!</v>
      </c>
      <c r="K155" t="e">
        <f>'All regions'!E4280+"$F;@!'~D"</f>
        <v>#VALUE!</v>
      </c>
      <c r="L155" t="e">
        <f>'All regions'!F4280+"$F;@!'~E"</f>
        <v>#VALUE!</v>
      </c>
      <c r="M155" t="e">
        <f>'All regions'!G4280+"$F;@!'~F"</f>
        <v>#VALUE!</v>
      </c>
      <c r="N155" t="e">
        <f>'All regions'!H4280+"$F;@!'~G"</f>
        <v>#VALUE!</v>
      </c>
      <c r="O155" t="e">
        <f>'All regions'!I4280+"$F;@!'~H"</f>
        <v>#VALUE!</v>
      </c>
      <c r="P155" t="e">
        <f>'All regions'!A4281+"$F;@!'~I"</f>
        <v>#VALUE!</v>
      </c>
      <c r="Q155" t="e">
        <f>'All regions'!B4281+"$F;@!'~J"</f>
        <v>#VALUE!</v>
      </c>
      <c r="R155" t="e">
        <f>'All regions'!C4281+"$F;@!'~K"</f>
        <v>#VALUE!</v>
      </c>
      <c r="S155" t="e">
        <f>'All regions'!D4281+"$F;@!'~L"</f>
        <v>#VALUE!</v>
      </c>
      <c r="T155" t="e">
        <f>'All regions'!E4281+"$F;@!'~M"</f>
        <v>#VALUE!</v>
      </c>
      <c r="U155" t="e">
        <f>'All regions'!F4281+"$F;@!'~N"</f>
        <v>#VALUE!</v>
      </c>
      <c r="V155" t="e">
        <f>'All regions'!G4281+"$F;@!'~O"</f>
        <v>#VALUE!</v>
      </c>
      <c r="W155" t="e">
        <f>'All regions'!H4281+"$F;@!'~P"</f>
        <v>#VALUE!</v>
      </c>
      <c r="X155" t="e">
        <f>'All regions'!I4281+"$F;@!'~Q"</f>
        <v>#VALUE!</v>
      </c>
      <c r="Y155" t="e">
        <f>'All regions'!A4282+"$F;@!'~R"</f>
        <v>#VALUE!</v>
      </c>
      <c r="Z155" t="e">
        <f>'All regions'!B4282+"$F;@!'~S"</f>
        <v>#VALUE!</v>
      </c>
      <c r="AA155" t="e">
        <f>'All regions'!C4282+"$F;@!'~T"</f>
        <v>#VALUE!</v>
      </c>
      <c r="AB155" t="e">
        <f>'All regions'!D4282+"$F;@!'~U"</f>
        <v>#VALUE!</v>
      </c>
      <c r="AC155" t="e">
        <f>'All regions'!E4282+"$F;@!'~V"</f>
        <v>#VALUE!</v>
      </c>
      <c r="AD155" t="e">
        <f>'All regions'!F4282+"$F;@!'~W"</f>
        <v>#VALUE!</v>
      </c>
      <c r="AE155" t="e">
        <f>'All regions'!G4282+"$F;@!'~X"</f>
        <v>#VALUE!</v>
      </c>
      <c r="AF155" t="e">
        <f>'All regions'!H4282+"$F;@!'~Y"</f>
        <v>#VALUE!</v>
      </c>
      <c r="AG155" t="e">
        <f>'All regions'!I4282+"$F;@!'~Z"</f>
        <v>#VALUE!</v>
      </c>
      <c r="AH155" t="e">
        <f>'All regions'!A4283+"$F;@!'~["</f>
        <v>#VALUE!</v>
      </c>
      <c r="AI155" t="e">
        <f>'All regions'!B4283+"$F;@!'~\"</f>
        <v>#VALUE!</v>
      </c>
      <c r="AJ155" t="e">
        <f>'All regions'!C4283+"$F;@!'~]"</f>
        <v>#VALUE!</v>
      </c>
      <c r="AK155" t="e">
        <f>'All regions'!D4283+"$F;@!'~^"</f>
        <v>#VALUE!</v>
      </c>
      <c r="AL155" t="e">
        <f>'All regions'!E4283+"$F;@!'~_"</f>
        <v>#VALUE!</v>
      </c>
      <c r="AM155" t="e">
        <f>'All regions'!F4283+"$F;@!'~`"</f>
        <v>#VALUE!</v>
      </c>
      <c r="AN155" t="e">
        <f>'All regions'!G4283+"$F;@!'~a"</f>
        <v>#VALUE!</v>
      </c>
      <c r="AO155" t="e">
        <f>'All regions'!H4283+"$F;@!'~b"</f>
        <v>#VALUE!</v>
      </c>
      <c r="AP155" t="e">
        <f>'All regions'!I4283+"$F;@!'~c"</f>
        <v>#VALUE!</v>
      </c>
      <c r="AQ155" t="e">
        <f>'All regions'!A4284+"$F;@!'~d"</f>
        <v>#VALUE!</v>
      </c>
      <c r="AR155" t="e">
        <f>'All regions'!B4284+"$F;@!'~e"</f>
        <v>#VALUE!</v>
      </c>
      <c r="AS155" t="e">
        <f>'All regions'!C4284+"$F;@!'~f"</f>
        <v>#VALUE!</v>
      </c>
      <c r="AT155" t="e">
        <f>'All regions'!D4284+"$F;@!'~g"</f>
        <v>#VALUE!</v>
      </c>
      <c r="AU155" t="e">
        <f>'All regions'!E4284+"$F;@!'~h"</f>
        <v>#VALUE!</v>
      </c>
      <c r="AV155" t="e">
        <f>'All regions'!F4284+"$F;@!'~i"</f>
        <v>#VALUE!</v>
      </c>
      <c r="AW155" t="e">
        <f>'All regions'!G4284+"$F;@!'~j"</f>
        <v>#VALUE!</v>
      </c>
      <c r="AX155" t="e">
        <f>'All regions'!H4284+"$F;@!'~k"</f>
        <v>#VALUE!</v>
      </c>
      <c r="AY155" t="e">
        <f>'All regions'!I4284+"$F;@!'~l"</f>
        <v>#VALUE!</v>
      </c>
      <c r="AZ155" t="e">
        <f>'All regions'!A4285+"$F;@!'~m"</f>
        <v>#VALUE!</v>
      </c>
      <c r="BA155" t="e">
        <f>'All regions'!B4285+"$F;@!'~n"</f>
        <v>#VALUE!</v>
      </c>
      <c r="BB155" t="e">
        <f>'All regions'!C4285+"$F;@!'~o"</f>
        <v>#VALUE!</v>
      </c>
      <c r="BC155" t="e">
        <f>'All regions'!D4285+"$F;@!'~p"</f>
        <v>#VALUE!</v>
      </c>
      <c r="BD155" t="e">
        <f>'All regions'!E4285+"$F;@!'~q"</f>
        <v>#VALUE!</v>
      </c>
      <c r="BE155" t="e">
        <f>'All regions'!F4285+"$F;@!'~r"</f>
        <v>#VALUE!</v>
      </c>
      <c r="BF155" t="e">
        <f>'All regions'!G4285+"$F;@!'~s"</f>
        <v>#VALUE!</v>
      </c>
      <c r="BG155" t="e">
        <f>'All regions'!H4285+"$F;@!'~t"</f>
        <v>#VALUE!</v>
      </c>
      <c r="BH155" t="e">
        <f>'All regions'!I4285+"$F;@!'~u"</f>
        <v>#VALUE!</v>
      </c>
      <c r="BI155" t="e">
        <f>'All regions'!A4286+"$F;@!'~v"</f>
        <v>#VALUE!</v>
      </c>
      <c r="BJ155" t="e">
        <f>'All regions'!B4286+"$F;@!'~w"</f>
        <v>#VALUE!</v>
      </c>
      <c r="BK155" t="e">
        <f>'All regions'!C4286+"$F;@!'~x"</f>
        <v>#VALUE!</v>
      </c>
      <c r="BL155" t="e">
        <f>'All regions'!D4286+"$F;@!'~y"</f>
        <v>#VALUE!</v>
      </c>
      <c r="BM155" t="e">
        <f>'All regions'!E4286+"$F;@!'~z"</f>
        <v>#VALUE!</v>
      </c>
      <c r="BN155" t="e">
        <f>'All regions'!F4286+"$F;@!'~{"</f>
        <v>#VALUE!</v>
      </c>
      <c r="BO155" t="e">
        <f>'All regions'!G4286+"$F;@!'~|"</f>
        <v>#VALUE!</v>
      </c>
      <c r="BP155" t="e">
        <f>'All regions'!H4286+"$F;@!'~}"</f>
        <v>#VALUE!</v>
      </c>
      <c r="BQ155" t="e">
        <f>'All regions'!I4286+"$F;@!'~~"</f>
        <v>#VALUE!</v>
      </c>
      <c r="BR155" t="e">
        <f>'All regions'!A4287+"$F;@!(##"</f>
        <v>#VALUE!</v>
      </c>
      <c r="BS155" t="e">
        <f>'All regions'!B4287+"$F;@!(#$"</f>
        <v>#VALUE!</v>
      </c>
      <c r="BT155" t="e">
        <f>'All regions'!C4287+"$F;@!(#%"</f>
        <v>#VALUE!</v>
      </c>
      <c r="BU155" t="e">
        <f>'All regions'!D4287+"$F;@!(#&amp;"</f>
        <v>#VALUE!</v>
      </c>
      <c r="BV155" t="e">
        <f>'All regions'!E4287+"$F;@!(#'"</f>
        <v>#VALUE!</v>
      </c>
      <c r="BW155" t="e">
        <f>'All regions'!F4287+"$F;@!(#("</f>
        <v>#VALUE!</v>
      </c>
      <c r="BX155" t="e">
        <f>'All regions'!G4287+"$F;@!(#)"</f>
        <v>#VALUE!</v>
      </c>
      <c r="BY155" t="e">
        <f>'All regions'!H4287+"$F;@!(#."</f>
        <v>#VALUE!</v>
      </c>
      <c r="BZ155" t="e">
        <f>'All regions'!I4287+"$F;@!(#/"</f>
        <v>#VALUE!</v>
      </c>
      <c r="CA155" t="e">
        <f>'All regions'!A4288+"$F;@!(#0"</f>
        <v>#VALUE!</v>
      </c>
      <c r="CB155" t="e">
        <f>'All regions'!B4288+"$F;@!(#1"</f>
        <v>#VALUE!</v>
      </c>
      <c r="CC155" t="e">
        <f>'All regions'!C4288+"$F;@!(#2"</f>
        <v>#VALUE!</v>
      </c>
      <c r="CD155" t="e">
        <f>'All regions'!D4288+"$F;@!(#3"</f>
        <v>#VALUE!</v>
      </c>
      <c r="CE155" t="e">
        <f>'All regions'!E4288+"$F;@!(#4"</f>
        <v>#VALUE!</v>
      </c>
      <c r="CF155" t="e">
        <f>'All regions'!F4288+"$F;@!(#5"</f>
        <v>#VALUE!</v>
      </c>
      <c r="CG155" t="e">
        <f>'All regions'!G4288+"$F;@!(#6"</f>
        <v>#VALUE!</v>
      </c>
      <c r="CH155" t="e">
        <f>'All regions'!H4288+"$F;@!(#7"</f>
        <v>#VALUE!</v>
      </c>
      <c r="CI155" t="e">
        <f>'All regions'!I4288+"$F;@!(#8"</f>
        <v>#VALUE!</v>
      </c>
      <c r="CJ155" t="e">
        <f>'All regions'!A4289+"$F;@!(#9"</f>
        <v>#VALUE!</v>
      </c>
      <c r="CK155" t="e">
        <f>'All regions'!B4289+"$F;@!(#:"</f>
        <v>#VALUE!</v>
      </c>
      <c r="CL155" t="e">
        <f>'All regions'!C4289+"$F;@!(#;"</f>
        <v>#VALUE!</v>
      </c>
      <c r="CM155" t="e">
        <f>'All regions'!D4289+"$F;@!(#&lt;"</f>
        <v>#VALUE!</v>
      </c>
      <c r="CN155" t="e">
        <f>'All regions'!E4289+"$F;@!(#="</f>
        <v>#VALUE!</v>
      </c>
      <c r="CO155" t="e">
        <f>'All regions'!F4289+"$F;@!(#&gt;"</f>
        <v>#VALUE!</v>
      </c>
      <c r="CP155" t="e">
        <f>'All regions'!G4289+"$F;@!(#?"</f>
        <v>#VALUE!</v>
      </c>
      <c r="CQ155" t="e">
        <f>'All regions'!H4289+"$F;@!(#@"</f>
        <v>#VALUE!</v>
      </c>
      <c r="CR155" t="e">
        <f>'All regions'!I4289+"$F;@!(#A"</f>
        <v>#VALUE!</v>
      </c>
      <c r="CS155" t="e">
        <f>'All regions'!A4290+"$F;@!(#B"</f>
        <v>#VALUE!</v>
      </c>
      <c r="CT155" t="e">
        <f>'All regions'!B4290+"$F;@!(#C"</f>
        <v>#VALUE!</v>
      </c>
      <c r="CU155" t="e">
        <f>'All regions'!C4290+"$F;@!(#D"</f>
        <v>#VALUE!</v>
      </c>
      <c r="CV155" t="e">
        <f>'All regions'!D4290+"$F;@!(#E"</f>
        <v>#VALUE!</v>
      </c>
      <c r="CW155" t="e">
        <f>'All regions'!E4290+"$F;@!(#F"</f>
        <v>#VALUE!</v>
      </c>
      <c r="CX155" t="e">
        <f>'All regions'!F4290+"$F;@!(#G"</f>
        <v>#VALUE!</v>
      </c>
      <c r="CY155" t="e">
        <f>'All regions'!G4290+"$F;@!(#H"</f>
        <v>#VALUE!</v>
      </c>
      <c r="CZ155" t="e">
        <f>'All regions'!H4290+"$F;@!(#I"</f>
        <v>#VALUE!</v>
      </c>
      <c r="DA155" t="e">
        <f>'All regions'!I4290+"$F;@!(#J"</f>
        <v>#VALUE!</v>
      </c>
      <c r="DB155" t="e">
        <f>'All regions'!A4291+"$F;@!(#K"</f>
        <v>#VALUE!</v>
      </c>
      <c r="DC155" t="e">
        <f>'All regions'!B4291+"$F;@!(#L"</f>
        <v>#VALUE!</v>
      </c>
      <c r="DD155" t="e">
        <f>'All regions'!C4291+"$F;@!(#M"</f>
        <v>#VALUE!</v>
      </c>
      <c r="DE155" t="e">
        <f>'All regions'!D4291+"$F;@!(#N"</f>
        <v>#VALUE!</v>
      </c>
      <c r="DF155" t="e">
        <f>'All regions'!E4291+"$F;@!(#O"</f>
        <v>#VALUE!</v>
      </c>
      <c r="DG155" t="e">
        <f>'All regions'!F4291+"$F;@!(#P"</f>
        <v>#VALUE!</v>
      </c>
      <c r="DH155" t="e">
        <f>'All regions'!G4291+"$F;@!(#Q"</f>
        <v>#VALUE!</v>
      </c>
      <c r="DI155" t="e">
        <f>'All regions'!H4291+"$F;@!(#R"</f>
        <v>#VALUE!</v>
      </c>
      <c r="DJ155" t="e">
        <f>'All regions'!I4291+"$F;@!(#S"</f>
        <v>#VALUE!</v>
      </c>
      <c r="DK155" t="e">
        <f>'All regions'!A4292+"$F;@!(#T"</f>
        <v>#VALUE!</v>
      </c>
      <c r="DL155" t="e">
        <f>'All regions'!B4292+"$F;@!(#U"</f>
        <v>#VALUE!</v>
      </c>
      <c r="DM155" t="e">
        <f>'All regions'!C4292+"$F;@!(#V"</f>
        <v>#VALUE!</v>
      </c>
      <c r="DN155" t="e">
        <f>'All regions'!D4292+"$F;@!(#W"</f>
        <v>#VALUE!</v>
      </c>
      <c r="DO155" t="e">
        <f>'All regions'!E4292+"$F;@!(#X"</f>
        <v>#VALUE!</v>
      </c>
      <c r="DP155" t="e">
        <f>'All regions'!F4292+"$F;@!(#Y"</f>
        <v>#VALUE!</v>
      </c>
      <c r="DQ155" t="e">
        <f>'All regions'!G4292+"$F;@!(#Z"</f>
        <v>#VALUE!</v>
      </c>
      <c r="DR155" t="e">
        <f>'All regions'!H4292+"$F;@!(#["</f>
        <v>#VALUE!</v>
      </c>
      <c r="DS155" t="e">
        <f>'All regions'!I4292+"$F;@!(#\"</f>
        <v>#VALUE!</v>
      </c>
      <c r="DT155" t="e">
        <f>'All regions'!A4293+"$F;@!(#]"</f>
        <v>#VALUE!</v>
      </c>
      <c r="DU155" t="e">
        <f>'All regions'!B4293+"$F;@!(#^"</f>
        <v>#VALUE!</v>
      </c>
      <c r="DV155" t="e">
        <f>'All regions'!C4293+"$F;@!(#_"</f>
        <v>#VALUE!</v>
      </c>
      <c r="DW155" t="e">
        <f>'All regions'!D4293+"$F;@!(#`"</f>
        <v>#VALUE!</v>
      </c>
      <c r="DX155" t="e">
        <f>'All regions'!E4293+"$F;@!(#a"</f>
        <v>#VALUE!</v>
      </c>
      <c r="DY155" t="e">
        <f>'All regions'!F4293+"$F;@!(#b"</f>
        <v>#VALUE!</v>
      </c>
      <c r="DZ155" t="e">
        <f>'All regions'!G4293+"$F;@!(#c"</f>
        <v>#VALUE!</v>
      </c>
      <c r="EA155" t="e">
        <f>'All regions'!H4293+"$F;@!(#d"</f>
        <v>#VALUE!</v>
      </c>
      <c r="EB155" t="e">
        <f>'All regions'!I4293+"$F;@!(#e"</f>
        <v>#VALUE!</v>
      </c>
      <c r="EC155" t="e">
        <f>'All regions'!A4294+"$F;@!(#f"</f>
        <v>#VALUE!</v>
      </c>
      <c r="ED155" t="e">
        <f>'All regions'!B4294+"$F;@!(#g"</f>
        <v>#VALUE!</v>
      </c>
      <c r="EE155" t="e">
        <f>'All regions'!C4294+"$F;@!(#h"</f>
        <v>#VALUE!</v>
      </c>
      <c r="EF155" t="e">
        <f>'All regions'!D4294+"$F;@!(#i"</f>
        <v>#VALUE!</v>
      </c>
      <c r="EG155" t="e">
        <f>'All regions'!E4294+"$F;@!(#j"</f>
        <v>#VALUE!</v>
      </c>
      <c r="EH155" t="e">
        <f>'All regions'!F4294+"$F;@!(#k"</f>
        <v>#VALUE!</v>
      </c>
      <c r="EI155" t="e">
        <f>'All regions'!G4294+"$F;@!(#l"</f>
        <v>#VALUE!</v>
      </c>
      <c r="EJ155" t="e">
        <f>'All regions'!H4294+"$F;@!(#m"</f>
        <v>#VALUE!</v>
      </c>
      <c r="EK155" t="e">
        <f>'All regions'!I4294+"$F;@!(#n"</f>
        <v>#VALUE!</v>
      </c>
      <c r="EL155" t="e">
        <f>'All regions'!A4295+"$F;@!(#o"</f>
        <v>#VALUE!</v>
      </c>
      <c r="EM155" t="e">
        <f>'All regions'!B4295+"$F;@!(#p"</f>
        <v>#VALUE!</v>
      </c>
      <c r="EN155" t="e">
        <f>'All regions'!C4295+"$F;@!(#q"</f>
        <v>#VALUE!</v>
      </c>
      <c r="EO155" t="e">
        <f>'All regions'!D4295+"$F;@!(#r"</f>
        <v>#VALUE!</v>
      </c>
      <c r="EP155" t="e">
        <f>'All regions'!E4295+"$F;@!(#s"</f>
        <v>#VALUE!</v>
      </c>
      <c r="EQ155" t="e">
        <f>'All regions'!F4295+"$F;@!(#t"</f>
        <v>#VALUE!</v>
      </c>
      <c r="ER155" t="e">
        <f>'All regions'!G4295+"$F;@!(#u"</f>
        <v>#VALUE!</v>
      </c>
      <c r="ES155" t="e">
        <f>'All regions'!H4295+"$F;@!(#v"</f>
        <v>#VALUE!</v>
      </c>
      <c r="ET155" t="e">
        <f>'All regions'!I4295+"$F;@!(#w"</f>
        <v>#VALUE!</v>
      </c>
      <c r="EU155" t="e">
        <f>'All regions'!A4296+"$F;@!(#x"</f>
        <v>#VALUE!</v>
      </c>
      <c r="EV155" t="e">
        <f>'All regions'!B4296+"$F;@!(#y"</f>
        <v>#VALUE!</v>
      </c>
      <c r="EW155" t="e">
        <f>'All regions'!C4296+"$F;@!(#z"</f>
        <v>#VALUE!</v>
      </c>
      <c r="EX155" t="e">
        <f>'All regions'!D4296+"$F;@!(#{"</f>
        <v>#VALUE!</v>
      </c>
      <c r="EY155" t="e">
        <f>'All regions'!E4296+"$F;@!(#|"</f>
        <v>#VALUE!</v>
      </c>
      <c r="EZ155" t="e">
        <f>'All regions'!F4296+"$F;@!(#}"</f>
        <v>#VALUE!</v>
      </c>
      <c r="FA155" t="e">
        <f>'All regions'!G4296+"$F;@!(#~"</f>
        <v>#VALUE!</v>
      </c>
      <c r="FB155" t="e">
        <f>'All regions'!H4296+"$F;@!($#"</f>
        <v>#VALUE!</v>
      </c>
      <c r="FC155" t="e">
        <f>'All regions'!I4296+"$F;@!($$"</f>
        <v>#VALUE!</v>
      </c>
      <c r="FD155" t="e">
        <f>'All regions'!A4297+"$F;@!($%"</f>
        <v>#VALUE!</v>
      </c>
      <c r="FE155" t="e">
        <f>'All regions'!B4297+"$F;@!($&amp;"</f>
        <v>#VALUE!</v>
      </c>
      <c r="FF155" t="e">
        <f>'All regions'!C4297+"$F;@!($'"</f>
        <v>#VALUE!</v>
      </c>
      <c r="FG155" t="e">
        <f>'All regions'!D4297+"$F;@!($("</f>
        <v>#VALUE!</v>
      </c>
      <c r="FH155" t="e">
        <f>'All regions'!E4297+"$F;@!($)"</f>
        <v>#VALUE!</v>
      </c>
      <c r="FI155" t="e">
        <f>'All regions'!F4297+"$F;@!($."</f>
        <v>#VALUE!</v>
      </c>
      <c r="FJ155" t="e">
        <f>'All regions'!G4297+"$F;@!($/"</f>
        <v>#VALUE!</v>
      </c>
      <c r="FK155" t="e">
        <f>'All regions'!H4297+"$F;@!($0"</f>
        <v>#VALUE!</v>
      </c>
      <c r="FL155" t="e">
        <f>'All regions'!I4297+"$F;@!($1"</f>
        <v>#VALUE!</v>
      </c>
      <c r="FM155" t="e">
        <f>'All regions'!A4298+"$F;@!($2"</f>
        <v>#VALUE!</v>
      </c>
      <c r="FN155" t="e">
        <f>'All regions'!B4298+"$F;@!($3"</f>
        <v>#VALUE!</v>
      </c>
      <c r="FO155" t="e">
        <f>'All regions'!C4298+"$F;@!($4"</f>
        <v>#VALUE!</v>
      </c>
      <c r="FP155" t="e">
        <f>'All regions'!D4298+"$F;@!($5"</f>
        <v>#VALUE!</v>
      </c>
      <c r="FQ155" t="e">
        <f>'All regions'!E4298+"$F;@!($6"</f>
        <v>#VALUE!</v>
      </c>
      <c r="FR155" t="e">
        <f>'All regions'!F4298+"$F;@!($7"</f>
        <v>#VALUE!</v>
      </c>
      <c r="FS155" t="e">
        <f>'All regions'!G4298+"$F;@!($8"</f>
        <v>#VALUE!</v>
      </c>
      <c r="FT155" t="e">
        <f>'All regions'!H4298+"$F;@!($9"</f>
        <v>#VALUE!</v>
      </c>
      <c r="FU155" t="e">
        <f>'All regions'!I4298+"$F;@!($:"</f>
        <v>#VALUE!</v>
      </c>
      <c r="FV155" t="e">
        <f>'All regions'!A4299+"$F;@!($;"</f>
        <v>#VALUE!</v>
      </c>
      <c r="FW155" t="e">
        <f>'All regions'!B4299+"$F;@!($&lt;"</f>
        <v>#VALUE!</v>
      </c>
      <c r="FX155" t="e">
        <f>'All regions'!C4299+"$F;@!($="</f>
        <v>#VALUE!</v>
      </c>
      <c r="FY155" t="e">
        <f>'All regions'!D4299+"$F;@!($&gt;"</f>
        <v>#VALUE!</v>
      </c>
      <c r="FZ155" t="e">
        <f>'All regions'!E4299+"$F;@!($?"</f>
        <v>#VALUE!</v>
      </c>
      <c r="GA155" t="e">
        <f>'All regions'!F4299+"$F;@!($@"</f>
        <v>#VALUE!</v>
      </c>
      <c r="GB155" t="e">
        <f>'All regions'!G4299+"$F;@!($A"</f>
        <v>#VALUE!</v>
      </c>
      <c r="GC155" t="e">
        <f>'All regions'!H4299+"$F;@!($B"</f>
        <v>#VALUE!</v>
      </c>
      <c r="GD155" t="e">
        <f>'All regions'!I4299+"$F;@!($C"</f>
        <v>#VALUE!</v>
      </c>
      <c r="GE155" t="e">
        <f>'All regions'!A4300+"$F;@!($D"</f>
        <v>#VALUE!</v>
      </c>
      <c r="GF155" t="e">
        <f>'All regions'!B4300+"$F;@!($E"</f>
        <v>#VALUE!</v>
      </c>
      <c r="GG155" t="e">
        <f>'All regions'!C4300+"$F;@!($F"</f>
        <v>#VALUE!</v>
      </c>
      <c r="GH155" t="e">
        <f>'All regions'!D4300+"$F;@!($G"</f>
        <v>#VALUE!</v>
      </c>
      <c r="GI155" t="e">
        <f>'All regions'!E4300+"$F;@!($H"</f>
        <v>#VALUE!</v>
      </c>
      <c r="GJ155" t="e">
        <f>'All regions'!F4300+"$F;@!($I"</f>
        <v>#VALUE!</v>
      </c>
      <c r="GK155" t="e">
        <f>'All regions'!G4300+"$F;@!($J"</f>
        <v>#VALUE!</v>
      </c>
      <c r="GL155" t="e">
        <f>'All regions'!H4300+"$F;@!($K"</f>
        <v>#VALUE!</v>
      </c>
      <c r="GM155" t="e">
        <f>'All regions'!I4300+"$F;@!($L"</f>
        <v>#VALUE!</v>
      </c>
      <c r="GN155" t="e">
        <f>'All regions'!A4301+"$F;@!($M"</f>
        <v>#VALUE!</v>
      </c>
      <c r="GO155" t="e">
        <f>'All regions'!B4301+"$F;@!($N"</f>
        <v>#VALUE!</v>
      </c>
      <c r="GP155" t="e">
        <f>'All regions'!C4301+"$F;@!($O"</f>
        <v>#VALUE!</v>
      </c>
      <c r="GQ155" t="e">
        <f>'All regions'!D4301+"$F;@!($P"</f>
        <v>#VALUE!</v>
      </c>
      <c r="GR155" t="e">
        <f>'All regions'!E4301+"$F;@!($Q"</f>
        <v>#VALUE!</v>
      </c>
      <c r="GS155" t="e">
        <f>'All regions'!F4301+"$F;@!($R"</f>
        <v>#VALUE!</v>
      </c>
      <c r="GT155" t="e">
        <f>'All regions'!G4301+"$F;@!($S"</f>
        <v>#VALUE!</v>
      </c>
      <c r="GU155" t="e">
        <f>'All regions'!H4301+"$F;@!($T"</f>
        <v>#VALUE!</v>
      </c>
      <c r="GV155" t="e">
        <f>'All regions'!I4301+"$F;@!($U"</f>
        <v>#VALUE!</v>
      </c>
      <c r="GW155" t="e">
        <f>'All regions'!A4302+"$F;@!($V"</f>
        <v>#VALUE!</v>
      </c>
      <c r="GX155" t="e">
        <f>'All regions'!B4302+"$F;@!($W"</f>
        <v>#VALUE!</v>
      </c>
      <c r="GY155" t="e">
        <f>'All regions'!C4302+"$F;@!($X"</f>
        <v>#VALUE!</v>
      </c>
      <c r="GZ155" t="e">
        <f>'All regions'!D4302+"$F;@!($Y"</f>
        <v>#VALUE!</v>
      </c>
      <c r="HA155" t="e">
        <f>'All regions'!E4302+"$F;@!($Z"</f>
        <v>#VALUE!</v>
      </c>
      <c r="HB155" t="e">
        <f>'All regions'!F4302+"$F;@!($["</f>
        <v>#VALUE!</v>
      </c>
      <c r="HC155" t="e">
        <f>'All regions'!G4302+"$F;@!($\"</f>
        <v>#VALUE!</v>
      </c>
      <c r="HD155" t="e">
        <f>'All regions'!H4302+"$F;@!($]"</f>
        <v>#VALUE!</v>
      </c>
      <c r="HE155" t="e">
        <f>'All regions'!I4302+"$F;@!($^"</f>
        <v>#VALUE!</v>
      </c>
      <c r="HF155" t="e">
        <f>'All regions'!A4303+"$F;@!($_"</f>
        <v>#VALUE!</v>
      </c>
      <c r="HG155" t="e">
        <f>'All regions'!B4303+"$F;@!($`"</f>
        <v>#VALUE!</v>
      </c>
      <c r="HH155" t="e">
        <f>'All regions'!C4303+"$F;@!($a"</f>
        <v>#VALUE!</v>
      </c>
      <c r="HI155" t="e">
        <f>'All regions'!D4303+"$F;@!($b"</f>
        <v>#VALUE!</v>
      </c>
      <c r="HJ155" t="e">
        <f>'All regions'!E4303+"$F;@!($c"</f>
        <v>#VALUE!</v>
      </c>
      <c r="HK155" t="e">
        <f>'All regions'!F4303+"$F;@!($d"</f>
        <v>#VALUE!</v>
      </c>
      <c r="HL155" t="e">
        <f>'All regions'!G4303+"$F;@!($e"</f>
        <v>#VALUE!</v>
      </c>
      <c r="HM155" t="e">
        <f>'All regions'!H4303+"$F;@!($f"</f>
        <v>#VALUE!</v>
      </c>
      <c r="HN155" t="e">
        <f>'All regions'!I4303+"$F;@!($g"</f>
        <v>#VALUE!</v>
      </c>
      <c r="HO155" t="e">
        <f>'All regions'!A4304+"$F;@!($h"</f>
        <v>#VALUE!</v>
      </c>
      <c r="HP155" t="e">
        <f>'All regions'!B4304+"$F;@!($i"</f>
        <v>#VALUE!</v>
      </c>
      <c r="HQ155" t="e">
        <f>'All regions'!C4304+"$F;@!($j"</f>
        <v>#VALUE!</v>
      </c>
      <c r="HR155" t="e">
        <f>'All regions'!D4304+"$F;@!($k"</f>
        <v>#VALUE!</v>
      </c>
      <c r="HS155" t="e">
        <f>'All regions'!E4304+"$F;@!($l"</f>
        <v>#VALUE!</v>
      </c>
      <c r="HT155" t="e">
        <f>'All regions'!F4304+"$F;@!($m"</f>
        <v>#VALUE!</v>
      </c>
      <c r="HU155" t="e">
        <f>'All regions'!G4304+"$F;@!($n"</f>
        <v>#VALUE!</v>
      </c>
      <c r="HV155" t="e">
        <f>'All regions'!H4304+"$F;@!($o"</f>
        <v>#VALUE!</v>
      </c>
      <c r="HW155" t="e">
        <f>'All regions'!I4304+"$F;@!($p"</f>
        <v>#VALUE!</v>
      </c>
      <c r="HX155" t="e">
        <f>'All regions'!A4305+"$F;@!($q"</f>
        <v>#VALUE!</v>
      </c>
      <c r="HY155" t="e">
        <f>'All regions'!B4305+"$F;@!($r"</f>
        <v>#VALUE!</v>
      </c>
      <c r="HZ155" t="e">
        <f>'All regions'!C4305+"$F;@!($s"</f>
        <v>#VALUE!</v>
      </c>
      <c r="IA155" t="e">
        <f>'All regions'!D4305+"$F;@!($t"</f>
        <v>#VALUE!</v>
      </c>
      <c r="IB155" t="e">
        <f>'All regions'!E4305+"$F;@!($u"</f>
        <v>#VALUE!</v>
      </c>
      <c r="IC155" t="e">
        <f>'All regions'!F4305+"$F;@!($v"</f>
        <v>#VALUE!</v>
      </c>
      <c r="ID155" t="e">
        <f>'All regions'!G4305+"$F;@!($w"</f>
        <v>#VALUE!</v>
      </c>
      <c r="IE155" t="e">
        <f>'All regions'!H4305+"$F;@!($x"</f>
        <v>#VALUE!</v>
      </c>
      <c r="IF155" t="e">
        <f>'All regions'!I4305+"$F;@!($y"</f>
        <v>#VALUE!</v>
      </c>
      <c r="IG155" t="e">
        <f>'All regions'!A4306+"$F;@!($z"</f>
        <v>#VALUE!</v>
      </c>
      <c r="IH155" t="e">
        <f>'All regions'!B4306+"$F;@!(${"</f>
        <v>#VALUE!</v>
      </c>
      <c r="II155" t="e">
        <f>'All regions'!C4306+"$F;@!($|"</f>
        <v>#VALUE!</v>
      </c>
      <c r="IJ155" t="e">
        <f>'All regions'!D4306+"$F;@!($}"</f>
        <v>#VALUE!</v>
      </c>
      <c r="IK155" t="e">
        <f>'All regions'!E4306+"$F;@!($~"</f>
        <v>#VALUE!</v>
      </c>
      <c r="IL155" t="e">
        <f>'All regions'!F4306+"$F;@!(%#"</f>
        <v>#VALUE!</v>
      </c>
      <c r="IM155" t="e">
        <f>'All regions'!G4306+"$F;@!(%$"</f>
        <v>#VALUE!</v>
      </c>
      <c r="IN155" t="e">
        <f>'All regions'!H4306+"$F;@!(%%"</f>
        <v>#VALUE!</v>
      </c>
      <c r="IO155" t="e">
        <f>'All regions'!I4306+"$F;@!(%&amp;"</f>
        <v>#VALUE!</v>
      </c>
      <c r="IP155" t="e">
        <f>'All regions'!A4307+"$F;@!(%'"</f>
        <v>#VALUE!</v>
      </c>
      <c r="IQ155" t="e">
        <f>'All regions'!B4307+"$F;@!(%("</f>
        <v>#VALUE!</v>
      </c>
      <c r="IR155" t="e">
        <f>'All regions'!C4307+"$F;@!(%)"</f>
        <v>#VALUE!</v>
      </c>
      <c r="IS155" t="e">
        <f>'All regions'!D4307+"$F;@!(%."</f>
        <v>#VALUE!</v>
      </c>
      <c r="IT155" t="e">
        <f>'All regions'!E4307+"$F;@!(%/"</f>
        <v>#VALUE!</v>
      </c>
      <c r="IU155" t="e">
        <f>'All regions'!F4307+"$F;@!(%0"</f>
        <v>#VALUE!</v>
      </c>
      <c r="IV155" t="e">
        <f>'All regions'!G4307+"$F;@!(%1"</f>
        <v>#VALUE!</v>
      </c>
    </row>
    <row r="156" spans="6:256" x14ac:dyDescent="0.35">
      <c r="F156" t="e">
        <f>'All regions'!H4307+"$F;@!(%2"</f>
        <v>#VALUE!</v>
      </c>
      <c r="G156" t="e">
        <f>'All regions'!I4307+"$F;@!(%3"</f>
        <v>#VALUE!</v>
      </c>
      <c r="H156" t="e">
        <f>'All regions'!A4308+"$F;@!(%4"</f>
        <v>#VALUE!</v>
      </c>
      <c r="I156" t="e">
        <f>'All regions'!B4308+"$F;@!(%5"</f>
        <v>#VALUE!</v>
      </c>
      <c r="J156" t="e">
        <f>'All regions'!C4308+"$F;@!(%6"</f>
        <v>#VALUE!</v>
      </c>
      <c r="K156" t="e">
        <f>'All regions'!D4308+"$F;@!(%7"</f>
        <v>#VALUE!</v>
      </c>
      <c r="L156" t="e">
        <f>'All regions'!E4308+"$F;@!(%8"</f>
        <v>#VALUE!</v>
      </c>
      <c r="M156" t="e">
        <f>'All regions'!F4308+"$F;@!(%9"</f>
        <v>#VALUE!</v>
      </c>
      <c r="N156" t="e">
        <f>'All regions'!G4308+"$F;@!(%:"</f>
        <v>#VALUE!</v>
      </c>
      <c r="O156" t="e">
        <f>'All regions'!H4308+"$F;@!(%;"</f>
        <v>#VALUE!</v>
      </c>
      <c r="P156" t="e">
        <f>'All regions'!I4308+"$F;@!(%&lt;"</f>
        <v>#VALUE!</v>
      </c>
      <c r="Q156" t="e">
        <f>'All regions'!A4309+"$F;@!(%="</f>
        <v>#VALUE!</v>
      </c>
      <c r="R156" t="e">
        <f>'All regions'!B4309+"$F;@!(%&gt;"</f>
        <v>#VALUE!</v>
      </c>
      <c r="S156" t="e">
        <f>'All regions'!C4309+"$F;@!(%?"</f>
        <v>#VALUE!</v>
      </c>
      <c r="T156" t="e">
        <f>'All regions'!D4309+"$F;@!(%@"</f>
        <v>#VALUE!</v>
      </c>
      <c r="U156" t="e">
        <f>'All regions'!E4309+"$F;@!(%A"</f>
        <v>#VALUE!</v>
      </c>
      <c r="V156" t="e">
        <f>'All regions'!F4309+"$F;@!(%B"</f>
        <v>#VALUE!</v>
      </c>
      <c r="W156" t="e">
        <f>'All regions'!G4309+"$F;@!(%C"</f>
        <v>#VALUE!</v>
      </c>
      <c r="X156" t="e">
        <f>'All regions'!H4309+"$F;@!(%D"</f>
        <v>#VALUE!</v>
      </c>
      <c r="Y156" t="e">
        <f>'All regions'!I4309+"$F;@!(%E"</f>
        <v>#VALUE!</v>
      </c>
      <c r="Z156" t="e">
        <f>'All regions'!A4310+"$F;@!(%F"</f>
        <v>#VALUE!</v>
      </c>
      <c r="AA156" t="e">
        <f>'All regions'!B4310+"$F;@!(%G"</f>
        <v>#VALUE!</v>
      </c>
      <c r="AB156" t="e">
        <f>'All regions'!C4310+"$F;@!(%H"</f>
        <v>#VALUE!</v>
      </c>
      <c r="AC156" t="e">
        <f>'All regions'!D4310+"$F;@!(%I"</f>
        <v>#VALUE!</v>
      </c>
      <c r="AD156" t="e">
        <f>'All regions'!E4310+"$F;@!(%J"</f>
        <v>#VALUE!</v>
      </c>
      <c r="AE156" t="e">
        <f>'All regions'!F4310+"$F;@!(%K"</f>
        <v>#VALUE!</v>
      </c>
      <c r="AF156" t="e">
        <f>'All regions'!G4310+"$F;@!(%L"</f>
        <v>#VALUE!</v>
      </c>
      <c r="AG156" t="e">
        <f>'All regions'!H4310+"$F;@!(%M"</f>
        <v>#VALUE!</v>
      </c>
      <c r="AH156" t="e">
        <f>'All regions'!I4310+"$F;@!(%N"</f>
        <v>#VALUE!</v>
      </c>
      <c r="AI156" t="e">
        <f>'All regions'!A4311+"$F;@!(%O"</f>
        <v>#VALUE!</v>
      </c>
      <c r="AJ156" t="e">
        <f>'All regions'!B4311+"$F;@!(%P"</f>
        <v>#VALUE!</v>
      </c>
      <c r="AK156" t="e">
        <f>'All regions'!C4311+"$F;@!(%Q"</f>
        <v>#VALUE!</v>
      </c>
      <c r="AL156" t="e">
        <f>'All regions'!D4311+"$F;@!(%R"</f>
        <v>#VALUE!</v>
      </c>
      <c r="AM156" t="e">
        <f>'All regions'!E4311+"$F;@!(%S"</f>
        <v>#VALUE!</v>
      </c>
      <c r="AN156" t="e">
        <f>'All regions'!F4311+"$F;@!(%T"</f>
        <v>#VALUE!</v>
      </c>
      <c r="AO156" t="e">
        <f>'All regions'!G4311+"$F;@!(%U"</f>
        <v>#VALUE!</v>
      </c>
      <c r="AP156" t="e">
        <f>'All regions'!H4311+"$F;@!(%V"</f>
        <v>#VALUE!</v>
      </c>
      <c r="AQ156" t="e">
        <f>'All regions'!I4311+"$F;@!(%W"</f>
        <v>#VALUE!</v>
      </c>
      <c r="AR156" t="e">
        <f>'All regions'!A4312+"$F;@!(%X"</f>
        <v>#VALUE!</v>
      </c>
      <c r="AS156" t="e">
        <f>'All regions'!B4312+"$F;@!(%Y"</f>
        <v>#VALUE!</v>
      </c>
      <c r="AT156" t="e">
        <f>'All regions'!C4312+"$F;@!(%Z"</f>
        <v>#VALUE!</v>
      </c>
      <c r="AU156" t="e">
        <f>'All regions'!D4312+"$F;@!(%["</f>
        <v>#VALUE!</v>
      </c>
      <c r="AV156" t="e">
        <f>'All regions'!E4312+"$F;@!(%\"</f>
        <v>#VALUE!</v>
      </c>
      <c r="AW156" t="e">
        <f>'All regions'!F4312+"$F;@!(%]"</f>
        <v>#VALUE!</v>
      </c>
      <c r="AX156" t="e">
        <f>'All regions'!G4312+"$F;@!(%^"</f>
        <v>#VALUE!</v>
      </c>
      <c r="AY156" t="e">
        <f>'All regions'!H4312+"$F;@!(%_"</f>
        <v>#VALUE!</v>
      </c>
      <c r="AZ156" t="e">
        <f>'All regions'!I4312+"$F;@!(%`"</f>
        <v>#VALUE!</v>
      </c>
      <c r="BA156" t="e">
        <f>'All regions'!A4313+"$F;@!(%a"</f>
        <v>#VALUE!</v>
      </c>
      <c r="BB156" t="e">
        <f>'All regions'!B4313+"$F;@!(%b"</f>
        <v>#VALUE!</v>
      </c>
      <c r="BC156" t="e">
        <f>'All regions'!C4313+"$F;@!(%c"</f>
        <v>#VALUE!</v>
      </c>
      <c r="BD156" t="e">
        <f>'All regions'!D4313+"$F;@!(%d"</f>
        <v>#VALUE!</v>
      </c>
      <c r="BE156" t="e">
        <f>'All regions'!E4313+"$F;@!(%e"</f>
        <v>#VALUE!</v>
      </c>
      <c r="BF156" t="e">
        <f>'All regions'!F4313+"$F;@!(%f"</f>
        <v>#VALUE!</v>
      </c>
      <c r="BG156" t="e">
        <f>'All regions'!G4313+"$F;@!(%g"</f>
        <v>#VALUE!</v>
      </c>
      <c r="BH156" t="e">
        <f>'All regions'!H4313+"$F;@!(%h"</f>
        <v>#VALUE!</v>
      </c>
      <c r="BI156" t="e">
        <f>'All regions'!I4313+"$F;@!(%i"</f>
        <v>#VALUE!</v>
      </c>
      <c r="BJ156" t="e">
        <f>'All regions'!A4314+"$F;@!(%j"</f>
        <v>#VALUE!</v>
      </c>
      <c r="BK156" t="e">
        <f>'All regions'!B4314+"$F;@!(%k"</f>
        <v>#VALUE!</v>
      </c>
      <c r="BL156" t="e">
        <f>'All regions'!C4314+"$F;@!(%l"</f>
        <v>#VALUE!</v>
      </c>
      <c r="BM156" t="e">
        <f>'All regions'!D4314+"$F;@!(%m"</f>
        <v>#VALUE!</v>
      </c>
      <c r="BN156" t="e">
        <f>'All regions'!E4314+"$F;@!(%n"</f>
        <v>#VALUE!</v>
      </c>
      <c r="BO156" t="e">
        <f>'All regions'!F4314+"$F;@!(%o"</f>
        <v>#VALUE!</v>
      </c>
      <c r="BP156" t="e">
        <f>'All regions'!G4314+"$F;@!(%p"</f>
        <v>#VALUE!</v>
      </c>
      <c r="BQ156" t="e">
        <f>'All regions'!H4314+"$F;@!(%q"</f>
        <v>#VALUE!</v>
      </c>
      <c r="BR156" t="e">
        <f>'All regions'!I4314+"$F;@!(%r"</f>
        <v>#VALUE!</v>
      </c>
      <c r="BS156" t="e">
        <f>'All regions'!A4315+"$F;@!(%s"</f>
        <v>#VALUE!</v>
      </c>
      <c r="BT156" t="e">
        <f>'All regions'!B4315+"$F;@!(%t"</f>
        <v>#VALUE!</v>
      </c>
      <c r="BU156" t="e">
        <f>'All regions'!C4315+"$F;@!(%u"</f>
        <v>#VALUE!</v>
      </c>
      <c r="BV156" t="e">
        <f>'All regions'!D4315+"$F;@!(%v"</f>
        <v>#VALUE!</v>
      </c>
      <c r="BW156" t="e">
        <f>'All regions'!E4315+"$F;@!(%w"</f>
        <v>#VALUE!</v>
      </c>
      <c r="BX156" t="e">
        <f>'All regions'!F4315+"$F;@!(%x"</f>
        <v>#VALUE!</v>
      </c>
      <c r="BY156" t="e">
        <f>'All regions'!G4315+"$F;@!(%y"</f>
        <v>#VALUE!</v>
      </c>
      <c r="BZ156" t="e">
        <f>'All regions'!H4315+"$F;@!(%z"</f>
        <v>#VALUE!</v>
      </c>
      <c r="CA156" t="e">
        <f>'All regions'!I4315+"$F;@!(%{"</f>
        <v>#VALUE!</v>
      </c>
      <c r="CB156" t="e">
        <f>'All regions'!A4316+"$F;@!(%|"</f>
        <v>#VALUE!</v>
      </c>
      <c r="CC156" t="e">
        <f>'All regions'!B4316+"$F;@!(%}"</f>
        <v>#VALUE!</v>
      </c>
      <c r="CD156" t="e">
        <f>'All regions'!C4316+"$F;@!(%~"</f>
        <v>#VALUE!</v>
      </c>
      <c r="CE156" t="e">
        <f>'All regions'!D4316+"$F;@!(&amp;#"</f>
        <v>#VALUE!</v>
      </c>
      <c r="CF156" t="e">
        <f>'All regions'!E4316+"$F;@!(&amp;$"</f>
        <v>#VALUE!</v>
      </c>
      <c r="CG156" t="e">
        <f>'All regions'!F4316+"$F;@!(&amp;%"</f>
        <v>#VALUE!</v>
      </c>
      <c r="CH156" t="e">
        <f>'All regions'!G4316+"$F;@!(&amp;&amp;"</f>
        <v>#VALUE!</v>
      </c>
      <c r="CI156" t="e">
        <f>'All regions'!H4316+"$F;@!(&amp;'"</f>
        <v>#VALUE!</v>
      </c>
      <c r="CJ156" t="e">
        <f>'All regions'!I4316+"$F;@!(&amp;("</f>
        <v>#VALUE!</v>
      </c>
      <c r="CK156" t="e">
        <f>'All regions'!A4317+"$F;@!(&amp;)"</f>
        <v>#VALUE!</v>
      </c>
      <c r="CL156" t="e">
        <f>'All regions'!B4317+"$F;@!(&amp;."</f>
        <v>#VALUE!</v>
      </c>
      <c r="CM156" t="e">
        <f>'All regions'!C4317+"$F;@!(&amp;/"</f>
        <v>#VALUE!</v>
      </c>
      <c r="CN156" t="e">
        <f>'All regions'!D4317+"$F;@!(&amp;0"</f>
        <v>#VALUE!</v>
      </c>
      <c r="CO156" t="e">
        <f>'All regions'!E4317+"$F;@!(&amp;1"</f>
        <v>#VALUE!</v>
      </c>
      <c r="CP156" t="e">
        <f>'All regions'!F4317+"$F;@!(&amp;2"</f>
        <v>#VALUE!</v>
      </c>
      <c r="CQ156" t="e">
        <f>'All regions'!G4317+"$F;@!(&amp;3"</f>
        <v>#VALUE!</v>
      </c>
      <c r="CR156" t="e">
        <f>'All regions'!H4317+"$F;@!(&amp;4"</f>
        <v>#VALUE!</v>
      </c>
      <c r="CS156" t="e">
        <f>'All regions'!I4317+"$F;@!(&amp;5"</f>
        <v>#VALUE!</v>
      </c>
      <c r="CT156" t="e">
        <f>'All regions'!A4318+"$F;@!(&amp;6"</f>
        <v>#VALUE!</v>
      </c>
      <c r="CU156" t="e">
        <f>'All regions'!B4318+"$F;@!(&amp;7"</f>
        <v>#VALUE!</v>
      </c>
      <c r="CV156" t="e">
        <f>'All regions'!C4318+"$F;@!(&amp;8"</f>
        <v>#VALUE!</v>
      </c>
      <c r="CW156" t="e">
        <f>'All regions'!D4318+"$F;@!(&amp;9"</f>
        <v>#VALUE!</v>
      </c>
      <c r="CX156" t="e">
        <f>'All regions'!E4318+"$F;@!(&amp;:"</f>
        <v>#VALUE!</v>
      </c>
      <c r="CY156" t="e">
        <f>'All regions'!F4318+"$F;@!(&amp;;"</f>
        <v>#VALUE!</v>
      </c>
      <c r="CZ156" t="e">
        <f>'All regions'!G4318+"$F;@!(&amp;&lt;"</f>
        <v>#VALUE!</v>
      </c>
      <c r="DA156" t="e">
        <f>'All regions'!H4318+"$F;@!(&amp;="</f>
        <v>#VALUE!</v>
      </c>
      <c r="DB156" t="e">
        <f>'All regions'!I4318+"$F;@!(&amp;&gt;"</f>
        <v>#VALUE!</v>
      </c>
      <c r="DC156" t="e">
        <f>'All regions'!A4319+"$F;@!(&amp;?"</f>
        <v>#VALUE!</v>
      </c>
      <c r="DD156" t="e">
        <f>'All regions'!B4319+"$F;@!(&amp;@"</f>
        <v>#VALUE!</v>
      </c>
      <c r="DE156" t="e">
        <f>'All regions'!C4319+"$F;@!(&amp;A"</f>
        <v>#VALUE!</v>
      </c>
      <c r="DF156" t="e">
        <f>'All regions'!D4319+"$F;@!(&amp;B"</f>
        <v>#VALUE!</v>
      </c>
      <c r="DG156" t="e">
        <f>'All regions'!E4319+"$F;@!(&amp;C"</f>
        <v>#VALUE!</v>
      </c>
      <c r="DH156" t="e">
        <f>'All regions'!F4319+"$F;@!(&amp;D"</f>
        <v>#VALUE!</v>
      </c>
      <c r="DI156" t="e">
        <f>'All regions'!G4319+"$F;@!(&amp;E"</f>
        <v>#VALUE!</v>
      </c>
      <c r="DJ156" t="e">
        <f>'All regions'!H4319+"$F;@!(&amp;F"</f>
        <v>#VALUE!</v>
      </c>
      <c r="DK156" t="e">
        <f>'All regions'!I4319+"$F;@!(&amp;G"</f>
        <v>#VALUE!</v>
      </c>
      <c r="DL156" t="e">
        <f>'All regions'!A4320+"$F;@!(&amp;H"</f>
        <v>#VALUE!</v>
      </c>
      <c r="DM156" t="e">
        <f>'All regions'!B4320+"$F;@!(&amp;I"</f>
        <v>#VALUE!</v>
      </c>
      <c r="DN156" t="e">
        <f>'All regions'!C4320+"$F;@!(&amp;J"</f>
        <v>#VALUE!</v>
      </c>
      <c r="DO156" t="e">
        <f>'All regions'!D4320+"$F;@!(&amp;K"</f>
        <v>#VALUE!</v>
      </c>
      <c r="DP156" t="e">
        <f>'All regions'!E4320+"$F;@!(&amp;L"</f>
        <v>#VALUE!</v>
      </c>
      <c r="DQ156" t="e">
        <f>'All regions'!F4320+"$F;@!(&amp;M"</f>
        <v>#VALUE!</v>
      </c>
      <c r="DR156" t="e">
        <f>'All regions'!G4320+"$F;@!(&amp;N"</f>
        <v>#VALUE!</v>
      </c>
      <c r="DS156" t="e">
        <f>'All regions'!H4320+"$F;@!(&amp;O"</f>
        <v>#VALUE!</v>
      </c>
      <c r="DT156" t="e">
        <f>'All regions'!I4320+"$F;@!(&amp;P"</f>
        <v>#VALUE!</v>
      </c>
      <c r="DU156" t="e">
        <f>'All regions'!A4321+"$F;@!(&amp;Q"</f>
        <v>#VALUE!</v>
      </c>
      <c r="DV156" t="e">
        <f>'All regions'!B4321+"$F;@!(&amp;R"</f>
        <v>#VALUE!</v>
      </c>
      <c r="DW156" t="e">
        <f>'All regions'!C4321+"$F;@!(&amp;S"</f>
        <v>#VALUE!</v>
      </c>
      <c r="DX156" t="e">
        <f>'All regions'!D4321+"$F;@!(&amp;T"</f>
        <v>#VALUE!</v>
      </c>
      <c r="DY156" t="e">
        <f>'All regions'!E4321+"$F;@!(&amp;U"</f>
        <v>#VALUE!</v>
      </c>
      <c r="DZ156" t="e">
        <f>'All regions'!F4321+"$F;@!(&amp;V"</f>
        <v>#VALUE!</v>
      </c>
      <c r="EA156" t="e">
        <f>'All regions'!G4321+"$F;@!(&amp;W"</f>
        <v>#VALUE!</v>
      </c>
      <c r="EB156" t="e">
        <f>'All regions'!H4321+"$F;@!(&amp;X"</f>
        <v>#VALUE!</v>
      </c>
      <c r="EC156" t="e">
        <f>'All regions'!I4321+"$F;@!(&amp;Y"</f>
        <v>#VALUE!</v>
      </c>
      <c r="ED156" t="e">
        <f>'All regions'!A4322+"$F;@!(&amp;Z"</f>
        <v>#VALUE!</v>
      </c>
      <c r="EE156" t="e">
        <f>'All regions'!B4322+"$F;@!(&amp;["</f>
        <v>#VALUE!</v>
      </c>
      <c r="EF156" t="e">
        <f>'All regions'!C4322+"$F;@!(&amp;\"</f>
        <v>#VALUE!</v>
      </c>
      <c r="EG156" t="e">
        <f>'All regions'!D4322+"$F;@!(&amp;]"</f>
        <v>#VALUE!</v>
      </c>
      <c r="EH156" t="e">
        <f>'All regions'!E4322+"$F;@!(&amp;^"</f>
        <v>#VALUE!</v>
      </c>
      <c r="EI156" t="e">
        <f>'All regions'!F4322+"$F;@!(&amp;_"</f>
        <v>#VALUE!</v>
      </c>
      <c r="EJ156" t="e">
        <f>'All regions'!G4322+"$F;@!(&amp;`"</f>
        <v>#VALUE!</v>
      </c>
      <c r="EK156" t="e">
        <f>'All regions'!H4322+"$F;@!(&amp;a"</f>
        <v>#VALUE!</v>
      </c>
      <c r="EL156" t="e">
        <f>'All regions'!I4322+"$F;@!(&amp;b"</f>
        <v>#VALUE!</v>
      </c>
      <c r="EM156" t="e">
        <f>'All regions'!A4323+"$F;@!(&amp;c"</f>
        <v>#VALUE!</v>
      </c>
      <c r="EN156" t="e">
        <f>'All regions'!B4323+"$F;@!(&amp;d"</f>
        <v>#VALUE!</v>
      </c>
      <c r="EO156" t="e">
        <f>'All regions'!C4323+"$F;@!(&amp;e"</f>
        <v>#VALUE!</v>
      </c>
      <c r="EP156" t="e">
        <f>'All regions'!D4323+"$F;@!(&amp;f"</f>
        <v>#VALUE!</v>
      </c>
      <c r="EQ156" t="e">
        <f>'All regions'!E4323+"$F;@!(&amp;g"</f>
        <v>#VALUE!</v>
      </c>
      <c r="ER156" t="e">
        <f>'All regions'!F4323+"$F;@!(&amp;h"</f>
        <v>#VALUE!</v>
      </c>
      <c r="ES156" t="e">
        <f>'All regions'!G4323+"$F;@!(&amp;i"</f>
        <v>#VALUE!</v>
      </c>
      <c r="ET156" t="e">
        <f>'All regions'!H4323+"$F;@!(&amp;j"</f>
        <v>#VALUE!</v>
      </c>
      <c r="EU156" t="e">
        <f>'All regions'!I4323+"$F;@!(&amp;k"</f>
        <v>#VALUE!</v>
      </c>
      <c r="EV156" t="e">
        <f>'All regions'!A4324+"$F;@!(&amp;l"</f>
        <v>#VALUE!</v>
      </c>
      <c r="EW156" t="e">
        <f>'All regions'!B4324+"$F;@!(&amp;m"</f>
        <v>#VALUE!</v>
      </c>
      <c r="EX156" t="e">
        <f>'All regions'!C4324+"$F;@!(&amp;n"</f>
        <v>#VALUE!</v>
      </c>
      <c r="EY156" t="e">
        <f>'All regions'!D4324+"$F;@!(&amp;o"</f>
        <v>#VALUE!</v>
      </c>
      <c r="EZ156" t="e">
        <f>'All regions'!E4324+"$F;@!(&amp;p"</f>
        <v>#VALUE!</v>
      </c>
      <c r="FA156" t="e">
        <f>'All regions'!F4324+"$F;@!(&amp;q"</f>
        <v>#VALUE!</v>
      </c>
      <c r="FB156" t="e">
        <f>'All regions'!G4324+"$F;@!(&amp;r"</f>
        <v>#VALUE!</v>
      </c>
      <c r="FC156" t="e">
        <f>'All regions'!H4324+"$F;@!(&amp;s"</f>
        <v>#VALUE!</v>
      </c>
      <c r="FD156" t="e">
        <f>'All regions'!I4324+"$F;@!(&amp;t"</f>
        <v>#VALUE!</v>
      </c>
      <c r="FE156" t="e">
        <f>'All regions'!A4325+"$F;@!(&amp;u"</f>
        <v>#VALUE!</v>
      </c>
      <c r="FF156" t="e">
        <f>'All regions'!B4325+"$F;@!(&amp;v"</f>
        <v>#VALUE!</v>
      </c>
      <c r="FG156" t="e">
        <f>'All regions'!C4325+"$F;@!(&amp;w"</f>
        <v>#VALUE!</v>
      </c>
      <c r="FH156" t="e">
        <f>'All regions'!D4325+"$F;@!(&amp;x"</f>
        <v>#VALUE!</v>
      </c>
      <c r="FI156" t="e">
        <f>'All regions'!E4325+"$F;@!(&amp;y"</f>
        <v>#VALUE!</v>
      </c>
      <c r="FJ156" t="e">
        <f>'All regions'!F4325+"$F;@!(&amp;z"</f>
        <v>#VALUE!</v>
      </c>
      <c r="FK156" t="e">
        <f>'All regions'!G4325+"$F;@!(&amp;{"</f>
        <v>#VALUE!</v>
      </c>
      <c r="FL156" t="e">
        <f>'All regions'!H4325+"$F;@!(&amp;|"</f>
        <v>#VALUE!</v>
      </c>
      <c r="FM156" t="e">
        <f>'All regions'!I4325+"$F;@!(&amp;}"</f>
        <v>#VALUE!</v>
      </c>
      <c r="FN156" t="e">
        <f>'All regions'!A4326+"$F;@!(&amp;~"</f>
        <v>#VALUE!</v>
      </c>
      <c r="FO156" t="e">
        <f>'All regions'!B4326+"$F;@!('#"</f>
        <v>#VALUE!</v>
      </c>
      <c r="FP156" t="e">
        <f>'All regions'!C4326+"$F;@!('$"</f>
        <v>#VALUE!</v>
      </c>
      <c r="FQ156" t="e">
        <f>'All regions'!D4326+"$F;@!('%"</f>
        <v>#VALUE!</v>
      </c>
      <c r="FR156" t="e">
        <f>'All regions'!E4326+"$F;@!('&amp;"</f>
        <v>#VALUE!</v>
      </c>
      <c r="FS156" t="e">
        <f>'All regions'!F4326+"$F;@!(''"</f>
        <v>#VALUE!</v>
      </c>
      <c r="FT156" t="e">
        <f>'All regions'!G4326+"$F;@!('("</f>
        <v>#VALUE!</v>
      </c>
      <c r="FU156" t="e">
        <f>'All regions'!H4326+"$F;@!(')"</f>
        <v>#VALUE!</v>
      </c>
      <c r="FV156" t="e">
        <f>'All regions'!I4326+"$F;@!('."</f>
        <v>#VALUE!</v>
      </c>
      <c r="FW156" t="e">
        <f>'All regions'!A4327+"$F;@!('/"</f>
        <v>#VALUE!</v>
      </c>
      <c r="FX156" t="e">
        <f>'All regions'!B4327+"$F;@!('0"</f>
        <v>#VALUE!</v>
      </c>
      <c r="FY156" t="e">
        <f>'All regions'!C4327+"$F;@!('1"</f>
        <v>#VALUE!</v>
      </c>
      <c r="FZ156" t="e">
        <f>'All regions'!D4327+"$F;@!('2"</f>
        <v>#VALUE!</v>
      </c>
      <c r="GA156" t="e">
        <f>'All regions'!E4327+"$F;@!('3"</f>
        <v>#VALUE!</v>
      </c>
      <c r="GB156" t="e">
        <f>'All regions'!F4327+"$F;@!('4"</f>
        <v>#VALUE!</v>
      </c>
      <c r="GC156" t="e">
        <f>'All regions'!G4327+"$F;@!('5"</f>
        <v>#VALUE!</v>
      </c>
      <c r="GD156" t="e">
        <f>'All regions'!H4327+"$F;@!('6"</f>
        <v>#VALUE!</v>
      </c>
      <c r="GE156" t="e">
        <f>'All regions'!I4327+"$F;@!('7"</f>
        <v>#VALUE!</v>
      </c>
      <c r="GF156" t="e">
        <f>'All regions'!A4328+"$F;@!('8"</f>
        <v>#VALUE!</v>
      </c>
      <c r="GG156" t="e">
        <f>'All regions'!B4328+"$F;@!('9"</f>
        <v>#VALUE!</v>
      </c>
      <c r="GH156" t="e">
        <f>'All regions'!C4328+"$F;@!(':"</f>
        <v>#VALUE!</v>
      </c>
      <c r="GI156" t="e">
        <f>'All regions'!D4328+"$F;@!(';"</f>
        <v>#VALUE!</v>
      </c>
      <c r="GJ156" t="e">
        <f>'All regions'!E4328+"$F;@!('&lt;"</f>
        <v>#VALUE!</v>
      </c>
      <c r="GK156" t="e">
        <f>'All regions'!F4328+"$F;@!('="</f>
        <v>#VALUE!</v>
      </c>
      <c r="GL156" t="e">
        <f>'All regions'!G4328+"$F;@!('&gt;"</f>
        <v>#VALUE!</v>
      </c>
      <c r="GM156" t="e">
        <f>'All regions'!H4328+"$F;@!('?"</f>
        <v>#VALUE!</v>
      </c>
      <c r="GN156" t="e">
        <f>'All regions'!I4328+"$F;@!('@"</f>
        <v>#VALUE!</v>
      </c>
      <c r="GO156" t="e">
        <f>'All regions'!A4329+"$F;@!('A"</f>
        <v>#VALUE!</v>
      </c>
      <c r="GP156" t="e">
        <f>'All regions'!B4329+"$F;@!('B"</f>
        <v>#VALUE!</v>
      </c>
      <c r="GQ156" t="e">
        <f>'All regions'!C4329+"$F;@!('C"</f>
        <v>#VALUE!</v>
      </c>
      <c r="GR156" t="e">
        <f>'All regions'!D4329+"$F;@!('D"</f>
        <v>#VALUE!</v>
      </c>
      <c r="GS156" t="e">
        <f>'All regions'!E4329+"$F;@!('E"</f>
        <v>#VALUE!</v>
      </c>
      <c r="GT156" t="e">
        <f>'All regions'!F4329+"$F;@!('F"</f>
        <v>#VALUE!</v>
      </c>
      <c r="GU156" t="e">
        <f>'All regions'!G4329+"$F;@!('G"</f>
        <v>#VALUE!</v>
      </c>
      <c r="GV156" t="e">
        <f>'All regions'!H4329+"$F;@!('H"</f>
        <v>#VALUE!</v>
      </c>
      <c r="GW156" t="e">
        <f>'All regions'!I4329+"$F;@!('I"</f>
        <v>#VALUE!</v>
      </c>
      <c r="GX156" t="e">
        <f>'All regions'!A4330+"$F;@!('J"</f>
        <v>#VALUE!</v>
      </c>
      <c r="GY156" t="e">
        <f>'All regions'!B4330+"$F;@!('K"</f>
        <v>#VALUE!</v>
      </c>
      <c r="GZ156" t="e">
        <f>'All regions'!C4330+"$F;@!('L"</f>
        <v>#VALUE!</v>
      </c>
      <c r="HA156" t="e">
        <f>'All regions'!D4330+"$F;@!('M"</f>
        <v>#VALUE!</v>
      </c>
      <c r="HB156" t="e">
        <f>'All regions'!E4330+"$F;@!('N"</f>
        <v>#VALUE!</v>
      </c>
      <c r="HC156" t="e">
        <f>'All regions'!F4330+"$F;@!('O"</f>
        <v>#VALUE!</v>
      </c>
      <c r="HD156" t="e">
        <f>'All regions'!G4330+"$F;@!('P"</f>
        <v>#VALUE!</v>
      </c>
      <c r="HE156" t="e">
        <f>'All regions'!H4330+"$F;@!('Q"</f>
        <v>#VALUE!</v>
      </c>
      <c r="HF156" t="e">
        <f>'All regions'!I4330+"$F;@!('R"</f>
        <v>#VALUE!</v>
      </c>
      <c r="HG156" t="e">
        <f>'All regions'!A4331+"$F;@!('S"</f>
        <v>#VALUE!</v>
      </c>
      <c r="HH156" t="e">
        <f>'All regions'!B4331+"$F;@!('T"</f>
        <v>#VALUE!</v>
      </c>
      <c r="HI156" t="e">
        <f>'All regions'!C4331+"$F;@!('U"</f>
        <v>#VALUE!</v>
      </c>
      <c r="HJ156" t="e">
        <f>'All regions'!D4331+"$F;@!('V"</f>
        <v>#VALUE!</v>
      </c>
      <c r="HK156" t="e">
        <f>'All regions'!E4331+"$F;@!('W"</f>
        <v>#VALUE!</v>
      </c>
      <c r="HL156" t="e">
        <f>'All regions'!F4331+"$F;@!('X"</f>
        <v>#VALUE!</v>
      </c>
      <c r="HM156" t="e">
        <f>'All regions'!G4331+"$F;@!('Y"</f>
        <v>#VALUE!</v>
      </c>
      <c r="HN156" t="e">
        <f>'All regions'!H4331+"$F;@!('Z"</f>
        <v>#VALUE!</v>
      </c>
      <c r="HO156" t="e">
        <f>'All regions'!I4331+"$F;@!('["</f>
        <v>#VALUE!</v>
      </c>
      <c r="HP156" t="e">
        <f>'All regions'!A4332+"$F;@!('\"</f>
        <v>#VALUE!</v>
      </c>
      <c r="HQ156" t="e">
        <f>'All regions'!B4332+"$F;@!(']"</f>
        <v>#VALUE!</v>
      </c>
      <c r="HR156" t="e">
        <f>'All regions'!C4332+"$F;@!('^"</f>
        <v>#VALUE!</v>
      </c>
      <c r="HS156" t="e">
        <f>'All regions'!D4332+"$F;@!('_"</f>
        <v>#VALUE!</v>
      </c>
      <c r="HT156" t="e">
        <f>'All regions'!E4332+"$F;@!('`"</f>
        <v>#VALUE!</v>
      </c>
      <c r="HU156" t="e">
        <f>'All regions'!F4332+"$F;@!('a"</f>
        <v>#VALUE!</v>
      </c>
      <c r="HV156" t="e">
        <f>'All regions'!G4332+"$F;@!('b"</f>
        <v>#VALUE!</v>
      </c>
      <c r="HW156" t="e">
        <f>'All regions'!H4332+"$F;@!('c"</f>
        <v>#VALUE!</v>
      </c>
      <c r="HX156" t="e">
        <f>'All regions'!I4332+"$F;@!('d"</f>
        <v>#VALUE!</v>
      </c>
      <c r="HY156" t="e">
        <f>'All regions'!A4333+"$F;@!('e"</f>
        <v>#VALUE!</v>
      </c>
      <c r="HZ156" t="e">
        <f>'All regions'!B4333+"$F;@!('f"</f>
        <v>#VALUE!</v>
      </c>
      <c r="IA156" t="e">
        <f>'All regions'!C4333+"$F;@!('g"</f>
        <v>#VALUE!</v>
      </c>
      <c r="IB156" t="e">
        <f>'All regions'!D4333+"$F;@!('h"</f>
        <v>#VALUE!</v>
      </c>
      <c r="IC156" t="e">
        <f>'All regions'!E4333+"$F;@!('i"</f>
        <v>#VALUE!</v>
      </c>
      <c r="ID156" t="e">
        <f>'All regions'!F4333+"$F;@!('j"</f>
        <v>#VALUE!</v>
      </c>
      <c r="IE156" t="e">
        <f>'All regions'!G4333+"$F;@!('k"</f>
        <v>#VALUE!</v>
      </c>
      <c r="IF156" t="e">
        <f>'All regions'!H4333+"$F;@!('l"</f>
        <v>#VALUE!</v>
      </c>
      <c r="IG156" t="e">
        <f>'All regions'!I4333+"$F;@!('m"</f>
        <v>#VALUE!</v>
      </c>
      <c r="IH156" t="e">
        <f>'All regions'!A4334+"$F;@!('n"</f>
        <v>#VALUE!</v>
      </c>
      <c r="II156" t="e">
        <f>'All regions'!B4334+"$F;@!('o"</f>
        <v>#VALUE!</v>
      </c>
      <c r="IJ156" t="e">
        <f>'All regions'!C4334+"$F;@!('p"</f>
        <v>#VALUE!</v>
      </c>
      <c r="IK156" t="e">
        <f>'All regions'!D4334+"$F;@!('q"</f>
        <v>#VALUE!</v>
      </c>
      <c r="IL156" t="e">
        <f>'All regions'!E4334+"$F;@!('r"</f>
        <v>#VALUE!</v>
      </c>
      <c r="IM156" t="e">
        <f>'All regions'!F4334+"$F;@!('s"</f>
        <v>#VALUE!</v>
      </c>
      <c r="IN156" t="e">
        <f>'All regions'!G4334+"$F;@!('t"</f>
        <v>#VALUE!</v>
      </c>
      <c r="IO156" t="e">
        <f>'All regions'!H4334+"$F;@!('u"</f>
        <v>#VALUE!</v>
      </c>
      <c r="IP156" t="e">
        <f>'All regions'!I4334+"$F;@!('v"</f>
        <v>#VALUE!</v>
      </c>
      <c r="IQ156" t="e">
        <f>'All regions'!A4335+"$F;@!('w"</f>
        <v>#VALUE!</v>
      </c>
      <c r="IR156" t="e">
        <f>'All regions'!B4335+"$F;@!('x"</f>
        <v>#VALUE!</v>
      </c>
      <c r="IS156" t="e">
        <f>'All regions'!C4335+"$F;@!('y"</f>
        <v>#VALUE!</v>
      </c>
      <c r="IT156" t="e">
        <f>'All regions'!D4335+"$F;@!('z"</f>
        <v>#VALUE!</v>
      </c>
      <c r="IU156" t="e">
        <f>'All regions'!E4335+"$F;@!('{"</f>
        <v>#VALUE!</v>
      </c>
      <c r="IV156" t="e">
        <f>'All regions'!F4335+"$F;@!('|"</f>
        <v>#VALUE!</v>
      </c>
    </row>
    <row r="157" spans="6:256" x14ac:dyDescent="0.35">
      <c r="F157" t="e">
        <f>'All regions'!G4335+"$F;@!('}"</f>
        <v>#VALUE!</v>
      </c>
      <c r="G157" t="e">
        <f>'All regions'!H4335+"$F;@!('~"</f>
        <v>#VALUE!</v>
      </c>
      <c r="H157" t="e">
        <f>'All regions'!I4335+"$F;@!((#"</f>
        <v>#VALUE!</v>
      </c>
      <c r="I157" t="e">
        <f>'All regions'!A4336+"$F;@!(($"</f>
        <v>#VALUE!</v>
      </c>
      <c r="J157" t="e">
        <f>'All regions'!B4336+"$F;@!((%"</f>
        <v>#VALUE!</v>
      </c>
      <c r="K157" t="e">
        <f>'All regions'!C4336+"$F;@!((&amp;"</f>
        <v>#VALUE!</v>
      </c>
      <c r="L157" t="e">
        <f>'All regions'!D4336+"$F;@!(('"</f>
        <v>#VALUE!</v>
      </c>
      <c r="M157" t="e">
        <f>'All regions'!E4336+"$F;@!((("</f>
        <v>#VALUE!</v>
      </c>
      <c r="N157" t="e">
        <f>'All regions'!F4336+"$F;@!(()"</f>
        <v>#VALUE!</v>
      </c>
      <c r="O157" t="e">
        <f>'All regions'!G4336+"$F;@!((."</f>
        <v>#VALUE!</v>
      </c>
      <c r="P157" t="e">
        <f>'All regions'!H4336+"$F;@!((/"</f>
        <v>#VALUE!</v>
      </c>
      <c r="Q157" t="e">
        <f>'All regions'!I4336+"$F;@!((0"</f>
        <v>#VALUE!</v>
      </c>
      <c r="R157" t="e">
        <f>'All regions'!A4337+"$F;@!((1"</f>
        <v>#VALUE!</v>
      </c>
      <c r="S157" t="e">
        <f>'All regions'!B4337+"$F;@!((2"</f>
        <v>#VALUE!</v>
      </c>
      <c r="T157" t="e">
        <f>'All regions'!C4337+"$F;@!((3"</f>
        <v>#VALUE!</v>
      </c>
      <c r="U157" t="e">
        <f>'All regions'!D4337+"$F;@!((4"</f>
        <v>#VALUE!</v>
      </c>
      <c r="V157" t="e">
        <f>'All regions'!E4337+"$F;@!((5"</f>
        <v>#VALUE!</v>
      </c>
      <c r="W157" t="e">
        <f>'All regions'!F4337+"$F;@!((6"</f>
        <v>#VALUE!</v>
      </c>
      <c r="X157" t="e">
        <f>'All regions'!G4337+"$F;@!((7"</f>
        <v>#VALUE!</v>
      </c>
      <c r="Y157" t="e">
        <f>'All regions'!H4337+"$F;@!((8"</f>
        <v>#VALUE!</v>
      </c>
      <c r="Z157" t="e">
        <f>'All regions'!I4337+"$F;@!((9"</f>
        <v>#VALUE!</v>
      </c>
      <c r="AA157" t="e">
        <f>'All regions'!A4338+"$F;@!((:"</f>
        <v>#VALUE!</v>
      </c>
      <c r="AB157" t="e">
        <f>'All regions'!B4338+"$F;@!((;"</f>
        <v>#VALUE!</v>
      </c>
      <c r="AC157" t="e">
        <f>'All regions'!C4338+"$F;@!((&lt;"</f>
        <v>#VALUE!</v>
      </c>
      <c r="AD157" t="e">
        <f>'All regions'!D4338+"$F;@!((="</f>
        <v>#VALUE!</v>
      </c>
      <c r="AE157" t="e">
        <f>'All regions'!E4338+"$F;@!((&gt;"</f>
        <v>#VALUE!</v>
      </c>
      <c r="AF157" t="e">
        <f>'All regions'!F4338+"$F;@!((?"</f>
        <v>#VALUE!</v>
      </c>
      <c r="AG157" t="e">
        <f>'All regions'!G4338+"$F;@!((@"</f>
        <v>#VALUE!</v>
      </c>
      <c r="AH157" t="e">
        <f>'All regions'!H4338+"$F;@!((A"</f>
        <v>#VALUE!</v>
      </c>
      <c r="AI157" t="e">
        <f>'All regions'!I4338+"$F;@!((B"</f>
        <v>#VALUE!</v>
      </c>
      <c r="AJ157" t="e">
        <f>'All regions'!A4339+"$F;@!((C"</f>
        <v>#VALUE!</v>
      </c>
      <c r="AK157" t="e">
        <f>'All regions'!B4339+"$F;@!((D"</f>
        <v>#VALUE!</v>
      </c>
      <c r="AL157" t="e">
        <f>'All regions'!C4339+"$F;@!((E"</f>
        <v>#VALUE!</v>
      </c>
      <c r="AM157" t="e">
        <f>'All regions'!D4339+"$F;@!((F"</f>
        <v>#VALUE!</v>
      </c>
      <c r="AN157" t="e">
        <f>'All regions'!E4339+"$F;@!((G"</f>
        <v>#VALUE!</v>
      </c>
      <c r="AO157" t="e">
        <f>'All regions'!F4339+"$F;@!((H"</f>
        <v>#VALUE!</v>
      </c>
      <c r="AP157" t="e">
        <f>'All regions'!G4339+"$F;@!((I"</f>
        <v>#VALUE!</v>
      </c>
      <c r="AQ157" t="e">
        <f>'All regions'!H4339+"$F;@!((J"</f>
        <v>#VALUE!</v>
      </c>
      <c r="AR157" t="e">
        <f>'All regions'!I4339+"$F;@!((K"</f>
        <v>#VALUE!</v>
      </c>
      <c r="AS157" t="e">
        <f>'All regions'!A4340+"$F;@!((L"</f>
        <v>#VALUE!</v>
      </c>
      <c r="AT157" t="e">
        <f>'All regions'!B4340+"$F;@!((M"</f>
        <v>#VALUE!</v>
      </c>
      <c r="AU157" t="e">
        <f>'All regions'!C4340+"$F;@!((N"</f>
        <v>#VALUE!</v>
      </c>
      <c r="AV157" t="e">
        <f>'All regions'!D4340+"$F;@!((O"</f>
        <v>#VALUE!</v>
      </c>
      <c r="AW157" t="e">
        <f>'All regions'!E4340+"$F;@!((P"</f>
        <v>#VALUE!</v>
      </c>
      <c r="AX157" t="e">
        <f>'All regions'!F4340+"$F;@!((Q"</f>
        <v>#VALUE!</v>
      </c>
      <c r="AY157" t="e">
        <f>'All regions'!G4340+"$F;@!((R"</f>
        <v>#VALUE!</v>
      </c>
      <c r="AZ157" t="e">
        <f>'All regions'!H4340+"$F;@!((S"</f>
        <v>#VALUE!</v>
      </c>
      <c r="BA157" t="e">
        <f>'All regions'!I4340+"$F;@!((T"</f>
        <v>#VALUE!</v>
      </c>
      <c r="BB157" t="e">
        <f>'All regions'!A4341+"$F;@!((U"</f>
        <v>#VALUE!</v>
      </c>
      <c r="BC157" t="e">
        <f>'All regions'!B4341+"$F;@!((V"</f>
        <v>#VALUE!</v>
      </c>
      <c r="BD157" t="e">
        <f>'All regions'!C4341+"$F;@!((W"</f>
        <v>#VALUE!</v>
      </c>
      <c r="BE157" t="e">
        <f>'All regions'!D4341+"$F;@!((X"</f>
        <v>#VALUE!</v>
      </c>
      <c r="BF157" t="e">
        <f>'All regions'!E4341+"$F;@!((Y"</f>
        <v>#VALUE!</v>
      </c>
      <c r="BG157" t="e">
        <f>'All regions'!F4341+"$F;@!((Z"</f>
        <v>#VALUE!</v>
      </c>
      <c r="BH157" t="e">
        <f>'All regions'!G4341+"$F;@!((["</f>
        <v>#VALUE!</v>
      </c>
      <c r="BI157" t="e">
        <f>'All regions'!H4341+"$F;@!((\"</f>
        <v>#VALUE!</v>
      </c>
      <c r="BJ157" t="e">
        <f>'All regions'!I4341+"$F;@!((]"</f>
        <v>#VALUE!</v>
      </c>
      <c r="BK157" t="e">
        <f>'All regions'!A4342+"$F;@!((^"</f>
        <v>#VALUE!</v>
      </c>
      <c r="BL157" t="e">
        <f>'All regions'!B4342+"$F;@!((_"</f>
        <v>#VALUE!</v>
      </c>
      <c r="BM157" t="e">
        <f>'All regions'!C4342+"$F;@!((`"</f>
        <v>#VALUE!</v>
      </c>
      <c r="BN157" t="e">
        <f>'All regions'!D4342+"$F;@!((a"</f>
        <v>#VALUE!</v>
      </c>
      <c r="BO157" t="e">
        <f>'All regions'!E4342+"$F;@!((b"</f>
        <v>#VALUE!</v>
      </c>
      <c r="BP157" t="e">
        <f>'All regions'!F4342+"$F;@!((c"</f>
        <v>#VALUE!</v>
      </c>
      <c r="BQ157" t="e">
        <f>'All regions'!G4342+"$F;@!((d"</f>
        <v>#VALUE!</v>
      </c>
      <c r="BR157" t="e">
        <f>'All regions'!H4342+"$F;@!((e"</f>
        <v>#VALUE!</v>
      </c>
      <c r="BS157" t="e">
        <f>'All regions'!I4342+"$F;@!((f"</f>
        <v>#VALUE!</v>
      </c>
      <c r="BT157" t="e">
        <f>'All regions'!A4343+"$F;@!((g"</f>
        <v>#VALUE!</v>
      </c>
      <c r="BU157" t="e">
        <f>'All regions'!B4343+"$F;@!((h"</f>
        <v>#VALUE!</v>
      </c>
      <c r="BV157" t="e">
        <f>'All regions'!C4343+"$F;@!((i"</f>
        <v>#VALUE!</v>
      </c>
      <c r="BW157" t="e">
        <f>'All regions'!D4343+"$F;@!((j"</f>
        <v>#VALUE!</v>
      </c>
      <c r="BX157" t="e">
        <f>'All regions'!E4343+"$F;@!((k"</f>
        <v>#VALUE!</v>
      </c>
      <c r="BY157" t="e">
        <f>'All regions'!F4343+"$F;@!((l"</f>
        <v>#VALUE!</v>
      </c>
      <c r="BZ157" t="e">
        <f>'All regions'!G4343+"$F;@!((m"</f>
        <v>#VALUE!</v>
      </c>
      <c r="CA157" t="e">
        <f>'All regions'!H4343+"$F;@!((n"</f>
        <v>#VALUE!</v>
      </c>
      <c r="CB157" t="e">
        <f>'All regions'!I4343+"$F;@!((o"</f>
        <v>#VALUE!</v>
      </c>
      <c r="CC157" t="e">
        <f>'All regions'!A4344+"$F;@!((p"</f>
        <v>#VALUE!</v>
      </c>
      <c r="CD157" t="e">
        <f>'All regions'!B4344+"$F;@!((q"</f>
        <v>#VALUE!</v>
      </c>
      <c r="CE157" t="e">
        <f>'All regions'!C4344+"$F;@!((r"</f>
        <v>#VALUE!</v>
      </c>
      <c r="CF157" t="e">
        <f>'All regions'!D4344+"$F;@!((s"</f>
        <v>#VALUE!</v>
      </c>
      <c r="CG157" t="e">
        <f>'All regions'!E4344+"$F;@!((t"</f>
        <v>#VALUE!</v>
      </c>
      <c r="CH157" t="e">
        <f>'All regions'!F4344+"$F;@!((u"</f>
        <v>#VALUE!</v>
      </c>
      <c r="CI157" t="e">
        <f>'All regions'!G4344+"$F;@!((v"</f>
        <v>#VALUE!</v>
      </c>
      <c r="CJ157" t="e">
        <f>'All regions'!H4344+"$F;@!((w"</f>
        <v>#VALUE!</v>
      </c>
      <c r="CK157" t="e">
        <f>'All regions'!I4344+"$F;@!((x"</f>
        <v>#VALUE!</v>
      </c>
      <c r="CL157" t="e">
        <f>'All regions'!A4345+"$F;@!((y"</f>
        <v>#VALUE!</v>
      </c>
      <c r="CM157" t="e">
        <f>'All regions'!B4345+"$F;@!((z"</f>
        <v>#VALUE!</v>
      </c>
      <c r="CN157" t="e">
        <f>'All regions'!C4345+"$F;@!(({"</f>
        <v>#VALUE!</v>
      </c>
      <c r="CO157" t="e">
        <f>'All regions'!D4345+"$F;@!((|"</f>
        <v>#VALUE!</v>
      </c>
      <c r="CP157" t="e">
        <f>'All regions'!E4345+"$F;@!((}"</f>
        <v>#VALUE!</v>
      </c>
      <c r="CQ157" t="e">
        <f>'All regions'!F4345+"$F;@!((~"</f>
        <v>#VALUE!</v>
      </c>
      <c r="CR157" t="e">
        <f>'All regions'!G4345+"$F;@!()#"</f>
        <v>#VALUE!</v>
      </c>
      <c r="CS157" t="e">
        <f>'All regions'!H4345+"$F;@!()$"</f>
        <v>#VALUE!</v>
      </c>
      <c r="CT157" t="e">
        <f>'All regions'!I4345+"$F;@!()%"</f>
        <v>#VALUE!</v>
      </c>
      <c r="CU157" t="e">
        <f>'All regions'!A4346+"$F;@!()&amp;"</f>
        <v>#VALUE!</v>
      </c>
      <c r="CV157" t="e">
        <f>'All regions'!B4346+"$F;@!()'"</f>
        <v>#VALUE!</v>
      </c>
      <c r="CW157" t="e">
        <f>'All regions'!C4346+"$F;@!()("</f>
        <v>#VALUE!</v>
      </c>
      <c r="CX157" t="e">
        <f>'All regions'!D4346+"$F;@!())"</f>
        <v>#VALUE!</v>
      </c>
      <c r="CY157" t="e">
        <f>'All regions'!E4346+"$F;@!()."</f>
        <v>#VALUE!</v>
      </c>
      <c r="CZ157" t="e">
        <f>'All regions'!F4346+"$F;@!()/"</f>
        <v>#VALUE!</v>
      </c>
      <c r="DA157" t="e">
        <f>'All regions'!G4346+"$F;@!()0"</f>
        <v>#VALUE!</v>
      </c>
      <c r="DB157" t="e">
        <f>'All regions'!H4346+"$F;@!()1"</f>
        <v>#VALUE!</v>
      </c>
      <c r="DC157" t="e">
        <f>'All regions'!I4346+"$F;@!()2"</f>
        <v>#VALUE!</v>
      </c>
      <c r="DD157" t="e">
        <f>'All regions'!A4347+"$F;@!()3"</f>
        <v>#VALUE!</v>
      </c>
      <c r="DE157" t="e">
        <f>'All regions'!B4347+"$F;@!()4"</f>
        <v>#VALUE!</v>
      </c>
      <c r="DF157" t="e">
        <f>'All regions'!C4347+"$F;@!()5"</f>
        <v>#VALUE!</v>
      </c>
      <c r="DG157" t="e">
        <f>'All regions'!D4347+"$F;@!()6"</f>
        <v>#VALUE!</v>
      </c>
      <c r="DH157" t="e">
        <f>'All regions'!E4347+"$F;@!()7"</f>
        <v>#VALUE!</v>
      </c>
      <c r="DI157" t="e">
        <f>'All regions'!F4347+"$F;@!()8"</f>
        <v>#VALUE!</v>
      </c>
      <c r="DJ157" t="e">
        <f>'All regions'!G4347+"$F;@!()9"</f>
        <v>#VALUE!</v>
      </c>
      <c r="DK157" t="e">
        <f>'All regions'!H4347+"$F;@!():"</f>
        <v>#VALUE!</v>
      </c>
      <c r="DL157" t="e">
        <f>'All regions'!I4347+"$F;@!();"</f>
        <v>#VALUE!</v>
      </c>
      <c r="DM157" t="e">
        <f>'All regions'!A4348+"$F;@!()&lt;"</f>
        <v>#VALUE!</v>
      </c>
      <c r="DN157" t="e">
        <f>'All regions'!B4348+"$F;@!()="</f>
        <v>#VALUE!</v>
      </c>
      <c r="DO157" t="e">
        <f>'All regions'!C4348+"$F;@!()&gt;"</f>
        <v>#VALUE!</v>
      </c>
      <c r="DP157" t="e">
        <f>'All regions'!D4348+"$F;@!()?"</f>
        <v>#VALUE!</v>
      </c>
      <c r="DQ157" t="e">
        <f>'All regions'!E4348+"$F;@!()@"</f>
        <v>#VALUE!</v>
      </c>
      <c r="DR157" t="e">
        <f>'All regions'!F4348+"$F;@!()A"</f>
        <v>#VALUE!</v>
      </c>
      <c r="DS157" t="e">
        <f>'All regions'!G4348+"$F;@!()B"</f>
        <v>#VALUE!</v>
      </c>
      <c r="DT157" t="e">
        <f>'All regions'!H4348+"$F;@!()C"</f>
        <v>#VALUE!</v>
      </c>
      <c r="DU157" t="e">
        <f>'All regions'!I4348+"$F;@!()D"</f>
        <v>#VALUE!</v>
      </c>
      <c r="DV157" t="e">
        <f>'All regions'!A4349+"$F;@!()E"</f>
        <v>#VALUE!</v>
      </c>
      <c r="DW157" t="e">
        <f>'All regions'!B4349+"$F;@!()F"</f>
        <v>#VALUE!</v>
      </c>
      <c r="DX157" t="e">
        <f>'All regions'!C4349+"$F;@!()G"</f>
        <v>#VALUE!</v>
      </c>
      <c r="DY157" t="e">
        <f>'All regions'!D4349+"$F;@!()H"</f>
        <v>#VALUE!</v>
      </c>
      <c r="DZ157" t="e">
        <f>'All regions'!E4349+"$F;@!()I"</f>
        <v>#VALUE!</v>
      </c>
      <c r="EA157" t="e">
        <f>'All regions'!F4349+"$F;@!()J"</f>
        <v>#VALUE!</v>
      </c>
      <c r="EB157" t="e">
        <f>'All regions'!G4349+"$F;@!()K"</f>
        <v>#VALUE!</v>
      </c>
      <c r="EC157" t="e">
        <f>'All regions'!H4349+"$F;@!()L"</f>
        <v>#VALUE!</v>
      </c>
      <c r="ED157" t="e">
        <f>'All regions'!I4349+"$F;@!()M"</f>
        <v>#VALUE!</v>
      </c>
      <c r="EE157" t="e">
        <f>'All regions'!A4350+"$F;@!()N"</f>
        <v>#VALUE!</v>
      </c>
      <c r="EF157" t="e">
        <f>'All regions'!B4350+"$F;@!()O"</f>
        <v>#VALUE!</v>
      </c>
      <c r="EG157" t="e">
        <f>'All regions'!C4350+"$F;@!()P"</f>
        <v>#VALUE!</v>
      </c>
      <c r="EH157" t="e">
        <f>'All regions'!D4350+"$F;@!()Q"</f>
        <v>#VALUE!</v>
      </c>
      <c r="EI157" t="e">
        <f>'All regions'!E4350+"$F;@!()R"</f>
        <v>#VALUE!</v>
      </c>
      <c r="EJ157" t="e">
        <f>'All regions'!F4350+"$F;@!()S"</f>
        <v>#VALUE!</v>
      </c>
      <c r="EK157" t="e">
        <f>'All regions'!G4350+"$F;@!()T"</f>
        <v>#VALUE!</v>
      </c>
      <c r="EL157" t="e">
        <f>'All regions'!H4350+"$F;@!()U"</f>
        <v>#VALUE!</v>
      </c>
      <c r="EM157" t="e">
        <f>'All regions'!I4350+"$F;@!()V"</f>
        <v>#VALUE!</v>
      </c>
      <c r="EN157" t="e">
        <f>'All regions'!A4351+"$F;@!()W"</f>
        <v>#VALUE!</v>
      </c>
      <c r="EO157" t="e">
        <f>'All regions'!B4351+"$F;@!()X"</f>
        <v>#VALUE!</v>
      </c>
      <c r="EP157" t="e">
        <f>'All regions'!C4351+"$F;@!()Y"</f>
        <v>#VALUE!</v>
      </c>
      <c r="EQ157" t="e">
        <f>'All regions'!D4351+"$F;@!()Z"</f>
        <v>#VALUE!</v>
      </c>
      <c r="ER157" t="e">
        <f>'All regions'!E4351+"$F;@!()["</f>
        <v>#VALUE!</v>
      </c>
      <c r="ES157" t="e">
        <f>'All regions'!F4351+"$F;@!()\"</f>
        <v>#VALUE!</v>
      </c>
      <c r="ET157" t="e">
        <f>'All regions'!G4351+"$F;@!()]"</f>
        <v>#VALUE!</v>
      </c>
      <c r="EU157" t="e">
        <f>'All regions'!H4351+"$F;@!()^"</f>
        <v>#VALUE!</v>
      </c>
      <c r="EV157" t="e">
        <f>'All regions'!I4351+"$F;@!()_"</f>
        <v>#VALUE!</v>
      </c>
      <c r="EW157" t="e">
        <f>'All regions'!A4352+"$F;@!()`"</f>
        <v>#VALUE!</v>
      </c>
      <c r="EX157" t="e">
        <f>'All regions'!B4352+"$F;@!()a"</f>
        <v>#VALUE!</v>
      </c>
      <c r="EY157" t="e">
        <f>'All regions'!C4352+"$F;@!()b"</f>
        <v>#VALUE!</v>
      </c>
      <c r="EZ157" t="e">
        <f>'All regions'!D4352+"$F;@!()c"</f>
        <v>#VALUE!</v>
      </c>
      <c r="FA157" t="e">
        <f>'All regions'!E4352+"$F;@!()d"</f>
        <v>#VALUE!</v>
      </c>
      <c r="FB157" t="e">
        <f>'All regions'!F4352+"$F;@!()e"</f>
        <v>#VALUE!</v>
      </c>
      <c r="FC157" t="e">
        <f>'All regions'!G4352+"$F;@!()f"</f>
        <v>#VALUE!</v>
      </c>
      <c r="FD157" t="e">
        <f>'All regions'!H4352+"$F;@!()g"</f>
        <v>#VALUE!</v>
      </c>
      <c r="FE157" t="e">
        <f>'All regions'!I4352+"$F;@!()h"</f>
        <v>#VALUE!</v>
      </c>
      <c r="FF157" t="e">
        <f>'All regions'!A4353+"$F;@!()i"</f>
        <v>#VALUE!</v>
      </c>
      <c r="FG157" t="e">
        <f>'All regions'!B4353+"$F;@!()j"</f>
        <v>#VALUE!</v>
      </c>
      <c r="FH157" t="e">
        <f>'All regions'!C4353+"$F;@!()k"</f>
        <v>#VALUE!</v>
      </c>
      <c r="FI157" t="e">
        <f>'All regions'!D4353+"$F;@!()l"</f>
        <v>#VALUE!</v>
      </c>
      <c r="FJ157" t="e">
        <f>'All regions'!E4353+"$F;@!()m"</f>
        <v>#VALUE!</v>
      </c>
      <c r="FK157" t="e">
        <f>'All regions'!F4353+"$F;@!()n"</f>
        <v>#VALUE!</v>
      </c>
      <c r="FL157" t="e">
        <f>'All regions'!G4353+"$F;@!()o"</f>
        <v>#VALUE!</v>
      </c>
      <c r="FM157" t="e">
        <f>'All regions'!H4353+"$F;@!()p"</f>
        <v>#VALUE!</v>
      </c>
      <c r="FN157" t="e">
        <f>'All regions'!I4353+"$F;@!()q"</f>
        <v>#VALUE!</v>
      </c>
      <c r="FO157" t="e">
        <f>'All regions'!A4354+"$F;@!()r"</f>
        <v>#VALUE!</v>
      </c>
      <c r="FP157" t="e">
        <f>'All regions'!B4354+"$F;@!()s"</f>
        <v>#VALUE!</v>
      </c>
      <c r="FQ157" t="e">
        <f>'All regions'!C4354+"$F;@!()t"</f>
        <v>#VALUE!</v>
      </c>
      <c r="FR157" t="e">
        <f>'All regions'!D4354+"$F;@!()u"</f>
        <v>#VALUE!</v>
      </c>
      <c r="FS157" t="e">
        <f>'All regions'!E4354+"$F;@!()v"</f>
        <v>#VALUE!</v>
      </c>
      <c r="FT157" t="e">
        <f>'All regions'!F4354+"$F;@!()w"</f>
        <v>#VALUE!</v>
      </c>
      <c r="FU157" t="e">
        <f>'All regions'!G4354+"$F;@!()x"</f>
        <v>#VALUE!</v>
      </c>
      <c r="FV157" t="e">
        <f>'All regions'!H4354+"$F;@!()y"</f>
        <v>#VALUE!</v>
      </c>
      <c r="FW157" t="e">
        <f>'All regions'!I4354+"$F;@!()z"</f>
        <v>#VALUE!</v>
      </c>
      <c r="FX157" t="e">
        <f>'All regions'!A4355+"$F;@!(){"</f>
        <v>#VALUE!</v>
      </c>
      <c r="FY157" t="e">
        <f>'All regions'!B4355+"$F;@!()|"</f>
        <v>#VALUE!</v>
      </c>
      <c r="FZ157" t="e">
        <f>'All regions'!C4355+"$F;@!()}"</f>
        <v>#VALUE!</v>
      </c>
      <c r="GA157" t="e">
        <f>'All regions'!D4355+"$F;@!()~"</f>
        <v>#VALUE!</v>
      </c>
      <c r="GB157" t="e">
        <f>'All regions'!E4355+"$F;@!(.#"</f>
        <v>#VALUE!</v>
      </c>
      <c r="GC157" t="e">
        <f>'All regions'!F4355+"$F;@!(.$"</f>
        <v>#VALUE!</v>
      </c>
      <c r="GD157" t="e">
        <f>'All regions'!G4355+"$F;@!(.%"</f>
        <v>#VALUE!</v>
      </c>
      <c r="GE157" t="e">
        <f>'All regions'!H4355+"$F;@!(.&amp;"</f>
        <v>#VALUE!</v>
      </c>
      <c r="GF157" t="e">
        <f>'All regions'!I4355+"$F;@!(.'"</f>
        <v>#VALUE!</v>
      </c>
      <c r="GG157" t="e">
        <f>'All regions'!A4356+"$F;@!(.("</f>
        <v>#VALUE!</v>
      </c>
      <c r="GH157" t="e">
        <f>'All regions'!B4356+"$F;@!(.)"</f>
        <v>#VALUE!</v>
      </c>
      <c r="GI157" t="e">
        <f>'All regions'!C4356+"$F;@!(.."</f>
        <v>#VALUE!</v>
      </c>
      <c r="GJ157" t="e">
        <f>'All regions'!D4356+"$F;@!(./"</f>
        <v>#VALUE!</v>
      </c>
      <c r="GK157" t="e">
        <f>'All regions'!E4356+"$F;@!(.0"</f>
        <v>#VALUE!</v>
      </c>
      <c r="GL157" t="e">
        <f>'All regions'!F4356+"$F;@!(.1"</f>
        <v>#VALUE!</v>
      </c>
      <c r="GM157" t="e">
        <f>'All regions'!G4356+"$F;@!(.2"</f>
        <v>#VALUE!</v>
      </c>
      <c r="GN157" t="e">
        <f>'All regions'!H4356+"$F;@!(.3"</f>
        <v>#VALUE!</v>
      </c>
      <c r="GO157" t="e">
        <f>'All regions'!I4356+"$F;@!(.4"</f>
        <v>#VALUE!</v>
      </c>
      <c r="GP157" t="e">
        <f>'All regions'!A4357+"$F;@!(.5"</f>
        <v>#VALUE!</v>
      </c>
      <c r="GQ157" t="e">
        <f>'All regions'!B4357+"$F;@!(.6"</f>
        <v>#VALUE!</v>
      </c>
      <c r="GR157" t="e">
        <f>'All regions'!C4357+"$F;@!(.7"</f>
        <v>#VALUE!</v>
      </c>
      <c r="GS157" t="e">
        <f>'All regions'!D4357+"$F;@!(.8"</f>
        <v>#VALUE!</v>
      </c>
      <c r="GT157" t="e">
        <f>'All regions'!E4357+"$F;@!(.9"</f>
        <v>#VALUE!</v>
      </c>
      <c r="GU157" t="e">
        <f>'All regions'!F4357+"$F;@!(.:"</f>
        <v>#VALUE!</v>
      </c>
      <c r="GV157" t="e">
        <f>'All regions'!G4357+"$F;@!(.;"</f>
        <v>#VALUE!</v>
      </c>
      <c r="GW157" t="e">
        <f>'All regions'!H4357+"$F;@!(.&lt;"</f>
        <v>#VALUE!</v>
      </c>
      <c r="GX157" t="e">
        <f>'All regions'!I4357+"$F;@!(.="</f>
        <v>#VALUE!</v>
      </c>
      <c r="GY157" t="e">
        <f>'All regions'!A4358+"$F;@!(.&gt;"</f>
        <v>#VALUE!</v>
      </c>
      <c r="GZ157" t="e">
        <f>'All regions'!B4358+"$F;@!(.?"</f>
        <v>#VALUE!</v>
      </c>
      <c r="HA157" t="e">
        <f>'All regions'!C4358+"$F;@!(.@"</f>
        <v>#VALUE!</v>
      </c>
      <c r="HB157" t="e">
        <f>'All regions'!D4358+"$F;@!(.A"</f>
        <v>#VALUE!</v>
      </c>
      <c r="HC157" t="e">
        <f>'All regions'!E4358+"$F;@!(.B"</f>
        <v>#VALUE!</v>
      </c>
      <c r="HD157" t="e">
        <f>'All regions'!F4358+"$F;@!(.C"</f>
        <v>#VALUE!</v>
      </c>
      <c r="HE157" t="e">
        <f>'All regions'!G4358+"$F;@!(.D"</f>
        <v>#VALUE!</v>
      </c>
      <c r="HF157" t="e">
        <f>'All regions'!H4358+"$F;@!(.E"</f>
        <v>#VALUE!</v>
      </c>
      <c r="HG157" t="e">
        <f>'All regions'!I4358+"$F;@!(.F"</f>
        <v>#VALUE!</v>
      </c>
      <c r="HH157" t="e">
        <f>'All regions'!A4359+"$F;@!(.G"</f>
        <v>#VALUE!</v>
      </c>
      <c r="HI157" t="e">
        <f>'All regions'!B4359+"$F;@!(.H"</f>
        <v>#VALUE!</v>
      </c>
      <c r="HJ157" t="e">
        <f>'All regions'!C4359+"$F;@!(.I"</f>
        <v>#VALUE!</v>
      </c>
      <c r="HK157" t="e">
        <f>'All regions'!D4359+"$F;@!(.J"</f>
        <v>#VALUE!</v>
      </c>
      <c r="HL157" t="e">
        <f>'All regions'!E4359+"$F;@!(.K"</f>
        <v>#VALUE!</v>
      </c>
      <c r="HM157" t="e">
        <f>'All regions'!F4359+"$F;@!(.L"</f>
        <v>#VALUE!</v>
      </c>
      <c r="HN157" t="e">
        <f>'All regions'!G4359+"$F;@!(.M"</f>
        <v>#VALUE!</v>
      </c>
      <c r="HO157" t="e">
        <f>'All regions'!H4359+"$F;@!(.N"</f>
        <v>#VALUE!</v>
      </c>
      <c r="HP157" t="e">
        <f>'All regions'!I4359+"$F;@!(.O"</f>
        <v>#VALUE!</v>
      </c>
      <c r="HQ157" t="e">
        <f>'All regions'!A4360+"$F;@!(.P"</f>
        <v>#VALUE!</v>
      </c>
      <c r="HR157" t="e">
        <f>'All regions'!B4360+"$F;@!(.Q"</f>
        <v>#VALUE!</v>
      </c>
      <c r="HS157" t="e">
        <f>'All regions'!C4360+"$F;@!(.R"</f>
        <v>#VALUE!</v>
      </c>
      <c r="HT157" t="e">
        <f>'All regions'!D4360+"$F;@!(.S"</f>
        <v>#VALUE!</v>
      </c>
      <c r="HU157" t="e">
        <f>'All regions'!E4360+"$F;@!(.T"</f>
        <v>#VALUE!</v>
      </c>
      <c r="HV157" t="e">
        <f>'All regions'!F4360+"$F;@!(.U"</f>
        <v>#VALUE!</v>
      </c>
      <c r="HW157" t="e">
        <f>'All regions'!G4360+"$F;@!(.V"</f>
        <v>#VALUE!</v>
      </c>
      <c r="HX157" t="e">
        <f>'All regions'!H4360+"$F;@!(.W"</f>
        <v>#VALUE!</v>
      </c>
      <c r="HY157" t="e">
        <f>'All regions'!I4360+"$F;@!(.X"</f>
        <v>#VALUE!</v>
      </c>
      <c r="HZ157" t="e">
        <f>'All regions'!A4361+"$F;@!(.Y"</f>
        <v>#VALUE!</v>
      </c>
      <c r="IA157" t="e">
        <f>'All regions'!B4361+"$F;@!(.Z"</f>
        <v>#VALUE!</v>
      </c>
      <c r="IB157" t="e">
        <f>'All regions'!C4361+"$F;@!(.["</f>
        <v>#VALUE!</v>
      </c>
      <c r="IC157" t="e">
        <f>'All regions'!D4361+"$F;@!(.\"</f>
        <v>#VALUE!</v>
      </c>
      <c r="ID157" t="e">
        <f>'All regions'!E4361+"$F;@!(.]"</f>
        <v>#VALUE!</v>
      </c>
      <c r="IE157" t="e">
        <f>'All regions'!F4361+"$F;@!(.^"</f>
        <v>#VALUE!</v>
      </c>
      <c r="IF157" t="e">
        <f>'All regions'!G4361+"$F;@!(._"</f>
        <v>#VALUE!</v>
      </c>
      <c r="IG157" t="e">
        <f>'All regions'!H4361+"$F;@!(.`"</f>
        <v>#VALUE!</v>
      </c>
      <c r="IH157" t="e">
        <f>'All regions'!I4361+"$F;@!(.a"</f>
        <v>#VALUE!</v>
      </c>
      <c r="II157" t="e">
        <f>'All regions'!A4362+"$F;@!(.b"</f>
        <v>#VALUE!</v>
      </c>
      <c r="IJ157" t="e">
        <f>'All regions'!B4362+"$F;@!(.c"</f>
        <v>#VALUE!</v>
      </c>
      <c r="IK157" t="e">
        <f>'All regions'!C4362+"$F;@!(.d"</f>
        <v>#VALUE!</v>
      </c>
      <c r="IL157" t="e">
        <f>'All regions'!D4362+"$F;@!(.e"</f>
        <v>#VALUE!</v>
      </c>
      <c r="IM157" t="e">
        <f>'All regions'!E4362+"$F;@!(.f"</f>
        <v>#VALUE!</v>
      </c>
      <c r="IN157" t="e">
        <f>'All regions'!F4362+"$F;@!(.g"</f>
        <v>#VALUE!</v>
      </c>
      <c r="IO157" t="e">
        <f>'All regions'!G4362+"$F;@!(.h"</f>
        <v>#VALUE!</v>
      </c>
      <c r="IP157" t="e">
        <f>'All regions'!H4362+"$F;@!(.i"</f>
        <v>#VALUE!</v>
      </c>
      <c r="IQ157" t="e">
        <f>'All regions'!I4362+"$F;@!(.j"</f>
        <v>#VALUE!</v>
      </c>
      <c r="IR157" t="e">
        <f>'All regions'!A4363+"$F;@!(.k"</f>
        <v>#VALUE!</v>
      </c>
      <c r="IS157" t="e">
        <f>'All regions'!B4363+"$F;@!(.l"</f>
        <v>#VALUE!</v>
      </c>
      <c r="IT157" t="e">
        <f>'All regions'!C4363+"$F;@!(.m"</f>
        <v>#VALUE!</v>
      </c>
      <c r="IU157" t="e">
        <f>'All regions'!D4363+"$F;@!(.n"</f>
        <v>#VALUE!</v>
      </c>
      <c r="IV157" t="e">
        <f>'All regions'!E4363+"$F;@!(.o"</f>
        <v>#VALUE!</v>
      </c>
    </row>
    <row r="158" spans="6:256" x14ac:dyDescent="0.35">
      <c r="F158" t="e">
        <f>'All regions'!F4363+"$F;@!(.p"</f>
        <v>#VALUE!</v>
      </c>
      <c r="G158" t="e">
        <f>'All regions'!G4363+"$F;@!(.q"</f>
        <v>#VALUE!</v>
      </c>
      <c r="H158" t="e">
        <f>'All regions'!H4363+"$F;@!(.r"</f>
        <v>#VALUE!</v>
      </c>
      <c r="I158" t="e">
        <f>'All regions'!I4363+"$F;@!(.s"</f>
        <v>#VALUE!</v>
      </c>
      <c r="J158" t="e">
        <f>'All regions'!A4364+"$F;@!(.t"</f>
        <v>#VALUE!</v>
      </c>
      <c r="K158" t="e">
        <f>'All regions'!B4364+"$F;@!(.u"</f>
        <v>#VALUE!</v>
      </c>
      <c r="L158" t="e">
        <f>'All regions'!C4364+"$F;@!(.v"</f>
        <v>#VALUE!</v>
      </c>
      <c r="M158" t="e">
        <f>'All regions'!D4364+"$F;@!(.w"</f>
        <v>#VALUE!</v>
      </c>
      <c r="N158" t="e">
        <f>'All regions'!E4364+"$F;@!(.x"</f>
        <v>#VALUE!</v>
      </c>
      <c r="O158" t="e">
        <f>'All regions'!F4364+"$F;@!(.y"</f>
        <v>#VALUE!</v>
      </c>
      <c r="P158" t="e">
        <f>'All regions'!G4364+"$F;@!(.z"</f>
        <v>#VALUE!</v>
      </c>
      <c r="Q158" t="e">
        <f>'All regions'!H4364+"$F;@!(.{"</f>
        <v>#VALUE!</v>
      </c>
      <c r="R158" t="e">
        <f>'All regions'!I4364+"$F;@!(.|"</f>
        <v>#VALUE!</v>
      </c>
      <c r="S158" t="e">
        <f>'All regions'!A4365+"$F;@!(.}"</f>
        <v>#VALUE!</v>
      </c>
      <c r="T158" t="e">
        <f>'All regions'!B4365+"$F;@!(.~"</f>
        <v>#VALUE!</v>
      </c>
      <c r="U158" t="e">
        <f>'All regions'!C4365+"$F;@!(/#"</f>
        <v>#VALUE!</v>
      </c>
      <c r="V158" t="e">
        <f>'All regions'!D4365+"$F;@!(/$"</f>
        <v>#VALUE!</v>
      </c>
      <c r="W158" t="e">
        <f>'All regions'!E4365+"$F;@!(/%"</f>
        <v>#VALUE!</v>
      </c>
      <c r="X158" t="e">
        <f>'All regions'!F4365+"$F;@!(/&amp;"</f>
        <v>#VALUE!</v>
      </c>
      <c r="Y158" t="e">
        <f>'All regions'!G4365+"$F;@!(/'"</f>
        <v>#VALUE!</v>
      </c>
      <c r="Z158" t="e">
        <f>'All regions'!H4365+"$F;@!(/("</f>
        <v>#VALUE!</v>
      </c>
      <c r="AA158" t="e">
        <f>'All regions'!I4365+"$F;@!(/)"</f>
        <v>#VALUE!</v>
      </c>
      <c r="AB158" t="e">
        <f>'All regions'!A4366+"$F;@!(/."</f>
        <v>#VALUE!</v>
      </c>
      <c r="AC158" t="e">
        <f>'All regions'!B4366+"$F;@!(//"</f>
        <v>#VALUE!</v>
      </c>
      <c r="AD158" t="e">
        <f>'All regions'!C4366+"$F;@!(/0"</f>
        <v>#VALUE!</v>
      </c>
      <c r="AE158" t="e">
        <f>'All regions'!D4366+"$F;@!(/1"</f>
        <v>#VALUE!</v>
      </c>
      <c r="AF158" t="e">
        <f>'All regions'!E4366+"$F;@!(/2"</f>
        <v>#VALUE!</v>
      </c>
      <c r="AG158" t="e">
        <f>'All regions'!F4366+"$F;@!(/3"</f>
        <v>#VALUE!</v>
      </c>
      <c r="AH158" t="e">
        <f>'All regions'!G4366+"$F;@!(/4"</f>
        <v>#VALUE!</v>
      </c>
      <c r="AI158" t="e">
        <f>'All regions'!H4366+"$F;@!(/5"</f>
        <v>#VALUE!</v>
      </c>
      <c r="AJ158" t="e">
        <f>'All regions'!I4366+"$F;@!(/6"</f>
        <v>#VALUE!</v>
      </c>
      <c r="AK158" t="e">
        <f>'All regions'!A4367+"$F;@!(/7"</f>
        <v>#VALUE!</v>
      </c>
      <c r="AL158" t="e">
        <f>'All regions'!B4367+"$F;@!(/8"</f>
        <v>#VALUE!</v>
      </c>
      <c r="AM158" t="e">
        <f>'All regions'!C4367+"$F;@!(/9"</f>
        <v>#VALUE!</v>
      </c>
      <c r="AN158" t="e">
        <f>'All regions'!D4367+"$F;@!(/:"</f>
        <v>#VALUE!</v>
      </c>
      <c r="AO158" t="e">
        <f>'All regions'!E4367+"$F;@!(/;"</f>
        <v>#VALUE!</v>
      </c>
      <c r="AP158" t="e">
        <f>'All regions'!F4367+"$F;@!(/&lt;"</f>
        <v>#VALUE!</v>
      </c>
      <c r="AQ158" t="e">
        <f>'All regions'!G4367+"$F;@!(/="</f>
        <v>#VALUE!</v>
      </c>
      <c r="AR158" t="e">
        <f>'All regions'!H4367+"$F;@!(/&gt;"</f>
        <v>#VALUE!</v>
      </c>
      <c r="AS158" t="e">
        <f>'All regions'!I4367+"$F;@!(/?"</f>
        <v>#VALUE!</v>
      </c>
      <c r="AT158" t="e">
        <f>'All regions'!A4368+"$F;@!(/@"</f>
        <v>#VALUE!</v>
      </c>
      <c r="AU158" t="e">
        <f>'All regions'!B4368+"$F;@!(/A"</f>
        <v>#VALUE!</v>
      </c>
      <c r="AV158" t="e">
        <f>'All regions'!C4368+"$F;@!(/B"</f>
        <v>#VALUE!</v>
      </c>
      <c r="AW158" t="e">
        <f>'All regions'!D4368+"$F;@!(/C"</f>
        <v>#VALUE!</v>
      </c>
      <c r="AX158" t="e">
        <f>'All regions'!E4368+"$F;@!(/D"</f>
        <v>#VALUE!</v>
      </c>
      <c r="AY158" t="e">
        <f>'All regions'!F4368+"$F;@!(/E"</f>
        <v>#VALUE!</v>
      </c>
      <c r="AZ158" t="e">
        <f>'All regions'!G4368+"$F;@!(/F"</f>
        <v>#VALUE!</v>
      </c>
      <c r="BA158" t="e">
        <f>'All regions'!H4368+"$F;@!(/G"</f>
        <v>#VALUE!</v>
      </c>
      <c r="BB158" t="e">
        <f>'All regions'!I4368+"$F;@!(/H"</f>
        <v>#VALUE!</v>
      </c>
      <c r="BC158" t="e">
        <f>'All regions'!A4369+"$F;@!(/I"</f>
        <v>#VALUE!</v>
      </c>
      <c r="BD158" t="e">
        <f>'All regions'!B4369+"$F;@!(/J"</f>
        <v>#VALUE!</v>
      </c>
      <c r="BE158" t="e">
        <f>'All regions'!C4369+"$F;@!(/K"</f>
        <v>#VALUE!</v>
      </c>
      <c r="BF158" t="e">
        <f>'All regions'!D4369+"$F;@!(/L"</f>
        <v>#VALUE!</v>
      </c>
      <c r="BG158" t="e">
        <f>'All regions'!E4369+"$F;@!(/M"</f>
        <v>#VALUE!</v>
      </c>
      <c r="BH158" t="e">
        <f>'All regions'!F4369+"$F;@!(/N"</f>
        <v>#VALUE!</v>
      </c>
      <c r="BI158" t="e">
        <f>'All regions'!G4369+"$F;@!(/O"</f>
        <v>#VALUE!</v>
      </c>
      <c r="BJ158" t="e">
        <f>'All regions'!H4369+"$F;@!(/P"</f>
        <v>#VALUE!</v>
      </c>
      <c r="BK158" t="e">
        <f>'All regions'!I4369+"$F;@!(/Q"</f>
        <v>#VALUE!</v>
      </c>
      <c r="BL158" t="e">
        <f>'All regions'!A4370+"$F;@!(/R"</f>
        <v>#VALUE!</v>
      </c>
      <c r="BM158" t="e">
        <f>'All regions'!B4370+"$F;@!(/S"</f>
        <v>#VALUE!</v>
      </c>
      <c r="BN158" t="e">
        <f>'All regions'!C4370+"$F;@!(/T"</f>
        <v>#VALUE!</v>
      </c>
      <c r="BO158" t="e">
        <f>'All regions'!D4370+"$F;@!(/U"</f>
        <v>#VALUE!</v>
      </c>
      <c r="BP158" t="e">
        <f>'All regions'!E4370+"$F;@!(/V"</f>
        <v>#VALUE!</v>
      </c>
      <c r="BQ158" t="e">
        <f>'All regions'!F4370+"$F;@!(/W"</f>
        <v>#VALUE!</v>
      </c>
      <c r="BR158" t="e">
        <f>'All regions'!G4370+"$F;@!(/X"</f>
        <v>#VALUE!</v>
      </c>
      <c r="BS158" t="e">
        <f>'All regions'!H4370+"$F;@!(/Y"</f>
        <v>#VALUE!</v>
      </c>
      <c r="BT158" t="e">
        <f>'All regions'!I4370+"$F;@!(/Z"</f>
        <v>#VALUE!</v>
      </c>
      <c r="BU158" t="e">
        <f>'All regions'!A4371+"$F;@!(/["</f>
        <v>#VALUE!</v>
      </c>
      <c r="BV158" t="e">
        <f>'All regions'!B4371+"$F;@!(/\"</f>
        <v>#VALUE!</v>
      </c>
      <c r="BW158" t="e">
        <f>'All regions'!C4371+"$F;@!(/]"</f>
        <v>#VALUE!</v>
      </c>
      <c r="BX158" t="e">
        <f>'All regions'!D4371+"$F;@!(/^"</f>
        <v>#VALUE!</v>
      </c>
      <c r="BY158" t="e">
        <f>'All regions'!E4371+"$F;@!(/_"</f>
        <v>#VALUE!</v>
      </c>
      <c r="BZ158" t="e">
        <f>'All regions'!F4371+"$F;@!(/`"</f>
        <v>#VALUE!</v>
      </c>
      <c r="CA158" t="e">
        <f>'All regions'!G4371+"$F;@!(/a"</f>
        <v>#VALUE!</v>
      </c>
      <c r="CB158" t="e">
        <f>'All regions'!H4371+"$F;@!(/b"</f>
        <v>#VALUE!</v>
      </c>
      <c r="CC158" t="e">
        <f>'All regions'!I4371+"$F;@!(/c"</f>
        <v>#VALUE!</v>
      </c>
      <c r="CD158" t="e">
        <f>'All regions'!A4372+"$F;@!(/d"</f>
        <v>#VALUE!</v>
      </c>
      <c r="CE158" t="e">
        <f>'All regions'!B4372+"$F;@!(/e"</f>
        <v>#VALUE!</v>
      </c>
      <c r="CF158" t="e">
        <f>'All regions'!C4372+"$F;@!(/f"</f>
        <v>#VALUE!</v>
      </c>
      <c r="CG158" t="e">
        <f>'All regions'!D4372+"$F;@!(/g"</f>
        <v>#VALUE!</v>
      </c>
      <c r="CH158" t="e">
        <f>'All regions'!E4372+"$F;@!(/h"</f>
        <v>#VALUE!</v>
      </c>
      <c r="CI158" t="e">
        <f>'All regions'!F4372+"$F;@!(/i"</f>
        <v>#VALUE!</v>
      </c>
      <c r="CJ158" t="e">
        <f>'All regions'!G4372+"$F;@!(/j"</f>
        <v>#VALUE!</v>
      </c>
      <c r="CK158" t="e">
        <f>'All regions'!H4372+"$F;@!(/k"</f>
        <v>#VALUE!</v>
      </c>
      <c r="CL158" t="e">
        <f>'All regions'!I4372+"$F;@!(/l"</f>
        <v>#VALUE!</v>
      </c>
      <c r="CM158" t="e">
        <f>'All regions'!A4373+"$F;@!(/m"</f>
        <v>#VALUE!</v>
      </c>
      <c r="CN158" t="e">
        <f>'All regions'!B4373+"$F;@!(/n"</f>
        <v>#VALUE!</v>
      </c>
      <c r="CO158" t="e">
        <f>'All regions'!C4373+"$F;@!(/o"</f>
        <v>#VALUE!</v>
      </c>
      <c r="CP158" t="e">
        <f>'All regions'!D4373+"$F;@!(/p"</f>
        <v>#VALUE!</v>
      </c>
      <c r="CQ158" t="e">
        <f>'All regions'!E4373+"$F;@!(/q"</f>
        <v>#VALUE!</v>
      </c>
      <c r="CR158" t="e">
        <f>'All regions'!F4373+"$F;@!(/r"</f>
        <v>#VALUE!</v>
      </c>
      <c r="CS158" t="e">
        <f>'All regions'!G4373+"$F;@!(/s"</f>
        <v>#VALUE!</v>
      </c>
      <c r="CT158" t="e">
        <f>'All regions'!H4373+"$F;@!(/t"</f>
        <v>#VALUE!</v>
      </c>
      <c r="CU158" t="e">
        <f>'All regions'!I4373+"$F;@!(/u"</f>
        <v>#VALUE!</v>
      </c>
      <c r="CV158" t="e">
        <f>'All regions'!A4374+"$F;@!(/v"</f>
        <v>#VALUE!</v>
      </c>
      <c r="CW158" t="e">
        <f>'All regions'!B4374+"$F;@!(/w"</f>
        <v>#VALUE!</v>
      </c>
      <c r="CX158" t="e">
        <f>'All regions'!C4374+"$F;@!(/x"</f>
        <v>#VALUE!</v>
      </c>
      <c r="CY158" t="e">
        <f>'All regions'!D4374+"$F;@!(/y"</f>
        <v>#VALUE!</v>
      </c>
      <c r="CZ158" t="e">
        <f>'All regions'!E4374+"$F;@!(/z"</f>
        <v>#VALUE!</v>
      </c>
      <c r="DA158" t="e">
        <f>'All regions'!F4374+"$F;@!(/{"</f>
        <v>#VALUE!</v>
      </c>
      <c r="DB158" t="e">
        <f>'All regions'!G4374+"$F;@!(/|"</f>
        <v>#VALUE!</v>
      </c>
      <c r="DC158" t="e">
        <f>'All regions'!H4374+"$F;@!(/}"</f>
        <v>#VALUE!</v>
      </c>
      <c r="DD158" t="e">
        <f>'All regions'!I4374+"$F;@!(/~"</f>
        <v>#VALUE!</v>
      </c>
      <c r="DE158" t="e">
        <f>'All regions'!A4375+"$F;@!(0#"</f>
        <v>#VALUE!</v>
      </c>
      <c r="DF158" t="e">
        <f>'All regions'!B4375+"$F;@!(0$"</f>
        <v>#VALUE!</v>
      </c>
      <c r="DG158" t="e">
        <f>'All regions'!C4375+"$F;@!(0%"</f>
        <v>#VALUE!</v>
      </c>
      <c r="DH158" t="e">
        <f>'All regions'!D4375+"$F;@!(0&amp;"</f>
        <v>#VALUE!</v>
      </c>
      <c r="DI158" t="e">
        <f>'All regions'!E4375+"$F;@!(0'"</f>
        <v>#VALUE!</v>
      </c>
      <c r="DJ158" t="e">
        <f>'All regions'!F4375+"$F;@!(0("</f>
        <v>#VALUE!</v>
      </c>
      <c r="DK158" t="e">
        <f>'All regions'!G4375+"$F;@!(0)"</f>
        <v>#VALUE!</v>
      </c>
      <c r="DL158" t="e">
        <f>'All regions'!H4375+"$F;@!(0."</f>
        <v>#VALUE!</v>
      </c>
      <c r="DM158" t="e">
        <f>'All regions'!I4375+"$F;@!(0/"</f>
        <v>#VALUE!</v>
      </c>
      <c r="DN158" t="e">
        <f>'All regions'!A4376+"$F;@!(00"</f>
        <v>#VALUE!</v>
      </c>
      <c r="DO158" t="e">
        <f>'All regions'!B4376+"$F;@!(01"</f>
        <v>#VALUE!</v>
      </c>
      <c r="DP158" t="e">
        <f>'All regions'!C4376+"$F;@!(02"</f>
        <v>#VALUE!</v>
      </c>
      <c r="DQ158" t="e">
        <f>'All regions'!D4376+"$F;@!(03"</f>
        <v>#VALUE!</v>
      </c>
      <c r="DR158" t="e">
        <f>'All regions'!E4376+"$F;@!(04"</f>
        <v>#VALUE!</v>
      </c>
      <c r="DS158" t="e">
        <f>'All regions'!F4376+"$F;@!(05"</f>
        <v>#VALUE!</v>
      </c>
      <c r="DT158" t="e">
        <f>'All regions'!G4376+"$F;@!(06"</f>
        <v>#VALUE!</v>
      </c>
      <c r="DU158" t="e">
        <f>'All regions'!H4376+"$F;@!(07"</f>
        <v>#VALUE!</v>
      </c>
      <c r="DV158" t="e">
        <f>'All regions'!I4376+"$F;@!(08"</f>
        <v>#VALUE!</v>
      </c>
      <c r="DW158" t="e">
        <f>'All regions'!A4377+"$F;@!(09"</f>
        <v>#VALUE!</v>
      </c>
      <c r="DX158" t="e">
        <f>'All regions'!B4377+"$F;@!(0:"</f>
        <v>#VALUE!</v>
      </c>
      <c r="DY158" t="e">
        <f>'All regions'!C4377+"$F;@!(0;"</f>
        <v>#VALUE!</v>
      </c>
      <c r="DZ158" t="e">
        <f>'All regions'!D4377+"$F;@!(0&lt;"</f>
        <v>#VALUE!</v>
      </c>
      <c r="EA158" t="e">
        <f>'All regions'!E4377+"$F;@!(0="</f>
        <v>#VALUE!</v>
      </c>
      <c r="EB158" t="e">
        <f>'All regions'!F4377+"$F;@!(0&gt;"</f>
        <v>#VALUE!</v>
      </c>
      <c r="EC158" t="e">
        <f>'All regions'!G4377+"$F;@!(0?"</f>
        <v>#VALUE!</v>
      </c>
      <c r="ED158" t="e">
        <f>'All regions'!H4377+"$F;@!(0@"</f>
        <v>#VALUE!</v>
      </c>
      <c r="EE158" t="e">
        <f>'All regions'!I4377+"$F;@!(0A"</f>
        <v>#VALUE!</v>
      </c>
      <c r="EF158" t="e">
        <f>'All regions'!A4378+"$F;@!(0B"</f>
        <v>#VALUE!</v>
      </c>
      <c r="EG158" t="e">
        <f>'All regions'!B4378+"$F;@!(0C"</f>
        <v>#VALUE!</v>
      </c>
      <c r="EH158" t="e">
        <f>'All regions'!C4378+"$F;@!(0D"</f>
        <v>#VALUE!</v>
      </c>
      <c r="EI158" t="e">
        <f>'All regions'!D4378+"$F;@!(0E"</f>
        <v>#VALUE!</v>
      </c>
      <c r="EJ158" t="e">
        <f>'All regions'!E4378+"$F;@!(0F"</f>
        <v>#VALUE!</v>
      </c>
      <c r="EK158" t="e">
        <f>'All regions'!F4378+"$F;@!(0G"</f>
        <v>#VALUE!</v>
      </c>
      <c r="EL158" t="e">
        <f>'All regions'!G4378+"$F;@!(0H"</f>
        <v>#VALUE!</v>
      </c>
      <c r="EM158" t="e">
        <f>'All regions'!H4378+"$F;@!(0I"</f>
        <v>#VALUE!</v>
      </c>
      <c r="EN158" t="e">
        <f>'All regions'!I4378+"$F;@!(0J"</f>
        <v>#VALUE!</v>
      </c>
      <c r="EO158" t="e">
        <f>'All regions'!A4379+"$F;@!(0K"</f>
        <v>#VALUE!</v>
      </c>
      <c r="EP158" t="e">
        <f>'All regions'!B4379+"$F;@!(0L"</f>
        <v>#VALUE!</v>
      </c>
      <c r="EQ158" t="e">
        <f>'All regions'!C4379+"$F;@!(0M"</f>
        <v>#VALUE!</v>
      </c>
      <c r="ER158" t="e">
        <f>'All regions'!D4379+"$F;@!(0N"</f>
        <v>#VALUE!</v>
      </c>
      <c r="ES158" t="e">
        <f>'All regions'!E4379+"$F;@!(0O"</f>
        <v>#VALUE!</v>
      </c>
      <c r="ET158" t="e">
        <f>'All regions'!F4379+"$F;@!(0P"</f>
        <v>#VALUE!</v>
      </c>
      <c r="EU158" t="e">
        <f>'All regions'!G4379+"$F;@!(0Q"</f>
        <v>#VALUE!</v>
      </c>
      <c r="EV158" t="e">
        <f>'All regions'!H4379+"$F;@!(0R"</f>
        <v>#VALUE!</v>
      </c>
      <c r="EW158" t="e">
        <f>'All regions'!I4379+"$F;@!(0S"</f>
        <v>#VALUE!</v>
      </c>
      <c r="EX158" t="e">
        <f>'All regions'!A4380+"$F;@!(0T"</f>
        <v>#VALUE!</v>
      </c>
      <c r="EY158" t="e">
        <f>'All regions'!B4380+"$F;@!(0U"</f>
        <v>#VALUE!</v>
      </c>
      <c r="EZ158" t="e">
        <f>'All regions'!C4380+"$F;@!(0V"</f>
        <v>#VALUE!</v>
      </c>
      <c r="FA158" t="e">
        <f>'All regions'!D4380+"$F;@!(0W"</f>
        <v>#VALUE!</v>
      </c>
      <c r="FB158" t="e">
        <f>'All regions'!E4380+"$F;@!(0X"</f>
        <v>#VALUE!</v>
      </c>
      <c r="FC158" t="e">
        <f>'All regions'!F4380+"$F;@!(0Y"</f>
        <v>#VALUE!</v>
      </c>
      <c r="FD158" t="e">
        <f>'All regions'!G4380+"$F;@!(0Z"</f>
        <v>#VALUE!</v>
      </c>
      <c r="FE158" t="e">
        <f>'All regions'!H4380+"$F;@!(0["</f>
        <v>#VALUE!</v>
      </c>
      <c r="FF158" t="e">
        <f>'All regions'!I4380+"$F;@!(0\"</f>
        <v>#VALUE!</v>
      </c>
      <c r="FG158" t="e">
        <f>'All regions'!A4381+"$F;@!(0]"</f>
        <v>#VALUE!</v>
      </c>
      <c r="FH158" t="e">
        <f>'All regions'!B4381+"$F;@!(0^"</f>
        <v>#VALUE!</v>
      </c>
      <c r="FI158" t="e">
        <f>'All regions'!C4381+"$F;@!(0_"</f>
        <v>#VALUE!</v>
      </c>
      <c r="FJ158" t="e">
        <f>'All regions'!D4381+"$F;@!(0`"</f>
        <v>#VALUE!</v>
      </c>
      <c r="FK158" t="e">
        <f>'All regions'!E4381+"$F;@!(0a"</f>
        <v>#VALUE!</v>
      </c>
      <c r="FL158" t="e">
        <f>'All regions'!F4381+"$F;@!(0b"</f>
        <v>#VALUE!</v>
      </c>
      <c r="FM158" t="e">
        <f>'All regions'!G4381+"$F;@!(0c"</f>
        <v>#VALUE!</v>
      </c>
      <c r="FN158" t="e">
        <f>'All regions'!H4381+"$F;@!(0d"</f>
        <v>#VALUE!</v>
      </c>
      <c r="FO158" t="e">
        <f>'All regions'!I4381+"$F;@!(0e"</f>
        <v>#VALUE!</v>
      </c>
      <c r="FP158" t="e">
        <f>'All regions'!A4382+"$F;@!(0f"</f>
        <v>#VALUE!</v>
      </c>
      <c r="FQ158" t="e">
        <f>'All regions'!B4382+"$F;@!(0g"</f>
        <v>#VALUE!</v>
      </c>
      <c r="FR158" t="e">
        <f>'All regions'!C4382+"$F;@!(0h"</f>
        <v>#VALUE!</v>
      </c>
      <c r="FS158" t="e">
        <f>'All regions'!D4382+"$F;@!(0i"</f>
        <v>#VALUE!</v>
      </c>
      <c r="FT158" t="e">
        <f>'All regions'!E4382+"$F;@!(0j"</f>
        <v>#VALUE!</v>
      </c>
      <c r="FU158" t="e">
        <f>'All regions'!F4382+"$F;@!(0k"</f>
        <v>#VALUE!</v>
      </c>
      <c r="FV158" t="e">
        <f>'All regions'!G4382+"$F;@!(0l"</f>
        <v>#VALUE!</v>
      </c>
      <c r="FW158" t="e">
        <f>'All regions'!H4382+"$F;@!(0m"</f>
        <v>#VALUE!</v>
      </c>
      <c r="FX158" t="e">
        <f>'All regions'!I4382+"$F;@!(0n"</f>
        <v>#VALUE!</v>
      </c>
      <c r="FY158" t="e">
        <f>'All regions'!A4383+"$F;@!(0o"</f>
        <v>#VALUE!</v>
      </c>
      <c r="FZ158" t="e">
        <f>'All regions'!B4383+"$F;@!(0p"</f>
        <v>#VALUE!</v>
      </c>
      <c r="GA158" t="e">
        <f>'All regions'!C4383+"$F;@!(0q"</f>
        <v>#VALUE!</v>
      </c>
      <c r="GB158" t="e">
        <f>'All regions'!D4383+"$F;@!(0r"</f>
        <v>#VALUE!</v>
      </c>
      <c r="GC158" t="e">
        <f>'All regions'!E4383+"$F;@!(0s"</f>
        <v>#VALUE!</v>
      </c>
      <c r="GD158" t="e">
        <f>'All regions'!F4383+"$F;@!(0t"</f>
        <v>#VALUE!</v>
      </c>
      <c r="GE158" t="e">
        <f>'All regions'!G4383+"$F;@!(0u"</f>
        <v>#VALUE!</v>
      </c>
      <c r="GF158" t="e">
        <f>'All regions'!H4383+"$F;@!(0v"</f>
        <v>#VALUE!</v>
      </c>
      <c r="GG158" t="e">
        <f>'All regions'!I4383+"$F;@!(0w"</f>
        <v>#VALUE!</v>
      </c>
      <c r="GH158" t="e">
        <f>'All regions'!A4384+"$F;@!(0x"</f>
        <v>#VALUE!</v>
      </c>
      <c r="GI158" t="e">
        <f>'All regions'!B4384+"$F;@!(0y"</f>
        <v>#VALUE!</v>
      </c>
      <c r="GJ158" t="e">
        <f>'All regions'!C4384+"$F;@!(0z"</f>
        <v>#VALUE!</v>
      </c>
      <c r="GK158" t="e">
        <f>'All regions'!D4384+"$F;@!(0{"</f>
        <v>#VALUE!</v>
      </c>
      <c r="GL158" t="e">
        <f>'All regions'!E4384+"$F;@!(0|"</f>
        <v>#VALUE!</v>
      </c>
      <c r="GM158" t="e">
        <f>'All regions'!F4384+"$F;@!(0}"</f>
        <v>#VALUE!</v>
      </c>
      <c r="GN158" t="e">
        <f>'All regions'!G4384+"$F;@!(0~"</f>
        <v>#VALUE!</v>
      </c>
      <c r="GO158" t="e">
        <f>'All regions'!H4384+"$F;@!(1#"</f>
        <v>#VALUE!</v>
      </c>
      <c r="GP158" t="e">
        <f>'All regions'!I4384+"$F;@!(1$"</f>
        <v>#VALUE!</v>
      </c>
      <c r="GQ158" t="e">
        <f>'All regions'!A4385+"$F;@!(1%"</f>
        <v>#VALUE!</v>
      </c>
      <c r="GR158" t="e">
        <f>'All regions'!B4385+"$F;@!(1&amp;"</f>
        <v>#VALUE!</v>
      </c>
      <c r="GS158" t="e">
        <f>'All regions'!C4385+"$F;@!(1'"</f>
        <v>#VALUE!</v>
      </c>
      <c r="GT158" t="e">
        <f>'All regions'!D4385+"$F;@!(1("</f>
        <v>#VALUE!</v>
      </c>
      <c r="GU158" t="e">
        <f>'All regions'!E4385+"$F;@!(1)"</f>
        <v>#VALUE!</v>
      </c>
      <c r="GV158" t="e">
        <f>'All regions'!F4385+"$F;@!(1."</f>
        <v>#VALUE!</v>
      </c>
      <c r="GW158" t="e">
        <f>'All regions'!G4385+"$F;@!(1/"</f>
        <v>#VALUE!</v>
      </c>
      <c r="GX158" t="e">
        <f>'All regions'!H4385+"$F;@!(10"</f>
        <v>#VALUE!</v>
      </c>
      <c r="GY158" t="e">
        <f>'All regions'!I4385+"$F;@!(11"</f>
        <v>#VALUE!</v>
      </c>
      <c r="GZ158" t="e">
        <f>'All regions'!A4386+"$F;@!(12"</f>
        <v>#VALUE!</v>
      </c>
      <c r="HA158" t="e">
        <f>'All regions'!B4386+"$F;@!(13"</f>
        <v>#VALUE!</v>
      </c>
      <c r="HB158" t="e">
        <f>'All regions'!C4386+"$F;@!(14"</f>
        <v>#VALUE!</v>
      </c>
      <c r="HC158" t="e">
        <f>'All regions'!D4386+"$F;@!(15"</f>
        <v>#VALUE!</v>
      </c>
      <c r="HD158" t="e">
        <f>'All regions'!E4386+"$F;@!(16"</f>
        <v>#VALUE!</v>
      </c>
      <c r="HE158" t="e">
        <f>'All regions'!F4386+"$F;@!(17"</f>
        <v>#VALUE!</v>
      </c>
      <c r="HF158" t="e">
        <f>'All regions'!G4386+"$F;@!(18"</f>
        <v>#VALUE!</v>
      </c>
      <c r="HG158" t="e">
        <f>'All regions'!H4386+"$F;@!(19"</f>
        <v>#VALUE!</v>
      </c>
      <c r="HH158" t="e">
        <f>'All regions'!I4386+"$F;@!(1:"</f>
        <v>#VALUE!</v>
      </c>
      <c r="HI158" t="e">
        <f>'All regions'!A4387+"$F;@!(1;"</f>
        <v>#VALUE!</v>
      </c>
      <c r="HJ158" t="e">
        <f>'All regions'!B4387+"$F;@!(1&lt;"</f>
        <v>#VALUE!</v>
      </c>
      <c r="HK158" t="e">
        <f>'All regions'!C4387+"$F;@!(1="</f>
        <v>#VALUE!</v>
      </c>
      <c r="HL158" t="e">
        <f>'All regions'!D4387+"$F;@!(1&gt;"</f>
        <v>#VALUE!</v>
      </c>
      <c r="HM158" t="e">
        <f>'All regions'!E4387+"$F;@!(1?"</f>
        <v>#VALUE!</v>
      </c>
      <c r="HN158" t="e">
        <f>'All regions'!F4387+"$F;@!(1@"</f>
        <v>#VALUE!</v>
      </c>
      <c r="HO158" t="e">
        <f>'All regions'!G4387+"$F;@!(1A"</f>
        <v>#VALUE!</v>
      </c>
      <c r="HP158" t="e">
        <f>'All regions'!H4387+"$F;@!(1B"</f>
        <v>#VALUE!</v>
      </c>
      <c r="HQ158" t="e">
        <f>'All regions'!I4387+"$F;@!(1C"</f>
        <v>#VALUE!</v>
      </c>
      <c r="HR158" t="e">
        <f>'All regions'!A4388+"$F;@!(1D"</f>
        <v>#VALUE!</v>
      </c>
      <c r="HS158" t="e">
        <f>'All regions'!B4388+"$F;@!(1E"</f>
        <v>#VALUE!</v>
      </c>
      <c r="HT158" t="e">
        <f>'All regions'!C4388+"$F;@!(1F"</f>
        <v>#VALUE!</v>
      </c>
      <c r="HU158" t="e">
        <f>'All regions'!D4388+"$F;@!(1G"</f>
        <v>#VALUE!</v>
      </c>
      <c r="HV158" t="e">
        <f>'All regions'!E4388+"$F;@!(1H"</f>
        <v>#VALUE!</v>
      </c>
      <c r="HW158" t="e">
        <f>'All regions'!F4388+"$F;@!(1I"</f>
        <v>#VALUE!</v>
      </c>
      <c r="HX158" t="e">
        <f>'All regions'!G4388+"$F;@!(1J"</f>
        <v>#VALUE!</v>
      </c>
      <c r="HY158" t="e">
        <f>'All regions'!H4388+"$F;@!(1K"</f>
        <v>#VALUE!</v>
      </c>
      <c r="HZ158" t="e">
        <f>'All regions'!I4388+"$F;@!(1L"</f>
        <v>#VALUE!</v>
      </c>
      <c r="IA158" t="e">
        <f>'All regions'!A4389+"$F;@!(1M"</f>
        <v>#VALUE!</v>
      </c>
      <c r="IB158" t="e">
        <f>'All regions'!B4389+"$F;@!(1N"</f>
        <v>#VALUE!</v>
      </c>
      <c r="IC158" t="e">
        <f>'All regions'!C4389+"$F;@!(1O"</f>
        <v>#VALUE!</v>
      </c>
      <c r="ID158" t="e">
        <f>'All regions'!D4389+"$F;@!(1P"</f>
        <v>#VALUE!</v>
      </c>
      <c r="IE158" t="e">
        <f>'All regions'!E4389+"$F;@!(1Q"</f>
        <v>#VALUE!</v>
      </c>
      <c r="IF158" t="e">
        <f>'All regions'!F4389+"$F;@!(1R"</f>
        <v>#VALUE!</v>
      </c>
      <c r="IG158" t="e">
        <f>'All regions'!G4389+"$F;@!(1S"</f>
        <v>#VALUE!</v>
      </c>
      <c r="IH158" t="e">
        <f>'All regions'!H4389+"$F;@!(1T"</f>
        <v>#VALUE!</v>
      </c>
      <c r="II158" t="e">
        <f>'All regions'!I4389+"$F;@!(1U"</f>
        <v>#VALUE!</v>
      </c>
      <c r="IJ158" t="e">
        <f>'All regions'!A4390+"$F;@!(1V"</f>
        <v>#VALUE!</v>
      </c>
      <c r="IK158" t="e">
        <f>'All regions'!B4390+"$F;@!(1W"</f>
        <v>#VALUE!</v>
      </c>
      <c r="IL158" t="e">
        <f>'All regions'!C4390+"$F;@!(1X"</f>
        <v>#VALUE!</v>
      </c>
      <c r="IM158" t="e">
        <f>'All regions'!D4390+"$F;@!(1Y"</f>
        <v>#VALUE!</v>
      </c>
      <c r="IN158" t="e">
        <f>'All regions'!E4390+"$F;@!(1Z"</f>
        <v>#VALUE!</v>
      </c>
      <c r="IO158" t="e">
        <f>'All regions'!F4390+"$F;@!(1["</f>
        <v>#VALUE!</v>
      </c>
      <c r="IP158" t="e">
        <f>'All regions'!G4390+"$F;@!(1\"</f>
        <v>#VALUE!</v>
      </c>
      <c r="IQ158" t="e">
        <f>'All regions'!H4390+"$F;@!(1]"</f>
        <v>#VALUE!</v>
      </c>
      <c r="IR158" t="e">
        <f>'All regions'!I4390+"$F;@!(1^"</f>
        <v>#VALUE!</v>
      </c>
      <c r="IS158" t="e">
        <f>'All regions'!A4391+"$F;@!(1_"</f>
        <v>#VALUE!</v>
      </c>
      <c r="IT158" t="e">
        <f>'All regions'!B4391+"$F;@!(1`"</f>
        <v>#VALUE!</v>
      </c>
      <c r="IU158" t="e">
        <f>'All regions'!C4391+"$F;@!(1a"</f>
        <v>#VALUE!</v>
      </c>
      <c r="IV158" t="e">
        <f>'All regions'!D4391+"$F;@!(1b"</f>
        <v>#VALUE!</v>
      </c>
    </row>
    <row r="159" spans="6:256" x14ac:dyDescent="0.35">
      <c r="F159" t="e">
        <f>'All regions'!E4391+"$F;@!(1c"</f>
        <v>#VALUE!</v>
      </c>
      <c r="G159" t="e">
        <f>'All regions'!F4391+"$F;@!(1d"</f>
        <v>#VALUE!</v>
      </c>
      <c r="H159" t="e">
        <f>'All regions'!G4391+"$F;@!(1e"</f>
        <v>#VALUE!</v>
      </c>
      <c r="I159" t="e">
        <f>'All regions'!H4391+"$F;@!(1f"</f>
        <v>#VALUE!</v>
      </c>
      <c r="J159" t="e">
        <f>'All regions'!I4391+"$F;@!(1g"</f>
        <v>#VALUE!</v>
      </c>
      <c r="K159" t="e">
        <f>'All regions'!A4392+"$F;@!(1h"</f>
        <v>#VALUE!</v>
      </c>
      <c r="L159" t="e">
        <f>'All regions'!B4392+"$F;@!(1i"</f>
        <v>#VALUE!</v>
      </c>
      <c r="M159" t="e">
        <f>'All regions'!C4392+"$F;@!(1j"</f>
        <v>#VALUE!</v>
      </c>
      <c r="N159" t="e">
        <f>'All regions'!D4392+"$F;@!(1k"</f>
        <v>#VALUE!</v>
      </c>
      <c r="O159" t="e">
        <f>'All regions'!E4392+"$F;@!(1l"</f>
        <v>#VALUE!</v>
      </c>
      <c r="P159" t="e">
        <f>'All regions'!F4392+"$F;@!(1m"</f>
        <v>#VALUE!</v>
      </c>
      <c r="Q159" t="e">
        <f>'All regions'!G4392+"$F;@!(1n"</f>
        <v>#VALUE!</v>
      </c>
      <c r="R159" t="e">
        <f>'All regions'!H4392+"$F;@!(1o"</f>
        <v>#VALUE!</v>
      </c>
      <c r="S159" t="e">
        <f>'All regions'!I4392+"$F;@!(1p"</f>
        <v>#VALUE!</v>
      </c>
      <c r="T159" t="e">
        <f>'All regions'!A4393+"$F;@!(1q"</f>
        <v>#VALUE!</v>
      </c>
      <c r="U159" t="e">
        <f>'All regions'!B4393+"$F;@!(1r"</f>
        <v>#VALUE!</v>
      </c>
      <c r="V159" t="e">
        <f>'All regions'!C4393+"$F;@!(1s"</f>
        <v>#VALUE!</v>
      </c>
      <c r="W159" t="e">
        <f>'All regions'!D4393+"$F;@!(1t"</f>
        <v>#VALUE!</v>
      </c>
      <c r="X159" t="e">
        <f>'All regions'!E4393+"$F;@!(1u"</f>
        <v>#VALUE!</v>
      </c>
      <c r="Y159" t="e">
        <f>'All regions'!F4393+"$F;@!(1v"</f>
        <v>#VALUE!</v>
      </c>
      <c r="Z159" t="e">
        <f>'All regions'!G4393+"$F;@!(1w"</f>
        <v>#VALUE!</v>
      </c>
      <c r="AA159" t="e">
        <f>'All regions'!H4393+"$F;@!(1x"</f>
        <v>#VALUE!</v>
      </c>
      <c r="AB159" t="e">
        <f>'All regions'!I4393+"$F;@!(1y"</f>
        <v>#VALUE!</v>
      </c>
      <c r="AC159" t="e">
        <f>'All regions'!A4394+"$F;@!(1z"</f>
        <v>#VALUE!</v>
      </c>
      <c r="AD159" t="e">
        <f>'All regions'!B4394+"$F;@!(1{"</f>
        <v>#VALUE!</v>
      </c>
      <c r="AE159" t="e">
        <f>'All regions'!C4394+"$F;@!(1|"</f>
        <v>#VALUE!</v>
      </c>
      <c r="AF159" t="e">
        <f>'All regions'!D4394+"$F;@!(1}"</f>
        <v>#VALUE!</v>
      </c>
      <c r="AG159" t="e">
        <f>'All regions'!E4394+"$F;@!(1~"</f>
        <v>#VALUE!</v>
      </c>
      <c r="AH159" t="e">
        <f>'All regions'!F4394+"$F;@!(2#"</f>
        <v>#VALUE!</v>
      </c>
      <c r="AI159" t="e">
        <f>'All regions'!G4394+"$F;@!(2$"</f>
        <v>#VALUE!</v>
      </c>
      <c r="AJ159" t="e">
        <f>'All regions'!H4394+"$F;@!(2%"</f>
        <v>#VALUE!</v>
      </c>
      <c r="AK159" t="e">
        <f>'All regions'!I4394+"$F;@!(2&amp;"</f>
        <v>#VALUE!</v>
      </c>
      <c r="AL159" t="e">
        <f>'All regions'!A4395+"$F;@!(2'"</f>
        <v>#VALUE!</v>
      </c>
      <c r="AM159" t="e">
        <f>'All regions'!B4395+"$F;@!(2("</f>
        <v>#VALUE!</v>
      </c>
      <c r="AN159" t="e">
        <f>'All regions'!C4395+"$F;@!(2)"</f>
        <v>#VALUE!</v>
      </c>
      <c r="AO159" t="e">
        <f>'All regions'!D4395+"$F;@!(2."</f>
        <v>#VALUE!</v>
      </c>
      <c r="AP159" t="e">
        <f>'All regions'!E4395+"$F;@!(2/"</f>
        <v>#VALUE!</v>
      </c>
      <c r="AQ159" t="e">
        <f>'All regions'!F4395+"$F;@!(20"</f>
        <v>#VALUE!</v>
      </c>
      <c r="AR159" t="e">
        <f>'All regions'!G4395+"$F;@!(21"</f>
        <v>#VALUE!</v>
      </c>
      <c r="AS159" t="e">
        <f>'All regions'!H4395+"$F;@!(22"</f>
        <v>#VALUE!</v>
      </c>
      <c r="AT159" t="e">
        <f>'All regions'!I4395+"$F;@!(23"</f>
        <v>#VALUE!</v>
      </c>
      <c r="AU159" t="e">
        <f>'All regions'!A4396+"$F;@!(24"</f>
        <v>#VALUE!</v>
      </c>
      <c r="AV159" t="e">
        <f>'All regions'!B4396+"$F;@!(25"</f>
        <v>#VALUE!</v>
      </c>
      <c r="AW159" t="e">
        <f>'All regions'!C4396+"$F;@!(26"</f>
        <v>#VALUE!</v>
      </c>
      <c r="AX159" t="e">
        <f>'All regions'!D4396+"$F;@!(27"</f>
        <v>#VALUE!</v>
      </c>
      <c r="AY159" t="e">
        <f>'All regions'!E4396+"$F;@!(28"</f>
        <v>#VALUE!</v>
      </c>
      <c r="AZ159" t="e">
        <f>'All regions'!F4396+"$F;@!(29"</f>
        <v>#VALUE!</v>
      </c>
      <c r="BA159" t="e">
        <f>'All regions'!G4396+"$F;@!(2:"</f>
        <v>#VALUE!</v>
      </c>
      <c r="BB159" t="e">
        <f>'All regions'!H4396+"$F;@!(2;"</f>
        <v>#VALUE!</v>
      </c>
      <c r="BC159" t="e">
        <f>'All regions'!I4396+"$F;@!(2&lt;"</f>
        <v>#VALUE!</v>
      </c>
      <c r="BD159" t="e">
        <f>'All regions'!A4397+"$F;@!(2="</f>
        <v>#VALUE!</v>
      </c>
      <c r="BE159" t="e">
        <f>'All regions'!B4397+"$F;@!(2&gt;"</f>
        <v>#VALUE!</v>
      </c>
      <c r="BF159" t="e">
        <f>'All regions'!C4397+"$F;@!(2?"</f>
        <v>#VALUE!</v>
      </c>
      <c r="BG159" t="e">
        <f>'All regions'!D4397+"$F;@!(2@"</f>
        <v>#VALUE!</v>
      </c>
      <c r="BH159" t="e">
        <f>'All regions'!E4397+"$F;@!(2A"</f>
        <v>#VALUE!</v>
      </c>
      <c r="BI159" t="e">
        <f>'All regions'!F4397+"$F;@!(2B"</f>
        <v>#VALUE!</v>
      </c>
      <c r="BJ159" t="e">
        <f>'All regions'!G4397+"$F;@!(2C"</f>
        <v>#VALUE!</v>
      </c>
      <c r="BK159" t="e">
        <f>'All regions'!H4397+"$F;@!(2D"</f>
        <v>#VALUE!</v>
      </c>
      <c r="BL159" t="e">
        <f>'All regions'!I4397+"$F;@!(2E"</f>
        <v>#VALUE!</v>
      </c>
      <c r="BM159" t="e">
        <f>'All regions'!A4398+"$F;@!(2F"</f>
        <v>#VALUE!</v>
      </c>
      <c r="BN159" t="e">
        <f>'All regions'!B4398+"$F;@!(2G"</f>
        <v>#VALUE!</v>
      </c>
      <c r="BO159" t="e">
        <f>'All regions'!C4398+"$F;@!(2H"</f>
        <v>#VALUE!</v>
      </c>
      <c r="BP159" t="e">
        <f>'All regions'!D4398+"$F;@!(2I"</f>
        <v>#VALUE!</v>
      </c>
      <c r="BQ159" t="e">
        <f>'All regions'!E4398+"$F;@!(2J"</f>
        <v>#VALUE!</v>
      </c>
      <c r="BR159" t="e">
        <f>'All regions'!F4398+"$F;@!(2K"</f>
        <v>#VALUE!</v>
      </c>
      <c r="BS159" t="e">
        <f>'All regions'!G4398+"$F;@!(2L"</f>
        <v>#VALUE!</v>
      </c>
      <c r="BT159" t="e">
        <f>'All regions'!H4398+"$F;@!(2M"</f>
        <v>#VALUE!</v>
      </c>
      <c r="BU159" t="e">
        <f>'All regions'!I4398+"$F;@!(2N"</f>
        <v>#VALUE!</v>
      </c>
      <c r="BV159" t="e">
        <f>'All regions'!A4399+"$F;@!(2O"</f>
        <v>#VALUE!</v>
      </c>
      <c r="BW159" t="e">
        <f>'All regions'!B4399+"$F;@!(2P"</f>
        <v>#VALUE!</v>
      </c>
      <c r="BX159" t="e">
        <f>'All regions'!C4399+"$F;@!(2Q"</f>
        <v>#VALUE!</v>
      </c>
      <c r="BY159" t="e">
        <f>'All regions'!D4399+"$F;@!(2R"</f>
        <v>#VALUE!</v>
      </c>
      <c r="BZ159" t="e">
        <f>'All regions'!E4399+"$F;@!(2S"</f>
        <v>#VALUE!</v>
      </c>
      <c r="CA159" t="e">
        <f>'All regions'!F4399+"$F;@!(2T"</f>
        <v>#VALUE!</v>
      </c>
      <c r="CB159" t="e">
        <f>'All regions'!G4399+"$F;@!(2U"</f>
        <v>#VALUE!</v>
      </c>
      <c r="CC159" t="e">
        <f>'All regions'!H4399+"$F;@!(2V"</f>
        <v>#VALUE!</v>
      </c>
      <c r="CD159" t="e">
        <f>'All regions'!I4399+"$F;@!(2W"</f>
        <v>#VALUE!</v>
      </c>
      <c r="CE159" t="e">
        <f>'All regions'!A4400+"$F;@!(2X"</f>
        <v>#VALUE!</v>
      </c>
      <c r="CF159" t="e">
        <f>'All regions'!B4400+"$F;@!(2Y"</f>
        <v>#VALUE!</v>
      </c>
      <c r="CG159" t="e">
        <f>'All regions'!C4400+"$F;@!(2Z"</f>
        <v>#VALUE!</v>
      </c>
      <c r="CH159" t="e">
        <f>'All regions'!D4400+"$F;@!(2["</f>
        <v>#VALUE!</v>
      </c>
      <c r="CI159" t="e">
        <f>'All regions'!E4400+"$F;@!(2\"</f>
        <v>#VALUE!</v>
      </c>
      <c r="CJ159" t="e">
        <f>'All regions'!F4400+"$F;@!(2]"</f>
        <v>#VALUE!</v>
      </c>
      <c r="CK159" t="e">
        <f>'All regions'!G4400+"$F;@!(2^"</f>
        <v>#VALUE!</v>
      </c>
      <c r="CL159" t="e">
        <f>'All regions'!H4400+"$F;@!(2_"</f>
        <v>#VALUE!</v>
      </c>
      <c r="CM159" t="e">
        <f>'All regions'!I4400+"$F;@!(2`"</f>
        <v>#VALUE!</v>
      </c>
      <c r="CN159" t="e">
        <f>'All regions'!A4401+"$F;@!(2a"</f>
        <v>#VALUE!</v>
      </c>
      <c r="CO159" t="e">
        <f>'All regions'!B4401+"$F;@!(2b"</f>
        <v>#VALUE!</v>
      </c>
      <c r="CP159" t="e">
        <f>'All regions'!C4401+"$F;@!(2c"</f>
        <v>#VALUE!</v>
      </c>
      <c r="CQ159" t="e">
        <f>'All regions'!D4401+"$F;@!(2d"</f>
        <v>#VALUE!</v>
      </c>
      <c r="CR159" t="e">
        <f>'All regions'!E4401+"$F;@!(2e"</f>
        <v>#VALUE!</v>
      </c>
      <c r="CS159" t="e">
        <f>'All regions'!F4401+"$F;@!(2f"</f>
        <v>#VALUE!</v>
      </c>
      <c r="CT159" t="e">
        <f>'All regions'!G4401+"$F;@!(2g"</f>
        <v>#VALUE!</v>
      </c>
      <c r="CU159" t="e">
        <f>'All regions'!H4401+"$F;@!(2h"</f>
        <v>#VALUE!</v>
      </c>
      <c r="CV159" t="e">
        <f>'All regions'!I4401+"$F;@!(2i"</f>
        <v>#VALUE!</v>
      </c>
      <c r="CW159" t="e">
        <f>'All regions'!A4402+"$F;@!(2j"</f>
        <v>#VALUE!</v>
      </c>
      <c r="CX159" t="e">
        <f>'All regions'!B4402+"$F;@!(2k"</f>
        <v>#VALUE!</v>
      </c>
      <c r="CY159" t="e">
        <f>'All regions'!C4402+"$F;@!(2l"</f>
        <v>#VALUE!</v>
      </c>
      <c r="CZ159" t="e">
        <f>'All regions'!D4402+"$F;@!(2m"</f>
        <v>#VALUE!</v>
      </c>
      <c r="DA159" t="e">
        <f>'All regions'!E4402+"$F;@!(2n"</f>
        <v>#VALUE!</v>
      </c>
      <c r="DB159" t="e">
        <f>'All regions'!F4402+"$F;@!(2o"</f>
        <v>#VALUE!</v>
      </c>
      <c r="DC159" t="e">
        <f>'All regions'!G4402+"$F;@!(2p"</f>
        <v>#VALUE!</v>
      </c>
      <c r="DD159" t="e">
        <f>'All regions'!H4402+"$F;@!(2q"</f>
        <v>#VALUE!</v>
      </c>
      <c r="DE159" t="e">
        <f>'All regions'!I4402+"$F;@!(2r"</f>
        <v>#VALUE!</v>
      </c>
      <c r="DF159" t="e">
        <f>'All regions'!A4403+"$F;@!(2s"</f>
        <v>#VALUE!</v>
      </c>
      <c r="DG159" t="e">
        <f>'All regions'!B4403+"$F;@!(2t"</f>
        <v>#VALUE!</v>
      </c>
      <c r="DH159" t="e">
        <f>'All regions'!C4403+"$F;@!(2u"</f>
        <v>#VALUE!</v>
      </c>
      <c r="DI159" t="e">
        <f>'All regions'!D4403+"$F;@!(2v"</f>
        <v>#VALUE!</v>
      </c>
      <c r="DJ159" t="e">
        <f>'All regions'!E4403+"$F;@!(2w"</f>
        <v>#VALUE!</v>
      </c>
      <c r="DK159" t="e">
        <f>'All regions'!F4403+"$F;@!(2x"</f>
        <v>#VALUE!</v>
      </c>
      <c r="DL159" t="e">
        <f>'All regions'!G4403+"$F;@!(2y"</f>
        <v>#VALUE!</v>
      </c>
      <c r="DM159" t="e">
        <f>'All regions'!H4403+"$F;@!(2z"</f>
        <v>#VALUE!</v>
      </c>
      <c r="DN159" t="e">
        <f>'All regions'!I4403+"$F;@!(2{"</f>
        <v>#VALUE!</v>
      </c>
      <c r="DO159" t="e">
        <f>'All regions'!A4404+"$F;@!(2|"</f>
        <v>#VALUE!</v>
      </c>
      <c r="DP159" t="e">
        <f>'All regions'!B4404+"$F;@!(2}"</f>
        <v>#VALUE!</v>
      </c>
      <c r="DQ159" t="e">
        <f>'All regions'!C4404+"$F;@!(2~"</f>
        <v>#VALUE!</v>
      </c>
      <c r="DR159" t="e">
        <f>'All regions'!D4404+"$F;@!(3#"</f>
        <v>#VALUE!</v>
      </c>
      <c r="DS159" t="e">
        <f>'All regions'!E4404+"$F;@!(3$"</f>
        <v>#VALUE!</v>
      </c>
      <c r="DT159" t="e">
        <f>'All regions'!F4404+"$F;@!(3%"</f>
        <v>#VALUE!</v>
      </c>
      <c r="DU159" t="e">
        <f>'All regions'!G4404+"$F;@!(3&amp;"</f>
        <v>#VALUE!</v>
      </c>
      <c r="DV159" t="e">
        <f>'All regions'!H4404+"$F;@!(3'"</f>
        <v>#VALUE!</v>
      </c>
      <c r="DW159" t="e">
        <f>'All regions'!I4404+"$F;@!(3("</f>
        <v>#VALUE!</v>
      </c>
      <c r="DX159" t="e">
        <f>'All regions'!A4405+"$F;@!(3)"</f>
        <v>#VALUE!</v>
      </c>
      <c r="DY159" t="e">
        <f>'All regions'!B4405+"$F;@!(3."</f>
        <v>#VALUE!</v>
      </c>
      <c r="DZ159" t="e">
        <f>'All regions'!C4405+"$F;@!(3/"</f>
        <v>#VALUE!</v>
      </c>
      <c r="EA159" t="e">
        <f>'All regions'!D4405+"$F;@!(30"</f>
        <v>#VALUE!</v>
      </c>
      <c r="EB159" t="e">
        <f>'All regions'!E4405+"$F;@!(31"</f>
        <v>#VALUE!</v>
      </c>
      <c r="EC159" t="e">
        <f>'All regions'!F4405+"$F;@!(32"</f>
        <v>#VALUE!</v>
      </c>
      <c r="ED159" t="e">
        <f>'All regions'!G4405+"$F;@!(33"</f>
        <v>#VALUE!</v>
      </c>
      <c r="EE159" t="e">
        <f>'All regions'!H4405+"$F;@!(34"</f>
        <v>#VALUE!</v>
      </c>
      <c r="EF159" t="e">
        <f>'All regions'!I4405+"$F;@!(35"</f>
        <v>#VALUE!</v>
      </c>
      <c r="EG159" t="e">
        <f>'All regions'!A4406+"$F;@!(36"</f>
        <v>#VALUE!</v>
      </c>
      <c r="EH159" t="e">
        <f>'All regions'!B4406+"$F;@!(37"</f>
        <v>#VALUE!</v>
      </c>
      <c r="EI159" t="e">
        <f>'All regions'!C4406+"$F;@!(38"</f>
        <v>#VALUE!</v>
      </c>
      <c r="EJ159" t="e">
        <f>'All regions'!D4406+"$F;@!(39"</f>
        <v>#VALUE!</v>
      </c>
      <c r="EK159" t="e">
        <f>'All regions'!E4406+"$F;@!(3:"</f>
        <v>#VALUE!</v>
      </c>
      <c r="EL159" t="e">
        <f>'All regions'!F4406+"$F;@!(3;"</f>
        <v>#VALUE!</v>
      </c>
      <c r="EM159" t="e">
        <f>'All regions'!G4406+"$F;@!(3&lt;"</f>
        <v>#VALUE!</v>
      </c>
      <c r="EN159" t="e">
        <f>'All regions'!H4406+"$F;@!(3="</f>
        <v>#VALUE!</v>
      </c>
      <c r="EO159" t="e">
        <f>'All regions'!I4406+"$F;@!(3&gt;"</f>
        <v>#VALUE!</v>
      </c>
      <c r="EP159" t="e">
        <f>'All regions'!A4407+"$F;@!(3?"</f>
        <v>#VALUE!</v>
      </c>
      <c r="EQ159" t="e">
        <f>'All regions'!B4407+"$F;@!(3@"</f>
        <v>#VALUE!</v>
      </c>
      <c r="ER159" t="e">
        <f>'All regions'!C4407+"$F;@!(3A"</f>
        <v>#VALUE!</v>
      </c>
      <c r="ES159" t="e">
        <f>'All regions'!D4407+"$F;@!(3B"</f>
        <v>#VALUE!</v>
      </c>
      <c r="ET159" t="e">
        <f>'All regions'!E4407+"$F;@!(3C"</f>
        <v>#VALUE!</v>
      </c>
      <c r="EU159" t="e">
        <f>'All regions'!F4407+"$F;@!(3D"</f>
        <v>#VALUE!</v>
      </c>
      <c r="EV159" t="e">
        <f>'All regions'!G4407+"$F;@!(3E"</f>
        <v>#VALUE!</v>
      </c>
      <c r="EW159" t="e">
        <f>'All regions'!H4407+"$F;@!(3F"</f>
        <v>#VALUE!</v>
      </c>
      <c r="EX159" t="e">
        <f>'All regions'!I4407+"$F;@!(3G"</f>
        <v>#VALUE!</v>
      </c>
      <c r="EY159" t="e">
        <f>'All regions'!A4408+"$F;@!(3H"</f>
        <v>#VALUE!</v>
      </c>
      <c r="EZ159" t="e">
        <f>'All regions'!B4408+"$F;@!(3I"</f>
        <v>#VALUE!</v>
      </c>
      <c r="FA159" t="e">
        <f>'All regions'!C4408+"$F;@!(3J"</f>
        <v>#VALUE!</v>
      </c>
      <c r="FB159" t="e">
        <f>'All regions'!D4408+"$F;@!(3K"</f>
        <v>#VALUE!</v>
      </c>
      <c r="FC159" t="e">
        <f>'All regions'!E4408+"$F;@!(3L"</f>
        <v>#VALUE!</v>
      </c>
      <c r="FD159" t="e">
        <f>'All regions'!F4408+"$F;@!(3M"</f>
        <v>#VALUE!</v>
      </c>
      <c r="FE159" t="e">
        <f>'All regions'!G4408+"$F;@!(3N"</f>
        <v>#VALUE!</v>
      </c>
      <c r="FF159" t="e">
        <f>'All regions'!H4408+"$F;@!(3O"</f>
        <v>#VALUE!</v>
      </c>
      <c r="FG159" t="e">
        <f>'All regions'!I4408+"$F;@!(3P"</f>
        <v>#VALUE!</v>
      </c>
      <c r="FH159" t="e">
        <f>'All regions'!A4409+"$F;@!(3Q"</f>
        <v>#VALUE!</v>
      </c>
      <c r="FI159" t="e">
        <f>'All regions'!B4409+"$F;@!(3R"</f>
        <v>#VALUE!</v>
      </c>
      <c r="FJ159" t="e">
        <f>'All regions'!C4409+"$F;@!(3S"</f>
        <v>#VALUE!</v>
      </c>
      <c r="FK159" t="e">
        <f>'All regions'!D4409+"$F;@!(3T"</f>
        <v>#VALUE!</v>
      </c>
      <c r="FL159" t="e">
        <f>'All regions'!E4409+"$F;@!(3U"</f>
        <v>#VALUE!</v>
      </c>
      <c r="FM159" t="e">
        <f>'All regions'!F4409+"$F;@!(3V"</f>
        <v>#VALUE!</v>
      </c>
      <c r="FN159" t="e">
        <f>'All regions'!G4409+"$F;@!(3W"</f>
        <v>#VALUE!</v>
      </c>
      <c r="FO159" t="e">
        <f>'All regions'!H4409+"$F;@!(3X"</f>
        <v>#VALUE!</v>
      </c>
      <c r="FP159" t="e">
        <f>'All regions'!I4409+"$F;@!(3Y"</f>
        <v>#VALUE!</v>
      </c>
      <c r="FQ159" t="e">
        <f>'All regions'!A4410+"$F;@!(3Z"</f>
        <v>#VALUE!</v>
      </c>
      <c r="FR159" t="e">
        <f>'All regions'!B4410+"$F;@!(3["</f>
        <v>#VALUE!</v>
      </c>
      <c r="FS159" t="e">
        <f>'All regions'!C4410+"$F;@!(3\"</f>
        <v>#VALUE!</v>
      </c>
      <c r="FT159" t="e">
        <f>'All regions'!D4410+"$F;@!(3]"</f>
        <v>#VALUE!</v>
      </c>
      <c r="FU159" t="e">
        <f>'All regions'!E4410+"$F;@!(3^"</f>
        <v>#VALUE!</v>
      </c>
      <c r="FV159" t="e">
        <f>'All regions'!F4410+"$F;@!(3_"</f>
        <v>#VALUE!</v>
      </c>
      <c r="FW159" t="e">
        <f>'All regions'!G4410+"$F;@!(3`"</f>
        <v>#VALUE!</v>
      </c>
      <c r="FX159" t="e">
        <f>'All regions'!H4410+"$F;@!(3a"</f>
        <v>#VALUE!</v>
      </c>
      <c r="FY159" t="e">
        <f>'All regions'!I4410+"$F;@!(3b"</f>
        <v>#VALUE!</v>
      </c>
      <c r="FZ159" t="e">
        <f>'All regions'!A4411+"$F;@!(3c"</f>
        <v>#VALUE!</v>
      </c>
      <c r="GA159" t="e">
        <f>'All regions'!B4411+"$F;@!(3d"</f>
        <v>#VALUE!</v>
      </c>
      <c r="GB159" t="e">
        <f>'All regions'!C4411+"$F;@!(3e"</f>
        <v>#VALUE!</v>
      </c>
      <c r="GC159" t="e">
        <f>'All regions'!D4411+"$F;@!(3f"</f>
        <v>#VALUE!</v>
      </c>
      <c r="GD159" t="e">
        <f>'All regions'!E4411+"$F;@!(3g"</f>
        <v>#VALUE!</v>
      </c>
      <c r="GE159" t="e">
        <f>'All regions'!F4411+"$F;@!(3h"</f>
        <v>#VALUE!</v>
      </c>
      <c r="GF159" t="e">
        <f>'All regions'!G4411+"$F;@!(3i"</f>
        <v>#VALUE!</v>
      </c>
      <c r="GG159" t="e">
        <f>'All regions'!H4411+"$F;@!(3j"</f>
        <v>#VALUE!</v>
      </c>
      <c r="GH159" t="e">
        <f>'All regions'!I4411+"$F;@!(3k"</f>
        <v>#VALUE!</v>
      </c>
      <c r="GI159" t="e">
        <f>'All regions'!A4412+"$F;@!(3l"</f>
        <v>#VALUE!</v>
      </c>
      <c r="GJ159" t="e">
        <f>'All regions'!B4412+"$F;@!(3m"</f>
        <v>#VALUE!</v>
      </c>
      <c r="GK159" t="e">
        <f>'All regions'!C4412+"$F;@!(3n"</f>
        <v>#VALUE!</v>
      </c>
      <c r="GL159" t="e">
        <f>'All regions'!D4412+"$F;@!(3o"</f>
        <v>#VALUE!</v>
      </c>
      <c r="GM159" t="e">
        <f>'All regions'!E4412+"$F;@!(3p"</f>
        <v>#VALUE!</v>
      </c>
      <c r="GN159" t="e">
        <f>'All regions'!F4412+"$F;@!(3q"</f>
        <v>#VALUE!</v>
      </c>
      <c r="GO159" t="e">
        <f>'All regions'!G4412+"$F;@!(3r"</f>
        <v>#VALUE!</v>
      </c>
      <c r="GP159" t="e">
        <f>'All regions'!H4412+"$F;@!(3s"</f>
        <v>#VALUE!</v>
      </c>
      <c r="GQ159" t="e">
        <f>'All regions'!I4412+"$F;@!(3t"</f>
        <v>#VALUE!</v>
      </c>
      <c r="GR159" t="e">
        <f>'All regions'!A4413+"$F;@!(3u"</f>
        <v>#VALUE!</v>
      </c>
      <c r="GS159" t="e">
        <f>'All regions'!B4413+"$F;@!(3v"</f>
        <v>#VALUE!</v>
      </c>
      <c r="GT159" t="e">
        <f>'All regions'!C4413+"$F;@!(3w"</f>
        <v>#VALUE!</v>
      </c>
      <c r="GU159" t="e">
        <f>'All regions'!D4413+"$F;@!(3x"</f>
        <v>#VALUE!</v>
      </c>
      <c r="GV159" t="e">
        <f>'All regions'!E4413+"$F;@!(3y"</f>
        <v>#VALUE!</v>
      </c>
      <c r="GW159" t="e">
        <f>'All regions'!F4413+"$F;@!(3z"</f>
        <v>#VALUE!</v>
      </c>
      <c r="GX159" t="e">
        <f>'All regions'!G4413+"$F;@!(3{"</f>
        <v>#VALUE!</v>
      </c>
      <c r="GY159" t="e">
        <f>'All regions'!H4413+"$F;@!(3|"</f>
        <v>#VALUE!</v>
      </c>
      <c r="GZ159" t="e">
        <f>'All regions'!I4413+"$F;@!(3}"</f>
        <v>#VALUE!</v>
      </c>
      <c r="HA159" t="e">
        <f>'All regions'!A4414+"$F;@!(3~"</f>
        <v>#VALUE!</v>
      </c>
      <c r="HB159" t="e">
        <f>'All regions'!B4414+"$F;@!(4#"</f>
        <v>#VALUE!</v>
      </c>
      <c r="HC159" t="e">
        <f>'All regions'!C4414+"$F;@!(4$"</f>
        <v>#VALUE!</v>
      </c>
      <c r="HD159" t="e">
        <f>'All regions'!D4414+"$F;@!(4%"</f>
        <v>#VALUE!</v>
      </c>
      <c r="HE159" t="e">
        <f>'All regions'!E4414+"$F;@!(4&amp;"</f>
        <v>#VALUE!</v>
      </c>
      <c r="HF159" t="e">
        <f>'All regions'!F4414+"$F;@!(4'"</f>
        <v>#VALUE!</v>
      </c>
      <c r="HG159" t="e">
        <f>'All regions'!G4414+"$F;@!(4("</f>
        <v>#VALUE!</v>
      </c>
      <c r="HH159" t="e">
        <f>'All regions'!H4414+"$F;@!(4)"</f>
        <v>#VALUE!</v>
      </c>
      <c r="HI159" t="e">
        <f>'All regions'!I4414+"$F;@!(4."</f>
        <v>#VALUE!</v>
      </c>
      <c r="HJ159" t="e">
        <f>'All regions'!A4415+"$F;@!(4/"</f>
        <v>#VALUE!</v>
      </c>
      <c r="HK159" t="e">
        <f>'All regions'!B4415+"$F;@!(40"</f>
        <v>#VALUE!</v>
      </c>
      <c r="HL159" t="e">
        <f>'All regions'!C4415+"$F;@!(41"</f>
        <v>#VALUE!</v>
      </c>
      <c r="HM159" t="e">
        <f>'All regions'!D4415+"$F;@!(42"</f>
        <v>#VALUE!</v>
      </c>
      <c r="HN159" t="e">
        <f>'All regions'!E4415+"$F;@!(43"</f>
        <v>#VALUE!</v>
      </c>
      <c r="HO159" t="e">
        <f>'All regions'!F4415+"$F;@!(44"</f>
        <v>#VALUE!</v>
      </c>
      <c r="HP159" t="e">
        <f>'All regions'!G4415+"$F;@!(45"</f>
        <v>#VALUE!</v>
      </c>
      <c r="HQ159" t="e">
        <f>'All regions'!H4415+"$F;@!(46"</f>
        <v>#VALUE!</v>
      </c>
      <c r="HR159" t="e">
        <f>'All regions'!I4415+"$F;@!(47"</f>
        <v>#VALUE!</v>
      </c>
      <c r="HS159" t="e">
        <f>'All regions'!A4416+"$F;@!(48"</f>
        <v>#VALUE!</v>
      </c>
      <c r="HT159" t="e">
        <f>'All regions'!B4416+"$F;@!(49"</f>
        <v>#VALUE!</v>
      </c>
      <c r="HU159" t="e">
        <f>'All regions'!C4416+"$F;@!(4:"</f>
        <v>#VALUE!</v>
      </c>
      <c r="HV159" t="e">
        <f>'All regions'!D4416+"$F;@!(4;"</f>
        <v>#VALUE!</v>
      </c>
      <c r="HW159" t="e">
        <f>'All regions'!E4416+"$F;@!(4&lt;"</f>
        <v>#VALUE!</v>
      </c>
      <c r="HX159" t="e">
        <f>'All regions'!F4416+"$F;@!(4="</f>
        <v>#VALUE!</v>
      </c>
      <c r="HY159" t="e">
        <f>'All regions'!G4416+"$F;@!(4&gt;"</f>
        <v>#VALUE!</v>
      </c>
      <c r="HZ159" t="e">
        <f>'All regions'!H4416+"$F;@!(4?"</f>
        <v>#VALUE!</v>
      </c>
      <c r="IA159" t="e">
        <f>'All regions'!I4416+"$F;@!(4@"</f>
        <v>#VALUE!</v>
      </c>
      <c r="IB159" t="e">
        <f>'All regions'!A4417+"$F;@!(4A"</f>
        <v>#VALUE!</v>
      </c>
      <c r="IC159" t="e">
        <f>'All regions'!B4417+"$F;@!(4B"</f>
        <v>#VALUE!</v>
      </c>
      <c r="ID159" t="e">
        <f>'All regions'!C4417+"$F;@!(4C"</f>
        <v>#VALUE!</v>
      </c>
      <c r="IE159" t="e">
        <f>'All regions'!D4417+"$F;@!(4D"</f>
        <v>#VALUE!</v>
      </c>
      <c r="IF159" t="e">
        <f>'All regions'!E4417+"$F;@!(4E"</f>
        <v>#VALUE!</v>
      </c>
      <c r="IG159" t="e">
        <f>'All regions'!F4417+"$F;@!(4F"</f>
        <v>#VALUE!</v>
      </c>
      <c r="IH159" t="e">
        <f>'All regions'!G4417+"$F;@!(4G"</f>
        <v>#VALUE!</v>
      </c>
      <c r="II159" t="e">
        <f>'All regions'!H4417+"$F;@!(4H"</f>
        <v>#VALUE!</v>
      </c>
      <c r="IJ159" t="e">
        <f>'All regions'!I4417+"$F;@!(4I"</f>
        <v>#VALUE!</v>
      </c>
      <c r="IK159" t="e">
        <f>'All regions'!A4418+"$F;@!(4J"</f>
        <v>#VALUE!</v>
      </c>
      <c r="IL159" t="e">
        <f>'All regions'!B4418+"$F;@!(4K"</f>
        <v>#VALUE!</v>
      </c>
      <c r="IM159" t="e">
        <f>'All regions'!C4418+"$F;@!(4L"</f>
        <v>#VALUE!</v>
      </c>
      <c r="IN159" t="e">
        <f>'All regions'!D4418+"$F;@!(4M"</f>
        <v>#VALUE!</v>
      </c>
      <c r="IO159" t="e">
        <f>'All regions'!E4418+"$F;@!(4N"</f>
        <v>#VALUE!</v>
      </c>
      <c r="IP159" t="e">
        <f>'All regions'!F4418+"$F;@!(4O"</f>
        <v>#VALUE!</v>
      </c>
      <c r="IQ159" t="e">
        <f>'All regions'!G4418+"$F;@!(4P"</f>
        <v>#VALUE!</v>
      </c>
      <c r="IR159" t="e">
        <f>'All regions'!H4418+"$F;@!(4Q"</f>
        <v>#VALUE!</v>
      </c>
      <c r="IS159" t="e">
        <f>'All regions'!I4418+"$F;@!(4R"</f>
        <v>#VALUE!</v>
      </c>
      <c r="IT159" t="e">
        <f>'All regions'!A4419+"$F;@!(4S"</f>
        <v>#VALUE!</v>
      </c>
      <c r="IU159" t="e">
        <f>'All regions'!B4419+"$F;@!(4T"</f>
        <v>#VALUE!</v>
      </c>
      <c r="IV159" t="e">
        <f>'All regions'!C4419+"$F;@!(4U"</f>
        <v>#VALUE!</v>
      </c>
    </row>
    <row r="160" spans="6:256" x14ac:dyDescent="0.35">
      <c r="F160" t="e">
        <f>'All regions'!D4419+"$F;@!(4V"</f>
        <v>#VALUE!</v>
      </c>
      <c r="G160" t="e">
        <f>'All regions'!E4419+"$F;@!(4W"</f>
        <v>#VALUE!</v>
      </c>
      <c r="H160" t="e">
        <f>'All regions'!F4419+"$F;@!(4X"</f>
        <v>#VALUE!</v>
      </c>
      <c r="I160" t="e">
        <f>'All regions'!G4419+"$F;@!(4Y"</f>
        <v>#VALUE!</v>
      </c>
      <c r="J160" t="e">
        <f>'All regions'!H4419+"$F;@!(4Z"</f>
        <v>#VALUE!</v>
      </c>
      <c r="K160" t="e">
        <f>'All regions'!I4419+"$F;@!(4["</f>
        <v>#VALUE!</v>
      </c>
      <c r="L160" t="e">
        <f>'All regions'!A4420+"$F;@!(4\"</f>
        <v>#VALUE!</v>
      </c>
      <c r="M160" t="e">
        <f>'All regions'!B4420+"$F;@!(4]"</f>
        <v>#VALUE!</v>
      </c>
      <c r="N160" t="e">
        <f>'All regions'!C4420+"$F;@!(4^"</f>
        <v>#VALUE!</v>
      </c>
      <c r="O160" t="e">
        <f>'All regions'!D4420+"$F;@!(4_"</f>
        <v>#VALUE!</v>
      </c>
      <c r="P160" t="e">
        <f>'All regions'!E4420+"$F;@!(4`"</f>
        <v>#VALUE!</v>
      </c>
      <c r="Q160" t="e">
        <f>'All regions'!F4420+"$F;@!(4a"</f>
        <v>#VALUE!</v>
      </c>
      <c r="R160" t="e">
        <f>'All regions'!G4420+"$F;@!(4b"</f>
        <v>#VALUE!</v>
      </c>
      <c r="S160" t="e">
        <f>'All regions'!H4420+"$F;@!(4c"</f>
        <v>#VALUE!</v>
      </c>
      <c r="T160" t="e">
        <f>'All regions'!I4420+"$F;@!(4d"</f>
        <v>#VALUE!</v>
      </c>
      <c r="U160" t="e">
        <f>'All regions'!A4421+"$F;@!(4e"</f>
        <v>#VALUE!</v>
      </c>
      <c r="V160" t="e">
        <f>'All regions'!B4421+"$F;@!(4f"</f>
        <v>#VALUE!</v>
      </c>
      <c r="W160" t="e">
        <f>'All regions'!C4421+"$F;@!(4g"</f>
        <v>#VALUE!</v>
      </c>
      <c r="X160" t="e">
        <f>'All regions'!D4421+"$F;@!(4h"</f>
        <v>#VALUE!</v>
      </c>
      <c r="Y160" t="e">
        <f>'All regions'!E4421+"$F;@!(4i"</f>
        <v>#VALUE!</v>
      </c>
      <c r="Z160" t="e">
        <f>'All regions'!F4421+"$F;@!(4j"</f>
        <v>#VALUE!</v>
      </c>
      <c r="AA160" t="e">
        <f>'All regions'!G4421+"$F;@!(4k"</f>
        <v>#VALUE!</v>
      </c>
      <c r="AB160" t="e">
        <f>'All regions'!H4421+"$F;@!(4l"</f>
        <v>#VALUE!</v>
      </c>
      <c r="AC160" t="e">
        <f>'All regions'!I4421+"$F;@!(4m"</f>
        <v>#VALUE!</v>
      </c>
      <c r="AD160" t="e">
        <f>'All regions'!A4422+"$F;@!(4n"</f>
        <v>#VALUE!</v>
      </c>
      <c r="AE160" t="e">
        <f>'All regions'!B4422+"$F;@!(4o"</f>
        <v>#VALUE!</v>
      </c>
      <c r="AF160" t="e">
        <f>'All regions'!C4422+"$F;@!(4p"</f>
        <v>#VALUE!</v>
      </c>
      <c r="AG160" t="e">
        <f>'All regions'!D4422+"$F;@!(4q"</f>
        <v>#VALUE!</v>
      </c>
      <c r="AH160" t="e">
        <f>'All regions'!E4422+"$F;@!(4r"</f>
        <v>#VALUE!</v>
      </c>
      <c r="AI160" t="e">
        <f>'All regions'!F4422+"$F;@!(4s"</f>
        <v>#VALUE!</v>
      </c>
      <c r="AJ160" t="e">
        <f>'All regions'!G4422+"$F;@!(4t"</f>
        <v>#VALUE!</v>
      </c>
      <c r="AK160" t="e">
        <f>'All regions'!H4422+"$F;@!(4u"</f>
        <v>#VALUE!</v>
      </c>
      <c r="AL160" t="e">
        <f>'All regions'!I4422+"$F;@!(4v"</f>
        <v>#VALUE!</v>
      </c>
      <c r="AM160" t="e">
        <f>'All regions'!A4423+"$F;@!(4w"</f>
        <v>#VALUE!</v>
      </c>
      <c r="AN160" t="e">
        <f>'All regions'!B4423+"$F;@!(4x"</f>
        <v>#VALUE!</v>
      </c>
      <c r="AO160" t="e">
        <f>'All regions'!C4423+"$F;@!(4y"</f>
        <v>#VALUE!</v>
      </c>
      <c r="AP160" t="e">
        <f>'All regions'!D4423+"$F;@!(4z"</f>
        <v>#VALUE!</v>
      </c>
      <c r="AQ160" t="e">
        <f>'All regions'!E4423+"$F;@!(4{"</f>
        <v>#VALUE!</v>
      </c>
      <c r="AR160" t="e">
        <f>'All regions'!F4423+"$F;@!(4|"</f>
        <v>#VALUE!</v>
      </c>
      <c r="AS160" t="e">
        <f>'All regions'!G4423+"$F;@!(4}"</f>
        <v>#VALUE!</v>
      </c>
      <c r="AT160" t="e">
        <f>'All regions'!H4423+"$F;@!(4~"</f>
        <v>#VALUE!</v>
      </c>
      <c r="AU160" t="e">
        <f>'All regions'!I4423+"$F;@!(5#"</f>
        <v>#VALUE!</v>
      </c>
      <c r="AV160" t="e">
        <f>'All regions'!A4424+"$F;@!(5$"</f>
        <v>#VALUE!</v>
      </c>
      <c r="AW160" t="e">
        <f>'All regions'!B4424+"$F;@!(5%"</f>
        <v>#VALUE!</v>
      </c>
      <c r="AX160" t="e">
        <f>'All regions'!C4424+"$F;@!(5&amp;"</f>
        <v>#VALUE!</v>
      </c>
      <c r="AY160" t="e">
        <f>'All regions'!D4424+"$F;@!(5'"</f>
        <v>#VALUE!</v>
      </c>
      <c r="AZ160" t="e">
        <f>'All regions'!E4424+"$F;@!(5("</f>
        <v>#VALUE!</v>
      </c>
      <c r="BA160" t="e">
        <f>'All regions'!F4424+"$F;@!(5)"</f>
        <v>#VALUE!</v>
      </c>
      <c r="BB160" t="e">
        <f>'All regions'!G4424+"$F;@!(5."</f>
        <v>#VALUE!</v>
      </c>
      <c r="BC160" t="e">
        <f>'All regions'!H4424+"$F;@!(5/"</f>
        <v>#VALUE!</v>
      </c>
      <c r="BD160" t="e">
        <f>'All regions'!I4424+"$F;@!(50"</f>
        <v>#VALUE!</v>
      </c>
      <c r="BE160" t="e">
        <f>'All regions'!A4425+"$F;@!(51"</f>
        <v>#VALUE!</v>
      </c>
      <c r="BF160" t="e">
        <f>'All regions'!B4425+"$F;@!(52"</f>
        <v>#VALUE!</v>
      </c>
      <c r="BG160" t="e">
        <f>'All regions'!C4425+"$F;@!(53"</f>
        <v>#VALUE!</v>
      </c>
      <c r="BH160" t="e">
        <f>'All regions'!D4425+"$F;@!(54"</f>
        <v>#VALUE!</v>
      </c>
      <c r="BI160" t="e">
        <f>'All regions'!E4425+"$F;@!(55"</f>
        <v>#VALUE!</v>
      </c>
      <c r="BJ160" t="e">
        <f>'All regions'!F4425+"$F;@!(56"</f>
        <v>#VALUE!</v>
      </c>
      <c r="BK160" t="e">
        <f>'All regions'!G4425+"$F;@!(57"</f>
        <v>#VALUE!</v>
      </c>
      <c r="BL160" t="e">
        <f>'All regions'!H4425+"$F;@!(58"</f>
        <v>#VALUE!</v>
      </c>
      <c r="BM160" t="e">
        <f>'All regions'!I4425+"$F;@!(59"</f>
        <v>#VALUE!</v>
      </c>
      <c r="BN160" t="e">
        <f>'All regions'!A4426+"$F;@!(5:"</f>
        <v>#VALUE!</v>
      </c>
      <c r="BO160" t="e">
        <f>'All regions'!B4426+"$F;@!(5;"</f>
        <v>#VALUE!</v>
      </c>
      <c r="BP160" t="e">
        <f>'All regions'!C4426+"$F;@!(5&lt;"</f>
        <v>#VALUE!</v>
      </c>
      <c r="BQ160" t="e">
        <f>'All regions'!D4426+"$F;@!(5="</f>
        <v>#VALUE!</v>
      </c>
      <c r="BR160" t="e">
        <f>'All regions'!E4426+"$F;@!(5&gt;"</f>
        <v>#VALUE!</v>
      </c>
      <c r="BS160" t="e">
        <f>'All regions'!F4426+"$F;@!(5?"</f>
        <v>#VALUE!</v>
      </c>
      <c r="BT160" t="e">
        <f>'All regions'!G4426+"$F;@!(5@"</f>
        <v>#VALUE!</v>
      </c>
      <c r="BU160" t="e">
        <f>'All regions'!H4426+"$F;@!(5A"</f>
        <v>#VALUE!</v>
      </c>
      <c r="BV160" t="e">
        <f>'All regions'!I4426+"$F;@!(5B"</f>
        <v>#VALUE!</v>
      </c>
      <c r="BW160" t="e">
        <f>'All regions'!A4427+"$F;@!(5C"</f>
        <v>#VALUE!</v>
      </c>
      <c r="BX160" t="e">
        <f>'All regions'!B4427+"$F;@!(5D"</f>
        <v>#VALUE!</v>
      </c>
      <c r="BY160" t="e">
        <f>'All regions'!C4427+"$F;@!(5E"</f>
        <v>#VALUE!</v>
      </c>
      <c r="BZ160" t="e">
        <f>'All regions'!D4427+"$F;@!(5F"</f>
        <v>#VALUE!</v>
      </c>
      <c r="CA160" t="e">
        <f>'All regions'!E4427+"$F;@!(5G"</f>
        <v>#VALUE!</v>
      </c>
      <c r="CB160" t="e">
        <f>'All regions'!F4427+"$F;@!(5H"</f>
        <v>#VALUE!</v>
      </c>
      <c r="CC160" t="e">
        <f>'All regions'!G4427+"$F;@!(5I"</f>
        <v>#VALUE!</v>
      </c>
      <c r="CD160" t="e">
        <f>'All regions'!H4427+"$F;@!(5J"</f>
        <v>#VALUE!</v>
      </c>
      <c r="CE160" t="e">
        <f>'All regions'!I4427+"$F;@!(5K"</f>
        <v>#VALUE!</v>
      </c>
      <c r="CF160" t="e">
        <f>'All regions'!A4428+"$F;@!(5L"</f>
        <v>#VALUE!</v>
      </c>
      <c r="CG160" t="e">
        <f>'All regions'!B4428+"$F;@!(5M"</f>
        <v>#VALUE!</v>
      </c>
      <c r="CH160" t="e">
        <f>'All regions'!C4428+"$F;@!(5N"</f>
        <v>#VALUE!</v>
      </c>
      <c r="CI160" t="e">
        <f>'All regions'!D4428+"$F;@!(5O"</f>
        <v>#VALUE!</v>
      </c>
      <c r="CJ160" t="e">
        <f>'All regions'!E4428+"$F;@!(5P"</f>
        <v>#VALUE!</v>
      </c>
      <c r="CK160" t="e">
        <f>'All regions'!F4428+"$F;@!(5Q"</f>
        <v>#VALUE!</v>
      </c>
      <c r="CL160" t="e">
        <f>'All regions'!G4428+"$F;@!(5R"</f>
        <v>#VALUE!</v>
      </c>
      <c r="CM160" t="e">
        <f>'All regions'!H4428+"$F;@!(5S"</f>
        <v>#VALUE!</v>
      </c>
      <c r="CN160" t="e">
        <f>'All regions'!I4428+"$F;@!(5T"</f>
        <v>#VALUE!</v>
      </c>
      <c r="CO160" t="e">
        <f>'All regions'!A4429+"$F;@!(5U"</f>
        <v>#VALUE!</v>
      </c>
      <c r="CP160" t="e">
        <f>'All regions'!B4429+"$F;@!(5V"</f>
        <v>#VALUE!</v>
      </c>
      <c r="CQ160" t="e">
        <f>'All regions'!C4429+"$F;@!(5W"</f>
        <v>#VALUE!</v>
      </c>
      <c r="CR160" t="e">
        <f>'All regions'!D4429+"$F;@!(5X"</f>
        <v>#VALUE!</v>
      </c>
      <c r="CS160" t="e">
        <f>'All regions'!E4429+"$F;@!(5Y"</f>
        <v>#VALUE!</v>
      </c>
      <c r="CT160" t="e">
        <f>'All regions'!F4429+"$F;@!(5Z"</f>
        <v>#VALUE!</v>
      </c>
      <c r="CU160" t="e">
        <f>'All regions'!G4429+"$F;@!(5["</f>
        <v>#VALUE!</v>
      </c>
      <c r="CV160" t="e">
        <f>'All regions'!H4429+"$F;@!(5\"</f>
        <v>#VALUE!</v>
      </c>
      <c r="CW160" t="e">
        <f>'All regions'!I4429+"$F;@!(5]"</f>
        <v>#VALUE!</v>
      </c>
      <c r="CX160" t="e">
        <f>'All regions'!A4430+"$F;@!(5^"</f>
        <v>#VALUE!</v>
      </c>
      <c r="CY160" t="e">
        <f>'All regions'!B4430+"$F;@!(5_"</f>
        <v>#VALUE!</v>
      </c>
      <c r="CZ160" t="e">
        <f>'All regions'!C4430+"$F;@!(5`"</f>
        <v>#VALUE!</v>
      </c>
      <c r="DA160" t="e">
        <f>'All regions'!D4430+"$F;@!(5a"</f>
        <v>#VALUE!</v>
      </c>
      <c r="DB160" t="e">
        <f>'All regions'!E4430+"$F;@!(5b"</f>
        <v>#VALUE!</v>
      </c>
      <c r="DC160" t="e">
        <f>'All regions'!F4430+"$F;@!(5c"</f>
        <v>#VALUE!</v>
      </c>
      <c r="DD160" t="e">
        <f>'All regions'!G4430+"$F;@!(5d"</f>
        <v>#VALUE!</v>
      </c>
      <c r="DE160" t="e">
        <f>'All regions'!H4430+"$F;@!(5e"</f>
        <v>#VALUE!</v>
      </c>
      <c r="DF160" t="e">
        <f>'All regions'!I4430+"$F;@!(5f"</f>
        <v>#VALUE!</v>
      </c>
      <c r="DG160" t="e">
        <f>'All regions'!A4431+"$F;@!(5g"</f>
        <v>#VALUE!</v>
      </c>
      <c r="DH160" t="e">
        <f>'All regions'!B4431+"$F;@!(5h"</f>
        <v>#VALUE!</v>
      </c>
      <c r="DI160" t="e">
        <f>'All regions'!C4431+"$F;@!(5i"</f>
        <v>#VALUE!</v>
      </c>
      <c r="DJ160" t="e">
        <f>'All regions'!D4431+"$F;@!(5j"</f>
        <v>#VALUE!</v>
      </c>
      <c r="DK160" t="e">
        <f>'All regions'!E4431+"$F;@!(5k"</f>
        <v>#VALUE!</v>
      </c>
      <c r="DL160" t="e">
        <f>'All regions'!F4431+"$F;@!(5l"</f>
        <v>#VALUE!</v>
      </c>
      <c r="DM160" t="e">
        <f>'All regions'!G4431+"$F;@!(5m"</f>
        <v>#VALUE!</v>
      </c>
      <c r="DN160" t="e">
        <f>'All regions'!H4431+"$F;@!(5n"</f>
        <v>#VALUE!</v>
      </c>
      <c r="DO160" t="e">
        <f>'All regions'!I4431+"$F;@!(5o"</f>
        <v>#VALUE!</v>
      </c>
      <c r="DP160" t="e">
        <f>'All regions'!A4432+"$F;@!(5p"</f>
        <v>#VALUE!</v>
      </c>
      <c r="DQ160" t="e">
        <f>'All regions'!B4432+"$F;@!(5q"</f>
        <v>#VALUE!</v>
      </c>
      <c r="DR160" t="e">
        <f>'All regions'!C4432+"$F;@!(5r"</f>
        <v>#VALUE!</v>
      </c>
      <c r="DS160" t="e">
        <f>'All regions'!D4432+"$F;@!(5s"</f>
        <v>#VALUE!</v>
      </c>
      <c r="DT160" t="e">
        <f>'All regions'!E4432+"$F;@!(5t"</f>
        <v>#VALUE!</v>
      </c>
      <c r="DU160" t="e">
        <f>'All regions'!F4432+"$F;@!(5u"</f>
        <v>#VALUE!</v>
      </c>
      <c r="DV160" t="e">
        <f>'All regions'!G4432+"$F;@!(5v"</f>
        <v>#VALUE!</v>
      </c>
      <c r="DW160" t="e">
        <f>'All regions'!H4432+"$F;@!(5w"</f>
        <v>#VALUE!</v>
      </c>
      <c r="DX160" t="e">
        <f>'All regions'!I4432+"$F;@!(5x"</f>
        <v>#VALUE!</v>
      </c>
      <c r="DY160" t="e">
        <f>'All regions'!A4433+"$F;@!(5y"</f>
        <v>#VALUE!</v>
      </c>
      <c r="DZ160" t="e">
        <f>'All regions'!B4433+"$F;@!(5z"</f>
        <v>#VALUE!</v>
      </c>
      <c r="EA160" t="e">
        <f>'All regions'!C4433+"$F;@!(5{"</f>
        <v>#VALUE!</v>
      </c>
      <c r="EB160" t="e">
        <f>'All regions'!D4433+"$F;@!(5|"</f>
        <v>#VALUE!</v>
      </c>
      <c r="EC160" t="e">
        <f>'All regions'!E4433+"$F;@!(5}"</f>
        <v>#VALUE!</v>
      </c>
      <c r="ED160" t="e">
        <f>'All regions'!F4433+"$F;@!(5~"</f>
        <v>#VALUE!</v>
      </c>
      <c r="EE160" t="e">
        <f>'All regions'!G4433+"$F;@!(6#"</f>
        <v>#VALUE!</v>
      </c>
      <c r="EF160" t="e">
        <f>'All regions'!H4433+"$F;@!(6$"</f>
        <v>#VALUE!</v>
      </c>
      <c r="EG160" t="e">
        <f>'All regions'!I4433+"$F;@!(6%"</f>
        <v>#VALUE!</v>
      </c>
      <c r="EH160" t="e">
        <f>'All regions'!A4434+"$F;@!(6&amp;"</f>
        <v>#VALUE!</v>
      </c>
      <c r="EI160" t="e">
        <f>'All regions'!B4434+"$F;@!(6'"</f>
        <v>#VALUE!</v>
      </c>
      <c r="EJ160" t="e">
        <f>'All regions'!C4434+"$F;@!(6("</f>
        <v>#VALUE!</v>
      </c>
      <c r="EK160" t="e">
        <f>'All regions'!D4434+"$F;@!(6)"</f>
        <v>#VALUE!</v>
      </c>
      <c r="EL160" t="e">
        <f>'All regions'!E4434+"$F;@!(6."</f>
        <v>#VALUE!</v>
      </c>
      <c r="EM160" t="e">
        <f>'All regions'!F4434+"$F;@!(6/"</f>
        <v>#VALUE!</v>
      </c>
      <c r="EN160" t="e">
        <f>'All regions'!G4434+"$F;@!(60"</f>
        <v>#VALUE!</v>
      </c>
      <c r="EO160" t="e">
        <f>'All regions'!H4434+"$F;@!(61"</f>
        <v>#VALUE!</v>
      </c>
      <c r="EP160" t="e">
        <f>'All regions'!I4434+"$F;@!(62"</f>
        <v>#VALUE!</v>
      </c>
      <c r="EQ160" t="e">
        <f>'All regions'!A4435+"$F;@!(63"</f>
        <v>#VALUE!</v>
      </c>
      <c r="ER160" t="e">
        <f>'All regions'!B4435+"$F;@!(64"</f>
        <v>#VALUE!</v>
      </c>
      <c r="ES160" t="e">
        <f>'All regions'!C4435+"$F;@!(65"</f>
        <v>#VALUE!</v>
      </c>
      <c r="ET160" t="e">
        <f>'All regions'!D4435+"$F;@!(66"</f>
        <v>#VALUE!</v>
      </c>
      <c r="EU160" t="e">
        <f>'All regions'!E4435+"$F;@!(67"</f>
        <v>#VALUE!</v>
      </c>
      <c r="EV160" t="e">
        <f>'All regions'!F4435+"$F;@!(68"</f>
        <v>#VALUE!</v>
      </c>
      <c r="EW160" t="e">
        <f>'All regions'!G4435+"$F;@!(69"</f>
        <v>#VALUE!</v>
      </c>
      <c r="EX160" t="e">
        <f>'All regions'!H4435+"$F;@!(6:"</f>
        <v>#VALUE!</v>
      </c>
      <c r="EY160" t="e">
        <f>'All regions'!I4435+"$F;@!(6;"</f>
        <v>#VALUE!</v>
      </c>
      <c r="EZ160" t="e">
        <f>'All regions'!A4436+"$F;@!(6&lt;"</f>
        <v>#VALUE!</v>
      </c>
      <c r="FA160" t="e">
        <f>'All regions'!B4436+"$F;@!(6="</f>
        <v>#VALUE!</v>
      </c>
      <c r="FB160" t="e">
        <f>'All regions'!C4436+"$F;@!(6&gt;"</f>
        <v>#VALUE!</v>
      </c>
      <c r="FC160" t="e">
        <f>'All regions'!D4436+"$F;@!(6?"</f>
        <v>#VALUE!</v>
      </c>
      <c r="FD160" t="e">
        <f>'All regions'!E4436+"$F;@!(6@"</f>
        <v>#VALUE!</v>
      </c>
      <c r="FE160" t="e">
        <f>'All regions'!F4436+"$F;@!(6A"</f>
        <v>#VALUE!</v>
      </c>
      <c r="FF160" t="e">
        <f>'All regions'!G4436+"$F;@!(6B"</f>
        <v>#VALUE!</v>
      </c>
      <c r="FG160" t="e">
        <f>'All regions'!H4436+"$F;@!(6C"</f>
        <v>#VALUE!</v>
      </c>
      <c r="FH160" t="e">
        <f>'All regions'!I4436+"$F;@!(6D"</f>
        <v>#VALUE!</v>
      </c>
      <c r="FI160" t="e">
        <f>'All regions'!A4437+"$F;@!(6E"</f>
        <v>#VALUE!</v>
      </c>
      <c r="FJ160" t="e">
        <f>'All regions'!B4437+"$F;@!(6F"</f>
        <v>#VALUE!</v>
      </c>
      <c r="FK160" t="e">
        <f>'All regions'!C4437+"$F;@!(6G"</f>
        <v>#VALUE!</v>
      </c>
      <c r="FL160" t="e">
        <f>'All regions'!D4437+"$F;@!(6H"</f>
        <v>#VALUE!</v>
      </c>
      <c r="FM160" t="e">
        <f>'All regions'!E4437+"$F;@!(6I"</f>
        <v>#VALUE!</v>
      </c>
      <c r="FN160" t="e">
        <f>'All regions'!F4437+"$F;@!(6J"</f>
        <v>#VALUE!</v>
      </c>
      <c r="FO160" t="e">
        <f>'All regions'!G4437+"$F;@!(6K"</f>
        <v>#VALUE!</v>
      </c>
      <c r="FP160" t="e">
        <f>'All regions'!H4437+"$F;@!(6L"</f>
        <v>#VALUE!</v>
      </c>
      <c r="FQ160" t="e">
        <f>'All regions'!I4437+"$F;@!(6M"</f>
        <v>#VALUE!</v>
      </c>
      <c r="FR160" t="e">
        <f>'All regions'!A4438+"$F;@!(6N"</f>
        <v>#VALUE!</v>
      </c>
      <c r="FS160" t="e">
        <f>'All regions'!B4438+"$F;@!(6O"</f>
        <v>#VALUE!</v>
      </c>
      <c r="FT160" t="e">
        <f>'All regions'!C4438+"$F;@!(6P"</f>
        <v>#VALUE!</v>
      </c>
      <c r="FU160" t="e">
        <f>'All regions'!D4438+"$F;@!(6Q"</f>
        <v>#VALUE!</v>
      </c>
      <c r="FV160" t="e">
        <f>'All regions'!E4438+"$F;@!(6R"</f>
        <v>#VALUE!</v>
      </c>
      <c r="FW160" t="e">
        <f>'All regions'!F4438+"$F;@!(6S"</f>
        <v>#VALUE!</v>
      </c>
      <c r="FX160" t="e">
        <f>'All regions'!G4438+"$F;@!(6T"</f>
        <v>#VALUE!</v>
      </c>
      <c r="FY160" t="e">
        <f>'All regions'!H4438+"$F;@!(6U"</f>
        <v>#VALUE!</v>
      </c>
      <c r="FZ160" t="e">
        <f>'All regions'!I4438+"$F;@!(6V"</f>
        <v>#VALUE!</v>
      </c>
      <c r="GA160" t="e">
        <f>'All regions'!A4439+"$F;@!(6W"</f>
        <v>#VALUE!</v>
      </c>
      <c r="GB160" t="e">
        <f>'All regions'!B4439+"$F;@!(6X"</f>
        <v>#VALUE!</v>
      </c>
      <c r="GC160" t="e">
        <f>'All regions'!C4439+"$F;@!(6Y"</f>
        <v>#VALUE!</v>
      </c>
      <c r="GD160" t="e">
        <f>'All regions'!D4439+"$F;@!(6Z"</f>
        <v>#VALUE!</v>
      </c>
      <c r="GE160" t="e">
        <f>'All regions'!E4439+"$F;@!(6["</f>
        <v>#VALUE!</v>
      </c>
      <c r="GF160" t="e">
        <f>'All regions'!F4439+"$F;@!(6\"</f>
        <v>#VALUE!</v>
      </c>
      <c r="GG160" t="e">
        <f>'All regions'!G4439+"$F;@!(6]"</f>
        <v>#VALUE!</v>
      </c>
      <c r="GH160" t="e">
        <f>'All regions'!H4439+"$F;@!(6^"</f>
        <v>#VALUE!</v>
      </c>
      <c r="GI160" t="e">
        <f>'All regions'!I4439+"$F;@!(6_"</f>
        <v>#VALUE!</v>
      </c>
      <c r="GJ160" t="e">
        <f>'All regions'!A4440+"$F;@!(6`"</f>
        <v>#VALUE!</v>
      </c>
      <c r="GK160" t="e">
        <f>'All regions'!B4440+"$F;@!(6a"</f>
        <v>#VALUE!</v>
      </c>
      <c r="GL160" t="e">
        <f>'All regions'!C4440+"$F;@!(6b"</f>
        <v>#VALUE!</v>
      </c>
      <c r="GM160" t="e">
        <f>'All regions'!D4440+"$F;@!(6c"</f>
        <v>#VALUE!</v>
      </c>
      <c r="GN160" t="e">
        <f>'All regions'!E4440+"$F;@!(6d"</f>
        <v>#VALUE!</v>
      </c>
      <c r="GO160" t="e">
        <f>'All regions'!F4440+"$F;@!(6e"</f>
        <v>#VALUE!</v>
      </c>
      <c r="GP160" t="e">
        <f>'All regions'!G4440+"$F;@!(6f"</f>
        <v>#VALUE!</v>
      </c>
      <c r="GQ160" t="e">
        <f>'All regions'!H4440+"$F;@!(6g"</f>
        <v>#VALUE!</v>
      </c>
      <c r="GR160" t="e">
        <f>'All regions'!I4440+"$F;@!(6h"</f>
        <v>#VALUE!</v>
      </c>
      <c r="GS160" t="e">
        <f>'All regions'!A4441+"$F;@!(6i"</f>
        <v>#VALUE!</v>
      </c>
      <c r="GT160" t="e">
        <f>'All regions'!B4441+"$F;@!(6j"</f>
        <v>#VALUE!</v>
      </c>
      <c r="GU160" t="e">
        <f>'All regions'!C4441+"$F;@!(6k"</f>
        <v>#VALUE!</v>
      </c>
      <c r="GV160" t="e">
        <f>'All regions'!D4441+"$F;@!(6l"</f>
        <v>#VALUE!</v>
      </c>
      <c r="GW160" t="e">
        <f>'All regions'!E4441+"$F;@!(6m"</f>
        <v>#VALUE!</v>
      </c>
      <c r="GX160" t="e">
        <f>'All regions'!F4441+"$F;@!(6n"</f>
        <v>#VALUE!</v>
      </c>
      <c r="GY160" t="e">
        <f>'All regions'!G4441+"$F;@!(6o"</f>
        <v>#VALUE!</v>
      </c>
      <c r="GZ160" t="e">
        <f>'All regions'!H4441+"$F;@!(6p"</f>
        <v>#VALUE!</v>
      </c>
      <c r="HA160" t="e">
        <f>'All regions'!I4441+"$F;@!(6q"</f>
        <v>#VALUE!</v>
      </c>
      <c r="HB160" t="e">
        <f>'All regions'!A4442+"$F;@!(6r"</f>
        <v>#VALUE!</v>
      </c>
      <c r="HC160" t="e">
        <f>'All regions'!B4442+"$F;@!(6s"</f>
        <v>#VALUE!</v>
      </c>
      <c r="HD160" t="e">
        <f>'All regions'!C4442+"$F;@!(6t"</f>
        <v>#VALUE!</v>
      </c>
      <c r="HE160" t="e">
        <f>'All regions'!D4442+"$F;@!(6u"</f>
        <v>#VALUE!</v>
      </c>
      <c r="HF160" t="e">
        <f>'All regions'!E4442+"$F;@!(6v"</f>
        <v>#VALUE!</v>
      </c>
      <c r="HG160" t="e">
        <f>'All regions'!F4442+"$F;@!(6w"</f>
        <v>#VALUE!</v>
      </c>
      <c r="HH160" t="e">
        <f>'All regions'!G4442+"$F;@!(6x"</f>
        <v>#VALUE!</v>
      </c>
      <c r="HI160" t="e">
        <f>'All regions'!H4442+"$F;@!(6y"</f>
        <v>#VALUE!</v>
      </c>
      <c r="HJ160" t="e">
        <f>'All regions'!I4442+"$F;@!(6z"</f>
        <v>#VALUE!</v>
      </c>
      <c r="HK160" t="e">
        <f>'All regions'!A4443+"$F;@!(6{"</f>
        <v>#VALUE!</v>
      </c>
      <c r="HL160" t="e">
        <f>'All regions'!B4443+"$F;@!(6|"</f>
        <v>#VALUE!</v>
      </c>
      <c r="HM160" t="e">
        <f>'All regions'!C4443+"$F;@!(6}"</f>
        <v>#VALUE!</v>
      </c>
      <c r="HN160" t="e">
        <f>'All regions'!D4443+"$F;@!(6~"</f>
        <v>#VALUE!</v>
      </c>
      <c r="HO160" t="e">
        <f>'All regions'!E4443+"$F;@!(7#"</f>
        <v>#VALUE!</v>
      </c>
      <c r="HP160" t="e">
        <f>'All regions'!F4443+"$F;@!(7$"</f>
        <v>#VALUE!</v>
      </c>
      <c r="HQ160" t="e">
        <f>'All regions'!G4443+"$F;@!(7%"</f>
        <v>#VALUE!</v>
      </c>
      <c r="HR160" t="e">
        <f>'All regions'!H4443+"$F;@!(7&amp;"</f>
        <v>#VALUE!</v>
      </c>
      <c r="HS160" t="e">
        <f>'All regions'!I4443+"$F;@!(7'"</f>
        <v>#VALUE!</v>
      </c>
      <c r="HT160" t="e">
        <f>'All regions'!A4444+"$F;@!(7("</f>
        <v>#VALUE!</v>
      </c>
      <c r="HU160" t="e">
        <f>'All regions'!B4444+"$F;@!(7)"</f>
        <v>#VALUE!</v>
      </c>
      <c r="HV160" t="e">
        <f>'All regions'!C4444+"$F;@!(7."</f>
        <v>#VALUE!</v>
      </c>
      <c r="HW160" t="e">
        <f>'All regions'!D4444+"$F;@!(7/"</f>
        <v>#VALUE!</v>
      </c>
      <c r="HX160" t="e">
        <f>'All regions'!E4444+"$F;@!(70"</f>
        <v>#VALUE!</v>
      </c>
      <c r="HY160" t="e">
        <f>'All regions'!F4444+"$F;@!(71"</f>
        <v>#VALUE!</v>
      </c>
      <c r="HZ160" t="e">
        <f>'All regions'!G4444+"$F;@!(72"</f>
        <v>#VALUE!</v>
      </c>
      <c r="IA160" t="e">
        <f>'All regions'!H4444+"$F;@!(73"</f>
        <v>#VALUE!</v>
      </c>
      <c r="IB160" t="e">
        <f>'All regions'!I4444+"$F;@!(74"</f>
        <v>#VALUE!</v>
      </c>
      <c r="IC160" t="e">
        <f>'All regions'!A4445+"$F;@!(75"</f>
        <v>#VALUE!</v>
      </c>
      <c r="ID160" t="e">
        <f>'All regions'!B4445+"$F;@!(76"</f>
        <v>#VALUE!</v>
      </c>
      <c r="IE160" t="e">
        <f>'All regions'!C4445+"$F;@!(77"</f>
        <v>#VALUE!</v>
      </c>
      <c r="IF160" t="e">
        <f>'All regions'!D4445+"$F;@!(78"</f>
        <v>#VALUE!</v>
      </c>
      <c r="IG160" t="e">
        <f>'All regions'!E4445+"$F;@!(79"</f>
        <v>#VALUE!</v>
      </c>
      <c r="IH160" t="e">
        <f>'All regions'!F4445+"$F;@!(7:"</f>
        <v>#VALUE!</v>
      </c>
      <c r="II160" t="e">
        <f>'All regions'!G4445+"$F;@!(7;"</f>
        <v>#VALUE!</v>
      </c>
      <c r="IJ160" t="e">
        <f>'All regions'!H4445+"$F;@!(7&lt;"</f>
        <v>#VALUE!</v>
      </c>
      <c r="IK160" t="e">
        <f>'All regions'!I4445+"$F;@!(7="</f>
        <v>#VALUE!</v>
      </c>
      <c r="IL160" t="e">
        <f>'All regions'!A4446+"$F;@!(7&gt;"</f>
        <v>#VALUE!</v>
      </c>
      <c r="IM160" t="e">
        <f>'All regions'!B4446+"$F;@!(7?"</f>
        <v>#VALUE!</v>
      </c>
      <c r="IN160" t="e">
        <f>'All regions'!C4446+"$F;@!(7@"</f>
        <v>#VALUE!</v>
      </c>
      <c r="IO160" t="e">
        <f>'All regions'!D4446+"$F;@!(7A"</f>
        <v>#VALUE!</v>
      </c>
      <c r="IP160" t="e">
        <f>'All regions'!E4446+"$F;@!(7B"</f>
        <v>#VALUE!</v>
      </c>
      <c r="IQ160" t="e">
        <f>'All regions'!F4446+"$F;@!(7C"</f>
        <v>#VALUE!</v>
      </c>
      <c r="IR160" t="e">
        <f>'All regions'!G4446+"$F;@!(7D"</f>
        <v>#VALUE!</v>
      </c>
      <c r="IS160" t="e">
        <f>'All regions'!H4446+"$F;@!(7E"</f>
        <v>#VALUE!</v>
      </c>
      <c r="IT160" t="e">
        <f>'All regions'!I4446+"$F;@!(7F"</f>
        <v>#VALUE!</v>
      </c>
      <c r="IU160" t="e">
        <f>'All regions'!A4447+"$F;@!(7G"</f>
        <v>#VALUE!</v>
      </c>
      <c r="IV160" t="e">
        <f>'All regions'!B4447+"$F;@!(7H"</f>
        <v>#VALUE!</v>
      </c>
    </row>
    <row r="161" spans="6:256" x14ac:dyDescent="0.35">
      <c r="F161" t="e">
        <f>'All regions'!C4447+"$F;@!(7I"</f>
        <v>#VALUE!</v>
      </c>
      <c r="G161" t="e">
        <f>'All regions'!D4447+"$F;@!(7J"</f>
        <v>#VALUE!</v>
      </c>
      <c r="H161" t="e">
        <f>'All regions'!E4447+"$F;@!(7K"</f>
        <v>#VALUE!</v>
      </c>
      <c r="I161" t="e">
        <f>'All regions'!F4447+"$F;@!(7L"</f>
        <v>#VALUE!</v>
      </c>
      <c r="J161" t="e">
        <f>'All regions'!G4447+"$F;@!(7M"</f>
        <v>#VALUE!</v>
      </c>
      <c r="K161" t="e">
        <f>'All regions'!H4447+"$F;@!(7N"</f>
        <v>#VALUE!</v>
      </c>
      <c r="L161" t="e">
        <f>'All regions'!I4447+"$F;@!(7O"</f>
        <v>#VALUE!</v>
      </c>
      <c r="M161" t="e">
        <f>'All regions'!A4448+"$F;@!(7P"</f>
        <v>#VALUE!</v>
      </c>
      <c r="N161" t="e">
        <f>'All regions'!B4448+"$F;@!(7Q"</f>
        <v>#VALUE!</v>
      </c>
      <c r="O161" t="e">
        <f>'All regions'!C4448+"$F;@!(7R"</f>
        <v>#VALUE!</v>
      </c>
      <c r="P161" t="e">
        <f>'All regions'!D4448+"$F;@!(7S"</f>
        <v>#VALUE!</v>
      </c>
      <c r="Q161" t="e">
        <f>'All regions'!E4448+"$F;@!(7T"</f>
        <v>#VALUE!</v>
      </c>
      <c r="R161" t="e">
        <f>'All regions'!F4448+"$F;@!(7U"</f>
        <v>#VALUE!</v>
      </c>
      <c r="S161" t="e">
        <f>'All regions'!G4448+"$F;@!(7V"</f>
        <v>#VALUE!</v>
      </c>
      <c r="T161" t="e">
        <f>'All regions'!H4448+"$F;@!(7W"</f>
        <v>#VALUE!</v>
      </c>
      <c r="U161" t="e">
        <f>'All regions'!I4448+"$F;@!(7X"</f>
        <v>#VALUE!</v>
      </c>
      <c r="V161" t="e">
        <f>'All regions'!A4449+"$F;@!(7Y"</f>
        <v>#VALUE!</v>
      </c>
      <c r="W161" t="e">
        <f>'All regions'!B4449+"$F;@!(7Z"</f>
        <v>#VALUE!</v>
      </c>
      <c r="X161" t="e">
        <f>'All regions'!C4449+"$F;@!(7["</f>
        <v>#VALUE!</v>
      </c>
      <c r="Y161" t="e">
        <f>'All regions'!D4449+"$F;@!(7\"</f>
        <v>#VALUE!</v>
      </c>
      <c r="Z161" t="e">
        <f>'All regions'!E4449+"$F;@!(7]"</f>
        <v>#VALUE!</v>
      </c>
      <c r="AA161" t="e">
        <f>'All regions'!F4449+"$F;@!(7^"</f>
        <v>#VALUE!</v>
      </c>
      <c r="AB161" t="e">
        <f>'All regions'!G4449+"$F;@!(7_"</f>
        <v>#VALUE!</v>
      </c>
      <c r="AC161" t="e">
        <f>'All regions'!H4449+"$F;@!(7`"</f>
        <v>#VALUE!</v>
      </c>
      <c r="AD161" t="e">
        <f>'All regions'!I4449+"$F;@!(7a"</f>
        <v>#VALUE!</v>
      </c>
      <c r="AE161" t="e">
        <f>'All regions'!A4450+"$F;@!(7b"</f>
        <v>#VALUE!</v>
      </c>
      <c r="AF161" t="e">
        <f>'All regions'!B4450+"$F;@!(7c"</f>
        <v>#VALUE!</v>
      </c>
      <c r="AG161" t="e">
        <f>'All regions'!C4450+"$F;@!(7d"</f>
        <v>#VALUE!</v>
      </c>
      <c r="AH161" t="e">
        <f>'All regions'!D4450+"$F;@!(7e"</f>
        <v>#VALUE!</v>
      </c>
      <c r="AI161" t="e">
        <f>'All regions'!E4450+"$F;@!(7f"</f>
        <v>#VALUE!</v>
      </c>
      <c r="AJ161" t="e">
        <f>'All regions'!F4450+"$F;@!(7g"</f>
        <v>#VALUE!</v>
      </c>
      <c r="AK161" t="e">
        <f>'All regions'!G4450+"$F;@!(7h"</f>
        <v>#VALUE!</v>
      </c>
      <c r="AL161" t="e">
        <f>'All regions'!H4450+"$F;@!(7i"</f>
        <v>#VALUE!</v>
      </c>
      <c r="AM161" t="e">
        <f>'All regions'!I4450+"$F;@!(7j"</f>
        <v>#VALUE!</v>
      </c>
      <c r="AN161" t="e">
        <f>'All regions'!A4451+"$F;@!(7k"</f>
        <v>#VALUE!</v>
      </c>
      <c r="AO161" t="e">
        <f>'All regions'!B4451+"$F;@!(7l"</f>
        <v>#VALUE!</v>
      </c>
      <c r="AP161" t="e">
        <f>'All regions'!C4451+"$F;@!(7m"</f>
        <v>#VALUE!</v>
      </c>
      <c r="AQ161" t="e">
        <f>'All regions'!D4451+"$F;@!(7n"</f>
        <v>#VALUE!</v>
      </c>
      <c r="AR161" t="e">
        <f>'All regions'!E4451+"$F;@!(7o"</f>
        <v>#VALUE!</v>
      </c>
      <c r="AS161" t="e">
        <f>'All regions'!F4451+"$F;@!(7p"</f>
        <v>#VALUE!</v>
      </c>
      <c r="AT161" t="e">
        <f>'All regions'!G4451+"$F;@!(7q"</f>
        <v>#VALUE!</v>
      </c>
      <c r="AU161" t="e">
        <f>'All regions'!H4451+"$F;@!(7r"</f>
        <v>#VALUE!</v>
      </c>
      <c r="AV161" t="e">
        <f>'All regions'!I4451+"$F;@!(7s"</f>
        <v>#VALUE!</v>
      </c>
      <c r="AW161" t="e">
        <f>'All regions'!A4452+"$F;@!(7t"</f>
        <v>#VALUE!</v>
      </c>
      <c r="AX161" t="e">
        <f>'All regions'!B4452+"$F;@!(7u"</f>
        <v>#VALUE!</v>
      </c>
      <c r="AY161" t="e">
        <f>'All regions'!C4452+"$F;@!(7v"</f>
        <v>#VALUE!</v>
      </c>
      <c r="AZ161" t="e">
        <f>'All regions'!D4452+"$F;@!(7w"</f>
        <v>#VALUE!</v>
      </c>
      <c r="BA161" t="e">
        <f>'All regions'!E4452+"$F;@!(7x"</f>
        <v>#VALUE!</v>
      </c>
      <c r="BB161" t="e">
        <f>'All regions'!F4452+"$F;@!(7y"</f>
        <v>#VALUE!</v>
      </c>
      <c r="BC161" t="e">
        <f>'All regions'!G4452+"$F;@!(7z"</f>
        <v>#VALUE!</v>
      </c>
      <c r="BD161" t="e">
        <f>'All regions'!H4452+"$F;@!(7{"</f>
        <v>#VALUE!</v>
      </c>
      <c r="BE161" t="e">
        <f>'All regions'!I4452+"$F;@!(7|"</f>
        <v>#VALUE!</v>
      </c>
      <c r="BF161" t="e">
        <f>'All regions'!A4453+"$F;@!(7}"</f>
        <v>#VALUE!</v>
      </c>
      <c r="BG161" t="e">
        <f>'All regions'!B4453+"$F;@!(7~"</f>
        <v>#VALUE!</v>
      </c>
      <c r="BH161" t="e">
        <f>'All regions'!C4453+"$F;@!(8#"</f>
        <v>#VALUE!</v>
      </c>
      <c r="BI161" t="e">
        <f>'All regions'!D4453+"$F;@!(8$"</f>
        <v>#VALUE!</v>
      </c>
      <c r="BJ161" t="e">
        <f>'All regions'!E4453+"$F;@!(8%"</f>
        <v>#VALUE!</v>
      </c>
      <c r="BK161" t="e">
        <f>'All regions'!F4453+"$F;@!(8&amp;"</f>
        <v>#VALUE!</v>
      </c>
      <c r="BL161" t="e">
        <f>'All regions'!G4453+"$F;@!(8'"</f>
        <v>#VALUE!</v>
      </c>
      <c r="BM161" t="e">
        <f>'All regions'!H4453+"$F;@!(8("</f>
        <v>#VALUE!</v>
      </c>
      <c r="BN161" t="e">
        <f>'All regions'!I4453+"$F;@!(8)"</f>
        <v>#VALUE!</v>
      </c>
      <c r="BO161" t="e">
        <f>'All regions'!A4454+"$F;@!(8."</f>
        <v>#VALUE!</v>
      </c>
      <c r="BP161" t="e">
        <f>'All regions'!B4454+"$F;@!(8/"</f>
        <v>#VALUE!</v>
      </c>
      <c r="BQ161" t="e">
        <f>'All regions'!C4454+"$F;@!(80"</f>
        <v>#VALUE!</v>
      </c>
      <c r="BR161" t="e">
        <f>'All regions'!D4454+"$F;@!(81"</f>
        <v>#VALUE!</v>
      </c>
      <c r="BS161" t="e">
        <f>'All regions'!E4454+"$F;@!(82"</f>
        <v>#VALUE!</v>
      </c>
      <c r="BT161" t="e">
        <f>'All regions'!F4454+"$F;@!(83"</f>
        <v>#VALUE!</v>
      </c>
      <c r="BU161" t="e">
        <f>'All regions'!G4454+"$F;@!(84"</f>
        <v>#VALUE!</v>
      </c>
      <c r="BV161" t="e">
        <f>'All regions'!H4454+"$F;@!(85"</f>
        <v>#VALUE!</v>
      </c>
      <c r="BW161" t="e">
        <f>'All regions'!I4454+"$F;@!(86"</f>
        <v>#VALUE!</v>
      </c>
      <c r="BX161" t="e">
        <f>'All regions'!A4455+"$F;@!(87"</f>
        <v>#VALUE!</v>
      </c>
      <c r="BY161" t="e">
        <f>'All regions'!B4455+"$F;@!(88"</f>
        <v>#VALUE!</v>
      </c>
      <c r="BZ161" t="e">
        <f>'All regions'!C4455+"$F;@!(89"</f>
        <v>#VALUE!</v>
      </c>
      <c r="CA161" t="e">
        <f>'All regions'!D4455+"$F;@!(8:"</f>
        <v>#VALUE!</v>
      </c>
      <c r="CB161" t="e">
        <f>'All regions'!E4455+"$F;@!(8;"</f>
        <v>#VALUE!</v>
      </c>
      <c r="CC161" t="e">
        <f>'All regions'!F4455+"$F;@!(8&lt;"</f>
        <v>#VALUE!</v>
      </c>
      <c r="CD161" t="e">
        <f>'All regions'!G4455+"$F;@!(8="</f>
        <v>#VALUE!</v>
      </c>
      <c r="CE161" t="e">
        <f>'All regions'!H4455+"$F;@!(8&gt;"</f>
        <v>#VALUE!</v>
      </c>
      <c r="CF161" t="e">
        <f>'All regions'!I4455+"$F;@!(8?"</f>
        <v>#VALUE!</v>
      </c>
      <c r="CG161" t="e">
        <f>'All regions'!A4456+"$F;@!(8@"</f>
        <v>#VALUE!</v>
      </c>
      <c r="CH161" t="e">
        <f>'All regions'!B4456+"$F;@!(8A"</f>
        <v>#VALUE!</v>
      </c>
      <c r="CI161" t="e">
        <f>'All regions'!C4456+"$F;@!(8B"</f>
        <v>#VALUE!</v>
      </c>
      <c r="CJ161" t="e">
        <f>'All regions'!D4456+"$F;@!(8C"</f>
        <v>#VALUE!</v>
      </c>
      <c r="CK161" t="e">
        <f>'All regions'!E4456+"$F;@!(8D"</f>
        <v>#VALUE!</v>
      </c>
      <c r="CL161" t="e">
        <f>'All regions'!F4456+"$F;@!(8E"</f>
        <v>#VALUE!</v>
      </c>
      <c r="CM161" t="e">
        <f>'All regions'!G4456+"$F;@!(8F"</f>
        <v>#VALUE!</v>
      </c>
      <c r="CN161" t="e">
        <f>'All regions'!H4456+"$F;@!(8G"</f>
        <v>#VALUE!</v>
      </c>
      <c r="CO161" t="e">
        <f>'All regions'!I4456+"$F;@!(8H"</f>
        <v>#VALUE!</v>
      </c>
      <c r="CP161" t="e">
        <f>'All regions'!A4457+"$F;@!(8I"</f>
        <v>#VALUE!</v>
      </c>
      <c r="CQ161" t="e">
        <f>'All regions'!B4457+"$F;@!(8J"</f>
        <v>#VALUE!</v>
      </c>
      <c r="CR161" t="e">
        <f>'All regions'!C4457+"$F;@!(8K"</f>
        <v>#VALUE!</v>
      </c>
      <c r="CS161" t="e">
        <f>'All regions'!D4457+"$F;@!(8L"</f>
        <v>#VALUE!</v>
      </c>
      <c r="CT161" t="e">
        <f>'All regions'!E4457+"$F;@!(8M"</f>
        <v>#VALUE!</v>
      </c>
      <c r="CU161" t="e">
        <f>'All regions'!F4457+"$F;@!(8N"</f>
        <v>#VALUE!</v>
      </c>
      <c r="CV161" t="e">
        <f>'All regions'!G4457+"$F;@!(8O"</f>
        <v>#VALUE!</v>
      </c>
      <c r="CW161" t="e">
        <f>'All regions'!H4457+"$F;@!(8P"</f>
        <v>#VALUE!</v>
      </c>
      <c r="CX161" t="e">
        <f>'All regions'!I4457+"$F;@!(8Q"</f>
        <v>#VALUE!</v>
      </c>
      <c r="CY161" t="e">
        <f>'All regions'!A4458+"$F;@!(8R"</f>
        <v>#VALUE!</v>
      </c>
      <c r="CZ161" t="e">
        <f>'All regions'!B4458+"$F;@!(8S"</f>
        <v>#VALUE!</v>
      </c>
      <c r="DA161" t="e">
        <f>'All regions'!C4458+"$F;@!(8T"</f>
        <v>#VALUE!</v>
      </c>
      <c r="DB161" t="e">
        <f>'All regions'!D4458+"$F;@!(8U"</f>
        <v>#VALUE!</v>
      </c>
      <c r="DC161" t="e">
        <f>'All regions'!E4458+"$F;@!(8V"</f>
        <v>#VALUE!</v>
      </c>
      <c r="DD161" t="e">
        <f>'All regions'!F4458+"$F;@!(8W"</f>
        <v>#VALUE!</v>
      </c>
      <c r="DE161" t="e">
        <f>'All regions'!G4458+"$F;@!(8X"</f>
        <v>#VALUE!</v>
      </c>
      <c r="DF161" t="e">
        <f>'All regions'!H4458+"$F;@!(8Y"</f>
        <v>#VALUE!</v>
      </c>
      <c r="DG161" t="e">
        <f>'All regions'!I4458+"$F;@!(8Z"</f>
        <v>#VALUE!</v>
      </c>
      <c r="DH161" t="e">
        <f>'All regions'!A4459+"$F;@!(8["</f>
        <v>#VALUE!</v>
      </c>
      <c r="DI161" t="e">
        <f>'All regions'!B4459+"$F;@!(8\"</f>
        <v>#VALUE!</v>
      </c>
      <c r="DJ161" t="e">
        <f>'All regions'!C4459+"$F;@!(8]"</f>
        <v>#VALUE!</v>
      </c>
      <c r="DK161" t="e">
        <f>'All regions'!D4459+"$F;@!(8^"</f>
        <v>#VALUE!</v>
      </c>
      <c r="DL161" t="e">
        <f>'All regions'!E4459+"$F;@!(8_"</f>
        <v>#VALUE!</v>
      </c>
      <c r="DM161" t="e">
        <f>'All regions'!F4459+"$F;@!(8`"</f>
        <v>#VALUE!</v>
      </c>
      <c r="DN161" t="e">
        <f>'All regions'!G4459+"$F;@!(8a"</f>
        <v>#VALUE!</v>
      </c>
      <c r="DO161" t="e">
        <f>'All regions'!H4459+"$F;@!(8b"</f>
        <v>#VALUE!</v>
      </c>
      <c r="DP161" t="e">
        <f>'All regions'!I4459+"$F;@!(8c"</f>
        <v>#VALUE!</v>
      </c>
      <c r="DQ161" t="e">
        <f>'All regions'!A4460+"$F;@!(8d"</f>
        <v>#VALUE!</v>
      </c>
      <c r="DR161" t="e">
        <f>'All regions'!B4460+"$F;@!(8e"</f>
        <v>#VALUE!</v>
      </c>
      <c r="DS161" t="e">
        <f>'All regions'!C4460+"$F;@!(8f"</f>
        <v>#VALUE!</v>
      </c>
      <c r="DT161" t="e">
        <f>'All regions'!D4460+"$F;@!(8g"</f>
        <v>#VALUE!</v>
      </c>
      <c r="DU161" t="e">
        <f>'All regions'!E4460+"$F;@!(8h"</f>
        <v>#VALUE!</v>
      </c>
      <c r="DV161" t="e">
        <f>'All regions'!F4460+"$F;@!(8i"</f>
        <v>#VALUE!</v>
      </c>
      <c r="DW161" t="e">
        <f>'All regions'!G4460+"$F;@!(8j"</f>
        <v>#VALUE!</v>
      </c>
      <c r="DX161" t="e">
        <f>'All regions'!H4460+"$F;@!(8k"</f>
        <v>#VALUE!</v>
      </c>
      <c r="DY161" t="e">
        <f>'All regions'!I4460+"$F;@!(8l"</f>
        <v>#VALUE!</v>
      </c>
      <c r="DZ161" t="e">
        <f>'All regions'!A4461+"$F;@!(8m"</f>
        <v>#VALUE!</v>
      </c>
      <c r="EA161" t="e">
        <f>'All regions'!B4461+"$F;@!(8n"</f>
        <v>#VALUE!</v>
      </c>
      <c r="EB161" t="e">
        <f>'All regions'!C4461+"$F;@!(8o"</f>
        <v>#VALUE!</v>
      </c>
      <c r="EC161" t="e">
        <f>'All regions'!D4461+"$F;@!(8p"</f>
        <v>#VALUE!</v>
      </c>
      <c r="ED161" t="e">
        <f>'All regions'!E4461+"$F;@!(8q"</f>
        <v>#VALUE!</v>
      </c>
      <c r="EE161" t="e">
        <f>'All regions'!F4461+"$F;@!(8r"</f>
        <v>#VALUE!</v>
      </c>
      <c r="EF161" t="e">
        <f>'All regions'!G4461+"$F;@!(8s"</f>
        <v>#VALUE!</v>
      </c>
      <c r="EG161" t="e">
        <f>'All regions'!H4461+"$F;@!(8t"</f>
        <v>#VALUE!</v>
      </c>
      <c r="EH161" t="e">
        <f>'All regions'!I4461+"$F;@!(8u"</f>
        <v>#VALUE!</v>
      </c>
      <c r="EI161" t="e">
        <f>'All regions'!A4462+"$F;@!(8v"</f>
        <v>#VALUE!</v>
      </c>
      <c r="EJ161" t="e">
        <f>'All regions'!B4462+"$F;@!(8w"</f>
        <v>#VALUE!</v>
      </c>
      <c r="EK161" t="e">
        <f>'All regions'!C4462+"$F;@!(8x"</f>
        <v>#VALUE!</v>
      </c>
      <c r="EL161" t="e">
        <f>'All regions'!D4462+"$F;@!(8y"</f>
        <v>#VALUE!</v>
      </c>
      <c r="EM161" t="e">
        <f>'All regions'!E4462+"$F;@!(8z"</f>
        <v>#VALUE!</v>
      </c>
      <c r="EN161" t="e">
        <f>'All regions'!F4462+"$F;@!(8{"</f>
        <v>#VALUE!</v>
      </c>
      <c r="EO161" t="e">
        <f>'All regions'!G4462+"$F;@!(8|"</f>
        <v>#VALUE!</v>
      </c>
      <c r="EP161" t="e">
        <f>'All regions'!H4462+"$F;@!(8}"</f>
        <v>#VALUE!</v>
      </c>
      <c r="EQ161" t="e">
        <f>'All regions'!I4462+"$F;@!(8~"</f>
        <v>#VALUE!</v>
      </c>
      <c r="ER161" t="e">
        <f>'All regions'!A4463+"$F;@!(9#"</f>
        <v>#VALUE!</v>
      </c>
      <c r="ES161" t="e">
        <f>'All regions'!B4463+"$F;@!(9$"</f>
        <v>#VALUE!</v>
      </c>
      <c r="ET161" t="e">
        <f>'All regions'!C4463+"$F;@!(9%"</f>
        <v>#VALUE!</v>
      </c>
      <c r="EU161" t="e">
        <f>'All regions'!D4463+"$F;@!(9&amp;"</f>
        <v>#VALUE!</v>
      </c>
      <c r="EV161" t="e">
        <f>'All regions'!E4463+"$F;@!(9'"</f>
        <v>#VALUE!</v>
      </c>
      <c r="EW161" t="e">
        <f>'All regions'!F4463+"$F;@!(9("</f>
        <v>#VALUE!</v>
      </c>
      <c r="EX161" t="e">
        <f>'All regions'!G4463+"$F;@!(9)"</f>
        <v>#VALUE!</v>
      </c>
      <c r="EY161" t="e">
        <f>'All regions'!H4463+"$F;@!(9."</f>
        <v>#VALUE!</v>
      </c>
      <c r="EZ161" t="e">
        <f>'All regions'!I4463+"$F;@!(9/"</f>
        <v>#VALUE!</v>
      </c>
      <c r="FA161" t="e">
        <f>'All regions'!A4464+"$F;@!(90"</f>
        <v>#VALUE!</v>
      </c>
      <c r="FB161" t="e">
        <f>'All regions'!B4464+"$F;@!(91"</f>
        <v>#VALUE!</v>
      </c>
      <c r="FC161" t="e">
        <f>'All regions'!C4464+"$F;@!(92"</f>
        <v>#VALUE!</v>
      </c>
      <c r="FD161" t="e">
        <f>'All regions'!D4464+"$F;@!(93"</f>
        <v>#VALUE!</v>
      </c>
      <c r="FE161" t="e">
        <f>'All regions'!E4464+"$F;@!(94"</f>
        <v>#VALUE!</v>
      </c>
      <c r="FF161" t="e">
        <f>'All regions'!F4464+"$F;@!(95"</f>
        <v>#VALUE!</v>
      </c>
      <c r="FG161" t="e">
        <f>'All regions'!G4464+"$F;@!(96"</f>
        <v>#VALUE!</v>
      </c>
      <c r="FH161" t="e">
        <f>'All regions'!H4464+"$F;@!(97"</f>
        <v>#VALUE!</v>
      </c>
      <c r="FI161" t="e">
        <f>'All regions'!I4464+"$F;@!(98"</f>
        <v>#VALUE!</v>
      </c>
      <c r="FJ161" t="e">
        <f>'All regions'!A4465+"$F;@!(99"</f>
        <v>#VALUE!</v>
      </c>
      <c r="FK161" t="e">
        <f>'All regions'!B4465+"$F;@!(9:"</f>
        <v>#VALUE!</v>
      </c>
      <c r="FL161" t="e">
        <f>'All regions'!C4465+"$F;@!(9;"</f>
        <v>#VALUE!</v>
      </c>
      <c r="FM161" t="e">
        <f>'All regions'!D4465+"$F;@!(9&lt;"</f>
        <v>#VALUE!</v>
      </c>
      <c r="FN161" t="e">
        <f>'All regions'!E4465+"$F;@!(9="</f>
        <v>#VALUE!</v>
      </c>
      <c r="FO161" t="e">
        <f>'All regions'!F4465+"$F;@!(9&gt;"</f>
        <v>#VALUE!</v>
      </c>
      <c r="FP161" t="e">
        <f>'All regions'!G4465+"$F;@!(9?"</f>
        <v>#VALUE!</v>
      </c>
      <c r="FQ161" t="e">
        <f>'All regions'!H4465+"$F;@!(9@"</f>
        <v>#VALUE!</v>
      </c>
      <c r="FR161" t="e">
        <f>'All regions'!I4465+"$F;@!(9A"</f>
        <v>#VALUE!</v>
      </c>
      <c r="FS161" t="e">
        <f>'All regions'!A4466+"$F;@!(9B"</f>
        <v>#VALUE!</v>
      </c>
      <c r="FT161" t="e">
        <f>'All regions'!B4466+"$F;@!(9C"</f>
        <v>#VALUE!</v>
      </c>
      <c r="FU161" t="e">
        <f>'All regions'!C4466+"$F;@!(9D"</f>
        <v>#VALUE!</v>
      </c>
      <c r="FV161" t="e">
        <f>'All regions'!D4466+"$F;@!(9E"</f>
        <v>#VALUE!</v>
      </c>
      <c r="FW161" t="e">
        <f>'All regions'!E4466+"$F;@!(9F"</f>
        <v>#VALUE!</v>
      </c>
      <c r="FX161" t="e">
        <f>'All regions'!F4466+"$F;@!(9G"</f>
        <v>#VALUE!</v>
      </c>
      <c r="FY161" t="e">
        <f>'All regions'!G4466+"$F;@!(9H"</f>
        <v>#VALUE!</v>
      </c>
      <c r="FZ161" t="e">
        <f>'All regions'!H4466+"$F;@!(9I"</f>
        <v>#VALUE!</v>
      </c>
      <c r="GA161" t="e">
        <f>'All regions'!I4466+"$F;@!(9J"</f>
        <v>#VALUE!</v>
      </c>
      <c r="GB161" t="e">
        <f>'All regions'!A4467+"$F;@!(9K"</f>
        <v>#VALUE!</v>
      </c>
      <c r="GC161" t="e">
        <f>'All regions'!B4467+"$F;@!(9L"</f>
        <v>#VALUE!</v>
      </c>
      <c r="GD161" t="e">
        <f>'All regions'!C4467+"$F;@!(9M"</f>
        <v>#VALUE!</v>
      </c>
      <c r="GE161" t="e">
        <f>'All regions'!D4467+"$F;@!(9N"</f>
        <v>#VALUE!</v>
      </c>
      <c r="GF161" t="e">
        <f>'All regions'!E4467+"$F;@!(9O"</f>
        <v>#VALUE!</v>
      </c>
      <c r="GG161" t="e">
        <f>'All regions'!F4467+"$F;@!(9P"</f>
        <v>#VALUE!</v>
      </c>
      <c r="GH161" t="e">
        <f>'All regions'!G4467+"$F;@!(9Q"</f>
        <v>#VALUE!</v>
      </c>
      <c r="GI161" t="e">
        <f>'All regions'!H4467+"$F;@!(9R"</f>
        <v>#VALUE!</v>
      </c>
      <c r="GJ161" t="e">
        <f>'All regions'!I4467+"$F;@!(9S"</f>
        <v>#VALUE!</v>
      </c>
      <c r="GK161" t="e">
        <f>'All regions'!A4468+"$F;@!(9T"</f>
        <v>#VALUE!</v>
      </c>
      <c r="GL161" t="e">
        <f>'All regions'!B4468+"$F;@!(9U"</f>
        <v>#VALUE!</v>
      </c>
      <c r="GM161" t="e">
        <f>'All regions'!C4468+"$F;@!(9V"</f>
        <v>#VALUE!</v>
      </c>
      <c r="GN161" t="e">
        <f>'All regions'!D4468+"$F;@!(9W"</f>
        <v>#VALUE!</v>
      </c>
      <c r="GO161" t="e">
        <f>'All regions'!E4468+"$F;@!(9X"</f>
        <v>#VALUE!</v>
      </c>
      <c r="GP161" t="e">
        <f>'All regions'!F4468+"$F;@!(9Y"</f>
        <v>#VALUE!</v>
      </c>
      <c r="GQ161" t="e">
        <f>'All regions'!G4468+"$F;@!(9Z"</f>
        <v>#VALUE!</v>
      </c>
      <c r="GR161" t="e">
        <f>'All regions'!H4468+"$F;@!(9["</f>
        <v>#VALUE!</v>
      </c>
      <c r="GS161" t="e">
        <f>'All regions'!I4468+"$F;@!(9\"</f>
        <v>#VALUE!</v>
      </c>
      <c r="GT161" t="e">
        <f>'All regions'!A4469+"$F;@!(9]"</f>
        <v>#VALUE!</v>
      </c>
      <c r="GU161" t="e">
        <f>'All regions'!B4469+"$F;@!(9^"</f>
        <v>#VALUE!</v>
      </c>
      <c r="GV161" t="e">
        <f>'All regions'!C4469+"$F;@!(9_"</f>
        <v>#VALUE!</v>
      </c>
      <c r="GW161" t="e">
        <f>'All regions'!D4469+"$F;@!(9`"</f>
        <v>#VALUE!</v>
      </c>
      <c r="GX161" t="e">
        <f>'All regions'!E4469+"$F;@!(9a"</f>
        <v>#VALUE!</v>
      </c>
      <c r="GY161" t="e">
        <f>'All regions'!F4469+"$F;@!(9b"</f>
        <v>#VALUE!</v>
      </c>
      <c r="GZ161" t="e">
        <f>'All regions'!G4469+"$F;@!(9c"</f>
        <v>#VALUE!</v>
      </c>
      <c r="HA161" t="e">
        <f>'All regions'!H4469+"$F;@!(9d"</f>
        <v>#VALUE!</v>
      </c>
      <c r="HB161" t="e">
        <f>'All regions'!I4469+"$F;@!(9e"</f>
        <v>#VALUE!</v>
      </c>
      <c r="HC161" t="e">
        <f>'All regions'!A4470+"$F;@!(9f"</f>
        <v>#VALUE!</v>
      </c>
      <c r="HD161" t="e">
        <f>'All regions'!B4470+"$F;@!(9g"</f>
        <v>#VALUE!</v>
      </c>
      <c r="HE161" t="e">
        <f>'All regions'!C4470+"$F;@!(9h"</f>
        <v>#VALUE!</v>
      </c>
      <c r="HF161" t="e">
        <f>'All regions'!D4470+"$F;@!(9i"</f>
        <v>#VALUE!</v>
      </c>
      <c r="HG161" t="e">
        <f>'All regions'!E4470+"$F;@!(9j"</f>
        <v>#VALUE!</v>
      </c>
      <c r="HH161" t="e">
        <f>'All regions'!F4470+"$F;@!(9k"</f>
        <v>#VALUE!</v>
      </c>
      <c r="HI161" t="e">
        <f>'All regions'!G4470+"$F;@!(9l"</f>
        <v>#VALUE!</v>
      </c>
      <c r="HJ161" t="e">
        <f>'All regions'!H4470+"$F;@!(9m"</f>
        <v>#VALUE!</v>
      </c>
      <c r="HK161" t="e">
        <f>'All regions'!I4470+"$F;@!(9n"</f>
        <v>#VALUE!</v>
      </c>
      <c r="HL161" t="e">
        <f>'All regions'!A4471+"$F;@!(9o"</f>
        <v>#VALUE!</v>
      </c>
      <c r="HM161" t="e">
        <f>'All regions'!B4471+"$F;@!(9p"</f>
        <v>#VALUE!</v>
      </c>
      <c r="HN161" t="e">
        <f>'All regions'!C4471+"$F;@!(9q"</f>
        <v>#VALUE!</v>
      </c>
      <c r="HO161" t="e">
        <f>'All regions'!D4471+"$F;@!(9r"</f>
        <v>#VALUE!</v>
      </c>
      <c r="HP161" t="e">
        <f>'All regions'!E4471+"$F;@!(9s"</f>
        <v>#VALUE!</v>
      </c>
      <c r="HQ161" t="e">
        <f>'All regions'!F4471+"$F;@!(9t"</f>
        <v>#VALUE!</v>
      </c>
      <c r="HR161" t="e">
        <f>'All regions'!G4471+"$F;@!(9u"</f>
        <v>#VALUE!</v>
      </c>
      <c r="HS161" t="e">
        <f>'All regions'!H4471+"$F;@!(9v"</f>
        <v>#VALUE!</v>
      </c>
      <c r="HT161" t="e">
        <f>'All regions'!I4471+"$F;@!(9w"</f>
        <v>#VALUE!</v>
      </c>
      <c r="HU161" t="e">
        <f>'All regions'!A4472+"$F;@!(9x"</f>
        <v>#VALUE!</v>
      </c>
      <c r="HV161" t="e">
        <f>'All regions'!B4472+"$F;@!(9y"</f>
        <v>#VALUE!</v>
      </c>
      <c r="HW161" t="e">
        <f>'All regions'!C4472+"$F;@!(9z"</f>
        <v>#VALUE!</v>
      </c>
      <c r="HX161" t="e">
        <f>'All regions'!D4472+"$F;@!(9{"</f>
        <v>#VALUE!</v>
      </c>
      <c r="HY161" t="e">
        <f>'All regions'!E4472+"$F;@!(9|"</f>
        <v>#VALUE!</v>
      </c>
      <c r="HZ161" t="e">
        <f>'All regions'!F4472+"$F;@!(9}"</f>
        <v>#VALUE!</v>
      </c>
      <c r="IA161" t="e">
        <f>'All regions'!G4472+"$F;@!(9~"</f>
        <v>#VALUE!</v>
      </c>
      <c r="IB161" t="e">
        <f>'All regions'!H4472+"$F;@!(:#"</f>
        <v>#VALUE!</v>
      </c>
      <c r="IC161" t="e">
        <f>'All regions'!I4472+"$F;@!(:$"</f>
        <v>#VALUE!</v>
      </c>
      <c r="ID161" t="e">
        <f>'All regions'!A4473+"$F;@!(:%"</f>
        <v>#VALUE!</v>
      </c>
      <c r="IE161" t="e">
        <f>'All regions'!B4473+"$F;@!(:&amp;"</f>
        <v>#VALUE!</v>
      </c>
      <c r="IF161" t="e">
        <f>'All regions'!C4473+"$F;@!(:'"</f>
        <v>#VALUE!</v>
      </c>
      <c r="IG161" t="e">
        <f>'All regions'!D4473+"$F;@!(:("</f>
        <v>#VALUE!</v>
      </c>
      <c r="IH161" t="e">
        <f>'All regions'!E4473+"$F;@!(:)"</f>
        <v>#VALUE!</v>
      </c>
      <c r="II161" t="e">
        <f>'All regions'!F4473+"$F;@!(:."</f>
        <v>#VALUE!</v>
      </c>
      <c r="IJ161" t="e">
        <f>'All regions'!G4473+"$F;@!(:/"</f>
        <v>#VALUE!</v>
      </c>
      <c r="IK161" t="e">
        <f>'All regions'!H4473+"$F;@!(:0"</f>
        <v>#VALUE!</v>
      </c>
      <c r="IL161" t="e">
        <f>'All regions'!I4473+"$F;@!(:1"</f>
        <v>#VALUE!</v>
      </c>
      <c r="IM161" t="e">
        <f>'All regions'!A4474+"$F;@!(:2"</f>
        <v>#VALUE!</v>
      </c>
      <c r="IN161" t="e">
        <f>'All regions'!B4474+"$F;@!(:3"</f>
        <v>#VALUE!</v>
      </c>
      <c r="IO161" t="e">
        <f>'All regions'!C4474+"$F;@!(:4"</f>
        <v>#VALUE!</v>
      </c>
      <c r="IP161" t="e">
        <f>'All regions'!D4474+"$F;@!(:5"</f>
        <v>#VALUE!</v>
      </c>
      <c r="IQ161" t="e">
        <f>'All regions'!E4474+"$F;@!(:6"</f>
        <v>#VALUE!</v>
      </c>
      <c r="IR161" t="e">
        <f>'All regions'!F4474+"$F;@!(:7"</f>
        <v>#VALUE!</v>
      </c>
      <c r="IS161" t="e">
        <f>'All regions'!G4474+"$F;@!(:8"</f>
        <v>#VALUE!</v>
      </c>
      <c r="IT161" t="e">
        <f>'All regions'!H4474+"$F;@!(:9"</f>
        <v>#VALUE!</v>
      </c>
      <c r="IU161" t="e">
        <f>'All regions'!I4474+"$F;@!(::"</f>
        <v>#VALUE!</v>
      </c>
      <c r="IV161" t="e">
        <f>'All regions'!A4475+"$F;@!(:;"</f>
        <v>#VALUE!</v>
      </c>
    </row>
    <row r="162" spans="6:256" x14ac:dyDescent="0.35">
      <c r="F162" t="e">
        <f>'All regions'!B4475+"$F;@!(:&lt;"</f>
        <v>#VALUE!</v>
      </c>
      <c r="G162" t="e">
        <f>'All regions'!C4475+"$F;@!(:="</f>
        <v>#VALUE!</v>
      </c>
      <c r="H162" t="e">
        <f>'All regions'!D4475+"$F;@!(:&gt;"</f>
        <v>#VALUE!</v>
      </c>
      <c r="I162" t="e">
        <f>'All regions'!E4475+"$F;@!(:?"</f>
        <v>#VALUE!</v>
      </c>
      <c r="J162" t="e">
        <f>'All regions'!F4475+"$F;@!(:@"</f>
        <v>#VALUE!</v>
      </c>
      <c r="K162" t="e">
        <f>'All regions'!G4475+"$F;@!(:A"</f>
        <v>#VALUE!</v>
      </c>
      <c r="L162" t="e">
        <f>'All regions'!H4475+"$F;@!(:B"</f>
        <v>#VALUE!</v>
      </c>
      <c r="M162" t="e">
        <f>'All regions'!I4475+"$F;@!(:C"</f>
        <v>#VALUE!</v>
      </c>
      <c r="N162" t="e">
        <f>'All regions'!A4476+"$F;@!(:D"</f>
        <v>#VALUE!</v>
      </c>
      <c r="O162" t="e">
        <f>'All regions'!B4476+"$F;@!(:E"</f>
        <v>#VALUE!</v>
      </c>
      <c r="P162" t="e">
        <f>'All regions'!C4476+"$F;@!(:F"</f>
        <v>#VALUE!</v>
      </c>
      <c r="Q162" t="e">
        <f>'All regions'!D4476+"$F;@!(:G"</f>
        <v>#VALUE!</v>
      </c>
      <c r="R162" t="e">
        <f>'All regions'!E4476+"$F;@!(:H"</f>
        <v>#VALUE!</v>
      </c>
      <c r="S162" t="e">
        <f>'All regions'!F4476+"$F;@!(:I"</f>
        <v>#VALUE!</v>
      </c>
      <c r="T162" t="e">
        <f>'All regions'!G4476+"$F;@!(:J"</f>
        <v>#VALUE!</v>
      </c>
      <c r="U162" t="e">
        <f>'All regions'!H4476+"$F;@!(:K"</f>
        <v>#VALUE!</v>
      </c>
      <c r="V162" t="e">
        <f>'All regions'!I4476+"$F;@!(:L"</f>
        <v>#VALUE!</v>
      </c>
      <c r="W162" t="e">
        <f>'All regions'!A4477+"$F;@!(:M"</f>
        <v>#VALUE!</v>
      </c>
      <c r="X162" t="e">
        <f>'All regions'!B4477+"$F;@!(:N"</f>
        <v>#VALUE!</v>
      </c>
      <c r="Y162" t="e">
        <f>'All regions'!C4477+"$F;@!(:O"</f>
        <v>#VALUE!</v>
      </c>
      <c r="Z162" t="e">
        <f>'All regions'!D4477+"$F;@!(:P"</f>
        <v>#VALUE!</v>
      </c>
      <c r="AA162" t="e">
        <f>'All regions'!E4477+"$F;@!(:Q"</f>
        <v>#VALUE!</v>
      </c>
      <c r="AB162" t="e">
        <f>'All regions'!F4477+"$F;@!(:R"</f>
        <v>#VALUE!</v>
      </c>
      <c r="AC162" t="e">
        <f>'All regions'!G4477+"$F;@!(:S"</f>
        <v>#VALUE!</v>
      </c>
      <c r="AD162" t="e">
        <f>'All regions'!H4477+"$F;@!(:T"</f>
        <v>#VALUE!</v>
      </c>
      <c r="AE162" t="e">
        <f>'All regions'!I4477+"$F;@!(:U"</f>
        <v>#VALUE!</v>
      </c>
      <c r="AF162" t="e">
        <f>'All regions'!A4478+"$F;@!(:V"</f>
        <v>#VALUE!</v>
      </c>
      <c r="AG162" t="e">
        <f>'All regions'!B4478+"$F;@!(:W"</f>
        <v>#VALUE!</v>
      </c>
      <c r="AH162" t="e">
        <f>'All regions'!C4478+"$F;@!(:X"</f>
        <v>#VALUE!</v>
      </c>
      <c r="AI162" t="e">
        <f>'All regions'!D4478+"$F;@!(:Y"</f>
        <v>#VALUE!</v>
      </c>
      <c r="AJ162" t="e">
        <f>'All regions'!E4478+"$F;@!(:Z"</f>
        <v>#VALUE!</v>
      </c>
      <c r="AK162" t="e">
        <f>'All regions'!F4478+"$F;@!(:["</f>
        <v>#VALUE!</v>
      </c>
      <c r="AL162" t="e">
        <f>'All regions'!G4478+"$F;@!(:\"</f>
        <v>#VALUE!</v>
      </c>
      <c r="AM162" t="e">
        <f>'All regions'!H4478+"$F;@!(:]"</f>
        <v>#VALUE!</v>
      </c>
      <c r="AN162" t="e">
        <f>'All regions'!I4478+"$F;@!(:^"</f>
        <v>#VALUE!</v>
      </c>
      <c r="AO162" t="e">
        <f>'All regions'!A4479+"$F;@!(:_"</f>
        <v>#VALUE!</v>
      </c>
      <c r="AP162" t="e">
        <f>'All regions'!B4479+"$F;@!(:`"</f>
        <v>#VALUE!</v>
      </c>
      <c r="AQ162" t="e">
        <f>'All regions'!C4479+"$F;@!(:a"</f>
        <v>#VALUE!</v>
      </c>
      <c r="AR162" t="e">
        <f>'All regions'!D4479+"$F;@!(:b"</f>
        <v>#VALUE!</v>
      </c>
      <c r="AS162" t="e">
        <f>'All regions'!E4479+"$F;@!(:c"</f>
        <v>#VALUE!</v>
      </c>
      <c r="AT162" t="e">
        <f>'All regions'!F4479+"$F;@!(:d"</f>
        <v>#VALUE!</v>
      </c>
      <c r="AU162" t="e">
        <f>'All regions'!G4479+"$F;@!(:e"</f>
        <v>#VALUE!</v>
      </c>
      <c r="AV162" t="e">
        <f>'All regions'!H4479+"$F;@!(:f"</f>
        <v>#VALUE!</v>
      </c>
      <c r="AW162" t="e">
        <f>'All regions'!I4479+"$F;@!(:g"</f>
        <v>#VALUE!</v>
      </c>
      <c r="AX162" t="e">
        <f>'All regions'!A4480+"$F;@!(:h"</f>
        <v>#VALUE!</v>
      </c>
      <c r="AY162" t="e">
        <f>'All regions'!B4480+"$F;@!(:i"</f>
        <v>#VALUE!</v>
      </c>
      <c r="AZ162" t="e">
        <f>'All regions'!C4480+"$F;@!(:j"</f>
        <v>#VALUE!</v>
      </c>
      <c r="BA162" t="e">
        <f>'All regions'!D4480+"$F;@!(:k"</f>
        <v>#VALUE!</v>
      </c>
      <c r="BB162" t="e">
        <f>'All regions'!E4480+"$F;@!(:l"</f>
        <v>#VALUE!</v>
      </c>
      <c r="BC162" t="e">
        <f>'All regions'!F4480+"$F;@!(:m"</f>
        <v>#VALUE!</v>
      </c>
      <c r="BD162" t="e">
        <f>'All regions'!G4480+"$F;@!(:n"</f>
        <v>#VALUE!</v>
      </c>
      <c r="BE162" t="e">
        <f>'All regions'!H4480+"$F;@!(:o"</f>
        <v>#VALUE!</v>
      </c>
      <c r="BF162" t="e">
        <f>'All regions'!I4480+"$F;@!(:p"</f>
        <v>#VALUE!</v>
      </c>
      <c r="BG162" t="e">
        <f>'All regions'!A4481+"$F;@!(:q"</f>
        <v>#VALUE!</v>
      </c>
      <c r="BH162" t="e">
        <f>'All regions'!B4481+"$F;@!(:r"</f>
        <v>#VALUE!</v>
      </c>
      <c r="BI162" t="e">
        <f>'All regions'!C4481+"$F;@!(:s"</f>
        <v>#VALUE!</v>
      </c>
      <c r="BJ162" t="e">
        <f>'All regions'!D4481+"$F;@!(:t"</f>
        <v>#VALUE!</v>
      </c>
      <c r="BK162" t="e">
        <f>'All regions'!E4481+"$F;@!(:u"</f>
        <v>#VALUE!</v>
      </c>
      <c r="BL162" t="e">
        <f>'All regions'!F4481+"$F;@!(:v"</f>
        <v>#VALUE!</v>
      </c>
      <c r="BM162" t="e">
        <f>'All regions'!G4481+"$F;@!(:w"</f>
        <v>#VALUE!</v>
      </c>
      <c r="BN162" t="e">
        <f>'All regions'!H4481+"$F;@!(:x"</f>
        <v>#VALUE!</v>
      </c>
      <c r="BO162" t="e">
        <f>'All regions'!I4481+"$F;@!(:y"</f>
        <v>#VALUE!</v>
      </c>
      <c r="BP162" t="e">
        <f>'All regions'!A4482+"$F;@!(:z"</f>
        <v>#VALUE!</v>
      </c>
      <c r="BQ162" t="e">
        <f>'All regions'!B4482+"$F;@!(:{"</f>
        <v>#VALUE!</v>
      </c>
      <c r="BR162" t="e">
        <f>'All regions'!C4482+"$F;@!(:|"</f>
        <v>#VALUE!</v>
      </c>
      <c r="BS162" t="e">
        <f>'All regions'!D4482+"$F;@!(:}"</f>
        <v>#VALUE!</v>
      </c>
      <c r="BT162" t="e">
        <f>'All regions'!E4482+"$F;@!(:~"</f>
        <v>#VALUE!</v>
      </c>
      <c r="BU162" t="e">
        <f>'All regions'!F4482+"$F;@!(;#"</f>
        <v>#VALUE!</v>
      </c>
      <c r="BV162" t="e">
        <f>'All regions'!G4482+"$F;@!(;$"</f>
        <v>#VALUE!</v>
      </c>
      <c r="BW162" t="e">
        <f>'All regions'!H4482+"$F;@!(;%"</f>
        <v>#VALUE!</v>
      </c>
      <c r="BX162" t="e">
        <f>'All regions'!I4482+"$F;@!(;&amp;"</f>
        <v>#VALUE!</v>
      </c>
      <c r="BY162" t="e">
        <f>'All regions'!A4483+"$F;@!(;'"</f>
        <v>#VALUE!</v>
      </c>
      <c r="BZ162" t="e">
        <f>'All regions'!B4483+"$F;@!(;("</f>
        <v>#VALUE!</v>
      </c>
      <c r="CA162" t="e">
        <f>'All regions'!C4483+"$F;@!(;)"</f>
        <v>#VALUE!</v>
      </c>
      <c r="CB162" t="e">
        <f>'All regions'!D4483+"$F;@!(;."</f>
        <v>#VALUE!</v>
      </c>
      <c r="CC162" t="e">
        <f>'All regions'!E4483+"$F;@!(;/"</f>
        <v>#VALUE!</v>
      </c>
      <c r="CD162" t="e">
        <f>'All regions'!F4483+"$F;@!(;0"</f>
        <v>#VALUE!</v>
      </c>
      <c r="CE162" t="e">
        <f>'All regions'!G4483+"$F;@!(;1"</f>
        <v>#VALUE!</v>
      </c>
      <c r="CF162" t="e">
        <f>'All regions'!H4483+"$F;@!(;2"</f>
        <v>#VALUE!</v>
      </c>
      <c r="CG162" t="e">
        <f>'All regions'!I4483+"$F;@!(;3"</f>
        <v>#VALUE!</v>
      </c>
      <c r="CH162" t="e">
        <f>'All regions'!A4484+"$F;@!(;4"</f>
        <v>#VALUE!</v>
      </c>
      <c r="CI162" t="e">
        <f>'All regions'!B4484+"$F;@!(;5"</f>
        <v>#VALUE!</v>
      </c>
      <c r="CJ162" t="e">
        <f>'All regions'!C4484+"$F;@!(;6"</f>
        <v>#VALUE!</v>
      </c>
      <c r="CK162" t="e">
        <f>'All regions'!D4484+"$F;@!(;7"</f>
        <v>#VALUE!</v>
      </c>
      <c r="CL162" t="e">
        <f>'All regions'!E4484+"$F;@!(;8"</f>
        <v>#VALUE!</v>
      </c>
      <c r="CM162" t="e">
        <f>'All regions'!F4484+"$F;@!(;9"</f>
        <v>#VALUE!</v>
      </c>
      <c r="CN162" t="e">
        <f>'All regions'!G4484+"$F;@!(;:"</f>
        <v>#VALUE!</v>
      </c>
      <c r="CO162" t="e">
        <f>'All regions'!H4484+"$F;@!(;;"</f>
        <v>#VALUE!</v>
      </c>
      <c r="CP162" t="e">
        <f>'All regions'!I4484+"$F;@!(;&lt;"</f>
        <v>#VALUE!</v>
      </c>
      <c r="CQ162" t="e">
        <f>'All regions'!A4485+"$F;@!(;="</f>
        <v>#VALUE!</v>
      </c>
      <c r="CR162" t="e">
        <f>'All regions'!B4485+"$F;@!(;&gt;"</f>
        <v>#VALUE!</v>
      </c>
      <c r="CS162" t="e">
        <f>'All regions'!C4485+"$F;@!(;?"</f>
        <v>#VALUE!</v>
      </c>
      <c r="CT162" t="e">
        <f>'All regions'!D4485+"$F;@!(;@"</f>
        <v>#VALUE!</v>
      </c>
      <c r="CU162" t="e">
        <f>'All regions'!E4485+"$F;@!(;A"</f>
        <v>#VALUE!</v>
      </c>
      <c r="CV162" t="e">
        <f>'All regions'!F4485+"$F;@!(;B"</f>
        <v>#VALUE!</v>
      </c>
      <c r="CW162" t="e">
        <f>'All regions'!G4485+"$F;@!(;C"</f>
        <v>#VALUE!</v>
      </c>
      <c r="CX162" t="e">
        <f>'All regions'!H4485+"$F;@!(;D"</f>
        <v>#VALUE!</v>
      </c>
      <c r="CY162" t="e">
        <f>'All regions'!I4485+"$F;@!(;E"</f>
        <v>#VALUE!</v>
      </c>
      <c r="CZ162" t="e">
        <f>'All regions'!A4486+"$F;@!(;F"</f>
        <v>#VALUE!</v>
      </c>
      <c r="DA162" t="e">
        <f>'All regions'!B4486+"$F;@!(;G"</f>
        <v>#VALUE!</v>
      </c>
      <c r="DB162" t="e">
        <f>'All regions'!C4486+"$F;@!(;H"</f>
        <v>#VALUE!</v>
      </c>
      <c r="DC162" t="e">
        <f>'All regions'!D4486+"$F;@!(;I"</f>
        <v>#VALUE!</v>
      </c>
      <c r="DD162" t="e">
        <f>'All regions'!E4486+"$F;@!(;J"</f>
        <v>#VALUE!</v>
      </c>
      <c r="DE162" t="e">
        <f>'All regions'!F4486+"$F;@!(;K"</f>
        <v>#VALUE!</v>
      </c>
      <c r="DF162" t="e">
        <f>'All regions'!G4486+"$F;@!(;L"</f>
        <v>#VALUE!</v>
      </c>
      <c r="DG162" t="e">
        <f>'All regions'!H4486+"$F;@!(;M"</f>
        <v>#VALUE!</v>
      </c>
      <c r="DH162" t="e">
        <f>'All regions'!I4486+"$F;@!(;N"</f>
        <v>#VALUE!</v>
      </c>
      <c r="DI162" t="e">
        <f>'All regions'!A4487+"$F;@!(;O"</f>
        <v>#VALUE!</v>
      </c>
      <c r="DJ162" t="e">
        <f>'All regions'!B4487+"$F;@!(;P"</f>
        <v>#VALUE!</v>
      </c>
      <c r="DK162" t="e">
        <f>'All regions'!C4487+"$F;@!(;Q"</f>
        <v>#VALUE!</v>
      </c>
      <c r="DL162" t="e">
        <f>'All regions'!D4487+"$F;@!(;R"</f>
        <v>#VALUE!</v>
      </c>
      <c r="DM162" t="e">
        <f>'All regions'!E4487+"$F;@!(;S"</f>
        <v>#VALUE!</v>
      </c>
      <c r="DN162" t="e">
        <f>'All regions'!F4487+"$F;@!(;T"</f>
        <v>#VALUE!</v>
      </c>
      <c r="DO162" t="e">
        <f>'All regions'!G4487+"$F;@!(;U"</f>
        <v>#VALUE!</v>
      </c>
      <c r="DP162" t="e">
        <f>'All regions'!H4487+"$F;@!(;V"</f>
        <v>#VALUE!</v>
      </c>
      <c r="DQ162" t="e">
        <f>'All regions'!I4487+"$F;@!(;W"</f>
        <v>#VALUE!</v>
      </c>
      <c r="DR162" t="e">
        <f>'All regions'!A4488+"$F;@!(;X"</f>
        <v>#VALUE!</v>
      </c>
      <c r="DS162" t="e">
        <f>'All regions'!B4488+"$F;@!(;Y"</f>
        <v>#VALUE!</v>
      </c>
      <c r="DT162" t="e">
        <f>'All regions'!C4488+"$F;@!(;Z"</f>
        <v>#VALUE!</v>
      </c>
      <c r="DU162" t="e">
        <f>'All regions'!D4488+"$F;@!(;["</f>
        <v>#VALUE!</v>
      </c>
      <c r="DV162" t="e">
        <f>'All regions'!E4488+"$F;@!(;\"</f>
        <v>#VALUE!</v>
      </c>
      <c r="DW162" t="e">
        <f>'All regions'!F4488+"$F;@!(;]"</f>
        <v>#VALUE!</v>
      </c>
      <c r="DX162" t="e">
        <f>'All regions'!G4488+"$F;@!(;^"</f>
        <v>#VALUE!</v>
      </c>
      <c r="DY162" t="e">
        <f>'All regions'!H4488+"$F;@!(;_"</f>
        <v>#VALUE!</v>
      </c>
      <c r="DZ162" t="e">
        <f>'All regions'!I4488+"$F;@!(;`"</f>
        <v>#VALUE!</v>
      </c>
      <c r="EA162" t="e">
        <f>'All regions'!A4489+"$F;@!(;a"</f>
        <v>#VALUE!</v>
      </c>
      <c r="EB162" t="e">
        <f>'All regions'!B4489+"$F;@!(;b"</f>
        <v>#VALUE!</v>
      </c>
      <c r="EC162" t="e">
        <f>'All regions'!C4489+"$F;@!(;c"</f>
        <v>#VALUE!</v>
      </c>
      <c r="ED162" t="e">
        <f>'All regions'!D4489+"$F;@!(;d"</f>
        <v>#VALUE!</v>
      </c>
      <c r="EE162" t="e">
        <f>'All regions'!E4489+"$F;@!(;e"</f>
        <v>#VALUE!</v>
      </c>
      <c r="EF162" t="e">
        <f>'All regions'!F4489+"$F;@!(;f"</f>
        <v>#VALUE!</v>
      </c>
      <c r="EG162" t="e">
        <f>'All regions'!G4489+"$F;@!(;g"</f>
        <v>#VALUE!</v>
      </c>
      <c r="EH162" t="e">
        <f>'All regions'!H4489+"$F;@!(;h"</f>
        <v>#VALUE!</v>
      </c>
      <c r="EI162" t="e">
        <f>'All regions'!I4489+"$F;@!(;i"</f>
        <v>#VALUE!</v>
      </c>
      <c r="EJ162" t="e">
        <f>'All regions'!A4490+"$F;@!(;j"</f>
        <v>#VALUE!</v>
      </c>
      <c r="EK162" t="e">
        <f>'All regions'!B4490+"$F;@!(;k"</f>
        <v>#VALUE!</v>
      </c>
      <c r="EL162" t="e">
        <f>'All regions'!C4490+"$F;@!(;l"</f>
        <v>#VALUE!</v>
      </c>
      <c r="EM162" t="e">
        <f>'All regions'!D4490+"$F;@!(;m"</f>
        <v>#VALUE!</v>
      </c>
      <c r="EN162" t="e">
        <f>'All regions'!E4490+"$F;@!(;n"</f>
        <v>#VALUE!</v>
      </c>
      <c r="EO162" t="e">
        <f>'All regions'!F4490+"$F;@!(;o"</f>
        <v>#VALUE!</v>
      </c>
      <c r="EP162" t="e">
        <f>'All regions'!G4490+"$F;@!(;p"</f>
        <v>#VALUE!</v>
      </c>
      <c r="EQ162" t="e">
        <f>'All regions'!H4490+"$F;@!(;q"</f>
        <v>#VALUE!</v>
      </c>
      <c r="ER162" t="e">
        <f>'All regions'!I4490+"$F;@!(;r"</f>
        <v>#VALUE!</v>
      </c>
      <c r="ES162" t="e">
        <f>'All regions'!A4491+"$F;@!(;s"</f>
        <v>#VALUE!</v>
      </c>
      <c r="ET162" t="e">
        <f>'All regions'!B4491+"$F;@!(;t"</f>
        <v>#VALUE!</v>
      </c>
      <c r="EU162" t="e">
        <f>'All regions'!C4491+"$F;@!(;u"</f>
        <v>#VALUE!</v>
      </c>
      <c r="EV162" t="e">
        <f>'All regions'!D4491+"$F;@!(;v"</f>
        <v>#VALUE!</v>
      </c>
      <c r="EW162" t="e">
        <f>'All regions'!E4491+"$F;@!(;w"</f>
        <v>#VALUE!</v>
      </c>
      <c r="EX162" t="e">
        <f>'All regions'!F4491+"$F;@!(;x"</f>
        <v>#VALUE!</v>
      </c>
      <c r="EY162" t="e">
        <f>'All regions'!G4491+"$F;@!(;y"</f>
        <v>#VALUE!</v>
      </c>
      <c r="EZ162" t="e">
        <f>'All regions'!H4491+"$F;@!(;z"</f>
        <v>#VALUE!</v>
      </c>
      <c r="FA162" t="e">
        <f>'All regions'!I4491+"$F;@!(;{"</f>
        <v>#VALUE!</v>
      </c>
      <c r="FB162" t="e">
        <f>'All regions'!A4492+"$F;@!(;|"</f>
        <v>#VALUE!</v>
      </c>
      <c r="FC162" t="e">
        <f>'All regions'!B4492+"$F;@!(;}"</f>
        <v>#VALUE!</v>
      </c>
      <c r="FD162" t="e">
        <f>'All regions'!C4492+"$F;@!(;~"</f>
        <v>#VALUE!</v>
      </c>
      <c r="FE162" t="e">
        <f>'All regions'!D4492+"$F;@!(&lt;#"</f>
        <v>#VALUE!</v>
      </c>
      <c r="FF162" t="e">
        <f>'All regions'!E4492+"$F;@!(&lt;$"</f>
        <v>#VALUE!</v>
      </c>
      <c r="FG162" t="e">
        <f>'All regions'!F4492+"$F;@!(&lt;%"</f>
        <v>#VALUE!</v>
      </c>
      <c r="FH162" t="e">
        <f>'All regions'!G4492+"$F;@!(&lt;&amp;"</f>
        <v>#VALUE!</v>
      </c>
      <c r="FI162" t="e">
        <f>'All regions'!H4492+"$F;@!(&lt;'"</f>
        <v>#VALUE!</v>
      </c>
      <c r="FJ162" t="e">
        <f>'All regions'!I4492+"$F;@!(&lt;("</f>
        <v>#VALUE!</v>
      </c>
      <c r="FK162" t="e">
        <f>'All regions'!A4493+"$F;@!(&lt;)"</f>
        <v>#VALUE!</v>
      </c>
      <c r="FL162" t="e">
        <f>'All regions'!B4493+"$F;@!(&lt;."</f>
        <v>#VALUE!</v>
      </c>
      <c r="FM162" t="e">
        <f>'All regions'!C4493+"$F;@!(&lt;/"</f>
        <v>#VALUE!</v>
      </c>
      <c r="FN162" t="e">
        <f>'All regions'!D4493+"$F;@!(&lt;0"</f>
        <v>#VALUE!</v>
      </c>
      <c r="FO162" t="e">
        <f>'All regions'!E4493+"$F;@!(&lt;1"</f>
        <v>#VALUE!</v>
      </c>
      <c r="FP162" t="e">
        <f>'All regions'!F4493+"$F;@!(&lt;2"</f>
        <v>#VALUE!</v>
      </c>
      <c r="FQ162" t="e">
        <f>'All regions'!G4493+"$F;@!(&lt;3"</f>
        <v>#VALUE!</v>
      </c>
      <c r="FR162" t="e">
        <f>'All regions'!H4493+"$F;@!(&lt;4"</f>
        <v>#VALUE!</v>
      </c>
      <c r="FS162" t="e">
        <f>'All regions'!I4493+"$F;@!(&lt;5"</f>
        <v>#VALUE!</v>
      </c>
      <c r="FT162" t="e">
        <f>'All regions'!A4494+"$F;@!(&lt;6"</f>
        <v>#VALUE!</v>
      </c>
      <c r="FU162" t="e">
        <f>'All regions'!B4494+"$F;@!(&lt;7"</f>
        <v>#VALUE!</v>
      </c>
      <c r="FV162" t="e">
        <f>'All regions'!C4494+"$F;@!(&lt;8"</f>
        <v>#VALUE!</v>
      </c>
      <c r="FW162" t="e">
        <f>'All regions'!D4494+"$F;@!(&lt;9"</f>
        <v>#VALUE!</v>
      </c>
      <c r="FX162" t="e">
        <f>'All regions'!E4494+"$F;@!(&lt;:"</f>
        <v>#VALUE!</v>
      </c>
      <c r="FY162" t="e">
        <f>'All regions'!F4494+"$F;@!(&lt;;"</f>
        <v>#VALUE!</v>
      </c>
      <c r="FZ162" t="e">
        <f>'All regions'!G4494+"$F;@!(&lt;&lt;"</f>
        <v>#VALUE!</v>
      </c>
      <c r="GA162" t="e">
        <f>'All regions'!H4494+"$F;@!(&lt;="</f>
        <v>#VALUE!</v>
      </c>
      <c r="GB162" t="e">
        <f>'All regions'!I4494+"$F;@!(&lt;&gt;"</f>
        <v>#VALUE!</v>
      </c>
      <c r="GC162" t="e">
        <f>'All regions'!A4495+"$F;@!(&lt;?"</f>
        <v>#VALUE!</v>
      </c>
      <c r="GD162" t="e">
        <f>'All regions'!B4495+"$F;@!(&lt;@"</f>
        <v>#VALUE!</v>
      </c>
      <c r="GE162" t="e">
        <f>'All regions'!C4495+"$F;@!(&lt;A"</f>
        <v>#VALUE!</v>
      </c>
      <c r="GF162" t="e">
        <f>'All regions'!D4495+"$F;@!(&lt;B"</f>
        <v>#VALUE!</v>
      </c>
      <c r="GG162" t="e">
        <f>'All regions'!E4495+"$F;@!(&lt;C"</f>
        <v>#VALUE!</v>
      </c>
      <c r="GH162" t="e">
        <f>'All regions'!F4495+"$F;@!(&lt;D"</f>
        <v>#VALUE!</v>
      </c>
      <c r="GI162" t="e">
        <f>'All regions'!G4495+"$F;@!(&lt;E"</f>
        <v>#VALUE!</v>
      </c>
      <c r="GJ162" t="e">
        <f>'All regions'!H4495+"$F;@!(&lt;F"</f>
        <v>#VALUE!</v>
      </c>
      <c r="GK162" t="e">
        <f>'All regions'!I4495+"$F;@!(&lt;G"</f>
        <v>#VALUE!</v>
      </c>
      <c r="GL162" t="e">
        <f>'All regions'!A4496+"$F;@!(&lt;H"</f>
        <v>#VALUE!</v>
      </c>
      <c r="GM162" t="e">
        <f>'All regions'!B4496+"$F;@!(&lt;I"</f>
        <v>#VALUE!</v>
      </c>
      <c r="GN162" t="e">
        <f>'All regions'!C4496+"$F;@!(&lt;J"</f>
        <v>#VALUE!</v>
      </c>
      <c r="GO162" t="e">
        <f>'All regions'!D4496+"$F;@!(&lt;K"</f>
        <v>#VALUE!</v>
      </c>
      <c r="GP162" t="e">
        <f>'All regions'!E4496+"$F;@!(&lt;L"</f>
        <v>#VALUE!</v>
      </c>
      <c r="GQ162" t="e">
        <f>'All regions'!F4496+"$F;@!(&lt;M"</f>
        <v>#VALUE!</v>
      </c>
      <c r="GR162" t="e">
        <f>'All regions'!G4496+"$F;@!(&lt;N"</f>
        <v>#VALUE!</v>
      </c>
      <c r="GS162" t="e">
        <f>'All regions'!H4496+"$F;@!(&lt;O"</f>
        <v>#VALUE!</v>
      </c>
      <c r="GT162" t="e">
        <f>'All regions'!I4496+"$F;@!(&lt;P"</f>
        <v>#VALUE!</v>
      </c>
      <c r="GU162" t="e">
        <f>'All regions'!A4497+"$F;@!(&lt;Q"</f>
        <v>#VALUE!</v>
      </c>
      <c r="GV162" t="e">
        <f>'All regions'!B4497+"$F;@!(&lt;R"</f>
        <v>#VALUE!</v>
      </c>
      <c r="GW162" t="e">
        <f>'All regions'!C4497+"$F;@!(&lt;S"</f>
        <v>#VALUE!</v>
      </c>
      <c r="GX162" t="e">
        <f>'All regions'!D4497+"$F;@!(&lt;T"</f>
        <v>#VALUE!</v>
      </c>
      <c r="GY162" t="e">
        <f>'All regions'!E4497+"$F;@!(&lt;U"</f>
        <v>#VALUE!</v>
      </c>
      <c r="GZ162" t="e">
        <f>'All regions'!F4497+"$F;@!(&lt;V"</f>
        <v>#VALUE!</v>
      </c>
      <c r="HA162" t="e">
        <f>'All regions'!G4497+"$F;@!(&lt;W"</f>
        <v>#VALUE!</v>
      </c>
      <c r="HB162" t="e">
        <f>'All regions'!H4497+"$F;@!(&lt;X"</f>
        <v>#VALUE!</v>
      </c>
      <c r="HC162" t="e">
        <f>'All regions'!I4497+"$F;@!(&lt;Y"</f>
        <v>#VALUE!</v>
      </c>
      <c r="HD162" t="e">
        <f>'All regions'!A4498+"$F;@!(&lt;Z"</f>
        <v>#VALUE!</v>
      </c>
      <c r="HE162" t="e">
        <f>'All regions'!B4498+"$F;@!(&lt;["</f>
        <v>#VALUE!</v>
      </c>
      <c r="HF162" t="e">
        <f>'All regions'!C4498+"$F;@!(&lt;\"</f>
        <v>#VALUE!</v>
      </c>
      <c r="HG162" t="e">
        <f>'All regions'!D4498+"$F;@!(&lt;]"</f>
        <v>#VALUE!</v>
      </c>
      <c r="HH162" t="e">
        <f>'All regions'!E4498+"$F;@!(&lt;^"</f>
        <v>#VALUE!</v>
      </c>
      <c r="HI162" t="e">
        <f>'All regions'!F4498+"$F;@!(&lt;_"</f>
        <v>#VALUE!</v>
      </c>
      <c r="HJ162" t="e">
        <f>'All regions'!G4498+"$F;@!(&lt;`"</f>
        <v>#VALUE!</v>
      </c>
      <c r="HK162" t="e">
        <f>'All regions'!H4498+"$F;@!(&lt;a"</f>
        <v>#VALUE!</v>
      </c>
      <c r="HL162" t="e">
        <f>'All regions'!I4498+"$F;@!(&lt;b"</f>
        <v>#VALUE!</v>
      </c>
      <c r="HM162" t="e">
        <f>'All regions'!A4499+"$F;@!(&lt;c"</f>
        <v>#VALUE!</v>
      </c>
      <c r="HN162" t="e">
        <f>'All regions'!B4499+"$F;@!(&lt;d"</f>
        <v>#VALUE!</v>
      </c>
      <c r="HO162" t="e">
        <f>'All regions'!C4499+"$F;@!(&lt;e"</f>
        <v>#VALUE!</v>
      </c>
      <c r="HP162" t="e">
        <f>'All regions'!D4499+"$F;@!(&lt;f"</f>
        <v>#VALUE!</v>
      </c>
      <c r="HQ162" t="e">
        <f>'All regions'!E4499+"$F;@!(&lt;g"</f>
        <v>#VALUE!</v>
      </c>
      <c r="HR162" t="e">
        <f>'All regions'!F4499+"$F;@!(&lt;h"</f>
        <v>#VALUE!</v>
      </c>
      <c r="HS162" t="e">
        <f>'All regions'!G4499+"$F;@!(&lt;i"</f>
        <v>#VALUE!</v>
      </c>
      <c r="HT162" t="e">
        <f>'All regions'!H4499+"$F;@!(&lt;j"</f>
        <v>#VALUE!</v>
      </c>
      <c r="HU162" t="e">
        <f>'All regions'!I4499+"$F;@!(&lt;k"</f>
        <v>#VALUE!</v>
      </c>
      <c r="HV162" t="e">
        <f>'All regions'!A4500+"$F;@!(&lt;l"</f>
        <v>#VALUE!</v>
      </c>
      <c r="HW162" t="e">
        <f>'All regions'!B4500+"$F;@!(&lt;m"</f>
        <v>#VALUE!</v>
      </c>
      <c r="HX162" t="e">
        <f>'All regions'!C4500+"$F;@!(&lt;n"</f>
        <v>#VALUE!</v>
      </c>
      <c r="HY162" t="e">
        <f>'All regions'!D4500+"$F;@!(&lt;o"</f>
        <v>#VALUE!</v>
      </c>
      <c r="HZ162" t="e">
        <f>'All regions'!E4500+"$F;@!(&lt;p"</f>
        <v>#VALUE!</v>
      </c>
      <c r="IA162" t="e">
        <f>'All regions'!F4500+"$F;@!(&lt;q"</f>
        <v>#VALUE!</v>
      </c>
      <c r="IB162" t="e">
        <f>'All regions'!G4500+"$F;@!(&lt;r"</f>
        <v>#VALUE!</v>
      </c>
      <c r="IC162" t="e">
        <f>'All regions'!H4500+"$F;@!(&lt;s"</f>
        <v>#VALUE!</v>
      </c>
      <c r="ID162" t="e">
        <f>'All regions'!I4500+"$F;@!(&lt;t"</f>
        <v>#VALUE!</v>
      </c>
      <c r="IE162" t="e">
        <f>'All regions'!A4501+"$F;@!(&lt;u"</f>
        <v>#VALUE!</v>
      </c>
      <c r="IF162" t="e">
        <f>'All regions'!B4501+"$F;@!(&lt;v"</f>
        <v>#VALUE!</v>
      </c>
      <c r="IG162" t="e">
        <f>'All regions'!C4501+"$F;@!(&lt;w"</f>
        <v>#VALUE!</v>
      </c>
      <c r="IH162" t="e">
        <f>'All regions'!D4501+"$F;@!(&lt;x"</f>
        <v>#VALUE!</v>
      </c>
      <c r="II162" t="e">
        <f>'All regions'!E4501+"$F;@!(&lt;y"</f>
        <v>#VALUE!</v>
      </c>
      <c r="IJ162" t="e">
        <f>'All regions'!F4501+"$F;@!(&lt;z"</f>
        <v>#VALUE!</v>
      </c>
      <c r="IK162" t="e">
        <f>'All regions'!G4501+"$F;@!(&lt;{"</f>
        <v>#VALUE!</v>
      </c>
      <c r="IL162" t="e">
        <f>'All regions'!H4501+"$F;@!(&lt;|"</f>
        <v>#VALUE!</v>
      </c>
      <c r="IM162" t="e">
        <f>'All regions'!I4501+"$F;@!(&lt;}"</f>
        <v>#VALUE!</v>
      </c>
      <c r="IN162" t="e">
        <f>'All regions'!A4502+"$F;@!(&lt;~"</f>
        <v>#VALUE!</v>
      </c>
      <c r="IO162" t="e">
        <f>'All regions'!B4502+"$F;@!(=#"</f>
        <v>#VALUE!</v>
      </c>
      <c r="IP162" t="e">
        <f>'All regions'!C4502+"$F;@!(=$"</f>
        <v>#VALUE!</v>
      </c>
      <c r="IQ162" t="e">
        <f>'All regions'!D4502+"$F;@!(=%"</f>
        <v>#VALUE!</v>
      </c>
      <c r="IR162" t="e">
        <f>'All regions'!E4502+"$F;@!(=&amp;"</f>
        <v>#VALUE!</v>
      </c>
      <c r="IS162" t="e">
        <f>'All regions'!F4502+"$F;@!(='"</f>
        <v>#VALUE!</v>
      </c>
      <c r="IT162" t="e">
        <f>'All regions'!G4502+"$F;@!(=("</f>
        <v>#VALUE!</v>
      </c>
      <c r="IU162" t="e">
        <f>'All regions'!H4502+"$F;@!(=)"</f>
        <v>#VALUE!</v>
      </c>
      <c r="IV162" t="e">
        <f>'All regions'!I4502+"$F;@!(=."</f>
        <v>#VALUE!</v>
      </c>
    </row>
    <row r="163" spans="6:256" x14ac:dyDescent="0.35">
      <c r="F163" t="e">
        <f>'All regions'!A4503+"$F;@!(=/"</f>
        <v>#VALUE!</v>
      </c>
      <c r="G163" t="e">
        <f>'All regions'!B4503+"$F;@!(=0"</f>
        <v>#VALUE!</v>
      </c>
      <c r="H163" t="e">
        <f>'All regions'!C4503+"$F;@!(=1"</f>
        <v>#VALUE!</v>
      </c>
      <c r="I163" t="e">
        <f>'All regions'!D4503+"$F;@!(=2"</f>
        <v>#VALUE!</v>
      </c>
      <c r="J163" t="e">
        <f>'All regions'!E4503+"$F;@!(=3"</f>
        <v>#VALUE!</v>
      </c>
      <c r="K163" t="e">
        <f>'All regions'!F4503+"$F;@!(=4"</f>
        <v>#VALUE!</v>
      </c>
      <c r="L163" t="e">
        <f>'All regions'!G4503+"$F;@!(=5"</f>
        <v>#VALUE!</v>
      </c>
      <c r="M163" t="e">
        <f>'All regions'!H4503+"$F;@!(=6"</f>
        <v>#VALUE!</v>
      </c>
      <c r="N163" t="e">
        <f>'All regions'!I4503+"$F;@!(=7"</f>
        <v>#VALUE!</v>
      </c>
      <c r="O163" t="e">
        <f>'All regions'!A4504+"$F;@!(=8"</f>
        <v>#VALUE!</v>
      </c>
      <c r="P163" t="e">
        <f>'All regions'!B4504+"$F;@!(=9"</f>
        <v>#VALUE!</v>
      </c>
      <c r="Q163" t="e">
        <f>'All regions'!C4504+"$F;@!(=:"</f>
        <v>#VALUE!</v>
      </c>
      <c r="R163" t="e">
        <f>'All regions'!D4504+"$F;@!(=;"</f>
        <v>#VALUE!</v>
      </c>
      <c r="S163" t="e">
        <f>'All regions'!E4504+"$F;@!(=&lt;"</f>
        <v>#VALUE!</v>
      </c>
      <c r="T163" t="e">
        <f>'All regions'!F4504+"$F;@!(=="</f>
        <v>#VALUE!</v>
      </c>
      <c r="U163" t="e">
        <f>'All regions'!G4504+"$F;@!(=&gt;"</f>
        <v>#VALUE!</v>
      </c>
      <c r="V163" t="e">
        <f>'All regions'!H4504+"$F;@!(=?"</f>
        <v>#VALUE!</v>
      </c>
      <c r="W163" t="e">
        <f>'All regions'!I4504+"$F;@!(=@"</f>
        <v>#VALUE!</v>
      </c>
      <c r="X163" t="e">
        <f>'All regions'!A4505+"$F;@!(=A"</f>
        <v>#VALUE!</v>
      </c>
      <c r="Y163" t="e">
        <f>'All regions'!B4505+"$F;@!(=B"</f>
        <v>#VALUE!</v>
      </c>
      <c r="Z163" t="e">
        <f>'All regions'!C4505+"$F;@!(=C"</f>
        <v>#VALUE!</v>
      </c>
      <c r="AA163" t="e">
        <f>'All regions'!D4505+"$F;@!(=D"</f>
        <v>#VALUE!</v>
      </c>
      <c r="AB163" t="e">
        <f>'All regions'!E4505+"$F;@!(=E"</f>
        <v>#VALUE!</v>
      </c>
      <c r="AC163" t="e">
        <f>'All regions'!F4505+"$F;@!(=F"</f>
        <v>#VALUE!</v>
      </c>
      <c r="AD163" t="e">
        <f>'All regions'!G4505+"$F;@!(=G"</f>
        <v>#VALUE!</v>
      </c>
      <c r="AE163" t="e">
        <f>'All regions'!H4505+"$F;@!(=H"</f>
        <v>#VALUE!</v>
      </c>
      <c r="AF163" t="e">
        <f>'All regions'!I4505+"$F;@!(=I"</f>
        <v>#VALUE!</v>
      </c>
      <c r="AG163" t="e">
        <f>'All regions'!A4506+"$F;@!(=J"</f>
        <v>#VALUE!</v>
      </c>
      <c r="AH163" t="e">
        <f>'All regions'!B4506+"$F;@!(=K"</f>
        <v>#VALUE!</v>
      </c>
      <c r="AI163" t="e">
        <f>'All regions'!C4506+"$F;@!(=L"</f>
        <v>#VALUE!</v>
      </c>
      <c r="AJ163" t="e">
        <f>'All regions'!D4506+"$F;@!(=M"</f>
        <v>#VALUE!</v>
      </c>
      <c r="AK163" t="e">
        <f>'All regions'!E4506+"$F;@!(=N"</f>
        <v>#VALUE!</v>
      </c>
      <c r="AL163" t="e">
        <f>'All regions'!F4506+"$F;@!(=O"</f>
        <v>#VALUE!</v>
      </c>
      <c r="AM163" t="e">
        <f>'All regions'!G4506+"$F;@!(=P"</f>
        <v>#VALUE!</v>
      </c>
      <c r="AN163" t="e">
        <f>'All regions'!H4506+"$F;@!(=Q"</f>
        <v>#VALUE!</v>
      </c>
      <c r="AO163" t="e">
        <f>'All regions'!I4506+"$F;@!(=R"</f>
        <v>#VALUE!</v>
      </c>
      <c r="AP163" t="e">
        <f>'All regions'!A4507+"$F;@!(=S"</f>
        <v>#VALUE!</v>
      </c>
      <c r="AQ163" t="e">
        <f>'All regions'!B4507+"$F;@!(=T"</f>
        <v>#VALUE!</v>
      </c>
      <c r="AR163" t="e">
        <f>'All regions'!C4507+"$F;@!(=U"</f>
        <v>#VALUE!</v>
      </c>
      <c r="AS163" t="e">
        <f>'All regions'!D4507+"$F;@!(=V"</f>
        <v>#VALUE!</v>
      </c>
      <c r="AT163" t="e">
        <f>'All regions'!E4507+"$F;@!(=W"</f>
        <v>#VALUE!</v>
      </c>
      <c r="AU163" t="e">
        <f>'All regions'!F4507+"$F;@!(=X"</f>
        <v>#VALUE!</v>
      </c>
      <c r="AV163" t="e">
        <f>'All regions'!G4507+"$F;@!(=Y"</f>
        <v>#VALUE!</v>
      </c>
      <c r="AW163" t="e">
        <f>'All regions'!H4507+"$F;@!(=Z"</f>
        <v>#VALUE!</v>
      </c>
      <c r="AX163" t="e">
        <f>'All regions'!I4507+"$F;@!(=["</f>
        <v>#VALUE!</v>
      </c>
      <c r="AY163" t="e">
        <f>'All regions'!A4508+"$F;@!(=\"</f>
        <v>#VALUE!</v>
      </c>
      <c r="AZ163" t="e">
        <f>'All regions'!B4508+"$F;@!(=]"</f>
        <v>#VALUE!</v>
      </c>
      <c r="BA163" t="e">
        <f>'All regions'!C4508+"$F;@!(=^"</f>
        <v>#VALUE!</v>
      </c>
      <c r="BB163" t="e">
        <f>'All regions'!D4508+"$F;@!(=_"</f>
        <v>#VALUE!</v>
      </c>
      <c r="BC163" t="e">
        <f>'All regions'!E4508+"$F;@!(=`"</f>
        <v>#VALUE!</v>
      </c>
      <c r="BD163" t="e">
        <f>'All regions'!F4508+"$F;@!(=a"</f>
        <v>#VALUE!</v>
      </c>
      <c r="BE163" t="e">
        <f>'All regions'!G4508+"$F;@!(=b"</f>
        <v>#VALUE!</v>
      </c>
      <c r="BF163" t="e">
        <f>'All regions'!H4508+"$F;@!(=c"</f>
        <v>#VALUE!</v>
      </c>
      <c r="BG163" t="e">
        <f>'All regions'!I4508+"$F;@!(=d"</f>
        <v>#VALUE!</v>
      </c>
      <c r="BH163" t="e">
        <f>'All regions'!A4509+"$F;@!(=e"</f>
        <v>#VALUE!</v>
      </c>
      <c r="BI163" t="e">
        <f>'All regions'!B4509+"$F;@!(=f"</f>
        <v>#VALUE!</v>
      </c>
      <c r="BJ163" t="e">
        <f>'All regions'!C4509+"$F;@!(=g"</f>
        <v>#VALUE!</v>
      </c>
      <c r="BK163" t="e">
        <f>'All regions'!D4509+"$F;@!(=h"</f>
        <v>#VALUE!</v>
      </c>
      <c r="BL163" t="e">
        <f>'All regions'!E4509+"$F;@!(=i"</f>
        <v>#VALUE!</v>
      </c>
      <c r="BM163" t="e">
        <f>'All regions'!F4509+"$F;@!(=j"</f>
        <v>#VALUE!</v>
      </c>
      <c r="BN163" t="e">
        <f>'All regions'!G4509+"$F;@!(=k"</f>
        <v>#VALUE!</v>
      </c>
      <c r="BO163" t="e">
        <f>'All regions'!H4509+"$F;@!(=l"</f>
        <v>#VALUE!</v>
      </c>
      <c r="BP163" t="e">
        <f>'All regions'!I4509+"$F;@!(=m"</f>
        <v>#VALUE!</v>
      </c>
      <c r="BQ163" t="e">
        <f>'All regions'!A4510+"$F;@!(=n"</f>
        <v>#VALUE!</v>
      </c>
      <c r="BR163" t="e">
        <f>'All regions'!B4510+"$F;@!(=o"</f>
        <v>#VALUE!</v>
      </c>
      <c r="BS163" t="e">
        <f>'All regions'!C4510+"$F;@!(=p"</f>
        <v>#VALUE!</v>
      </c>
      <c r="BT163" t="e">
        <f>'All regions'!D4510+"$F;@!(=q"</f>
        <v>#VALUE!</v>
      </c>
      <c r="BU163" t="e">
        <f>'All regions'!E4510+"$F;@!(=r"</f>
        <v>#VALUE!</v>
      </c>
      <c r="BV163" t="e">
        <f>'All regions'!F4510+"$F;@!(=s"</f>
        <v>#VALUE!</v>
      </c>
      <c r="BW163" t="e">
        <f>'All regions'!G4510+"$F;@!(=t"</f>
        <v>#VALUE!</v>
      </c>
      <c r="BX163" t="e">
        <f>'All regions'!H4510+"$F;@!(=u"</f>
        <v>#VALUE!</v>
      </c>
      <c r="BY163" t="e">
        <f>'All regions'!I4510+"$F;@!(=v"</f>
        <v>#VALUE!</v>
      </c>
      <c r="BZ163" t="e">
        <f>'All regions'!A4511+"$F;@!(=w"</f>
        <v>#VALUE!</v>
      </c>
      <c r="CA163" t="e">
        <f>'All regions'!B4511+"$F;@!(=x"</f>
        <v>#VALUE!</v>
      </c>
      <c r="CB163" t="e">
        <f>'All regions'!C4511+"$F;@!(=y"</f>
        <v>#VALUE!</v>
      </c>
      <c r="CC163" t="e">
        <f>'All regions'!D4511+"$F;@!(=z"</f>
        <v>#VALUE!</v>
      </c>
      <c r="CD163" t="e">
        <f>'All regions'!E4511+"$F;@!(={"</f>
        <v>#VALUE!</v>
      </c>
      <c r="CE163" t="e">
        <f>'All regions'!F4511+"$F;@!(=|"</f>
        <v>#VALUE!</v>
      </c>
      <c r="CF163" t="e">
        <f>'All regions'!G4511+"$F;@!(=}"</f>
        <v>#VALUE!</v>
      </c>
      <c r="CG163" t="e">
        <f>'All regions'!H4511+"$F;@!(=~"</f>
        <v>#VALUE!</v>
      </c>
      <c r="CH163" t="e">
        <f>'All regions'!I4511+"$F;@!(&gt;#"</f>
        <v>#VALUE!</v>
      </c>
      <c r="CI163" t="e">
        <f>'All regions'!A4512+"$F;@!(&gt;$"</f>
        <v>#VALUE!</v>
      </c>
      <c r="CJ163" t="e">
        <f>'All regions'!B4512+"$F;@!(&gt;%"</f>
        <v>#VALUE!</v>
      </c>
      <c r="CK163" t="e">
        <f>'All regions'!C4512+"$F;@!(&gt;&amp;"</f>
        <v>#VALUE!</v>
      </c>
      <c r="CL163" t="e">
        <f>'All regions'!D4512+"$F;@!(&gt;'"</f>
        <v>#VALUE!</v>
      </c>
      <c r="CM163" t="e">
        <f>'All regions'!E4512+"$F;@!(&gt;("</f>
        <v>#VALUE!</v>
      </c>
      <c r="CN163" t="e">
        <f>'All regions'!F4512+"$F;@!(&gt;)"</f>
        <v>#VALUE!</v>
      </c>
      <c r="CO163" t="e">
        <f>'All regions'!G4512+"$F;@!(&gt;."</f>
        <v>#VALUE!</v>
      </c>
      <c r="CP163" t="e">
        <f>'All regions'!H4512+"$F;@!(&gt;/"</f>
        <v>#VALUE!</v>
      </c>
      <c r="CQ163" t="e">
        <f>'All regions'!I4512+"$F;@!(&gt;0"</f>
        <v>#VALUE!</v>
      </c>
      <c r="CR163" t="e">
        <f>'All regions'!A4513+"$F;@!(&gt;1"</f>
        <v>#VALUE!</v>
      </c>
      <c r="CS163" t="e">
        <f>'All regions'!B4513+"$F;@!(&gt;2"</f>
        <v>#VALUE!</v>
      </c>
      <c r="CT163" t="e">
        <f>'All regions'!C4513+"$F;@!(&gt;3"</f>
        <v>#VALUE!</v>
      </c>
      <c r="CU163" t="e">
        <f>'All regions'!D4513+"$F;@!(&gt;4"</f>
        <v>#VALUE!</v>
      </c>
      <c r="CV163" t="e">
        <f>'All regions'!E4513+"$F;@!(&gt;5"</f>
        <v>#VALUE!</v>
      </c>
      <c r="CW163" t="e">
        <f>'All regions'!F4513+"$F;@!(&gt;6"</f>
        <v>#VALUE!</v>
      </c>
      <c r="CX163" t="e">
        <f>'All regions'!G4513+"$F;@!(&gt;7"</f>
        <v>#VALUE!</v>
      </c>
      <c r="CY163" t="e">
        <f>'All regions'!H4513+"$F;@!(&gt;8"</f>
        <v>#VALUE!</v>
      </c>
      <c r="CZ163" t="e">
        <f>'All regions'!I4513+"$F;@!(&gt;9"</f>
        <v>#VALUE!</v>
      </c>
      <c r="DA163" t="e">
        <f>'All regions'!A4514+"$F;@!(&gt;:"</f>
        <v>#VALUE!</v>
      </c>
      <c r="DB163" t="e">
        <f>'All regions'!B4514+"$F;@!(&gt;;"</f>
        <v>#VALUE!</v>
      </c>
      <c r="DC163" t="e">
        <f>'All regions'!C4514+"$F;@!(&gt;&lt;"</f>
        <v>#VALUE!</v>
      </c>
      <c r="DD163" t="e">
        <f>'All regions'!D4514+"$F;@!(&gt;="</f>
        <v>#VALUE!</v>
      </c>
      <c r="DE163" t="e">
        <f>'All regions'!E4514+"$F;@!(&gt;&gt;"</f>
        <v>#VALUE!</v>
      </c>
      <c r="DF163" t="e">
        <f>'All regions'!F4514+"$F;@!(&gt;?"</f>
        <v>#VALUE!</v>
      </c>
      <c r="DG163" t="e">
        <f>'All regions'!G4514+"$F;@!(&gt;@"</f>
        <v>#VALUE!</v>
      </c>
      <c r="DH163" t="e">
        <f>'All regions'!H4514+"$F;@!(&gt;A"</f>
        <v>#VALUE!</v>
      </c>
      <c r="DI163" t="e">
        <f>'All regions'!I4514+"$F;@!(&gt;B"</f>
        <v>#VALUE!</v>
      </c>
      <c r="DJ163" t="e">
        <f>'All regions'!A4515+"$F;@!(&gt;C"</f>
        <v>#VALUE!</v>
      </c>
      <c r="DK163" t="e">
        <f>'All regions'!B4515+"$F;@!(&gt;D"</f>
        <v>#VALUE!</v>
      </c>
      <c r="DL163" t="e">
        <f>'All regions'!C4515+"$F;@!(&gt;E"</f>
        <v>#VALUE!</v>
      </c>
      <c r="DM163" t="e">
        <f>'All regions'!D4515+"$F;@!(&gt;F"</f>
        <v>#VALUE!</v>
      </c>
      <c r="DN163" t="e">
        <f>'All regions'!E4515+"$F;@!(&gt;G"</f>
        <v>#VALUE!</v>
      </c>
      <c r="DO163" t="e">
        <f>'All regions'!F4515+"$F;@!(&gt;H"</f>
        <v>#VALUE!</v>
      </c>
      <c r="DP163" t="e">
        <f>'All regions'!G4515+"$F;@!(&gt;I"</f>
        <v>#VALUE!</v>
      </c>
      <c r="DQ163" t="e">
        <f>'All regions'!H4515+"$F;@!(&gt;J"</f>
        <v>#VALUE!</v>
      </c>
      <c r="DR163" t="e">
        <f>'All regions'!I4515+"$F;@!(&gt;K"</f>
        <v>#VALUE!</v>
      </c>
      <c r="DS163" t="e">
        <f>'All regions'!A4516+"$F;@!(&gt;L"</f>
        <v>#VALUE!</v>
      </c>
      <c r="DT163" t="e">
        <f>'All regions'!B4516+"$F;@!(&gt;M"</f>
        <v>#VALUE!</v>
      </c>
      <c r="DU163" t="e">
        <f>'All regions'!C4516+"$F;@!(&gt;N"</f>
        <v>#VALUE!</v>
      </c>
      <c r="DV163" t="e">
        <f>'All regions'!D4516+"$F;@!(&gt;O"</f>
        <v>#VALUE!</v>
      </c>
      <c r="DW163" t="e">
        <f>'All regions'!E4516+"$F;@!(&gt;P"</f>
        <v>#VALUE!</v>
      </c>
      <c r="DX163" t="e">
        <f>'All regions'!F4516+"$F;@!(&gt;Q"</f>
        <v>#VALUE!</v>
      </c>
      <c r="DY163" t="e">
        <f>'All regions'!G4516+"$F;@!(&gt;R"</f>
        <v>#VALUE!</v>
      </c>
      <c r="DZ163" t="e">
        <f>'All regions'!H4516+"$F;@!(&gt;S"</f>
        <v>#VALUE!</v>
      </c>
      <c r="EA163" t="e">
        <f>'All regions'!I4516+"$F;@!(&gt;T"</f>
        <v>#VALUE!</v>
      </c>
      <c r="EB163" t="e">
        <f>'All regions'!A4517+"$F;@!(&gt;U"</f>
        <v>#VALUE!</v>
      </c>
      <c r="EC163" t="e">
        <f>'All regions'!B4517+"$F;@!(&gt;V"</f>
        <v>#VALUE!</v>
      </c>
      <c r="ED163" t="e">
        <f>'All regions'!C4517+"$F;@!(&gt;W"</f>
        <v>#VALUE!</v>
      </c>
      <c r="EE163" t="e">
        <f>'All regions'!D4517+"$F;@!(&gt;X"</f>
        <v>#VALUE!</v>
      </c>
      <c r="EF163" t="e">
        <f>'All regions'!E4517+"$F;@!(&gt;Y"</f>
        <v>#VALUE!</v>
      </c>
      <c r="EG163" t="e">
        <f>'All regions'!F4517+"$F;@!(&gt;Z"</f>
        <v>#VALUE!</v>
      </c>
      <c r="EH163" t="e">
        <f>'All regions'!G4517+"$F;@!(&gt;["</f>
        <v>#VALUE!</v>
      </c>
      <c r="EI163" t="e">
        <f>'All regions'!H4517+"$F;@!(&gt;\"</f>
        <v>#VALUE!</v>
      </c>
      <c r="EJ163" t="e">
        <f>'All regions'!I4517+"$F;@!(&gt;]"</f>
        <v>#VALUE!</v>
      </c>
      <c r="EK163" t="e">
        <f>'All regions'!A4518+"$F;@!(&gt;^"</f>
        <v>#VALUE!</v>
      </c>
      <c r="EL163" t="e">
        <f>'All regions'!B4518+"$F;@!(&gt;_"</f>
        <v>#VALUE!</v>
      </c>
      <c r="EM163" t="e">
        <f>'All regions'!C4518+"$F;@!(&gt;`"</f>
        <v>#VALUE!</v>
      </c>
      <c r="EN163" t="e">
        <f>'All regions'!D4518+"$F;@!(&gt;a"</f>
        <v>#VALUE!</v>
      </c>
      <c r="EO163" t="e">
        <f>'All regions'!E4518+"$F;@!(&gt;b"</f>
        <v>#VALUE!</v>
      </c>
      <c r="EP163" t="e">
        <f>'All regions'!F4518+"$F;@!(&gt;c"</f>
        <v>#VALUE!</v>
      </c>
      <c r="EQ163" t="e">
        <f>'All regions'!G4518+"$F;@!(&gt;d"</f>
        <v>#VALUE!</v>
      </c>
      <c r="ER163" t="e">
        <f>'All regions'!H4518+"$F;@!(&gt;e"</f>
        <v>#VALUE!</v>
      </c>
      <c r="ES163" t="e">
        <f>'All regions'!I4518+"$F;@!(&gt;f"</f>
        <v>#VALUE!</v>
      </c>
      <c r="ET163" t="e">
        <f>'All regions'!A4519+"$F;@!(&gt;g"</f>
        <v>#VALUE!</v>
      </c>
      <c r="EU163" t="e">
        <f>'All regions'!B4519+"$F;@!(&gt;h"</f>
        <v>#VALUE!</v>
      </c>
      <c r="EV163" t="e">
        <f>'All regions'!C4519+"$F;@!(&gt;i"</f>
        <v>#VALUE!</v>
      </c>
      <c r="EW163" t="e">
        <f>'All regions'!D4519+"$F;@!(&gt;j"</f>
        <v>#VALUE!</v>
      </c>
      <c r="EX163" t="e">
        <f>'All regions'!E4519+"$F;@!(&gt;k"</f>
        <v>#VALUE!</v>
      </c>
      <c r="EY163" t="e">
        <f>'All regions'!F4519+"$F;@!(&gt;l"</f>
        <v>#VALUE!</v>
      </c>
      <c r="EZ163" t="e">
        <f>'All regions'!G4519+"$F;@!(&gt;m"</f>
        <v>#VALUE!</v>
      </c>
      <c r="FA163" t="e">
        <f>'All regions'!H4519+"$F;@!(&gt;n"</f>
        <v>#VALUE!</v>
      </c>
      <c r="FB163" t="e">
        <f>'All regions'!I4519+"$F;@!(&gt;o"</f>
        <v>#VALUE!</v>
      </c>
      <c r="FC163" t="e">
        <f>'All regions'!A4520+"$F;@!(&gt;p"</f>
        <v>#VALUE!</v>
      </c>
      <c r="FD163" t="e">
        <f>'All regions'!B4520+"$F;@!(&gt;q"</f>
        <v>#VALUE!</v>
      </c>
      <c r="FE163" t="e">
        <f>'All regions'!C4520+"$F;@!(&gt;r"</f>
        <v>#VALUE!</v>
      </c>
      <c r="FF163" t="e">
        <f>'All regions'!D4520+"$F;@!(&gt;s"</f>
        <v>#VALUE!</v>
      </c>
      <c r="FG163" t="e">
        <f>'All regions'!E4520+"$F;@!(&gt;t"</f>
        <v>#VALUE!</v>
      </c>
      <c r="FH163" t="e">
        <f>'All regions'!F4520+"$F;@!(&gt;u"</f>
        <v>#VALUE!</v>
      </c>
      <c r="FI163" t="e">
        <f>'All regions'!G4520+"$F;@!(&gt;v"</f>
        <v>#VALUE!</v>
      </c>
      <c r="FJ163" t="e">
        <f>'All regions'!H4520+"$F;@!(&gt;w"</f>
        <v>#VALUE!</v>
      </c>
      <c r="FK163" t="e">
        <f>'All regions'!I4520+"$F;@!(&gt;x"</f>
        <v>#VALUE!</v>
      </c>
      <c r="FL163" t="e">
        <f>'All regions'!A4521+"$F;@!(&gt;y"</f>
        <v>#VALUE!</v>
      </c>
      <c r="FM163" t="e">
        <f>'All regions'!B4521+"$F;@!(&gt;z"</f>
        <v>#VALUE!</v>
      </c>
      <c r="FN163" t="e">
        <f>'All regions'!C4521+"$F;@!(&gt;{"</f>
        <v>#VALUE!</v>
      </c>
      <c r="FO163" t="e">
        <f>'All regions'!D4521+"$F;@!(&gt;|"</f>
        <v>#VALUE!</v>
      </c>
      <c r="FP163" t="e">
        <f>'All regions'!E4521+"$F;@!(&gt;}"</f>
        <v>#VALUE!</v>
      </c>
      <c r="FQ163" t="e">
        <f>'All regions'!F4521+"$F;@!(&gt;~"</f>
        <v>#VALUE!</v>
      </c>
      <c r="FR163" t="e">
        <f>'All regions'!G4521+"$F;@!(?#"</f>
        <v>#VALUE!</v>
      </c>
      <c r="FS163" t="e">
        <f>'All regions'!H4521+"$F;@!(?$"</f>
        <v>#VALUE!</v>
      </c>
      <c r="FT163" t="e">
        <f>'All regions'!I4521+"$F;@!(?%"</f>
        <v>#VALUE!</v>
      </c>
      <c r="FU163" t="e">
        <f>'All regions'!A4522+"$F;@!(?&amp;"</f>
        <v>#VALUE!</v>
      </c>
      <c r="FV163" t="e">
        <f>'All regions'!B4522+"$F;@!(?'"</f>
        <v>#VALUE!</v>
      </c>
      <c r="FW163" t="e">
        <f>'All regions'!C4522+"$F;@!(?("</f>
        <v>#VALUE!</v>
      </c>
      <c r="FX163" t="e">
        <f>'All regions'!D4522+"$F;@!(?)"</f>
        <v>#VALUE!</v>
      </c>
      <c r="FY163" t="e">
        <f>'All regions'!E4522+"$F;@!(?."</f>
        <v>#VALUE!</v>
      </c>
      <c r="FZ163" t="e">
        <f>'All regions'!F4522+"$F;@!(?/"</f>
        <v>#VALUE!</v>
      </c>
      <c r="GA163" t="e">
        <f>'All regions'!G4522+"$F;@!(?0"</f>
        <v>#VALUE!</v>
      </c>
      <c r="GB163" t="e">
        <f>'All regions'!H4522+"$F;@!(?1"</f>
        <v>#VALUE!</v>
      </c>
      <c r="GC163" t="e">
        <f>'All regions'!I4522+"$F;@!(?2"</f>
        <v>#VALUE!</v>
      </c>
      <c r="GD163" t="e">
        <f>'All regions'!A4523+"$F;@!(?3"</f>
        <v>#VALUE!</v>
      </c>
      <c r="GE163" t="e">
        <f>'All regions'!B4523+"$F;@!(?4"</f>
        <v>#VALUE!</v>
      </c>
      <c r="GF163" t="e">
        <f>'All regions'!C4523+"$F;@!(?5"</f>
        <v>#VALUE!</v>
      </c>
      <c r="GG163" t="e">
        <f>'All regions'!D4523+"$F;@!(?6"</f>
        <v>#VALUE!</v>
      </c>
      <c r="GH163" t="e">
        <f>'All regions'!E4523+"$F;@!(?7"</f>
        <v>#VALUE!</v>
      </c>
      <c r="GI163" t="e">
        <f>'All regions'!F4523+"$F;@!(?8"</f>
        <v>#VALUE!</v>
      </c>
      <c r="GJ163" t="e">
        <f>'All regions'!G4523+"$F;@!(?9"</f>
        <v>#VALUE!</v>
      </c>
      <c r="GK163" t="e">
        <f>'All regions'!H4523+"$F;@!(?:"</f>
        <v>#VALUE!</v>
      </c>
      <c r="GL163" t="e">
        <f>'All regions'!I4523+"$F;@!(?;"</f>
        <v>#VALUE!</v>
      </c>
      <c r="GM163" t="e">
        <f>'All regions'!A4524+"$F;@!(?&lt;"</f>
        <v>#VALUE!</v>
      </c>
      <c r="GN163" t="e">
        <f>'All regions'!B4524+"$F;@!(?="</f>
        <v>#VALUE!</v>
      </c>
      <c r="GO163" t="e">
        <f>'All regions'!C4524+"$F;@!(?&gt;"</f>
        <v>#VALUE!</v>
      </c>
      <c r="GP163" t="e">
        <f>'All regions'!D4524+"$F;@!(??"</f>
        <v>#VALUE!</v>
      </c>
      <c r="GQ163" t="e">
        <f>'All regions'!E4524+"$F;@!(?@"</f>
        <v>#VALUE!</v>
      </c>
      <c r="GR163" t="e">
        <f>'All regions'!F4524+"$F;@!(?A"</f>
        <v>#VALUE!</v>
      </c>
      <c r="GS163" t="e">
        <f>'All regions'!G4524+"$F;@!(?B"</f>
        <v>#VALUE!</v>
      </c>
      <c r="GT163" t="e">
        <f>'All regions'!H4524+"$F;@!(?C"</f>
        <v>#VALUE!</v>
      </c>
      <c r="GU163" t="e">
        <f>'All regions'!I4524+"$F;@!(?D"</f>
        <v>#VALUE!</v>
      </c>
      <c r="GV163" t="e">
        <f>'All regions'!A4525+"$F;@!(?E"</f>
        <v>#VALUE!</v>
      </c>
      <c r="GW163" t="e">
        <f>'All regions'!B4525+"$F;@!(?F"</f>
        <v>#VALUE!</v>
      </c>
      <c r="GX163" t="e">
        <f>'All regions'!C4525+"$F;@!(?G"</f>
        <v>#VALUE!</v>
      </c>
      <c r="GY163" t="e">
        <f>'All regions'!D4525+"$F;@!(?H"</f>
        <v>#VALUE!</v>
      </c>
      <c r="GZ163" t="e">
        <f>'All regions'!E4525+"$F;@!(?I"</f>
        <v>#VALUE!</v>
      </c>
      <c r="HA163" t="e">
        <f>'All regions'!F4525+"$F;@!(?J"</f>
        <v>#VALUE!</v>
      </c>
      <c r="HB163" t="e">
        <f>'All regions'!G4525+"$F;@!(?K"</f>
        <v>#VALUE!</v>
      </c>
      <c r="HC163" t="e">
        <f>'All regions'!H4525+"$F;@!(?L"</f>
        <v>#VALUE!</v>
      </c>
      <c r="HD163" t="e">
        <f>'All regions'!I4525+"$F;@!(?M"</f>
        <v>#VALUE!</v>
      </c>
      <c r="HE163" t="e">
        <f>'All regions'!A4526+"$F;@!(?N"</f>
        <v>#VALUE!</v>
      </c>
      <c r="HF163" t="e">
        <f>'All regions'!B4526+"$F;@!(?O"</f>
        <v>#VALUE!</v>
      </c>
      <c r="HG163" t="e">
        <f>'All regions'!C4526+"$F;@!(?P"</f>
        <v>#VALUE!</v>
      </c>
      <c r="HH163" t="e">
        <f>'All regions'!D4526+"$F;@!(?Q"</f>
        <v>#VALUE!</v>
      </c>
      <c r="HI163" t="e">
        <f>'All regions'!E4526+"$F;@!(?R"</f>
        <v>#VALUE!</v>
      </c>
      <c r="HJ163" t="e">
        <f>'All regions'!F4526+"$F;@!(?S"</f>
        <v>#VALUE!</v>
      </c>
      <c r="HK163" t="e">
        <f>'All regions'!G4526+"$F;@!(?T"</f>
        <v>#VALUE!</v>
      </c>
      <c r="HL163" t="e">
        <f>'All regions'!H4526+"$F;@!(?U"</f>
        <v>#VALUE!</v>
      </c>
      <c r="HM163" t="e">
        <f>'All regions'!I4526+"$F;@!(?V"</f>
        <v>#VALUE!</v>
      </c>
      <c r="HN163" t="e">
        <f>'All regions'!A4527+"$F;@!(?W"</f>
        <v>#VALUE!</v>
      </c>
      <c r="HO163" t="e">
        <f>'All regions'!B4527+"$F;@!(?X"</f>
        <v>#VALUE!</v>
      </c>
      <c r="HP163" t="e">
        <f>'All regions'!C4527+"$F;@!(?Y"</f>
        <v>#VALUE!</v>
      </c>
      <c r="HQ163" t="e">
        <f>'All regions'!D4527+"$F;@!(?Z"</f>
        <v>#VALUE!</v>
      </c>
      <c r="HR163" t="e">
        <f>'All regions'!E4527+"$F;@!(?["</f>
        <v>#VALUE!</v>
      </c>
      <c r="HS163" t="e">
        <f>'All regions'!F4527+"$F;@!(?\"</f>
        <v>#VALUE!</v>
      </c>
      <c r="HT163" t="e">
        <f>'All regions'!G4527+"$F;@!(?]"</f>
        <v>#VALUE!</v>
      </c>
      <c r="HU163" t="e">
        <f>'All regions'!H4527+"$F;@!(?^"</f>
        <v>#VALUE!</v>
      </c>
      <c r="HV163" t="e">
        <f>'All regions'!I4527+"$F;@!(?_"</f>
        <v>#VALUE!</v>
      </c>
      <c r="HW163" t="e">
        <f>'All regions'!A4528+"$F;@!(?`"</f>
        <v>#VALUE!</v>
      </c>
      <c r="HX163" t="e">
        <f>'All regions'!B4528+"$F;@!(?a"</f>
        <v>#VALUE!</v>
      </c>
      <c r="HY163" t="e">
        <f>'All regions'!C4528+"$F;@!(?b"</f>
        <v>#VALUE!</v>
      </c>
      <c r="HZ163" t="e">
        <f>'All regions'!D4528+"$F;@!(?c"</f>
        <v>#VALUE!</v>
      </c>
      <c r="IA163" t="e">
        <f>'All regions'!E4528+"$F;@!(?d"</f>
        <v>#VALUE!</v>
      </c>
      <c r="IB163" t="e">
        <f>'All regions'!F4528+"$F;@!(?e"</f>
        <v>#VALUE!</v>
      </c>
      <c r="IC163" t="e">
        <f>'All regions'!G4528+"$F;@!(?f"</f>
        <v>#VALUE!</v>
      </c>
      <c r="ID163" t="e">
        <f>'All regions'!H4528+"$F;@!(?g"</f>
        <v>#VALUE!</v>
      </c>
      <c r="IE163" t="e">
        <f>'All regions'!I4528+"$F;@!(?h"</f>
        <v>#VALUE!</v>
      </c>
      <c r="IF163" t="e">
        <f>'All regions'!A4529+"$F;@!(?i"</f>
        <v>#VALUE!</v>
      </c>
      <c r="IG163" t="e">
        <f>'All regions'!B4529+"$F;@!(?j"</f>
        <v>#VALUE!</v>
      </c>
      <c r="IH163" t="e">
        <f>'All regions'!C4529+"$F;@!(?k"</f>
        <v>#VALUE!</v>
      </c>
      <c r="II163" t="e">
        <f>'All regions'!D4529+"$F;@!(?l"</f>
        <v>#VALUE!</v>
      </c>
      <c r="IJ163" t="e">
        <f>'All regions'!E4529+"$F;@!(?m"</f>
        <v>#VALUE!</v>
      </c>
      <c r="IK163" t="e">
        <f>'All regions'!F4529+"$F;@!(?n"</f>
        <v>#VALUE!</v>
      </c>
      <c r="IL163" t="e">
        <f>'All regions'!G4529+"$F;@!(?o"</f>
        <v>#VALUE!</v>
      </c>
      <c r="IM163" t="e">
        <f>'All regions'!H4529+"$F;@!(?p"</f>
        <v>#VALUE!</v>
      </c>
      <c r="IN163" t="e">
        <f>'All regions'!I4529+"$F;@!(?q"</f>
        <v>#VALUE!</v>
      </c>
      <c r="IO163" t="e">
        <f>'All regions'!A4530+"$F;@!(?r"</f>
        <v>#VALUE!</v>
      </c>
      <c r="IP163" t="e">
        <f>'All regions'!B4530+"$F;@!(?s"</f>
        <v>#VALUE!</v>
      </c>
      <c r="IQ163" t="e">
        <f>'All regions'!C4530+"$F;@!(?t"</f>
        <v>#VALUE!</v>
      </c>
      <c r="IR163" t="e">
        <f>'All regions'!D4530+"$F;@!(?u"</f>
        <v>#VALUE!</v>
      </c>
      <c r="IS163" t="e">
        <f>'All regions'!E4530+"$F;@!(?v"</f>
        <v>#VALUE!</v>
      </c>
      <c r="IT163" t="e">
        <f>'All regions'!F4530+"$F;@!(?w"</f>
        <v>#VALUE!</v>
      </c>
      <c r="IU163" t="e">
        <f>'All regions'!G4530+"$F;@!(?x"</f>
        <v>#VALUE!</v>
      </c>
      <c r="IV163" t="e">
        <f>'All regions'!H4530+"$F;@!(?y"</f>
        <v>#VALUE!</v>
      </c>
    </row>
    <row r="164" spans="6:256" x14ac:dyDescent="0.35">
      <c r="F164" t="e">
        <f>'All regions'!I4530+"$F;@!(?z"</f>
        <v>#VALUE!</v>
      </c>
      <c r="G164" t="e">
        <f>'All regions'!A4531+"$F;@!(?{"</f>
        <v>#VALUE!</v>
      </c>
      <c r="H164" t="e">
        <f>'All regions'!B4531+"$F;@!(?|"</f>
        <v>#VALUE!</v>
      </c>
      <c r="I164" t="e">
        <f>'All regions'!C4531+"$F;@!(?}"</f>
        <v>#VALUE!</v>
      </c>
      <c r="J164" t="e">
        <f>'All regions'!D4531+"$F;@!(?~"</f>
        <v>#VALUE!</v>
      </c>
      <c r="K164" t="e">
        <f>'All regions'!E4531+"$F;@!(@#"</f>
        <v>#VALUE!</v>
      </c>
      <c r="L164" t="e">
        <f>'All regions'!F4531+"$F;@!(@$"</f>
        <v>#VALUE!</v>
      </c>
      <c r="M164" t="e">
        <f>'All regions'!G4531+"$F;@!(@%"</f>
        <v>#VALUE!</v>
      </c>
      <c r="N164" t="e">
        <f>'All regions'!H4531+"$F;@!(@&amp;"</f>
        <v>#VALUE!</v>
      </c>
      <c r="O164" t="e">
        <f>'All regions'!I4531+"$F;@!(@'"</f>
        <v>#VALUE!</v>
      </c>
      <c r="P164" t="e">
        <f>'All regions'!A4532+"$F;@!(@("</f>
        <v>#VALUE!</v>
      </c>
      <c r="Q164" t="e">
        <f>'All regions'!B4532+"$F;@!(@)"</f>
        <v>#VALUE!</v>
      </c>
      <c r="R164" t="e">
        <f>'All regions'!C4532+"$F;@!(@."</f>
        <v>#VALUE!</v>
      </c>
      <c r="S164" t="e">
        <f>'All regions'!D4532+"$F;@!(@/"</f>
        <v>#VALUE!</v>
      </c>
      <c r="T164" t="e">
        <f>'All regions'!E4532+"$F;@!(@0"</f>
        <v>#VALUE!</v>
      </c>
      <c r="U164" t="e">
        <f>'All regions'!F4532+"$F;@!(@1"</f>
        <v>#VALUE!</v>
      </c>
      <c r="V164" t="e">
        <f>'All regions'!G4532+"$F;@!(@2"</f>
        <v>#VALUE!</v>
      </c>
      <c r="W164" t="e">
        <f>'All regions'!H4532+"$F;@!(@3"</f>
        <v>#VALUE!</v>
      </c>
      <c r="X164" t="e">
        <f>'All regions'!I4532+"$F;@!(@4"</f>
        <v>#VALUE!</v>
      </c>
      <c r="Y164" t="e">
        <f>'All regions'!A4533+"$F;@!(@5"</f>
        <v>#VALUE!</v>
      </c>
      <c r="Z164" t="e">
        <f>'All regions'!B4533+"$F;@!(@6"</f>
        <v>#VALUE!</v>
      </c>
      <c r="AA164" t="e">
        <f>'All regions'!C4533+"$F;@!(@7"</f>
        <v>#VALUE!</v>
      </c>
      <c r="AB164" t="e">
        <f>'All regions'!D4533+"$F;@!(@8"</f>
        <v>#VALUE!</v>
      </c>
      <c r="AC164" t="e">
        <f>'All regions'!E4533+"$F;@!(@9"</f>
        <v>#VALUE!</v>
      </c>
      <c r="AD164" t="e">
        <f>'All regions'!F4533+"$F;@!(@:"</f>
        <v>#VALUE!</v>
      </c>
      <c r="AE164" t="e">
        <f>'All regions'!G4533+"$F;@!(@;"</f>
        <v>#VALUE!</v>
      </c>
      <c r="AF164" t="e">
        <f>'All regions'!H4533+"$F;@!(@&lt;"</f>
        <v>#VALUE!</v>
      </c>
      <c r="AG164" t="e">
        <f>'All regions'!I4533+"$F;@!(@="</f>
        <v>#VALUE!</v>
      </c>
      <c r="AH164" t="e">
        <f>'All regions'!A4534+"$F;@!(@&gt;"</f>
        <v>#VALUE!</v>
      </c>
      <c r="AI164" t="e">
        <f>'All regions'!B4534+"$F;@!(@?"</f>
        <v>#VALUE!</v>
      </c>
      <c r="AJ164" t="e">
        <f>'All regions'!C4534+"$F;@!(@@"</f>
        <v>#VALUE!</v>
      </c>
      <c r="AK164" t="e">
        <f>'All regions'!D4534+"$F;@!(@A"</f>
        <v>#VALUE!</v>
      </c>
      <c r="AL164" t="e">
        <f>'All regions'!E4534+"$F;@!(@B"</f>
        <v>#VALUE!</v>
      </c>
      <c r="AM164" t="e">
        <f>'All regions'!F4534+"$F;@!(@C"</f>
        <v>#VALUE!</v>
      </c>
      <c r="AN164" t="e">
        <f>'All regions'!G4534+"$F;@!(@D"</f>
        <v>#VALUE!</v>
      </c>
      <c r="AO164" t="e">
        <f>'All regions'!H4534+"$F;@!(@E"</f>
        <v>#VALUE!</v>
      </c>
      <c r="AP164" t="e">
        <f>'All regions'!I4534+"$F;@!(@F"</f>
        <v>#VALUE!</v>
      </c>
      <c r="AQ164" t="e">
        <f>'All regions'!A4535+"$F;@!(@G"</f>
        <v>#VALUE!</v>
      </c>
      <c r="AR164" t="e">
        <f>'All regions'!B4535+"$F;@!(@H"</f>
        <v>#VALUE!</v>
      </c>
      <c r="AS164" t="e">
        <f>'All regions'!C4535+"$F;@!(@I"</f>
        <v>#VALUE!</v>
      </c>
      <c r="AT164" t="e">
        <f>'All regions'!D4535+"$F;@!(@J"</f>
        <v>#VALUE!</v>
      </c>
      <c r="AU164" t="e">
        <f>'All regions'!E4535+"$F;@!(@K"</f>
        <v>#VALUE!</v>
      </c>
      <c r="AV164" t="e">
        <f>'All regions'!F4535+"$F;@!(@L"</f>
        <v>#VALUE!</v>
      </c>
      <c r="AW164" t="e">
        <f>'All regions'!G4535+"$F;@!(@M"</f>
        <v>#VALUE!</v>
      </c>
      <c r="AX164" t="e">
        <f>'All regions'!H4535+"$F;@!(@N"</f>
        <v>#VALUE!</v>
      </c>
      <c r="AY164" t="e">
        <f>'All regions'!I4535+"$F;@!(@O"</f>
        <v>#VALUE!</v>
      </c>
      <c r="AZ164" t="e">
        <f>'All regions'!A4536+"$F;@!(@P"</f>
        <v>#VALUE!</v>
      </c>
      <c r="BA164" t="e">
        <f>'All regions'!B4536+"$F;@!(@Q"</f>
        <v>#VALUE!</v>
      </c>
      <c r="BB164" t="e">
        <f>'All regions'!C4536+"$F;@!(@R"</f>
        <v>#VALUE!</v>
      </c>
      <c r="BC164" t="e">
        <f>'All regions'!D4536+"$F;@!(@S"</f>
        <v>#VALUE!</v>
      </c>
      <c r="BD164" t="e">
        <f>'All regions'!E4536+"$F;@!(@T"</f>
        <v>#VALUE!</v>
      </c>
      <c r="BE164" t="e">
        <f>'All regions'!F4536+"$F;@!(@U"</f>
        <v>#VALUE!</v>
      </c>
      <c r="BF164" t="e">
        <f>'All regions'!G4536+"$F;@!(@V"</f>
        <v>#VALUE!</v>
      </c>
      <c r="BG164" t="e">
        <f>'All regions'!H4536+"$F;@!(@W"</f>
        <v>#VALUE!</v>
      </c>
      <c r="BH164" t="e">
        <f>'All regions'!I4536+"$F;@!(@X"</f>
        <v>#VALUE!</v>
      </c>
      <c r="BI164" t="e">
        <f>'All regions'!A4537+"$F;@!(@Y"</f>
        <v>#VALUE!</v>
      </c>
      <c r="BJ164" t="e">
        <f>'All regions'!B4537+"$F;@!(@Z"</f>
        <v>#VALUE!</v>
      </c>
      <c r="BK164" t="e">
        <f>'All regions'!C4537+"$F;@!(@["</f>
        <v>#VALUE!</v>
      </c>
      <c r="BL164" t="e">
        <f>'All regions'!D4537+"$F;@!(@\"</f>
        <v>#VALUE!</v>
      </c>
      <c r="BM164" t="e">
        <f>'All regions'!E4537+"$F;@!(@]"</f>
        <v>#VALUE!</v>
      </c>
      <c r="BN164" t="e">
        <f>'All regions'!F4537+"$F;@!(@^"</f>
        <v>#VALUE!</v>
      </c>
      <c r="BO164" t="e">
        <f>'All regions'!G4537+"$F;@!(@_"</f>
        <v>#VALUE!</v>
      </c>
      <c r="BP164" t="e">
        <f>'All regions'!H4537+"$F;@!(@`"</f>
        <v>#VALUE!</v>
      </c>
      <c r="BQ164" t="e">
        <f>'All regions'!I4537+"$F;@!(@a"</f>
        <v>#VALUE!</v>
      </c>
      <c r="BR164" t="e">
        <f>'All regions'!A4538+"$F;@!(@b"</f>
        <v>#VALUE!</v>
      </c>
      <c r="BS164" t="e">
        <f>'All regions'!B4538+"$F;@!(@c"</f>
        <v>#VALUE!</v>
      </c>
      <c r="BT164" t="e">
        <f>'All regions'!C4538+"$F;@!(@d"</f>
        <v>#VALUE!</v>
      </c>
      <c r="BU164" t="e">
        <f>'All regions'!D4538+"$F;@!(@e"</f>
        <v>#VALUE!</v>
      </c>
      <c r="BV164" t="e">
        <f>'All regions'!E4538+"$F;@!(@f"</f>
        <v>#VALUE!</v>
      </c>
      <c r="BW164" t="e">
        <f>'All regions'!F4538+"$F;@!(@g"</f>
        <v>#VALUE!</v>
      </c>
      <c r="BX164" t="e">
        <f>'All regions'!G4538+"$F;@!(@h"</f>
        <v>#VALUE!</v>
      </c>
      <c r="BY164" t="e">
        <f>'All regions'!H4538+"$F;@!(@i"</f>
        <v>#VALUE!</v>
      </c>
      <c r="BZ164" t="e">
        <f>'All regions'!I4538+"$F;@!(@j"</f>
        <v>#VALUE!</v>
      </c>
      <c r="CA164" t="e">
        <f>'All regions'!A4539+"$F;@!(@k"</f>
        <v>#VALUE!</v>
      </c>
      <c r="CB164" t="e">
        <f>'All regions'!B4539+"$F;@!(@l"</f>
        <v>#VALUE!</v>
      </c>
      <c r="CC164" t="e">
        <f>'All regions'!C4539+"$F;@!(@m"</f>
        <v>#VALUE!</v>
      </c>
      <c r="CD164" t="e">
        <f>'All regions'!D4539+"$F;@!(@n"</f>
        <v>#VALUE!</v>
      </c>
      <c r="CE164" t="e">
        <f>'All regions'!E4539+"$F;@!(@o"</f>
        <v>#VALUE!</v>
      </c>
      <c r="CF164" t="e">
        <f>'All regions'!F4539+"$F;@!(@p"</f>
        <v>#VALUE!</v>
      </c>
      <c r="CG164" t="e">
        <f>'All regions'!G4539+"$F;@!(@q"</f>
        <v>#VALUE!</v>
      </c>
      <c r="CH164" t="e">
        <f>'All regions'!H4539+"$F;@!(@r"</f>
        <v>#VALUE!</v>
      </c>
      <c r="CI164" t="e">
        <f>'All regions'!I4539+"$F;@!(@s"</f>
        <v>#VALUE!</v>
      </c>
      <c r="CJ164" t="e">
        <f>'All regions'!A4540+"$F;@!(@t"</f>
        <v>#VALUE!</v>
      </c>
      <c r="CK164" t="e">
        <f>'All regions'!B4540+"$F;@!(@u"</f>
        <v>#VALUE!</v>
      </c>
      <c r="CL164" t="e">
        <f>'All regions'!C4540+"$F;@!(@v"</f>
        <v>#VALUE!</v>
      </c>
      <c r="CM164" t="e">
        <f>'All regions'!D4540+"$F;@!(@w"</f>
        <v>#VALUE!</v>
      </c>
      <c r="CN164" t="e">
        <f>'All regions'!E4540+"$F;@!(@x"</f>
        <v>#VALUE!</v>
      </c>
      <c r="CO164" t="e">
        <f>'All regions'!F4540+"$F;@!(@y"</f>
        <v>#VALUE!</v>
      </c>
      <c r="CP164" t="e">
        <f>'All regions'!G4540+"$F;@!(@z"</f>
        <v>#VALUE!</v>
      </c>
      <c r="CQ164" t="e">
        <f>'All regions'!H4540+"$F;@!(@{"</f>
        <v>#VALUE!</v>
      </c>
      <c r="CR164" t="e">
        <f>'All regions'!I4540+"$F;@!(@|"</f>
        <v>#VALUE!</v>
      </c>
      <c r="CS164" t="e">
        <f>'All regions'!A4541+"$F;@!(@}"</f>
        <v>#VALUE!</v>
      </c>
      <c r="CT164" t="e">
        <f>'All regions'!B4541+"$F;@!(@~"</f>
        <v>#VALUE!</v>
      </c>
      <c r="CU164" t="e">
        <f>'All regions'!C4541+"$F;@!(A#"</f>
        <v>#VALUE!</v>
      </c>
      <c r="CV164" t="e">
        <f>'All regions'!D4541+"$F;@!(A$"</f>
        <v>#VALUE!</v>
      </c>
      <c r="CW164" t="e">
        <f>'All regions'!E4541+"$F;@!(A%"</f>
        <v>#VALUE!</v>
      </c>
      <c r="CX164" t="e">
        <f>'All regions'!F4541+"$F;@!(A&amp;"</f>
        <v>#VALUE!</v>
      </c>
      <c r="CY164" t="e">
        <f>'All regions'!G4541+"$F;@!(A'"</f>
        <v>#VALUE!</v>
      </c>
      <c r="CZ164" t="e">
        <f>'All regions'!H4541+"$F;@!(A("</f>
        <v>#VALUE!</v>
      </c>
      <c r="DA164" t="e">
        <f>'All regions'!I4541+"$F;@!(A)"</f>
        <v>#VALUE!</v>
      </c>
      <c r="DB164" t="e">
        <f>'All regions'!A4542+"$F;@!(A."</f>
        <v>#VALUE!</v>
      </c>
      <c r="DC164" t="e">
        <f>'All regions'!B4542+"$F;@!(A/"</f>
        <v>#VALUE!</v>
      </c>
      <c r="DD164" t="e">
        <f>'All regions'!C4542+"$F;@!(A0"</f>
        <v>#VALUE!</v>
      </c>
      <c r="DE164" t="e">
        <f>'All regions'!D4542+"$F;@!(A1"</f>
        <v>#VALUE!</v>
      </c>
      <c r="DF164" t="e">
        <f>'All regions'!E4542+"$F;@!(A2"</f>
        <v>#VALUE!</v>
      </c>
      <c r="DG164" t="e">
        <f>'All regions'!F4542+"$F;@!(A3"</f>
        <v>#VALUE!</v>
      </c>
      <c r="DH164" t="e">
        <f>'All regions'!G4542+"$F;@!(A4"</f>
        <v>#VALUE!</v>
      </c>
      <c r="DI164" t="e">
        <f>'All regions'!H4542+"$F;@!(A5"</f>
        <v>#VALUE!</v>
      </c>
      <c r="DJ164" t="e">
        <f>'All regions'!I4542+"$F;@!(A6"</f>
        <v>#VALUE!</v>
      </c>
      <c r="DK164" t="e">
        <f>'All regions'!A4543+"$F;@!(A7"</f>
        <v>#VALUE!</v>
      </c>
      <c r="DL164" t="e">
        <f>'All regions'!B4543+"$F;@!(A8"</f>
        <v>#VALUE!</v>
      </c>
      <c r="DM164" t="e">
        <f>'All regions'!C4543+"$F;@!(A9"</f>
        <v>#VALUE!</v>
      </c>
      <c r="DN164" t="e">
        <f>'All regions'!D4543+"$F;@!(A:"</f>
        <v>#VALUE!</v>
      </c>
      <c r="DO164" t="e">
        <f>'All regions'!E4543+"$F;@!(A;"</f>
        <v>#VALUE!</v>
      </c>
      <c r="DP164" t="e">
        <f>'All regions'!F4543+"$F;@!(A&lt;"</f>
        <v>#VALUE!</v>
      </c>
      <c r="DQ164" t="e">
        <f>'All regions'!G4543+"$F;@!(A="</f>
        <v>#VALUE!</v>
      </c>
      <c r="DR164" t="e">
        <f>'All regions'!H4543+"$F;@!(A&gt;"</f>
        <v>#VALUE!</v>
      </c>
      <c r="DS164" t="e">
        <f>'All regions'!I4543+"$F;@!(A?"</f>
        <v>#VALUE!</v>
      </c>
      <c r="DT164" t="e">
        <f>'All regions'!A4544+"$F;@!(A@"</f>
        <v>#VALUE!</v>
      </c>
      <c r="DU164" t="e">
        <f>'All regions'!B4544+"$F;@!(AA"</f>
        <v>#VALUE!</v>
      </c>
      <c r="DV164" t="e">
        <f>'All regions'!C4544+"$F;@!(AB"</f>
        <v>#VALUE!</v>
      </c>
      <c r="DW164" t="e">
        <f>'All regions'!D4544+"$F;@!(AC"</f>
        <v>#VALUE!</v>
      </c>
      <c r="DX164" t="e">
        <f>'All regions'!E4544+"$F;@!(AD"</f>
        <v>#VALUE!</v>
      </c>
      <c r="DY164" t="e">
        <f>'All regions'!F4544+"$F;@!(AE"</f>
        <v>#VALUE!</v>
      </c>
      <c r="DZ164" t="e">
        <f>'All regions'!G4544+"$F;@!(AF"</f>
        <v>#VALUE!</v>
      </c>
      <c r="EA164" t="e">
        <f>'All regions'!H4544+"$F;@!(AG"</f>
        <v>#VALUE!</v>
      </c>
      <c r="EB164" t="e">
        <f>'All regions'!I4544+"$F;@!(AH"</f>
        <v>#VALUE!</v>
      </c>
      <c r="EC164" t="e">
        <f>'All regions'!A4545+"$F;@!(AI"</f>
        <v>#VALUE!</v>
      </c>
      <c r="ED164" t="e">
        <f>'All regions'!B4545+"$F;@!(AJ"</f>
        <v>#VALUE!</v>
      </c>
      <c r="EE164" t="e">
        <f>'All regions'!C4545+"$F;@!(AK"</f>
        <v>#VALUE!</v>
      </c>
      <c r="EF164" t="e">
        <f>'All regions'!D4545+"$F;@!(AL"</f>
        <v>#VALUE!</v>
      </c>
      <c r="EG164" t="e">
        <f>'All regions'!E4545+"$F;@!(AM"</f>
        <v>#VALUE!</v>
      </c>
      <c r="EH164" t="e">
        <f>'All regions'!F4545+"$F;@!(AN"</f>
        <v>#VALUE!</v>
      </c>
      <c r="EI164" t="e">
        <f>'All regions'!G4545+"$F;@!(AO"</f>
        <v>#VALUE!</v>
      </c>
      <c r="EJ164" t="e">
        <f>'All regions'!H4545+"$F;@!(AP"</f>
        <v>#VALUE!</v>
      </c>
      <c r="EK164" t="e">
        <f>'All regions'!I4545+"$F;@!(AQ"</f>
        <v>#VALUE!</v>
      </c>
      <c r="EL164" t="e">
        <f>'All regions'!A4546+"$F;@!(AR"</f>
        <v>#VALUE!</v>
      </c>
      <c r="EM164" t="e">
        <f>'All regions'!B4546+"$F;@!(AS"</f>
        <v>#VALUE!</v>
      </c>
      <c r="EN164" t="e">
        <f>'All regions'!C4546+"$F;@!(AT"</f>
        <v>#VALUE!</v>
      </c>
      <c r="EO164" t="e">
        <f>'All regions'!D4546+"$F;@!(AU"</f>
        <v>#VALUE!</v>
      </c>
      <c r="EP164" t="e">
        <f>'All regions'!E4546+"$F;@!(AV"</f>
        <v>#VALUE!</v>
      </c>
      <c r="EQ164" t="e">
        <f>'All regions'!F4546+"$F;@!(AW"</f>
        <v>#VALUE!</v>
      </c>
      <c r="ER164" t="e">
        <f>'All regions'!G4546+"$F;@!(AX"</f>
        <v>#VALUE!</v>
      </c>
      <c r="ES164" t="e">
        <f>'All regions'!H4546+"$F;@!(AY"</f>
        <v>#VALUE!</v>
      </c>
      <c r="ET164" t="e">
        <f>'All regions'!I4546+"$F;@!(AZ"</f>
        <v>#VALUE!</v>
      </c>
      <c r="EU164" t="e">
        <f>'All regions'!A4547+"$F;@!(A["</f>
        <v>#VALUE!</v>
      </c>
      <c r="EV164" t="e">
        <f>'All regions'!B4547+"$F;@!(A\"</f>
        <v>#VALUE!</v>
      </c>
      <c r="EW164" t="e">
        <f>'All regions'!C4547+"$F;@!(A]"</f>
        <v>#VALUE!</v>
      </c>
      <c r="EX164" t="e">
        <f>'All regions'!D4547+"$F;@!(A^"</f>
        <v>#VALUE!</v>
      </c>
      <c r="EY164" t="e">
        <f>'All regions'!E4547+"$F;@!(A_"</f>
        <v>#VALUE!</v>
      </c>
      <c r="EZ164" t="e">
        <f>'All regions'!F4547+"$F;@!(A`"</f>
        <v>#VALUE!</v>
      </c>
      <c r="FA164" t="e">
        <f>'All regions'!G4547+"$F;@!(Aa"</f>
        <v>#VALUE!</v>
      </c>
      <c r="FB164" t="e">
        <f>'All regions'!H4547+"$F;@!(Ab"</f>
        <v>#VALUE!</v>
      </c>
      <c r="FC164" t="e">
        <f>'All regions'!I4547+"$F;@!(Ac"</f>
        <v>#VALUE!</v>
      </c>
      <c r="FD164" t="e">
        <f>'All regions'!A4548+"$F;@!(Ad"</f>
        <v>#VALUE!</v>
      </c>
      <c r="FE164" t="e">
        <f>'All regions'!B4548+"$F;@!(Ae"</f>
        <v>#VALUE!</v>
      </c>
      <c r="FF164" t="e">
        <f>'All regions'!C4548+"$F;@!(Af"</f>
        <v>#VALUE!</v>
      </c>
      <c r="FG164" t="e">
        <f>'All regions'!D4548+"$F;@!(Ag"</f>
        <v>#VALUE!</v>
      </c>
      <c r="FH164" t="e">
        <f>'All regions'!E4548+"$F;@!(Ah"</f>
        <v>#VALUE!</v>
      </c>
      <c r="FI164" t="e">
        <f>'All regions'!F4548+"$F;@!(Ai"</f>
        <v>#VALUE!</v>
      </c>
      <c r="FJ164" t="e">
        <f>'All regions'!G4548+"$F;@!(Aj"</f>
        <v>#VALUE!</v>
      </c>
      <c r="FK164" t="e">
        <f>'All regions'!H4548+"$F;@!(Ak"</f>
        <v>#VALUE!</v>
      </c>
      <c r="FL164" t="e">
        <f>'All regions'!I4548+"$F;@!(Al"</f>
        <v>#VALUE!</v>
      </c>
      <c r="FM164" t="e">
        <f>'All regions'!A4549+"$F;@!(Am"</f>
        <v>#VALUE!</v>
      </c>
      <c r="FN164" t="e">
        <f>'All regions'!B4549+"$F;@!(An"</f>
        <v>#VALUE!</v>
      </c>
      <c r="FO164" t="e">
        <f>'All regions'!C4549+"$F;@!(Ao"</f>
        <v>#VALUE!</v>
      </c>
      <c r="FP164" t="e">
        <f>'All regions'!D4549+"$F;@!(Ap"</f>
        <v>#VALUE!</v>
      </c>
      <c r="FQ164" t="e">
        <f>'All regions'!E4549+"$F;@!(Aq"</f>
        <v>#VALUE!</v>
      </c>
      <c r="FR164" t="e">
        <f>'All regions'!F4549+"$F;@!(Ar"</f>
        <v>#VALUE!</v>
      </c>
      <c r="FS164" t="e">
        <f>'All regions'!G4549+"$F;@!(As"</f>
        <v>#VALUE!</v>
      </c>
      <c r="FT164" t="e">
        <f>'All regions'!H4549+"$F;@!(At"</f>
        <v>#VALUE!</v>
      </c>
      <c r="FU164" t="e">
        <f>'All regions'!I4549+"$F;@!(Au"</f>
        <v>#VALUE!</v>
      </c>
      <c r="FV164" t="e">
        <f>'All regions'!A4550+"$F;@!(Av"</f>
        <v>#VALUE!</v>
      </c>
      <c r="FW164" t="e">
        <f>'All regions'!B4550+"$F;@!(Aw"</f>
        <v>#VALUE!</v>
      </c>
      <c r="FX164" t="e">
        <f>'All regions'!C4550+"$F;@!(Ax"</f>
        <v>#VALUE!</v>
      </c>
      <c r="FY164" t="e">
        <f>'All regions'!D4550+"$F;@!(Ay"</f>
        <v>#VALUE!</v>
      </c>
      <c r="FZ164" t="e">
        <f>'All regions'!E4550+"$F;@!(Az"</f>
        <v>#VALUE!</v>
      </c>
      <c r="GA164" t="e">
        <f>'All regions'!F4550+"$F;@!(A{"</f>
        <v>#VALUE!</v>
      </c>
      <c r="GB164" t="e">
        <f>'All regions'!G4550+"$F;@!(A|"</f>
        <v>#VALUE!</v>
      </c>
      <c r="GC164" t="e">
        <f>'All regions'!H4550+"$F;@!(A}"</f>
        <v>#VALUE!</v>
      </c>
      <c r="GD164" t="e">
        <f>'All regions'!I4550+"$F;@!(A~"</f>
        <v>#VALUE!</v>
      </c>
      <c r="GE164" t="e">
        <f>'All regions'!A4551+"$F;@!(B#"</f>
        <v>#VALUE!</v>
      </c>
      <c r="GF164" t="e">
        <f>'All regions'!B4551+"$F;@!(B$"</f>
        <v>#VALUE!</v>
      </c>
      <c r="GG164" t="e">
        <f>'All regions'!C4551+"$F;@!(B%"</f>
        <v>#VALUE!</v>
      </c>
      <c r="GH164" t="e">
        <f>'All regions'!D4551+"$F;@!(B&amp;"</f>
        <v>#VALUE!</v>
      </c>
      <c r="GI164" t="e">
        <f>'All regions'!E4551+"$F;@!(B'"</f>
        <v>#VALUE!</v>
      </c>
      <c r="GJ164" t="e">
        <f>'All regions'!F4551+"$F;@!(B("</f>
        <v>#VALUE!</v>
      </c>
      <c r="GK164" t="e">
        <f>'All regions'!G4551+"$F;@!(B)"</f>
        <v>#VALUE!</v>
      </c>
      <c r="GL164" t="e">
        <f>'All regions'!H4551+"$F;@!(B."</f>
        <v>#VALUE!</v>
      </c>
      <c r="GM164" t="e">
        <f>'All regions'!I4551+"$F;@!(B/"</f>
        <v>#VALUE!</v>
      </c>
      <c r="GN164" t="e">
        <f>'All regions'!A4552+"$F;@!(B0"</f>
        <v>#VALUE!</v>
      </c>
      <c r="GO164" t="e">
        <f>'All regions'!B4552+"$F;@!(B1"</f>
        <v>#VALUE!</v>
      </c>
      <c r="GP164" t="e">
        <f>'All regions'!C4552+"$F;@!(B2"</f>
        <v>#VALUE!</v>
      </c>
      <c r="GQ164" t="e">
        <f>'All regions'!D4552+"$F;@!(B3"</f>
        <v>#VALUE!</v>
      </c>
      <c r="GR164" t="e">
        <f>'All regions'!E4552+"$F;@!(B4"</f>
        <v>#VALUE!</v>
      </c>
      <c r="GS164" t="e">
        <f>'All regions'!F4552+"$F;@!(B5"</f>
        <v>#VALUE!</v>
      </c>
      <c r="GT164" t="e">
        <f>'All regions'!G4552+"$F;@!(B6"</f>
        <v>#VALUE!</v>
      </c>
      <c r="GU164" t="e">
        <f>'All regions'!H4552+"$F;@!(B7"</f>
        <v>#VALUE!</v>
      </c>
      <c r="GV164" t="e">
        <f>'All regions'!I4552+"$F;@!(B8"</f>
        <v>#VALUE!</v>
      </c>
      <c r="GW164" t="e">
        <f>'All regions'!A4553+"$F;@!(B9"</f>
        <v>#VALUE!</v>
      </c>
      <c r="GX164" t="e">
        <f>'All regions'!B4553+"$F;@!(B:"</f>
        <v>#VALUE!</v>
      </c>
      <c r="GY164" t="e">
        <f>'All regions'!C4553+"$F;@!(B;"</f>
        <v>#VALUE!</v>
      </c>
      <c r="GZ164" t="e">
        <f>'All regions'!D4553+"$F;@!(B&lt;"</f>
        <v>#VALUE!</v>
      </c>
      <c r="HA164" t="e">
        <f>'All regions'!E4553+"$F;@!(B="</f>
        <v>#VALUE!</v>
      </c>
      <c r="HB164" t="e">
        <f>'All regions'!F4553+"$F;@!(B&gt;"</f>
        <v>#VALUE!</v>
      </c>
      <c r="HC164" t="e">
        <f>'All regions'!G4553+"$F;@!(B?"</f>
        <v>#VALUE!</v>
      </c>
      <c r="HD164" t="e">
        <f>'All regions'!H4553+"$F;@!(B@"</f>
        <v>#VALUE!</v>
      </c>
      <c r="HE164" t="e">
        <f>'All regions'!I4553+"$F;@!(BA"</f>
        <v>#VALUE!</v>
      </c>
      <c r="HF164" t="e">
        <f>'All regions'!A4554+"$F;@!(BB"</f>
        <v>#VALUE!</v>
      </c>
      <c r="HG164" t="e">
        <f>'All regions'!B4554+"$F;@!(BC"</f>
        <v>#VALUE!</v>
      </c>
      <c r="HH164" t="e">
        <f>'All regions'!C4554+"$F;@!(BD"</f>
        <v>#VALUE!</v>
      </c>
      <c r="HI164" t="e">
        <f>'All regions'!D4554+"$F;@!(BE"</f>
        <v>#VALUE!</v>
      </c>
      <c r="HJ164" t="e">
        <f>'All regions'!E4554+"$F;@!(BF"</f>
        <v>#VALUE!</v>
      </c>
      <c r="HK164" t="e">
        <f>'All regions'!F4554+"$F;@!(BG"</f>
        <v>#VALUE!</v>
      </c>
      <c r="HL164" t="e">
        <f>'All regions'!G4554+"$F;@!(BH"</f>
        <v>#VALUE!</v>
      </c>
      <c r="HM164" t="e">
        <f>'All regions'!H4554+"$F;@!(BI"</f>
        <v>#VALUE!</v>
      </c>
      <c r="HN164" t="e">
        <f>'All regions'!I4554+"$F;@!(BJ"</f>
        <v>#VALUE!</v>
      </c>
      <c r="HO164" t="e">
        <f>'All regions'!A4555+"$F;@!(BK"</f>
        <v>#VALUE!</v>
      </c>
      <c r="HP164" t="e">
        <f>'All regions'!B4555+"$F;@!(BL"</f>
        <v>#VALUE!</v>
      </c>
      <c r="HQ164" t="e">
        <f>'All regions'!C4555+"$F;@!(BM"</f>
        <v>#VALUE!</v>
      </c>
      <c r="HR164" t="e">
        <f>'All regions'!D4555+"$F;@!(BN"</f>
        <v>#VALUE!</v>
      </c>
      <c r="HS164" t="e">
        <f>'All regions'!E4555+"$F;@!(BO"</f>
        <v>#VALUE!</v>
      </c>
      <c r="HT164" t="e">
        <f>'All regions'!F4555+"$F;@!(BP"</f>
        <v>#VALUE!</v>
      </c>
      <c r="HU164" t="e">
        <f>'All regions'!G4555+"$F;@!(BQ"</f>
        <v>#VALUE!</v>
      </c>
      <c r="HV164" t="e">
        <f>'All regions'!H4555+"$F;@!(BR"</f>
        <v>#VALUE!</v>
      </c>
      <c r="HW164" t="e">
        <f>'All regions'!I4555+"$F;@!(BS"</f>
        <v>#VALUE!</v>
      </c>
      <c r="HX164" t="e">
        <f>'All regions'!A4556+"$F;@!(BT"</f>
        <v>#VALUE!</v>
      </c>
      <c r="HY164" t="e">
        <f>'All regions'!B4556+"$F;@!(BU"</f>
        <v>#VALUE!</v>
      </c>
      <c r="HZ164" t="e">
        <f>'All regions'!C4556+"$F;@!(BV"</f>
        <v>#VALUE!</v>
      </c>
      <c r="IA164" t="e">
        <f>'All regions'!D4556+"$F;@!(BW"</f>
        <v>#VALUE!</v>
      </c>
      <c r="IB164" t="e">
        <f>'All regions'!E4556+"$F;@!(BX"</f>
        <v>#VALUE!</v>
      </c>
      <c r="IC164" t="e">
        <f>'All regions'!F4556+"$F;@!(BY"</f>
        <v>#VALUE!</v>
      </c>
      <c r="ID164" t="e">
        <f>'All regions'!G4556+"$F;@!(BZ"</f>
        <v>#VALUE!</v>
      </c>
      <c r="IE164" t="e">
        <f>'All regions'!H4556+"$F;@!(B["</f>
        <v>#VALUE!</v>
      </c>
      <c r="IF164" t="e">
        <f>'All regions'!I4556+"$F;@!(B\"</f>
        <v>#VALUE!</v>
      </c>
      <c r="IG164" t="e">
        <f>'All regions'!A4557+"$F;@!(B]"</f>
        <v>#VALUE!</v>
      </c>
      <c r="IH164" t="e">
        <f>'All regions'!B4557+"$F;@!(B^"</f>
        <v>#VALUE!</v>
      </c>
      <c r="II164" t="e">
        <f>'All regions'!C4557+"$F;@!(B_"</f>
        <v>#VALUE!</v>
      </c>
      <c r="IJ164" t="e">
        <f>'All regions'!D4557+"$F;@!(B`"</f>
        <v>#VALUE!</v>
      </c>
      <c r="IK164" t="e">
        <f>'All regions'!E4557+"$F;@!(Ba"</f>
        <v>#VALUE!</v>
      </c>
      <c r="IL164" t="e">
        <f>'All regions'!F4557+"$F;@!(Bb"</f>
        <v>#VALUE!</v>
      </c>
      <c r="IM164" t="e">
        <f>'All regions'!G4557+"$F;@!(Bc"</f>
        <v>#VALUE!</v>
      </c>
      <c r="IN164" t="e">
        <f>'All regions'!H4557+"$F;@!(Bd"</f>
        <v>#VALUE!</v>
      </c>
      <c r="IO164" t="e">
        <f>'All regions'!I4557+"$F;@!(Be"</f>
        <v>#VALUE!</v>
      </c>
      <c r="IP164" t="e">
        <f>'All regions'!A4558+"$F;@!(Bf"</f>
        <v>#VALUE!</v>
      </c>
      <c r="IQ164" t="e">
        <f>'All regions'!B4558+"$F;@!(Bg"</f>
        <v>#VALUE!</v>
      </c>
      <c r="IR164" t="e">
        <f>'All regions'!C4558+"$F;@!(Bh"</f>
        <v>#VALUE!</v>
      </c>
      <c r="IS164" t="e">
        <f>'All regions'!D4558+"$F;@!(Bi"</f>
        <v>#VALUE!</v>
      </c>
      <c r="IT164" t="e">
        <f>'All regions'!E4558+"$F;@!(Bj"</f>
        <v>#VALUE!</v>
      </c>
      <c r="IU164" t="e">
        <f>'All regions'!F4558+"$F;@!(Bk"</f>
        <v>#VALUE!</v>
      </c>
      <c r="IV164" t="e">
        <f>'All regions'!G4558+"$F;@!(Bl"</f>
        <v>#VALUE!</v>
      </c>
    </row>
    <row r="165" spans="6:256" x14ac:dyDescent="0.35">
      <c r="F165" t="e">
        <f>'All regions'!H4558+"$F;@!(Bm"</f>
        <v>#VALUE!</v>
      </c>
      <c r="G165" t="e">
        <f>'All regions'!I4558+"$F;@!(Bn"</f>
        <v>#VALUE!</v>
      </c>
      <c r="H165" t="e">
        <f>'All regions'!A4559+"$F;@!(Bo"</f>
        <v>#VALUE!</v>
      </c>
      <c r="I165" t="e">
        <f>'All regions'!B4559+"$F;@!(Bp"</f>
        <v>#VALUE!</v>
      </c>
      <c r="J165" t="e">
        <f>'All regions'!C4559+"$F;@!(Bq"</f>
        <v>#VALUE!</v>
      </c>
      <c r="K165" t="e">
        <f>'All regions'!D4559+"$F;@!(Br"</f>
        <v>#VALUE!</v>
      </c>
      <c r="L165" t="e">
        <f>'All regions'!E4559+"$F;@!(Bs"</f>
        <v>#VALUE!</v>
      </c>
      <c r="M165" t="e">
        <f>'All regions'!F4559+"$F;@!(Bt"</f>
        <v>#VALUE!</v>
      </c>
      <c r="N165" t="e">
        <f>'All regions'!G4559+"$F;@!(Bu"</f>
        <v>#VALUE!</v>
      </c>
      <c r="O165" t="e">
        <f>'All regions'!H4559+"$F;@!(Bv"</f>
        <v>#VALUE!</v>
      </c>
      <c r="P165" t="e">
        <f>'All regions'!I4559+"$F;@!(Bw"</f>
        <v>#VALUE!</v>
      </c>
      <c r="Q165" t="e">
        <f>'All regions'!A4560+"$F;@!(Bx"</f>
        <v>#VALUE!</v>
      </c>
      <c r="R165" t="e">
        <f>'All regions'!B4560+"$F;@!(By"</f>
        <v>#VALUE!</v>
      </c>
      <c r="S165" t="e">
        <f>'All regions'!C4560+"$F;@!(Bz"</f>
        <v>#VALUE!</v>
      </c>
      <c r="T165" t="e">
        <f>'All regions'!D4560+"$F;@!(B{"</f>
        <v>#VALUE!</v>
      </c>
      <c r="U165" t="e">
        <f>'All regions'!E4560+"$F;@!(B|"</f>
        <v>#VALUE!</v>
      </c>
      <c r="V165" t="e">
        <f>'All regions'!F4560+"$F;@!(B}"</f>
        <v>#VALUE!</v>
      </c>
      <c r="W165" t="e">
        <f>'All regions'!G4560+"$F;@!(B~"</f>
        <v>#VALUE!</v>
      </c>
      <c r="X165" t="e">
        <f>'All regions'!H4560+"$F;@!(C#"</f>
        <v>#VALUE!</v>
      </c>
      <c r="Y165" t="e">
        <f>'All regions'!I4560+"$F;@!(C$"</f>
        <v>#VALUE!</v>
      </c>
      <c r="Z165" t="e">
        <f>'All regions'!A4561+"$F;@!(C%"</f>
        <v>#VALUE!</v>
      </c>
      <c r="AA165" t="e">
        <f>'All regions'!B4561+"$F;@!(C&amp;"</f>
        <v>#VALUE!</v>
      </c>
      <c r="AB165" t="e">
        <f>'All regions'!C4561+"$F;@!(C'"</f>
        <v>#VALUE!</v>
      </c>
      <c r="AC165" t="e">
        <f>'All regions'!D4561+"$F;@!(C("</f>
        <v>#VALUE!</v>
      </c>
      <c r="AD165" t="e">
        <f>'All regions'!E4561+"$F;@!(C)"</f>
        <v>#VALUE!</v>
      </c>
      <c r="AE165" t="e">
        <f>'All regions'!F4561+"$F;@!(C."</f>
        <v>#VALUE!</v>
      </c>
      <c r="AF165" t="e">
        <f>'All regions'!G4561+"$F;@!(C/"</f>
        <v>#VALUE!</v>
      </c>
      <c r="AG165" t="e">
        <f>'All regions'!H4561+"$F;@!(C0"</f>
        <v>#VALUE!</v>
      </c>
      <c r="AH165" t="e">
        <f>'All regions'!I4561+"$F;@!(C1"</f>
        <v>#VALUE!</v>
      </c>
      <c r="AI165" t="e">
        <f>'All regions'!A4562+"$F;@!(C2"</f>
        <v>#VALUE!</v>
      </c>
      <c r="AJ165" t="e">
        <f>'All regions'!B4562+"$F;@!(C3"</f>
        <v>#VALUE!</v>
      </c>
      <c r="AK165" t="e">
        <f>'All regions'!C4562+"$F;@!(C4"</f>
        <v>#VALUE!</v>
      </c>
      <c r="AL165" t="e">
        <f>'All regions'!D4562+"$F;@!(C5"</f>
        <v>#VALUE!</v>
      </c>
      <c r="AM165" t="e">
        <f>'All regions'!E4562+"$F;@!(C6"</f>
        <v>#VALUE!</v>
      </c>
      <c r="AN165" t="e">
        <f>'All regions'!F4562+"$F;@!(C7"</f>
        <v>#VALUE!</v>
      </c>
      <c r="AO165" t="e">
        <f>'All regions'!G4562+"$F;@!(C8"</f>
        <v>#VALUE!</v>
      </c>
      <c r="AP165" t="e">
        <f>'All regions'!H4562+"$F;@!(C9"</f>
        <v>#VALUE!</v>
      </c>
      <c r="AQ165" t="e">
        <f>'All regions'!I4562+"$F;@!(C:"</f>
        <v>#VALUE!</v>
      </c>
      <c r="AR165" t="e">
        <f>'All regions'!A4563+"$F;@!(C;"</f>
        <v>#VALUE!</v>
      </c>
      <c r="AS165" t="e">
        <f>'All regions'!B4563+"$F;@!(C&lt;"</f>
        <v>#VALUE!</v>
      </c>
      <c r="AT165" t="e">
        <f>'All regions'!C4563+"$F;@!(C="</f>
        <v>#VALUE!</v>
      </c>
      <c r="AU165" t="e">
        <f>'All regions'!D4563+"$F;@!(C&gt;"</f>
        <v>#VALUE!</v>
      </c>
      <c r="AV165" t="e">
        <f>'All regions'!E4563+"$F;@!(C?"</f>
        <v>#VALUE!</v>
      </c>
      <c r="AW165" t="e">
        <f>'All regions'!F4563+"$F;@!(C@"</f>
        <v>#VALUE!</v>
      </c>
      <c r="AX165" t="e">
        <f>'All regions'!G4563+"$F;@!(CA"</f>
        <v>#VALUE!</v>
      </c>
      <c r="AY165" t="e">
        <f>'All regions'!H4563+"$F;@!(CB"</f>
        <v>#VALUE!</v>
      </c>
      <c r="AZ165" t="e">
        <f>'All regions'!I4563+"$F;@!(CC"</f>
        <v>#VALUE!</v>
      </c>
      <c r="BA165" t="e">
        <f>'All regions'!A4564+"$F;@!(CD"</f>
        <v>#VALUE!</v>
      </c>
      <c r="BB165" t="e">
        <f>'All regions'!B4564+"$F;@!(CE"</f>
        <v>#VALUE!</v>
      </c>
      <c r="BC165" t="e">
        <f>'All regions'!C4564+"$F;@!(CF"</f>
        <v>#VALUE!</v>
      </c>
      <c r="BD165" t="e">
        <f>'All regions'!D4564+"$F;@!(CG"</f>
        <v>#VALUE!</v>
      </c>
      <c r="BE165" t="e">
        <f>'All regions'!E4564+"$F;@!(CH"</f>
        <v>#VALUE!</v>
      </c>
      <c r="BF165" t="e">
        <f>'All regions'!F4564+"$F;@!(CI"</f>
        <v>#VALUE!</v>
      </c>
      <c r="BG165" t="e">
        <f>'All regions'!G4564+"$F;@!(CJ"</f>
        <v>#VALUE!</v>
      </c>
      <c r="BH165" t="e">
        <f>'All regions'!H4564+"$F;@!(CK"</f>
        <v>#VALUE!</v>
      </c>
      <c r="BI165" t="e">
        <f>'All regions'!I4564+"$F;@!(CL"</f>
        <v>#VALUE!</v>
      </c>
      <c r="BJ165" t="e">
        <f>'All regions'!A4565+"$F;@!(CM"</f>
        <v>#VALUE!</v>
      </c>
      <c r="BK165" t="e">
        <f>'All regions'!B4565+"$F;@!(CN"</f>
        <v>#VALUE!</v>
      </c>
      <c r="BL165" t="e">
        <f>'All regions'!C4565+"$F;@!(CO"</f>
        <v>#VALUE!</v>
      </c>
      <c r="BM165" t="e">
        <f>'All regions'!D4565+"$F;@!(CP"</f>
        <v>#VALUE!</v>
      </c>
      <c r="BN165" t="e">
        <f>'All regions'!E4565+"$F;@!(CQ"</f>
        <v>#VALUE!</v>
      </c>
      <c r="BO165" t="e">
        <f>'All regions'!F4565+"$F;@!(CR"</f>
        <v>#VALUE!</v>
      </c>
      <c r="BP165" t="e">
        <f>'All regions'!G4565+"$F;@!(CS"</f>
        <v>#VALUE!</v>
      </c>
      <c r="BQ165" t="e">
        <f>'All regions'!H4565+"$F;@!(CT"</f>
        <v>#VALUE!</v>
      </c>
      <c r="BR165" t="e">
        <f>'All regions'!I4565+"$F;@!(CU"</f>
        <v>#VALUE!</v>
      </c>
      <c r="BS165" t="e">
        <f>'All regions'!A4566+"$F;@!(CV"</f>
        <v>#VALUE!</v>
      </c>
      <c r="BT165" t="e">
        <f>'All regions'!B4566+"$F;@!(CW"</f>
        <v>#VALUE!</v>
      </c>
      <c r="BU165" t="e">
        <f>'All regions'!C4566+"$F;@!(CX"</f>
        <v>#VALUE!</v>
      </c>
      <c r="BV165" t="e">
        <f>'All regions'!D4566+"$F;@!(CY"</f>
        <v>#VALUE!</v>
      </c>
      <c r="BW165" t="e">
        <f>'All regions'!E4566+"$F;@!(CZ"</f>
        <v>#VALUE!</v>
      </c>
      <c r="BX165" t="e">
        <f>'All regions'!F4566+"$F;@!(C["</f>
        <v>#VALUE!</v>
      </c>
      <c r="BY165" t="e">
        <f>'All regions'!G4566+"$F;@!(C\"</f>
        <v>#VALUE!</v>
      </c>
      <c r="BZ165" t="e">
        <f>'All regions'!H4566+"$F;@!(C]"</f>
        <v>#VALUE!</v>
      </c>
      <c r="CA165" t="e">
        <f>'All regions'!I4566+"$F;@!(C^"</f>
        <v>#VALUE!</v>
      </c>
      <c r="CB165" t="e">
        <f>'All regions'!A4567+"$F;@!(C_"</f>
        <v>#VALUE!</v>
      </c>
      <c r="CC165" t="e">
        <f>'All regions'!B4567+"$F;@!(C`"</f>
        <v>#VALUE!</v>
      </c>
      <c r="CD165" t="e">
        <f>'All regions'!C4567+"$F;@!(Ca"</f>
        <v>#VALUE!</v>
      </c>
      <c r="CE165" t="e">
        <f>'All regions'!D4567+"$F;@!(Cb"</f>
        <v>#VALUE!</v>
      </c>
      <c r="CF165" t="e">
        <f>'All regions'!E4567+"$F;@!(Cc"</f>
        <v>#VALUE!</v>
      </c>
      <c r="CG165" t="e">
        <f>'All regions'!F4567+"$F;@!(Cd"</f>
        <v>#VALUE!</v>
      </c>
      <c r="CH165" t="e">
        <f>'All regions'!G4567+"$F;@!(Ce"</f>
        <v>#VALUE!</v>
      </c>
      <c r="CI165" t="e">
        <f>'All regions'!H4567+"$F;@!(Cf"</f>
        <v>#VALUE!</v>
      </c>
      <c r="CJ165" t="e">
        <f>'All regions'!I4567+"$F;@!(Cg"</f>
        <v>#VALUE!</v>
      </c>
      <c r="CK165" t="e">
        <f>'All regions'!A4568+"$F;@!(Ch"</f>
        <v>#VALUE!</v>
      </c>
      <c r="CL165" t="e">
        <f>'All regions'!B4568+"$F;@!(Ci"</f>
        <v>#VALUE!</v>
      </c>
      <c r="CM165" t="e">
        <f>'All regions'!C4568+"$F;@!(Cj"</f>
        <v>#VALUE!</v>
      </c>
      <c r="CN165" t="e">
        <f>'All regions'!D4568+"$F;@!(Ck"</f>
        <v>#VALUE!</v>
      </c>
      <c r="CO165" t="e">
        <f>'All regions'!E4568+"$F;@!(Cl"</f>
        <v>#VALUE!</v>
      </c>
      <c r="CP165" t="e">
        <f>'All regions'!F4568+"$F;@!(Cm"</f>
        <v>#VALUE!</v>
      </c>
      <c r="CQ165" t="e">
        <f>'All regions'!G4568+"$F;@!(Cn"</f>
        <v>#VALUE!</v>
      </c>
      <c r="CR165" t="e">
        <f>'All regions'!H4568+"$F;@!(Co"</f>
        <v>#VALUE!</v>
      </c>
      <c r="CS165" t="e">
        <f>'All regions'!I4568+"$F;@!(Cp"</f>
        <v>#VALUE!</v>
      </c>
      <c r="CT165" t="e">
        <f>'All regions'!A4569+"$F;@!(Cq"</f>
        <v>#VALUE!</v>
      </c>
      <c r="CU165" t="e">
        <f>'All regions'!B4569+"$F;@!(Cr"</f>
        <v>#VALUE!</v>
      </c>
      <c r="CV165" t="e">
        <f>'All regions'!C4569+"$F;@!(Cs"</f>
        <v>#VALUE!</v>
      </c>
      <c r="CW165" t="e">
        <f>'All regions'!D4569+"$F;@!(Ct"</f>
        <v>#VALUE!</v>
      </c>
      <c r="CX165" t="e">
        <f>'All regions'!E4569+"$F;@!(Cu"</f>
        <v>#VALUE!</v>
      </c>
      <c r="CY165" t="e">
        <f>'All regions'!F4569+"$F;@!(Cv"</f>
        <v>#VALUE!</v>
      </c>
      <c r="CZ165" t="e">
        <f>'All regions'!G4569+"$F;@!(Cw"</f>
        <v>#VALUE!</v>
      </c>
      <c r="DA165" t="e">
        <f>'All regions'!H4569+"$F;@!(Cx"</f>
        <v>#VALUE!</v>
      </c>
      <c r="DB165" t="e">
        <f>'All regions'!I4569+"$F;@!(Cy"</f>
        <v>#VALUE!</v>
      </c>
      <c r="DC165" t="e">
        <f>'All regions'!A4570+"$F;@!(Cz"</f>
        <v>#VALUE!</v>
      </c>
      <c r="DD165" t="e">
        <f>'All regions'!B4570+"$F;@!(C{"</f>
        <v>#VALUE!</v>
      </c>
      <c r="DE165" t="e">
        <f>'All regions'!C4570+"$F;@!(C|"</f>
        <v>#VALUE!</v>
      </c>
      <c r="DF165" t="e">
        <f>'All regions'!D4570+"$F;@!(C}"</f>
        <v>#VALUE!</v>
      </c>
      <c r="DG165" t="e">
        <f>'All regions'!E4570+"$F;@!(C~"</f>
        <v>#VALUE!</v>
      </c>
      <c r="DH165" t="e">
        <f>'All regions'!F4570+"$F;@!(D#"</f>
        <v>#VALUE!</v>
      </c>
      <c r="DI165" t="e">
        <f>'All regions'!G4570+"$F;@!(D$"</f>
        <v>#VALUE!</v>
      </c>
      <c r="DJ165" t="e">
        <f>'All regions'!H4570+"$F;@!(D%"</f>
        <v>#VALUE!</v>
      </c>
      <c r="DK165" t="e">
        <f>'All regions'!I4570+"$F;@!(D&amp;"</f>
        <v>#VALUE!</v>
      </c>
      <c r="DL165" t="e">
        <f>'All regions'!A4571+"$F;@!(D'"</f>
        <v>#VALUE!</v>
      </c>
      <c r="DM165" t="e">
        <f>'All regions'!B4571+"$F;@!(D("</f>
        <v>#VALUE!</v>
      </c>
      <c r="DN165" t="e">
        <f>'All regions'!C4571+"$F;@!(D)"</f>
        <v>#VALUE!</v>
      </c>
      <c r="DO165" t="e">
        <f>'All regions'!D4571+"$F;@!(D."</f>
        <v>#VALUE!</v>
      </c>
      <c r="DP165" t="e">
        <f>'All regions'!E4571+"$F;@!(D/"</f>
        <v>#VALUE!</v>
      </c>
      <c r="DQ165" t="e">
        <f>'All regions'!F4571+"$F;@!(D0"</f>
        <v>#VALUE!</v>
      </c>
      <c r="DR165" t="e">
        <f>'All regions'!G4571+"$F;@!(D1"</f>
        <v>#VALUE!</v>
      </c>
      <c r="DS165" t="e">
        <f>'All regions'!H4571+"$F;@!(D2"</f>
        <v>#VALUE!</v>
      </c>
      <c r="DT165" t="e">
        <f>'All regions'!I4571+"$F;@!(D3"</f>
        <v>#VALUE!</v>
      </c>
      <c r="DU165" t="e">
        <f>'All regions'!A4572+"$F;@!(D4"</f>
        <v>#VALUE!</v>
      </c>
      <c r="DV165" t="e">
        <f>'All regions'!B4572+"$F;@!(D5"</f>
        <v>#VALUE!</v>
      </c>
      <c r="DW165" t="e">
        <f>'All regions'!C4572+"$F;@!(D6"</f>
        <v>#VALUE!</v>
      </c>
      <c r="DX165" t="e">
        <f>'All regions'!D4572+"$F;@!(D7"</f>
        <v>#VALUE!</v>
      </c>
      <c r="DY165" t="e">
        <f>'All regions'!E4572+"$F;@!(D8"</f>
        <v>#VALUE!</v>
      </c>
      <c r="DZ165" t="e">
        <f>'All regions'!F4572+"$F;@!(D9"</f>
        <v>#VALUE!</v>
      </c>
      <c r="EA165" t="e">
        <f>'All regions'!G4572+"$F;@!(D:"</f>
        <v>#VALUE!</v>
      </c>
      <c r="EB165" t="e">
        <f>'All regions'!H4572+"$F;@!(D;"</f>
        <v>#VALUE!</v>
      </c>
      <c r="EC165" t="e">
        <f>'All regions'!I4572+"$F;@!(D&lt;"</f>
        <v>#VALUE!</v>
      </c>
      <c r="ED165" t="e">
        <f>'All regions'!A4573+"$F;@!(D="</f>
        <v>#VALUE!</v>
      </c>
      <c r="EE165" t="e">
        <f>'All regions'!B4573+"$F;@!(D&gt;"</f>
        <v>#VALUE!</v>
      </c>
      <c r="EF165" t="e">
        <f>'All regions'!C4573+"$F;@!(D?"</f>
        <v>#VALUE!</v>
      </c>
      <c r="EG165" t="e">
        <f>'All regions'!D4573+"$F;@!(D@"</f>
        <v>#VALUE!</v>
      </c>
      <c r="EH165" t="e">
        <f>'All regions'!E4573+"$F;@!(DA"</f>
        <v>#VALUE!</v>
      </c>
      <c r="EI165" t="e">
        <f>'All regions'!F4573+"$F;@!(DB"</f>
        <v>#VALUE!</v>
      </c>
      <c r="EJ165" t="e">
        <f>'All regions'!G4573+"$F;@!(DC"</f>
        <v>#VALUE!</v>
      </c>
      <c r="EK165" t="e">
        <f>'All regions'!H4573+"$F;@!(DD"</f>
        <v>#VALUE!</v>
      </c>
      <c r="EL165" t="e">
        <f>'All regions'!I4573+"$F;@!(DE"</f>
        <v>#VALUE!</v>
      </c>
      <c r="EM165" t="e">
        <f>'All regions'!A4574+"$F;@!(DF"</f>
        <v>#VALUE!</v>
      </c>
      <c r="EN165" t="e">
        <f>'All regions'!B4574+"$F;@!(DG"</f>
        <v>#VALUE!</v>
      </c>
      <c r="EO165" t="e">
        <f>'All regions'!C4574+"$F;@!(DH"</f>
        <v>#VALUE!</v>
      </c>
      <c r="EP165" t="e">
        <f>'All regions'!D4574+"$F;@!(DI"</f>
        <v>#VALUE!</v>
      </c>
      <c r="EQ165" t="e">
        <f>'All regions'!E4574+"$F;@!(DJ"</f>
        <v>#VALUE!</v>
      </c>
      <c r="ER165" t="e">
        <f>'All regions'!F4574+"$F;@!(DK"</f>
        <v>#VALUE!</v>
      </c>
      <c r="ES165" t="e">
        <f>'All regions'!G4574+"$F;@!(DL"</f>
        <v>#VALUE!</v>
      </c>
      <c r="ET165" t="e">
        <f>'All regions'!H4574+"$F;@!(DM"</f>
        <v>#VALUE!</v>
      </c>
      <c r="EU165" t="e">
        <f>'All regions'!I4574+"$F;@!(DN"</f>
        <v>#VALUE!</v>
      </c>
      <c r="EV165" t="e">
        <f>'All regions'!A4575+"$F;@!(DO"</f>
        <v>#VALUE!</v>
      </c>
      <c r="EW165" t="e">
        <f>'All regions'!B4575+"$F;@!(DP"</f>
        <v>#VALUE!</v>
      </c>
      <c r="EX165" t="e">
        <f>'All regions'!C4575+"$F;@!(DQ"</f>
        <v>#VALUE!</v>
      </c>
      <c r="EY165" t="e">
        <f>'All regions'!D4575+"$F;@!(DR"</f>
        <v>#VALUE!</v>
      </c>
      <c r="EZ165" t="e">
        <f>'All regions'!E4575+"$F;@!(DS"</f>
        <v>#VALUE!</v>
      </c>
      <c r="FA165" t="e">
        <f>'All regions'!F4575+"$F;@!(DT"</f>
        <v>#VALUE!</v>
      </c>
      <c r="FB165" t="e">
        <f>'All regions'!G4575+"$F;@!(DU"</f>
        <v>#VALUE!</v>
      </c>
      <c r="FC165" t="e">
        <f>'All regions'!H4575+"$F;@!(DV"</f>
        <v>#VALUE!</v>
      </c>
      <c r="FD165" t="e">
        <f>'All regions'!I4575+"$F;@!(DW"</f>
        <v>#VALUE!</v>
      </c>
      <c r="FE165" t="e">
        <f>'All regions'!A4576+"$F;@!(DX"</f>
        <v>#VALUE!</v>
      </c>
      <c r="FF165" t="e">
        <f>'All regions'!B4576+"$F;@!(DY"</f>
        <v>#VALUE!</v>
      </c>
      <c r="FG165" t="e">
        <f>'All regions'!C4576+"$F;@!(DZ"</f>
        <v>#VALUE!</v>
      </c>
      <c r="FH165" t="e">
        <f>'All regions'!D4576+"$F;@!(D["</f>
        <v>#VALUE!</v>
      </c>
      <c r="FI165" t="e">
        <f>'All regions'!E4576+"$F;@!(D\"</f>
        <v>#VALUE!</v>
      </c>
      <c r="FJ165" t="e">
        <f>'All regions'!F4576+"$F;@!(D]"</f>
        <v>#VALUE!</v>
      </c>
      <c r="FK165" t="e">
        <f>'All regions'!G4576+"$F;@!(D^"</f>
        <v>#VALUE!</v>
      </c>
      <c r="FL165" t="e">
        <f>'All regions'!H4576+"$F;@!(D_"</f>
        <v>#VALUE!</v>
      </c>
      <c r="FM165" t="e">
        <f>'All regions'!I4576+"$F;@!(D`"</f>
        <v>#VALUE!</v>
      </c>
      <c r="FN165" t="e">
        <f>'All regions'!A4577+"$F;@!(Da"</f>
        <v>#VALUE!</v>
      </c>
      <c r="FO165" t="e">
        <f>'All regions'!B4577+"$F;@!(Db"</f>
        <v>#VALUE!</v>
      </c>
      <c r="FP165" t="e">
        <f>'All regions'!C4577+"$F;@!(Dc"</f>
        <v>#VALUE!</v>
      </c>
      <c r="FQ165" t="e">
        <f>'All regions'!D4577+"$F;@!(Dd"</f>
        <v>#VALUE!</v>
      </c>
      <c r="FR165" t="e">
        <f>'All regions'!E4577+"$F;@!(De"</f>
        <v>#VALUE!</v>
      </c>
      <c r="FS165" t="e">
        <f>'All regions'!F4577+"$F;@!(Df"</f>
        <v>#VALUE!</v>
      </c>
      <c r="FT165" t="e">
        <f>'All regions'!G4577+"$F;@!(Dg"</f>
        <v>#VALUE!</v>
      </c>
      <c r="FU165" t="e">
        <f>'All regions'!H4577+"$F;@!(Dh"</f>
        <v>#VALUE!</v>
      </c>
      <c r="FV165" t="e">
        <f>'All regions'!I4577+"$F;@!(Di"</f>
        <v>#VALUE!</v>
      </c>
      <c r="FW165" t="e">
        <f>'All regions'!A4578+"$F;@!(Dj"</f>
        <v>#VALUE!</v>
      </c>
      <c r="FX165" t="e">
        <f>'All regions'!B4578+"$F;@!(Dk"</f>
        <v>#VALUE!</v>
      </c>
      <c r="FY165" t="e">
        <f>'All regions'!C4578+"$F;@!(Dl"</f>
        <v>#VALUE!</v>
      </c>
      <c r="FZ165" t="e">
        <f>'All regions'!D4578+"$F;@!(Dm"</f>
        <v>#VALUE!</v>
      </c>
      <c r="GA165" t="e">
        <f>'All regions'!E4578+"$F;@!(Dn"</f>
        <v>#VALUE!</v>
      </c>
      <c r="GB165" t="e">
        <f>'All regions'!F4578+"$F;@!(Do"</f>
        <v>#VALUE!</v>
      </c>
      <c r="GC165" t="e">
        <f>'All regions'!G4578+"$F;@!(Dp"</f>
        <v>#VALUE!</v>
      </c>
      <c r="GD165" t="e">
        <f>'All regions'!H4578+"$F;@!(Dq"</f>
        <v>#VALUE!</v>
      </c>
      <c r="GE165" t="e">
        <f>'All regions'!I4578+"$F;@!(Dr"</f>
        <v>#VALUE!</v>
      </c>
      <c r="GF165" t="e">
        <f>'All regions'!A4579+"$F;@!(Ds"</f>
        <v>#VALUE!</v>
      </c>
      <c r="GG165" t="e">
        <f>'All regions'!B4579+"$F;@!(Dt"</f>
        <v>#VALUE!</v>
      </c>
      <c r="GH165" t="e">
        <f>'All regions'!C4579+"$F;@!(Du"</f>
        <v>#VALUE!</v>
      </c>
      <c r="GI165" t="e">
        <f>'All regions'!D4579+"$F;@!(Dv"</f>
        <v>#VALUE!</v>
      </c>
      <c r="GJ165" t="e">
        <f>'All regions'!E4579+"$F;@!(Dw"</f>
        <v>#VALUE!</v>
      </c>
      <c r="GK165" t="e">
        <f>'All regions'!F4579+"$F;@!(Dx"</f>
        <v>#VALUE!</v>
      </c>
      <c r="GL165" t="e">
        <f>'All regions'!G4579+"$F;@!(Dy"</f>
        <v>#VALUE!</v>
      </c>
      <c r="GM165" t="e">
        <f>'All regions'!H4579+"$F;@!(Dz"</f>
        <v>#VALUE!</v>
      </c>
      <c r="GN165" t="e">
        <f>'All regions'!I4579+"$F;@!(D{"</f>
        <v>#VALUE!</v>
      </c>
      <c r="GO165" t="e">
        <f>'All regions'!A4580+"$F;@!(D|"</f>
        <v>#VALUE!</v>
      </c>
      <c r="GP165" t="e">
        <f>'All regions'!B4580+"$F;@!(D}"</f>
        <v>#VALUE!</v>
      </c>
      <c r="GQ165" t="e">
        <f>'All regions'!C4580+"$F;@!(D~"</f>
        <v>#VALUE!</v>
      </c>
      <c r="GR165" t="e">
        <f>'All regions'!D4580+"$F;@!(E#"</f>
        <v>#VALUE!</v>
      </c>
      <c r="GS165" t="e">
        <f>'All regions'!E4580+"$F;@!(E$"</f>
        <v>#VALUE!</v>
      </c>
      <c r="GT165" t="e">
        <f>'All regions'!F4580+"$F;@!(E%"</f>
        <v>#VALUE!</v>
      </c>
      <c r="GU165" t="e">
        <f>'All regions'!G4580+"$F;@!(E&amp;"</f>
        <v>#VALUE!</v>
      </c>
      <c r="GV165" t="e">
        <f>'All regions'!H4580+"$F;@!(E'"</f>
        <v>#VALUE!</v>
      </c>
      <c r="GW165" t="e">
        <f>'All regions'!I4580+"$F;@!(E("</f>
        <v>#VALUE!</v>
      </c>
      <c r="GX165" t="e">
        <f>'All regions'!A4581+"$F;@!(E)"</f>
        <v>#VALUE!</v>
      </c>
      <c r="GY165" t="e">
        <f>'All regions'!B4581+"$F;@!(E."</f>
        <v>#VALUE!</v>
      </c>
      <c r="GZ165" t="e">
        <f>'All regions'!C4581+"$F;@!(E/"</f>
        <v>#VALUE!</v>
      </c>
      <c r="HA165" t="e">
        <f>'All regions'!D4581+"$F;@!(E0"</f>
        <v>#VALUE!</v>
      </c>
      <c r="HB165" t="e">
        <f>'All regions'!E4581+"$F;@!(E1"</f>
        <v>#VALUE!</v>
      </c>
      <c r="HC165" t="e">
        <f>'All regions'!F4581+"$F;@!(E2"</f>
        <v>#VALUE!</v>
      </c>
      <c r="HD165" t="e">
        <f>'All regions'!G4581+"$F;@!(E3"</f>
        <v>#VALUE!</v>
      </c>
      <c r="HE165" t="e">
        <f>'All regions'!H4581+"$F;@!(E4"</f>
        <v>#VALUE!</v>
      </c>
      <c r="HF165" t="e">
        <f>'All regions'!I4581+"$F;@!(E5"</f>
        <v>#VALUE!</v>
      </c>
      <c r="HG165" t="e">
        <f>'All regions'!A4582+"$F;@!(E6"</f>
        <v>#VALUE!</v>
      </c>
      <c r="HH165" t="e">
        <f>'All regions'!B4582+"$F;@!(E7"</f>
        <v>#VALUE!</v>
      </c>
      <c r="HI165" t="e">
        <f>'All regions'!C4582+"$F;@!(E8"</f>
        <v>#VALUE!</v>
      </c>
      <c r="HJ165" t="e">
        <f>'All regions'!D4582+"$F;@!(E9"</f>
        <v>#VALUE!</v>
      </c>
      <c r="HK165" t="e">
        <f>'All regions'!E4582+"$F;@!(E:"</f>
        <v>#VALUE!</v>
      </c>
      <c r="HL165" t="e">
        <f>'All regions'!F4582+"$F;@!(E;"</f>
        <v>#VALUE!</v>
      </c>
      <c r="HM165" t="e">
        <f>'All regions'!G4582+"$F;@!(E&lt;"</f>
        <v>#VALUE!</v>
      </c>
      <c r="HN165" t="e">
        <f>'All regions'!H4582+"$F;@!(E="</f>
        <v>#VALUE!</v>
      </c>
      <c r="HO165" t="e">
        <f>'All regions'!I4582+"$F;@!(E&gt;"</f>
        <v>#VALUE!</v>
      </c>
      <c r="HP165" t="e">
        <f>'All regions'!A4583+"$F;@!(E?"</f>
        <v>#VALUE!</v>
      </c>
      <c r="HQ165" t="e">
        <f>'All regions'!B4583+"$F;@!(E@"</f>
        <v>#VALUE!</v>
      </c>
      <c r="HR165" t="e">
        <f>'All regions'!C4583+"$F;@!(EA"</f>
        <v>#VALUE!</v>
      </c>
      <c r="HS165" t="e">
        <f>'All regions'!D4583+"$F;@!(EB"</f>
        <v>#VALUE!</v>
      </c>
      <c r="HT165" t="e">
        <f>'All regions'!E4583+"$F;@!(EC"</f>
        <v>#VALUE!</v>
      </c>
      <c r="HU165" t="e">
        <f>'All regions'!F4583+"$F;@!(ED"</f>
        <v>#VALUE!</v>
      </c>
      <c r="HV165" t="e">
        <f>'All regions'!G4583+"$F;@!(EE"</f>
        <v>#VALUE!</v>
      </c>
      <c r="HW165" t="e">
        <f>'All regions'!H4583+"$F;@!(EF"</f>
        <v>#VALUE!</v>
      </c>
      <c r="HX165" t="e">
        <f>'All regions'!I4583+"$F;@!(EG"</f>
        <v>#VALUE!</v>
      </c>
      <c r="HY165" t="e">
        <f>'All regions'!A4584+"$F;@!(EH"</f>
        <v>#VALUE!</v>
      </c>
      <c r="HZ165" t="e">
        <f>'All regions'!B4584+"$F;@!(EI"</f>
        <v>#VALUE!</v>
      </c>
      <c r="IA165" t="e">
        <f>'All regions'!C4584+"$F;@!(EJ"</f>
        <v>#VALUE!</v>
      </c>
      <c r="IB165" t="e">
        <f>'All regions'!D4584+"$F;@!(EK"</f>
        <v>#VALUE!</v>
      </c>
      <c r="IC165" t="e">
        <f>'All regions'!E4584+"$F;@!(EL"</f>
        <v>#VALUE!</v>
      </c>
      <c r="ID165" t="e">
        <f>'All regions'!F4584+"$F;@!(EM"</f>
        <v>#VALUE!</v>
      </c>
      <c r="IE165" t="e">
        <f>'All regions'!G4584+"$F;@!(EN"</f>
        <v>#VALUE!</v>
      </c>
      <c r="IF165" t="e">
        <f>'All regions'!H4584+"$F;@!(EO"</f>
        <v>#VALUE!</v>
      </c>
      <c r="IG165" t="e">
        <f>'All regions'!I4584+"$F;@!(EP"</f>
        <v>#VALUE!</v>
      </c>
      <c r="IH165" t="e">
        <f>'All regions'!A4585+"$F;@!(EQ"</f>
        <v>#VALUE!</v>
      </c>
      <c r="II165" t="e">
        <f>'All regions'!B4585+"$F;@!(ER"</f>
        <v>#VALUE!</v>
      </c>
      <c r="IJ165" t="e">
        <f>'All regions'!C4585+"$F;@!(ES"</f>
        <v>#VALUE!</v>
      </c>
      <c r="IK165" t="e">
        <f>'All regions'!D4585+"$F;@!(ET"</f>
        <v>#VALUE!</v>
      </c>
      <c r="IL165" t="e">
        <f>'All regions'!E4585+"$F;@!(EU"</f>
        <v>#VALUE!</v>
      </c>
      <c r="IM165" t="e">
        <f>'All regions'!F4585+"$F;@!(EV"</f>
        <v>#VALUE!</v>
      </c>
      <c r="IN165" t="e">
        <f>'All regions'!G4585+"$F;@!(EW"</f>
        <v>#VALUE!</v>
      </c>
      <c r="IO165" t="e">
        <f>'All regions'!H4585+"$F;@!(EX"</f>
        <v>#VALUE!</v>
      </c>
      <c r="IP165" t="e">
        <f>'All regions'!I4585+"$F;@!(EY"</f>
        <v>#VALUE!</v>
      </c>
      <c r="IQ165" t="e">
        <f>'All regions'!A4586+"$F;@!(EZ"</f>
        <v>#VALUE!</v>
      </c>
      <c r="IR165" t="e">
        <f>'All regions'!B4586+"$F;@!(E["</f>
        <v>#VALUE!</v>
      </c>
      <c r="IS165" t="e">
        <f>'All regions'!C4586+"$F;@!(E\"</f>
        <v>#VALUE!</v>
      </c>
      <c r="IT165" t="e">
        <f>'All regions'!D4586+"$F;@!(E]"</f>
        <v>#VALUE!</v>
      </c>
      <c r="IU165" t="e">
        <f>'All regions'!E4586+"$F;@!(E^"</f>
        <v>#VALUE!</v>
      </c>
      <c r="IV165" t="e">
        <f>'All regions'!F4586+"$F;@!(E_"</f>
        <v>#VALUE!</v>
      </c>
    </row>
    <row r="166" spans="6:256" x14ac:dyDescent="0.35">
      <c r="F166" t="e">
        <f>'All regions'!G4586+"$F;@!(E`"</f>
        <v>#VALUE!</v>
      </c>
      <c r="G166" t="e">
        <f>'All regions'!H4586+"$F;@!(Ea"</f>
        <v>#VALUE!</v>
      </c>
      <c r="H166" t="e">
        <f>'All regions'!I4586+"$F;@!(Eb"</f>
        <v>#VALUE!</v>
      </c>
      <c r="I166" t="e">
        <f>'All regions'!A4587+"$F;@!(Ec"</f>
        <v>#VALUE!</v>
      </c>
      <c r="J166" t="e">
        <f>'All regions'!B4587+"$F;@!(Ed"</f>
        <v>#VALUE!</v>
      </c>
      <c r="K166" t="e">
        <f>'All regions'!C4587+"$F;@!(Ee"</f>
        <v>#VALUE!</v>
      </c>
      <c r="L166" t="e">
        <f>'All regions'!D4587+"$F;@!(Ef"</f>
        <v>#VALUE!</v>
      </c>
      <c r="M166" t="e">
        <f>'All regions'!E4587+"$F;@!(Eg"</f>
        <v>#VALUE!</v>
      </c>
      <c r="N166" t="e">
        <f>'All regions'!F4587+"$F;@!(Eh"</f>
        <v>#VALUE!</v>
      </c>
      <c r="O166" t="e">
        <f>'All regions'!G4587+"$F;@!(Ei"</f>
        <v>#VALUE!</v>
      </c>
      <c r="P166" t="e">
        <f>'All regions'!H4587+"$F;@!(Ej"</f>
        <v>#VALUE!</v>
      </c>
      <c r="Q166" t="e">
        <f>'All regions'!I4587+"$F;@!(Ek"</f>
        <v>#VALUE!</v>
      </c>
      <c r="R166" t="e">
        <f>'All regions'!A4588+"$F;@!(El"</f>
        <v>#VALUE!</v>
      </c>
      <c r="S166" t="e">
        <f>'All regions'!B4588+"$F;@!(Em"</f>
        <v>#VALUE!</v>
      </c>
      <c r="T166" t="e">
        <f>'All regions'!C4588+"$F;@!(En"</f>
        <v>#VALUE!</v>
      </c>
      <c r="U166" t="e">
        <f>'All regions'!D4588+"$F;@!(Eo"</f>
        <v>#VALUE!</v>
      </c>
      <c r="V166" t="e">
        <f>'All regions'!E4588+"$F;@!(Ep"</f>
        <v>#VALUE!</v>
      </c>
      <c r="W166" t="e">
        <f>'All regions'!F4588+"$F;@!(Eq"</f>
        <v>#VALUE!</v>
      </c>
      <c r="X166" t="e">
        <f>'All regions'!G4588+"$F;@!(Er"</f>
        <v>#VALUE!</v>
      </c>
      <c r="Y166" t="e">
        <f>'All regions'!H4588+"$F;@!(Es"</f>
        <v>#VALUE!</v>
      </c>
      <c r="Z166" t="e">
        <f>'All regions'!I4588+"$F;@!(Et"</f>
        <v>#VALUE!</v>
      </c>
      <c r="AA166" t="e">
        <f>'All regions'!A4589+"$F;@!(Eu"</f>
        <v>#VALUE!</v>
      </c>
      <c r="AB166" t="e">
        <f>'All regions'!B4589+"$F;@!(Ev"</f>
        <v>#VALUE!</v>
      </c>
      <c r="AC166" t="e">
        <f>'All regions'!C4589+"$F;@!(Ew"</f>
        <v>#VALUE!</v>
      </c>
      <c r="AD166" t="e">
        <f>'All regions'!D4589+"$F;@!(Ex"</f>
        <v>#VALUE!</v>
      </c>
      <c r="AE166" t="e">
        <f>'All regions'!E4589+"$F;@!(Ey"</f>
        <v>#VALUE!</v>
      </c>
      <c r="AF166" t="e">
        <f>'All regions'!F4589+"$F;@!(Ez"</f>
        <v>#VALUE!</v>
      </c>
      <c r="AG166" t="e">
        <f>'All regions'!G4589+"$F;@!(E{"</f>
        <v>#VALUE!</v>
      </c>
      <c r="AH166" t="e">
        <f>'All regions'!H4589+"$F;@!(E|"</f>
        <v>#VALUE!</v>
      </c>
      <c r="AI166" t="e">
        <f>'All regions'!I4589+"$F;@!(E}"</f>
        <v>#VALUE!</v>
      </c>
      <c r="AJ166" t="e">
        <f>'All regions'!A4590+"$F;@!(E~"</f>
        <v>#VALUE!</v>
      </c>
      <c r="AK166" t="e">
        <f>'All regions'!B4590+"$F;@!(F#"</f>
        <v>#VALUE!</v>
      </c>
      <c r="AL166" t="e">
        <f>'All regions'!C4590+"$F;@!(F$"</f>
        <v>#VALUE!</v>
      </c>
      <c r="AM166" t="e">
        <f>'All regions'!D4590+"$F;@!(F%"</f>
        <v>#VALUE!</v>
      </c>
      <c r="AN166" t="e">
        <f>'All regions'!E4590+"$F;@!(F&amp;"</f>
        <v>#VALUE!</v>
      </c>
      <c r="AO166" t="e">
        <f>'All regions'!F4590+"$F;@!(F'"</f>
        <v>#VALUE!</v>
      </c>
      <c r="AP166" t="e">
        <f>'All regions'!G4590+"$F;@!(F("</f>
        <v>#VALUE!</v>
      </c>
      <c r="AQ166" t="e">
        <f>'All regions'!H4590+"$F;@!(F)"</f>
        <v>#VALUE!</v>
      </c>
      <c r="AR166" t="e">
        <f>'All regions'!I4590+"$F;@!(F."</f>
        <v>#VALUE!</v>
      </c>
      <c r="AS166" t="e">
        <f>'All regions'!A4591+"$F;@!(F/"</f>
        <v>#VALUE!</v>
      </c>
      <c r="AT166" t="e">
        <f>'All regions'!B4591+"$F;@!(F0"</f>
        <v>#VALUE!</v>
      </c>
      <c r="AU166" t="e">
        <f>'All regions'!C4591+"$F;@!(F1"</f>
        <v>#VALUE!</v>
      </c>
      <c r="AV166" t="e">
        <f>'All regions'!D4591+"$F;@!(F2"</f>
        <v>#VALUE!</v>
      </c>
      <c r="AW166" t="e">
        <f>'All regions'!E4591+"$F;@!(F3"</f>
        <v>#VALUE!</v>
      </c>
      <c r="AX166" t="e">
        <f>'All regions'!F4591+"$F;@!(F4"</f>
        <v>#VALUE!</v>
      </c>
      <c r="AY166" t="e">
        <f>'All regions'!G4591+"$F;@!(F5"</f>
        <v>#VALUE!</v>
      </c>
      <c r="AZ166" t="e">
        <f>'All regions'!H4591+"$F;@!(F6"</f>
        <v>#VALUE!</v>
      </c>
      <c r="BA166" t="e">
        <f>'All regions'!I4591+"$F;@!(F7"</f>
        <v>#VALUE!</v>
      </c>
      <c r="BB166" t="e">
        <f>'All regions'!A4592+"$F;@!(F8"</f>
        <v>#VALUE!</v>
      </c>
      <c r="BC166" t="e">
        <f>'All regions'!B4592+"$F;@!(F9"</f>
        <v>#VALUE!</v>
      </c>
      <c r="BD166" t="e">
        <f>'All regions'!C4592+"$F;@!(F:"</f>
        <v>#VALUE!</v>
      </c>
      <c r="BE166" t="e">
        <f>'All regions'!D4592+"$F;@!(F;"</f>
        <v>#VALUE!</v>
      </c>
      <c r="BF166" t="e">
        <f>'All regions'!E4592+"$F;@!(F&lt;"</f>
        <v>#VALUE!</v>
      </c>
      <c r="BG166" t="e">
        <f>'All regions'!F4592+"$F;@!(F="</f>
        <v>#VALUE!</v>
      </c>
      <c r="BH166" t="e">
        <f>'All regions'!G4592+"$F;@!(F&gt;"</f>
        <v>#VALUE!</v>
      </c>
      <c r="BI166" t="e">
        <f>'All regions'!H4592+"$F;@!(F?"</f>
        <v>#VALUE!</v>
      </c>
      <c r="BJ166" t="e">
        <f>'All regions'!I4592+"$F;@!(F@"</f>
        <v>#VALUE!</v>
      </c>
      <c r="BK166" t="e">
        <f>'All regions'!A4593+"$F;@!(FA"</f>
        <v>#VALUE!</v>
      </c>
      <c r="BL166" t="e">
        <f>'All regions'!B4593+"$F;@!(FB"</f>
        <v>#VALUE!</v>
      </c>
      <c r="BM166" t="e">
        <f>'All regions'!C4593+"$F;@!(FC"</f>
        <v>#VALUE!</v>
      </c>
      <c r="BN166" t="e">
        <f>'All regions'!D4593+"$F;@!(FD"</f>
        <v>#VALUE!</v>
      </c>
      <c r="BO166" t="e">
        <f>'All regions'!E4593+"$F;@!(FE"</f>
        <v>#VALUE!</v>
      </c>
      <c r="BP166" t="e">
        <f>'All regions'!F4593+"$F;@!(FF"</f>
        <v>#VALUE!</v>
      </c>
      <c r="BQ166" t="e">
        <f>'All regions'!G4593+"$F;@!(FG"</f>
        <v>#VALUE!</v>
      </c>
      <c r="BR166" t="e">
        <f>'All regions'!H4593+"$F;@!(FH"</f>
        <v>#VALUE!</v>
      </c>
      <c r="BS166" t="e">
        <f>'All regions'!I4593+"$F;@!(FI"</f>
        <v>#VALUE!</v>
      </c>
      <c r="BT166" t="e">
        <f>'All regions'!A4594+"$F;@!(FJ"</f>
        <v>#VALUE!</v>
      </c>
      <c r="BU166" t="e">
        <f>'All regions'!B4594+"$F;@!(FK"</f>
        <v>#VALUE!</v>
      </c>
      <c r="BV166" t="e">
        <f>'All regions'!C4594+"$F;@!(FL"</f>
        <v>#VALUE!</v>
      </c>
      <c r="BW166" t="e">
        <f>'All regions'!D4594+"$F;@!(FM"</f>
        <v>#VALUE!</v>
      </c>
      <c r="BX166" t="e">
        <f>'All regions'!E4594+"$F;@!(FN"</f>
        <v>#VALUE!</v>
      </c>
      <c r="BY166" t="e">
        <f>'All regions'!F4594+"$F;@!(FO"</f>
        <v>#VALUE!</v>
      </c>
      <c r="BZ166" t="e">
        <f>'All regions'!G4594+"$F;@!(FP"</f>
        <v>#VALUE!</v>
      </c>
      <c r="CA166" t="e">
        <f>'All regions'!H4594+"$F;@!(FQ"</f>
        <v>#VALUE!</v>
      </c>
      <c r="CB166" t="e">
        <f>'All regions'!I4594+"$F;@!(FR"</f>
        <v>#VALUE!</v>
      </c>
      <c r="CC166" t="e">
        <f>'All regions'!A4595+"$F;@!(FS"</f>
        <v>#VALUE!</v>
      </c>
      <c r="CD166" t="e">
        <f>'All regions'!B4595+"$F;@!(FT"</f>
        <v>#VALUE!</v>
      </c>
      <c r="CE166" t="e">
        <f>'All regions'!C4595+"$F;@!(FU"</f>
        <v>#VALUE!</v>
      </c>
      <c r="CF166" t="e">
        <f>'All regions'!D4595+"$F;@!(FV"</f>
        <v>#VALUE!</v>
      </c>
      <c r="CG166" t="e">
        <f>'All regions'!E4595+"$F;@!(FW"</f>
        <v>#VALUE!</v>
      </c>
      <c r="CH166" t="e">
        <f>'All regions'!F4595+"$F;@!(FX"</f>
        <v>#VALUE!</v>
      </c>
      <c r="CI166" t="e">
        <f>'All regions'!G4595+"$F;@!(FY"</f>
        <v>#VALUE!</v>
      </c>
      <c r="CJ166" t="e">
        <f>'All regions'!H4595+"$F;@!(FZ"</f>
        <v>#VALUE!</v>
      </c>
      <c r="CK166" t="e">
        <f>'All regions'!I4595+"$F;@!(F["</f>
        <v>#VALUE!</v>
      </c>
      <c r="CL166" t="e">
        <f>'All regions'!A4596+"$F;@!(F\"</f>
        <v>#VALUE!</v>
      </c>
      <c r="CM166" t="e">
        <f>'All regions'!B4596+"$F;@!(F]"</f>
        <v>#VALUE!</v>
      </c>
      <c r="CN166" t="e">
        <f>'All regions'!C4596+"$F;@!(F^"</f>
        <v>#VALUE!</v>
      </c>
      <c r="CO166" t="e">
        <f>'All regions'!D4596+"$F;@!(F_"</f>
        <v>#VALUE!</v>
      </c>
      <c r="CP166" t="e">
        <f>'All regions'!E4596+"$F;@!(F`"</f>
        <v>#VALUE!</v>
      </c>
      <c r="CQ166" t="e">
        <f>'All regions'!F4596+"$F;@!(Fa"</f>
        <v>#VALUE!</v>
      </c>
      <c r="CR166" t="e">
        <f>'All regions'!G4596+"$F;@!(Fb"</f>
        <v>#VALUE!</v>
      </c>
      <c r="CS166" t="e">
        <f>'All regions'!H4596+"$F;@!(Fc"</f>
        <v>#VALUE!</v>
      </c>
      <c r="CT166" t="e">
        <f>'All regions'!I4596+"$F;@!(Fd"</f>
        <v>#VALUE!</v>
      </c>
      <c r="CU166" t="e">
        <f>'All regions'!A4597+"$F;@!(Fe"</f>
        <v>#VALUE!</v>
      </c>
      <c r="CV166" t="e">
        <f>'All regions'!B4597+"$F;@!(Ff"</f>
        <v>#VALUE!</v>
      </c>
      <c r="CW166" t="e">
        <f>'All regions'!C4597+"$F;@!(Fg"</f>
        <v>#VALUE!</v>
      </c>
      <c r="CX166" t="e">
        <f>'All regions'!D4597+"$F;@!(Fh"</f>
        <v>#VALUE!</v>
      </c>
      <c r="CY166" t="e">
        <f>'All regions'!E4597+"$F;@!(Fi"</f>
        <v>#VALUE!</v>
      </c>
      <c r="CZ166" t="e">
        <f>'All regions'!F4597+"$F;@!(Fj"</f>
        <v>#VALUE!</v>
      </c>
      <c r="DA166" t="e">
        <f>'All regions'!G4597+"$F;@!(Fk"</f>
        <v>#VALUE!</v>
      </c>
      <c r="DB166" t="e">
        <f>'All regions'!H4597+"$F;@!(Fl"</f>
        <v>#VALUE!</v>
      </c>
      <c r="DC166" t="e">
        <f>'All regions'!I4597+"$F;@!(Fm"</f>
        <v>#VALUE!</v>
      </c>
      <c r="DD166" t="e">
        <f>'All regions'!A4598+"$F;@!(Fn"</f>
        <v>#VALUE!</v>
      </c>
      <c r="DE166" t="e">
        <f>'All regions'!B4598+"$F;@!(Fo"</f>
        <v>#VALUE!</v>
      </c>
      <c r="DF166" t="e">
        <f>'All regions'!C4598+"$F;@!(Fp"</f>
        <v>#VALUE!</v>
      </c>
      <c r="DG166" t="e">
        <f>'All regions'!D4598+"$F;@!(Fq"</f>
        <v>#VALUE!</v>
      </c>
      <c r="DH166" t="e">
        <f>'All regions'!E4598+"$F;@!(Fr"</f>
        <v>#VALUE!</v>
      </c>
      <c r="DI166" t="e">
        <f>'All regions'!F4598+"$F;@!(Fs"</f>
        <v>#VALUE!</v>
      </c>
      <c r="DJ166" t="e">
        <f>'All regions'!G4598+"$F;@!(Ft"</f>
        <v>#VALUE!</v>
      </c>
      <c r="DK166" t="e">
        <f>'All regions'!H4598+"$F;@!(Fu"</f>
        <v>#VALUE!</v>
      </c>
      <c r="DL166" t="e">
        <f>'All regions'!I4598+"$F;@!(Fv"</f>
        <v>#VALUE!</v>
      </c>
      <c r="DM166" t="e">
        <f>'All regions'!A4599+"$F;@!(Fw"</f>
        <v>#VALUE!</v>
      </c>
      <c r="DN166" t="e">
        <f>'All regions'!B4599+"$F;@!(Fx"</f>
        <v>#VALUE!</v>
      </c>
      <c r="DO166" t="e">
        <f>'All regions'!C4599+"$F;@!(Fy"</f>
        <v>#VALUE!</v>
      </c>
      <c r="DP166" t="e">
        <f>'All regions'!D4599+"$F;@!(Fz"</f>
        <v>#VALUE!</v>
      </c>
      <c r="DQ166" t="e">
        <f>'All regions'!E4599+"$F;@!(F{"</f>
        <v>#VALUE!</v>
      </c>
      <c r="DR166" t="e">
        <f>'All regions'!F4599+"$F;@!(F|"</f>
        <v>#VALUE!</v>
      </c>
      <c r="DS166" t="e">
        <f>'All regions'!G4599+"$F;@!(F}"</f>
        <v>#VALUE!</v>
      </c>
      <c r="DT166" t="e">
        <f>'All regions'!H4599+"$F;@!(F~"</f>
        <v>#VALUE!</v>
      </c>
      <c r="DU166" t="e">
        <f>'All regions'!I4599+"$F;@!(G#"</f>
        <v>#VALUE!</v>
      </c>
      <c r="DV166" t="e">
        <f>'All regions'!A4600+"$F;@!(G$"</f>
        <v>#VALUE!</v>
      </c>
      <c r="DW166" t="e">
        <f>'All regions'!B4600+"$F;@!(G%"</f>
        <v>#VALUE!</v>
      </c>
      <c r="DX166" t="e">
        <f>'All regions'!C4600+"$F;@!(G&amp;"</f>
        <v>#VALUE!</v>
      </c>
      <c r="DY166" t="e">
        <f>'All regions'!D4600+"$F;@!(G'"</f>
        <v>#VALUE!</v>
      </c>
      <c r="DZ166" t="e">
        <f>'All regions'!E4600+"$F;@!(G("</f>
        <v>#VALUE!</v>
      </c>
      <c r="EA166" t="e">
        <f>'All regions'!F4600+"$F;@!(G)"</f>
        <v>#VALUE!</v>
      </c>
      <c r="EB166" t="e">
        <f>'All regions'!G4600+"$F;@!(G."</f>
        <v>#VALUE!</v>
      </c>
      <c r="EC166" t="e">
        <f>'All regions'!H4600+"$F;@!(G/"</f>
        <v>#VALUE!</v>
      </c>
      <c r="ED166" t="e">
        <f>'All regions'!I4600+"$F;@!(G0"</f>
        <v>#VALUE!</v>
      </c>
      <c r="EE166" t="e">
        <f>'All regions'!A4601+"$F;@!(G1"</f>
        <v>#VALUE!</v>
      </c>
      <c r="EF166" t="e">
        <f>'All regions'!B4601+"$F;@!(G2"</f>
        <v>#VALUE!</v>
      </c>
      <c r="EG166" t="e">
        <f>'All regions'!C4601+"$F;@!(G3"</f>
        <v>#VALUE!</v>
      </c>
      <c r="EH166" t="e">
        <f>'All regions'!D4601+"$F;@!(G4"</f>
        <v>#VALUE!</v>
      </c>
      <c r="EI166" t="e">
        <f>'All regions'!E4601+"$F;@!(G5"</f>
        <v>#VALUE!</v>
      </c>
      <c r="EJ166" t="e">
        <f>'All regions'!F4601+"$F;@!(G6"</f>
        <v>#VALUE!</v>
      </c>
      <c r="EK166" t="e">
        <f>'All regions'!G4601+"$F;@!(G7"</f>
        <v>#VALUE!</v>
      </c>
      <c r="EL166" t="e">
        <f>'All regions'!H4601+"$F;@!(G8"</f>
        <v>#VALUE!</v>
      </c>
      <c r="EM166" t="e">
        <f>'All regions'!I4601+"$F;@!(G9"</f>
        <v>#VALUE!</v>
      </c>
      <c r="EN166" t="e">
        <f>'All regions'!A4602+"$F;@!(G:"</f>
        <v>#VALUE!</v>
      </c>
      <c r="EO166" t="e">
        <f>'All regions'!B4602+"$F;@!(G;"</f>
        <v>#VALUE!</v>
      </c>
      <c r="EP166" t="e">
        <f>'All regions'!C4602+"$F;@!(G&lt;"</f>
        <v>#VALUE!</v>
      </c>
      <c r="EQ166" t="e">
        <f>'All regions'!D4602+"$F;@!(G="</f>
        <v>#VALUE!</v>
      </c>
      <c r="ER166" t="e">
        <f>'All regions'!E4602+"$F;@!(G&gt;"</f>
        <v>#VALUE!</v>
      </c>
      <c r="ES166" t="e">
        <f>'All regions'!F4602+"$F;@!(G?"</f>
        <v>#VALUE!</v>
      </c>
      <c r="ET166" t="e">
        <f>'All regions'!G4602+"$F;@!(G@"</f>
        <v>#VALUE!</v>
      </c>
      <c r="EU166" t="e">
        <f>'All regions'!H4602+"$F;@!(GA"</f>
        <v>#VALUE!</v>
      </c>
      <c r="EV166" t="e">
        <f>'All regions'!I4602+"$F;@!(GB"</f>
        <v>#VALUE!</v>
      </c>
      <c r="EW166" t="e">
        <f>'All regions'!A4603+"$F;@!(GC"</f>
        <v>#VALUE!</v>
      </c>
      <c r="EX166" t="e">
        <f>'All regions'!B4603+"$F;@!(GD"</f>
        <v>#VALUE!</v>
      </c>
      <c r="EY166" t="e">
        <f>'All regions'!C4603+"$F;@!(GE"</f>
        <v>#VALUE!</v>
      </c>
      <c r="EZ166" t="e">
        <f>'All regions'!D4603+"$F;@!(GF"</f>
        <v>#VALUE!</v>
      </c>
      <c r="FA166" t="e">
        <f>'All regions'!E4603+"$F;@!(GG"</f>
        <v>#VALUE!</v>
      </c>
      <c r="FB166" t="e">
        <f>'All regions'!F4603+"$F;@!(GH"</f>
        <v>#VALUE!</v>
      </c>
      <c r="FC166" t="e">
        <f>'All regions'!G4603+"$F;@!(GI"</f>
        <v>#VALUE!</v>
      </c>
      <c r="FD166" t="e">
        <f>'All regions'!H4603+"$F;@!(GJ"</f>
        <v>#VALUE!</v>
      </c>
      <c r="FE166" t="e">
        <f>'All regions'!I4603+"$F;@!(GK"</f>
        <v>#VALUE!</v>
      </c>
      <c r="FF166" t="e">
        <f>'All regions'!A4604+"$F;@!(GL"</f>
        <v>#VALUE!</v>
      </c>
      <c r="FG166" t="e">
        <f>'All regions'!B4604+"$F;@!(GM"</f>
        <v>#VALUE!</v>
      </c>
      <c r="FH166" t="e">
        <f>'All regions'!C4604+"$F;@!(GN"</f>
        <v>#VALUE!</v>
      </c>
      <c r="FI166" t="e">
        <f>'All regions'!D4604+"$F;@!(GO"</f>
        <v>#VALUE!</v>
      </c>
      <c r="FJ166" t="e">
        <f>'All regions'!E4604+"$F;@!(GP"</f>
        <v>#VALUE!</v>
      </c>
      <c r="FK166" t="e">
        <f>'All regions'!F4604+"$F;@!(GQ"</f>
        <v>#VALUE!</v>
      </c>
      <c r="FL166" t="e">
        <f>'All regions'!G4604+"$F;@!(GR"</f>
        <v>#VALUE!</v>
      </c>
      <c r="FM166" t="e">
        <f>'All regions'!H4604+"$F;@!(GS"</f>
        <v>#VALUE!</v>
      </c>
      <c r="FN166" t="e">
        <f>'All regions'!I4604+"$F;@!(GT"</f>
        <v>#VALUE!</v>
      </c>
      <c r="FO166" t="e">
        <f>'All regions'!A4605+"$F;@!(GU"</f>
        <v>#VALUE!</v>
      </c>
      <c r="FP166" t="e">
        <f>'All regions'!B4605+"$F;@!(GV"</f>
        <v>#VALUE!</v>
      </c>
      <c r="FQ166" t="e">
        <f>'All regions'!C4605+"$F;@!(GW"</f>
        <v>#VALUE!</v>
      </c>
      <c r="FR166" t="e">
        <f>'All regions'!D4605+"$F;@!(GX"</f>
        <v>#VALUE!</v>
      </c>
      <c r="FS166" t="e">
        <f>'All regions'!E4605+"$F;@!(GY"</f>
        <v>#VALUE!</v>
      </c>
      <c r="FT166" t="e">
        <f>'All regions'!F4605+"$F;@!(GZ"</f>
        <v>#VALUE!</v>
      </c>
      <c r="FU166" t="e">
        <f>'All regions'!G4605+"$F;@!(G["</f>
        <v>#VALUE!</v>
      </c>
      <c r="FV166" t="e">
        <f>'All regions'!H4605+"$F;@!(G\"</f>
        <v>#VALUE!</v>
      </c>
      <c r="FW166" t="e">
        <f>'All regions'!I4605+"$F;@!(G]"</f>
        <v>#VALUE!</v>
      </c>
      <c r="FX166" t="e">
        <f>'All regions'!A4606+"$F;@!(G^"</f>
        <v>#VALUE!</v>
      </c>
      <c r="FY166" t="e">
        <f>'All regions'!B4606+"$F;@!(G_"</f>
        <v>#VALUE!</v>
      </c>
      <c r="FZ166" t="e">
        <f>'All regions'!C4606+"$F;@!(G`"</f>
        <v>#VALUE!</v>
      </c>
      <c r="GA166" t="e">
        <f>'All regions'!D4606+"$F;@!(Ga"</f>
        <v>#VALUE!</v>
      </c>
      <c r="GB166" t="e">
        <f>'All regions'!E4606+"$F;@!(Gb"</f>
        <v>#VALUE!</v>
      </c>
      <c r="GC166" t="e">
        <f>'All regions'!F4606+"$F;@!(Gc"</f>
        <v>#VALUE!</v>
      </c>
      <c r="GD166" t="e">
        <f>'All regions'!G4606+"$F;@!(Gd"</f>
        <v>#VALUE!</v>
      </c>
      <c r="GE166" t="e">
        <f>'All regions'!H4606+"$F;@!(Ge"</f>
        <v>#VALUE!</v>
      </c>
      <c r="GF166" t="e">
        <f>'All regions'!I4606+"$F;@!(Gf"</f>
        <v>#VALUE!</v>
      </c>
      <c r="GG166" t="e">
        <f>'All regions'!A4607+"$F;@!(Gg"</f>
        <v>#VALUE!</v>
      </c>
      <c r="GH166" t="e">
        <f>'All regions'!B4607+"$F;@!(Gh"</f>
        <v>#VALUE!</v>
      </c>
      <c r="GI166" t="e">
        <f>'All regions'!C4607+"$F;@!(Gi"</f>
        <v>#VALUE!</v>
      </c>
      <c r="GJ166" t="e">
        <f>'All regions'!D4607+"$F;@!(Gj"</f>
        <v>#VALUE!</v>
      </c>
      <c r="GK166" t="e">
        <f>'All regions'!E4607+"$F;@!(Gk"</f>
        <v>#VALUE!</v>
      </c>
      <c r="GL166" t="e">
        <f>'All regions'!F4607+"$F;@!(Gl"</f>
        <v>#VALUE!</v>
      </c>
      <c r="GM166" t="e">
        <f>'All regions'!G4607+"$F;@!(Gm"</f>
        <v>#VALUE!</v>
      </c>
      <c r="GN166" t="e">
        <f>'All regions'!H4607+"$F;@!(Gn"</f>
        <v>#VALUE!</v>
      </c>
      <c r="GO166" t="e">
        <f>'All regions'!I4607+"$F;@!(Go"</f>
        <v>#VALUE!</v>
      </c>
      <c r="GP166" t="e">
        <f>'All regions'!A4608+"$F;@!(Gp"</f>
        <v>#VALUE!</v>
      </c>
      <c r="GQ166" t="e">
        <f>'All regions'!B4608+"$F;@!(Gq"</f>
        <v>#VALUE!</v>
      </c>
      <c r="GR166" t="e">
        <f>'All regions'!C4608+"$F;@!(Gr"</f>
        <v>#VALUE!</v>
      </c>
      <c r="GS166" t="e">
        <f>'All regions'!D4608+"$F;@!(Gs"</f>
        <v>#VALUE!</v>
      </c>
      <c r="GT166" t="e">
        <f>'All regions'!E4608+"$F;@!(Gt"</f>
        <v>#VALUE!</v>
      </c>
      <c r="GU166" t="e">
        <f>'All regions'!F4608+"$F;@!(Gu"</f>
        <v>#VALUE!</v>
      </c>
      <c r="GV166" t="e">
        <f>'All regions'!G4608+"$F;@!(Gv"</f>
        <v>#VALUE!</v>
      </c>
      <c r="GW166" t="e">
        <f>'All regions'!H4608+"$F;@!(Gw"</f>
        <v>#VALUE!</v>
      </c>
      <c r="GX166" t="e">
        <f>'All regions'!I4608+"$F;@!(Gx"</f>
        <v>#VALUE!</v>
      </c>
      <c r="GY166" t="e">
        <f>'All regions'!A4609+"$F;@!(Gy"</f>
        <v>#VALUE!</v>
      </c>
      <c r="GZ166" t="e">
        <f>'All regions'!B4609+"$F;@!(Gz"</f>
        <v>#VALUE!</v>
      </c>
      <c r="HA166" t="e">
        <f>'All regions'!C4609+"$F;@!(G{"</f>
        <v>#VALUE!</v>
      </c>
      <c r="HB166" t="e">
        <f>'All regions'!D4609+"$F;@!(G|"</f>
        <v>#VALUE!</v>
      </c>
      <c r="HC166" t="e">
        <f>'All regions'!E4609+"$F;@!(G}"</f>
        <v>#VALUE!</v>
      </c>
      <c r="HD166" t="e">
        <f>'All regions'!F4609+"$F;@!(G~"</f>
        <v>#VALUE!</v>
      </c>
      <c r="HE166" t="e">
        <f>'All regions'!G4609+"$F;@!(H#"</f>
        <v>#VALUE!</v>
      </c>
      <c r="HF166" t="e">
        <f>'All regions'!H4609+"$F;@!(H$"</f>
        <v>#VALUE!</v>
      </c>
      <c r="HG166" t="e">
        <f>'All regions'!I4609+"$F;@!(H%"</f>
        <v>#VALUE!</v>
      </c>
      <c r="HH166" t="e">
        <f>'All regions'!A4610+"$F;@!(H&amp;"</f>
        <v>#VALUE!</v>
      </c>
      <c r="HI166" t="e">
        <f>'All regions'!B4610+"$F;@!(H'"</f>
        <v>#VALUE!</v>
      </c>
      <c r="HJ166" t="e">
        <f>'All regions'!C4610+"$F;@!(H("</f>
        <v>#VALUE!</v>
      </c>
      <c r="HK166" t="e">
        <f>'All regions'!D4610+"$F;@!(H)"</f>
        <v>#VALUE!</v>
      </c>
      <c r="HL166" t="e">
        <f>'All regions'!E4610+"$F;@!(H."</f>
        <v>#VALUE!</v>
      </c>
      <c r="HM166" t="e">
        <f>'All regions'!F4610+"$F;@!(H/"</f>
        <v>#VALUE!</v>
      </c>
      <c r="HN166" t="e">
        <f>'All regions'!G4610+"$F;@!(H0"</f>
        <v>#VALUE!</v>
      </c>
      <c r="HO166" t="e">
        <f>'All regions'!H4610+"$F;@!(H1"</f>
        <v>#VALUE!</v>
      </c>
      <c r="HP166" t="e">
        <f>'All regions'!I4610+"$F;@!(H2"</f>
        <v>#VALUE!</v>
      </c>
      <c r="HQ166" t="e">
        <f>'All regions'!A4611+"$F;@!(H3"</f>
        <v>#VALUE!</v>
      </c>
      <c r="HR166" t="e">
        <f>'All regions'!B4611+"$F;@!(H4"</f>
        <v>#VALUE!</v>
      </c>
      <c r="HS166" t="e">
        <f>'All regions'!C4611+"$F;@!(H5"</f>
        <v>#VALUE!</v>
      </c>
      <c r="HT166" t="e">
        <f>'All regions'!D4611+"$F;@!(H6"</f>
        <v>#VALUE!</v>
      </c>
      <c r="HU166" t="e">
        <f>'All regions'!E4611+"$F;@!(H7"</f>
        <v>#VALUE!</v>
      </c>
      <c r="HV166" t="e">
        <f>'All regions'!F4611+"$F;@!(H8"</f>
        <v>#VALUE!</v>
      </c>
      <c r="HW166" t="e">
        <f>'All regions'!G4611+"$F;@!(H9"</f>
        <v>#VALUE!</v>
      </c>
      <c r="HX166" t="e">
        <f>'All regions'!H4611+"$F;@!(H:"</f>
        <v>#VALUE!</v>
      </c>
      <c r="HY166" t="e">
        <f>'All regions'!I4611+"$F;@!(H;"</f>
        <v>#VALUE!</v>
      </c>
      <c r="HZ166" t="e">
        <f>'All regions'!A4612+"$F;@!(H&lt;"</f>
        <v>#VALUE!</v>
      </c>
      <c r="IA166" t="e">
        <f>'All regions'!B4612+"$F;@!(H="</f>
        <v>#VALUE!</v>
      </c>
      <c r="IB166" t="e">
        <f>'All regions'!C4612+"$F;@!(H&gt;"</f>
        <v>#VALUE!</v>
      </c>
      <c r="IC166" t="e">
        <f>'All regions'!D4612+"$F;@!(H?"</f>
        <v>#VALUE!</v>
      </c>
      <c r="ID166" t="e">
        <f>'All regions'!E4612+"$F;@!(H@"</f>
        <v>#VALUE!</v>
      </c>
      <c r="IE166" t="e">
        <f>'All regions'!F4612+"$F;@!(HA"</f>
        <v>#VALUE!</v>
      </c>
      <c r="IF166" t="e">
        <f>'All regions'!G4612+"$F;@!(HB"</f>
        <v>#VALUE!</v>
      </c>
      <c r="IG166" t="e">
        <f>'All regions'!H4612+"$F;@!(HC"</f>
        <v>#VALUE!</v>
      </c>
      <c r="IH166" t="e">
        <f>'All regions'!I4612+"$F;@!(HD"</f>
        <v>#VALUE!</v>
      </c>
      <c r="II166" t="e">
        <f>'All regions'!A4613+"$F;@!(HE"</f>
        <v>#VALUE!</v>
      </c>
      <c r="IJ166" t="e">
        <f>'All regions'!B4613+"$F;@!(HF"</f>
        <v>#VALUE!</v>
      </c>
      <c r="IK166" t="e">
        <f>'All regions'!C4613+"$F;@!(HG"</f>
        <v>#VALUE!</v>
      </c>
      <c r="IL166" t="e">
        <f>'All regions'!D4613+"$F;@!(HH"</f>
        <v>#VALUE!</v>
      </c>
      <c r="IM166" t="e">
        <f>'All regions'!E4613+"$F;@!(HI"</f>
        <v>#VALUE!</v>
      </c>
      <c r="IN166" t="e">
        <f>'All regions'!F4613+"$F;@!(HJ"</f>
        <v>#VALUE!</v>
      </c>
      <c r="IO166" t="e">
        <f>'All regions'!G4613+"$F;@!(HK"</f>
        <v>#VALUE!</v>
      </c>
      <c r="IP166" t="e">
        <f>'All regions'!H4613+"$F;@!(HL"</f>
        <v>#VALUE!</v>
      </c>
      <c r="IQ166" t="e">
        <f>'All regions'!I4613+"$F;@!(HM"</f>
        <v>#VALUE!</v>
      </c>
      <c r="IR166" t="e">
        <f>'All regions'!A4614+"$F;@!(HN"</f>
        <v>#VALUE!</v>
      </c>
      <c r="IS166" t="e">
        <f>'All regions'!B4614+"$F;@!(HO"</f>
        <v>#VALUE!</v>
      </c>
      <c r="IT166" t="e">
        <f>'All regions'!C4614+"$F;@!(HP"</f>
        <v>#VALUE!</v>
      </c>
      <c r="IU166" t="e">
        <f>'All regions'!D4614+"$F;@!(HQ"</f>
        <v>#VALUE!</v>
      </c>
      <c r="IV166" t="e">
        <f>'All regions'!E4614+"$F;@!(HR"</f>
        <v>#VALUE!</v>
      </c>
    </row>
    <row r="167" spans="6:256" x14ac:dyDescent="0.35">
      <c r="F167" t="e">
        <f>'All regions'!F4614+"$F;@!(HS"</f>
        <v>#VALUE!</v>
      </c>
      <c r="G167" t="e">
        <f>'All regions'!G4614+"$F;@!(HT"</f>
        <v>#VALUE!</v>
      </c>
      <c r="H167" t="e">
        <f>'All regions'!H4614+"$F;@!(HU"</f>
        <v>#VALUE!</v>
      </c>
      <c r="I167" t="e">
        <f>'All regions'!I4614+"$F;@!(HV"</f>
        <v>#VALUE!</v>
      </c>
      <c r="J167" t="e">
        <f>'All regions'!A4615+"$F;@!(HW"</f>
        <v>#VALUE!</v>
      </c>
      <c r="K167" t="e">
        <f>'All regions'!B4615+"$F;@!(HX"</f>
        <v>#VALUE!</v>
      </c>
      <c r="L167" t="e">
        <f>'All regions'!C4615+"$F;@!(HY"</f>
        <v>#VALUE!</v>
      </c>
      <c r="M167" t="e">
        <f>'All regions'!D4615+"$F;@!(HZ"</f>
        <v>#VALUE!</v>
      </c>
      <c r="N167" t="e">
        <f>'All regions'!E4615+"$F;@!(H["</f>
        <v>#VALUE!</v>
      </c>
      <c r="O167" t="e">
        <f>'All regions'!F4615+"$F;@!(H\"</f>
        <v>#VALUE!</v>
      </c>
      <c r="P167" t="e">
        <f>'All regions'!G4615+"$F;@!(H]"</f>
        <v>#VALUE!</v>
      </c>
      <c r="Q167" t="e">
        <f>'All regions'!H4615+"$F;@!(H^"</f>
        <v>#VALUE!</v>
      </c>
      <c r="R167" t="e">
        <f>'All regions'!I4615+"$F;@!(H_"</f>
        <v>#VALUE!</v>
      </c>
      <c r="S167" t="e">
        <f>'All regions'!A4616+"$F;@!(H`"</f>
        <v>#VALUE!</v>
      </c>
      <c r="T167" t="e">
        <f>'All regions'!B4616+"$F;@!(Ha"</f>
        <v>#VALUE!</v>
      </c>
      <c r="U167" t="e">
        <f>'All regions'!C4616+"$F;@!(Hb"</f>
        <v>#VALUE!</v>
      </c>
      <c r="V167" t="e">
        <f>'All regions'!D4616+"$F;@!(Hc"</f>
        <v>#VALUE!</v>
      </c>
      <c r="W167" t="e">
        <f>'All regions'!E4616+"$F;@!(Hd"</f>
        <v>#VALUE!</v>
      </c>
      <c r="X167" t="e">
        <f>'All regions'!F4616+"$F;@!(He"</f>
        <v>#VALUE!</v>
      </c>
      <c r="Y167" t="e">
        <f>'All regions'!G4616+"$F;@!(Hf"</f>
        <v>#VALUE!</v>
      </c>
      <c r="Z167" t="e">
        <f>'All regions'!H4616+"$F;@!(Hg"</f>
        <v>#VALUE!</v>
      </c>
      <c r="AA167" t="e">
        <f>'All regions'!I4616+"$F;@!(Hh"</f>
        <v>#VALUE!</v>
      </c>
      <c r="AB167" t="e">
        <f>'All regions'!A4617+"$F;@!(Hi"</f>
        <v>#VALUE!</v>
      </c>
      <c r="AC167" t="e">
        <f>'All regions'!B4617+"$F;@!(Hj"</f>
        <v>#VALUE!</v>
      </c>
      <c r="AD167" t="e">
        <f>'All regions'!C4617+"$F;@!(Hk"</f>
        <v>#VALUE!</v>
      </c>
      <c r="AE167" t="e">
        <f>'All regions'!D4617+"$F;@!(Hl"</f>
        <v>#VALUE!</v>
      </c>
      <c r="AF167" t="e">
        <f>'All regions'!E4617+"$F;@!(Hm"</f>
        <v>#VALUE!</v>
      </c>
      <c r="AG167" t="e">
        <f>'All regions'!F4617+"$F;@!(Hn"</f>
        <v>#VALUE!</v>
      </c>
      <c r="AH167" t="e">
        <f>'All regions'!G4617+"$F;@!(Ho"</f>
        <v>#VALUE!</v>
      </c>
      <c r="AI167" t="e">
        <f>'All regions'!H4617+"$F;@!(Hp"</f>
        <v>#VALUE!</v>
      </c>
      <c r="AJ167" t="e">
        <f>'All regions'!I4617+"$F;@!(Hq"</f>
        <v>#VALUE!</v>
      </c>
      <c r="AK167" t="e">
        <f>'All regions'!A4618+"$F;@!(Hr"</f>
        <v>#VALUE!</v>
      </c>
      <c r="AL167" t="e">
        <f>'All regions'!B4618+"$F;@!(Hs"</f>
        <v>#VALUE!</v>
      </c>
      <c r="AM167" t="e">
        <f>'All regions'!C4618+"$F;@!(Ht"</f>
        <v>#VALUE!</v>
      </c>
      <c r="AN167" t="e">
        <f>'All regions'!D4618+"$F;@!(Hu"</f>
        <v>#VALUE!</v>
      </c>
      <c r="AO167" t="e">
        <f>'All regions'!E4618+"$F;@!(Hv"</f>
        <v>#VALUE!</v>
      </c>
      <c r="AP167" t="e">
        <f>'All regions'!F4618+"$F;@!(Hw"</f>
        <v>#VALUE!</v>
      </c>
      <c r="AQ167" t="e">
        <f>'All regions'!G4618+"$F;@!(Hx"</f>
        <v>#VALUE!</v>
      </c>
      <c r="AR167" t="e">
        <f>'All regions'!H4618+"$F;@!(Hy"</f>
        <v>#VALUE!</v>
      </c>
      <c r="AS167" t="e">
        <f>'All regions'!I4618+"$F;@!(Hz"</f>
        <v>#VALUE!</v>
      </c>
      <c r="AT167" t="e">
        <f>'All regions'!A4619+"$F;@!(H{"</f>
        <v>#VALUE!</v>
      </c>
      <c r="AU167" t="e">
        <f>'All regions'!B4619+"$F;@!(H|"</f>
        <v>#VALUE!</v>
      </c>
      <c r="AV167" t="e">
        <f>'All regions'!C4619+"$F;@!(H}"</f>
        <v>#VALUE!</v>
      </c>
      <c r="AW167" t="e">
        <f>'All regions'!D4619+"$F;@!(H~"</f>
        <v>#VALUE!</v>
      </c>
      <c r="AX167" t="e">
        <f>'All regions'!E4619+"$F;@!(I#"</f>
        <v>#VALUE!</v>
      </c>
      <c r="AY167" t="e">
        <f>'All regions'!F4619+"$F;@!(I$"</f>
        <v>#VALUE!</v>
      </c>
      <c r="AZ167" t="e">
        <f>'All regions'!G4619+"$F;@!(I%"</f>
        <v>#VALUE!</v>
      </c>
      <c r="BA167" t="e">
        <f>'All regions'!H4619+"$F;@!(I&amp;"</f>
        <v>#VALUE!</v>
      </c>
      <c r="BB167" t="e">
        <f>'All regions'!I4619+"$F;@!(I'"</f>
        <v>#VALUE!</v>
      </c>
      <c r="BC167" t="e">
        <f>'All regions'!A4620+"$F;@!(I("</f>
        <v>#VALUE!</v>
      </c>
      <c r="BD167" t="e">
        <f>'All regions'!B4620+"$F;@!(I)"</f>
        <v>#VALUE!</v>
      </c>
      <c r="BE167" t="e">
        <f>'All regions'!C4620+"$F;@!(I."</f>
        <v>#VALUE!</v>
      </c>
      <c r="BF167" t="e">
        <f>'All regions'!D4620+"$F;@!(I/"</f>
        <v>#VALUE!</v>
      </c>
      <c r="BG167" t="e">
        <f>'All regions'!E4620+"$F;@!(I0"</f>
        <v>#VALUE!</v>
      </c>
      <c r="BH167" t="e">
        <f>'All regions'!F4620+"$F;@!(I1"</f>
        <v>#VALUE!</v>
      </c>
      <c r="BI167" t="e">
        <f>'All regions'!G4620+"$F;@!(I2"</f>
        <v>#VALUE!</v>
      </c>
      <c r="BJ167" t="e">
        <f>'All regions'!H4620+"$F;@!(I3"</f>
        <v>#VALUE!</v>
      </c>
      <c r="BK167" t="e">
        <f>'All regions'!I4620+"$F;@!(I4"</f>
        <v>#VALUE!</v>
      </c>
      <c r="BL167" t="e">
        <f>'All regions'!A4621+"$F;@!(I5"</f>
        <v>#VALUE!</v>
      </c>
      <c r="BM167" t="e">
        <f>'All regions'!B4621+"$F;@!(I6"</f>
        <v>#VALUE!</v>
      </c>
      <c r="BN167" t="e">
        <f>'All regions'!C4621+"$F;@!(I7"</f>
        <v>#VALUE!</v>
      </c>
      <c r="BO167" t="e">
        <f>'All regions'!D4621+"$F;@!(I8"</f>
        <v>#VALUE!</v>
      </c>
      <c r="BP167" t="e">
        <f>'All regions'!E4621+"$F;@!(I9"</f>
        <v>#VALUE!</v>
      </c>
      <c r="BQ167" t="e">
        <f>'All regions'!F4621+"$F;@!(I:"</f>
        <v>#VALUE!</v>
      </c>
      <c r="BR167" t="e">
        <f>'All regions'!G4621+"$F;@!(I;"</f>
        <v>#VALUE!</v>
      </c>
      <c r="BS167" t="e">
        <f>'All regions'!H4621+"$F;@!(I&lt;"</f>
        <v>#VALUE!</v>
      </c>
      <c r="BT167" t="e">
        <f>'All regions'!I4621+"$F;@!(I="</f>
        <v>#VALUE!</v>
      </c>
      <c r="BU167" t="e">
        <f>'All regions'!A4622+"$F;@!(I&gt;"</f>
        <v>#VALUE!</v>
      </c>
      <c r="BV167" t="e">
        <f>'All regions'!B4622+"$F;@!(I?"</f>
        <v>#VALUE!</v>
      </c>
      <c r="BW167" t="e">
        <f>'All regions'!C4622+"$F;@!(I@"</f>
        <v>#VALUE!</v>
      </c>
      <c r="BX167" t="e">
        <f>'All regions'!D4622+"$F;@!(IA"</f>
        <v>#VALUE!</v>
      </c>
      <c r="BY167" t="e">
        <f>'All regions'!E4622+"$F;@!(IB"</f>
        <v>#VALUE!</v>
      </c>
      <c r="BZ167" t="e">
        <f>'All regions'!F4622+"$F;@!(IC"</f>
        <v>#VALUE!</v>
      </c>
      <c r="CA167" t="e">
        <f>'All regions'!G4622+"$F;@!(ID"</f>
        <v>#VALUE!</v>
      </c>
      <c r="CB167" t="e">
        <f>'All regions'!H4622+"$F;@!(IE"</f>
        <v>#VALUE!</v>
      </c>
      <c r="CC167" t="e">
        <f>'All regions'!I4622+"$F;@!(IF"</f>
        <v>#VALUE!</v>
      </c>
      <c r="CD167" t="e">
        <f>'All regions'!A4623+"$F;@!(IG"</f>
        <v>#VALUE!</v>
      </c>
      <c r="CE167" t="e">
        <f>'All regions'!B4623+"$F;@!(IH"</f>
        <v>#VALUE!</v>
      </c>
      <c r="CF167" t="e">
        <f>'All regions'!C4623+"$F;@!(II"</f>
        <v>#VALUE!</v>
      </c>
      <c r="CG167" t="e">
        <f>'All regions'!D4623+"$F;@!(IJ"</f>
        <v>#VALUE!</v>
      </c>
      <c r="CH167" t="e">
        <f>'All regions'!E4623+"$F;@!(IK"</f>
        <v>#VALUE!</v>
      </c>
      <c r="CI167" t="e">
        <f>'All regions'!F4623+"$F;@!(IL"</f>
        <v>#VALUE!</v>
      </c>
      <c r="CJ167" t="e">
        <f>'All regions'!G4623+"$F;@!(IM"</f>
        <v>#VALUE!</v>
      </c>
      <c r="CK167" t="e">
        <f>'All regions'!H4623+"$F;@!(IN"</f>
        <v>#VALUE!</v>
      </c>
      <c r="CL167" t="e">
        <f>'All regions'!I4623+"$F;@!(IO"</f>
        <v>#VALUE!</v>
      </c>
      <c r="CM167" t="e">
        <f>'All regions'!A4624+"$F;@!(IP"</f>
        <v>#VALUE!</v>
      </c>
      <c r="CN167" t="e">
        <f>'All regions'!B4624+"$F;@!(IQ"</f>
        <v>#VALUE!</v>
      </c>
      <c r="CO167" t="e">
        <f>'All regions'!C4624+"$F;@!(IR"</f>
        <v>#VALUE!</v>
      </c>
      <c r="CP167" t="e">
        <f>'All regions'!D4624+"$F;@!(IS"</f>
        <v>#VALUE!</v>
      </c>
      <c r="CQ167" t="e">
        <f>'All regions'!E4624+"$F;@!(IT"</f>
        <v>#VALUE!</v>
      </c>
      <c r="CR167" t="e">
        <f>'All regions'!F4624+"$F;@!(IU"</f>
        <v>#VALUE!</v>
      </c>
      <c r="CS167" t="e">
        <f>'All regions'!G4624+"$F;@!(IV"</f>
        <v>#VALUE!</v>
      </c>
      <c r="CT167" t="e">
        <f>'All regions'!H4624+"$F;@!(IW"</f>
        <v>#VALUE!</v>
      </c>
      <c r="CU167" t="e">
        <f>'All regions'!I4624+"$F;@!(IX"</f>
        <v>#VALUE!</v>
      </c>
      <c r="CV167" t="e">
        <f>'All regions'!A4625+"$F;@!(IY"</f>
        <v>#VALUE!</v>
      </c>
      <c r="CW167" t="e">
        <f>'All regions'!B4625+"$F;@!(IZ"</f>
        <v>#VALUE!</v>
      </c>
      <c r="CX167" t="e">
        <f>'All regions'!C4625+"$F;@!(I["</f>
        <v>#VALUE!</v>
      </c>
      <c r="CY167" t="e">
        <f>'All regions'!D4625+"$F;@!(I\"</f>
        <v>#VALUE!</v>
      </c>
      <c r="CZ167" t="e">
        <f>'All regions'!E4625+"$F;@!(I]"</f>
        <v>#VALUE!</v>
      </c>
      <c r="DA167" t="e">
        <f>'All regions'!F4625+"$F;@!(I^"</f>
        <v>#VALUE!</v>
      </c>
      <c r="DB167" t="e">
        <f>'All regions'!G4625+"$F;@!(I_"</f>
        <v>#VALUE!</v>
      </c>
      <c r="DC167" t="e">
        <f>'All regions'!H4625+"$F;@!(I`"</f>
        <v>#VALUE!</v>
      </c>
      <c r="DD167" t="e">
        <f>'All regions'!I4625+"$F;@!(Ia"</f>
        <v>#VALUE!</v>
      </c>
      <c r="DE167" t="e">
        <f>'All regions'!A4626+"$F;@!(Ib"</f>
        <v>#VALUE!</v>
      </c>
      <c r="DF167" t="e">
        <f>'All regions'!B4626+"$F;@!(Ic"</f>
        <v>#VALUE!</v>
      </c>
      <c r="DG167" t="e">
        <f>'All regions'!C4626+"$F;@!(Id"</f>
        <v>#VALUE!</v>
      </c>
      <c r="DH167" t="e">
        <f>'All regions'!D4626+"$F;@!(Ie"</f>
        <v>#VALUE!</v>
      </c>
      <c r="DI167" t="e">
        <f>'All regions'!E4626+"$F;@!(If"</f>
        <v>#VALUE!</v>
      </c>
      <c r="DJ167" t="e">
        <f>'All regions'!F4626+"$F;@!(Ig"</f>
        <v>#VALUE!</v>
      </c>
      <c r="DK167" t="e">
        <f>'All regions'!G4626+"$F;@!(Ih"</f>
        <v>#VALUE!</v>
      </c>
      <c r="DL167" t="e">
        <f>'All regions'!H4626+"$F;@!(Ii"</f>
        <v>#VALUE!</v>
      </c>
      <c r="DM167" t="e">
        <f>'All regions'!I4626+"$F;@!(Ij"</f>
        <v>#VALUE!</v>
      </c>
      <c r="DN167" t="e">
        <f>'All regions'!A4627+"$F;@!(Ik"</f>
        <v>#VALUE!</v>
      </c>
      <c r="DO167" t="e">
        <f>'All regions'!B4627+"$F;@!(Il"</f>
        <v>#VALUE!</v>
      </c>
      <c r="DP167" t="e">
        <f>'All regions'!C4627+"$F;@!(Im"</f>
        <v>#VALUE!</v>
      </c>
      <c r="DQ167" t="e">
        <f>'All regions'!D4627+"$F;@!(In"</f>
        <v>#VALUE!</v>
      </c>
      <c r="DR167" t="e">
        <f>'All regions'!E4627+"$F;@!(Io"</f>
        <v>#VALUE!</v>
      </c>
      <c r="DS167" t="e">
        <f>'All regions'!F4627+"$F;@!(Ip"</f>
        <v>#VALUE!</v>
      </c>
      <c r="DT167" t="e">
        <f>'All regions'!G4627+"$F;@!(Iq"</f>
        <v>#VALUE!</v>
      </c>
      <c r="DU167" t="e">
        <f>'All regions'!H4627+"$F;@!(Ir"</f>
        <v>#VALUE!</v>
      </c>
      <c r="DV167" t="e">
        <f>'All regions'!I4627+"$F;@!(Is"</f>
        <v>#VALUE!</v>
      </c>
      <c r="DW167" t="e">
        <f>'All regions'!A4628+"$F;@!(It"</f>
        <v>#VALUE!</v>
      </c>
      <c r="DX167" t="e">
        <f>'All regions'!B4628+"$F;@!(Iu"</f>
        <v>#VALUE!</v>
      </c>
      <c r="DY167" t="e">
        <f>'All regions'!C4628+"$F;@!(Iv"</f>
        <v>#VALUE!</v>
      </c>
      <c r="DZ167" t="e">
        <f>'All regions'!D4628+"$F;@!(Iw"</f>
        <v>#VALUE!</v>
      </c>
      <c r="EA167" t="e">
        <f>'All regions'!E4628+"$F;@!(Ix"</f>
        <v>#VALUE!</v>
      </c>
      <c r="EB167" t="e">
        <f>'All regions'!F4628+"$F;@!(Iy"</f>
        <v>#VALUE!</v>
      </c>
      <c r="EC167" t="e">
        <f>'All regions'!G4628+"$F;@!(Iz"</f>
        <v>#VALUE!</v>
      </c>
      <c r="ED167" t="e">
        <f>'All regions'!H4628+"$F;@!(I{"</f>
        <v>#VALUE!</v>
      </c>
      <c r="EE167" t="e">
        <f>'All regions'!I4628+"$F;@!(I|"</f>
        <v>#VALUE!</v>
      </c>
      <c r="EF167" t="e">
        <f>'All regions'!A4629+"$F;@!(I}"</f>
        <v>#VALUE!</v>
      </c>
      <c r="EG167" t="e">
        <f>'All regions'!B4629+"$F;@!(I~"</f>
        <v>#VALUE!</v>
      </c>
      <c r="EH167" t="e">
        <f>'All regions'!C4629+"$F;@!(J#"</f>
        <v>#VALUE!</v>
      </c>
      <c r="EI167" t="e">
        <f>'All regions'!D4629+"$F;@!(J$"</f>
        <v>#VALUE!</v>
      </c>
      <c r="EJ167" t="e">
        <f>'All regions'!E4629+"$F;@!(J%"</f>
        <v>#VALUE!</v>
      </c>
      <c r="EK167" t="e">
        <f>'All regions'!F4629+"$F;@!(J&amp;"</f>
        <v>#VALUE!</v>
      </c>
      <c r="EL167" t="e">
        <f>'All regions'!G4629+"$F;@!(J'"</f>
        <v>#VALUE!</v>
      </c>
      <c r="EM167" t="e">
        <f>'All regions'!H4629+"$F;@!(J("</f>
        <v>#VALUE!</v>
      </c>
      <c r="EN167" t="e">
        <f>'All regions'!I4629+"$F;@!(J)"</f>
        <v>#VALUE!</v>
      </c>
      <c r="EO167" t="e">
        <f>'All regions'!A4630+"$F;@!(J."</f>
        <v>#VALUE!</v>
      </c>
      <c r="EP167" t="e">
        <f>'All regions'!B4630+"$F;@!(J/"</f>
        <v>#VALUE!</v>
      </c>
      <c r="EQ167" t="e">
        <f>'All regions'!C4630+"$F;@!(J0"</f>
        <v>#VALUE!</v>
      </c>
      <c r="ER167" t="e">
        <f>'All regions'!D4630+"$F;@!(J1"</f>
        <v>#VALUE!</v>
      </c>
      <c r="ES167" t="e">
        <f>'All regions'!E4630+"$F;@!(J2"</f>
        <v>#VALUE!</v>
      </c>
      <c r="ET167" t="e">
        <f>'All regions'!F4630+"$F;@!(J3"</f>
        <v>#VALUE!</v>
      </c>
      <c r="EU167" t="e">
        <f>'All regions'!G4630+"$F;@!(J4"</f>
        <v>#VALUE!</v>
      </c>
      <c r="EV167" t="e">
        <f>'All regions'!H4630+"$F;@!(J5"</f>
        <v>#VALUE!</v>
      </c>
      <c r="EW167" t="e">
        <f>'All regions'!I4630+"$F;@!(J6"</f>
        <v>#VALUE!</v>
      </c>
      <c r="EX167" t="e">
        <f>'All regions'!A4631+"$F;@!(J7"</f>
        <v>#VALUE!</v>
      </c>
      <c r="EY167" t="e">
        <f>'All regions'!B4631+"$F;@!(J8"</f>
        <v>#VALUE!</v>
      </c>
      <c r="EZ167" t="e">
        <f>'All regions'!C4631+"$F;@!(J9"</f>
        <v>#VALUE!</v>
      </c>
      <c r="FA167" t="e">
        <f>'All regions'!D4631+"$F;@!(J:"</f>
        <v>#VALUE!</v>
      </c>
      <c r="FB167" t="e">
        <f>'All regions'!E4631+"$F;@!(J;"</f>
        <v>#VALUE!</v>
      </c>
      <c r="FC167" t="e">
        <f>'All regions'!F4631+"$F;@!(J&lt;"</f>
        <v>#VALUE!</v>
      </c>
      <c r="FD167" t="e">
        <f>'All regions'!G4631+"$F;@!(J="</f>
        <v>#VALUE!</v>
      </c>
      <c r="FE167" t="e">
        <f>'All regions'!H4631+"$F;@!(J&gt;"</f>
        <v>#VALUE!</v>
      </c>
      <c r="FF167" t="e">
        <f>'All regions'!I4631+"$F;@!(J?"</f>
        <v>#VALUE!</v>
      </c>
      <c r="FG167" t="e">
        <f>'All regions'!A4632+"$F;@!(J@"</f>
        <v>#VALUE!</v>
      </c>
      <c r="FH167" t="e">
        <f>'All regions'!B4632+"$F;@!(JA"</f>
        <v>#VALUE!</v>
      </c>
      <c r="FI167" t="e">
        <f>'All regions'!C4632+"$F;@!(JB"</f>
        <v>#VALUE!</v>
      </c>
      <c r="FJ167" t="e">
        <f>'All regions'!D4632+"$F;@!(JC"</f>
        <v>#VALUE!</v>
      </c>
      <c r="FK167" t="e">
        <f>'All regions'!E4632+"$F;@!(JD"</f>
        <v>#VALUE!</v>
      </c>
      <c r="FL167" t="e">
        <f>'All regions'!F4632+"$F;@!(JE"</f>
        <v>#VALUE!</v>
      </c>
      <c r="FM167" t="e">
        <f>'All regions'!G4632+"$F;@!(JF"</f>
        <v>#VALUE!</v>
      </c>
      <c r="FN167" t="e">
        <f>'All regions'!H4632+"$F;@!(JG"</f>
        <v>#VALUE!</v>
      </c>
      <c r="FO167" t="e">
        <f>'All regions'!I4632+"$F;@!(JH"</f>
        <v>#VALUE!</v>
      </c>
      <c r="FP167" t="e">
        <f>'All regions'!A4633+"$F;@!(JI"</f>
        <v>#VALUE!</v>
      </c>
      <c r="FQ167" t="e">
        <f>'All regions'!B4633+"$F;@!(JJ"</f>
        <v>#VALUE!</v>
      </c>
      <c r="FR167" t="e">
        <f>'All regions'!C4633+"$F;@!(JK"</f>
        <v>#VALUE!</v>
      </c>
      <c r="FS167" t="e">
        <f>'All regions'!D4633+"$F;@!(JL"</f>
        <v>#VALUE!</v>
      </c>
      <c r="FT167" t="e">
        <f>'All regions'!E4633+"$F;@!(JM"</f>
        <v>#VALUE!</v>
      </c>
      <c r="FU167" t="e">
        <f>'All regions'!F4633+"$F;@!(JN"</f>
        <v>#VALUE!</v>
      </c>
      <c r="FV167" t="e">
        <f>'All regions'!G4633+"$F;@!(JO"</f>
        <v>#VALUE!</v>
      </c>
      <c r="FW167" t="e">
        <f>'All regions'!H4633+"$F;@!(JP"</f>
        <v>#VALUE!</v>
      </c>
      <c r="FX167" t="e">
        <f>'All regions'!I4633+"$F;@!(JQ"</f>
        <v>#VALUE!</v>
      </c>
      <c r="FY167" t="e">
        <f>'All regions'!A4634+"$F;@!(JR"</f>
        <v>#VALUE!</v>
      </c>
      <c r="FZ167" t="e">
        <f>'All regions'!B4634+"$F;@!(JS"</f>
        <v>#VALUE!</v>
      </c>
      <c r="GA167" t="e">
        <f>'All regions'!C4634+"$F;@!(JT"</f>
        <v>#VALUE!</v>
      </c>
      <c r="GB167" t="e">
        <f>'All regions'!D4634+"$F;@!(JU"</f>
        <v>#VALUE!</v>
      </c>
      <c r="GC167" t="e">
        <f>'All regions'!E4634+"$F;@!(JV"</f>
        <v>#VALUE!</v>
      </c>
      <c r="GD167" t="e">
        <f>'All regions'!F4634+"$F;@!(JW"</f>
        <v>#VALUE!</v>
      </c>
      <c r="GE167" t="e">
        <f>'All regions'!G4634+"$F;@!(JX"</f>
        <v>#VALUE!</v>
      </c>
      <c r="GF167" t="e">
        <f>'All regions'!H4634+"$F;@!(JY"</f>
        <v>#VALUE!</v>
      </c>
      <c r="GG167" t="e">
        <f>'All regions'!I4634+"$F;@!(JZ"</f>
        <v>#VALUE!</v>
      </c>
      <c r="GH167" t="e">
        <f>'All regions'!A4635+"$F;@!(J["</f>
        <v>#VALUE!</v>
      </c>
      <c r="GI167" t="e">
        <f>'All regions'!B4635+"$F;@!(J\"</f>
        <v>#VALUE!</v>
      </c>
      <c r="GJ167" t="e">
        <f>'All regions'!C4635+"$F;@!(J]"</f>
        <v>#VALUE!</v>
      </c>
      <c r="GK167" t="e">
        <f>'All regions'!D4635+"$F;@!(J^"</f>
        <v>#VALUE!</v>
      </c>
      <c r="GL167" t="e">
        <f>'All regions'!E4635+"$F;@!(J_"</f>
        <v>#VALUE!</v>
      </c>
      <c r="GM167" t="e">
        <f>'All regions'!F4635+"$F;@!(J`"</f>
        <v>#VALUE!</v>
      </c>
      <c r="GN167" t="e">
        <f>'All regions'!G4635+"$F;@!(Ja"</f>
        <v>#VALUE!</v>
      </c>
      <c r="GO167" t="e">
        <f>'All regions'!H4635+"$F;@!(Jb"</f>
        <v>#VALUE!</v>
      </c>
      <c r="GP167" t="e">
        <f>'All regions'!I4635+"$F;@!(Jc"</f>
        <v>#VALUE!</v>
      </c>
      <c r="GQ167" t="e">
        <f>'All regions'!A4636+"$F;@!(Jd"</f>
        <v>#VALUE!</v>
      </c>
      <c r="GR167" t="e">
        <f>'All regions'!B4636+"$F;@!(Je"</f>
        <v>#VALUE!</v>
      </c>
      <c r="GS167" t="e">
        <f>'All regions'!C4636+"$F;@!(Jf"</f>
        <v>#VALUE!</v>
      </c>
      <c r="GT167" t="e">
        <f>'All regions'!D4636+"$F;@!(Jg"</f>
        <v>#VALUE!</v>
      </c>
      <c r="GU167" t="e">
        <f>'All regions'!E4636+"$F;@!(Jh"</f>
        <v>#VALUE!</v>
      </c>
      <c r="GV167" t="e">
        <f>'All regions'!F4636+"$F;@!(Ji"</f>
        <v>#VALUE!</v>
      </c>
      <c r="GW167" t="e">
        <f>'All regions'!G4636+"$F;@!(Jj"</f>
        <v>#VALUE!</v>
      </c>
      <c r="GX167" t="e">
        <f>'All regions'!H4636+"$F;@!(Jk"</f>
        <v>#VALUE!</v>
      </c>
      <c r="GY167" t="e">
        <f>'All regions'!I4636+"$F;@!(Jl"</f>
        <v>#VALUE!</v>
      </c>
      <c r="GZ167" t="e">
        <f>'All regions'!A4637+"$F;@!(Jm"</f>
        <v>#VALUE!</v>
      </c>
      <c r="HA167" t="e">
        <f>'All regions'!B4637+"$F;@!(Jn"</f>
        <v>#VALUE!</v>
      </c>
      <c r="HB167" t="e">
        <f>'All regions'!C4637+"$F;@!(Jo"</f>
        <v>#VALUE!</v>
      </c>
      <c r="HC167" t="e">
        <f>'All regions'!D4637+"$F;@!(Jp"</f>
        <v>#VALUE!</v>
      </c>
      <c r="HD167" t="e">
        <f>'All regions'!E4637+"$F;@!(Jq"</f>
        <v>#VALUE!</v>
      </c>
      <c r="HE167" t="e">
        <f>'All regions'!F4637+"$F;@!(Jr"</f>
        <v>#VALUE!</v>
      </c>
      <c r="HF167" t="e">
        <f>'All regions'!G4637+"$F;@!(Js"</f>
        <v>#VALUE!</v>
      </c>
      <c r="HG167" t="e">
        <f>'All regions'!H4637+"$F;@!(Jt"</f>
        <v>#VALUE!</v>
      </c>
      <c r="HH167" t="e">
        <f>'All regions'!I4637+"$F;@!(Ju"</f>
        <v>#VALUE!</v>
      </c>
      <c r="HI167" t="e">
        <f>'All regions'!A4638+"$F;@!(Jv"</f>
        <v>#VALUE!</v>
      </c>
      <c r="HJ167" t="e">
        <f>'All regions'!B4638+"$F;@!(Jw"</f>
        <v>#VALUE!</v>
      </c>
      <c r="HK167" t="e">
        <f>'All regions'!C4638+"$F;@!(Jx"</f>
        <v>#VALUE!</v>
      </c>
      <c r="HL167" t="e">
        <f>'All regions'!D4638+"$F;@!(Jy"</f>
        <v>#VALUE!</v>
      </c>
      <c r="HM167" t="e">
        <f>'All regions'!E4638+"$F;@!(Jz"</f>
        <v>#VALUE!</v>
      </c>
      <c r="HN167" t="e">
        <f>'All regions'!F4638+"$F;@!(J{"</f>
        <v>#VALUE!</v>
      </c>
      <c r="HO167" t="e">
        <f>'All regions'!G4638+"$F;@!(J|"</f>
        <v>#VALUE!</v>
      </c>
      <c r="HP167" t="e">
        <f>'All regions'!H4638+"$F;@!(J}"</f>
        <v>#VALUE!</v>
      </c>
      <c r="HQ167" t="e">
        <f>'All regions'!I4638+"$F;@!(J~"</f>
        <v>#VALUE!</v>
      </c>
      <c r="HR167" t="e">
        <f>'All regions'!A4639+"$F;@!(K#"</f>
        <v>#VALUE!</v>
      </c>
      <c r="HS167" t="e">
        <f>'All regions'!B4639+"$F;@!(K$"</f>
        <v>#VALUE!</v>
      </c>
      <c r="HT167" t="e">
        <f>'All regions'!C4639+"$F;@!(K%"</f>
        <v>#VALUE!</v>
      </c>
      <c r="HU167" t="e">
        <f>'All regions'!D4639+"$F;@!(K&amp;"</f>
        <v>#VALUE!</v>
      </c>
      <c r="HV167" t="e">
        <f>'All regions'!E4639+"$F;@!(K'"</f>
        <v>#VALUE!</v>
      </c>
      <c r="HW167" t="e">
        <f>'All regions'!F4639+"$F;@!(K("</f>
        <v>#VALUE!</v>
      </c>
      <c r="HX167" t="e">
        <f>'All regions'!G4639+"$F;@!(K)"</f>
        <v>#VALUE!</v>
      </c>
      <c r="HY167" t="e">
        <f>'All regions'!H4639+"$F;@!(K."</f>
        <v>#VALUE!</v>
      </c>
      <c r="HZ167" t="e">
        <f>'All regions'!I4639+"$F;@!(K/"</f>
        <v>#VALUE!</v>
      </c>
      <c r="IA167" t="e">
        <f>'All regions'!A4640+"$F;@!(K0"</f>
        <v>#VALUE!</v>
      </c>
      <c r="IB167" t="e">
        <f>'All regions'!B4640+"$F;@!(K1"</f>
        <v>#VALUE!</v>
      </c>
      <c r="IC167" t="e">
        <f>'All regions'!C4640+"$F;@!(K2"</f>
        <v>#VALUE!</v>
      </c>
      <c r="ID167" t="e">
        <f>'All regions'!D4640+"$F;@!(K3"</f>
        <v>#VALUE!</v>
      </c>
      <c r="IE167" t="e">
        <f>'All regions'!E4640+"$F;@!(K4"</f>
        <v>#VALUE!</v>
      </c>
      <c r="IF167" t="e">
        <f>'All regions'!F4640+"$F;@!(K5"</f>
        <v>#VALUE!</v>
      </c>
      <c r="IG167" t="e">
        <f>'All regions'!G4640+"$F;@!(K6"</f>
        <v>#VALUE!</v>
      </c>
      <c r="IH167" t="e">
        <f>'All regions'!H4640+"$F;@!(K7"</f>
        <v>#VALUE!</v>
      </c>
      <c r="II167" t="e">
        <f>'All regions'!I4640+"$F;@!(K8"</f>
        <v>#VALUE!</v>
      </c>
      <c r="IJ167" t="e">
        <f>'All regions'!A4641+"$F;@!(K9"</f>
        <v>#VALUE!</v>
      </c>
      <c r="IK167" t="e">
        <f>'All regions'!B4641+"$F;@!(K:"</f>
        <v>#VALUE!</v>
      </c>
      <c r="IL167" t="e">
        <f>'All regions'!C4641+"$F;@!(K;"</f>
        <v>#VALUE!</v>
      </c>
      <c r="IM167" t="e">
        <f>'All regions'!D4641+"$F;@!(K&lt;"</f>
        <v>#VALUE!</v>
      </c>
      <c r="IN167" t="e">
        <f>'All regions'!E4641+"$F;@!(K="</f>
        <v>#VALUE!</v>
      </c>
      <c r="IO167" t="e">
        <f>'All regions'!F4641+"$F;@!(K&gt;"</f>
        <v>#VALUE!</v>
      </c>
      <c r="IP167" t="e">
        <f>'All regions'!G4641+"$F;@!(K?"</f>
        <v>#VALUE!</v>
      </c>
      <c r="IQ167" t="e">
        <f>'All regions'!H4641+"$F;@!(K@"</f>
        <v>#VALUE!</v>
      </c>
      <c r="IR167" t="e">
        <f>'All regions'!I4641+"$F;@!(KA"</f>
        <v>#VALUE!</v>
      </c>
      <c r="IS167" t="e">
        <f>'All regions'!A4642+"$F;@!(KB"</f>
        <v>#VALUE!</v>
      </c>
      <c r="IT167" t="e">
        <f>'All regions'!B4642+"$F;@!(KC"</f>
        <v>#VALUE!</v>
      </c>
      <c r="IU167" t="e">
        <f>'All regions'!C4642+"$F;@!(KD"</f>
        <v>#VALUE!</v>
      </c>
      <c r="IV167" t="e">
        <f>'All regions'!D4642+"$F;@!(KE"</f>
        <v>#VALUE!</v>
      </c>
    </row>
    <row r="168" spans="6:256" x14ac:dyDescent="0.35">
      <c r="F168" t="e">
        <f>'All regions'!E4642+"$F;@!(KF"</f>
        <v>#VALUE!</v>
      </c>
      <c r="G168" t="e">
        <f>'All regions'!F4642+"$F;@!(KG"</f>
        <v>#VALUE!</v>
      </c>
      <c r="H168" t="e">
        <f>'All regions'!G4642+"$F;@!(KH"</f>
        <v>#VALUE!</v>
      </c>
      <c r="I168" t="e">
        <f>'All regions'!H4642+"$F;@!(KI"</f>
        <v>#VALUE!</v>
      </c>
      <c r="J168" t="e">
        <f>'All regions'!I4642+"$F;@!(KJ"</f>
        <v>#VALUE!</v>
      </c>
      <c r="K168" t="e">
        <f>'All regions'!A4643+"$F;@!(KK"</f>
        <v>#VALUE!</v>
      </c>
      <c r="L168" t="e">
        <f>'All regions'!B4643+"$F;@!(KL"</f>
        <v>#VALUE!</v>
      </c>
      <c r="M168" t="e">
        <f>'All regions'!C4643+"$F;@!(KM"</f>
        <v>#VALUE!</v>
      </c>
      <c r="N168" t="e">
        <f>'All regions'!D4643+"$F;@!(KN"</f>
        <v>#VALUE!</v>
      </c>
      <c r="O168" t="e">
        <f>'All regions'!E4643+"$F;@!(KO"</f>
        <v>#VALUE!</v>
      </c>
      <c r="P168" t="e">
        <f>'All regions'!F4643+"$F;@!(KP"</f>
        <v>#VALUE!</v>
      </c>
      <c r="Q168" t="e">
        <f>'All regions'!G4643+"$F;@!(KQ"</f>
        <v>#VALUE!</v>
      </c>
      <c r="R168" t="e">
        <f>'All regions'!H4643+"$F;@!(KR"</f>
        <v>#VALUE!</v>
      </c>
      <c r="S168" t="e">
        <f>'All regions'!I4643+"$F;@!(KS"</f>
        <v>#VALUE!</v>
      </c>
      <c r="T168" t="e">
        <f>'All regions'!A4644+"$F;@!(KT"</f>
        <v>#VALUE!</v>
      </c>
      <c r="U168" t="e">
        <f>'All regions'!B4644+"$F;@!(KU"</f>
        <v>#VALUE!</v>
      </c>
      <c r="V168" t="e">
        <f>'All regions'!C4644+"$F;@!(KV"</f>
        <v>#VALUE!</v>
      </c>
      <c r="W168" t="e">
        <f>'All regions'!D4644+"$F;@!(KW"</f>
        <v>#VALUE!</v>
      </c>
      <c r="X168" t="e">
        <f>'All regions'!E4644+"$F;@!(KX"</f>
        <v>#VALUE!</v>
      </c>
      <c r="Y168" t="e">
        <f>'All regions'!F4644+"$F;@!(KY"</f>
        <v>#VALUE!</v>
      </c>
      <c r="Z168" t="e">
        <f>'All regions'!G4644+"$F;@!(KZ"</f>
        <v>#VALUE!</v>
      </c>
      <c r="AA168" t="e">
        <f>'All regions'!H4644+"$F;@!(K["</f>
        <v>#VALUE!</v>
      </c>
      <c r="AB168" t="e">
        <f>'All regions'!I4644+"$F;@!(K\"</f>
        <v>#VALUE!</v>
      </c>
      <c r="AC168" t="e">
        <f>'All regions'!A4645+"$F;@!(K]"</f>
        <v>#VALUE!</v>
      </c>
      <c r="AD168" t="e">
        <f>'All regions'!B4645+"$F;@!(K^"</f>
        <v>#VALUE!</v>
      </c>
      <c r="AE168" t="e">
        <f>'All regions'!C4645+"$F;@!(K_"</f>
        <v>#VALUE!</v>
      </c>
      <c r="AF168" t="e">
        <f>'All regions'!D4645+"$F;@!(K`"</f>
        <v>#VALUE!</v>
      </c>
      <c r="AG168" t="e">
        <f>'All regions'!E4645+"$F;@!(Ka"</f>
        <v>#VALUE!</v>
      </c>
      <c r="AH168" t="e">
        <f>'All regions'!F4645+"$F;@!(Kb"</f>
        <v>#VALUE!</v>
      </c>
      <c r="AI168" t="e">
        <f>'All regions'!G4645+"$F;@!(Kc"</f>
        <v>#VALUE!</v>
      </c>
      <c r="AJ168" t="e">
        <f>'All regions'!H4645+"$F;@!(Kd"</f>
        <v>#VALUE!</v>
      </c>
      <c r="AK168" t="e">
        <f>'All regions'!I4645+"$F;@!(Ke"</f>
        <v>#VALUE!</v>
      </c>
      <c r="AL168" t="e">
        <f>'All regions'!A4646+"$F;@!(Kf"</f>
        <v>#VALUE!</v>
      </c>
      <c r="AM168" t="e">
        <f>'All regions'!B4646+"$F;@!(Kg"</f>
        <v>#VALUE!</v>
      </c>
      <c r="AN168" t="e">
        <f>'All regions'!C4646+"$F;@!(Kh"</f>
        <v>#VALUE!</v>
      </c>
      <c r="AO168" t="e">
        <f>'All regions'!D4646+"$F;@!(Ki"</f>
        <v>#VALUE!</v>
      </c>
      <c r="AP168" t="e">
        <f>'All regions'!E4646+"$F;@!(Kj"</f>
        <v>#VALUE!</v>
      </c>
      <c r="AQ168" t="e">
        <f>'All regions'!F4646+"$F;@!(Kk"</f>
        <v>#VALUE!</v>
      </c>
      <c r="AR168" t="e">
        <f>'All regions'!G4646+"$F;@!(Kl"</f>
        <v>#VALUE!</v>
      </c>
      <c r="AS168" t="e">
        <f>'All regions'!H4646+"$F;@!(Km"</f>
        <v>#VALUE!</v>
      </c>
      <c r="AT168" t="e">
        <f>'All regions'!I4646+"$F;@!(Kn"</f>
        <v>#VALUE!</v>
      </c>
      <c r="AU168" t="e">
        <f>'All regions'!A4647+"$F;@!(Ko"</f>
        <v>#VALUE!</v>
      </c>
      <c r="AV168" t="e">
        <f>'All regions'!B4647+"$F;@!(Kp"</f>
        <v>#VALUE!</v>
      </c>
      <c r="AW168" t="e">
        <f>'All regions'!C4647+"$F;@!(Kq"</f>
        <v>#VALUE!</v>
      </c>
      <c r="AX168" t="e">
        <f>'All regions'!D4647+"$F;@!(Kr"</f>
        <v>#VALUE!</v>
      </c>
      <c r="AY168" t="e">
        <f>'All regions'!E4647+"$F;@!(Ks"</f>
        <v>#VALUE!</v>
      </c>
      <c r="AZ168" t="e">
        <f>'All regions'!F4647+"$F;@!(Kt"</f>
        <v>#VALUE!</v>
      </c>
      <c r="BA168" t="e">
        <f>'All regions'!G4647+"$F;@!(Ku"</f>
        <v>#VALUE!</v>
      </c>
      <c r="BB168" t="e">
        <f>'All regions'!H4647+"$F;@!(Kv"</f>
        <v>#VALUE!</v>
      </c>
      <c r="BC168" t="e">
        <f>'All regions'!I4647+"$F;@!(Kw"</f>
        <v>#VALUE!</v>
      </c>
      <c r="BD168" t="e">
        <f>'All regions'!A4648+"$F;@!(Kx"</f>
        <v>#VALUE!</v>
      </c>
      <c r="BE168" t="e">
        <f>'All regions'!B4648+"$F;@!(Ky"</f>
        <v>#VALUE!</v>
      </c>
      <c r="BF168" t="e">
        <f>'All regions'!C4648+"$F;@!(Kz"</f>
        <v>#VALUE!</v>
      </c>
      <c r="BG168" t="e">
        <f>'All regions'!D4648+"$F;@!(K{"</f>
        <v>#VALUE!</v>
      </c>
      <c r="BH168" t="e">
        <f>'All regions'!E4648+"$F;@!(K|"</f>
        <v>#VALUE!</v>
      </c>
      <c r="BI168" t="e">
        <f>'All regions'!F4648+"$F;@!(K}"</f>
        <v>#VALUE!</v>
      </c>
      <c r="BJ168" t="e">
        <f>'All regions'!G4648+"$F;@!(K~"</f>
        <v>#VALUE!</v>
      </c>
      <c r="BK168" t="e">
        <f>'All regions'!H4648+"$F;@!(L#"</f>
        <v>#VALUE!</v>
      </c>
      <c r="BL168" t="e">
        <f>'All regions'!I4648+"$F;@!(L$"</f>
        <v>#VALUE!</v>
      </c>
      <c r="BM168" t="e">
        <f>'All regions'!A4649+"$F;@!(L%"</f>
        <v>#VALUE!</v>
      </c>
      <c r="BN168" t="e">
        <f>'All regions'!B4649+"$F;@!(L&amp;"</f>
        <v>#VALUE!</v>
      </c>
      <c r="BO168" t="e">
        <f>'All regions'!C4649+"$F;@!(L'"</f>
        <v>#VALUE!</v>
      </c>
      <c r="BP168" t="e">
        <f>'All regions'!D4649+"$F;@!(L("</f>
        <v>#VALUE!</v>
      </c>
      <c r="BQ168" t="e">
        <f>'All regions'!E4649+"$F;@!(L)"</f>
        <v>#VALUE!</v>
      </c>
      <c r="BR168" t="e">
        <f>'All regions'!F4649+"$F;@!(L."</f>
        <v>#VALUE!</v>
      </c>
      <c r="BS168" t="e">
        <f>'All regions'!G4649+"$F;@!(L/"</f>
        <v>#VALUE!</v>
      </c>
      <c r="BT168" t="e">
        <f>'All regions'!H4649+"$F;@!(L0"</f>
        <v>#VALUE!</v>
      </c>
      <c r="BU168" t="e">
        <f>'All regions'!I4649+"$F;@!(L1"</f>
        <v>#VALUE!</v>
      </c>
      <c r="BV168" t="e">
        <f>'All regions'!A4650+"$F;@!(L2"</f>
        <v>#VALUE!</v>
      </c>
      <c r="BW168" t="e">
        <f>'All regions'!B4650+"$F;@!(L3"</f>
        <v>#VALUE!</v>
      </c>
      <c r="BX168" t="e">
        <f>'All regions'!C4650+"$F;@!(L4"</f>
        <v>#VALUE!</v>
      </c>
      <c r="BY168" t="e">
        <f>'All regions'!D4650+"$F;@!(L5"</f>
        <v>#VALUE!</v>
      </c>
      <c r="BZ168" t="e">
        <f>'All regions'!E4650+"$F;@!(L6"</f>
        <v>#VALUE!</v>
      </c>
      <c r="CA168" t="e">
        <f>'All regions'!F4650+"$F;@!(L7"</f>
        <v>#VALUE!</v>
      </c>
      <c r="CB168" t="e">
        <f>'All regions'!G4650+"$F;@!(L8"</f>
        <v>#VALUE!</v>
      </c>
      <c r="CC168" t="e">
        <f>'All regions'!H4650+"$F;@!(L9"</f>
        <v>#VALUE!</v>
      </c>
      <c r="CD168" t="e">
        <f>'All regions'!I4650+"$F;@!(L:"</f>
        <v>#VALUE!</v>
      </c>
      <c r="CE168" t="e">
        <f>'All regions'!A4651+"$F;@!(L;"</f>
        <v>#VALUE!</v>
      </c>
      <c r="CF168" t="e">
        <f>'All regions'!B4651+"$F;@!(L&lt;"</f>
        <v>#VALUE!</v>
      </c>
      <c r="CG168" t="e">
        <f>'All regions'!C4651+"$F;@!(L="</f>
        <v>#VALUE!</v>
      </c>
      <c r="CH168" t="e">
        <f>'All regions'!D4651+"$F;@!(L&gt;"</f>
        <v>#VALUE!</v>
      </c>
      <c r="CI168" t="e">
        <f>'All regions'!E4651+"$F;@!(L?"</f>
        <v>#VALUE!</v>
      </c>
      <c r="CJ168" t="e">
        <f>'All regions'!F4651+"$F;@!(L@"</f>
        <v>#VALUE!</v>
      </c>
      <c r="CK168" t="e">
        <f>'All regions'!G4651+"$F;@!(LA"</f>
        <v>#VALUE!</v>
      </c>
      <c r="CL168" t="e">
        <f>'All regions'!H4651+"$F;@!(LB"</f>
        <v>#VALUE!</v>
      </c>
      <c r="CM168" t="e">
        <f>'All regions'!I4651+"$F;@!(LC"</f>
        <v>#VALUE!</v>
      </c>
      <c r="CN168" t="e">
        <f>'All regions'!A4652+"$F;@!(LD"</f>
        <v>#VALUE!</v>
      </c>
      <c r="CO168" t="e">
        <f>'All regions'!B4652+"$F;@!(LE"</f>
        <v>#VALUE!</v>
      </c>
      <c r="CP168" t="e">
        <f>'All regions'!C4652+"$F;@!(LF"</f>
        <v>#VALUE!</v>
      </c>
      <c r="CQ168" t="e">
        <f>'All regions'!D4652+"$F;@!(LG"</f>
        <v>#VALUE!</v>
      </c>
      <c r="CR168" t="e">
        <f>'All regions'!E4652+"$F;@!(LH"</f>
        <v>#VALUE!</v>
      </c>
      <c r="CS168" t="e">
        <f>'All regions'!F4652+"$F;@!(LI"</f>
        <v>#VALUE!</v>
      </c>
      <c r="CT168" t="e">
        <f>'All regions'!G4652+"$F;@!(LJ"</f>
        <v>#VALUE!</v>
      </c>
      <c r="CU168" t="e">
        <f>'All regions'!H4652+"$F;@!(LK"</f>
        <v>#VALUE!</v>
      </c>
      <c r="CV168" t="e">
        <f>'All regions'!I4652+"$F;@!(LL"</f>
        <v>#VALUE!</v>
      </c>
      <c r="CW168" t="e">
        <f>'All regions'!A4653+"$F;@!(LM"</f>
        <v>#VALUE!</v>
      </c>
      <c r="CX168" t="e">
        <f>'All regions'!B4653+"$F;@!(LN"</f>
        <v>#VALUE!</v>
      </c>
      <c r="CY168" t="e">
        <f>'All regions'!C4653+"$F;@!(LO"</f>
        <v>#VALUE!</v>
      </c>
      <c r="CZ168" t="e">
        <f>'All regions'!D4653+"$F;@!(LP"</f>
        <v>#VALUE!</v>
      </c>
      <c r="DA168" t="e">
        <f>'All regions'!E4653+"$F;@!(LQ"</f>
        <v>#VALUE!</v>
      </c>
      <c r="DB168" t="e">
        <f>'All regions'!F4653+"$F;@!(LR"</f>
        <v>#VALUE!</v>
      </c>
      <c r="DC168" t="e">
        <f>'All regions'!G4653+"$F;@!(LS"</f>
        <v>#VALUE!</v>
      </c>
      <c r="DD168" t="e">
        <f>'All regions'!H4653+"$F;@!(LT"</f>
        <v>#VALUE!</v>
      </c>
      <c r="DE168" t="e">
        <f>'All regions'!I4653+"$F;@!(LU"</f>
        <v>#VALUE!</v>
      </c>
      <c r="DF168" t="e">
        <f>'All regions'!A4654+"$F;@!(LV"</f>
        <v>#VALUE!</v>
      </c>
      <c r="DG168" t="e">
        <f>'All regions'!B4654+"$F;@!(LW"</f>
        <v>#VALUE!</v>
      </c>
      <c r="DH168" t="e">
        <f>'All regions'!C4654+"$F;@!(LX"</f>
        <v>#VALUE!</v>
      </c>
      <c r="DI168" t="e">
        <f>'All regions'!D4654+"$F;@!(LY"</f>
        <v>#VALUE!</v>
      </c>
      <c r="DJ168" t="e">
        <f>'All regions'!E4654+"$F;@!(LZ"</f>
        <v>#VALUE!</v>
      </c>
      <c r="DK168" t="e">
        <f>'All regions'!F4654+"$F;@!(L["</f>
        <v>#VALUE!</v>
      </c>
      <c r="DL168" t="e">
        <f>'All regions'!G4654+"$F;@!(L\"</f>
        <v>#VALUE!</v>
      </c>
      <c r="DM168" t="e">
        <f>'All regions'!H4654+"$F;@!(L]"</f>
        <v>#VALUE!</v>
      </c>
      <c r="DN168" t="e">
        <f>'All regions'!I4654+"$F;@!(L^"</f>
        <v>#VALUE!</v>
      </c>
      <c r="DO168" t="e">
        <f>'All regions'!A4655+"$F;@!(L_"</f>
        <v>#VALUE!</v>
      </c>
      <c r="DP168" t="e">
        <f>'All regions'!B4655+"$F;@!(L`"</f>
        <v>#VALUE!</v>
      </c>
      <c r="DQ168" t="e">
        <f>'All regions'!C4655+"$F;@!(La"</f>
        <v>#VALUE!</v>
      </c>
      <c r="DR168" t="e">
        <f>'All regions'!D4655+"$F;@!(Lb"</f>
        <v>#VALUE!</v>
      </c>
      <c r="DS168" t="e">
        <f>'All regions'!E4655+"$F;@!(Lc"</f>
        <v>#VALUE!</v>
      </c>
      <c r="DT168" t="e">
        <f>'All regions'!F4655+"$F;@!(Ld"</f>
        <v>#VALUE!</v>
      </c>
      <c r="DU168" t="e">
        <f>'All regions'!G4655+"$F;@!(Le"</f>
        <v>#VALUE!</v>
      </c>
      <c r="DV168" t="e">
        <f>'All regions'!H4655+"$F;@!(Lf"</f>
        <v>#VALUE!</v>
      </c>
      <c r="DW168" t="e">
        <f>'All regions'!I4655+"$F;@!(Lg"</f>
        <v>#VALUE!</v>
      </c>
      <c r="DX168" t="e">
        <f>'All regions'!A4656+"$F;@!(Lh"</f>
        <v>#VALUE!</v>
      </c>
      <c r="DY168" t="e">
        <f>'All regions'!B4656+"$F;@!(Li"</f>
        <v>#VALUE!</v>
      </c>
      <c r="DZ168" t="e">
        <f>'All regions'!C4656+"$F;@!(Lj"</f>
        <v>#VALUE!</v>
      </c>
      <c r="EA168" t="e">
        <f>'All regions'!D4656+"$F;@!(Lk"</f>
        <v>#VALUE!</v>
      </c>
      <c r="EB168" t="e">
        <f>'All regions'!E4656+"$F;@!(Ll"</f>
        <v>#VALUE!</v>
      </c>
      <c r="EC168" t="e">
        <f>'All regions'!F4656+"$F;@!(Lm"</f>
        <v>#VALUE!</v>
      </c>
      <c r="ED168" t="e">
        <f>'All regions'!G4656+"$F;@!(Ln"</f>
        <v>#VALUE!</v>
      </c>
      <c r="EE168" t="e">
        <f>'All regions'!H4656+"$F;@!(Lo"</f>
        <v>#VALUE!</v>
      </c>
      <c r="EF168" t="e">
        <f>'All regions'!I4656+"$F;@!(Lp"</f>
        <v>#VALUE!</v>
      </c>
      <c r="EG168" t="e">
        <f>'All regions'!A4657+"$F;@!(Lq"</f>
        <v>#VALUE!</v>
      </c>
      <c r="EH168" t="e">
        <f>'All regions'!B4657+"$F;@!(Lr"</f>
        <v>#VALUE!</v>
      </c>
      <c r="EI168" t="e">
        <f>'All regions'!C4657+"$F;@!(Ls"</f>
        <v>#VALUE!</v>
      </c>
      <c r="EJ168" t="e">
        <f>'All regions'!D4657+"$F;@!(Lt"</f>
        <v>#VALUE!</v>
      </c>
      <c r="EK168" t="e">
        <f>'All regions'!E4657+"$F;@!(Lu"</f>
        <v>#VALUE!</v>
      </c>
      <c r="EL168" t="e">
        <f>'All regions'!F4657+"$F;@!(Lv"</f>
        <v>#VALUE!</v>
      </c>
      <c r="EM168" t="e">
        <f>'All regions'!G4657+"$F;@!(Lw"</f>
        <v>#VALUE!</v>
      </c>
      <c r="EN168" t="e">
        <f>'All regions'!H4657+"$F;@!(Lx"</f>
        <v>#VALUE!</v>
      </c>
      <c r="EO168" t="e">
        <f>'All regions'!I4657+"$F;@!(Ly"</f>
        <v>#VALUE!</v>
      </c>
      <c r="EP168" t="e">
        <f>'All regions'!A4658+"$F;@!(Lz"</f>
        <v>#VALUE!</v>
      </c>
      <c r="EQ168" t="e">
        <f>'All regions'!B4658+"$F;@!(L{"</f>
        <v>#VALUE!</v>
      </c>
      <c r="ER168" t="e">
        <f>'All regions'!C4658+"$F;@!(L|"</f>
        <v>#VALUE!</v>
      </c>
      <c r="ES168" t="e">
        <f>'All regions'!D4658+"$F;@!(L}"</f>
        <v>#VALUE!</v>
      </c>
      <c r="ET168" t="e">
        <f>'All regions'!E4658+"$F;@!(L~"</f>
        <v>#VALUE!</v>
      </c>
      <c r="EU168" t="e">
        <f>'All regions'!F4658+"$F;@!(M#"</f>
        <v>#VALUE!</v>
      </c>
      <c r="EV168" t="e">
        <f>'All regions'!G4658+"$F;@!(M$"</f>
        <v>#VALUE!</v>
      </c>
      <c r="EW168" t="e">
        <f>'All regions'!H4658+"$F;@!(M%"</f>
        <v>#VALUE!</v>
      </c>
      <c r="EX168" t="e">
        <f>'All regions'!I4658+"$F;@!(M&amp;"</f>
        <v>#VALUE!</v>
      </c>
      <c r="EY168" t="e">
        <f>'All regions'!A4659+"$F;@!(M'"</f>
        <v>#VALUE!</v>
      </c>
      <c r="EZ168" t="e">
        <f>'All regions'!B4659+"$F;@!(M("</f>
        <v>#VALUE!</v>
      </c>
      <c r="FA168" t="e">
        <f>'All regions'!C4659+"$F;@!(M)"</f>
        <v>#VALUE!</v>
      </c>
      <c r="FB168" t="e">
        <f>'All regions'!D4659+"$F;@!(M."</f>
        <v>#VALUE!</v>
      </c>
      <c r="FC168" t="e">
        <f>'All regions'!E4659+"$F;@!(M/"</f>
        <v>#VALUE!</v>
      </c>
      <c r="FD168" t="e">
        <f>'All regions'!F4659+"$F;@!(M0"</f>
        <v>#VALUE!</v>
      </c>
      <c r="FE168" t="e">
        <f>'All regions'!G4659+"$F;@!(M1"</f>
        <v>#VALUE!</v>
      </c>
      <c r="FF168" t="e">
        <f>'All regions'!H4659+"$F;@!(M2"</f>
        <v>#VALUE!</v>
      </c>
      <c r="FG168" t="e">
        <f>'All regions'!I4659+"$F;@!(M3"</f>
        <v>#VALUE!</v>
      </c>
      <c r="FH168" t="e">
        <f>'All regions'!A4660+"$F;@!(M4"</f>
        <v>#VALUE!</v>
      </c>
      <c r="FI168" t="e">
        <f>'All regions'!B4660+"$F;@!(M5"</f>
        <v>#VALUE!</v>
      </c>
      <c r="FJ168" t="e">
        <f>'All regions'!C4660+"$F;@!(M6"</f>
        <v>#VALUE!</v>
      </c>
      <c r="FK168" t="e">
        <f>'All regions'!D4660+"$F;@!(M7"</f>
        <v>#VALUE!</v>
      </c>
      <c r="FL168" t="e">
        <f>'All regions'!E4660+"$F;@!(M8"</f>
        <v>#VALUE!</v>
      </c>
      <c r="FM168" t="e">
        <f>'All regions'!F4660+"$F;@!(M9"</f>
        <v>#VALUE!</v>
      </c>
      <c r="FN168" t="e">
        <f>'All regions'!G4660+"$F;@!(M:"</f>
        <v>#VALUE!</v>
      </c>
      <c r="FO168" t="e">
        <f>'All regions'!H4660+"$F;@!(M;"</f>
        <v>#VALUE!</v>
      </c>
      <c r="FP168" t="e">
        <f>'All regions'!I4660+"$F;@!(M&lt;"</f>
        <v>#VALUE!</v>
      </c>
      <c r="FQ168" t="e">
        <f>'All regions'!A4661+"$F;@!(M="</f>
        <v>#VALUE!</v>
      </c>
      <c r="FR168" t="e">
        <f>'All regions'!B4661+"$F;@!(M&gt;"</f>
        <v>#VALUE!</v>
      </c>
      <c r="FS168" t="e">
        <f>'All regions'!C4661+"$F;@!(M?"</f>
        <v>#VALUE!</v>
      </c>
      <c r="FT168" t="e">
        <f>'All regions'!D4661+"$F;@!(M@"</f>
        <v>#VALUE!</v>
      </c>
      <c r="FU168" t="e">
        <f>'All regions'!E4661+"$F;@!(MA"</f>
        <v>#VALUE!</v>
      </c>
      <c r="FV168" t="e">
        <f>'All regions'!F4661+"$F;@!(MB"</f>
        <v>#VALUE!</v>
      </c>
      <c r="FW168" t="e">
        <f>'All regions'!G4661+"$F;@!(MC"</f>
        <v>#VALUE!</v>
      </c>
      <c r="FX168" t="e">
        <f>'All regions'!H4661+"$F;@!(MD"</f>
        <v>#VALUE!</v>
      </c>
      <c r="FY168" t="e">
        <f>'All regions'!I4661+"$F;@!(ME"</f>
        <v>#VALUE!</v>
      </c>
      <c r="FZ168" t="e">
        <f>'All regions'!A4662+"$F;@!(MF"</f>
        <v>#VALUE!</v>
      </c>
      <c r="GA168" t="e">
        <f>'All regions'!B4662+"$F;@!(MG"</f>
        <v>#VALUE!</v>
      </c>
      <c r="GB168" t="e">
        <f>'All regions'!C4662+"$F;@!(MH"</f>
        <v>#VALUE!</v>
      </c>
      <c r="GC168" t="e">
        <f>'All regions'!D4662+"$F;@!(MI"</f>
        <v>#VALUE!</v>
      </c>
      <c r="GD168" t="e">
        <f>'All regions'!E4662+"$F;@!(MJ"</f>
        <v>#VALUE!</v>
      </c>
      <c r="GE168" t="e">
        <f>'All regions'!F4662+"$F;@!(MK"</f>
        <v>#VALUE!</v>
      </c>
      <c r="GF168" t="e">
        <f>'All regions'!G4662+"$F;@!(ML"</f>
        <v>#VALUE!</v>
      </c>
      <c r="GG168" t="e">
        <f>'All regions'!H4662+"$F;@!(MM"</f>
        <v>#VALUE!</v>
      </c>
      <c r="GH168" t="e">
        <f>'All regions'!I4662+"$F;@!(MN"</f>
        <v>#VALUE!</v>
      </c>
      <c r="GI168" t="e">
        <f>'All regions'!A4663+"$F;@!(MO"</f>
        <v>#VALUE!</v>
      </c>
      <c r="GJ168" t="e">
        <f>'All regions'!B4663+"$F;@!(MP"</f>
        <v>#VALUE!</v>
      </c>
      <c r="GK168" t="e">
        <f>'All regions'!C4663+"$F;@!(MQ"</f>
        <v>#VALUE!</v>
      </c>
      <c r="GL168" t="e">
        <f>'All regions'!D4663+"$F;@!(MR"</f>
        <v>#VALUE!</v>
      </c>
      <c r="GM168" t="e">
        <f>'All regions'!E4663+"$F;@!(MS"</f>
        <v>#VALUE!</v>
      </c>
      <c r="GN168" t="e">
        <f>'All regions'!F4663+"$F;@!(MT"</f>
        <v>#VALUE!</v>
      </c>
      <c r="GO168" t="e">
        <f>'All regions'!G4663+"$F;@!(MU"</f>
        <v>#VALUE!</v>
      </c>
      <c r="GP168" t="e">
        <f>'All regions'!H4663+"$F;@!(MV"</f>
        <v>#VALUE!</v>
      </c>
      <c r="GQ168" t="e">
        <f>'All regions'!I4663+"$F;@!(MW"</f>
        <v>#VALUE!</v>
      </c>
      <c r="GR168" t="e">
        <f>'All regions'!A4664+"$F;@!(MX"</f>
        <v>#VALUE!</v>
      </c>
      <c r="GS168" t="e">
        <f>'All regions'!B4664+"$F;@!(MY"</f>
        <v>#VALUE!</v>
      </c>
      <c r="GT168" t="e">
        <f>'All regions'!C4664+"$F;@!(MZ"</f>
        <v>#VALUE!</v>
      </c>
      <c r="GU168" t="e">
        <f>'All regions'!D4664+"$F;@!(M["</f>
        <v>#VALUE!</v>
      </c>
      <c r="GV168" t="e">
        <f>'All regions'!E4664+"$F;@!(M\"</f>
        <v>#VALUE!</v>
      </c>
      <c r="GW168" t="e">
        <f>'All regions'!F4664+"$F;@!(M]"</f>
        <v>#VALUE!</v>
      </c>
      <c r="GX168" t="e">
        <f>'All regions'!G4664+"$F;@!(M^"</f>
        <v>#VALUE!</v>
      </c>
      <c r="GY168" t="e">
        <f>'All regions'!H4664+"$F;@!(M_"</f>
        <v>#VALUE!</v>
      </c>
      <c r="GZ168" t="e">
        <f>'All regions'!I4664+"$F;@!(M`"</f>
        <v>#VALUE!</v>
      </c>
      <c r="HA168" t="e">
        <f>'All regions'!A4665+"$F;@!(Ma"</f>
        <v>#VALUE!</v>
      </c>
      <c r="HB168" t="e">
        <f>'All regions'!B4665+"$F;@!(Mb"</f>
        <v>#VALUE!</v>
      </c>
      <c r="HC168" t="e">
        <f>'All regions'!C4665+"$F;@!(Mc"</f>
        <v>#VALUE!</v>
      </c>
      <c r="HD168" t="e">
        <f>'All regions'!D4665+"$F;@!(Md"</f>
        <v>#VALUE!</v>
      </c>
      <c r="HE168" t="e">
        <f>'All regions'!E4665+"$F;@!(Me"</f>
        <v>#VALUE!</v>
      </c>
      <c r="HF168" t="e">
        <f>'All regions'!F4665+"$F;@!(Mf"</f>
        <v>#VALUE!</v>
      </c>
      <c r="HG168" t="e">
        <f>'All regions'!G4665+"$F;@!(Mg"</f>
        <v>#VALUE!</v>
      </c>
      <c r="HH168" t="e">
        <f>'All regions'!H4665+"$F;@!(Mh"</f>
        <v>#VALUE!</v>
      </c>
      <c r="HI168" t="e">
        <f>'All regions'!I4665+"$F;@!(Mi"</f>
        <v>#VALUE!</v>
      </c>
      <c r="HJ168" t="e">
        <f>'All regions'!A4666+"$F;@!(Mj"</f>
        <v>#VALUE!</v>
      </c>
      <c r="HK168" t="e">
        <f>'All regions'!B4666+"$F;@!(Mk"</f>
        <v>#VALUE!</v>
      </c>
      <c r="HL168" t="e">
        <f>'All regions'!C4666+"$F;@!(Ml"</f>
        <v>#VALUE!</v>
      </c>
      <c r="HM168" t="e">
        <f>'All regions'!D4666+"$F;@!(Mm"</f>
        <v>#VALUE!</v>
      </c>
      <c r="HN168" t="e">
        <f>'All regions'!E4666+"$F;@!(Mn"</f>
        <v>#VALUE!</v>
      </c>
      <c r="HO168" t="e">
        <f>'All regions'!F4666+"$F;@!(Mo"</f>
        <v>#VALUE!</v>
      </c>
      <c r="HP168" t="e">
        <f>'All regions'!G4666+"$F;@!(Mp"</f>
        <v>#VALUE!</v>
      </c>
      <c r="HQ168" t="e">
        <f>'All regions'!H4666+"$F;@!(Mq"</f>
        <v>#VALUE!</v>
      </c>
      <c r="HR168" t="e">
        <f>'All regions'!I4666+"$F;@!(Mr"</f>
        <v>#VALUE!</v>
      </c>
      <c r="HS168" t="e">
        <f>'All regions'!A4667+"$F;@!(Ms"</f>
        <v>#VALUE!</v>
      </c>
      <c r="HT168" t="e">
        <f>'All regions'!B4667+"$F;@!(Mt"</f>
        <v>#VALUE!</v>
      </c>
      <c r="HU168" t="e">
        <f>'All regions'!C4667+"$F;@!(Mu"</f>
        <v>#VALUE!</v>
      </c>
      <c r="HV168" t="e">
        <f>'All regions'!D4667+"$F;@!(Mv"</f>
        <v>#VALUE!</v>
      </c>
      <c r="HW168" t="e">
        <f>'All regions'!E4667+"$F;@!(Mw"</f>
        <v>#VALUE!</v>
      </c>
      <c r="HX168" t="e">
        <f>'All regions'!F4667+"$F;@!(Mx"</f>
        <v>#VALUE!</v>
      </c>
      <c r="HY168" t="e">
        <f>'All regions'!G4667+"$F;@!(My"</f>
        <v>#VALUE!</v>
      </c>
      <c r="HZ168" t="e">
        <f>'All regions'!H4667+"$F;@!(Mz"</f>
        <v>#VALUE!</v>
      </c>
      <c r="IA168" t="e">
        <f>'All regions'!I4667+"$F;@!(M{"</f>
        <v>#VALUE!</v>
      </c>
      <c r="IB168" t="e">
        <f>'All regions'!A4668+"$F;@!(M|"</f>
        <v>#VALUE!</v>
      </c>
      <c r="IC168" t="e">
        <f>'All regions'!B4668+"$F;@!(M}"</f>
        <v>#VALUE!</v>
      </c>
      <c r="ID168" t="e">
        <f>'All regions'!C4668+"$F;@!(M~"</f>
        <v>#VALUE!</v>
      </c>
      <c r="IE168" t="e">
        <f>'All regions'!D4668+"$F;@!(N#"</f>
        <v>#VALUE!</v>
      </c>
      <c r="IF168" t="e">
        <f>'All regions'!E4668+"$F;@!(N$"</f>
        <v>#VALUE!</v>
      </c>
      <c r="IG168" t="e">
        <f>'All regions'!F4668+"$F;@!(N%"</f>
        <v>#VALUE!</v>
      </c>
      <c r="IH168" t="e">
        <f>'All regions'!G4668+"$F;@!(N&amp;"</f>
        <v>#VALUE!</v>
      </c>
      <c r="II168" t="e">
        <f>'All regions'!H4668+"$F;@!(N'"</f>
        <v>#VALUE!</v>
      </c>
      <c r="IJ168" t="e">
        <f>'All regions'!I4668+"$F;@!(N("</f>
        <v>#VALUE!</v>
      </c>
      <c r="IK168" t="e">
        <f>'All regions'!A4669+"$F;@!(N)"</f>
        <v>#VALUE!</v>
      </c>
      <c r="IL168" t="e">
        <f>'All regions'!B4669+"$F;@!(N."</f>
        <v>#VALUE!</v>
      </c>
      <c r="IM168" t="e">
        <f>'All regions'!C4669+"$F;@!(N/"</f>
        <v>#VALUE!</v>
      </c>
      <c r="IN168" t="e">
        <f>'All regions'!D4669+"$F;@!(N0"</f>
        <v>#VALUE!</v>
      </c>
      <c r="IO168" t="e">
        <f>'All regions'!E4669+"$F;@!(N1"</f>
        <v>#VALUE!</v>
      </c>
      <c r="IP168" t="e">
        <f>'All regions'!F4669+"$F;@!(N2"</f>
        <v>#VALUE!</v>
      </c>
      <c r="IQ168" t="e">
        <f>'All regions'!G4669+"$F;@!(N3"</f>
        <v>#VALUE!</v>
      </c>
      <c r="IR168" t="e">
        <f>'All regions'!H4669+"$F;@!(N4"</f>
        <v>#VALUE!</v>
      </c>
      <c r="IS168" t="e">
        <f>'All regions'!I4669+"$F;@!(N5"</f>
        <v>#VALUE!</v>
      </c>
      <c r="IT168" t="e">
        <f>'All regions'!A4670+"$F;@!(N6"</f>
        <v>#VALUE!</v>
      </c>
      <c r="IU168" t="e">
        <f>'All regions'!B4670+"$F;@!(N7"</f>
        <v>#VALUE!</v>
      </c>
      <c r="IV168" t="e">
        <f>'All regions'!C4670+"$F;@!(N8"</f>
        <v>#VALUE!</v>
      </c>
    </row>
    <row r="169" spans="6:256" x14ac:dyDescent="0.35">
      <c r="F169" t="e">
        <f>'All regions'!D4670+"$F;@!(N9"</f>
        <v>#VALUE!</v>
      </c>
      <c r="G169" t="e">
        <f>'All regions'!E4670+"$F;@!(N:"</f>
        <v>#VALUE!</v>
      </c>
      <c r="H169" t="e">
        <f>'All regions'!F4670+"$F;@!(N;"</f>
        <v>#VALUE!</v>
      </c>
      <c r="I169" t="e">
        <f>'All regions'!G4670+"$F;@!(N&lt;"</f>
        <v>#VALUE!</v>
      </c>
      <c r="J169" t="e">
        <f>'All regions'!H4670+"$F;@!(N="</f>
        <v>#VALUE!</v>
      </c>
      <c r="K169" t="e">
        <f>'All regions'!I4670+"$F;@!(N&gt;"</f>
        <v>#VALUE!</v>
      </c>
      <c r="L169" t="e">
        <f>'All regions'!A4671+"$F;@!(N?"</f>
        <v>#VALUE!</v>
      </c>
      <c r="M169" t="e">
        <f>'All regions'!B4671+"$F;@!(N@"</f>
        <v>#VALUE!</v>
      </c>
      <c r="N169" t="e">
        <f>'All regions'!C4671+"$F;@!(NA"</f>
        <v>#VALUE!</v>
      </c>
      <c r="O169" t="e">
        <f>'All regions'!D4671+"$F;@!(NB"</f>
        <v>#VALUE!</v>
      </c>
      <c r="P169" t="e">
        <f>'All regions'!E4671+"$F;@!(NC"</f>
        <v>#VALUE!</v>
      </c>
      <c r="Q169" t="e">
        <f>'All regions'!F4671+"$F;@!(ND"</f>
        <v>#VALUE!</v>
      </c>
      <c r="R169" t="e">
        <f>'All regions'!G4671+"$F;@!(NE"</f>
        <v>#VALUE!</v>
      </c>
      <c r="S169" t="e">
        <f>'All regions'!H4671+"$F;@!(NF"</f>
        <v>#VALUE!</v>
      </c>
      <c r="T169" t="e">
        <f>'All regions'!I4671+"$F;@!(NG"</f>
        <v>#VALUE!</v>
      </c>
      <c r="U169" t="e">
        <f>'All regions'!A4672+"$F;@!(NH"</f>
        <v>#VALUE!</v>
      </c>
      <c r="V169" t="e">
        <f>'All regions'!B4672+"$F;@!(NI"</f>
        <v>#VALUE!</v>
      </c>
      <c r="W169" t="e">
        <f>'All regions'!C4672+"$F;@!(NJ"</f>
        <v>#VALUE!</v>
      </c>
      <c r="X169" t="e">
        <f>'All regions'!D4672+"$F;@!(NK"</f>
        <v>#VALUE!</v>
      </c>
      <c r="Y169" t="e">
        <f>'All regions'!E4672+"$F;@!(NL"</f>
        <v>#VALUE!</v>
      </c>
      <c r="Z169" t="e">
        <f>'All regions'!F4672+"$F;@!(NM"</f>
        <v>#VALUE!</v>
      </c>
      <c r="AA169" t="e">
        <f>'All regions'!G4672+"$F;@!(NN"</f>
        <v>#VALUE!</v>
      </c>
      <c r="AB169" t="e">
        <f>'All regions'!H4672+"$F;@!(NO"</f>
        <v>#VALUE!</v>
      </c>
      <c r="AC169" t="e">
        <f>'All regions'!I4672+"$F;@!(NP"</f>
        <v>#VALUE!</v>
      </c>
      <c r="AD169" t="e">
        <f>'All regions'!A4673+"$F;@!(NQ"</f>
        <v>#VALUE!</v>
      </c>
      <c r="AE169" t="e">
        <f>'All regions'!B4673+"$F;@!(NR"</f>
        <v>#VALUE!</v>
      </c>
      <c r="AF169" t="e">
        <f>'All regions'!C4673+"$F;@!(NS"</f>
        <v>#VALUE!</v>
      </c>
      <c r="AG169" t="e">
        <f>'All regions'!D4673+"$F;@!(NT"</f>
        <v>#VALUE!</v>
      </c>
      <c r="AH169" t="e">
        <f>'All regions'!E4673+"$F;@!(NU"</f>
        <v>#VALUE!</v>
      </c>
      <c r="AI169" t="e">
        <f>'All regions'!F4673+"$F;@!(NV"</f>
        <v>#VALUE!</v>
      </c>
      <c r="AJ169" t="e">
        <f>'All regions'!G4673+"$F;@!(NW"</f>
        <v>#VALUE!</v>
      </c>
      <c r="AK169" t="e">
        <f>'All regions'!H4673+"$F;@!(NX"</f>
        <v>#VALUE!</v>
      </c>
      <c r="AL169" t="e">
        <f>'All regions'!I4673+"$F;@!(NY"</f>
        <v>#VALUE!</v>
      </c>
      <c r="AM169" t="e">
        <f>'All regions'!A4674+"$F;@!(NZ"</f>
        <v>#VALUE!</v>
      </c>
      <c r="AN169" t="e">
        <f>'All regions'!B4674+"$F;@!(N["</f>
        <v>#VALUE!</v>
      </c>
      <c r="AO169" t="e">
        <f>'All regions'!C4674+"$F;@!(N\"</f>
        <v>#VALUE!</v>
      </c>
      <c r="AP169" t="e">
        <f>'All regions'!D4674+"$F;@!(N]"</f>
        <v>#VALUE!</v>
      </c>
      <c r="AQ169" t="e">
        <f>'All regions'!E4674+"$F;@!(N^"</f>
        <v>#VALUE!</v>
      </c>
      <c r="AR169" t="e">
        <f>'All regions'!F4674+"$F;@!(N_"</f>
        <v>#VALUE!</v>
      </c>
      <c r="AS169" t="e">
        <f>'All regions'!G4674+"$F;@!(N`"</f>
        <v>#VALUE!</v>
      </c>
      <c r="AT169" t="e">
        <f>'All regions'!H4674+"$F;@!(Na"</f>
        <v>#VALUE!</v>
      </c>
      <c r="AU169" t="e">
        <f>'All regions'!I4674+"$F;@!(Nb"</f>
        <v>#VALUE!</v>
      </c>
      <c r="AV169" t="e">
        <f>'All regions'!A4675+"$F;@!(Nc"</f>
        <v>#VALUE!</v>
      </c>
      <c r="AW169" t="e">
        <f>'All regions'!B4675+"$F;@!(Nd"</f>
        <v>#VALUE!</v>
      </c>
      <c r="AX169" t="e">
        <f>'All regions'!C4675+"$F;@!(Ne"</f>
        <v>#VALUE!</v>
      </c>
      <c r="AY169" t="e">
        <f>'All regions'!D4675+"$F;@!(Nf"</f>
        <v>#VALUE!</v>
      </c>
      <c r="AZ169" t="e">
        <f>'All regions'!E4675+"$F;@!(Ng"</f>
        <v>#VALUE!</v>
      </c>
      <c r="BA169" t="e">
        <f>'All regions'!F4675+"$F;@!(Nh"</f>
        <v>#VALUE!</v>
      </c>
      <c r="BB169" t="e">
        <f>'All regions'!G4675+"$F;@!(Ni"</f>
        <v>#VALUE!</v>
      </c>
      <c r="BC169" t="e">
        <f>'All regions'!H4675+"$F;@!(Nj"</f>
        <v>#VALUE!</v>
      </c>
      <c r="BD169" t="e">
        <f>'All regions'!I4675+"$F;@!(Nk"</f>
        <v>#VALUE!</v>
      </c>
      <c r="BE169" t="e">
        <f>'All regions'!A4676+"$F;@!(Nl"</f>
        <v>#VALUE!</v>
      </c>
      <c r="BF169" t="e">
        <f>'All regions'!B4676+"$F;@!(Nm"</f>
        <v>#VALUE!</v>
      </c>
      <c r="BG169" t="e">
        <f>'All regions'!C4676+"$F;@!(Nn"</f>
        <v>#VALUE!</v>
      </c>
      <c r="BH169" t="e">
        <f>'All regions'!D4676+"$F;@!(No"</f>
        <v>#VALUE!</v>
      </c>
      <c r="BI169" t="e">
        <f>'All regions'!E4676+"$F;@!(Np"</f>
        <v>#VALUE!</v>
      </c>
      <c r="BJ169" t="e">
        <f>'All regions'!F4676+"$F;@!(Nq"</f>
        <v>#VALUE!</v>
      </c>
      <c r="BK169" t="e">
        <f>'All regions'!G4676+"$F;@!(Nr"</f>
        <v>#VALUE!</v>
      </c>
      <c r="BL169" t="e">
        <f>'All regions'!H4676+"$F;@!(Ns"</f>
        <v>#VALUE!</v>
      </c>
      <c r="BM169" t="e">
        <f>'All regions'!I4676+"$F;@!(Nt"</f>
        <v>#VALUE!</v>
      </c>
      <c r="BN169" t="e">
        <f>'All regions'!A4677+"$F;@!(Nu"</f>
        <v>#VALUE!</v>
      </c>
      <c r="BO169" t="e">
        <f>'All regions'!B4677+"$F;@!(Nv"</f>
        <v>#VALUE!</v>
      </c>
      <c r="BP169" t="e">
        <f>'All regions'!C4677+"$F;@!(Nw"</f>
        <v>#VALUE!</v>
      </c>
      <c r="BQ169" t="e">
        <f>'All regions'!D4677+"$F;@!(Nx"</f>
        <v>#VALUE!</v>
      </c>
      <c r="BR169" t="e">
        <f>'All regions'!E4677+"$F;@!(Ny"</f>
        <v>#VALUE!</v>
      </c>
      <c r="BS169" t="e">
        <f>'All regions'!F4677+"$F;@!(Nz"</f>
        <v>#VALUE!</v>
      </c>
      <c r="BT169" t="e">
        <f>'All regions'!G4677+"$F;@!(N{"</f>
        <v>#VALUE!</v>
      </c>
      <c r="BU169" t="e">
        <f>'All regions'!H4677+"$F;@!(N|"</f>
        <v>#VALUE!</v>
      </c>
      <c r="BV169" t="e">
        <f>'All regions'!I4677+"$F;@!(N}"</f>
        <v>#VALUE!</v>
      </c>
      <c r="BW169" t="e">
        <f>'All regions'!A4678+"$F;@!(N~"</f>
        <v>#VALUE!</v>
      </c>
      <c r="BX169" t="e">
        <f>'All regions'!B4678+"$F;@!(O#"</f>
        <v>#VALUE!</v>
      </c>
      <c r="BY169" t="e">
        <f>'All regions'!C4678+"$F;@!(O$"</f>
        <v>#VALUE!</v>
      </c>
      <c r="BZ169" t="e">
        <f>'All regions'!D4678+"$F;@!(O%"</f>
        <v>#VALUE!</v>
      </c>
      <c r="CA169" t="e">
        <f>'All regions'!E4678+"$F;@!(O&amp;"</f>
        <v>#VALUE!</v>
      </c>
      <c r="CB169" t="e">
        <f>'All regions'!F4678+"$F;@!(O'"</f>
        <v>#VALUE!</v>
      </c>
      <c r="CC169" t="e">
        <f>'All regions'!G4678+"$F;@!(O("</f>
        <v>#VALUE!</v>
      </c>
      <c r="CD169" t="e">
        <f>'All regions'!H4678+"$F;@!(O)"</f>
        <v>#VALUE!</v>
      </c>
      <c r="CE169" t="e">
        <f>'All regions'!I4678+"$F;@!(O."</f>
        <v>#VALUE!</v>
      </c>
      <c r="CF169" t="e">
        <f>'All regions'!A4679+"$F;@!(O/"</f>
        <v>#VALUE!</v>
      </c>
      <c r="CG169" t="e">
        <f>'All regions'!B4679+"$F;@!(O0"</f>
        <v>#VALUE!</v>
      </c>
      <c r="CH169" t="e">
        <f>'All regions'!C4679+"$F;@!(O1"</f>
        <v>#VALUE!</v>
      </c>
      <c r="CI169" t="e">
        <f>'All regions'!D4679+"$F;@!(O2"</f>
        <v>#VALUE!</v>
      </c>
      <c r="CJ169" t="e">
        <f>'All regions'!E4679+"$F;@!(O3"</f>
        <v>#VALUE!</v>
      </c>
      <c r="CK169" t="e">
        <f>'All regions'!F4679+"$F;@!(O4"</f>
        <v>#VALUE!</v>
      </c>
      <c r="CL169" t="e">
        <f>'All regions'!G4679+"$F;@!(O5"</f>
        <v>#VALUE!</v>
      </c>
      <c r="CM169" t="e">
        <f>'All regions'!H4679+"$F;@!(O6"</f>
        <v>#VALUE!</v>
      </c>
      <c r="CN169" t="e">
        <f>'All regions'!I4679+"$F;@!(O7"</f>
        <v>#VALUE!</v>
      </c>
      <c r="CO169" t="e">
        <f>'All regions'!A4680+"$F;@!(O8"</f>
        <v>#VALUE!</v>
      </c>
      <c r="CP169" t="e">
        <f>'All regions'!B4680+"$F;@!(O9"</f>
        <v>#VALUE!</v>
      </c>
      <c r="CQ169" t="e">
        <f>'All regions'!C4680+"$F;@!(O:"</f>
        <v>#VALUE!</v>
      </c>
      <c r="CR169" t="e">
        <f>'All regions'!D4680+"$F;@!(O;"</f>
        <v>#VALUE!</v>
      </c>
      <c r="CS169" t="e">
        <f>'All regions'!E4680+"$F;@!(O&lt;"</f>
        <v>#VALUE!</v>
      </c>
      <c r="CT169" t="e">
        <f>'All regions'!F4680+"$F;@!(O="</f>
        <v>#VALUE!</v>
      </c>
      <c r="CU169" t="e">
        <f>'All regions'!G4680+"$F;@!(O&gt;"</f>
        <v>#VALUE!</v>
      </c>
      <c r="CV169" t="e">
        <f>'All regions'!H4680+"$F;@!(O?"</f>
        <v>#VALUE!</v>
      </c>
      <c r="CW169" t="e">
        <f>'All regions'!I4680+"$F;@!(O@"</f>
        <v>#VALUE!</v>
      </c>
      <c r="CX169" t="e">
        <f>'All regions'!A4681+"$F;@!(OA"</f>
        <v>#VALUE!</v>
      </c>
      <c r="CY169" t="e">
        <f>'All regions'!B4681+"$F;@!(OB"</f>
        <v>#VALUE!</v>
      </c>
      <c r="CZ169" t="e">
        <f>'All regions'!C4681+"$F;@!(OC"</f>
        <v>#VALUE!</v>
      </c>
      <c r="DA169" t="e">
        <f>'All regions'!D4681+"$F;@!(OD"</f>
        <v>#VALUE!</v>
      </c>
      <c r="DB169" t="e">
        <f>'All regions'!E4681+"$F;@!(OE"</f>
        <v>#VALUE!</v>
      </c>
      <c r="DC169" t="e">
        <f>'All regions'!F4681+"$F;@!(OF"</f>
        <v>#VALUE!</v>
      </c>
      <c r="DD169" t="e">
        <f>'All regions'!G4681+"$F;@!(OG"</f>
        <v>#VALUE!</v>
      </c>
      <c r="DE169" t="e">
        <f>'All regions'!H4681+"$F;@!(OH"</f>
        <v>#VALUE!</v>
      </c>
      <c r="DF169" t="e">
        <f>'All regions'!I4681+"$F;@!(OI"</f>
        <v>#VALUE!</v>
      </c>
      <c r="DG169" t="e">
        <f>'All regions'!A4682+"$F;@!(OJ"</f>
        <v>#VALUE!</v>
      </c>
      <c r="DH169" t="e">
        <f>'All regions'!B4682+"$F;@!(OK"</f>
        <v>#VALUE!</v>
      </c>
      <c r="DI169" t="e">
        <f>'All regions'!C4682+"$F;@!(OL"</f>
        <v>#VALUE!</v>
      </c>
      <c r="DJ169" t="e">
        <f>'All regions'!D4682+"$F;@!(OM"</f>
        <v>#VALUE!</v>
      </c>
      <c r="DK169" t="e">
        <f>'All regions'!E4682+"$F;@!(ON"</f>
        <v>#VALUE!</v>
      </c>
      <c r="DL169" t="e">
        <f>'All regions'!F4682+"$F;@!(OO"</f>
        <v>#VALUE!</v>
      </c>
      <c r="DM169" t="e">
        <f>'All regions'!G4682+"$F;@!(OP"</f>
        <v>#VALUE!</v>
      </c>
      <c r="DN169" t="e">
        <f>'All regions'!H4682+"$F;@!(OQ"</f>
        <v>#VALUE!</v>
      </c>
      <c r="DO169" t="e">
        <f>'All regions'!I4682+"$F;@!(OR"</f>
        <v>#VALUE!</v>
      </c>
      <c r="DP169" t="e">
        <f>'All regions'!A4683+"$F;@!(OS"</f>
        <v>#VALUE!</v>
      </c>
      <c r="DQ169" t="e">
        <f>'All regions'!B4683+"$F;@!(OT"</f>
        <v>#VALUE!</v>
      </c>
      <c r="DR169" t="e">
        <f>'All regions'!C4683+"$F;@!(OU"</f>
        <v>#VALUE!</v>
      </c>
      <c r="DS169" t="e">
        <f>'All regions'!D4683+"$F;@!(OV"</f>
        <v>#VALUE!</v>
      </c>
      <c r="DT169" t="e">
        <f>'All regions'!E4683+"$F;@!(OW"</f>
        <v>#VALUE!</v>
      </c>
      <c r="DU169" t="e">
        <f>'All regions'!F4683+"$F;@!(OX"</f>
        <v>#VALUE!</v>
      </c>
      <c r="DV169" t="e">
        <f>'All regions'!G4683+"$F;@!(OY"</f>
        <v>#VALUE!</v>
      </c>
      <c r="DW169" t="e">
        <f>'All regions'!H4683+"$F;@!(OZ"</f>
        <v>#VALUE!</v>
      </c>
      <c r="DX169" t="e">
        <f>'All regions'!I4683+"$F;@!(O["</f>
        <v>#VALUE!</v>
      </c>
      <c r="DY169" t="e">
        <f>'All regions'!A4684+"$F;@!(O\"</f>
        <v>#VALUE!</v>
      </c>
      <c r="DZ169" t="e">
        <f>'All regions'!B4684+"$F;@!(O]"</f>
        <v>#VALUE!</v>
      </c>
      <c r="EA169" t="e">
        <f>'All regions'!C4684+"$F;@!(O^"</f>
        <v>#VALUE!</v>
      </c>
      <c r="EB169" t="e">
        <f>'All regions'!D4684+"$F;@!(O_"</f>
        <v>#VALUE!</v>
      </c>
      <c r="EC169" t="e">
        <f>'All regions'!E4684+"$F;@!(O`"</f>
        <v>#VALUE!</v>
      </c>
      <c r="ED169" t="e">
        <f>'All regions'!F4684+"$F;@!(Oa"</f>
        <v>#VALUE!</v>
      </c>
      <c r="EE169" t="e">
        <f>'All regions'!G4684+"$F;@!(Ob"</f>
        <v>#VALUE!</v>
      </c>
      <c r="EF169" t="e">
        <f>'All regions'!H4684+"$F;@!(Oc"</f>
        <v>#VALUE!</v>
      </c>
      <c r="EG169" t="e">
        <f>'All regions'!I4684+"$F;@!(Od"</f>
        <v>#VALUE!</v>
      </c>
      <c r="EH169" t="e">
        <f>'All regions'!A4685+"$F;@!(Oe"</f>
        <v>#VALUE!</v>
      </c>
      <c r="EI169" t="e">
        <f>'All regions'!B4685+"$F;@!(Of"</f>
        <v>#VALUE!</v>
      </c>
      <c r="EJ169" t="e">
        <f>'All regions'!C4685+"$F;@!(Og"</f>
        <v>#VALUE!</v>
      </c>
      <c r="EK169" t="e">
        <f>'All regions'!D4685+"$F;@!(Oh"</f>
        <v>#VALUE!</v>
      </c>
      <c r="EL169" t="e">
        <f>'All regions'!E4685+"$F;@!(Oi"</f>
        <v>#VALUE!</v>
      </c>
      <c r="EM169" t="e">
        <f>'All regions'!F4685+"$F;@!(Oj"</f>
        <v>#VALUE!</v>
      </c>
      <c r="EN169" t="e">
        <f>'All regions'!G4685+"$F;@!(Ok"</f>
        <v>#VALUE!</v>
      </c>
      <c r="EO169" t="e">
        <f>'All regions'!H4685+"$F;@!(Ol"</f>
        <v>#VALUE!</v>
      </c>
      <c r="EP169" t="e">
        <f>'All regions'!I4685+"$F;@!(Om"</f>
        <v>#VALUE!</v>
      </c>
      <c r="EQ169" t="e">
        <f>'All regions'!A4686+"$F;@!(On"</f>
        <v>#VALUE!</v>
      </c>
      <c r="ER169" t="e">
        <f>'All regions'!B4686+"$F;@!(Oo"</f>
        <v>#VALUE!</v>
      </c>
      <c r="ES169" t="e">
        <f>'All regions'!C4686+"$F;@!(Op"</f>
        <v>#VALUE!</v>
      </c>
      <c r="ET169" t="e">
        <f>'All regions'!D4686+"$F;@!(Oq"</f>
        <v>#VALUE!</v>
      </c>
      <c r="EU169" t="e">
        <f>'All regions'!E4686+"$F;@!(Or"</f>
        <v>#VALUE!</v>
      </c>
      <c r="EV169" t="e">
        <f>'All regions'!F4686+"$F;@!(Os"</f>
        <v>#VALUE!</v>
      </c>
      <c r="EW169" t="e">
        <f>'All regions'!G4686+"$F;@!(Ot"</f>
        <v>#VALUE!</v>
      </c>
      <c r="EX169" t="e">
        <f>'All regions'!H4686+"$F;@!(Ou"</f>
        <v>#VALUE!</v>
      </c>
      <c r="EY169" t="e">
        <f>'All regions'!I4686+"$F;@!(Ov"</f>
        <v>#VALUE!</v>
      </c>
      <c r="EZ169" t="e">
        <f>'All regions'!A4687+"$F;@!(Ow"</f>
        <v>#VALUE!</v>
      </c>
      <c r="FA169" t="e">
        <f>'All regions'!B4687+"$F;@!(Ox"</f>
        <v>#VALUE!</v>
      </c>
      <c r="FB169" t="e">
        <f>'All regions'!C4687+"$F;@!(Oy"</f>
        <v>#VALUE!</v>
      </c>
      <c r="FC169" t="e">
        <f>'All regions'!D4687+"$F;@!(Oz"</f>
        <v>#VALUE!</v>
      </c>
      <c r="FD169" t="e">
        <f>'All regions'!E4687+"$F;@!(O{"</f>
        <v>#VALUE!</v>
      </c>
      <c r="FE169" t="e">
        <f>'All regions'!F4687+"$F;@!(O|"</f>
        <v>#VALUE!</v>
      </c>
      <c r="FF169" t="e">
        <f>'All regions'!G4687+"$F;@!(O}"</f>
        <v>#VALUE!</v>
      </c>
      <c r="FG169" t="e">
        <f>'All regions'!H4687+"$F;@!(O~"</f>
        <v>#VALUE!</v>
      </c>
      <c r="FH169" t="e">
        <f>'All regions'!I4687+"$F;@!(P#"</f>
        <v>#VALUE!</v>
      </c>
      <c r="FI169" t="e">
        <f>'All regions'!A4688+"$F;@!(P$"</f>
        <v>#VALUE!</v>
      </c>
      <c r="FJ169" t="e">
        <f>'All regions'!B4688+"$F;@!(P%"</f>
        <v>#VALUE!</v>
      </c>
      <c r="FK169" t="e">
        <f>'All regions'!C4688+"$F;@!(P&amp;"</f>
        <v>#VALUE!</v>
      </c>
      <c r="FL169" t="e">
        <f>'All regions'!D4688+"$F;@!(P'"</f>
        <v>#VALUE!</v>
      </c>
      <c r="FM169" t="e">
        <f>'All regions'!E4688+"$F;@!(P("</f>
        <v>#VALUE!</v>
      </c>
      <c r="FN169" t="e">
        <f>'All regions'!F4688+"$F;@!(P)"</f>
        <v>#VALUE!</v>
      </c>
      <c r="FO169" t="e">
        <f>'All regions'!G4688+"$F;@!(P."</f>
        <v>#VALUE!</v>
      </c>
      <c r="FP169" t="e">
        <f>'All regions'!H4688+"$F;@!(P/"</f>
        <v>#VALUE!</v>
      </c>
      <c r="FQ169" t="e">
        <f>'All regions'!I4688+"$F;@!(P0"</f>
        <v>#VALUE!</v>
      </c>
      <c r="FR169" t="e">
        <f>'All regions'!A4689+"$F;@!(P1"</f>
        <v>#VALUE!</v>
      </c>
      <c r="FS169" t="e">
        <f>'All regions'!B4689+"$F;@!(P2"</f>
        <v>#VALUE!</v>
      </c>
      <c r="FT169" t="e">
        <f>'All regions'!C4689+"$F;@!(P3"</f>
        <v>#VALUE!</v>
      </c>
      <c r="FU169" t="e">
        <f>'All regions'!D4689+"$F;@!(P4"</f>
        <v>#VALUE!</v>
      </c>
      <c r="FV169" t="e">
        <f>'All regions'!E4689+"$F;@!(P5"</f>
        <v>#VALUE!</v>
      </c>
      <c r="FW169" t="e">
        <f>'All regions'!F4689+"$F;@!(P6"</f>
        <v>#VALUE!</v>
      </c>
      <c r="FX169" t="e">
        <f>'All regions'!G4689+"$F;@!(P7"</f>
        <v>#VALUE!</v>
      </c>
      <c r="FY169" t="e">
        <f>'All regions'!H4689+"$F;@!(P8"</f>
        <v>#VALUE!</v>
      </c>
      <c r="FZ169" t="e">
        <f>'All regions'!I4689+"$F;@!(P9"</f>
        <v>#VALUE!</v>
      </c>
      <c r="GA169" t="e">
        <f>'All regions'!A4690+"$F;@!(P:"</f>
        <v>#VALUE!</v>
      </c>
      <c r="GB169" t="e">
        <f>'All regions'!B4690+"$F;@!(P;"</f>
        <v>#VALUE!</v>
      </c>
      <c r="GC169" t="e">
        <f>'All regions'!C4690+"$F;@!(P&lt;"</f>
        <v>#VALUE!</v>
      </c>
      <c r="GD169" t="e">
        <f>'All regions'!D4690+"$F;@!(P="</f>
        <v>#VALUE!</v>
      </c>
      <c r="GE169" t="e">
        <f>'All regions'!E4690+"$F;@!(P&gt;"</f>
        <v>#VALUE!</v>
      </c>
      <c r="GF169" t="e">
        <f>'All regions'!F4690+"$F;@!(P?"</f>
        <v>#VALUE!</v>
      </c>
      <c r="GG169" t="e">
        <f>'All regions'!G4690+"$F;@!(P@"</f>
        <v>#VALUE!</v>
      </c>
      <c r="GH169" t="e">
        <f>'All regions'!H4690+"$F;@!(PA"</f>
        <v>#VALUE!</v>
      </c>
      <c r="GI169" t="e">
        <f>'All regions'!I4690+"$F;@!(PB"</f>
        <v>#VALUE!</v>
      </c>
      <c r="GJ169" t="e">
        <f>'All regions'!A4694+"$F;@!(PC"</f>
        <v>#VALUE!</v>
      </c>
      <c r="GK169" t="e">
        <f>'All regions'!B4694+"$F;@!(PD"</f>
        <v>#VALUE!</v>
      </c>
      <c r="GL169" t="e">
        <f>'All regions'!C4694+"$F;@!(PE"</f>
        <v>#VALUE!</v>
      </c>
      <c r="GM169" t="e">
        <f>'All regions'!D4694+"$F;@!(PF"</f>
        <v>#VALUE!</v>
      </c>
      <c r="GN169" t="e">
        <f>'All regions'!E4694+"$F;@!(PG"</f>
        <v>#VALUE!</v>
      </c>
      <c r="GO169" t="e">
        <f>'All regions'!F4694+"$F;@!(PH"</f>
        <v>#VALUE!</v>
      </c>
      <c r="GP169" t="e">
        <f>'All regions'!G4694+"$F;@!(PI"</f>
        <v>#VALUE!</v>
      </c>
      <c r="GQ169" t="e">
        <f>'All regions'!H4694+"$F;@!(PJ"</f>
        <v>#VALUE!</v>
      </c>
      <c r="GR169" t="e">
        <f>'All regions'!I4694+"$F;@!(PK"</f>
        <v>#VALUE!</v>
      </c>
      <c r="GS169" t="e">
        <f>'All regions'!A4695+"$F;@!(PL"</f>
        <v>#VALUE!</v>
      </c>
      <c r="GT169" t="e">
        <f>'All regions'!B4695+"$F;@!(PM"</f>
        <v>#VALUE!</v>
      </c>
      <c r="GU169" t="e">
        <f>'All regions'!C4695+"$F;@!(PN"</f>
        <v>#VALUE!</v>
      </c>
      <c r="GV169" t="e">
        <f>'All regions'!D4695+"$F;@!(PO"</f>
        <v>#VALUE!</v>
      </c>
      <c r="GW169" t="e">
        <f>'All regions'!E4695+"$F;@!(PP"</f>
        <v>#VALUE!</v>
      </c>
      <c r="GX169" t="e">
        <f>'All regions'!F4695+"$F;@!(PQ"</f>
        <v>#VALUE!</v>
      </c>
      <c r="GY169" t="e">
        <f>'All regions'!G4695+"$F;@!(PR"</f>
        <v>#VALUE!</v>
      </c>
      <c r="GZ169" t="e">
        <f>'All regions'!H4695+"$F;@!(PS"</f>
        <v>#VALUE!</v>
      </c>
      <c r="HA169" t="e">
        <f>'All regions'!I4695+"$F;@!(PT"</f>
        <v>#VALUE!</v>
      </c>
      <c r="HB169" t="e">
        <f>'All regions'!A4696+"$F;@!(PU"</f>
        <v>#VALUE!</v>
      </c>
      <c r="HC169" t="e">
        <f>'All regions'!B4696+"$F;@!(PV"</f>
        <v>#VALUE!</v>
      </c>
      <c r="HD169" t="e">
        <f>'All regions'!C4696+"$F;@!(PW"</f>
        <v>#VALUE!</v>
      </c>
      <c r="HE169" t="e">
        <f>'All regions'!D4696+"$F;@!(PX"</f>
        <v>#VALUE!</v>
      </c>
      <c r="HF169" t="e">
        <f>'All regions'!E4696+"$F;@!(PY"</f>
        <v>#VALUE!</v>
      </c>
      <c r="HG169" t="e">
        <f>'All regions'!F4696+"$F;@!(PZ"</f>
        <v>#VALUE!</v>
      </c>
      <c r="HH169" t="e">
        <f>'All regions'!G4696+"$F;@!(P["</f>
        <v>#VALUE!</v>
      </c>
      <c r="HI169" t="e">
        <f>'All regions'!H4696+"$F;@!(P\"</f>
        <v>#VALUE!</v>
      </c>
      <c r="HJ169" t="e">
        <f>'All regions'!I4696+"$F;@!(P]"</f>
        <v>#VALUE!</v>
      </c>
      <c r="HK169" t="e">
        <f>'All regions'!A4697+"$F;@!(P^"</f>
        <v>#VALUE!</v>
      </c>
      <c r="HL169" t="e">
        <f>'All regions'!B4697+"$F;@!(P_"</f>
        <v>#VALUE!</v>
      </c>
      <c r="HM169" t="e">
        <f>'All regions'!C4697+"$F;@!(P`"</f>
        <v>#VALUE!</v>
      </c>
      <c r="HN169" t="e">
        <f>'All regions'!D4697+"$F;@!(Pa"</f>
        <v>#VALUE!</v>
      </c>
      <c r="HO169" t="e">
        <f>'All regions'!E4697+"$F;@!(Pb"</f>
        <v>#VALUE!</v>
      </c>
      <c r="HP169" t="e">
        <f>'All regions'!F4697+"$F;@!(Pc"</f>
        <v>#VALUE!</v>
      </c>
      <c r="HQ169" t="e">
        <f>'All regions'!G4697+"$F;@!(Pd"</f>
        <v>#VALUE!</v>
      </c>
      <c r="HR169" t="e">
        <f>'All regions'!H4697+"$F;@!(Pe"</f>
        <v>#VALUE!</v>
      </c>
      <c r="HS169" t="e">
        <f>'All regions'!I4697+"$F;@!(Pf"</f>
        <v>#VALUE!</v>
      </c>
      <c r="HT169" t="e">
        <f>'All regions'!A4698+"$F;@!(Pg"</f>
        <v>#VALUE!</v>
      </c>
      <c r="HU169" t="e">
        <f>'All regions'!B4698+"$F;@!(Ph"</f>
        <v>#VALUE!</v>
      </c>
      <c r="HV169" t="e">
        <f>'All regions'!C4698+"$F;@!(Pi"</f>
        <v>#VALUE!</v>
      </c>
      <c r="HW169" t="e">
        <f>'All regions'!D4698+"$F;@!(Pj"</f>
        <v>#VALUE!</v>
      </c>
      <c r="HX169" t="e">
        <f>'All regions'!E4698+"$F;@!(Pk"</f>
        <v>#VALUE!</v>
      </c>
      <c r="HY169" t="e">
        <f>'All regions'!F4698+"$F;@!(Pl"</f>
        <v>#VALUE!</v>
      </c>
      <c r="HZ169" t="e">
        <f>'All regions'!G4698+"$F;@!(Pm"</f>
        <v>#VALUE!</v>
      </c>
      <c r="IA169" t="e">
        <f>'All regions'!H4698+"$F;@!(Pn"</f>
        <v>#VALUE!</v>
      </c>
      <c r="IB169" t="e">
        <f>'All regions'!I4698+"$F;@!(Po"</f>
        <v>#VALUE!</v>
      </c>
      <c r="IC169" t="e">
        <f>'All regions'!A4699+"$F;@!(Pp"</f>
        <v>#VALUE!</v>
      </c>
      <c r="ID169" t="e">
        <f>'All regions'!B4699+"$F;@!(Pq"</f>
        <v>#VALUE!</v>
      </c>
      <c r="IE169" t="e">
        <f>'All regions'!C4699+"$F;@!(Pr"</f>
        <v>#VALUE!</v>
      </c>
      <c r="IF169" t="e">
        <f>'All regions'!D4699+"$F;@!(Ps"</f>
        <v>#VALUE!</v>
      </c>
      <c r="IG169" t="e">
        <f>'All regions'!E4699+"$F;@!(Pt"</f>
        <v>#VALUE!</v>
      </c>
      <c r="IH169" t="e">
        <f>'All regions'!F4699+"$F;@!(Pu"</f>
        <v>#VALUE!</v>
      </c>
      <c r="II169" t="e">
        <f>'All regions'!G4699+"$F;@!(Pv"</f>
        <v>#VALUE!</v>
      </c>
      <c r="IJ169" t="e">
        <f>'All regions'!H4699+"$F;@!(Pw"</f>
        <v>#VALUE!</v>
      </c>
      <c r="IK169" t="e">
        <f>'All regions'!I4699+"$F;@!(Px"</f>
        <v>#VALUE!</v>
      </c>
      <c r="IL169" t="e">
        <f>'All regions'!A4700+"$F;@!(Py"</f>
        <v>#VALUE!</v>
      </c>
      <c r="IM169" t="e">
        <f>'All regions'!B4700+"$F;@!(Pz"</f>
        <v>#VALUE!</v>
      </c>
      <c r="IN169" t="e">
        <f>'All regions'!C4700+"$F;@!(P{"</f>
        <v>#VALUE!</v>
      </c>
      <c r="IO169" t="e">
        <f>'All regions'!D4700+"$F;@!(P|"</f>
        <v>#VALUE!</v>
      </c>
      <c r="IP169" t="e">
        <f>'All regions'!E4700+"$F;@!(P}"</f>
        <v>#VALUE!</v>
      </c>
      <c r="IQ169" t="e">
        <f>'All regions'!F4700+"$F;@!(P~"</f>
        <v>#VALUE!</v>
      </c>
      <c r="IR169" t="e">
        <f>'All regions'!G4700+"$F;@!(Q#"</f>
        <v>#VALUE!</v>
      </c>
      <c r="IS169" t="e">
        <f>'All regions'!H4700+"$F;@!(Q$"</f>
        <v>#VALUE!</v>
      </c>
      <c r="IT169" t="e">
        <f>'All regions'!I4700+"$F;@!(Q%"</f>
        <v>#VALUE!</v>
      </c>
      <c r="IU169" t="e">
        <f>'All regions'!A4701+"$F;@!(Q&amp;"</f>
        <v>#VALUE!</v>
      </c>
      <c r="IV169" t="e">
        <f>'All regions'!B4701+"$F;@!(Q'"</f>
        <v>#VALUE!</v>
      </c>
    </row>
    <row r="170" spans="6:256" x14ac:dyDescent="0.35">
      <c r="F170" t="e">
        <f>'All regions'!C4701+"$F;@!(Q("</f>
        <v>#VALUE!</v>
      </c>
      <c r="G170" t="e">
        <f>'All regions'!D4701+"$F;@!(Q)"</f>
        <v>#VALUE!</v>
      </c>
      <c r="H170" t="e">
        <f>'All regions'!E4701+"$F;@!(Q."</f>
        <v>#VALUE!</v>
      </c>
      <c r="I170" t="e">
        <f>'All regions'!F4701+"$F;@!(Q/"</f>
        <v>#VALUE!</v>
      </c>
      <c r="J170" t="e">
        <f>'All regions'!G4701+"$F;@!(Q0"</f>
        <v>#VALUE!</v>
      </c>
      <c r="K170" t="e">
        <f>'All regions'!H4701+"$F;@!(Q1"</f>
        <v>#VALUE!</v>
      </c>
      <c r="L170" t="e">
        <f>'All regions'!I4701+"$F;@!(Q2"</f>
        <v>#VALUE!</v>
      </c>
      <c r="M170" t="e">
        <f>'All regions'!A4702+"$F;@!(Q3"</f>
        <v>#VALUE!</v>
      </c>
      <c r="N170" t="e">
        <f>'All regions'!B4702+"$F;@!(Q4"</f>
        <v>#VALUE!</v>
      </c>
      <c r="O170" t="e">
        <f>'All regions'!C4702+"$F;@!(Q5"</f>
        <v>#VALUE!</v>
      </c>
      <c r="P170" t="e">
        <f>'All regions'!D4702+"$F;@!(Q6"</f>
        <v>#VALUE!</v>
      </c>
      <c r="Q170" t="e">
        <f>'All regions'!E4702+"$F;@!(Q7"</f>
        <v>#VALUE!</v>
      </c>
      <c r="R170" t="e">
        <f>'All regions'!F4702+"$F;@!(Q8"</f>
        <v>#VALUE!</v>
      </c>
      <c r="S170" t="e">
        <f>'All regions'!G4702+"$F;@!(Q9"</f>
        <v>#VALUE!</v>
      </c>
      <c r="T170" t="e">
        <f>'All regions'!H4702+"$F;@!(Q:"</f>
        <v>#VALUE!</v>
      </c>
      <c r="U170" t="e">
        <f>'All regions'!I4702+"$F;@!(Q;"</f>
        <v>#VALUE!</v>
      </c>
      <c r="V170" t="e">
        <f>'All regions'!A4703+"$F;@!(Q&lt;"</f>
        <v>#VALUE!</v>
      </c>
      <c r="W170" t="e">
        <f>'All regions'!B4703+"$F;@!(Q="</f>
        <v>#VALUE!</v>
      </c>
      <c r="X170" t="e">
        <f>'All regions'!C4703+"$F;@!(Q&gt;"</f>
        <v>#VALUE!</v>
      </c>
      <c r="Y170" t="e">
        <f>'All regions'!D4703+"$F;@!(Q?"</f>
        <v>#VALUE!</v>
      </c>
      <c r="Z170" t="e">
        <f>'All regions'!E4703+"$F;@!(Q@"</f>
        <v>#VALUE!</v>
      </c>
      <c r="AA170" t="e">
        <f>'All regions'!F4703+"$F;@!(QA"</f>
        <v>#VALUE!</v>
      </c>
      <c r="AB170" t="e">
        <f>'All regions'!G4703+"$F;@!(QB"</f>
        <v>#VALUE!</v>
      </c>
      <c r="AC170" t="e">
        <f>'All regions'!H4703+"$F;@!(QC"</f>
        <v>#VALUE!</v>
      </c>
      <c r="AD170" t="e">
        <f>'All regions'!I4703+"$F;@!(QD"</f>
        <v>#VALUE!</v>
      </c>
      <c r="AE170" t="e">
        <f>'All regions'!A4704+"$F;@!(QE"</f>
        <v>#VALUE!</v>
      </c>
      <c r="AF170" t="e">
        <f>'All regions'!B4704+"$F;@!(QF"</f>
        <v>#VALUE!</v>
      </c>
      <c r="AG170" t="e">
        <f>'All regions'!C4704+"$F;@!(QG"</f>
        <v>#VALUE!</v>
      </c>
      <c r="AH170" t="e">
        <f>'All regions'!D4704+"$F;@!(QH"</f>
        <v>#VALUE!</v>
      </c>
      <c r="AI170" t="e">
        <f>'All regions'!E4704+"$F;@!(QI"</f>
        <v>#VALUE!</v>
      </c>
      <c r="AJ170" t="e">
        <f>'All regions'!F4704+"$F;@!(QJ"</f>
        <v>#VALUE!</v>
      </c>
      <c r="AK170" t="e">
        <f>'All regions'!G4704+"$F;@!(QK"</f>
        <v>#VALUE!</v>
      </c>
      <c r="AL170" t="e">
        <f>'All regions'!H4704+"$F;@!(QL"</f>
        <v>#VALUE!</v>
      </c>
      <c r="AM170" t="e">
        <f>'All regions'!I4704+"$F;@!(QM"</f>
        <v>#VALUE!</v>
      </c>
      <c r="AN170" t="e">
        <f>'All regions'!A4705+"$F;@!(QN"</f>
        <v>#VALUE!</v>
      </c>
      <c r="AO170" t="e">
        <f>'All regions'!B4705+"$F;@!(QO"</f>
        <v>#VALUE!</v>
      </c>
      <c r="AP170" t="e">
        <f>'All regions'!C4705+"$F;@!(QP"</f>
        <v>#VALUE!</v>
      </c>
      <c r="AQ170" t="e">
        <f>'All regions'!D4705+"$F;@!(QQ"</f>
        <v>#VALUE!</v>
      </c>
      <c r="AR170" t="e">
        <f>'All regions'!E4705+"$F;@!(QR"</f>
        <v>#VALUE!</v>
      </c>
      <c r="AS170" t="e">
        <f>'All regions'!F4705+"$F;@!(QS"</f>
        <v>#VALUE!</v>
      </c>
      <c r="AT170" t="e">
        <f>'All regions'!G4705+"$F;@!(QT"</f>
        <v>#VALUE!</v>
      </c>
      <c r="AU170" t="e">
        <f>'All regions'!H4705+"$F;@!(QU"</f>
        <v>#VALUE!</v>
      </c>
      <c r="AV170" t="e">
        <f>'All regions'!I4705+"$F;@!(QV"</f>
        <v>#VALUE!</v>
      </c>
      <c r="AW170" t="e">
        <f>'All regions'!A4706+"$F;@!(QW"</f>
        <v>#VALUE!</v>
      </c>
      <c r="AX170" t="e">
        <f>'All regions'!B4706+"$F;@!(QX"</f>
        <v>#VALUE!</v>
      </c>
      <c r="AY170" t="e">
        <f>'All regions'!C4706+"$F;@!(QY"</f>
        <v>#VALUE!</v>
      </c>
      <c r="AZ170" t="e">
        <f>'All regions'!D4706+"$F;@!(QZ"</f>
        <v>#VALUE!</v>
      </c>
      <c r="BA170" t="e">
        <f>'All regions'!E4706+"$F;@!(Q["</f>
        <v>#VALUE!</v>
      </c>
      <c r="BB170" t="e">
        <f>'All regions'!F4706+"$F;@!(Q\"</f>
        <v>#VALUE!</v>
      </c>
      <c r="BC170" t="e">
        <f>'All regions'!G4706+"$F;@!(Q]"</f>
        <v>#VALUE!</v>
      </c>
      <c r="BD170" t="e">
        <f>'All regions'!H4706+"$F;@!(Q^"</f>
        <v>#VALUE!</v>
      </c>
      <c r="BE170" t="e">
        <f>'All regions'!I4706+"$F;@!(Q_"</f>
        <v>#VALUE!</v>
      </c>
      <c r="BF170" t="e">
        <f>'All regions'!A4707+"$F;@!(Q`"</f>
        <v>#VALUE!</v>
      </c>
      <c r="BG170" t="e">
        <f>'All regions'!B4707+"$F;@!(Qa"</f>
        <v>#VALUE!</v>
      </c>
      <c r="BH170" t="e">
        <f>'All regions'!C4707+"$F;@!(Qb"</f>
        <v>#VALUE!</v>
      </c>
      <c r="BI170" t="e">
        <f>'All regions'!D4707+"$F;@!(Qc"</f>
        <v>#VALUE!</v>
      </c>
      <c r="BJ170" t="e">
        <f>'All regions'!E4707+"$F;@!(Qd"</f>
        <v>#VALUE!</v>
      </c>
      <c r="BK170" t="e">
        <f>'All regions'!F4707+"$F;@!(Qe"</f>
        <v>#VALUE!</v>
      </c>
      <c r="BL170" t="e">
        <f>'All regions'!G4707+"$F;@!(Qf"</f>
        <v>#VALUE!</v>
      </c>
      <c r="BM170" t="e">
        <f>'All regions'!H4707+"$F;@!(Qg"</f>
        <v>#VALUE!</v>
      </c>
      <c r="BN170" t="e">
        <f>'All regions'!I4707+"$F;@!(Qh"</f>
        <v>#VALUE!</v>
      </c>
      <c r="BO170" t="e">
        <f>'All regions'!A4708+"$F;@!(Qi"</f>
        <v>#VALUE!</v>
      </c>
      <c r="BP170" t="e">
        <f>'All regions'!B4708+"$F;@!(Qj"</f>
        <v>#VALUE!</v>
      </c>
      <c r="BQ170" t="e">
        <f>'All regions'!C4708+"$F;@!(Qk"</f>
        <v>#VALUE!</v>
      </c>
      <c r="BR170" t="e">
        <f>'All regions'!D4708+"$F;@!(Ql"</f>
        <v>#VALUE!</v>
      </c>
      <c r="BS170" t="e">
        <f>'All regions'!E4708+"$F;@!(Qm"</f>
        <v>#VALUE!</v>
      </c>
      <c r="BT170" t="e">
        <f>'All regions'!F4708+"$F;@!(Qn"</f>
        <v>#VALUE!</v>
      </c>
      <c r="BU170" t="e">
        <f>'All regions'!G4708+"$F;@!(Qo"</f>
        <v>#VALUE!</v>
      </c>
      <c r="BV170" t="e">
        <f>'All regions'!H4708+"$F;@!(Qp"</f>
        <v>#VALUE!</v>
      </c>
      <c r="BW170" t="e">
        <f>'All regions'!I4708+"$F;@!(Qq"</f>
        <v>#VALUE!</v>
      </c>
      <c r="BX170" t="e">
        <f>'All regions'!A4709+"$F;@!(Qr"</f>
        <v>#VALUE!</v>
      </c>
      <c r="BY170" t="e">
        <f>'All regions'!B4709+"$F;@!(Qs"</f>
        <v>#VALUE!</v>
      </c>
      <c r="BZ170" t="e">
        <f>'All regions'!C4709+"$F;@!(Qt"</f>
        <v>#VALUE!</v>
      </c>
      <c r="CA170" t="e">
        <f>'All regions'!D4709+"$F;@!(Qu"</f>
        <v>#VALUE!</v>
      </c>
      <c r="CB170" t="e">
        <f>'All regions'!E4709+"$F;@!(Qv"</f>
        <v>#VALUE!</v>
      </c>
      <c r="CC170" t="e">
        <f>'All regions'!F4709+"$F;@!(Qw"</f>
        <v>#VALUE!</v>
      </c>
      <c r="CD170" t="e">
        <f>'All regions'!G4709+"$F;@!(Qx"</f>
        <v>#VALUE!</v>
      </c>
      <c r="CE170" t="e">
        <f>'All regions'!H4709+"$F;@!(Qy"</f>
        <v>#VALUE!</v>
      </c>
      <c r="CF170" t="e">
        <f>'All regions'!I4709+"$F;@!(Qz"</f>
        <v>#VALUE!</v>
      </c>
      <c r="CG170" t="e">
        <f>'All regions'!A4710+"$F;@!(Q{"</f>
        <v>#VALUE!</v>
      </c>
      <c r="CH170" t="e">
        <f>'All regions'!B4710+"$F;@!(Q|"</f>
        <v>#VALUE!</v>
      </c>
      <c r="CI170" t="e">
        <f>'All regions'!C4710+"$F;@!(Q}"</f>
        <v>#VALUE!</v>
      </c>
      <c r="CJ170" t="e">
        <f>'All regions'!D4710+"$F;@!(Q~"</f>
        <v>#VALUE!</v>
      </c>
      <c r="CK170" t="e">
        <f>'All regions'!E4710+"$F;@!(R#"</f>
        <v>#VALUE!</v>
      </c>
      <c r="CL170" t="e">
        <f>'All regions'!F4710+"$F;@!(R$"</f>
        <v>#VALUE!</v>
      </c>
      <c r="CM170" t="e">
        <f>'All regions'!G4710+"$F;@!(R%"</f>
        <v>#VALUE!</v>
      </c>
      <c r="CN170" t="e">
        <f>'All regions'!H4710+"$F;@!(R&amp;"</f>
        <v>#VALUE!</v>
      </c>
      <c r="CO170" t="e">
        <f>'All regions'!I4710+"$F;@!(R'"</f>
        <v>#VALUE!</v>
      </c>
      <c r="CP170" t="e">
        <f>'All regions'!A4711+"$F;@!(R("</f>
        <v>#VALUE!</v>
      </c>
      <c r="CQ170" t="e">
        <f>'All regions'!B4711+"$F;@!(R)"</f>
        <v>#VALUE!</v>
      </c>
      <c r="CR170" t="e">
        <f>'All regions'!C4711+"$F;@!(R."</f>
        <v>#VALUE!</v>
      </c>
      <c r="CS170" t="e">
        <f>'All regions'!D4711+"$F;@!(R/"</f>
        <v>#VALUE!</v>
      </c>
      <c r="CT170" t="e">
        <f>'All regions'!E4711+"$F;@!(R0"</f>
        <v>#VALUE!</v>
      </c>
      <c r="CU170" t="e">
        <f>'All regions'!F4711+"$F;@!(R1"</f>
        <v>#VALUE!</v>
      </c>
      <c r="CV170" t="e">
        <f>'All regions'!G4711+"$F;@!(R2"</f>
        <v>#VALUE!</v>
      </c>
      <c r="CW170" t="e">
        <f>'All regions'!H4711+"$F;@!(R3"</f>
        <v>#VALUE!</v>
      </c>
      <c r="CX170" t="e">
        <f>'All regions'!I4711+"$F;@!(R4"</f>
        <v>#VALUE!</v>
      </c>
      <c r="CY170" t="e">
        <f>'All regions'!A4712+"$F;@!(R5"</f>
        <v>#VALUE!</v>
      </c>
      <c r="CZ170" t="e">
        <f>'All regions'!B4712+"$F;@!(R6"</f>
        <v>#VALUE!</v>
      </c>
      <c r="DA170" t="e">
        <f>'All regions'!C4712+"$F;@!(R7"</f>
        <v>#VALUE!</v>
      </c>
      <c r="DB170" t="e">
        <f>'All regions'!D4712+"$F;@!(R8"</f>
        <v>#VALUE!</v>
      </c>
      <c r="DC170" t="e">
        <f>'All regions'!E4712+"$F;@!(R9"</f>
        <v>#VALUE!</v>
      </c>
      <c r="DD170" t="e">
        <f>'All regions'!F4712+"$F;@!(R:"</f>
        <v>#VALUE!</v>
      </c>
      <c r="DE170" t="e">
        <f>'All regions'!G4712+"$F;@!(R;"</f>
        <v>#VALUE!</v>
      </c>
      <c r="DF170" t="e">
        <f>'All regions'!H4712+"$F;@!(R&lt;"</f>
        <v>#VALUE!</v>
      </c>
      <c r="DG170" t="e">
        <f>'All regions'!I4712+"$F;@!(R="</f>
        <v>#VALUE!</v>
      </c>
      <c r="DH170" t="e">
        <f>'All regions'!A4713+"$F;@!(R&gt;"</f>
        <v>#VALUE!</v>
      </c>
      <c r="DI170" t="e">
        <f>'All regions'!B4713+"$F;@!(R?"</f>
        <v>#VALUE!</v>
      </c>
      <c r="DJ170" t="e">
        <f>'All regions'!C4713+"$F;@!(R@"</f>
        <v>#VALUE!</v>
      </c>
      <c r="DK170" t="e">
        <f>'All regions'!D4713+"$F;@!(RA"</f>
        <v>#VALUE!</v>
      </c>
      <c r="DL170" t="e">
        <f>'All regions'!E4713+"$F;@!(RB"</f>
        <v>#VALUE!</v>
      </c>
      <c r="DM170" t="e">
        <f>'All regions'!F4713+"$F;@!(RC"</f>
        <v>#VALUE!</v>
      </c>
      <c r="DN170" t="e">
        <f>'All regions'!G4713+"$F;@!(RD"</f>
        <v>#VALUE!</v>
      </c>
      <c r="DO170" t="e">
        <f>'All regions'!H4713+"$F;@!(RE"</f>
        <v>#VALUE!</v>
      </c>
      <c r="DP170" t="e">
        <f>'All regions'!I4713+"$F;@!(RF"</f>
        <v>#VALUE!</v>
      </c>
      <c r="DQ170" t="e">
        <f>'All regions'!A4714+"$F;@!(RG"</f>
        <v>#VALUE!</v>
      </c>
      <c r="DR170" t="e">
        <f>'All regions'!B4714+"$F;@!(RH"</f>
        <v>#VALUE!</v>
      </c>
      <c r="DS170" t="e">
        <f>'All regions'!C4714+"$F;@!(RI"</f>
        <v>#VALUE!</v>
      </c>
      <c r="DT170" t="e">
        <f>'All regions'!D4714+"$F;@!(RJ"</f>
        <v>#VALUE!</v>
      </c>
      <c r="DU170" t="e">
        <f>'All regions'!E4714+"$F;@!(RK"</f>
        <v>#VALUE!</v>
      </c>
      <c r="DV170" t="e">
        <f>'All regions'!F4714+"$F;@!(RL"</f>
        <v>#VALUE!</v>
      </c>
      <c r="DW170" t="e">
        <f>'All regions'!G4714+"$F;@!(RM"</f>
        <v>#VALUE!</v>
      </c>
      <c r="DX170" t="e">
        <f>'All regions'!H4714+"$F;@!(RN"</f>
        <v>#VALUE!</v>
      </c>
      <c r="DY170" t="e">
        <f>'All regions'!I4714+"$F;@!(RO"</f>
        <v>#VALUE!</v>
      </c>
      <c r="DZ170" t="e">
        <f>'All regions'!A4715+"$F;@!(RP"</f>
        <v>#VALUE!</v>
      </c>
      <c r="EA170" t="e">
        <f>'All regions'!B4715+"$F;@!(RQ"</f>
        <v>#VALUE!</v>
      </c>
      <c r="EB170" t="e">
        <f>'All regions'!C4715+"$F;@!(RR"</f>
        <v>#VALUE!</v>
      </c>
      <c r="EC170" t="e">
        <f>'All regions'!D4715+"$F;@!(RS"</f>
        <v>#VALUE!</v>
      </c>
      <c r="ED170" t="e">
        <f>'All regions'!E4715+"$F;@!(RT"</f>
        <v>#VALUE!</v>
      </c>
      <c r="EE170" t="e">
        <f>'All regions'!F4715+"$F;@!(RU"</f>
        <v>#VALUE!</v>
      </c>
      <c r="EF170" t="e">
        <f>'All regions'!G4715+"$F;@!(RV"</f>
        <v>#VALUE!</v>
      </c>
      <c r="EG170" t="e">
        <f>'All regions'!H4715+"$F;@!(RW"</f>
        <v>#VALUE!</v>
      </c>
      <c r="EH170" t="e">
        <f>'All regions'!I4715+"$F;@!(RX"</f>
        <v>#VALUE!</v>
      </c>
      <c r="EI170" t="e">
        <f>'All regions'!A4716+"$F;@!(RY"</f>
        <v>#VALUE!</v>
      </c>
      <c r="EJ170" t="e">
        <f>'All regions'!B4716+"$F;@!(RZ"</f>
        <v>#VALUE!</v>
      </c>
      <c r="EK170" t="e">
        <f>'All regions'!C4716+"$F;@!(R["</f>
        <v>#VALUE!</v>
      </c>
      <c r="EL170" t="e">
        <f>'All regions'!D4716+"$F;@!(R\"</f>
        <v>#VALUE!</v>
      </c>
      <c r="EM170" t="e">
        <f>'All regions'!E4716+"$F;@!(R]"</f>
        <v>#VALUE!</v>
      </c>
      <c r="EN170" t="e">
        <f>'All regions'!F4716+"$F;@!(R^"</f>
        <v>#VALUE!</v>
      </c>
      <c r="EO170" t="e">
        <f>'All regions'!G4716+"$F;@!(R_"</f>
        <v>#VALUE!</v>
      </c>
      <c r="EP170" t="e">
        <f>'All regions'!H4716+"$F;@!(R`"</f>
        <v>#VALUE!</v>
      </c>
      <c r="EQ170" t="e">
        <f>'All regions'!I4716+"$F;@!(Ra"</f>
        <v>#VALUE!</v>
      </c>
      <c r="ER170" t="e">
        <f>'All regions'!A4717+"$F;@!(Rb"</f>
        <v>#VALUE!</v>
      </c>
      <c r="ES170" t="e">
        <f>'All regions'!B4717+"$F;@!(Rc"</f>
        <v>#VALUE!</v>
      </c>
      <c r="ET170" t="e">
        <f>'All regions'!C4717+"$F;@!(Rd"</f>
        <v>#VALUE!</v>
      </c>
      <c r="EU170" t="e">
        <f>'All regions'!D4717+"$F;@!(Re"</f>
        <v>#VALUE!</v>
      </c>
      <c r="EV170" t="e">
        <f>'All regions'!E4717+"$F;@!(Rf"</f>
        <v>#VALUE!</v>
      </c>
      <c r="EW170" t="e">
        <f>'All regions'!F4717+"$F;@!(Rg"</f>
        <v>#VALUE!</v>
      </c>
      <c r="EX170" t="e">
        <f>'All regions'!G4717+"$F;@!(Rh"</f>
        <v>#VALUE!</v>
      </c>
      <c r="EY170" t="e">
        <f>'All regions'!H4717+"$F;@!(Ri"</f>
        <v>#VALUE!</v>
      </c>
      <c r="EZ170" t="e">
        <f>'All regions'!I4717+"$F;@!(Rj"</f>
        <v>#VALUE!</v>
      </c>
      <c r="FA170" t="e">
        <f>'All regions'!A4718+"$F;@!(Rk"</f>
        <v>#VALUE!</v>
      </c>
      <c r="FB170" t="e">
        <f>'All regions'!B4718+"$F;@!(Rl"</f>
        <v>#VALUE!</v>
      </c>
      <c r="FC170" t="e">
        <f>'All regions'!C4718+"$F;@!(Rm"</f>
        <v>#VALUE!</v>
      </c>
      <c r="FD170" t="e">
        <f>'All regions'!D4718+"$F;@!(Rn"</f>
        <v>#VALUE!</v>
      </c>
      <c r="FE170" t="e">
        <f>'All regions'!E4718+"$F;@!(Ro"</f>
        <v>#VALUE!</v>
      </c>
      <c r="FF170" t="e">
        <f>'All regions'!F4718+"$F;@!(Rp"</f>
        <v>#VALUE!</v>
      </c>
      <c r="FG170" t="e">
        <f>'All regions'!G4718+"$F;@!(Rq"</f>
        <v>#VALUE!</v>
      </c>
      <c r="FH170" t="e">
        <f>'All regions'!H4718+"$F;@!(Rr"</f>
        <v>#VALUE!</v>
      </c>
      <c r="FI170" t="e">
        <f>'All regions'!I4718+"$F;@!(Rs"</f>
        <v>#VALUE!</v>
      </c>
      <c r="FJ170" t="e">
        <f>'All regions'!A4719+"$F;@!(Rt"</f>
        <v>#VALUE!</v>
      </c>
      <c r="FK170" t="e">
        <f>'All regions'!B4719+"$F;@!(Ru"</f>
        <v>#VALUE!</v>
      </c>
      <c r="FL170" t="e">
        <f>'All regions'!C4719+"$F;@!(Rv"</f>
        <v>#VALUE!</v>
      </c>
      <c r="FM170" t="e">
        <f>'All regions'!D4719+"$F;@!(Rw"</f>
        <v>#VALUE!</v>
      </c>
      <c r="FN170" t="e">
        <f>'All regions'!E4719+"$F;@!(Rx"</f>
        <v>#VALUE!</v>
      </c>
      <c r="FO170" t="e">
        <f>'All regions'!F4719+"$F;@!(Ry"</f>
        <v>#VALUE!</v>
      </c>
      <c r="FP170" t="e">
        <f>'All regions'!G4719+"$F;@!(Rz"</f>
        <v>#VALUE!</v>
      </c>
      <c r="FQ170" t="e">
        <f>'All regions'!H4719+"$F;@!(R{"</f>
        <v>#VALUE!</v>
      </c>
      <c r="FR170" t="e">
        <f>'All regions'!I4719+"$F;@!(R|"</f>
        <v>#VALUE!</v>
      </c>
      <c r="FS170" t="e">
        <f>'All regions'!A4720+"$F;@!(R}"</f>
        <v>#VALUE!</v>
      </c>
      <c r="FT170" t="e">
        <f>'All regions'!B4720+"$F;@!(R~"</f>
        <v>#VALUE!</v>
      </c>
      <c r="FU170" t="e">
        <f>'All regions'!C4720+"$F;@!(S#"</f>
        <v>#VALUE!</v>
      </c>
      <c r="FV170" t="e">
        <f>'All regions'!D4720+"$F;@!(S$"</f>
        <v>#VALUE!</v>
      </c>
      <c r="FW170" t="e">
        <f>'All regions'!E4720+"$F;@!(S%"</f>
        <v>#VALUE!</v>
      </c>
      <c r="FX170" t="e">
        <f>'All regions'!F4720+"$F;@!(S&amp;"</f>
        <v>#VALUE!</v>
      </c>
      <c r="FY170" t="e">
        <f>'All regions'!G4720+"$F;@!(S'"</f>
        <v>#VALUE!</v>
      </c>
      <c r="FZ170" t="e">
        <f>'All regions'!H4720+"$F;@!(S("</f>
        <v>#VALUE!</v>
      </c>
      <c r="GA170" t="e">
        <f>'All regions'!I4720+"$F;@!(S)"</f>
        <v>#VALUE!</v>
      </c>
      <c r="GB170" t="e">
        <f>'All regions'!A4721+"$F;@!(S."</f>
        <v>#VALUE!</v>
      </c>
      <c r="GC170" t="e">
        <f>'All regions'!B4721+"$F;@!(S/"</f>
        <v>#VALUE!</v>
      </c>
      <c r="GD170" t="e">
        <f>'All regions'!C4721+"$F;@!(S0"</f>
        <v>#VALUE!</v>
      </c>
      <c r="GE170" t="e">
        <f>'All regions'!D4721+"$F;@!(S1"</f>
        <v>#VALUE!</v>
      </c>
      <c r="GF170" t="e">
        <f>'All regions'!E4721+"$F;@!(S2"</f>
        <v>#VALUE!</v>
      </c>
      <c r="GG170" t="e">
        <f>'All regions'!F4721+"$F;@!(S3"</f>
        <v>#VALUE!</v>
      </c>
      <c r="GH170" t="e">
        <f>'All regions'!G4721+"$F;@!(S4"</f>
        <v>#VALUE!</v>
      </c>
      <c r="GI170" t="e">
        <f>'All regions'!H4721+"$F;@!(S5"</f>
        <v>#VALUE!</v>
      </c>
      <c r="GJ170" t="e">
        <f>'All regions'!I4721+"$F;@!(S6"</f>
        <v>#VALUE!</v>
      </c>
      <c r="GK170" t="e">
        <f>'All regions'!A4722+"$F;@!(S7"</f>
        <v>#VALUE!</v>
      </c>
      <c r="GL170" t="e">
        <f>'All regions'!B4722+"$F;@!(S8"</f>
        <v>#VALUE!</v>
      </c>
      <c r="GM170" t="e">
        <f>'All regions'!C4722+"$F;@!(S9"</f>
        <v>#VALUE!</v>
      </c>
      <c r="GN170" t="e">
        <f>'All regions'!D4722+"$F;@!(S:"</f>
        <v>#VALUE!</v>
      </c>
      <c r="GO170" t="e">
        <f>'All regions'!E4722+"$F;@!(S;"</f>
        <v>#VALUE!</v>
      </c>
      <c r="GP170" t="e">
        <f>'All regions'!F4722+"$F;@!(S&lt;"</f>
        <v>#VALUE!</v>
      </c>
      <c r="GQ170" t="e">
        <f>'All regions'!G4722+"$F;@!(S="</f>
        <v>#VALUE!</v>
      </c>
      <c r="GR170" t="e">
        <f>'All regions'!H4722+"$F;@!(S&gt;"</f>
        <v>#VALUE!</v>
      </c>
      <c r="GS170" t="e">
        <f>'All regions'!I4722+"$F;@!(S?"</f>
        <v>#VALUE!</v>
      </c>
      <c r="GT170" t="e">
        <f>'All regions'!A4723+"$F;@!(S@"</f>
        <v>#VALUE!</v>
      </c>
      <c r="GU170" t="e">
        <f>'All regions'!B4723+"$F;@!(SA"</f>
        <v>#VALUE!</v>
      </c>
      <c r="GV170" t="e">
        <f>'All regions'!C4723+"$F;@!(SB"</f>
        <v>#VALUE!</v>
      </c>
      <c r="GW170" t="e">
        <f>'All regions'!D4723+"$F;@!(SC"</f>
        <v>#VALUE!</v>
      </c>
      <c r="GX170" t="e">
        <f>'All regions'!E4723+"$F;@!(SD"</f>
        <v>#VALUE!</v>
      </c>
      <c r="GY170" t="e">
        <f>'All regions'!F4723+"$F;@!(SE"</f>
        <v>#VALUE!</v>
      </c>
      <c r="GZ170" t="e">
        <f>'All regions'!G4723+"$F;@!(SF"</f>
        <v>#VALUE!</v>
      </c>
      <c r="HA170" t="e">
        <f>'All regions'!H4723+"$F;@!(SG"</f>
        <v>#VALUE!</v>
      </c>
      <c r="HB170" t="e">
        <f>'All regions'!I4723+"$F;@!(SH"</f>
        <v>#VALUE!</v>
      </c>
      <c r="HC170" t="e">
        <f>'All regions'!A4724+"$F;@!(SI"</f>
        <v>#VALUE!</v>
      </c>
      <c r="HD170" t="e">
        <f>'All regions'!B4724+"$F;@!(SJ"</f>
        <v>#VALUE!</v>
      </c>
      <c r="HE170" t="e">
        <f>'All regions'!C4724+"$F;@!(SK"</f>
        <v>#VALUE!</v>
      </c>
      <c r="HF170" t="e">
        <f>'All regions'!D4724+"$F;@!(SL"</f>
        <v>#VALUE!</v>
      </c>
      <c r="HG170" t="e">
        <f>'All regions'!E4724+"$F;@!(SM"</f>
        <v>#VALUE!</v>
      </c>
      <c r="HH170" t="e">
        <f>'All regions'!F4724+"$F;@!(SN"</f>
        <v>#VALUE!</v>
      </c>
      <c r="HI170" t="e">
        <f>'All regions'!G4724+"$F;@!(SO"</f>
        <v>#VALUE!</v>
      </c>
      <c r="HJ170" t="e">
        <f>'All regions'!H4724+"$F;@!(SP"</f>
        <v>#VALUE!</v>
      </c>
      <c r="HK170" t="e">
        <f>'All regions'!I4724+"$F;@!(SQ"</f>
        <v>#VALUE!</v>
      </c>
      <c r="HL170" t="e">
        <f>'All regions'!A4725+"$F;@!(SR"</f>
        <v>#VALUE!</v>
      </c>
      <c r="HM170" t="e">
        <f>'All regions'!B4725+"$F;@!(SS"</f>
        <v>#VALUE!</v>
      </c>
      <c r="HN170" t="e">
        <f>'All regions'!C4725+"$F;@!(ST"</f>
        <v>#VALUE!</v>
      </c>
      <c r="HO170" t="e">
        <f>'All regions'!D4725+"$F;@!(SU"</f>
        <v>#VALUE!</v>
      </c>
      <c r="HP170" t="e">
        <f>'All regions'!E4725+"$F;@!(SV"</f>
        <v>#VALUE!</v>
      </c>
      <c r="HQ170" t="e">
        <f>'All regions'!F4725+"$F;@!(SW"</f>
        <v>#VALUE!</v>
      </c>
      <c r="HR170" t="e">
        <f>'All regions'!G4725+"$F;@!(SX"</f>
        <v>#VALUE!</v>
      </c>
      <c r="HS170" t="e">
        <f>'All regions'!H4725+"$F;@!(SY"</f>
        <v>#VALUE!</v>
      </c>
      <c r="HT170" t="e">
        <f>'All regions'!I4725+"$F;@!(SZ"</f>
        <v>#VALUE!</v>
      </c>
      <c r="HU170" t="e">
        <f>'All regions'!A4726+"$F;@!(S["</f>
        <v>#VALUE!</v>
      </c>
      <c r="HV170" t="e">
        <f>'All regions'!B4726+"$F;@!(S\"</f>
        <v>#VALUE!</v>
      </c>
      <c r="HW170" t="e">
        <f>'All regions'!C4726+"$F;@!(S]"</f>
        <v>#VALUE!</v>
      </c>
      <c r="HX170" t="e">
        <f>'All regions'!D4726+"$F;@!(S^"</f>
        <v>#VALUE!</v>
      </c>
      <c r="HY170" t="e">
        <f>'All regions'!E4726+"$F;@!(S_"</f>
        <v>#VALUE!</v>
      </c>
      <c r="HZ170" t="e">
        <f>'All regions'!F4726+"$F;@!(S`"</f>
        <v>#VALUE!</v>
      </c>
      <c r="IA170" t="e">
        <f>'All regions'!G4726+"$F;@!(Sa"</f>
        <v>#VALUE!</v>
      </c>
      <c r="IB170" t="e">
        <f>'All regions'!H4726+"$F;@!(Sb"</f>
        <v>#VALUE!</v>
      </c>
      <c r="IC170" t="e">
        <f>'All regions'!I4726+"$F;@!(Sc"</f>
        <v>#VALUE!</v>
      </c>
      <c r="ID170" t="e">
        <f>'All regions'!A4727+"$F;@!(Sd"</f>
        <v>#VALUE!</v>
      </c>
      <c r="IE170" t="e">
        <f>'All regions'!B4727+"$F;@!(Se"</f>
        <v>#VALUE!</v>
      </c>
      <c r="IF170" t="e">
        <f>'All regions'!C4727+"$F;@!(Sf"</f>
        <v>#VALUE!</v>
      </c>
      <c r="IG170" t="e">
        <f>'All regions'!D4727+"$F;@!(Sg"</f>
        <v>#VALUE!</v>
      </c>
      <c r="IH170" t="e">
        <f>'All regions'!E4727+"$F;@!(Sh"</f>
        <v>#VALUE!</v>
      </c>
      <c r="II170" t="e">
        <f>'All regions'!F4727+"$F;@!(Si"</f>
        <v>#VALUE!</v>
      </c>
      <c r="IJ170" t="e">
        <f>'All regions'!G4727+"$F;@!(Sj"</f>
        <v>#VALUE!</v>
      </c>
      <c r="IK170" t="e">
        <f>'All regions'!H4727+"$F;@!(Sk"</f>
        <v>#VALUE!</v>
      </c>
      <c r="IL170" t="e">
        <f>'All regions'!I4727+"$F;@!(Sl"</f>
        <v>#VALUE!</v>
      </c>
      <c r="IM170" t="e">
        <f>'All regions'!A4728+"$F;@!(Sm"</f>
        <v>#VALUE!</v>
      </c>
      <c r="IN170" t="e">
        <f>'All regions'!B4728+"$F;@!(Sn"</f>
        <v>#VALUE!</v>
      </c>
      <c r="IO170" t="e">
        <f>'All regions'!C4728+"$F;@!(So"</f>
        <v>#VALUE!</v>
      </c>
      <c r="IP170" t="e">
        <f>'All regions'!D4728+"$F;@!(Sp"</f>
        <v>#VALUE!</v>
      </c>
      <c r="IQ170" t="e">
        <f>'All regions'!E4728+"$F;@!(Sq"</f>
        <v>#VALUE!</v>
      </c>
      <c r="IR170" t="e">
        <f>'All regions'!F4728+"$F;@!(Sr"</f>
        <v>#VALUE!</v>
      </c>
      <c r="IS170" t="e">
        <f>'All regions'!G4728+"$F;@!(Ss"</f>
        <v>#VALUE!</v>
      </c>
      <c r="IT170" t="e">
        <f>'All regions'!H4728+"$F;@!(St"</f>
        <v>#VALUE!</v>
      </c>
      <c r="IU170" t="e">
        <f>'All regions'!I4728+"$F;@!(Su"</f>
        <v>#VALUE!</v>
      </c>
      <c r="IV170" t="e">
        <f>'All regions'!A4729+"$F;@!(Sv"</f>
        <v>#VALUE!</v>
      </c>
    </row>
    <row r="171" spans="6:256" x14ac:dyDescent="0.35">
      <c r="F171" t="e">
        <f>'All regions'!B4729+"$F;@!(Sw"</f>
        <v>#VALUE!</v>
      </c>
      <c r="G171" t="e">
        <f>'All regions'!C4729+"$F;@!(Sx"</f>
        <v>#VALUE!</v>
      </c>
      <c r="H171" t="e">
        <f>'All regions'!D4729+"$F;@!(Sy"</f>
        <v>#VALUE!</v>
      </c>
      <c r="I171" t="e">
        <f>'All regions'!E4729+"$F;@!(Sz"</f>
        <v>#VALUE!</v>
      </c>
      <c r="J171" t="e">
        <f>'All regions'!F4729+"$F;@!(S{"</f>
        <v>#VALUE!</v>
      </c>
      <c r="K171" t="e">
        <f>'All regions'!G4729+"$F;@!(S|"</f>
        <v>#VALUE!</v>
      </c>
      <c r="L171" t="e">
        <f>'All regions'!H4729+"$F;@!(S}"</f>
        <v>#VALUE!</v>
      </c>
      <c r="M171" t="e">
        <f>'All regions'!I4729+"$F;@!(S~"</f>
        <v>#VALUE!</v>
      </c>
      <c r="N171" t="e">
        <f>'All regions'!A4731+"$F;@!(T#"</f>
        <v>#VALUE!</v>
      </c>
      <c r="O171" t="e">
        <f>'All regions'!B4731+"$F;@!(T$"</f>
        <v>#VALUE!</v>
      </c>
      <c r="P171" t="e">
        <f>'All regions'!C4731+"$F;@!(T%"</f>
        <v>#VALUE!</v>
      </c>
      <c r="Q171" t="e">
        <f>'All regions'!D4731+"$F;@!(T&amp;"</f>
        <v>#VALUE!</v>
      </c>
      <c r="R171" t="e">
        <f>'All regions'!E4731+"$F;@!(T'"</f>
        <v>#VALUE!</v>
      </c>
      <c r="S171" t="e">
        <f>'All regions'!F4731+"$F;@!(T("</f>
        <v>#VALUE!</v>
      </c>
      <c r="T171" t="e">
        <f>'All regions'!G4731+"$F;@!(T)"</f>
        <v>#VALUE!</v>
      </c>
      <c r="U171" t="e">
        <f>'All regions'!H4731+"$F;@!(T."</f>
        <v>#VALUE!</v>
      </c>
      <c r="V171" t="e">
        <f>'All regions'!I4731+"$F;@!(T/"</f>
        <v>#VALUE!</v>
      </c>
      <c r="W171" t="e">
        <f>'All regions'!A4732+"$F;@!(T0"</f>
        <v>#VALUE!</v>
      </c>
      <c r="X171" t="e">
        <f>'All regions'!B4732+"$F;@!(T1"</f>
        <v>#VALUE!</v>
      </c>
      <c r="Y171" t="e">
        <f>'All regions'!C4732+"$F;@!(T2"</f>
        <v>#VALUE!</v>
      </c>
      <c r="Z171" t="e">
        <f>'All regions'!D4732+"$F;@!(T3"</f>
        <v>#VALUE!</v>
      </c>
      <c r="AA171" t="e">
        <f>'All regions'!E4732+"$F;@!(T4"</f>
        <v>#VALUE!</v>
      </c>
      <c r="AB171" t="e">
        <f>'All regions'!F4732+"$F;@!(T5"</f>
        <v>#VALUE!</v>
      </c>
      <c r="AC171" t="e">
        <f>'All regions'!G4732+"$F;@!(T6"</f>
        <v>#VALUE!</v>
      </c>
      <c r="AD171" t="e">
        <f>'All regions'!H4732+"$F;@!(T7"</f>
        <v>#VALUE!</v>
      </c>
      <c r="AE171" t="e">
        <f>'All regions'!I4732+"$F;@!(T8"</f>
        <v>#VALUE!</v>
      </c>
      <c r="AF171" t="e">
        <f>'All regions'!A4733+"$F;@!(T9"</f>
        <v>#VALUE!</v>
      </c>
      <c r="AG171" t="e">
        <f>'All regions'!B4733+"$F;@!(T:"</f>
        <v>#VALUE!</v>
      </c>
      <c r="AH171" t="e">
        <f>'All regions'!C4733+"$F;@!(T;"</f>
        <v>#VALUE!</v>
      </c>
      <c r="AI171" t="e">
        <f>'All regions'!D4733+"$F;@!(T&lt;"</f>
        <v>#VALUE!</v>
      </c>
      <c r="AJ171" t="e">
        <f>'All regions'!E4733+"$F;@!(T="</f>
        <v>#VALUE!</v>
      </c>
      <c r="AK171" t="e">
        <f>'All regions'!F4733+"$F;@!(T&gt;"</f>
        <v>#VALUE!</v>
      </c>
      <c r="AL171" t="e">
        <f>'All regions'!G4733+"$F;@!(T?"</f>
        <v>#VALUE!</v>
      </c>
      <c r="AM171" t="e">
        <f>'All regions'!H4733+"$F;@!(T@"</f>
        <v>#VALUE!</v>
      </c>
      <c r="AN171" t="e">
        <f>'All regions'!I4733+"$F;@!(TA"</f>
        <v>#VALUE!</v>
      </c>
      <c r="AO171" t="e">
        <f>'All regions'!A4734+"$F;@!(TB"</f>
        <v>#VALUE!</v>
      </c>
      <c r="AP171" t="e">
        <f>'All regions'!B4734+"$F;@!(TC"</f>
        <v>#VALUE!</v>
      </c>
      <c r="AQ171" t="e">
        <f>'All regions'!C4734+"$F;@!(TD"</f>
        <v>#VALUE!</v>
      </c>
      <c r="AR171" t="e">
        <f>'All regions'!D4734+"$F;@!(TE"</f>
        <v>#VALUE!</v>
      </c>
      <c r="AS171" t="e">
        <f>'All regions'!E4734+"$F;@!(TF"</f>
        <v>#VALUE!</v>
      </c>
      <c r="AT171" t="e">
        <f>'All regions'!F4734+"$F;@!(TG"</f>
        <v>#VALUE!</v>
      </c>
      <c r="AU171" t="e">
        <f>'All regions'!G4734+"$F;@!(TH"</f>
        <v>#VALUE!</v>
      </c>
      <c r="AV171" t="e">
        <f>'All regions'!H4734+"$F;@!(TI"</f>
        <v>#VALUE!</v>
      </c>
      <c r="AW171" t="e">
        <f>'All regions'!I4734+"$F;@!(TJ"</f>
        <v>#VALUE!</v>
      </c>
      <c r="AX171" t="e">
        <f>'All regions'!A4735+"$F;@!(TK"</f>
        <v>#VALUE!</v>
      </c>
      <c r="AY171" t="e">
        <f>'All regions'!B4735+"$F;@!(TL"</f>
        <v>#VALUE!</v>
      </c>
      <c r="AZ171" t="e">
        <f>'All regions'!C4735+"$F;@!(TM"</f>
        <v>#VALUE!</v>
      </c>
      <c r="BA171" t="e">
        <f>'All regions'!D4735+"$F;@!(TN"</f>
        <v>#VALUE!</v>
      </c>
      <c r="BB171" t="e">
        <f>'All regions'!E4735+"$F;@!(TO"</f>
        <v>#VALUE!</v>
      </c>
      <c r="BC171" t="e">
        <f>'All regions'!F4735+"$F;@!(TP"</f>
        <v>#VALUE!</v>
      </c>
      <c r="BD171" t="e">
        <f>'All regions'!G4735+"$F;@!(TQ"</f>
        <v>#VALUE!</v>
      </c>
      <c r="BE171" t="e">
        <f>'All regions'!H4735+"$F;@!(TR"</f>
        <v>#VALUE!</v>
      </c>
      <c r="BF171" t="e">
        <f>'All regions'!I4735+"$F;@!(TS"</f>
        <v>#VALUE!</v>
      </c>
      <c r="BG171" t="e">
        <f>'All regions'!A4736+"$F;@!(TT"</f>
        <v>#VALUE!</v>
      </c>
      <c r="BH171" t="e">
        <f>'All regions'!B4736+"$F;@!(TU"</f>
        <v>#VALUE!</v>
      </c>
      <c r="BI171" t="e">
        <f>'All regions'!C4736+"$F;@!(TV"</f>
        <v>#VALUE!</v>
      </c>
      <c r="BJ171" t="e">
        <f>'All regions'!D4736+"$F;@!(TW"</f>
        <v>#VALUE!</v>
      </c>
      <c r="BK171" t="e">
        <f>'All regions'!E4736+"$F;@!(TX"</f>
        <v>#VALUE!</v>
      </c>
      <c r="BL171" t="e">
        <f>'All regions'!F4736+"$F;@!(TY"</f>
        <v>#VALUE!</v>
      </c>
      <c r="BM171" t="e">
        <f>'All regions'!G4736+"$F;@!(TZ"</f>
        <v>#VALUE!</v>
      </c>
      <c r="BN171" t="e">
        <f>'All regions'!H4736+"$F;@!(T["</f>
        <v>#VALUE!</v>
      </c>
      <c r="BO171" t="e">
        <f>'All regions'!I4736+"$F;@!(T\"</f>
        <v>#VALUE!</v>
      </c>
      <c r="BP171" t="e">
        <f>'All regions'!A4737+"$F;@!(T]"</f>
        <v>#VALUE!</v>
      </c>
      <c r="BQ171" t="e">
        <f>'All regions'!B4737+"$F;@!(T^"</f>
        <v>#VALUE!</v>
      </c>
      <c r="BR171" t="e">
        <f>'All regions'!C4737+"$F;@!(T_"</f>
        <v>#VALUE!</v>
      </c>
      <c r="BS171" t="e">
        <f>'All regions'!D4737+"$F;@!(T`"</f>
        <v>#VALUE!</v>
      </c>
      <c r="BT171" t="e">
        <f>'All regions'!E4737+"$F;@!(Ta"</f>
        <v>#VALUE!</v>
      </c>
      <c r="BU171" t="e">
        <f>'All regions'!F4737+"$F;@!(Tb"</f>
        <v>#VALUE!</v>
      </c>
      <c r="BV171" t="e">
        <f>'All regions'!G4737+"$F;@!(Tc"</f>
        <v>#VALUE!</v>
      </c>
      <c r="BW171" t="e">
        <f>'All regions'!H4737+"$F;@!(Td"</f>
        <v>#VALUE!</v>
      </c>
      <c r="BX171" t="e">
        <f>'All regions'!I4737+"$F;@!(Te"</f>
        <v>#VALUE!</v>
      </c>
      <c r="BY171" t="e">
        <f>'All regions'!A4738+"$F;@!(Tf"</f>
        <v>#VALUE!</v>
      </c>
      <c r="BZ171" t="e">
        <f>'All regions'!B4738+"$F;@!(Tg"</f>
        <v>#VALUE!</v>
      </c>
      <c r="CA171" t="e">
        <f>'All regions'!C4738+"$F;@!(Th"</f>
        <v>#VALUE!</v>
      </c>
      <c r="CB171" t="e">
        <f>'All regions'!D4738+"$F;@!(Ti"</f>
        <v>#VALUE!</v>
      </c>
      <c r="CC171" t="e">
        <f>'All regions'!E4738+"$F;@!(Tj"</f>
        <v>#VALUE!</v>
      </c>
      <c r="CD171" t="e">
        <f>'All regions'!F4738+"$F;@!(Tk"</f>
        <v>#VALUE!</v>
      </c>
      <c r="CE171" t="e">
        <f>'All regions'!G4738+"$F;@!(Tl"</f>
        <v>#VALUE!</v>
      </c>
      <c r="CF171" t="e">
        <f>'All regions'!H4738+"$F;@!(Tm"</f>
        <v>#VALUE!</v>
      </c>
      <c r="CG171" t="e">
        <f>'All regions'!I4738+"$F;@!(Tn"</f>
        <v>#VALUE!</v>
      </c>
      <c r="CH171" t="e">
        <f>'All regions'!A4739+"$F;@!(To"</f>
        <v>#VALUE!</v>
      </c>
      <c r="CI171" t="e">
        <f>'All regions'!B4739+"$F;@!(Tp"</f>
        <v>#VALUE!</v>
      </c>
      <c r="CJ171" t="e">
        <f>'All regions'!C4739+"$F;@!(Tq"</f>
        <v>#VALUE!</v>
      </c>
      <c r="CK171" t="e">
        <f>'All regions'!D4739+"$F;@!(Tr"</f>
        <v>#VALUE!</v>
      </c>
      <c r="CL171" t="e">
        <f>'All regions'!E4739+"$F;@!(Ts"</f>
        <v>#VALUE!</v>
      </c>
      <c r="CM171" t="e">
        <f>'All regions'!F4739+"$F;@!(Tt"</f>
        <v>#VALUE!</v>
      </c>
      <c r="CN171" t="e">
        <f>'All regions'!G4739+"$F;@!(Tu"</f>
        <v>#VALUE!</v>
      </c>
      <c r="CO171" t="e">
        <f>'All regions'!H4739+"$F;@!(Tv"</f>
        <v>#VALUE!</v>
      </c>
      <c r="CP171" t="e">
        <f>'All regions'!I4739+"$F;@!(Tw"</f>
        <v>#VALUE!</v>
      </c>
      <c r="CQ171" t="e">
        <f>'All regions'!A4740+"$F;@!(Tx"</f>
        <v>#VALUE!</v>
      </c>
      <c r="CR171" t="e">
        <f>'All regions'!B4740+"$F;@!(Ty"</f>
        <v>#VALUE!</v>
      </c>
      <c r="CS171" t="e">
        <f>'All regions'!C4740+"$F;@!(Tz"</f>
        <v>#VALUE!</v>
      </c>
      <c r="CT171" t="e">
        <f>'All regions'!D4740+"$F;@!(T{"</f>
        <v>#VALUE!</v>
      </c>
      <c r="CU171" t="e">
        <f>'All regions'!E4740+"$F;@!(T|"</f>
        <v>#VALUE!</v>
      </c>
      <c r="CV171" t="e">
        <f>'All regions'!F4740+"$F;@!(T}"</f>
        <v>#VALUE!</v>
      </c>
      <c r="CW171" t="e">
        <f>'All regions'!G4740+"$F;@!(T~"</f>
        <v>#VALUE!</v>
      </c>
      <c r="CX171" t="e">
        <f>'All regions'!H4740+"$F;@!(U#"</f>
        <v>#VALUE!</v>
      </c>
      <c r="CY171" t="e">
        <f>'All regions'!I4740+"$F;@!(U$"</f>
        <v>#VALUE!</v>
      </c>
      <c r="CZ171" t="e">
        <f>'All regions'!A4741+"$F;@!(U%"</f>
        <v>#VALUE!</v>
      </c>
      <c r="DA171" t="e">
        <f>'All regions'!B4741+"$F;@!(U&amp;"</f>
        <v>#VALUE!</v>
      </c>
      <c r="DB171" t="e">
        <f>'All regions'!C4741+"$F;@!(U'"</f>
        <v>#VALUE!</v>
      </c>
      <c r="DC171" t="e">
        <f>'All regions'!D4741+"$F;@!(U("</f>
        <v>#VALUE!</v>
      </c>
      <c r="DD171" t="e">
        <f>'All regions'!E4741+"$F;@!(U)"</f>
        <v>#VALUE!</v>
      </c>
      <c r="DE171" t="e">
        <f>'All regions'!F4741+"$F;@!(U."</f>
        <v>#VALUE!</v>
      </c>
      <c r="DF171" t="e">
        <f>'All regions'!G4741+"$F;@!(U/"</f>
        <v>#VALUE!</v>
      </c>
      <c r="DG171" t="e">
        <f>'All regions'!H4741+"$F;@!(U0"</f>
        <v>#VALUE!</v>
      </c>
      <c r="DH171" t="e">
        <f>'All regions'!I4741+"$F;@!(U1"</f>
        <v>#VALUE!</v>
      </c>
      <c r="DI171" t="e">
        <f>'All regions'!A4742+"$F;@!(U2"</f>
        <v>#VALUE!</v>
      </c>
      <c r="DJ171" t="e">
        <f>'All regions'!B4742+"$F;@!(U3"</f>
        <v>#VALUE!</v>
      </c>
      <c r="DK171" t="e">
        <f>'All regions'!C4742+"$F;@!(U4"</f>
        <v>#VALUE!</v>
      </c>
      <c r="DL171" t="e">
        <f>'All regions'!D4742+"$F;@!(U5"</f>
        <v>#VALUE!</v>
      </c>
      <c r="DM171" t="e">
        <f>'All regions'!E4742+"$F;@!(U6"</f>
        <v>#VALUE!</v>
      </c>
      <c r="DN171" t="e">
        <f>'All regions'!F4742+"$F;@!(U7"</f>
        <v>#VALUE!</v>
      </c>
      <c r="DO171" t="e">
        <f>'All regions'!G4742+"$F;@!(U8"</f>
        <v>#VALUE!</v>
      </c>
      <c r="DP171" t="e">
        <f>'All regions'!H4742+"$F;@!(U9"</f>
        <v>#VALUE!</v>
      </c>
      <c r="DQ171" t="e">
        <f>'All regions'!I4742+"$F;@!(U:"</f>
        <v>#VALUE!</v>
      </c>
      <c r="DR171" t="e">
        <f>'All regions'!A4743+"$F;@!(U;"</f>
        <v>#VALUE!</v>
      </c>
      <c r="DS171" t="e">
        <f>'All regions'!B4743+"$F;@!(U&lt;"</f>
        <v>#VALUE!</v>
      </c>
      <c r="DT171" t="e">
        <f>'All regions'!C4743+"$F;@!(U="</f>
        <v>#VALUE!</v>
      </c>
      <c r="DU171" t="e">
        <f>'All regions'!D4743+"$F;@!(U&gt;"</f>
        <v>#VALUE!</v>
      </c>
      <c r="DV171" t="e">
        <f>'All regions'!E4743+"$F;@!(U?"</f>
        <v>#VALUE!</v>
      </c>
      <c r="DW171" t="e">
        <f>'All regions'!F4743+"$F;@!(U@"</f>
        <v>#VALUE!</v>
      </c>
      <c r="DX171" t="e">
        <f>'All regions'!G4743+"$F;@!(UA"</f>
        <v>#VALUE!</v>
      </c>
      <c r="DY171" t="e">
        <f>'All regions'!H4743+"$F;@!(UB"</f>
        <v>#VALUE!</v>
      </c>
      <c r="DZ171" t="e">
        <f>'All regions'!I4743+"$F;@!(UC"</f>
        <v>#VALUE!</v>
      </c>
      <c r="EA171" t="e">
        <f>'All regions'!A4744+"$F;@!(UD"</f>
        <v>#VALUE!</v>
      </c>
      <c r="EB171" t="e">
        <f>'All regions'!B4744+"$F;@!(UE"</f>
        <v>#VALUE!</v>
      </c>
      <c r="EC171" t="e">
        <f>'All regions'!C4744+"$F;@!(UF"</f>
        <v>#VALUE!</v>
      </c>
      <c r="ED171" t="e">
        <f>'All regions'!D4744+"$F;@!(UG"</f>
        <v>#VALUE!</v>
      </c>
      <c r="EE171" t="e">
        <f>'All regions'!E4744+"$F;@!(UH"</f>
        <v>#VALUE!</v>
      </c>
      <c r="EF171" t="e">
        <f>'All regions'!F4744+"$F;@!(UI"</f>
        <v>#VALUE!</v>
      </c>
      <c r="EG171" t="e">
        <f>'All regions'!G4744+"$F;@!(UJ"</f>
        <v>#VALUE!</v>
      </c>
      <c r="EH171" t="e">
        <f>'All regions'!H4744+"$F;@!(UK"</f>
        <v>#VALUE!</v>
      </c>
      <c r="EI171" t="e">
        <f>'All regions'!I4744+"$F;@!(UL"</f>
        <v>#VALUE!</v>
      </c>
      <c r="EJ171" t="e">
        <f>'All regions'!A4745+"$F;@!(UM"</f>
        <v>#VALUE!</v>
      </c>
      <c r="EK171" t="e">
        <f>'All regions'!B4745+"$F;@!(UN"</f>
        <v>#VALUE!</v>
      </c>
      <c r="EL171" t="e">
        <f>'All regions'!C4745+"$F;@!(UO"</f>
        <v>#VALUE!</v>
      </c>
      <c r="EM171" t="e">
        <f>'All regions'!D4745+"$F;@!(UP"</f>
        <v>#VALUE!</v>
      </c>
      <c r="EN171" t="e">
        <f>'All regions'!E4745+"$F;@!(UQ"</f>
        <v>#VALUE!</v>
      </c>
      <c r="EO171" t="e">
        <f>'All regions'!F4745+"$F;@!(UR"</f>
        <v>#VALUE!</v>
      </c>
      <c r="EP171" t="e">
        <f>'All regions'!G4745+"$F;@!(US"</f>
        <v>#VALUE!</v>
      </c>
      <c r="EQ171" t="e">
        <f>'All regions'!H4745+"$F;@!(UT"</f>
        <v>#VALUE!</v>
      </c>
      <c r="ER171" t="e">
        <f>'All regions'!I4745+"$F;@!(UU"</f>
        <v>#VALUE!</v>
      </c>
      <c r="ES171" t="e">
        <f>'All regions'!A4746+"$F;@!(UV"</f>
        <v>#VALUE!</v>
      </c>
      <c r="ET171" t="e">
        <f>'All regions'!B4746+"$F;@!(UW"</f>
        <v>#VALUE!</v>
      </c>
      <c r="EU171" t="e">
        <f>'All regions'!C4746+"$F;@!(UX"</f>
        <v>#VALUE!</v>
      </c>
      <c r="EV171" t="e">
        <f>'All regions'!D4746+"$F;@!(UY"</f>
        <v>#VALUE!</v>
      </c>
      <c r="EW171" t="e">
        <f>'All regions'!E4746+"$F;@!(UZ"</f>
        <v>#VALUE!</v>
      </c>
      <c r="EX171" t="e">
        <f>'All regions'!F4746+"$F;@!(U["</f>
        <v>#VALUE!</v>
      </c>
      <c r="EY171" t="e">
        <f>'All regions'!G4746+"$F;@!(U\"</f>
        <v>#VALUE!</v>
      </c>
      <c r="EZ171" t="e">
        <f>'All regions'!H4746+"$F;@!(U]"</f>
        <v>#VALUE!</v>
      </c>
      <c r="FA171" t="e">
        <f>'All regions'!I4746+"$F;@!(U^"</f>
        <v>#VALUE!</v>
      </c>
      <c r="FB171" t="e">
        <f>'All regions'!A4747+"$F;@!(U_"</f>
        <v>#VALUE!</v>
      </c>
      <c r="FC171" t="e">
        <f>'All regions'!B4747+"$F;@!(U`"</f>
        <v>#VALUE!</v>
      </c>
      <c r="FD171" t="e">
        <f>'All regions'!C4747+"$F;@!(Ua"</f>
        <v>#VALUE!</v>
      </c>
      <c r="FE171" t="e">
        <f>'All regions'!D4747+"$F;@!(Ub"</f>
        <v>#VALUE!</v>
      </c>
      <c r="FF171" t="e">
        <f>'All regions'!E4747+"$F;@!(Uc"</f>
        <v>#VALUE!</v>
      </c>
      <c r="FG171" t="e">
        <f>'All regions'!F4747+"$F;@!(Ud"</f>
        <v>#VALUE!</v>
      </c>
      <c r="FH171" t="e">
        <f>'All regions'!G4747+"$F;@!(Ue"</f>
        <v>#VALUE!</v>
      </c>
      <c r="FI171" t="e">
        <f>'All regions'!H4747+"$F;@!(Uf"</f>
        <v>#VALUE!</v>
      </c>
      <c r="FJ171" t="e">
        <f>'All regions'!I4747+"$F;@!(Ug"</f>
        <v>#VALUE!</v>
      </c>
      <c r="FK171" t="e">
        <f>'All regions'!A4748+"$F;@!(Uh"</f>
        <v>#VALUE!</v>
      </c>
      <c r="FL171" t="e">
        <f>'All regions'!B4748+"$F;@!(Ui"</f>
        <v>#VALUE!</v>
      </c>
      <c r="FM171" t="e">
        <f>'All regions'!C4748+"$F;@!(Uj"</f>
        <v>#VALUE!</v>
      </c>
      <c r="FN171" t="e">
        <f>'All regions'!D4748+"$F;@!(Uk"</f>
        <v>#VALUE!</v>
      </c>
      <c r="FO171" t="e">
        <f>'All regions'!E4748+"$F;@!(Ul"</f>
        <v>#VALUE!</v>
      </c>
      <c r="FP171" t="e">
        <f>'All regions'!F4748+"$F;@!(Um"</f>
        <v>#VALUE!</v>
      </c>
      <c r="FQ171" t="e">
        <f>'All regions'!G4748+"$F;@!(Un"</f>
        <v>#VALUE!</v>
      </c>
      <c r="FR171" t="e">
        <f>'All regions'!H4748+"$F;@!(Uo"</f>
        <v>#VALUE!</v>
      </c>
      <c r="FS171" t="e">
        <f>'All regions'!I4748+"$F;@!(Up"</f>
        <v>#VALUE!</v>
      </c>
      <c r="FT171" t="e">
        <f>'All regions'!A4749+"$F;@!(Uq"</f>
        <v>#VALUE!</v>
      </c>
      <c r="FU171" t="e">
        <f>'All regions'!B4749+"$F;@!(Ur"</f>
        <v>#VALUE!</v>
      </c>
      <c r="FV171" t="e">
        <f>'All regions'!C4749+"$F;@!(Us"</f>
        <v>#VALUE!</v>
      </c>
      <c r="FW171" t="e">
        <f>'All regions'!D4749+"$F;@!(Ut"</f>
        <v>#VALUE!</v>
      </c>
      <c r="FX171" t="e">
        <f>'All regions'!E4749+"$F;@!(Uu"</f>
        <v>#VALUE!</v>
      </c>
      <c r="FY171" t="e">
        <f>'All regions'!F4749+"$F;@!(Uv"</f>
        <v>#VALUE!</v>
      </c>
      <c r="FZ171" t="e">
        <f>'All regions'!G4749+"$F;@!(Uw"</f>
        <v>#VALUE!</v>
      </c>
      <c r="GA171" t="e">
        <f>'All regions'!H4749+"$F;@!(Ux"</f>
        <v>#VALUE!</v>
      </c>
      <c r="GB171" t="e">
        <f>'All regions'!I4749+"$F;@!(Uy"</f>
        <v>#VALUE!</v>
      </c>
      <c r="GC171" t="e">
        <f>'All regions'!A4750+"$F;@!(Uz"</f>
        <v>#VALUE!</v>
      </c>
      <c r="GD171" t="e">
        <f>'All regions'!B4750+"$F;@!(U{"</f>
        <v>#VALUE!</v>
      </c>
      <c r="GE171" t="e">
        <f>'All regions'!C4750+"$F;@!(U|"</f>
        <v>#VALUE!</v>
      </c>
      <c r="GF171" t="e">
        <f>'All regions'!D4750+"$F;@!(U}"</f>
        <v>#VALUE!</v>
      </c>
      <c r="GG171" t="e">
        <f>'All regions'!E4750+"$F;@!(U~"</f>
        <v>#VALUE!</v>
      </c>
      <c r="GH171" t="e">
        <f>'All regions'!F4750+"$F;@!(V#"</f>
        <v>#VALUE!</v>
      </c>
      <c r="GI171" t="e">
        <f>'All regions'!G4750+"$F;@!(V$"</f>
        <v>#VALUE!</v>
      </c>
      <c r="GJ171" t="e">
        <f>'All regions'!H4750+"$F;@!(V%"</f>
        <v>#VALUE!</v>
      </c>
      <c r="GK171" t="e">
        <f>'All regions'!I4750+"$F;@!(V&amp;"</f>
        <v>#VALUE!</v>
      </c>
      <c r="GL171" t="e">
        <f>'All regions'!A4751+"$F;@!(V'"</f>
        <v>#VALUE!</v>
      </c>
      <c r="GM171" t="e">
        <f>'All regions'!B4751+"$F;@!(V("</f>
        <v>#VALUE!</v>
      </c>
      <c r="GN171" t="e">
        <f>'All regions'!C4751+"$F;@!(V)"</f>
        <v>#VALUE!</v>
      </c>
      <c r="GO171" t="e">
        <f>'All regions'!D4751+"$F;@!(V."</f>
        <v>#VALUE!</v>
      </c>
      <c r="GP171" t="e">
        <f>'All regions'!E4751+"$F;@!(V/"</f>
        <v>#VALUE!</v>
      </c>
      <c r="GQ171" t="e">
        <f>'All regions'!F4751+"$F;@!(V0"</f>
        <v>#VALUE!</v>
      </c>
      <c r="GR171" t="e">
        <f>'All regions'!G4751+"$F;@!(V1"</f>
        <v>#VALUE!</v>
      </c>
      <c r="GS171" t="e">
        <f>'All regions'!H4751+"$F;@!(V2"</f>
        <v>#VALUE!</v>
      </c>
      <c r="GT171" t="e">
        <f>'All regions'!I4751+"$F;@!(V3"</f>
        <v>#VALUE!</v>
      </c>
      <c r="GU171" t="e">
        <f>'All regions'!A4752+"$F;@!(V4"</f>
        <v>#VALUE!</v>
      </c>
      <c r="GV171" t="e">
        <f>'All regions'!B4752+"$F;@!(V5"</f>
        <v>#VALUE!</v>
      </c>
      <c r="GW171" t="e">
        <f>'All regions'!C4752+"$F;@!(V6"</f>
        <v>#VALUE!</v>
      </c>
      <c r="GX171" t="e">
        <f>'All regions'!D4752+"$F;@!(V7"</f>
        <v>#VALUE!</v>
      </c>
      <c r="GY171" t="e">
        <f>'All regions'!E4752+"$F;@!(V8"</f>
        <v>#VALUE!</v>
      </c>
      <c r="GZ171" t="e">
        <f>'All regions'!F4752+"$F;@!(V9"</f>
        <v>#VALUE!</v>
      </c>
      <c r="HA171" t="e">
        <f>'All regions'!G4752+"$F;@!(V:"</f>
        <v>#VALUE!</v>
      </c>
      <c r="HB171" t="e">
        <f>'All regions'!H4752+"$F;@!(V;"</f>
        <v>#VALUE!</v>
      </c>
      <c r="HC171" t="e">
        <f>'All regions'!I4752+"$F;@!(V&lt;"</f>
        <v>#VALUE!</v>
      </c>
      <c r="HD171" t="e">
        <f>'All regions'!A4753+"$F;@!(V="</f>
        <v>#VALUE!</v>
      </c>
      <c r="HE171" t="e">
        <f>'All regions'!B4753+"$F;@!(V&gt;"</f>
        <v>#VALUE!</v>
      </c>
      <c r="HF171" t="e">
        <f>'All regions'!C4753+"$F;@!(V?"</f>
        <v>#VALUE!</v>
      </c>
      <c r="HG171" t="e">
        <f>'All regions'!D4753+"$F;@!(V@"</f>
        <v>#VALUE!</v>
      </c>
      <c r="HH171" t="e">
        <f>'All regions'!E4753+"$F;@!(VA"</f>
        <v>#VALUE!</v>
      </c>
      <c r="HI171" t="e">
        <f>'All regions'!F4753+"$F;@!(VB"</f>
        <v>#VALUE!</v>
      </c>
      <c r="HJ171" t="e">
        <f>'All regions'!G4753+"$F;@!(VC"</f>
        <v>#VALUE!</v>
      </c>
      <c r="HK171" t="e">
        <f>'All regions'!H4753+"$F;@!(VD"</f>
        <v>#VALUE!</v>
      </c>
      <c r="HL171" t="e">
        <f>'All regions'!I4753+"$F;@!(VE"</f>
        <v>#VALUE!</v>
      </c>
      <c r="HM171" t="e">
        <f>'All regions'!A4754+"$F;@!(VF"</f>
        <v>#VALUE!</v>
      </c>
      <c r="HN171" t="e">
        <f>'All regions'!B4754+"$F;@!(VG"</f>
        <v>#VALUE!</v>
      </c>
      <c r="HO171" t="e">
        <f>'All regions'!C4754+"$F;@!(VH"</f>
        <v>#VALUE!</v>
      </c>
      <c r="HP171" t="e">
        <f>'All regions'!D4754+"$F;@!(VI"</f>
        <v>#VALUE!</v>
      </c>
      <c r="HQ171" t="e">
        <f>'All regions'!E4754+"$F;@!(VJ"</f>
        <v>#VALUE!</v>
      </c>
      <c r="HR171" t="e">
        <f>'All regions'!F4754+"$F;@!(VK"</f>
        <v>#VALUE!</v>
      </c>
      <c r="HS171" t="e">
        <f>'All regions'!G4754+"$F;@!(VL"</f>
        <v>#VALUE!</v>
      </c>
      <c r="HT171" t="e">
        <f>'All regions'!H4754+"$F;@!(VM"</f>
        <v>#VALUE!</v>
      </c>
      <c r="HU171" t="e">
        <f>'All regions'!I4754+"$F;@!(VN"</f>
        <v>#VALUE!</v>
      </c>
      <c r="HV171" t="e">
        <f>'All regions'!A4755+"$F;@!(VO"</f>
        <v>#VALUE!</v>
      </c>
      <c r="HW171" t="e">
        <f>'All regions'!B4755+"$F;@!(VP"</f>
        <v>#VALUE!</v>
      </c>
      <c r="HX171" t="e">
        <f>'All regions'!C4755+"$F;@!(VQ"</f>
        <v>#VALUE!</v>
      </c>
      <c r="HY171" t="e">
        <f>'All regions'!D4755+"$F;@!(VR"</f>
        <v>#VALUE!</v>
      </c>
      <c r="HZ171" t="e">
        <f>'All regions'!E4755+"$F;@!(VS"</f>
        <v>#VALUE!</v>
      </c>
      <c r="IA171" t="e">
        <f>'All regions'!F4755+"$F;@!(VT"</f>
        <v>#VALUE!</v>
      </c>
      <c r="IB171" t="e">
        <f>'All regions'!G4755+"$F;@!(VU"</f>
        <v>#VALUE!</v>
      </c>
      <c r="IC171" t="e">
        <f>'All regions'!H4755+"$F;@!(VV"</f>
        <v>#VALUE!</v>
      </c>
      <c r="ID171" t="e">
        <f>'All regions'!I4755+"$F;@!(VW"</f>
        <v>#VALUE!</v>
      </c>
      <c r="IE171" t="e">
        <f>'All regions'!A4756+"$F;@!(VX"</f>
        <v>#VALUE!</v>
      </c>
      <c r="IF171" t="e">
        <f>'All regions'!B4756+"$F;@!(VY"</f>
        <v>#VALUE!</v>
      </c>
      <c r="IG171" t="e">
        <f>'All regions'!C4756+"$F;@!(VZ"</f>
        <v>#VALUE!</v>
      </c>
      <c r="IH171" t="e">
        <f>'All regions'!D4756+"$F;@!(V["</f>
        <v>#VALUE!</v>
      </c>
      <c r="II171" t="e">
        <f>'All regions'!E4756+"$F;@!(V\"</f>
        <v>#VALUE!</v>
      </c>
      <c r="IJ171" t="e">
        <f>'All regions'!F4756+"$F;@!(V]"</f>
        <v>#VALUE!</v>
      </c>
      <c r="IK171" t="e">
        <f>'All regions'!G4756+"$F;@!(V^"</f>
        <v>#VALUE!</v>
      </c>
      <c r="IL171" t="e">
        <f>'All regions'!H4756+"$F;@!(V_"</f>
        <v>#VALUE!</v>
      </c>
      <c r="IM171" t="e">
        <f>'All regions'!I4756+"$F;@!(V`"</f>
        <v>#VALUE!</v>
      </c>
      <c r="IN171" t="e">
        <f>'All regions'!A4757+"$F;@!(Va"</f>
        <v>#VALUE!</v>
      </c>
      <c r="IO171" t="e">
        <f>'All regions'!B4757+"$F;@!(Vb"</f>
        <v>#VALUE!</v>
      </c>
      <c r="IP171" t="e">
        <f>'All regions'!C4757+"$F;@!(Vc"</f>
        <v>#VALUE!</v>
      </c>
      <c r="IQ171" t="e">
        <f>'All regions'!D4757+"$F;@!(Vd"</f>
        <v>#VALUE!</v>
      </c>
      <c r="IR171" t="e">
        <f>'All regions'!E4757+"$F;@!(Ve"</f>
        <v>#VALUE!</v>
      </c>
      <c r="IS171" t="e">
        <f>'All regions'!F4757+"$F;@!(Vf"</f>
        <v>#VALUE!</v>
      </c>
      <c r="IT171" t="e">
        <f>'All regions'!G4757+"$F;@!(Vg"</f>
        <v>#VALUE!</v>
      </c>
      <c r="IU171" t="e">
        <f>'All regions'!H4757+"$F;@!(Vh"</f>
        <v>#VALUE!</v>
      </c>
      <c r="IV171" t="e">
        <f>'All regions'!I4757+"$F;@!(Vi"</f>
        <v>#VALUE!</v>
      </c>
    </row>
    <row r="172" spans="6:256" x14ac:dyDescent="0.35">
      <c r="F172" t="e">
        <f>'All regions'!A4758+"$F;@!(Vj"</f>
        <v>#VALUE!</v>
      </c>
      <c r="G172" t="e">
        <f>'All regions'!B4758+"$F;@!(Vk"</f>
        <v>#VALUE!</v>
      </c>
      <c r="H172" t="e">
        <f>'All regions'!C4758+"$F;@!(Vl"</f>
        <v>#VALUE!</v>
      </c>
      <c r="I172" t="e">
        <f>'All regions'!D4758+"$F;@!(Vm"</f>
        <v>#VALUE!</v>
      </c>
      <c r="J172" t="e">
        <f>'All regions'!E4758+"$F;@!(Vn"</f>
        <v>#VALUE!</v>
      </c>
      <c r="K172" t="e">
        <f>'All regions'!F4758+"$F;@!(Vo"</f>
        <v>#VALUE!</v>
      </c>
      <c r="L172" t="e">
        <f>'All regions'!G4758+"$F;@!(Vp"</f>
        <v>#VALUE!</v>
      </c>
      <c r="M172" t="e">
        <f>'All regions'!H4758+"$F;@!(Vq"</f>
        <v>#VALUE!</v>
      </c>
      <c r="N172" t="e">
        <f>'All regions'!I4758+"$F;@!(Vr"</f>
        <v>#VALUE!</v>
      </c>
      <c r="O172" t="e">
        <f>'All regions'!A4759+"$F;@!(Vs"</f>
        <v>#VALUE!</v>
      </c>
      <c r="P172" t="e">
        <f>'All regions'!B4759+"$F;@!(Vt"</f>
        <v>#VALUE!</v>
      </c>
      <c r="Q172" t="e">
        <f>'All regions'!C4759+"$F;@!(Vu"</f>
        <v>#VALUE!</v>
      </c>
      <c r="R172" t="e">
        <f>'All regions'!D4759+"$F;@!(Vv"</f>
        <v>#VALUE!</v>
      </c>
      <c r="S172" t="e">
        <f>'All regions'!E4759+"$F;@!(Vw"</f>
        <v>#VALUE!</v>
      </c>
      <c r="T172" t="e">
        <f>'All regions'!F4759+"$F;@!(Vx"</f>
        <v>#VALUE!</v>
      </c>
      <c r="U172" t="e">
        <f>'All regions'!G4759+"$F;@!(Vy"</f>
        <v>#VALUE!</v>
      </c>
      <c r="V172" t="e">
        <f>'All regions'!H4759+"$F;@!(Vz"</f>
        <v>#VALUE!</v>
      </c>
      <c r="W172" t="e">
        <f>'All regions'!I4759+"$F;@!(V{"</f>
        <v>#VALUE!</v>
      </c>
      <c r="X172" t="e">
        <f>'All regions'!A4760+"$F;@!(V|"</f>
        <v>#VALUE!</v>
      </c>
      <c r="Y172" t="e">
        <f>'All regions'!B4760+"$F;@!(V}"</f>
        <v>#VALUE!</v>
      </c>
      <c r="Z172" t="e">
        <f>'All regions'!C4760+"$F;@!(V~"</f>
        <v>#VALUE!</v>
      </c>
      <c r="AA172" t="e">
        <f>'All regions'!D4760+"$F;@!(W#"</f>
        <v>#VALUE!</v>
      </c>
      <c r="AB172" t="e">
        <f>'All regions'!E4760+"$F;@!(W$"</f>
        <v>#VALUE!</v>
      </c>
      <c r="AC172" t="e">
        <f>'All regions'!F4760+"$F;@!(W%"</f>
        <v>#VALUE!</v>
      </c>
      <c r="AD172" t="e">
        <f>'All regions'!G4760+"$F;@!(W&amp;"</f>
        <v>#VALUE!</v>
      </c>
      <c r="AE172" t="e">
        <f>'All regions'!H4760+"$F;@!(W'"</f>
        <v>#VALUE!</v>
      </c>
      <c r="AF172" t="e">
        <f>'All regions'!I4760+"$F;@!(W("</f>
        <v>#VALUE!</v>
      </c>
      <c r="AG172" t="e">
        <f>'All regions'!A4761+"$F;@!(W)"</f>
        <v>#VALUE!</v>
      </c>
      <c r="AH172" t="e">
        <f>'All regions'!B4761+"$F;@!(W."</f>
        <v>#VALUE!</v>
      </c>
      <c r="AI172" t="e">
        <f>'All regions'!C4761+"$F;@!(W/"</f>
        <v>#VALUE!</v>
      </c>
      <c r="AJ172" t="e">
        <f>'All regions'!D4761+"$F;@!(W0"</f>
        <v>#VALUE!</v>
      </c>
      <c r="AK172" t="e">
        <f>'All regions'!E4761+"$F;@!(W1"</f>
        <v>#VALUE!</v>
      </c>
      <c r="AL172" t="e">
        <f>'All regions'!F4761+"$F;@!(W2"</f>
        <v>#VALUE!</v>
      </c>
      <c r="AM172" t="e">
        <f>'All regions'!G4761+"$F;@!(W3"</f>
        <v>#VALUE!</v>
      </c>
      <c r="AN172" t="e">
        <f>'All regions'!H4761+"$F;@!(W4"</f>
        <v>#VALUE!</v>
      </c>
      <c r="AO172" t="e">
        <f>'All regions'!I4761+"$F;@!(W5"</f>
        <v>#VALUE!</v>
      </c>
      <c r="AP172" t="e">
        <f>'All regions'!A4762+"$F;@!(W6"</f>
        <v>#VALUE!</v>
      </c>
      <c r="AQ172" t="e">
        <f>'All regions'!B4762+"$F;@!(W7"</f>
        <v>#VALUE!</v>
      </c>
      <c r="AR172" t="e">
        <f>'All regions'!C4762+"$F;@!(W8"</f>
        <v>#VALUE!</v>
      </c>
      <c r="AS172" t="e">
        <f>'All regions'!D4762+"$F;@!(W9"</f>
        <v>#VALUE!</v>
      </c>
      <c r="AT172" t="e">
        <f>'All regions'!E4762+"$F;@!(W:"</f>
        <v>#VALUE!</v>
      </c>
      <c r="AU172" t="e">
        <f>'All regions'!F4762+"$F;@!(W;"</f>
        <v>#VALUE!</v>
      </c>
      <c r="AV172" t="e">
        <f>'All regions'!G4762+"$F;@!(W&lt;"</f>
        <v>#VALUE!</v>
      </c>
      <c r="AW172" t="e">
        <f>'All regions'!H4762+"$F;@!(W="</f>
        <v>#VALUE!</v>
      </c>
      <c r="AX172" t="e">
        <f>'All regions'!I4762+"$F;@!(W&gt;"</f>
        <v>#VALUE!</v>
      </c>
      <c r="AY172" t="e">
        <f>'All regions'!A4763+"$F;@!(W?"</f>
        <v>#VALUE!</v>
      </c>
      <c r="AZ172" t="e">
        <f>'All regions'!B4763+"$F;@!(W@"</f>
        <v>#VALUE!</v>
      </c>
      <c r="BA172" t="e">
        <f>'All regions'!C4763+"$F;@!(WA"</f>
        <v>#VALUE!</v>
      </c>
      <c r="BB172" t="e">
        <f>'All regions'!D4763+"$F;@!(WB"</f>
        <v>#VALUE!</v>
      </c>
      <c r="BC172" t="e">
        <f>'All regions'!E4763+"$F;@!(WC"</f>
        <v>#VALUE!</v>
      </c>
      <c r="BD172" t="e">
        <f>'All regions'!F4763+"$F;@!(WD"</f>
        <v>#VALUE!</v>
      </c>
      <c r="BE172" t="e">
        <f>'All regions'!G4763+"$F;@!(WE"</f>
        <v>#VALUE!</v>
      </c>
      <c r="BF172" t="e">
        <f>'All regions'!H4763+"$F;@!(WF"</f>
        <v>#VALUE!</v>
      </c>
      <c r="BG172" t="e">
        <f>'All regions'!I4763+"$F;@!(WG"</f>
        <v>#VALUE!</v>
      </c>
      <c r="BH172" t="e">
        <f>'All regions'!A4764+"$F;@!(WH"</f>
        <v>#VALUE!</v>
      </c>
      <c r="BI172" t="e">
        <f>'All regions'!B4764+"$F;@!(WI"</f>
        <v>#VALUE!</v>
      </c>
      <c r="BJ172" t="e">
        <f>'All regions'!C4764+"$F;@!(WJ"</f>
        <v>#VALUE!</v>
      </c>
      <c r="BK172" t="e">
        <f>'All regions'!D4764+"$F;@!(WK"</f>
        <v>#VALUE!</v>
      </c>
      <c r="BL172" t="e">
        <f>'All regions'!E4764+"$F;@!(WL"</f>
        <v>#VALUE!</v>
      </c>
      <c r="BM172" t="e">
        <f>'All regions'!F4764+"$F;@!(WM"</f>
        <v>#VALUE!</v>
      </c>
      <c r="BN172" t="e">
        <f>'All regions'!G4764+"$F;@!(WN"</f>
        <v>#VALUE!</v>
      </c>
      <c r="BO172" t="e">
        <f>'All regions'!H4764+"$F;@!(WO"</f>
        <v>#VALUE!</v>
      </c>
      <c r="BP172" t="e">
        <f>'All regions'!I4764+"$F;@!(WP"</f>
        <v>#VALUE!</v>
      </c>
      <c r="BQ172" t="e">
        <f>'All regions'!A4765+"$F;@!(WQ"</f>
        <v>#VALUE!</v>
      </c>
      <c r="BR172" t="e">
        <f>'All regions'!B4765+"$F;@!(WR"</f>
        <v>#VALUE!</v>
      </c>
      <c r="BS172" t="e">
        <f>'All regions'!C4765+"$F;@!(WS"</f>
        <v>#VALUE!</v>
      </c>
      <c r="BT172" t="e">
        <f>'All regions'!D4765+"$F;@!(WT"</f>
        <v>#VALUE!</v>
      </c>
      <c r="BU172" t="e">
        <f>'All regions'!E4765+"$F;@!(WU"</f>
        <v>#VALUE!</v>
      </c>
      <c r="BV172" t="e">
        <f>'All regions'!F4765+"$F;@!(WV"</f>
        <v>#VALUE!</v>
      </c>
      <c r="BW172" t="e">
        <f>'All regions'!G4765+"$F;@!(WW"</f>
        <v>#VALUE!</v>
      </c>
      <c r="BX172" t="e">
        <f>'All regions'!H4765+"$F;@!(WX"</f>
        <v>#VALUE!</v>
      </c>
      <c r="BY172" t="e">
        <f>'All regions'!I4765+"$F;@!(WY"</f>
        <v>#VALUE!</v>
      </c>
      <c r="BZ172" t="e">
        <f>'All regions'!A4766+"$F;@!(WZ"</f>
        <v>#VALUE!</v>
      </c>
      <c r="CA172" t="e">
        <f>'All regions'!B4766+"$F;@!(W["</f>
        <v>#VALUE!</v>
      </c>
      <c r="CB172" t="e">
        <f>'All regions'!C4766+"$F;@!(W\"</f>
        <v>#VALUE!</v>
      </c>
      <c r="CC172" t="e">
        <f>'All regions'!D4766+"$F;@!(W]"</f>
        <v>#VALUE!</v>
      </c>
      <c r="CD172" t="e">
        <f>'All regions'!E4766+"$F;@!(W^"</f>
        <v>#VALUE!</v>
      </c>
      <c r="CE172" t="e">
        <f>'All regions'!F4766+"$F;@!(W_"</f>
        <v>#VALUE!</v>
      </c>
      <c r="CF172" t="e">
        <f>'All regions'!G4766+"$F;@!(W`"</f>
        <v>#VALUE!</v>
      </c>
      <c r="CG172" t="e">
        <f>'All regions'!H4766+"$F;@!(Wa"</f>
        <v>#VALUE!</v>
      </c>
      <c r="CH172" t="e">
        <f>'All regions'!I4766+"$F;@!(Wb"</f>
        <v>#VALUE!</v>
      </c>
      <c r="CI172" t="e">
        <f>'All regions'!A4767+"$F;@!(Wc"</f>
        <v>#VALUE!</v>
      </c>
      <c r="CJ172" t="e">
        <f>'All regions'!B4767+"$F;@!(Wd"</f>
        <v>#VALUE!</v>
      </c>
      <c r="CK172" t="e">
        <f>'All regions'!C4767+"$F;@!(We"</f>
        <v>#VALUE!</v>
      </c>
      <c r="CL172" t="e">
        <f>'All regions'!D4767+"$F;@!(Wf"</f>
        <v>#VALUE!</v>
      </c>
      <c r="CM172" t="e">
        <f>'All regions'!E4767+"$F;@!(Wg"</f>
        <v>#VALUE!</v>
      </c>
      <c r="CN172" t="e">
        <f>'All regions'!F4767+"$F;@!(Wh"</f>
        <v>#VALUE!</v>
      </c>
      <c r="CO172" t="e">
        <f>'All regions'!G4767+"$F;@!(Wi"</f>
        <v>#VALUE!</v>
      </c>
      <c r="CP172" t="e">
        <f>'All regions'!H4767+"$F;@!(Wj"</f>
        <v>#VALUE!</v>
      </c>
      <c r="CQ172" t="e">
        <f>'All regions'!I4767+"$F;@!(Wk"</f>
        <v>#VALUE!</v>
      </c>
      <c r="CR172" t="e">
        <f>'All regions'!A4768+"$F;@!(Wl"</f>
        <v>#VALUE!</v>
      </c>
      <c r="CS172" t="e">
        <f>'All regions'!B4768+"$F;@!(Wm"</f>
        <v>#VALUE!</v>
      </c>
      <c r="CT172" t="e">
        <f>'All regions'!C4768+"$F;@!(Wn"</f>
        <v>#VALUE!</v>
      </c>
      <c r="CU172" t="e">
        <f>'All regions'!D4768+"$F;@!(Wo"</f>
        <v>#VALUE!</v>
      </c>
      <c r="CV172" t="e">
        <f>'All regions'!E4768+"$F;@!(Wp"</f>
        <v>#VALUE!</v>
      </c>
      <c r="CW172" t="e">
        <f>'All regions'!F4768+"$F;@!(Wq"</f>
        <v>#VALUE!</v>
      </c>
      <c r="CX172" t="e">
        <f>'All regions'!G4768+"$F;@!(Wr"</f>
        <v>#VALUE!</v>
      </c>
      <c r="CY172" t="e">
        <f>'All regions'!H4768+"$F;@!(Ws"</f>
        <v>#VALUE!</v>
      </c>
      <c r="CZ172" t="e">
        <f>'All regions'!I4768+"$F;@!(Wt"</f>
        <v>#VALUE!</v>
      </c>
      <c r="DA172" t="e">
        <f>'All regions'!A4769+"$F;@!(Wu"</f>
        <v>#VALUE!</v>
      </c>
      <c r="DB172" t="e">
        <f>'All regions'!B4769+"$F;@!(Wv"</f>
        <v>#VALUE!</v>
      </c>
      <c r="DC172" t="e">
        <f>'All regions'!C4769+"$F;@!(Ww"</f>
        <v>#VALUE!</v>
      </c>
      <c r="DD172" t="e">
        <f>'All regions'!D4769+"$F;@!(Wx"</f>
        <v>#VALUE!</v>
      </c>
      <c r="DE172" t="e">
        <f>'All regions'!E4769+"$F;@!(Wy"</f>
        <v>#VALUE!</v>
      </c>
      <c r="DF172" t="e">
        <f>'All regions'!F4769+"$F;@!(Wz"</f>
        <v>#VALUE!</v>
      </c>
      <c r="DG172" t="e">
        <f>'All regions'!G4769+"$F;@!(W{"</f>
        <v>#VALUE!</v>
      </c>
      <c r="DH172" t="e">
        <f>'All regions'!H4769+"$F;@!(W|"</f>
        <v>#VALUE!</v>
      </c>
      <c r="DI172" t="e">
        <f>'All regions'!I4769+"$F;@!(W}"</f>
        <v>#VALUE!</v>
      </c>
      <c r="DJ172" t="e">
        <f>'All regions'!A4770+"$F;@!(W~"</f>
        <v>#VALUE!</v>
      </c>
      <c r="DK172" t="e">
        <f>'All regions'!B4770+"$F;@!(X#"</f>
        <v>#VALUE!</v>
      </c>
      <c r="DL172" t="e">
        <f>'All regions'!C4770+"$F;@!(X$"</f>
        <v>#VALUE!</v>
      </c>
      <c r="DM172" t="e">
        <f>'All regions'!D4770+"$F;@!(X%"</f>
        <v>#VALUE!</v>
      </c>
      <c r="DN172" t="e">
        <f>'All regions'!E4770+"$F;@!(X&amp;"</f>
        <v>#VALUE!</v>
      </c>
      <c r="DO172" t="e">
        <f>'All regions'!F4770+"$F;@!(X'"</f>
        <v>#VALUE!</v>
      </c>
      <c r="DP172" t="e">
        <f>'All regions'!G4770+"$F;@!(X("</f>
        <v>#VALUE!</v>
      </c>
      <c r="DQ172" t="e">
        <f>'All regions'!H4770+"$F;@!(X)"</f>
        <v>#VALUE!</v>
      </c>
      <c r="DR172" t="e">
        <f>'All regions'!I4770+"$F;@!(X."</f>
        <v>#VALUE!</v>
      </c>
      <c r="DS172" t="e">
        <f>'All regions'!A4771+"$F;@!(X/"</f>
        <v>#VALUE!</v>
      </c>
      <c r="DT172" t="e">
        <f>'All regions'!B4771+"$F;@!(X0"</f>
        <v>#VALUE!</v>
      </c>
      <c r="DU172" t="e">
        <f>'All regions'!C4771+"$F;@!(X1"</f>
        <v>#VALUE!</v>
      </c>
      <c r="DV172" t="e">
        <f>'All regions'!D4771+"$F;@!(X2"</f>
        <v>#VALUE!</v>
      </c>
      <c r="DW172" t="e">
        <f>'All regions'!E4771+"$F;@!(X3"</f>
        <v>#VALUE!</v>
      </c>
      <c r="DX172" t="e">
        <f>'All regions'!F4771+"$F;@!(X4"</f>
        <v>#VALUE!</v>
      </c>
      <c r="DY172" t="e">
        <f>'All regions'!G4771+"$F;@!(X5"</f>
        <v>#VALUE!</v>
      </c>
      <c r="DZ172" t="e">
        <f>'All regions'!H4771+"$F;@!(X6"</f>
        <v>#VALUE!</v>
      </c>
      <c r="EA172" t="e">
        <f>'All regions'!I4771+"$F;@!(X7"</f>
        <v>#VALUE!</v>
      </c>
      <c r="EB172" t="e">
        <f>'All regions'!A4772+"$F;@!(X8"</f>
        <v>#VALUE!</v>
      </c>
      <c r="EC172" t="e">
        <f>'All regions'!B4772+"$F;@!(X9"</f>
        <v>#VALUE!</v>
      </c>
      <c r="ED172" t="e">
        <f>'All regions'!C4772+"$F;@!(X:"</f>
        <v>#VALUE!</v>
      </c>
      <c r="EE172" t="e">
        <f>'All regions'!D4772+"$F;@!(X;"</f>
        <v>#VALUE!</v>
      </c>
      <c r="EF172" t="e">
        <f>'All regions'!E4772+"$F;@!(X&lt;"</f>
        <v>#VALUE!</v>
      </c>
      <c r="EG172" t="e">
        <f>'All regions'!F4772+"$F;@!(X="</f>
        <v>#VALUE!</v>
      </c>
      <c r="EH172" t="e">
        <f>'All regions'!G4772+"$F;@!(X&gt;"</f>
        <v>#VALUE!</v>
      </c>
      <c r="EI172" t="e">
        <f>'All regions'!H4772+"$F;@!(X?"</f>
        <v>#VALUE!</v>
      </c>
      <c r="EJ172" t="e">
        <f>'All regions'!I4772+"$F;@!(X@"</f>
        <v>#VALUE!</v>
      </c>
      <c r="EK172" t="e">
        <f>'All regions'!A4773+"$F;@!(XA"</f>
        <v>#VALUE!</v>
      </c>
      <c r="EL172" t="e">
        <f>'All regions'!B4773+"$F;@!(XB"</f>
        <v>#VALUE!</v>
      </c>
      <c r="EM172" t="e">
        <f>'All regions'!C4773+"$F;@!(XC"</f>
        <v>#VALUE!</v>
      </c>
      <c r="EN172" t="e">
        <f>'All regions'!D4773+"$F;@!(XD"</f>
        <v>#VALUE!</v>
      </c>
      <c r="EO172" t="e">
        <f>'All regions'!E4773+"$F;@!(XE"</f>
        <v>#VALUE!</v>
      </c>
      <c r="EP172" t="e">
        <f>'All regions'!F4773+"$F;@!(XF"</f>
        <v>#VALUE!</v>
      </c>
      <c r="EQ172" t="e">
        <f>'All regions'!G4773+"$F;@!(XG"</f>
        <v>#VALUE!</v>
      </c>
      <c r="ER172" t="e">
        <f>'All regions'!H4773+"$F;@!(XH"</f>
        <v>#VALUE!</v>
      </c>
      <c r="ES172" t="e">
        <f>'All regions'!I4773+"$F;@!(XI"</f>
        <v>#VALUE!</v>
      </c>
      <c r="ET172" t="e">
        <f>'All regions'!A4774+"$F;@!(XJ"</f>
        <v>#VALUE!</v>
      </c>
      <c r="EU172" t="e">
        <f>'All regions'!B4774+"$F;@!(XK"</f>
        <v>#VALUE!</v>
      </c>
      <c r="EV172" t="e">
        <f>'All regions'!C4774+"$F;@!(XL"</f>
        <v>#VALUE!</v>
      </c>
      <c r="EW172" t="e">
        <f>'All regions'!D4774+"$F;@!(XM"</f>
        <v>#VALUE!</v>
      </c>
      <c r="EX172" t="e">
        <f>'All regions'!E4774+"$F;@!(XN"</f>
        <v>#VALUE!</v>
      </c>
      <c r="EY172" t="e">
        <f>'All regions'!F4774+"$F;@!(XO"</f>
        <v>#VALUE!</v>
      </c>
      <c r="EZ172" t="e">
        <f>'All regions'!G4774+"$F;@!(XP"</f>
        <v>#VALUE!</v>
      </c>
      <c r="FA172" t="e">
        <f>'All regions'!H4774+"$F;@!(XQ"</f>
        <v>#VALUE!</v>
      </c>
      <c r="FB172" t="e">
        <f>'All regions'!I4774+"$F;@!(XR"</f>
        <v>#VALUE!</v>
      </c>
      <c r="FC172" t="e">
        <f>'All regions'!A4775+"$F;@!(XS"</f>
        <v>#VALUE!</v>
      </c>
      <c r="FD172" t="e">
        <f>'All regions'!B4775+"$F;@!(XT"</f>
        <v>#VALUE!</v>
      </c>
      <c r="FE172" t="e">
        <f>'All regions'!C4775+"$F;@!(XU"</f>
        <v>#VALUE!</v>
      </c>
      <c r="FF172" t="e">
        <f>'All regions'!D4775+"$F;@!(XV"</f>
        <v>#VALUE!</v>
      </c>
      <c r="FG172" t="e">
        <f>'All regions'!E4775+"$F;@!(XW"</f>
        <v>#VALUE!</v>
      </c>
      <c r="FH172" t="e">
        <f>'All regions'!F4775+"$F;@!(XX"</f>
        <v>#VALUE!</v>
      </c>
      <c r="FI172" t="e">
        <f>'All regions'!G4775+"$F;@!(XY"</f>
        <v>#VALUE!</v>
      </c>
      <c r="FJ172" t="e">
        <f>'All regions'!H4775+"$F;@!(XZ"</f>
        <v>#VALUE!</v>
      </c>
      <c r="FK172" t="e">
        <f>'All regions'!I4775+"$F;@!(X["</f>
        <v>#VALUE!</v>
      </c>
      <c r="FL172" t="e">
        <f>'All regions'!A4776+"$F;@!(X\"</f>
        <v>#VALUE!</v>
      </c>
      <c r="FM172" t="e">
        <f>'All regions'!B4776+"$F;@!(X]"</f>
        <v>#VALUE!</v>
      </c>
      <c r="FN172" t="e">
        <f>'All regions'!C4776+"$F;@!(X^"</f>
        <v>#VALUE!</v>
      </c>
      <c r="FO172" t="e">
        <f>'All regions'!D4776+"$F;@!(X_"</f>
        <v>#VALUE!</v>
      </c>
      <c r="FP172" t="e">
        <f>'All regions'!E4776+"$F;@!(X`"</f>
        <v>#VALUE!</v>
      </c>
      <c r="FQ172" t="e">
        <f>'All regions'!F4776+"$F;@!(Xa"</f>
        <v>#VALUE!</v>
      </c>
      <c r="FR172" t="e">
        <f>'All regions'!G4776+"$F;@!(Xb"</f>
        <v>#VALUE!</v>
      </c>
      <c r="FS172" t="e">
        <f>'All regions'!H4776+"$F;@!(Xc"</f>
        <v>#VALUE!</v>
      </c>
      <c r="FT172" t="e">
        <f>'All regions'!I4776+"$F;@!(Xd"</f>
        <v>#VALUE!</v>
      </c>
      <c r="FU172" t="e">
        <f>'All regions'!A4777+"$F;@!(Xe"</f>
        <v>#VALUE!</v>
      </c>
      <c r="FV172" t="e">
        <f>'All regions'!B4777+"$F;@!(Xf"</f>
        <v>#VALUE!</v>
      </c>
      <c r="FW172" t="e">
        <f>'All regions'!C4777+"$F;@!(Xg"</f>
        <v>#VALUE!</v>
      </c>
      <c r="FX172" t="e">
        <f>'All regions'!D4777+"$F;@!(Xh"</f>
        <v>#VALUE!</v>
      </c>
      <c r="FY172" t="e">
        <f>'All regions'!E4777+"$F;@!(Xi"</f>
        <v>#VALUE!</v>
      </c>
      <c r="FZ172" t="e">
        <f>'All regions'!F4777+"$F;@!(Xj"</f>
        <v>#VALUE!</v>
      </c>
      <c r="GA172" t="e">
        <f>'All regions'!G4777+"$F;@!(Xk"</f>
        <v>#VALUE!</v>
      </c>
      <c r="GB172" t="e">
        <f>'All regions'!H4777+"$F;@!(Xl"</f>
        <v>#VALUE!</v>
      </c>
      <c r="GC172" t="e">
        <f>'All regions'!I4777+"$F;@!(Xm"</f>
        <v>#VALUE!</v>
      </c>
      <c r="GD172" t="e">
        <f>'All regions'!A4778+"$F;@!(Xn"</f>
        <v>#VALUE!</v>
      </c>
      <c r="GE172" t="e">
        <f>'All regions'!B4778+"$F;@!(Xo"</f>
        <v>#VALUE!</v>
      </c>
      <c r="GF172" t="e">
        <f>'All regions'!C4778+"$F;@!(Xp"</f>
        <v>#VALUE!</v>
      </c>
      <c r="GG172" t="e">
        <f>'All regions'!D4778+"$F;@!(Xq"</f>
        <v>#VALUE!</v>
      </c>
      <c r="GH172" t="e">
        <f>'All regions'!E4778+"$F;@!(Xr"</f>
        <v>#VALUE!</v>
      </c>
      <c r="GI172" t="e">
        <f>'All regions'!F4778+"$F;@!(Xs"</f>
        <v>#VALUE!</v>
      </c>
      <c r="GJ172" t="e">
        <f>'All regions'!G4778+"$F;@!(Xt"</f>
        <v>#VALUE!</v>
      </c>
      <c r="GK172" t="e">
        <f>'All regions'!H4778+"$F;@!(Xu"</f>
        <v>#VALUE!</v>
      </c>
      <c r="GL172" t="e">
        <f>'All regions'!I4778+"$F;@!(Xv"</f>
        <v>#VALUE!</v>
      </c>
      <c r="GM172" t="e">
        <f>'All regions'!A4779+"$F;@!(Xw"</f>
        <v>#VALUE!</v>
      </c>
      <c r="GN172" t="e">
        <f>'All regions'!B4779+"$F;@!(Xx"</f>
        <v>#VALUE!</v>
      </c>
      <c r="GO172" t="e">
        <f>'All regions'!C4779+"$F;@!(Xy"</f>
        <v>#VALUE!</v>
      </c>
      <c r="GP172" t="e">
        <f>'All regions'!D4779+"$F;@!(Xz"</f>
        <v>#VALUE!</v>
      </c>
      <c r="GQ172" t="e">
        <f>'All regions'!E4779+"$F;@!(X{"</f>
        <v>#VALUE!</v>
      </c>
      <c r="GR172" t="e">
        <f>'All regions'!F4779+"$F;@!(X|"</f>
        <v>#VALUE!</v>
      </c>
      <c r="GS172" t="e">
        <f>'All regions'!G4779+"$F;@!(X}"</f>
        <v>#VALUE!</v>
      </c>
      <c r="GT172" t="e">
        <f>'All regions'!H4779+"$F;@!(X~"</f>
        <v>#VALUE!</v>
      </c>
      <c r="GU172" t="e">
        <f>'All regions'!I4779+"$F;@!(Y#"</f>
        <v>#VALUE!</v>
      </c>
      <c r="GV172" t="e">
        <f>'All regions'!A4780+"$F;@!(Y$"</f>
        <v>#VALUE!</v>
      </c>
      <c r="GW172" t="e">
        <f>'All regions'!B4780+"$F;@!(Y%"</f>
        <v>#VALUE!</v>
      </c>
      <c r="GX172" t="e">
        <f>'All regions'!C4780+"$F;@!(Y&amp;"</f>
        <v>#VALUE!</v>
      </c>
      <c r="GY172" t="e">
        <f>'All regions'!D4780+"$F;@!(Y'"</f>
        <v>#VALUE!</v>
      </c>
      <c r="GZ172" t="e">
        <f>'All regions'!E4780+"$F;@!(Y("</f>
        <v>#VALUE!</v>
      </c>
      <c r="HA172" t="e">
        <f>'All regions'!F4780+"$F;@!(Y)"</f>
        <v>#VALUE!</v>
      </c>
      <c r="HB172" t="e">
        <f>'All regions'!G4780+"$F;@!(Y."</f>
        <v>#VALUE!</v>
      </c>
      <c r="HC172" t="e">
        <f>'All regions'!H4780+"$F;@!(Y/"</f>
        <v>#VALUE!</v>
      </c>
      <c r="HD172" t="e">
        <f>'All regions'!I4780+"$F;@!(Y0"</f>
        <v>#VALUE!</v>
      </c>
      <c r="HE172" t="e">
        <f>'All regions'!A4781+"$F;@!(Y1"</f>
        <v>#VALUE!</v>
      </c>
      <c r="HF172" t="e">
        <f>'All regions'!B4781+"$F;@!(Y2"</f>
        <v>#VALUE!</v>
      </c>
      <c r="HG172" t="e">
        <f>'All regions'!C4781+"$F;@!(Y3"</f>
        <v>#VALUE!</v>
      </c>
      <c r="HH172" t="e">
        <f>'All regions'!D4781+"$F;@!(Y4"</f>
        <v>#VALUE!</v>
      </c>
      <c r="HI172" t="e">
        <f>'All regions'!E4781+"$F;@!(Y5"</f>
        <v>#VALUE!</v>
      </c>
      <c r="HJ172" t="e">
        <f>'All regions'!F4781+"$F;@!(Y6"</f>
        <v>#VALUE!</v>
      </c>
      <c r="HK172" t="e">
        <f>'All regions'!G4781+"$F;@!(Y7"</f>
        <v>#VALUE!</v>
      </c>
      <c r="HL172" t="e">
        <f>'All regions'!H4781+"$F;@!(Y8"</f>
        <v>#VALUE!</v>
      </c>
      <c r="HM172" t="e">
        <f>'All regions'!I4781+"$F;@!(Y9"</f>
        <v>#VALUE!</v>
      </c>
      <c r="HN172" t="e">
        <f>'All regions'!A4782+"$F;@!(Y:"</f>
        <v>#VALUE!</v>
      </c>
      <c r="HO172" t="e">
        <f>'All regions'!B4782+"$F;@!(Y;"</f>
        <v>#VALUE!</v>
      </c>
      <c r="HP172" t="e">
        <f>'All regions'!C4782+"$F;@!(Y&lt;"</f>
        <v>#VALUE!</v>
      </c>
      <c r="HQ172" t="e">
        <f>'All regions'!D4782+"$F;@!(Y="</f>
        <v>#VALUE!</v>
      </c>
      <c r="HR172" t="e">
        <f>'All regions'!E4782+"$F;@!(Y&gt;"</f>
        <v>#VALUE!</v>
      </c>
      <c r="HS172" t="e">
        <f>'All regions'!F4782+"$F;@!(Y?"</f>
        <v>#VALUE!</v>
      </c>
      <c r="HT172" t="e">
        <f>'All regions'!G4782+"$F;@!(Y@"</f>
        <v>#VALUE!</v>
      </c>
      <c r="HU172" t="e">
        <f>'All regions'!H4782+"$F;@!(YA"</f>
        <v>#VALUE!</v>
      </c>
      <c r="HV172" t="e">
        <f>'All regions'!I4782+"$F;@!(YB"</f>
        <v>#VALUE!</v>
      </c>
      <c r="HW172" t="e">
        <f>'All regions'!A4783+"$F;@!(YC"</f>
        <v>#VALUE!</v>
      </c>
      <c r="HX172" t="e">
        <f>'All regions'!B4783+"$F;@!(YD"</f>
        <v>#VALUE!</v>
      </c>
      <c r="HY172" t="e">
        <f>'All regions'!C4783+"$F;@!(YE"</f>
        <v>#VALUE!</v>
      </c>
      <c r="HZ172" t="e">
        <f>'All regions'!D4783+"$F;@!(YF"</f>
        <v>#VALUE!</v>
      </c>
      <c r="IA172" t="e">
        <f>'All regions'!E4783+"$F;@!(YG"</f>
        <v>#VALUE!</v>
      </c>
      <c r="IB172" t="e">
        <f>'All regions'!F4783+"$F;@!(YH"</f>
        <v>#VALUE!</v>
      </c>
      <c r="IC172" t="e">
        <f>'All regions'!G4783+"$F;@!(YI"</f>
        <v>#VALUE!</v>
      </c>
      <c r="ID172" t="e">
        <f>'All regions'!H4783+"$F;@!(YJ"</f>
        <v>#VALUE!</v>
      </c>
      <c r="IE172" t="e">
        <f>'All regions'!I4783+"$F;@!(YK"</f>
        <v>#VALUE!</v>
      </c>
      <c r="IF172" t="e">
        <f>'All regions'!A4784+"$F;@!(YL"</f>
        <v>#VALUE!</v>
      </c>
      <c r="IG172" t="e">
        <f>'All regions'!B4784+"$F;@!(YM"</f>
        <v>#VALUE!</v>
      </c>
      <c r="IH172" t="e">
        <f>'All regions'!C4784+"$F;@!(YN"</f>
        <v>#VALUE!</v>
      </c>
      <c r="II172" t="e">
        <f>'All regions'!D4784+"$F;@!(YO"</f>
        <v>#VALUE!</v>
      </c>
      <c r="IJ172" t="e">
        <f>'All regions'!E4784+"$F;@!(YP"</f>
        <v>#VALUE!</v>
      </c>
      <c r="IK172" t="e">
        <f>'All regions'!F4784+"$F;@!(YQ"</f>
        <v>#VALUE!</v>
      </c>
      <c r="IL172" t="e">
        <f>'All regions'!G4784+"$F;@!(YR"</f>
        <v>#VALUE!</v>
      </c>
      <c r="IM172" t="e">
        <f>'All regions'!H4784+"$F;@!(YS"</f>
        <v>#VALUE!</v>
      </c>
      <c r="IN172" t="e">
        <f>'All regions'!I4784+"$F;@!(YT"</f>
        <v>#VALUE!</v>
      </c>
      <c r="IO172" t="e">
        <f>'All regions'!A4785+"$F;@!(YU"</f>
        <v>#VALUE!</v>
      </c>
      <c r="IP172" t="e">
        <f>'All regions'!B4785+"$F;@!(YV"</f>
        <v>#VALUE!</v>
      </c>
      <c r="IQ172" t="e">
        <f>'All regions'!C4785+"$F;@!(YW"</f>
        <v>#VALUE!</v>
      </c>
      <c r="IR172" t="e">
        <f>'All regions'!D4785+"$F;@!(YX"</f>
        <v>#VALUE!</v>
      </c>
      <c r="IS172" t="e">
        <f>'All regions'!E4785+"$F;@!(YY"</f>
        <v>#VALUE!</v>
      </c>
      <c r="IT172" t="e">
        <f>'All regions'!F4785+"$F;@!(YZ"</f>
        <v>#VALUE!</v>
      </c>
      <c r="IU172" t="e">
        <f>'All regions'!G4785+"$F;@!(Y["</f>
        <v>#VALUE!</v>
      </c>
      <c r="IV172" t="e">
        <f>'All regions'!H4785+"$F;@!(Y\"</f>
        <v>#VALUE!</v>
      </c>
    </row>
    <row r="173" spans="6:256" x14ac:dyDescent="0.35">
      <c r="F173" t="e">
        <f>'All regions'!I4785+"$F;@!(Y]"</f>
        <v>#VALUE!</v>
      </c>
      <c r="G173" t="e">
        <f>'All regions'!A4786+"$F;@!(Y^"</f>
        <v>#VALUE!</v>
      </c>
      <c r="H173" t="e">
        <f>'All regions'!B4786+"$F;@!(Y_"</f>
        <v>#VALUE!</v>
      </c>
      <c r="I173" t="e">
        <f>'All regions'!C4786+"$F;@!(Y`"</f>
        <v>#VALUE!</v>
      </c>
      <c r="J173" t="e">
        <f>'All regions'!D4786+"$F;@!(Ya"</f>
        <v>#VALUE!</v>
      </c>
      <c r="K173" t="e">
        <f>'All regions'!E4786+"$F;@!(Yb"</f>
        <v>#VALUE!</v>
      </c>
      <c r="L173" t="e">
        <f>'All regions'!F4786+"$F;@!(Yc"</f>
        <v>#VALUE!</v>
      </c>
      <c r="M173" t="e">
        <f>'All regions'!G4786+"$F;@!(Yd"</f>
        <v>#VALUE!</v>
      </c>
      <c r="N173" t="e">
        <f>'All regions'!H4786+"$F;@!(Ye"</f>
        <v>#VALUE!</v>
      </c>
      <c r="O173" t="e">
        <f>'All regions'!I4786+"$F;@!(Yf"</f>
        <v>#VALUE!</v>
      </c>
      <c r="P173" t="e">
        <f>'All regions'!A4787+"$F;@!(Yg"</f>
        <v>#VALUE!</v>
      </c>
      <c r="Q173" t="e">
        <f>'All regions'!B4787+"$F;@!(Yh"</f>
        <v>#VALUE!</v>
      </c>
      <c r="R173" t="e">
        <f>'All regions'!C4787+"$F;@!(Yi"</f>
        <v>#VALUE!</v>
      </c>
      <c r="S173" t="e">
        <f>'All regions'!D4787+"$F;@!(Yj"</f>
        <v>#VALUE!</v>
      </c>
      <c r="T173" t="e">
        <f>'All regions'!E4787+"$F;@!(Yk"</f>
        <v>#VALUE!</v>
      </c>
      <c r="U173" t="e">
        <f>'All regions'!F4787+"$F;@!(Yl"</f>
        <v>#VALUE!</v>
      </c>
      <c r="V173" t="e">
        <f>'All regions'!G4787+"$F;@!(Ym"</f>
        <v>#VALUE!</v>
      </c>
      <c r="W173" t="e">
        <f>'All regions'!H4787+"$F;@!(Yn"</f>
        <v>#VALUE!</v>
      </c>
      <c r="X173" t="e">
        <f>'All regions'!I4787+"$F;@!(Yo"</f>
        <v>#VALUE!</v>
      </c>
      <c r="Y173" t="e">
        <f>'All regions'!A4788+"$F;@!(Yp"</f>
        <v>#VALUE!</v>
      </c>
      <c r="Z173" t="e">
        <f>'All regions'!B4788+"$F;@!(Yq"</f>
        <v>#VALUE!</v>
      </c>
      <c r="AA173" t="e">
        <f>'All regions'!C4788+"$F;@!(Yr"</f>
        <v>#VALUE!</v>
      </c>
      <c r="AB173" t="e">
        <f>'All regions'!D4788+"$F;@!(Ys"</f>
        <v>#VALUE!</v>
      </c>
      <c r="AC173" t="e">
        <f>'All regions'!E4788+"$F;@!(Yt"</f>
        <v>#VALUE!</v>
      </c>
      <c r="AD173" t="e">
        <f>'All regions'!F4788+"$F;@!(Yu"</f>
        <v>#VALUE!</v>
      </c>
      <c r="AE173" t="e">
        <f>'All regions'!G4788+"$F;@!(Yv"</f>
        <v>#VALUE!</v>
      </c>
      <c r="AF173" t="e">
        <f>'All regions'!H4788+"$F;@!(Yw"</f>
        <v>#VALUE!</v>
      </c>
      <c r="AG173" t="e">
        <f>'All regions'!I4788+"$F;@!(Yx"</f>
        <v>#VALUE!</v>
      </c>
      <c r="AH173" t="e">
        <f>'All regions'!A4789+"$F;@!(Yy"</f>
        <v>#VALUE!</v>
      </c>
      <c r="AI173" t="e">
        <f>'All regions'!B4789+"$F;@!(Yz"</f>
        <v>#VALUE!</v>
      </c>
      <c r="AJ173" t="e">
        <f>'All regions'!C4789+"$F;@!(Y{"</f>
        <v>#VALUE!</v>
      </c>
      <c r="AK173" t="e">
        <f>'All regions'!D4789+"$F;@!(Y|"</f>
        <v>#VALUE!</v>
      </c>
      <c r="AL173" t="e">
        <f>'All regions'!E4789+"$F;@!(Y}"</f>
        <v>#VALUE!</v>
      </c>
      <c r="AM173" t="e">
        <f>'All regions'!F4789+"$F;@!(Y~"</f>
        <v>#VALUE!</v>
      </c>
      <c r="AN173" t="e">
        <f>'All regions'!G4789+"$F;@!(Z#"</f>
        <v>#VALUE!</v>
      </c>
      <c r="AO173" t="e">
        <f>'All regions'!H4789+"$F;@!(Z$"</f>
        <v>#VALUE!</v>
      </c>
      <c r="AP173" t="e">
        <f>'All regions'!I4789+"$F;@!(Z%"</f>
        <v>#VALUE!</v>
      </c>
      <c r="AQ173" t="e">
        <f>'All regions'!A4790+"$F;@!(Z&amp;"</f>
        <v>#VALUE!</v>
      </c>
      <c r="AR173" t="e">
        <f>'All regions'!B4790+"$F;@!(Z'"</f>
        <v>#VALUE!</v>
      </c>
      <c r="AS173" t="e">
        <f>'All regions'!C4790+"$F;@!(Z("</f>
        <v>#VALUE!</v>
      </c>
      <c r="AT173" t="e">
        <f>'All regions'!D4790+"$F;@!(Z)"</f>
        <v>#VALUE!</v>
      </c>
      <c r="AU173" t="e">
        <f>'All regions'!E4790+"$F;@!(Z."</f>
        <v>#VALUE!</v>
      </c>
      <c r="AV173" t="e">
        <f>'All regions'!F4790+"$F;@!(Z/"</f>
        <v>#VALUE!</v>
      </c>
      <c r="AW173" t="e">
        <f>'All regions'!G4790+"$F;@!(Z0"</f>
        <v>#VALUE!</v>
      </c>
      <c r="AX173" t="e">
        <f>'All regions'!H4790+"$F;@!(Z1"</f>
        <v>#VALUE!</v>
      </c>
      <c r="AY173" t="e">
        <f>'All regions'!I4790+"$F;@!(Z2"</f>
        <v>#VALUE!</v>
      </c>
      <c r="AZ173" t="e">
        <f>'All regions'!A4791+"$F;@!(Z3"</f>
        <v>#VALUE!</v>
      </c>
      <c r="BA173" t="e">
        <f>'All regions'!B4791+"$F;@!(Z4"</f>
        <v>#VALUE!</v>
      </c>
      <c r="BB173" t="e">
        <f>'All regions'!C4791+"$F;@!(Z5"</f>
        <v>#VALUE!</v>
      </c>
      <c r="BC173" t="e">
        <f>'All regions'!D4791+"$F;@!(Z6"</f>
        <v>#VALUE!</v>
      </c>
      <c r="BD173" t="e">
        <f>'All regions'!E4791+"$F;@!(Z7"</f>
        <v>#VALUE!</v>
      </c>
      <c r="BE173" t="e">
        <f>'All regions'!F4791+"$F;@!(Z8"</f>
        <v>#VALUE!</v>
      </c>
      <c r="BF173" t="e">
        <f>'All regions'!G4791+"$F;@!(Z9"</f>
        <v>#VALUE!</v>
      </c>
      <c r="BG173" t="e">
        <f>'All regions'!H4791+"$F;@!(Z:"</f>
        <v>#VALUE!</v>
      </c>
      <c r="BH173" t="e">
        <f>'All regions'!I4791+"$F;@!(Z;"</f>
        <v>#VALUE!</v>
      </c>
      <c r="BI173" t="e">
        <f>'All regions'!A4792+"$F;@!(Z&lt;"</f>
        <v>#VALUE!</v>
      </c>
      <c r="BJ173" t="e">
        <f>'All regions'!B4792+"$F;@!(Z="</f>
        <v>#VALUE!</v>
      </c>
      <c r="BK173" t="e">
        <f>'All regions'!C4792+"$F;@!(Z&gt;"</f>
        <v>#VALUE!</v>
      </c>
      <c r="BL173" t="e">
        <f>'All regions'!D4792+"$F;@!(Z?"</f>
        <v>#VALUE!</v>
      </c>
      <c r="BM173" t="e">
        <f>'All regions'!E4792+"$F;@!(Z@"</f>
        <v>#VALUE!</v>
      </c>
      <c r="BN173" t="e">
        <f>'All regions'!F4792+"$F;@!(ZA"</f>
        <v>#VALUE!</v>
      </c>
      <c r="BO173" t="e">
        <f>'All regions'!G4792+"$F;@!(ZB"</f>
        <v>#VALUE!</v>
      </c>
      <c r="BP173" t="e">
        <f>'All regions'!H4792+"$F;@!(ZC"</f>
        <v>#VALUE!</v>
      </c>
      <c r="BQ173" t="e">
        <f>'All regions'!I4792+"$F;@!(ZD"</f>
        <v>#VALUE!</v>
      </c>
      <c r="BR173" t="e">
        <f>'All regions'!A4793+"$F;@!(ZE"</f>
        <v>#VALUE!</v>
      </c>
      <c r="BS173" t="e">
        <f>'All regions'!B4793+"$F;@!(ZF"</f>
        <v>#VALUE!</v>
      </c>
      <c r="BT173" t="e">
        <f>'All regions'!C4793+"$F;@!(ZG"</f>
        <v>#VALUE!</v>
      </c>
      <c r="BU173" t="e">
        <f>'All regions'!D4793+"$F;@!(ZH"</f>
        <v>#VALUE!</v>
      </c>
      <c r="BV173" t="e">
        <f>'All regions'!E4793+"$F;@!(ZI"</f>
        <v>#VALUE!</v>
      </c>
      <c r="BW173" t="e">
        <f>'All regions'!F4793+"$F;@!(ZJ"</f>
        <v>#VALUE!</v>
      </c>
      <c r="BX173" t="e">
        <f>'All regions'!G4793+"$F;@!(ZK"</f>
        <v>#VALUE!</v>
      </c>
      <c r="BY173" t="e">
        <f>'All regions'!H4793+"$F;@!(ZL"</f>
        <v>#VALUE!</v>
      </c>
      <c r="BZ173" t="e">
        <f>'All regions'!I4793+"$F;@!(ZM"</f>
        <v>#VALUE!</v>
      </c>
      <c r="CA173" t="e">
        <f>'All regions'!A4794+"$F;@!(ZN"</f>
        <v>#VALUE!</v>
      </c>
      <c r="CB173" t="e">
        <f>'All regions'!B4794+"$F;@!(ZO"</f>
        <v>#VALUE!</v>
      </c>
      <c r="CC173" t="e">
        <f>'All regions'!C4794+"$F;@!(ZP"</f>
        <v>#VALUE!</v>
      </c>
      <c r="CD173" t="e">
        <f>'All regions'!D4794+"$F;@!(ZQ"</f>
        <v>#VALUE!</v>
      </c>
      <c r="CE173" t="e">
        <f>'All regions'!E4794+"$F;@!(ZR"</f>
        <v>#VALUE!</v>
      </c>
      <c r="CF173" t="e">
        <f>'All regions'!F4794+"$F;@!(ZS"</f>
        <v>#VALUE!</v>
      </c>
      <c r="CG173" t="e">
        <f>'All regions'!G4794+"$F;@!(ZT"</f>
        <v>#VALUE!</v>
      </c>
      <c r="CH173" t="e">
        <f>'All regions'!H4794+"$F;@!(ZU"</f>
        <v>#VALUE!</v>
      </c>
      <c r="CI173" t="e">
        <f>'All regions'!I4794+"$F;@!(ZV"</f>
        <v>#VALUE!</v>
      </c>
      <c r="CJ173" t="e">
        <f>'All regions'!A4795+"$F;@!(ZW"</f>
        <v>#VALUE!</v>
      </c>
      <c r="CK173" t="e">
        <f>'All regions'!B4795+"$F;@!(ZX"</f>
        <v>#VALUE!</v>
      </c>
      <c r="CL173" t="e">
        <f>'All regions'!C4795+"$F;@!(ZY"</f>
        <v>#VALUE!</v>
      </c>
      <c r="CM173" t="e">
        <f>'All regions'!D4795+"$F;@!(ZZ"</f>
        <v>#VALUE!</v>
      </c>
      <c r="CN173" t="e">
        <f>'All regions'!E4795+"$F;@!(Z["</f>
        <v>#VALUE!</v>
      </c>
      <c r="CO173" t="e">
        <f>'All regions'!F4795+"$F;@!(Z\"</f>
        <v>#VALUE!</v>
      </c>
      <c r="CP173" t="e">
        <f>'All regions'!G4795+"$F;@!(Z]"</f>
        <v>#VALUE!</v>
      </c>
      <c r="CQ173" t="e">
        <f>'All regions'!H4795+"$F;@!(Z^"</f>
        <v>#VALUE!</v>
      </c>
      <c r="CR173" t="e">
        <f>'All regions'!I4795+"$F;@!(Z_"</f>
        <v>#VALUE!</v>
      </c>
      <c r="CS173" t="e">
        <f>'All regions'!A4796+"$F;@!(Z`"</f>
        <v>#VALUE!</v>
      </c>
      <c r="CT173" t="e">
        <f>'All regions'!B4796+"$F;@!(Za"</f>
        <v>#VALUE!</v>
      </c>
      <c r="CU173" t="e">
        <f>'All regions'!C4796+"$F;@!(Zb"</f>
        <v>#VALUE!</v>
      </c>
      <c r="CV173" t="e">
        <f>'All regions'!D4796+"$F;@!(Zc"</f>
        <v>#VALUE!</v>
      </c>
      <c r="CW173" t="e">
        <f>'All regions'!E4796+"$F;@!(Zd"</f>
        <v>#VALUE!</v>
      </c>
      <c r="CX173" t="e">
        <f>'All regions'!F4796+"$F;@!(Ze"</f>
        <v>#VALUE!</v>
      </c>
      <c r="CY173" t="e">
        <f>'All regions'!G4796+"$F;@!(Zf"</f>
        <v>#VALUE!</v>
      </c>
      <c r="CZ173" t="e">
        <f>'All regions'!H4796+"$F;@!(Zg"</f>
        <v>#VALUE!</v>
      </c>
      <c r="DA173" t="e">
        <f>'All regions'!I4796+"$F;@!(Zh"</f>
        <v>#VALUE!</v>
      </c>
      <c r="DB173" t="e">
        <f>'All regions'!A4797+"$F;@!(Zi"</f>
        <v>#VALUE!</v>
      </c>
      <c r="DC173" t="e">
        <f>'All regions'!B4797+"$F;@!(Zj"</f>
        <v>#VALUE!</v>
      </c>
      <c r="DD173" t="e">
        <f>'All regions'!C4797+"$F;@!(Zk"</f>
        <v>#VALUE!</v>
      </c>
      <c r="DE173" t="e">
        <f>'All regions'!D4797+"$F;@!(Zl"</f>
        <v>#VALUE!</v>
      </c>
      <c r="DF173" t="e">
        <f>'All regions'!E4797+"$F;@!(Zm"</f>
        <v>#VALUE!</v>
      </c>
      <c r="DG173" t="e">
        <f>'All regions'!F4797+"$F;@!(Zn"</f>
        <v>#VALUE!</v>
      </c>
      <c r="DH173" t="e">
        <f>'All regions'!G4797+"$F;@!(Zo"</f>
        <v>#VALUE!</v>
      </c>
      <c r="DI173" t="e">
        <f>'All regions'!H4797+"$F;@!(Zp"</f>
        <v>#VALUE!</v>
      </c>
      <c r="DJ173" t="e">
        <f>'All regions'!I4797+"$F;@!(Zq"</f>
        <v>#VALUE!</v>
      </c>
      <c r="DK173" t="e">
        <f>'All regions'!A4798+"$F;@!(Zr"</f>
        <v>#VALUE!</v>
      </c>
      <c r="DL173" t="e">
        <f>'All regions'!B4798+"$F;@!(Zs"</f>
        <v>#VALUE!</v>
      </c>
      <c r="DM173" t="e">
        <f>'All regions'!C4798+"$F;@!(Zt"</f>
        <v>#VALUE!</v>
      </c>
      <c r="DN173" t="e">
        <f>'All regions'!D4798+"$F;@!(Zu"</f>
        <v>#VALUE!</v>
      </c>
      <c r="DO173" t="e">
        <f>'All regions'!E4798+"$F;@!(Zv"</f>
        <v>#VALUE!</v>
      </c>
      <c r="DP173" t="e">
        <f>'All regions'!F4798+"$F;@!(Zw"</f>
        <v>#VALUE!</v>
      </c>
      <c r="DQ173" t="e">
        <f>'All regions'!G4798+"$F;@!(Zx"</f>
        <v>#VALUE!</v>
      </c>
      <c r="DR173" t="e">
        <f>'All regions'!H4798+"$F;@!(Zy"</f>
        <v>#VALUE!</v>
      </c>
      <c r="DS173" t="e">
        <f>'All regions'!I4798+"$F;@!(Zz"</f>
        <v>#VALUE!</v>
      </c>
      <c r="DT173" t="e">
        <f>'All regions'!A4799+"$F;@!(Z{"</f>
        <v>#VALUE!</v>
      </c>
      <c r="DU173" t="e">
        <f>'All regions'!B4799+"$F;@!(Z|"</f>
        <v>#VALUE!</v>
      </c>
      <c r="DV173" t="e">
        <f>'All regions'!C4799+"$F;@!(Z}"</f>
        <v>#VALUE!</v>
      </c>
      <c r="DW173" t="e">
        <f>'All regions'!D4799+"$F;@!(Z~"</f>
        <v>#VALUE!</v>
      </c>
      <c r="DX173" t="e">
        <f>'All regions'!E4799+"$F;@!([#"</f>
        <v>#VALUE!</v>
      </c>
      <c r="DY173" t="e">
        <f>'All regions'!F4799+"$F;@!([$"</f>
        <v>#VALUE!</v>
      </c>
      <c r="DZ173" t="e">
        <f>'All regions'!G4799+"$F;@!([%"</f>
        <v>#VALUE!</v>
      </c>
      <c r="EA173" t="e">
        <f>'All regions'!H4799+"$F;@!([&amp;"</f>
        <v>#VALUE!</v>
      </c>
      <c r="EB173" t="e">
        <f>'All regions'!I4799+"$F;@!(['"</f>
        <v>#VALUE!</v>
      </c>
      <c r="EC173" t="e">
        <f>'All regions'!A4800+"$F;@!([("</f>
        <v>#VALUE!</v>
      </c>
      <c r="ED173" t="e">
        <f>'All regions'!B4800+"$F;@!([)"</f>
        <v>#VALUE!</v>
      </c>
      <c r="EE173" t="e">
        <f>'All regions'!C4800+"$F;@!([."</f>
        <v>#VALUE!</v>
      </c>
      <c r="EF173" t="e">
        <f>'All regions'!D4800+"$F;@!([/"</f>
        <v>#VALUE!</v>
      </c>
      <c r="EG173" t="e">
        <f>'All regions'!E4800+"$F;@!([0"</f>
        <v>#VALUE!</v>
      </c>
      <c r="EH173" t="e">
        <f>'All regions'!F4800+"$F;@!([1"</f>
        <v>#VALUE!</v>
      </c>
      <c r="EI173" t="e">
        <f>'All regions'!G4800+"$F;@!([2"</f>
        <v>#VALUE!</v>
      </c>
      <c r="EJ173" t="e">
        <f>'All regions'!H4800+"$F;@!([3"</f>
        <v>#VALUE!</v>
      </c>
      <c r="EK173" t="e">
        <f>'All regions'!I4800+"$F;@!([4"</f>
        <v>#VALUE!</v>
      </c>
      <c r="EL173" t="e">
        <f>'All regions'!A4801+"$F;@!([5"</f>
        <v>#VALUE!</v>
      </c>
      <c r="EM173" t="e">
        <f>'All regions'!B4801+"$F;@!([6"</f>
        <v>#VALUE!</v>
      </c>
      <c r="EN173" t="e">
        <f>'All regions'!C4801+"$F;@!([7"</f>
        <v>#VALUE!</v>
      </c>
      <c r="EO173" t="e">
        <f>'All regions'!D4801+"$F;@!([8"</f>
        <v>#VALUE!</v>
      </c>
      <c r="EP173" t="e">
        <f>'All regions'!E4801+"$F;@!([9"</f>
        <v>#VALUE!</v>
      </c>
      <c r="EQ173" t="e">
        <f>'All regions'!F4801+"$F;@!([:"</f>
        <v>#VALUE!</v>
      </c>
      <c r="ER173" t="e">
        <f>'All regions'!G4801+"$F;@!([;"</f>
        <v>#VALUE!</v>
      </c>
      <c r="ES173" t="e">
        <f>'All regions'!H4801+"$F;@!([&lt;"</f>
        <v>#VALUE!</v>
      </c>
      <c r="ET173" t="e">
        <f>'All regions'!I4801+"$F;@!([="</f>
        <v>#VALUE!</v>
      </c>
      <c r="EU173" t="e">
        <f>'All regions'!A4802+"$F;@!([&gt;"</f>
        <v>#VALUE!</v>
      </c>
      <c r="EV173" t="e">
        <f>'All regions'!B4802+"$F;@!([?"</f>
        <v>#VALUE!</v>
      </c>
      <c r="EW173" t="e">
        <f>'All regions'!C4802+"$F;@!([@"</f>
        <v>#VALUE!</v>
      </c>
      <c r="EX173" t="e">
        <f>'All regions'!D4802+"$F;@!([A"</f>
        <v>#VALUE!</v>
      </c>
      <c r="EY173" t="e">
        <f>'All regions'!E4802+"$F;@!([B"</f>
        <v>#VALUE!</v>
      </c>
      <c r="EZ173" t="e">
        <f>'All regions'!F4802+"$F;@!([C"</f>
        <v>#VALUE!</v>
      </c>
      <c r="FA173" t="e">
        <f>'All regions'!G4802+"$F;@!([D"</f>
        <v>#VALUE!</v>
      </c>
      <c r="FB173" t="e">
        <f>'All regions'!H4802+"$F;@!([E"</f>
        <v>#VALUE!</v>
      </c>
      <c r="FC173" t="e">
        <f>'All regions'!I4802+"$F;@!([F"</f>
        <v>#VALUE!</v>
      </c>
      <c r="FD173" t="e">
        <f>'All regions'!A4803+"$F;@!([G"</f>
        <v>#VALUE!</v>
      </c>
      <c r="FE173" t="e">
        <f>'All regions'!B4803+"$F;@!([H"</f>
        <v>#VALUE!</v>
      </c>
      <c r="FF173" t="e">
        <f>'All regions'!C4803+"$F;@!([I"</f>
        <v>#VALUE!</v>
      </c>
      <c r="FG173" t="e">
        <f>'All regions'!D4803+"$F;@!([J"</f>
        <v>#VALUE!</v>
      </c>
      <c r="FH173" t="e">
        <f>'All regions'!E4803+"$F;@!([K"</f>
        <v>#VALUE!</v>
      </c>
      <c r="FI173" t="e">
        <f>'All regions'!F4803+"$F;@!([L"</f>
        <v>#VALUE!</v>
      </c>
      <c r="FJ173" t="e">
        <f>'All regions'!G4803+"$F;@!([M"</f>
        <v>#VALUE!</v>
      </c>
      <c r="FK173" t="e">
        <f>'All regions'!H4803+"$F;@!([N"</f>
        <v>#VALUE!</v>
      </c>
      <c r="FL173" t="e">
        <f>'All regions'!I4803+"$F;@!([O"</f>
        <v>#VALUE!</v>
      </c>
      <c r="FM173" t="e">
        <f>'All regions'!A4804+"$F;@!([P"</f>
        <v>#VALUE!</v>
      </c>
      <c r="FN173" t="e">
        <f>'All regions'!B4804+"$F;@!([Q"</f>
        <v>#VALUE!</v>
      </c>
      <c r="FO173" t="e">
        <f>'All regions'!C4804+"$F;@!([R"</f>
        <v>#VALUE!</v>
      </c>
      <c r="FP173" t="e">
        <f>'All regions'!D4804+"$F;@!([S"</f>
        <v>#VALUE!</v>
      </c>
      <c r="FQ173" t="e">
        <f>'All regions'!E4804+"$F;@!([T"</f>
        <v>#VALUE!</v>
      </c>
      <c r="FR173" t="e">
        <f>'All regions'!F4804+"$F;@!([U"</f>
        <v>#VALUE!</v>
      </c>
      <c r="FS173" t="e">
        <f>'All regions'!G4804+"$F;@!([V"</f>
        <v>#VALUE!</v>
      </c>
      <c r="FT173" t="e">
        <f>'All regions'!H4804+"$F;@!([W"</f>
        <v>#VALUE!</v>
      </c>
      <c r="FU173" t="e">
        <f>'All regions'!I4804+"$F;@!([X"</f>
        <v>#VALUE!</v>
      </c>
      <c r="FV173" t="e">
        <f>'All regions'!A4805+"$F;@!([Y"</f>
        <v>#VALUE!</v>
      </c>
      <c r="FW173" t="e">
        <f>'All regions'!B4805+"$F;@!([Z"</f>
        <v>#VALUE!</v>
      </c>
      <c r="FX173" t="e">
        <f>'All regions'!C4805+"$F;@!([["</f>
        <v>#VALUE!</v>
      </c>
      <c r="FY173" t="e">
        <f>'All regions'!D4805+"$F;@!([\"</f>
        <v>#VALUE!</v>
      </c>
      <c r="FZ173" t="e">
        <f>'All regions'!E4805+"$F;@!([]"</f>
        <v>#VALUE!</v>
      </c>
      <c r="GA173" t="e">
        <f>'All regions'!F4805+"$F;@!([^"</f>
        <v>#VALUE!</v>
      </c>
      <c r="GB173" t="e">
        <f>'All regions'!G4805+"$F;@!([_"</f>
        <v>#VALUE!</v>
      </c>
      <c r="GC173" t="e">
        <f>'All regions'!H4805+"$F;@!([`"</f>
        <v>#VALUE!</v>
      </c>
      <c r="GD173" t="e">
        <f>'All regions'!I4805+"$F;@!([a"</f>
        <v>#VALUE!</v>
      </c>
      <c r="GE173" t="e">
        <f>'All regions'!A4806+"$F;@!([b"</f>
        <v>#VALUE!</v>
      </c>
      <c r="GF173" t="e">
        <f>'All regions'!B4806+"$F;@!([c"</f>
        <v>#VALUE!</v>
      </c>
      <c r="GG173" t="e">
        <f>'All regions'!C4806+"$F;@!([d"</f>
        <v>#VALUE!</v>
      </c>
      <c r="GH173" t="e">
        <f>'All regions'!D4806+"$F;@!([e"</f>
        <v>#VALUE!</v>
      </c>
      <c r="GI173" t="e">
        <f>'All regions'!E4806+"$F;@!([f"</f>
        <v>#VALUE!</v>
      </c>
      <c r="GJ173" t="e">
        <f>'All regions'!F4806+"$F;@!([g"</f>
        <v>#VALUE!</v>
      </c>
      <c r="GK173" t="e">
        <f>'All regions'!G4806+"$F;@!([h"</f>
        <v>#VALUE!</v>
      </c>
      <c r="GL173" t="e">
        <f>'All regions'!H4806+"$F;@!([i"</f>
        <v>#VALUE!</v>
      </c>
      <c r="GM173" t="e">
        <f>'All regions'!I4806+"$F;@!([j"</f>
        <v>#VALUE!</v>
      </c>
      <c r="GN173" t="e">
        <f>'All regions'!A4807+"$F;@!([k"</f>
        <v>#VALUE!</v>
      </c>
      <c r="GO173" t="e">
        <f>'All regions'!B4807+"$F;@!([l"</f>
        <v>#VALUE!</v>
      </c>
      <c r="GP173" t="e">
        <f>'All regions'!C4807+"$F;@!([m"</f>
        <v>#VALUE!</v>
      </c>
      <c r="GQ173" t="e">
        <f>'All regions'!D4807+"$F;@!([n"</f>
        <v>#VALUE!</v>
      </c>
      <c r="GR173" t="e">
        <f>'All regions'!E4807+"$F;@!([o"</f>
        <v>#VALUE!</v>
      </c>
      <c r="GS173" t="e">
        <f>'All regions'!F4807+"$F;@!([p"</f>
        <v>#VALUE!</v>
      </c>
      <c r="GT173" t="e">
        <f>'All regions'!G4807+"$F;@!([q"</f>
        <v>#VALUE!</v>
      </c>
      <c r="GU173" t="e">
        <f>'All regions'!H4807+"$F;@!([r"</f>
        <v>#VALUE!</v>
      </c>
      <c r="GV173" t="e">
        <f>'All regions'!I4807+"$F;@!([s"</f>
        <v>#VALUE!</v>
      </c>
      <c r="GW173" t="e">
        <f>'All regions'!A4808+"$F;@!([t"</f>
        <v>#VALUE!</v>
      </c>
      <c r="GX173" t="e">
        <f>'All regions'!B4808+"$F;@!([u"</f>
        <v>#VALUE!</v>
      </c>
      <c r="GY173" t="e">
        <f>'All regions'!C4808+"$F;@!([v"</f>
        <v>#VALUE!</v>
      </c>
      <c r="GZ173" t="e">
        <f>'All regions'!D4808+"$F;@!([w"</f>
        <v>#VALUE!</v>
      </c>
      <c r="HA173" t="e">
        <f>'All regions'!E4808+"$F;@!([x"</f>
        <v>#VALUE!</v>
      </c>
      <c r="HB173" t="e">
        <f>'All regions'!F4808+"$F;@!([y"</f>
        <v>#VALUE!</v>
      </c>
      <c r="HC173" t="e">
        <f>'All regions'!G4808+"$F;@!([z"</f>
        <v>#VALUE!</v>
      </c>
      <c r="HD173" t="e">
        <f>'All regions'!H4808+"$F;@!([{"</f>
        <v>#VALUE!</v>
      </c>
      <c r="HE173" t="e">
        <f>'All regions'!I4808+"$F;@!([|"</f>
        <v>#VALUE!</v>
      </c>
      <c r="HF173" t="e">
        <f>'All regions'!A4809+"$F;@!([}"</f>
        <v>#VALUE!</v>
      </c>
      <c r="HG173" t="e">
        <f>'All regions'!B4809+"$F;@!([~"</f>
        <v>#VALUE!</v>
      </c>
      <c r="HH173" t="e">
        <f>'All regions'!C4809+"$F;@!(\#"</f>
        <v>#VALUE!</v>
      </c>
      <c r="HI173" t="e">
        <f>'All regions'!D4809+"$F;@!(\$"</f>
        <v>#VALUE!</v>
      </c>
      <c r="HJ173" t="e">
        <f>'All regions'!E4809+"$F;@!(\%"</f>
        <v>#VALUE!</v>
      </c>
      <c r="HK173" t="e">
        <f>'All regions'!F4809+"$F;@!(\&amp;"</f>
        <v>#VALUE!</v>
      </c>
      <c r="HL173" t="e">
        <f>'All regions'!G4809+"$F;@!(\'"</f>
        <v>#VALUE!</v>
      </c>
      <c r="HM173" t="e">
        <f>'All regions'!H4809+"$F;@!(\("</f>
        <v>#VALUE!</v>
      </c>
      <c r="HN173" t="e">
        <f>'All regions'!I4809+"$F;@!(\)"</f>
        <v>#VALUE!</v>
      </c>
      <c r="HO173" t="e">
        <f>'All regions'!A4810+"$F;@!(\."</f>
        <v>#VALUE!</v>
      </c>
      <c r="HP173" t="e">
        <f>'All regions'!B4810+"$F;@!(\/"</f>
        <v>#VALUE!</v>
      </c>
      <c r="HQ173" t="e">
        <f>'All regions'!C4810+"$F;@!(\0"</f>
        <v>#VALUE!</v>
      </c>
      <c r="HR173" t="e">
        <f>'All regions'!D4810+"$F;@!(\1"</f>
        <v>#VALUE!</v>
      </c>
      <c r="HS173" t="e">
        <f>'All regions'!E4810+"$F;@!(\2"</f>
        <v>#VALUE!</v>
      </c>
      <c r="HT173" t="e">
        <f>'All regions'!F4810+"$F;@!(\3"</f>
        <v>#VALUE!</v>
      </c>
      <c r="HU173" t="e">
        <f>'All regions'!G4810+"$F;@!(\4"</f>
        <v>#VALUE!</v>
      </c>
      <c r="HV173" t="e">
        <f>'All regions'!H4810+"$F;@!(\5"</f>
        <v>#VALUE!</v>
      </c>
      <c r="HW173" t="e">
        <f>'All regions'!I4810+"$F;@!(\6"</f>
        <v>#VALUE!</v>
      </c>
      <c r="HX173" t="e">
        <f>'All regions'!A4811+"$F;@!(\7"</f>
        <v>#VALUE!</v>
      </c>
      <c r="HY173" t="e">
        <f>'All regions'!B4811+"$F;@!(\8"</f>
        <v>#VALUE!</v>
      </c>
      <c r="HZ173" t="e">
        <f>'All regions'!C4811+"$F;@!(\9"</f>
        <v>#VALUE!</v>
      </c>
      <c r="IA173" t="e">
        <f>'All regions'!D4811+"$F;@!(\:"</f>
        <v>#VALUE!</v>
      </c>
      <c r="IB173" t="e">
        <f>'All regions'!E4811+"$F;@!(\;"</f>
        <v>#VALUE!</v>
      </c>
      <c r="IC173" t="e">
        <f>'All regions'!F4811+"$F;@!(\&lt;"</f>
        <v>#VALUE!</v>
      </c>
      <c r="ID173" t="e">
        <f>'All regions'!G4811+"$F;@!(\="</f>
        <v>#VALUE!</v>
      </c>
      <c r="IE173" t="e">
        <f>'All regions'!H4811+"$F;@!(\&gt;"</f>
        <v>#VALUE!</v>
      </c>
      <c r="IF173" t="e">
        <f>'All regions'!I4811+"$F;@!(\?"</f>
        <v>#VALUE!</v>
      </c>
      <c r="IG173" t="e">
        <f>'All regions'!A4812+"$F;@!(\@"</f>
        <v>#VALUE!</v>
      </c>
      <c r="IH173" t="e">
        <f>'All regions'!B4812+"$F;@!(\A"</f>
        <v>#VALUE!</v>
      </c>
      <c r="II173" t="e">
        <f>'All regions'!C4812+"$F;@!(\B"</f>
        <v>#VALUE!</v>
      </c>
      <c r="IJ173" t="e">
        <f>'All regions'!D4812+"$F;@!(\C"</f>
        <v>#VALUE!</v>
      </c>
      <c r="IK173" t="e">
        <f>'All regions'!E4812+"$F;@!(\D"</f>
        <v>#VALUE!</v>
      </c>
      <c r="IL173" t="e">
        <f>'All regions'!F4812+"$F;@!(\E"</f>
        <v>#VALUE!</v>
      </c>
      <c r="IM173" t="e">
        <f>'All regions'!G4812+"$F;@!(\F"</f>
        <v>#VALUE!</v>
      </c>
      <c r="IN173" t="e">
        <f>'All regions'!H4812+"$F;@!(\G"</f>
        <v>#VALUE!</v>
      </c>
      <c r="IO173" t="e">
        <f>'All regions'!I4812+"$F;@!(\H"</f>
        <v>#VALUE!</v>
      </c>
      <c r="IP173" t="e">
        <f>'All regions'!A4813+"$F;@!(\I"</f>
        <v>#VALUE!</v>
      </c>
      <c r="IQ173" t="e">
        <f>'All regions'!B4813+"$F;@!(\J"</f>
        <v>#VALUE!</v>
      </c>
      <c r="IR173" t="e">
        <f>'All regions'!C4813+"$F;@!(\K"</f>
        <v>#VALUE!</v>
      </c>
      <c r="IS173" t="e">
        <f>'All regions'!D4813+"$F;@!(\L"</f>
        <v>#VALUE!</v>
      </c>
      <c r="IT173" t="e">
        <f>'All regions'!E4813+"$F;@!(\M"</f>
        <v>#VALUE!</v>
      </c>
      <c r="IU173" t="e">
        <f>'All regions'!F4813+"$F;@!(\N"</f>
        <v>#VALUE!</v>
      </c>
      <c r="IV173" t="e">
        <f>'All regions'!G4813+"$F;@!(\O"</f>
        <v>#VALUE!</v>
      </c>
    </row>
    <row r="174" spans="6:256" x14ac:dyDescent="0.35">
      <c r="F174" t="e">
        <f>'All regions'!H4813+"$F;@!(\P"</f>
        <v>#VALUE!</v>
      </c>
      <c r="G174" t="e">
        <f>'All regions'!I4813+"$F;@!(\Q"</f>
        <v>#VALUE!</v>
      </c>
      <c r="H174" t="e">
        <f>'All regions'!A4814+"$F;@!(\R"</f>
        <v>#VALUE!</v>
      </c>
      <c r="I174" t="e">
        <f>'All regions'!B4814+"$F;@!(\S"</f>
        <v>#VALUE!</v>
      </c>
      <c r="J174" t="e">
        <f>'All regions'!C4814+"$F;@!(\T"</f>
        <v>#VALUE!</v>
      </c>
      <c r="K174" t="e">
        <f>'All regions'!D4814+"$F;@!(\U"</f>
        <v>#VALUE!</v>
      </c>
      <c r="L174" t="e">
        <f>'All regions'!E4814+"$F;@!(\V"</f>
        <v>#VALUE!</v>
      </c>
      <c r="M174" t="e">
        <f>'All regions'!F4814+"$F;@!(\W"</f>
        <v>#VALUE!</v>
      </c>
      <c r="N174" t="e">
        <f>'All regions'!G4814+"$F;@!(\X"</f>
        <v>#VALUE!</v>
      </c>
      <c r="O174" t="e">
        <f>'All regions'!H4814+"$F;@!(\Y"</f>
        <v>#VALUE!</v>
      </c>
      <c r="P174" t="e">
        <f>'All regions'!I4814+"$F;@!(\Z"</f>
        <v>#VALUE!</v>
      </c>
      <c r="Q174" t="e">
        <f>'All regions'!A4815+"$F;@!(\["</f>
        <v>#VALUE!</v>
      </c>
      <c r="R174" t="e">
        <f>'All regions'!B4815+"$F;@!(\\"</f>
        <v>#VALUE!</v>
      </c>
      <c r="S174" t="e">
        <f>'All regions'!C4815+"$F;@!(\]"</f>
        <v>#VALUE!</v>
      </c>
      <c r="T174" t="e">
        <f>'All regions'!D4815+"$F;@!(\^"</f>
        <v>#VALUE!</v>
      </c>
      <c r="U174" t="e">
        <f>'All regions'!E4815+"$F;@!(\_"</f>
        <v>#VALUE!</v>
      </c>
      <c r="V174" t="e">
        <f>'All regions'!F4815+"$F;@!(\`"</f>
        <v>#VALUE!</v>
      </c>
      <c r="W174" t="e">
        <f>'All regions'!G4815+"$F;@!(\a"</f>
        <v>#VALUE!</v>
      </c>
      <c r="X174" t="e">
        <f>'All regions'!H4815+"$F;@!(\b"</f>
        <v>#VALUE!</v>
      </c>
      <c r="Y174" t="e">
        <f>'All regions'!I4815+"$F;@!(\c"</f>
        <v>#VALUE!</v>
      </c>
      <c r="Z174" t="e">
        <f>'All regions'!A4816+"$F;@!(\d"</f>
        <v>#VALUE!</v>
      </c>
      <c r="AA174" t="e">
        <f>'All regions'!B4816+"$F;@!(\e"</f>
        <v>#VALUE!</v>
      </c>
      <c r="AB174" t="e">
        <f>'All regions'!C4816+"$F;@!(\f"</f>
        <v>#VALUE!</v>
      </c>
      <c r="AC174" t="e">
        <f>'All regions'!D4816+"$F;@!(\g"</f>
        <v>#VALUE!</v>
      </c>
      <c r="AD174" t="e">
        <f>'All regions'!E4816+"$F;@!(\h"</f>
        <v>#VALUE!</v>
      </c>
      <c r="AE174" t="e">
        <f>'All regions'!F4816+"$F;@!(\i"</f>
        <v>#VALUE!</v>
      </c>
      <c r="AF174" t="e">
        <f>'All regions'!G4816+"$F;@!(\j"</f>
        <v>#VALUE!</v>
      </c>
      <c r="AG174" t="e">
        <f>'All regions'!H4816+"$F;@!(\k"</f>
        <v>#VALUE!</v>
      </c>
      <c r="AH174" t="e">
        <f>'All regions'!I4816+"$F;@!(\l"</f>
        <v>#VALUE!</v>
      </c>
      <c r="AI174" t="e">
        <f>'All regions'!A4817+"$F;@!(\m"</f>
        <v>#VALUE!</v>
      </c>
      <c r="AJ174" t="e">
        <f>'All regions'!B4817+"$F;@!(\n"</f>
        <v>#VALUE!</v>
      </c>
      <c r="AK174" t="e">
        <f>'All regions'!C4817+"$F;@!(\o"</f>
        <v>#VALUE!</v>
      </c>
      <c r="AL174" t="e">
        <f>'All regions'!D4817+"$F;@!(\p"</f>
        <v>#VALUE!</v>
      </c>
      <c r="AM174" t="e">
        <f>'All regions'!E4817+"$F;@!(\q"</f>
        <v>#VALUE!</v>
      </c>
      <c r="AN174" t="e">
        <f>'All regions'!F4817+"$F;@!(\r"</f>
        <v>#VALUE!</v>
      </c>
      <c r="AO174" t="e">
        <f>'All regions'!G4817+"$F;@!(\s"</f>
        <v>#VALUE!</v>
      </c>
      <c r="AP174" t="e">
        <f>'All regions'!H4817+"$F;@!(\t"</f>
        <v>#VALUE!</v>
      </c>
      <c r="AQ174" t="e">
        <f>'All regions'!I4817+"$F;@!(\u"</f>
        <v>#VALUE!</v>
      </c>
      <c r="AR174" t="e">
        <f>'All regions'!A4818+"$F;@!(\v"</f>
        <v>#VALUE!</v>
      </c>
      <c r="AS174" t="e">
        <f>'All regions'!B4818+"$F;@!(\w"</f>
        <v>#VALUE!</v>
      </c>
      <c r="AT174" t="e">
        <f>'All regions'!C4818+"$F;@!(\x"</f>
        <v>#VALUE!</v>
      </c>
      <c r="AU174" t="e">
        <f>'All regions'!D4818+"$F;@!(\y"</f>
        <v>#VALUE!</v>
      </c>
      <c r="AV174" t="e">
        <f>'All regions'!E4818+"$F;@!(\z"</f>
        <v>#VALUE!</v>
      </c>
      <c r="AW174" t="e">
        <f>'All regions'!F4818+"$F;@!(\{"</f>
        <v>#VALUE!</v>
      </c>
      <c r="AX174" t="e">
        <f>'All regions'!G4818+"$F;@!(\|"</f>
        <v>#VALUE!</v>
      </c>
      <c r="AY174" t="e">
        <f>'All regions'!H4818+"$F;@!(\}"</f>
        <v>#VALUE!</v>
      </c>
      <c r="AZ174" t="e">
        <f>'All regions'!I4818+"$F;@!(\~"</f>
        <v>#VALUE!</v>
      </c>
      <c r="BA174" t="e">
        <f>'All regions'!A4819+"$F;@!(]#"</f>
        <v>#VALUE!</v>
      </c>
      <c r="BB174" t="e">
        <f>'All regions'!B4819+"$F;@!(]$"</f>
        <v>#VALUE!</v>
      </c>
      <c r="BC174" t="e">
        <f>'All regions'!C4819+"$F;@!(]%"</f>
        <v>#VALUE!</v>
      </c>
      <c r="BD174" t="e">
        <f>'All regions'!D4819+"$F;@!(]&amp;"</f>
        <v>#VALUE!</v>
      </c>
      <c r="BE174" t="e">
        <f>'All regions'!E4819+"$F;@!(]'"</f>
        <v>#VALUE!</v>
      </c>
      <c r="BF174" t="e">
        <f>'All regions'!F4819+"$F;@!(]("</f>
        <v>#VALUE!</v>
      </c>
      <c r="BG174" t="e">
        <f>'All regions'!G4819+"$F;@!(])"</f>
        <v>#VALUE!</v>
      </c>
      <c r="BH174" t="e">
        <f>'All regions'!H4819+"$F;@!(]."</f>
        <v>#VALUE!</v>
      </c>
      <c r="BI174" t="e">
        <f>'All regions'!I4819+"$F;@!(]/"</f>
        <v>#VALUE!</v>
      </c>
      <c r="BJ174" t="e">
        <f>'All regions'!A4820+"$F;@!(]0"</f>
        <v>#VALUE!</v>
      </c>
      <c r="BK174" t="e">
        <f>'All regions'!B4820+"$F;@!(]1"</f>
        <v>#VALUE!</v>
      </c>
      <c r="BL174" t="e">
        <f>'All regions'!C4820+"$F;@!(]2"</f>
        <v>#VALUE!</v>
      </c>
      <c r="BM174" t="e">
        <f>'All regions'!D4820+"$F;@!(]3"</f>
        <v>#VALUE!</v>
      </c>
      <c r="BN174" t="e">
        <f>'All regions'!E4820+"$F;@!(]4"</f>
        <v>#VALUE!</v>
      </c>
      <c r="BO174" t="e">
        <f>'All regions'!F4820+"$F;@!(]5"</f>
        <v>#VALUE!</v>
      </c>
      <c r="BP174" t="e">
        <f>'All regions'!G4820+"$F;@!(]6"</f>
        <v>#VALUE!</v>
      </c>
      <c r="BQ174" t="e">
        <f>'All regions'!H4820+"$F;@!(]7"</f>
        <v>#VALUE!</v>
      </c>
      <c r="BR174" t="e">
        <f>'All regions'!I4820+"$F;@!(]8"</f>
        <v>#VALUE!</v>
      </c>
      <c r="BS174" t="e">
        <f>'All regions'!A4821+"$F;@!(]9"</f>
        <v>#VALUE!</v>
      </c>
      <c r="BT174" t="e">
        <f>'All regions'!B4821+"$F;@!(]:"</f>
        <v>#VALUE!</v>
      </c>
      <c r="BU174" t="e">
        <f>'All regions'!C4821+"$F;@!(];"</f>
        <v>#VALUE!</v>
      </c>
      <c r="BV174" t="e">
        <f>'All regions'!D4821+"$F;@!(]&lt;"</f>
        <v>#VALUE!</v>
      </c>
      <c r="BW174" t="e">
        <f>'All regions'!E4821+"$F;@!(]="</f>
        <v>#VALUE!</v>
      </c>
      <c r="BX174" t="e">
        <f>'All regions'!F4821+"$F;@!(]&gt;"</f>
        <v>#VALUE!</v>
      </c>
      <c r="BY174" t="e">
        <f>'All regions'!G4821+"$F;@!(]?"</f>
        <v>#VALUE!</v>
      </c>
      <c r="BZ174" t="e">
        <f>'All regions'!H4821+"$F;@!(]@"</f>
        <v>#VALUE!</v>
      </c>
      <c r="CA174" t="e">
        <f>'All regions'!I4821+"$F;@!(]A"</f>
        <v>#VALUE!</v>
      </c>
      <c r="CB174" t="e">
        <f>'All regions'!A4822+"$F;@!(]B"</f>
        <v>#VALUE!</v>
      </c>
      <c r="CC174" t="e">
        <f>'All regions'!B4822+"$F;@!(]C"</f>
        <v>#VALUE!</v>
      </c>
      <c r="CD174" t="e">
        <f>'All regions'!C4822+"$F;@!(]D"</f>
        <v>#VALUE!</v>
      </c>
      <c r="CE174" t="e">
        <f>'All regions'!D4822+"$F;@!(]E"</f>
        <v>#VALUE!</v>
      </c>
      <c r="CF174" t="e">
        <f>'All regions'!E4822+"$F;@!(]F"</f>
        <v>#VALUE!</v>
      </c>
      <c r="CG174" t="e">
        <f>'All regions'!F4822+"$F;@!(]G"</f>
        <v>#VALUE!</v>
      </c>
      <c r="CH174" t="e">
        <f>'All regions'!G4822+"$F;@!(]H"</f>
        <v>#VALUE!</v>
      </c>
      <c r="CI174" t="e">
        <f>'All regions'!H4822+"$F;@!(]I"</f>
        <v>#VALUE!</v>
      </c>
      <c r="CJ174" t="e">
        <f>'All regions'!I4822+"$F;@!(]J"</f>
        <v>#VALUE!</v>
      </c>
      <c r="CK174" t="e">
        <f>'All regions'!A4823+"$F;@!(]K"</f>
        <v>#VALUE!</v>
      </c>
      <c r="CL174" t="e">
        <f>'All regions'!B4823+"$F;@!(]L"</f>
        <v>#VALUE!</v>
      </c>
      <c r="CM174" t="e">
        <f>'All regions'!C4823+"$F;@!(]M"</f>
        <v>#VALUE!</v>
      </c>
      <c r="CN174" t="e">
        <f>'All regions'!D4823+"$F;@!(]N"</f>
        <v>#VALUE!</v>
      </c>
      <c r="CO174" t="e">
        <f>'All regions'!E4823+"$F;@!(]O"</f>
        <v>#VALUE!</v>
      </c>
      <c r="CP174" t="e">
        <f>'All regions'!F4823+"$F;@!(]P"</f>
        <v>#VALUE!</v>
      </c>
      <c r="CQ174" t="e">
        <f>'All regions'!G4823+"$F;@!(]Q"</f>
        <v>#VALUE!</v>
      </c>
      <c r="CR174" t="e">
        <f>'All regions'!H4823+"$F;@!(]R"</f>
        <v>#VALUE!</v>
      </c>
      <c r="CS174" t="e">
        <f>'All regions'!I4823+"$F;@!(]S"</f>
        <v>#VALUE!</v>
      </c>
      <c r="CT174" t="e">
        <f>'All regions'!A4824+"$F;@!(]T"</f>
        <v>#VALUE!</v>
      </c>
      <c r="CU174" t="e">
        <f>'All regions'!B4824+"$F;@!(]U"</f>
        <v>#VALUE!</v>
      </c>
      <c r="CV174" t="e">
        <f>'All regions'!C4824+"$F;@!(]V"</f>
        <v>#VALUE!</v>
      </c>
      <c r="CW174" t="e">
        <f>'All regions'!D4824+"$F;@!(]W"</f>
        <v>#VALUE!</v>
      </c>
      <c r="CX174" t="e">
        <f>'All regions'!E4824+"$F;@!(]X"</f>
        <v>#VALUE!</v>
      </c>
      <c r="CY174" t="e">
        <f>'All regions'!G4824+"$F;@!(]Y"</f>
        <v>#VALUE!</v>
      </c>
      <c r="CZ174" t="e">
        <f>'All regions'!H4824+"$F;@!(]Z"</f>
        <v>#VALUE!</v>
      </c>
      <c r="DA174" t="e">
        <f>'All regions'!I4824+"$F;@!(]["</f>
        <v>#VALUE!</v>
      </c>
      <c r="DB174" t="e">
        <f>'All regions'!A4825+"$F;@!(]\"</f>
        <v>#VALUE!</v>
      </c>
      <c r="DC174" t="e">
        <f>'All regions'!B4825+"$F;@!(]]"</f>
        <v>#VALUE!</v>
      </c>
      <c r="DD174" t="e">
        <f>'All regions'!C4825+"$F;@!(]^"</f>
        <v>#VALUE!</v>
      </c>
      <c r="DE174" t="e">
        <f>'All regions'!D4825+"$F;@!(]_"</f>
        <v>#VALUE!</v>
      </c>
      <c r="DF174" t="e">
        <f>'All regions'!E4825+"$F;@!(]`"</f>
        <v>#VALUE!</v>
      </c>
      <c r="DG174" t="e">
        <f>'All regions'!F4825+"$F;@!(]a"</f>
        <v>#VALUE!</v>
      </c>
      <c r="DH174" t="e">
        <f>'All regions'!G4825+"$F;@!(]b"</f>
        <v>#VALUE!</v>
      </c>
      <c r="DI174" t="e">
        <f>'All regions'!H4825+"$F;@!(]c"</f>
        <v>#VALUE!</v>
      </c>
      <c r="DJ174" t="e">
        <f>'All regions'!I4825+"$F;@!(]d"</f>
        <v>#VALUE!</v>
      </c>
      <c r="DK174" t="e">
        <f>'All regions'!A4826+"$F;@!(]e"</f>
        <v>#VALUE!</v>
      </c>
      <c r="DL174" t="e">
        <f>'All regions'!B4826+"$F;@!(]f"</f>
        <v>#VALUE!</v>
      </c>
      <c r="DM174" t="e">
        <f>'All regions'!C4826+"$F;@!(]g"</f>
        <v>#VALUE!</v>
      </c>
      <c r="DN174" t="e">
        <f>'All regions'!D4826+"$F;@!(]h"</f>
        <v>#VALUE!</v>
      </c>
      <c r="DO174" t="e">
        <f>'All regions'!E4826+"$F;@!(]i"</f>
        <v>#VALUE!</v>
      </c>
      <c r="DP174" t="e">
        <f>'All regions'!F4826+"$F;@!(]j"</f>
        <v>#VALUE!</v>
      </c>
      <c r="DQ174" t="e">
        <f>'All regions'!G4826+"$F;@!(]k"</f>
        <v>#VALUE!</v>
      </c>
      <c r="DR174" t="e">
        <f>'All regions'!H4826+"$F;@!(]l"</f>
        <v>#VALUE!</v>
      </c>
      <c r="DS174" t="e">
        <f>'All regions'!I4826+"$F;@!(]m"</f>
        <v>#VALUE!</v>
      </c>
      <c r="DT174" t="e">
        <f>'All regions'!A4827+"$F;@!(]n"</f>
        <v>#VALUE!</v>
      </c>
      <c r="DU174" t="e">
        <f>'All regions'!B4827+"$F;@!(]o"</f>
        <v>#VALUE!</v>
      </c>
      <c r="DV174" t="e">
        <f>'All regions'!C4827+"$F;@!(]p"</f>
        <v>#VALUE!</v>
      </c>
      <c r="DW174" t="e">
        <f>'All regions'!D4827+"$F;@!(]q"</f>
        <v>#VALUE!</v>
      </c>
      <c r="DX174" t="e">
        <f>'All regions'!E4827+"$F;@!(]r"</f>
        <v>#VALUE!</v>
      </c>
      <c r="DY174" t="e">
        <f>'All regions'!F4827+"$F;@!(]s"</f>
        <v>#VALUE!</v>
      </c>
      <c r="DZ174" t="e">
        <f>'All regions'!G4827+"$F;@!(]t"</f>
        <v>#VALUE!</v>
      </c>
      <c r="EA174" t="e">
        <f>'All regions'!H4827+"$F;@!(]u"</f>
        <v>#VALUE!</v>
      </c>
      <c r="EB174" t="e">
        <f>'All regions'!I4827+"$F;@!(]v"</f>
        <v>#VALUE!</v>
      </c>
      <c r="EC174" t="e">
        <f>'All regions'!A4828+"$F;@!(]w"</f>
        <v>#VALUE!</v>
      </c>
      <c r="ED174" t="e">
        <f>'All regions'!B4828+"$F;@!(]x"</f>
        <v>#VALUE!</v>
      </c>
      <c r="EE174" t="e">
        <f>'All regions'!C4828+"$F;@!(]y"</f>
        <v>#VALUE!</v>
      </c>
      <c r="EF174" t="e">
        <f>'All regions'!D4828+"$F;@!(]z"</f>
        <v>#VALUE!</v>
      </c>
      <c r="EG174" t="e">
        <f>'All regions'!E4828+"$F;@!(]{"</f>
        <v>#VALUE!</v>
      </c>
      <c r="EH174" t="e">
        <f>'All regions'!F4828+"$F;@!(]|"</f>
        <v>#VALUE!</v>
      </c>
      <c r="EI174" t="e">
        <f>'All regions'!G4828+"$F;@!(]}"</f>
        <v>#VALUE!</v>
      </c>
      <c r="EJ174" t="e">
        <f>'All regions'!H4828+"$F;@!(]~"</f>
        <v>#VALUE!</v>
      </c>
      <c r="EK174" t="e">
        <f>'All regions'!I4828+"$F;@!(^#"</f>
        <v>#VALUE!</v>
      </c>
      <c r="EL174" t="e">
        <f>'All regions'!A4829+"$F;@!(^$"</f>
        <v>#VALUE!</v>
      </c>
      <c r="EM174" t="e">
        <f>'All regions'!B4829+"$F;@!(^%"</f>
        <v>#VALUE!</v>
      </c>
      <c r="EN174" t="e">
        <f>'All regions'!C4829+"$F;@!(^&amp;"</f>
        <v>#VALUE!</v>
      </c>
      <c r="EO174" t="e">
        <f>'All regions'!D4829+"$F;@!(^'"</f>
        <v>#VALUE!</v>
      </c>
      <c r="EP174" t="e">
        <f>'All regions'!E4829+"$F;@!(^("</f>
        <v>#VALUE!</v>
      </c>
      <c r="EQ174" t="e">
        <f>'All regions'!F4829+"$F;@!(^)"</f>
        <v>#VALUE!</v>
      </c>
      <c r="ER174" t="e">
        <f>'All regions'!G4829+"$F;@!(^."</f>
        <v>#VALUE!</v>
      </c>
      <c r="ES174" t="e">
        <f>'All regions'!H4829+"$F;@!(^/"</f>
        <v>#VALUE!</v>
      </c>
      <c r="ET174" t="e">
        <f>'All regions'!I4829+"$F;@!(^0"</f>
        <v>#VALUE!</v>
      </c>
      <c r="EU174" t="e">
        <f>'All regions'!A4830+"$F;@!(^1"</f>
        <v>#VALUE!</v>
      </c>
      <c r="EV174" t="e">
        <f>'All regions'!B4830+"$F;@!(^2"</f>
        <v>#VALUE!</v>
      </c>
      <c r="EW174" t="e">
        <f>'All regions'!C4830+"$F;@!(^3"</f>
        <v>#VALUE!</v>
      </c>
      <c r="EX174" t="e">
        <f>'All regions'!D4830+"$F;@!(^4"</f>
        <v>#VALUE!</v>
      </c>
      <c r="EY174" t="e">
        <f>'All regions'!E4830+"$F;@!(^5"</f>
        <v>#VALUE!</v>
      </c>
      <c r="EZ174" t="e">
        <f>'All regions'!F4830+"$F;@!(^6"</f>
        <v>#VALUE!</v>
      </c>
      <c r="FA174" t="e">
        <f>'All regions'!G4830+"$F;@!(^7"</f>
        <v>#VALUE!</v>
      </c>
      <c r="FB174" t="e">
        <f>'All regions'!H4830+"$F;@!(^8"</f>
        <v>#VALUE!</v>
      </c>
      <c r="FC174" t="e">
        <f>'All regions'!I4830+"$F;@!(^9"</f>
        <v>#VALUE!</v>
      </c>
      <c r="FD174" t="e">
        <f>'All regions'!A4831+"$F;@!(^:"</f>
        <v>#VALUE!</v>
      </c>
      <c r="FE174" t="e">
        <f>'All regions'!B4831+"$F;@!(^;"</f>
        <v>#VALUE!</v>
      </c>
      <c r="FF174" t="e">
        <f>'All regions'!C4831+"$F;@!(^&lt;"</f>
        <v>#VALUE!</v>
      </c>
      <c r="FG174" t="e">
        <f>'All regions'!D4831+"$F;@!(^="</f>
        <v>#VALUE!</v>
      </c>
      <c r="FH174" t="e">
        <f>'All regions'!E4831+"$F;@!(^&gt;"</f>
        <v>#VALUE!</v>
      </c>
      <c r="FI174" t="e">
        <f>'All regions'!F4831+"$F;@!(^?"</f>
        <v>#VALUE!</v>
      </c>
      <c r="FJ174" t="e">
        <f>'All regions'!G4831+"$F;@!(^@"</f>
        <v>#VALUE!</v>
      </c>
      <c r="FK174" t="e">
        <f>'All regions'!H4831+"$F;@!(^A"</f>
        <v>#VALUE!</v>
      </c>
      <c r="FL174" t="e">
        <f>'All regions'!I4831+"$F;@!(^B"</f>
        <v>#VALUE!</v>
      </c>
      <c r="FM174" t="e">
        <f>'All regions'!A4832+"$F;@!(^C"</f>
        <v>#VALUE!</v>
      </c>
      <c r="FN174" t="e">
        <f>'All regions'!B4832+"$F;@!(^D"</f>
        <v>#VALUE!</v>
      </c>
      <c r="FO174" t="e">
        <f>'All regions'!C4832+"$F;@!(^E"</f>
        <v>#VALUE!</v>
      </c>
      <c r="FP174" t="e">
        <f>'All regions'!D4832+"$F;@!(^F"</f>
        <v>#VALUE!</v>
      </c>
      <c r="FQ174" t="e">
        <f>'All regions'!E4832+"$F;@!(^G"</f>
        <v>#VALUE!</v>
      </c>
      <c r="FR174" t="e">
        <f>'All regions'!F4832+"$F;@!(^H"</f>
        <v>#VALUE!</v>
      </c>
      <c r="FS174" t="e">
        <f>'All regions'!G4832+"$F;@!(^I"</f>
        <v>#VALUE!</v>
      </c>
      <c r="FT174" t="e">
        <f>'All regions'!H4832+"$F;@!(^J"</f>
        <v>#VALUE!</v>
      </c>
      <c r="FU174" t="e">
        <f>'All regions'!I4832+"$F;@!(^K"</f>
        <v>#VALUE!</v>
      </c>
      <c r="FV174" t="e">
        <f>'All regions'!A4833+"$F;@!(^L"</f>
        <v>#VALUE!</v>
      </c>
      <c r="FW174" t="e">
        <f>'All regions'!B4833+"$F;@!(^M"</f>
        <v>#VALUE!</v>
      </c>
      <c r="FX174" t="e">
        <f>'All regions'!C4833+"$F;@!(^N"</f>
        <v>#VALUE!</v>
      </c>
      <c r="FY174" t="e">
        <f>'All regions'!D4833+"$F;@!(^O"</f>
        <v>#VALUE!</v>
      </c>
      <c r="FZ174" t="e">
        <f>'All regions'!E4833+"$F;@!(^P"</f>
        <v>#VALUE!</v>
      </c>
      <c r="GA174" t="e">
        <f>'All regions'!F4833+"$F;@!(^Q"</f>
        <v>#VALUE!</v>
      </c>
      <c r="GB174" t="e">
        <f>'All regions'!G4833+"$F;@!(^R"</f>
        <v>#VALUE!</v>
      </c>
      <c r="GC174" t="e">
        <f>'All regions'!H4833+"$F;@!(^S"</f>
        <v>#VALUE!</v>
      </c>
      <c r="GD174" t="e">
        <f>'All regions'!I4833+"$F;@!(^T"</f>
        <v>#VALUE!</v>
      </c>
      <c r="GE174" t="e">
        <f>'All regions'!A4834+"$F;@!(^U"</f>
        <v>#VALUE!</v>
      </c>
      <c r="GF174" t="e">
        <f>'All regions'!B4834+"$F;@!(^V"</f>
        <v>#VALUE!</v>
      </c>
      <c r="GG174" t="e">
        <f>'All regions'!C4834+"$F;@!(^W"</f>
        <v>#VALUE!</v>
      </c>
      <c r="GH174" t="e">
        <f>'All regions'!D4834+"$F;@!(^X"</f>
        <v>#VALUE!</v>
      </c>
      <c r="GI174" t="e">
        <f>'All regions'!E4834+"$F;@!(^Y"</f>
        <v>#VALUE!</v>
      </c>
      <c r="GJ174" t="e">
        <f>'All regions'!F4834+"$F;@!(^Z"</f>
        <v>#VALUE!</v>
      </c>
      <c r="GK174" t="e">
        <f>'All regions'!G4834+"$F;@!(^["</f>
        <v>#VALUE!</v>
      </c>
      <c r="GL174" t="e">
        <f>'All regions'!H4834+"$F;@!(^\"</f>
        <v>#VALUE!</v>
      </c>
      <c r="GM174" t="e">
        <f>'All regions'!I4834+"$F;@!(^]"</f>
        <v>#VALUE!</v>
      </c>
      <c r="GN174" t="e">
        <f>'All regions'!A4835+"$F;@!(^^"</f>
        <v>#VALUE!</v>
      </c>
      <c r="GO174" t="e">
        <f>'All regions'!B4835+"$F;@!(^_"</f>
        <v>#VALUE!</v>
      </c>
      <c r="GP174" t="e">
        <f>'All regions'!C4835+"$F;@!(^`"</f>
        <v>#VALUE!</v>
      </c>
      <c r="GQ174" t="e">
        <f>'All regions'!D4835+"$F;@!(^a"</f>
        <v>#VALUE!</v>
      </c>
      <c r="GR174" t="e">
        <f>'All regions'!E4835+"$F;@!(^b"</f>
        <v>#VALUE!</v>
      </c>
      <c r="GS174" t="e">
        <f>'All regions'!F4835+"$F;@!(^c"</f>
        <v>#VALUE!</v>
      </c>
      <c r="GT174" t="e">
        <f>'All regions'!G4835+"$F;@!(^d"</f>
        <v>#VALUE!</v>
      </c>
      <c r="GU174" t="e">
        <f>'All regions'!H4835+"$F;@!(^e"</f>
        <v>#VALUE!</v>
      </c>
      <c r="GV174" t="e">
        <f>'All regions'!I4835+"$F;@!(^f"</f>
        <v>#VALUE!</v>
      </c>
      <c r="GW174" t="e">
        <f>'All regions'!A4836+"$F;@!(^g"</f>
        <v>#VALUE!</v>
      </c>
      <c r="GX174" t="e">
        <f>'All regions'!B4836+"$F;@!(^h"</f>
        <v>#VALUE!</v>
      </c>
      <c r="GY174" t="e">
        <f>'All regions'!C4836+"$F;@!(^i"</f>
        <v>#VALUE!</v>
      </c>
      <c r="GZ174" t="e">
        <f>'All regions'!D4836+"$F;@!(^j"</f>
        <v>#VALUE!</v>
      </c>
      <c r="HA174" t="e">
        <f>'All regions'!E4836+"$F;@!(^k"</f>
        <v>#VALUE!</v>
      </c>
      <c r="HB174" t="e">
        <f>'All regions'!F4836+"$F;@!(^l"</f>
        <v>#VALUE!</v>
      </c>
      <c r="HC174" t="e">
        <f>'All regions'!G4836+"$F;@!(^m"</f>
        <v>#VALUE!</v>
      </c>
      <c r="HD174" t="e">
        <f>'All regions'!H4836+"$F;@!(^n"</f>
        <v>#VALUE!</v>
      </c>
      <c r="HE174" t="e">
        <f>'All regions'!I4836+"$F;@!(^o"</f>
        <v>#VALUE!</v>
      </c>
      <c r="HF174" t="e">
        <f>'All regions'!A4837+"$F;@!(^p"</f>
        <v>#VALUE!</v>
      </c>
      <c r="HG174" t="e">
        <f>'All regions'!B4837+"$F;@!(^q"</f>
        <v>#VALUE!</v>
      </c>
      <c r="HH174" t="e">
        <f>'All regions'!C4837+"$F;@!(^r"</f>
        <v>#VALUE!</v>
      </c>
      <c r="HI174" t="e">
        <f>'All regions'!D4837+"$F;@!(^s"</f>
        <v>#VALUE!</v>
      </c>
      <c r="HJ174" t="e">
        <f>'All regions'!E4837+"$F;@!(^t"</f>
        <v>#VALUE!</v>
      </c>
      <c r="HK174" t="e">
        <f>'All regions'!F4837+"$F;@!(^u"</f>
        <v>#VALUE!</v>
      </c>
      <c r="HL174" t="e">
        <f>'All regions'!G4837+"$F;@!(^v"</f>
        <v>#VALUE!</v>
      </c>
      <c r="HM174" t="e">
        <f>'All regions'!H4837+"$F;@!(^w"</f>
        <v>#VALUE!</v>
      </c>
      <c r="HN174" t="e">
        <f>'All regions'!I4837+"$F;@!(^x"</f>
        <v>#VALUE!</v>
      </c>
      <c r="HO174" t="e">
        <f>'All regions'!A4838+"$F;@!(^y"</f>
        <v>#VALUE!</v>
      </c>
      <c r="HP174" t="e">
        <f>'All regions'!B4838+"$F;@!(^z"</f>
        <v>#VALUE!</v>
      </c>
      <c r="HQ174" t="e">
        <f>'All regions'!C4838+"$F;@!(^{"</f>
        <v>#VALUE!</v>
      </c>
      <c r="HR174" t="e">
        <f>'All regions'!D4838+"$F;@!(^|"</f>
        <v>#VALUE!</v>
      </c>
      <c r="HS174" t="e">
        <f>'All regions'!E4838+"$F;@!(^}"</f>
        <v>#VALUE!</v>
      </c>
      <c r="HT174" t="e">
        <f>'All regions'!F4838+"$F;@!(^~"</f>
        <v>#VALUE!</v>
      </c>
      <c r="HU174" t="e">
        <f>'All regions'!G4838+"$F;@!(_#"</f>
        <v>#VALUE!</v>
      </c>
      <c r="HV174" t="e">
        <f>'All regions'!H4838+"$F;@!(_$"</f>
        <v>#VALUE!</v>
      </c>
      <c r="HW174" t="e">
        <f>'All regions'!I4838+"$F;@!(_%"</f>
        <v>#VALUE!</v>
      </c>
      <c r="HX174" t="e">
        <f>'All regions'!A4839+"$F;@!(_&amp;"</f>
        <v>#VALUE!</v>
      </c>
      <c r="HY174" t="e">
        <f>'All regions'!B4839+"$F;@!(_'"</f>
        <v>#VALUE!</v>
      </c>
      <c r="HZ174" t="e">
        <f>'All regions'!C4839+"$F;@!(_("</f>
        <v>#VALUE!</v>
      </c>
      <c r="IA174" t="e">
        <f>'All regions'!D4839+"$F;@!(_)"</f>
        <v>#VALUE!</v>
      </c>
      <c r="IB174" t="e">
        <f>'All regions'!E4839+"$F;@!(_."</f>
        <v>#VALUE!</v>
      </c>
      <c r="IC174" t="e">
        <f>'All regions'!F4839+"$F;@!(_/"</f>
        <v>#VALUE!</v>
      </c>
      <c r="ID174" t="e">
        <f>'All regions'!G4839+"$F;@!(_0"</f>
        <v>#VALUE!</v>
      </c>
      <c r="IE174" t="e">
        <f>'All regions'!H4839+"$F;@!(_1"</f>
        <v>#VALUE!</v>
      </c>
      <c r="IF174" t="e">
        <f>'All regions'!I4839+"$F;@!(_2"</f>
        <v>#VALUE!</v>
      </c>
      <c r="IG174" t="e">
        <f>'All regions'!A4840+"$F;@!(_3"</f>
        <v>#VALUE!</v>
      </c>
      <c r="IH174" t="e">
        <f>'All regions'!B4840+"$F;@!(_4"</f>
        <v>#VALUE!</v>
      </c>
      <c r="II174" t="e">
        <f>'All regions'!C4840+"$F;@!(_5"</f>
        <v>#VALUE!</v>
      </c>
      <c r="IJ174" t="e">
        <f>'All regions'!D4840+"$F;@!(_6"</f>
        <v>#VALUE!</v>
      </c>
      <c r="IK174" t="e">
        <f>'All regions'!E4840+"$F;@!(_7"</f>
        <v>#VALUE!</v>
      </c>
      <c r="IL174" t="e">
        <f>'All regions'!F4840+"$F;@!(_8"</f>
        <v>#VALUE!</v>
      </c>
      <c r="IM174" t="e">
        <f>'All regions'!G4840+"$F;@!(_9"</f>
        <v>#VALUE!</v>
      </c>
      <c r="IN174" t="e">
        <f>'All regions'!H4840+"$F;@!(_:"</f>
        <v>#VALUE!</v>
      </c>
      <c r="IO174" t="e">
        <f>'All regions'!I4840+"$F;@!(_;"</f>
        <v>#VALUE!</v>
      </c>
      <c r="IP174" t="e">
        <f>'All regions'!A4841+"$F;@!(_&lt;"</f>
        <v>#VALUE!</v>
      </c>
      <c r="IQ174" t="e">
        <f>'All regions'!B4841+"$F;@!(_="</f>
        <v>#VALUE!</v>
      </c>
      <c r="IR174" t="e">
        <f>'All regions'!C4841+"$F;@!(_&gt;"</f>
        <v>#VALUE!</v>
      </c>
      <c r="IS174" t="e">
        <f>'All regions'!D4841+"$F;@!(_?"</f>
        <v>#VALUE!</v>
      </c>
      <c r="IT174" t="e">
        <f>'All regions'!E4841+"$F;@!(_@"</f>
        <v>#VALUE!</v>
      </c>
      <c r="IU174" t="e">
        <f>'All regions'!F4841+"$F;@!(_A"</f>
        <v>#VALUE!</v>
      </c>
      <c r="IV174" t="e">
        <f>'All regions'!G4841+"$F;@!(_B"</f>
        <v>#VALUE!</v>
      </c>
    </row>
    <row r="175" spans="6:256" x14ac:dyDescent="0.35">
      <c r="F175" t="e">
        <f>'All regions'!H4841+"$F;@!(_C"</f>
        <v>#VALUE!</v>
      </c>
      <c r="G175" t="e">
        <f>'All regions'!I4841+"$F;@!(_D"</f>
        <v>#VALUE!</v>
      </c>
      <c r="H175" t="e">
        <f>'All regions'!A4842+"$F;@!(_E"</f>
        <v>#VALUE!</v>
      </c>
      <c r="I175" t="e">
        <f>'All regions'!B4842+"$F;@!(_F"</f>
        <v>#VALUE!</v>
      </c>
      <c r="J175" t="e">
        <f>'All regions'!C4842+"$F;@!(_G"</f>
        <v>#VALUE!</v>
      </c>
      <c r="K175" t="e">
        <f>'All regions'!D4842+"$F;@!(_H"</f>
        <v>#VALUE!</v>
      </c>
      <c r="L175" t="e">
        <f>'All regions'!E4842+"$F;@!(_I"</f>
        <v>#VALUE!</v>
      </c>
      <c r="M175" t="e">
        <f>'All regions'!F4842+"$F;@!(_J"</f>
        <v>#VALUE!</v>
      </c>
      <c r="N175" t="e">
        <f>'All regions'!G4842+"$F;@!(_K"</f>
        <v>#VALUE!</v>
      </c>
      <c r="O175" t="e">
        <f>'All regions'!H4842+"$F;@!(_L"</f>
        <v>#VALUE!</v>
      </c>
      <c r="P175" t="e">
        <f>'All regions'!I4842+"$F;@!(_M"</f>
        <v>#VALUE!</v>
      </c>
      <c r="Q175" t="e">
        <f>'All regions'!A4843+"$F;@!(_N"</f>
        <v>#VALUE!</v>
      </c>
      <c r="R175" t="e">
        <f>'All regions'!B4843+"$F;@!(_O"</f>
        <v>#VALUE!</v>
      </c>
      <c r="S175" t="e">
        <f>'All regions'!C4843+"$F;@!(_P"</f>
        <v>#VALUE!</v>
      </c>
      <c r="T175" t="e">
        <f>'All regions'!D4843+"$F;@!(_Q"</f>
        <v>#VALUE!</v>
      </c>
      <c r="U175" t="e">
        <f>'All regions'!E4843+"$F;@!(_R"</f>
        <v>#VALUE!</v>
      </c>
      <c r="V175" t="e">
        <f>'All regions'!F4843+"$F;@!(_S"</f>
        <v>#VALUE!</v>
      </c>
      <c r="W175" t="e">
        <f>'All regions'!G4843+"$F;@!(_T"</f>
        <v>#VALUE!</v>
      </c>
      <c r="X175" t="e">
        <f>'All regions'!H4843+"$F;@!(_U"</f>
        <v>#VALUE!</v>
      </c>
      <c r="Y175" t="e">
        <f>'All regions'!I4843+"$F;@!(_V"</f>
        <v>#VALUE!</v>
      </c>
      <c r="Z175" t="e">
        <f>'All regions'!A4844+"$F;@!(_W"</f>
        <v>#VALUE!</v>
      </c>
      <c r="AA175" t="e">
        <f>'All regions'!B4844+"$F;@!(_X"</f>
        <v>#VALUE!</v>
      </c>
      <c r="AB175" t="e">
        <f>'All regions'!C4844+"$F;@!(_Y"</f>
        <v>#VALUE!</v>
      </c>
      <c r="AC175" t="e">
        <f>'All regions'!D4844+"$F;@!(_Z"</f>
        <v>#VALUE!</v>
      </c>
      <c r="AD175" t="e">
        <f>'All regions'!E4844+"$F;@!(_["</f>
        <v>#VALUE!</v>
      </c>
      <c r="AE175" t="e">
        <f>'All regions'!F4844+"$F;@!(_\"</f>
        <v>#VALUE!</v>
      </c>
      <c r="AF175" t="e">
        <f>'All regions'!G4844+"$F;@!(_]"</f>
        <v>#VALUE!</v>
      </c>
      <c r="AG175" t="e">
        <f>'All regions'!H4844+"$F;@!(_^"</f>
        <v>#VALUE!</v>
      </c>
      <c r="AH175" t="e">
        <f>'All regions'!I4844+"$F;@!(__"</f>
        <v>#VALUE!</v>
      </c>
      <c r="AI175" t="e">
        <f>'All regions'!A4845+"$F;@!(_`"</f>
        <v>#VALUE!</v>
      </c>
      <c r="AJ175" t="e">
        <f>'All regions'!B4845+"$F;@!(_a"</f>
        <v>#VALUE!</v>
      </c>
      <c r="AK175" t="e">
        <f>'All regions'!C4845+"$F;@!(_b"</f>
        <v>#VALUE!</v>
      </c>
      <c r="AL175" t="e">
        <f>'All regions'!D4845+"$F;@!(_c"</f>
        <v>#VALUE!</v>
      </c>
      <c r="AM175" t="e">
        <f>'All regions'!E4845+"$F;@!(_d"</f>
        <v>#VALUE!</v>
      </c>
      <c r="AN175" t="e">
        <f>'All regions'!F4845+"$F;@!(_e"</f>
        <v>#VALUE!</v>
      </c>
      <c r="AO175" t="e">
        <f>'All regions'!G4845+"$F;@!(_f"</f>
        <v>#VALUE!</v>
      </c>
      <c r="AP175" t="e">
        <f>'All regions'!H4845+"$F;@!(_g"</f>
        <v>#VALUE!</v>
      </c>
      <c r="AQ175" t="e">
        <f>'All regions'!I4845+"$F;@!(_h"</f>
        <v>#VALUE!</v>
      </c>
      <c r="AR175" t="e">
        <f>'All regions'!A4846+"$F;@!(_i"</f>
        <v>#VALUE!</v>
      </c>
      <c r="AS175" t="e">
        <f>'All regions'!B4846+"$F;@!(_j"</f>
        <v>#VALUE!</v>
      </c>
      <c r="AT175" t="e">
        <f>'All regions'!C4846+"$F;@!(_k"</f>
        <v>#VALUE!</v>
      </c>
      <c r="AU175" t="e">
        <f>'All regions'!D4846+"$F;@!(_l"</f>
        <v>#VALUE!</v>
      </c>
      <c r="AV175" t="e">
        <f>'All regions'!E4846+"$F;@!(_m"</f>
        <v>#VALUE!</v>
      </c>
      <c r="AW175" t="e">
        <f>'All regions'!F4846+"$F;@!(_n"</f>
        <v>#VALUE!</v>
      </c>
      <c r="AX175" t="e">
        <f>'All regions'!G4846+"$F;@!(_o"</f>
        <v>#VALUE!</v>
      </c>
      <c r="AY175" t="e">
        <f>'All regions'!H4846+"$F;@!(_p"</f>
        <v>#VALUE!</v>
      </c>
      <c r="AZ175" t="e">
        <f>'All regions'!I4846+"$F;@!(_q"</f>
        <v>#VALUE!</v>
      </c>
      <c r="BA175" t="e">
        <f>'All regions'!A4847+"$F;@!(_r"</f>
        <v>#VALUE!</v>
      </c>
      <c r="BB175" t="e">
        <f>'All regions'!B4847+"$F;@!(_s"</f>
        <v>#VALUE!</v>
      </c>
      <c r="BC175" t="e">
        <f>'All regions'!C4847+"$F;@!(_t"</f>
        <v>#VALUE!</v>
      </c>
      <c r="BD175" t="e">
        <f>'All regions'!D4847+"$F;@!(_u"</f>
        <v>#VALUE!</v>
      </c>
      <c r="BE175" t="e">
        <f>'All regions'!E4847+"$F;@!(_v"</f>
        <v>#VALUE!</v>
      </c>
      <c r="BF175" t="e">
        <f>'All regions'!F4847+"$F;@!(_w"</f>
        <v>#VALUE!</v>
      </c>
      <c r="BG175" t="e">
        <f>'All regions'!G4847+"$F;@!(_x"</f>
        <v>#VALUE!</v>
      </c>
      <c r="BH175" t="e">
        <f>'All regions'!H4847+"$F;@!(_y"</f>
        <v>#VALUE!</v>
      </c>
      <c r="BI175" t="e">
        <f>'All regions'!I4847+"$F;@!(_z"</f>
        <v>#VALUE!</v>
      </c>
      <c r="BJ175" t="e">
        <f>'All regions'!A4848+"$F;@!(_{"</f>
        <v>#VALUE!</v>
      </c>
      <c r="BK175" t="e">
        <f>'All regions'!B4848+"$F;@!(_|"</f>
        <v>#VALUE!</v>
      </c>
      <c r="BL175" t="e">
        <f>'All regions'!C4848+"$F;@!(_}"</f>
        <v>#VALUE!</v>
      </c>
      <c r="BM175" t="e">
        <f>'All regions'!D4848+"$F;@!(_~"</f>
        <v>#VALUE!</v>
      </c>
      <c r="BN175" t="e">
        <f>'All regions'!E4848+"$F;@!(`#"</f>
        <v>#VALUE!</v>
      </c>
      <c r="BO175" t="e">
        <f>'All regions'!F4848+"$F;@!(`$"</f>
        <v>#VALUE!</v>
      </c>
      <c r="BP175" t="e">
        <f>'All regions'!G4848+"$F;@!(`%"</f>
        <v>#VALUE!</v>
      </c>
      <c r="BQ175" t="e">
        <f>'All regions'!H4848+"$F;@!(`&amp;"</f>
        <v>#VALUE!</v>
      </c>
      <c r="BR175" t="e">
        <f>'All regions'!I4848+"$F;@!(`'"</f>
        <v>#VALUE!</v>
      </c>
      <c r="BS175" t="e">
        <f>'All regions'!A4849+"$F;@!(`("</f>
        <v>#VALUE!</v>
      </c>
      <c r="BT175" t="e">
        <f>'All regions'!B4849+"$F;@!(`)"</f>
        <v>#VALUE!</v>
      </c>
      <c r="BU175" t="e">
        <f>'All regions'!C4849+"$F;@!(`."</f>
        <v>#VALUE!</v>
      </c>
      <c r="BV175" t="e">
        <f>'All regions'!D4849+"$F;@!(`/"</f>
        <v>#VALUE!</v>
      </c>
      <c r="BW175" t="e">
        <f>'All regions'!E4849+"$F;@!(`0"</f>
        <v>#VALUE!</v>
      </c>
      <c r="BX175" t="e">
        <f>'All regions'!F4849+"$F;@!(`1"</f>
        <v>#VALUE!</v>
      </c>
      <c r="BY175" t="e">
        <f>'All regions'!G4849+"$F;@!(`2"</f>
        <v>#VALUE!</v>
      </c>
      <c r="BZ175" t="e">
        <f>'All regions'!H4849+"$F;@!(`3"</f>
        <v>#VALUE!</v>
      </c>
      <c r="CA175" t="e">
        <f>'All regions'!I4849+"$F;@!(`4"</f>
        <v>#VALUE!</v>
      </c>
      <c r="CB175" t="e">
        <f>'All regions'!A4850+"$F;@!(`5"</f>
        <v>#VALUE!</v>
      </c>
      <c r="CC175" t="e">
        <f>'All regions'!B4850+"$F;@!(`6"</f>
        <v>#VALUE!</v>
      </c>
      <c r="CD175" t="e">
        <f>'All regions'!C4850+"$F;@!(`7"</f>
        <v>#VALUE!</v>
      </c>
      <c r="CE175" t="e">
        <f>'All regions'!D4850+"$F;@!(`8"</f>
        <v>#VALUE!</v>
      </c>
      <c r="CF175" t="e">
        <f>'All regions'!E4850+"$F;@!(`9"</f>
        <v>#VALUE!</v>
      </c>
      <c r="CG175" t="e">
        <f>'All regions'!F4850+"$F;@!(`:"</f>
        <v>#VALUE!</v>
      </c>
      <c r="CH175" t="e">
        <f>'All regions'!G4850+"$F;@!(`;"</f>
        <v>#VALUE!</v>
      </c>
      <c r="CI175" t="e">
        <f>'All regions'!H4850+"$F;@!(`&lt;"</f>
        <v>#VALUE!</v>
      </c>
      <c r="CJ175" t="e">
        <f>'All regions'!I4850+"$F;@!(`="</f>
        <v>#VALUE!</v>
      </c>
      <c r="CK175" t="e">
        <f>'All regions'!A4851+"$F;@!(`&gt;"</f>
        <v>#VALUE!</v>
      </c>
      <c r="CL175" t="e">
        <f>'All regions'!B4851+"$F;@!(`?"</f>
        <v>#VALUE!</v>
      </c>
      <c r="CM175" t="e">
        <f>'All regions'!C4851+"$F;@!(`@"</f>
        <v>#VALUE!</v>
      </c>
      <c r="CN175" t="e">
        <f>'All regions'!D4851+"$F;@!(`A"</f>
        <v>#VALUE!</v>
      </c>
      <c r="CO175" t="e">
        <f>'All regions'!E4851+"$F;@!(`B"</f>
        <v>#VALUE!</v>
      </c>
      <c r="CP175" t="e">
        <f>'All regions'!F4851+"$F;@!(`C"</f>
        <v>#VALUE!</v>
      </c>
      <c r="CQ175" t="e">
        <f>'All regions'!G4851+"$F;@!(`D"</f>
        <v>#VALUE!</v>
      </c>
      <c r="CR175" t="e">
        <f>'All regions'!H4851+"$F;@!(`E"</f>
        <v>#VALUE!</v>
      </c>
      <c r="CS175" t="e">
        <f>'All regions'!I4851+"$F;@!(`F"</f>
        <v>#VALUE!</v>
      </c>
      <c r="CT175" t="e">
        <f>'All regions'!A4852+"$F;@!(`G"</f>
        <v>#VALUE!</v>
      </c>
      <c r="CU175" t="e">
        <f>'All regions'!B4852+"$F;@!(`H"</f>
        <v>#VALUE!</v>
      </c>
      <c r="CV175" t="e">
        <f>'All regions'!C4852+"$F;@!(`I"</f>
        <v>#VALUE!</v>
      </c>
      <c r="CW175" t="e">
        <f>'All regions'!D4852+"$F;@!(`J"</f>
        <v>#VALUE!</v>
      </c>
      <c r="CX175" t="e">
        <f>'All regions'!E4852+"$F;@!(`K"</f>
        <v>#VALUE!</v>
      </c>
      <c r="CY175" t="e">
        <f>'All regions'!F4852+"$F;@!(`L"</f>
        <v>#VALUE!</v>
      </c>
      <c r="CZ175" t="e">
        <f>'All regions'!G4852+"$F;@!(`M"</f>
        <v>#VALUE!</v>
      </c>
      <c r="DA175" t="e">
        <f>'All regions'!H4852+"$F;@!(`N"</f>
        <v>#VALUE!</v>
      </c>
      <c r="DB175" t="e">
        <f>'All regions'!I4852+"$F;@!(`O"</f>
        <v>#VALUE!</v>
      </c>
      <c r="DC175" t="e">
        <f>'All regions'!A4853+"$F;@!(`P"</f>
        <v>#VALUE!</v>
      </c>
      <c r="DD175" t="e">
        <f>'All regions'!B4853+"$F;@!(`Q"</f>
        <v>#VALUE!</v>
      </c>
      <c r="DE175" t="e">
        <f>'All regions'!C4853+"$F;@!(`R"</f>
        <v>#VALUE!</v>
      </c>
      <c r="DF175" t="e">
        <f>'All regions'!D4853+"$F;@!(`S"</f>
        <v>#VALUE!</v>
      </c>
      <c r="DG175" t="e">
        <f>'All regions'!E4853+"$F;@!(`T"</f>
        <v>#VALUE!</v>
      </c>
      <c r="DH175" t="e">
        <f>'All regions'!F4853+"$F;@!(`U"</f>
        <v>#VALUE!</v>
      </c>
      <c r="DI175" t="e">
        <f>'All regions'!G4853+"$F;@!(`V"</f>
        <v>#VALUE!</v>
      </c>
      <c r="DJ175" t="e">
        <f>'All regions'!H4853+"$F;@!(`W"</f>
        <v>#VALUE!</v>
      </c>
      <c r="DK175" t="e">
        <f>'All regions'!I4853+"$F;@!(`X"</f>
        <v>#VALUE!</v>
      </c>
      <c r="DL175" t="e">
        <f>'All regions'!A4854+"$F;@!(`Y"</f>
        <v>#VALUE!</v>
      </c>
      <c r="DM175" t="e">
        <f>'All regions'!B4854+"$F;@!(`Z"</f>
        <v>#VALUE!</v>
      </c>
      <c r="DN175" t="e">
        <f>'All regions'!C4854+"$F;@!(`["</f>
        <v>#VALUE!</v>
      </c>
      <c r="DO175" t="e">
        <f>'All regions'!D4854+"$F;@!(`\"</f>
        <v>#VALUE!</v>
      </c>
      <c r="DP175" t="e">
        <f>'All regions'!E4854+"$F;@!(`]"</f>
        <v>#VALUE!</v>
      </c>
      <c r="DQ175" t="e">
        <f>'All regions'!F4854+"$F;@!(`^"</f>
        <v>#VALUE!</v>
      </c>
      <c r="DR175" t="e">
        <f>'All regions'!G4854+"$F;@!(`_"</f>
        <v>#VALUE!</v>
      </c>
      <c r="DS175" t="e">
        <f>'All regions'!H4854+"$F;@!(``"</f>
        <v>#VALUE!</v>
      </c>
      <c r="DT175" t="e">
        <f>'All regions'!I4854+"$F;@!(`a"</f>
        <v>#VALUE!</v>
      </c>
      <c r="DU175" t="e">
        <f>'All regions'!A4855+"$F;@!(`b"</f>
        <v>#VALUE!</v>
      </c>
      <c r="DV175" t="e">
        <f>'All regions'!B4855+"$F;@!(`c"</f>
        <v>#VALUE!</v>
      </c>
      <c r="DW175" t="e">
        <f>'All regions'!C4855+"$F;@!(`d"</f>
        <v>#VALUE!</v>
      </c>
      <c r="DX175" t="e">
        <f>'All regions'!D4855+"$F;@!(`e"</f>
        <v>#VALUE!</v>
      </c>
      <c r="DY175" t="e">
        <f>'All regions'!E4855+"$F;@!(`f"</f>
        <v>#VALUE!</v>
      </c>
      <c r="DZ175" t="e">
        <f>'All regions'!F4855+"$F;@!(`g"</f>
        <v>#VALUE!</v>
      </c>
      <c r="EA175" t="e">
        <f>'All regions'!G4855+"$F;@!(`h"</f>
        <v>#VALUE!</v>
      </c>
      <c r="EB175" t="e">
        <f>'All regions'!H4855+"$F;@!(`i"</f>
        <v>#VALUE!</v>
      </c>
      <c r="EC175" t="e">
        <f>'All regions'!I4855+"$F;@!(`j"</f>
        <v>#VALUE!</v>
      </c>
      <c r="ED175" t="e">
        <f>'All regions'!A4856+"$F;@!(`k"</f>
        <v>#VALUE!</v>
      </c>
      <c r="EE175" t="e">
        <f>'All regions'!B4856+"$F;@!(`l"</f>
        <v>#VALUE!</v>
      </c>
      <c r="EF175" t="e">
        <f>'All regions'!C4856+"$F;@!(`m"</f>
        <v>#VALUE!</v>
      </c>
      <c r="EG175" t="e">
        <f>'All regions'!D4856+"$F;@!(`n"</f>
        <v>#VALUE!</v>
      </c>
      <c r="EH175" t="e">
        <f>'All regions'!E4856+"$F;@!(`o"</f>
        <v>#VALUE!</v>
      </c>
      <c r="EI175" t="e">
        <f>'All regions'!F4856+"$F;@!(`p"</f>
        <v>#VALUE!</v>
      </c>
      <c r="EJ175" t="e">
        <f>'All regions'!G4856+"$F;@!(`q"</f>
        <v>#VALUE!</v>
      </c>
      <c r="EK175" t="e">
        <f>'All regions'!H4856+"$F;@!(`r"</f>
        <v>#VALUE!</v>
      </c>
      <c r="EL175" t="e">
        <f>'All regions'!I4856+"$F;@!(`s"</f>
        <v>#VALUE!</v>
      </c>
      <c r="EM175" t="e">
        <f>'All regions'!A4857+"$F;@!(`t"</f>
        <v>#VALUE!</v>
      </c>
      <c r="EN175" t="e">
        <f>'All regions'!B4857+"$F;@!(`u"</f>
        <v>#VALUE!</v>
      </c>
      <c r="EO175" t="e">
        <f>'All regions'!C4857+"$F;@!(`v"</f>
        <v>#VALUE!</v>
      </c>
      <c r="EP175" t="e">
        <f>'All regions'!D4857+"$F;@!(`w"</f>
        <v>#VALUE!</v>
      </c>
      <c r="EQ175" t="e">
        <f>'All regions'!E4857+"$F;@!(`x"</f>
        <v>#VALUE!</v>
      </c>
      <c r="ER175" t="e">
        <f>'All regions'!F4857+"$F;@!(`y"</f>
        <v>#VALUE!</v>
      </c>
      <c r="ES175" t="e">
        <f>'All regions'!G4857+"$F;@!(`z"</f>
        <v>#VALUE!</v>
      </c>
      <c r="ET175" t="e">
        <f>'All regions'!H4857+"$F;@!(`{"</f>
        <v>#VALUE!</v>
      </c>
      <c r="EU175" t="e">
        <f>'All regions'!I4857+"$F;@!(`|"</f>
        <v>#VALUE!</v>
      </c>
      <c r="EV175" t="e">
        <f>'All regions'!A4858+"$F;@!(`}"</f>
        <v>#VALUE!</v>
      </c>
      <c r="EW175" t="e">
        <f>'All regions'!B4858+"$F;@!(`~"</f>
        <v>#VALUE!</v>
      </c>
      <c r="EX175" t="e">
        <f>'All regions'!C4858+"$F;@!(a#"</f>
        <v>#VALUE!</v>
      </c>
      <c r="EY175" t="e">
        <f>'All regions'!D4858+"$F;@!(a$"</f>
        <v>#VALUE!</v>
      </c>
      <c r="EZ175" t="e">
        <f>'All regions'!E4858+"$F;@!(a%"</f>
        <v>#VALUE!</v>
      </c>
      <c r="FA175" t="e">
        <f>'All regions'!F4858+"$F;@!(a&amp;"</f>
        <v>#VALUE!</v>
      </c>
      <c r="FB175" t="e">
        <f>'All regions'!G4858+"$F;@!(a'"</f>
        <v>#VALUE!</v>
      </c>
      <c r="FC175" t="e">
        <f>'All regions'!H4858+"$F;@!(a("</f>
        <v>#VALUE!</v>
      </c>
      <c r="FD175" t="e">
        <f>'All regions'!I4858+"$F;@!(a)"</f>
        <v>#VALUE!</v>
      </c>
      <c r="FE175" t="e">
        <f>'All regions'!A4859+"$F;@!(a."</f>
        <v>#VALUE!</v>
      </c>
      <c r="FF175" t="e">
        <f>'All regions'!B4859+"$F;@!(a/"</f>
        <v>#VALUE!</v>
      </c>
      <c r="FG175" t="e">
        <f>'All regions'!C4859+"$F;@!(a0"</f>
        <v>#VALUE!</v>
      </c>
      <c r="FH175" t="e">
        <f>'All regions'!D4859+"$F;@!(a1"</f>
        <v>#VALUE!</v>
      </c>
      <c r="FI175" t="e">
        <f>'All regions'!E4859+"$F;@!(a2"</f>
        <v>#VALUE!</v>
      </c>
      <c r="FJ175" t="e">
        <f>'All regions'!F4859+"$F;@!(a3"</f>
        <v>#VALUE!</v>
      </c>
      <c r="FK175" t="e">
        <f>'All regions'!G4859+"$F;@!(a4"</f>
        <v>#VALUE!</v>
      </c>
      <c r="FL175" t="e">
        <f>'All regions'!H4859+"$F;@!(a5"</f>
        <v>#VALUE!</v>
      </c>
      <c r="FM175" t="e">
        <f>'All regions'!I4859+"$F;@!(a6"</f>
        <v>#VALUE!</v>
      </c>
      <c r="FN175" t="e">
        <f>'All regions'!A4860+"$F;@!(a7"</f>
        <v>#VALUE!</v>
      </c>
      <c r="FO175" t="e">
        <f>'All regions'!B4860+"$F;@!(a8"</f>
        <v>#VALUE!</v>
      </c>
      <c r="FP175" t="e">
        <f>'All regions'!C4860+"$F;@!(a9"</f>
        <v>#VALUE!</v>
      </c>
      <c r="FQ175" t="e">
        <f>'All regions'!D4860+"$F;@!(a:"</f>
        <v>#VALUE!</v>
      </c>
      <c r="FR175" t="e">
        <f>'All regions'!E4860+"$F;@!(a;"</f>
        <v>#VALUE!</v>
      </c>
      <c r="FS175" t="e">
        <f>'All regions'!F4860+"$F;@!(a&lt;"</f>
        <v>#VALUE!</v>
      </c>
      <c r="FT175" t="e">
        <f>'All regions'!G4860+"$F;@!(a="</f>
        <v>#VALUE!</v>
      </c>
      <c r="FU175" t="e">
        <f>'All regions'!H4860+"$F;@!(a&gt;"</f>
        <v>#VALUE!</v>
      </c>
      <c r="FV175" t="e">
        <f>'All regions'!I4860+"$F;@!(a?"</f>
        <v>#VALUE!</v>
      </c>
      <c r="FW175" t="e">
        <f>'All regions'!A4861+"$F;@!(a@"</f>
        <v>#VALUE!</v>
      </c>
      <c r="FX175" t="e">
        <f>'All regions'!B4861+"$F;@!(aA"</f>
        <v>#VALUE!</v>
      </c>
      <c r="FY175" t="e">
        <f>'All regions'!C4861+"$F;@!(aB"</f>
        <v>#VALUE!</v>
      </c>
      <c r="FZ175" t="e">
        <f>'All regions'!D4861+"$F;@!(aC"</f>
        <v>#VALUE!</v>
      </c>
      <c r="GA175" t="e">
        <f>'All regions'!E4861+"$F;@!(aD"</f>
        <v>#VALUE!</v>
      </c>
      <c r="GB175" t="e">
        <f>'All regions'!F4861+"$F;@!(aE"</f>
        <v>#VALUE!</v>
      </c>
      <c r="GC175" t="e">
        <f>'All regions'!G4861+"$F;@!(aF"</f>
        <v>#VALUE!</v>
      </c>
      <c r="GD175" t="e">
        <f>'All regions'!H4861+"$F;@!(aG"</f>
        <v>#VALUE!</v>
      </c>
      <c r="GE175" t="e">
        <f>'All regions'!I4861+"$F;@!(aH"</f>
        <v>#VALUE!</v>
      </c>
      <c r="GF175" t="e">
        <f>'All regions'!A4862+"$F;@!(aI"</f>
        <v>#VALUE!</v>
      </c>
      <c r="GG175" t="e">
        <f>'All regions'!B4862+"$F;@!(aJ"</f>
        <v>#VALUE!</v>
      </c>
      <c r="GH175" t="e">
        <f>'All regions'!C4862+"$F;@!(aK"</f>
        <v>#VALUE!</v>
      </c>
      <c r="GI175" t="e">
        <f>'All regions'!D4862+"$F;@!(aL"</f>
        <v>#VALUE!</v>
      </c>
      <c r="GJ175" t="e">
        <f>'All regions'!E4862+"$F;@!(aM"</f>
        <v>#VALUE!</v>
      </c>
      <c r="GK175" t="e">
        <f>'All regions'!F4862+"$F;@!(aN"</f>
        <v>#VALUE!</v>
      </c>
      <c r="GL175" t="e">
        <f>'All regions'!G4862+"$F;@!(aO"</f>
        <v>#VALUE!</v>
      </c>
      <c r="GM175" t="e">
        <f>'All regions'!H4862+"$F;@!(aP"</f>
        <v>#VALUE!</v>
      </c>
      <c r="GN175" t="e">
        <f>'All regions'!I4862+"$F;@!(aQ"</f>
        <v>#VALUE!</v>
      </c>
      <c r="GO175" t="e">
        <f>'All regions'!A4863+"$F;@!(aR"</f>
        <v>#VALUE!</v>
      </c>
      <c r="GP175" t="e">
        <f>'All regions'!B4863+"$F;@!(aS"</f>
        <v>#VALUE!</v>
      </c>
      <c r="GQ175" t="e">
        <f>'All regions'!C4863+"$F;@!(aT"</f>
        <v>#VALUE!</v>
      </c>
      <c r="GR175" t="e">
        <f>'All regions'!D4863+"$F;@!(aU"</f>
        <v>#VALUE!</v>
      </c>
      <c r="GS175" t="e">
        <f>'All regions'!E4863+"$F;@!(aV"</f>
        <v>#VALUE!</v>
      </c>
      <c r="GT175" t="e">
        <f>'All regions'!F4863+"$F;@!(aW"</f>
        <v>#VALUE!</v>
      </c>
      <c r="GU175" t="e">
        <f>'All regions'!G4863+"$F;@!(aX"</f>
        <v>#VALUE!</v>
      </c>
      <c r="GV175" t="e">
        <f>'All regions'!H4863+"$F;@!(aY"</f>
        <v>#VALUE!</v>
      </c>
      <c r="GW175" t="e">
        <f>'All regions'!I4863+"$F;@!(aZ"</f>
        <v>#VALUE!</v>
      </c>
      <c r="GX175" t="e">
        <f>'All regions'!A4864+"$F;@!(a["</f>
        <v>#VALUE!</v>
      </c>
      <c r="GY175" t="e">
        <f>'All regions'!B4864+"$F;@!(a\"</f>
        <v>#VALUE!</v>
      </c>
      <c r="GZ175" t="e">
        <f>'All regions'!C4864+"$F;@!(a]"</f>
        <v>#VALUE!</v>
      </c>
      <c r="HA175" t="e">
        <f>'All regions'!D4864+"$F;@!(a^"</f>
        <v>#VALUE!</v>
      </c>
      <c r="HB175" t="e">
        <f>'All regions'!E4864+"$F;@!(a_"</f>
        <v>#VALUE!</v>
      </c>
      <c r="HC175" t="e">
        <f>'All regions'!F4864+"$F;@!(a`"</f>
        <v>#VALUE!</v>
      </c>
      <c r="HD175" t="e">
        <f>'All regions'!G4864+"$F;@!(aa"</f>
        <v>#VALUE!</v>
      </c>
      <c r="HE175" t="e">
        <f>'All regions'!H4864+"$F;@!(ab"</f>
        <v>#VALUE!</v>
      </c>
      <c r="HF175" t="e">
        <f>'All regions'!I4864+"$F;@!(ac"</f>
        <v>#VALUE!</v>
      </c>
      <c r="HG175" t="e">
        <f>'All regions'!A4865+"$F;@!(ad"</f>
        <v>#VALUE!</v>
      </c>
      <c r="HH175" t="e">
        <f>'All regions'!B4865+"$F;@!(ae"</f>
        <v>#VALUE!</v>
      </c>
      <c r="HI175" t="e">
        <f>'All regions'!C4865+"$F;@!(af"</f>
        <v>#VALUE!</v>
      </c>
      <c r="HJ175" t="e">
        <f>'All regions'!D4865+"$F;@!(ag"</f>
        <v>#VALUE!</v>
      </c>
      <c r="HK175" t="e">
        <f>'All regions'!E4865+"$F;@!(ah"</f>
        <v>#VALUE!</v>
      </c>
      <c r="HL175" t="e">
        <f>'All regions'!F4865+"$F;@!(ai"</f>
        <v>#VALUE!</v>
      </c>
      <c r="HM175" t="e">
        <f>'All regions'!G4865+"$F;@!(aj"</f>
        <v>#VALUE!</v>
      </c>
      <c r="HN175" t="e">
        <f>'All regions'!H4865+"$F;@!(ak"</f>
        <v>#VALUE!</v>
      </c>
      <c r="HO175" t="e">
        <f>'All regions'!I4865+"$F;@!(al"</f>
        <v>#VALUE!</v>
      </c>
      <c r="HP175" t="e">
        <f>'All regions'!A4866+"$F;@!(am"</f>
        <v>#VALUE!</v>
      </c>
      <c r="HQ175" t="e">
        <f>'All regions'!B4866+"$F;@!(an"</f>
        <v>#VALUE!</v>
      </c>
      <c r="HR175" t="e">
        <f>'All regions'!C4866+"$F;@!(ao"</f>
        <v>#VALUE!</v>
      </c>
      <c r="HS175" t="e">
        <f>'All regions'!D4866+"$F;@!(ap"</f>
        <v>#VALUE!</v>
      </c>
      <c r="HT175" t="e">
        <f>'All regions'!E4866+"$F;@!(aq"</f>
        <v>#VALUE!</v>
      </c>
      <c r="HU175" t="e">
        <f>'All regions'!F4866+"$F;@!(ar"</f>
        <v>#VALUE!</v>
      </c>
      <c r="HV175" t="e">
        <f>'All regions'!G4866+"$F;@!(as"</f>
        <v>#VALUE!</v>
      </c>
      <c r="HW175" t="e">
        <f>'All regions'!H4866+"$F;@!(at"</f>
        <v>#VALUE!</v>
      </c>
      <c r="HX175" t="e">
        <f>'All regions'!I4866+"$F;@!(au"</f>
        <v>#VALUE!</v>
      </c>
      <c r="HY175" t="e">
        <f>'All regions'!A4867+"$F;@!(av"</f>
        <v>#VALUE!</v>
      </c>
      <c r="HZ175" t="e">
        <f>'All regions'!B4867+"$F;@!(aw"</f>
        <v>#VALUE!</v>
      </c>
      <c r="IA175" t="e">
        <f>'All regions'!C4867+"$F;@!(ax"</f>
        <v>#VALUE!</v>
      </c>
      <c r="IB175" t="e">
        <f>'All regions'!D4867+"$F;@!(ay"</f>
        <v>#VALUE!</v>
      </c>
      <c r="IC175" t="e">
        <f>'All regions'!E4867+"$F;@!(az"</f>
        <v>#VALUE!</v>
      </c>
      <c r="ID175" t="e">
        <f>'All regions'!F4867+"$F;@!(a{"</f>
        <v>#VALUE!</v>
      </c>
      <c r="IE175" t="e">
        <f>'All regions'!G4867+"$F;@!(a|"</f>
        <v>#VALUE!</v>
      </c>
      <c r="IF175" t="e">
        <f>'All regions'!H4867+"$F;@!(a}"</f>
        <v>#VALUE!</v>
      </c>
      <c r="IG175" t="e">
        <f>'All regions'!I4867+"$F;@!(a~"</f>
        <v>#VALUE!</v>
      </c>
      <c r="IH175" t="e">
        <f>'All regions'!A4868+"$F;@!(b#"</f>
        <v>#VALUE!</v>
      </c>
      <c r="II175" t="e">
        <f>'All regions'!B4868+"$F;@!(b$"</f>
        <v>#VALUE!</v>
      </c>
      <c r="IJ175" t="e">
        <f>'All regions'!C4868+"$F;@!(b%"</f>
        <v>#VALUE!</v>
      </c>
      <c r="IK175" t="e">
        <f>'All regions'!D4868+"$F;@!(b&amp;"</f>
        <v>#VALUE!</v>
      </c>
      <c r="IL175" t="e">
        <f>'All regions'!E4868+"$F;@!(b'"</f>
        <v>#VALUE!</v>
      </c>
      <c r="IM175" t="e">
        <f>'All regions'!F4868+"$F;@!(b("</f>
        <v>#VALUE!</v>
      </c>
      <c r="IN175" t="e">
        <f>'All regions'!G4868+"$F;@!(b)"</f>
        <v>#VALUE!</v>
      </c>
      <c r="IO175" t="e">
        <f>'All regions'!H4868+"$F;@!(b."</f>
        <v>#VALUE!</v>
      </c>
      <c r="IP175" t="e">
        <f>'All regions'!I4868+"$F;@!(b/"</f>
        <v>#VALUE!</v>
      </c>
      <c r="IQ175" t="e">
        <f>'All regions'!A4869+"$F;@!(b0"</f>
        <v>#VALUE!</v>
      </c>
      <c r="IR175" t="e">
        <f>'All regions'!B4869+"$F;@!(b1"</f>
        <v>#VALUE!</v>
      </c>
      <c r="IS175" t="e">
        <f>'All regions'!C4869+"$F;@!(b2"</f>
        <v>#VALUE!</v>
      </c>
      <c r="IT175" t="e">
        <f>'All regions'!D4869+"$F;@!(b3"</f>
        <v>#VALUE!</v>
      </c>
      <c r="IU175" t="e">
        <f>'All regions'!E4869+"$F;@!(b4"</f>
        <v>#VALUE!</v>
      </c>
      <c r="IV175" t="e">
        <f>'All regions'!F4869+"$F;@!(b5"</f>
        <v>#VALUE!</v>
      </c>
    </row>
    <row r="176" spans="6:256" x14ac:dyDescent="0.35">
      <c r="F176" t="e">
        <f>'All regions'!G4869+"$F;@!(b6"</f>
        <v>#VALUE!</v>
      </c>
      <c r="G176" t="e">
        <f>'All regions'!H4869+"$F;@!(b7"</f>
        <v>#VALUE!</v>
      </c>
      <c r="H176" t="e">
        <f>'All regions'!I4869+"$F;@!(b8"</f>
        <v>#VALUE!</v>
      </c>
      <c r="I176" t="e">
        <f>'All regions'!A4870+"$F;@!(b9"</f>
        <v>#VALUE!</v>
      </c>
      <c r="J176" t="e">
        <f>'All regions'!B4870+"$F;@!(b:"</f>
        <v>#VALUE!</v>
      </c>
      <c r="K176" t="e">
        <f>'All regions'!C4870+"$F;@!(b;"</f>
        <v>#VALUE!</v>
      </c>
      <c r="L176" t="e">
        <f>'All regions'!D4870+"$F;@!(b&lt;"</f>
        <v>#VALUE!</v>
      </c>
      <c r="M176" t="e">
        <f>'All regions'!E4870+"$F;@!(b="</f>
        <v>#VALUE!</v>
      </c>
      <c r="N176" t="e">
        <f>'All regions'!F4870+"$F;@!(b&gt;"</f>
        <v>#VALUE!</v>
      </c>
      <c r="O176" t="e">
        <f>'All regions'!G4870+"$F;@!(b?"</f>
        <v>#VALUE!</v>
      </c>
      <c r="P176" t="e">
        <f>'All regions'!H4870+"$F;@!(b@"</f>
        <v>#VALUE!</v>
      </c>
      <c r="Q176" t="e">
        <f>'All regions'!I4870+"$F;@!(bA"</f>
        <v>#VALUE!</v>
      </c>
      <c r="R176" t="e">
        <f>'All regions'!A4871+"$F;@!(bB"</f>
        <v>#VALUE!</v>
      </c>
      <c r="S176" t="e">
        <f>'All regions'!B4871+"$F;@!(bC"</f>
        <v>#VALUE!</v>
      </c>
      <c r="T176" t="e">
        <f>'All regions'!C4871+"$F;@!(bD"</f>
        <v>#VALUE!</v>
      </c>
      <c r="U176" t="e">
        <f>'All regions'!D4871+"$F;@!(bE"</f>
        <v>#VALUE!</v>
      </c>
      <c r="V176" t="e">
        <f>'All regions'!E4871+"$F;@!(bF"</f>
        <v>#VALUE!</v>
      </c>
      <c r="W176" t="e">
        <f>'All regions'!F4871+"$F;@!(bG"</f>
        <v>#VALUE!</v>
      </c>
      <c r="X176" t="e">
        <f>'All regions'!G4871+"$F;@!(bH"</f>
        <v>#VALUE!</v>
      </c>
      <c r="Y176" t="e">
        <f>'All regions'!H4871+"$F;@!(bI"</f>
        <v>#VALUE!</v>
      </c>
      <c r="Z176" t="e">
        <f>'All regions'!I4871+"$F;@!(bJ"</f>
        <v>#VALUE!</v>
      </c>
      <c r="AA176" t="e">
        <f>'All regions'!A4872+"$F;@!(bK"</f>
        <v>#VALUE!</v>
      </c>
      <c r="AB176" t="e">
        <f>'All regions'!B4872+"$F;@!(bL"</f>
        <v>#VALUE!</v>
      </c>
      <c r="AC176" t="e">
        <f>'All regions'!C4872+"$F;@!(bM"</f>
        <v>#VALUE!</v>
      </c>
      <c r="AD176" t="e">
        <f>'All regions'!D4872+"$F;@!(bN"</f>
        <v>#VALUE!</v>
      </c>
      <c r="AE176" t="e">
        <f>'All regions'!E4872+"$F;@!(bO"</f>
        <v>#VALUE!</v>
      </c>
      <c r="AF176" t="e">
        <f>'All regions'!F4872+"$F;@!(bP"</f>
        <v>#VALUE!</v>
      </c>
      <c r="AG176" t="e">
        <f>'All regions'!G4872+"$F;@!(bQ"</f>
        <v>#VALUE!</v>
      </c>
      <c r="AH176" t="e">
        <f>'All regions'!H4872+"$F;@!(bR"</f>
        <v>#VALUE!</v>
      </c>
      <c r="AI176" t="e">
        <f>'All regions'!I4872+"$F;@!(bS"</f>
        <v>#VALUE!</v>
      </c>
      <c r="AJ176" t="e">
        <f>'All regions'!A4873+"$F;@!(bT"</f>
        <v>#VALUE!</v>
      </c>
      <c r="AK176" t="e">
        <f>'All regions'!B4873+"$F;@!(bU"</f>
        <v>#VALUE!</v>
      </c>
      <c r="AL176" t="e">
        <f>'All regions'!C4873+"$F;@!(bV"</f>
        <v>#VALUE!</v>
      </c>
      <c r="AM176" t="e">
        <f>'All regions'!D4873+"$F;@!(bW"</f>
        <v>#VALUE!</v>
      </c>
      <c r="AN176" t="e">
        <f>'All regions'!E4873+"$F;@!(bX"</f>
        <v>#VALUE!</v>
      </c>
      <c r="AO176" t="e">
        <f>'All regions'!F4873+"$F;@!(bY"</f>
        <v>#VALUE!</v>
      </c>
      <c r="AP176" t="e">
        <f>'All regions'!G4873+"$F;@!(bZ"</f>
        <v>#VALUE!</v>
      </c>
      <c r="AQ176" t="e">
        <f>'All regions'!H4873+"$F;@!(b["</f>
        <v>#VALUE!</v>
      </c>
      <c r="AR176" t="e">
        <f>'All regions'!I4873+"$F;@!(b\"</f>
        <v>#VALUE!</v>
      </c>
      <c r="AS176" t="e">
        <f>'All regions'!A4874+"$F;@!(b]"</f>
        <v>#VALUE!</v>
      </c>
      <c r="AT176" t="e">
        <f>'All regions'!B4874+"$F;@!(b^"</f>
        <v>#VALUE!</v>
      </c>
      <c r="AU176" t="e">
        <f>'All regions'!C4874+"$F;@!(b_"</f>
        <v>#VALUE!</v>
      </c>
      <c r="AV176" t="e">
        <f>'All regions'!D4874+"$F;@!(b`"</f>
        <v>#VALUE!</v>
      </c>
      <c r="AW176" t="e">
        <f>'All regions'!E4874+"$F;@!(ba"</f>
        <v>#VALUE!</v>
      </c>
      <c r="AX176" t="e">
        <f>'All regions'!F4874+"$F;@!(bb"</f>
        <v>#VALUE!</v>
      </c>
      <c r="AY176" t="e">
        <f>'All regions'!G4874+"$F;@!(bc"</f>
        <v>#VALUE!</v>
      </c>
      <c r="AZ176" t="e">
        <f>'All regions'!H4874+"$F;@!(bd"</f>
        <v>#VALUE!</v>
      </c>
      <c r="BA176" t="e">
        <f>'All regions'!I4874+"$F;@!(be"</f>
        <v>#VALUE!</v>
      </c>
      <c r="BB176" t="e">
        <f>'All regions'!A4875+"$F;@!(bf"</f>
        <v>#VALUE!</v>
      </c>
      <c r="BC176" t="e">
        <f>'All regions'!B4875+"$F;@!(bg"</f>
        <v>#VALUE!</v>
      </c>
      <c r="BD176" t="e">
        <f>'All regions'!C4875+"$F;@!(bh"</f>
        <v>#VALUE!</v>
      </c>
      <c r="BE176" t="e">
        <f>'All regions'!D4875+"$F;@!(bi"</f>
        <v>#VALUE!</v>
      </c>
      <c r="BF176" t="e">
        <f>'All regions'!E4875+"$F;@!(bj"</f>
        <v>#VALUE!</v>
      </c>
      <c r="BG176" t="e">
        <f>'All regions'!F4875+"$F;@!(bk"</f>
        <v>#VALUE!</v>
      </c>
      <c r="BH176" t="e">
        <f>'All regions'!G4875+"$F;@!(bl"</f>
        <v>#VALUE!</v>
      </c>
      <c r="BI176" t="e">
        <f>'All regions'!H4875+"$F;@!(bm"</f>
        <v>#VALUE!</v>
      </c>
      <c r="BJ176" t="e">
        <f>'All regions'!I4875+"$F;@!(bn"</f>
        <v>#VALUE!</v>
      </c>
      <c r="BK176" t="e">
        <f>'All regions'!A4876+"$F;@!(bo"</f>
        <v>#VALUE!</v>
      </c>
      <c r="BL176" t="e">
        <f>'All regions'!B4876+"$F;@!(bp"</f>
        <v>#VALUE!</v>
      </c>
      <c r="BM176" t="e">
        <f>'All regions'!C4876+"$F;@!(bq"</f>
        <v>#VALUE!</v>
      </c>
      <c r="BN176" t="e">
        <f>'All regions'!D4876+"$F;@!(br"</f>
        <v>#VALUE!</v>
      </c>
      <c r="BO176" t="e">
        <f>'All regions'!E4876+"$F;@!(bs"</f>
        <v>#VALUE!</v>
      </c>
      <c r="BP176" t="e">
        <f>'All regions'!F4876+"$F;@!(bt"</f>
        <v>#VALUE!</v>
      </c>
      <c r="BQ176" t="e">
        <f>'All regions'!G4876+"$F;@!(bu"</f>
        <v>#VALUE!</v>
      </c>
      <c r="BR176" t="e">
        <f>'All regions'!H4876+"$F;@!(bv"</f>
        <v>#VALUE!</v>
      </c>
      <c r="BS176" t="e">
        <f>'All regions'!I4876+"$F;@!(bw"</f>
        <v>#VALUE!</v>
      </c>
      <c r="BT176" t="e">
        <f>'All regions'!A4877+"$F;@!(bx"</f>
        <v>#VALUE!</v>
      </c>
      <c r="BU176" t="e">
        <f>'All regions'!B4877+"$F;@!(by"</f>
        <v>#VALUE!</v>
      </c>
      <c r="BV176" t="e">
        <f>'All regions'!C4877+"$F;@!(bz"</f>
        <v>#VALUE!</v>
      </c>
      <c r="BW176" t="e">
        <f>'All regions'!D4877+"$F;@!(b{"</f>
        <v>#VALUE!</v>
      </c>
      <c r="BX176" t="e">
        <f>'All regions'!E4877+"$F;@!(b|"</f>
        <v>#VALUE!</v>
      </c>
      <c r="BY176" t="e">
        <f>'All regions'!F4877+"$F;@!(b}"</f>
        <v>#VALUE!</v>
      </c>
      <c r="BZ176" t="e">
        <f>'All regions'!G4877+"$F;@!(b~"</f>
        <v>#VALUE!</v>
      </c>
      <c r="CA176" t="e">
        <f>'All regions'!H4877+"$F;@!(c#"</f>
        <v>#VALUE!</v>
      </c>
      <c r="CB176" t="e">
        <f>'All regions'!I4877+"$F;@!(c$"</f>
        <v>#VALUE!</v>
      </c>
      <c r="CC176" t="e">
        <f>'All regions'!A4878+"$F;@!(c%"</f>
        <v>#VALUE!</v>
      </c>
      <c r="CD176" t="e">
        <f>'All regions'!B4878+"$F;@!(c&amp;"</f>
        <v>#VALUE!</v>
      </c>
      <c r="CE176" t="e">
        <f>'All regions'!C4878+"$F;@!(c'"</f>
        <v>#VALUE!</v>
      </c>
      <c r="CF176" t="e">
        <f>'All regions'!D4878+"$F;@!(c("</f>
        <v>#VALUE!</v>
      </c>
      <c r="CG176" t="e">
        <f>'All regions'!E4878+"$F;@!(c)"</f>
        <v>#VALUE!</v>
      </c>
      <c r="CH176" t="e">
        <f>'All regions'!F4878+"$F;@!(c."</f>
        <v>#VALUE!</v>
      </c>
      <c r="CI176" t="e">
        <f>'All regions'!G4878+"$F;@!(c/"</f>
        <v>#VALUE!</v>
      </c>
      <c r="CJ176" t="e">
        <f>'All regions'!H4878+"$F;@!(c0"</f>
        <v>#VALUE!</v>
      </c>
      <c r="CK176" t="e">
        <f>'All regions'!I4878+"$F;@!(c1"</f>
        <v>#VALUE!</v>
      </c>
      <c r="CL176" t="e">
        <f>'All regions'!A4879+"$F;@!(c2"</f>
        <v>#VALUE!</v>
      </c>
      <c r="CM176" t="e">
        <f>'All regions'!B4879+"$F;@!(c3"</f>
        <v>#VALUE!</v>
      </c>
      <c r="CN176" t="e">
        <f>'All regions'!C4879+"$F;@!(c4"</f>
        <v>#VALUE!</v>
      </c>
      <c r="CO176" t="e">
        <f>'All regions'!D4879+"$F;@!(c5"</f>
        <v>#VALUE!</v>
      </c>
      <c r="CP176" t="e">
        <f>'All regions'!E4879+"$F;@!(c6"</f>
        <v>#VALUE!</v>
      </c>
      <c r="CQ176" t="e">
        <f>'All regions'!F4879+"$F;@!(c7"</f>
        <v>#VALUE!</v>
      </c>
      <c r="CR176" t="e">
        <f>'All regions'!G4879+"$F;@!(c8"</f>
        <v>#VALUE!</v>
      </c>
      <c r="CS176" t="e">
        <f>'All regions'!H4879+"$F;@!(c9"</f>
        <v>#VALUE!</v>
      </c>
      <c r="CT176" t="e">
        <f>'All regions'!I4879+"$F;@!(c:"</f>
        <v>#VALUE!</v>
      </c>
      <c r="CU176" t="e">
        <f>'All regions'!A4880+"$F;@!(c;"</f>
        <v>#VALUE!</v>
      </c>
      <c r="CV176" t="e">
        <f>'All regions'!B4880+"$F;@!(c&lt;"</f>
        <v>#VALUE!</v>
      </c>
      <c r="CW176" t="e">
        <f>'All regions'!C4880+"$F;@!(c="</f>
        <v>#VALUE!</v>
      </c>
      <c r="CX176" t="e">
        <f>'All regions'!D4880+"$F;@!(c&gt;"</f>
        <v>#VALUE!</v>
      </c>
      <c r="CY176" t="e">
        <f>'All regions'!E4880+"$F;@!(c?"</f>
        <v>#VALUE!</v>
      </c>
      <c r="CZ176" t="e">
        <f>'All regions'!F4880+"$F;@!(c@"</f>
        <v>#VALUE!</v>
      </c>
      <c r="DA176" t="e">
        <f>'All regions'!G4880+"$F;@!(cA"</f>
        <v>#VALUE!</v>
      </c>
      <c r="DB176" t="e">
        <f>'All regions'!H4880+"$F;@!(cB"</f>
        <v>#VALUE!</v>
      </c>
      <c r="DC176" t="e">
        <f>'All regions'!I4880+"$F;@!(cC"</f>
        <v>#VALUE!</v>
      </c>
      <c r="DD176" t="e">
        <f>'All regions'!A4881+"$F;@!(cD"</f>
        <v>#VALUE!</v>
      </c>
      <c r="DE176" t="e">
        <f>'All regions'!B4881+"$F;@!(cE"</f>
        <v>#VALUE!</v>
      </c>
      <c r="DF176" t="e">
        <f>'All regions'!C4881+"$F;@!(cF"</f>
        <v>#VALUE!</v>
      </c>
      <c r="DG176" t="e">
        <f>'All regions'!D4881+"$F;@!(cG"</f>
        <v>#VALUE!</v>
      </c>
      <c r="DH176" t="e">
        <f>'All regions'!E4881+"$F;@!(cH"</f>
        <v>#VALUE!</v>
      </c>
      <c r="DI176" t="e">
        <f>'All regions'!F4881+"$F;@!(cI"</f>
        <v>#VALUE!</v>
      </c>
      <c r="DJ176" t="e">
        <f>'All regions'!G4881+"$F;@!(cJ"</f>
        <v>#VALUE!</v>
      </c>
      <c r="DK176" t="e">
        <f>'All regions'!H4881+"$F;@!(cK"</f>
        <v>#VALUE!</v>
      </c>
      <c r="DL176" t="e">
        <f>'All regions'!I4881+"$F;@!(cL"</f>
        <v>#VALUE!</v>
      </c>
      <c r="DM176" t="e">
        <f>'All regions'!A4882+"$F;@!(cM"</f>
        <v>#VALUE!</v>
      </c>
      <c r="DN176" t="e">
        <f>'All regions'!B4882+"$F;@!(cN"</f>
        <v>#VALUE!</v>
      </c>
      <c r="DO176" t="e">
        <f>'All regions'!C4882+"$F;@!(cO"</f>
        <v>#VALUE!</v>
      </c>
      <c r="DP176" t="e">
        <f>'All regions'!D4882+"$F;@!(cP"</f>
        <v>#VALUE!</v>
      </c>
      <c r="DQ176" t="e">
        <f>'All regions'!E4882+"$F;@!(cQ"</f>
        <v>#VALUE!</v>
      </c>
      <c r="DR176" t="e">
        <f>'All regions'!F4882+"$F;@!(cR"</f>
        <v>#VALUE!</v>
      </c>
      <c r="DS176" t="e">
        <f>'All regions'!G4882+"$F;@!(cS"</f>
        <v>#VALUE!</v>
      </c>
      <c r="DT176" t="e">
        <f>'All regions'!H4882+"$F;@!(cT"</f>
        <v>#VALUE!</v>
      </c>
      <c r="DU176" t="e">
        <f>'All regions'!I4882+"$F;@!(cU"</f>
        <v>#VALUE!</v>
      </c>
      <c r="DV176" t="e">
        <f>'All regions'!A4883+"$F;@!(cV"</f>
        <v>#VALUE!</v>
      </c>
      <c r="DW176" t="e">
        <f>'All regions'!B4883+"$F;@!(cW"</f>
        <v>#VALUE!</v>
      </c>
      <c r="DX176" t="e">
        <f>'All regions'!C4883+"$F;@!(cX"</f>
        <v>#VALUE!</v>
      </c>
      <c r="DY176" t="e">
        <f>'All regions'!D4883+"$F;@!(cY"</f>
        <v>#VALUE!</v>
      </c>
      <c r="DZ176" t="e">
        <f>'All regions'!E4883+"$F;@!(cZ"</f>
        <v>#VALUE!</v>
      </c>
      <c r="EA176" t="e">
        <f>'All regions'!F4883+"$F;@!(c["</f>
        <v>#VALUE!</v>
      </c>
      <c r="EB176" t="e">
        <f>'All regions'!G4883+"$F;@!(c\"</f>
        <v>#VALUE!</v>
      </c>
      <c r="EC176" t="e">
        <f>'All regions'!H4883+"$F;@!(c]"</f>
        <v>#VALUE!</v>
      </c>
      <c r="ED176" t="e">
        <f>'All regions'!I4883+"$F;@!(c^"</f>
        <v>#VALUE!</v>
      </c>
      <c r="EE176" t="e">
        <f>'All regions'!A4884+"$F;@!(c_"</f>
        <v>#VALUE!</v>
      </c>
      <c r="EF176" t="e">
        <f>'All regions'!B4884+"$F;@!(c`"</f>
        <v>#VALUE!</v>
      </c>
      <c r="EG176" t="e">
        <f>'All regions'!C4884+"$F;@!(ca"</f>
        <v>#VALUE!</v>
      </c>
      <c r="EH176" t="e">
        <f>'All regions'!D4884+"$F;@!(cb"</f>
        <v>#VALUE!</v>
      </c>
      <c r="EI176" t="e">
        <f>'All regions'!E4884+"$F;@!(cc"</f>
        <v>#VALUE!</v>
      </c>
      <c r="EJ176" t="e">
        <f>'All regions'!F4884+"$F;@!(cd"</f>
        <v>#VALUE!</v>
      </c>
      <c r="EK176" t="e">
        <f>'All regions'!G4884+"$F;@!(ce"</f>
        <v>#VALUE!</v>
      </c>
      <c r="EL176" t="e">
        <f>'All regions'!H4884+"$F;@!(cf"</f>
        <v>#VALUE!</v>
      </c>
      <c r="EM176" t="e">
        <f>'All regions'!I4884+"$F;@!(cg"</f>
        <v>#VALUE!</v>
      </c>
      <c r="EN176" t="e">
        <f>'All regions'!A4885+"$F;@!(ch"</f>
        <v>#VALUE!</v>
      </c>
      <c r="EO176" t="e">
        <f>'All regions'!B4885+"$F;@!(ci"</f>
        <v>#VALUE!</v>
      </c>
      <c r="EP176" t="e">
        <f>'All regions'!C4885+"$F;@!(cj"</f>
        <v>#VALUE!</v>
      </c>
      <c r="EQ176" t="e">
        <f>'All regions'!D4885+"$F;@!(ck"</f>
        <v>#VALUE!</v>
      </c>
      <c r="ER176" t="e">
        <f>'All regions'!E4885+"$F;@!(cl"</f>
        <v>#VALUE!</v>
      </c>
      <c r="ES176" t="e">
        <f>'All regions'!F4885+"$F;@!(cm"</f>
        <v>#VALUE!</v>
      </c>
      <c r="ET176" t="e">
        <f>'All regions'!G4885+"$F;@!(cn"</f>
        <v>#VALUE!</v>
      </c>
      <c r="EU176" t="e">
        <f>'All regions'!H4885+"$F;@!(co"</f>
        <v>#VALUE!</v>
      </c>
      <c r="EV176" t="e">
        <f>'All regions'!I4885+"$F;@!(cp"</f>
        <v>#VALUE!</v>
      </c>
      <c r="EW176" t="e">
        <f>'All regions'!A4886+"$F;@!(cq"</f>
        <v>#VALUE!</v>
      </c>
      <c r="EX176" t="e">
        <f>'All regions'!B4886+"$F;@!(cr"</f>
        <v>#VALUE!</v>
      </c>
      <c r="EY176" t="e">
        <f>'All regions'!C4886+"$F;@!(cs"</f>
        <v>#VALUE!</v>
      </c>
      <c r="EZ176" t="e">
        <f>'All regions'!D4886+"$F;@!(ct"</f>
        <v>#VALUE!</v>
      </c>
      <c r="FA176" t="e">
        <f>'All regions'!E4886+"$F;@!(cu"</f>
        <v>#VALUE!</v>
      </c>
      <c r="FB176" t="e">
        <f>'All regions'!F4886+"$F;@!(cv"</f>
        <v>#VALUE!</v>
      </c>
      <c r="FC176" t="e">
        <f>'All regions'!G4886+"$F;@!(cw"</f>
        <v>#VALUE!</v>
      </c>
      <c r="FD176" t="e">
        <f>'All regions'!H4886+"$F;@!(cx"</f>
        <v>#VALUE!</v>
      </c>
      <c r="FE176" t="e">
        <f>'All regions'!I4886+"$F;@!(cy"</f>
        <v>#VALUE!</v>
      </c>
      <c r="FF176" t="e">
        <f>'All regions'!A4887+"$F;@!(cz"</f>
        <v>#VALUE!</v>
      </c>
      <c r="FG176" t="e">
        <f>'All regions'!B4887+"$F;@!(c{"</f>
        <v>#VALUE!</v>
      </c>
      <c r="FH176" t="e">
        <f>'All regions'!C4887+"$F;@!(c|"</f>
        <v>#VALUE!</v>
      </c>
      <c r="FI176" t="e">
        <f>'All regions'!D4887+"$F;@!(c}"</f>
        <v>#VALUE!</v>
      </c>
      <c r="FJ176" t="e">
        <f>'All regions'!E4887+"$F;@!(c~"</f>
        <v>#VALUE!</v>
      </c>
      <c r="FK176" t="e">
        <f>'All regions'!F4887+"$F;@!(d#"</f>
        <v>#VALUE!</v>
      </c>
      <c r="FL176" t="e">
        <f>'All regions'!G4887+"$F;@!(d$"</f>
        <v>#VALUE!</v>
      </c>
      <c r="FM176" t="e">
        <f>'All regions'!H4887+"$F;@!(d%"</f>
        <v>#VALUE!</v>
      </c>
      <c r="FN176" t="e">
        <f>'All regions'!I4887+"$F;@!(d&amp;"</f>
        <v>#VALUE!</v>
      </c>
      <c r="FO176" t="e">
        <f>'All regions'!A4888+"$F;@!(d'"</f>
        <v>#VALUE!</v>
      </c>
      <c r="FP176" t="e">
        <f>'All regions'!B4888+"$F;@!(d("</f>
        <v>#VALUE!</v>
      </c>
      <c r="FQ176" t="e">
        <f>'All regions'!C4888+"$F;@!(d)"</f>
        <v>#VALUE!</v>
      </c>
      <c r="FR176" t="e">
        <f>'All regions'!D4888+"$F;@!(d."</f>
        <v>#VALUE!</v>
      </c>
      <c r="FS176" t="e">
        <f>'All regions'!E4888+"$F;@!(d/"</f>
        <v>#VALUE!</v>
      </c>
      <c r="FT176" t="e">
        <f>'All regions'!F4888+"$F;@!(d0"</f>
        <v>#VALUE!</v>
      </c>
      <c r="FU176" t="e">
        <f>'All regions'!G4888+"$F;@!(d1"</f>
        <v>#VALUE!</v>
      </c>
      <c r="FV176" t="e">
        <f>'All regions'!H4888+"$F;@!(d2"</f>
        <v>#VALUE!</v>
      </c>
      <c r="FW176" t="e">
        <f>'All regions'!I4888+"$F;@!(d3"</f>
        <v>#VALUE!</v>
      </c>
      <c r="FX176" t="e">
        <f>'All regions'!A4889+"$F;@!(d4"</f>
        <v>#VALUE!</v>
      </c>
      <c r="FY176" t="e">
        <f>'All regions'!B4889+"$F;@!(d5"</f>
        <v>#VALUE!</v>
      </c>
      <c r="FZ176" t="e">
        <f>'All regions'!C4889+"$F;@!(d6"</f>
        <v>#VALUE!</v>
      </c>
      <c r="GA176" t="e">
        <f>'All regions'!D4889+"$F;@!(d7"</f>
        <v>#VALUE!</v>
      </c>
      <c r="GB176" t="e">
        <f>'All regions'!E4889+"$F;@!(d8"</f>
        <v>#VALUE!</v>
      </c>
      <c r="GC176" t="e">
        <f>'All regions'!F4889+"$F;@!(d9"</f>
        <v>#VALUE!</v>
      </c>
      <c r="GD176" t="e">
        <f>'All regions'!G4889+"$F;@!(d:"</f>
        <v>#VALUE!</v>
      </c>
      <c r="GE176" t="e">
        <f>'All regions'!H4889+"$F;@!(d;"</f>
        <v>#VALUE!</v>
      </c>
      <c r="GF176" t="e">
        <f>'All regions'!I4889+"$F;@!(d&lt;"</f>
        <v>#VALUE!</v>
      </c>
      <c r="GG176" t="e">
        <f>'All regions'!A4890+"$F;@!(d="</f>
        <v>#VALUE!</v>
      </c>
      <c r="GH176" t="e">
        <f>'All regions'!B4890+"$F;@!(d&gt;"</f>
        <v>#VALUE!</v>
      </c>
      <c r="GI176" t="e">
        <f>'All regions'!C4890+"$F;@!(d?"</f>
        <v>#VALUE!</v>
      </c>
      <c r="GJ176" t="e">
        <f>'All regions'!D4890+"$F;@!(d@"</f>
        <v>#VALUE!</v>
      </c>
      <c r="GK176" t="e">
        <f>'All regions'!E4890+"$F;@!(dA"</f>
        <v>#VALUE!</v>
      </c>
      <c r="GL176" t="e">
        <f>'All regions'!F4890+"$F;@!(dB"</f>
        <v>#VALUE!</v>
      </c>
      <c r="GM176" t="e">
        <f>'All regions'!G4890+"$F;@!(dC"</f>
        <v>#VALUE!</v>
      </c>
      <c r="GN176" t="e">
        <f>'All regions'!H4890+"$F;@!(dD"</f>
        <v>#VALUE!</v>
      </c>
      <c r="GO176" t="e">
        <f>'All regions'!I4890+"$F;@!(dE"</f>
        <v>#VALUE!</v>
      </c>
      <c r="GP176" t="e">
        <f>'All regions'!A4891+"$F;@!(dF"</f>
        <v>#VALUE!</v>
      </c>
      <c r="GQ176" t="e">
        <f>'All regions'!B4891+"$F;@!(dG"</f>
        <v>#VALUE!</v>
      </c>
      <c r="GR176" t="e">
        <f>'All regions'!C4891+"$F;@!(dH"</f>
        <v>#VALUE!</v>
      </c>
      <c r="GS176" t="e">
        <f>'All regions'!D4891+"$F;@!(dI"</f>
        <v>#VALUE!</v>
      </c>
      <c r="GT176" t="e">
        <f>'All regions'!E4891+"$F;@!(dJ"</f>
        <v>#VALUE!</v>
      </c>
      <c r="GU176" t="e">
        <f>'All regions'!F4891+"$F;@!(dK"</f>
        <v>#VALUE!</v>
      </c>
      <c r="GV176" t="e">
        <f>'All regions'!G4891+"$F;@!(dL"</f>
        <v>#VALUE!</v>
      </c>
      <c r="GW176" t="e">
        <f>'All regions'!H4891+"$F;@!(dM"</f>
        <v>#VALUE!</v>
      </c>
      <c r="GX176" t="e">
        <f>'All regions'!I4891+"$F;@!(dN"</f>
        <v>#VALUE!</v>
      </c>
      <c r="GY176" t="e">
        <f>'All regions'!A4892+"$F;@!(dO"</f>
        <v>#VALUE!</v>
      </c>
      <c r="GZ176" t="e">
        <f>'All regions'!B4892+"$F;@!(dP"</f>
        <v>#VALUE!</v>
      </c>
      <c r="HA176" t="e">
        <f>'All regions'!C4892+"$F;@!(dQ"</f>
        <v>#VALUE!</v>
      </c>
      <c r="HB176" t="e">
        <f>'All regions'!D4892+"$F;@!(dR"</f>
        <v>#VALUE!</v>
      </c>
      <c r="HC176" t="e">
        <f>'All regions'!E4892+"$F;@!(dS"</f>
        <v>#VALUE!</v>
      </c>
      <c r="HD176" t="e">
        <f>'All regions'!F4892+"$F;@!(dT"</f>
        <v>#VALUE!</v>
      </c>
      <c r="HE176" t="e">
        <f>'All regions'!G4892+"$F;@!(dU"</f>
        <v>#VALUE!</v>
      </c>
      <c r="HF176" t="e">
        <f>'All regions'!H4892+"$F;@!(dV"</f>
        <v>#VALUE!</v>
      </c>
      <c r="HG176" t="e">
        <f>'All regions'!I4892+"$F;@!(dW"</f>
        <v>#VALUE!</v>
      </c>
      <c r="HH176" t="e">
        <f>'All regions'!A4893+"$F;@!(dX"</f>
        <v>#VALUE!</v>
      </c>
      <c r="HI176" t="e">
        <f>'All regions'!B4893+"$F;@!(dY"</f>
        <v>#VALUE!</v>
      </c>
      <c r="HJ176" t="e">
        <f>'All regions'!C4893+"$F;@!(dZ"</f>
        <v>#VALUE!</v>
      </c>
      <c r="HK176" t="e">
        <f>'All regions'!D4893+"$F;@!(d["</f>
        <v>#VALUE!</v>
      </c>
      <c r="HL176" t="e">
        <f>'All regions'!E4893+"$F;@!(d\"</f>
        <v>#VALUE!</v>
      </c>
      <c r="HM176" t="e">
        <f>'All regions'!F4893+"$F;@!(d]"</f>
        <v>#VALUE!</v>
      </c>
      <c r="HN176" t="e">
        <f>'All regions'!G4893+"$F;@!(d^"</f>
        <v>#VALUE!</v>
      </c>
      <c r="HO176" t="e">
        <f>'All regions'!H4893+"$F;@!(d_"</f>
        <v>#VALUE!</v>
      </c>
      <c r="HP176" t="e">
        <f>'All regions'!I4893+"$F;@!(d`"</f>
        <v>#VALUE!</v>
      </c>
      <c r="HQ176" t="e">
        <f>'All regions'!A4894+"$F;@!(da"</f>
        <v>#VALUE!</v>
      </c>
      <c r="HR176" t="e">
        <f>'All regions'!B4894+"$F;@!(db"</f>
        <v>#VALUE!</v>
      </c>
      <c r="HS176" t="e">
        <f>'All regions'!C4894+"$F;@!(dc"</f>
        <v>#VALUE!</v>
      </c>
      <c r="HT176" t="e">
        <f>'All regions'!D4894+"$F;@!(dd"</f>
        <v>#VALUE!</v>
      </c>
      <c r="HU176" t="e">
        <f>'All regions'!E4894+"$F;@!(de"</f>
        <v>#VALUE!</v>
      </c>
      <c r="HV176" t="e">
        <f>'All regions'!F4894+"$F;@!(df"</f>
        <v>#VALUE!</v>
      </c>
      <c r="HW176" t="e">
        <f>'All regions'!G4894+"$F;@!(dg"</f>
        <v>#VALUE!</v>
      </c>
      <c r="HX176" t="e">
        <f>'All regions'!H4894+"$F;@!(dh"</f>
        <v>#VALUE!</v>
      </c>
      <c r="HY176" t="e">
        <f>'All regions'!I4894+"$F;@!(di"</f>
        <v>#VALUE!</v>
      </c>
      <c r="HZ176" t="e">
        <f>'All regions'!A4895+"$F;@!(dj"</f>
        <v>#VALUE!</v>
      </c>
      <c r="IA176" t="e">
        <f>'All regions'!B4895+"$F;@!(dk"</f>
        <v>#VALUE!</v>
      </c>
      <c r="IB176" t="e">
        <f>'All regions'!C4895+"$F;@!(dl"</f>
        <v>#VALUE!</v>
      </c>
      <c r="IC176" t="e">
        <f>'All regions'!D4895+"$F;@!(dm"</f>
        <v>#VALUE!</v>
      </c>
      <c r="ID176" t="e">
        <f>'All regions'!E4895+"$F;@!(dn"</f>
        <v>#VALUE!</v>
      </c>
      <c r="IE176" t="e">
        <f>'All regions'!F4895+"$F;@!(do"</f>
        <v>#VALUE!</v>
      </c>
      <c r="IF176" t="e">
        <f>'All regions'!G4895+"$F;@!(dp"</f>
        <v>#VALUE!</v>
      </c>
      <c r="IG176" t="e">
        <f>'All regions'!H4895+"$F;@!(dq"</f>
        <v>#VALUE!</v>
      </c>
      <c r="IH176" t="e">
        <f>'All regions'!I4895+"$F;@!(dr"</f>
        <v>#VALUE!</v>
      </c>
      <c r="II176" t="e">
        <f>'All regions'!A4896+"$F;@!(ds"</f>
        <v>#VALUE!</v>
      </c>
      <c r="IJ176" t="e">
        <f>'All regions'!B4896+"$F;@!(dt"</f>
        <v>#VALUE!</v>
      </c>
      <c r="IK176" t="e">
        <f>'All regions'!C4896+"$F;@!(du"</f>
        <v>#VALUE!</v>
      </c>
      <c r="IL176" t="e">
        <f>'All regions'!D4896+"$F;@!(dv"</f>
        <v>#VALUE!</v>
      </c>
      <c r="IM176" t="e">
        <f>'All regions'!E4896+"$F;@!(dw"</f>
        <v>#VALUE!</v>
      </c>
      <c r="IN176" t="e">
        <f>'All regions'!F4896+"$F;@!(dx"</f>
        <v>#VALUE!</v>
      </c>
      <c r="IO176" t="e">
        <f>'All regions'!G4896+"$F;@!(dy"</f>
        <v>#VALUE!</v>
      </c>
      <c r="IP176" t="e">
        <f>'All regions'!H4896+"$F;@!(dz"</f>
        <v>#VALUE!</v>
      </c>
      <c r="IQ176" t="e">
        <f>'All regions'!I4896+"$F;@!(d{"</f>
        <v>#VALUE!</v>
      </c>
      <c r="IR176" t="e">
        <f>'All regions'!A4897+"$F;@!(d|"</f>
        <v>#VALUE!</v>
      </c>
      <c r="IS176" t="e">
        <f>'All regions'!B4897+"$F;@!(d}"</f>
        <v>#VALUE!</v>
      </c>
      <c r="IT176" t="e">
        <f>'All regions'!C4897+"$F;@!(d~"</f>
        <v>#VALUE!</v>
      </c>
      <c r="IU176" t="e">
        <f>'All regions'!D4897+"$F;@!(e#"</f>
        <v>#VALUE!</v>
      </c>
      <c r="IV176" t="e">
        <f>'All regions'!E4897+"$F;@!(e$"</f>
        <v>#VALUE!</v>
      </c>
    </row>
    <row r="177" spans="6:256" x14ac:dyDescent="0.35">
      <c r="F177" t="e">
        <f>'All regions'!F4897+"$F;@!(e%"</f>
        <v>#VALUE!</v>
      </c>
      <c r="G177" t="e">
        <f>'All regions'!G4897+"$F;@!(e&amp;"</f>
        <v>#VALUE!</v>
      </c>
      <c r="H177" t="e">
        <f>'All regions'!H4897+"$F;@!(e'"</f>
        <v>#VALUE!</v>
      </c>
      <c r="I177" t="e">
        <f>'All regions'!I4897+"$F;@!(e("</f>
        <v>#VALUE!</v>
      </c>
      <c r="J177" t="e">
        <f>'All regions'!A4898+"$F;@!(e)"</f>
        <v>#VALUE!</v>
      </c>
      <c r="K177" t="e">
        <f>'All regions'!B4898+"$F;@!(e."</f>
        <v>#VALUE!</v>
      </c>
      <c r="L177" t="e">
        <f>'All regions'!C4898+"$F;@!(e/"</f>
        <v>#VALUE!</v>
      </c>
      <c r="M177" t="e">
        <f>'All regions'!D4898+"$F;@!(e0"</f>
        <v>#VALUE!</v>
      </c>
      <c r="N177" t="e">
        <f>'All regions'!E4898+"$F;@!(e1"</f>
        <v>#VALUE!</v>
      </c>
      <c r="O177" t="e">
        <f>'All regions'!F4898+"$F;@!(e2"</f>
        <v>#VALUE!</v>
      </c>
      <c r="P177" t="e">
        <f>'All regions'!G4898+"$F;@!(e3"</f>
        <v>#VALUE!</v>
      </c>
      <c r="Q177" t="e">
        <f>'All regions'!H4898+"$F;@!(e4"</f>
        <v>#VALUE!</v>
      </c>
      <c r="R177" t="e">
        <f>'All regions'!I4898+"$F;@!(e5"</f>
        <v>#VALUE!</v>
      </c>
      <c r="S177" t="e">
        <f>'All regions'!A4899+"$F;@!(e6"</f>
        <v>#VALUE!</v>
      </c>
      <c r="T177" t="e">
        <f>'All regions'!B4899+"$F;@!(e7"</f>
        <v>#VALUE!</v>
      </c>
      <c r="U177" t="e">
        <f>'All regions'!C4899+"$F;@!(e8"</f>
        <v>#VALUE!</v>
      </c>
      <c r="V177" t="e">
        <f>'All regions'!D4899+"$F;@!(e9"</f>
        <v>#VALUE!</v>
      </c>
      <c r="W177" t="e">
        <f>'All regions'!E4899+"$F;@!(e:"</f>
        <v>#VALUE!</v>
      </c>
      <c r="X177" t="e">
        <f>'All regions'!F4899+"$F;@!(e;"</f>
        <v>#VALUE!</v>
      </c>
      <c r="Y177" t="e">
        <f>'All regions'!G4899+"$F;@!(e&lt;"</f>
        <v>#VALUE!</v>
      </c>
      <c r="Z177" t="e">
        <f>'All regions'!H4899+"$F;@!(e="</f>
        <v>#VALUE!</v>
      </c>
      <c r="AA177" t="e">
        <f>'All regions'!I4899+"$F;@!(e&gt;"</f>
        <v>#VALUE!</v>
      </c>
      <c r="AB177" t="e">
        <f>'All regions'!A4900+"$F;@!(e?"</f>
        <v>#VALUE!</v>
      </c>
      <c r="AC177" t="e">
        <f>'All regions'!B4900+"$F;@!(e@"</f>
        <v>#VALUE!</v>
      </c>
      <c r="AD177" t="e">
        <f>'All regions'!C4900+"$F;@!(eA"</f>
        <v>#VALUE!</v>
      </c>
      <c r="AE177" t="e">
        <f>'All regions'!D4900+"$F;@!(eB"</f>
        <v>#VALUE!</v>
      </c>
      <c r="AF177" t="e">
        <f>'All regions'!E4900+"$F;@!(eC"</f>
        <v>#VALUE!</v>
      </c>
      <c r="AG177" t="e">
        <f>'All regions'!F4900+"$F;@!(eD"</f>
        <v>#VALUE!</v>
      </c>
      <c r="AH177" t="e">
        <f>'All regions'!G4900+"$F;@!(eE"</f>
        <v>#VALUE!</v>
      </c>
      <c r="AI177" t="e">
        <f>'All regions'!H4900+"$F;@!(eF"</f>
        <v>#VALUE!</v>
      </c>
      <c r="AJ177" t="e">
        <f>'All regions'!I4900+"$F;@!(eG"</f>
        <v>#VALUE!</v>
      </c>
      <c r="AK177" t="e">
        <f>'All regions'!A4901+"$F;@!(eH"</f>
        <v>#VALUE!</v>
      </c>
      <c r="AL177" t="e">
        <f>'All regions'!B4901+"$F;@!(eI"</f>
        <v>#VALUE!</v>
      </c>
      <c r="AM177" t="e">
        <f>'All regions'!C4901+"$F;@!(eJ"</f>
        <v>#VALUE!</v>
      </c>
      <c r="AN177" t="e">
        <f>'All regions'!D4901+"$F;@!(eK"</f>
        <v>#VALUE!</v>
      </c>
      <c r="AO177" t="e">
        <f>'All regions'!E4901+"$F;@!(eL"</f>
        <v>#VALUE!</v>
      </c>
      <c r="AP177" t="e">
        <f>'All regions'!F4901+"$F;@!(eM"</f>
        <v>#VALUE!</v>
      </c>
      <c r="AQ177" t="e">
        <f>'All regions'!G4901+"$F;@!(eN"</f>
        <v>#VALUE!</v>
      </c>
      <c r="AR177" t="e">
        <f>'All regions'!H4901+"$F;@!(eO"</f>
        <v>#VALUE!</v>
      </c>
      <c r="AS177" t="e">
        <f>'All regions'!I4901+"$F;@!(eP"</f>
        <v>#VALUE!</v>
      </c>
      <c r="AT177" t="e">
        <f>'All regions'!A4902+"$F;@!(eQ"</f>
        <v>#VALUE!</v>
      </c>
      <c r="AU177" t="e">
        <f>'All regions'!B4902+"$F;@!(eR"</f>
        <v>#VALUE!</v>
      </c>
      <c r="AV177" t="e">
        <f>'All regions'!C4902+"$F;@!(eS"</f>
        <v>#VALUE!</v>
      </c>
      <c r="AW177" t="e">
        <f>'All regions'!D4902+"$F;@!(eT"</f>
        <v>#VALUE!</v>
      </c>
      <c r="AX177" t="e">
        <f>'All regions'!E4902+"$F;@!(eU"</f>
        <v>#VALUE!</v>
      </c>
      <c r="AY177" t="e">
        <f>'All regions'!F4902+"$F;@!(eV"</f>
        <v>#VALUE!</v>
      </c>
      <c r="AZ177" t="e">
        <f>'All regions'!G4902+"$F;@!(eW"</f>
        <v>#VALUE!</v>
      </c>
      <c r="BA177" t="e">
        <f>'All regions'!H4902+"$F;@!(eX"</f>
        <v>#VALUE!</v>
      </c>
      <c r="BB177" t="e">
        <f>'All regions'!I4902+"$F;@!(eY"</f>
        <v>#VALUE!</v>
      </c>
      <c r="BC177" t="e">
        <f>'All regions'!A4903+"$F;@!(eZ"</f>
        <v>#VALUE!</v>
      </c>
      <c r="BD177" t="e">
        <f>'All regions'!B4903+"$F;@!(e["</f>
        <v>#VALUE!</v>
      </c>
      <c r="BE177" t="e">
        <f>'All regions'!C4903+"$F;@!(e\"</f>
        <v>#VALUE!</v>
      </c>
      <c r="BF177" t="e">
        <f>'All regions'!D4903+"$F;@!(e]"</f>
        <v>#VALUE!</v>
      </c>
      <c r="BG177" t="e">
        <f>'All regions'!E4903+"$F;@!(e^"</f>
        <v>#VALUE!</v>
      </c>
      <c r="BH177" t="e">
        <f>'All regions'!F4903+"$F;@!(e_"</f>
        <v>#VALUE!</v>
      </c>
      <c r="BI177" t="e">
        <f>'All regions'!G4903+"$F;@!(e`"</f>
        <v>#VALUE!</v>
      </c>
      <c r="BJ177" t="e">
        <f>'All regions'!H4903+"$F;@!(ea"</f>
        <v>#VALUE!</v>
      </c>
      <c r="BK177" t="e">
        <f>'All regions'!I4903+"$F;@!(eb"</f>
        <v>#VALUE!</v>
      </c>
      <c r="BL177" t="e">
        <f>'All regions'!A4904+"$F;@!(ec"</f>
        <v>#VALUE!</v>
      </c>
      <c r="BM177" t="e">
        <f>'All regions'!B4904+"$F;@!(ed"</f>
        <v>#VALUE!</v>
      </c>
      <c r="BN177" t="e">
        <f>'All regions'!C4904+"$F;@!(ee"</f>
        <v>#VALUE!</v>
      </c>
      <c r="BO177" t="e">
        <f>'All regions'!D4904+"$F;@!(ef"</f>
        <v>#VALUE!</v>
      </c>
      <c r="BP177" t="e">
        <f>'All regions'!E4904+"$F;@!(eg"</f>
        <v>#VALUE!</v>
      </c>
      <c r="BQ177" t="e">
        <f>'All regions'!F4904+"$F;@!(eh"</f>
        <v>#VALUE!</v>
      </c>
      <c r="BR177" t="e">
        <f>'All regions'!G4904+"$F;@!(ei"</f>
        <v>#VALUE!</v>
      </c>
      <c r="BS177" t="e">
        <f>'All regions'!H4904+"$F;@!(ej"</f>
        <v>#VALUE!</v>
      </c>
      <c r="BT177" t="e">
        <f>'All regions'!I4904+"$F;@!(ek"</f>
        <v>#VALUE!</v>
      </c>
      <c r="BU177" t="e">
        <f>'All regions'!A4905+"$F;@!(el"</f>
        <v>#VALUE!</v>
      </c>
      <c r="BV177" t="e">
        <f>'All regions'!B4905+"$F;@!(em"</f>
        <v>#VALUE!</v>
      </c>
      <c r="BW177" t="e">
        <f>'All regions'!C4905+"$F;@!(en"</f>
        <v>#VALUE!</v>
      </c>
      <c r="BX177" t="e">
        <f>'All regions'!D4905+"$F;@!(eo"</f>
        <v>#VALUE!</v>
      </c>
      <c r="BY177" t="e">
        <f>'All regions'!E4905+"$F;@!(ep"</f>
        <v>#VALUE!</v>
      </c>
      <c r="BZ177" t="e">
        <f>'All regions'!F4905+"$F;@!(eq"</f>
        <v>#VALUE!</v>
      </c>
      <c r="CA177" t="e">
        <f>'All regions'!G4905+"$F;@!(er"</f>
        <v>#VALUE!</v>
      </c>
      <c r="CB177" t="e">
        <f>'All regions'!H4905+"$F;@!(es"</f>
        <v>#VALUE!</v>
      </c>
      <c r="CC177" t="e">
        <f>'All regions'!I4905+"$F;@!(et"</f>
        <v>#VALUE!</v>
      </c>
      <c r="CD177" t="e">
        <f>'All regions'!A4906+"$F;@!(eu"</f>
        <v>#VALUE!</v>
      </c>
      <c r="CE177" t="e">
        <f>'All regions'!B4906+"$F;@!(ev"</f>
        <v>#VALUE!</v>
      </c>
      <c r="CF177" t="e">
        <f>'All regions'!C4906+"$F;@!(ew"</f>
        <v>#VALUE!</v>
      </c>
      <c r="CG177" t="e">
        <f>'All regions'!D4906+"$F;@!(ex"</f>
        <v>#VALUE!</v>
      </c>
      <c r="CH177" t="e">
        <f>'All regions'!E4906+"$F;@!(ey"</f>
        <v>#VALUE!</v>
      </c>
      <c r="CI177" t="e">
        <f>'All regions'!F4906+"$F;@!(ez"</f>
        <v>#VALUE!</v>
      </c>
      <c r="CJ177" t="e">
        <f>'All regions'!G4906+"$F;@!(e{"</f>
        <v>#VALUE!</v>
      </c>
      <c r="CK177" t="e">
        <f>'All regions'!H4906+"$F;@!(e|"</f>
        <v>#VALUE!</v>
      </c>
      <c r="CL177" t="e">
        <f>'All regions'!I4906+"$F;@!(e}"</f>
        <v>#VALUE!</v>
      </c>
      <c r="CM177" t="e">
        <f>'All regions'!A4907+"$F;@!(e~"</f>
        <v>#VALUE!</v>
      </c>
      <c r="CN177" t="e">
        <f>'All regions'!B4907+"$F;@!(f#"</f>
        <v>#VALUE!</v>
      </c>
      <c r="CO177" t="e">
        <f>'All regions'!C4907+"$F;@!(f$"</f>
        <v>#VALUE!</v>
      </c>
      <c r="CP177" t="e">
        <f>'All regions'!D4907+"$F;@!(f%"</f>
        <v>#VALUE!</v>
      </c>
      <c r="CQ177" t="e">
        <f>'All regions'!E4907+"$F;@!(f&amp;"</f>
        <v>#VALUE!</v>
      </c>
      <c r="CR177" t="e">
        <f>'All regions'!F4907+"$F;@!(f'"</f>
        <v>#VALUE!</v>
      </c>
      <c r="CS177" t="e">
        <f>'All regions'!G4907+"$F;@!(f("</f>
        <v>#VALUE!</v>
      </c>
      <c r="CT177" t="e">
        <f>'All regions'!H4907+"$F;@!(f)"</f>
        <v>#VALUE!</v>
      </c>
      <c r="CU177" t="e">
        <f>'All regions'!I4907+"$F;@!(f."</f>
        <v>#VALUE!</v>
      </c>
      <c r="CV177" t="e">
        <f>'All regions'!A4908+"$F;@!(f/"</f>
        <v>#VALUE!</v>
      </c>
      <c r="CW177" t="e">
        <f>'All regions'!B4908+"$F;@!(f0"</f>
        <v>#VALUE!</v>
      </c>
      <c r="CX177" t="e">
        <f>'All regions'!C4908+"$F;@!(f1"</f>
        <v>#VALUE!</v>
      </c>
      <c r="CY177" t="e">
        <f>'All regions'!D4908+"$F;@!(f2"</f>
        <v>#VALUE!</v>
      </c>
      <c r="CZ177" t="e">
        <f>'All regions'!E4908+"$F;@!(f3"</f>
        <v>#VALUE!</v>
      </c>
      <c r="DA177" t="e">
        <f>'All regions'!F4908+"$F;@!(f4"</f>
        <v>#VALUE!</v>
      </c>
      <c r="DB177" t="e">
        <f>'All regions'!G4908+"$F;@!(f5"</f>
        <v>#VALUE!</v>
      </c>
      <c r="DC177" t="e">
        <f>'All regions'!H4908+"$F;@!(f6"</f>
        <v>#VALUE!</v>
      </c>
      <c r="DD177" t="e">
        <f>'All regions'!I4908+"$F;@!(f7"</f>
        <v>#VALUE!</v>
      </c>
      <c r="DE177" t="e">
        <f>'All regions'!A4909+"$F;@!(f8"</f>
        <v>#VALUE!</v>
      </c>
      <c r="DF177" t="e">
        <f>'All regions'!B4909+"$F;@!(f9"</f>
        <v>#VALUE!</v>
      </c>
      <c r="DG177" t="e">
        <f>'All regions'!C4909+"$F;@!(f:"</f>
        <v>#VALUE!</v>
      </c>
      <c r="DH177" t="e">
        <f>'All regions'!D4909+"$F;@!(f;"</f>
        <v>#VALUE!</v>
      </c>
      <c r="DI177" t="e">
        <f>'All regions'!E4909+"$F;@!(f&lt;"</f>
        <v>#VALUE!</v>
      </c>
      <c r="DJ177" t="e">
        <f>'All regions'!F4909+"$F;@!(f="</f>
        <v>#VALUE!</v>
      </c>
      <c r="DK177" t="e">
        <f>'All regions'!G4909+"$F;@!(f&gt;"</f>
        <v>#VALUE!</v>
      </c>
      <c r="DL177" t="e">
        <f>'All regions'!H4909+"$F;@!(f?"</f>
        <v>#VALUE!</v>
      </c>
      <c r="DM177" t="e">
        <f>'All regions'!I4909+"$F;@!(f@"</f>
        <v>#VALUE!</v>
      </c>
      <c r="DN177" t="e">
        <f>'All regions'!A4910+"$F;@!(fA"</f>
        <v>#VALUE!</v>
      </c>
      <c r="DO177" t="e">
        <f>'All regions'!B4910+"$F;@!(fB"</f>
        <v>#VALUE!</v>
      </c>
      <c r="DP177" t="e">
        <f>'All regions'!C4910+"$F;@!(fC"</f>
        <v>#VALUE!</v>
      </c>
      <c r="DQ177" t="e">
        <f>'All regions'!D4910+"$F;@!(fD"</f>
        <v>#VALUE!</v>
      </c>
      <c r="DR177" t="e">
        <f>'All regions'!E4910+"$F;@!(fE"</f>
        <v>#VALUE!</v>
      </c>
      <c r="DS177" t="e">
        <f>'All regions'!F4910+"$F;@!(fF"</f>
        <v>#VALUE!</v>
      </c>
      <c r="DT177" t="e">
        <f>'All regions'!G4910+"$F;@!(fG"</f>
        <v>#VALUE!</v>
      </c>
      <c r="DU177" t="e">
        <f>'All regions'!H4910+"$F;@!(fH"</f>
        <v>#VALUE!</v>
      </c>
      <c r="DV177" t="e">
        <f>'All regions'!I4910+"$F;@!(fI"</f>
        <v>#VALUE!</v>
      </c>
      <c r="DW177" t="e">
        <f>'All regions'!A4911+"$F;@!(fJ"</f>
        <v>#VALUE!</v>
      </c>
      <c r="DX177" t="e">
        <f>'All regions'!B4911+"$F;@!(fK"</f>
        <v>#VALUE!</v>
      </c>
      <c r="DY177" t="e">
        <f>'All regions'!C4911+"$F;@!(fL"</f>
        <v>#VALUE!</v>
      </c>
      <c r="DZ177" t="e">
        <f>'All regions'!D4911+"$F;@!(fM"</f>
        <v>#VALUE!</v>
      </c>
      <c r="EA177" t="e">
        <f>'All regions'!E4911+"$F;@!(fN"</f>
        <v>#VALUE!</v>
      </c>
      <c r="EB177" t="e">
        <f>'All regions'!F4911+"$F;@!(fO"</f>
        <v>#VALUE!</v>
      </c>
      <c r="EC177" t="e">
        <f>'All regions'!G4911+"$F;@!(fP"</f>
        <v>#VALUE!</v>
      </c>
      <c r="ED177" t="e">
        <f>'All regions'!H4911+"$F;@!(fQ"</f>
        <v>#VALUE!</v>
      </c>
      <c r="EE177" t="e">
        <f>'All regions'!I4911+"$F;@!(fR"</f>
        <v>#VALUE!</v>
      </c>
      <c r="EF177" t="e">
        <f>'All regions'!A4912+"$F;@!(fS"</f>
        <v>#VALUE!</v>
      </c>
      <c r="EG177" t="e">
        <f>'All regions'!B4912+"$F;@!(fT"</f>
        <v>#VALUE!</v>
      </c>
      <c r="EH177" t="e">
        <f>'All regions'!C4912+"$F;@!(fU"</f>
        <v>#VALUE!</v>
      </c>
      <c r="EI177" t="e">
        <f>'All regions'!D4912+"$F;@!(fV"</f>
        <v>#VALUE!</v>
      </c>
      <c r="EJ177" t="e">
        <f>'All regions'!E4912+"$F;@!(fW"</f>
        <v>#VALUE!</v>
      </c>
      <c r="EK177" t="e">
        <f>'All regions'!F4912+"$F;@!(fX"</f>
        <v>#VALUE!</v>
      </c>
      <c r="EL177" t="e">
        <f>'All regions'!G4912+"$F;@!(fY"</f>
        <v>#VALUE!</v>
      </c>
      <c r="EM177" t="e">
        <f>'All regions'!H4912+"$F;@!(fZ"</f>
        <v>#VALUE!</v>
      </c>
      <c r="EN177" t="e">
        <f>'All regions'!I4912+"$F;@!(f["</f>
        <v>#VALUE!</v>
      </c>
      <c r="EO177" t="e">
        <f>'All regions'!A4913+"$F;@!(f\"</f>
        <v>#VALUE!</v>
      </c>
      <c r="EP177" t="e">
        <f>'All regions'!B4913+"$F;@!(f]"</f>
        <v>#VALUE!</v>
      </c>
      <c r="EQ177" t="e">
        <f>'All regions'!C4913+"$F;@!(f^"</f>
        <v>#VALUE!</v>
      </c>
      <c r="ER177" t="e">
        <f>'All regions'!D4913+"$F;@!(f_"</f>
        <v>#VALUE!</v>
      </c>
      <c r="ES177" t="e">
        <f>'All regions'!E4913+"$F;@!(f`"</f>
        <v>#VALUE!</v>
      </c>
      <c r="ET177" t="e">
        <f>'All regions'!F4913+"$F;@!(fa"</f>
        <v>#VALUE!</v>
      </c>
      <c r="EU177" t="e">
        <f>'All regions'!G4913+"$F;@!(fb"</f>
        <v>#VALUE!</v>
      </c>
      <c r="EV177" t="e">
        <f>'All regions'!H4913+"$F;@!(fc"</f>
        <v>#VALUE!</v>
      </c>
      <c r="EW177" t="e">
        <f>'All regions'!I4913+"$F;@!(fd"</f>
        <v>#VALUE!</v>
      </c>
      <c r="EX177" t="e">
        <f>'All regions'!A4914+"$F;@!(fe"</f>
        <v>#VALUE!</v>
      </c>
      <c r="EY177" t="e">
        <f>'All regions'!B4914+"$F;@!(ff"</f>
        <v>#VALUE!</v>
      </c>
      <c r="EZ177" t="e">
        <f>'All regions'!C4914+"$F;@!(fg"</f>
        <v>#VALUE!</v>
      </c>
      <c r="FA177" t="e">
        <f>'All regions'!D4914+"$F;@!(fh"</f>
        <v>#VALUE!</v>
      </c>
      <c r="FB177" t="e">
        <f>'All regions'!E4914+"$F;@!(fi"</f>
        <v>#VALUE!</v>
      </c>
      <c r="FC177" t="e">
        <f>'All regions'!F4914+"$F;@!(fj"</f>
        <v>#VALUE!</v>
      </c>
      <c r="FD177" t="e">
        <f>'All regions'!G4914+"$F;@!(fk"</f>
        <v>#VALUE!</v>
      </c>
      <c r="FE177" t="e">
        <f>'All regions'!H4914+"$F;@!(fl"</f>
        <v>#VALUE!</v>
      </c>
      <c r="FF177" t="e">
        <f>'All regions'!I4914+"$F;@!(fm"</f>
        <v>#VALUE!</v>
      </c>
      <c r="FG177" t="e">
        <f>'All regions'!A4915+"$F;@!(fn"</f>
        <v>#VALUE!</v>
      </c>
      <c r="FH177" t="e">
        <f>'All regions'!B4915+"$F;@!(fo"</f>
        <v>#VALUE!</v>
      </c>
      <c r="FI177" t="e">
        <f>'All regions'!C4915+"$F;@!(fp"</f>
        <v>#VALUE!</v>
      </c>
      <c r="FJ177" t="e">
        <f>'All regions'!D4915+"$F;@!(fq"</f>
        <v>#VALUE!</v>
      </c>
      <c r="FK177" t="e">
        <f>'All regions'!E4915+"$F;@!(fr"</f>
        <v>#VALUE!</v>
      </c>
      <c r="FL177" t="e">
        <f>'All regions'!F4915+"$F;@!(fs"</f>
        <v>#VALUE!</v>
      </c>
      <c r="FM177" t="e">
        <f>'All regions'!G4915+"$F;@!(ft"</f>
        <v>#VALUE!</v>
      </c>
      <c r="FN177" t="e">
        <f>'All regions'!H4915+"$F;@!(fu"</f>
        <v>#VALUE!</v>
      </c>
      <c r="FO177" t="e">
        <f>'All regions'!I4915+"$F;@!(fv"</f>
        <v>#VALUE!</v>
      </c>
      <c r="FP177" t="e">
        <f>'All regions'!A4916+"$F;@!(fw"</f>
        <v>#VALUE!</v>
      </c>
      <c r="FQ177" t="e">
        <f>'All regions'!B4916+"$F;@!(fx"</f>
        <v>#VALUE!</v>
      </c>
      <c r="FR177" t="e">
        <f>'All regions'!C4916+"$F;@!(fy"</f>
        <v>#VALUE!</v>
      </c>
      <c r="FS177" t="e">
        <f>'All regions'!D4916+"$F;@!(fz"</f>
        <v>#VALUE!</v>
      </c>
      <c r="FT177" t="e">
        <f>'All regions'!E4916+"$F;@!(f{"</f>
        <v>#VALUE!</v>
      </c>
      <c r="FU177" t="e">
        <f>'All regions'!F4916+"$F;@!(f|"</f>
        <v>#VALUE!</v>
      </c>
      <c r="FV177" t="e">
        <f>'All regions'!G4916+"$F;@!(f}"</f>
        <v>#VALUE!</v>
      </c>
      <c r="FW177" t="e">
        <f>'All regions'!H4916+"$F;@!(f~"</f>
        <v>#VALUE!</v>
      </c>
      <c r="FX177" t="e">
        <f>'All regions'!I4916+"$F;@!(g#"</f>
        <v>#VALUE!</v>
      </c>
      <c r="FY177" t="e">
        <f>'All regions'!A4917+"$F;@!(g$"</f>
        <v>#VALUE!</v>
      </c>
      <c r="FZ177" t="e">
        <f>'All regions'!B4917+"$F;@!(g%"</f>
        <v>#VALUE!</v>
      </c>
      <c r="GA177" t="e">
        <f>'All regions'!C4917+"$F;@!(g&amp;"</f>
        <v>#VALUE!</v>
      </c>
      <c r="GB177" t="e">
        <f>'All regions'!D4917+"$F;@!(g'"</f>
        <v>#VALUE!</v>
      </c>
      <c r="GC177" t="e">
        <f>'All regions'!E4917+"$F;@!(g("</f>
        <v>#VALUE!</v>
      </c>
      <c r="GD177" t="e">
        <f>'All regions'!F4917+"$F;@!(g)"</f>
        <v>#VALUE!</v>
      </c>
      <c r="GE177" t="e">
        <f>'All regions'!G4917+"$F;@!(g."</f>
        <v>#VALUE!</v>
      </c>
      <c r="GF177" t="e">
        <f>'All regions'!H4917+"$F;@!(g/"</f>
        <v>#VALUE!</v>
      </c>
      <c r="GG177" t="e">
        <f>'All regions'!I4917+"$F;@!(g0"</f>
        <v>#VALUE!</v>
      </c>
      <c r="GH177" t="e">
        <f>'All regions'!A4918+"$F;@!(g1"</f>
        <v>#VALUE!</v>
      </c>
      <c r="GI177" t="e">
        <f>'All regions'!B4918+"$F;@!(g2"</f>
        <v>#VALUE!</v>
      </c>
      <c r="GJ177" t="e">
        <f>'All regions'!C4918+"$F;@!(g3"</f>
        <v>#VALUE!</v>
      </c>
      <c r="GK177" t="e">
        <f>'All regions'!D4918+"$F;@!(g4"</f>
        <v>#VALUE!</v>
      </c>
      <c r="GL177" t="e">
        <f>'All regions'!E4918+"$F;@!(g5"</f>
        <v>#VALUE!</v>
      </c>
      <c r="GM177" t="e">
        <f>'All regions'!F4918+"$F;@!(g6"</f>
        <v>#VALUE!</v>
      </c>
      <c r="GN177" t="e">
        <f>'All regions'!G4918+"$F;@!(g7"</f>
        <v>#VALUE!</v>
      </c>
      <c r="GO177" t="e">
        <f>'All regions'!H4918+"$F;@!(g8"</f>
        <v>#VALUE!</v>
      </c>
      <c r="GP177" t="e">
        <f>'All regions'!I4918+"$F;@!(g9"</f>
        <v>#VALUE!</v>
      </c>
      <c r="GQ177" t="e">
        <f>'All regions'!A4919+"$F;@!(g:"</f>
        <v>#VALUE!</v>
      </c>
      <c r="GR177" t="e">
        <f>'All regions'!B4919+"$F;@!(g;"</f>
        <v>#VALUE!</v>
      </c>
      <c r="GS177" t="e">
        <f>'All regions'!C4919+"$F;@!(g&lt;"</f>
        <v>#VALUE!</v>
      </c>
      <c r="GT177" t="e">
        <f>'All regions'!D4919+"$F;@!(g="</f>
        <v>#VALUE!</v>
      </c>
      <c r="GU177" t="e">
        <f>'All regions'!E4919+"$F;@!(g&gt;"</f>
        <v>#VALUE!</v>
      </c>
      <c r="GV177" t="e">
        <f>'All regions'!F4919+"$F;@!(g?"</f>
        <v>#VALUE!</v>
      </c>
      <c r="GW177" t="e">
        <f>'All regions'!G4919+"$F;@!(g@"</f>
        <v>#VALUE!</v>
      </c>
      <c r="GX177" t="e">
        <f>'All regions'!H4919+"$F;@!(gA"</f>
        <v>#VALUE!</v>
      </c>
      <c r="GY177" t="e">
        <f>'All regions'!I4919+"$F;@!(gB"</f>
        <v>#VALUE!</v>
      </c>
      <c r="GZ177" t="e">
        <f>'All regions'!A4920+"$F;@!(gC"</f>
        <v>#VALUE!</v>
      </c>
      <c r="HA177" t="e">
        <f>'All regions'!B4920+"$F;@!(gD"</f>
        <v>#VALUE!</v>
      </c>
      <c r="HB177" t="e">
        <f>'All regions'!C4920+"$F;@!(gE"</f>
        <v>#VALUE!</v>
      </c>
      <c r="HC177" t="e">
        <f>'All regions'!D4920+"$F;@!(gF"</f>
        <v>#VALUE!</v>
      </c>
      <c r="HD177" t="e">
        <f>'All regions'!E4920+"$F;@!(gG"</f>
        <v>#VALUE!</v>
      </c>
      <c r="HE177" t="e">
        <f>'All regions'!F4920+"$F;@!(gH"</f>
        <v>#VALUE!</v>
      </c>
      <c r="HF177" t="e">
        <f>'All regions'!G4920+"$F;@!(gI"</f>
        <v>#VALUE!</v>
      </c>
      <c r="HG177" t="e">
        <f>'All regions'!H4920+"$F;@!(gJ"</f>
        <v>#VALUE!</v>
      </c>
      <c r="HH177" t="e">
        <f>'All regions'!I4920+"$F;@!(gK"</f>
        <v>#VALUE!</v>
      </c>
      <c r="HI177" t="e">
        <f>'All regions'!A4921+"$F;@!(gL"</f>
        <v>#VALUE!</v>
      </c>
      <c r="HJ177" t="e">
        <f>'All regions'!B4921+"$F;@!(gM"</f>
        <v>#VALUE!</v>
      </c>
      <c r="HK177" t="e">
        <f>'All regions'!C4921+"$F;@!(gN"</f>
        <v>#VALUE!</v>
      </c>
      <c r="HL177" t="e">
        <f>'All regions'!D4921+"$F;@!(gO"</f>
        <v>#VALUE!</v>
      </c>
      <c r="HM177" t="e">
        <f>'All regions'!E4921+"$F;@!(gP"</f>
        <v>#VALUE!</v>
      </c>
      <c r="HN177" t="e">
        <f>'All regions'!F4921+"$F;@!(gQ"</f>
        <v>#VALUE!</v>
      </c>
      <c r="HO177" t="e">
        <f>'All regions'!G4921+"$F;@!(gR"</f>
        <v>#VALUE!</v>
      </c>
      <c r="HP177" t="e">
        <f>'All regions'!H4921+"$F;@!(gS"</f>
        <v>#VALUE!</v>
      </c>
      <c r="HQ177" t="e">
        <f>'All regions'!I4921+"$F;@!(gT"</f>
        <v>#VALUE!</v>
      </c>
      <c r="HR177" t="e">
        <f>'All regions'!A4922+"$F;@!(gU"</f>
        <v>#VALUE!</v>
      </c>
      <c r="HS177" t="e">
        <f>'All regions'!B4922+"$F;@!(gV"</f>
        <v>#VALUE!</v>
      </c>
      <c r="HT177" t="e">
        <f>'All regions'!C4922+"$F;@!(gW"</f>
        <v>#VALUE!</v>
      </c>
      <c r="HU177" t="e">
        <f>'All regions'!D4922+"$F;@!(gX"</f>
        <v>#VALUE!</v>
      </c>
      <c r="HV177" t="e">
        <f>'All regions'!E4922+"$F;@!(gY"</f>
        <v>#VALUE!</v>
      </c>
      <c r="HW177" t="e">
        <f>'All regions'!F4922+"$F;@!(gZ"</f>
        <v>#VALUE!</v>
      </c>
      <c r="HX177" t="e">
        <f>'All regions'!G4922+"$F;@!(g["</f>
        <v>#VALUE!</v>
      </c>
      <c r="HY177" t="e">
        <f>'All regions'!H4922+"$F;@!(g\"</f>
        <v>#VALUE!</v>
      </c>
      <c r="HZ177" t="e">
        <f>'All regions'!I4922+"$F;@!(g]"</f>
        <v>#VALUE!</v>
      </c>
      <c r="IA177" t="e">
        <f>'All regions'!A4923+"$F;@!(g^"</f>
        <v>#VALUE!</v>
      </c>
      <c r="IB177" t="e">
        <f>'All regions'!B4923+"$F;@!(g_"</f>
        <v>#VALUE!</v>
      </c>
      <c r="IC177" t="e">
        <f>'All regions'!C4923+"$F;@!(g`"</f>
        <v>#VALUE!</v>
      </c>
      <c r="ID177" t="e">
        <f>'All regions'!D4923+"$F;@!(ga"</f>
        <v>#VALUE!</v>
      </c>
      <c r="IE177" t="e">
        <f>'All regions'!E4923+"$F;@!(gb"</f>
        <v>#VALUE!</v>
      </c>
      <c r="IF177" t="e">
        <f>'All regions'!F4923+"$F;@!(gc"</f>
        <v>#VALUE!</v>
      </c>
      <c r="IG177" t="e">
        <f>'All regions'!G4923+"$F;@!(gd"</f>
        <v>#VALUE!</v>
      </c>
      <c r="IH177" t="e">
        <f>'All regions'!H4923+"$F;@!(ge"</f>
        <v>#VALUE!</v>
      </c>
      <c r="II177" t="e">
        <f>'All regions'!I4923+"$F;@!(gf"</f>
        <v>#VALUE!</v>
      </c>
      <c r="IJ177" t="e">
        <f>'All regions'!A4924+"$F;@!(gg"</f>
        <v>#VALUE!</v>
      </c>
      <c r="IK177" t="e">
        <f>'All regions'!B4924+"$F;@!(gh"</f>
        <v>#VALUE!</v>
      </c>
      <c r="IL177" t="e">
        <f>'All regions'!C4924+"$F;@!(gi"</f>
        <v>#VALUE!</v>
      </c>
      <c r="IM177" t="e">
        <f>'All regions'!D4924+"$F;@!(gj"</f>
        <v>#VALUE!</v>
      </c>
      <c r="IN177" t="e">
        <f>'All regions'!E4924+"$F;@!(gk"</f>
        <v>#VALUE!</v>
      </c>
      <c r="IO177" t="e">
        <f>'All regions'!F4924+"$F;@!(gl"</f>
        <v>#VALUE!</v>
      </c>
      <c r="IP177" t="e">
        <f>'All regions'!G4924+"$F;@!(gm"</f>
        <v>#VALUE!</v>
      </c>
      <c r="IQ177" t="e">
        <f>'All regions'!H4924+"$F;@!(gn"</f>
        <v>#VALUE!</v>
      </c>
      <c r="IR177" t="e">
        <f>'All regions'!I4924+"$F;@!(go"</f>
        <v>#VALUE!</v>
      </c>
      <c r="IS177" t="e">
        <f>'All regions'!A4925+"$F;@!(gp"</f>
        <v>#VALUE!</v>
      </c>
      <c r="IT177" t="e">
        <f>'All regions'!B4925+"$F;@!(gq"</f>
        <v>#VALUE!</v>
      </c>
      <c r="IU177" t="e">
        <f>'All regions'!C4925+"$F;@!(gr"</f>
        <v>#VALUE!</v>
      </c>
      <c r="IV177" t="e">
        <f>'All regions'!D4925+"$F;@!(gs"</f>
        <v>#VALUE!</v>
      </c>
    </row>
    <row r="178" spans="6:256" x14ac:dyDescent="0.35">
      <c r="F178" t="e">
        <f>'All regions'!E4925+"$F;@!(gt"</f>
        <v>#VALUE!</v>
      </c>
      <c r="G178" t="e">
        <f>'All regions'!F4925+"$F;@!(gu"</f>
        <v>#VALUE!</v>
      </c>
      <c r="H178" t="e">
        <f>'All regions'!G4925+"$F;@!(gv"</f>
        <v>#VALUE!</v>
      </c>
      <c r="I178" t="e">
        <f>'All regions'!H4925+"$F;@!(gw"</f>
        <v>#VALUE!</v>
      </c>
      <c r="J178" t="e">
        <f>'All regions'!I4925+"$F;@!(gx"</f>
        <v>#VALUE!</v>
      </c>
      <c r="K178" t="e">
        <f>'All regions'!A4926+"$F;@!(gy"</f>
        <v>#VALUE!</v>
      </c>
      <c r="L178" t="e">
        <f>'All regions'!B4926+"$F;@!(gz"</f>
        <v>#VALUE!</v>
      </c>
      <c r="M178" t="e">
        <f>'All regions'!C4926+"$F;@!(g{"</f>
        <v>#VALUE!</v>
      </c>
      <c r="N178" t="e">
        <f>'All regions'!D4926+"$F;@!(g|"</f>
        <v>#VALUE!</v>
      </c>
      <c r="O178" t="e">
        <f>'All regions'!E4926+"$F;@!(g}"</f>
        <v>#VALUE!</v>
      </c>
      <c r="P178" t="e">
        <f>'All regions'!F4926+"$F;@!(g~"</f>
        <v>#VALUE!</v>
      </c>
      <c r="Q178" t="e">
        <f>'All regions'!G4926+"$F;@!(h#"</f>
        <v>#VALUE!</v>
      </c>
      <c r="R178" t="e">
        <f>'All regions'!H4926+"$F;@!(h$"</f>
        <v>#VALUE!</v>
      </c>
      <c r="S178" t="e">
        <f>'All regions'!I4926+"$F;@!(h%"</f>
        <v>#VALUE!</v>
      </c>
      <c r="T178" t="e">
        <f>'All regions'!A4927+"$F;@!(h&amp;"</f>
        <v>#VALUE!</v>
      </c>
      <c r="U178" t="e">
        <f>'All regions'!B4927+"$F;@!(h'"</f>
        <v>#VALUE!</v>
      </c>
      <c r="V178" t="e">
        <f>'All regions'!C4927+"$F;@!(h("</f>
        <v>#VALUE!</v>
      </c>
      <c r="W178" t="e">
        <f>'All regions'!D4927+"$F;@!(h)"</f>
        <v>#VALUE!</v>
      </c>
      <c r="X178" t="e">
        <f>'All regions'!E4927+"$F;@!(h."</f>
        <v>#VALUE!</v>
      </c>
      <c r="Y178" t="e">
        <f>'All regions'!F4927+"$F;@!(h/"</f>
        <v>#VALUE!</v>
      </c>
      <c r="Z178" t="e">
        <f>'All regions'!G4927+"$F;@!(h0"</f>
        <v>#VALUE!</v>
      </c>
      <c r="AA178" t="e">
        <f>'All regions'!H4927+"$F;@!(h1"</f>
        <v>#VALUE!</v>
      </c>
      <c r="AB178" t="e">
        <f>'All regions'!I4927+"$F;@!(h2"</f>
        <v>#VALUE!</v>
      </c>
      <c r="AC178" t="e">
        <f>'All regions'!A4928+"$F;@!(h3"</f>
        <v>#VALUE!</v>
      </c>
      <c r="AD178" t="e">
        <f>'All regions'!B4928+"$F;@!(h4"</f>
        <v>#VALUE!</v>
      </c>
      <c r="AE178" t="e">
        <f>'All regions'!C4928+"$F;@!(h5"</f>
        <v>#VALUE!</v>
      </c>
      <c r="AF178" t="e">
        <f>'All regions'!D4928+"$F;@!(h6"</f>
        <v>#VALUE!</v>
      </c>
      <c r="AG178" t="e">
        <f>'All regions'!E4928+"$F;@!(h7"</f>
        <v>#VALUE!</v>
      </c>
      <c r="AH178" t="e">
        <f>'All regions'!F4928+"$F;@!(h8"</f>
        <v>#VALUE!</v>
      </c>
      <c r="AI178" t="e">
        <f>'All regions'!G4928+"$F;@!(h9"</f>
        <v>#VALUE!</v>
      </c>
      <c r="AJ178" t="e">
        <f>'All regions'!H4928+"$F;@!(h:"</f>
        <v>#VALUE!</v>
      </c>
      <c r="AK178" t="e">
        <f>'All regions'!I4928+"$F;@!(h;"</f>
        <v>#VALUE!</v>
      </c>
      <c r="AL178" t="e">
        <f>'All regions'!A4929+"$F;@!(h&lt;"</f>
        <v>#VALUE!</v>
      </c>
      <c r="AM178" t="e">
        <f>'All regions'!B4929+"$F;@!(h="</f>
        <v>#VALUE!</v>
      </c>
      <c r="AN178" t="e">
        <f>'All regions'!C4929+"$F;@!(h&gt;"</f>
        <v>#VALUE!</v>
      </c>
      <c r="AO178" t="e">
        <f>'All regions'!D4929+"$F;@!(h?"</f>
        <v>#VALUE!</v>
      </c>
      <c r="AP178" t="e">
        <f>'All regions'!E4929+"$F;@!(h@"</f>
        <v>#VALUE!</v>
      </c>
      <c r="AQ178" t="e">
        <f>'All regions'!F4929+"$F;@!(hA"</f>
        <v>#VALUE!</v>
      </c>
      <c r="AR178" t="e">
        <f>'All regions'!G4929+"$F;@!(hB"</f>
        <v>#VALUE!</v>
      </c>
      <c r="AS178" t="e">
        <f>'All regions'!H4929+"$F;@!(hC"</f>
        <v>#VALUE!</v>
      </c>
      <c r="AT178" t="e">
        <f>'All regions'!I4929+"$F;@!(hD"</f>
        <v>#VALUE!</v>
      </c>
      <c r="AU178" t="e">
        <f>'All regions'!A4930+"$F;@!(hE"</f>
        <v>#VALUE!</v>
      </c>
      <c r="AV178" t="e">
        <f>'All regions'!B4930+"$F;@!(hF"</f>
        <v>#VALUE!</v>
      </c>
      <c r="AW178" t="e">
        <f>'All regions'!C4930+"$F;@!(hG"</f>
        <v>#VALUE!</v>
      </c>
      <c r="AX178" t="e">
        <f>'All regions'!D4930+"$F;@!(hH"</f>
        <v>#VALUE!</v>
      </c>
      <c r="AY178" t="e">
        <f>'All regions'!E4930+"$F;@!(hI"</f>
        <v>#VALUE!</v>
      </c>
      <c r="AZ178" t="e">
        <f>'All regions'!F4930+"$F;@!(hJ"</f>
        <v>#VALUE!</v>
      </c>
      <c r="BA178" t="e">
        <f>'All regions'!G4930+"$F;@!(hK"</f>
        <v>#VALUE!</v>
      </c>
      <c r="BB178" t="e">
        <f>'All regions'!H4930+"$F;@!(hL"</f>
        <v>#VALUE!</v>
      </c>
      <c r="BC178" t="e">
        <f>'All regions'!I4930+"$F;@!(hM"</f>
        <v>#VALUE!</v>
      </c>
      <c r="BD178" t="e">
        <f>'All regions'!A4931+"$F;@!(hN"</f>
        <v>#VALUE!</v>
      </c>
      <c r="BE178" t="e">
        <f>'All regions'!B4931+"$F;@!(hO"</f>
        <v>#VALUE!</v>
      </c>
      <c r="BF178" t="e">
        <f>'All regions'!C4931+"$F;@!(hP"</f>
        <v>#VALUE!</v>
      </c>
      <c r="BG178" t="e">
        <f>'All regions'!D4931+"$F;@!(hQ"</f>
        <v>#VALUE!</v>
      </c>
      <c r="BH178" t="e">
        <f>'All regions'!E4931+"$F;@!(hR"</f>
        <v>#VALUE!</v>
      </c>
      <c r="BI178" t="e">
        <f>'All regions'!F4931+"$F;@!(hS"</f>
        <v>#VALUE!</v>
      </c>
      <c r="BJ178" t="e">
        <f>'All regions'!G4931+"$F;@!(hT"</f>
        <v>#VALUE!</v>
      </c>
      <c r="BK178" t="e">
        <f>'All regions'!H4931+"$F;@!(hU"</f>
        <v>#VALUE!</v>
      </c>
      <c r="BL178" t="e">
        <f>'All regions'!I4931+"$F;@!(hV"</f>
        <v>#VALUE!</v>
      </c>
      <c r="BM178" t="e">
        <f>'All regions'!A4932+"$F;@!(hW"</f>
        <v>#VALUE!</v>
      </c>
      <c r="BN178" t="e">
        <f>'All regions'!B4932+"$F;@!(hX"</f>
        <v>#VALUE!</v>
      </c>
      <c r="BO178" t="e">
        <f>'All regions'!C4932+"$F;@!(hY"</f>
        <v>#VALUE!</v>
      </c>
      <c r="BP178" t="e">
        <f>'All regions'!D4932+"$F;@!(hZ"</f>
        <v>#VALUE!</v>
      </c>
      <c r="BQ178" t="e">
        <f>'All regions'!E4932+"$F;@!(h["</f>
        <v>#VALUE!</v>
      </c>
      <c r="BR178" t="e">
        <f>'All regions'!F4932+"$F;@!(h\"</f>
        <v>#VALUE!</v>
      </c>
      <c r="BS178" t="e">
        <f>'All regions'!G4932+"$F;@!(h]"</f>
        <v>#VALUE!</v>
      </c>
      <c r="BT178" t="e">
        <f>'All regions'!H4932+"$F;@!(h^"</f>
        <v>#VALUE!</v>
      </c>
      <c r="BU178" t="e">
        <f>'All regions'!I4932+"$F;@!(h_"</f>
        <v>#VALUE!</v>
      </c>
      <c r="BV178" t="e">
        <f>'All regions'!A4933+"$F;@!(h`"</f>
        <v>#VALUE!</v>
      </c>
      <c r="BW178" t="e">
        <f>'All regions'!B4933+"$F;@!(ha"</f>
        <v>#VALUE!</v>
      </c>
      <c r="BX178" t="e">
        <f>'All regions'!C4933+"$F;@!(hb"</f>
        <v>#VALUE!</v>
      </c>
      <c r="BY178" t="e">
        <f>'All regions'!D4933+"$F;@!(hc"</f>
        <v>#VALUE!</v>
      </c>
      <c r="BZ178" t="e">
        <f>'All regions'!E4933+"$F;@!(hd"</f>
        <v>#VALUE!</v>
      </c>
      <c r="CA178" t="e">
        <f>'All regions'!F4933+"$F;@!(he"</f>
        <v>#VALUE!</v>
      </c>
      <c r="CB178" t="e">
        <f>'All regions'!G4933+"$F;@!(hf"</f>
        <v>#VALUE!</v>
      </c>
      <c r="CC178" t="e">
        <f>'All regions'!H4933+"$F;@!(hg"</f>
        <v>#VALUE!</v>
      </c>
      <c r="CD178" t="e">
        <f>'All regions'!I4933+"$F;@!(hh"</f>
        <v>#VALUE!</v>
      </c>
      <c r="CE178" t="e">
        <f>'All regions'!A4934+"$F;@!(hi"</f>
        <v>#VALUE!</v>
      </c>
      <c r="CF178" t="e">
        <f>'All regions'!B4934+"$F;@!(hj"</f>
        <v>#VALUE!</v>
      </c>
      <c r="CG178" t="e">
        <f>'All regions'!C4934+"$F;@!(hk"</f>
        <v>#VALUE!</v>
      </c>
      <c r="CH178" t="e">
        <f>'All regions'!D4934+"$F;@!(hl"</f>
        <v>#VALUE!</v>
      </c>
      <c r="CI178" t="e">
        <f>'All regions'!E4934+"$F;@!(hm"</f>
        <v>#VALUE!</v>
      </c>
      <c r="CJ178" t="e">
        <f>'All regions'!F4934+"$F;@!(hn"</f>
        <v>#VALUE!</v>
      </c>
      <c r="CK178" t="e">
        <f>'All regions'!G4934+"$F;@!(ho"</f>
        <v>#VALUE!</v>
      </c>
      <c r="CL178" t="e">
        <f>'All regions'!H4934+"$F;@!(hp"</f>
        <v>#VALUE!</v>
      </c>
      <c r="CM178" t="e">
        <f>'All regions'!I4934+"$F;@!(hq"</f>
        <v>#VALUE!</v>
      </c>
      <c r="CN178" t="e">
        <f>'All regions'!A4935+"$F;@!(hr"</f>
        <v>#VALUE!</v>
      </c>
      <c r="CO178" t="e">
        <f>'All regions'!B4935+"$F;@!(hs"</f>
        <v>#VALUE!</v>
      </c>
      <c r="CP178" t="e">
        <f>'All regions'!C4935+"$F;@!(ht"</f>
        <v>#VALUE!</v>
      </c>
      <c r="CQ178" t="e">
        <f>'All regions'!D4935+"$F;@!(hu"</f>
        <v>#VALUE!</v>
      </c>
      <c r="CR178" t="e">
        <f>'All regions'!E4935+"$F;@!(hv"</f>
        <v>#VALUE!</v>
      </c>
      <c r="CS178" t="e">
        <f>'All regions'!F4935+"$F;@!(hw"</f>
        <v>#VALUE!</v>
      </c>
      <c r="CT178" t="e">
        <f>'All regions'!G4935+"$F;@!(hx"</f>
        <v>#VALUE!</v>
      </c>
      <c r="CU178" t="e">
        <f>'All regions'!H4935+"$F;@!(hy"</f>
        <v>#VALUE!</v>
      </c>
      <c r="CV178" t="e">
        <f>'All regions'!I4935+"$F;@!(hz"</f>
        <v>#VALUE!</v>
      </c>
      <c r="CW178" t="e">
        <f>'All regions'!A4936+"$F;@!(h{"</f>
        <v>#VALUE!</v>
      </c>
      <c r="CX178" t="e">
        <f>'All regions'!B4936+"$F;@!(h|"</f>
        <v>#VALUE!</v>
      </c>
      <c r="CY178" t="e">
        <f>'All regions'!C4936+"$F;@!(h}"</f>
        <v>#VALUE!</v>
      </c>
      <c r="CZ178" t="e">
        <f>'All regions'!D4936+"$F;@!(h~"</f>
        <v>#VALUE!</v>
      </c>
      <c r="DA178" t="e">
        <f>'All regions'!E4936+"$F;@!(i#"</f>
        <v>#VALUE!</v>
      </c>
      <c r="DB178" t="e">
        <f>'All regions'!F4936+"$F;@!(i$"</f>
        <v>#VALUE!</v>
      </c>
      <c r="DC178" t="e">
        <f>'All regions'!G4936+"$F;@!(i%"</f>
        <v>#VALUE!</v>
      </c>
      <c r="DD178" t="e">
        <f>'All regions'!H4936+"$F;@!(i&amp;"</f>
        <v>#VALUE!</v>
      </c>
      <c r="DE178" t="e">
        <f>'All regions'!I4936+"$F;@!(i'"</f>
        <v>#VALUE!</v>
      </c>
      <c r="DF178" t="e">
        <f>'All regions'!A4937+"$F;@!(i("</f>
        <v>#VALUE!</v>
      </c>
      <c r="DG178" t="e">
        <f>'All regions'!B4937+"$F;@!(i)"</f>
        <v>#VALUE!</v>
      </c>
      <c r="DH178" t="e">
        <f>'All regions'!C4937+"$F;@!(i."</f>
        <v>#VALUE!</v>
      </c>
      <c r="DI178" t="e">
        <f>'All regions'!D4937+"$F;@!(i/"</f>
        <v>#VALUE!</v>
      </c>
      <c r="DJ178" t="e">
        <f>'All regions'!E4937+"$F;@!(i0"</f>
        <v>#VALUE!</v>
      </c>
      <c r="DK178" t="e">
        <f>'All regions'!F4937+"$F;@!(i1"</f>
        <v>#VALUE!</v>
      </c>
      <c r="DL178" t="e">
        <f>'All regions'!G4937+"$F;@!(i2"</f>
        <v>#VALUE!</v>
      </c>
      <c r="DM178" t="e">
        <f>'All regions'!H4937+"$F;@!(i3"</f>
        <v>#VALUE!</v>
      </c>
      <c r="DN178" t="e">
        <f>'All regions'!I4937+"$F;@!(i4"</f>
        <v>#VALUE!</v>
      </c>
      <c r="DO178" t="e">
        <f>'All regions'!A4938+"$F;@!(i5"</f>
        <v>#VALUE!</v>
      </c>
      <c r="DP178" t="e">
        <f>'All regions'!B4938+"$F;@!(i6"</f>
        <v>#VALUE!</v>
      </c>
      <c r="DQ178" t="e">
        <f>'All regions'!C4938+"$F;@!(i7"</f>
        <v>#VALUE!</v>
      </c>
      <c r="DR178" t="e">
        <f>'All regions'!D4938+"$F;@!(i8"</f>
        <v>#VALUE!</v>
      </c>
      <c r="DS178" t="e">
        <f>'All regions'!E4938+"$F;@!(i9"</f>
        <v>#VALUE!</v>
      </c>
      <c r="DT178" t="e">
        <f>'All regions'!F4938+"$F;@!(i:"</f>
        <v>#VALUE!</v>
      </c>
      <c r="DU178" t="e">
        <f>'All regions'!G4938+"$F;@!(i;"</f>
        <v>#VALUE!</v>
      </c>
      <c r="DV178" t="e">
        <f>'All regions'!H4938+"$F;@!(i&lt;"</f>
        <v>#VALUE!</v>
      </c>
      <c r="DW178" t="e">
        <f>'All regions'!I4938+"$F;@!(i="</f>
        <v>#VALUE!</v>
      </c>
      <c r="DX178" t="e">
        <f>'All regions'!A4939+"$F;@!(i&gt;"</f>
        <v>#VALUE!</v>
      </c>
      <c r="DY178" t="e">
        <f>'All regions'!B4939+"$F;@!(i?"</f>
        <v>#VALUE!</v>
      </c>
      <c r="DZ178" t="e">
        <f>'All regions'!C4939+"$F;@!(i@"</f>
        <v>#VALUE!</v>
      </c>
      <c r="EA178" t="e">
        <f>'All regions'!D4939+"$F;@!(iA"</f>
        <v>#VALUE!</v>
      </c>
      <c r="EB178" t="e">
        <f>'All regions'!E4939+"$F;@!(iB"</f>
        <v>#VALUE!</v>
      </c>
      <c r="EC178" t="e">
        <f>'All regions'!F4939+"$F;@!(iC"</f>
        <v>#VALUE!</v>
      </c>
      <c r="ED178" t="e">
        <f>'All regions'!G4939+"$F;@!(iD"</f>
        <v>#VALUE!</v>
      </c>
      <c r="EE178" t="e">
        <f>'All regions'!H4939+"$F;@!(iE"</f>
        <v>#VALUE!</v>
      </c>
      <c r="EF178" t="e">
        <f>'All regions'!I4939+"$F;@!(iF"</f>
        <v>#VALUE!</v>
      </c>
      <c r="EG178" t="e">
        <f>'All regions'!A4940+"$F;@!(iG"</f>
        <v>#VALUE!</v>
      </c>
      <c r="EH178" t="e">
        <f>'All regions'!B4940+"$F;@!(iH"</f>
        <v>#VALUE!</v>
      </c>
      <c r="EI178" t="e">
        <f>'All regions'!C4940+"$F;@!(iI"</f>
        <v>#VALUE!</v>
      </c>
      <c r="EJ178" t="e">
        <f>'All regions'!D4940+"$F;@!(iJ"</f>
        <v>#VALUE!</v>
      </c>
      <c r="EK178" t="e">
        <f>'All regions'!E4940+"$F;@!(iK"</f>
        <v>#VALUE!</v>
      </c>
      <c r="EL178" t="e">
        <f>'All regions'!F4940+"$F;@!(iL"</f>
        <v>#VALUE!</v>
      </c>
      <c r="EM178" t="e">
        <f>'All regions'!G4940+"$F;@!(iM"</f>
        <v>#VALUE!</v>
      </c>
      <c r="EN178" t="e">
        <f>'All regions'!H4940+"$F;@!(iN"</f>
        <v>#VALUE!</v>
      </c>
      <c r="EO178" t="e">
        <f>'All regions'!I4940+"$F;@!(iO"</f>
        <v>#VALUE!</v>
      </c>
      <c r="EP178" t="e">
        <f>'All regions'!A4941+"$F;@!(iP"</f>
        <v>#VALUE!</v>
      </c>
      <c r="EQ178" t="e">
        <f>'All regions'!B4941+"$F;@!(iQ"</f>
        <v>#VALUE!</v>
      </c>
      <c r="ER178" t="e">
        <f>'All regions'!C4941+"$F;@!(iR"</f>
        <v>#VALUE!</v>
      </c>
      <c r="ES178" t="e">
        <f>'All regions'!D4941+"$F;@!(iS"</f>
        <v>#VALUE!</v>
      </c>
      <c r="ET178" t="e">
        <f>'All regions'!E4941+"$F;@!(iT"</f>
        <v>#VALUE!</v>
      </c>
      <c r="EU178" t="e">
        <f>'All regions'!F4941+"$F;@!(iU"</f>
        <v>#VALUE!</v>
      </c>
      <c r="EV178" t="e">
        <f>'All regions'!G4941+"$F;@!(iV"</f>
        <v>#VALUE!</v>
      </c>
      <c r="EW178" t="e">
        <f>'All regions'!H4941+"$F;@!(iW"</f>
        <v>#VALUE!</v>
      </c>
      <c r="EX178" t="e">
        <f>'All regions'!I4941+"$F;@!(iX"</f>
        <v>#VALUE!</v>
      </c>
      <c r="EY178" t="e">
        <f>'All regions'!A4942+"$F;@!(iY"</f>
        <v>#VALUE!</v>
      </c>
      <c r="EZ178" t="e">
        <f>'All regions'!B4942+"$F;@!(iZ"</f>
        <v>#VALUE!</v>
      </c>
      <c r="FA178" t="e">
        <f>'All regions'!C4942+"$F;@!(i["</f>
        <v>#VALUE!</v>
      </c>
      <c r="FB178" t="e">
        <f>'All regions'!D4942+"$F;@!(i\"</f>
        <v>#VALUE!</v>
      </c>
      <c r="FC178" t="e">
        <f>'All regions'!E4942+"$F;@!(i]"</f>
        <v>#VALUE!</v>
      </c>
      <c r="FD178" t="e">
        <f>'All regions'!F4942+"$F;@!(i^"</f>
        <v>#VALUE!</v>
      </c>
      <c r="FE178" t="e">
        <f>'All regions'!G4942+"$F;@!(i_"</f>
        <v>#VALUE!</v>
      </c>
      <c r="FF178" t="e">
        <f>'All regions'!H4942+"$F;@!(i`"</f>
        <v>#VALUE!</v>
      </c>
      <c r="FG178" t="e">
        <f>'All regions'!I4942+"$F;@!(ia"</f>
        <v>#VALUE!</v>
      </c>
      <c r="FH178" t="e">
        <f>'All regions'!A4943+"$F;@!(ib"</f>
        <v>#VALUE!</v>
      </c>
      <c r="FI178" t="e">
        <f>'All regions'!B4943+"$F;@!(ic"</f>
        <v>#VALUE!</v>
      </c>
      <c r="FJ178" t="e">
        <f>'All regions'!C4943+"$F;@!(id"</f>
        <v>#VALUE!</v>
      </c>
      <c r="FK178" t="e">
        <f>'All regions'!D4943+"$F;@!(ie"</f>
        <v>#VALUE!</v>
      </c>
      <c r="FL178" t="e">
        <f>'All regions'!E4943+"$F;@!(if"</f>
        <v>#VALUE!</v>
      </c>
      <c r="FM178" t="e">
        <f>'All regions'!F4943+"$F;@!(ig"</f>
        <v>#VALUE!</v>
      </c>
      <c r="FN178" t="e">
        <f>'All regions'!G4943+"$F;@!(ih"</f>
        <v>#VALUE!</v>
      </c>
      <c r="FO178" t="e">
        <f>'All regions'!H4943+"$F;@!(ii"</f>
        <v>#VALUE!</v>
      </c>
      <c r="FP178" t="e">
        <f>'All regions'!I4943+"$F;@!(ij"</f>
        <v>#VALUE!</v>
      </c>
      <c r="FQ178" t="e">
        <f>'All regions'!A4944+"$F;@!(ik"</f>
        <v>#VALUE!</v>
      </c>
      <c r="FR178" t="e">
        <f>'All regions'!B4944+"$F;@!(il"</f>
        <v>#VALUE!</v>
      </c>
      <c r="FS178" t="e">
        <f>'All regions'!C4944+"$F;@!(im"</f>
        <v>#VALUE!</v>
      </c>
      <c r="FT178" t="e">
        <f>'All regions'!D4944+"$F;@!(in"</f>
        <v>#VALUE!</v>
      </c>
      <c r="FU178" t="e">
        <f>'All regions'!E4944+"$F;@!(io"</f>
        <v>#VALUE!</v>
      </c>
      <c r="FV178" t="e">
        <f>'All regions'!F4944+"$F;@!(ip"</f>
        <v>#VALUE!</v>
      </c>
      <c r="FW178" t="e">
        <f>'All regions'!G4944+"$F;@!(iq"</f>
        <v>#VALUE!</v>
      </c>
      <c r="FX178" t="e">
        <f>'All regions'!H4944+"$F;@!(ir"</f>
        <v>#VALUE!</v>
      </c>
      <c r="FY178" t="e">
        <f>'All regions'!I4944+"$F;@!(is"</f>
        <v>#VALUE!</v>
      </c>
      <c r="FZ178" t="e">
        <f>'All regions'!A4945+"$F;@!(it"</f>
        <v>#VALUE!</v>
      </c>
      <c r="GA178" t="e">
        <f>'All regions'!B4945+"$F;@!(iu"</f>
        <v>#VALUE!</v>
      </c>
      <c r="GB178" t="e">
        <f>'All regions'!C4945+"$F;@!(iv"</f>
        <v>#VALUE!</v>
      </c>
      <c r="GC178" t="e">
        <f>'All regions'!D4945+"$F;@!(iw"</f>
        <v>#VALUE!</v>
      </c>
      <c r="GD178" t="e">
        <f>'All regions'!E4945+"$F;@!(ix"</f>
        <v>#VALUE!</v>
      </c>
      <c r="GE178" t="e">
        <f>'All regions'!F4945+"$F;@!(iy"</f>
        <v>#VALUE!</v>
      </c>
      <c r="GF178" t="e">
        <f>'All regions'!G4945+"$F;@!(iz"</f>
        <v>#VALUE!</v>
      </c>
      <c r="GG178" t="e">
        <f>'All regions'!H4945+"$F;@!(i{"</f>
        <v>#VALUE!</v>
      </c>
      <c r="GH178" t="e">
        <f>'All regions'!I4945+"$F;@!(i|"</f>
        <v>#VALUE!</v>
      </c>
      <c r="GI178" t="e">
        <f>'All regions'!A4946+"$F;@!(i}"</f>
        <v>#VALUE!</v>
      </c>
      <c r="GJ178" t="e">
        <f>'All regions'!B4946+"$F;@!(i~"</f>
        <v>#VALUE!</v>
      </c>
      <c r="GK178" t="e">
        <f>'All regions'!C4946+"$F;@!(j#"</f>
        <v>#VALUE!</v>
      </c>
      <c r="GL178" t="e">
        <f>'All regions'!D4946+"$F;@!(j$"</f>
        <v>#VALUE!</v>
      </c>
      <c r="GM178" t="e">
        <f>'All regions'!E4946+"$F;@!(j%"</f>
        <v>#VALUE!</v>
      </c>
      <c r="GN178" t="e">
        <f>'All regions'!F4946+"$F;@!(j&amp;"</f>
        <v>#VALUE!</v>
      </c>
      <c r="GO178" t="e">
        <f>'All regions'!G4946+"$F;@!(j'"</f>
        <v>#VALUE!</v>
      </c>
      <c r="GP178" t="e">
        <f>'All regions'!H4946+"$F;@!(j("</f>
        <v>#VALUE!</v>
      </c>
      <c r="GQ178" t="e">
        <f>'All regions'!I4946+"$F;@!(j)"</f>
        <v>#VALUE!</v>
      </c>
      <c r="GR178" t="e">
        <f>'All regions'!A4947+"$F;@!(j."</f>
        <v>#VALUE!</v>
      </c>
      <c r="GS178" t="e">
        <f>'All regions'!B4947+"$F;@!(j/"</f>
        <v>#VALUE!</v>
      </c>
      <c r="GT178" t="e">
        <f>'All regions'!C4947+"$F;@!(j0"</f>
        <v>#VALUE!</v>
      </c>
      <c r="GU178" t="e">
        <f>'All regions'!D4947+"$F;@!(j1"</f>
        <v>#VALUE!</v>
      </c>
      <c r="GV178" t="e">
        <f>'All regions'!E4947+"$F;@!(j2"</f>
        <v>#VALUE!</v>
      </c>
      <c r="GW178" t="e">
        <f>'All regions'!F4947+"$F;@!(j3"</f>
        <v>#VALUE!</v>
      </c>
      <c r="GX178" t="e">
        <f>'All regions'!G4947+"$F;@!(j4"</f>
        <v>#VALUE!</v>
      </c>
      <c r="GY178" t="e">
        <f>'All regions'!H4947+"$F;@!(j5"</f>
        <v>#VALUE!</v>
      </c>
      <c r="GZ178" t="e">
        <f>'All regions'!I4947+"$F;@!(j6"</f>
        <v>#VALUE!</v>
      </c>
      <c r="HA178" t="e">
        <f>'All regions'!A4948+"$F;@!(j7"</f>
        <v>#VALUE!</v>
      </c>
      <c r="HB178" t="e">
        <f>'All regions'!B4948+"$F;@!(j8"</f>
        <v>#VALUE!</v>
      </c>
      <c r="HC178" t="e">
        <f>'All regions'!C4948+"$F;@!(j9"</f>
        <v>#VALUE!</v>
      </c>
      <c r="HD178" t="e">
        <f>'All regions'!D4948+"$F;@!(j:"</f>
        <v>#VALUE!</v>
      </c>
      <c r="HE178" t="e">
        <f>'All regions'!E4948+"$F;@!(j;"</f>
        <v>#VALUE!</v>
      </c>
      <c r="HF178" t="e">
        <f>'All regions'!F4948+"$F;@!(j&lt;"</f>
        <v>#VALUE!</v>
      </c>
      <c r="HG178" t="e">
        <f>'All regions'!G4948+"$F;@!(j="</f>
        <v>#VALUE!</v>
      </c>
      <c r="HH178" t="e">
        <f>'All regions'!H4948+"$F;@!(j&gt;"</f>
        <v>#VALUE!</v>
      </c>
      <c r="HI178" t="e">
        <f>'All regions'!I4948+"$F;@!(j?"</f>
        <v>#VALUE!</v>
      </c>
      <c r="HJ178" t="e">
        <f>'All regions'!A4949+"$F;@!(j@"</f>
        <v>#VALUE!</v>
      </c>
      <c r="HK178" t="e">
        <f>'All regions'!B4949+"$F;@!(jA"</f>
        <v>#VALUE!</v>
      </c>
      <c r="HL178" t="e">
        <f>'All regions'!C4949+"$F;@!(jB"</f>
        <v>#VALUE!</v>
      </c>
      <c r="HM178" t="e">
        <f>'All regions'!D4949+"$F;@!(jC"</f>
        <v>#VALUE!</v>
      </c>
      <c r="HN178" t="e">
        <f>'All regions'!E4949+"$F;@!(jD"</f>
        <v>#VALUE!</v>
      </c>
      <c r="HO178" t="e">
        <f>'All regions'!F4949+"$F;@!(jE"</f>
        <v>#VALUE!</v>
      </c>
      <c r="HP178" t="e">
        <f>'All regions'!G4949+"$F;@!(jF"</f>
        <v>#VALUE!</v>
      </c>
      <c r="HQ178" t="e">
        <f>'All regions'!H4949+"$F;@!(jG"</f>
        <v>#VALUE!</v>
      </c>
      <c r="HR178" t="e">
        <f>'All regions'!A4950+"$F;@!(jH"</f>
        <v>#VALUE!</v>
      </c>
      <c r="HS178" t="e">
        <f>'All regions'!B4950+"$F;@!(jI"</f>
        <v>#VALUE!</v>
      </c>
      <c r="HT178" t="e">
        <f>'All regions'!C4950+"$F;@!(jJ"</f>
        <v>#VALUE!</v>
      </c>
      <c r="HU178" t="e">
        <f>'All regions'!D4950+"$F;@!(jK"</f>
        <v>#VALUE!</v>
      </c>
      <c r="HV178" t="e">
        <f>'All regions'!E4950+"$F;@!(jL"</f>
        <v>#VALUE!</v>
      </c>
      <c r="HW178" t="e">
        <f>'All regions'!F4950+"$F;@!(jM"</f>
        <v>#VALUE!</v>
      </c>
      <c r="HX178" t="e">
        <f>'All regions'!G4950+"$F;@!(jN"</f>
        <v>#VALUE!</v>
      </c>
      <c r="HY178" t="e">
        <f>'All regions'!H4950+"$F;@!(jO"</f>
        <v>#VALUE!</v>
      </c>
      <c r="HZ178" t="e">
        <f>'All regions'!I4950+"$F;@!(jP"</f>
        <v>#VALUE!</v>
      </c>
      <c r="IA178" t="e">
        <f>'All regions'!A4951+"$F;@!(jQ"</f>
        <v>#VALUE!</v>
      </c>
      <c r="IB178" t="e">
        <f>'All regions'!B4951+"$F;@!(jR"</f>
        <v>#VALUE!</v>
      </c>
      <c r="IC178" t="e">
        <f>'All regions'!C4951+"$F;@!(jS"</f>
        <v>#VALUE!</v>
      </c>
      <c r="ID178" t="e">
        <f>'All regions'!D4951+"$F;@!(jT"</f>
        <v>#VALUE!</v>
      </c>
      <c r="IE178" t="e">
        <f>'All regions'!E4951+"$F;@!(jU"</f>
        <v>#VALUE!</v>
      </c>
      <c r="IF178" t="e">
        <f>'All regions'!F4951+"$F;@!(jV"</f>
        <v>#VALUE!</v>
      </c>
      <c r="IG178" t="e">
        <f>'All regions'!G4951+"$F;@!(jW"</f>
        <v>#VALUE!</v>
      </c>
      <c r="IH178" t="e">
        <f>'All regions'!H4951+"$F;@!(jX"</f>
        <v>#VALUE!</v>
      </c>
      <c r="II178" t="e">
        <f>'All regions'!I4951+"$F;@!(jY"</f>
        <v>#VALUE!</v>
      </c>
      <c r="IJ178" t="e">
        <f>'All regions'!A4952+"$F;@!(jZ"</f>
        <v>#VALUE!</v>
      </c>
      <c r="IK178" t="e">
        <f>'All regions'!B4952+"$F;@!(j["</f>
        <v>#VALUE!</v>
      </c>
      <c r="IL178" t="e">
        <f>'All regions'!C4952+"$F;@!(j\"</f>
        <v>#VALUE!</v>
      </c>
      <c r="IM178" t="e">
        <f>'All regions'!D4952+"$F;@!(j]"</f>
        <v>#VALUE!</v>
      </c>
      <c r="IN178" t="e">
        <f>'All regions'!E4952+"$F;@!(j^"</f>
        <v>#VALUE!</v>
      </c>
      <c r="IO178" t="e">
        <f>'All regions'!F4952+"$F;@!(j_"</f>
        <v>#VALUE!</v>
      </c>
      <c r="IP178" t="e">
        <f>'All regions'!G4952+"$F;@!(j`"</f>
        <v>#VALUE!</v>
      </c>
      <c r="IQ178" t="e">
        <f>'All regions'!H4952+"$F;@!(ja"</f>
        <v>#VALUE!</v>
      </c>
      <c r="IR178" t="e">
        <f>'All regions'!I4952+"$F;@!(jb"</f>
        <v>#VALUE!</v>
      </c>
      <c r="IS178" t="e">
        <f>'All regions'!A4953+"$F;@!(jc"</f>
        <v>#VALUE!</v>
      </c>
      <c r="IT178" t="e">
        <f>'All regions'!B4953+"$F;@!(jd"</f>
        <v>#VALUE!</v>
      </c>
      <c r="IU178" t="e">
        <f>'All regions'!C4953+"$F;@!(je"</f>
        <v>#VALUE!</v>
      </c>
      <c r="IV178" t="e">
        <f>'All regions'!D4953+"$F;@!(jf"</f>
        <v>#VALUE!</v>
      </c>
    </row>
    <row r="179" spans="6:256" x14ac:dyDescent="0.35">
      <c r="F179" t="e">
        <f>'All regions'!E4953+"$F;@!(jg"</f>
        <v>#VALUE!</v>
      </c>
      <c r="G179" t="e">
        <f>'All regions'!F4953+"$F;@!(jh"</f>
        <v>#VALUE!</v>
      </c>
      <c r="H179" t="e">
        <f>'All regions'!G4953+"$F;@!(ji"</f>
        <v>#VALUE!</v>
      </c>
      <c r="I179" t="e">
        <f>'All regions'!H4953+"$F;@!(jj"</f>
        <v>#VALUE!</v>
      </c>
      <c r="J179" t="e">
        <f>'All regions'!I4953+"$F;@!(jk"</f>
        <v>#VALUE!</v>
      </c>
      <c r="K179" t="e">
        <f>'All regions'!A4954+"$F;@!(jl"</f>
        <v>#VALUE!</v>
      </c>
      <c r="L179" t="e">
        <f>'All regions'!B4954+"$F;@!(jm"</f>
        <v>#VALUE!</v>
      </c>
      <c r="M179" t="e">
        <f>'All regions'!C4954+"$F;@!(jn"</f>
        <v>#VALUE!</v>
      </c>
      <c r="N179" t="e">
        <f>'All regions'!D4954+"$F;@!(jo"</f>
        <v>#VALUE!</v>
      </c>
      <c r="O179" t="e">
        <f>'All regions'!E4954+"$F;@!(jp"</f>
        <v>#VALUE!</v>
      </c>
      <c r="P179" t="e">
        <f>'All regions'!F4954+"$F;@!(jq"</f>
        <v>#VALUE!</v>
      </c>
      <c r="Q179" t="e">
        <f>'All regions'!G4954+"$F;@!(jr"</f>
        <v>#VALUE!</v>
      </c>
      <c r="R179" t="e">
        <f>'All regions'!H4954+"$F;@!(js"</f>
        <v>#VALUE!</v>
      </c>
      <c r="S179" t="e">
        <f>'All regions'!I4954+"$F;@!(jt"</f>
        <v>#VALUE!</v>
      </c>
      <c r="T179" t="e">
        <f>'All regions'!A4955+"$F;@!(ju"</f>
        <v>#VALUE!</v>
      </c>
      <c r="U179" t="e">
        <f>'All regions'!B4955+"$F;@!(jv"</f>
        <v>#VALUE!</v>
      </c>
      <c r="V179" t="e">
        <f>'All regions'!C4955+"$F;@!(jw"</f>
        <v>#VALUE!</v>
      </c>
      <c r="W179" t="e">
        <f>'All regions'!D4955+"$F;@!(jx"</f>
        <v>#VALUE!</v>
      </c>
      <c r="X179" t="e">
        <f>'All regions'!E4955+"$F;@!(jy"</f>
        <v>#VALUE!</v>
      </c>
      <c r="Y179" t="e">
        <f>'All regions'!F4955+"$F;@!(jz"</f>
        <v>#VALUE!</v>
      </c>
      <c r="Z179" t="e">
        <f>'All regions'!G4955+"$F;@!(j{"</f>
        <v>#VALUE!</v>
      </c>
      <c r="AA179" t="e">
        <f>'All regions'!H4955+"$F;@!(j|"</f>
        <v>#VALUE!</v>
      </c>
      <c r="AB179" t="e">
        <f>'All regions'!I4955+"$F;@!(j}"</f>
        <v>#VALUE!</v>
      </c>
      <c r="AC179" t="e">
        <f>'All regions'!A4956+"$F;@!(j~"</f>
        <v>#VALUE!</v>
      </c>
      <c r="AD179" t="e">
        <f>'All regions'!B4956+"$F;@!(k#"</f>
        <v>#VALUE!</v>
      </c>
      <c r="AE179" t="e">
        <f>'All regions'!C4956+"$F;@!(k$"</f>
        <v>#VALUE!</v>
      </c>
      <c r="AF179" t="e">
        <f>'All regions'!D4956+"$F;@!(k%"</f>
        <v>#VALUE!</v>
      </c>
      <c r="AG179" t="e">
        <f>'All regions'!E4956+"$F;@!(k&amp;"</f>
        <v>#VALUE!</v>
      </c>
      <c r="AH179" t="e">
        <f>'All regions'!F4956+"$F;@!(k'"</f>
        <v>#VALUE!</v>
      </c>
      <c r="AI179" t="e">
        <f>'All regions'!G4956+"$F;@!(k("</f>
        <v>#VALUE!</v>
      </c>
      <c r="AJ179" t="e">
        <f>'All regions'!H4956+"$F;@!(k)"</f>
        <v>#VALUE!</v>
      </c>
      <c r="AK179" t="e">
        <f>'All regions'!I4956+"$F;@!(k."</f>
        <v>#VALUE!</v>
      </c>
      <c r="AL179" t="e">
        <f>'All regions'!A4957+"$F;@!(k/"</f>
        <v>#VALUE!</v>
      </c>
      <c r="AM179" t="e">
        <f>'All regions'!B4957+"$F;@!(k0"</f>
        <v>#VALUE!</v>
      </c>
      <c r="AN179" t="e">
        <f>'All regions'!C4957+"$F;@!(k1"</f>
        <v>#VALUE!</v>
      </c>
      <c r="AO179" t="e">
        <f>'All regions'!D4957+"$F;@!(k2"</f>
        <v>#VALUE!</v>
      </c>
      <c r="AP179" t="e">
        <f>'All regions'!E4957+"$F;@!(k3"</f>
        <v>#VALUE!</v>
      </c>
      <c r="AQ179" t="e">
        <f>'All regions'!F4957+"$F;@!(k4"</f>
        <v>#VALUE!</v>
      </c>
      <c r="AR179" t="e">
        <f>'All regions'!G4957+"$F;@!(k5"</f>
        <v>#VALUE!</v>
      </c>
      <c r="AS179" t="e">
        <f>'All regions'!H4957+"$F;@!(k6"</f>
        <v>#VALUE!</v>
      </c>
      <c r="AT179" t="e">
        <f>'All regions'!I4957+"$F;@!(k7"</f>
        <v>#VALUE!</v>
      </c>
      <c r="AU179" t="e">
        <f>'All regions'!A4958+"$F;@!(k8"</f>
        <v>#VALUE!</v>
      </c>
      <c r="AV179" t="e">
        <f>'All regions'!B4958+"$F;@!(k9"</f>
        <v>#VALUE!</v>
      </c>
      <c r="AW179" t="e">
        <f>'All regions'!C4958+"$F;@!(k:"</f>
        <v>#VALUE!</v>
      </c>
      <c r="AX179" t="e">
        <f>'All regions'!D4958+"$F;@!(k;"</f>
        <v>#VALUE!</v>
      </c>
      <c r="AY179" t="e">
        <f>'All regions'!E4958+"$F;@!(k&lt;"</f>
        <v>#VALUE!</v>
      </c>
      <c r="AZ179" t="e">
        <f>'All regions'!F4958+"$F;@!(k="</f>
        <v>#VALUE!</v>
      </c>
      <c r="BA179" t="e">
        <f>'All regions'!G4958+"$F;@!(k&gt;"</f>
        <v>#VALUE!</v>
      </c>
      <c r="BB179" t="e">
        <f>'All regions'!H4958+"$F;@!(k?"</f>
        <v>#VALUE!</v>
      </c>
      <c r="BC179" t="e">
        <f>'All regions'!I4958+"$F;@!(k@"</f>
        <v>#VALUE!</v>
      </c>
      <c r="BD179" t="e">
        <f>'All regions'!A4959+"$F;@!(kA"</f>
        <v>#VALUE!</v>
      </c>
      <c r="BE179" t="e">
        <f>'All regions'!B4959+"$F;@!(kB"</f>
        <v>#VALUE!</v>
      </c>
      <c r="BF179" t="e">
        <f>'All regions'!C4959+"$F;@!(kC"</f>
        <v>#VALUE!</v>
      </c>
      <c r="BG179" t="e">
        <f>'All regions'!D4959+"$F;@!(kD"</f>
        <v>#VALUE!</v>
      </c>
      <c r="BH179" t="e">
        <f>'All regions'!E4959+"$F;@!(kE"</f>
        <v>#VALUE!</v>
      </c>
      <c r="BI179" t="e">
        <f>'All regions'!F4959+"$F;@!(kF"</f>
        <v>#VALUE!</v>
      </c>
      <c r="BJ179" t="e">
        <f>'All regions'!G4959+"$F;@!(kG"</f>
        <v>#VALUE!</v>
      </c>
      <c r="BK179" t="e">
        <f>'All regions'!H4959+"$F;@!(kH"</f>
        <v>#VALUE!</v>
      </c>
      <c r="BL179" t="e">
        <f>'All regions'!I4959+"$F;@!(kI"</f>
        <v>#VALUE!</v>
      </c>
      <c r="BM179" t="e">
        <f>'All regions'!A4960+"$F;@!(kJ"</f>
        <v>#VALUE!</v>
      </c>
      <c r="BN179" t="e">
        <f>'All regions'!B4960+"$F;@!(kK"</f>
        <v>#VALUE!</v>
      </c>
      <c r="BO179" t="e">
        <f>'All regions'!C4960+"$F;@!(kL"</f>
        <v>#VALUE!</v>
      </c>
      <c r="BP179" t="e">
        <f>'All regions'!D4960+"$F;@!(kM"</f>
        <v>#VALUE!</v>
      </c>
      <c r="BQ179" t="e">
        <f>'All regions'!E4960+"$F;@!(kN"</f>
        <v>#VALUE!</v>
      </c>
      <c r="BR179" t="e">
        <f>'All regions'!F4960+"$F;@!(kO"</f>
        <v>#VALUE!</v>
      </c>
      <c r="BS179" t="e">
        <f>'All regions'!G4960+"$F;@!(kP"</f>
        <v>#VALUE!</v>
      </c>
      <c r="BT179" t="e">
        <f>'All regions'!H4960+"$F;@!(kQ"</f>
        <v>#VALUE!</v>
      </c>
      <c r="BU179" t="e">
        <f>'All regions'!I4960+"$F;@!(kR"</f>
        <v>#VALUE!</v>
      </c>
      <c r="BV179" t="e">
        <f>'All regions'!A4961+"$F;@!(kS"</f>
        <v>#VALUE!</v>
      </c>
      <c r="BW179" t="e">
        <f>'All regions'!B4961+"$F;@!(kT"</f>
        <v>#VALUE!</v>
      </c>
      <c r="BX179" t="e">
        <f>'All regions'!C4961+"$F;@!(kU"</f>
        <v>#VALUE!</v>
      </c>
      <c r="BY179" t="e">
        <f>'All regions'!D4961+"$F;@!(kV"</f>
        <v>#VALUE!</v>
      </c>
      <c r="BZ179" t="e">
        <f>'All regions'!E4961+"$F;@!(kW"</f>
        <v>#VALUE!</v>
      </c>
      <c r="CA179" t="e">
        <f>'All regions'!F4961+"$F;@!(kX"</f>
        <v>#VALUE!</v>
      </c>
      <c r="CB179" t="e">
        <f>'All regions'!G4961+"$F;@!(kY"</f>
        <v>#VALUE!</v>
      </c>
      <c r="CC179" t="e">
        <f>'All regions'!H4961+"$F;@!(kZ"</f>
        <v>#VALUE!</v>
      </c>
      <c r="CD179" t="e">
        <f>'All regions'!I4961+"$F;@!(k["</f>
        <v>#VALUE!</v>
      </c>
      <c r="CE179" t="e">
        <f>'All regions'!A4962+"$F;@!(k\"</f>
        <v>#VALUE!</v>
      </c>
      <c r="CF179" t="e">
        <f>'All regions'!B4962+"$F;@!(k]"</f>
        <v>#VALUE!</v>
      </c>
      <c r="CG179" t="e">
        <f>'All regions'!C4962+"$F;@!(k^"</f>
        <v>#VALUE!</v>
      </c>
      <c r="CH179" t="e">
        <f>'All regions'!D4962+"$F;@!(k_"</f>
        <v>#VALUE!</v>
      </c>
      <c r="CI179" t="e">
        <f>'All regions'!E4962+"$F;@!(k`"</f>
        <v>#VALUE!</v>
      </c>
      <c r="CJ179" t="e">
        <f>'All regions'!F4962+"$F;@!(ka"</f>
        <v>#VALUE!</v>
      </c>
      <c r="CK179" t="e">
        <f>'All regions'!G4962+"$F;@!(kb"</f>
        <v>#VALUE!</v>
      </c>
      <c r="CL179" t="e">
        <f>'All regions'!H4962+"$F;@!(kc"</f>
        <v>#VALUE!</v>
      </c>
      <c r="CM179" t="e">
        <f>'All regions'!I4962+"$F;@!(kd"</f>
        <v>#VALUE!</v>
      </c>
      <c r="CN179" t="e">
        <f>'All regions'!A4963+"$F;@!(ke"</f>
        <v>#VALUE!</v>
      </c>
      <c r="CO179" t="e">
        <f>'All regions'!B4963+"$F;@!(kf"</f>
        <v>#VALUE!</v>
      </c>
      <c r="CP179" t="e">
        <f>'All regions'!C4963+"$F;@!(kg"</f>
        <v>#VALUE!</v>
      </c>
      <c r="CQ179" t="e">
        <f>'All regions'!D4963+"$F;@!(kh"</f>
        <v>#VALUE!</v>
      </c>
      <c r="CR179" t="e">
        <f>'All regions'!E4963+"$F;@!(ki"</f>
        <v>#VALUE!</v>
      </c>
      <c r="CS179" t="e">
        <f>'All regions'!F4963+"$F;@!(kj"</f>
        <v>#VALUE!</v>
      </c>
      <c r="CT179" t="e">
        <f>'All regions'!G4963+"$F;@!(kk"</f>
        <v>#VALUE!</v>
      </c>
      <c r="CU179" t="e">
        <f>'All regions'!H4963+"$F;@!(kl"</f>
        <v>#VALUE!</v>
      </c>
      <c r="CV179" t="e">
        <f>'All regions'!I4963+"$F;@!(km"</f>
        <v>#VALUE!</v>
      </c>
      <c r="CW179" t="e">
        <f>'All regions'!A4964+"$F;@!(kn"</f>
        <v>#VALUE!</v>
      </c>
      <c r="CX179" t="e">
        <f>'All regions'!B4964+"$F;@!(ko"</f>
        <v>#VALUE!</v>
      </c>
      <c r="CY179" t="e">
        <f>'All regions'!C4964+"$F;@!(kp"</f>
        <v>#VALUE!</v>
      </c>
      <c r="CZ179" t="e">
        <f>'All regions'!D4964+"$F;@!(kq"</f>
        <v>#VALUE!</v>
      </c>
      <c r="DA179" t="e">
        <f>'All regions'!E4964+"$F;@!(kr"</f>
        <v>#VALUE!</v>
      </c>
      <c r="DB179" t="e">
        <f>'All regions'!F4964+"$F;@!(ks"</f>
        <v>#VALUE!</v>
      </c>
      <c r="DC179" t="e">
        <f>'All regions'!G4964+"$F;@!(kt"</f>
        <v>#VALUE!</v>
      </c>
      <c r="DD179" t="e">
        <f>'All regions'!H4964+"$F;@!(ku"</f>
        <v>#VALUE!</v>
      </c>
      <c r="DE179" t="e">
        <f>'All regions'!I4964+"$F;@!(kv"</f>
        <v>#VALUE!</v>
      </c>
      <c r="DF179" t="e">
        <f>'All regions'!A4965+"$F;@!(kw"</f>
        <v>#VALUE!</v>
      </c>
      <c r="DG179" t="e">
        <f>'All regions'!B4965+"$F;@!(kx"</f>
        <v>#VALUE!</v>
      </c>
      <c r="DH179" t="e">
        <f>'All regions'!C4965+"$F;@!(ky"</f>
        <v>#VALUE!</v>
      </c>
      <c r="DI179" t="e">
        <f>'All regions'!D4965+"$F;@!(kz"</f>
        <v>#VALUE!</v>
      </c>
      <c r="DJ179" t="e">
        <f>'All regions'!E4965+"$F;@!(k{"</f>
        <v>#VALUE!</v>
      </c>
      <c r="DK179" t="e">
        <f>'All regions'!F4965+"$F;@!(k|"</f>
        <v>#VALUE!</v>
      </c>
      <c r="DL179" t="e">
        <f>'All regions'!G4965+"$F;@!(k}"</f>
        <v>#VALUE!</v>
      </c>
      <c r="DM179" t="e">
        <f>'All regions'!H4965+"$F;@!(k~"</f>
        <v>#VALUE!</v>
      </c>
      <c r="DN179" t="e">
        <f>'All regions'!I4965+"$F;@!(l#"</f>
        <v>#VALUE!</v>
      </c>
      <c r="DO179" t="e">
        <f>'All regions'!A4966+"$F;@!(l$"</f>
        <v>#VALUE!</v>
      </c>
      <c r="DP179" t="e">
        <f>'All regions'!B4966+"$F;@!(l%"</f>
        <v>#VALUE!</v>
      </c>
      <c r="DQ179" t="e">
        <f>'All regions'!C4966+"$F;@!(l&amp;"</f>
        <v>#VALUE!</v>
      </c>
      <c r="DR179" t="e">
        <f>'All regions'!D4966+"$F;@!(l'"</f>
        <v>#VALUE!</v>
      </c>
      <c r="DS179" t="e">
        <f>'All regions'!E4966+"$F;@!(l("</f>
        <v>#VALUE!</v>
      </c>
      <c r="DT179" t="e">
        <f>'All regions'!F4966+"$F;@!(l)"</f>
        <v>#VALUE!</v>
      </c>
      <c r="DU179" t="e">
        <f>'All regions'!G4966+"$F;@!(l."</f>
        <v>#VALUE!</v>
      </c>
      <c r="DV179" t="e">
        <f>'All regions'!H4966+"$F;@!(l/"</f>
        <v>#VALUE!</v>
      </c>
      <c r="DW179" t="e">
        <f>'All regions'!I4966+"$F;@!(l0"</f>
        <v>#VALUE!</v>
      </c>
      <c r="DX179" t="e">
        <f>'All regions'!A4967+"$F;@!(l1"</f>
        <v>#VALUE!</v>
      </c>
      <c r="DY179" t="e">
        <f>'All regions'!B4967+"$F;@!(l2"</f>
        <v>#VALUE!</v>
      </c>
      <c r="DZ179" t="e">
        <f>'All regions'!C4967+"$F;@!(l3"</f>
        <v>#VALUE!</v>
      </c>
      <c r="EA179" t="e">
        <f>'All regions'!D4967+"$F;@!(l4"</f>
        <v>#VALUE!</v>
      </c>
      <c r="EB179" t="e">
        <f>'All regions'!E4967+"$F;@!(l5"</f>
        <v>#VALUE!</v>
      </c>
      <c r="EC179" t="e">
        <f>'All regions'!F4967+"$F;@!(l6"</f>
        <v>#VALUE!</v>
      </c>
      <c r="ED179" t="e">
        <f>'All regions'!G4967+"$F;@!(l7"</f>
        <v>#VALUE!</v>
      </c>
      <c r="EE179" t="e">
        <f>'All regions'!H4967+"$F;@!(l8"</f>
        <v>#VALUE!</v>
      </c>
      <c r="EF179" t="e">
        <f>'All regions'!I4967+"$F;@!(l9"</f>
        <v>#VALUE!</v>
      </c>
      <c r="EG179" t="e">
        <f>'All regions'!A4968+"$F;@!(l:"</f>
        <v>#VALUE!</v>
      </c>
      <c r="EH179" t="e">
        <f>'All regions'!B4968+"$F;@!(l;"</f>
        <v>#VALUE!</v>
      </c>
      <c r="EI179" t="e">
        <f>'All regions'!C4968+"$F;@!(l&lt;"</f>
        <v>#VALUE!</v>
      </c>
      <c r="EJ179" t="e">
        <f>'All regions'!D4968+"$F;@!(l="</f>
        <v>#VALUE!</v>
      </c>
      <c r="EK179" t="e">
        <f>'All regions'!E4968+"$F;@!(l&gt;"</f>
        <v>#VALUE!</v>
      </c>
      <c r="EL179" t="e">
        <f>'All regions'!F4968+"$F;@!(l?"</f>
        <v>#VALUE!</v>
      </c>
      <c r="EM179" t="e">
        <f>'All regions'!G4968+"$F;@!(l@"</f>
        <v>#VALUE!</v>
      </c>
      <c r="EN179" t="e">
        <f>'All regions'!H4968+"$F;@!(lA"</f>
        <v>#VALUE!</v>
      </c>
      <c r="EO179" t="e">
        <f>'All regions'!I4968+"$F;@!(lB"</f>
        <v>#VALUE!</v>
      </c>
      <c r="EP179" t="e">
        <f>'All regions'!A4969+"$F;@!(lC"</f>
        <v>#VALUE!</v>
      </c>
      <c r="EQ179" t="e">
        <f>'All regions'!B4969+"$F;@!(lD"</f>
        <v>#VALUE!</v>
      </c>
      <c r="ER179" t="e">
        <f>'All regions'!C4969+"$F;@!(lE"</f>
        <v>#VALUE!</v>
      </c>
      <c r="ES179" t="e">
        <f>'All regions'!D4969+"$F;@!(lF"</f>
        <v>#VALUE!</v>
      </c>
      <c r="ET179" t="e">
        <f>'All regions'!E4969+"$F;@!(lG"</f>
        <v>#VALUE!</v>
      </c>
      <c r="EU179" t="e">
        <f>'All regions'!F4969+"$F;@!(lH"</f>
        <v>#VALUE!</v>
      </c>
      <c r="EV179" t="e">
        <f>'All regions'!G4969+"$F;@!(lI"</f>
        <v>#VALUE!</v>
      </c>
      <c r="EW179" t="e">
        <f>'All regions'!H4969+"$F;@!(lJ"</f>
        <v>#VALUE!</v>
      </c>
      <c r="EX179" t="e">
        <f>'All regions'!I4969+"$F;@!(lK"</f>
        <v>#VALUE!</v>
      </c>
      <c r="EY179" t="e">
        <f>'All regions'!A4970+"$F;@!(lL"</f>
        <v>#VALUE!</v>
      </c>
      <c r="EZ179" t="e">
        <f>'All regions'!B4970+"$F;@!(lM"</f>
        <v>#VALUE!</v>
      </c>
      <c r="FA179" t="e">
        <f>'All regions'!C4970+"$F;@!(lN"</f>
        <v>#VALUE!</v>
      </c>
      <c r="FB179" t="e">
        <f>'All regions'!D4970+"$F;@!(lO"</f>
        <v>#VALUE!</v>
      </c>
      <c r="FC179" t="e">
        <f>'All regions'!E4970+"$F;@!(lP"</f>
        <v>#VALUE!</v>
      </c>
      <c r="FD179" t="e">
        <f>'All regions'!F4970+"$F;@!(lQ"</f>
        <v>#VALUE!</v>
      </c>
      <c r="FE179" t="e">
        <f>'All regions'!G4970+"$F;@!(lR"</f>
        <v>#VALUE!</v>
      </c>
      <c r="FF179" t="e">
        <f>'All regions'!H4970+"$F;@!(lS"</f>
        <v>#VALUE!</v>
      </c>
      <c r="FG179" t="e">
        <f>'All regions'!I4970+"$F;@!(lT"</f>
        <v>#VALUE!</v>
      </c>
      <c r="FH179" t="e">
        <f>'All regions'!A4971+"$F;@!(lU"</f>
        <v>#VALUE!</v>
      </c>
      <c r="FI179" t="e">
        <f>'All regions'!B4971+"$F;@!(lV"</f>
        <v>#VALUE!</v>
      </c>
      <c r="FJ179" t="e">
        <f>'All regions'!C4971+"$F;@!(lW"</f>
        <v>#VALUE!</v>
      </c>
      <c r="FK179" t="e">
        <f>'All regions'!D4971+"$F;@!(lX"</f>
        <v>#VALUE!</v>
      </c>
      <c r="FL179" t="e">
        <f>'All regions'!E4971+"$F;@!(lY"</f>
        <v>#VALUE!</v>
      </c>
      <c r="FM179" t="e">
        <f>'All regions'!F4971+"$F;@!(lZ"</f>
        <v>#VALUE!</v>
      </c>
      <c r="FN179" t="e">
        <f>'All regions'!G4971+"$F;@!(l["</f>
        <v>#VALUE!</v>
      </c>
      <c r="FO179" t="e">
        <f>'All regions'!H4971+"$F;@!(l\"</f>
        <v>#VALUE!</v>
      </c>
      <c r="FP179" t="e">
        <f>'All regions'!I4971+"$F;@!(l]"</f>
        <v>#VALUE!</v>
      </c>
      <c r="FQ179" t="e">
        <f>'All regions'!A4972+"$F;@!(l^"</f>
        <v>#VALUE!</v>
      </c>
      <c r="FR179" t="e">
        <f>'All regions'!B4972+"$F;@!(l_"</f>
        <v>#VALUE!</v>
      </c>
      <c r="FS179" t="e">
        <f>'All regions'!C4972+"$F;@!(l`"</f>
        <v>#VALUE!</v>
      </c>
      <c r="FT179" t="e">
        <f>'All regions'!D4972+"$F;@!(la"</f>
        <v>#VALUE!</v>
      </c>
      <c r="FU179" t="e">
        <f>'All regions'!E4972+"$F;@!(lb"</f>
        <v>#VALUE!</v>
      </c>
      <c r="FV179" t="e">
        <f>'All regions'!F4972+"$F;@!(lc"</f>
        <v>#VALUE!</v>
      </c>
      <c r="FW179" t="e">
        <f>'All regions'!G4972+"$F;@!(ld"</f>
        <v>#VALUE!</v>
      </c>
      <c r="FX179" t="e">
        <f>'All regions'!H4972+"$F;@!(le"</f>
        <v>#VALUE!</v>
      </c>
      <c r="FY179" t="e">
        <f>'All regions'!I4972+"$F;@!(lf"</f>
        <v>#VALUE!</v>
      </c>
      <c r="FZ179" t="e">
        <f>'All regions'!A4973+"$F;@!(lg"</f>
        <v>#VALUE!</v>
      </c>
      <c r="GA179" t="e">
        <f>'All regions'!B4973+"$F;@!(lh"</f>
        <v>#VALUE!</v>
      </c>
      <c r="GB179" t="e">
        <f>'All regions'!C4973+"$F;@!(li"</f>
        <v>#VALUE!</v>
      </c>
      <c r="GC179" t="e">
        <f>'All regions'!D4973+"$F;@!(lj"</f>
        <v>#VALUE!</v>
      </c>
      <c r="GD179" t="e">
        <f>'All regions'!E4973+"$F;@!(lk"</f>
        <v>#VALUE!</v>
      </c>
      <c r="GE179" t="e">
        <f>'All regions'!F4973+"$F;@!(ll"</f>
        <v>#VALUE!</v>
      </c>
      <c r="GF179" t="e">
        <f>'All regions'!G4973+"$F;@!(lm"</f>
        <v>#VALUE!</v>
      </c>
      <c r="GG179" t="e">
        <f>'All regions'!H4973+"$F;@!(ln"</f>
        <v>#VALUE!</v>
      </c>
      <c r="GH179" t="e">
        <f>'All regions'!I4973+"$F;@!(lo"</f>
        <v>#VALUE!</v>
      </c>
      <c r="GI179" t="e">
        <f>'All regions'!A4974+"$F;@!(lp"</f>
        <v>#VALUE!</v>
      </c>
      <c r="GJ179" t="e">
        <f>'All regions'!B4974+"$F;@!(lq"</f>
        <v>#VALUE!</v>
      </c>
      <c r="GK179" t="e">
        <f>'All regions'!C4974+"$F;@!(lr"</f>
        <v>#VALUE!</v>
      </c>
      <c r="GL179" t="e">
        <f>'All regions'!D4974+"$F;@!(ls"</f>
        <v>#VALUE!</v>
      </c>
      <c r="GM179" t="e">
        <f>'All regions'!E4974+"$F;@!(lt"</f>
        <v>#VALUE!</v>
      </c>
      <c r="GN179" t="e">
        <f>'All regions'!F4974+"$F;@!(lu"</f>
        <v>#VALUE!</v>
      </c>
      <c r="GO179" t="e">
        <f>'All regions'!G4974+"$F;@!(lv"</f>
        <v>#VALUE!</v>
      </c>
      <c r="GP179" t="e">
        <f>'All regions'!H4974+"$F;@!(lw"</f>
        <v>#VALUE!</v>
      </c>
      <c r="GQ179" t="e">
        <f>'All regions'!I4974+"$F;@!(lx"</f>
        <v>#VALUE!</v>
      </c>
      <c r="GR179" t="e">
        <f>'All regions'!A4975+"$F;@!(ly"</f>
        <v>#VALUE!</v>
      </c>
      <c r="GS179" t="e">
        <f>'All regions'!B4975+"$F;@!(lz"</f>
        <v>#VALUE!</v>
      </c>
      <c r="GT179" t="e">
        <f>'All regions'!C4975+"$F;@!(l{"</f>
        <v>#VALUE!</v>
      </c>
      <c r="GU179" t="e">
        <f>'All regions'!D4975+"$F;@!(l|"</f>
        <v>#VALUE!</v>
      </c>
      <c r="GV179" t="e">
        <f>'All regions'!E4975+"$F;@!(l}"</f>
        <v>#VALUE!</v>
      </c>
      <c r="GW179" t="e">
        <f>'All regions'!F4975+"$F;@!(l~"</f>
        <v>#VALUE!</v>
      </c>
      <c r="GX179" t="e">
        <f>'All regions'!G4975+"$F;@!(m#"</f>
        <v>#VALUE!</v>
      </c>
      <c r="GY179" t="e">
        <f>'All regions'!H4975+"$F;@!(m$"</f>
        <v>#VALUE!</v>
      </c>
      <c r="GZ179" t="e">
        <f>'All regions'!I4975+"$F;@!(m%"</f>
        <v>#VALUE!</v>
      </c>
      <c r="HA179" t="e">
        <f>'All regions'!A4976+"$F;@!(m&amp;"</f>
        <v>#VALUE!</v>
      </c>
      <c r="HB179" t="e">
        <f>'All regions'!B4976+"$F;@!(m'"</f>
        <v>#VALUE!</v>
      </c>
      <c r="HC179" t="e">
        <f>'All regions'!C4976+"$F;@!(m("</f>
        <v>#VALUE!</v>
      </c>
      <c r="HD179" t="e">
        <f>'All regions'!D4976+"$F;@!(m)"</f>
        <v>#VALUE!</v>
      </c>
      <c r="HE179" t="e">
        <f>'All regions'!E4976+"$F;@!(m."</f>
        <v>#VALUE!</v>
      </c>
      <c r="HF179" t="e">
        <f>'All regions'!F4976+"$F;@!(m/"</f>
        <v>#VALUE!</v>
      </c>
      <c r="HG179" t="e">
        <f>'All regions'!G4976+"$F;@!(m0"</f>
        <v>#VALUE!</v>
      </c>
      <c r="HH179" t="e">
        <f>'All regions'!H4976+"$F;@!(m1"</f>
        <v>#VALUE!</v>
      </c>
      <c r="HI179" t="e">
        <f>'All regions'!I4976+"$F;@!(m2"</f>
        <v>#VALUE!</v>
      </c>
      <c r="HJ179" t="e">
        <f>'All regions'!A4977+"$F;@!(m3"</f>
        <v>#VALUE!</v>
      </c>
      <c r="HK179" t="e">
        <f>'All regions'!B4977+"$F;@!(m4"</f>
        <v>#VALUE!</v>
      </c>
      <c r="HL179" t="e">
        <f>'All regions'!C4977+"$F;@!(m5"</f>
        <v>#VALUE!</v>
      </c>
      <c r="HM179" t="e">
        <f>'All regions'!D4977+"$F;@!(m6"</f>
        <v>#VALUE!</v>
      </c>
      <c r="HN179" t="e">
        <f>'All regions'!E4977+"$F;@!(m7"</f>
        <v>#VALUE!</v>
      </c>
      <c r="HO179" t="e">
        <f>'All regions'!F4977+"$F;@!(m8"</f>
        <v>#VALUE!</v>
      </c>
      <c r="HP179" t="e">
        <f>'All regions'!G4977+"$F;@!(m9"</f>
        <v>#VALUE!</v>
      </c>
      <c r="HQ179" t="e">
        <f>'All regions'!H4977+"$F;@!(m:"</f>
        <v>#VALUE!</v>
      </c>
      <c r="HR179" t="e">
        <f>'All regions'!I4977+"$F;@!(m;"</f>
        <v>#VALUE!</v>
      </c>
      <c r="HS179" t="e">
        <f>'All regions'!A4978+"$F;@!(m&lt;"</f>
        <v>#VALUE!</v>
      </c>
      <c r="HT179" t="e">
        <f>'All regions'!B4978+"$F;@!(m="</f>
        <v>#VALUE!</v>
      </c>
      <c r="HU179" t="e">
        <f>'All regions'!C4978+"$F;@!(m&gt;"</f>
        <v>#VALUE!</v>
      </c>
      <c r="HV179" t="e">
        <f>'All regions'!D4978+"$F;@!(m?"</f>
        <v>#VALUE!</v>
      </c>
      <c r="HW179" t="e">
        <f>'All regions'!E4978+"$F;@!(m@"</f>
        <v>#VALUE!</v>
      </c>
      <c r="HX179" t="e">
        <f>'All regions'!F4978+"$F;@!(mA"</f>
        <v>#VALUE!</v>
      </c>
      <c r="HY179" t="e">
        <f>'All regions'!G4978+"$F;@!(mB"</f>
        <v>#VALUE!</v>
      </c>
      <c r="HZ179" t="e">
        <f>'All regions'!H4978+"$F;@!(mC"</f>
        <v>#VALUE!</v>
      </c>
      <c r="IA179" t="e">
        <f>'All regions'!I4978+"$F;@!(mD"</f>
        <v>#VALUE!</v>
      </c>
      <c r="IB179" t="e">
        <f>'All regions'!A4979+"$F;@!(mE"</f>
        <v>#VALUE!</v>
      </c>
      <c r="IC179" t="e">
        <f>'All regions'!B4979+"$F;@!(mF"</f>
        <v>#VALUE!</v>
      </c>
      <c r="ID179" t="e">
        <f>'All regions'!C4979+"$F;@!(mG"</f>
        <v>#VALUE!</v>
      </c>
      <c r="IE179" t="e">
        <f>'All regions'!D4979+"$F;@!(mH"</f>
        <v>#VALUE!</v>
      </c>
      <c r="IF179" t="e">
        <f>'All regions'!E4979+"$F;@!(mI"</f>
        <v>#VALUE!</v>
      </c>
      <c r="IG179" t="e">
        <f>'All regions'!F4979+"$F;@!(mJ"</f>
        <v>#VALUE!</v>
      </c>
      <c r="IH179" t="e">
        <f>'All regions'!G4979+"$F;@!(mK"</f>
        <v>#VALUE!</v>
      </c>
      <c r="II179" t="e">
        <f>'All regions'!H4979+"$F;@!(mL"</f>
        <v>#VALUE!</v>
      </c>
      <c r="IJ179" t="e">
        <f>'All regions'!I4979+"$F;@!(mM"</f>
        <v>#VALUE!</v>
      </c>
      <c r="IK179" t="e">
        <f>'All regions'!A4980+"$F;@!(mN"</f>
        <v>#VALUE!</v>
      </c>
      <c r="IL179" t="e">
        <f>'All regions'!B4980+"$F;@!(mO"</f>
        <v>#VALUE!</v>
      </c>
      <c r="IM179" t="e">
        <f>'All regions'!C4980+"$F;@!(mP"</f>
        <v>#VALUE!</v>
      </c>
      <c r="IN179" t="e">
        <f>'All regions'!D4980+"$F;@!(mQ"</f>
        <v>#VALUE!</v>
      </c>
      <c r="IO179" t="e">
        <f>'All regions'!E4980+"$F;@!(mR"</f>
        <v>#VALUE!</v>
      </c>
      <c r="IP179" t="e">
        <f>'All regions'!F4980+"$F;@!(mS"</f>
        <v>#VALUE!</v>
      </c>
      <c r="IQ179" t="e">
        <f>'All regions'!G4980+"$F;@!(mT"</f>
        <v>#VALUE!</v>
      </c>
      <c r="IR179" t="e">
        <f>'All regions'!H4980+"$F;@!(mU"</f>
        <v>#VALUE!</v>
      </c>
      <c r="IS179" t="e">
        <f>'All regions'!I4980+"$F;@!(mV"</f>
        <v>#VALUE!</v>
      </c>
      <c r="IT179" t="e">
        <f>'All regions'!A4981+"$F;@!(mW"</f>
        <v>#VALUE!</v>
      </c>
      <c r="IU179" t="e">
        <f>'All regions'!B4981+"$F;@!(mX"</f>
        <v>#VALUE!</v>
      </c>
      <c r="IV179" t="e">
        <f>'All regions'!C4981+"$F;@!(mY"</f>
        <v>#VALUE!</v>
      </c>
    </row>
    <row r="180" spans="6:256" x14ac:dyDescent="0.35">
      <c r="F180" t="e">
        <f>'All regions'!D4981+"$F;@!(mZ"</f>
        <v>#VALUE!</v>
      </c>
      <c r="G180" t="e">
        <f>'All regions'!E4981+"$F;@!(m["</f>
        <v>#VALUE!</v>
      </c>
      <c r="H180" t="e">
        <f>'All regions'!F4981+"$F;@!(m\"</f>
        <v>#VALUE!</v>
      </c>
      <c r="I180" t="e">
        <f>'All regions'!G4981+"$F;@!(m]"</f>
        <v>#VALUE!</v>
      </c>
      <c r="J180" t="e">
        <f>'All regions'!H4981+"$F;@!(m^"</f>
        <v>#VALUE!</v>
      </c>
      <c r="K180" t="e">
        <f>'All regions'!I4981+"$F;@!(m_"</f>
        <v>#VALUE!</v>
      </c>
      <c r="L180" t="e">
        <f>'All regions'!A4982+"$F;@!(m`"</f>
        <v>#VALUE!</v>
      </c>
      <c r="M180" t="e">
        <f>'All regions'!B4982+"$F;@!(ma"</f>
        <v>#VALUE!</v>
      </c>
      <c r="N180" t="e">
        <f>'All regions'!C4982+"$F;@!(mb"</f>
        <v>#VALUE!</v>
      </c>
      <c r="O180" t="e">
        <f>'All regions'!D4982+"$F;@!(mc"</f>
        <v>#VALUE!</v>
      </c>
      <c r="P180" t="e">
        <f>'All regions'!E4982+"$F;@!(md"</f>
        <v>#VALUE!</v>
      </c>
      <c r="Q180" t="e">
        <f>'All regions'!F4982+"$F;@!(me"</f>
        <v>#VALUE!</v>
      </c>
      <c r="R180" t="e">
        <f>'All regions'!G4982+"$F;@!(mf"</f>
        <v>#VALUE!</v>
      </c>
      <c r="S180" t="e">
        <f>'All regions'!H4982+"$F;@!(mg"</f>
        <v>#VALUE!</v>
      </c>
      <c r="T180" t="e">
        <f>'All regions'!I4982+"$F;@!(mh"</f>
        <v>#VALUE!</v>
      </c>
      <c r="U180" t="e">
        <f>'All regions'!A4983+"$F;@!(mi"</f>
        <v>#VALUE!</v>
      </c>
      <c r="V180" t="e">
        <f>'All regions'!B4983+"$F;@!(mj"</f>
        <v>#VALUE!</v>
      </c>
      <c r="W180" t="e">
        <f>'All regions'!C4983+"$F;@!(mk"</f>
        <v>#VALUE!</v>
      </c>
      <c r="X180" t="e">
        <f>'All regions'!D4983+"$F;@!(ml"</f>
        <v>#VALUE!</v>
      </c>
      <c r="Y180" t="e">
        <f>'All regions'!E4983+"$F;@!(mm"</f>
        <v>#VALUE!</v>
      </c>
      <c r="Z180" t="e">
        <f>'All regions'!F4983+"$F;@!(mn"</f>
        <v>#VALUE!</v>
      </c>
      <c r="AA180" t="e">
        <f>'All regions'!G4983+"$F;@!(mo"</f>
        <v>#VALUE!</v>
      </c>
      <c r="AB180" t="e">
        <f>'All regions'!H4983+"$F;@!(mp"</f>
        <v>#VALUE!</v>
      </c>
      <c r="AC180" t="e">
        <f>'All regions'!I4983+"$F;@!(mq"</f>
        <v>#VALUE!</v>
      </c>
      <c r="AD180" t="e">
        <f>'All regions'!A4984+"$F;@!(mr"</f>
        <v>#VALUE!</v>
      </c>
      <c r="AE180" t="e">
        <f>'All regions'!B4984+"$F;@!(ms"</f>
        <v>#VALUE!</v>
      </c>
      <c r="AF180" t="e">
        <f>'All regions'!C4984+"$F;@!(mt"</f>
        <v>#VALUE!</v>
      </c>
      <c r="AG180" t="e">
        <f>'All regions'!D4984+"$F;@!(mu"</f>
        <v>#VALUE!</v>
      </c>
      <c r="AH180" t="e">
        <f>'All regions'!E4984+"$F;@!(mv"</f>
        <v>#VALUE!</v>
      </c>
      <c r="AI180" t="e">
        <f>'All regions'!F4984+"$F;@!(mw"</f>
        <v>#VALUE!</v>
      </c>
      <c r="AJ180" t="e">
        <f>'All regions'!G4984+"$F;@!(mx"</f>
        <v>#VALUE!</v>
      </c>
      <c r="AK180" t="e">
        <f>'All regions'!H4984+"$F;@!(my"</f>
        <v>#VALUE!</v>
      </c>
      <c r="AL180" t="e">
        <f>'All regions'!I4984+"$F;@!(mz"</f>
        <v>#VALUE!</v>
      </c>
      <c r="AM180" t="e">
        <f>'All regions'!A4985+"$F;@!(m{"</f>
        <v>#VALUE!</v>
      </c>
      <c r="AN180" t="e">
        <f>'All regions'!B4985+"$F;@!(m|"</f>
        <v>#VALUE!</v>
      </c>
      <c r="AO180" t="e">
        <f>'All regions'!C4985+"$F;@!(m}"</f>
        <v>#VALUE!</v>
      </c>
      <c r="AP180" t="e">
        <f>'All regions'!D4985+"$F;@!(m~"</f>
        <v>#VALUE!</v>
      </c>
      <c r="AQ180" t="e">
        <f>'All regions'!E4985+"$F;@!(n#"</f>
        <v>#VALUE!</v>
      </c>
      <c r="AR180" t="e">
        <f>'All regions'!F4985+"$F;@!(n$"</f>
        <v>#VALUE!</v>
      </c>
      <c r="AS180" t="e">
        <f>'All regions'!G4985+"$F;@!(n%"</f>
        <v>#VALUE!</v>
      </c>
      <c r="AT180" t="e">
        <f>'All regions'!H4985+"$F;@!(n&amp;"</f>
        <v>#VALUE!</v>
      </c>
      <c r="AU180" t="e">
        <f>'All regions'!I4985+"$F;@!(n'"</f>
        <v>#VALUE!</v>
      </c>
      <c r="AV180" t="e">
        <f>'All regions'!A4986+"$F;@!(n("</f>
        <v>#VALUE!</v>
      </c>
      <c r="AW180" t="e">
        <f>'All regions'!B4986+"$F;@!(n)"</f>
        <v>#VALUE!</v>
      </c>
      <c r="AX180" t="e">
        <f>'All regions'!C4986+"$F;@!(n."</f>
        <v>#VALUE!</v>
      </c>
      <c r="AY180" t="e">
        <f>'All regions'!D4986+"$F;@!(n/"</f>
        <v>#VALUE!</v>
      </c>
      <c r="AZ180" t="e">
        <f>'All regions'!E4986+"$F;@!(n0"</f>
        <v>#VALUE!</v>
      </c>
      <c r="BA180" t="e">
        <f>'All regions'!F4986+"$F;@!(n1"</f>
        <v>#VALUE!</v>
      </c>
      <c r="BB180" t="e">
        <f>'All regions'!G4986+"$F;@!(n2"</f>
        <v>#VALUE!</v>
      </c>
      <c r="BC180" t="e">
        <f>'All regions'!H4986+"$F;@!(n3"</f>
        <v>#VALUE!</v>
      </c>
      <c r="BD180" t="e">
        <f>'All regions'!I4986+"$F;@!(n4"</f>
        <v>#VALUE!</v>
      </c>
      <c r="BE180" t="e">
        <f>'All regions'!A4987+"$F;@!(n5"</f>
        <v>#VALUE!</v>
      </c>
      <c r="BF180" t="e">
        <f>'All regions'!B4987+"$F;@!(n6"</f>
        <v>#VALUE!</v>
      </c>
      <c r="BG180" t="e">
        <f>'All regions'!C4987+"$F;@!(n7"</f>
        <v>#VALUE!</v>
      </c>
      <c r="BH180" t="e">
        <f>'All regions'!D4987+"$F;@!(n8"</f>
        <v>#VALUE!</v>
      </c>
      <c r="BI180" t="e">
        <f>'All regions'!E4987+"$F;@!(n9"</f>
        <v>#VALUE!</v>
      </c>
      <c r="BJ180" t="e">
        <f>'All regions'!F4987+"$F;@!(n:"</f>
        <v>#VALUE!</v>
      </c>
      <c r="BK180" t="e">
        <f>'All regions'!G4987+"$F;@!(n;"</f>
        <v>#VALUE!</v>
      </c>
      <c r="BL180" t="e">
        <f>'All regions'!H4987+"$F;@!(n&lt;"</f>
        <v>#VALUE!</v>
      </c>
      <c r="BM180" t="e">
        <f>'All regions'!I4987+"$F;@!(n="</f>
        <v>#VALUE!</v>
      </c>
      <c r="BN180" t="e">
        <f>'All regions'!A4988+"$F;@!(n&gt;"</f>
        <v>#VALUE!</v>
      </c>
      <c r="BO180" t="e">
        <f>'All regions'!B4988+"$F;@!(n?"</f>
        <v>#VALUE!</v>
      </c>
      <c r="BP180" t="e">
        <f>'All regions'!C4988+"$F;@!(n@"</f>
        <v>#VALUE!</v>
      </c>
      <c r="BQ180" t="e">
        <f>'All regions'!D4988+"$F;@!(nA"</f>
        <v>#VALUE!</v>
      </c>
      <c r="BR180" t="e">
        <f>'All regions'!E4988+"$F;@!(nB"</f>
        <v>#VALUE!</v>
      </c>
      <c r="BS180" t="e">
        <f>'All regions'!F4988+"$F;@!(nC"</f>
        <v>#VALUE!</v>
      </c>
      <c r="BT180" t="e">
        <f>'All regions'!G4988+"$F;@!(nD"</f>
        <v>#VALUE!</v>
      </c>
      <c r="BU180" t="e">
        <f>'All regions'!H4988+"$F;@!(nE"</f>
        <v>#VALUE!</v>
      </c>
      <c r="BV180" t="e">
        <f>'All regions'!I4988+"$F;@!(nF"</f>
        <v>#VALUE!</v>
      </c>
      <c r="BW180" t="e">
        <f>'All regions'!A4989+"$F;@!(nG"</f>
        <v>#VALUE!</v>
      </c>
      <c r="BX180" t="e">
        <f>'All regions'!B4989+"$F;@!(nH"</f>
        <v>#VALUE!</v>
      </c>
      <c r="BY180" t="e">
        <f>'All regions'!C4989+"$F;@!(nI"</f>
        <v>#VALUE!</v>
      </c>
      <c r="BZ180" t="e">
        <f>'All regions'!D4989+"$F;@!(nJ"</f>
        <v>#VALUE!</v>
      </c>
      <c r="CA180" t="e">
        <f>'All regions'!E4989+"$F;@!(nK"</f>
        <v>#VALUE!</v>
      </c>
      <c r="CB180" t="e">
        <f>'All regions'!F4989+"$F;@!(nL"</f>
        <v>#VALUE!</v>
      </c>
      <c r="CC180" t="e">
        <f>'All regions'!G4989+"$F;@!(nM"</f>
        <v>#VALUE!</v>
      </c>
      <c r="CD180" t="e">
        <f>'All regions'!H4989+"$F;@!(nN"</f>
        <v>#VALUE!</v>
      </c>
      <c r="CE180" t="e">
        <f>'All regions'!I4989+"$F;@!(nO"</f>
        <v>#VALUE!</v>
      </c>
      <c r="CF180" t="e">
        <f>'All regions'!A4990+"$F;@!(nP"</f>
        <v>#VALUE!</v>
      </c>
      <c r="CG180" t="e">
        <f>'All regions'!B4990+"$F;@!(nQ"</f>
        <v>#VALUE!</v>
      </c>
      <c r="CH180" t="e">
        <f>'All regions'!C4990+"$F;@!(nR"</f>
        <v>#VALUE!</v>
      </c>
      <c r="CI180" t="e">
        <f>'All regions'!D4990+"$F;@!(nS"</f>
        <v>#VALUE!</v>
      </c>
      <c r="CJ180" t="e">
        <f>'All regions'!E4990+"$F;@!(nT"</f>
        <v>#VALUE!</v>
      </c>
      <c r="CK180" t="e">
        <f>'All regions'!F4990+"$F;@!(nU"</f>
        <v>#VALUE!</v>
      </c>
      <c r="CL180" t="e">
        <f>'All regions'!G4990+"$F;@!(nV"</f>
        <v>#VALUE!</v>
      </c>
      <c r="CM180" t="e">
        <f>'All regions'!H4990+"$F;@!(nW"</f>
        <v>#VALUE!</v>
      </c>
      <c r="CN180" t="e">
        <f>'All regions'!I4990+"$F;@!(nX"</f>
        <v>#VALUE!</v>
      </c>
      <c r="CO180" t="e">
        <f>'All regions'!A4991+"$F;@!(nY"</f>
        <v>#VALUE!</v>
      </c>
      <c r="CP180" t="e">
        <f>'All regions'!B4991+"$F;@!(nZ"</f>
        <v>#VALUE!</v>
      </c>
      <c r="CQ180" t="e">
        <f>'All regions'!C4991+"$F;@!(n["</f>
        <v>#VALUE!</v>
      </c>
      <c r="CR180" t="e">
        <f>'All regions'!D4991+"$F;@!(n\"</f>
        <v>#VALUE!</v>
      </c>
      <c r="CS180" t="e">
        <f>'All regions'!E4991+"$F;@!(n]"</f>
        <v>#VALUE!</v>
      </c>
      <c r="CT180" t="e">
        <f>'All regions'!F4991+"$F;@!(n^"</f>
        <v>#VALUE!</v>
      </c>
      <c r="CU180" t="e">
        <f>'All regions'!G4991+"$F;@!(n_"</f>
        <v>#VALUE!</v>
      </c>
      <c r="CV180" t="e">
        <f>'All regions'!H4991+"$F;@!(n`"</f>
        <v>#VALUE!</v>
      </c>
      <c r="CW180" t="e">
        <f>'All regions'!I4991+"$F;@!(na"</f>
        <v>#VALUE!</v>
      </c>
      <c r="CX180" t="e">
        <f>'All regions'!A4992+"$F;@!(nb"</f>
        <v>#VALUE!</v>
      </c>
      <c r="CY180" t="e">
        <f>'All regions'!B4992+"$F;@!(nc"</f>
        <v>#VALUE!</v>
      </c>
      <c r="CZ180" t="e">
        <f>'All regions'!C4992+"$F;@!(nd"</f>
        <v>#VALUE!</v>
      </c>
      <c r="DA180" t="e">
        <f>'All regions'!D4992+"$F;@!(ne"</f>
        <v>#VALUE!</v>
      </c>
      <c r="DB180" t="e">
        <f>'All regions'!E4992+"$F;@!(nf"</f>
        <v>#VALUE!</v>
      </c>
      <c r="DC180" t="e">
        <f>'All regions'!F4992+"$F;@!(ng"</f>
        <v>#VALUE!</v>
      </c>
      <c r="DD180" t="e">
        <f>'All regions'!G4992+"$F;@!(nh"</f>
        <v>#VALUE!</v>
      </c>
      <c r="DE180" t="e">
        <f>'All regions'!H4992+"$F;@!(ni"</f>
        <v>#VALUE!</v>
      </c>
      <c r="DF180" t="e">
        <f>'All regions'!I4992+"$F;@!(nj"</f>
        <v>#VALUE!</v>
      </c>
      <c r="DG180" t="e">
        <f>'All regions'!A4993+"$F;@!(nk"</f>
        <v>#VALUE!</v>
      </c>
      <c r="DH180" t="e">
        <f>'All regions'!B4993+"$F;@!(nl"</f>
        <v>#VALUE!</v>
      </c>
      <c r="DI180" t="e">
        <f>'All regions'!C4993+"$F;@!(nm"</f>
        <v>#VALUE!</v>
      </c>
      <c r="DJ180" t="e">
        <f>'All regions'!D4993+"$F;@!(nn"</f>
        <v>#VALUE!</v>
      </c>
      <c r="DK180" t="e">
        <f>'All regions'!E4993+"$F;@!(no"</f>
        <v>#VALUE!</v>
      </c>
      <c r="DL180" t="e">
        <f>'All regions'!F4993+"$F;@!(np"</f>
        <v>#VALUE!</v>
      </c>
      <c r="DM180" t="e">
        <f>'All regions'!G4993+"$F;@!(nq"</f>
        <v>#VALUE!</v>
      </c>
      <c r="DN180" t="e">
        <f>'All regions'!H4993+"$F;@!(nr"</f>
        <v>#VALUE!</v>
      </c>
      <c r="DO180" t="e">
        <f>'All regions'!I4993+"$F;@!(ns"</f>
        <v>#VALUE!</v>
      </c>
      <c r="DP180" t="e">
        <f>'All regions'!A4994+"$F;@!(nt"</f>
        <v>#VALUE!</v>
      </c>
      <c r="DQ180" t="e">
        <f>'All regions'!B4994+"$F;@!(nu"</f>
        <v>#VALUE!</v>
      </c>
      <c r="DR180" t="e">
        <f>'All regions'!C4994+"$F;@!(nv"</f>
        <v>#VALUE!</v>
      </c>
      <c r="DS180" t="e">
        <f>'All regions'!D4994+"$F;@!(nw"</f>
        <v>#VALUE!</v>
      </c>
      <c r="DT180" t="e">
        <f>'All regions'!E4994+"$F;@!(nx"</f>
        <v>#VALUE!</v>
      </c>
      <c r="DU180" t="e">
        <f>'All regions'!F4994+"$F;@!(ny"</f>
        <v>#VALUE!</v>
      </c>
      <c r="DV180" t="e">
        <f>'All regions'!G4994+"$F;@!(nz"</f>
        <v>#VALUE!</v>
      </c>
      <c r="DW180" t="e">
        <f>'All regions'!H4994+"$F;@!(n{"</f>
        <v>#VALUE!</v>
      </c>
      <c r="DX180" t="e">
        <f>'All regions'!I4994+"$F;@!(n|"</f>
        <v>#VALUE!</v>
      </c>
      <c r="DY180" t="e">
        <f>'All regions'!A4995+"$F;@!(n}"</f>
        <v>#VALUE!</v>
      </c>
      <c r="DZ180" t="e">
        <f>'All regions'!B4995+"$F;@!(n~"</f>
        <v>#VALUE!</v>
      </c>
      <c r="EA180" t="e">
        <f>'All regions'!C4995+"$F;@!(o#"</f>
        <v>#VALUE!</v>
      </c>
      <c r="EB180" t="e">
        <f>'All regions'!D4995+"$F;@!(o$"</f>
        <v>#VALUE!</v>
      </c>
      <c r="EC180" t="e">
        <f>'All regions'!E4995+"$F;@!(o%"</f>
        <v>#VALUE!</v>
      </c>
      <c r="ED180" t="e">
        <f>'All regions'!F4995+"$F;@!(o&amp;"</f>
        <v>#VALUE!</v>
      </c>
      <c r="EE180" t="e">
        <f>'All regions'!G4995+"$F;@!(o'"</f>
        <v>#VALUE!</v>
      </c>
      <c r="EF180" t="e">
        <f>'All regions'!H4995+"$F;@!(o("</f>
        <v>#VALUE!</v>
      </c>
      <c r="EG180" t="e">
        <f>'All regions'!I4995+"$F;@!(o)"</f>
        <v>#VALUE!</v>
      </c>
      <c r="EH180" t="e">
        <f>'All regions'!A4996+"$F;@!(o."</f>
        <v>#VALUE!</v>
      </c>
      <c r="EI180" t="e">
        <f>'All regions'!B4996+"$F;@!(o/"</f>
        <v>#VALUE!</v>
      </c>
      <c r="EJ180" t="e">
        <f>'All regions'!C4996+"$F;@!(o0"</f>
        <v>#VALUE!</v>
      </c>
      <c r="EK180" t="e">
        <f>'All regions'!D4996+"$F;@!(o1"</f>
        <v>#VALUE!</v>
      </c>
      <c r="EL180" t="e">
        <f>'All regions'!E4996+"$F;@!(o2"</f>
        <v>#VALUE!</v>
      </c>
      <c r="EM180" t="e">
        <f>'All regions'!F4996+"$F;@!(o3"</f>
        <v>#VALUE!</v>
      </c>
      <c r="EN180" t="e">
        <f>'All regions'!G4996+"$F;@!(o4"</f>
        <v>#VALUE!</v>
      </c>
      <c r="EO180" t="e">
        <f>'All regions'!H4996+"$F;@!(o5"</f>
        <v>#VALUE!</v>
      </c>
      <c r="EP180" t="e">
        <f>'All regions'!I4996+"$F;@!(o6"</f>
        <v>#VALUE!</v>
      </c>
      <c r="EQ180" t="e">
        <f>'All regions'!A4997+"$F;@!(o7"</f>
        <v>#VALUE!</v>
      </c>
      <c r="ER180" t="e">
        <f>'All regions'!B4997+"$F;@!(o8"</f>
        <v>#VALUE!</v>
      </c>
      <c r="ES180" t="e">
        <f>'All regions'!C4997+"$F;@!(o9"</f>
        <v>#VALUE!</v>
      </c>
      <c r="ET180" t="e">
        <f>'All regions'!D4997+"$F;@!(o:"</f>
        <v>#VALUE!</v>
      </c>
      <c r="EU180" t="e">
        <f>'All regions'!E4997+"$F;@!(o;"</f>
        <v>#VALUE!</v>
      </c>
      <c r="EV180" t="e">
        <f>'All regions'!F4997+"$F;@!(o&lt;"</f>
        <v>#VALUE!</v>
      </c>
      <c r="EW180" t="e">
        <f>'All regions'!G4997+"$F;@!(o="</f>
        <v>#VALUE!</v>
      </c>
      <c r="EX180" t="e">
        <f>'All regions'!H4997+"$F;@!(o&gt;"</f>
        <v>#VALUE!</v>
      </c>
      <c r="EY180" t="e">
        <f>'All regions'!I4997+"$F;@!(o?"</f>
        <v>#VALUE!</v>
      </c>
      <c r="EZ180" t="e">
        <f>'All regions'!A4998+"$F;@!(o@"</f>
        <v>#VALUE!</v>
      </c>
      <c r="FA180" t="e">
        <f>'All regions'!B4998+"$F;@!(oA"</f>
        <v>#VALUE!</v>
      </c>
      <c r="FB180" t="e">
        <f>'All regions'!C4998+"$F;@!(oB"</f>
        <v>#VALUE!</v>
      </c>
      <c r="FC180" t="e">
        <f>'All regions'!D4998+"$F;@!(oC"</f>
        <v>#VALUE!</v>
      </c>
      <c r="FD180" t="e">
        <f>'All regions'!E4998+"$F;@!(oD"</f>
        <v>#VALUE!</v>
      </c>
      <c r="FE180" t="e">
        <f>'All regions'!F4998+"$F;@!(oE"</f>
        <v>#VALUE!</v>
      </c>
      <c r="FF180" t="e">
        <f>'All regions'!G4998+"$F;@!(oF"</f>
        <v>#VALUE!</v>
      </c>
      <c r="FG180" t="e">
        <f>'All regions'!H4998+"$F;@!(oG"</f>
        <v>#VALUE!</v>
      </c>
      <c r="FH180" t="e">
        <f>'All regions'!I4998+"$F;@!(oH"</f>
        <v>#VALUE!</v>
      </c>
      <c r="FI180" t="e">
        <f>'All regions'!A4999+"$F;@!(oI"</f>
        <v>#VALUE!</v>
      </c>
      <c r="FJ180" t="e">
        <f>'All regions'!B4999+"$F;@!(oJ"</f>
        <v>#VALUE!</v>
      </c>
      <c r="FK180" t="e">
        <f>'All regions'!C4999+"$F;@!(oK"</f>
        <v>#VALUE!</v>
      </c>
      <c r="FL180" t="e">
        <f>'All regions'!D4999+"$F;@!(oL"</f>
        <v>#VALUE!</v>
      </c>
      <c r="FM180" t="e">
        <f>'All regions'!E4999+"$F;@!(oM"</f>
        <v>#VALUE!</v>
      </c>
      <c r="FN180" t="e">
        <f>'All regions'!F4999+"$F;@!(oN"</f>
        <v>#VALUE!</v>
      </c>
      <c r="FO180" t="e">
        <f>'All regions'!G4999+"$F;@!(oO"</f>
        <v>#VALUE!</v>
      </c>
      <c r="FP180" t="e">
        <f>'All regions'!H4999+"$F;@!(oP"</f>
        <v>#VALUE!</v>
      </c>
      <c r="FQ180" t="e">
        <f>'All regions'!I4999+"$F;@!(oQ"</f>
        <v>#VALUE!</v>
      </c>
      <c r="FR180" t="e">
        <f>'All regions'!A5000+"$F;@!(oR"</f>
        <v>#VALUE!</v>
      </c>
      <c r="FS180" t="e">
        <f>'All regions'!B5000+"$F;@!(oS"</f>
        <v>#VALUE!</v>
      </c>
      <c r="FT180" t="e">
        <f>'All regions'!C5000+"$F;@!(oT"</f>
        <v>#VALUE!</v>
      </c>
      <c r="FU180" t="e">
        <f>'All regions'!D5000+"$F;@!(oU"</f>
        <v>#VALUE!</v>
      </c>
      <c r="FV180" t="e">
        <f>'All regions'!E5000+"$F;@!(oV"</f>
        <v>#VALUE!</v>
      </c>
      <c r="FW180" t="e">
        <f>'All regions'!F5000+"$F;@!(oW"</f>
        <v>#VALUE!</v>
      </c>
      <c r="FX180" t="e">
        <f>'All regions'!G5000+"$F;@!(oX"</f>
        <v>#VALUE!</v>
      </c>
      <c r="FY180" t="e">
        <f>'All regions'!H5000+"$F;@!(oY"</f>
        <v>#VALUE!</v>
      </c>
      <c r="FZ180" t="e">
        <f>'All regions'!I5000+"$F;@!(oZ"</f>
        <v>#VALUE!</v>
      </c>
      <c r="GA180" t="e">
        <f>'All regions'!A5001+"$F;@!(o["</f>
        <v>#VALUE!</v>
      </c>
      <c r="GB180" t="e">
        <f>'All regions'!B5001+"$F;@!(o\"</f>
        <v>#VALUE!</v>
      </c>
      <c r="GC180" t="e">
        <f>'All regions'!C5001+"$F;@!(o]"</f>
        <v>#VALUE!</v>
      </c>
      <c r="GD180" t="e">
        <f>'All regions'!D5001+"$F;@!(o^"</f>
        <v>#VALUE!</v>
      </c>
      <c r="GE180" t="e">
        <f>'All regions'!E5001+"$F;@!(o_"</f>
        <v>#VALUE!</v>
      </c>
      <c r="GF180" t="e">
        <f>'All regions'!F5001+"$F;@!(o`"</f>
        <v>#VALUE!</v>
      </c>
      <c r="GG180" t="e">
        <f>'All regions'!G5001+"$F;@!(oa"</f>
        <v>#VALUE!</v>
      </c>
      <c r="GH180" t="e">
        <f>'All regions'!H5001+"$F;@!(ob"</f>
        <v>#VALUE!</v>
      </c>
      <c r="GI180" t="e">
        <f>'All regions'!I5001+"$F;@!(oc"</f>
        <v>#VALUE!</v>
      </c>
      <c r="GJ180" t="e">
        <f>'All regions'!A5002+"$F;@!(od"</f>
        <v>#VALUE!</v>
      </c>
      <c r="GK180" t="e">
        <f>'All regions'!B5002+"$F;@!(oe"</f>
        <v>#VALUE!</v>
      </c>
      <c r="GL180" t="e">
        <f>'All regions'!C5002+"$F;@!(of"</f>
        <v>#VALUE!</v>
      </c>
      <c r="GM180" t="e">
        <f>'All regions'!D5002+"$F;@!(og"</f>
        <v>#VALUE!</v>
      </c>
      <c r="GN180" t="e">
        <f>'All regions'!E5002+"$F;@!(oh"</f>
        <v>#VALUE!</v>
      </c>
      <c r="GO180" t="e">
        <f>'All regions'!F5002+"$F;@!(oi"</f>
        <v>#VALUE!</v>
      </c>
      <c r="GP180" t="e">
        <f>'All regions'!G5002+"$F;@!(oj"</f>
        <v>#VALUE!</v>
      </c>
      <c r="GQ180" t="e">
        <f>'All regions'!H5002+"$F;@!(ok"</f>
        <v>#VALUE!</v>
      </c>
      <c r="GR180" t="e">
        <f>'All regions'!I5002+"$F;@!(ol"</f>
        <v>#VALUE!</v>
      </c>
      <c r="GS180" t="e">
        <f>'All regions'!A5003+"$F;@!(om"</f>
        <v>#VALUE!</v>
      </c>
      <c r="GT180" t="e">
        <f>'All regions'!B5003+"$F;@!(on"</f>
        <v>#VALUE!</v>
      </c>
      <c r="GU180" t="e">
        <f>'All regions'!C5003+"$F;@!(oo"</f>
        <v>#VALUE!</v>
      </c>
      <c r="GV180" t="e">
        <f>'All regions'!D5003+"$F;@!(op"</f>
        <v>#VALUE!</v>
      </c>
      <c r="GW180" t="e">
        <f>'All regions'!E5003+"$F;@!(oq"</f>
        <v>#VALUE!</v>
      </c>
      <c r="GX180" t="e">
        <f>'All regions'!F5003+"$F;@!(or"</f>
        <v>#VALUE!</v>
      </c>
      <c r="GY180" t="e">
        <f>'All regions'!G5003+"$F;@!(os"</f>
        <v>#VALUE!</v>
      </c>
      <c r="GZ180" t="e">
        <f>'All regions'!H5003+"$F;@!(ot"</f>
        <v>#VALUE!</v>
      </c>
      <c r="HA180" t="e">
        <f>'All regions'!I5003+"$F;@!(ou"</f>
        <v>#VALUE!</v>
      </c>
      <c r="HB180" t="e">
        <f>'All regions'!A5004+"$F;@!(ov"</f>
        <v>#VALUE!</v>
      </c>
      <c r="HC180" t="e">
        <f>'All regions'!B5004+"$F;@!(ow"</f>
        <v>#VALUE!</v>
      </c>
      <c r="HD180" t="e">
        <f>'All regions'!C5004+"$F;@!(ox"</f>
        <v>#VALUE!</v>
      </c>
      <c r="HE180" t="e">
        <f>'All regions'!D5004+"$F;@!(oy"</f>
        <v>#VALUE!</v>
      </c>
      <c r="HF180" t="e">
        <f>'All regions'!E5004+"$F;@!(oz"</f>
        <v>#VALUE!</v>
      </c>
      <c r="HG180" t="e">
        <f>'All regions'!F5004+"$F;@!(o{"</f>
        <v>#VALUE!</v>
      </c>
      <c r="HH180" t="e">
        <f>'All regions'!G5004+"$F;@!(o|"</f>
        <v>#VALUE!</v>
      </c>
      <c r="HI180" t="e">
        <f>'All regions'!H5004+"$F;@!(o}"</f>
        <v>#VALUE!</v>
      </c>
      <c r="HJ180" t="e">
        <f>'All regions'!I5004+"$F;@!(o~"</f>
        <v>#VALUE!</v>
      </c>
      <c r="HK180" t="e">
        <f>'All regions'!A5005+"$F;@!(p#"</f>
        <v>#VALUE!</v>
      </c>
      <c r="HL180" t="e">
        <f>'All regions'!B5005+"$F;@!(p$"</f>
        <v>#VALUE!</v>
      </c>
      <c r="HM180" t="e">
        <f>'All regions'!C5005+"$F;@!(p%"</f>
        <v>#VALUE!</v>
      </c>
      <c r="HN180" t="e">
        <f>'All regions'!D5005+"$F;@!(p&amp;"</f>
        <v>#VALUE!</v>
      </c>
      <c r="HO180" t="e">
        <f>'All regions'!E5005+"$F;@!(p'"</f>
        <v>#VALUE!</v>
      </c>
      <c r="HP180" t="e">
        <f>'All regions'!F5005+"$F;@!(p("</f>
        <v>#VALUE!</v>
      </c>
      <c r="HQ180" t="e">
        <f>'All regions'!G5005+"$F;@!(p)"</f>
        <v>#VALUE!</v>
      </c>
      <c r="HR180" t="e">
        <f>'All regions'!H5005+"$F;@!(p."</f>
        <v>#VALUE!</v>
      </c>
      <c r="HS180" t="e">
        <f>'All regions'!I5005+"$F;@!(p/"</f>
        <v>#VALUE!</v>
      </c>
      <c r="HT180" t="e">
        <f>'All regions'!A5006+"$F;@!(p0"</f>
        <v>#VALUE!</v>
      </c>
      <c r="HU180" t="e">
        <f>'All regions'!B5006+"$F;@!(p1"</f>
        <v>#VALUE!</v>
      </c>
      <c r="HV180" t="e">
        <f>'All regions'!C5006+"$F;@!(p2"</f>
        <v>#VALUE!</v>
      </c>
      <c r="HW180" t="e">
        <f>'All regions'!D5006+"$F;@!(p3"</f>
        <v>#VALUE!</v>
      </c>
      <c r="HX180" t="e">
        <f>'All regions'!E5006+"$F;@!(p4"</f>
        <v>#VALUE!</v>
      </c>
      <c r="HY180" t="e">
        <f>'All regions'!F5006+"$F;@!(p5"</f>
        <v>#VALUE!</v>
      </c>
      <c r="HZ180" t="e">
        <f>'All regions'!G5006+"$F;@!(p6"</f>
        <v>#VALUE!</v>
      </c>
      <c r="IA180" t="e">
        <f>'All regions'!H5006+"$F;@!(p7"</f>
        <v>#VALUE!</v>
      </c>
      <c r="IB180" t="e">
        <f>'All regions'!I5006+"$F;@!(p8"</f>
        <v>#VALUE!</v>
      </c>
      <c r="IC180" t="e">
        <f>'All regions'!A5007+"$F;@!(p9"</f>
        <v>#VALUE!</v>
      </c>
      <c r="ID180" t="e">
        <f>'All regions'!B5007+"$F;@!(p:"</f>
        <v>#VALUE!</v>
      </c>
      <c r="IE180" t="e">
        <f>'All regions'!C5007+"$F;@!(p;"</f>
        <v>#VALUE!</v>
      </c>
      <c r="IF180" t="e">
        <f>'All regions'!D5007+"$F;@!(p&lt;"</f>
        <v>#VALUE!</v>
      </c>
      <c r="IG180" t="e">
        <f>'All regions'!E5007+"$F;@!(p="</f>
        <v>#VALUE!</v>
      </c>
      <c r="IH180" t="e">
        <f>'All regions'!F5007+"$F;@!(p&gt;"</f>
        <v>#VALUE!</v>
      </c>
      <c r="II180" t="e">
        <f>'All regions'!G5007+"$F;@!(p?"</f>
        <v>#VALUE!</v>
      </c>
      <c r="IJ180" t="e">
        <f>'All regions'!H5007+"$F;@!(p@"</f>
        <v>#VALUE!</v>
      </c>
      <c r="IK180" t="e">
        <f>'All regions'!I5007+"$F;@!(pA"</f>
        <v>#VALUE!</v>
      </c>
      <c r="IL180" t="e">
        <f>'All regions'!A5008+"$F;@!(pB"</f>
        <v>#VALUE!</v>
      </c>
      <c r="IM180" t="e">
        <f>'All regions'!B5008+"$F;@!(pC"</f>
        <v>#VALUE!</v>
      </c>
      <c r="IN180" t="e">
        <f>'All regions'!C5008+"$F;@!(pD"</f>
        <v>#VALUE!</v>
      </c>
      <c r="IO180" t="e">
        <f>'All regions'!D5008+"$F;@!(pE"</f>
        <v>#VALUE!</v>
      </c>
      <c r="IP180" t="e">
        <f>'All regions'!E5008+"$F;@!(pF"</f>
        <v>#VALUE!</v>
      </c>
      <c r="IQ180" t="e">
        <f>'All regions'!F5008+"$F;@!(pG"</f>
        <v>#VALUE!</v>
      </c>
      <c r="IR180" t="e">
        <f>'All regions'!G5008+"$F;@!(pH"</f>
        <v>#VALUE!</v>
      </c>
      <c r="IS180" t="e">
        <f>'All regions'!H5008+"$F;@!(pI"</f>
        <v>#VALUE!</v>
      </c>
      <c r="IT180" t="e">
        <f>'All regions'!I5008+"$F;@!(pJ"</f>
        <v>#VALUE!</v>
      </c>
      <c r="IU180" t="e">
        <f>'All regions'!A5009+"$F;@!(pK"</f>
        <v>#VALUE!</v>
      </c>
      <c r="IV180" t="e">
        <f>'All regions'!B5009+"$F;@!(pL"</f>
        <v>#VALUE!</v>
      </c>
    </row>
    <row r="181" spans="6:256" x14ac:dyDescent="0.35">
      <c r="F181" t="e">
        <f>'All regions'!C5009+"$F;@!(pM"</f>
        <v>#VALUE!</v>
      </c>
      <c r="G181" t="e">
        <f>'All regions'!D5009+"$F;@!(pN"</f>
        <v>#VALUE!</v>
      </c>
      <c r="H181" t="e">
        <f>'All regions'!E5009+"$F;@!(pO"</f>
        <v>#VALUE!</v>
      </c>
      <c r="I181" t="e">
        <f>'All regions'!F5009+"$F;@!(pP"</f>
        <v>#VALUE!</v>
      </c>
      <c r="J181" t="e">
        <f>'All regions'!G5009+"$F;@!(pQ"</f>
        <v>#VALUE!</v>
      </c>
      <c r="K181" t="e">
        <f>'All regions'!H5009+"$F;@!(pR"</f>
        <v>#VALUE!</v>
      </c>
      <c r="L181" t="e">
        <f>'All regions'!I5009+"$F;@!(pS"</f>
        <v>#VALUE!</v>
      </c>
      <c r="M181" t="e">
        <f>'All regions'!A5010+"$F;@!(pT"</f>
        <v>#VALUE!</v>
      </c>
      <c r="N181" t="e">
        <f>'All regions'!B5010+"$F;@!(pU"</f>
        <v>#VALUE!</v>
      </c>
      <c r="O181" t="e">
        <f>'All regions'!C5010+"$F;@!(pV"</f>
        <v>#VALUE!</v>
      </c>
      <c r="P181" t="e">
        <f>'All regions'!D5010+"$F;@!(pW"</f>
        <v>#VALUE!</v>
      </c>
      <c r="Q181" t="e">
        <f>'All regions'!E5010+"$F;@!(pX"</f>
        <v>#VALUE!</v>
      </c>
      <c r="R181" t="e">
        <f>'All regions'!F5010+"$F;@!(pY"</f>
        <v>#VALUE!</v>
      </c>
      <c r="S181" t="e">
        <f>'All regions'!G5010+"$F;@!(pZ"</f>
        <v>#VALUE!</v>
      </c>
      <c r="T181" t="e">
        <f>'All regions'!H5010+"$F;@!(p["</f>
        <v>#VALUE!</v>
      </c>
      <c r="U181" t="e">
        <f>'All regions'!I5010+"$F;@!(p\"</f>
        <v>#VALUE!</v>
      </c>
      <c r="V181" t="e">
        <f>'All regions'!A5011+"$F;@!(p]"</f>
        <v>#VALUE!</v>
      </c>
      <c r="W181" t="e">
        <f>'All regions'!B5011+"$F;@!(p^"</f>
        <v>#VALUE!</v>
      </c>
      <c r="X181" t="e">
        <f>'All regions'!C5011+"$F;@!(p_"</f>
        <v>#VALUE!</v>
      </c>
      <c r="Y181" t="e">
        <f>'All regions'!D5011+"$F;@!(p`"</f>
        <v>#VALUE!</v>
      </c>
      <c r="Z181" t="e">
        <f>'All regions'!E5011+"$F;@!(pa"</f>
        <v>#VALUE!</v>
      </c>
      <c r="AA181" t="e">
        <f>'All regions'!F5011+"$F;@!(pb"</f>
        <v>#VALUE!</v>
      </c>
      <c r="AB181" t="e">
        <f>'All regions'!G5011+"$F;@!(pc"</f>
        <v>#VALUE!</v>
      </c>
      <c r="AC181" t="e">
        <f>'All regions'!H5011+"$F;@!(pd"</f>
        <v>#VALUE!</v>
      </c>
      <c r="AD181" t="e">
        <f>'All regions'!I5011+"$F;@!(pe"</f>
        <v>#VALUE!</v>
      </c>
      <c r="AE181" t="e">
        <f>'All regions'!A5012+"$F;@!(pf"</f>
        <v>#VALUE!</v>
      </c>
      <c r="AF181" t="e">
        <f>'All regions'!B5012+"$F;@!(pg"</f>
        <v>#VALUE!</v>
      </c>
      <c r="AG181" t="e">
        <f>'All regions'!C5012+"$F;@!(ph"</f>
        <v>#VALUE!</v>
      </c>
      <c r="AH181" t="e">
        <f>'All regions'!D5012+"$F;@!(pi"</f>
        <v>#VALUE!</v>
      </c>
      <c r="AI181" t="e">
        <f>'All regions'!E5012+"$F;@!(pj"</f>
        <v>#VALUE!</v>
      </c>
      <c r="AJ181" t="e">
        <f>'All regions'!F5012+"$F;@!(pk"</f>
        <v>#VALUE!</v>
      </c>
      <c r="AK181" t="e">
        <f>'All regions'!G5012+"$F;@!(pl"</f>
        <v>#VALUE!</v>
      </c>
      <c r="AL181" t="e">
        <f>'All regions'!H5012+"$F;@!(pm"</f>
        <v>#VALUE!</v>
      </c>
      <c r="AM181" t="e">
        <f>'All regions'!I5012+"$F;@!(pn"</f>
        <v>#VALUE!</v>
      </c>
      <c r="AN181" t="e">
        <f>'All regions'!A5013+"$F;@!(po"</f>
        <v>#VALUE!</v>
      </c>
      <c r="AO181" t="e">
        <f>'All regions'!B5013+"$F;@!(pp"</f>
        <v>#VALUE!</v>
      </c>
      <c r="AP181" t="e">
        <f>'All regions'!C5013+"$F;@!(pq"</f>
        <v>#VALUE!</v>
      </c>
      <c r="AQ181" t="e">
        <f>'All regions'!D5013+"$F;@!(pr"</f>
        <v>#VALUE!</v>
      </c>
      <c r="AR181" t="e">
        <f>'All regions'!E5013+"$F;@!(ps"</f>
        <v>#VALUE!</v>
      </c>
      <c r="AS181" t="e">
        <f>'All regions'!F5013+"$F;@!(pt"</f>
        <v>#VALUE!</v>
      </c>
      <c r="AT181" t="e">
        <f>'All regions'!G5013+"$F;@!(pu"</f>
        <v>#VALUE!</v>
      </c>
      <c r="AU181" t="e">
        <f>'All regions'!H5013+"$F;@!(pv"</f>
        <v>#VALUE!</v>
      </c>
      <c r="AV181" t="e">
        <f>'All regions'!I5013+"$F;@!(pw"</f>
        <v>#VALUE!</v>
      </c>
      <c r="AW181" t="e">
        <f>'All regions'!A5014+"$F;@!(px"</f>
        <v>#VALUE!</v>
      </c>
      <c r="AX181" t="e">
        <f>'All regions'!B5014+"$F;@!(py"</f>
        <v>#VALUE!</v>
      </c>
      <c r="AY181" t="e">
        <f>'All regions'!C5014+"$F;@!(pz"</f>
        <v>#VALUE!</v>
      </c>
      <c r="AZ181" t="e">
        <f>'All regions'!D5014+"$F;@!(p{"</f>
        <v>#VALUE!</v>
      </c>
      <c r="BA181" t="e">
        <f>'All regions'!E5014+"$F;@!(p|"</f>
        <v>#VALUE!</v>
      </c>
      <c r="BB181" t="e">
        <f>'All regions'!F5014+"$F;@!(p}"</f>
        <v>#VALUE!</v>
      </c>
      <c r="BC181" t="e">
        <f>'All regions'!G5014+"$F;@!(p~"</f>
        <v>#VALUE!</v>
      </c>
      <c r="BD181" t="e">
        <f>'All regions'!H5014+"$F;@!(q#"</f>
        <v>#VALUE!</v>
      </c>
      <c r="BE181" t="e">
        <f>'All regions'!I5014+"$F;@!(q$"</f>
        <v>#VALUE!</v>
      </c>
      <c r="BF181" t="e">
        <f>'All regions'!A5015+"$F;@!(q%"</f>
        <v>#VALUE!</v>
      </c>
      <c r="BG181" t="e">
        <f>'All regions'!B5015+"$F;@!(q&amp;"</f>
        <v>#VALUE!</v>
      </c>
      <c r="BH181" t="e">
        <f>'All regions'!C5015+"$F;@!(q'"</f>
        <v>#VALUE!</v>
      </c>
      <c r="BI181" t="e">
        <f>'All regions'!D5015+"$F;@!(q("</f>
        <v>#VALUE!</v>
      </c>
      <c r="BJ181" t="e">
        <f>'All regions'!E5015+"$F;@!(q)"</f>
        <v>#VALUE!</v>
      </c>
      <c r="BK181" t="e">
        <f>'All regions'!F5015+"$F;@!(q."</f>
        <v>#VALUE!</v>
      </c>
      <c r="BL181" t="e">
        <f>'All regions'!G5015+"$F;@!(q/"</f>
        <v>#VALUE!</v>
      </c>
      <c r="BM181" t="e">
        <f>'All regions'!H5015+"$F;@!(q0"</f>
        <v>#VALUE!</v>
      </c>
      <c r="BN181" t="e">
        <f>'All regions'!I5015+"$F;@!(q1"</f>
        <v>#VALUE!</v>
      </c>
      <c r="BO181" t="e">
        <f>'All regions'!A5016+"$F;@!(q2"</f>
        <v>#VALUE!</v>
      </c>
      <c r="BP181" t="e">
        <f>'All regions'!B5016+"$F;@!(q3"</f>
        <v>#VALUE!</v>
      </c>
      <c r="BQ181" t="e">
        <f>'All regions'!C5016+"$F;@!(q4"</f>
        <v>#VALUE!</v>
      </c>
      <c r="BR181" t="e">
        <f>'All regions'!D5016+"$F;@!(q5"</f>
        <v>#VALUE!</v>
      </c>
      <c r="BS181" t="e">
        <f>'All regions'!E5016+"$F;@!(q6"</f>
        <v>#VALUE!</v>
      </c>
      <c r="BT181" t="e">
        <f>'All regions'!F5016+"$F;@!(q7"</f>
        <v>#VALUE!</v>
      </c>
      <c r="BU181" t="e">
        <f>'All regions'!G5016+"$F;@!(q8"</f>
        <v>#VALUE!</v>
      </c>
      <c r="BV181" t="e">
        <f>'All regions'!H5016+"$F;@!(q9"</f>
        <v>#VALUE!</v>
      </c>
      <c r="BW181" t="e">
        <f>'All regions'!I5016+"$F;@!(q:"</f>
        <v>#VALUE!</v>
      </c>
      <c r="BX181" t="e">
        <f>'All regions'!A5017+"$F;@!(q;"</f>
        <v>#VALUE!</v>
      </c>
      <c r="BY181" t="e">
        <f>'All regions'!B5017+"$F;@!(q&lt;"</f>
        <v>#VALUE!</v>
      </c>
      <c r="BZ181" t="e">
        <f>'All regions'!C5017+"$F;@!(q="</f>
        <v>#VALUE!</v>
      </c>
      <c r="CA181" t="e">
        <f>'All regions'!D5017+"$F;@!(q&gt;"</f>
        <v>#VALUE!</v>
      </c>
      <c r="CB181" t="e">
        <f>'All regions'!E5017+"$F;@!(q?"</f>
        <v>#VALUE!</v>
      </c>
      <c r="CC181" t="e">
        <f>'All regions'!F5017+"$F;@!(q@"</f>
        <v>#VALUE!</v>
      </c>
      <c r="CD181" t="e">
        <f>'All regions'!G5017+"$F;@!(qA"</f>
        <v>#VALUE!</v>
      </c>
      <c r="CE181" t="e">
        <f>'All regions'!H5017+"$F;@!(qB"</f>
        <v>#VALUE!</v>
      </c>
      <c r="CF181" t="e">
        <f>'All regions'!I5017+"$F;@!(qC"</f>
        <v>#VALUE!</v>
      </c>
      <c r="CG181" t="e">
        <f>'All regions'!A5018+"$F;@!(qD"</f>
        <v>#VALUE!</v>
      </c>
      <c r="CH181" t="e">
        <f>'All regions'!B5018+"$F;@!(qE"</f>
        <v>#VALUE!</v>
      </c>
      <c r="CI181" t="e">
        <f>'All regions'!C5018+"$F;@!(qF"</f>
        <v>#VALUE!</v>
      </c>
      <c r="CJ181" t="e">
        <f>'All regions'!D5018+"$F;@!(qG"</f>
        <v>#VALUE!</v>
      </c>
      <c r="CK181" t="e">
        <f>'All regions'!E5018+"$F;@!(qH"</f>
        <v>#VALUE!</v>
      </c>
      <c r="CL181" t="e">
        <f>'All regions'!F5018+"$F;@!(qI"</f>
        <v>#VALUE!</v>
      </c>
      <c r="CM181" t="e">
        <f>'All regions'!G5018+"$F;@!(qJ"</f>
        <v>#VALUE!</v>
      </c>
      <c r="CN181" t="e">
        <f>'All regions'!H5018+"$F;@!(qK"</f>
        <v>#VALUE!</v>
      </c>
      <c r="CO181" t="e">
        <f>'All regions'!I5018+"$F;@!(qL"</f>
        <v>#VALUE!</v>
      </c>
      <c r="CP181" t="e">
        <f>'All regions'!A5019+"$F;@!(qM"</f>
        <v>#VALUE!</v>
      </c>
      <c r="CQ181" t="e">
        <f>'All regions'!B5019+"$F;@!(qN"</f>
        <v>#VALUE!</v>
      </c>
      <c r="CR181" t="e">
        <f>'All regions'!C5019+"$F;@!(qO"</f>
        <v>#VALUE!</v>
      </c>
      <c r="CS181" t="e">
        <f>'All regions'!D5019+"$F;@!(qP"</f>
        <v>#VALUE!</v>
      </c>
      <c r="CT181" t="e">
        <f>'All regions'!E5019+"$F;@!(qQ"</f>
        <v>#VALUE!</v>
      </c>
      <c r="CU181" t="e">
        <f>'All regions'!F5019+"$F;@!(qR"</f>
        <v>#VALUE!</v>
      </c>
      <c r="CV181" t="e">
        <f>'All regions'!G5019+"$F;@!(qS"</f>
        <v>#VALUE!</v>
      </c>
      <c r="CW181" t="e">
        <f>'All regions'!H5019+"$F;@!(qT"</f>
        <v>#VALUE!</v>
      </c>
      <c r="CX181" t="e">
        <f>'All regions'!I5019+"$F;@!(qU"</f>
        <v>#VALUE!</v>
      </c>
      <c r="CY181" t="e">
        <f>'All regions'!A5020+"$F;@!(qV"</f>
        <v>#VALUE!</v>
      </c>
      <c r="CZ181" t="e">
        <f>'All regions'!B5020+"$F;@!(qW"</f>
        <v>#VALUE!</v>
      </c>
      <c r="DA181" t="e">
        <f>'All regions'!C5020+"$F;@!(qX"</f>
        <v>#VALUE!</v>
      </c>
      <c r="DB181" t="e">
        <f>'All regions'!D5020+"$F;@!(qY"</f>
        <v>#VALUE!</v>
      </c>
      <c r="DC181" t="e">
        <f>'All regions'!E5020+"$F;@!(qZ"</f>
        <v>#VALUE!</v>
      </c>
      <c r="DD181" t="e">
        <f>'All regions'!F5020+"$F;@!(q["</f>
        <v>#VALUE!</v>
      </c>
      <c r="DE181" t="e">
        <f>'All regions'!G5020+"$F;@!(q\"</f>
        <v>#VALUE!</v>
      </c>
      <c r="DF181" t="e">
        <f>'All regions'!H5020+"$F;@!(q]"</f>
        <v>#VALUE!</v>
      </c>
      <c r="DG181" t="e">
        <f>'All regions'!I5020+"$F;@!(q^"</f>
        <v>#VALUE!</v>
      </c>
      <c r="DH181" t="e">
        <f>'All regions'!A5021+"$F;@!(q_"</f>
        <v>#VALUE!</v>
      </c>
      <c r="DI181" t="e">
        <f>'All regions'!B5021+"$F;@!(q`"</f>
        <v>#VALUE!</v>
      </c>
      <c r="DJ181" t="e">
        <f>'All regions'!C5021+"$F;@!(qa"</f>
        <v>#VALUE!</v>
      </c>
      <c r="DK181" t="e">
        <f>'All regions'!D5021+"$F;@!(qb"</f>
        <v>#VALUE!</v>
      </c>
      <c r="DL181" t="e">
        <f>'All regions'!E5021+"$F;@!(qc"</f>
        <v>#VALUE!</v>
      </c>
      <c r="DM181" t="e">
        <f>'All regions'!F5021+"$F;@!(qd"</f>
        <v>#VALUE!</v>
      </c>
      <c r="DN181" t="e">
        <f>'All regions'!G5021+"$F;@!(qe"</f>
        <v>#VALUE!</v>
      </c>
      <c r="DO181" t="e">
        <f>'All regions'!H5021+"$F;@!(qf"</f>
        <v>#VALUE!</v>
      </c>
      <c r="DP181" t="e">
        <f>'All regions'!I5021+"$F;@!(qg"</f>
        <v>#VALUE!</v>
      </c>
      <c r="DQ181" t="e">
        <f>'All regions'!A5022+"$F;@!(qh"</f>
        <v>#VALUE!</v>
      </c>
      <c r="DR181" t="e">
        <f>'All regions'!B5022+"$F;@!(qi"</f>
        <v>#VALUE!</v>
      </c>
      <c r="DS181" t="e">
        <f>'All regions'!C5022+"$F;@!(qj"</f>
        <v>#VALUE!</v>
      </c>
      <c r="DT181" t="e">
        <f>'All regions'!D5022+"$F;@!(qk"</f>
        <v>#VALUE!</v>
      </c>
      <c r="DU181" t="e">
        <f>'All regions'!E5022+"$F;@!(ql"</f>
        <v>#VALUE!</v>
      </c>
      <c r="DV181" t="e">
        <f>'All regions'!F5022+"$F;@!(qm"</f>
        <v>#VALUE!</v>
      </c>
      <c r="DW181" t="e">
        <f>'All regions'!G5022+"$F;@!(qn"</f>
        <v>#VALUE!</v>
      </c>
      <c r="DX181" t="e">
        <f>'All regions'!H5022+"$F;@!(qo"</f>
        <v>#VALUE!</v>
      </c>
      <c r="DY181" t="e">
        <f>'All regions'!I5022+"$F;@!(qp"</f>
        <v>#VALUE!</v>
      </c>
      <c r="DZ181" t="e">
        <f>'All regions'!A5023+"$F;@!(qq"</f>
        <v>#VALUE!</v>
      </c>
      <c r="EA181" t="e">
        <f>'All regions'!B5023+"$F;@!(qr"</f>
        <v>#VALUE!</v>
      </c>
      <c r="EB181" t="e">
        <f>'All regions'!C5023+"$F;@!(qs"</f>
        <v>#VALUE!</v>
      </c>
      <c r="EC181" t="e">
        <f>'All regions'!D5023+"$F;@!(qt"</f>
        <v>#VALUE!</v>
      </c>
      <c r="ED181" t="e">
        <f>'All regions'!E5023+"$F;@!(qu"</f>
        <v>#VALUE!</v>
      </c>
      <c r="EE181" t="e">
        <f>'All regions'!F5023+"$F;@!(qv"</f>
        <v>#VALUE!</v>
      </c>
      <c r="EF181" t="e">
        <f>'All regions'!G5023+"$F;@!(qw"</f>
        <v>#VALUE!</v>
      </c>
      <c r="EG181" t="e">
        <f>'All regions'!H5023+"$F;@!(qx"</f>
        <v>#VALUE!</v>
      </c>
      <c r="EH181" t="e">
        <f>'All regions'!I5023+"$F;@!(qy"</f>
        <v>#VALUE!</v>
      </c>
      <c r="EI181" t="e">
        <f>'All regions'!A5024+"$F;@!(qz"</f>
        <v>#VALUE!</v>
      </c>
      <c r="EJ181" t="e">
        <f>'All regions'!B5024+"$F;@!(q{"</f>
        <v>#VALUE!</v>
      </c>
      <c r="EK181" t="e">
        <f>'All regions'!C5024+"$F;@!(q|"</f>
        <v>#VALUE!</v>
      </c>
      <c r="EL181" t="e">
        <f>'All regions'!D5024+"$F;@!(q}"</f>
        <v>#VALUE!</v>
      </c>
      <c r="EM181" t="e">
        <f>'All regions'!E5024+"$F;@!(q~"</f>
        <v>#VALUE!</v>
      </c>
      <c r="EN181" t="e">
        <f>'All regions'!F5024+"$F;@!(r#"</f>
        <v>#VALUE!</v>
      </c>
      <c r="EO181" t="e">
        <f>'All regions'!G5024+"$F;@!(r$"</f>
        <v>#VALUE!</v>
      </c>
      <c r="EP181" t="e">
        <f>'All regions'!H5024+"$F;@!(r%"</f>
        <v>#VALUE!</v>
      </c>
      <c r="EQ181" t="e">
        <f>'All regions'!I5024+"$F;@!(r&amp;"</f>
        <v>#VALUE!</v>
      </c>
      <c r="ER181" t="e">
        <f>'All regions'!A5025+"$F;@!(r'"</f>
        <v>#VALUE!</v>
      </c>
      <c r="ES181" t="e">
        <f>'All regions'!B5025+"$F;@!(r("</f>
        <v>#VALUE!</v>
      </c>
      <c r="ET181" t="e">
        <f>'All regions'!C5025+"$F;@!(r)"</f>
        <v>#VALUE!</v>
      </c>
      <c r="EU181" t="e">
        <f>'All regions'!D5025+"$F;@!(r."</f>
        <v>#VALUE!</v>
      </c>
      <c r="EV181" t="e">
        <f>'All regions'!E5025+"$F;@!(r/"</f>
        <v>#VALUE!</v>
      </c>
      <c r="EW181" t="e">
        <f>'All regions'!F5025+"$F;@!(r0"</f>
        <v>#VALUE!</v>
      </c>
      <c r="EX181" t="e">
        <f>'All regions'!G5025+"$F;@!(r1"</f>
        <v>#VALUE!</v>
      </c>
      <c r="EY181" t="e">
        <f>'All regions'!H5025+"$F;@!(r2"</f>
        <v>#VALUE!</v>
      </c>
      <c r="EZ181" t="e">
        <f>'All regions'!I5025+"$F;@!(r3"</f>
        <v>#VALUE!</v>
      </c>
      <c r="FA181" t="e">
        <f>'All regions'!A5026+"$F;@!(r4"</f>
        <v>#VALUE!</v>
      </c>
      <c r="FB181" t="e">
        <f>'All regions'!B5026+"$F;@!(r5"</f>
        <v>#VALUE!</v>
      </c>
      <c r="FC181" t="e">
        <f>'All regions'!C5026+"$F;@!(r6"</f>
        <v>#VALUE!</v>
      </c>
      <c r="FD181" t="e">
        <f>'All regions'!D5026+"$F;@!(r7"</f>
        <v>#VALUE!</v>
      </c>
      <c r="FE181" t="e">
        <f>'All regions'!E5026+"$F;@!(r8"</f>
        <v>#VALUE!</v>
      </c>
      <c r="FF181" t="e">
        <f>'All regions'!F5026+"$F;@!(r9"</f>
        <v>#VALUE!</v>
      </c>
      <c r="FG181" t="e">
        <f>'All regions'!G5026+"$F;@!(r:"</f>
        <v>#VALUE!</v>
      </c>
      <c r="FH181" t="e">
        <f>'All regions'!H5026+"$F;@!(r;"</f>
        <v>#VALUE!</v>
      </c>
      <c r="FI181" t="e">
        <f>'All regions'!I5026+"$F;@!(r&lt;"</f>
        <v>#VALUE!</v>
      </c>
      <c r="FJ181" t="e">
        <f>'All regions'!A5027+"$F;@!(r="</f>
        <v>#VALUE!</v>
      </c>
      <c r="FK181" t="e">
        <f>'All regions'!B5027+"$F;@!(r&gt;"</f>
        <v>#VALUE!</v>
      </c>
      <c r="FL181" t="e">
        <f>'All regions'!C5027+"$F;@!(r?"</f>
        <v>#VALUE!</v>
      </c>
      <c r="FM181" t="e">
        <f>'All regions'!D5027+"$F;@!(r@"</f>
        <v>#VALUE!</v>
      </c>
      <c r="FN181" t="e">
        <f>'All regions'!E5027+"$F;@!(rA"</f>
        <v>#VALUE!</v>
      </c>
      <c r="FO181" t="e">
        <f>'All regions'!F5027+"$F;@!(rB"</f>
        <v>#VALUE!</v>
      </c>
      <c r="FP181" t="e">
        <f>'All regions'!G5027+"$F;@!(rC"</f>
        <v>#VALUE!</v>
      </c>
      <c r="FQ181" t="e">
        <f>'All regions'!H5027+"$F;@!(rD"</f>
        <v>#VALUE!</v>
      </c>
      <c r="FR181" t="e">
        <f>'All regions'!I5027+"$F;@!(rE"</f>
        <v>#VALUE!</v>
      </c>
      <c r="FS181" t="e">
        <f>'All regions'!A5028+"$F;@!(rF"</f>
        <v>#VALUE!</v>
      </c>
      <c r="FT181" t="e">
        <f>'All regions'!B5028+"$F;@!(rG"</f>
        <v>#VALUE!</v>
      </c>
      <c r="FU181" t="e">
        <f>'All regions'!C5028+"$F;@!(rH"</f>
        <v>#VALUE!</v>
      </c>
      <c r="FV181" t="e">
        <f>'All regions'!D5028+"$F;@!(rI"</f>
        <v>#VALUE!</v>
      </c>
      <c r="FW181" t="e">
        <f>'All regions'!E5028+"$F;@!(rJ"</f>
        <v>#VALUE!</v>
      </c>
      <c r="FX181" t="e">
        <f>'All regions'!F5028+"$F;@!(rK"</f>
        <v>#VALUE!</v>
      </c>
      <c r="FY181" t="e">
        <f>'All regions'!G5028+"$F;@!(rL"</f>
        <v>#VALUE!</v>
      </c>
      <c r="FZ181" t="e">
        <f>'All regions'!H5028+"$F;@!(rM"</f>
        <v>#VALUE!</v>
      </c>
      <c r="GA181" t="e">
        <f>'All regions'!I5028+"$F;@!(rN"</f>
        <v>#VALUE!</v>
      </c>
      <c r="GB181" t="e">
        <f>'All regions'!A5029+"$F;@!(rO"</f>
        <v>#VALUE!</v>
      </c>
      <c r="GC181" t="e">
        <f>'All regions'!B5029+"$F;@!(rP"</f>
        <v>#VALUE!</v>
      </c>
      <c r="GD181" t="e">
        <f>'All regions'!C5029+"$F;@!(rQ"</f>
        <v>#VALUE!</v>
      </c>
      <c r="GE181" t="e">
        <f>'All regions'!D5029+"$F;@!(rR"</f>
        <v>#VALUE!</v>
      </c>
      <c r="GF181" t="e">
        <f>'All regions'!E5029+"$F;@!(rS"</f>
        <v>#VALUE!</v>
      </c>
      <c r="GG181" t="e">
        <f>'All regions'!F5029+"$F;@!(rT"</f>
        <v>#VALUE!</v>
      </c>
      <c r="GH181" t="e">
        <f>'All regions'!G5029+"$F;@!(rU"</f>
        <v>#VALUE!</v>
      </c>
      <c r="GI181" t="e">
        <f>'All regions'!H5029+"$F;@!(rV"</f>
        <v>#VALUE!</v>
      </c>
      <c r="GJ181" t="e">
        <f>'All regions'!I5029+"$F;@!(rW"</f>
        <v>#VALUE!</v>
      </c>
      <c r="GK181" t="e">
        <f>'All regions'!A5030+"$F;@!(rX"</f>
        <v>#VALUE!</v>
      </c>
      <c r="GL181" t="e">
        <f>'All regions'!B5030+"$F;@!(rY"</f>
        <v>#VALUE!</v>
      </c>
      <c r="GM181" t="e">
        <f>'All regions'!C5030+"$F;@!(rZ"</f>
        <v>#VALUE!</v>
      </c>
      <c r="GN181" t="e">
        <f>'All regions'!D5030+"$F;@!(r["</f>
        <v>#VALUE!</v>
      </c>
      <c r="GO181" t="e">
        <f>'All regions'!E5030+"$F;@!(r\"</f>
        <v>#VALUE!</v>
      </c>
      <c r="GP181" t="e">
        <f>'All regions'!F5030+"$F;@!(r]"</f>
        <v>#VALUE!</v>
      </c>
      <c r="GQ181" t="e">
        <f>'All regions'!G5030+"$F;@!(r^"</f>
        <v>#VALUE!</v>
      </c>
      <c r="GR181" t="e">
        <f>'All regions'!H5030+"$F;@!(r_"</f>
        <v>#VALUE!</v>
      </c>
      <c r="GS181" t="e">
        <f>'All regions'!I5030+"$F;@!(r`"</f>
        <v>#VALUE!</v>
      </c>
      <c r="GT181" t="e">
        <f>'All regions'!A5031+"$F;@!(ra"</f>
        <v>#VALUE!</v>
      </c>
      <c r="GU181" t="e">
        <f>'All regions'!B5031+"$F;@!(rb"</f>
        <v>#VALUE!</v>
      </c>
      <c r="GV181" t="e">
        <f>'All regions'!C5031+"$F;@!(rc"</f>
        <v>#VALUE!</v>
      </c>
      <c r="GW181" t="e">
        <f>'All regions'!D5031+"$F;@!(rd"</f>
        <v>#VALUE!</v>
      </c>
      <c r="GX181" t="e">
        <f>'All regions'!E5031+"$F;@!(re"</f>
        <v>#VALUE!</v>
      </c>
      <c r="GY181" t="e">
        <f>'All regions'!F5031+"$F;@!(rf"</f>
        <v>#VALUE!</v>
      </c>
      <c r="GZ181" t="e">
        <f>'All regions'!G5031+"$F;@!(rg"</f>
        <v>#VALUE!</v>
      </c>
      <c r="HA181" t="e">
        <f>'All regions'!H5031+"$F;@!(rh"</f>
        <v>#VALUE!</v>
      </c>
      <c r="HB181" t="e">
        <f>'All regions'!I5031+"$F;@!(ri"</f>
        <v>#VALUE!</v>
      </c>
      <c r="HC181" t="e">
        <f>'All regions'!A5032+"$F;@!(rj"</f>
        <v>#VALUE!</v>
      </c>
      <c r="HD181" t="e">
        <f>'All regions'!B5032+"$F;@!(rk"</f>
        <v>#VALUE!</v>
      </c>
      <c r="HE181" t="e">
        <f>'All regions'!C5032+"$F;@!(rl"</f>
        <v>#VALUE!</v>
      </c>
      <c r="HF181" t="e">
        <f>'All regions'!D5032+"$F;@!(rm"</f>
        <v>#VALUE!</v>
      </c>
      <c r="HG181" t="e">
        <f>'All regions'!E5032+"$F;@!(rn"</f>
        <v>#VALUE!</v>
      </c>
      <c r="HH181" t="e">
        <f>'All regions'!F5032+"$F;@!(ro"</f>
        <v>#VALUE!</v>
      </c>
      <c r="HI181" t="e">
        <f>'All regions'!G5032+"$F;@!(rp"</f>
        <v>#VALUE!</v>
      </c>
      <c r="HJ181" t="e">
        <f>'All regions'!H5032+"$F;@!(rq"</f>
        <v>#VALUE!</v>
      </c>
      <c r="HK181" t="e">
        <f>'All regions'!I5032+"$F;@!(rr"</f>
        <v>#VALUE!</v>
      </c>
      <c r="HL181" t="e">
        <f>'All regions'!A5033+"$F;@!(rs"</f>
        <v>#VALUE!</v>
      </c>
      <c r="HM181" t="e">
        <f>'All regions'!B5033+"$F;@!(rt"</f>
        <v>#VALUE!</v>
      </c>
      <c r="HN181" t="e">
        <f>'All regions'!C5033+"$F;@!(ru"</f>
        <v>#VALUE!</v>
      </c>
      <c r="HO181" t="e">
        <f>'All regions'!D5033+"$F;@!(rv"</f>
        <v>#VALUE!</v>
      </c>
      <c r="HP181" t="e">
        <f>'All regions'!E5033+"$F;@!(rw"</f>
        <v>#VALUE!</v>
      </c>
      <c r="HQ181" t="e">
        <f>'All regions'!F5033+"$F;@!(rx"</f>
        <v>#VALUE!</v>
      </c>
      <c r="HR181" t="e">
        <f>'All regions'!G5033+"$F;@!(ry"</f>
        <v>#VALUE!</v>
      </c>
      <c r="HS181" t="e">
        <f>'All regions'!H5033+"$F;@!(rz"</f>
        <v>#VALUE!</v>
      </c>
      <c r="HT181" t="e">
        <f>'All regions'!I5033+"$F;@!(r{"</f>
        <v>#VALUE!</v>
      </c>
      <c r="HU181" t="e">
        <f>'All regions'!A5034+"$F;@!(r|"</f>
        <v>#VALUE!</v>
      </c>
      <c r="HV181" t="e">
        <f>'All regions'!B5034+"$F;@!(r}"</f>
        <v>#VALUE!</v>
      </c>
      <c r="HW181" t="e">
        <f>'All regions'!C5034+"$F;@!(r~"</f>
        <v>#VALUE!</v>
      </c>
      <c r="HX181" t="e">
        <f>'All regions'!D5034+"$F;@!(s#"</f>
        <v>#VALUE!</v>
      </c>
      <c r="HY181" t="e">
        <f>'All regions'!E5034+"$F;@!(s$"</f>
        <v>#VALUE!</v>
      </c>
      <c r="HZ181" t="e">
        <f>'All regions'!F5034+"$F;@!(s%"</f>
        <v>#VALUE!</v>
      </c>
      <c r="IA181" t="e">
        <f>'All regions'!G5034+"$F;@!(s&amp;"</f>
        <v>#VALUE!</v>
      </c>
      <c r="IB181" t="e">
        <f>'All regions'!H5034+"$F;@!(s'"</f>
        <v>#VALUE!</v>
      </c>
      <c r="IC181" t="e">
        <f>'All regions'!I5034+"$F;@!(s("</f>
        <v>#VALUE!</v>
      </c>
      <c r="ID181" t="e">
        <f>'All regions'!A5035+"$F;@!(s)"</f>
        <v>#VALUE!</v>
      </c>
      <c r="IE181" t="e">
        <f>'All regions'!B5035+"$F;@!(s."</f>
        <v>#VALUE!</v>
      </c>
      <c r="IF181" t="e">
        <f>'All regions'!C5035+"$F;@!(s/"</f>
        <v>#VALUE!</v>
      </c>
      <c r="IG181" t="e">
        <f>'All regions'!D5035+"$F;@!(s0"</f>
        <v>#VALUE!</v>
      </c>
      <c r="IH181" t="e">
        <f>'All regions'!E5035+"$F;@!(s1"</f>
        <v>#VALUE!</v>
      </c>
      <c r="II181" t="e">
        <f>'All regions'!F5035+"$F;@!(s2"</f>
        <v>#VALUE!</v>
      </c>
      <c r="IJ181" t="e">
        <f>'All regions'!G5035+"$F;@!(s3"</f>
        <v>#VALUE!</v>
      </c>
      <c r="IK181" t="e">
        <f>'All regions'!H5035+"$F;@!(s4"</f>
        <v>#VALUE!</v>
      </c>
      <c r="IL181" t="e">
        <f>'All regions'!I5035+"$F;@!(s5"</f>
        <v>#VALUE!</v>
      </c>
      <c r="IM181" t="e">
        <f>'All regions'!A5036+"$F;@!(s6"</f>
        <v>#VALUE!</v>
      </c>
      <c r="IN181" t="e">
        <f>'All regions'!B5036+"$F;@!(s7"</f>
        <v>#VALUE!</v>
      </c>
      <c r="IO181" t="e">
        <f>'All regions'!C5036+"$F;@!(s8"</f>
        <v>#VALUE!</v>
      </c>
      <c r="IP181" t="e">
        <f>'All regions'!D5036+"$F;@!(s9"</f>
        <v>#VALUE!</v>
      </c>
      <c r="IQ181" t="e">
        <f>'All regions'!E5036+"$F;@!(s:"</f>
        <v>#VALUE!</v>
      </c>
      <c r="IR181" t="e">
        <f>'All regions'!F5036+"$F;@!(s;"</f>
        <v>#VALUE!</v>
      </c>
      <c r="IS181" t="e">
        <f>'All regions'!G5036+"$F;@!(s&lt;"</f>
        <v>#VALUE!</v>
      </c>
      <c r="IT181" t="e">
        <f>'All regions'!H5036+"$F;@!(s="</f>
        <v>#VALUE!</v>
      </c>
      <c r="IU181" t="e">
        <f>'All regions'!I5036+"$F;@!(s&gt;"</f>
        <v>#VALUE!</v>
      </c>
      <c r="IV181" t="e">
        <f>'All regions'!A5037+"$F;@!(s?"</f>
        <v>#VALUE!</v>
      </c>
    </row>
    <row r="182" spans="6:256" x14ac:dyDescent="0.35">
      <c r="F182" t="e">
        <f>'All regions'!B5037+"$F;@!(s@"</f>
        <v>#VALUE!</v>
      </c>
      <c r="G182" t="e">
        <f>'All regions'!C5037+"$F;@!(sA"</f>
        <v>#VALUE!</v>
      </c>
      <c r="H182" t="e">
        <f>'All regions'!D5037+"$F;@!(sB"</f>
        <v>#VALUE!</v>
      </c>
      <c r="I182" t="e">
        <f>'All regions'!E5037+"$F;@!(sC"</f>
        <v>#VALUE!</v>
      </c>
      <c r="J182" t="e">
        <f>'All regions'!F5037+"$F;@!(sD"</f>
        <v>#VALUE!</v>
      </c>
      <c r="K182" t="e">
        <f>'All regions'!G5037+"$F;@!(sE"</f>
        <v>#VALUE!</v>
      </c>
      <c r="L182" t="e">
        <f>'All regions'!H5037+"$F;@!(sF"</f>
        <v>#VALUE!</v>
      </c>
      <c r="M182" t="e">
        <f>'All regions'!I5037+"$F;@!(sG"</f>
        <v>#VALUE!</v>
      </c>
      <c r="N182" t="e">
        <f>'All regions'!A5038+"$F;@!(sH"</f>
        <v>#VALUE!</v>
      </c>
      <c r="O182" t="e">
        <f>'All regions'!B5038+"$F;@!(sI"</f>
        <v>#VALUE!</v>
      </c>
      <c r="P182" t="e">
        <f>'All regions'!C5038+"$F;@!(sJ"</f>
        <v>#VALUE!</v>
      </c>
      <c r="Q182" t="e">
        <f>'All regions'!D5038+"$F;@!(sK"</f>
        <v>#VALUE!</v>
      </c>
      <c r="R182" t="e">
        <f>'All regions'!E5038+"$F;@!(sL"</f>
        <v>#VALUE!</v>
      </c>
      <c r="S182" t="e">
        <f>'All regions'!F5038+"$F;@!(sM"</f>
        <v>#VALUE!</v>
      </c>
      <c r="T182" t="e">
        <f>'All regions'!G5038+"$F;@!(sN"</f>
        <v>#VALUE!</v>
      </c>
      <c r="U182" t="e">
        <f>'All regions'!H5038+"$F;@!(sO"</f>
        <v>#VALUE!</v>
      </c>
      <c r="V182" t="e">
        <f>'All regions'!I5038+"$F;@!(sP"</f>
        <v>#VALUE!</v>
      </c>
      <c r="W182" t="e">
        <f>'All regions'!A5039+"$F;@!(sQ"</f>
        <v>#VALUE!</v>
      </c>
      <c r="X182" t="e">
        <f>'All regions'!B5039+"$F;@!(sR"</f>
        <v>#VALUE!</v>
      </c>
      <c r="Y182" t="e">
        <f>'All regions'!C5039+"$F;@!(sS"</f>
        <v>#VALUE!</v>
      </c>
      <c r="Z182" t="e">
        <f>'All regions'!D5039+"$F;@!(sT"</f>
        <v>#VALUE!</v>
      </c>
      <c r="AA182" t="e">
        <f>'All regions'!E5039+"$F;@!(sU"</f>
        <v>#VALUE!</v>
      </c>
      <c r="AB182" t="e">
        <f>'All regions'!F5039+"$F;@!(sV"</f>
        <v>#VALUE!</v>
      </c>
      <c r="AC182" t="e">
        <f>'All regions'!G5039+"$F;@!(sW"</f>
        <v>#VALUE!</v>
      </c>
      <c r="AD182" t="e">
        <f>'All regions'!H5039+"$F;@!(sX"</f>
        <v>#VALUE!</v>
      </c>
      <c r="AE182" t="e">
        <f>'All regions'!I5039+"$F;@!(sY"</f>
        <v>#VALUE!</v>
      </c>
      <c r="AF182" t="e">
        <f>'All regions'!A5040+"$F;@!(sZ"</f>
        <v>#VALUE!</v>
      </c>
      <c r="AG182" t="e">
        <f>'All regions'!B5040+"$F;@!(s["</f>
        <v>#VALUE!</v>
      </c>
      <c r="AH182" t="e">
        <f>'All regions'!C5040+"$F;@!(s\"</f>
        <v>#VALUE!</v>
      </c>
      <c r="AI182" t="e">
        <f>'All regions'!D5040+"$F;@!(s]"</f>
        <v>#VALUE!</v>
      </c>
      <c r="AJ182" t="e">
        <f>'All regions'!E5040+"$F;@!(s^"</f>
        <v>#VALUE!</v>
      </c>
      <c r="AK182" t="e">
        <f>'All regions'!F5040+"$F;@!(s_"</f>
        <v>#VALUE!</v>
      </c>
      <c r="AL182" t="e">
        <f>'All regions'!G5040+"$F;@!(s`"</f>
        <v>#VALUE!</v>
      </c>
      <c r="AM182" t="e">
        <f>'All regions'!H5040+"$F;@!(sa"</f>
        <v>#VALUE!</v>
      </c>
      <c r="AN182" t="e">
        <f>'All regions'!I5040+"$F;@!(sb"</f>
        <v>#VALUE!</v>
      </c>
      <c r="AO182" t="e">
        <f>'All regions'!A5041+"$F;@!(sc"</f>
        <v>#VALUE!</v>
      </c>
      <c r="AP182" t="e">
        <f>'All regions'!B5041+"$F;@!(sd"</f>
        <v>#VALUE!</v>
      </c>
      <c r="AQ182" t="e">
        <f>'All regions'!C5041+"$F;@!(se"</f>
        <v>#VALUE!</v>
      </c>
      <c r="AR182" t="e">
        <f>'All regions'!D5041+"$F;@!(sf"</f>
        <v>#VALUE!</v>
      </c>
      <c r="AS182" t="e">
        <f>'All regions'!E5041+"$F;@!(sg"</f>
        <v>#VALUE!</v>
      </c>
      <c r="AT182" t="e">
        <f>'All regions'!F5041+"$F;@!(sh"</f>
        <v>#VALUE!</v>
      </c>
      <c r="AU182" t="e">
        <f>'All regions'!G5041+"$F;@!(si"</f>
        <v>#VALUE!</v>
      </c>
      <c r="AV182" t="e">
        <f>'All regions'!H5041+"$F;@!(sj"</f>
        <v>#VALUE!</v>
      </c>
      <c r="AW182" t="e">
        <f>'All regions'!I5041+"$F;@!(sk"</f>
        <v>#VALUE!</v>
      </c>
      <c r="AX182" t="e">
        <f>'All regions'!A5042+"$F;@!(sl"</f>
        <v>#VALUE!</v>
      </c>
      <c r="AY182" t="e">
        <f>'All regions'!B5042+"$F;@!(sm"</f>
        <v>#VALUE!</v>
      </c>
      <c r="AZ182" t="e">
        <f>'All regions'!C5042+"$F;@!(sn"</f>
        <v>#VALUE!</v>
      </c>
      <c r="BA182" t="e">
        <f>'All regions'!D5042+"$F;@!(so"</f>
        <v>#VALUE!</v>
      </c>
      <c r="BB182" t="e">
        <f>'All regions'!E5042+"$F;@!(sp"</f>
        <v>#VALUE!</v>
      </c>
      <c r="BC182" t="e">
        <f>'All regions'!F5042+"$F;@!(sq"</f>
        <v>#VALUE!</v>
      </c>
      <c r="BD182" t="e">
        <f>'All regions'!G5042+"$F;@!(sr"</f>
        <v>#VALUE!</v>
      </c>
      <c r="BE182" t="e">
        <f>'All regions'!H5042+"$F;@!(ss"</f>
        <v>#VALUE!</v>
      </c>
      <c r="BF182" t="e">
        <f>'All regions'!I5042+"$F;@!(st"</f>
        <v>#VALUE!</v>
      </c>
      <c r="BG182" t="e">
        <f>'All regions'!A5043+"$F;@!(su"</f>
        <v>#VALUE!</v>
      </c>
      <c r="BH182" t="e">
        <f>'All regions'!B5043+"$F;@!(sv"</f>
        <v>#VALUE!</v>
      </c>
      <c r="BI182" t="e">
        <f>'All regions'!C5043+"$F;@!(sw"</f>
        <v>#VALUE!</v>
      </c>
      <c r="BJ182" t="e">
        <f>'All regions'!D5043+"$F;@!(sx"</f>
        <v>#VALUE!</v>
      </c>
      <c r="BK182" t="e">
        <f>'All regions'!E5043+"$F;@!(sy"</f>
        <v>#VALUE!</v>
      </c>
      <c r="BL182" t="e">
        <f>'All regions'!F5043+"$F;@!(sz"</f>
        <v>#VALUE!</v>
      </c>
      <c r="BM182" t="e">
        <f>'All regions'!G5043+"$F;@!(s{"</f>
        <v>#VALUE!</v>
      </c>
      <c r="BN182" t="e">
        <f>'All regions'!H5043+"$F;@!(s|"</f>
        <v>#VALUE!</v>
      </c>
      <c r="BO182" t="e">
        <f>'All regions'!I5043+"$F;@!(s}"</f>
        <v>#VALUE!</v>
      </c>
      <c r="BP182" t="e">
        <f>'All regions'!A5044+"$F;@!(s~"</f>
        <v>#VALUE!</v>
      </c>
      <c r="BQ182" t="e">
        <f>'All regions'!B5044+"$F;@!(t#"</f>
        <v>#VALUE!</v>
      </c>
      <c r="BR182" t="e">
        <f>'All regions'!C5044+"$F;@!(t$"</f>
        <v>#VALUE!</v>
      </c>
      <c r="BS182" t="e">
        <f>'All regions'!D5044+"$F;@!(t%"</f>
        <v>#VALUE!</v>
      </c>
      <c r="BT182" t="e">
        <f>'All regions'!E5044+"$F;@!(t&amp;"</f>
        <v>#VALUE!</v>
      </c>
      <c r="BU182" t="e">
        <f>'All regions'!F5044+"$F;@!(t'"</f>
        <v>#VALUE!</v>
      </c>
      <c r="BV182" t="e">
        <f>'All regions'!G5044+"$F;@!(t("</f>
        <v>#VALUE!</v>
      </c>
      <c r="BW182" t="e">
        <f>'All regions'!H5044+"$F;@!(t)"</f>
        <v>#VALUE!</v>
      </c>
      <c r="BX182" t="e">
        <f>'All regions'!I5044+"$F;@!(t."</f>
        <v>#VALUE!</v>
      </c>
      <c r="BY182" t="e">
        <f>'All regions'!A5045+"$F;@!(t/"</f>
        <v>#VALUE!</v>
      </c>
      <c r="BZ182" t="e">
        <f>'All regions'!B5045+"$F;@!(t0"</f>
        <v>#VALUE!</v>
      </c>
      <c r="CA182" t="e">
        <f>'All regions'!C5045+"$F;@!(t1"</f>
        <v>#VALUE!</v>
      </c>
      <c r="CB182" t="e">
        <f>'All regions'!D5045+"$F;@!(t2"</f>
        <v>#VALUE!</v>
      </c>
      <c r="CC182" t="e">
        <f>'All regions'!E5045+"$F;@!(t3"</f>
        <v>#VALUE!</v>
      </c>
      <c r="CD182" t="e">
        <f>'All regions'!F5045+"$F;@!(t4"</f>
        <v>#VALUE!</v>
      </c>
      <c r="CE182" t="e">
        <f>'All regions'!G5045+"$F;@!(t5"</f>
        <v>#VALUE!</v>
      </c>
      <c r="CF182" t="e">
        <f>'All regions'!H5045+"$F;@!(t6"</f>
        <v>#VALUE!</v>
      </c>
      <c r="CG182" t="e">
        <f>'All regions'!I5045+"$F;@!(t7"</f>
        <v>#VALUE!</v>
      </c>
      <c r="CH182" t="e">
        <f>'All regions'!A5046+"$F;@!(t8"</f>
        <v>#VALUE!</v>
      </c>
      <c r="CI182" t="e">
        <f>'All regions'!B5046+"$F;@!(t9"</f>
        <v>#VALUE!</v>
      </c>
      <c r="CJ182" t="e">
        <f>'All regions'!C5046+"$F;@!(t:"</f>
        <v>#VALUE!</v>
      </c>
      <c r="CK182" t="e">
        <f>'All regions'!D5046+"$F;@!(t;"</f>
        <v>#VALUE!</v>
      </c>
      <c r="CL182" t="e">
        <f>'All regions'!E5046+"$F;@!(t&lt;"</f>
        <v>#VALUE!</v>
      </c>
      <c r="CM182" t="e">
        <f>'All regions'!F5046+"$F;@!(t="</f>
        <v>#VALUE!</v>
      </c>
      <c r="CN182" t="e">
        <f>'All regions'!G5046+"$F;@!(t&gt;"</f>
        <v>#VALUE!</v>
      </c>
      <c r="CO182" t="e">
        <f>'All regions'!H5046+"$F;@!(t?"</f>
        <v>#VALUE!</v>
      </c>
      <c r="CP182" t="e">
        <f>'All regions'!I5046+"$F;@!(t@"</f>
        <v>#VALUE!</v>
      </c>
      <c r="CQ182" t="e">
        <f>'All regions'!A5047+"$F;@!(tA"</f>
        <v>#VALUE!</v>
      </c>
      <c r="CR182" t="e">
        <f>'All regions'!B5047+"$F;@!(tB"</f>
        <v>#VALUE!</v>
      </c>
      <c r="CS182" t="e">
        <f>'All regions'!C5047+"$F;@!(tC"</f>
        <v>#VALUE!</v>
      </c>
      <c r="CT182" t="e">
        <f>'All regions'!D5047+"$F;@!(tD"</f>
        <v>#VALUE!</v>
      </c>
      <c r="CU182" t="e">
        <f>'All regions'!E5047+"$F;@!(tE"</f>
        <v>#VALUE!</v>
      </c>
      <c r="CV182" t="e">
        <f>'All regions'!F5047+"$F;@!(tF"</f>
        <v>#VALUE!</v>
      </c>
      <c r="CW182" t="e">
        <f>'All regions'!G5047+"$F;@!(tG"</f>
        <v>#VALUE!</v>
      </c>
      <c r="CX182" t="e">
        <f>'All regions'!H5047+"$F;@!(tH"</f>
        <v>#VALUE!</v>
      </c>
      <c r="CY182" t="e">
        <f>'All regions'!I5047+"$F;@!(tI"</f>
        <v>#VALUE!</v>
      </c>
      <c r="CZ182" t="e">
        <f>'All regions'!A5048+"$F;@!(tJ"</f>
        <v>#VALUE!</v>
      </c>
      <c r="DA182" t="e">
        <f>'All regions'!B5048+"$F;@!(tK"</f>
        <v>#VALUE!</v>
      </c>
      <c r="DB182" t="e">
        <f>'All regions'!C5048+"$F;@!(tL"</f>
        <v>#VALUE!</v>
      </c>
      <c r="DC182" t="e">
        <f>'All regions'!D5048+"$F;@!(tM"</f>
        <v>#VALUE!</v>
      </c>
      <c r="DD182" t="e">
        <f>'All regions'!E5048+"$F;@!(tN"</f>
        <v>#VALUE!</v>
      </c>
      <c r="DE182" t="e">
        <f>'All regions'!F5048+"$F;@!(tO"</f>
        <v>#VALUE!</v>
      </c>
      <c r="DF182" t="e">
        <f>'All regions'!G5048+"$F;@!(tP"</f>
        <v>#VALUE!</v>
      </c>
      <c r="DG182" t="e">
        <f>'All regions'!H5048+"$F;@!(tQ"</f>
        <v>#VALUE!</v>
      </c>
      <c r="DH182" t="e">
        <f>'All regions'!I5048+"$F;@!(tR"</f>
        <v>#VALUE!</v>
      </c>
      <c r="DI182" t="e">
        <f>'All regions'!A5049+"$F;@!(tS"</f>
        <v>#VALUE!</v>
      </c>
      <c r="DJ182" t="e">
        <f>'All regions'!B5049+"$F;@!(tT"</f>
        <v>#VALUE!</v>
      </c>
      <c r="DK182" t="e">
        <f>'All regions'!C5049+"$F;@!(tU"</f>
        <v>#VALUE!</v>
      </c>
      <c r="DL182" t="e">
        <f>'All regions'!D5049+"$F;@!(tV"</f>
        <v>#VALUE!</v>
      </c>
      <c r="DM182" t="e">
        <f>'All regions'!E5049+"$F;@!(tW"</f>
        <v>#VALUE!</v>
      </c>
      <c r="DN182" t="e">
        <f>'All regions'!F5049+"$F;@!(tX"</f>
        <v>#VALUE!</v>
      </c>
      <c r="DO182" t="e">
        <f>'All regions'!G5049+"$F;@!(tY"</f>
        <v>#VALUE!</v>
      </c>
      <c r="DP182" t="e">
        <f>'All regions'!H5049+"$F;@!(tZ"</f>
        <v>#VALUE!</v>
      </c>
      <c r="DQ182" t="e">
        <f>'All regions'!I5049+"$F;@!(t["</f>
        <v>#VALUE!</v>
      </c>
      <c r="DR182" t="e">
        <f>'All regions'!A5050+"$F;@!(t\"</f>
        <v>#VALUE!</v>
      </c>
      <c r="DS182" t="e">
        <f>'All regions'!B5050+"$F;@!(t]"</f>
        <v>#VALUE!</v>
      </c>
      <c r="DT182" t="e">
        <f>'All regions'!C5050+"$F;@!(t^"</f>
        <v>#VALUE!</v>
      </c>
      <c r="DU182" t="e">
        <f>'All regions'!D5050+"$F;@!(t_"</f>
        <v>#VALUE!</v>
      </c>
      <c r="DV182" t="e">
        <f>'All regions'!E5050+"$F;@!(t`"</f>
        <v>#VALUE!</v>
      </c>
      <c r="DW182" t="e">
        <f>'All regions'!F5050+"$F;@!(ta"</f>
        <v>#VALUE!</v>
      </c>
      <c r="DX182" t="e">
        <f>'All regions'!G5050+"$F;@!(tb"</f>
        <v>#VALUE!</v>
      </c>
      <c r="DY182" t="e">
        <f>'All regions'!H5050+"$F;@!(tc"</f>
        <v>#VALUE!</v>
      </c>
      <c r="DZ182" t="e">
        <f>'All regions'!I5050+"$F;@!(td"</f>
        <v>#VALUE!</v>
      </c>
      <c r="EA182" t="e">
        <f>'All regions'!A5051+"$F;@!(te"</f>
        <v>#VALUE!</v>
      </c>
      <c r="EB182" t="e">
        <f>'All regions'!B5051+"$F;@!(tf"</f>
        <v>#VALUE!</v>
      </c>
      <c r="EC182" t="e">
        <f>'All regions'!C5051+"$F;@!(tg"</f>
        <v>#VALUE!</v>
      </c>
      <c r="ED182" t="e">
        <f>'All regions'!D5051+"$F;@!(th"</f>
        <v>#VALUE!</v>
      </c>
      <c r="EE182" t="e">
        <f>'All regions'!E5051+"$F;@!(ti"</f>
        <v>#VALUE!</v>
      </c>
      <c r="EF182" t="e">
        <f>'All regions'!F5051+"$F;@!(tj"</f>
        <v>#VALUE!</v>
      </c>
      <c r="EG182" t="e">
        <f>'All regions'!G5051+"$F;@!(tk"</f>
        <v>#VALUE!</v>
      </c>
      <c r="EH182" t="e">
        <f>'All regions'!H5051+"$F;@!(tl"</f>
        <v>#VALUE!</v>
      </c>
      <c r="EI182" t="e">
        <f>'All regions'!I5051+"$F;@!(tm"</f>
        <v>#VALUE!</v>
      </c>
      <c r="EJ182" t="e">
        <f>'All regions'!A5052+"$F;@!(tn"</f>
        <v>#VALUE!</v>
      </c>
      <c r="EK182" t="e">
        <f>'All regions'!B5052+"$F;@!(to"</f>
        <v>#VALUE!</v>
      </c>
      <c r="EL182" t="e">
        <f>'All regions'!C5052+"$F;@!(tp"</f>
        <v>#VALUE!</v>
      </c>
      <c r="EM182" t="e">
        <f>'All regions'!D5052+"$F;@!(tq"</f>
        <v>#VALUE!</v>
      </c>
      <c r="EN182" t="e">
        <f>'All regions'!E5052+"$F;@!(tr"</f>
        <v>#VALUE!</v>
      </c>
      <c r="EO182" t="e">
        <f>'All regions'!F5052+"$F;@!(ts"</f>
        <v>#VALUE!</v>
      </c>
      <c r="EP182" t="e">
        <f>'All regions'!G5052+"$F;@!(tt"</f>
        <v>#VALUE!</v>
      </c>
      <c r="EQ182" t="e">
        <f>'All regions'!H5052+"$F;@!(tu"</f>
        <v>#VALUE!</v>
      </c>
      <c r="ER182" t="e">
        <f>'All regions'!I5052+"$F;@!(tv"</f>
        <v>#VALUE!</v>
      </c>
      <c r="ES182" t="e">
        <f>'All regions'!A5053+"$F;@!(tw"</f>
        <v>#VALUE!</v>
      </c>
      <c r="ET182" t="e">
        <f>'All regions'!B5053+"$F;@!(tx"</f>
        <v>#VALUE!</v>
      </c>
      <c r="EU182" t="e">
        <f>'All regions'!C5053+"$F;@!(ty"</f>
        <v>#VALUE!</v>
      </c>
      <c r="EV182" t="e">
        <f>'All regions'!D5053+"$F;@!(tz"</f>
        <v>#VALUE!</v>
      </c>
      <c r="EW182" t="e">
        <f>'All regions'!E5053+"$F;@!(t{"</f>
        <v>#VALUE!</v>
      </c>
      <c r="EX182" t="e">
        <f>'All regions'!F5053+"$F;@!(t|"</f>
        <v>#VALUE!</v>
      </c>
      <c r="EY182" t="e">
        <f>'All regions'!G5053+"$F;@!(t}"</f>
        <v>#VALUE!</v>
      </c>
      <c r="EZ182" t="e">
        <f>'All regions'!H5053+"$F;@!(t~"</f>
        <v>#VALUE!</v>
      </c>
      <c r="FA182" t="e">
        <f>'All regions'!I5053+"$F;@!(u#"</f>
        <v>#VALUE!</v>
      </c>
      <c r="FB182" t="e">
        <f>'All regions'!A5054+"$F;@!(u$"</f>
        <v>#VALUE!</v>
      </c>
      <c r="FC182" t="e">
        <f>'All regions'!B5054+"$F;@!(u%"</f>
        <v>#VALUE!</v>
      </c>
      <c r="FD182" t="e">
        <f>'All regions'!C5054+"$F;@!(u&amp;"</f>
        <v>#VALUE!</v>
      </c>
      <c r="FE182" t="e">
        <f>'All regions'!D5054+"$F;@!(u'"</f>
        <v>#VALUE!</v>
      </c>
      <c r="FF182" t="e">
        <f>'All regions'!E5054+"$F;@!(u("</f>
        <v>#VALUE!</v>
      </c>
      <c r="FG182" t="e">
        <f>'All regions'!F5054+"$F;@!(u)"</f>
        <v>#VALUE!</v>
      </c>
      <c r="FH182" t="e">
        <f>'All regions'!G5054+"$F;@!(u."</f>
        <v>#VALUE!</v>
      </c>
      <c r="FI182" t="e">
        <f>'All regions'!H5054+"$F;@!(u/"</f>
        <v>#VALUE!</v>
      </c>
      <c r="FJ182" t="e">
        <f>'All regions'!I5054+"$F;@!(u0"</f>
        <v>#VALUE!</v>
      </c>
      <c r="FK182" t="e">
        <f>'All regions'!A5055+"$F;@!(u1"</f>
        <v>#VALUE!</v>
      </c>
      <c r="FL182" t="e">
        <f>'All regions'!B5055+"$F;@!(u2"</f>
        <v>#VALUE!</v>
      </c>
      <c r="FM182" t="e">
        <f>'All regions'!C5055+"$F;@!(u3"</f>
        <v>#VALUE!</v>
      </c>
      <c r="FN182" t="e">
        <f>'All regions'!D5055+"$F;@!(u4"</f>
        <v>#VALUE!</v>
      </c>
      <c r="FO182" t="e">
        <f>'All regions'!E5055+"$F;@!(u5"</f>
        <v>#VALUE!</v>
      </c>
      <c r="FP182" t="e">
        <f>'All regions'!F5055+"$F;@!(u6"</f>
        <v>#VALUE!</v>
      </c>
      <c r="FQ182" t="e">
        <f>'All regions'!G5055+"$F;@!(u7"</f>
        <v>#VALUE!</v>
      </c>
      <c r="FR182" t="e">
        <f>'All regions'!H5055+"$F;@!(u8"</f>
        <v>#VALUE!</v>
      </c>
      <c r="FS182" t="e">
        <f>'All regions'!I5055+"$F;@!(u9"</f>
        <v>#VALUE!</v>
      </c>
      <c r="FT182" t="e">
        <f>'All regions'!A5056+"$F;@!(u:"</f>
        <v>#VALUE!</v>
      </c>
      <c r="FU182" t="e">
        <f>'All regions'!B5056+"$F;@!(u;"</f>
        <v>#VALUE!</v>
      </c>
      <c r="FV182" t="e">
        <f>'All regions'!C5056+"$F;@!(u&lt;"</f>
        <v>#VALUE!</v>
      </c>
      <c r="FW182" t="e">
        <f>'All regions'!D5056+"$F;@!(u="</f>
        <v>#VALUE!</v>
      </c>
      <c r="FX182" t="e">
        <f>'All regions'!E5056+"$F;@!(u&gt;"</f>
        <v>#VALUE!</v>
      </c>
      <c r="FY182" t="e">
        <f>'All regions'!F5056+"$F;@!(u?"</f>
        <v>#VALUE!</v>
      </c>
      <c r="FZ182" t="e">
        <f>'All regions'!G5056+"$F;@!(u@"</f>
        <v>#VALUE!</v>
      </c>
      <c r="GA182" t="e">
        <f>'All regions'!H5056+"$F;@!(uA"</f>
        <v>#VALUE!</v>
      </c>
      <c r="GB182" t="e">
        <f>'All regions'!I5056+"$F;@!(uB"</f>
        <v>#VALUE!</v>
      </c>
      <c r="GC182" t="e">
        <f>'All regions'!A5057+"$F;@!(uC"</f>
        <v>#VALUE!</v>
      </c>
      <c r="GD182" t="e">
        <f>'All regions'!B5057+"$F;@!(uD"</f>
        <v>#VALUE!</v>
      </c>
      <c r="GE182" t="e">
        <f>'All regions'!C5057+"$F;@!(uE"</f>
        <v>#VALUE!</v>
      </c>
      <c r="GF182" t="e">
        <f>'All regions'!D5057+"$F;@!(uF"</f>
        <v>#VALUE!</v>
      </c>
      <c r="GG182" t="e">
        <f>'All regions'!E5057+"$F;@!(uG"</f>
        <v>#VALUE!</v>
      </c>
      <c r="GH182" t="e">
        <f>'All regions'!F5057+"$F;@!(uH"</f>
        <v>#VALUE!</v>
      </c>
      <c r="GI182" t="e">
        <f>'All regions'!G5057+"$F;@!(uI"</f>
        <v>#VALUE!</v>
      </c>
      <c r="GJ182" t="e">
        <f>'All regions'!H5057+"$F;@!(uJ"</f>
        <v>#VALUE!</v>
      </c>
      <c r="GK182" t="e">
        <f>'All regions'!I5057+"$F;@!(uK"</f>
        <v>#VALUE!</v>
      </c>
      <c r="GL182" t="e">
        <f>'All regions'!A5058+"$F;@!(uL"</f>
        <v>#VALUE!</v>
      </c>
      <c r="GM182" t="e">
        <f>'All regions'!B5058+"$F;@!(uM"</f>
        <v>#VALUE!</v>
      </c>
      <c r="GN182" t="e">
        <f>'All regions'!C5058+"$F;@!(uN"</f>
        <v>#VALUE!</v>
      </c>
      <c r="GO182" t="e">
        <f>'All regions'!D5058+"$F;@!(uO"</f>
        <v>#VALUE!</v>
      </c>
      <c r="GP182" t="e">
        <f>'All regions'!E5058+"$F;@!(uP"</f>
        <v>#VALUE!</v>
      </c>
      <c r="GQ182" t="e">
        <f>'All regions'!F5058+"$F;@!(uQ"</f>
        <v>#VALUE!</v>
      </c>
      <c r="GR182" t="e">
        <f>'All regions'!G5058+"$F;@!(uR"</f>
        <v>#VALUE!</v>
      </c>
      <c r="GS182" t="e">
        <f>'All regions'!H5058+"$F;@!(uS"</f>
        <v>#VALUE!</v>
      </c>
      <c r="GT182" t="e">
        <f>'All regions'!I5058+"$F;@!(uT"</f>
        <v>#VALUE!</v>
      </c>
      <c r="GU182" t="e">
        <f>'All regions'!A5059+"$F;@!(uU"</f>
        <v>#VALUE!</v>
      </c>
      <c r="GV182" t="e">
        <f>'All regions'!B5059+"$F;@!(uV"</f>
        <v>#VALUE!</v>
      </c>
      <c r="GW182" t="e">
        <f>'All regions'!C5059+"$F;@!(uW"</f>
        <v>#VALUE!</v>
      </c>
      <c r="GX182" t="e">
        <f>'All regions'!D5059+"$F;@!(uX"</f>
        <v>#VALUE!</v>
      </c>
      <c r="GY182" t="e">
        <f>'All regions'!E5059+"$F;@!(uY"</f>
        <v>#VALUE!</v>
      </c>
      <c r="GZ182" t="e">
        <f>'All regions'!F5059+"$F;@!(uZ"</f>
        <v>#VALUE!</v>
      </c>
      <c r="HA182" t="e">
        <f>'All regions'!G5059+"$F;@!(u["</f>
        <v>#VALUE!</v>
      </c>
      <c r="HB182" t="e">
        <f>'All regions'!H5059+"$F;@!(u\"</f>
        <v>#VALUE!</v>
      </c>
      <c r="HC182" t="e">
        <f>'All regions'!I5059+"$F;@!(u]"</f>
        <v>#VALUE!</v>
      </c>
      <c r="HD182" t="e">
        <f>'All regions'!A5060+"$F;@!(u^"</f>
        <v>#VALUE!</v>
      </c>
      <c r="HE182" t="e">
        <f>'All regions'!B5060+"$F;@!(u_"</f>
        <v>#VALUE!</v>
      </c>
      <c r="HF182" t="e">
        <f>'All regions'!C5060+"$F;@!(u`"</f>
        <v>#VALUE!</v>
      </c>
      <c r="HG182" t="e">
        <f>'All regions'!D5060+"$F;@!(ua"</f>
        <v>#VALUE!</v>
      </c>
      <c r="HH182" t="e">
        <f>'All regions'!E5060+"$F;@!(ub"</f>
        <v>#VALUE!</v>
      </c>
      <c r="HI182" t="e">
        <f>'All regions'!F5060+"$F;@!(uc"</f>
        <v>#VALUE!</v>
      </c>
      <c r="HJ182" t="e">
        <f>'All regions'!G5060+"$F;@!(ud"</f>
        <v>#VALUE!</v>
      </c>
      <c r="HK182" t="e">
        <f>'All regions'!H5060+"$F;@!(ue"</f>
        <v>#VALUE!</v>
      </c>
      <c r="HL182" t="e">
        <f>'All regions'!I5060+"$F;@!(uf"</f>
        <v>#VALUE!</v>
      </c>
      <c r="HM182" t="e">
        <f>'All regions'!A5061+"$F;@!(ug"</f>
        <v>#VALUE!</v>
      </c>
      <c r="HN182" t="e">
        <f>'All regions'!B5061+"$F;@!(uh"</f>
        <v>#VALUE!</v>
      </c>
      <c r="HO182" t="e">
        <f>'All regions'!C5061+"$F;@!(ui"</f>
        <v>#VALUE!</v>
      </c>
      <c r="HP182" t="e">
        <f>'All regions'!D5061+"$F;@!(uj"</f>
        <v>#VALUE!</v>
      </c>
      <c r="HQ182" t="e">
        <f>'All regions'!E5061+"$F;@!(uk"</f>
        <v>#VALUE!</v>
      </c>
      <c r="HR182" t="e">
        <f>'All regions'!F5061+"$F;@!(ul"</f>
        <v>#VALUE!</v>
      </c>
      <c r="HS182" t="e">
        <f>'All regions'!G5061+"$F;@!(um"</f>
        <v>#VALUE!</v>
      </c>
      <c r="HT182" t="e">
        <f>'All regions'!H5061+"$F;@!(un"</f>
        <v>#VALUE!</v>
      </c>
      <c r="HU182" t="e">
        <f>'All regions'!I5061+"$F;@!(uo"</f>
        <v>#VALUE!</v>
      </c>
      <c r="HV182" t="e">
        <f>'All regions'!A5062+"$F;@!(up"</f>
        <v>#VALUE!</v>
      </c>
      <c r="HW182" t="e">
        <f>'All regions'!B5062+"$F;@!(uq"</f>
        <v>#VALUE!</v>
      </c>
      <c r="HX182" t="e">
        <f>'All regions'!C5062+"$F;@!(ur"</f>
        <v>#VALUE!</v>
      </c>
      <c r="HY182" t="e">
        <f>'All regions'!D5062+"$F;@!(us"</f>
        <v>#VALUE!</v>
      </c>
      <c r="HZ182" t="e">
        <f>'All regions'!E5062+"$F;@!(ut"</f>
        <v>#VALUE!</v>
      </c>
      <c r="IA182" t="e">
        <f>'All regions'!F5062+"$F;@!(uu"</f>
        <v>#VALUE!</v>
      </c>
      <c r="IB182" t="e">
        <f>'All regions'!G5062+"$F;@!(uv"</f>
        <v>#VALUE!</v>
      </c>
      <c r="IC182" t="e">
        <f>'All regions'!H5062+"$F;@!(uw"</f>
        <v>#VALUE!</v>
      </c>
      <c r="ID182" t="e">
        <f>'All regions'!I5062+"$F;@!(ux"</f>
        <v>#VALUE!</v>
      </c>
      <c r="IE182" t="e">
        <f>'All regions'!A5063+"$F;@!(uy"</f>
        <v>#VALUE!</v>
      </c>
      <c r="IF182" t="e">
        <f>'All regions'!B5063+"$F;@!(uz"</f>
        <v>#VALUE!</v>
      </c>
      <c r="IG182" t="e">
        <f>'All regions'!C5063+"$F;@!(u{"</f>
        <v>#VALUE!</v>
      </c>
      <c r="IH182" t="e">
        <f>'All regions'!D5063+"$F;@!(u|"</f>
        <v>#VALUE!</v>
      </c>
      <c r="II182" t="e">
        <f>'All regions'!E5063+"$F;@!(u}"</f>
        <v>#VALUE!</v>
      </c>
      <c r="IJ182" t="e">
        <f>'All regions'!F5063+"$F;@!(u~"</f>
        <v>#VALUE!</v>
      </c>
      <c r="IK182" t="e">
        <f>'All regions'!G5063+"$F;@!(v#"</f>
        <v>#VALUE!</v>
      </c>
      <c r="IL182" t="e">
        <f>'All regions'!H5063+"$F;@!(v$"</f>
        <v>#VALUE!</v>
      </c>
      <c r="IM182" t="e">
        <f>'All regions'!I5063+"$F;@!(v%"</f>
        <v>#VALUE!</v>
      </c>
      <c r="IN182" t="e">
        <f>'All regions'!A5064+"$F;@!(v&amp;"</f>
        <v>#VALUE!</v>
      </c>
      <c r="IO182" t="e">
        <f>'All regions'!B5064+"$F;@!(v'"</f>
        <v>#VALUE!</v>
      </c>
      <c r="IP182" t="e">
        <f>'All regions'!C5064+"$F;@!(v("</f>
        <v>#VALUE!</v>
      </c>
      <c r="IQ182" t="e">
        <f>'All regions'!D5064+"$F;@!(v)"</f>
        <v>#VALUE!</v>
      </c>
      <c r="IR182" t="e">
        <f>'All regions'!E5064+"$F;@!(v."</f>
        <v>#VALUE!</v>
      </c>
      <c r="IS182" t="e">
        <f>'All regions'!F5064+"$F;@!(v/"</f>
        <v>#VALUE!</v>
      </c>
      <c r="IT182" t="e">
        <f>'All regions'!G5064+"$F;@!(v0"</f>
        <v>#VALUE!</v>
      </c>
      <c r="IU182" t="e">
        <f>'All regions'!H5064+"$F;@!(v1"</f>
        <v>#VALUE!</v>
      </c>
      <c r="IV182" t="e">
        <f>'All regions'!I5064+"$F;@!(v2"</f>
        <v>#VALUE!</v>
      </c>
    </row>
    <row r="183" spans="6:256" x14ac:dyDescent="0.35">
      <c r="F183" t="e">
        <f>'All regions'!A5065+"$F;@!(v3"</f>
        <v>#VALUE!</v>
      </c>
      <c r="G183" t="e">
        <f>'All regions'!B5065+"$F;@!(v4"</f>
        <v>#VALUE!</v>
      </c>
      <c r="H183" t="e">
        <f>'All regions'!C5065+"$F;@!(v5"</f>
        <v>#VALUE!</v>
      </c>
      <c r="I183" t="e">
        <f>'All regions'!D5065+"$F;@!(v6"</f>
        <v>#VALUE!</v>
      </c>
      <c r="J183" t="e">
        <f>'All regions'!E5065+"$F;@!(v7"</f>
        <v>#VALUE!</v>
      </c>
      <c r="K183" t="e">
        <f>'All regions'!F5065+"$F;@!(v8"</f>
        <v>#VALUE!</v>
      </c>
      <c r="L183" t="e">
        <f>'All regions'!G5065+"$F;@!(v9"</f>
        <v>#VALUE!</v>
      </c>
      <c r="M183" t="e">
        <f>'All regions'!H5065+"$F;@!(v:"</f>
        <v>#VALUE!</v>
      </c>
      <c r="N183" t="e">
        <f>'All regions'!I5065+"$F;@!(v;"</f>
        <v>#VALUE!</v>
      </c>
      <c r="O183" t="e">
        <f>'All regions'!A5066+"$F;@!(v&lt;"</f>
        <v>#VALUE!</v>
      </c>
      <c r="P183" t="e">
        <f>'All regions'!B5066+"$F;@!(v="</f>
        <v>#VALUE!</v>
      </c>
      <c r="Q183" t="e">
        <f>'All regions'!C5066+"$F;@!(v&gt;"</f>
        <v>#VALUE!</v>
      </c>
      <c r="R183" t="e">
        <f>'All regions'!D5066+"$F;@!(v?"</f>
        <v>#VALUE!</v>
      </c>
      <c r="S183" t="e">
        <f>'All regions'!E5066+"$F;@!(v@"</f>
        <v>#VALUE!</v>
      </c>
      <c r="T183" t="e">
        <f>'All regions'!F5066+"$F;@!(vA"</f>
        <v>#VALUE!</v>
      </c>
      <c r="U183" t="e">
        <f>'All regions'!G5066+"$F;@!(vB"</f>
        <v>#VALUE!</v>
      </c>
      <c r="V183" t="e">
        <f>'All regions'!H5066+"$F;@!(vC"</f>
        <v>#VALUE!</v>
      </c>
      <c r="W183" t="e">
        <f>'All regions'!I5066+"$F;@!(vD"</f>
        <v>#VALUE!</v>
      </c>
      <c r="X183" t="e">
        <f>'All regions'!A5067+"$F;@!(vE"</f>
        <v>#VALUE!</v>
      </c>
      <c r="Y183" t="e">
        <f>'All regions'!B5067+"$F;@!(vF"</f>
        <v>#VALUE!</v>
      </c>
      <c r="Z183" t="e">
        <f>'All regions'!C5067+"$F;@!(vG"</f>
        <v>#VALUE!</v>
      </c>
      <c r="AA183" t="e">
        <f>'All regions'!D5067+"$F;@!(vH"</f>
        <v>#VALUE!</v>
      </c>
      <c r="AB183" t="e">
        <f>'All regions'!E5067+"$F;@!(vI"</f>
        <v>#VALUE!</v>
      </c>
      <c r="AC183" t="e">
        <f>'All regions'!F5067+"$F;@!(vJ"</f>
        <v>#VALUE!</v>
      </c>
      <c r="AD183" t="e">
        <f>'All regions'!G5067+"$F;@!(vK"</f>
        <v>#VALUE!</v>
      </c>
      <c r="AE183" t="e">
        <f>'All regions'!H5067+"$F;@!(vL"</f>
        <v>#VALUE!</v>
      </c>
      <c r="AF183" t="e">
        <f>'All regions'!I5067+"$F;@!(vM"</f>
        <v>#VALUE!</v>
      </c>
      <c r="AG183" t="e">
        <f>'All regions'!A5068+"$F;@!(vN"</f>
        <v>#VALUE!</v>
      </c>
      <c r="AH183" t="e">
        <f>'All regions'!B5068+"$F;@!(vO"</f>
        <v>#VALUE!</v>
      </c>
      <c r="AI183" t="e">
        <f>'All regions'!C5068+"$F;@!(vP"</f>
        <v>#VALUE!</v>
      </c>
      <c r="AJ183" t="e">
        <f>'All regions'!D5068+"$F;@!(vQ"</f>
        <v>#VALUE!</v>
      </c>
      <c r="AK183" t="e">
        <f>'All regions'!E5068+"$F;@!(vR"</f>
        <v>#VALUE!</v>
      </c>
      <c r="AL183" t="e">
        <f>'All regions'!F5068+"$F;@!(vS"</f>
        <v>#VALUE!</v>
      </c>
      <c r="AM183" t="e">
        <f>'All regions'!G5068+"$F;@!(vT"</f>
        <v>#VALUE!</v>
      </c>
      <c r="AN183" t="e">
        <f>'All regions'!H5068+"$F;@!(vU"</f>
        <v>#VALUE!</v>
      </c>
      <c r="AO183" t="e">
        <f>'All regions'!I5068+"$F;@!(vV"</f>
        <v>#VALUE!</v>
      </c>
      <c r="AP183" t="e">
        <f>'All regions'!A5069+"$F;@!(vW"</f>
        <v>#VALUE!</v>
      </c>
      <c r="AQ183" t="e">
        <f>'All regions'!B5069+"$F;@!(vX"</f>
        <v>#VALUE!</v>
      </c>
      <c r="AR183" t="e">
        <f>'All regions'!C5069+"$F;@!(vY"</f>
        <v>#VALUE!</v>
      </c>
      <c r="AS183" t="e">
        <f>'All regions'!D5069+"$F;@!(vZ"</f>
        <v>#VALUE!</v>
      </c>
      <c r="AT183" t="e">
        <f>'All regions'!E5069+"$F;@!(v["</f>
        <v>#VALUE!</v>
      </c>
      <c r="AU183" t="e">
        <f>'All regions'!F5069+"$F;@!(v\"</f>
        <v>#VALUE!</v>
      </c>
      <c r="AV183" t="e">
        <f>'All regions'!G5069+"$F;@!(v]"</f>
        <v>#VALUE!</v>
      </c>
      <c r="AW183" t="e">
        <f>'All regions'!H5069+"$F;@!(v^"</f>
        <v>#VALUE!</v>
      </c>
      <c r="AX183" t="e">
        <f>'All regions'!I5069+"$F;@!(v_"</f>
        <v>#VALUE!</v>
      </c>
      <c r="AY183" t="e">
        <f>'All regions'!A5070+"$F;@!(v`"</f>
        <v>#VALUE!</v>
      </c>
      <c r="AZ183" t="e">
        <f>'All regions'!B5070+"$F;@!(va"</f>
        <v>#VALUE!</v>
      </c>
      <c r="BA183" t="e">
        <f>'All regions'!C5070+"$F;@!(vb"</f>
        <v>#VALUE!</v>
      </c>
      <c r="BB183" t="e">
        <f>'All regions'!D5070+"$F;@!(vc"</f>
        <v>#VALUE!</v>
      </c>
      <c r="BC183" t="e">
        <f>'All regions'!E5070+"$F;@!(vd"</f>
        <v>#VALUE!</v>
      </c>
      <c r="BD183" t="e">
        <f>'All regions'!F5070+"$F;@!(ve"</f>
        <v>#VALUE!</v>
      </c>
      <c r="BE183" t="e">
        <f>'All regions'!G5070+"$F;@!(vf"</f>
        <v>#VALUE!</v>
      </c>
      <c r="BF183" t="e">
        <f>'All regions'!H5070+"$F;@!(vg"</f>
        <v>#VALUE!</v>
      </c>
      <c r="BG183" t="e">
        <f>'All regions'!I5070+"$F;@!(vh"</f>
        <v>#VALUE!</v>
      </c>
      <c r="BH183" t="e">
        <f>'All regions'!A5071+"$F;@!(vi"</f>
        <v>#VALUE!</v>
      </c>
      <c r="BI183" t="e">
        <f>'All regions'!B5071+"$F;@!(vj"</f>
        <v>#VALUE!</v>
      </c>
      <c r="BJ183" t="e">
        <f>'All regions'!C5071+"$F;@!(vk"</f>
        <v>#VALUE!</v>
      </c>
      <c r="BK183" t="e">
        <f>'All regions'!D5071+"$F;@!(vl"</f>
        <v>#VALUE!</v>
      </c>
      <c r="BL183" t="e">
        <f>'All regions'!E5071+"$F;@!(vm"</f>
        <v>#VALUE!</v>
      </c>
      <c r="BM183" t="e">
        <f>'All regions'!F5071+"$F;@!(vn"</f>
        <v>#VALUE!</v>
      </c>
      <c r="BN183" t="e">
        <f>'All regions'!G5071+"$F;@!(vo"</f>
        <v>#VALUE!</v>
      </c>
      <c r="BO183" t="e">
        <f>'All regions'!H5071+"$F;@!(vp"</f>
        <v>#VALUE!</v>
      </c>
      <c r="BP183" t="e">
        <f>'All regions'!I5071+"$F;@!(vq"</f>
        <v>#VALUE!</v>
      </c>
      <c r="BQ183" t="e">
        <f>'All regions'!A5072+"$F;@!(vr"</f>
        <v>#VALUE!</v>
      </c>
      <c r="BR183" t="e">
        <f>'All regions'!B5072+"$F;@!(vs"</f>
        <v>#VALUE!</v>
      </c>
      <c r="BS183" t="e">
        <f>'All regions'!C5072+"$F;@!(vt"</f>
        <v>#VALUE!</v>
      </c>
      <c r="BT183" t="e">
        <f>'All regions'!D5072+"$F;@!(vu"</f>
        <v>#VALUE!</v>
      </c>
      <c r="BU183" t="e">
        <f>'All regions'!E5072+"$F;@!(vv"</f>
        <v>#VALUE!</v>
      </c>
      <c r="BV183" t="e">
        <f>'All regions'!F5072+"$F;@!(vw"</f>
        <v>#VALUE!</v>
      </c>
      <c r="BW183" t="e">
        <f>'All regions'!G5072+"$F;@!(vx"</f>
        <v>#VALUE!</v>
      </c>
      <c r="BX183" t="e">
        <f>'All regions'!H5072+"$F;@!(vy"</f>
        <v>#VALUE!</v>
      </c>
      <c r="BY183" t="e">
        <f>'All regions'!I5072+"$F;@!(vz"</f>
        <v>#VALUE!</v>
      </c>
      <c r="BZ183" t="e">
        <f>'All regions'!A5073+"$F;@!(v{"</f>
        <v>#VALUE!</v>
      </c>
      <c r="CA183" t="e">
        <f>'All regions'!B5073+"$F;@!(v|"</f>
        <v>#VALUE!</v>
      </c>
      <c r="CB183" t="e">
        <f>'All regions'!C5073+"$F;@!(v}"</f>
        <v>#VALUE!</v>
      </c>
      <c r="CC183" t="e">
        <f>'All regions'!D5073+"$F;@!(v~"</f>
        <v>#VALUE!</v>
      </c>
      <c r="CD183" t="e">
        <f>'All regions'!E5073+"$F;@!(w#"</f>
        <v>#VALUE!</v>
      </c>
      <c r="CE183" t="e">
        <f>'All regions'!F5073+"$F;@!(w$"</f>
        <v>#VALUE!</v>
      </c>
      <c r="CF183" t="e">
        <f>'All regions'!G5073+"$F;@!(w%"</f>
        <v>#VALUE!</v>
      </c>
      <c r="CG183" t="e">
        <f>'All regions'!H5073+"$F;@!(w&amp;"</f>
        <v>#VALUE!</v>
      </c>
      <c r="CH183" t="e">
        <f>'All regions'!I5073+"$F;@!(w'"</f>
        <v>#VALUE!</v>
      </c>
      <c r="CI183" t="e">
        <f>'All regions'!A5074+"$F;@!(w("</f>
        <v>#VALUE!</v>
      </c>
      <c r="CJ183" t="e">
        <f>'All regions'!B5074+"$F;@!(w)"</f>
        <v>#VALUE!</v>
      </c>
      <c r="CK183" t="e">
        <f>'All regions'!C5074+"$F;@!(w."</f>
        <v>#VALUE!</v>
      </c>
      <c r="CL183" t="e">
        <f>'All regions'!D5074+"$F;@!(w/"</f>
        <v>#VALUE!</v>
      </c>
      <c r="CM183" t="e">
        <f>'All regions'!E5074+"$F;@!(w0"</f>
        <v>#VALUE!</v>
      </c>
      <c r="CN183" t="e">
        <f>'All regions'!F5074+"$F;@!(w1"</f>
        <v>#VALUE!</v>
      </c>
      <c r="CO183" t="e">
        <f>'All regions'!G5074+"$F;@!(w2"</f>
        <v>#VALUE!</v>
      </c>
      <c r="CP183" t="e">
        <f>'All regions'!H5074+"$F;@!(w3"</f>
        <v>#VALUE!</v>
      </c>
      <c r="CQ183" t="e">
        <f>'All regions'!I5074+"$F;@!(w4"</f>
        <v>#VALUE!</v>
      </c>
      <c r="CR183" t="e">
        <f>'All regions'!A5075+"$F;@!(w5"</f>
        <v>#VALUE!</v>
      </c>
      <c r="CS183" t="e">
        <f>'All regions'!B5075+"$F;@!(w6"</f>
        <v>#VALUE!</v>
      </c>
      <c r="CT183" t="e">
        <f>'All regions'!C5075+"$F;@!(w7"</f>
        <v>#VALUE!</v>
      </c>
      <c r="CU183" t="e">
        <f>'All regions'!D5075+"$F;@!(w8"</f>
        <v>#VALUE!</v>
      </c>
      <c r="CV183" t="e">
        <f>'All regions'!E5075+"$F;@!(w9"</f>
        <v>#VALUE!</v>
      </c>
      <c r="CW183" t="e">
        <f>'All regions'!F5075+"$F;@!(w:"</f>
        <v>#VALUE!</v>
      </c>
      <c r="CX183" t="e">
        <f>'All regions'!G5075+"$F;@!(w;"</f>
        <v>#VALUE!</v>
      </c>
      <c r="CY183" t="e">
        <f>'All regions'!H5075+"$F;@!(w&lt;"</f>
        <v>#VALUE!</v>
      </c>
      <c r="CZ183" t="e">
        <f>'All regions'!I5075+"$F;@!(w="</f>
        <v>#VALUE!</v>
      </c>
      <c r="DA183" t="e">
        <f>'All regions'!A5076+"$F;@!(w&gt;"</f>
        <v>#VALUE!</v>
      </c>
      <c r="DB183" t="e">
        <f>'All regions'!B5076+"$F;@!(w?"</f>
        <v>#VALUE!</v>
      </c>
      <c r="DC183" t="e">
        <f>'All regions'!C5076+"$F;@!(w@"</f>
        <v>#VALUE!</v>
      </c>
      <c r="DD183" t="e">
        <f>'All regions'!D5076+"$F;@!(wA"</f>
        <v>#VALUE!</v>
      </c>
      <c r="DE183" t="e">
        <f>'All regions'!E5076+"$F;@!(wB"</f>
        <v>#VALUE!</v>
      </c>
      <c r="DF183" t="e">
        <f>'All regions'!F5076+"$F;@!(wC"</f>
        <v>#VALUE!</v>
      </c>
      <c r="DG183" t="e">
        <f>'All regions'!G5076+"$F;@!(wD"</f>
        <v>#VALUE!</v>
      </c>
      <c r="DH183" t="e">
        <f>'All regions'!H5076+"$F;@!(wE"</f>
        <v>#VALUE!</v>
      </c>
      <c r="DI183" t="e">
        <f>'All regions'!I5076+"$F;@!(wF"</f>
        <v>#VALUE!</v>
      </c>
      <c r="DJ183" t="e">
        <f>'All regions'!A5077+"$F;@!(wG"</f>
        <v>#VALUE!</v>
      </c>
      <c r="DK183" t="e">
        <f>'All regions'!B5077+"$F;@!(wH"</f>
        <v>#VALUE!</v>
      </c>
      <c r="DL183" t="e">
        <f>'All regions'!C5077+"$F;@!(wI"</f>
        <v>#VALUE!</v>
      </c>
      <c r="DM183" t="e">
        <f>'All regions'!D5077+"$F;@!(wJ"</f>
        <v>#VALUE!</v>
      </c>
      <c r="DN183" t="e">
        <f>'All regions'!E5077+"$F;@!(wK"</f>
        <v>#VALUE!</v>
      </c>
      <c r="DO183" t="e">
        <f>'All regions'!F5077+"$F;@!(wL"</f>
        <v>#VALUE!</v>
      </c>
      <c r="DP183" t="e">
        <f>'All regions'!G5077+"$F;@!(wM"</f>
        <v>#VALUE!</v>
      </c>
      <c r="DQ183" t="e">
        <f>'All regions'!H5077+"$F;@!(wN"</f>
        <v>#VALUE!</v>
      </c>
      <c r="DR183" t="e">
        <f>'All regions'!I5077+"$F;@!(wO"</f>
        <v>#VALUE!</v>
      </c>
      <c r="DS183" t="e">
        <f>'All regions'!A5078+"$F;@!(wP"</f>
        <v>#VALUE!</v>
      </c>
      <c r="DT183" t="e">
        <f>'All regions'!B5078+"$F;@!(wQ"</f>
        <v>#VALUE!</v>
      </c>
      <c r="DU183" t="e">
        <f>'All regions'!C5078+"$F;@!(wR"</f>
        <v>#VALUE!</v>
      </c>
      <c r="DV183" t="e">
        <f>'All regions'!D5078+"$F;@!(wS"</f>
        <v>#VALUE!</v>
      </c>
      <c r="DW183" t="e">
        <f>'All regions'!E5078+"$F;@!(wT"</f>
        <v>#VALUE!</v>
      </c>
      <c r="DX183" t="e">
        <f>'All regions'!F5078+"$F;@!(wU"</f>
        <v>#VALUE!</v>
      </c>
      <c r="DY183" t="e">
        <f>'All regions'!G5078+"$F;@!(wV"</f>
        <v>#VALUE!</v>
      </c>
      <c r="DZ183" t="e">
        <f>'All regions'!H5078+"$F;@!(wW"</f>
        <v>#VALUE!</v>
      </c>
      <c r="EA183" t="e">
        <f>'All regions'!I5078+"$F;@!(wX"</f>
        <v>#VALUE!</v>
      </c>
      <c r="EB183" t="e">
        <f>'All regions'!A5079+"$F;@!(wY"</f>
        <v>#VALUE!</v>
      </c>
      <c r="EC183" t="e">
        <f>'All regions'!B5079+"$F;@!(wZ"</f>
        <v>#VALUE!</v>
      </c>
      <c r="ED183" t="e">
        <f>'All regions'!C5079+"$F;@!(w["</f>
        <v>#VALUE!</v>
      </c>
      <c r="EE183" t="e">
        <f>'All regions'!D5079+"$F;@!(w\"</f>
        <v>#VALUE!</v>
      </c>
      <c r="EF183" t="e">
        <f>'All regions'!E5079+"$F;@!(w]"</f>
        <v>#VALUE!</v>
      </c>
      <c r="EG183" t="e">
        <f>'All regions'!F5079+"$F;@!(w^"</f>
        <v>#VALUE!</v>
      </c>
      <c r="EH183" t="e">
        <f>'All regions'!G5079+"$F;@!(w_"</f>
        <v>#VALUE!</v>
      </c>
      <c r="EI183" t="e">
        <f>'All regions'!H5079+"$F;@!(w`"</f>
        <v>#VALUE!</v>
      </c>
      <c r="EJ183" t="e">
        <f>'All regions'!I5079+"$F;@!(wa"</f>
        <v>#VALUE!</v>
      </c>
      <c r="EK183" t="e">
        <f>'All regions'!A5080+"$F;@!(wb"</f>
        <v>#VALUE!</v>
      </c>
      <c r="EL183" t="e">
        <f>'All regions'!B5080+"$F;@!(wc"</f>
        <v>#VALUE!</v>
      </c>
      <c r="EM183" t="e">
        <f>'All regions'!C5080+"$F;@!(wd"</f>
        <v>#VALUE!</v>
      </c>
      <c r="EN183" t="e">
        <f>'All regions'!D5080+"$F;@!(we"</f>
        <v>#VALUE!</v>
      </c>
      <c r="EO183" t="e">
        <f>'All regions'!E5080+"$F;@!(wf"</f>
        <v>#VALUE!</v>
      </c>
      <c r="EP183" t="e">
        <f>'All regions'!F5080+"$F;@!(wg"</f>
        <v>#VALUE!</v>
      </c>
      <c r="EQ183" t="e">
        <f>'All regions'!G5080+"$F;@!(wh"</f>
        <v>#VALUE!</v>
      </c>
      <c r="ER183" t="e">
        <f>'All regions'!H5080+"$F;@!(wi"</f>
        <v>#VALUE!</v>
      </c>
      <c r="ES183" t="e">
        <f>'All regions'!I5080+"$F;@!(wj"</f>
        <v>#VALUE!</v>
      </c>
      <c r="ET183" t="e">
        <f>'All regions'!A5081+"$F;@!(wk"</f>
        <v>#VALUE!</v>
      </c>
      <c r="EU183" t="e">
        <f>'All regions'!B5081+"$F;@!(wl"</f>
        <v>#VALUE!</v>
      </c>
      <c r="EV183" t="e">
        <f>'All regions'!C5081+"$F;@!(wm"</f>
        <v>#VALUE!</v>
      </c>
      <c r="EW183" t="e">
        <f>'All regions'!D5081+"$F;@!(wn"</f>
        <v>#VALUE!</v>
      </c>
      <c r="EX183" t="e">
        <f>'All regions'!E5081+"$F;@!(wo"</f>
        <v>#VALUE!</v>
      </c>
      <c r="EY183" t="e">
        <f>'All regions'!F5081+"$F;@!(wp"</f>
        <v>#VALUE!</v>
      </c>
      <c r="EZ183" t="e">
        <f>'All regions'!G5081+"$F;@!(wq"</f>
        <v>#VALUE!</v>
      </c>
      <c r="FA183" t="e">
        <f>'All regions'!H5081+"$F;@!(wr"</f>
        <v>#VALUE!</v>
      </c>
      <c r="FB183" t="e">
        <f>'All regions'!I5081+"$F;@!(ws"</f>
        <v>#VALUE!</v>
      </c>
      <c r="FC183" t="e">
        <f>'All regions'!A5082+"$F;@!(wt"</f>
        <v>#VALUE!</v>
      </c>
      <c r="FD183" t="e">
        <f>'All regions'!B5082+"$F;@!(wu"</f>
        <v>#VALUE!</v>
      </c>
      <c r="FE183" t="e">
        <f>'All regions'!C5082+"$F;@!(wv"</f>
        <v>#VALUE!</v>
      </c>
      <c r="FF183" t="e">
        <f>'All regions'!D5082+"$F;@!(ww"</f>
        <v>#VALUE!</v>
      </c>
      <c r="FG183" t="e">
        <f>'All regions'!E5082+"$F;@!(wx"</f>
        <v>#VALUE!</v>
      </c>
      <c r="FH183" t="e">
        <f>'All regions'!F5082+"$F;@!(wy"</f>
        <v>#VALUE!</v>
      </c>
      <c r="FI183" t="e">
        <f>'All regions'!G5082+"$F;@!(wz"</f>
        <v>#VALUE!</v>
      </c>
      <c r="FJ183" t="e">
        <f>'All regions'!H5082+"$F;@!(w{"</f>
        <v>#VALUE!</v>
      </c>
      <c r="FK183" t="e">
        <f>'All regions'!I5082+"$F;@!(w|"</f>
        <v>#VALUE!</v>
      </c>
      <c r="FL183" t="e">
        <f>'All regions'!A5083+"$F;@!(w}"</f>
        <v>#VALUE!</v>
      </c>
      <c r="FM183" t="e">
        <f>'All regions'!B5083+"$F;@!(w~"</f>
        <v>#VALUE!</v>
      </c>
      <c r="FN183" t="e">
        <f>'All regions'!C5083+"$F;@!(x#"</f>
        <v>#VALUE!</v>
      </c>
      <c r="FO183" t="e">
        <f>'All regions'!D5083+"$F;@!(x$"</f>
        <v>#VALUE!</v>
      </c>
      <c r="FP183" t="e">
        <f>'All regions'!E5083+"$F;@!(x%"</f>
        <v>#VALUE!</v>
      </c>
      <c r="FQ183" t="e">
        <f>'All regions'!F5083+"$F;@!(x&amp;"</f>
        <v>#VALUE!</v>
      </c>
      <c r="FR183" t="e">
        <f>'All regions'!G5083+"$F;@!(x'"</f>
        <v>#VALUE!</v>
      </c>
      <c r="FS183" t="e">
        <f>'All regions'!H5083+"$F;@!(x("</f>
        <v>#VALUE!</v>
      </c>
      <c r="FT183" t="e">
        <f>'All regions'!I5083+"$F;@!(x)"</f>
        <v>#VALUE!</v>
      </c>
      <c r="FU183" t="e">
        <f>'All regions'!A5084+"$F;@!(x."</f>
        <v>#VALUE!</v>
      </c>
      <c r="FV183" t="e">
        <f>'All regions'!B5084+"$F;@!(x/"</f>
        <v>#VALUE!</v>
      </c>
      <c r="FW183" t="e">
        <f>'All regions'!C5084+"$F;@!(x0"</f>
        <v>#VALUE!</v>
      </c>
      <c r="FX183" t="e">
        <f>'All regions'!D5084+"$F;@!(x1"</f>
        <v>#VALUE!</v>
      </c>
      <c r="FY183" t="e">
        <f>'All regions'!E5084+"$F;@!(x2"</f>
        <v>#VALUE!</v>
      </c>
      <c r="FZ183" t="e">
        <f>'All regions'!F5084+"$F;@!(x3"</f>
        <v>#VALUE!</v>
      </c>
      <c r="GA183" t="e">
        <f>'All regions'!G5084+"$F;@!(x4"</f>
        <v>#VALUE!</v>
      </c>
      <c r="GB183" t="e">
        <f>'All regions'!H5084+"$F;@!(x5"</f>
        <v>#VALUE!</v>
      </c>
      <c r="GC183" t="e">
        <f>'All regions'!I5084+"$F;@!(x6"</f>
        <v>#VALUE!</v>
      </c>
      <c r="GD183" t="e">
        <f>'All regions'!A5085+"$F;@!(x7"</f>
        <v>#VALUE!</v>
      </c>
      <c r="GE183" t="e">
        <f>'All regions'!B5085+"$F;@!(x8"</f>
        <v>#VALUE!</v>
      </c>
      <c r="GF183" t="e">
        <f>'All regions'!C5085+"$F;@!(x9"</f>
        <v>#VALUE!</v>
      </c>
      <c r="GG183" t="e">
        <f>'All regions'!D5085+"$F;@!(x:"</f>
        <v>#VALUE!</v>
      </c>
      <c r="GH183" t="e">
        <f>'All regions'!E5085+"$F;@!(x;"</f>
        <v>#VALUE!</v>
      </c>
      <c r="GI183" t="e">
        <f>'All regions'!F5085+"$F;@!(x&lt;"</f>
        <v>#VALUE!</v>
      </c>
      <c r="GJ183" t="e">
        <f>'All regions'!G5085+"$F;@!(x="</f>
        <v>#VALUE!</v>
      </c>
      <c r="GK183" t="e">
        <f>'All regions'!H5085+"$F;@!(x&gt;"</f>
        <v>#VALUE!</v>
      </c>
      <c r="GL183" t="e">
        <f>'All regions'!I5085+"$F;@!(x?"</f>
        <v>#VALUE!</v>
      </c>
      <c r="GM183" t="e">
        <f>'All regions'!A5086+"$F;@!(x@"</f>
        <v>#VALUE!</v>
      </c>
      <c r="GN183" t="e">
        <f>'All regions'!B5086+"$F;@!(xA"</f>
        <v>#VALUE!</v>
      </c>
      <c r="GO183" t="e">
        <f>'All regions'!C5086+"$F;@!(xB"</f>
        <v>#VALUE!</v>
      </c>
      <c r="GP183" t="e">
        <f>'All regions'!D5086+"$F;@!(xC"</f>
        <v>#VALUE!</v>
      </c>
      <c r="GQ183" t="e">
        <f>'All regions'!E5086+"$F;@!(xD"</f>
        <v>#VALUE!</v>
      </c>
      <c r="GR183" t="e">
        <f>'All regions'!F5086+"$F;@!(xE"</f>
        <v>#VALUE!</v>
      </c>
      <c r="GS183" t="e">
        <f>'All regions'!G5086+"$F;@!(xF"</f>
        <v>#VALUE!</v>
      </c>
      <c r="GT183" t="e">
        <f>'All regions'!H5086+"$F;@!(xG"</f>
        <v>#VALUE!</v>
      </c>
      <c r="GU183" t="e">
        <f>'All regions'!I5086+"$F;@!(xH"</f>
        <v>#VALUE!</v>
      </c>
      <c r="GV183" t="e">
        <f>'All regions'!A5087+"$F;@!(xI"</f>
        <v>#VALUE!</v>
      </c>
      <c r="GW183" t="e">
        <f>'All regions'!B5087+"$F;@!(xJ"</f>
        <v>#VALUE!</v>
      </c>
      <c r="GX183" t="e">
        <f>'All regions'!C5087+"$F;@!(xK"</f>
        <v>#VALUE!</v>
      </c>
      <c r="GY183" t="e">
        <f>'All regions'!D5087+"$F;@!(xL"</f>
        <v>#VALUE!</v>
      </c>
      <c r="GZ183" t="e">
        <f>'All regions'!E5087+"$F;@!(xM"</f>
        <v>#VALUE!</v>
      </c>
      <c r="HA183" t="e">
        <f>'All regions'!F5087+"$F;@!(xN"</f>
        <v>#VALUE!</v>
      </c>
      <c r="HB183" t="e">
        <f>'All regions'!G5087+"$F;@!(xO"</f>
        <v>#VALUE!</v>
      </c>
      <c r="HC183" t="e">
        <f>'All regions'!H5087+"$F;@!(xP"</f>
        <v>#VALUE!</v>
      </c>
      <c r="HD183" t="e">
        <f>'All regions'!I5087+"$F;@!(xQ"</f>
        <v>#VALUE!</v>
      </c>
      <c r="HE183" t="e">
        <f>'All regions'!A5088+"$F;@!(xR"</f>
        <v>#VALUE!</v>
      </c>
      <c r="HF183" t="e">
        <f>'All regions'!B5088+"$F;@!(xS"</f>
        <v>#VALUE!</v>
      </c>
      <c r="HG183" t="e">
        <f>'All regions'!C5088+"$F;@!(xT"</f>
        <v>#VALUE!</v>
      </c>
      <c r="HH183" t="e">
        <f>'All regions'!D5088+"$F;@!(xU"</f>
        <v>#VALUE!</v>
      </c>
      <c r="HI183" t="e">
        <f>'All regions'!E5088+"$F;@!(xV"</f>
        <v>#VALUE!</v>
      </c>
      <c r="HJ183" t="e">
        <f>'All regions'!F5088+"$F;@!(xW"</f>
        <v>#VALUE!</v>
      </c>
      <c r="HK183" t="e">
        <f>'All regions'!G5088+"$F;@!(xX"</f>
        <v>#VALUE!</v>
      </c>
      <c r="HL183" t="e">
        <f>'All regions'!H5088+"$F;@!(xY"</f>
        <v>#VALUE!</v>
      </c>
      <c r="HM183" t="e">
        <f>'All regions'!I5088+"$F;@!(xZ"</f>
        <v>#VALUE!</v>
      </c>
      <c r="HN183" t="e">
        <f>'All regions'!A5089+"$F;@!(x["</f>
        <v>#VALUE!</v>
      </c>
      <c r="HO183" t="e">
        <f>'All regions'!B5089+"$F;@!(x\"</f>
        <v>#VALUE!</v>
      </c>
      <c r="HP183" t="e">
        <f>'All regions'!C5089+"$F;@!(x]"</f>
        <v>#VALUE!</v>
      </c>
      <c r="HQ183" t="e">
        <f>'All regions'!D5089+"$F;@!(x^"</f>
        <v>#VALUE!</v>
      </c>
      <c r="HR183" t="e">
        <f>'All regions'!E5089+"$F;@!(x_"</f>
        <v>#VALUE!</v>
      </c>
      <c r="HS183" t="e">
        <f>'All regions'!F5089+"$F;@!(x`"</f>
        <v>#VALUE!</v>
      </c>
      <c r="HT183" t="e">
        <f>'All regions'!G5089+"$F;@!(xa"</f>
        <v>#VALUE!</v>
      </c>
      <c r="HU183" t="e">
        <f>'All regions'!H5089+"$F;@!(xb"</f>
        <v>#VALUE!</v>
      </c>
      <c r="HV183" t="e">
        <f>'All regions'!I5089+"$F;@!(xc"</f>
        <v>#VALUE!</v>
      </c>
      <c r="HW183" t="e">
        <f>'All regions'!A5090+"$F;@!(xd"</f>
        <v>#VALUE!</v>
      </c>
      <c r="HX183" t="e">
        <f>'All regions'!B5090+"$F;@!(xe"</f>
        <v>#VALUE!</v>
      </c>
      <c r="HY183" t="e">
        <f>'All regions'!C5090+"$F;@!(xf"</f>
        <v>#VALUE!</v>
      </c>
      <c r="HZ183" t="e">
        <f>'All regions'!D5090+"$F;@!(xg"</f>
        <v>#VALUE!</v>
      </c>
      <c r="IA183" t="e">
        <f>'All regions'!E5090+"$F;@!(xh"</f>
        <v>#VALUE!</v>
      </c>
      <c r="IB183" t="e">
        <f>'All regions'!F5090+"$F;@!(xi"</f>
        <v>#VALUE!</v>
      </c>
      <c r="IC183" t="e">
        <f>'All regions'!G5090+"$F;@!(xj"</f>
        <v>#VALUE!</v>
      </c>
      <c r="ID183" t="e">
        <f>'All regions'!H5090+"$F;@!(xk"</f>
        <v>#VALUE!</v>
      </c>
      <c r="IE183" t="e">
        <f>'All regions'!I5090+"$F;@!(xl"</f>
        <v>#VALUE!</v>
      </c>
      <c r="IF183" t="e">
        <f>'All regions'!A5091+"$F;@!(xm"</f>
        <v>#VALUE!</v>
      </c>
      <c r="IG183" t="e">
        <f>'All regions'!B5091+"$F;@!(xn"</f>
        <v>#VALUE!</v>
      </c>
      <c r="IH183" t="e">
        <f>'All regions'!C5091+"$F;@!(xo"</f>
        <v>#VALUE!</v>
      </c>
      <c r="II183" t="e">
        <f>'All regions'!D5091+"$F;@!(xp"</f>
        <v>#VALUE!</v>
      </c>
      <c r="IJ183" t="e">
        <f>'All regions'!E5091+"$F;@!(xq"</f>
        <v>#VALUE!</v>
      </c>
      <c r="IK183" t="e">
        <f>'All regions'!F5091+"$F;@!(xr"</f>
        <v>#VALUE!</v>
      </c>
      <c r="IL183" t="e">
        <f>'All regions'!G5091+"$F;@!(xs"</f>
        <v>#VALUE!</v>
      </c>
      <c r="IM183" t="e">
        <f>'All regions'!H5091+"$F;@!(xt"</f>
        <v>#VALUE!</v>
      </c>
      <c r="IN183" t="e">
        <f>'All regions'!I5091+"$F;@!(xu"</f>
        <v>#VALUE!</v>
      </c>
      <c r="IO183" t="e">
        <f>'All regions'!A5092+"$F;@!(xv"</f>
        <v>#VALUE!</v>
      </c>
      <c r="IP183" t="e">
        <f>'All regions'!B5092+"$F;@!(xw"</f>
        <v>#VALUE!</v>
      </c>
      <c r="IQ183" t="e">
        <f>'All regions'!C5092+"$F;@!(xx"</f>
        <v>#VALUE!</v>
      </c>
      <c r="IR183" t="e">
        <f>'All regions'!D5092+"$F;@!(xy"</f>
        <v>#VALUE!</v>
      </c>
      <c r="IS183" t="e">
        <f>'All regions'!E5092+"$F;@!(xz"</f>
        <v>#VALUE!</v>
      </c>
      <c r="IT183" t="e">
        <f>'All regions'!F5092+"$F;@!(x{"</f>
        <v>#VALUE!</v>
      </c>
      <c r="IU183" t="e">
        <f>'All regions'!G5092+"$F;@!(x|"</f>
        <v>#VALUE!</v>
      </c>
      <c r="IV183" t="e">
        <f>'All regions'!H5092+"$F;@!(x}"</f>
        <v>#VALUE!</v>
      </c>
    </row>
    <row r="184" spans="6:256" x14ac:dyDescent="0.35">
      <c r="F184" t="e">
        <f>'All regions'!I5092+"$F;@!(x~"</f>
        <v>#VALUE!</v>
      </c>
      <c r="G184" t="e">
        <f>'All regions'!A5093+"$F;@!(y#"</f>
        <v>#VALUE!</v>
      </c>
      <c r="H184" t="e">
        <f>'All regions'!B5093+"$F;@!(y$"</f>
        <v>#VALUE!</v>
      </c>
      <c r="I184" t="e">
        <f>'All regions'!C5093+"$F;@!(y%"</f>
        <v>#VALUE!</v>
      </c>
      <c r="J184" t="e">
        <f>'All regions'!D5093+"$F;@!(y&amp;"</f>
        <v>#VALUE!</v>
      </c>
      <c r="K184" t="e">
        <f>'All regions'!E5093+"$F;@!(y'"</f>
        <v>#VALUE!</v>
      </c>
      <c r="L184" t="e">
        <f>'All regions'!F5093+"$F;@!(y("</f>
        <v>#VALUE!</v>
      </c>
      <c r="M184" t="e">
        <f>'All regions'!G5093+"$F;@!(y)"</f>
        <v>#VALUE!</v>
      </c>
      <c r="N184" t="e">
        <f>'All regions'!H5093+"$F;@!(y."</f>
        <v>#VALUE!</v>
      </c>
      <c r="O184" t="e">
        <f>'All regions'!I5093+"$F;@!(y/"</f>
        <v>#VALUE!</v>
      </c>
      <c r="P184" t="e">
        <f>'All regions'!A5094+"$F;@!(y0"</f>
        <v>#VALUE!</v>
      </c>
      <c r="Q184" t="e">
        <f>'All regions'!B5094+"$F;@!(y1"</f>
        <v>#VALUE!</v>
      </c>
      <c r="R184" t="e">
        <f>'All regions'!C5094+"$F;@!(y2"</f>
        <v>#VALUE!</v>
      </c>
      <c r="S184" t="e">
        <f>'All regions'!D5094+"$F;@!(y3"</f>
        <v>#VALUE!</v>
      </c>
      <c r="T184" t="e">
        <f>'All regions'!E5094+"$F;@!(y4"</f>
        <v>#VALUE!</v>
      </c>
      <c r="U184" t="e">
        <f>'All regions'!F5094+"$F;@!(y5"</f>
        <v>#VALUE!</v>
      </c>
      <c r="V184" t="e">
        <f>'All regions'!G5094+"$F;@!(y6"</f>
        <v>#VALUE!</v>
      </c>
      <c r="W184" t="e">
        <f>'All regions'!H5094+"$F;@!(y7"</f>
        <v>#VALUE!</v>
      </c>
      <c r="X184" t="e">
        <f>'All regions'!I5094+"$F;@!(y8"</f>
        <v>#VALUE!</v>
      </c>
      <c r="Y184" t="e">
        <f>'All regions'!A5095+"$F;@!(y9"</f>
        <v>#VALUE!</v>
      </c>
      <c r="Z184" t="e">
        <f>'All regions'!B5095+"$F;@!(y:"</f>
        <v>#VALUE!</v>
      </c>
      <c r="AA184" t="e">
        <f>'All regions'!C5095+"$F;@!(y;"</f>
        <v>#VALUE!</v>
      </c>
      <c r="AB184" t="e">
        <f>'All regions'!D5095+"$F;@!(y&lt;"</f>
        <v>#VALUE!</v>
      </c>
      <c r="AC184" t="e">
        <f>'All regions'!E5095+"$F;@!(y="</f>
        <v>#VALUE!</v>
      </c>
      <c r="AD184" t="e">
        <f>'All regions'!F5095+"$F;@!(y&gt;"</f>
        <v>#VALUE!</v>
      </c>
      <c r="AE184" t="e">
        <f>'All regions'!G5095+"$F;@!(y?"</f>
        <v>#VALUE!</v>
      </c>
      <c r="AF184" t="e">
        <f>'All regions'!H5095+"$F;@!(y@"</f>
        <v>#VALUE!</v>
      </c>
      <c r="AG184" t="e">
        <f>'All regions'!I5095+"$F;@!(yA"</f>
        <v>#VALUE!</v>
      </c>
      <c r="AH184" t="e">
        <f>'All regions'!A5096+"$F;@!(yB"</f>
        <v>#VALUE!</v>
      </c>
      <c r="AI184" t="e">
        <f>'All regions'!B5096+"$F;@!(yC"</f>
        <v>#VALUE!</v>
      </c>
      <c r="AJ184" t="e">
        <f>'All regions'!C5096+"$F;@!(yD"</f>
        <v>#VALUE!</v>
      </c>
      <c r="AK184" t="e">
        <f>'All regions'!D5096+"$F;@!(yE"</f>
        <v>#VALUE!</v>
      </c>
      <c r="AL184" t="e">
        <f>'All regions'!E5096+"$F;@!(yF"</f>
        <v>#VALUE!</v>
      </c>
      <c r="AM184" t="e">
        <f>'All regions'!F5096+"$F;@!(yG"</f>
        <v>#VALUE!</v>
      </c>
      <c r="AN184" t="e">
        <f>'All regions'!G5096+"$F;@!(yH"</f>
        <v>#VALUE!</v>
      </c>
      <c r="AO184" t="e">
        <f>'All regions'!H5096+"$F;@!(yI"</f>
        <v>#VALUE!</v>
      </c>
      <c r="AP184" t="e">
        <f>'All regions'!I5096+"$F;@!(yJ"</f>
        <v>#VALUE!</v>
      </c>
      <c r="AQ184" t="e">
        <f>'All regions'!A5097+"$F;@!(yK"</f>
        <v>#VALUE!</v>
      </c>
      <c r="AR184" t="e">
        <f>'All regions'!B5097+"$F;@!(yL"</f>
        <v>#VALUE!</v>
      </c>
      <c r="AS184" t="e">
        <f>'All regions'!C5097+"$F;@!(yM"</f>
        <v>#VALUE!</v>
      </c>
      <c r="AT184" t="e">
        <f>'All regions'!D5097+"$F;@!(yN"</f>
        <v>#VALUE!</v>
      </c>
      <c r="AU184" t="e">
        <f>'All regions'!E5097+"$F;@!(yO"</f>
        <v>#VALUE!</v>
      </c>
      <c r="AV184" t="e">
        <f>'All regions'!F5097+"$F;@!(yP"</f>
        <v>#VALUE!</v>
      </c>
      <c r="AW184" t="e">
        <f>'All regions'!G5097+"$F;@!(yQ"</f>
        <v>#VALUE!</v>
      </c>
      <c r="AX184" t="e">
        <f>'All regions'!H5097+"$F;@!(yR"</f>
        <v>#VALUE!</v>
      </c>
      <c r="AY184" t="e">
        <f>'All regions'!I5097+"$F;@!(yS"</f>
        <v>#VALUE!</v>
      </c>
      <c r="AZ184" t="e">
        <f>'All regions'!A5098+"$F;@!(yT"</f>
        <v>#VALUE!</v>
      </c>
      <c r="BA184" t="e">
        <f>'All regions'!B5098+"$F;@!(yU"</f>
        <v>#VALUE!</v>
      </c>
      <c r="BB184" t="e">
        <f>'All regions'!C5098+"$F;@!(yV"</f>
        <v>#VALUE!</v>
      </c>
      <c r="BC184" t="e">
        <f>'All regions'!D5098+"$F;@!(yW"</f>
        <v>#VALUE!</v>
      </c>
      <c r="BD184" t="e">
        <f>'All regions'!E5098+"$F;@!(yX"</f>
        <v>#VALUE!</v>
      </c>
      <c r="BE184" t="e">
        <f>'All regions'!F5098+"$F;@!(yY"</f>
        <v>#VALUE!</v>
      </c>
      <c r="BF184" t="e">
        <f>'All regions'!G5098+"$F;@!(yZ"</f>
        <v>#VALUE!</v>
      </c>
      <c r="BG184" t="e">
        <f>'All regions'!H5098+"$F;@!(y["</f>
        <v>#VALUE!</v>
      </c>
      <c r="BH184" t="e">
        <f>'All regions'!I5098+"$F;@!(y\"</f>
        <v>#VALUE!</v>
      </c>
      <c r="BI184" t="e">
        <f>'All regions'!A5099+"$F;@!(y]"</f>
        <v>#VALUE!</v>
      </c>
      <c r="BJ184" t="e">
        <f>'All regions'!B5099+"$F;@!(y^"</f>
        <v>#VALUE!</v>
      </c>
      <c r="BK184" t="e">
        <f>'All regions'!C5099+"$F;@!(y_"</f>
        <v>#VALUE!</v>
      </c>
      <c r="BL184" t="e">
        <f>'All regions'!D5099+"$F;@!(y`"</f>
        <v>#VALUE!</v>
      </c>
      <c r="BM184" t="e">
        <f>'All regions'!E5099+"$F;@!(ya"</f>
        <v>#VALUE!</v>
      </c>
      <c r="BN184" t="e">
        <f>'All regions'!F5099+"$F;@!(yb"</f>
        <v>#VALUE!</v>
      </c>
      <c r="BO184" t="e">
        <f>'All regions'!G5099+"$F;@!(yc"</f>
        <v>#VALUE!</v>
      </c>
      <c r="BP184" t="e">
        <f>'All regions'!H5099+"$F;@!(yd"</f>
        <v>#VALUE!</v>
      </c>
      <c r="BQ184" t="e">
        <f>'All regions'!I5099+"$F;@!(ye"</f>
        <v>#VALUE!</v>
      </c>
      <c r="BR184" t="e">
        <f>'All regions'!A5100+"$F;@!(yf"</f>
        <v>#VALUE!</v>
      </c>
      <c r="BS184" t="e">
        <f>'All regions'!B5100+"$F;@!(yg"</f>
        <v>#VALUE!</v>
      </c>
      <c r="BT184" t="e">
        <f>'All regions'!C5100+"$F;@!(yh"</f>
        <v>#VALUE!</v>
      </c>
      <c r="BU184" t="e">
        <f>'All regions'!D5100+"$F;@!(yi"</f>
        <v>#VALUE!</v>
      </c>
      <c r="BV184" t="e">
        <f>'All regions'!E5100+"$F;@!(yj"</f>
        <v>#VALUE!</v>
      </c>
      <c r="BW184" t="e">
        <f>'All regions'!F5100+"$F;@!(yk"</f>
        <v>#VALUE!</v>
      </c>
      <c r="BX184" t="e">
        <f>'All regions'!G5100+"$F;@!(yl"</f>
        <v>#VALUE!</v>
      </c>
      <c r="BY184" t="e">
        <f>'All regions'!H5100+"$F;@!(ym"</f>
        <v>#VALUE!</v>
      </c>
      <c r="BZ184" t="e">
        <f>'All regions'!I5100+"$F;@!(yn"</f>
        <v>#VALUE!</v>
      </c>
      <c r="CA184" t="e">
        <f>'All regions'!A5101+"$F;@!(yo"</f>
        <v>#VALUE!</v>
      </c>
      <c r="CB184" t="e">
        <f>'All regions'!B5101+"$F;@!(yp"</f>
        <v>#VALUE!</v>
      </c>
      <c r="CC184" t="e">
        <f>'All regions'!C5101+"$F;@!(yq"</f>
        <v>#VALUE!</v>
      </c>
      <c r="CD184" t="e">
        <f>'All regions'!D5101+"$F;@!(yr"</f>
        <v>#VALUE!</v>
      </c>
      <c r="CE184" t="e">
        <f>'All regions'!E5101+"$F;@!(ys"</f>
        <v>#VALUE!</v>
      </c>
      <c r="CF184" t="e">
        <f>'All regions'!F5101+"$F;@!(yt"</f>
        <v>#VALUE!</v>
      </c>
      <c r="CG184" t="e">
        <f>'All regions'!G5101+"$F;@!(yu"</f>
        <v>#VALUE!</v>
      </c>
      <c r="CH184" t="e">
        <f>'All regions'!H5101+"$F;@!(yv"</f>
        <v>#VALUE!</v>
      </c>
      <c r="CI184" t="e">
        <f>'All regions'!I5101+"$F;@!(yw"</f>
        <v>#VALUE!</v>
      </c>
      <c r="CJ184" t="e">
        <f>'All regions'!A5102+"$F;@!(yx"</f>
        <v>#VALUE!</v>
      </c>
      <c r="CK184" t="e">
        <f>'All regions'!B5102+"$F;@!(yy"</f>
        <v>#VALUE!</v>
      </c>
      <c r="CL184" t="e">
        <f>'All regions'!C5102+"$F;@!(yz"</f>
        <v>#VALUE!</v>
      </c>
      <c r="CM184" t="e">
        <f>'All regions'!D5102+"$F;@!(y{"</f>
        <v>#VALUE!</v>
      </c>
      <c r="CN184" t="e">
        <f>'All regions'!E5102+"$F;@!(y|"</f>
        <v>#VALUE!</v>
      </c>
      <c r="CO184" t="e">
        <f>'All regions'!F5102+"$F;@!(y}"</f>
        <v>#VALUE!</v>
      </c>
      <c r="CP184" t="e">
        <f>'All regions'!G5102+"$F;@!(y~"</f>
        <v>#VALUE!</v>
      </c>
      <c r="CQ184" t="e">
        <f>'All regions'!H5102+"$F;@!(z#"</f>
        <v>#VALUE!</v>
      </c>
      <c r="CR184" t="e">
        <f>'All regions'!I5102+"$F;@!(z$"</f>
        <v>#VALUE!</v>
      </c>
      <c r="CS184" t="e">
        <f>'All regions'!A5103+"$F;@!(z%"</f>
        <v>#VALUE!</v>
      </c>
      <c r="CT184" t="e">
        <f>'All regions'!B5103+"$F;@!(z&amp;"</f>
        <v>#VALUE!</v>
      </c>
      <c r="CU184" t="e">
        <f>'All regions'!C5103+"$F;@!(z'"</f>
        <v>#VALUE!</v>
      </c>
      <c r="CV184" t="e">
        <f>'All regions'!D5103+"$F;@!(z("</f>
        <v>#VALUE!</v>
      </c>
      <c r="CW184" t="e">
        <f>'All regions'!E5103+"$F;@!(z)"</f>
        <v>#VALUE!</v>
      </c>
      <c r="CX184" t="e">
        <f>'All regions'!F5103+"$F;@!(z."</f>
        <v>#VALUE!</v>
      </c>
      <c r="CY184" t="e">
        <f>'All regions'!G5103+"$F;@!(z/"</f>
        <v>#VALUE!</v>
      </c>
      <c r="CZ184" t="e">
        <f>'All regions'!H5103+"$F;@!(z0"</f>
        <v>#VALUE!</v>
      </c>
      <c r="DA184" t="e">
        <f>'All regions'!I5103+"$F;@!(z1"</f>
        <v>#VALUE!</v>
      </c>
      <c r="DB184" t="e">
        <f>'All regions'!A5104+"$F;@!(z2"</f>
        <v>#VALUE!</v>
      </c>
      <c r="DC184" t="e">
        <f>'All regions'!B5104+"$F;@!(z3"</f>
        <v>#VALUE!</v>
      </c>
      <c r="DD184" t="e">
        <f>'All regions'!C5104+"$F;@!(z4"</f>
        <v>#VALUE!</v>
      </c>
      <c r="DE184" t="e">
        <f>'All regions'!D5104+"$F;@!(z5"</f>
        <v>#VALUE!</v>
      </c>
      <c r="DF184" t="e">
        <f>'All regions'!E5104+"$F;@!(z6"</f>
        <v>#VALUE!</v>
      </c>
      <c r="DG184" t="e">
        <f>'All regions'!F5104+"$F;@!(z7"</f>
        <v>#VALUE!</v>
      </c>
      <c r="DH184" t="e">
        <f>'All regions'!G5104+"$F;@!(z8"</f>
        <v>#VALUE!</v>
      </c>
      <c r="DI184" t="e">
        <f>'All regions'!H5104+"$F;@!(z9"</f>
        <v>#VALUE!</v>
      </c>
      <c r="DJ184" t="e">
        <f>'All regions'!I5104+"$F;@!(z:"</f>
        <v>#VALUE!</v>
      </c>
      <c r="DK184" t="e">
        <f>'All regions'!A5105+"$F;@!(z;"</f>
        <v>#VALUE!</v>
      </c>
      <c r="DL184" t="e">
        <f>'All regions'!B5105+"$F;@!(z&lt;"</f>
        <v>#VALUE!</v>
      </c>
      <c r="DM184" t="e">
        <f>'All regions'!C5105+"$F;@!(z="</f>
        <v>#VALUE!</v>
      </c>
      <c r="DN184" t="e">
        <f>'All regions'!D5105+"$F;@!(z&gt;"</f>
        <v>#VALUE!</v>
      </c>
      <c r="DO184" t="e">
        <f>'All regions'!E5105+"$F;@!(z?"</f>
        <v>#VALUE!</v>
      </c>
      <c r="DP184" t="e">
        <f>'All regions'!F5105+"$F;@!(z@"</f>
        <v>#VALUE!</v>
      </c>
      <c r="DQ184" t="e">
        <f>'All regions'!G5105+"$F;@!(zA"</f>
        <v>#VALUE!</v>
      </c>
      <c r="DR184" t="e">
        <f>'All regions'!H5105+"$F;@!(zB"</f>
        <v>#VALUE!</v>
      </c>
      <c r="DS184" t="e">
        <f>'All regions'!I5105+"$F;@!(zC"</f>
        <v>#VALUE!</v>
      </c>
      <c r="DT184" t="e">
        <f>'All regions'!A5106+"$F;@!(zD"</f>
        <v>#VALUE!</v>
      </c>
      <c r="DU184" t="e">
        <f>'All regions'!B5106+"$F;@!(zE"</f>
        <v>#VALUE!</v>
      </c>
      <c r="DV184" t="e">
        <f>'All regions'!C5106+"$F;@!(zF"</f>
        <v>#VALUE!</v>
      </c>
      <c r="DW184" t="e">
        <f>'All regions'!D5106+"$F;@!(zG"</f>
        <v>#VALUE!</v>
      </c>
      <c r="DX184" t="e">
        <f>'All regions'!E5106+"$F;@!(zH"</f>
        <v>#VALUE!</v>
      </c>
      <c r="DY184" t="e">
        <f>'All regions'!F5106+"$F;@!(zI"</f>
        <v>#VALUE!</v>
      </c>
      <c r="DZ184" t="e">
        <f>'All regions'!G5106+"$F;@!(zJ"</f>
        <v>#VALUE!</v>
      </c>
      <c r="EA184" t="e">
        <f>'All regions'!H5106+"$F;@!(zK"</f>
        <v>#VALUE!</v>
      </c>
      <c r="EB184" t="e">
        <f>'All regions'!I5106+"$F;@!(zL"</f>
        <v>#VALUE!</v>
      </c>
      <c r="EC184" t="e">
        <f>'All regions'!A5107+"$F;@!(zM"</f>
        <v>#VALUE!</v>
      </c>
      <c r="ED184" t="e">
        <f>'All regions'!B5107+"$F;@!(zN"</f>
        <v>#VALUE!</v>
      </c>
      <c r="EE184" t="e">
        <f>'All regions'!C5107+"$F;@!(zO"</f>
        <v>#VALUE!</v>
      </c>
      <c r="EF184" t="e">
        <f>'All regions'!D5107+"$F;@!(zP"</f>
        <v>#VALUE!</v>
      </c>
      <c r="EG184" t="e">
        <f>'All regions'!E5107+"$F;@!(zQ"</f>
        <v>#VALUE!</v>
      </c>
      <c r="EH184" t="e">
        <f>'All regions'!F5107+"$F;@!(zR"</f>
        <v>#VALUE!</v>
      </c>
      <c r="EI184" t="e">
        <f>'All regions'!G5107+"$F;@!(zS"</f>
        <v>#VALUE!</v>
      </c>
      <c r="EJ184" t="e">
        <f>'All regions'!H5107+"$F;@!(zT"</f>
        <v>#VALUE!</v>
      </c>
      <c r="EK184" t="e">
        <f>'All regions'!I5107+"$F;@!(zU"</f>
        <v>#VALUE!</v>
      </c>
      <c r="EL184" t="e">
        <f>'All regions'!A5108+"$F;@!(zV"</f>
        <v>#VALUE!</v>
      </c>
      <c r="EM184" t="e">
        <f>'All regions'!B5108+"$F;@!(zW"</f>
        <v>#VALUE!</v>
      </c>
      <c r="EN184" t="e">
        <f>'All regions'!C5108+"$F;@!(zX"</f>
        <v>#VALUE!</v>
      </c>
      <c r="EO184" t="e">
        <f>'All regions'!D5108+"$F;@!(zY"</f>
        <v>#VALUE!</v>
      </c>
      <c r="EP184" t="e">
        <f>'All regions'!E5108+"$F;@!(zZ"</f>
        <v>#VALUE!</v>
      </c>
      <c r="EQ184" t="e">
        <f>'All regions'!F5108+"$F;@!(z["</f>
        <v>#VALUE!</v>
      </c>
      <c r="ER184" t="e">
        <f>'All regions'!G5108+"$F;@!(z\"</f>
        <v>#VALUE!</v>
      </c>
      <c r="ES184" t="e">
        <f>'All regions'!H5108+"$F;@!(z]"</f>
        <v>#VALUE!</v>
      </c>
      <c r="ET184" t="e">
        <f>'All regions'!I5108+"$F;@!(z^"</f>
        <v>#VALUE!</v>
      </c>
      <c r="EU184" t="e">
        <f>'All regions'!A5109+"$F;@!(z_"</f>
        <v>#VALUE!</v>
      </c>
      <c r="EV184" t="e">
        <f>'All regions'!B5109+"$F;@!(z`"</f>
        <v>#VALUE!</v>
      </c>
      <c r="EW184" t="e">
        <f>'All regions'!C5109+"$F;@!(za"</f>
        <v>#VALUE!</v>
      </c>
      <c r="EX184" t="e">
        <f>'All regions'!D5109+"$F;@!(zb"</f>
        <v>#VALUE!</v>
      </c>
      <c r="EY184" t="e">
        <f>'All regions'!E5109+"$F;@!(zc"</f>
        <v>#VALUE!</v>
      </c>
      <c r="EZ184" t="e">
        <f>'All regions'!F5109+"$F;@!(zd"</f>
        <v>#VALUE!</v>
      </c>
      <c r="FA184" t="e">
        <f>'All regions'!G5109+"$F;@!(ze"</f>
        <v>#VALUE!</v>
      </c>
      <c r="FB184" t="e">
        <f>'All regions'!H5109+"$F;@!(zf"</f>
        <v>#VALUE!</v>
      </c>
      <c r="FC184" t="e">
        <f>'All regions'!I5109+"$F;@!(zg"</f>
        <v>#VALUE!</v>
      </c>
      <c r="FD184" t="e">
        <f>'All regions'!A5110+"$F;@!(zh"</f>
        <v>#VALUE!</v>
      </c>
      <c r="FE184" t="e">
        <f>'All regions'!B5110+"$F;@!(zi"</f>
        <v>#VALUE!</v>
      </c>
      <c r="FF184" t="e">
        <f>'All regions'!C5110+"$F;@!(zj"</f>
        <v>#VALUE!</v>
      </c>
      <c r="FG184" t="e">
        <f>'All regions'!D5110+"$F;@!(zk"</f>
        <v>#VALUE!</v>
      </c>
      <c r="FH184" t="e">
        <f>'All regions'!E5110+"$F;@!(zl"</f>
        <v>#VALUE!</v>
      </c>
      <c r="FI184" t="e">
        <f>'All regions'!F5110+"$F;@!(zm"</f>
        <v>#VALUE!</v>
      </c>
      <c r="FJ184" t="e">
        <f>'All regions'!G5110+"$F;@!(zn"</f>
        <v>#VALUE!</v>
      </c>
      <c r="FK184" t="e">
        <f>'All regions'!H5110+"$F;@!(zo"</f>
        <v>#VALUE!</v>
      </c>
      <c r="FL184" t="e">
        <f>'All regions'!I5110+"$F;@!(zp"</f>
        <v>#VALUE!</v>
      </c>
      <c r="FM184" t="e">
        <f>'All regions'!A5111+"$F;@!(zq"</f>
        <v>#VALUE!</v>
      </c>
      <c r="FN184" t="e">
        <f>'All regions'!B5111+"$F;@!(zr"</f>
        <v>#VALUE!</v>
      </c>
      <c r="FO184" t="e">
        <f>'All regions'!C5111+"$F;@!(zs"</f>
        <v>#VALUE!</v>
      </c>
      <c r="FP184" t="e">
        <f>'All regions'!D5111+"$F;@!(zt"</f>
        <v>#VALUE!</v>
      </c>
      <c r="FQ184" t="e">
        <f>'All regions'!E5111+"$F;@!(zu"</f>
        <v>#VALUE!</v>
      </c>
      <c r="FR184" t="e">
        <f>'All regions'!F5111+"$F;@!(zv"</f>
        <v>#VALUE!</v>
      </c>
      <c r="FS184" t="e">
        <f>'All regions'!G5111+"$F;@!(zw"</f>
        <v>#VALUE!</v>
      </c>
      <c r="FT184" t="e">
        <f>'All regions'!H5111+"$F;@!(zx"</f>
        <v>#VALUE!</v>
      </c>
      <c r="FU184" t="e">
        <f>'All regions'!I5111+"$F;@!(zy"</f>
        <v>#VALUE!</v>
      </c>
      <c r="FV184" t="e">
        <f>'All regions'!A5112+"$F;@!(zz"</f>
        <v>#VALUE!</v>
      </c>
      <c r="FW184" t="e">
        <f>'All regions'!B5112+"$F;@!(z{"</f>
        <v>#VALUE!</v>
      </c>
      <c r="FX184" t="e">
        <f>'All regions'!C5112+"$F;@!(z|"</f>
        <v>#VALUE!</v>
      </c>
      <c r="FY184" t="e">
        <f>'All regions'!D5112+"$F;@!(z}"</f>
        <v>#VALUE!</v>
      </c>
      <c r="FZ184" t="e">
        <f>'All regions'!E5112+"$F;@!(z~"</f>
        <v>#VALUE!</v>
      </c>
      <c r="GA184" t="e">
        <f>'All regions'!F5112+"$F;@!({#"</f>
        <v>#VALUE!</v>
      </c>
      <c r="GB184" t="e">
        <f>'All regions'!G5112+"$F;@!({$"</f>
        <v>#VALUE!</v>
      </c>
      <c r="GC184" t="e">
        <f>'All regions'!H5112+"$F;@!({%"</f>
        <v>#VALUE!</v>
      </c>
      <c r="GD184" t="e">
        <f>'All regions'!I5112+"$F;@!({&amp;"</f>
        <v>#VALUE!</v>
      </c>
      <c r="GE184" t="e">
        <f>'All regions'!A5113+"$F;@!({'"</f>
        <v>#VALUE!</v>
      </c>
      <c r="GF184" t="e">
        <f>'All regions'!B5113+"$F;@!({("</f>
        <v>#VALUE!</v>
      </c>
      <c r="GG184" t="e">
        <f>'All regions'!C5113+"$F;@!({)"</f>
        <v>#VALUE!</v>
      </c>
      <c r="GH184" t="e">
        <f>'All regions'!D5113+"$F;@!({."</f>
        <v>#VALUE!</v>
      </c>
      <c r="GI184" t="e">
        <f>'All regions'!E5113+"$F;@!({/"</f>
        <v>#VALUE!</v>
      </c>
      <c r="GJ184" t="e">
        <f>'All regions'!F5113+"$F;@!({0"</f>
        <v>#VALUE!</v>
      </c>
      <c r="GK184" t="e">
        <f>'All regions'!G5113+"$F;@!({1"</f>
        <v>#VALUE!</v>
      </c>
      <c r="GL184" t="e">
        <f>'All regions'!H5113+"$F;@!({2"</f>
        <v>#VALUE!</v>
      </c>
      <c r="GM184" t="e">
        <f>'All regions'!I5113+"$F;@!({3"</f>
        <v>#VALUE!</v>
      </c>
      <c r="GN184" t="e">
        <f>'All regions'!A5114+"$F;@!({4"</f>
        <v>#VALUE!</v>
      </c>
      <c r="GO184" t="e">
        <f>'All regions'!B5114+"$F;@!({5"</f>
        <v>#VALUE!</v>
      </c>
      <c r="GP184" t="e">
        <f>'All regions'!C5114+"$F;@!({6"</f>
        <v>#VALUE!</v>
      </c>
      <c r="GQ184" t="e">
        <f>'All regions'!D5114+"$F;@!({7"</f>
        <v>#VALUE!</v>
      </c>
      <c r="GR184" t="e">
        <f>'All regions'!E5114+"$F;@!({8"</f>
        <v>#VALUE!</v>
      </c>
      <c r="GS184" t="e">
        <f>'All regions'!F5114+"$F;@!({9"</f>
        <v>#VALUE!</v>
      </c>
      <c r="GT184" t="e">
        <f>'All regions'!G5114+"$F;@!({:"</f>
        <v>#VALUE!</v>
      </c>
      <c r="GU184" t="e">
        <f>'All regions'!H5114+"$F;@!({;"</f>
        <v>#VALUE!</v>
      </c>
      <c r="GV184" t="e">
        <f>'All regions'!I5114+"$F;@!({&lt;"</f>
        <v>#VALUE!</v>
      </c>
      <c r="GW184" t="e">
        <f>'All regions'!A5115+"$F;@!({="</f>
        <v>#VALUE!</v>
      </c>
      <c r="GX184" t="e">
        <f>'All regions'!B5115+"$F;@!({&gt;"</f>
        <v>#VALUE!</v>
      </c>
      <c r="GY184" t="e">
        <f>'All regions'!C5115+"$F;@!({?"</f>
        <v>#VALUE!</v>
      </c>
      <c r="GZ184" t="e">
        <f>'All regions'!D5115+"$F;@!({@"</f>
        <v>#VALUE!</v>
      </c>
      <c r="HA184" t="e">
        <f>'All regions'!E5115+"$F;@!({A"</f>
        <v>#VALUE!</v>
      </c>
      <c r="HB184" t="e">
        <f>'All regions'!F5115+"$F;@!({B"</f>
        <v>#VALUE!</v>
      </c>
      <c r="HC184" t="e">
        <f>'All regions'!G5115+"$F;@!({C"</f>
        <v>#VALUE!</v>
      </c>
      <c r="HD184" t="e">
        <f>'All regions'!H5115+"$F;@!({D"</f>
        <v>#VALUE!</v>
      </c>
      <c r="HE184" t="e">
        <f>'All regions'!I5115+"$F;@!({E"</f>
        <v>#VALUE!</v>
      </c>
      <c r="HF184" t="e">
        <f>'All regions'!A5116+"$F;@!({F"</f>
        <v>#VALUE!</v>
      </c>
      <c r="HG184" t="e">
        <f>'All regions'!B5116+"$F;@!({G"</f>
        <v>#VALUE!</v>
      </c>
      <c r="HH184" t="e">
        <f>'All regions'!C5116+"$F;@!({H"</f>
        <v>#VALUE!</v>
      </c>
      <c r="HI184" t="e">
        <f>'All regions'!D5116+"$F;@!({I"</f>
        <v>#VALUE!</v>
      </c>
      <c r="HJ184" t="e">
        <f>'All regions'!E5116+"$F;@!({J"</f>
        <v>#VALUE!</v>
      </c>
      <c r="HK184" t="e">
        <f>'All regions'!F5116+"$F;@!({K"</f>
        <v>#VALUE!</v>
      </c>
      <c r="HL184" t="e">
        <f>'All regions'!G5116+"$F;@!({L"</f>
        <v>#VALUE!</v>
      </c>
      <c r="HM184" t="e">
        <f>'All regions'!H5116+"$F;@!({M"</f>
        <v>#VALUE!</v>
      </c>
      <c r="HN184" t="e">
        <f>'All regions'!I5116+"$F;@!({N"</f>
        <v>#VALUE!</v>
      </c>
      <c r="HO184" t="e">
        <f>'All regions'!A5117+"$F;@!({O"</f>
        <v>#VALUE!</v>
      </c>
      <c r="HP184" t="e">
        <f>'All regions'!B5117+"$F;@!({P"</f>
        <v>#VALUE!</v>
      </c>
      <c r="HQ184" t="e">
        <f>'All regions'!C5117+"$F;@!({Q"</f>
        <v>#VALUE!</v>
      </c>
      <c r="HR184" t="e">
        <f>'All regions'!D5117+"$F;@!({R"</f>
        <v>#VALUE!</v>
      </c>
      <c r="HS184" t="e">
        <f>'All regions'!E5117+"$F;@!({S"</f>
        <v>#VALUE!</v>
      </c>
      <c r="HT184" t="e">
        <f>'All regions'!F5117+"$F;@!({T"</f>
        <v>#VALUE!</v>
      </c>
      <c r="HU184" t="e">
        <f>'All regions'!G5117+"$F;@!({U"</f>
        <v>#VALUE!</v>
      </c>
      <c r="HV184" t="e">
        <f>'All regions'!H5117+"$F;@!({V"</f>
        <v>#VALUE!</v>
      </c>
      <c r="HW184" t="e">
        <f>'All regions'!I5117+"$F;@!({W"</f>
        <v>#VALUE!</v>
      </c>
      <c r="HX184" t="e">
        <f>'All regions'!A5118+"$F;@!({X"</f>
        <v>#VALUE!</v>
      </c>
      <c r="HY184" t="e">
        <f>'All regions'!B5118+"$F;@!({Y"</f>
        <v>#VALUE!</v>
      </c>
      <c r="HZ184" t="e">
        <f>'All regions'!C5118+"$F;@!({Z"</f>
        <v>#VALUE!</v>
      </c>
      <c r="IA184" t="e">
        <f>'All regions'!D5118+"$F;@!({["</f>
        <v>#VALUE!</v>
      </c>
      <c r="IB184" t="e">
        <f>'All regions'!E5118+"$F;@!({\"</f>
        <v>#VALUE!</v>
      </c>
      <c r="IC184" t="e">
        <f>'All regions'!F5118+"$F;@!({]"</f>
        <v>#VALUE!</v>
      </c>
      <c r="ID184" t="e">
        <f>'All regions'!G5118+"$F;@!({^"</f>
        <v>#VALUE!</v>
      </c>
      <c r="IE184" t="e">
        <f>'All regions'!H5118+"$F;@!({_"</f>
        <v>#VALUE!</v>
      </c>
      <c r="IF184" t="e">
        <f>'All regions'!I5118+"$F;@!({`"</f>
        <v>#VALUE!</v>
      </c>
      <c r="IG184" t="e">
        <f>'All regions'!A5119+"$F;@!({a"</f>
        <v>#VALUE!</v>
      </c>
      <c r="IH184" t="e">
        <f>'All regions'!B5119+"$F;@!({b"</f>
        <v>#VALUE!</v>
      </c>
      <c r="II184" t="e">
        <f>'All regions'!C5119+"$F;@!({c"</f>
        <v>#VALUE!</v>
      </c>
      <c r="IJ184" t="e">
        <f>'All regions'!D5119+"$F;@!({d"</f>
        <v>#VALUE!</v>
      </c>
      <c r="IK184" t="e">
        <f>'All regions'!E5119+"$F;@!({e"</f>
        <v>#VALUE!</v>
      </c>
      <c r="IL184" t="e">
        <f>'All regions'!F5119+"$F;@!({f"</f>
        <v>#VALUE!</v>
      </c>
      <c r="IM184" t="e">
        <f>'All regions'!G5119+"$F;@!({g"</f>
        <v>#VALUE!</v>
      </c>
      <c r="IN184" t="e">
        <f>'All regions'!H5119+"$F;@!({h"</f>
        <v>#VALUE!</v>
      </c>
      <c r="IO184" t="e">
        <f>'All regions'!I5119+"$F;@!({i"</f>
        <v>#VALUE!</v>
      </c>
      <c r="IP184" t="e">
        <f>'All regions'!A5120+"$F;@!({j"</f>
        <v>#VALUE!</v>
      </c>
      <c r="IQ184" t="e">
        <f>'All regions'!B5120+"$F;@!({k"</f>
        <v>#VALUE!</v>
      </c>
      <c r="IR184" t="e">
        <f>'All regions'!C5120+"$F;@!({l"</f>
        <v>#VALUE!</v>
      </c>
      <c r="IS184" t="e">
        <f>'All regions'!D5120+"$F;@!({m"</f>
        <v>#VALUE!</v>
      </c>
      <c r="IT184" t="e">
        <f>'All regions'!E5120+"$F;@!({n"</f>
        <v>#VALUE!</v>
      </c>
      <c r="IU184" t="e">
        <f>'All regions'!F5120+"$F;@!({o"</f>
        <v>#VALUE!</v>
      </c>
      <c r="IV184" t="e">
        <f>'All regions'!G5120+"$F;@!({p"</f>
        <v>#VALUE!</v>
      </c>
    </row>
    <row r="185" spans="6:256" x14ac:dyDescent="0.35">
      <c r="F185" t="e">
        <f>'All regions'!H5120+"$F;@!({q"</f>
        <v>#VALUE!</v>
      </c>
      <c r="G185" t="e">
        <f>'All regions'!I5120+"$F;@!({r"</f>
        <v>#VALUE!</v>
      </c>
      <c r="H185" t="e">
        <f>'All regions'!A5121+"$F;@!({s"</f>
        <v>#VALUE!</v>
      </c>
      <c r="I185" t="e">
        <f>'All regions'!B5121+"$F;@!({t"</f>
        <v>#VALUE!</v>
      </c>
      <c r="J185" t="e">
        <f>'All regions'!C5121+"$F;@!({u"</f>
        <v>#VALUE!</v>
      </c>
      <c r="K185" t="e">
        <f>'All regions'!D5121+"$F;@!({v"</f>
        <v>#VALUE!</v>
      </c>
      <c r="L185" t="e">
        <f>'All regions'!E5121+"$F;@!({w"</f>
        <v>#VALUE!</v>
      </c>
      <c r="M185" t="e">
        <f>'All regions'!F5121+"$F;@!({x"</f>
        <v>#VALUE!</v>
      </c>
      <c r="N185" t="e">
        <f>'All regions'!G5121+"$F;@!({y"</f>
        <v>#VALUE!</v>
      </c>
      <c r="O185" t="e">
        <f>'All regions'!H5121+"$F;@!({z"</f>
        <v>#VALUE!</v>
      </c>
      <c r="P185" t="e">
        <f>'All regions'!I5121+"$F;@!({{"</f>
        <v>#VALUE!</v>
      </c>
      <c r="Q185" t="e">
        <f>'All regions'!A5122+"$F;@!({|"</f>
        <v>#VALUE!</v>
      </c>
      <c r="R185" t="e">
        <f>'All regions'!B5122+"$F;@!({}"</f>
        <v>#VALUE!</v>
      </c>
      <c r="S185" t="e">
        <f>'All regions'!C5122+"$F;@!({~"</f>
        <v>#VALUE!</v>
      </c>
      <c r="T185" t="e">
        <f>'All regions'!D5122+"$F;@!(|#"</f>
        <v>#VALUE!</v>
      </c>
      <c r="U185" t="e">
        <f>'All regions'!E5122+"$F;@!(|$"</f>
        <v>#VALUE!</v>
      </c>
      <c r="V185" t="e">
        <f>'All regions'!F5122+"$F;@!(|%"</f>
        <v>#VALUE!</v>
      </c>
      <c r="W185" t="e">
        <f>'All regions'!G5122+"$F;@!(|&amp;"</f>
        <v>#VALUE!</v>
      </c>
      <c r="X185" t="e">
        <f>'All regions'!H5122+"$F;@!(|'"</f>
        <v>#VALUE!</v>
      </c>
      <c r="Y185" t="e">
        <f>'All regions'!I5122+"$F;@!(|("</f>
        <v>#VALUE!</v>
      </c>
      <c r="Z185" t="e">
        <f>'All regions'!A5123+"$F;@!(|)"</f>
        <v>#VALUE!</v>
      </c>
      <c r="AA185" t="e">
        <f>'All regions'!B5123+"$F;@!(|."</f>
        <v>#VALUE!</v>
      </c>
      <c r="AB185" t="e">
        <f>'All regions'!C5123+"$F;@!(|/"</f>
        <v>#VALUE!</v>
      </c>
      <c r="AC185" t="e">
        <f>'All regions'!D5123+"$F;@!(|0"</f>
        <v>#VALUE!</v>
      </c>
      <c r="AD185" t="e">
        <f>'All regions'!E5123+"$F;@!(|1"</f>
        <v>#VALUE!</v>
      </c>
      <c r="AE185" t="e">
        <f>'All regions'!F5123+"$F;@!(|2"</f>
        <v>#VALUE!</v>
      </c>
      <c r="AF185" t="e">
        <f>'All regions'!G5123+"$F;@!(|3"</f>
        <v>#VALUE!</v>
      </c>
      <c r="AG185" t="e">
        <f>'All regions'!H5123+"$F;@!(|4"</f>
        <v>#VALUE!</v>
      </c>
      <c r="AH185" t="e">
        <f>'All regions'!I5123+"$F;@!(|5"</f>
        <v>#VALUE!</v>
      </c>
      <c r="AI185" t="e">
        <f>'All regions'!A5124+"$F;@!(|6"</f>
        <v>#VALUE!</v>
      </c>
      <c r="AJ185" t="e">
        <f>'All regions'!B5124+"$F;@!(|7"</f>
        <v>#VALUE!</v>
      </c>
      <c r="AK185" t="e">
        <f>'All regions'!C5124+"$F;@!(|8"</f>
        <v>#VALUE!</v>
      </c>
      <c r="AL185" t="e">
        <f>'All regions'!D5124+"$F;@!(|9"</f>
        <v>#VALUE!</v>
      </c>
      <c r="AM185" t="e">
        <f>'All regions'!E5124+"$F;@!(|:"</f>
        <v>#VALUE!</v>
      </c>
      <c r="AN185" t="e">
        <f>'All regions'!F5124+"$F;@!(|;"</f>
        <v>#VALUE!</v>
      </c>
      <c r="AO185" t="e">
        <f>'All regions'!G5124+"$F;@!(|&lt;"</f>
        <v>#VALUE!</v>
      </c>
      <c r="AP185" t="e">
        <f>'All regions'!H5124+"$F;@!(|="</f>
        <v>#VALUE!</v>
      </c>
      <c r="AQ185" t="e">
        <f>'All regions'!I5124+"$F;@!(|&gt;"</f>
        <v>#VALUE!</v>
      </c>
      <c r="AR185" t="e">
        <f>'All regions'!A5125+"$F;@!(|?"</f>
        <v>#VALUE!</v>
      </c>
      <c r="AS185" t="e">
        <f>'All regions'!B5125+"$F;@!(|@"</f>
        <v>#VALUE!</v>
      </c>
      <c r="AT185" t="e">
        <f>'All regions'!C5125+"$F;@!(|A"</f>
        <v>#VALUE!</v>
      </c>
      <c r="AU185" t="e">
        <f>'All regions'!D5125+"$F;@!(|B"</f>
        <v>#VALUE!</v>
      </c>
      <c r="AV185" t="e">
        <f>'All regions'!E5125+"$F;@!(|C"</f>
        <v>#VALUE!</v>
      </c>
      <c r="AW185" t="e">
        <f>'All regions'!F5125+"$F;@!(|D"</f>
        <v>#VALUE!</v>
      </c>
      <c r="AX185" t="e">
        <f>'All regions'!G5125+"$F;@!(|E"</f>
        <v>#VALUE!</v>
      </c>
      <c r="AY185" t="e">
        <f>'All regions'!H5125+"$F;@!(|F"</f>
        <v>#VALUE!</v>
      </c>
      <c r="AZ185" t="e">
        <f>'All regions'!I5125+"$F;@!(|G"</f>
        <v>#VALUE!</v>
      </c>
      <c r="BA185" t="e">
        <f>'All regions'!A5126+"$F;@!(|H"</f>
        <v>#VALUE!</v>
      </c>
      <c r="BB185" t="e">
        <f>'All regions'!B5126+"$F;@!(|I"</f>
        <v>#VALUE!</v>
      </c>
      <c r="BC185" t="e">
        <f>'All regions'!C5126+"$F;@!(|J"</f>
        <v>#VALUE!</v>
      </c>
      <c r="BD185" t="e">
        <f>'All regions'!D5126+"$F;@!(|K"</f>
        <v>#VALUE!</v>
      </c>
      <c r="BE185" t="e">
        <f>'All regions'!E5126+"$F;@!(|L"</f>
        <v>#VALUE!</v>
      </c>
      <c r="BF185" t="e">
        <f>'All regions'!F5126+"$F;@!(|M"</f>
        <v>#VALUE!</v>
      </c>
      <c r="BG185" t="e">
        <f>'All regions'!G5126+"$F;@!(|N"</f>
        <v>#VALUE!</v>
      </c>
      <c r="BH185" t="e">
        <f>'All regions'!H5126+"$F;@!(|O"</f>
        <v>#VALUE!</v>
      </c>
      <c r="BI185" t="e">
        <f>'All regions'!I5126+"$F;@!(|P"</f>
        <v>#VALUE!</v>
      </c>
      <c r="BJ185" t="e">
        <f>'All regions'!A5127+"$F;@!(|Q"</f>
        <v>#VALUE!</v>
      </c>
      <c r="BK185" t="e">
        <f>'All regions'!B5127+"$F;@!(|R"</f>
        <v>#VALUE!</v>
      </c>
      <c r="BL185" t="e">
        <f>'All regions'!C5127+"$F;@!(|S"</f>
        <v>#VALUE!</v>
      </c>
      <c r="BM185" t="e">
        <f>'All regions'!D5127+"$F;@!(|T"</f>
        <v>#VALUE!</v>
      </c>
      <c r="BN185" t="e">
        <f>'All regions'!E5127+"$F;@!(|U"</f>
        <v>#VALUE!</v>
      </c>
      <c r="BO185" t="e">
        <f>'All regions'!F5127+"$F;@!(|V"</f>
        <v>#VALUE!</v>
      </c>
      <c r="BP185" t="e">
        <f>'All regions'!G5127+"$F;@!(|W"</f>
        <v>#VALUE!</v>
      </c>
      <c r="BQ185" t="e">
        <f>'All regions'!H5127+"$F;@!(|X"</f>
        <v>#VALUE!</v>
      </c>
      <c r="BR185" t="e">
        <f>'All regions'!I5127+"$F;@!(|Y"</f>
        <v>#VALUE!</v>
      </c>
      <c r="BS185" t="e">
        <f>'All regions'!A5128+"$F;@!(|Z"</f>
        <v>#VALUE!</v>
      </c>
      <c r="BT185" t="e">
        <f>'All regions'!B5128+"$F;@!(|["</f>
        <v>#VALUE!</v>
      </c>
      <c r="BU185" t="e">
        <f>'All regions'!C5128+"$F;@!(|\"</f>
        <v>#VALUE!</v>
      </c>
      <c r="BV185" t="e">
        <f>'All regions'!D5128+"$F;@!(|]"</f>
        <v>#VALUE!</v>
      </c>
      <c r="BW185" t="e">
        <f>'All regions'!E5128+"$F;@!(|^"</f>
        <v>#VALUE!</v>
      </c>
      <c r="BX185" t="e">
        <f>'All regions'!F5128+"$F;@!(|_"</f>
        <v>#VALUE!</v>
      </c>
      <c r="BY185" t="e">
        <f>'All regions'!G5128+"$F;@!(|`"</f>
        <v>#VALUE!</v>
      </c>
      <c r="BZ185" t="e">
        <f>'All regions'!H5128+"$F;@!(|a"</f>
        <v>#VALUE!</v>
      </c>
      <c r="CA185" t="e">
        <f>'All regions'!I5128+"$F;@!(|b"</f>
        <v>#VALUE!</v>
      </c>
      <c r="CB185" t="e">
        <f>'All regions'!A5129+"$F;@!(|c"</f>
        <v>#VALUE!</v>
      </c>
      <c r="CC185" t="e">
        <f>'All regions'!B5129+"$F;@!(|d"</f>
        <v>#VALUE!</v>
      </c>
      <c r="CD185" t="e">
        <f>'All regions'!C5129+"$F;@!(|e"</f>
        <v>#VALUE!</v>
      </c>
      <c r="CE185" t="e">
        <f>'All regions'!D5129+"$F;@!(|f"</f>
        <v>#VALUE!</v>
      </c>
      <c r="CF185" t="e">
        <f>'All regions'!E5129+"$F;@!(|g"</f>
        <v>#VALUE!</v>
      </c>
      <c r="CG185" t="e">
        <f>'All regions'!F5129+"$F;@!(|h"</f>
        <v>#VALUE!</v>
      </c>
      <c r="CH185" t="e">
        <f>'All regions'!G5129+"$F;@!(|i"</f>
        <v>#VALUE!</v>
      </c>
      <c r="CI185" t="e">
        <f>'All regions'!H5129+"$F;@!(|j"</f>
        <v>#VALUE!</v>
      </c>
      <c r="CJ185" t="e">
        <f>'All regions'!I5129+"$F;@!(|k"</f>
        <v>#VALUE!</v>
      </c>
      <c r="CK185" t="e">
        <f>'All regions'!A5130+"$F;@!(|l"</f>
        <v>#VALUE!</v>
      </c>
      <c r="CL185" t="e">
        <f>'All regions'!B5130+"$F;@!(|m"</f>
        <v>#VALUE!</v>
      </c>
      <c r="CM185" t="e">
        <f>'All regions'!C5130+"$F;@!(|n"</f>
        <v>#VALUE!</v>
      </c>
      <c r="CN185" t="e">
        <f>'All regions'!D5130+"$F;@!(|o"</f>
        <v>#VALUE!</v>
      </c>
      <c r="CO185" t="e">
        <f>'All regions'!E5130+"$F;@!(|p"</f>
        <v>#VALUE!</v>
      </c>
      <c r="CP185" t="e">
        <f>'All regions'!F5130+"$F;@!(|q"</f>
        <v>#VALUE!</v>
      </c>
      <c r="CQ185" t="e">
        <f>'All regions'!G5130+"$F;@!(|r"</f>
        <v>#VALUE!</v>
      </c>
      <c r="CR185" t="e">
        <f>'All regions'!H5130+"$F;@!(|s"</f>
        <v>#VALUE!</v>
      </c>
      <c r="CS185" t="e">
        <f>'All regions'!I5130+"$F;@!(|t"</f>
        <v>#VALUE!</v>
      </c>
      <c r="CT185" t="e">
        <f>'All regions'!A5131+"$F;@!(|u"</f>
        <v>#VALUE!</v>
      </c>
      <c r="CU185" t="e">
        <f>'All regions'!B5131+"$F;@!(|v"</f>
        <v>#VALUE!</v>
      </c>
      <c r="CV185" t="e">
        <f>'All regions'!C5131+"$F;@!(|w"</f>
        <v>#VALUE!</v>
      </c>
      <c r="CW185" t="e">
        <f>'All regions'!D5131+"$F;@!(|x"</f>
        <v>#VALUE!</v>
      </c>
      <c r="CX185" t="e">
        <f>'All regions'!E5131+"$F;@!(|y"</f>
        <v>#VALUE!</v>
      </c>
      <c r="CY185" t="e">
        <f>'All regions'!F5131+"$F;@!(|z"</f>
        <v>#VALUE!</v>
      </c>
      <c r="CZ185" t="e">
        <f>'All regions'!G5131+"$F;@!(|{"</f>
        <v>#VALUE!</v>
      </c>
      <c r="DA185" t="e">
        <f>'All regions'!H5131+"$F;@!(||"</f>
        <v>#VALUE!</v>
      </c>
      <c r="DB185" t="e">
        <f>'All regions'!I5131+"$F;@!(|}"</f>
        <v>#VALUE!</v>
      </c>
      <c r="DC185" t="e">
        <f>'All regions'!A5132+"$F;@!(|~"</f>
        <v>#VALUE!</v>
      </c>
      <c r="DD185" t="e">
        <f>'All regions'!B5132+"$F;@!(}#"</f>
        <v>#VALUE!</v>
      </c>
      <c r="DE185" t="e">
        <f>'All regions'!C5132+"$F;@!(}$"</f>
        <v>#VALUE!</v>
      </c>
      <c r="DF185" t="e">
        <f>'All regions'!D5132+"$F;@!(}%"</f>
        <v>#VALUE!</v>
      </c>
      <c r="DG185" t="e">
        <f>'All regions'!E5132+"$F;@!(}&amp;"</f>
        <v>#VALUE!</v>
      </c>
      <c r="DH185" t="e">
        <f>'All regions'!F5132+"$F;@!(}'"</f>
        <v>#VALUE!</v>
      </c>
      <c r="DI185" t="e">
        <f>'All regions'!G5132+"$F;@!(}("</f>
        <v>#VALUE!</v>
      </c>
      <c r="DJ185" t="e">
        <f>'All regions'!H5132+"$F;@!(})"</f>
        <v>#VALUE!</v>
      </c>
      <c r="DK185" t="e">
        <f>'All regions'!I5132+"$F;@!(}."</f>
        <v>#VALUE!</v>
      </c>
      <c r="DL185" t="e">
        <f>'All regions'!A5133+"$F;@!(}/"</f>
        <v>#VALUE!</v>
      </c>
      <c r="DM185" t="e">
        <f>'All regions'!B5133+"$F;@!(}0"</f>
        <v>#VALUE!</v>
      </c>
      <c r="DN185" t="e">
        <f>'All regions'!C5133+"$F;@!(}1"</f>
        <v>#VALUE!</v>
      </c>
      <c r="DO185" t="e">
        <f>'All regions'!D5133+"$F;@!(}2"</f>
        <v>#VALUE!</v>
      </c>
      <c r="DP185" t="e">
        <f>'All regions'!E5133+"$F;@!(}3"</f>
        <v>#VALUE!</v>
      </c>
      <c r="DQ185" t="e">
        <f>'All regions'!F5133+"$F;@!(}4"</f>
        <v>#VALUE!</v>
      </c>
      <c r="DR185" t="e">
        <f>'All regions'!G5133+"$F;@!(}5"</f>
        <v>#VALUE!</v>
      </c>
      <c r="DS185" t="e">
        <f>'All regions'!H5133+"$F;@!(}6"</f>
        <v>#VALUE!</v>
      </c>
      <c r="DT185" t="e">
        <f>'All regions'!I5133+"$F;@!(}7"</f>
        <v>#VALUE!</v>
      </c>
      <c r="DU185" t="e">
        <f>'All regions'!A5134+"$F;@!(}8"</f>
        <v>#VALUE!</v>
      </c>
      <c r="DV185" t="e">
        <f>'All regions'!B5134+"$F;@!(}9"</f>
        <v>#VALUE!</v>
      </c>
      <c r="DW185" t="e">
        <f>'All regions'!C5134+"$F;@!(}:"</f>
        <v>#VALUE!</v>
      </c>
      <c r="DX185" t="e">
        <f>'All regions'!D5134+"$F;@!(};"</f>
        <v>#VALUE!</v>
      </c>
      <c r="DY185" t="e">
        <f>'All regions'!E5134+"$F;@!(}&lt;"</f>
        <v>#VALUE!</v>
      </c>
      <c r="DZ185" t="e">
        <f>'All regions'!F5134+"$F;@!(}="</f>
        <v>#VALUE!</v>
      </c>
      <c r="EA185" t="e">
        <f>'All regions'!G5134+"$F;@!(}&gt;"</f>
        <v>#VALUE!</v>
      </c>
      <c r="EB185" t="e">
        <f>'All regions'!H5134+"$F;@!(}?"</f>
        <v>#VALUE!</v>
      </c>
      <c r="EC185" t="e">
        <f>'All regions'!I5134+"$F;@!(}@"</f>
        <v>#VALUE!</v>
      </c>
      <c r="ED185" t="e">
        <f>'All regions'!A5135+"$F;@!(}A"</f>
        <v>#VALUE!</v>
      </c>
      <c r="EE185" t="e">
        <f>'All regions'!B5135+"$F;@!(}B"</f>
        <v>#VALUE!</v>
      </c>
      <c r="EF185" t="e">
        <f>'All regions'!C5135+"$F;@!(}C"</f>
        <v>#VALUE!</v>
      </c>
      <c r="EG185" t="e">
        <f>'All regions'!D5135+"$F;@!(}D"</f>
        <v>#VALUE!</v>
      </c>
      <c r="EH185" t="e">
        <f>'All regions'!E5135+"$F;@!(}E"</f>
        <v>#VALUE!</v>
      </c>
      <c r="EI185" t="e">
        <f>'All regions'!F5135+"$F;@!(}F"</f>
        <v>#VALUE!</v>
      </c>
      <c r="EJ185" t="e">
        <f>'All regions'!G5135+"$F;@!(}G"</f>
        <v>#VALUE!</v>
      </c>
      <c r="EK185" t="e">
        <f>'All regions'!H5135+"$F;@!(}H"</f>
        <v>#VALUE!</v>
      </c>
      <c r="EL185" t="e">
        <f>'All regions'!I5135+"$F;@!(}I"</f>
        <v>#VALUE!</v>
      </c>
      <c r="EM185" t="e">
        <f>'All regions'!A5136+"$F;@!(}J"</f>
        <v>#VALUE!</v>
      </c>
      <c r="EN185" t="e">
        <f>'All regions'!B5136+"$F;@!(}K"</f>
        <v>#VALUE!</v>
      </c>
      <c r="EO185" t="e">
        <f>'All regions'!C5136+"$F;@!(}L"</f>
        <v>#VALUE!</v>
      </c>
      <c r="EP185" t="e">
        <f>'All regions'!D5136+"$F;@!(}M"</f>
        <v>#VALUE!</v>
      </c>
      <c r="EQ185" t="e">
        <f>'All regions'!E5136+"$F;@!(}N"</f>
        <v>#VALUE!</v>
      </c>
      <c r="ER185" t="e">
        <f>'All regions'!F5136+"$F;@!(}O"</f>
        <v>#VALUE!</v>
      </c>
      <c r="ES185" t="e">
        <f>'All regions'!G5136+"$F;@!(}P"</f>
        <v>#VALUE!</v>
      </c>
      <c r="ET185" t="e">
        <f>'All regions'!H5136+"$F;@!(}Q"</f>
        <v>#VALUE!</v>
      </c>
      <c r="EU185" t="e">
        <f>'All regions'!I5136+"$F;@!(}R"</f>
        <v>#VALUE!</v>
      </c>
      <c r="EV185" t="e">
        <f>'All regions'!A5138+"$F;@!(}S"</f>
        <v>#VALUE!</v>
      </c>
      <c r="EW185" t="e">
        <f>'All regions'!B5138+"$F;@!(}T"</f>
        <v>#VALUE!</v>
      </c>
      <c r="EX185" t="e">
        <f>'All regions'!C5138+"$F;@!(}U"</f>
        <v>#VALUE!</v>
      </c>
      <c r="EY185" t="e">
        <f>'All regions'!D5138+"$F;@!(}V"</f>
        <v>#VALUE!</v>
      </c>
      <c r="EZ185" t="e">
        <f>'All regions'!E5138+"$F;@!(}W"</f>
        <v>#VALUE!</v>
      </c>
      <c r="FA185" t="e">
        <f>'All regions'!F5138+"$F;@!(}X"</f>
        <v>#VALUE!</v>
      </c>
      <c r="FB185" t="e">
        <f>'All regions'!G5138+"$F;@!(}Y"</f>
        <v>#VALUE!</v>
      </c>
      <c r="FC185" t="e">
        <f>'All regions'!H5138+"$F;@!(}Z"</f>
        <v>#VALUE!</v>
      </c>
      <c r="FD185" t="e">
        <f>'All regions'!I5138+"$F;@!(}["</f>
        <v>#VALUE!</v>
      </c>
      <c r="FE185" t="e">
        <f>'All regions'!A5139+"$F;@!(}\"</f>
        <v>#VALUE!</v>
      </c>
      <c r="FF185" t="e">
        <f>'All regions'!B5139+"$F;@!(}]"</f>
        <v>#VALUE!</v>
      </c>
      <c r="FG185" t="e">
        <f>'All regions'!C5139+"$F;@!(}^"</f>
        <v>#VALUE!</v>
      </c>
      <c r="FH185" t="e">
        <f>'All regions'!D5139+"$F;@!(}_"</f>
        <v>#VALUE!</v>
      </c>
      <c r="FI185" t="e">
        <f>'All regions'!E5139+"$F;@!(}`"</f>
        <v>#VALUE!</v>
      </c>
      <c r="FJ185" t="e">
        <f>'All regions'!F5139+"$F;@!(}a"</f>
        <v>#VALUE!</v>
      </c>
      <c r="FK185" t="e">
        <f>'All regions'!G5139+"$F;@!(}b"</f>
        <v>#VALUE!</v>
      </c>
      <c r="FL185" t="e">
        <f>'All regions'!H5139+"$F;@!(}c"</f>
        <v>#VALUE!</v>
      </c>
      <c r="FM185" t="e">
        <f>'All regions'!I5139+"$F;@!(}d"</f>
        <v>#VALUE!</v>
      </c>
      <c r="FN185" t="e">
        <f>'All regions'!A5140+"$F;@!(}e"</f>
        <v>#VALUE!</v>
      </c>
      <c r="FO185" t="e">
        <f>'All regions'!B5140+"$F;@!(}f"</f>
        <v>#VALUE!</v>
      </c>
      <c r="FP185" t="e">
        <f>'All regions'!C5140+"$F;@!(}g"</f>
        <v>#VALUE!</v>
      </c>
      <c r="FQ185" t="e">
        <f>'All regions'!D5140+"$F;@!(}h"</f>
        <v>#VALUE!</v>
      </c>
      <c r="FR185" t="e">
        <f>'All regions'!E5140+"$F;@!(}i"</f>
        <v>#VALUE!</v>
      </c>
      <c r="FS185" t="e">
        <f>'All regions'!F5140+"$F;@!(}j"</f>
        <v>#VALUE!</v>
      </c>
      <c r="FT185" t="e">
        <f>'All regions'!G5140+"$F;@!(}k"</f>
        <v>#VALUE!</v>
      </c>
      <c r="FU185" t="e">
        <f>'All regions'!H5140+"$F;@!(}l"</f>
        <v>#VALUE!</v>
      </c>
      <c r="FV185" t="e">
        <f>'All regions'!I5140+"$F;@!(}m"</f>
        <v>#VALUE!</v>
      </c>
      <c r="FW185" t="e">
        <f>'All regions'!A5141+"$F;@!(}n"</f>
        <v>#VALUE!</v>
      </c>
      <c r="FX185" t="e">
        <f>'All regions'!B5141+"$F;@!(}o"</f>
        <v>#VALUE!</v>
      </c>
      <c r="FY185" t="e">
        <f>'All regions'!C5141+"$F;@!(}p"</f>
        <v>#VALUE!</v>
      </c>
      <c r="FZ185" t="e">
        <f>'All regions'!D5141+"$F;@!(}q"</f>
        <v>#VALUE!</v>
      </c>
      <c r="GA185" t="e">
        <f>'All regions'!E5141+"$F;@!(}r"</f>
        <v>#VALUE!</v>
      </c>
      <c r="GB185" t="e">
        <f>'All regions'!F5141+"$F;@!(}s"</f>
        <v>#VALUE!</v>
      </c>
      <c r="GC185" t="e">
        <f>'All regions'!G5141+"$F;@!(}t"</f>
        <v>#VALUE!</v>
      </c>
      <c r="GD185" t="e">
        <f>'All regions'!H5141+"$F;@!(}u"</f>
        <v>#VALUE!</v>
      </c>
      <c r="GE185" t="e">
        <f>'All regions'!I5141+"$F;@!(}v"</f>
        <v>#VALUE!</v>
      </c>
      <c r="GF185" t="e">
        <f>'All regions'!A5142+"$F;@!(}w"</f>
        <v>#VALUE!</v>
      </c>
      <c r="GG185" t="e">
        <f>'All regions'!B5142+"$F;@!(}x"</f>
        <v>#VALUE!</v>
      </c>
      <c r="GH185" t="e">
        <f>'All regions'!C5142+"$F;@!(}y"</f>
        <v>#VALUE!</v>
      </c>
      <c r="GI185" t="e">
        <f>'All regions'!D5142+"$F;@!(}z"</f>
        <v>#VALUE!</v>
      </c>
      <c r="GJ185" t="e">
        <f>'All regions'!E5142+"$F;@!(}{"</f>
        <v>#VALUE!</v>
      </c>
      <c r="GK185" t="e">
        <f>'All regions'!F5142+"$F;@!(}|"</f>
        <v>#VALUE!</v>
      </c>
      <c r="GL185" t="e">
        <f>'All regions'!G5142+"$F;@!(}}"</f>
        <v>#VALUE!</v>
      </c>
      <c r="GM185" t="e">
        <f>'All regions'!H5142+"$F;@!(}~"</f>
        <v>#VALUE!</v>
      </c>
      <c r="GN185" t="e">
        <f>'All regions'!I5142+"$F;@!(~#"</f>
        <v>#VALUE!</v>
      </c>
      <c r="GO185" t="e">
        <f>'All regions'!A5143+"$F;@!(~$"</f>
        <v>#VALUE!</v>
      </c>
      <c r="GP185" t="e">
        <f>'All regions'!B5143+"$F;@!(~%"</f>
        <v>#VALUE!</v>
      </c>
      <c r="GQ185" t="e">
        <f>'All regions'!C5143+"$F;@!(~&amp;"</f>
        <v>#VALUE!</v>
      </c>
      <c r="GR185" t="e">
        <f>'All regions'!D5143+"$F;@!(~'"</f>
        <v>#VALUE!</v>
      </c>
      <c r="GS185" t="e">
        <f>'All regions'!E5143+"$F;@!(~("</f>
        <v>#VALUE!</v>
      </c>
      <c r="GT185" t="e">
        <f>'All regions'!F5143+"$F;@!(~)"</f>
        <v>#VALUE!</v>
      </c>
      <c r="GU185" t="e">
        <f>'All regions'!G5143+"$F;@!(~."</f>
        <v>#VALUE!</v>
      </c>
      <c r="GV185" t="e">
        <f>'All regions'!H5143+"$F;@!(~/"</f>
        <v>#VALUE!</v>
      </c>
      <c r="GW185" t="e">
        <f>'All regions'!I5143+"$F;@!(~0"</f>
        <v>#VALUE!</v>
      </c>
      <c r="GX185" t="e">
        <f>'All regions'!A5144+"$F;@!(~1"</f>
        <v>#VALUE!</v>
      </c>
      <c r="GY185" t="e">
        <f>'All regions'!B5144+"$F;@!(~2"</f>
        <v>#VALUE!</v>
      </c>
      <c r="GZ185" t="e">
        <f>'All regions'!C5144+"$F;@!(~3"</f>
        <v>#VALUE!</v>
      </c>
      <c r="HA185" t="e">
        <f>'All regions'!D5144+"$F;@!(~4"</f>
        <v>#VALUE!</v>
      </c>
      <c r="HB185" t="e">
        <f>'All regions'!E5144+"$F;@!(~5"</f>
        <v>#VALUE!</v>
      </c>
      <c r="HC185" t="e">
        <f>'All regions'!F5144+"$F;@!(~6"</f>
        <v>#VALUE!</v>
      </c>
      <c r="HD185" t="e">
        <f>'All regions'!G5144+"$F;@!(~7"</f>
        <v>#VALUE!</v>
      </c>
      <c r="HE185" t="e">
        <f>'All regions'!H5144+"$F;@!(~8"</f>
        <v>#VALUE!</v>
      </c>
      <c r="HF185" t="e">
        <f>'All regions'!I5144+"$F;@!(~9"</f>
        <v>#VALUE!</v>
      </c>
      <c r="HG185" t="e">
        <f>'All regions'!A5145+"$F;@!(~:"</f>
        <v>#VALUE!</v>
      </c>
      <c r="HH185" t="e">
        <f>'All regions'!B5145+"$F;@!(~;"</f>
        <v>#VALUE!</v>
      </c>
      <c r="HI185" t="e">
        <f>'All regions'!C5145+"$F;@!(~&lt;"</f>
        <v>#VALUE!</v>
      </c>
      <c r="HJ185" t="e">
        <f>'All regions'!D5145+"$F;@!(~="</f>
        <v>#VALUE!</v>
      </c>
      <c r="HK185" t="e">
        <f>'All regions'!E5145+"$F;@!(~&gt;"</f>
        <v>#VALUE!</v>
      </c>
      <c r="HL185" t="e">
        <f>'All regions'!F5145+"$F;@!(~?"</f>
        <v>#VALUE!</v>
      </c>
      <c r="HM185" t="e">
        <f>'All regions'!G5145+"$F;@!(~@"</f>
        <v>#VALUE!</v>
      </c>
      <c r="HN185" t="e">
        <f>'All regions'!H5145+"$F;@!(~A"</f>
        <v>#VALUE!</v>
      </c>
      <c r="HO185" t="e">
        <f>'All regions'!I5145+"$F;@!(~B"</f>
        <v>#VALUE!</v>
      </c>
      <c r="HP185" t="e">
        <f>'All regions'!A5146+"$F;@!(~C"</f>
        <v>#VALUE!</v>
      </c>
      <c r="HQ185" t="e">
        <f>'All regions'!B5146+"$F;@!(~D"</f>
        <v>#VALUE!</v>
      </c>
      <c r="HR185" t="e">
        <f>'All regions'!C5146+"$F;@!(~E"</f>
        <v>#VALUE!</v>
      </c>
      <c r="HS185" t="e">
        <f>'All regions'!D5146+"$F;@!(~F"</f>
        <v>#VALUE!</v>
      </c>
      <c r="HT185" t="e">
        <f>'All regions'!E5146+"$F;@!(~G"</f>
        <v>#VALUE!</v>
      </c>
      <c r="HU185" t="e">
        <f>'All regions'!F5146+"$F;@!(~H"</f>
        <v>#VALUE!</v>
      </c>
      <c r="HV185" t="e">
        <f>'All regions'!G5146+"$F;@!(~I"</f>
        <v>#VALUE!</v>
      </c>
      <c r="HW185" t="e">
        <f>'All regions'!H5146+"$F;@!(~J"</f>
        <v>#VALUE!</v>
      </c>
      <c r="HX185" t="e">
        <f>'All regions'!I5146+"$F;@!(~K"</f>
        <v>#VALUE!</v>
      </c>
      <c r="HY185" t="e">
        <f>'All regions'!A5147+"$F;@!(~L"</f>
        <v>#VALUE!</v>
      </c>
      <c r="HZ185" t="e">
        <f>'All regions'!B5147+"$F;@!(~M"</f>
        <v>#VALUE!</v>
      </c>
      <c r="IA185" t="e">
        <f>'All regions'!C5147+"$F;@!(~N"</f>
        <v>#VALUE!</v>
      </c>
      <c r="IB185" t="e">
        <f>'All regions'!D5147+"$F;@!(~O"</f>
        <v>#VALUE!</v>
      </c>
      <c r="IC185" t="e">
        <f>'All regions'!E5147+"$F;@!(~P"</f>
        <v>#VALUE!</v>
      </c>
      <c r="ID185" t="e">
        <f>'All regions'!F5147+"$F;@!(~Q"</f>
        <v>#VALUE!</v>
      </c>
      <c r="IE185" t="e">
        <f>'All regions'!G5147+"$F;@!(~R"</f>
        <v>#VALUE!</v>
      </c>
      <c r="IF185" t="e">
        <f>'All regions'!H5147+"$F;@!(~S"</f>
        <v>#VALUE!</v>
      </c>
      <c r="IG185" t="e">
        <f>'All regions'!I5147+"$F;@!(~T"</f>
        <v>#VALUE!</v>
      </c>
      <c r="IH185" t="e">
        <f>'All regions'!A5148+"$F;@!(~U"</f>
        <v>#VALUE!</v>
      </c>
      <c r="II185" t="e">
        <f>'All regions'!B5148+"$F;@!(~V"</f>
        <v>#VALUE!</v>
      </c>
      <c r="IJ185" t="e">
        <f>'All regions'!C5148+"$F;@!(~W"</f>
        <v>#VALUE!</v>
      </c>
      <c r="IK185" t="e">
        <f>'All regions'!D5148+"$F;@!(~X"</f>
        <v>#VALUE!</v>
      </c>
      <c r="IL185" t="e">
        <f>'All regions'!E5148+"$F;@!(~Y"</f>
        <v>#VALUE!</v>
      </c>
      <c r="IM185" t="e">
        <f>'All regions'!F5148+"$F;@!(~Z"</f>
        <v>#VALUE!</v>
      </c>
      <c r="IN185" t="e">
        <f>'All regions'!G5148+"$F;@!(~["</f>
        <v>#VALUE!</v>
      </c>
      <c r="IO185" t="e">
        <f>'All regions'!H5148+"$F;@!(~\"</f>
        <v>#VALUE!</v>
      </c>
      <c r="IP185" t="e">
        <f>'All regions'!I5148+"$F;@!(~]"</f>
        <v>#VALUE!</v>
      </c>
      <c r="IQ185" t="e">
        <f>'All regions'!A5149+"$F;@!(~^"</f>
        <v>#VALUE!</v>
      </c>
      <c r="IR185" t="e">
        <f>'All regions'!B5149+"$F;@!(~_"</f>
        <v>#VALUE!</v>
      </c>
      <c r="IS185" t="e">
        <f>'All regions'!C5149+"$F;@!(~`"</f>
        <v>#VALUE!</v>
      </c>
      <c r="IT185" t="e">
        <f>'All regions'!D5149+"$F;@!(~a"</f>
        <v>#VALUE!</v>
      </c>
      <c r="IU185" t="e">
        <f>'All regions'!E5149+"$F;@!(~b"</f>
        <v>#VALUE!</v>
      </c>
      <c r="IV185" t="e">
        <f>'All regions'!F5149+"$F;@!(~c"</f>
        <v>#VALUE!</v>
      </c>
    </row>
    <row r="186" spans="6:256" x14ac:dyDescent="0.35">
      <c r="F186" t="e">
        <f>'All regions'!G5149+"$F;@!(~d"</f>
        <v>#VALUE!</v>
      </c>
      <c r="G186" t="e">
        <f>'All regions'!H5149+"$F;@!(~e"</f>
        <v>#VALUE!</v>
      </c>
      <c r="H186" t="e">
        <f>'All regions'!I5149+"$F;@!(~f"</f>
        <v>#VALUE!</v>
      </c>
      <c r="I186" t="e">
        <f>'All regions'!A5150+"$F;@!(~g"</f>
        <v>#VALUE!</v>
      </c>
      <c r="J186" t="e">
        <f>'All regions'!B5150+"$F;@!(~h"</f>
        <v>#VALUE!</v>
      </c>
      <c r="K186" t="e">
        <f>'All regions'!C5150+"$F;@!(~i"</f>
        <v>#VALUE!</v>
      </c>
      <c r="L186" t="e">
        <f>'All regions'!D5150+"$F;@!(~j"</f>
        <v>#VALUE!</v>
      </c>
      <c r="M186" t="e">
        <f>'All regions'!E5150+"$F;@!(~k"</f>
        <v>#VALUE!</v>
      </c>
      <c r="N186" t="e">
        <f>'All regions'!F5150+"$F;@!(~l"</f>
        <v>#VALUE!</v>
      </c>
      <c r="O186" t="e">
        <f>'All regions'!G5150+"$F;@!(~m"</f>
        <v>#VALUE!</v>
      </c>
      <c r="P186" t="e">
        <f>'All regions'!H5150+"$F;@!(~n"</f>
        <v>#VALUE!</v>
      </c>
      <c r="Q186" t="e">
        <f>'All regions'!I5150+"$F;@!(~o"</f>
        <v>#VALUE!</v>
      </c>
      <c r="R186" t="e">
        <f>'All regions'!A5151+"$F;@!(~p"</f>
        <v>#VALUE!</v>
      </c>
      <c r="S186" t="e">
        <f>'All regions'!B5151+"$F;@!(~q"</f>
        <v>#VALUE!</v>
      </c>
      <c r="T186" t="e">
        <f>'All regions'!C5151+"$F;@!(~r"</f>
        <v>#VALUE!</v>
      </c>
      <c r="U186" t="e">
        <f>'All regions'!D5151+"$F;@!(~s"</f>
        <v>#VALUE!</v>
      </c>
      <c r="V186" t="e">
        <f>'All regions'!E5151+"$F;@!(~t"</f>
        <v>#VALUE!</v>
      </c>
      <c r="W186" t="e">
        <f>'All regions'!F5151+"$F;@!(~u"</f>
        <v>#VALUE!</v>
      </c>
      <c r="X186" t="e">
        <f>'All regions'!G5151+"$F;@!(~v"</f>
        <v>#VALUE!</v>
      </c>
      <c r="Y186" t="e">
        <f>'All regions'!H5151+"$F;@!(~w"</f>
        <v>#VALUE!</v>
      </c>
      <c r="Z186" t="e">
        <f>'All regions'!I5151+"$F;@!(~x"</f>
        <v>#VALUE!</v>
      </c>
      <c r="AA186" t="e">
        <f>'All regions'!A5152+"$F;@!(~y"</f>
        <v>#VALUE!</v>
      </c>
      <c r="AB186" t="e">
        <f>'All regions'!B5152+"$F;@!(~z"</f>
        <v>#VALUE!</v>
      </c>
      <c r="AC186" t="e">
        <f>'All regions'!C5152+"$F;@!(~{"</f>
        <v>#VALUE!</v>
      </c>
      <c r="AD186" t="e">
        <f>'All regions'!D5152+"$F;@!(~|"</f>
        <v>#VALUE!</v>
      </c>
      <c r="AE186" t="e">
        <f>'All regions'!E5152+"$F;@!(~}"</f>
        <v>#VALUE!</v>
      </c>
      <c r="AF186" t="e">
        <f>'All regions'!F5152+"$F;@!(~~"</f>
        <v>#VALUE!</v>
      </c>
      <c r="AG186" t="e">
        <f>'All regions'!G5152+"$F;@!)##"</f>
        <v>#VALUE!</v>
      </c>
      <c r="AH186" t="e">
        <f>'All regions'!H5152+"$F;@!)#$"</f>
        <v>#VALUE!</v>
      </c>
      <c r="AI186" t="e">
        <f>'All regions'!I5152+"$F;@!)#%"</f>
        <v>#VALUE!</v>
      </c>
      <c r="AJ186" t="e">
        <f>'All regions'!A5153+"$F;@!)#&amp;"</f>
        <v>#VALUE!</v>
      </c>
      <c r="AK186" t="e">
        <f>'All regions'!B5153+"$F;@!)#'"</f>
        <v>#VALUE!</v>
      </c>
      <c r="AL186" t="e">
        <f>'All regions'!C5153+"$F;@!)#("</f>
        <v>#VALUE!</v>
      </c>
      <c r="AM186" t="e">
        <f>'All regions'!D5153+"$F;@!)#)"</f>
        <v>#VALUE!</v>
      </c>
      <c r="AN186" t="e">
        <f>'All regions'!E5153+"$F;@!)#."</f>
        <v>#VALUE!</v>
      </c>
      <c r="AO186" t="e">
        <f>'All regions'!F5153+"$F;@!)#/"</f>
        <v>#VALUE!</v>
      </c>
      <c r="AP186" t="e">
        <f>'All regions'!G5153+"$F;@!)#0"</f>
        <v>#VALUE!</v>
      </c>
      <c r="AQ186" t="e">
        <f>'All regions'!H5153+"$F;@!)#1"</f>
        <v>#VALUE!</v>
      </c>
      <c r="AR186" t="e">
        <f>'All regions'!I5153+"$F;@!)#2"</f>
        <v>#VALUE!</v>
      </c>
      <c r="AS186" t="e">
        <f>'All regions'!A5154+"$F;@!)#3"</f>
        <v>#VALUE!</v>
      </c>
      <c r="AT186" t="e">
        <f>'All regions'!B5154+"$F;@!)#4"</f>
        <v>#VALUE!</v>
      </c>
      <c r="AU186" t="e">
        <f>'All regions'!C5154+"$F;@!)#5"</f>
        <v>#VALUE!</v>
      </c>
      <c r="AV186" t="e">
        <f>'All regions'!D5154+"$F;@!)#6"</f>
        <v>#VALUE!</v>
      </c>
      <c r="AW186" t="e">
        <f>'All regions'!E5154+"$F;@!)#7"</f>
        <v>#VALUE!</v>
      </c>
      <c r="AX186" t="e">
        <f>'All regions'!F5154+"$F;@!)#8"</f>
        <v>#VALUE!</v>
      </c>
      <c r="AY186" t="e">
        <f>'All regions'!G5154+"$F;@!)#9"</f>
        <v>#VALUE!</v>
      </c>
      <c r="AZ186" t="e">
        <f>'All regions'!H5154+"$F;@!)#:"</f>
        <v>#VALUE!</v>
      </c>
      <c r="BA186" t="e">
        <f>'All regions'!I5154+"$F;@!)#;"</f>
        <v>#VALUE!</v>
      </c>
      <c r="BB186" t="e">
        <f>'All regions'!A5155+"$F;@!)#&lt;"</f>
        <v>#VALUE!</v>
      </c>
      <c r="BC186" t="e">
        <f>'All regions'!B5155+"$F;@!)#="</f>
        <v>#VALUE!</v>
      </c>
      <c r="BD186" t="e">
        <f>'All regions'!C5155+"$F;@!)#&gt;"</f>
        <v>#VALUE!</v>
      </c>
      <c r="BE186" t="e">
        <f>'All regions'!D5155+"$F;@!)#?"</f>
        <v>#VALUE!</v>
      </c>
      <c r="BF186" t="e">
        <f>'All regions'!E5155+"$F;@!)#@"</f>
        <v>#VALUE!</v>
      </c>
      <c r="BG186" t="e">
        <f>'All regions'!F5155+"$F;@!)#A"</f>
        <v>#VALUE!</v>
      </c>
      <c r="BH186" t="e">
        <f>'All regions'!G5155+"$F;@!)#B"</f>
        <v>#VALUE!</v>
      </c>
      <c r="BI186" t="e">
        <f>'All regions'!H5155+"$F;@!)#C"</f>
        <v>#VALUE!</v>
      </c>
      <c r="BJ186" t="e">
        <f>'All regions'!I5155+"$F;@!)#D"</f>
        <v>#VALUE!</v>
      </c>
      <c r="BK186" t="e">
        <f>'All regions'!A5156+"$F;@!)#E"</f>
        <v>#VALUE!</v>
      </c>
      <c r="BL186" t="e">
        <f>'All regions'!B5156+"$F;@!)#F"</f>
        <v>#VALUE!</v>
      </c>
      <c r="BM186" t="e">
        <f>'All regions'!C5156+"$F;@!)#G"</f>
        <v>#VALUE!</v>
      </c>
      <c r="BN186" t="e">
        <f>'All regions'!D5156+"$F;@!)#H"</f>
        <v>#VALUE!</v>
      </c>
      <c r="BO186" t="e">
        <f>'All regions'!E5156+"$F;@!)#I"</f>
        <v>#VALUE!</v>
      </c>
      <c r="BP186" t="e">
        <f>'All regions'!F5156+"$F;@!)#J"</f>
        <v>#VALUE!</v>
      </c>
      <c r="BQ186" t="e">
        <f>'All regions'!G5156+"$F;@!)#K"</f>
        <v>#VALUE!</v>
      </c>
      <c r="BR186" t="e">
        <f>'All regions'!H5156+"$F;@!)#L"</f>
        <v>#VALUE!</v>
      </c>
      <c r="BS186" t="e">
        <f>'All regions'!I5156+"$F;@!)#M"</f>
        <v>#VALUE!</v>
      </c>
      <c r="BT186" t="e">
        <f>'All regions'!A5157+"$F;@!)#N"</f>
        <v>#VALUE!</v>
      </c>
      <c r="BU186" t="e">
        <f>'All regions'!B5157+"$F;@!)#O"</f>
        <v>#VALUE!</v>
      </c>
      <c r="BV186" t="e">
        <f>'All regions'!C5157+"$F;@!)#P"</f>
        <v>#VALUE!</v>
      </c>
      <c r="BW186" t="e">
        <f>'All regions'!D5157+"$F;@!)#Q"</f>
        <v>#VALUE!</v>
      </c>
      <c r="BX186" t="e">
        <f>'All regions'!E5157+"$F;@!)#R"</f>
        <v>#VALUE!</v>
      </c>
      <c r="BY186" t="e">
        <f>'All regions'!F5157+"$F;@!)#S"</f>
        <v>#VALUE!</v>
      </c>
      <c r="BZ186" t="e">
        <f>'All regions'!G5157+"$F;@!)#T"</f>
        <v>#VALUE!</v>
      </c>
      <c r="CA186" t="e">
        <f>'All regions'!H5157+"$F;@!)#U"</f>
        <v>#VALUE!</v>
      </c>
      <c r="CB186" t="e">
        <f>'All regions'!I5157+"$F;@!)#V"</f>
        <v>#VALUE!</v>
      </c>
      <c r="CC186" t="e">
        <f>'All regions'!A5158+"$F;@!)#W"</f>
        <v>#VALUE!</v>
      </c>
      <c r="CD186" t="e">
        <f>'All regions'!B5158+"$F;@!)#X"</f>
        <v>#VALUE!</v>
      </c>
      <c r="CE186" t="e">
        <f>'All regions'!C5158+"$F;@!)#Y"</f>
        <v>#VALUE!</v>
      </c>
      <c r="CF186" t="e">
        <f>'All regions'!D5158+"$F;@!)#Z"</f>
        <v>#VALUE!</v>
      </c>
      <c r="CG186" t="e">
        <f>'All regions'!E5158+"$F;@!)#["</f>
        <v>#VALUE!</v>
      </c>
      <c r="CH186" t="e">
        <f>'All regions'!F5158+"$F;@!)#\"</f>
        <v>#VALUE!</v>
      </c>
      <c r="CI186" t="e">
        <f>'All regions'!G5158+"$F;@!)#]"</f>
        <v>#VALUE!</v>
      </c>
      <c r="CJ186" t="e">
        <f>'All regions'!H5158+"$F;@!)#^"</f>
        <v>#VALUE!</v>
      </c>
      <c r="CK186" t="e">
        <f>'All regions'!I5158+"$F;@!)#_"</f>
        <v>#VALUE!</v>
      </c>
      <c r="CL186" t="e">
        <f>'All regions'!A5159+"$F;@!)#`"</f>
        <v>#VALUE!</v>
      </c>
      <c r="CM186" t="e">
        <f>'All regions'!B5159+"$F;@!)#a"</f>
        <v>#VALUE!</v>
      </c>
      <c r="CN186" t="e">
        <f>'All regions'!C5159+"$F;@!)#b"</f>
        <v>#VALUE!</v>
      </c>
      <c r="CO186" t="e">
        <f>'All regions'!D5159+"$F;@!)#c"</f>
        <v>#VALUE!</v>
      </c>
      <c r="CP186" t="e">
        <f>'All regions'!E5159+"$F;@!)#d"</f>
        <v>#VALUE!</v>
      </c>
      <c r="CQ186" t="e">
        <f>'All regions'!F5159+"$F;@!)#e"</f>
        <v>#VALUE!</v>
      </c>
      <c r="CR186" t="e">
        <f>'All regions'!G5159+"$F;@!)#f"</f>
        <v>#VALUE!</v>
      </c>
      <c r="CS186" t="e">
        <f>'All regions'!H5159+"$F;@!)#g"</f>
        <v>#VALUE!</v>
      </c>
      <c r="CT186" t="e">
        <f>'All regions'!I5159+"$F;@!)#h"</f>
        <v>#VALUE!</v>
      </c>
      <c r="CU186" t="e">
        <f>'All regions'!A5160+"$F;@!)#i"</f>
        <v>#VALUE!</v>
      </c>
      <c r="CV186" t="e">
        <f>'All regions'!B5160+"$F;@!)#j"</f>
        <v>#VALUE!</v>
      </c>
      <c r="CW186" t="e">
        <f>'All regions'!C5160+"$F;@!)#k"</f>
        <v>#VALUE!</v>
      </c>
      <c r="CX186" t="e">
        <f>'All regions'!D5160+"$F;@!)#l"</f>
        <v>#VALUE!</v>
      </c>
      <c r="CY186" t="e">
        <f>'All regions'!E5160+"$F;@!)#m"</f>
        <v>#VALUE!</v>
      </c>
      <c r="CZ186" t="e">
        <f>'All regions'!F5160+"$F;@!)#n"</f>
        <v>#VALUE!</v>
      </c>
      <c r="DA186" t="e">
        <f>'All regions'!G5160+"$F;@!)#o"</f>
        <v>#VALUE!</v>
      </c>
      <c r="DB186" t="e">
        <f>'All regions'!H5160+"$F;@!)#p"</f>
        <v>#VALUE!</v>
      </c>
      <c r="DC186" t="e">
        <f>'All regions'!I5160+"$F;@!)#q"</f>
        <v>#VALUE!</v>
      </c>
      <c r="DD186" t="e">
        <f>'All regions'!A5161+"$F;@!)#r"</f>
        <v>#VALUE!</v>
      </c>
      <c r="DE186" t="e">
        <f>'All regions'!B5161+"$F;@!)#s"</f>
        <v>#VALUE!</v>
      </c>
      <c r="DF186" t="e">
        <f>'All regions'!C5161+"$F;@!)#t"</f>
        <v>#VALUE!</v>
      </c>
      <c r="DG186" t="e">
        <f>'All regions'!D5161+"$F;@!)#u"</f>
        <v>#VALUE!</v>
      </c>
      <c r="DH186" t="e">
        <f>'All regions'!E5161+"$F;@!)#v"</f>
        <v>#VALUE!</v>
      </c>
      <c r="DI186" t="e">
        <f>'All regions'!F5161+"$F;@!)#w"</f>
        <v>#VALUE!</v>
      </c>
      <c r="DJ186" t="e">
        <f>'All regions'!G5161+"$F;@!)#x"</f>
        <v>#VALUE!</v>
      </c>
      <c r="DK186" t="e">
        <f>'All regions'!H5161+"$F;@!)#y"</f>
        <v>#VALUE!</v>
      </c>
      <c r="DL186" t="e">
        <f>'All regions'!I5161+"$F;@!)#z"</f>
        <v>#VALUE!</v>
      </c>
      <c r="DM186" t="e">
        <f>'All regions'!A5162+"$F;@!)#{"</f>
        <v>#VALUE!</v>
      </c>
      <c r="DN186" t="e">
        <f>'All regions'!B5162+"$F;@!)#|"</f>
        <v>#VALUE!</v>
      </c>
      <c r="DO186" t="e">
        <f>'All regions'!C5162+"$F;@!)#}"</f>
        <v>#VALUE!</v>
      </c>
      <c r="DP186" t="e">
        <f>'All regions'!D5162+"$F;@!)#~"</f>
        <v>#VALUE!</v>
      </c>
      <c r="DQ186" t="e">
        <f>'All regions'!E5162+"$F;@!)$#"</f>
        <v>#VALUE!</v>
      </c>
      <c r="DR186" t="e">
        <f>'All regions'!F5162+"$F;@!)$$"</f>
        <v>#VALUE!</v>
      </c>
      <c r="DS186" t="e">
        <f>'All regions'!G5162+"$F;@!)$%"</f>
        <v>#VALUE!</v>
      </c>
      <c r="DT186" t="e">
        <f>'All regions'!H5162+"$F;@!)$&amp;"</f>
        <v>#VALUE!</v>
      </c>
      <c r="DU186" t="e">
        <f>'All regions'!I5162+"$F;@!)$'"</f>
        <v>#VALUE!</v>
      </c>
      <c r="DV186" t="e">
        <f>'All regions'!A5163+"$F;@!)$("</f>
        <v>#VALUE!</v>
      </c>
      <c r="DW186" t="e">
        <f>'All regions'!B5163+"$F;@!)$)"</f>
        <v>#VALUE!</v>
      </c>
      <c r="DX186" t="e">
        <f>'All regions'!C5163+"$F;@!)$."</f>
        <v>#VALUE!</v>
      </c>
      <c r="DY186" t="e">
        <f>'All regions'!D5163+"$F;@!)$/"</f>
        <v>#VALUE!</v>
      </c>
      <c r="DZ186" t="e">
        <f>'All regions'!E5163+"$F;@!)$0"</f>
        <v>#VALUE!</v>
      </c>
      <c r="EA186" t="e">
        <f>'All regions'!F5163+"$F;@!)$1"</f>
        <v>#VALUE!</v>
      </c>
      <c r="EB186" t="e">
        <f>'All regions'!G5163+"$F;@!)$2"</f>
        <v>#VALUE!</v>
      </c>
      <c r="EC186" t="e">
        <f>'All regions'!H5163+"$F;@!)$3"</f>
        <v>#VALUE!</v>
      </c>
      <c r="ED186" t="e">
        <f>'All regions'!I5163+"$F;@!)$4"</f>
        <v>#VALUE!</v>
      </c>
      <c r="EE186" t="e">
        <f>'All regions'!A5164+"$F;@!)$5"</f>
        <v>#VALUE!</v>
      </c>
      <c r="EF186" t="e">
        <f>'All regions'!B5164+"$F;@!)$6"</f>
        <v>#VALUE!</v>
      </c>
      <c r="EG186" t="e">
        <f>'All regions'!C5164+"$F;@!)$7"</f>
        <v>#VALUE!</v>
      </c>
      <c r="EH186" t="e">
        <f>'All regions'!D5164+"$F;@!)$8"</f>
        <v>#VALUE!</v>
      </c>
      <c r="EI186" t="e">
        <f>'All regions'!E5164+"$F;@!)$9"</f>
        <v>#VALUE!</v>
      </c>
      <c r="EJ186" t="e">
        <f>'All regions'!F5164+"$F;@!)$:"</f>
        <v>#VALUE!</v>
      </c>
      <c r="EK186" t="e">
        <f>'All regions'!G5164+"$F;@!)$;"</f>
        <v>#VALUE!</v>
      </c>
      <c r="EL186" t="e">
        <f>'All regions'!H5164+"$F;@!)$&lt;"</f>
        <v>#VALUE!</v>
      </c>
      <c r="EM186" t="e">
        <f>'All regions'!I5164+"$F;@!)$="</f>
        <v>#VALUE!</v>
      </c>
      <c r="EN186" t="e">
        <f>'All regions'!A5165+"$F;@!)$&gt;"</f>
        <v>#VALUE!</v>
      </c>
      <c r="EO186" t="e">
        <f>'All regions'!B5165+"$F;@!)$?"</f>
        <v>#VALUE!</v>
      </c>
      <c r="EP186" t="e">
        <f>'All regions'!C5165+"$F;@!)$@"</f>
        <v>#VALUE!</v>
      </c>
      <c r="EQ186" t="e">
        <f>'All regions'!D5165+"$F;@!)$A"</f>
        <v>#VALUE!</v>
      </c>
      <c r="ER186" t="e">
        <f>'All regions'!E5165+"$F;@!)$B"</f>
        <v>#VALUE!</v>
      </c>
      <c r="ES186" t="e">
        <f>'All regions'!F5165+"$F;@!)$C"</f>
        <v>#VALUE!</v>
      </c>
      <c r="ET186" t="e">
        <f>'All regions'!G5165+"$F;@!)$D"</f>
        <v>#VALUE!</v>
      </c>
      <c r="EU186" t="e">
        <f>'All regions'!H5165+"$F;@!)$E"</f>
        <v>#VALUE!</v>
      </c>
      <c r="EV186" t="e">
        <f>'All regions'!I5165+"$F;@!)$F"</f>
        <v>#VALUE!</v>
      </c>
      <c r="EW186" t="e">
        <f>'All regions'!A5166+"$F;@!)$G"</f>
        <v>#VALUE!</v>
      </c>
      <c r="EX186" t="e">
        <f>'All regions'!B5166+"$F;@!)$H"</f>
        <v>#VALUE!</v>
      </c>
      <c r="EY186" t="e">
        <f>'All regions'!C5166+"$F;@!)$I"</f>
        <v>#VALUE!</v>
      </c>
      <c r="EZ186" t="e">
        <f>'All regions'!D5166+"$F;@!)$J"</f>
        <v>#VALUE!</v>
      </c>
      <c r="FA186" t="e">
        <f>'All regions'!E5166+"$F;@!)$K"</f>
        <v>#VALUE!</v>
      </c>
      <c r="FB186" t="e">
        <f>'All regions'!F5166+"$F;@!)$L"</f>
        <v>#VALUE!</v>
      </c>
      <c r="FC186" t="e">
        <f>'All regions'!G5166+"$F;@!)$M"</f>
        <v>#VALUE!</v>
      </c>
      <c r="FD186" t="e">
        <f>'All regions'!H5166+"$F;@!)$N"</f>
        <v>#VALUE!</v>
      </c>
      <c r="FE186" t="e">
        <f>'All regions'!I5166+"$F;@!)$O"</f>
        <v>#VALUE!</v>
      </c>
      <c r="FF186" t="e">
        <f>'All regions'!A5167+"$F;@!)$P"</f>
        <v>#VALUE!</v>
      </c>
      <c r="FG186" t="e">
        <f>'All regions'!B5167+"$F;@!)$Q"</f>
        <v>#VALUE!</v>
      </c>
      <c r="FH186" t="e">
        <f>'All regions'!C5167+"$F;@!)$R"</f>
        <v>#VALUE!</v>
      </c>
      <c r="FI186" t="e">
        <f>'All regions'!D5167+"$F;@!)$S"</f>
        <v>#VALUE!</v>
      </c>
      <c r="FJ186" t="e">
        <f>'All regions'!E5167+"$F;@!)$T"</f>
        <v>#VALUE!</v>
      </c>
      <c r="FK186" t="e">
        <f>'All regions'!F5167+"$F;@!)$U"</f>
        <v>#VALUE!</v>
      </c>
      <c r="FL186" t="e">
        <f>'All regions'!G5167+"$F;@!)$V"</f>
        <v>#VALUE!</v>
      </c>
      <c r="FM186" t="e">
        <f>'All regions'!H5167+"$F;@!)$W"</f>
        <v>#VALUE!</v>
      </c>
      <c r="FN186" t="e">
        <f>'All regions'!I5167+"$F;@!)$X"</f>
        <v>#VALUE!</v>
      </c>
      <c r="FO186" t="e">
        <f>'All regions'!A5168+"$F;@!)$Y"</f>
        <v>#VALUE!</v>
      </c>
      <c r="FP186" t="e">
        <f>'All regions'!B5168+"$F;@!)$Z"</f>
        <v>#VALUE!</v>
      </c>
      <c r="FQ186" t="e">
        <f>'All regions'!C5168+"$F;@!)$["</f>
        <v>#VALUE!</v>
      </c>
      <c r="FR186" t="e">
        <f>'All regions'!D5168+"$F;@!)$\"</f>
        <v>#VALUE!</v>
      </c>
      <c r="FS186" t="e">
        <f>'All regions'!E5168+"$F;@!)$]"</f>
        <v>#VALUE!</v>
      </c>
      <c r="FT186" t="e">
        <f>'All regions'!F5168+"$F;@!)$^"</f>
        <v>#VALUE!</v>
      </c>
      <c r="FU186" t="e">
        <f>'All regions'!G5168+"$F;@!)$_"</f>
        <v>#VALUE!</v>
      </c>
      <c r="FV186" t="e">
        <f>'All regions'!H5168+"$F;@!)$`"</f>
        <v>#VALUE!</v>
      </c>
      <c r="FW186" t="e">
        <f>'All regions'!I5168+"$F;@!)$a"</f>
        <v>#VALUE!</v>
      </c>
      <c r="FX186" t="e">
        <f>'All regions'!A5169+"$F;@!)$b"</f>
        <v>#VALUE!</v>
      </c>
      <c r="FY186" t="e">
        <f>'All regions'!B5169+"$F;@!)$c"</f>
        <v>#VALUE!</v>
      </c>
      <c r="FZ186" t="e">
        <f>'All regions'!C5169+"$F;@!)$d"</f>
        <v>#VALUE!</v>
      </c>
      <c r="GA186" t="e">
        <f>'All regions'!D5169+"$F;@!)$e"</f>
        <v>#VALUE!</v>
      </c>
      <c r="GB186" t="e">
        <f>'All regions'!E5169+"$F;@!)$f"</f>
        <v>#VALUE!</v>
      </c>
      <c r="GC186" t="e">
        <f>'All regions'!F5169+"$F;@!)$g"</f>
        <v>#VALUE!</v>
      </c>
      <c r="GD186" t="e">
        <f>'All regions'!G5169+"$F;@!)$h"</f>
        <v>#VALUE!</v>
      </c>
      <c r="GE186" t="e">
        <f>'All regions'!H5169+"$F;@!)$i"</f>
        <v>#VALUE!</v>
      </c>
      <c r="GF186" t="e">
        <f>'All regions'!I5169+"$F;@!)$j"</f>
        <v>#VALUE!</v>
      </c>
      <c r="GG186" t="e">
        <f>'All regions'!A5170+"$F;@!)$k"</f>
        <v>#VALUE!</v>
      </c>
      <c r="GH186" t="e">
        <f>'All regions'!B5170+"$F;@!)$l"</f>
        <v>#VALUE!</v>
      </c>
      <c r="GI186" t="e">
        <f>'All regions'!C5170+"$F;@!)$m"</f>
        <v>#VALUE!</v>
      </c>
      <c r="GJ186" t="e">
        <f>'All regions'!D5170+"$F;@!)$n"</f>
        <v>#VALUE!</v>
      </c>
      <c r="GK186" t="e">
        <f>'All regions'!E5170+"$F;@!)$o"</f>
        <v>#VALUE!</v>
      </c>
      <c r="GL186" t="e">
        <f>'All regions'!F5170+"$F;@!)$p"</f>
        <v>#VALUE!</v>
      </c>
      <c r="GM186" t="e">
        <f>'All regions'!G5170+"$F;@!)$q"</f>
        <v>#VALUE!</v>
      </c>
      <c r="GN186" t="e">
        <f>'All regions'!H5170+"$F;@!)$r"</f>
        <v>#VALUE!</v>
      </c>
      <c r="GO186" t="e">
        <f>'All regions'!I5170+"$F;@!)$s"</f>
        <v>#VALUE!</v>
      </c>
      <c r="GP186" t="e">
        <f>'All regions'!A5171+"$F;@!)$t"</f>
        <v>#VALUE!</v>
      </c>
      <c r="GQ186" t="e">
        <f>'All regions'!B5171+"$F;@!)$u"</f>
        <v>#VALUE!</v>
      </c>
      <c r="GR186" t="e">
        <f>'All regions'!C5171+"$F;@!)$v"</f>
        <v>#VALUE!</v>
      </c>
      <c r="GS186" t="e">
        <f>'All regions'!D5171+"$F;@!)$w"</f>
        <v>#VALUE!</v>
      </c>
      <c r="GT186" t="e">
        <f>'All regions'!E5171+"$F;@!)$x"</f>
        <v>#VALUE!</v>
      </c>
      <c r="GU186" t="e">
        <f>'All regions'!F5171+"$F;@!)$y"</f>
        <v>#VALUE!</v>
      </c>
      <c r="GV186" t="e">
        <f>'All regions'!G5171+"$F;@!)$z"</f>
        <v>#VALUE!</v>
      </c>
      <c r="GW186" t="e">
        <f>'All regions'!H5171+"$F;@!)${"</f>
        <v>#VALUE!</v>
      </c>
      <c r="GX186" t="e">
        <f>'All regions'!I5171+"$F;@!)$|"</f>
        <v>#VALUE!</v>
      </c>
      <c r="GY186" t="e">
        <f>'All regions'!A5172+"$F;@!)$}"</f>
        <v>#VALUE!</v>
      </c>
      <c r="GZ186" t="e">
        <f>'All regions'!B5172+"$F;@!)$~"</f>
        <v>#VALUE!</v>
      </c>
      <c r="HA186" t="e">
        <f>'All regions'!C5172+"$F;@!)%#"</f>
        <v>#VALUE!</v>
      </c>
      <c r="HB186" t="e">
        <f>'All regions'!D5172+"$F;@!)%$"</f>
        <v>#VALUE!</v>
      </c>
      <c r="HC186" t="e">
        <f>'All regions'!E5172+"$F;@!)%%"</f>
        <v>#VALUE!</v>
      </c>
      <c r="HD186" t="e">
        <f>'All regions'!F5172+"$F;@!)%&amp;"</f>
        <v>#VALUE!</v>
      </c>
      <c r="HE186" t="e">
        <f>'All regions'!G5172+"$F;@!)%'"</f>
        <v>#VALUE!</v>
      </c>
      <c r="HF186" t="e">
        <f>'All regions'!H5172+"$F;@!)%("</f>
        <v>#VALUE!</v>
      </c>
      <c r="HG186" t="e">
        <f>'All regions'!I5172+"$F;@!)%)"</f>
        <v>#VALUE!</v>
      </c>
      <c r="HH186" t="e">
        <f>'All regions'!A5173+"$F;@!)%."</f>
        <v>#VALUE!</v>
      </c>
      <c r="HI186" t="e">
        <f>'All regions'!B5173+"$F;@!)%/"</f>
        <v>#VALUE!</v>
      </c>
      <c r="HJ186" t="e">
        <f>'All regions'!C5173+"$F;@!)%0"</f>
        <v>#VALUE!</v>
      </c>
      <c r="HK186" t="e">
        <f>'All regions'!D5173+"$F;@!)%1"</f>
        <v>#VALUE!</v>
      </c>
      <c r="HL186" t="e">
        <f>'All regions'!E5173+"$F;@!)%2"</f>
        <v>#VALUE!</v>
      </c>
      <c r="HM186" t="e">
        <f>'All regions'!F5173+"$F;@!)%3"</f>
        <v>#VALUE!</v>
      </c>
      <c r="HN186" t="e">
        <f>'All regions'!G5173+"$F;@!)%4"</f>
        <v>#VALUE!</v>
      </c>
      <c r="HO186" t="e">
        <f>'All regions'!H5173+"$F;@!)%5"</f>
        <v>#VALUE!</v>
      </c>
      <c r="HP186" t="e">
        <f>'All regions'!I5173+"$F;@!)%6"</f>
        <v>#VALUE!</v>
      </c>
      <c r="HQ186" t="e">
        <f>'All regions'!A5174+"$F;@!)%7"</f>
        <v>#VALUE!</v>
      </c>
      <c r="HR186" t="e">
        <f>'All regions'!B5174+"$F;@!)%8"</f>
        <v>#VALUE!</v>
      </c>
      <c r="HS186" t="e">
        <f>'All regions'!C5174+"$F;@!)%9"</f>
        <v>#VALUE!</v>
      </c>
      <c r="HT186" t="e">
        <f>'All regions'!D5174+"$F;@!)%:"</f>
        <v>#VALUE!</v>
      </c>
      <c r="HU186" t="e">
        <f>'All regions'!E5174+"$F;@!)%;"</f>
        <v>#VALUE!</v>
      </c>
      <c r="HV186" t="e">
        <f>'All regions'!F5174+"$F;@!)%&lt;"</f>
        <v>#VALUE!</v>
      </c>
      <c r="HW186" t="e">
        <f>'All regions'!G5174+"$F;@!)%="</f>
        <v>#VALUE!</v>
      </c>
      <c r="HX186" t="e">
        <f>'All regions'!H5174+"$F;@!)%&gt;"</f>
        <v>#VALUE!</v>
      </c>
      <c r="HY186" t="e">
        <f>'All regions'!I5174+"$F;@!)%?"</f>
        <v>#VALUE!</v>
      </c>
      <c r="HZ186" t="e">
        <f>'All regions'!A5175+"$F;@!)%@"</f>
        <v>#VALUE!</v>
      </c>
      <c r="IA186" t="e">
        <f>'All regions'!B5175+"$F;@!)%A"</f>
        <v>#VALUE!</v>
      </c>
      <c r="IB186" t="e">
        <f>'All regions'!C5175+"$F;@!)%B"</f>
        <v>#VALUE!</v>
      </c>
      <c r="IC186" t="e">
        <f>'All regions'!D5175+"$F;@!)%C"</f>
        <v>#VALUE!</v>
      </c>
      <c r="ID186" t="e">
        <f>'All regions'!E5175+"$F;@!)%D"</f>
        <v>#VALUE!</v>
      </c>
      <c r="IE186" t="e">
        <f>'All regions'!F5175+"$F;@!)%E"</f>
        <v>#VALUE!</v>
      </c>
      <c r="IF186" t="e">
        <f>'All regions'!G5175+"$F;@!)%F"</f>
        <v>#VALUE!</v>
      </c>
      <c r="IG186" t="e">
        <f>'All regions'!H5175+"$F;@!)%G"</f>
        <v>#VALUE!</v>
      </c>
      <c r="IH186" t="e">
        <f>'All regions'!I5175+"$F;@!)%H"</f>
        <v>#VALUE!</v>
      </c>
      <c r="II186" t="e">
        <f>'All regions'!A5176+"$F;@!)%I"</f>
        <v>#VALUE!</v>
      </c>
      <c r="IJ186" t="e">
        <f>'All regions'!B5176+"$F;@!)%J"</f>
        <v>#VALUE!</v>
      </c>
      <c r="IK186" t="e">
        <f>'All regions'!C5176+"$F;@!)%K"</f>
        <v>#VALUE!</v>
      </c>
      <c r="IL186" t="e">
        <f>'All regions'!D5176+"$F;@!)%L"</f>
        <v>#VALUE!</v>
      </c>
      <c r="IM186" t="e">
        <f>'All regions'!E5176+"$F;@!)%M"</f>
        <v>#VALUE!</v>
      </c>
      <c r="IN186" t="e">
        <f>'All regions'!F5176+"$F;@!)%N"</f>
        <v>#VALUE!</v>
      </c>
      <c r="IO186" t="e">
        <f>'All regions'!G5176+"$F;@!)%O"</f>
        <v>#VALUE!</v>
      </c>
      <c r="IP186" t="e">
        <f>'All regions'!H5176+"$F;@!)%P"</f>
        <v>#VALUE!</v>
      </c>
      <c r="IQ186" t="e">
        <f>'All regions'!I5176+"$F;@!)%Q"</f>
        <v>#VALUE!</v>
      </c>
      <c r="IR186" t="e">
        <f>'All regions'!A5177+"$F;@!)%R"</f>
        <v>#VALUE!</v>
      </c>
      <c r="IS186" t="e">
        <f>'All regions'!B5177+"$F;@!)%S"</f>
        <v>#VALUE!</v>
      </c>
      <c r="IT186" t="e">
        <f>'All regions'!C5177+"$F;@!)%T"</f>
        <v>#VALUE!</v>
      </c>
      <c r="IU186" t="e">
        <f>'All regions'!D5177+"$F;@!)%U"</f>
        <v>#VALUE!</v>
      </c>
      <c r="IV186" t="e">
        <f>'All regions'!E5177+"$F;@!)%V"</f>
        <v>#VALUE!</v>
      </c>
    </row>
    <row r="187" spans="6:256" x14ac:dyDescent="0.35">
      <c r="F187" t="e">
        <f>'All regions'!F5177+"$F;@!)%W"</f>
        <v>#VALUE!</v>
      </c>
      <c r="G187" t="e">
        <f>'All regions'!G5177+"$F;@!)%X"</f>
        <v>#VALUE!</v>
      </c>
      <c r="H187" t="e">
        <f>'All regions'!H5177+"$F;@!)%Y"</f>
        <v>#VALUE!</v>
      </c>
      <c r="I187" t="e">
        <f>'All regions'!I5177+"$F;@!)%Z"</f>
        <v>#VALUE!</v>
      </c>
      <c r="J187" t="e">
        <f>'All regions'!A5178+"$F;@!)%["</f>
        <v>#VALUE!</v>
      </c>
      <c r="K187" t="e">
        <f>'All regions'!B5178+"$F;@!)%\"</f>
        <v>#VALUE!</v>
      </c>
      <c r="L187" t="e">
        <f>'All regions'!C5178+"$F;@!)%]"</f>
        <v>#VALUE!</v>
      </c>
      <c r="M187" t="e">
        <f>'All regions'!D5178+"$F;@!)%^"</f>
        <v>#VALUE!</v>
      </c>
      <c r="N187" t="e">
        <f>'All regions'!E5178+"$F;@!)%_"</f>
        <v>#VALUE!</v>
      </c>
      <c r="O187" t="e">
        <f>'All regions'!F5178+"$F;@!)%`"</f>
        <v>#VALUE!</v>
      </c>
      <c r="P187" t="e">
        <f>'All regions'!G5178+"$F;@!)%a"</f>
        <v>#VALUE!</v>
      </c>
      <c r="Q187" t="e">
        <f>'All regions'!H5178+"$F;@!)%b"</f>
        <v>#VALUE!</v>
      </c>
      <c r="R187" t="e">
        <f>'All regions'!I5178+"$F;@!)%c"</f>
        <v>#VALUE!</v>
      </c>
      <c r="S187" t="e">
        <f>'All regions'!A5179+"$F;@!)%d"</f>
        <v>#VALUE!</v>
      </c>
      <c r="T187" t="e">
        <f>'All regions'!B5179+"$F;@!)%e"</f>
        <v>#VALUE!</v>
      </c>
      <c r="U187" t="e">
        <f>'All regions'!C5179+"$F;@!)%f"</f>
        <v>#VALUE!</v>
      </c>
      <c r="V187" t="e">
        <f>'All regions'!D5179+"$F;@!)%g"</f>
        <v>#VALUE!</v>
      </c>
      <c r="W187" t="e">
        <f>'All regions'!E5179+"$F;@!)%h"</f>
        <v>#VALUE!</v>
      </c>
      <c r="X187" t="e">
        <f>'All regions'!F5179+"$F;@!)%i"</f>
        <v>#VALUE!</v>
      </c>
      <c r="Y187" t="e">
        <f>'All regions'!G5179+"$F;@!)%j"</f>
        <v>#VALUE!</v>
      </c>
      <c r="Z187" t="e">
        <f>'All regions'!H5179+"$F;@!)%k"</f>
        <v>#VALUE!</v>
      </c>
      <c r="AA187" t="e">
        <f>'All regions'!I5179+"$F;@!)%l"</f>
        <v>#VALUE!</v>
      </c>
      <c r="AB187" t="e">
        <f>'All regions'!A5180+"$F;@!)%m"</f>
        <v>#VALUE!</v>
      </c>
      <c r="AC187" t="e">
        <f>'All regions'!B5180+"$F;@!)%n"</f>
        <v>#VALUE!</v>
      </c>
      <c r="AD187" t="e">
        <f>'All regions'!C5180+"$F;@!)%o"</f>
        <v>#VALUE!</v>
      </c>
      <c r="AE187" t="e">
        <f>'All regions'!D5180+"$F;@!)%p"</f>
        <v>#VALUE!</v>
      </c>
      <c r="AF187" t="e">
        <f>'All regions'!E5180+"$F;@!)%q"</f>
        <v>#VALUE!</v>
      </c>
      <c r="AG187" t="e">
        <f>'All regions'!F5180+"$F;@!)%r"</f>
        <v>#VALUE!</v>
      </c>
      <c r="AH187" t="e">
        <f>'All regions'!G5180+"$F;@!)%s"</f>
        <v>#VALUE!</v>
      </c>
      <c r="AI187" t="e">
        <f>'All regions'!H5180+"$F;@!)%t"</f>
        <v>#VALUE!</v>
      </c>
      <c r="AJ187" t="e">
        <f>'All regions'!I5180+"$F;@!)%u"</f>
        <v>#VALUE!</v>
      </c>
      <c r="AK187" t="e">
        <f>'All regions'!A5181+"$F;@!)%v"</f>
        <v>#VALUE!</v>
      </c>
      <c r="AL187" t="e">
        <f>'All regions'!B5181+"$F;@!)%w"</f>
        <v>#VALUE!</v>
      </c>
      <c r="AM187" t="e">
        <f>'All regions'!C5181+"$F;@!)%x"</f>
        <v>#VALUE!</v>
      </c>
      <c r="AN187" t="e">
        <f>'All regions'!D5181+"$F;@!)%y"</f>
        <v>#VALUE!</v>
      </c>
      <c r="AO187" t="e">
        <f>'All regions'!E5181+"$F;@!)%z"</f>
        <v>#VALUE!</v>
      </c>
      <c r="AP187" t="e">
        <f>'All regions'!F5181+"$F;@!)%{"</f>
        <v>#VALUE!</v>
      </c>
      <c r="AQ187" t="e">
        <f>'All regions'!G5181+"$F;@!)%|"</f>
        <v>#VALUE!</v>
      </c>
      <c r="AR187" t="e">
        <f>'All regions'!H5181+"$F;@!)%}"</f>
        <v>#VALUE!</v>
      </c>
      <c r="AS187" t="e">
        <f>'All regions'!I5181+"$F;@!)%~"</f>
        <v>#VALUE!</v>
      </c>
      <c r="AT187" t="e">
        <f>'All regions'!A5182+"$F;@!)&amp;#"</f>
        <v>#VALUE!</v>
      </c>
      <c r="AU187" t="e">
        <f>'All regions'!B5182+"$F;@!)&amp;$"</f>
        <v>#VALUE!</v>
      </c>
      <c r="AV187" t="e">
        <f>'All regions'!C5182+"$F;@!)&amp;%"</f>
        <v>#VALUE!</v>
      </c>
      <c r="AW187" t="e">
        <f>'All regions'!D5182+"$F;@!)&amp;&amp;"</f>
        <v>#VALUE!</v>
      </c>
      <c r="AX187" t="e">
        <f>'All regions'!E5182+"$F;@!)&amp;'"</f>
        <v>#VALUE!</v>
      </c>
      <c r="AY187" t="e">
        <f>'All regions'!F5182+"$F;@!)&amp;("</f>
        <v>#VALUE!</v>
      </c>
      <c r="AZ187" t="e">
        <f>'All regions'!G5182+"$F;@!)&amp;)"</f>
        <v>#VALUE!</v>
      </c>
      <c r="BA187" t="e">
        <f>'All regions'!H5182+"$F;@!)&amp;."</f>
        <v>#VALUE!</v>
      </c>
      <c r="BB187" t="e">
        <f>'All regions'!I5182+"$F;@!)&amp;/"</f>
        <v>#VALUE!</v>
      </c>
      <c r="BC187" t="e">
        <f>'All regions'!A5183+"$F;@!)&amp;0"</f>
        <v>#VALUE!</v>
      </c>
      <c r="BD187" t="e">
        <f>'All regions'!B5183+"$F;@!)&amp;1"</f>
        <v>#VALUE!</v>
      </c>
      <c r="BE187" t="e">
        <f>'All regions'!C5183+"$F;@!)&amp;2"</f>
        <v>#VALUE!</v>
      </c>
      <c r="BF187" t="e">
        <f>'All regions'!D5183+"$F;@!)&amp;3"</f>
        <v>#VALUE!</v>
      </c>
      <c r="BG187" t="e">
        <f>'All regions'!E5183+"$F;@!)&amp;4"</f>
        <v>#VALUE!</v>
      </c>
      <c r="BH187" t="e">
        <f>'All regions'!F5183+"$F;@!)&amp;5"</f>
        <v>#VALUE!</v>
      </c>
      <c r="BI187" t="e">
        <f>'All regions'!G5183+"$F;@!)&amp;6"</f>
        <v>#VALUE!</v>
      </c>
      <c r="BJ187" t="e">
        <f>'All regions'!H5183+"$F;@!)&amp;7"</f>
        <v>#VALUE!</v>
      </c>
      <c r="BK187" t="e">
        <f>'All regions'!I5183+"$F;@!)&amp;8"</f>
        <v>#VALUE!</v>
      </c>
      <c r="BL187" t="e">
        <f>'All regions'!A5184+"$F;@!)&amp;9"</f>
        <v>#VALUE!</v>
      </c>
      <c r="BM187" t="e">
        <f>'All regions'!B5184+"$F;@!)&amp;:"</f>
        <v>#VALUE!</v>
      </c>
      <c r="BN187" t="e">
        <f>'All regions'!C5184+"$F;@!)&amp;;"</f>
        <v>#VALUE!</v>
      </c>
      <c r="BO187" t="e">
        <f>'All regions'!D5184+"$F;@!)&amp;&lt;"</f>
        <v>#VALUE!</v>
      </c>
      <c r="BP187" t="e">
        <f>'All regions'!E5184+"$F;@!)&amp;="</f>
        <v>#VALUE!</v>
      </c>
      <c r="BQ187" t="e">
        <f>'All regions'!F5184+"$F;@!)&amp;&gt;"</f>
        <v>#VALUE!</v>
      </c>
      <c r="BR187" t="e">
        <f>'All regions'!G5184+"$F;@!)&amp;?"</f>
        <v>#VALUE!</v>
      </c>
      <c r="BS187" t="e">
        <f>'All regions'!H5184+"$F;@!)&amp;@"</f>
        <v>#VALUE!</v>
      </c>
      <c r="BT187" t="e">
        <f>'All regions'!I5184+"$F;@!)&amp;A"</f>
        <v>#VALUE!</v>
      </c>
      <c r="BU187" t="e">
        <f>'All regions'!A5185+"$F;@!)&amp;B"</f>
        <v>#VALUE!</v>
      </c>
      <c r="BV187" t="e">
        <f>'All regions'!B5185+"$F;@!)&amp;C"</f>
        <v>#VALUE!</v>
      </c>
      <c r="BW187" t="e">
        <f>'All regions'!C5185+"$F;@!)&amp;D"</f>
        <v>#VALUE!</v>
      </c>
      <c r="BX187" t="e">
        <f>'All regions'!D5185+"$F;@!)&amp;E"</f>
        <v>#VALUE!</v>
      </c>
      <c r="BY187" t="e">
        <f>'All regions'!E5185+"$F;@!)&amp;F"</f>
        <v>#VALUE!</v>
      </c>
      <c r="BZ187" t="e">
        <f>'All regions'!F5185+"$F;@!)&amp;G"</f>
        <v>#VALUE!</v>
      </c>
      <c r="CA187" t="e">
        <f>'All regions'!G5185+"$F;@!)&amp;H"</f>
        <v>#VALUE!</v>
      </c>
      <c r="CB187" t="e">
        <f>'All regions'!H5185+"$F;@!)&amp;I"</f>
        <v>#VALUE!</v>
      </c>
      <c r="CC187" t="e">
        <f>'All regions'!I5185+"$F;@!)&amp;J"</f>
        <v>#VALUE!</v>
      </c>
      <c r="CD187" t="e">
        <f>'All regions'!A5186+"$F;@!)&amp;K"</f>
        <v>#VALUE!</v>
      </c>
      <c r="CE187" t="e">
        <f>'All regions'!B5186+"$F;@!)&amp;L"</f>
        <v>#VALUE!</v>
      </c>
      <c r="CF187" t="e">
        <f>'All regions'!C5186+"$F;@!)&amp;M"</f>
        <v>#VALUE!</v>
      </c>
      <c r="CG187" t="e">
        <f>'All regions'!D5186+"$F;@!)&amp;N"</f>
        <v>#VALUE!</v>
      </c>
      <c r="CH187" t="e">
        <f>'All regions'!E5186+"$F;@!)&amp;O"</f>
        <v>#VALUE!</v>
      </c>
      <c r="CI187" t="e">
        <f>'All regions'!F5186+"$F;@!)&amp;P"</f>
        <v>#VALUE!</v>
      </c>
      <c r="CJ187" t="e">
        <f>'All regions'!G5186+"$F;@!)&amp;Q"</f>
        <v>#VALUE!</v>
      </c>
      <c r="CK187" t="e">
        <f>'All regions'!H5186+"$F;@!)&amp;R"</f>
        <v>#VALUE!</v>
      </c>
      <c r="CL187" t="e">
        <f>'All regions'!I5186+"$F;@!)&amp;S"</f>
        <v>#VALUE!</v>
      </c>
      <c r="CM187" t="e">
        <f>'All regions'!A5187+"$F;@!)&amp;T"</f>
        <v>#VALUE!</v>
      </c>
      <c r="CN187" t="e">
        <f>'All regions'!B5187+"$F;@!)&amp;U"</f>
        <v>#VALUE!</v>
      </c>
      <c r="CO187" t="e">
        <f>'All regions'!C5187+"$F;@!)&amp;V"</f>
        <v>#VALUE!</v>
      </c>
      <c r="CP187" t="e">
        <f>'All regions'!D5187+"$F;@!)&amp;W"</f>
        <v>#VALUE!</v>
      </c>
      <c r="CQ187" t="e">
        <f>'All regions'!E5187+"$F;@!)&amp;X"</f>
        <v>#VALUE!</v>
      </c>
      <c r="CR187" t="e">
        <f>'All regions'!F5187+"$F;@!)&amp;Y"</f>
        <v>#VALUE!</v>
      </c>
      <c r="CS187" t="e">
        <f>'All regions'!G5187+"$F;@!)&amp;Z"</f>
        <v>#VALUE!</v>
      </c>
      <c r="CT187" t="e">
        <f>'All regions'!H5187+"$F;@!)&amp;["</f>
        <v>#VALUE!</v>
      </c>
      <c r="CU187" t="e">
        <f>'All regions'!I5187+"$F;@!)&amp;\"</f>
        <v>#VALUE!</v>
      </c>
      <c r="CV187" t="e">
        <f>'All regions'!A5188+"$F;@!)&amp;]"</f>
        <v>#VALUE!</v>
      </c>
      <c r="CW187" t="e">
        <f>'All regions'!B5188+"$F;@!)&amp;^"</f>
        <v>#VALUE!</v>
      </c>
      <c r="CX187" t="e">
        <f>'All regions'!C5188+"$F;@!)&amp;_"</f>
        <v>#VALUE!</v>
      </c>
      <c r="CY187" t="e">
        <f>'All regions'!D5188+"$F;@!)&amp;`"</f>
        <v>#VALUE!</v>
      </c>
      <c r="CZ187" t="e">
        <f>'All regions'!E5188+"$F;@!)&amp;a"</f>
        <v>#VALUE!</v>
      </c>
      <c r="DA187" t="e">
        <f>'All regions'!F5188+"$F;@!)&amp;b"</f>
        <v>#VALUE!</v>
      </c>
      <c r="DB187" t="e">
        <f>'All regions'!G5188+"$F;@!)&amp;c"</f>
        <v>#VALUE!</v>
      </c>
      <c r="DC187" t="e">
        <f>'All regions'!H5188+"$F;@!)&amp;d"</f>
        <v>#VALUE!</v>
      </c>
      <c r="DD187" t="e">
        <f>'All regions'!I5188+"$F;@!)&amp;e"</f>
        <v>#VALUE!</v>
      </c>
      <c r="DE187" t="e">
        <f>'All regions'!A5189+"$F;@!)&amp;f"</f>
        <v>#VALUE!</v>
      </c>
      <c r="DF187" t="e">
        <f>'All regions'!B5189+"$F;@!)&amp;g"</f>
        <v>#VALUE!</v>
      </c>
      <c r="DG187" t="e">
        <f>'All regions'!C5189+"$F;@!)&amp;h"</f>
        <v>#VALUE!</v>
      </c>
      <c r="DH187" t="e">
        <f>'All regions'!D5189+"$F;@!)&amp;i"</f>
        <v>#VALUE!</v>
      </c>
      <c r="DI187" t="e">
        <f>'All regions'!E5189+"$F;@!)&amp;j"</f>
        <v>#VALUE!</v>
      </c>
      <c r="DJ187" t="e">
        <f>'All regions'!F5189+"$F;@!)&amp;k"</f>
        <v>#VALUE!</v>
      </c>
      <c r="DK187" t="e">
        <f>'All regions'!G5189+"$F;@!)&amp;l"</f>
        <v>#VALUE!</v>
      </c>
      <c r="DL187" t="e">
        <f>'All regions'!H5189+"$F;@!)&amp;m"</f>
        <v>#VALUE!</v>
      </c>
      <c r="DM187" t="e">
        <f>'All regions'!I5189+"$F;@!)&amp;n"</f>
        <v>#VALUE!</v>
      </c>
      <c r="DN187" t="e">
        <f>'All regions'!A5190+"$F;@!)&amp;o"</f>
        <v>#VALUE!</v>
      </c>
      <c r="DO187" t="e">
        <f>'All regions'!B5190+"$F;@!)&amp;p"</f>
        <v>#VALUE!</v>
      </c>
      <c r="DP187" t="e">
        <f>'All regions'!C5190+"$F;@!)&amp;q"</f>
        <v>#VALUE!</v>
      </c>
      <c r="DQ187" t="e">
        <f>'All regions'!D5190+"$F;@!)&amp;r"</f>
        <v>#VALUE!</v>
      </c>
      <c r="DR187" t="e">
        <f>'All regions'!E5190+"$F;@!)&amp;s"</f>
        <v>#VALUE!</v>
      </c>
      <c r="DS187" t="e">
        <f>'All regions'!F5190+"$F;@!)&amp;t"</f>
        <v>#VALUE!</v>
      </c>
      <c r="DT187" t="e">
        <f>'All regions'!G5190+"$F;@!)&amp;u"</f>
        <v>#VALUE!</v>
      </c>
      <c r="DU187" t="e">
        <f>'All regions'!H5190+"$F;@!)&amp;v"</f>
        <v>#VALUE!</v>
      </c>
      <c r="DV187" t="e">
        <f>'All regions'!I5190+"$F;@!)&amp;w"</f>
        <v>#VALUE!</v>
      </c>
      <c r="DW187" t="e">
        <f>'All regions'!A5191+"$F;@!)&amp;x"</f>
        <v>#VALUE!</v>
      </c>
      <c r="DX187" t="e">
        <f>'All regions'!B5191+"$F;@!)&amp;y"</f>
        <v>#VALUE!</v>
      </c>
      <c r="DY187" t="e">
        <f>'All regions'!C5191+"$F;@!)&amp;z"</f>
        <v>#VALUE!</v>
      </c>
      <c r="DZ187" t="e">
        <f>'All regions'!D5191+"$F;@!)&amp;{"</f>
        <v>#VALUE!</v>
      </c>
      <c r="EA187" t="e">
        <f>'All regions'!E5191+"$F;@!)&amp;|"</f>
        <v>#VALUE!</v>
      </c>
      <c r="EB187" t="e">
        <f>'All regions'!F5191+"$F;@!)&amp;}"</f>
        <v>#VALUE!</v>
      </c>
      <c r="EC187" t="e">
        <f>'All regions'!G5191+"$F;@!)&amp;~"</f>
        <v>#VALUE!</v>
      </c>
      <c r="ED187" t="e">
        <f>'All regions'!H5191+"$F;@!)'#"</f>
        <v>#VALUE!</v>
      </c>
      <c r="EE187" t="e">
        <f>'All regions'!I5191+"$F;@!)'$"</f>
        <v>#VALUE!</v>
      </c>
      <c r="EF187" t="e">
        <f>'All regions'!A5192+"$F;@!)'%"</f>
        <v>#VALUE!</v>
      </c>
      <c r="EG187" t="e">
        <f>'All regions'!B5192+"$F;@!)'&amp;"</f>
        <v>#VALUE!</v>
      </c>
      <c r="EH187" t="e">
        <f>'All regions'!C5192+"$F;@!)''"</f>
        <v>#VALUE!</v>
      </c>
      <c r="EI187" t="e">
        <f>'All regions'!D5192+"$F;@!)'("</f>
        <v>#VALUE!</v>
      </c>
      <c r="EJ187" t="e">
        <f>'All regions'!E5192+"$F;@!)')"</f>
        <v>#VALUE!</v>
      </c>
      <c r="EK187" t="e">
        <f>'All regions'!F5192+"$F;@!)'."</f>
        <v>#VALUE!</v>
      </c>
      <c r="EL187" t="e">
        <f>'All regions'!G5192+"$F;@!)'/"</f>
        <v>#VALUE!</v>
      </c>
      <c r="EM187" t="e">
        <f>'All regions'!H5192+"$F;@!)'0"</f>
        <v>#VALUE!</v>
      </c>
      <c r="EN187" t="e">
        <f>'All regions'!I5192+"$F;@!)'1"</f>
        <v>#VALUE!</v>
      </c>
      <c r="EO187" t="e">
        <f>'All regions'!A5193+"$F;@!)'2"</f>
        <v>#VALUE!</v>
      </c>
      <c r="EP187" t="e">
        <f>'All regions'!B5193+"$F;@!)'3"</f>
        <v>#VALUE!</v>
      </c>
      <c r="EQ187" t="e">
        <f>'All regions'!C5193+"$F;@!)'4"</f>
        <v>#VALUE!</v>
      </c>
      <c r="ER187" t="e">
        <f>'All regions'!D5193+"$F;@!)'5"</f>
        <v>#VALUE!</v>
      </c>
      <c r="ES187" t="e">
        <f>'All regions'!E5193+"$F;@!)'6"</f>
        <v>#VALUE!</v>
      </c>
      <c r="ET187" t="e">
        <f>'All regions'!F5193+"$F;@!)'7"</f>
        <v>#VALUE!</v>
      </c>
      <c r="EU187" t="e">
        <f>'All regions'!G5193+"$F;@!)'8"</f>
        <v>#VALUE!</v>
      </c>
      <c r="EV187" t="e">
        <f>'All regions'!H5193+"$F;@!)'9"</f>
        <v>#VALUE!</v>
      </c>
      <c r="EW187" t="e">
        <f>'All regions'!I5193+"$F;@!)':"</f>
        <v>#VALUE!</v>
      </c>
      <c r="EX187" t="e">
        <f>'All regions'!A5194+"$F;@!)';"</f>
        <v>#VALUE!</v>
      </c>
      <c r="EY187" t="e">
        <f>'All regions'!B5194+"$F;@!)'&lt;"</f>
        <v>#VALUE!</v>
      </c>
      <c r="EZ187" t="e">
        <f>'All regions'!C5194+"$F;@!)'="</f>
        <v>#VALUE!</v>
      </c>
      <c r="FA187" t="e">
        <f>'All regions'!D5194+"$F;@!)'&gt;"</f>
        <v>#VALUE!</v>
      </c>
      <c r="FB187" t="e">
        <f>'All regions'!E5194+"$F;@!)'?"</f>
        <v>#VALUE!</v>
      </c>
      <c r="FC187" t="e">
        <f>'All regions'!F5194+"$F;@!)'@"</f>
        <v>#VALUE!</v>
      </c>
      <c r="FD187" t="e">
        <f>'All regions'!G5194+"$F;@!)'A"</f>
        <v>#VALUE!</v>
      </c>
      <c r="FE187" t="e">
        <f>'All regions'!H5194+"$F;@!)'B"</f>
        <v>#VALUE!</v>
      </c>
      <c r="FF187" t="e">
        <f>'All regions'!I5194+"$F;@!)'C"</f>
        <v>#VALUE!</v>
      </c>
      <c r="FG187" t="e">
        <f>'All regions'!A5195+"$F;@!)'D"</f>
        <v>#VALUE!</v>
      </c>
      <c r="FH187" t="e">
        <f>'All regions'!B5195+"$F;@!)'E"</f>
        <v>#VALUE!</v>
      </c>
      <c r="FI187" t="e">
        <f>'All regions'!C5195+"$F;@!)'F"</f>
        <v>#VALUE!</v>
      </c>
      <c r="FJ187" t="e">
        <f>'All regions'!D5195+"$F;@!)'G"</f>
        <v>#VALUE!</v>
      </c>
      <c r="FK187" t="e">
        <f>'All regions'!E5195+"$F;@!)'H"</f>
        <v>#VALUE!</v>
      </c>
      <c r="FL187" t="e">
        <f>'All regions'!F5195+"$F;@!)'I"</f>
        <v>#VALUE!</v>
      </c>
      <c r="FM187" t="e">
        <f>'All regions'!G5195+"$F;@!)'J"</f>
        <v>#VALUE!</v>
      </c>
      <c r="FN187" t="e">
        <f>'All regions'!H5195+"$F;@!)'K"</f>
        <v>#VALUE!</v>
      </c>
      <c r="FO187" t="e">
        <f>'All regions'!I5195+"$F;@!)'L"</f>
        <v>#VALUE!</v>
      </c>
      <c r="FP187" t="e">
        <f>'All regions'!A5196+"$F;@!)'M"</f>
        <v>#VALUE!</v>
      </c>
      <c r="FQ187" t="e">
        <f>'All regions'!B5196+"$F;@!)'N"</f>
        <v>#VALUE!</v>
      </c>
      <c r="FR187" t="e">
        <f>'All regions'!C5196+"$F;@!)'O"</f>
        <v>#VALUE!</v>
      </c>
      <c r="FS187" t="e">
        <f>'All regions'!D5196+"$F;@!)'P"</f>
        <v>#VALUE!</v>
      </c>
      <c r="FT187" t="e">
        <f>'All regions'!E5196+"$F;@!)'Q"</f>
        <v>#VALUE!</v>
      </c>
      <c r="FU187" t="e">
        <f>'All regions'!F5196+"$F;@!)'R"</f>
        <v>#VALUE!</v>
      </c>
      <c r="FV187" t="e">
        <f>'All regions'!G5196+"$F;@!)'S"</f>
        <v>#VALUE!</v>
      </c>
      <c r="FW187" t="e">
        <f>'All regions'!H5196+"$F;@!)'T"</f>
        <v>#VALUE!</v>
      </c>
      <c r="FX187" t="e">
        <f>'All regions'!I5196+"$F;@!)'U"</f>
        <v>#VALUE!</v>
      </c>
      <c r="FY187" t="e">
        <f>'All regions'!A5197+"$F;@!)'V"</f>
        <v>#VALUE!</v>
      </c>
      <c r="FZ187" t="e">
        <f>'All regions'!B5197+"$F;@!)'W"</f>
        <v>#VALUE!</v>
      </c>
      <c r="GA187" t="e">
        <f>'All regions'!C5197+"$F;@!)'X"</f>
        <v>#VALUE!</v>
      </c>
      <c r="GB187" t="e">
        <f>'All regions'!D5197+"$F;@!)'Y"</f>
        <v>#VALUE!</v>
      </c>
      <c r="GC187" t="e">
        <f>'All regions'!E5197+"$F;@!)'Z"</f>
        <v>#VALUE!</v>
      </c>
      <c r="GD187" t="e">
        <f>'All regions'!F5197+"$F;@!)'["</f>
        <v>#VALUE!</v>
      </c>
      <c r="GE187" t="e">
        <f>'All regions'!G5197+"$F;@!)'\"</f>
        <v>#VALUE!</v>
      </c>
      <c r="GF187" t="e">
        <f>'All regions'!H5197+"$F;@!)']"</f>
        <v>#VALUE!</v>
      </c>
      <c r="GG187" t="e">
        <f>'All regions'!I5197+"$F;@!)'^"</f>
        <v>#VALUE!</v>
      </c>
      <c r="GH187" t="e">
        <f>'All regions'!A5198+"$F;@!)'_"</f>
        <v>#VALUE!</v>
      </c>
      <c r="GI187" t="e">
        <f>'All regions'!B5198+"$F;@!)'`"</f>
        <v>#VALUE!</v>
      </c>
      <c r="GJ187" t="e">
        <f>'All regions'!C5198+"$F;@!)'a"</f>
        <v>#VALUE!</v>
      </c>
      <c r="GK187" t="e">
        <f>'All regions'!D5198+"$F;@!)'b"</f>
        <v>#VALUE!</v>
      </c>
      <c r="GL187" t="e">
        <f>'All regions'!E5198+"$F;@!)'c"</f>
        <v>#VALUE!</v>
      </c>
      <c r="GM187" t="e">
        <f>'All regions'!F5198+"$F;@!)'d"</f>
        <v>#VALUE!</v>
      </c>
      <c r="GN187" t="e">
        <f>'All regions'!G5198+"$F;@!)'e"</f>
        <v>#VALUE!</v>
      </c>
      <c r="GO187" t="e">
        <f>'All regions'!H5198+"$F;@!)'f"</f>
        <v>#VALUE!</v>
      </c>
      <c r="GP187" t="e">
        <f>'All regions'!I5198+"$F;@!)'g"</f>
        <v>#VALUE!</v>
      </c>
      <c r="GQ187" t="e">
        <f>'All regions'!A5199+"$F;@!)'h"</f>
        <v>#VALUE!</v>
      </c>
      <c r="GR187" t="e">
        <f>'All regions'!B5199+"$F;@!)'i"</f>
        <v>#VALUE!</v>
      </c>
      <c r="GS187" t="e">
        <f>'All regions'!C5199+"$F;@!)'j"</f>
        <v>#VALUE!</v>
      </c>
      <c r="GT187" t="e">
        <f>'All regions'!D5199+"$F;@!)'k"</f>
        <v>#VALUE!</v>
      </c>
      <c r="GU187" t="e">
        <f>'All regions'!E5199+"$F;@!)'l"</f>
        <v>#VALUE!</v>
      </c>
      <c r="GV187" t="e">
        <f>'All regions'!F5199+"$F;@!)'m"</f>
        <v>#VALUE!</v>
      </c>
      <c r="GW187" t="e">
        <f>'All regions'!G5199+"$F;@!)'n"</f>
        <v>#VALUE!</v>
      </c>
      <c r="GX187" t="e">
        <f>'All regions'!H5199+"$F;@!)'o"</f>
        <v>#VALUE!</v>
      </c>
      <c r="GY187" t="e">
        <f>'All regions'!I5199+"$F;@!)'p"</f>
        <v>#VALUE!</v>
      </c>
      <c r="GZ187" t="e">
        <f>'All regions'!A5200+"$F;@!)'q"</f>
        <v>#VALUE!</v>
      </c>
      <c r="HA187" t="e">
        <f>'All regions'!B5200+"$F;@!)'r"</f>
        <v>#VALUE!</v>
      </c>
      <c r="HB187" t="e">
        <f>'All regions'!C5200+"$F;@!)'s"</f>
        <v>#VALUE!</v>
      </c>
      <c r="HC187" t="e">
        <f>'All regions'!D5200+"$F;@!)'t"</f>
        <v>#VALUE!</v>
      </c>
      <c r="HD187" t="e">
        <f>'All regions'!E5200+"$F;@!)'u"</f>
        <v>#VALUE!</v>
      </c>
      <c r="HE187" t="e">
        <f>'All regions'!F5200+"$F;@!)'v"</f>
        <v>#VALUE!</v>
      </c>
      <c r="HF187" t="e">
        <f>'All regions'!G5200+"$F;@!)'w"</f>
        <v>#VALUE!</v>
      </c>
      <c r="HG187" t="e">
        <f>'All regions'!H5200+"$F;@!)'x"</f>
        <v>#VALUE!</v>
      </c>
      <c r="HH187" t="e">
        <f>'All regions'!I5200+"$F;@!)'y"</f>
        <v>#VALUE!</v>
      </c>
      <c r="HI187" t="e">
        <f>'All regions'!A5201+"$F;@!)'z"</f>
        <v>#VALUE!</v>
      </c>
      <c r="HJ187" t="e">
        <f>'All regions'!B5201+"$F;@!)'{"</f>
        <v>#VALUE!</v>
      </c>
      <c r="HK187" t="e">
        <f>'All regions'!C5201+"$F;@!)'|"</f>
        <v>#VALUE!</v>
      </c>
      <c r="HL187" t="e">
        <f>'All regions'!D5201+"$F;@!)'}"</f>
        <v>#VALUE!</v>
      </c>
      <c r="HM187" t="e">
        <f>'All regions'!E5201+"$F;@!)'~"</f>
        <v>#VALUE!</v>
      </c>
      <c r="HN187" t="e">
        <f>'All regions'!F5201+"$F;@!)(#"</f>
        <v>#VALUE!</v>
      </c>
      <c r="HO187" t="e">
        <f>'All regions'!G5201+"$F;@!)($"</f>
        <v>#VALUE!</v>
      </c>
      <c r="HP187" t="e">
        <f>'All regions'!H5201+"$F;@!)(%"</f>
        <v>#VALUE!</v>
      </c>
      <c r="HQ187" t="e">
        <f>'All regions'!I5201+"$F;@!)(&amp;"</f>
        <v>#VALUE!</v>
      </c>
      <c r="HR187" t="e">
        <f>'All regions'!A5202+"$F;@!)('"</f>
        <v>#VALUE!</v>
      </c>
      <c r="HS187" t="e">
        <f>'All regions'!B5202+"$F;@!)(("</f>
        <v>#VALUE!</v>
      </c>
      <c r="HT187" t="e">
        <f>'All regions'!C5202+"$F;@!)()"</f>
        <v>#VALUE!</v>
      </c>
      <c r="HU187" t="e">
        <f>'All regions'!D5202+"$F;@!)(."</f>
        <v>#VALUE!</v>
      </c>
      <c r="HV187" t="e">
        <f>'All regions'!E5202+"$F;@!)(/"</f>
        <v>#VALUE!</v>
      </c>
      <c r="HW187" t="e">
        <f>'All regions'!F5202+"$F;@!)(0"</f>
        <v>#VALUE!</v>
      </c>
      <c r="HX187" t="e">
        <f>'All regions'!G5202+"$F;@!)(1"</f>
        <v>#VALUE!</v>
      </c>
      <c r="HY187" t="e">
        <f>'All regions'!H5202+"$F;@!)(2"</f>
        <v>#VALUE!</v>
      </c>
      <c r="HZ187" t="e">
        <f>'All regions'!I5202+"$F;@!)(3"</f>
        <v>#VALUE!</v>
      </c>
      <c r="IA187" t="e">
        <f>'All regions'!A5203+"$F;@!)(4"</f>
        <v>#VALUE!</v>
      </c>
      <c r="IB187" t="e">
        <f>'All regions'!B5203+"$F;@!)(5"</f>
        <v>#VALUE!</v>
      </c>
      <c r="IC187" t="e">
        <f>'All regions'!C5203+"$F;@!)(6"</f>
        <v>#VALUE!</v>
      </c>
      <c r="ID187" t="e">
        <f>'All regions'!D5203+"$F;@!)(7"</f>
        <v>#VALUE!</v>
      </c>
      <c r="IE187" t="e">
        <f>'All regions'!E5203+"$F;@!)(8"</f>
        <v>#VALUE!</v>
      </c>
      <c r="IF187" t="e">
        <f>'All regions'!F5203+"$F;@!)(9"</f>
        <v>#VALUE!</v>
      </c>
      <c r="IG187" t="e">
        <f>'All regions'!G5203+"$F;@!)(:"</f>
        <v>#VALUE!</v>
      </c>
      <c r="IH187" t="e">
        <f>'All regions'!H5203+"$F;@!)(;"</f>
        <v>#VALUE!</v>
      </c>
      <c r="II187" t="e">
        <f>'All regions'!I5203+"$F;@!)(&lt;"</f>
        <v>#VALUE!</v>
      </c>
      <c r="IJ187" t="e">
        <f>'All regions'!A5204+"$F;@!)(="</f>
        <v>#VALUE!</v>
      </c>
      <c r="IK187" t="e">
        <f>'All regions'!B5204+"$F;@!)(&gt;"</f>
        <v>#VALUE!</v>
      </c>
      <c r="IL187" t="e">
        <f>'All regions'!C5204+"$F;@!)(?"</f>
        <v>#VALUE!</v>
      </c>
      <c r="IM187" t="e">
        <f>'All regions'!D5204+"$F;@!)(@"</f>
        <v>#VALUE!</v>
      </c>
      <c r="IN187" t="e">
        <f>'All regions'!E5204+"$F;@!)(A"</f>
        <v>#VALUE!</v>
      </c>
      <c r="IO187" t="e">
        <f>'All regions'!F5204+"$F;@!)(B"</f>
        <v>#VALUE!</v>
      </c>
      <c r="IP187" t="e">
        <f>'All regions'!G5204+"$F;@!)(C"</f>
        <v>#VALUE!</v>
      </c>
      <c r="IQ187" t="e">
        <f>'All regions'!H5204+"$F;@!)(D"</f>
        <v>#VALUE!</v>
      </c>
      <c r="IR187" t="e">
        <f>'All regions'!I5204+"$F;@!)(E"</f>
        <v>#VALUE!</v>
      </c>
      <c r="IS187" t="e">
        <f>'All regions'!A5205+"$F;@!)(F"</f>
        <v>#VALUE!</v>
      </c>
      <c r="IT187" t="e">
        <f>'All regions'!B5205+"$F;@!)(G"</f>
        <v>#VALUE!</v>
      </c>
      <c r="IU187" t="e">
        <f>'All regions'!C5205+"$F;@!)(H"</f>
        <v>#VALUE!</v>
      </c>
      <c r="IV187" t="e">
        <f>'All regions'!D5205+"$F;@!)(I"</f>
        <v>#VALUE!</v>
      </c>
    </row>
    <row r="188" spans="6:256" x14ac:dyDescent="0.35">
      <c r="F188" t="e">
        <f>'All regions'!E5205+"$F;@!)(J"</f>
        <v>#VALUE!</v>
      </c>
      <c r="G188" t="e">
        <f>'All regions'!F5205+"$F;@!)(K"</f>
        <v>#VALUE!</v>
      </c>
      <c r="H188" t="e">
        <f>'All regions'!G5205+"$F;@!)(L"</f>
        <v>#VALUE!</v>
      </c>
      <c r="I188" t="e">
        <f>'All regions'!H5205+"$F;@!)(M"</f>
        <v>#VALUE!</v>
      </c>
      <c r="J188" t="e">
        <f>'All regions'!I5205+"$F;@!)(N"</f>
        <v>#VALUE!</v>
      </c>
      <c r="K188" t="e">
        <f>'All regions'!A5206+"$F;@!)(O"</f>
        <v>#VALUE!</v>
      </c>
      <c r="L188" t="e">
        <f>'All regions'!B5206+"$F;@!)(P"</f>
        <v>#VALUE!</v>
      </c>
      <c r="M188" t="e">
        <f>'All regions'!C5206+"$F;@!)(Q"</f>
        <v>#VALUE!</v>
      </c>
      <c r="N188" t="e">
        <f>'All regions'!D5206+"$F;@!)(R"</f>
        <v>#VALUE!</v>
      </c>
      <c r="O188" t="e">
        <f>'All regions'!E5206+"$F;@!)(S"</f>
        <v>#VALUE!</v>
      </c>
      <c r="P188" t="e">
        <f>'All regions'!F5206+"$F;@!)(T"</f>
        <v>#VALUE!</v>
      </c>
      <c r="Q188" t="e">
        <f>'All regions'!G5206+"$F;@!)(U"</f>
        <v>#VALUE!</v>
      </c>
      <c r="R188" t="e">
        <f>'All regions'!H5206+"$F;@!)(V"</f>
        <v>#VALUE!</v>
      </c>
      <c r="S188" t="e">
        <f>'All regions'!I5206+"$F;@!)(W"</f>
        <v>#VALUE!</v>
      </c>
      <c r="T188" t="e">
        <f>'All regions'!A5207+"$F;@!)(X"</f>
        <v>#VALUE!</v>
      </c>
      <c r="U188" t="e">
        <f>'All regions'!B5207+"$F;@!)(Y"</f>
        <v>#VALUE!</v>
      </c>
      <c r="V188" t="e">
        <f>'All regions'!C5207+"$F;@!)(Z"</f>
        <v>#VALUE!</v>
      </c>
      <c r="W188" t="e">
        <f>'All regions'!D5207+"$F;@!)(["</f>
        <v>#VALUE!</v>
      </c>
      <c r="X188" t="e">
        <f>'All regions'!E5207+"$F;@!)(\"</f>
        <v>#VALUE!</v>
      </c>
      <c r="Y188" t="e">
        <f>'All regions'!F5207+"$F;@!)(]"</f>
        <v>#VALUE!</v>
      </c>
      <c r="Z188" t="e">
        <f>'All regions'!G5207+"$F;@!)(^"</f>
        <v>#VALUE!</v>
      </c>
      <c r="AA188" t="e">
        <f>'All regions'!H5207+"$F;@!)(_"</f>
        <v>#VALUE!</v>
      </c>
      <c r="AB188" t="e">
        <f>'All regions'!I5207+"$F;@!)(`"</f>
        <v>#VALUE!</v>
      </c>
      <c r="AC188" t="e">
        <f>'All regions'!A5208+"$F;@!)(a"</f>
        <v>#VALUE!</v>
      </c>
      <c r="AD188" t="e">
        <f>'All regions'!B5208+"$F;@!)(b"</f>
        <v>#VALUE!</v>
      </c>
      <c r="AE188" t="e">
        <f>'All regions'!C5208+"$F;@!)(c"</f>
        <v>#VALUE!</v>
      </c>
      <c r="AF188" t="e">
        <f>'All regions'!D5208+"$F;@!)(d"</f>
        <v>#VALUE!</v>
      </c>
      <c r="AG188" t="e">
        <f>'All regions'!E5208+"$F;@!)(e"</f>
        <v>#VALUE!</v>
      </c>
      <c r="AH188" t="e">
        <f>'All regions'!F5208+"$F;@!)(f"</f>
        <v>#VALUE!</v>
      </c>
      <c r="AI188" t="e">
        <f>'All regions'!G5208+"$F;@!)(g"</f>
        <v>#VALUE!</v>
      </c>
      <c r="AJ188" t="e">
        <f>'All regions'!H5208+"$F;@!)(h"</f>
        <v>#VALUE!</v>
      </c>
      <c r="AK188" t="e">
        <f>'All regions'!I5208+"$F;@!)(i"</f>
        <v>#VALUE!</v>
      </c>
      <c r="AL188" t="e">
        <f>'All regions'!A5209+"$F;@!)(j"</f>
        <v>#VALUE!</v>
      </c>
      <c r="AM188" t="e">
        <f>'All regions'!B5209+"$F;@!)(k"</f>
        <v>#VALUE!</v>
      </c>
      <c r="AN188" t="e">
        <f>'All regions'!C5209+"$F;@!)(l"</f>
        <v>#VALUE!</v>
      </c>
      <c r="AO188" t="e">
        <f>'All regions'!D5209+"$F;@!)(m"</f>
        <v>#VALUE!</v>
      </c>
      <c r="AP188" t="e">
        <f>'All regions'!E5209+"$F;@!)(n"</f>
        <v>#VALUE!</v>
      </c>
      <c r="AQ188" t="e">
        <f>'All regions'!F5209+"$F;@!)(o"</f>
        <v>#VALUE!</v>
      </c>
      <c r="AR188" t="e">
        <f>'All regions'!G5209+"$F;@!)(p"</f>
        <v>#VALUE!</v>
      </c>
      <c r="AS188" t="e">
        <f>'All regions'!H5209+"$F;@!)(q"</f>
        <v>#VALUE!</v>
      </c>
      <c r="AT188" t="e">
        <f>'All regions'!I5209+"$F;@!)(r"</f>
        <v>#VALUE!</v>
      </c>
      <c r="AU188" t="e">
        <f>'All regions'!A5210+"$F;@!)(s"</f>
        <v>#VALUE!</v>
      </c>
      <c r="AV188" t="e">
        <f>'All regions'!B5210+"$F;@!)(t"</f>
        <v>#VALUE!</v>
      </c>
      <c r="AW188" t="e">
        <f>'All regions'!C5210+"$F;@!)(u"</f>
        <v>#VALUE!</v>
      </c>
      <c r="AX188" t="e">
        <f>'All regions'!D5210+"$F;@!)(v"</f>
        <v>#VALUE!</v>
      </c>
      <c r="AY188" t="e">
        <f>'All regions'!E5210+"$F;@!)(w"</f>
        <v>#VALUE!</v>
      </c>
      <c r="AZ188" t="e">
        <f>'All regions'!F5210+"$F;@!)(x"</f>
        <v>#VALUE!</v>
      </c>
      <c r="BA188" t="e">
        <f>'All regions'!G5210+"$F;@!)(y"</f>
        <v>#VALUE!</v>
      </c>
      <c r="BB188" t="e">
        <f>'All regions'!H5210+"$F;@!)(z"</f>
        <v>#VALUE!</v>
      </c>
      <c r="BC188" t="e">
        <f>'All regions'!I5210+"$F;@!)({"</f>
        <v>#VALUE!</v>
      </c>
      <c r="BD188" t="e">
        <f>'All regions'!A5211+"$F;@!)(|"</f>
        <v>#VALUE!</v>
      </c>
      <c r="BE188" t="e">
        <f>'All regions'!B5211+"$F;@!)(}"</f>
        <v>#VALUE!</v>
      </c>
      <c r="BF188" t="e">
        <f>'All regions'!C5211+"$F;@!)(~"</f>
        <v>#VALUE!</v>
      </c>
      <c r="BG188" t="e">
        <f>'All regions'!D5211+"$F;@!))#"</f>
        <v>#VALUE!</v>
      </c>
      <c r="BH188" t="e">
        <f>'All regions'!E5211+"$F;@!))$"</f>
        <v>#VALUE!</v>
      </c>
      <c r="BI188" t="e">
        <f>'All regions'!F5211+"$F;@!))%"</f>
        <v>#VALUE!</v>
      </c>
      <c r="BJ188" t="e">
        <f>'All regions'!G5211+"$F;@!))&amp;"</f>
        <v>#VALUE!</v>
      </c>
      <c r="BK188" t="e">
        <f>'All regions'!H5211+"$F;@!))'"</f>
        <v>#VALUE!</v>
      </c>
      <c r="BL188" t="e">
        <f>'All regions'!I5211+"$F;@!))("</f>
        <v>#VALUE!</v>
      </c>
      <c r="BM188" t="e">
        <f>'All regions'!A5212+"$F;@!)))"</f>
        <v>#VALUE!</v>
      </c>
      <c r="BN188" t="e">
        <f>'All regions'!B5212+"$F;@!))."</f>
        <v>#VALUE!</v>
      </c>
      <c r="BO188" t="e">
        <f>'All regions'!C5212+"$F;@!))/"</f>
        <v>#VALUE!</v>
      </c>
      <c r="BP188" t="e">
        <f>'All regions'!D5212+"$F;@!))0"</f>
        <v>#VALUE!</v>
      </c>
      <c r="BQ188" t="e">
        <f>'All regions'!E5212+"$F;@!))1"</f>
        <v>#VALUE!</v>
      </c>
      <c r="BR188" t="e">
        <f>'All regions'!F5212+"$F;@!))2"</f>
        <v>#VALUE!</v>
      </c>
      <c r="BS188" t="e">
        <f>'All regions'!G5212+"$F;@!))3"</f>
        <v>#VALUE!</v>
      </c>
      <c r="BT188" t="e">
        <f>'All regions'!H5212+"$F;@!))4"</f>
        <v>#VALUE!</v>
      </c>
      <c r="BU188" t="e">
        <f>'All regions'!I5212+"$F;@!))5"</f>
        <v>#VALUE!</v>
      </c>
      <c r="BV188" t="e">
        <f>'All regions'!A5213+"$F;@!))6"</f>
        <v>#VALUE!</v>
      </c>
      <c r="BW188" t="e">
        <f>'All regions'!B5213+"$F;@!))7"</f>
        <v>#VALUE!</v>
      </c>
      <c r="BX188" t="e">
        <f>'All regions'!C5213+"$F;@!))8"</f>
        <v>#VALUE!</v>
      </c>
      <c r="BY188" t="e">
        <f>'All regions'!D5213+"$F;@!))9"</f>
        <v>#VALUE!</v>
      </c>
      <c r="BZ188" t="e">
        <f>'All regions'!E5213+"$F;@!)):"</f>
        <v>#VALUE!</v>
      </c>
      <c r="CA188" t="e">
        <f>'All regions'!F5213+"$F;@!));"</f>
        <v>#VALUE!</v>
      </c>
      <c r="CB188" t="e">
        <f>'All regions'!G5213+"$F;@!))&lt;"</f>
        <v>#VALUE!</v>
      </c>
      <c r="CC188" t="e">
        <f>'All regions'!H5213+"$F;@!))="</f>
        <v>#VALUE!</v>
      </c>
      <c r="CD188" t="e">
        <f>'All regions'!I5213+"$F;@!))&gt;"</f>
        <v>#VALUE!</v>
      </c>
      <c r="CE188" t="e">
        <f>'All regions'!A5214+"$F;@!))?"</f>
        <v>#VALUE!</v>
      </c>
      <c r="CF188" t="e">
        <f>'All regions'!B5214+"$F;@!))@"</f>
        <v>#VALUE!</v>
      </c>
      <c r="CG188" t="e">
        <f>'All regions'!C5214+"$F;@!))A"</f>
        <v>#VALUE!</v>
      </c>
      <c r="CH188" t="e">
        <f>'All regions'!D5214+"$F;@!))B"</f>
        <v>#VALUE!</v>
      </c>
      <c r="CI188" t="e">
        <f>'All regions'!E5214+"$F;@!))C"</f>
        <v>#VALUE!</v>
      </c>
      <c r="CJ188" t="e">
        <f>'All regions'!F5214+"$F;@!))D"</f>
        <v>#VALUE!</v>
      </c>
      <c r="CK188" t="e">
        <f>'All regions'!G5214+"$F;@!))E"</f>
        <v>#VALUE!</v>
      </c>
      <c r="CL188" t="e">
        <f>'All regions'!H5214+"$F;@!))F"</f>
        <v>#VALUE!</v>
      </c>
      <c r="CM188" t="e">
        <f>'All regions'!I5214+"$F;@!))G"</f>
        <v>#VALUE!</v>
      </c>
      <c r="CN188" t="e">
        <f>'All regions'!A5215+"$F;@!))H"</f>
        <v>#VALUE!</v>
      </c>
      <c r="CO188" t="e">
        <f>'All regions'!B5215+"$F;@!))I"</f>
        <v>#VALUE!</v>
      </c>
      <c r="CP188" t="e">
        <f>'All regions'!C5215+"$F;@!))J"</f>
        <v>#VALUE!</v>
      </c>
      <c r="CQ188" t="e">
        <f>'All regions'!D5215+"$F;@!))K"</f>
        <v>#VALUE!</v>
      </c>
      <c r="CR188" t="e">
        <f>'All regions'!E5215+"$F;@!))L"</f>
        <v>#VALUE!</v>
      </c>
      <c r="CS188" t="e">
        <f>'All regions'!F5215+"$F;@!))M"</f>
        <v>#VALUE!</v>
      </c>
      <c r="CT188" t="e">
        <f>'All regions'!G5215+"$F;@!))N"</f>
        <v>#VALUE!</v>
      </c>
      <c r="CU188" t="e">
        <f>'All regions'!H5215+"$F;@!))O"</f>
        <v>#VALUE!</v>
      </c>
      <c r="CV188" t="e">
        <f>'All regions'!I5215+"$F;@!))P"</f>
        <v>#VALUE!</v>
      </c>
      <c r="CW188" t="e">
        <f>'All regions'!A5216+"$F;@!))Q"</f>
        <v>#VALUE!</v>
      </c>
      <c r="CX188" t="e">
        <f>'All regions'!B5216+"$F;@!))R"</f>
        <v>#VALUE!</v>
      </c>
      <c r="CY188" t="e">
        <f>'All regions'!C5216+"$F;@!))S"</f>
        <v>#VALUE!</v>
      </c>
      <c r="CZ188" t="e">
        <f>'All regions'!D5216+"$F;@!))T"</f>
        <v>#VALUE!</v>
      </c>
      <c r="DA188" t="e">
        <f>'All regions'!E5216+"$F;@!))U"</f>
        <v>#VALUE!</v>
      </c>
      <c r="DB188" t="e">
        <f>'All regions'!F5216+"$F;@!))V"</f>
        <v>#VALUE!</v>
      </c>
      <c r="DC188" t="e">
        <f>'All regions'!G5216+"$F;@!))W"</f>
        <v>#VALUE!</v>
      </c>
      <c r="DD188" t="e">
        <f>'All regions'!H5216+"$F;@!))X"</f>
        <v>#VALUE!</v>
      </c>
      <c r="DE188" t="e">
        <f>'All regions'!I5216+"$F;@!))Y"</f>
        <v>#VALUE!</v>
      </c>
      <c r="DF188" t="e">
        <f>'All regions'!A5217+"$F;@!))Z"</f>
        <v>#VALUE!</v>
      </c>
      <c r="DG188" t="e">
        <f>'All regions'!B5217+"$F;@!))["</f>
        <v>#VALUE!</v>
      </c>
      <c r="DH188" t="e">
        <f>'All regions'!C5217+"$F;@!))\"</f>
        <v>#VALUE!</v>
      </c>
      <c r="DI188" t="e">
        <f>'All regions'!D5217+"$F;@!))]"</f>
        <v>#VALUE!</v>
      </c>
      <c r="DJ188" t="e">
        <f>'All regions'!E5217+"$F;@!))^"</f>
        <v>#VALUE!</v>
      </c>
      <c r="DK188" t="e">
        <f>'All regions'!F5217+"$F;@!))_"</f>
        <v>#VALUE!</v>
      </c>
      <c r="DL188" t="e">
        <f>'All regions'!G5217+"$F;@!))`"</f>
        <v>#VALUE!</v>
      </c>
      <c r="DM188" t="e">
        <f>'All regions'!H5217+"$F;@!))a"</f>
        <v>#VALUE!</v>
      </c>
      <c r="DN188" t="e">
        <f>'All regions'!I5217+"$F;@!))b"</f>
        <v>#VALUE!</v>
      </c>
      <c r="DO188" t="e">
        <f>'All regions'!A5218+"$F;@!))c"</f>
        <v>#VALUE!</v>
      </c>
      <c r="DP188" t="e">
        <f>'All regions'!B5218+"$F;@!))d"</f>
        <v>#VALUE!</v>
      </c>
      <c r="DQ188" t="e">
        <f>'All regions'!C5218+"$F;@!))e"</f>
        <v>#VALUE!</v>
      </c>
      <c r="DR188" t="e">
        <f>'All regions'!D5218+"$F;@!))f"</f>
        <v>#VALUE!</v>
      </c>
      <c r="DS188" t="e">
        <f>'All regions'!E5218+"$F;@!))g"</f>
        <v>#VALUE!</v>
      </c>
      <c r="DT188" t="e">
        <f>'All regions'!F5218+"$F;@!))h"</f>
        <v>#VALUE!</v>
      </c>
      <c r="DU188" t="e">
        <f>'All regions'!G5218+"$F;@!))i"</f>
        <v>#VALUE!</v>
      </c>
      <c r="DV188" t="e">
        <f>'All regions'!H5218+"$F;@!))j"</f>
        <v>#VALUE!</v>
      </c>
      <c r="DW188" t="e">
        <f>'All regions'!I5218+"$F;@!))k"</f>
        <v>#VALUE!</v>
      </c>
      <c r="DX188" t="e">
        <f>'All regions'!A5219+"$F;@!))l"</f>
        <v>#VALUE!</v>
      </c>
      <c r="DY188" t="e">
        <f>'All regions'!B5219+"$F;@!))m"</f>
        <v>#VALUE!</v>
      </c>
      <c r="DZ188" t="e">
        <f>'All regions'!C5219+"$F;@!))n"</f>
        <v>#VALUE!</v>
      </c>
      <c r="EA188" t="e">
        <f>'All regions'!D5219+"$F;@!))o"</f>
        <v>#VALUE!</v>
      </c>
      <c r="EB188" t="e">
        <f>'All regions'!E5219+"$F;@!))p"</f>
        <v>#VALUE!</v>
      </c>
      <c r="EC188" t="e">
        <f>'All regions'!F5219+"$F;@!))q"</f>
        <v>#VALUE!</v>
      </c>
      <c r="ED188" t="e">
        <f>'All regions'!G5219+"$F;@!))r"</f>
        <v>#VALUE!</v>
      </c>
      <c r="EE188" t="e">
        <f>'All regions'!H5219+"$F;@!))s"</f>
        <v>#VALUE!</v>
      </c>
      <c r="EF188" t="e">
        <f>'All regions'!I5219+"$F;@!))t"</f>
        <v>#VALUE!</v>
      </c>
      <c r="EG188" t="e">
        <f>'All regions'!A5220+"$F;@!))u"</f>
        <v>#VALUE!</v>
      </c>
      <c r="EH188" t="e">
        <f>'All regions'!B5220+"$F;@!))v"</f>
        <v>#VALUE!</v>
      </c>
      <c r="EI188" t="e">
        <f>'All regions'!C5220+"$F;@!))w"</f>
        <v>#VALUE!</v>
      </c>
      <c r="EJ188" t="e">
        <f>'All regions'!D5220+"$F;@!))x"</f>
        <v>#VALUE!</v>
      </c>
      <c r="EK188" t="e">
        <f>'All regions'!E5220+"$F;@!))y"</f>
        <v>#VALUE!</v>
      </c>
      <c r="EL188" t="e">
        <f>'All regions'!F5220+"$F;@!))z"</f>
        <v>#VALUE!</v>
      </c>
      <c r="EM188" t="e">
        <f>'All regions'!G5220+"$F;@!)){"</f>
        <v>#VALUE!</v>
      </c>
      <c r="EN188" t="e">
        <f>'All regions'!H5220+"$F;@!))|"</f>
        <v>#VALUE!</v>
      </c>
      <c r="EO188" t="e">
        <f>'All regions'!I5220+"$F;@!))}"</f>
        <v>#VALUE!</v>
      </c>
      <c r="EP188" t="e">
        <f>'All regions'!A5221+"$F;@!))~"</f>
        <v>#VALUE!</v>
      </c>
      <c r="EQ188" t="e">
        <f>'All regions'!B5221+"$F;@!).#"</f>
        <v>#VALUE!</v>
      </c>
      <c r="ER188" t="e">
        <f>'All regions'!C5221+"$F;@!).$"</f>
        <v>#VALUE!</v>
      </c>
      <c r="ES188" t="e">
        <f>'All regions'!D5221+"$F;@!).%"</f>
        <v>#VALUE!</v>
      </c>
      <c r="ET188" t="e">
        <f>'All regions'!E5221+"$F;@!).&amp;"</f>
        <v>#VALUE!</v>
      </c>
      <c r="EU188" t="e">
        <f>'All regions'!F5221+"$F;@!).'"</f>
        <v>#VALUE!</v>
      </c>
      <c r="EV188" t="e">
        <f>'All regions'!G5221+"$F;@!).("</f>
        <v>#VALUE!</v>
      </c>
      <c r="EW188" t="e">
        <f>'All regions'!H5221+"$F;@!).)"</f>
        <v>#VALUE!</v>
      </c>
      <c r="EX188" t="e">
        <f>'All regions'!I5221+"$F;@!).."</f>
        <v>#VALUE!</v>
      </c>
      <c r="EY188" t="e">
        <f>'All regions'!A5222+"$F;@!)./"</f>
        <v>#VALUE!</v>
      </c>
      <c r="EZ188" t="e">
        <f>'All regions'!B5222+"$F;@!).0"</f>
        <v>#VALUE!</v>
      </c>
      <c r="FA188" t="e">
        <f>'All regions'!C5222+"$F;@!).1"</f>
        <v>#VALUE!</v>
      </c>
      <c r="FB188" t="e">
        <f>'All regions'!D5222+"$F;@!).2"</f>
        <v>#VALUE!</v>
      </c>
      <c r="FC188" t="e">
        <f>'All regions'!E5222+"$F;@!).3"</f>
        <v>#VALUE!</v>
      </c>
      <c r="FD188" t="e">
        <f>'All regions'!F5222+"$F;@!).4"</f>
        <v>#VALUE!</v>
      </c>
      <c r="FE188" t="e">
        <f>'All regions'!G5222+"$F;@!).5"</f>
        <v>#VALUE!</v>
      </c>
      <c r="FF188" t="e">
        <f>'All regions'!H5222+"$F;@!).6"</f>
        <v>#VALUE!</v>
      </c>
      <c r="FG188" t="e">
        <f>'All regions'!I5222+"$F;@!).7"</f>
        <v>#VALUE!</v>
      </c>
      <c r="FH188" t="e">
        <f>'All regions'!A5223+"$F;@!).8"</f>
        <v>#VALUE!</v>
      </c>
      <c r="FI188" t="e">
        <f>'All regions'!B5223+"$F;@!).9"</f>
        <v>#VALUE!</v>
      </c>
      <c r="FJ188" t="e">
        <f>'All regions'!C5223+"$F;@!).:"</f>
        <v>#VALUE!</v>
      </c>
      <c r="FK188" t="e">
        <f>'All regions'!D5223+"$F;@!).;"</f>
        <v>#VALUE!</v>
      </c>
      <c r="FL188" t="e">
        <f>'All regions'!E5223+"$F;@!).&lt;"</f>
        <v>#VALUE!</v>
      </c>
      <c r="FM188" t="e">
        <f>'All regions'!F5223+"$F;@!).="</f>
        <v>#VALUE!</v>
      </c>
      <c r="FN188" t="e">
        <f>'All regions'!G5223+"$F;@!).&gt;"</f>
        <v>#VALUE!</v>
      </c>
      <c r="FO188" t="e">
        <f>'All regions'!H5223+"$F;@!).?"</f>
        <v>#VALUE!</v>
      </c>
      <c r="FP188" t="e">
        <f>'All regions'!I5223+"$F;@!).@"</f>
        <v>#VALUE!</v>
      </c>
      <c r="FQ188" t="e">
        <f>'All regions'!A5224+"$F;@!).A"</f>
        <v>#VALUE!</v>
      </c>
      <c r="FR188" t="e">
        <f>'All regions'!B5224+"$F;@!).B"</f>
        <v>#VALUE!</v>
      </c>
      <c r="FS188" t="e">
        <f>'All regions'!C5224+"$F;@!).C"</f>
        <v>#VALUE!</v>
      </c>
      <c r="FT188" t="e">
        <f>'All regions'!D5224+"$F;@!).D"</f>
        <v>#VALUE!</v>
      </c>
      <c r="FU188" t="e">
        <f>'All regions'!E5224+"$F;@!).E"</f>
        <v>#VALUE!</v>
      </c>
      <c r="FV188" t="e">
        <f>'All regions'!F5224+"$F;@!).F"</f>
        <v>#VALUE!</v>
      </c>
      <c r="FW188" t="e">
        <f>'All regions'!G5224+"$F;@!).G"</f>
        <v>#VALUE!</v>
      </c>
      <c r="FX188" t="e">
        <f>'All regions'!H5224+"$F;@!).H"</f>
        <v>#VALUE!</v>
      </c>
      <c r="FY188" t="e">
        <f>'All regions'!I5224+"$F;@!).I"</f>
        <v>#VALUE!</v>
      </c>
      <c r="FZ188" t="e">
        <f>'All regions'!A5225+"$F;@!).J"</f>
        <v>#VALUE!</v>
      </c>
      <c r="GA188" t="e">
        <f>'All regions'!B5225+"$F;@!).K"</f>
        <v>#VALUE!</v>
      </c>
      <c r="GB188" t="e">
        <f>'All regions'!C5225+"$F;@!).L"</f>
        <v>#VALUE!</v>
      </c>
      <c r="GC188" t="e">
        <f>'All regions'!D5225+"$F;@!).M"</f>
        <v>#VALUE!</v>
      </c>
      <c r="GD188" t="e">
        <f>'All regions'!E5225+"$F;@!).N"</f>
        <v>#VALUE!</v>
      </c>
      <c r="GE188" t="e">
        <f>'All regions'!F5225+"$F;@!).O"</f>
        <v>#VALUE!</v>
      </c>
      <c r="GF188" t="e">
        <f>'All regions'!G5225+"$F;@!).P"</f>
        <v>#VALUE!</v>
      </c>
      <c r="GG188" t="e">
        <f>'All regions'!H5225+"$F;@!).Q"</f>
        <v>#VALUE!</v>
      </c>
      <c r="GH188" t="e">
        <f>'All regions'!I5225+"$F;@!).R"</f>
        <v>#VALUE!</v>
      </c>
      <c r="GI188" t="e">
        <f>'All regions'!A5226+"$F;@!).S"</f>
        <v>#VALUE!</v>
      </c>
      <c r="GJ188" t="e">
        <f>'All regions'!B5226+"$F;@!).T"</f>
        <v>#VALUE!</v>
      </c>
      <c r="GK188" t="e">
        <f>'All regions'!C5226+"$F;@!).U"</f>
        <v>#VALUE!</v>
      </c>
      <c r="GL188" t="e">
        <f>'All regions'!D5226+"$F;@!).V"</f>
        <v>#VALUE!</v>
      </c>
      <c r="GM188" t="e">
        <f>'All regions'!E5226+"$F;@!).W"</f>
        <v>#VALUE!</v>
      </c>
      <c r="GN188" t="e">
        <f>'All regions'!F5226+"$F;@!).X"</f>
        <v>#VALUE!</v>
      </c>
      <c r="GO188" t="e">
        <f>'All regions'!G5226+"$F;@!).Y"</f>
        <v>#VALUE!</v>
      </c>
      <c r="GP188" t="e">
        <f>'All regions'!H5226+"$F;@!).Z"</f>
        <v>#VALUE!</v>
      </c>
      <c r="GQ188" t="e">
        <f>'All regions'!I5226+"$F;@!).["</f>
        <v>#VALUE!</v>
      </c>
      <c r="GR188" t="e">
        <f>'All regions'!A5227+"$F;@!).\"</f>
        <v>#VALUE!</v>
      </c>
      <c r="GS188" t="e">
        <f>'All regions'!B5227+"$F;@!).]"</f>
        <v>#VALUE!</v>
      </c>
      <c r="GT188" t="e">
        <f>'All regions'!C5227+"$F;@!).^"</f>
        <v>#VALUE!</v>
      </c>
      <c r="GU188" t="e">
        <f>'All regions'!D5227+"$F;@!)._"</f>
        <v>#VALUE!</v>
      </c>
      <c r="GV188" t="e">
        <f>'All regions'!E5227+"$F;@!).`"</f>
        <v>#VALUE!</v>
      </c>
      <c r="GW188" t="e">
        <f>'All regions'!F5227+"$F;@!).a"</f>
        <v>#VALUE!</v>
      </c>
      <c r="GX188" t="e">
        <f>'All regions'!G5227+"$F;@!).b"</f>
        <v>#VALUE!</v>
      </c>
      <c r="GY188" t="e">
        <f>'All regions'!H5227+"$F;@!).c"</f>
        <v>#VALUE!</v>
      </c>
      <c r="GZ188" t="e">
        <f>'All regions'!I5227+"$F;@!).d"</f>
        <v>#VALUE!</v>
      </c>
      <c r="HA188" t="e">
        <f>'All regions'!A5228+"$F;@!).e"</f>
        <v>#VALUE!</v>
      </c>
      <c r="HB188" t="e">
        <f>'All regions'!B5228+"$F;@!).f"</f>
        <v>#VALUE!</v>
      </c>
      <c r="HC188" t="e">
        <f>'All regions'!C5228+"$F;@!).g"</f>
        <v>#VALUE!</v>
      </c>
      <c r="HD188" t="e">
        <f>'All regions'!D5228+"$F;@!).h"</f>
        <v>#VALUE!</v>
      </c>
      <c r="HE188" t="e">
        <f>'All regions'!E5228+"$F;@!).i"</f>
        <v>#VALUE!</v>
      </c>
      <c r="HF188" t="e">
        <f>'All regions'!F5228+"$F;@!).j"</f>
        <v>#VALUE!</v>
      </c>
      <c r="HG188" t="e">
        <f>'All regions'!G5228+"$F;@!).k"</f>
        <v>#VALUE!</v>
      </c>
      <c r="HH188" t="e">
        <f>'All regions'!H5228+"$F;@!).l"</f>
        <v>#VALUE!</v>
      </c>
      <c r="HI188" t="e">
        <f>'All regions'!I5228+"$F;@!).m"</f>
        <v>#VALUE!</v>
      </c>
      <c r="HJ188" t="e">
        <f>'All regions'!A5229+"$F;@!).n"</f>
        <v>#VALUE!</v>
      </c>
      <c r="HK188" t="e">
        <f>'All regions'!B5229+"$F;@!).o"</f>
        <v>#VALUE!</v>
      </c>
      <c r="HL188" t="e">
        <f>'All regions'!C5229+"$F;@!).p"</f>
        <v>#VALUE!</v>
      </c>
      <c r="HM188" t="e">
        <f>'All regions'!D5229+"$F;@!).q"</f>
        <v>#VALUE!</v>
      </c>
      <c r="HN188" t="e">
        <f>'All regions'!E5229+"$F;@!).r"</f>
        <v>#VALUE!</v>
      </c>
      <c r="HO188" t="e">
        <f>'All regions'!F5229+"$F;@!).s"</f>
        <v>#VALUE!</v>
      </c>
      <c r="HP188" t="e">
        <f>'All regions'!G5229+"$F;@!).t"</f>
        <v>#VALUE!</v>
      </c>
      <c r="HQ188" t="e">
        <f>'All regions'!H5229+"$F;@!).u"</f>
        <v>#VALUE!</v>
      </c>
      <c r="HR188" t="e">
        <f>'All regions'!I5229+"$F;@!).v"</f>
        <v>#VALUE!</v>
      </c>
      <c r="HS188" t="e">
        <f>'All regions'!A5230+"$F;@!).w"</f>
        <v>#VALUE!</v>
      </c>
      <c r="HT188" t="e">
        <f>'All regions'!B5230+"$F;@!).x"</f>
        <v>#VALUE!</v>
      </c>
      <c r="HU188" t="e">
        <f>'All regions'!C5230+"$F;@!).y"</f>
        <v>#VALUE!</v>
      </c>
      <c r="HV188" t="e">
        <f>'All regions'!D5230+"$F;@!).z"</f>
        <v>#VALUE!</v>
      </c>
      <c r="HW188" t="e">
        <f>'All regions'!E5230+"$F;@!).{"</f>
        <v>#VALUE!</v>
      </c>
      <c r="HX188" t="e">
        <f>'All regions'!F5230+"$F;@!).|"</f>
        <v>#VALUE!</v>
      </c>
      <c r="HY188" t="e">
        <f>'All regions'!G5230+"$F;@!).}"</f>
        <v>#VALUE!</v>
      </c>
      <c r="HZ188" t="e">
        <f>'All regions'!H5230+"$F;@!).~"</f>
        <v>#VALUE!</v>
      </c>
      <c r="IA188" t="e">
        <f>'All regions'!I5230+"$F;@!)/#"</f>
        <v>#VALUE!</v>
      </c>
      <c r="IB188" t="e">
        <f>'All regions'!A5231+"$F;@!)/$"</f>
        <v>#VALUE!</v>
      </c>
      <c r="IC188" t="e">
        <f>'All regions'!B5231+"$F;@!)/%"</f>
        <v>#VALUE!</v>
      </c>
      <c r="ID188" t="e">
        <f>'All regions'!C5231+"$F;@!)/&amp;"</f>
        <v>#VALUE!</v>
      </c>
      <c r="IE188" t="e">
        <f>'All regions'!D5231+"$F;@!)/'"</f>
        <v>#VALUE!</v>
      </c>
      <c r="IF188" t="e">
        <f>'All regions'!E5231+"$F;@!)/("</f>
        <v>#VALUE!</v>
      </c>
      <c r="IG188" t="e">
        <f>'All regions'!F5231+"$F;@!)/)"</f>
        <v>#VALUE!</v>
      </c>
      <c r="IH188" t="e">
        <f>'All regions'!G5231+"$F;@!)/."</f>
        <v>#VALUE!</v>
      </c>
      <c r="II188" t="e">
        <f>'All regions'!H5231+"$F;@!)//"</f>
        <v>#VALUE!</v>
      </c>
      <c r="IJ188" t="e">
        <f>'All regions'!I5231+"$F;@!)/0"</f>
        <v>#VALUE!</v>
      </c>
      <c r="IK188" t="e">
        <f>'All regions'!A5232+"$F;@!)/1"</f>
        <v>#VALUE!</v>
      </c>
      <c r="IL188" t="e">
        <f>'All regions'!B5232+"$F;@!)/2"</f>
        <v>#VALUE!</v>
      </c>
      <c r="IM188" t="e">
        <f>'All regions'!C5232+"$F;@!)/3"</f>
        <v>#VALUE!</v>
      </c>
      <c r="IN188" t="e">
        <f>'All regions'!D5232+"$F;@!)/4"</f>
        <v>#VALUE!</v>
      </c>
      <c r="IO188" t="e">
        <f>'All regions'!E5232+"$F;@!)/5"</f>
        <v>#VALUE!</v>
      </c>
      <c r="IP188" t="e">
        <f>'All regions'!F5232+"$F;@!)/6"</f>
        <v>#VALUE!</v>
      </c>
      <c r="IQ188" t="e">
        <f>'All regions'!G5232+"$F;@!)/7"</f>
        <v>#VALUE!</v>
      </c>
      <c r="IR188" t="e">
        <f>'All regions'!H5232+"$F;@!)/8"</f>
        <v>#VALUE!</v>
      </c>
      <c r="IS188" t="e">
        <f>'All regions'!I5232+"$F;@!)/9"</f>
        <v>#VALUE!</v>
      </c>
      <c r="IT188" t="e">
        <f>'All regions'!A5233+"$F;@!)/:"</f>
        <v>#VALUE!</v>
      </c>
      <c r="IU188" t="e">
        <f>'All regions'!B5233+"$F;@!)/;"</f>
        <v>#VALUE!</v>
      </c>
      <c r="IV188" t="e">
        <f>'All regions'!C5233+"$F;@!)/&lt;"</f>
        <v>#VALUE!</v>
      </c>
    </row>
    <row r="189" spans="6:256" x14ac:dyDescent="0.35">
      <c r="F189" t="e">
        <f>'All regions'!D5233+"$F;@!)/="</f>
        <v>#VALUE!</v>
      </c>
      <c r="G189" t="e">
        <f>'All regions'!E5233+"$F;@!)/&gt;"</f>
        <v>#VALUE!</v>
      </c>
      <c r="H189" t="e">
        <f>'All regions'!F5233+"$F;@!)/?"</f>
        <v>#VALUE!</v>
      </c>
      <c r="I189" t="e">
        <f>'All regions'!G5233+"$F;@!)/@"</f>
        <v>#VALUE!</v>
      </c>
      <c r="J189" t="e">
        <f>'All regions'!H5233+"$F;@!)/A"</f>
        <v>#VALUE!</v>
      </c>
      <c r="K189" t="e">
        <f>'All regions'!I5233+"$F;@!)/B"</f>
        <v>#VALUE!</v>
      </c>
      <c r="L189" t="e">
        <f>'All regions'!A5234+"$F;@!)/C"</f>
        <v>#VALUE!</v>
      </c>
      <c r="M189" t="e">
        <f>'All regions'!B5234+"$F;@!)/D"</f>
        <v>#VALUE!</v>
      </c>
      <c r="N189" t="e">
        <f>'All regions'!C5234+"$F;@!)/E"</f>
        <v>#VALUE!</v>
      </c>
      <c r="O189" t="e">
        <f>'All regions'!D5234+"$F;@!)/F"</f>
        <v>#VALUE!</v>
      </c>
      <c r="P189" t="e">
        <f>'All regions'!E5234+"$F;@!)/G"</f>
        <v>#VALUE!</v>
      </c>
      <c r="Q189" t="e">
        <f>'All regions'!F5234+"$F;@!)/H"</f>
        <v>#VALUE!</v>
      </c>
      <c r="R189" t="e">
        <f>'All regions'!G5234+"$F;@!)/I"</f>
        <v>#VALUE!</v>
      </c>
      <c r="S189" t="e">
        <f>'All regions'!H5234+"$F;@!)/J"</f>
        <v>#VALUE!</v>
      </c>
      <c r="T189" t="e">
        <f>'All regions'!I5234+"$F;@!)/K"</f>
        <v>#VALUE!</v>
      </c>
      <c r="U189" t="e">
        <f>'All regions'!A5235+"$F;@!)/L"</f>
        <v>#VALUE!</v>
      </c>
      <c r="V189" t="e">
        <f>'All regions'!B5235+"$F;@!)/M"</f>
        <v>#VALUE!</v>
      </c>
      <c r="W189" t="e">
        <f>'All regions'!C5235+"$F;@!)/N"</f>
        <v>#VALUE!</v>
      </c>
      <c r="X189" t="e">
        <f>'All regions'!D5235+"$F;@!)/O"</f>
        <v>#VALUE!</v>
      </c>
      <c r="Y189" t="e">
        <f>'All regions'!E5235+"$F;@!)/P"</f>
        <v>#VALUE!</v>
      </c>
      <c r="Z189" t="e">
        <f>'All regions'!F5235+"$F;@!)/Q"</f>
        <v>#VALUE!</v>
      </c>
      <c r="AA189" t="e">
        <f>'All regions'!G5235+"$F;@!)/R"</f>
        <v>#VALUE!</v>
      </c>
      <c r="AB189" t="e">
        <f>'All regions'!H5235+"$F;@!)/S"</f>
        <v>#VALUE!</v>
      </c>
      <c r="AC189" t="e">
        <f>'All regions'!I5235+"$F;@!)/T"</f>
        <v>#VALUE!</v>
      </c>
      <c r="AD189" t="e">
        <f>'All regions'!A5236+"$F;@!)/U"</f>
        <v>#VALUE!</v>
      </c>
      <c r="AE189" t="e">
        <f>'All regions'!B5236+"$F;@!)/V"</f>
        <v>#VALUE!</v>
      </c>
      <c r="AF189" t="e">
        <f>'All regions'!C5236+"$F;@!)/W"</f>
        <v>#VALUE!</v>
      </c>
      <c r="AG189" t="e">
        <f>'All regions'!D5236+"$F;@!)/X"</f>
        <v>#VALUE!</v>
      </c>
      <c r="AH189" t="e">
        <f>'All regions'!E5236+"$F;@!)/Y"</f>
        <v>#VALUE!</v>
      </c>
      <c r="AI189" t="e">
        <f>'All regions'!F5236+"$F;@!)/Z"</f>
        <v>#VALUE!</v>
      </c>
      <c r="AJ189" t="e">
        <f>'All regions'!G5236+"$F;@!)/["</f>
        <v>#VALUE!</v>
      </c>
      <c r="AK189" t="e">
        <f>'All regions'!H5236+"$F;@!)/\"</f>
        <v>#VALUE!</v>
      </c>
      <c r="AL189" t="e">
        <f>'All regions'!I5236+"$F;@!)/]"</f>
        <v>#VALUE!</v>
      </c>
      <c r="AM189" t="e">
        <f>'All regions'!A5237+"$F;@!)/^"</f>
        <v>#VALUE!</v>
      </c>
      <c r="AN189" t="e">
        <f>'All regions'!B5237+"$F;@!)/_"</f>
        <v>#VALUE!</v>
      </c>
      <c r="AO189" t="e">
        <f>'All regions'!C5237+"$F;@!)/`"</f>
        <v>#VALUE!</v>
      </c>
      <c r="AP189" t="e">
        <f>'All regions'!D5237+"$F;@!)/a"</f>
        <v>#VALUE!</v>
      </c>
      <c r="AQ189" t="e">
        <f>'All regions'!E5237+"$F;@!)/b"</f>
        <v>#VALUE!</v>
      </c>
      <c r="AR189" t="e">
        <f>'All regions'!F5237+"$F;@!)/c"</f>
        <v>#VALUE!</v>
      </c>
      <c r="AS189" t="e">
        <f>'All regions'!G5237+"$F;@!)/d"</f>
        <v>#VALUE!</v>
      </c>
      <c r="AT189" t="e">
        <f>'All regions'!H5237+"$F;@!)/e"</f>
        <v>#VALUE!</v>
      </c>
      <c r="AU189" t="e">
        <f>'All regions'!I5237+"$F;@!)/f"</f>
        <v>#VALUE!</v>
      </c>
      <c r="AV189" t="e">
        <f>'All regions'!A5238+"$F;@!)/g"</f>
        <v>#VALUE!</v>
      </c>
      <c r="AW189" t="e">
        <f>'All regions'!B5238+"$F;@!)/h"</f>
        <v>#VALUE!</v>
      </c>
      <c r="AX189" t="e">
        <f>'All regions'!C5238+"$F;@!)/i"</f>
        <v>#VALUE!</v>
      </c>
      <c r="AY189" t="e">
        <f>'All regions'!D5238+"$F;@!)/j"</f>
        <v>#VALUE!</v>
      </c>
      <c r="AZ189" t="e">
        <f>'All regions'!E5238+"$F;@!)/k"</f>
        <v>#VALUE!</v>
      </c>
      <c r="BA189" t="e">
        <f>'All regions'!F5238+"$F;@!)/l"</f>
        <v>#VALUE!</v>
      </c>
      <c r="BB189" t="e">
        <f>'All regions'!G5238+"$F;@!)/m"</f>
        <v>#VALUE!</v>
      </c>
      <c r="BC189" t="e">
        <f>'All regions'!H5238+"$F;@!)/n"</f>
        <v>#VALUE!</v>
      </c>
      <c r="BD189" t="e">
        <f>'All regions'!I5238+"$F;@!)/o"</f>
        <v>#VALUE!</v>
      </c>
      <c r="BE189" t="e">
        <f>'All regions'!A5239+"$F;@!)/p"</f>
        <v>#VALUE!</v>
      </c>
      <c r="BF189" t="e">
        <f>'All regions'!B5239+"$F;@!)/q"</f>
        <v>#VALUE!</v>
      </c>
      <c r="BG189" t="e">
        <f>'All regions'!C5239+"$F;@!)/r"</f>
        <v>#VALUE!</v>
      </c>
      <c r="BH189" t="e">
        <f>'All regions'!D5239+"$F;@!)/s"</f>
        <v>#VALUE!</v>
      </c>
      <c r="BI189" t="e">
        <f>'All regions'!E5239+"$F;@!)/t"</f>
        <v>#VALUE!</v>
      </c>
      <c r="BJ189" t="e">
        <f>'All regions'!F5239+"$F;@!)/u"</f>
        <v>#VALUE!</v>
      </c>
      <c r="BK189" t="e">
        <f>'All regions'!G5239+"$F;@!)/v"</f>
        <v>#VALUE!</v>
      </c>
      <c r="BL189" t="e">
        <f>'All regions'!H5239+"$F;@!)/w"</f>
        <v>#VALUE!</v>
      </c>
      <c r="BM189" t="e">
        <f>'All regions'!I5239+"$F;@!)/x"</f>
        <v>#VALUE!</v>
      </c>
      <c r="BN189" t="e">
        <f>'All regions'!A5240+"$F;@!)/y"</f>
        <v>#VALUE!</v>
      </c>
      <c r="BO189" t="e">
        <f>'All regions'!B5240+"$F;@!)/z"</f>
        <v>#VALUE!</v>
      </c>
      <c r="BP189" t="e">
        <f>'All regions'!C5240+"$F;@!)/{"</f>
        <v>#VALUE!</v>
      </c>
      <c r="BQ189" t="e">
        <f>'All regions'!D5240+"$F;@!)/|"</f>
        <v>#VALUE!</v>
      </c>
      <c r="BR189" t="e">
        <f>'All regions'!E5240+"$F;@!)/}"</f>
        <v>#VALUE!</v>
      </c>
      <c r="BS189" t="e">
        <f>'All regions'!F5240+"$F;@!)/~"</f>
        <v>#VALUE!</v>
      </c>
      <c r="BT189" t="e">
        <f>'All regions'!G5240+"$F;@!)0#"</f>
        <v>#VALUE!</v>
      </c>
      <c r="BU189" t="e">
        <f>'All regions'!H5240+"$F;@!)0$"</f>
        <v>#VALUE!</v>
      </c>
      <c r="BV189" t="e">
        <f>'All regions'!I5240+"$F;@!)0%"</f>
        <v>#VALUE!</v>
      </c>
      <c r="BW189" t="e">
        <f>'All regions'!A5241+"$F;@!)0&amp;"</f>
        <v>#VALUE!</v>
      </c>
      <c r="BX189" t="e">
        <f>'All regions'!B5241+"$F;@!)0'"</f>
        <v>#VALUE!</v>
      </c>
      <c r="BY189" t="e">
        <f>'All regions'!C5241+"$F;@!)0("</f>
        <v>#VALUE!</v>
      </c>
      <c r="BZ189" t="e">
        <f>'All regions'!D5241+"$F;@!)0)"</f>
        <v>#VALUE!</v>
      </c>
      <c r="CA189" t="e">
        <f>'All regions'!E5241+"$F;@!)0."</f>
        <v>#VALUE!</v>
      </c>
      <c r="CB189" t="e">
        <f>'All regions'!F5241+"$F;@!)0/"</f>
        <v>#VALUE!</v>
      </c>
      <c r="CC189" t="e">
        <f>'All regions'!G5241+"$F;@!)00"</f>
        <v>#VALUE!</v>
      </c>
      <c r="CD189" t="e">
        <f>'All regions'!H5241+"$F;@!)01"</f>
        <v>#VALUE!</v>
      </c>
      <c r="CE189" t="e">
        <f>'All regions'!I5241+"$F;@!)02"</f>
        <v>#VALUE!</v>
      </c>
      <c r="CF189" t="e">
        <f>'All regions'!A5242+"$F;@!)03"</f>
        <v>#VALUE!</v>
      </c>
      <c r="CG189" t="e">
        <f>'All regions'!B5242+"$F;@!)04"</f>
        <v>#VALUE!</v>
      </c>
      <c r="CH189" t="e">
        <f>'All regions'!C5242+"$F;@!)05"</f>
        <v>#VALUE!</v>
      </c>
      <c r="CI189" t="e">
        <f>'All regions'!D5242+"$F;@!)06"</f>
        <v>#VALUE!</v>
      </c>
      <c r="CJ189" t="e">
        <f>'All regions'!E5242+"$F;@!)07"</f>
        <v>#VALUE!</v>
      </c>
      <c r="CK189" t="e">
        <f>'All regions'!F5242+"$F;@!)08"</f>
        <v>#VALUE!</v>
      </c>
      <c r="CL189" t="e">
        <f>'All regions'!G5242+"$F;@!)09"</f>
        <v>#VALUE!</v>
      </c>
      <c r="CM189" t="e">
        <f>'All regions'!H5242+"$F;@!)0:"</f>
        <v>#VALUE!</v>
      </c>
      <c r="CN189" t="e">
        <f>'All regions'!I5242+"$F;@!)0;"</f>
        <v>#VALUE!</v>
      </c>
      <c r="CO189" t="e">
        <f>'All regions'!A5243+"$F;@!)0&lt;"</f>
        <v>#VALUE!</v>
      </c>
      <c r="CP189" t="e">
        <f>'All regions'!B5243+"$F;@!)0="</f>
        <v>#VALUE!</v>
      </c>
      <c r="CQ189" t="e">
        <f>'All regions'!C5243+"$F;@!)0&gt;"</f>
        <v>#VALUE!</v>
      </c>
      <c r="CR189" t="e">
        <f>'All regions'!D5243+"$F;@!)0?"</f>
        <v>#VALUE!</v>
      </c>
      <c r="CS189" t="e">
        <f>'All regions'!E5243+"$F;@!)0@"</f>
        <v>#VALUE!</v>
      </c>
      <c r="CT189" t="e">
        <f>'All regions'!F5243+"$F;@!)0A"</f>
        <v>#VALUE!</v>
      </c>
      <c r="CU189" t="e">
        <f>'All regions'!G5243+"$F;@!)0B"</f>
        <v>#VALUE!</v>
      </c>
      <c r="CV189" t="e">
        <f>'All regions'!H5243+"$F;@!)0C"</f>
        <v>#VALUE!</v>
      </c>
      <c r="CW189" t="e">
        <f>'All regions'!I5243+"$F;@!)0D"</f>
        <v>#VALUE!</v>
      </c>
      <c r="CX189" t="e">
        <f>'All regions'!A5244+"$F;@!)0E"</f>
        <v>#VALUE!</v>
      </c>
      <c r="CY189" t="e">
        <f>'All regions'!B5244+"$F;@!)0F"</f>
        <v>#VALUE!</v>
      </c>
      <c r="CZ189" t="e">
        <f>'All regions'!C5244+"$F;@!)0G"</f>
        <v>#VALUE!</v>
      </c>
      <c r="DA189" t="e">
        <f>'All regions'!D5244+"$F;@!)0H"</f>
        <v>#VALUE!</v>
      </c>
      <c r="DB189" t="e">
        <f>'All regions'!E5244+"$F;@!)0I"</f>
        <v>#VALUE!</v>
      </c>
      <c r="DC189" t="e">
        <f>'All regions'!F5244+"$F;@!)0J"</f>
        <v>#VALUE!</v>
      </c>
      <c r="DD189" t="e">
        <f>'All regions'!G5244+"$F;@!)0K"</f>
        <v>#VALUE!</v>
      </c>
      <c r="DE189" t="e">
        <f>'All regions'!H5244+"$F;@!)0L"</f>
        <v>#VALUE!</v>
      </c>
      <c r="DF189" t="e">
        <f>'All regions'!I5244+"$F;@!)0M"</f>
        <v>#VALUE!</v>
      </c>
      <c r="DG189" t="e">
        <f>'All regions'!A5245+"$F;@!)0N"</f>
        <v>#VALUE!</v>
      </c>
      <c r="DH189" t="e">
        <f>'All regions'!B5245+"$F;@!)0O"</f>
        <v>#VALUE!</v>
      </c>
      <c r="DI189" t="e">
        <f>'All regions'!C5245+"$F;@!)0P"</f>
        <v>#VALUE!</v>
      </c>
      <c r="DJ189" t="e">
        <f>'All regions'!D5245+"$F;@!)0Q"</f>
        <v>#VALUE!</v>
      </c>
      <c r="DK189" t="e">
        <f>'All regions'!E5245+"$F;@!)0R"</f>
        <v>#VALUE!</v>
      </c>
      <c r="DL189" t="e">
        <f>'All regions'!F5245+"$F;@!)0S"</f>
        <v>#VALUE!</v>
      </c>
      <c r="DM189" t="e">
        <f>'All regions'!G5245+"$F;@!)0T"</f>
        <v>#VALUE!</v>
      </c>
      <c r="DN189" t="e">
        <f>'All regions'!H5245+"$F;@!)0U"</f>
        <v>#VALUE!</v>
      </c>
      <c r="DO189" t="e">
        <f>'All regions'!I5245+"$F;@!)0V"</f>
        <v>#VALUE!</v>
      </c>
      <c r="DP189" t="e">
        <f>'All regions'!A5246+"$F;@!)0W"</f>
        <v>#VALUE!</v>
      </c>
      <c r="DQ189" t="e">
        <f>'All regions'!B5246+"$F;@!)0X"</f>
        <v>#VALUE!</v>
      </c>
      <c r="DR189" t="e">
        <f>'All regions'!C5246+"$F;@!)0Y"</f>
        <v>#VALUE!</v>
      </c>
      <c r="DS189" t="e">
        <f>'All regions'!D5246+"$F;@!)0Z"</f>
        <v>#VALUE!</v>
      </c>
      <c r="DT189" t="e">
        <f>'All regions'!E5246+"$F;@!)0["</f>
        <v>#VALUE!</v>
      </c>
      <c r="DU189" t="e">
        <f>'All regions'!F5246+"$F;@!)0\"</f>
        <v>#VALUE!</v>
      </c>
      <c r="DV189" t="e">
        <f>'All regions'!G5246+"$F;@!)0]"</f>
        <v>#VALUE!</v>
      </c>
      <c r="DW189" t="e">
        <f>'All regions'!H5246+"$F;@!)0^"</f>
        <v>#VALUE!</v>
      </c>
      <c r="DX189" t="e">
        <f>'All regions'!I5246+"$F;@!)0_"</f>
        <v>#VALUE!</v>
      </c>
      <c r="DY189" t="e">
        <f>'All regions'!A5247+"$F;@!)0`"</f>
        <v>#VALUE!</v>
      </c>
      <c r="DZ189" t="e">
        <f>'All regions'!B5247+"$F;@!)0a"</f>
        <v>#VALUE!</v>
      </c>
      <c r="EA189" t="e">
        <f>'All regions'!C5247+"$F;@!)0b"</f>
        <v>#VALUE!</v>
      </c>
      <c r="EB189" t="e">
        <f>'All regions'!D5247+"$F;@!)0c"</f>
        <v>#VALUE!</v>
      </c>
      <c r="EC189" t="e">
        <f>'All regions'!E5247+"$F;@!)0d"</f>
        <v>#VALUE!</v>
      </c>
      <c r="ED189" t="e">
        <f>'All regions'!F5247+"$F;@!)0e"</f>
        <v>#VALUE!</v>
      </c>
      <c r="EE189" t="e">
        <f>'All regions'!G5247+"$F;@!)0f"</f>
        <v>#VALUE!</v>
      </c>
      <c r="EF189" t="e">
        <f>'All regions'!H5247+"$F;@!)0g"</f>
        <v>#VALUE!</v>
      </c>
      <c r="EG189" t="e">
        <f>'All regions'!I5247+"$F;@!)0h"</f>
        <v>#VALUE!</v>
      </c>
      <c r="EH189" t="e">
        <f>'All regions'!A5248+"$F;@!)0i"</f>
        <v>#VALUE!</v>
      </c>
      <c r="EI189" t="e">
        <f>'All regions'!B5248+"$F;@!)0j"</f>
        <v>#VALUE!</v>
      </c>
      <c r="EJ189" t="e">
        <f>'All regions'!C5248+"$F;@!)0k"</f>
        <v>#VALUE!</v>
      </c>
      <c r="EK189" t="e">
        <f>'All regions'!D5248+"$F;@!)0l"</f>
        <v>#VALUE!</v>
      </c>
      <c r="EL189" t="e">
        <f>'All regions'!E5248+"$F;@!)0m"</f>
        <v>#VALUE!</v>
      </c>
      <c r="EM189" t="e">
        <f>'All regions'!F5248+"$F;@!)0n"</f>
        <v>#VALUE!</v>
      </c>
      <c r="EN189" t="e">
        <f>'All regions'!G5248+"$F;@!)0o"</f>
        <v>#VALUE!</v>
      </c>
      <c r="EO189" t="e">
        <f>'All regions'!H5248+"$F;@!)0p"</f>
        <v>#VALUE!</v>
      </c>
      <c r="EP189" t="e">
        <f>'All regions'!I5248+"$F;@!)0q"</f>
        <v>#VALUE!</v>
      </c>
      <c r="EQ189" t="e">
        <f>'All regions'!A5249+"$F;@!)0r"</f>
        <v>#VALUE!</v>
      </c>
      <c r="ER189" t="e">
        <f>'All regions'!B5249+"$F;@!)0s"</f>
        <v>#VALUE!</v>
      </c>
      <c r="ES189" t="e">
        <f>'All regions'!C5249+"$F;@!)0t"</f>
        <v>#VALUE!</v>
      </c>
      <c r="ET189" t="e">
        <f>'All regions'!D5249+"$F;@!)0u"</f>
        <v>#VALUE!</v>
      </c>
      <c r="EU189" t="e">
        <f>'All regions'!E5249+"$F;@!)0v"</f>
        <v>#VALUE!</v>
      </c>
      <c r="EV189" t="e">
        <f>'All regions'!F5249+"$F;@!)0w"</f>
        <v>#VALUE!</v>
      </c>
      <c r="EW189" t="e">
        <f>'All regions'!G5249+"$F;@!)0x"</f>
        <v>#VALUE!</v>
      </c>
      <c r="EX189" t="e">
        <f>'All regions'!H5249+"$F;@!)0y"</f>
        <v>#VALUE!</v>
      </c>
      <c r="EY189" t="e">
        <f>'All regions'!I5249+"$F;@!)0z"</f>
        <v>#VALUE!</v>
      </c>
      <c r="EZ189" t="e">
        <f>'All regions'!A5250+"$F;@!)0{"</f>
        <v>#VALUE!</v>
      </c>
      <c r="FA189" t="e">
        <f>'All regions'!B5250+"$F;@!)0|"</f>
        <v>#VALUE!</v>
      </c>
      <c r="FB189" t="e">
        <f>'All regions'!C5250+"$F;@!)0}"</f>
        <v>#VALUE!</v>
      </c>
      <c r="FC189" t="e">
        <f>'All regions'!D5250+"$F;@!)0~"</f>
        <v>#VALUE!</v>
      </c>
      <c r="FD189" t="e">
        <f>'All regions'!E5250+"$F;@!)1#"</f>
        <v>#VALUE!</v>
      </c>
      <c r="FE189" t="e">
        <f>'All regions'!F5250+"$F;@!)1$"</f>
        <v>#VALUE!</v>
      </c>
      <c r="FF189" t="e">
        <f>'All regions'!G5250+"$F;@!)1%"</f>
        <v>#VALUE!</v>
      </c>
      <c r="FG189" t="e">
        <f>'All regions'!H5250+"$F;@!)1&amp;"</f>
        <v>#VALUE!</v>
      </c>
      <c r="FH189" t="e">
        <f>'All regions'!I5250+"$F;@!)1'"</f>
        <v>#VALUE!</v>
      </c>
      <c r="FI189" t="e">
        <f>'All regions'!A5251+"$F;@!)1("</f>
        <v>#VALUE!</v>
      </c>
      <c r="FJ189" t="e">
        <f>'All regions'!B5251+"$F;@!)1)"</f>
        <v>#VALUE!</v>
      </c>
      <c r="FK189" t="e">
        <f>'All regions'!C5251+"$F;@!)1."</f>
        <v>#VALUE!</v>
      </c>
      <c r="FL189" t="e">
        <f>'All regions'!D5251+"$F;@!)1/"</f>
        <v>#VALUE!</v>
      </c>
      <c r="FM189" t="e">
        <f>'All regions'!E5251+"$F;@!)10"</f>
        <v>#VALUE!</v>
      </c>
      <c r="FN189" t="e">
        <f>'All regions'!F5251+"$F;@!)11"</f>
        <v>#VALUE!</v>
      </c>
      <c r="FO189" t="e">
        <f>'All regions'!G5251+"$F;@!)12"</f>
        <v>#VALUE!</v>
      </c>
      <c r="FP189" t="e">
        <f>'All regions'!H5251+"$F;@!)13"</f>
        <v>#VALUE!</v>
      </c>
      <c r="FQ189" t="e">
        <f>'All regions'!I5251+"$F;@!)14"</f>
        <v>#VALUE!</v>
      </c>
      <c r="FR189" t="e">
        <f>'All regions'!A5252+"$F;@!)15"</f>
        <v>#VALUE!</v>
      </c>
      <c r="FS189" t="e">
        <f>'All regions'!B5252+"$F;@!)16"</f>
        <v>#VALUE!</v>
      </c>
      <c r="FT189" t="e">
        <f>'All regions'!C5252+"$F;@!)17"</f>
        <v>#VALUE!</v>
      </c>
      <c r="FU189" t="e">
        <f>'All regions'!D5252+"$F;@!)18"</f>
        <v>#VALUE!</v>
      </c>
      <c r="FV189" t="e">
        <f>'All regions'!E5252+"$F;@!)19"</f>
        <v>#VALUE!</v>
      </c>
      <c r="FW189" t="e">
        <f>'All regions'!F5252+"$F;@!)1:"</f>
        <v>#VALUE!</v>
      </c>
      <c r="FX189" t="e">
        <f>'All regions'!G5252+"$F;@!)1;"</f>
        <v>#VALUE!</v>
      </c>
      <c r="FY189" t="e">
        <f>'All regions'!H5252+"$F;@!)1&lt;"</f>
        <v>#VALUE!</v>
      </c>
      <c r="FZ189" t="e">
        <f>'All regions'!I5252+"$F;@!)1="</f>
        <v>#VALUE!</v>
      </c>
      <c r="GA189" t="e">
        <f>'All regions'!A5253+"$F;@!)1&gt;"</f>
        <v>#VALUE!</v>
      </c>
      <c r="GB189" t="e">
        <f>'All regions'!B5253+"$F;@!)1?"</f>
        <v>#VALUE!</v>
      </c>
      <c r="GC189" t="e">
        <f>'All regions'!C5253+"$F;@!)1@"</f>
        <v>#VALUE!</v>
      </c>
      <c r="GD189" t="e">
        <f>'All regions'!D5253+"$F;@!)1A"</f>
        <v>#VALUE!</v>
      </c>
      <c r="GE189" t="e">
        <f>'All regions'!E5253+"$F;@!)1B"</f>
        <v>#VALUE!</v>
      </c>
      <c r="GF189" t="e">
        <f>'All regions'!F5253+"$F;@!)1C"</f>
        <v>#VALUE!</v>
      </c>
      <c r="GG189" t="e">
        <f>'All regions'!G5253+"$F;@!)1D"</f>
        <v>#VALUE!</v>
      </c>
      <c r="GH189" t="e">
        <f>'All regions'!H5253+"$F;@!)1E"</f>
        <v>#VALUE!</v>
      </c>
      <c r="GI189" t="e">
        <f>'All regions'!I5253+"$F;@!)1F"</f>
        <v>#VALUE!</v>
      </c>
      <c r="GJ189" t="e">
        <f>'All regions'!A5254+"$F;@!)1G"</f>
        <v>#VALUE!</v>
      </c>
      <c r="GK189" t="e">
        <f>'All regions'!B5254+"$F;@!)1H"</f>
        <v>#VALUE!</v>
      </c>
      <c r="GL189" t="e">
        <f>'All regions'!C5254+"$F;@!)1I"</f>
        <v>#VALUE!</v>
      </c>
      <c r="GM189" t="e">
        <f>'All regions'!D5254+"$F;@!)1J"</f>
        <v>#VALUE!</v>
      </c>
      <c r="GN189" t="e">
        <f>'All regions'!E5254+"$F;@!)1K"</f>
        <v>#VALUE!</v>
      </c>
      <c r="GO189" t="e">
        <f>'All regions'!F5254+"$F;@!)1L"</f>
        <v>#VALUE!</v>
      </c>
      <c r="GP189" t="e">
        <f>'All regions'!G5254+"$F;@!)1M"</f>
        <v>#VALUE!</v>
      </c>
      <c r="GQ189" t="e">
        <f>'All regions'!H5254+"$F;@!)1N"</f>
        <v>#VALUE!</v>
      </c>
      <c r="GR189" t="e">
        <f>'All regions'!I5254+"$F;@!)1O"</f>
        <v>#VALUE!</v>
      </c>
      <c r="GS189" t="e">
        <f>'All regions'!A5255+"$F;@!)1P"</f>
        <v>#VALUE!</v>
      </c>
      <c r="GT189" t="e">
        <f>'All regions'!B5255+"$F;@!)1Q"</f>
        <v>#VALUE!</v>
      </c>
      <c r="GU189" t="e">
        <f>'All regions'!C5255+"$F;@!)1R"</f>
        <v>#VALUE!</v>
      </c>
      <c r="GV189" t="e">
        <f>'All regions'!D5255+"$F;@!)1S"</f>
        <v>#VALUE!</v>
      </c>
      <c r="GW189" t="e">
        <f>'All regions'!E5255+"$F;@!)1T"</f>
        <v>#VALUE!</v>
      </c>
      <c r="GX189" t="e">
        <f>'All regions'!F5255+"$F;@!)1U"</f>
        <v>#VALUE!</v>
      </c>
      <c r="GY189" t="e">
        <f>'All regions'!G5255+"$F;@!)1V"</f>
        <v>#VALUE!</v>
      </c>
      <c r="GZ189" t="e">
        <f>'All regions'!H5255+"$F;@!)1W"</f>
        <v>#VALUE!</v>
      </c>
      <c r="HA189" t="e">
        <f>'All regions'!I5255+"$F;@!)1X"</f>
        <v>#VALUE!</v>
      </c>
      <c r="HB189" t="e">
        <f>'All regions'!A5256+"$F;@!)1Y"</f>
        <v>#VALUE!</v>
      </c>
      <c r="HC189" t="e">
        <f>'All regions'!B5256+"$F;@!)1Z"</f>
        <v>#VALUE!</v>
      </c>
      <c r="HD189" t="e">
        <f>'All regions'!C5256+"$F;@!)1["</f>
        <v>#VALUE!</v>
      </c>
      <c r="HE189" t="e">
        <f>'All regions'!D5256+"$F;@!)1\"</f>
        <v>#VALUE!</v>
      </c>
      <c r="HF189" t="e">
        <f>'All regions'!E5256+"$F;@!)1]"</f>
        <v>#VALUE!</v>
      </c>
      <c r="HG189" t="e">
        <f>'All regions'!F5256+"$F;@!)1^"</f>
        <v>#VALUE!</v>
      </c>
      <c r="HH189" t="e">
        <f>'All regions'!G5256+"$F;@!)1_"</f>
        <v>#VALUE!</v>
      </c>
      <c r="HI189" t="e">
        <f>'All regions'!H5256+"$F;@!)1`"</f>
        <v>#VALUE!</v>
      </c>
      <c r="HJ189" t="e">
        <f>'All regions'!I5256+"$F;@!)1a"</f>
        <v>#VALUE!</v>
      </c>
      <c r="HK189" t="e">
        <f>'All regions'!A5257+"$F;@!)1b"</f>
        <v>#VALUE!</v>
      </c>
      <c r="HL189" t="e">
        <f>'All regions'!B5257+"$F;@!)1c"</f>
        <v>#VALUE!</v>
      </c>
      <c r="HM189" t="e">
        <f>'All regions'!C5257+"$F;@!)1d"</f>
        <v>#VALUE!</v>
      </c>
      <c r="HN189" t="e">
        <f>'All regions'!D5257+"$F;@!)1e"</f>
        <v>#VALUE!</v>
      </c>
      <c r="HO189" t="e">
        <f>'All regions'!E5257+"$F;@!)1f"</f>
        <v>#VALUE!</v>
      </c>
      <c r="HP189" t="e">
        <f>'All regions'!F5257+"$F;@!)1g"</f>
        <v>#VALUE!</v>
      </c>
      <c r="HQ189" t="e">
        <f>'All regions'!G5257+"$F;@!)1h"</f>
        <v>#VALUE!</v>
      </c>
      <c r="HR189" t="e">
        <f>'All regions'!H5257+"$F;@!)1i"</f>
        <v>#VALUE!</v>
      </c>
      <c r="HS189" t="e">
        <f>'All regions'!I5257+"$F;@!)1j"</f>
        <v>#VALUE!</v>
      </c>
      <c r="HT189" t="e">
        <f>'All regions'!A5258+"$F;@!)1k"</f>
        <v>#VALUE!</v>
      </c>
      <c r="HU189" t="e">
        <f>'All regions'!B5258+"$F;@!)1l"</f>
        <v>#VALUE!</v>
      </c>
      <c r="HV189" t="e">
        <f>'All regions'!C5258+"$F;@!)1m"</f>
        <v>#VALUE!</v>
      </c>
      <c r="HW189" t="e">
        <f>'All regions'!D5258+"$F;@!)1n"</f>
        <v>#VALUE!</v>
      </c>
      <c r="HX189" t="e">
        <f>'All regions'!E5258+"$F;@!)1o"</f>
        <v>#VALUE!</v>
      </c>
      <c r="HY189" t="e">
        <f>'All regions'!F5258+"$F;@!)1p"</f>
        <v>#VALUE!</v>
      </c>
      <c r="HZ189" t="e">
        <f>'All regions'!G5258+"$F;@!)1q"</f>
        <v>#VALUE!</v>
      </c>
      <c r="IA189" t="e">
        <f>'All regions'!H5258+"$F;@!)1r"</f>
        <v>#VALUE!</v>
      </c>
      <c r="IB189" t="e">
        <f>'All regions'!I5258+"$F;@!)1s"</f>
        <v>#VALUE!</v>
      </c>
      <c r="IC189" t="e">
        <f>'All regions'!A5259+"$F;@!)1t"</f>
        <v>#VALUE!</v>
      </c>
      <c r="ID189" t="e">
        <f>'All regions'!B5259+"$F;@!)1u"</f>
        <v>#VALUE!</v>
      </c>
      <c r="IE189" t="e">
        <f>'All regions'!C5259+"$F;@!)1v"</f>
        <v>#VALUE!</v>
      </c>
      <c r="IF189" t="e">
        <f>'All regions'!D5259+"$F;@!)1w"</f>
        <v>#VALUE!</v>
      </c>
      <c r="IG189" t="e">
        <f>'All regions'!E5259+"$F;@!)1x"</f>
        <v>#VALUE!</v>
      </c>
      <c r="IH189" t="e">
        <f>'All regions'!F5259+"$F;@!)1y"</f>
        <v>#VALUE!</v>
      </c>
      <c r="II189" t="e">
        <f>'All regions'!G5259+"$F;@!)1z"</f>
        <v>#VALUE!</v>
      </c>
      <c r="IJ189" t="e">
        <f>'All regions'!H5259+"$F;@!)1{"</f>
        <v>#VALUE!</v>
      </c>
      <c r="IK189" t="e">
        <f>'All regions'!I5259+"$F;@!)1|"</f>
        <v>#VALUE!</v>
      </c>
      <c r="IL189" t="e">
        <f>'All regions'!A5260+"$F;@!)1}"</f>
        <v>#VALUE!</v>
      </c>
      <c r="IM189" t="e">
        <f>'All regions'!B5260+"$F;@!)1~"</f>
        <v>#VALUE!</v>
      </c>
      <c r="IN189" t="e">
        <f>'All regions'!C5260+"$F;@!)2#"</f>
        <v>#VALUE!</v>
      </c>
      <c r="IO189" t="e">
        <f>'All regions'!D5260+"$F;@!)2$"</f>
        <v>#VALUE!</v>
      </c>
      <c r="IP189" t="e">
        <f>'All regions'!E5260+"$F;@!)2%"</f>
        <v>#VALUE!</v>
      </c>
      <c r="IQ189" t="e">
        <f>'All regions'!F5260+"$F;@!)2&amp;"</f>
        <v>#VALUE!</v>
      </c>
      <c r="IR189" t="e">
        <f>'All regions'!G5260+"$F;@!)2'"</f>
        <v>#VALUE!</v>
      </c>
      <c r="IS189" t="e">
        <f>'All regions'!H5260+"$F;@!)2("</f>
        <v>#VALUE!</v>
      </c>
      <c r="IT189" t="e">
        <f>'All regions'!I5260+"$F;@!)2)"</f>
        <v>#VALUE!</v>
      </c>
      <c r="IU189" t="e">
        <f>'All regions'!A5261+"$F;@!)2."</f>
        <v>#VALUE!</v>
      </c>
      <c r="IV189" t="e">
        <f>'All regions'!B5261+"$F;@!)2/"</f>
        <v>#VALUE!</v>
      </c>
    </row>
    <row r="190" spans="6:256" x14ac:dyDescent="0.35">
      <c r="F190" t="e">
        <f>'All regions'!C5261+"$F;@!)20"</f>
        <v>#VALUE!</v>
      </c>
      <c r="G190" t="e">
        <f>'All regions'!D5261+"$F;@!)21"</f>
        <v>#VALUE!</v>
      </c>
      <c r="H190" t="e">
        <f>'All regions'!E5261+"$F;@!)22"</f>
        <v>#VALUE!</v>
      </c>
      <c r="I190" t="e">
        <f>'All regions'!F5261+"$F;@!)23"</f>
        <v>#VALUE!</v>
      </c>
      <c r="J190" t="e">
        <f>'All regions'!G5261+"$F;@!)24"</f>
        <v>#VALUE!</v>
      </c>
      <c r="K190" t="e">
        <f>'All regions'!H5261+"$F;@!)25"</f>
        <v>#VALUE!</v>
      </c>
      <c r="L190" t="e">
        <f>'All regions'!I5261+"$F;@!)26"</f>
        <v>#VALUE!</v>
      </c>
      <c r="M190" t="e">
        <f>'All regions'!A5262+"$F;@!)27"</f>
        <v>#VALUE!</v>
      </c>
      <c r="N190" t="e">
        <f>'All regions'!B5262+"$F;@!)28"</f>
        <v>#VALUE!</v>
      </c>
      <c r="O190" t="e">
        <f>'All regions'!C5262+"$F;@!)29"</f>
        <v>#VALUE!</v>
      </c>
      <c r="P190" t="e">
        <f>'All regions'!D5262+"$F;@!)2:"</f>
        <v>#VALUE!</v>
      </c>
      <c r="Q190" t="e">
        <f>'All regions'!E5262+"$F;@!)2;"</f>
        <v>#VALUE!</v>
      </c>
      <c r="R190" t="e">
        <f>'All regions'!F5262+"$F;@!)2&lt;"</f>
        <v>#VALUE!</v>
      </c>
      <c r="S190" t="e">
        <f>'All regions'!G5262+"$F;@!)2="</f>
        <v>#VALUE!</v>
      </c>
      <c r="T190" t="e">
        <f>'All regions'!H5262+"$F;@!)2&gt;"</f>
        <v>#VALUE!</v>
      </c>
      <c r="U190" t="e">
        <f>'All regions'!I5262+"$F;@!)2?"</f>
        <v>#VALUE!</v>
      </c>
      <c r="V190" t="e">
        <f>'All regions'!A5263+"$F;@!)2@"</f>
        <v>#VALUE!</v>
      </c>
      <c r="W190" t="e">
        <f>'All regions'!B5263+"$F;@!)2A"</f>
        <v>#VALUE!</v>
      </c>
      <c r="X190" t="e">
        <f>'All regions'!C5263+"$F;@!)2B"</f>
        <v>#VALUE!</v>
      </c>
      <c r="Y190" t="e">
        <f>'All regions'!D5263+"$F;@!)2C"</f>
        <v>#VALUE!</v>
      </c>
      <c r="Z190" t="e">
        <f>'All regions'!E5263+"$F;@!)2D"</f>
        <v>#VALUE!</v>
      </c>
      <c r="AA190" t="e">
        <f>'All regions'!F5263+"$F;@!)2E"</f>
        <v>#VALUE!</v>
      </c>
      <c r="AB190" t="e">
        <f>'All regions'!G5263+"$F;@!)2F"</f>
        <v>#VALUE!</v>
      </c>
      <c r="AC190" t="e">
        <f>'All regions'!H5263+"$F;@!)2G"</f>
        <v>#VALUE!</v>
      </c>
      <c r="AD190" t="e">
        <f>'All regions'!I5263+"$F;@!)2H"</f>
        <v>#VALUE!</v>
      </c>
      <c r="AE190" t="e">
        <f>'All regions'!A5264+"$F;@!)2I"</f>
        <v>#VALUE!</v>
      </c>
      <c r="AF190" t="e">
        <f>'All regions'!B5264+"$F;@!)2J"</f>
        <v>#VALUE!</v>
      </c>
      <c r="AG190" t="e">
        <f>'All regions'!C5264+"$F;@!)2K"</f>
        <v>#VALUE!</v>
      </c>
      <c r="AH190" t="e">
        <f>'All regions'!D5264+"$F;@!)2L"</f>
        <v>#VALUE!</v>
      </c>
      <c r="AI190" t="e">
        <f>'All regions'!E5264+"$F;@!)2M"</f>
        <v>#VALUE!</v>
      </c>
      <c r="AJ190" t="e">
        <f>'All regions'!F5264+"$F;@!)2N"</f>
        <v>#VALUE!</v>
      </c>
      <c r="AK190" t="e">
        <f>'All regions'!G5264+"$F;@!)2O"</f>
        <v>#VALUE!</v>
      </c>
      <c r="AL190" t="e">
        <f>'All regions'!H5264+"$F;@!)2P"</f>
        <v>#VALUE!</v>
      </c>
      <c r="AM190" t="e">
        <f>'All regions'!I5264+"$F;@!)2Q"</f>
        <v>#VALUE!</v>
      </c>
      <c r="AN190" t="e">
        <f>'All regions'!A5265+"$F;@!)2R"</f>
        <v>#VALUE!</v>
      </c>
      <c r="AO190" t="e">
        <f>'All regions'!B5265+"$F;@!)2S"</f>
        <v>#VALUE!</v>
      </c>
      <c r="AP190" t="e">
        <f>'All regions'!C5265+"$F;@!)2T"</f>
        <v>#VALUE!</v>
      </c>
      <c r="AQ190" t="e">
        <f>'All regions'!D5265+"$F;@!)2U"</f>
        <v>#VALUE!</v>
      </c>
      <c r="AR190" t="e">
        <f>'All regions'!E5265+"$F;@!)2V"</f>
        <v>#VALUE!</v>
      </c>
      <c r="AS190" t="e">
        <f>'All regions'!F5265+"$F;@!)2W"</f>
        <v>#VALUE!</v>
      </c>
      <c r="AT190" t="e">
        <f>'All regions'!G5265+"$F;@!)2X"</f>
        <v>#VALUE!</v>
      </c>
      <c r="AU190" t="e">
        <f>'All regions'!H5265+"$F;@!)2Y"</f>
        <v>#VALUE!</v>
      </c>
      <c r="AV190" t="e">
        <f>'All regions'!I5265+"$F;@!)2Z"</f>
        <v>#VALUE!</v>
      </c>
      <c r="AW190" t="e">
        <f>'All regions'!A5266+"$F;@!)2["</f>
        <v>#VALUE!</v>
      </c>
      <c r="AX190" t="e">
        <f>'All regions'!B5266+"$F;@!)2\"</f>
        <v>#VALUE!</v>
      </c>
      <c r="AY190" t="e">
        <f>'All regions'!C5266+"$F;@!)2]"</f>
        <v>#VALUE!</v>
      </c>
      <c r="AZ190" t="e">
        <f>'All regions'!D5266+"$F;@!)2^"</f>
        <v>#VALUE!</v>
      </c>
      <c r="BA190" t="e">
        <f>'All regions'!E5266+"$F;@!)2_"</f>
        <v>#VALUE!</v>
      </c>
      <c r="BB190" t="e">
        <f>'All regions'!F5266+"$F;@!)2`"</f>
        <v>#VALUE!</v>
      </c>
      <c r="BC190" t="e">
        <f>'All regions'!G5266+"$F;@!)2a"</f>
        <v>#VALUE!</v>
      </c>
      <c r="BD190" t="e">
        <f>'All regions'!H5266+"$F;@!)2b"</f>
        <v>#VALUE!</v>
      </c>
      <c r="BE190" t="e">
        <f>'All regions'!I5266+"$F;@!)2c"</f>
        <v>#VALUE!</v>
      </c>
      <c r="BF190" t="e">
        <f>'All regions'!A5267+"$F;@!)2d"</f>
        <v>#VALUE!</v>
      </c>
      <c r="BG190" t="e">
        <f>'All regions'!B5267+"$F;@!)2e"</f>
        <v>#VALUE!</v>
      </c>
      <c r="BH190" t="e">
        <f>'All regions'!C5267+"$F;@!)2f"</f>
        <v>#VALUE!</v>
      </c>
      <c r="BI190" t="e">
        <f>'All regions'!D5267+"$F;@!)2g"</f>
        <v>#VALUE!</v>
      </c>
      <c r="BJ190" t="e">
        <f>'All regions'!E5267+"$F;@!)2h"</f>
        <v>#VALUE!</v>
      </c>
      <c r="BK190" t="e">
        <f>'All regions'!F5267+"$F;@!)2i"</f>
        <v>#VALUE!</v>
      </c>
      <c r="BL190" t="e">
        <f>'All regions'!G5267+"$F;@!)2j"</f>
        <v>#VALUE!</v>
      </c>
      <c r="BM190" t="e">
        <f>'All regions'!H5267+"$F;@!)2k"</f>
        <v>#VALUE!</v>
      </c>
      <c r="BN190" t="e">
        <f>'All regions'!I5267+"$F;@!)2l"</f>
        <v>#VALUE!</v>
      </c>
      <c r="BO190" t="e">
        <f>'All regions'!A5268+"$F;@!)2m"</f>
        <v>#VALUE!</v>
      </c>
      <c r="BP190" t="e">
        <f>'All regions'!B5268+"$F;@!)2n"</f>
        <v>#VALUE!</v>
      </c>
      <c r="BQ190" t="e">
        <f>'All regions'!C5268+"$F;@!)2o"</f>
        <v>#VALUE!</v>
      </c>
      <c r="BR190" t="e">
        <f>'All regions'!D5268+"$F;@!)2p"</f>
        <v>#VALUE!</v>
      </c>
      <c r="BS190" t="e">
        <f>'All regions'!E5268+"$F;@!)2q"</f>
        <v>#VALUE!</v>
      </c>
      <c r="BT190" t="e">
        <f>'All regions'!F5268+"$F;@!)2r"</f>
        <v>#VALUE!</v>
      </c>
      <c r="BU190" t="e">
        <f>'All regions'!G5268+"$F;@!)2s"</f>
        <v>#VALUE!</v>
      </c>
      <c r="BV190" t="e">
        <f>'All regions'!H5268+"$F;@!)2t"</f>
        <v>#VALUE!</v>
      </c>
      <c r="BW190" t="e">
        <f>'All regions'!I5268+"$F;@!)2u"</f>
        <v>#VALUE!</v>
      </c>
      <c r="BX190" t="e">
        <f>'All regions'!A5269+"$F;@!)2v"</f>
        <v>#VALUE!</v>
      </c>
      <c r="BY190" t="e">
        <f>'All regions'!B5269+"$F;@!)2w"</f>
        <v>#VALUE!</v>
      </c>
      <c r="BZ190" t="e">
        <f>'All regions'!C5269+"$F;@!)2x"</f>
        <v>#VALUE!</v>
      </c>
      <c r="CA190" t="e">
        <f>'All regions'!D5269+"$F;@!)2y"</f>
        <v>#VALUE!</v>
      </c>
      <c r="CB190" t="e">
        <f>'All regions'!E5269+"$F;@!)2z"</f>
        <v>#VALUE!</v>
      </c>
      <c r="CC190" t="e">
        <f>'All regions'!F5269+"$F;@!)2{"</f>
        <v>#VALUE!</v>
      </c>
      <c r="CD190" t="e">
        <f>'All regions'!G5269+"$F;@!)2|"</f>
        <v>#VALUE!</v>
      </c>
      <c r="CE190" t="e">
        <f>'All regions'!H5269+"$F;@!)2}"</f>
        <v>#VALUE!</v>
      </c>
      <c r="CF190" t="e">
        <f>'All regions'!I5269+"$F;@!)2~"</f>
        <v>#VALUE!</v>
      </c>
      <c r="CG190" t="e">
        <f>'All regions'!A5270+"$F;@!)3#"</f>
        <v>#VALUE!</v>
      </c>
      <c r="CH190" t="e">
        <f>'All regions'!B5270+"$F;@!)3$"</f>
        <v>#VALUE!</v>
      </c>
      <c r="CI190" t="e">
        <f>'All regions'!C5270+"$F;@!)3%"</f>
        <v>#VALUE!</v>
      </c>
      <c r="CJ190" t="e">
        <f>'All regions'!D5270+"$F;@!)3&amp;"</f>
        <v>#VALUE!</v>
      </c>
      <c r="CK190" t="e">
        <f>'All regions'!E5270+"$F;@!)3'"</f>
        <v>#VALUE!</v>
      </c>
      <c r="CL190" t="e">
        <f>'All regions'!F5270+"$F;@!)3("</f>
        <v>#VALUE!</v>
      </c>
      <c r="CM190" t="e">
        <f>'All regions'!G5270+"$F;@!)3)"</f>
        <v>#VALUE!</v>
      </c>
      <c r="CN190" t="e">
        <f>'All regions'!H5270+"$F;@!)3."</f>
        <v>#VALUE!</v>
      </c>
      <c r="CO190" t="e">
        <f>'All regions'!I5270+"$F;@!)3/"</f>
        <v>#VALUE!</v>
      </c>
      <c r="CP190" t="e">
        <f>'All regions'!A5271+"$F;@!)30"</f>
        <v>#VALUE!</v>
      </c>
      <c r="CQ190" t="e">
        <f>'All regions'!B5271+"$F;@!)31"</f>
        <v>#VALUE!</v>
      </c>
      <c r="CR190" t="e">
        <f>'All regions'!C5271+"$F;@!)32"</f>
        <v>#VALUE!</v>
      </c>
      <c r="CS190" t="e">
        <f>'All regions'!D5271+"$F;@!)33"</f>
        <v>#VALUE!</v>
      </c>
      <c r="CT190" t="e">
        <f>'All regions'!E5271+"$F;@!)34"</f>
        <v>#VALUE!</v>
      </c>
      <c r="CU190" t="e">
        <f>'All regions'!F5271+"$F;@!)35"</f>
        <v>#VALUE!</v>
      </c>
      <c r="CV190" t="e">
        <f>'All regions'!G5271+"$F;@!)36"</f>
        <v>#VALUE!</v>
      </c>
      <c r="CW190" t="e">
        <f>'All regions'!H5271+"$F;@!)37"</f>
        <v>#VALUE!</v>
      </c>
      <c r="CX190" t="e">
        <f>'All regions'!I5271+"$F;@!)38"</f>
        <v>#VALUE!</v>
      </c>
      <c r="CY190" t="e">
        <f>'All regions'!A5272+"$F;@!)39"</f>
        <v>#VALUE!</v>
      </c>
      <c r="CZ190" t="e">
        <f>'All regions'!B5272+"$F;@!)3:"</f>
        <v>#VALUE!</v>
      </c>
      <c r="DA190" t="e">
        <f>'All regions'!C5272+"$F;@!)3;"</f>
        <v>#VALUE!</v>
      </c>
      <c r="DB190" t="e">
        <f>'All regions'!D5272+"$F;@!)3&lt;"</f>
        <v>#VALUE!</v>
      </c>
      <c r="DC190" t="e">
        <f>'All regions'!E5272+"$F;@!)3="</f>
        <v>#VALUE!</v>
      </c>
      <c r="DD190" t="e">
        <f>'All regions'!F5272+"$F;@!)3&gt;"</f>
        <v>#VALUE!</v>
      </c>
      <c r="DE190" t="e">
        <f>'All regions'!G5272+"$F;@!)3?"</f>
        <v>#VALUE!</v>
      </c>
      <c r="DF190" t="e">
        <f>'All regions'!H5272+"$F;@!)3@"</f>
        <v>#VALUE!</v>
      </c>
      <c r="DG190" t="e">
        <f>'All regions'!I5272+"$F;@!)3A"</f>
        <v>#VALUE!</v>
      </c>
      <c r="DH190" t="e">
        <f>'All regions'!A5273+"$F;@!)3B"</f>
        <v>#VALUE!</v>
      </c>
      <c r="DI190" t="e">
        <f>'All regions'!B5273+"$F;@!)3C"</f>
        <v>#VALUE!</v>
      </c>
      <c r="DJ190" t="e">
        <f>'All regions'!C5273+"$F;@!)3D"</f>
        <v>#VALUE!</v>
      </c>
      <c r="DK190" t="e">
        <f>'All regions'!D5273+"$F;@!)3E"</f>
        <v>#VALUE!</v>
      </c>
      <c r="DL190" t="e">
        <f>'All regions'!E5273+"$F;@!)3F"</f>
        <v>#VALUE!</v>
      </c>
      <c r="DM190" t="e">
        <f>'All regions'!F5273+"$F;@!)3G"</f>
        <v>#VALUE!</v>
      </c>
      <c r="DN190" t="e">
        <f>'All regions'!G5273+"$F;@!)3H"</f>
        <v>#VALUE!</v>
      </c>
      <c r="DO190" t="e">
        <f>'All regions'!H5273+"$F;@!)3I"</f>
        <v>#VALUE!</v>
      </c>
      <c r="DP190" t="e">
        <f>'All regions'!I5273+"$F;@!)3J"</f>
        <v>#VALUE!</v>
      </c>
      <c r="DQ190" t="e">
        <f>'All regions'!A5274+"$F;@!)3K"</f>
        <v>#VALUE!</v>
      </c>
      <c r="DR190" t="e">
        <f>'All regions'!B5274+"$F;@!)3L"</f>
        <v>#VALUE!</v>
      </c>
      <c r="DS190" t="e">
        <f>'All regions'!C5274+"$F;@!)3M"</f>
        <v>#VALUE!</v>
      </c>
      <c r="DT190" t="e">
        <f>'All regions'!D5274+"$F;@!)3N"</f>
        <v>#VALUE!</v>
      </c>
      <c r="DU190" t="e">
        <f>'All regions'!E5274+"$F;@!)3O"</f>
        <v>#VALUE!</v>
      </c>
      <c r="DV190" t="e">
        <f>'All regions'!F5274+"$F;@!)3P"</f>
        <v>#VALUE!</v>
      </c>
      <c r="DW190" t="e">
        <f>'All regions'!G5274+"$F;@!)3Q"</f>
        <v>#VALUE!</v>
      </c>
      <c r="DX190" t="e">
        <f>'All regions'!H5274+"$F;@!)3R"</f>
        <v>#VALUE!</v>
      </c>
      <c r="DY190" t="e">
        <f>'All regions'!I5274+"$F;@!)3S"</f>
        <v>#VALUE!</v>
      </c>
      <c r="DZ190" t="e">
        <f>'All regions'!A5275+"$F;@!)3T"</f>
        <v>#VALUE!</v>
      </c>
      <c r="EA190" t="e">
        <f>'All regions'!B5275+"$F;@!)3U"</f>
        <v>#VALUE!</v>
      </c>
      <c r="EB190" t="e">
        <f>'All regions'!C5275+"$F;@!)3V"</f>
        <v>#VALUE!</v>
      </c>
      <c r="EC190" t="e">
        <f>'All regions'!D5275+"$F;@!)3W"</f>
        <v>#VALUE!</v>
      </c>
      <c r="ED190" t="e">
        <f>'All regions'!E5275+"$F;@!)3X"</f>
        <v>#VALUE!</v>
      </c>
      <c r="EE190" t="e">
        <f>'All regions'!F5275+"$F;@!)3Y"</f>
        <v>#VALUE!</v>
      </c>
      <c r="EF190" t="e">
        <f>'All regions'!G5275+"$F;@!)3Z"</f>
        <v>#VALUE!</v>
      </c>
      <c r="EG190" t="e">
        <f>'All regions'!H5275+"$F;@!)3["</f>
        <v>#VALUE!</v>
      </c>
      <c r="EH190" t="e">
        <f>'All regions'!I5275+"$F;@!)3\"</f>
        <v>#VALUE!</v>
      </c>
      <c r="EI190" t="e">
        <f>'All regions'!A5276+"$F;@!)3]"</f>
        <v>#VALUE!</v>
      </c>
      <c r="EJ190" t="e">
        <f>'All regions'!B5276+"$F;@!)3^"</f>
        <v>#VALUE!</v>
      </c>
      <c r="EK190" t="e">
        <f>'All regions'!C5276+"$F;@!)3_"</f>
        <v>#VALUE!</v>
      </c>
      <c r="EL190" t="e">
        <f>'All regions'!D5276+"$F;@!)3`"</f>
        <v>#VALUE!</v>
      </c>
      <c r="EM190" t="e">
        <f>'All regions'!E5276+"$F;@!)3a"</f>
        <v>#VALUE!</v>
      </c>
      <c r="EN190" t="e">
        <f>'All regions'!F5276+"$F;@!)3b"</f>
        <v>#VALUE!</v>
      </c>
      <c r="EO190" t="e">
        <f>'All regions'!G5276+"$F;@!)3c"</f>
        <v>#VALUE!</v>
      </c>
      <c r="EP190" t="e">
        <f>'All regions'!H5276+"$F;@!)3d"</f>
        <v>#VALUE!</v>
      </c>
      <c r="EQ190" t="e">
        <f>'All regions'!I5276+"$F;@!)3e"</f>
        <v>#VALUE!</v>
      </c>
      <c r="ER190" t="e">
        <f>'All regions'!A5277+"$F;@!)3f"</f>
        <v>#VALUE!</v>
      </c>
      <c r="ES190" t="e">
        <f>'All regions'!B5277+"$F;@!)3g"</f>
        <v>#VALUE!</v>
      </c>
      <c r="ET190" t="e">
        <f>'All regions'!C5277+"$F;@!)3h"</f>
        <v>#VALUE!</v>
      </c>
      <c r="EU190" t="e">
        <f>'All regions'!D5277+"$F;@!)3i"</f>
        <v>#VALUE!</v>
      </c>
      <c r="EV190" t="e">
        <f>'All regions'!E5277+"$F;@!)3j"</f>
        <v>#VALUE!</v>
      </c>
      <c r="EW190" t="e">
        <f>'All regions'!F5277+"$F;@!)3k"</f>
        <v>#VALUE!</v>
      </c>
      <c r="EX190" t="e">
        <f>'All regions'!G5277+"$F;@!)3l"</f>
        <v>#VALUE!</v>
      </c>
      <c r="EY190" t="e">
        <f>'All regions'!H5277+"$F;@!)3m"</f>
        <v>#VALUE!</v>
      </c>
      <c r="EZ190" t="e">
        <f>'All regions'!I5277+"$F;@!)3n"</f>
        <v>#VALUE!</v>
      </c>
      <c r="FA190" t="e">
        <f>'All regions'!A5278+"$F;@!)3o"</f>
        <v>#VALUE!</v>
      </c>
      <c r="FB190" t="e">
        <f>'All regions'!B5278+"$F;@!)3p"</f>
        <v>#VALUE!</v>
      </c>
      <c r="FC190" t="e">
        <f>'All regions'!C5278+"$F;@!)3q"</f>
        <v>#VALUE!</v>
      </c>
      <c r="FD190" t="e">
        <f>'All regions'!D5278+"$F;@!)3r"</f>
        <v>#VALUE!</v>
      </c>
      <c r="FE190" t="e">
        <f>'All regions'!E5278+"$F;@!)3s"</f>
        <v>#VALUE!</v>
      </c>
      <c r="FF190" t="e">
        <f>'All regions'!F5278+"$F;@!)3t"</f>
        <v>#VALUE!</v>
      </c>
      <c r="FG190" t="e">
        <f>'All regions'!G5278+"$F;@!)3u"</f>
        <v>#VALUE!</v>
      </c>
      <c r="FH190" t="e">
        <f>'All regions'!H5278+"$F;@!)3v"</f>
        <v>#VALUE!</v>
      </c>
      <c r="FI190" t="e">
        <f>'All regions'!I5278+"$F;@!)3w"</f>
        <v>#VALUE!</v>
      </c>
      <c r="FJ190" t="e">
        <f>'All regions'!A5279+"$F;@!)3x"</f>
        <v>#VALUE!</v>
      </c>
      <c r="FK190" t="e">
        <f>'All regions'!B5279+"$F;@!)3y"</f>
        <v>#VALUE!</v>
      </c>
      <c r="FL190" t="e">
        <f>'All regions'!C5279+"$F;@!)3z"</f>
        <v>#VALUE!</v>
      </c>
      <c r="FM190" t="e">
        <f>'All regions'!D5279+"$F;@!)3{"</f>
        <v>#VALUE!</v>
      </c>
      <c r="FN190" t="e">
        <f>'All regions'!E5279+"$F;@!)3|"</f>
        <v>#VALUE!</v>
      </c>
      <c r="FO190" t="e">
        <f>'All regions'!F5279+"$F;@!)3}"</f>
        <v>#VALUE!</v>
      </c>
      <c r="FP190" t="e">
        <f>'All regions'!G5279+"$F;@!)3~"</f>
        <v>#VALUE!</v>
      </c>
      <c r="FQ190" t="e">
        <f>'All regions'!H5279+"$F;@!)4#"</f>
        <v>#VALUE!</v>
      </c>
      <c r="FR190" t="e">
        <f>'All regions'!I5279+"$F;@!)4$"</f>
        <v>#VALUE!</v>
      </c>
      <c r="FS190" t="e">
        <f>'All regions'!A5280+"$F;@!)4%"</f>
        <v>#VALUE!</v>
      </c>
      <c r="FT190" t="e">
        <f>'All regions'!B5280+"$F;@!)4&amp;"</f>
        <v>#VALUE!</v>
      </c>
      <c r="FU190" t="e">
        <f>'All regions'!C5280+"$F;@!)4'"</f>
        <v>#VALUE!</v>
      </c>
      <c r="FV190" t="e">
        <f>'All regions'!D5280+"$F;@!)4("</f>
        <v>#VALUE!</v>
      </c>
      <c r="FW190" t="e">
        <f>'All regions'!E5280+"$F;@!)4)"</f>
        <v>#VALUE!</v>
      </c>
      <c r="FX190" t="e">
        <f>'All regions'!F5280+"$F;@!)4."</f>
        <v>#VALUE!</v>
      </c>
      <c r="FY190" t="e">
        <f>'All regions'!G5280+"$F;@!)4/"</f>
        <v>#VALUE!</v>
      </c>
      <c r="FZ190" t="e">
        <f>'All regions'!H5280+"$F;@!)40"</f>
        <v>#VALUE!</v>
      </c>
      <c r="GA190" t="e">
        <f>'All regions'!I5280+"$F;@!)41"</f>
        <v>#VALUE!</v>
      </c>
      <c r="GB190" t="e">
        <f>'All regions'!A5281+"$F;@!)42"</f>
        <v>#VALUE!</v>
      </c>
      <c r="GC190" t="e">
        <f>'All regions'!B5281+"$F;@!)43"</f>
        <v>#VALUE!</v>
      </c>
      <c r="GD190" t="e">
        <f>'All regions'!C5281+"$F;@!)44"</f>
        <v>#VALUE!</v>
      </c>
      <c r="GE190" t="e">
        <f>'All regions'!D5281+"$F;@!)45"</f>
        <v>#VALUE!</v>
      </c>
      <c r="GF190" t="e">
        <f>'All regions'!E5281+"$F;@!)46"</f>
        <v>#VALUE!</v>
      </c>
      <c r="GG190" t="e">
        <f>'All regions'!F5281+"$F;@!)47"</f>
        <v>#VALUE!</v>
      </c>
      <c r="GH190" t="e">
        <f>'All regions'!G5281+"$F;@!)48"</f>
        <v>#VALUE!</v>
      </c>
      <c r="GI190" t="e">
        <f>'All regions'!H5281+"$F;@!)49"</f>
        <v>#VALUE!</v>
      </c>
      <c r="GJ190" t="e">
        <f>'All regions'!I5281+"$F;@!)4:"</f>
        <v>#VALUE!</v>
      </c>
      <c r="GK190" t="e">
        <f>'All regions'!A5282+"$F;@!)4;"</f>
        <v>#VALUE!</v>
      </c>
      <c r="GL190" t="e">
        <f>'All regions'!B5282+"$F;@!)4&lt;"</f>
        <v>#VALUE!</v>
      </c>
      <c r="GM190" t="e">
        <f>'All regions'!C5282+"$F;@!)4="</f>
        <v>#VALUE!</v>
      </c>
      <c r="GN190" t="e">
        <f>'All regions'!D5282+"$F;@!)4&gt;"</f>
        <v>#VALUE!</v>
      </c>
      <c r="GO190" t="e">
        <f>'All regions'!E5282+"$F;@!)4?"</f>
        <v>#VALUE!</v>
      </c>
      <c r="GP190" t="e">
        <f>'All regions'!F5282+"$F;@!)4@"</f>
        <v>#VALUE!</v>
      </c>
      <c r="GQ190" t="e">
        <f>'All regions'!G5282+"$F;@!)4A"</f>
        <v>#VALUE!</v>
      </c>
      <c r="GR190" t="e">
        <f>'All regions'!H5282+"$F;@!)4B"</f>
        <v>#VALUE!</v>
      </c>
      <c r="GS190" t="e">
        <f>'All regions'!I5282+"$F;@!)4C"</f>
        <v>#VALUE!</v>
      </c>
      <c r="GT190" t="e">
        <f>'All regions'!A5283+"$F;@!)4D"</f>
        <v>#VALUE!</v>
      </c>
      <c r="GU190" t="e">
        <f>'All regions'!B5283+"$F;@!)4E"</f>
        <v>#VALUE!</v>
      </c>
      <c r="GV190" t="e">
        <f>'All regions'!C5283+"$F;@!)4F"</f>
        <v>#VALUE!</v>
      </c>
      <c r="GW190" t="e">
        <f>'All regions'!D5283+"$F;@!)4G"</f>
        <v>#VALUE!</v>
      </c>
      <c r="GX190" t="e">
        <f>'All regions'!E5283+"$F;@!)4H"</f>
        <v>#VALUE!</v>
      </c>
      <c r="GY190" t="e">
        <f>'All regions'!F5283+"$F;@!)4I"</f>
        <v>#VALUE!</v>
      </c>
      <c r="GZ190" t="e">
        <f>'All regions'!G5283+"$F;@!)4J"</f>
        <v>#VALUE!</v>
      </c>
      <c r="HA190" t="e">
        <f>'All regions'!H5283+"$F;@!)4K"</f>
        <v>#VALUE!</v>
      </c>
      <c r="HB190" t="e">
        <f>'All regions'!I5283+"$F;@!)4L"</f>
        <v>#VALUE!</v>
      </c>
      <c r="HC190" t="e">
        <f>'All regions'!A5284+"$F;@!)4M"</f>
        <v>#VALUE!</v>
      </c>
      <c r="HD190" t="e">
        <f>'All regions'!B5284+"$F;@!)4N"</f>
        <v>#VALUE!</v>
      </c>
      <c r="HE190" t="e">
        <f>'All regions'!C5284+"$F;@!)4O"</f>
        <v>#VALUE!</v>
      </c>
      <c r="HF190" t="e">
        <f>'All regions'!D5284+"$F;@!)4P"</f>
        <v>#VALUE!</v>
      </c>
      <c r="HG190" t="e">
        <f>'All regions'!E5284+"$F;@!)4Q"</f>
        <v>#VALUE!</v>
      </c>
      <c r="HH190" t="e">
        <f>'All regions'!F5284+"$F;@!)4R"</f>
        <v>#VALUE!</v>
      </c>
      <c r="HI190" t="e">
        <f>'All regions'!G5284+"$F;@!)4S"</f>
        <v>#VALUE!</v>
      </c>
      <c r="HJ190" t="e">
        <f>'All regions'!H5284+"$F;@!)4T"</f>
        <v>#VALUE!</v>
      </c>
      <c r="HK190" t="e">
        <f>'All regions'!I5284+"$F;@!)4U"</f>
        <v>#VALUE!</v>
      </c>
      <c r="HL190" t="e">
        <f>'All regions'!A5285+"$F;@!)4V"</f>
        <v>#VALUE!</v>
      </c>
      <c r="HM190" t="e">
        <f>'All regions'!B5285+"$F;@!)4W"</f>
        <v>#VALUE!</v>
      </c>
      <c r="HN190" t="e">
        <f>'All regions'!C5285+"$F;@!)4X"</f>
        <v>#VALUE!</v>
      </c>
      <c r="HO190" t="e">
        <f>'All regions'!D5285+"$F;@!)4Y"</f>
        <v>#VALUE!</v>
      </c>
      <c r="HP190" t="e">
        <f>'All regions'!E5285+"$F;@!)4Z"</f>
        <v>#VALUE!</v>
      </c>
      <c r="HQ190" t="e">
        <f>'All regions'!F5285+"$F;@!)4["</f>
        <v>#VALUE!</v>
      </c>
      <c r="HR190" t="e">
        <f>'All regions'!G5285+"$F;@!)4\"</f>
        <v>#VALUE!</v>
      </c>
      <c r="HS190" t="e">
        <f>'All regions'!H5285+"$F;@!)4]"</f>
        <v>#VALUE!</v>
      </c>
      <c r="HT190" t="e">
        <f>'All regions'!I5285+"$F;@!)4^"</f>
        <v>#VALUE!</v>
      </c>
      <c r="HU190" t="e">
        <f>'All regions'!A5286+"$F;@!)4_"</f>
        <v>#VALUE!</v>
      </c>
      <c r="HV190" t="e">
        <f>'All regions'!B5286+"$F;@!)4`"</f>
        <v>#VALUE!</v>
      </c>
      <c r="HW190" t="e">
        <f>'All regions'!C5286+"$F;@!)4a"</f>
        <v>#VALUE!</v>
      </c>
      <c r="HX190" t="e">
        <f>'All regions'!D5286+"$F;@!)4b"</f>
        <v>#VALUE!</v>
      </c>
      <c r="HY190" t="e">
        <f>'All regions'!E5286+"$F;@!)4c"</f>
        <v>#VALUE!</v>
      </c>
      <c r="HZ190" t="e">
        <f>'All regions'!F5286+"$F;@!)4d"</f>
        <v>#VALUE!</v>
      </c>
      <c r="IA190" t="e">
        <f>'All regions'!G5286+"$F;@!)4e"</f>
        <v>#VALUE!</v>
      </c>
      <c r="IB190" t="e">
        <f>'All regions'!H5286+"$F;@!)4f"</f>
        <v>#VALUE!</v>
      </c>
      <c r="IC190" t="e">
        <f>'All regions'!I5286+"$F;@!)4g"</f>
        <v>#VALUE!</v>
      </c>
      <c r="ID190" t="e">
        <f>'All regions'!A5287+"$F;@!)4h"</f>
        <v>#VALUE!</v>
      </c>
      <c r="IE190" t="e">
        <f>'All regions'!B5287+"$F;@!)4i"</f>
        <v>#VALUE!</v>
      </c>
      <c r="IF190" t="e">
        <f>'All regions'!C5287+"$F;@!)4j"</f>
        <v>#VALUE!</v>
      </c>
      <c r="IG190" t="e">
        <f>'All regions'!D5287+"$F;@!)4k"</f>
        <v>#VALUE!</v>
      </c>
      <c r="IH190" t="e">
        <f>'All regions'!E5287+"$F;@!)4l"</f>
        <v>#VALUE!</v>
      </c>
      <c r="II190" t="e">
        <f>'All regions'!F5287+"$F;@!)4m"</f>
        <v>#VALUE!</v>
      </c>
      <c r="IJ190" t="e">
        <f>'All regions'!G5287+"$F;@!)4n"</f>
        <v>#VALUE!</v>
      </c>
      <c r="IK190" t="e">
        <f>'All regions'!H5287+"$F;@!)4o"</f>
        <v>#VALUE!</v>
      </c>
      <c r="IL190" t="e">
        <f>'All regions'!I5287+"$F;@!)4p"</f>
        <v>#VALUE!</v>
      </c>
      <c r="IM190" t="e">
        <f>'All regions'!A5288+"$F;@!)4q"</f>
        <v>#VALUE!</v>
      </c>
      <c r="IN190" t="e">
        <f>'All regions'!B5288+"$F;@!)4r"</f>
        <v>#VALUE!</v>
      </c>
      <c r="IO190" t="e">
        <f>'All regions'!C5288+"$F;@!)4s"</f>
        <v>#VALUE!</v>
      </c>
      <c r="IP190" t="e">
        <f>'All regions'!D5288+"$F;@!)4t"</f>
        <v>#VALUE!</v>
      </c>
      <c r="IQ190" t="e">
        <f>'All regions'!E5288+"$F;@!)4u"</f>
        <v>#VALUE!</v>
      </c>
      <c r="IR190" t="e">
        <f>'All regions'!F5288+"$F;@!)4v"</f>
        <v>#VALUE!</v>
      </c>
      <c r="IS190" t="e">
        <f>'All regions'!G5288+"$F;@!)4w"</f>
        <v>#VALUE!</v>
      </c>
      <c r="IT190" t="e">
        <f>'All regions'!H5288+"$F;@!)4x"</f>
        <v>#VALUE!</v>
      </c>
      <c r="IU190" t="e">
        <f>'All regions'!I5288+"$F;@!)4y"</f>
        <v>#VALUE!</v>
      </c>
      <c r="IV190" t="e">
        <f>'All regions'!A5289+"$F;@!)4z"</f>
        <v>#VALUE!</v>
      </c>
    </row>
    <row r="191" spans="6:256" x14ac:dyDescent="0.35">
      <c r="F191" t="e">
        <f>'All regions'!B5289+"$F;@!)4{"</f>
        <v>#VALUE!</v>
      </c>
      <c r="G191" t="e">
        <f>'All regions'!C5289+"$F;@!)4|"</f>
        <v>#VALUE!</v>
      </c>
      <c r="H191" t="e">
        <f>'All regions'!D5289+"$F;@!)4}"</f>
        <v>#VALUE!</v>
      </c>
      <c r="I191" t="e">
        <f>'All regions'!E5289+"$F;@!)4~"</f>
        <v>#VALUE!</v>
      </c>
      <c r="J191" t="e">
        <f>'All regions'!F5289+"$F;@!)5#"</f>
        <v>#VALUE!</v>
      </c>
      <c r="K191" t="e">
        <f>'All regions'!G5289+"$F;@!)5$"</f>
        <v>#VALUE!</v>
      </c>
      <c r="L191" t="e">
        <f>'All regions'!H5289+"$F;@!)5%"</f>
        <v>#VALUE!</v>
      </c>
      <c r="M191" t="e">
        <f>'All regions'!I5289+"$F;@!)5&amp;"</f>
        <v>#VALUE!</v>
      </c>
      <c r="N191" t="e">
        <f>'All regions'!A5290+"$F;@!)5'"</f>
        <v>#VALUE!</v>
      </c>
      <c r="O191" t="e">
        <f>'All regions'!B5290+"$F;@!)5("</f>
        <v>#VALUE!</v>
      </c>
      <c r="P191" t="e">
        <f>'All regions'!C5290+"$F;@!)5)"</f>
        <v>#VALUE!</v>
      </c>
      <c r="Q191" t="e">
        <f>'All regions'!D5290+"$F;@!)5."</f>
        <v>#VALUE!</v>
      </c>
      <c r="R191" t="e">
        <f>'All regions'!E5290+"$F;@!)5/"</f>
        <v>#VALUE!</v>
      </c>
      <c r="S191" t="e">
        <f>'All regions'!F5290+"$F;@!)50"</f>
        <v>#VALUE!</v>
      </c>
      <c r="T191" t="e">
        <f>'All regions'!G5290+"$F;@!)51"</f>
        <v>#VALUE!</v>
      </c>
      <c r="U191" t="e">
        <f>'All regions'!H5290+"$F;@!)52"</f>
        <v>#VALUE!</v>
      </c>
      <c r="V191" t="e">
        <f>'All regions'!I5290+"$F;@!)53"</f>
        <v>#VALUE!</v>
      </c>
      <c r="W191" t="e">
        <f>'All regions'!A5291+"$F;@!)54"</f>
        <v>#VALUE!</v>
      </c>
      <c r="X191" t="e">
        <f>'All regions'!B5291+"$F;@!)55"</f>
        <v>#VALUE!</v>
      </c>
      <c r="Y191" t="e">
        <f>'All regions'!C5291+"$F;@!)56"</f>
        <v>#VALUE!</v>
      </c>
      <c r="Z191" t="e">
        <f>'All regions'!D5291+"$F;@!)57"</f>
        <v>#VALUE!</v>
      </c>
      <c r="AA191" t="e">
        <f>'All regions'!E5291+"$F;@!)58"</f>
        <v>#VALUE!</v>
      </c>
      <c r="AB191" t="e">
        <f>'All regions'!F5291+"$F;@!)59"</f>
        <v>#VALUE!</v>
      </c>
      <c r="AC191" t="e">
        <f>'All regions'!G5291+"$F;@!)5:"</f>
        <v>#VALUE!</v>
      </c>
      <c r="AD191" t="e">
        <f>'All regions'!H5291+"$F;@!)5;"</f>
        <v>#VALUE!</v>
      </c>
      <c r="AE191" t="e">
        <f>'All regions'!I5291+"$F;@!)5&lt;"</f>
        <v>#VALUE!</v>
      </c>
      <c r="AF191" t="e">
        <f>'All regions'!A5292+"$F;@!)5="</f>
        <v>#VALUE!</v>
      </c>
      <c r="AG191" t="e">
        <f>'All regions'!B5292+"$F;@!)5&gt;"</f>
        <v>#VALUE!</v>
      </c>
      <c r="AH191" t="e">
        <f>'All regions'!C5292+"$F;@!)5?"</f>
        <v>#VALUE!</v>
      </c>
      <c r="AI191" t="e">
        <f>'All regions'!D5292+"$F;@!)5@"</f>
        <v>#VALUE!</v>
      </c>
      <c r="AJ191" t="e">
        <f>'All regions'!E5292+"$F;@!)5A"</f>
        <v>#VALUE!</v>
      </c>
      <c r="AK191" t="e">
        <f>'All regions'!F5292+"$F;@!)5B"</f>
        <v>#VALUE!</v>
      </c>
      <c r="AL191" t="e">
        <f>'All regions'!G5292+"$F;@!)5C"</f>
        <v>#VALUE!</v>
      </c>
      <c r="AM191" t="e">
        <f>'All regions'!H5292+"$F;@!)5D"</f>
        <v>#VALUE!</v>
      </c>
      <c r="AN191" t="e">
        <f>'All regions'!I5292+"$F;@!)5E"</f>
        <v>#VALUE!</v>
      </c>
      <c r="AO191" t="e">
        <f>'All regions'!A5293+"$F;@!)5F"</f>
        <v>#VALUE!</v>
      </c>
      <c r="AP191" t="e">
        <f>'All regions'!B5293+"$F;@!)5G"</f>
        <v>#VALUE!</v>
      </c>
      <c r="AQ191" t="e">
        <f>'All regions'!C5293+"$F;@!)5H"</f>
        <v>#VALUE!</v>
      </c>
      <c r="AR191" t="e">
        <f>'All regions'!D5293+"$F;@!)5I"</f>
        <v>#VALUE!</v>
      </c>
      <c r="AS191" t="e">
        <f>'All regions'!E5293+"$F;@!)5J"</f>
        <v>#VALUE!</v>
      </c>
      <c r="AT191" t="e">
        <f>'All regions'!F5293+"$F;@!)5K"</f>
        <v>#VALUE!</v>
      </c>
      <c r="AU191" t="e">
        <f>'All regions'!G5293+"$F;@!)5L"</f>
        <v>#VALUE!</v>
      </c>
      <c r="AV191" t="e">
        <f>'All regions'!H5293+"$F;@!)5M"</f>
        <v>#VALUE!</v>
      </c>
      <c r="AW191" t="e">
        <f>'All regions'!I5293+"$F;@!)5N"</f>
        <v>#VALUE!</v>
      </c>
      <c r="AX191" t="e">
        <f>'All regions'!A5295+"$F;@!)5O"</f>
        <v>#VALUE!</v>
      </c>
      <c r="AY191" t="e">
        <f>'All regions'!B5295+"$F;@!)5P"</f>
        <v>#VALUE!</v>
      </c>
      <c r="AZ191" t="e">
        <f>'All regions'!C5295+"$F;@!)5Q"</f>
        <v>#VALUE!</v>
      </c>
      <c r="BA191" t="e">
        <f>'All regions'!D5295+"$F;@!)5R"</f>
        <v>#VALUE!</v>
      </c>
      <c r="BB191" t="e">
        <f>'All regions'!E5295+"$F;@!)5S"</f>
        <v>#VALUE!</v>
      </c>
      <c r="BC191" t="e">
        <f>'All regions'!F5295+"$F;@!)5T"</f>
        <v>#VALUE!</v>
      </c>
      <c r="BD191" t="e">
        <f>'All regions'!G5295+"$F;@!)5U"</f>
        <v>#VALUE!</v>
      </c>
      <c r="BE191" t="e">
        <f>'All regions'!H5295+"$F;@!)5V"</f>
        <v>#VALUE!</v>
      </c>
      <c r="BF191" t="e">
        <f>'All regions'!I5295+"$F;@!)5W"</f>
        <v>#VALUE!</v>
      </c>
      <c r="BG191" t="e">
        <f>'All regions'!A5296+"$F;@!)5X"</f>
        <v>#VALUE!</v>
      </c>
      <c r="BH191" t="e">
        <f>'All regions'!B5296+"$F;@!)5Y"</f>
        <v>#VALUE!</v>
      </c>
      <c r="BI191" t="e">
        <f>'All regions'!C5296+"$F;@!)5Z"</f>
        <v>#VALUE!</v>
      </c>
      <c r="BJ191" t="e">
        <f>'All regions'!D5296+"$F;@!)5["</f>
        <v>#VALUE!</v>
      </c>
      <c r="BK191" t="e">
        <f>'All regions'!E5296+"$F;@!)5\"</f>
        <v>#VALUE!</v>
      </c>
      <c r="BL191" t="e">
        <f>'All regions'!F5296+"$F;@!)5]"</f>
        <v>#VALUE!</v>
      </c>
      <c r="BM191" t="e">
        <f>'All regions'!G5296+"$F;@!)5^"</f>
        <v>#VALUE!</v>
      </c>
      <c r="BN191" t="e">
        <f>'All regions'!H5296+"$F;@!)5_"</f>
        <v>#VALUE!</v>
      </c>
      <c r="BO191" t="e">
        <f>'All regions'!I5296+"$F;@!)5`"</f>
        <v>#VALUE!</v>
      </c>
      <c r="BP191" t="e">
        <f>'All regions'!A5297+"$F;@!)5a"</f>
        <v>#VALUE!</v>
      </c>
      <c r="BQ191" t="e">
        <f>'All regions'!B5297+"$F;@!)5b"</f>
        <v>#VALUE!</v>
      </c>
      <c r="BR191" t="e">
        <f>'All regions'!C5297+"$F;@!)5c"</f>
        <v>#VALUE!</v>
      </c>
      <c r="BS191" t="e">
        <f>'All regions'!D5297+"$F;@!)5d"</f>
        <v>#VALUE!</v>
      </c>
      <c r="BT191" t="e">
        <f>'All regions'!E5297+"$F;@!)5e"</f>
        <v>#VALUE!</v>
      </c>
      <c r="BU191" t="e">
        <f>'All regions'!F5297+"$F;@!)5f"</f>
        <v>#VALUE!</v>
      </c>
      <c r="BV191" t="e">
        <f>'All regions'!G5297+"$F;@!)5g"</f>
        <v>#VALUE!</v>
      </c>
      <c r="BW191" t="e">
        <f>'All regions'!H5297+"$F;@!)5h"</f>
        <v>#VALUE!</v>
      </c>
      <c r="BX191" t="e">
        <f>'All regions'!I5297+"$F;@!)5i"</f>
        <v>#VALUE!</v>
      </c>
      <c r="BY191" t="e">
        <f>'All regions'!A5298+"$F;@!)5j"</f>
        <v>#VALUE!</v>
      </c>
      <c r="BZ191" t="e">
        <f>'All regions'!B5298+"$F;@!)5k"</f>
        <v>#VALUE!</v>
      </c>
      <c r="CA191" t="e">
        <f>'All regions'!C5298+"$F;@!)5l"</f>
        <v>#VALUE!</v>
      </c>
      <c r="CB191" t="e">
        <f>'All regions'!D5298+"$F;@!)5m"</f>
        <v>#VALUE!</v>
      </c>
      <c r="CC191" t="e">
        <f>'All regions'!E5298+"$F;@!)5n"</f>
        <v>#VALUE!</v>
      </c>
      <c r="CD191" t="e">
        <f>'All regions'!F5298+"$F;@!)5o"</f>
        <v>#VALUE!</v>
      </c>
      <c r="CE191" t="e">
        <f>'All regions'!G5298+"$F;@!)5p"</f>
        <v>#VALUE!</v>
      </c>
      <c r="CF191" t="e">
        <f>'All regions'!H5298+"$F;@!)5q"</f>
        <v>#VALUE!</v>
      </c>
      <c r="CG191" t="e">
        <f>'All regions'!I5298+"$F;@!)5r"</f>
        <v>#VALUE!</v>
      </c>
      <c r="CH191" t="e">
        <f>'All regions'!A5299+"$F;@!)5s"</f>
        <v>#VALUE!</v>
      </c>
      <c r="CI191" t="e">
        <f>'All regions'!B5299+"$F;@!)5t"</f>
        <v>#VALUE!</v>
      </c>
      <c r="CJ191" t="e">
        <f>'All regions'!C5299+"$F;@!)5u"</f>
        <v>#VALUE!</v>
      </c>
      <c r="CK191" t="e">
        <f>'All regions'!D5299+"$F;@!)5v"</f>
        <v>#VALUE!</v>
      </c>
      <c r="CL191" t="e">
        <f>'All regions'!E5299+"$F;@!)5w"</f>
        <v>#VALUE!</v>
      </c>
      <c r="CM191" t="e">
        <f>'All regions'!F5299+"$F;@!)5x"</f>
        <v>#VALUE!</v>
      </c>
      <c r="CN191" t="e">
        <f>'All regions'!G5299+"$F;@!)5y"</f>
        <v>#VALUE!</v>
      </c>
      <c r="CO191" t="e">
        <f>'All regions'!H5299+"$F;@!)5z"</f>
        <v>#VALUE!</v>
      </c>
      <c r="CP191" t="e">
        <f>'All regions'!I5299+"$F;@!)5{"</f>
        <v>#VALUE!</v>
      </c>
      <c r="CQ191" t="e">
        <f>'All regions'!A5300+"$F;@!)5|"</f>
        <v>#VALUE!</v>
      </c>
      <c r="CR191" t="e">
        <f>'All regions'!B5300+"$F;@!)5}"</f>
        <v>#VALUE!</v>
      </c>
      <c r="CS191" t="e">
        <f>'All regions'!C5300+"$F;@!)5~"</f>
        <v>#VALUE!</v>
      </c>
      <c r="CT191" t="e">
        <f>'All regions'!D5300+"$F;@!)6#"</f>
        <v>#VALUE!</v>
      </c>
      <c r="CU191" t="e">
        <f>'All regions'!E5300+"$F;@!)6$"</f>
        <v>#VALUE!</v>
      </c>
      <c r="CV191" t="e">
        <f>'All regions'!F5300+"$F;@!)6%"</f>
        <v>#VALUE!</v>
      </c>
      <c r="CW191" t="e">
        <f>'All regions'!G5300+"$F;@!)6&amp;"</f>
        <v>#VALUE!</v>
      </c>
      <c r="CX191" t="e">
        <f>'All regions'!H5300+"$F;@!)6'"</f>
        <v>#VALUE!</v>
      </c>
      <c r="CY191" t="e">
        <f>'All regions'!I5300+"$F;@!)6("</f>
        <v>#VALUE!</v>
      </c>
      <c r="CZ191" t="e">
        <f>'All regions'!A5303+"$F;@!)6)"</f>
        <v>#VALUE!</v>
      </c>
      <c r="DA191" t="e">
        <f>'All regions'!B5303+"$F;@!)6."</f>
        <v>#VALUE!</v>
      </c>
      <c r="DB191" t="e">
        <f>'All regions'!C5303+"$F;@!)6/"</f>
        <v>#VALUE!</v>
      </c>
      <c r="DC191" t="e">
        <f>'All regions'!D5303+"$F;@!)60"</f>
        <v>#VALUE!</v>
      </c>
      <c r="DD191" t="e">
        <f>'All regions'!E5303+"$F;@!)61"</f>
        <v>#VALUE!</v>
      </c>
      <c r="DE191" t="e">
        <f>'All regions'!F5303+"$F;@!)62"</f>
        <v>#VALUE!</v>
      </c>
      <c r="DF191" t="e">
        <f>'All regions'!G5303+"$F;@!)63"</f>
        <v>#VALUE!</v>
      </c>
      <c r="DG191" t="e">
        <f>'All regions'!H5303+"$F;@!)64"</f>
        <v>#VALUE!</v>
      </c>
      <c r="DH191" t="e">
        <f>'All regions'!I5303+"$F;@!)65"</f>
        <v>#VALUE!</v>
      </c>
      <c r="DI191" t="e">
        <f>'All regions'!A5304+"$F;@!)66"</f>
        <v>#VALUE!</v>
      </c>
      <c r="DJ191" t="e">
        <f>'All regions'!B5304+"$F;@!)67"</f>
        <v>#VALUE!</v>
      </c>
      <c r="DK191" t="e">
        <f>'All regions'!C5304+"$F;@!)68"</f>
        <v>#VALUE!</v>
      </c>
      <c r="DL191" t="e">
        <f>'All regions'!D5304+"$F;@!)69"</f>
        <v>#VALUE!</v>
      </c>
      <c r="DM191" t="e">
        <f>'All regions'!E5304+"$F;@!)6:"</f>
        <v>#VALUE!</v>
      </c>
      <c r="DN191" t="e">
        <f>'All regions'!F5304+"$F;@!)6;"</f>
        <v>#VALUE!</v>
      </c>
      <c r="DO191" t="e">
        <f>'All regions'!G5304+"$F;@!)6&lt;"</f>
        <v>#VALUE!</v>
      </c>
      <c r="DP191" t="e">
        <f>'All regions'!H5304+"$F;@!)6="</f>
        <v>#VALUE!</v>
      </c>
      <c r="DQ191" t="e">
        <f>'All regions'!I5304+"$F;@!)6&gt;"</f>
        <v>#VALUE!</v>
      </c>
      <c r="DR191" t="e">
        <f>'All regions'!A5305+"$F;@!)6?"</f>
        <v>#VALUE!</v>
      </c>
      <c r="DS191" t="e">
        <f>'All regions'!B5305+"$F;@!)6@"</f>
        <v>#VALUE!</v>
      </c>
      <c r="DT191" t="e">
        <f>'All regions'!C5305+"$F;@!)6A"</f>
        <v>#VALUE!</v>
      </c>
      <c r="DU191" t="e">
        <f>'All regions'!D5305+"$F;@!)6B"</f>
        <v>#VALUE!</v>
      </c>
      <c r="DV191" t="e">
        <f>'All regions'!E5305+"$F;@!)6C"</f>
        <v>#VALUE!</v>
      </c>
      <c r="DW191" t="e">
        <f>'All regions'!F5305+"$F;@!)6D"</f>
        <v>#VALUE!</v>
      </c>
      <c r="DX191" t="e">
        <f>'All regions'!G5305+"$F;@!)6E"</f>
        <v>#VALUE!</v>
      </c>
      <c r="DY191" t="e">
        <f>'All regions'!H5305+"$F;@!)6F"</f>
        <v>#VALUE!</v>
      </c>
      <c r="DZ191" t="e">
        <f>'All regions'!I5305+"$F;@!)6G"</f>
        <v>#VALUE!</v>
      </c>
      <c r="EA191" t="e">
        <f>'All regions'!A5306+"$F;@!)6H"</f>
        <v>#VALUE!</v>
      </c>
      <c r="EB191" t="e">
        <f>'All regions'!B5306+"$F;@!)6I"</f>
        <v>#VALUE!</v>
      </c>
      <c r="EC191" t="e">
        <f>'All regions'!C5306+"$F;@!)6J"</f>
        <v>#VALUE!</v>
      </c>
      <c r="ED191" t="e">
        <f>'All regions'!D5306+"$F;@!)6K"</f>
        <v>#VALUE!</v>
      </c>
      <c r="EE191" t="e">
        <f>'All regions'!E5306+"$F;@!)6L"</f>
        <v>#VALUE!</v>
      </c>
      <c r="EF191" t="e">
        <f>'All regions'!F5306+"$F;@!)6M"</f>
        <v>#VALUE!</v>
      </c>
      <c r="EG191" t="e">
        <f>'All regions'!G5306+"$F;@!)6N"</f>
        <v>#VALUE!</v>
      </c>
      <c r="EH191" t="e">
        <f>'All regions'!H5306+"$F;@!)6O"</f>
        <v>#VALUE!</v>
      </c>
      <c r="EI191" t="e">
        <f>'All regions'!I5306+"$F;@!)6P"</f>
        <v>#VALUE!</v>
      </c>
      <c r="EJ191" t="e">
        <f>'All regions'!A5307+"$F;@!)6Q"</f>
        <v>#VALUE!</v>
      </c>
      <c r="EK191" t="e">
        <f>'All regions'!B5307+"$F;@!)6R"</f>
        <v>#VALUE!</v>
      </c>
      <c r="EL191" t="e">
        <f>'All regions'!C5307+"$F;@!)6S"</f>
        <v>#VALUE!</v>
      </c>
      <c r="EM191" t="e">
        <f>'All regions'!D5307+"$F;@!)6T"</f>
        <v>#VALUE!</v>
      </c>
      <c r="EN191" t="e">
        <f>'All regions'!E5307+"$F;@!)6U"</f>
        <v>#VALUE!</v>
      </c>
      <c r="EO191" t="e">
        <f>'All regions'!F5307+"$F;@!)6V"</f>
        <v>#VALUE!</v>
      </c>
      <c r="EP191" t="e">
        <f>'All regions'!G5307+"$F;@!)6W"</f>
        <v>#VALUE!</v>
      </c>
      <c r="EQ191" t="e">
        <f>'All regions'!H5307+"$F;@!)6X"</f>
        <v>#VALUE!</v>
      </c>
      <c r="ER191" t="e">
        <f>'All regions'!I5307+"$F;@!)6Y"</f>
        <v>#VALUE!</v>
      </c>
      <c r="ES191" t="e">
        <f>'All regions'!A5308+"$F;@!)6Z"</f>
        <v>#VALUE!</v>
      </c>
      <c r="ET191" t="e">
        <f>'All regions'!B5308+"$F;@!)6["</f>
        <v>#VALUE!</v>
      </c>
      <c r="EU191" t="e">
        <f>'All regions'!C5308+"$F;@!)6\"</f>
        <v>#VALUE!</v>
      </c>
      <c r="EV191" t="e">
        <f>'All regions'!D5308+"$F;@!)6]"</f>
        <v>#VALUE!</v>
      </c>
      <c r="EW191" t="e">
        <f>'All regions'!E5308+"$F;@!)6^"</f>
        <v>#VALUE!</v>
      </c>
      <c r="EX191" t="e">
        <f>'All regions'!F5308+"$F;@!)6_"</f>
        <v>#VALUE!</v>
      </c>
      <c r="EY191" t="e">
        <f>'All regions'!G5308+"$F;@!)6`"</f>
        <v>#VALUE!</v>
      </c>
      <c r="EZ191" t="e">
        <f>'All regions'!H5308+"$F;@!)6a"</f>
        <v>#VALUE!</v>
      </c>
      <c r="FA191" t="e">
        <f>'All regions'!I5308+"$F;@!)6b"</f>
        <v>#VALUE!</v>
      </c>
      <c r="FB191" t="e">
        <f>'All regions'!A5309+"$F;@!)6c"</f>
        <v>#VALUE!</v>
      </c>
      <c r="FC191" t="e">
        <f>'All regions'!B5309+"$F;@!)6d"</f>
        <v>#VALUE!</v>
      </c>
      <c r="FD191" t="e">
        <f>'All regions'!C5309+"$F;@!)6e"</f>
        <v>#VALUE!</v>
      </c>
      <c r="FE191" t="e">
        <f>'All regions'!D5309+"$F;@!)6f"</f>
        <v>#VALUE!</v>
      </c>
      <c r="FF191" t="e">
        <f>'All regions'!E5309+"$F;@!)6g"</f>
        <v>#VALUE!</v>
      </c>
      <c r="FG191" t="e">
        <f>'All regions'!F5309+"$F;@!)6h"</f>
        <v>#VALUE!</v>
      </c>
      <c r="FH191" t="e">
        <f>'All regions'!G5309+"$F;@!)6i"</f>
        <v>#VALUE!</v>
      </c>
      <c r="FI191" t="e">
        <f>'All regions'!H5309+"$F;@!)6j"</f>
        <v>#VALUE!</v>
      </c>
      <c r="FJ191" t="e">
        <f>'All regions'!I5309+"$F;@!)6k"</f>
        <v>#VALUE!</v>
      </c>
      <c r="FK191" t="e">
        <f>'All regions'!A5310+"$F;@!)6l"</f>
        <v>#VALUE!</v>
      </c>
      <c r="FL191" t="e">
        <f>'All regions'!B5310+"$F;@!)6m"</f>
        <v>#VALUE!</v>
      </c>
      <c r="FM191" t="e">
        <f>'All regions'!C5310+"$F;@!)6n"</f>
        <v>#VALUE!</v>
      </c>
      <c r="FN191" t="e">
        <f>'All regions'!D5310+"$F;@!)6o"</f>
        <v>#VALUE!</v>
      </c>
      <c r="FO191" t="e">
        <f>'All regions'!E5310+"$F;@!)6p"</f>
        <v>#VALUE!</v>
      </c>
      <c r="FP191" t="e">
        <f>'All regions'!F5310+"$F;@!)6q"</f>
        <v>#VALUE!</v>
      </c>
      <c r="FQ191" t="e">
        <f>'All regions'!G5310+"$F;@!)6r"</f>
        <v>#VALUE!</v>
      </c>
      <c r="FR191" t="e">
        <f>'All regions'!H5310+"$F;@!)6s"</f>
        <v>#VALUE!</v>
      </c>
      <c r="FS191" t="e">
        <f>'All regions'!I5310+"$F;@!)6t"</f>
        <v>#VALUE!</v>
      </c>
      <c r="FT191" t="e">
        <f>'All regions'!A5311+"$F;@!)6u"</f>
        <v>#VALUE!</v>
      </c>
      <c r="FU191" t="e">
        <f>'All regions'!B5311+"$F;@!)6v"</f>
        <v>#VALUE!</v>
      </c>
      <c r="FV191" t="e">
        <f>'All regions'!C5311+"$F;@!)6w"</f>
        <v>#VALUE!</v>
      </c>
      <c r="FW191" t="e">
        <f>'All regions'!D5311+"$F;@!)6x"</f>
        <v>#VALUE!</v>
      </c>
      <c r="FX191" t="e">
        <f>'All regions'!E5311+"$F;@!)6y"</f>
        <v>#VALUE!</v>
      </c>
      <c r="FY191" t="e">
        <f>'All regions'!F5311+"$F;@!)6z"</f>
        <v>#VALUE!</v>
      </c>
      <c r="FZ191" t="e">
        <f>'All regions'!G5311+"$F;@!)6{"</f>
        <v>#VALUE!</v>
      </c>
      <c r="GA191" t="e">
        <f>'All regions'!H5311+"$F;@!)6|"</f>
        <v>#VALUE!</v>
      </c>
      <c r="GB191" t="e">
        <f>'All regions'!I5311+"$F;@!)6}"</f>
        <v>#VALUE!</v>
      </c>
      <c r="GC191" t="e">
        <f>'All regions'!A5312+"$F;@!)6~"</f>
        <v>#VALUE!</v>
      </c>
      <c r="GD191" t="e">
        <f>'All regions'!B5312+"$F;@!)7#"</f>
        <v>#VALUE!</v>
      </c>
      <c r="GE191" t="e">
        <f>'All regions'!C5312+"$F;@!)7$"</f>
        <v>#VALUE!</v>
      </c>
      <c r="GF191" t="e">
        <f>'All regions'!D5312+"$F;@!)7%"</f>
        <v>#VALUE!</v>
      </c>
      <c r="GG191" t="e">
        <f>'All regions'!E5312+"$F;@!)7&amp;"</f>
        <v>#VALUE!</v>
      </c>
      <c r="GH191" t="e">
        <f>'All regions'!F5312+"$F;@!)7'"</f>
        <v>#VALUE!</v>
      </c>
      <c r="GI191" t="e">
        <f>'All regions'!G5312+"$F;@!)7("</f>
        <v>#VALUE!</v>
      </c>
      <c r="GJ191" t="e">
        <f>'All regions'!H5312+"$F;@!)7)"</f>
        <v>#VALUE!</v>
      </c>
      <c r="GK191" t="e">
        <f>'All regions'!I5312+"$F;@!)7."</f>
        <v>#VALUE!</v>
      </c>
      <c r="GL191" t="e">
        <f>'All regions'!A5313+"$F;@!)7/"</f>
        <v>#VALUE!</v>
      </c>
      <c r="GM191" t="e">
        <f>'All regions'!B5313+"$F;@!)70"</f>
        <v>#VALUE!</v>
      </c>
      <c r="GN191" t="e">
        <f>'All regions'!C5313+"$F;@!)71"</f>
        <v>#VALUE!</v>
      </c>
      <c r="GO191" t="e">
        <f>'All regions'!D5313+"$F;@!)72"</f>
        <v>#VALUE!</v>
      </c>
      <c r="GP191" t="e">
        <f>'All regions'!E5313+"$F;@!)73"</f>
        <v>#VALUE!</v>
      </c>
      <c r="GQ191" t="e">
        <f>'All regions'!F5313+"$F;@!)74"</f>
        <v>#VALUE!</v>
      </c>
      <c r="GR191" t="e">
        <f>'All regions'!G5313+"$F;@!)75"</f>
        <v>#VALUE!</v>
      </c>
      <c r="GS191" t="e">
        <f>'All regions'!H5313+"$F;@!)76"</f>
        <v>#VALUE!</v>
      </c>
      <c r="GT191" t="e">
        <f>'All regions'!I5313+"$F;@!)77"</f>
        <v>#VALUE!</v>
      </c>
      <c r="GU191" t="e">
        <f>'All regions'!A5314+"$F;@!)78"</f>
        <v>#VALUE!</v>
      </c>
      <c r="GV191" t="e">
        <f>'All regions'!B5314+"$F;@!)79"</f>
        <v>#VALUE!</v>
      </c>
      <c r="GW191" t="e">
        <f>'All regions'!C5314+"$F;@!)7:"</f>
        <v>#VALUE!</v>
      </c>
      <c r="GX191" t="e">
        <f>'All regions'!D5314+"$F;@!)7;"</f>
        <v>#VALUE!</v>
      </c>
      <c r="GY191" t="e">
        <f>'All regions'!E5314+"$F;@!)7&lt;"</f>
        <v>#VALUE!</v>
      </c>
      <c r="GZ191" t="e">
        <f>'All regions'!F5314+"$F;@!)7="</f>
        <v>#VALUE!</v>
      </c>
      <c r="HA191" t="e">
        <f>'All regions'!G5314+"$F;@!)7&gt;"</f>
        <v>#VALUE!</v>
      </c>
      <c r="HB191" t="e">
        <f>'All regions'!H5314+"$F;@!)7?"</f>
        <v>#VALUE!</v>
      </c>
      <c r="HC191" t="e">
        <f>'All regions'!I5314+"$F;@!)7@"</f>
        <v>#VALUE!</v>
      </c>
      <c r="HD191" t="e">
        <f>'All regions'!A5315+"$F;@!)7A"</f>
        <v>#VALUE!</v>
      </c>
      <c r="HE191" t="e">
        <f>'All regions'!B5315+"$F;@!)7B"</f>
        <v>#VALUE!</v>
      </c>
      <c r="HF191" t="e">
        <f>'All regions'!C5315+"$F;@!)7C"</f>
        <v>#VALUE!</v>
      </c>
      <c r="HG191" t="e">
        <f>'All regions'!D5315+"$F;@!)7D"</f>
        <v>#VALUE!</v>
      </c>
      <c r="HH191" t="e">
        <f>'All regions'!E5315+"$F;@!)7E"</f>
        <v>#VALUE!</v>
      </c>
      <c r="HI191" t="e">
        <f>'All regions'!F5315+"$F;@!)7F"</f>
        <v>#VALUE!</v>
      </c>
      <c r="HJ191" t="e">
        <f>'All regions'!G5315+"$F;@!)7G"</f>
        <v>#VALUE!</v>
      </c>
      <c r="HK191" t="e">
        <f>'All regions'!H5315+"$F;@!)7H"</f>
        <v>#VALUE!</v>
      </c>
      <c r="HL191" t="e">
        <f>'All regions'!I5315+"$F;@!)7I"</f>
        <v>#VALUE!</v>
      </c>
      <c r="HM191" t="e">
        <f>'All regions'!A5316+"$F;@!)7J"</f>
        <v>#VALUE!</v>
      </c>
      <c r="HN191" t="e">
        <f>'All regions'!B5316+"$F;@!)7K"</f>
        <v>#VALUE!</v>
      </c>
      <c r="HO191" t="e">
        <f>'All regions'!C5316+"$F;@!)7L"</f>
        <v>#VALUE!</v>
      </c>
      <c r="HP191" t="e">
        <f>'All regions'!D5316+"$F;@!)7M"</f>
        <v>#VALUE!</v>
      </c>
      <c r="HQ191" t="e">
        <f>'All regions'!E5316+"$F;@!)7N"</f>
        <v>#VALUE!</v>
      </c>
      <c r="HR191" t="e">
        <f>'All regions'!F5316+"$F;@!)7O"</f>
        <v>#VALUE!</v>
      </c>
      <c r="HS191" t="e">
        <f>'All regions'!G5316+"$F;@!)7P"</f>
        <v>#VALUE!</v>
      </c>
      <c r="HT191" t="e">
        <f>'All regions'!H5316+"$F;@!)7Q"</f>
        <v>#VALUE!</v>
      </c>
      <c r="HU191" t="e">
        <f>'All regions'!I5316+"$F;@!)7R"</f>
        <v>#VALUE!</v>
      </c>
      <c r="HV191" t="e">
        <f>'All regions'!A5317+"$F;@!)7S"</f>
        <v>#VALUE!</v>
      </c>
      <c r="HW191" t="e">
        <f>'All regions'!B5317+"$F;@!)7T"</f>
        <v>#VALUE!</v>
      </c>
      <c r="HX191" t="e">
        <f>'All regions'!C5317+"$F;@!)7U"</f>
        <v>#VALUE!</v>
      </c>
      <c r="HY191" t="e">
        <f>'All regions'!D5317+"$F;@!)7V"</f>
        <v>#VALUE!</v>
      </c>
      <c r="HZ191" t="e">
        <f>'All regions'!E5317+"$F;@!)7W"</f>
        <v>#VALUE!</v>
      </c>
      <c r="IA191" t="e">
        <f>'All regions'!F5317+"$F;@!)7X"</f>
        <v>#VALUE!</v>
      </c>
      <c r="IB191" t="e">
        <f>'All regions'!G5317+"$F;@!)7Y"</f>
        <v>#VALUE!</v>
      </c>
      <c r="IC191" t="e">
        <f>'All regions'!H5317+"$F;@!)7Z"</f>
        <v>#VALUE!</v>
      </c>
      <c r="ID191" t="e">
        <f>'All regions'!I5317+"$F;@!)7["</f>
        <v>#VALUE!</v>
      </c>
      <c r="IE191" t="e">
        <f>'All regions'!A5318+"$F;@!)7\"</f>
        <v>#VALUE!</v>
      </c>
      <c r="IF191" t="e">
        <f>'All regions'!B5318+"$F;@!)7]"</f>
        <v>#VALUE!</v>
      </c>
      <c r="IG191" t="e">
        <f>'All regions'!C5318+"$F;@!)7^"</f>
        <v>#VALUE!</v>
      </c>
      <c r="IH191" t="e">
        <f>'All regions'!D5318+"$F;@!)7_"</f>
        <v>#VALUE!</v>
      </c>
      <c r="II191" t="e">
        <f>'All regions'!E5318+"$F;@!)7`"</f>
        <v>#VALUE!</v>
      </c>
      <c r="IJ191" t="e">
        <f>'All regions'!F5318+"$F;@!)7a"</f>
        <v>#VALUE!</v>
      </c>
      <c r="IK191" t="e">
        <f>'All regions'!G5318+"$F;@!)7b"</f>
        <v>#VALUE!</v>
      </c>
      <c r="IL191" t="e">
        <f>'All regions'!H5318+"$F;@!)7c"</f>
        <v>#VALUE!</v>
      </c>
      <c r="IM191" t="e">
        <f>'All regions'!I5318+"$F;@!)7d"</f>
        <v>#VALUE!</v>
      </c>
      <c r="IN191" t="e">
        <f>'All regions'!A5319+"$F;@!)7e"</f>
        <v>#VALUE!</v>
      </c>
      <c r="IO191" t="e">
        <f>'All regions'!B5319+"$F;@!)7f"</f>
        <v>#VALUE!</v>
      </c>
      <c r="IP191" t="e">
        <f>'All regions'!C5319+"$F;@!)7g"</f>
        <v>#VALUE!</v>
      </c>
      <c r="IQ191" t="e">
        <f>'All regions'!D5319+"$F;@!)7h"</f>
        <v>#VALUE!</v>
      </c>
      <c r="IR191" t="e">
        <f>'All regions'!E5319+"$F;@!)7i"</f>
        <v>#VALUE!</v>
      </c>
      <c r="IS191" t="e">
        <f>'All regions'!F5319+"$F;@!)7j"</f>
        <v>#VALUE!</v>
      </c>
      <c r="IT191" t="e">
        <f>'All regions'!G5319+"$F;@!)7k"</f>
        <v>#VALUE!</v>
      </c>
      <c r="IU191" t="e">
        <f>'All regions'!H5319+"$F;@!)7l"</f>
        <v>#VALUE!</v>
      </c>
      <c r="IV191" t="e">
        <f>'All regions'!I5319+"$F;@!)7m"</f>
        <v>#VALUE!</v>
      </c>
    </row>
    <row r="192" spans="6:256" x14ac:dyDescent="0.35">
      <c r="F192" t="e">
        <f>'All regions'!A5320+"$F;@!)7n"</f>
        <v>#VALUE!</v>
      </c>
      <c r="G192" t="e">
        <f>'All regions'!B5320+"$F;@!)7o"</f>
        <v>#VALUE!</v>
      </c>
      <c r="H192" t="e">
        <f>'All regions'!C5320+"$F;@!)7p"</f>
        <v>#VALUE!</v>
      </c>
      <c r="I192" t="e">
        <f>'All regions'!D5320+"$F;@!)7q"</f>
        <v>#VALUE!</v>
      </c>
      <c r="J192" t="e">
        <f>'All regions'!E5320+"$F;@!)7r"</f>
        <v>#VALUE!</v>
      </c>
      <c r="K192" t="e">
        <f>'All regions'!F5320+"$F;@!)7s"</f>
        <v>#VALUE!</v>
      </c>
      <c r="L192" t="e">
        <f>'All regions'!G5320+"$F;@!)7t"</f>
        <v>#VALUE!</v>
      </c>
      <c r="M192" t="e">
        <f>'All regions'!H5320+"$F;@!)7u"</f>
        <v>#VALUE!</v>
      </c>
      <c r="N192" t="e">
        <f>'All regions'!I5320+"$F;@!)7v"</f>
        <v>#VALUE!</v>
      </c>
      <c r="O192" t="e">
        <f>'All regions'!A5321+"$F;@!)7w"</f>
        <v>#VALUE!</v>
      </c>
      <c r="P192" t="e">
        <f>'All regions'!B5321+"$F;@!)7x"</f>
        <v>#VALUE!</v>
      </c>
      <c r="Q192" t="e">
        <f>'All regions'!C5321+"$F;@!)7y"</f>
        <v>#VALUE!</v>
      </c>
      <c r="R192" t="e">
        <f>'All regions'!D5321+"$F;@!)7z"</f>
        <v>#VALUE!</v>
      </c>
      <c r="S192" t="e">
        <f>'All regions'!E5321+"$F;@!)7{"</f>
        <v>#VALUE!</v>
      </c>
      <c r="T192" t="e">
        <f>'All regions'!F5321+"$F;@!)7|"</f>
        <v>#VALUE!</v>
      </c>
      <c r="U192" t="e">
        <f>'All regions'!G5321+"$F;@!)7}"</f>
        <v>#VALUE!</v>
      </c>
      <c r="V192" t="e">
        <f>'All regions'!H5321+"$F;@!)7~"</f>
        <v>#VALUE!</v>
      </c>
      <c r="W192" t="e">
        <f>'All regions'!I5321+"$F;@!)8#"</f>
        <v>#VALUE!</v>
      </c>
      <c r="X192" t="e">
        <f>'All regions'!A5322+"$F;@!)8$"</f>
        <v>#VALUE!</v>
      </c>
      <c r="Y192" t="e">
        <f>'All regions'!B5322+"$F;@!)8%"</f>
        <v>#VALUE!</v>
      </c>
      <c r="Z192" t="e">
        <f>'All regions'!C5322+"$F;@!)8&amp;"</f>
        <v>#VALUE!</v>
      </c>
      <c r="AA192" t="e">
        <f>'All regions'!D5322+"$F;@!)8'"</f>
        <v>#VALUE!</v>
      </c>
      <c r="AB192" t="e">
        <f>'All regions'!E5322+"$F;@!)8("</f>
        <v>#VALUE!</v>
      </c>
      <c r="AC192" t="e">
        <f>'All regions'!F5322+"$F;@!)8)"</f>
        <v>#VALUE!</v>
      </c>
      <c r="AD192" t="e">
        <f>'All regions'!G5322+"$F;@!)8."</f>
        <v>#VALUE!</v>
      </c>
      <c r="AE192" t="e">
        <f>'All regions'!H5322+"$F;@!)8/"</f>
        <v>#VALUE!</v>
      </c>
      <c r="AF192" t="e">
        <f>'All regions'!I5322+"$F;@!)80"</f>
        <v>#VALUE!</v>
      </c>
      <c r="AG192" t="e">
        <f>'All regions'!A5323+"$F;@!)81"</f>
        <v>#VALUE!</v>
      </c>
      <c r="AH192" t="e">
        <f>'All regions'!B5323+"$F;@!)82"</f>
        <v>#VALUE!</v>
      </c>
      <c r="AI192" t="e">
        <f>'All regions'!C5323+"$F;@!)83"</f>
        <v>#VALUE!</v>
      </c>
      <c r="AJ192" t="e">
        <f>'All regions'!D5323+"$F;@!)84"</f>
        <v>#VALUE!</v>
      </c>
      <c r="AK192" t="e">
        <f>'All regions'!E5323+"$F;@!)85"</f>
        <v>#VALUE!</v>
      </c>
      <c r="AL192" t="e">
        <f>'All regions'!F5323+"$F;@!)86"</f>
        <v>#VALUE!</v>
      </c>
      <c r="AM192" t="e">
        <f>'All regions'!G5323+"$F;@!)87"</f>
        <v>#VALUE!</v>
      </c>
      <c r="AN192" t="e">
        <f>'All regions'!H5323+"$F;@!)88"</f>
        <v>#VALUE!</v>
      </c>
      <c r="AO192" t="e">
        <f>'All regions'!I5323+"$F;@!)89"</f>
        <v>#VALUE!</v>
      </c>
      <c r="AP192" t="e">
        <f>'All regions'!A5324+"$F;@!)8:"</f>
        <v>#VALUE!</v>
      </c>
      <c r="AQ192" t="e">
        <f>'All regions'!B5324+"$F;@!)8;"</f>
        <v>#VALUE!</v>
      </c>
      <c r="AR192" t="e">
        <f>'All regions'!C5324+"$F;@!)8&lt;"</f>
        <v>#VALUE!</v>
      </c>
      <c r="AS192" t="e">
        <f>'All regions'!D5324+"$F;@!)8="</f>
        <v>#VALUE!</v>
      </c>
      <c r="AT192" t="e">
        <f>'All regions'!E5324+"$F;@!)8&gt;"</f>
        <v>#VALUE!</v>
      </c>
      <c r="AU192" t="e">
        <f>'All regions'!F5324+"$F;@!)8?"</f>
        <v>#VALUE!</v>
      </c>
      <c r="AV192" t="e">
        <f>'All regions'!G5324+"$F;@!)8@"</f>
        <v>#VALUE!</v>
      </c>
      <c r="AW192" t="e">
        <f>'All regions'!H5324+"$F;@!)8A"</f>
        <v>#VALUE!</v>
      </c>
      <c r="AX192" t="e">
        <f>'All regions'!I5324+"$F;@!)8B"</f>
        <v>#VALUE!</v>
      </c>
      <c r="AY192" t="e">
        <f>'All regions'!A5325+"$F;@!)8C"</f>
        <v>#VALUE!</v>
      </c>
      <c r="AZ192" t="e">
        <f>'All regions'!B5325+"$F;@!)8D"</f>
        <v>#VALUE!</v>
      </c>
      <c r="BA192" t="e">
        <f>'All regions'!C5325+"$F;@!)8E"</f>
        <v>#VALUE!</v>
      </c>
      <c r="BB192" t="e">
        <f>'All regions'!D5325+"$F;@!)8F"</f>
        <v>#VALUE!</v>
      </c>
      <c r="BC192" t="e">
        <f>'All regions'!E5325+"$F;@!)8G"</f>
        <v>#VALUE!</v>
      </c>
      <c r="BD192" t="e">
        <f>'All regions'!F5325+"$F;@!)8H"</f>
        <v>#VALUE!</v>
      </c>
      <c r="BE192" t="e">
        <f>'All regions'!G5325+"$F;@!)8I"</f>
        <v>#VALUE!</v>
      </c>
      <c r="BF192" t="e">
        <f>'All regions'!H5325+"$F;@!)8J"</f>
        <v>#VALUE!</v>
      </c>
      <c r="BG192" t="e">
        <f>'All regions'!I5325+"$F;@!)8K"</f>
        <v>#VALUE!</v>
      </c>
      <c r="BH192" t="e">
        <f>'All regions'!A5326+"$F;@!)8L"</f>
        <v>#VALUE!</v>
      </c>
      <c r="BI192" t="e">
        <f>'All regions'!B5326+"$F;@!)8M"</f>
        <v>#VALUE!</v>
      </c>
      <c r="BJ192" t="e">
        <f>'All regions'!C5326+"$F;@!)8N"</f>
        <v>#VALUE!</v>
      </c>
      <c r="BK192" t="e">
        <f>'All regions'!D5326+"$F;@!)8O"</f>
        <v>#VALUE!</v>
      </c>
      <c r="BL192" t="e">
        <f>'All regions'!E5326+"$F;@!)8P"</f>
        <v>#VALUE!</v>
      </c>
      <c r="BM192" t="e">
        <f>'All regions'!F5326+"$F;@!)8Q"</f>
        <v>#VALUE!</v>
      </c>
      <c r="BN192" t="e">
        <f>'All regions'!G5326+"$F;@!)8R"</f>
        <v>#VALUE!</v>
      </c>
      <c r="BO192" t="e">
        <f>'All regions'!H5326+"$F;@!)8S"</f>
        <v>#VALUE!</v>
      </c>
      <c r="BP192" t="e">
        <f>'All regions'!I5326+"$F;@!)8T"</f>
        <v>#VALUE!</v>
      </c>
      <c r="BQ192" t="e">
        <f>'All regions'!A5327+"$F;@!)8U"</f>
        <v>#VALUE!</v>
      </c>
      <c r="BR192" t="e">
        <f>'All regions'!B5327+"$F;@!)8V"</f>
        <v>#VALUE!</v>
      </c>
      <c r="BS192" t="e">
        <f>'All regions'!C5327+"$F;@!)8W"</f>
        <v>#VALUE!</v>
      </c>
      <c r="BT192" t="e">
        <f>'All regions'!D5327+"$F;@!)8X"</f>
        <v>#VALUE!</v>
      </c>
      <c r="BU192" t="e">
        <f>'All regions'!E5327+"$F;@!)8Y"</f>
        <v>#VALUE!</v>
      </c>
      <c r="BV192" t="e">
        <f>'All regions'!F5327+"$F;@!)8Z"</f>
        <v>#VALUE!</v>
      </c>
      <c r="BW192" t="e">
        <f>'All regions'!G5327+"$F;@!)8["</f>
        <v>#VALUE!</v>
      </c>
      <c r="BX192" t="e">
        <f>'All regions'!H5327+"$F;@!)8\"</f>
        <v>#VALUE!</v>
      </c>
      <c r="BY192" t="e">
        <f>'All regions'!I5327+"$F;@!)8]"</f>
        <v>#VALUE!</v>
      </c>
      <c r="BZ192" t="e">
        <f>'All regions'!A5328+"$F;@!)8^"</f>
        <v>#VALUE!</v>
      </c>
      <c r="CA192" t="e">
        <f>'All regions'!B5328+"$F;@!)8_"</f>
        <v>#VALUE!</v>
      </c>
      <c r="CB192" t="e">
        <f>'All regions'!C5328+"$F;@!)8`"</f>
        <v>#VALUE!</v>
      </c>
      <c r="CC192" t="e">
        <f>'All regions'!D5328+"$F;@!)8a"</f>
        <v>#VALUE!</v>
      </c>
      <c r="CD192" t="e">
        <f>'All regions'!E5328+"$F;@!)8b"</f>
        <v>#VALUE!</v>
      </c>
      <c r="CE192" t="e">
        <f>'All regions'!F5328+"$F;@!)8c"</f>
        <v>#VALUE!</v>
      </c>
      <c r="CF192" t="e">
        <f>'All regions'!G5328+"$F;@!)8d"</f>
        <v>#VALUE!</v>
      </c>
      <c r="CG192" t="e">
        <f>'All regions'!H5328+"$F;@!)8e"</f>
        <v>#VALUE!</v>
      </c>
      <c r="CH192" t="e">
        <f>'All regions'!I5328+"$F;@!)8f"</f>
        <v>#VALUE!</v>
      </c>
      <c r="CI192" t="e">
        <f>'All regions'!A5329+"$F;@!)8g"</f>
        <v>#VALUE!</v>
      </c>
      <c r="CJ192" t="e">
        <f>'All regions'!B5329+"$F;@!)8h"</f>
        <v>#VALUE!</v>
      </c>
      <c r="CK192" t="e">
        <f>'All regions'!C5329+"$F;@!)8i"</f>
        <v>#VALUE!</v>
      </c>
      <c r="CL192" t="e">
        <f>'All regions'!D5329+"$F;@!)8j"</f>
        <v>#VALUE!</v>
      </c>
      <c r="CM192" t="e">
        <f>'All regions'!E5329+"$F;@!)8k"</f>
        <v>#VALUE!</v>
      </c>
      <c r="CN192" t="e">
        <f>'All regions'!F5329+"$F;@!)8l"</f>
        <v>#VALUE!</v>
      </c>
      <c r="CO192" t="e">
        <f>'All regions'!G5329+"$F;@!)8m"</f>
        <v>#VALUE!</v>
      </c>
      <c r="CP192" t="e">
        <f>'All regions'!H5329+"$F;@!)8n"</f>
        <v>#VALUE!</v>
      </c>
      <c r="CQ192" t="e">
        <f>'All regions'!I5329+"$F;@!)8o"</f>
        <v>#VALUE!</v>
      </c>
      <c r="CR192" t="e">
        <f>'All regions'!A5330+"$F;@!)8p"</f>
        <v>#VALUE!</v>
      </c>
      <c r="CS192" t="e">
        <f>'All regions'!B5330+"$F;@!)8q"</f>
        <v>#VALUE!</v>
      </c>
      <c r="CT192" t="e">
        <f>'All regions'!C5330+"$F;@!)8r"</f>
        <v>#VALUE!</v>
      </c>
      <c r="CU192" t="e">
        <f>'All regions'!D5330+"$F;@!)8s"</f>
        <v>#VALUE!</v>
      </c>
      <c r="CV192" t="e">
        <f>'All regions'!E5330+"$F;@!)8t"</f>
        <v>#VALUE!</v>
      </c>
      <c r="CW192" t="e">
        <f>'All regions'!F5330+"$F;@!)8u"</f>
        <v>#VALUE!</v>
      </c>
      <c r="CX192" t="e">
        <f>'All regions'!G5330+"$F;@!)8v"</f>
        <v>#VALUE!</v>
      </c>
      <c r="CY192" t="e">
        <f>'All regions'!H5330+"$F;@!)8w"</f>
        <v>#VALUE!</v>
      </c>
      <c r="CZ192" t="e">
        <f>'All regions'!I5330+"$F;@!)8x"</f>
        <v>#VALUE!</v>
      </c>
      <c r="DA192" t="e">
        <f>'All regions'!A5331+"$F;@!)8y"</f>
        <v>#VALUE!</v>
      </c>
      <c r="DB192" t="e">
        <f>'All regions'!B5331+"$F;@!)8z"</f>
        <v>#VALUE!</v>
      </c>
      <c r="DC192" t="e">
        <f>'All regions'!C5331+"$F;@!)8{"</f>
        <v>#VALUE!</v>
      </c>
      <c r="DD192" t="e">
        <f>'All regions'!D5331+"$F;@!)8|"</f>
        <v>#VALUE!</v>
      </c>
      <c r="DE192" t="e">
        <f>'All regions'!E5331+"$F;@!)8}"</f>
        <v>#VALUE!</v>
      </c>
      <c r="DF192" t="e">
        <f>'All regions'!F5331+"$F;@!)8~"</f>
        <v>#VALUE!</v>
      </c>
      <c r="DG192" t="e">
        <f>'All regions'!G5331+"$F;@!)9#"</f>
        <v>#VALUE!</v>
      </c>
      <c r="DH192" t="e">
        <f>'All regions'!H5331+"$F;@!)9$"</f>
        <v>#VALUE!</v>
      </c>
      <c r="DI192" t="e">
        <f>'All regions'!I5331+"$F;@!)9%"</f>
        <v>#VALUE!</v>
      </c>
      <c r="DJ192" t="e">
        <f>'All regions'!A5332+"$F;@!)9&amp;"</f>
        <v>#VALUE!</v>
      </c>
      <c r="DK192" t="e">
        <f>'All regions'!B5332+"$F;@!)9'"</f>
        <v>#VALUE!</v>
      </c>
      <c r="DL192" t="e">
        <f>'All regions'!C5332+"$F;@!)9("</f>
        <v>#VALUE!</v>
      </c>
      <c r="DM192" t="e">
        <f>'All regions'!D5332+"$F;@!)9)"</f>
        <v>#VALUE!</v>
      </c>
      <c r="DN192" t="e">
        <f>'All regions'!E5332+"$F;@!)9."</f>
        <v>#VALUE!</v>
      </c>
      <c r="DO192" t="e">
        <f>'All regions'!F5332+"$F;@!)9/"</f>
        <v>#VALUE!</v>
      </c>
      <c r="DP192" t="e">
        <f>'All regions'!G5332+"$F;@!)90"</f>
        <v>#VALUE!</v>
      </c>
      <c r="DQ192" t="e">
        <f>'All regions'!H5332+"$F;@!)91"</f>
        <v>#VALUE!</v>
      </c>
      <c r="DR192" t="e">
        <f>'All regions'!I5332+"$F;@!)92"</f>
        <v>#VALUE!</v>
      </c>
      <c r="DS192" t="e">
        <f>'All regions'!A5333+"$F;@!)93"</f>
        <v>#VALUE!</v>
      </c>
      <c r="DT192" t="e">
        <f>'All regions'!B5333+"$F;@!)94"</f>
        <v>#VALUE!</v>
      </c>
      <c r="DU192" t="e">
        <f>'All regions'!C5333+"$F;@!)95"</f>
        <v>#VALUE!</v>
      </c>
      <c r="DV192" t="e">
        <f>'All regions'!D5333+"$F;@!)96"</f>
        <v>#VALUE!</v>
      </c>
      <c r="DW192" t="e">
        <f>'All regions'!E5333+"$F;@!)97"</f>
        <v>#VALUE!</v>
      </c>
      <c r="DX192" t="e">
        <f>'All regions'!F5333+"$F;@!)98"</f>
        <v>#VALUE!</v>
      </c>
      <c r="DY192" t="e">
        <f>'All regions'!G5333+"$F;@!)99"</f>
        <v>#VALUE!</v>
      </c>
      <c r="DZ192" t="e">
        <f>'All regions'!H5333+"$F;@!)9:"</f>
        <v>#VALUE!</v>
      </c>
      <c r="EA192" t="e">
        <f>'All regions'!I5333+"$F;@!)9;"</f>
        <v>#VALUE!</v>
      </c>
      <c r="EB192" t="e">
        <f>'All regions'!A5334+"$F;@!)9&lt;"</f>
        <v>#VALUE!</v>
      </c>
      <c r="EC192" t="e">
        <f>'All regions'!B5334+"$F;@!)9="</f>
        <v>#VALUE!</v>
      </c>
      <c r="ED192" t="e">
        <f>'All regions'!C5334+"$F;@!)9&gt;"</f>
        <v>#VALUE!</v>
      </c>
      <c r="EE192" t="e">
        <f>'All regions'!D5334+"$F;@!)9?"</f>
        <v>#VALUE!</v>
      </c>
      <c r="EF192" t="e">
        <f>'All regions'!E5334+"$F;@!)9@"</f>
        <v>#VALUE!</v>
      </c>
      <c r="EG192" t="e">
        <f>'All regions'!F5334+"$F;@!)9A"</f>
        <v>#VALUE!</v>
      </c>
      <c r="EH192" t="e">
        <f>'All regions'!G5334+"$F;@!)9B"</f>
        <v>#VALUE!</v>
      </c>
      <c r="EI192" t="e">
        <f>'All regions'!H5334+"$F;@!)9C"</f>
        <v>#VALUE!</v>
      </c>
      <c r="EJ192" t="e">
        <f>'All regions'!I5334+"$F;@!)9D"</f>
        <v>#VALUE!</v>
      </c>
      <c r="EK192" t="e">
        <f>'All regions'!A5335+"$F;@!)9E"</f>
        <v>#VALUE!</v>
      </c>
      <c r="EL192" t="e">
        <f>'All regions'!B5335+"$F;@!)9F"</f>
        <v>#VALUE!</v>
      </c>
      <c r="EM192" t="e">
        <f>'All regions'!C5335+"$F;@!)9G"</f>
        <v>#VALUE!</v>
      </c>
      <c r="EN192" t="e">
        <f>'All regions'!D5335+"$F;@!)9H"</f>
        <v>#VALUE!</v>
      </c>
      <c r="EO192" t="e">
        <f>'All regions'!E5335+"$F;@!)9I"</f>
        <v>#VALUE!</v>
      </c>
      <c r="EP192" t="e">
        <f>'All regions'!F5335+"$F;@!)9J"</f>
        <v>#VALUE!</v>
      </c>
      <c r="EQ192" t="e">
        <f>'All regions'!G5335+"$F;@!)9K"</f>
        <v>#VALUE!</v>
      </c>
      <c r="ER192" t="e">
        <f>'All regions'!H5335+"$F;@!)9L"</f>
        <v>#VALUE!</v>
      </c>
      <c r="ES192" t="e">
        <f>'All regions'!I5335+"$F;@!)9M"</f>
        <v>#VALUE!</v>
      </c>
      <c r="ET192" t="e">
        <f>'All regions'!A5336+"$F;@!)9N"</f>
        <v>#VALUE!</v>
      </c>
      <c r="EU192" t="e">
        <f>'All regions'!B5336+"$F;@!)9O"</f>
        <v>#VALUE!</v>
      </c>
      <c r="EV192" t="e">
        <f>'All regions'!C5336+"$F;@!)9P"</f>
        <v>#VALUE!</v>
      </c>
      <c r="EW192" t="e">
        <f>'All regions'!D5336+"$F;@!)9Q"</f>
        <v>#VALUE!</v>
      </c>
      <c r="EX192" t="e">
        <f>'All regions'!E5336+"$F;@!)9R"</f>
        <v>#VALUE!</v>
      </c>
      <c r="EY192" t="e">
        <f>'All regions'!F5336+"$F;@!)9S"</f>
        <v>#VALUE!</v>
      </c>
      <c r="EZ192" t="e">
        <f>'All regions'!G5336+"$F;@!)9T"</f>
        <v>#VALUE!</v>
      </c>
      <c r="FA192" t="e">
        <f>'All regions'!H5336+"$F;@!)9U"</f>
        <v>#VALUE!</v>
      </c>
      <c r="FB192" t="e">
        <f>'All regions'!I5336+"$F;@!)9V"</f>
        <v>#VALUE!</v>
      </c>
      <c r="FC192" t="e">
        <f>'All regions'!A5337+"$F;@!)9W"</f>
        <v>#VALUE!</v>
      </c>
      <c r="FD192" t="e">
        <f>'All regions'!B5337+"$F;@!)9X"</f>
        <v>#VALUE!</v>
      </c>
      <c r="FE192" t="e">
        <f>'All regions'!C5337+"$F;@!)9Y"</f>
        <v>#VALUE!</v>
      </c>
      <c r="FF192" t="e">
        <f>'All regions'!D5337+"$F;@!)9Z"</f>
        <v>#VALUE!</v>
      </c>
      <c r="FG192" t="e">
        <f>'All regions'!E5337+"$F;@!)9["</f>
        <v>#VALUE!</v>
      </c>
      <c r="FH192" t="e">
        <f>'All regions'!F5337+"$F;@!)9\"</f>
        <v>#VALUE!</v>
      </c>
      <c r="FI192" t="e">
        <f>'All regions'!G5337+"$F;@!)9]"</f>
        <v>#VALUE!</v>
      </c>
      <c r="FJ192" t="e">
        <f>'All regions'!H5337+"$F;@!)9^"</f>
        <v>#VALUE!</v>
      </c>
      <c r="FK192" t="e">
        <f>'All regions'!I5337+"$F;@!)9_"</f>
        <v>#VALUE!</v>
      </c>
      <c r="FL192" t="e">
        <f>'All regions'!A5338+"$F;@!)9`"</f>
        <v>#VALUE!</v>
      </c>
      <c r="FM192" t="e">
        <f>'All regions'!B5338+"$F;@!)9a"</f>
        <v>#VALUE!</v>
      </c>
      <c r="FN192" t="e">
        <f>'All regions'!C5338+"$F;@!)9b"</f>
        <v>#VALUE!</v>
      </c>
      <c r="FO192" t="e">
        <f>'All regions'!D5338+"$F;@!)9c"</f>
        <v>#VALUE!</v>
      </c>
      <c r="FP192" t="e">
        <f>'All regions'!E5338+"$F;@!)9d"</f>
        <v>#VALUE!</v>
      </c>
      <c r="FQ192" t="e">
        <f>'All regions'!F5338+"$F;@!)9e"</f>
        <v>#VALUE!</v>
      </c>
      <c r="FR192" t="e">
        <f>'All regions'!G5338+"$F;@!)9f"</f>
        <v>#VALUE!</v>
      </c>
      <c r="FS192" t="e">
        <f>'All regions'!H5338+"$F;@!)9g"</f>
        <v>#VALUE!</v>
      </c>
      <c r="FT192" t="e">
        <f>'All regions'!I5338+"$F;@!)9h"</f>
        <v>#VALUE!</v>
      </c>
      <c r="FU192" t="e">
        <f>'All regions'!A5339+"$F;@!)9i"</f>
        <v>#VALUE!</v>
      </c>
      <c r="FV192" t="e">
        <f>'All regions'!B5339+"$F;@!)9j"</f>
        <v>#VALUE!</v>
      </c>
      <c r="FW192" t="e">
        <f>'All regions'!C5339+"$F;@!)9k"</f>
        <v>#VALUE!</v>
      </c>
      <c r="FX192" t="e">
        <f>'All regions'!D5339+"$F;@!)9l"</f>
        <v>#VALUE!</v>
      </c>
      <c r="FY192" t="e">
        <f>'All regions'!E5339+"$F;@!)9m"</f>
        <v>#VALUE!</v>
      </c>
      <c r="FZ192" t="e">
        <f>'All regions'!F5339+"$F;@!)9n"</f>
        <v>#VALUE!</v>
      </c>
      <c r="GA192" t="e">
        <f>'All regions'!G5339+"$F;@!)9o"</f>
        <v>#VALUE!</v>
      </c>
      <c r="GB192" t="e">
        <f>'All regions'!H5339+"$F;@!)9p"</f>
        <v>#VALUE!</v>
      </c>
      <c r="GC192" t="e">
        <f>'All regions'!I5339+"$F;@!)9q"</f>
        <v>#VALUE!</v>
      </c>
      <c r="GD192" t="e">
        <f>'All regions'!A5340+"$F;@!)9r"</f>
        <v>#VALUE!</v>
      </c>
      <c r="GE192" t="e">
        <f>'All regions'!B5340+"$F;@!)9s"</f>
        <v>#VALUE!</v>
      </c>
      <c r="GF192" t="e">
        <f>'All regions'!C5340+"$F;@!)9t"</f>
        <v>#VALUE!</v>
      </c>
      <c r="GG192" t="e">
        <f>'All regions'!D5340+"$F;@!)9u"</f>
        <v>#VALUE!</v>
      </c>
      <c r="GH192" t="e">
        <f>'All regions'!E5340+"$F;@!)9v"</f>
        <v>#VALUE!</v>
      </c>
      <c r="GI192" t="e">
        <f>'All regions'!F5340+"$F;@!)9w"</f>
        <v>#VALUE!</v>
      </c>
      <c r="GJ192" t="e">
        <f>'All regions'!G5340+"$F;@!)9x"</f>
        <v>#VALUE!</v>
      </c>
      <c r="GK192" t="e">
        <f>'All regions'!H5340+"$F;@!)9y"</f>
        <v>#VALUE!</v>
      </c>
      <c r="GL192" t="e">
        <f>'All regions'!I5340+"$F;@!)9z"</f>
        <v>#VALUE!</v>
      </c>
      <c r="GM192" t="e">
        <f>'All regions'!A5341+"$F;@!)9{"</f>
        <v>#VALUE!</v>
      </c>
      <c r="GN192" t="e">
        <f>'All regions'!B5341+"$F;@!)9|"</f>
        <v>#VALUE!</v>
      </c>
      <c r="GO192" t="e">
        <f>'All regions'!C5341+"$F;@!)9}"</f>
        <v>#VALUE!</v>
      </c>
      <c r="GP192" t="e">
        <f>'All regions'!D5341+"$F;@!)9~"</f>
        <v>#VALUE!</v>
      </c>
      <c r="GQ192" t="e">
        <f>'All regions'!E5341+"$F;@!):#"</f>
        <v>#VALUE!</v>
      </c>
      <c r="GR192" t="e">
        <f>'All regions'!F5341+"$F;@!):$"</f>
        <v>#VALUE!</v>
      </c>
      <c r="GS192" t="e">
        <f>'All regions'!G5341+"$F;@!):%"</f>
        <v>#VALUE!</v>
      </c>
      <c r="GT192" t="e">
        <f>'All regions'!H5341+"$F;@!):&amp;"</f>
        <v>#VALUE!</v>
      </c>
      <c r="GU192" t="e">
        <f>'All regions'!I5341+"$F;@!):'"</f>
        <v>#VALUE!</v>
      </c>
      <c r="GV192" t="e">
        <f>'All regions'!A5342+"$F;@!):("</f>
        <v>#VALUE!</v>
      </c>
      <c r="GW192" t="e">
        <f>'All regions'!B5342+"$F;@!):)"</f>
        <v>#VALUE!</v>
      </c>
      <c r="GX192" t="e">
        <f>'All regions'!C5342+"$F;@!):."</f>
        <v>#VALUE!</v>
      </c>
      <c r="GY192" t="e">
        <f>'All regions'!D5342+"$F;@!):/"</f>
        <v>#VALUE!</v>
      </c>
      <c r="GZ192" t="e">
        <f>'All regions'!E5342+"$F;@!):0"</f>
        <v>#VALUE!</v>
      </c>
      <c r="HA192" t="e">
        <f>'All regions'!F5342+"$F;@!):1"</f>
        <v>#VALUE!</v>
      </c>
      <c r="HB192" t="e">
        <f>'All regions'!G5342+"$F;@!):2"</f>
        <v>#VALUE!</v>
      </c>
      <c r="HC192" t="e">
        <f>'All regions'!H5342+"$F;@!):3"</f>
        <v>#VALUE!</v>
      </c>
      <c r="HD192" t="e">
        <f>'All regions'!I5342+"$F;@!):4"</f>
        <v>#VALUE!</v>
      </c>
      <c r="HE192" t="e">
        <f>'All regions'!A5343+"$F;@!):5"</f>
        <v>#VALUE!</v>
      </c>
      <c r="HF192" t="e">
        <f>'All regions'!B5343+"$F;@!):6"</f>
        <v>#VALUE!</v>
      </c>
      <c r="HG192" t="e">
        <f>'All regions'!C5343+"$F;@!):7"</f>
        <v>#VALUE!</v>
      </c>
      <c r="HH192" t="e">
        <f>'All regions'!D5343+"$F;@!):8"</f>
        <v>#VALUE!</v>
      </c>
      <c r="HI192" t="e">
        <f>'All regions'!E5343+"$F;@!):9"</f>
        <v>#VALUE!</v>
      </c>
      <c r="HJ192" t="e">
        <f>'All regions'!F5343+"$F;@!)::"</f>
        <v>#VALUE!</v>
      </c>
      <c r="HK192" t="e">
        <f>'All regions'!G5343+"$F;@!):;"</f>
        <v>#VALUE!</v>
      </c>
      <c r="HL192" t="e">
        <f>'All regions'!H5343+"$F;@!):&lt;"</f>
        <v>#VALUE!</v>
      </c>
      <c r="HM192" t="e">
        <f>'All regions'!I5343+"$F;@!):="</f>
        <v>#VALUE!</v>
      </c>
      <c r="HN192" t="e">
        <f>'All regions'!A5344+"$F;@!):&gt;"</f>
        <v>#VALUE!</v>
      </c>
      <c r="HO192" t="e">
        <f>'All regions'!B5344+"$F;@!):?"</f>
        <v>#VALUE!</v>
      </c>
      <c r="HP192" t="e">
        <f>'All regions'!C5344+"$F;@!):@"</f>
        <v>#VALUE!</v>
      </c>
      <c r="HQ192" t="e">
        <f>'All regions'!D5344+"$F;@!):A"</f>
        <v>#VALUE!</v>
      </c>
      <c r="HR192" t="e">
        <f>'All regions'!E5344+"$F;@!):B"</f>
        <v>#VALUE!</v>
      </c>
      <c r="HS192" t="e">
        <f>'All regions'!F5344+"$F;@!):C"</f>
        <v>#VALUE!</v>
      </c>
      <c r="HT192" t="e">
        <f>'All regions'!G5344+"$F;@!):D"</f>
        <v>#VALUE!</v>
      </c>
      <c r="HU192" t="e">
        <f>'All regions'!H5344+"$F;@!):E"</f>
        <v>#VALUE!</v>
      </c>
      <c r="HV192" t="e">
        <f>'All regions'!I5344+"$F;@!):F"</f>
        <v>#VALUE!</v>
      </c>
      <c r="HW192" t="e">
        <f>'All regions'!A5345+"$F;@!):G"</f>
        <v>#VALUE!</v>
      </c>
      <c r="HX192" t="e">
        <f>'All regions'!B5345+"$F;@!):H"</f>
        <v>#VALUE!</v>
      </c>
      <c r="HY192" t="e">
        <f>'All regions'!C5345+"$F;@!):I"</f>
        <v>#VALUE!</v>
      </c>
      <c r="HZ192" t="e">
        <f>'All regions'!D5345+"$F;@!):J"</f>
        <v>#VALUE!</v>
      </c>
      <c r="IA192" t="e">
        <f>'All regions'!E5345+"$F;@!):K"</f>
        <v>#VALUE!</v>
      </c>
      <c r="IB192" t="e">
        <f>'All regions'!F5345+"$F;@!):L"</f>
        <v>#VALUE!</v>
      </c>
      <c r="IC192" t="e">
        <f>'All regions'!G5345+"$F;@!):M"</f>
        <v>#VALUE!</v>
      </c>
      <c r="ID192" t="e">
        <f>'All regions'!H5345+"$F;@!):N"</f>
        <v>#VALUE!</v>
      </c>
      <c r="IE192" t="e">
        <f>'All regions'!I5345+"$F;@!):O"</f>
        <v>#VALUE!</v>
      </c>
      <c r="IF192" t="e">
        <f>'All regions'!A5346+"$F;@!):P"</f>
        <v>#VALUE!</v>
      </c>
      <c r="IG192" t="e">
        <f>'All regions'!B5346+"$F;@!):Q"</f>
        <v>#VALUE!</v>
      </c>
      <c r="IH192" t="e">
        <f>'All regions'!C5346+"$F;@!):R"</f>
        <v>#VALUE!</v>
      </c>
      <c r="II192" t="e">
        <f>'All regions'!D5346+"$F;@!):S"</f>
        <v>#VALUE!</v>
      </c>
      <c r="IJ192" t="e">
        <f>'All regions'!E5346+"$F;@!):T"</f>
        <v>#VALUE!</v>
      </c>
      <c r="IK192" t="e">
        <f>'All regions'!F5346+"$F;@!):U"</f>
        <v>#VALUE!</v>
      </c>
      <c r="IL192" t="e">
        <f>'All regions'!G5346+"$F;@!):V"</f>
        <v>#VALUE!</v>
      </c>
      <c r="IM192" t="e">
        <f>'All regions'!H5346+"$F;@!):W"</f>
        <v>#VALUE!</v>
      </c>
      <c r="IN192" t="e">
        <f>'All regions'!I5346+"$F;@!):X"</f>
        <v>#VALUE!</v>
      </c>
      <c r="IO192" t="e">
        <f>'All regions'!A5347+"$F;@!):Y"</f>
        <v>#VALUE!</v>
      </c>
      <c r="IP192" t="e">
        <f>'All regions'!B5347+"$F;@!):Z"</f>
        <v>#VALUE!</v>
      </c>
      <c r="IQ192" t="e">
        <f>'All regions'!C5347+"$F;@!):["</f>
        <v>#VALUE!</v>
      </c>
      <c r="IR192" t="e">
        <f>'All regions'!D5347+"$F;@!):\"</f>
        <v>#VALUE!</v>
      </c>
      <c r="IS192" t="e">
        <f>'All regions'!E5347+"$F;@!):]"</f>
        <v>#VALUE!</v>
      </c>
      <c r="IT192" t="e">
        <f>'All regions'!F5347+"$F;@!):^"</f>
        <v>#VALUE!</v>
      </c>
      <c r="IU192" t="e">
        <f>'All regions'!G5347+"$F;@!):_"</f>
        <v>#VALUE!</v>
      </c>
      <c r="IV192" t="e">
        <f>'All regions'!H5347+"$F;@!):`"</f>
        <v>#VALUE!</v>
      </c>
    </row>
    <row r="193" spans="6:256" x14ac:dyDescent="0.35">
      <c r="F193" t="e">
        <f>'All regions'!I5347+"$F;@!):a"</f>
        <v>#VALUE!</v>
      </c>
      <c r="G193" t="e">
        <f>'All regions'!A5348+"$F;@!):b"</f>
        <v>#VALUE!</v>
      </c>
      <c r="H193" t="e">
        <f>'All regions'!B5348+"$F;@!):c"</f>
        <v>#VALUE!</v>
      </c>
      <c r="I193" t="e">
        <f>'All regions'!C5348+"$F;@!):d"</f>
        <v>#VALUE!</v>
      </c>
      <c r="J193" t="e">
        <f>'All regions'!D5348+"$F;@!):e"</f>
        <v>#VALUE!</v>
      </c>
      <c r="K193" t="e">
        <f>'All regions'!E5348+"$F;@!):f"</f>
        <v>#VALUE!</v>
      </c>
      <c r="L193" t="e">
        <f>'All regions'!F5348+"$F;@!):g"</f>
        <v>#VALUE!</v>
      </c>
      <c r="M193" t="e">
        <f>'All regions'!G5348+"$F;@!):h"</f>
        <v>#VALUE!</v>
      </c>
      <c r="N193" t="e">
        <f>'All regions'!H5348+"$F;@!):i"</f>
        <v>#VALUE!</v>
      </c>
      <c r="O193" t="e">
        <f>'All regions'!I5348+"$F;@!):j"</f>
        <v>#VALUE!</v>
      </c>
      <c r="P193" t="e">
        <f>'All regions'!A5349+"$F;@!):k"</f>
        <v>#VALUE!</v>
      </c>
      <c r="Q193" t="e">
        <f>'All regions'!B5349+"$F;@!):l"</f>
        <v>#VALUE!</v>
      </c>
      <c r="R193" t="e">
        <f>'All regions'!C5349+"$F;@!):m"</f>
        <v>#VALUE!</v>
      </c>
      <c r="S193" t="e">
        <f>'All regions'!D5349+"$F;@!):n"</f>
        <v>#VALUE!</v>
      </c>
      <c r="T193" t="e">
        <f>'All regions'!E5349+"$F;@!):o"</f>
        <v>#VALUE!</v>
      </c>
      <c r="U193" t="e">
        <f>'All regions'!F5349+"$F;@!):p"</f>
        <v>#VALUE!</v>
      </c>
      <c r="V193" t="e">
        <f>'All regions'!G5349+"$F;@!):q"</f>
        <v>#VALUE!</v>
      </c>
      <c r="W193" t="e">
        <f>'All regions'!H5349+"$F;@!):r"</f>
        <v>#VALUE!</v>
      </c>
      <c r="X193" t="e">
        <f>'All regions'!I5349+"$F;@!):s"</f>
        <v>#VALUE!</v>
      </c>
      <c r="Y193" t="e">
        <f>'All regions'!A5350+"$F;@!):t"</f>
        <v>#VALUE!</v>
      </c>
      <c r="Z193" t="e">
        <f>'All regions'!B5350+"$F;@!):u"</f>
        <v>#VALUE!</v>
      </c>
      <c r="AA193" t="e">
        <f>'All regions'!C5350+"$F;@!):v"</f>
        <v>#VALUE!</v>
      </c>
      <c r="AB193" t="e">
        <f>'All regions'!D5350+"$F;@!):w"</f>
        <v>#VALUE!</v>
      </c>
      <c r="AC193" t="e">
        <f>'All regions'!E5350+"$F;@!):x"</f>
        <v>#VALUE!</v>
      </c>
      <c r="AD193" t="e">
        <f>'All regions'!F5350+"$F;@!):y"</f>
        <v>#VALUE!</v>
      </c>
      <c r="AE193" t="e">
        <f>'All regions'!G5350+"$F;@!):z"</f>
        <v>#VALUE!</v>
      </c>
      <c r="AF193" t="e">
        <f>'All regions'!H5350+"$F;@!):{"</f>
        <v>#VALUE!</v>
      </c>
      <c r="AG193" t="e">
        <f>'All regions'!I5350+"$F;@!):|"</f>
        <v>#VALUE!</v>
      </c>
      <c r="AH193" t="e">
        <f>'All regions'!A5351+"$F;@!):}"</f>
        <v>#VALUE!</v>
      </c>
      <c r="AI193" t="e">
        <f>'All regions'!B5351+"$F;@!):~"</f>
        <v>#VALUE!</v>
      </c>
      <c r="AJ193" t="e">
        <f>'All regions'!C5351+"$F;@!);#"</f>
        <v>#VALUE!</v>
      </c>
      <c r="AK193" t="e">
        <f>'All regions'!D5351+"$F;@!);$"</f>
        <v>#VALUE!</v>
      </c>
      <c r="AL193" t="e">
        <f>'All regions'!E5351+"$F;@!);%"</f>
        <v>#VALUE!</v>
      </c>
      <c r="AM193" t="e">
        <f>'All regions'!F5351+"$F;@!);&amp;"</f>
        <v>#VALUE!</v>
      </c>
      <c r="AN193" t="e">
        <f>'All regions'!G5351+"$F;@!);'"</f>
        <v>#VALUE!</v>
      </c>
      <c r="AO193" t="e">
        <f>'All regions'!H5351+"$F;@!);("</f>
        <v>#VALUE!</v>
      </c>
      <c r="AP193" t="e">
        <f>'All regions'!I5351+"$F;@!);)"</f>
        <v>#VALUE!</v>
      </c>
      <c r="AQ193" t="e">
        <f>'All regions'!A5352+"$F;@!);."</f>
        <v>#VALUE!</v>
      </c>
      <c r="AR193" t="e">
        <f>'All regions'!B5352+"$F;@!);/"</f>
        <v>#VALUE!</v>
      </c>
      <c r="AS193" t="e">
        <f>'All regions'!C5352+"$F;@!);0"</f>
        <v>#VALUE!</v>
      </c>
      <c r="AT193" t="e">
        <f>'All regions'!D5352+"$F;@!);1"</f>
        <v>#VALUE!</v>
      </c>
      <c r="AU193" t="e">
        <f>'All regions'!E5352+"$F;@!);2"</f>
        <v>#VALUE!</v>
      </c>
      <c r="AV193" t="e">
        <f>'All regions'!F5352+"$F;@!);3"</f>
        <v>#VALUE!</v>
      </c>
      <c r="AW193" t="e">
        <f>'All regions'!G5352+"$F;@!);4"</f>
        <v>#VALUE!</v>
      </c>
      <c r="AX193" t="e">
        <f>'All regions'!H5352+"$F;@!);5"</f>
        <v>#VALUE!</v>
      </c>
      <c r="AY193" t="e">
        <f>'All regions'!I5352+"$F;@!);6"</f>
        <v>#VALUE!</v>
      </c>
      <c r="AZ193" t="e">
        <f>'All regions'!A5353+"$F;@!);7"</f>
        <v>#VALUE!</v>
      </c>
      <c r="BA193" t="e">
        <f>'All regions'!B5353+"$F;@!);8"</f>
        <v>#VALUE!</v>
      </c>
      <c r="BB193" t="e">
        <f>'All regions'!C5353+"$F;@!);9"</f>
        <v>#VALUE!</v>
      </c>
      <c r="BC193" t="e">
        <f>'All regions'!D5353+"$F;@!);:"</f>
        <v>#VALUE!</v>
      </c>
      <c r="BD193" t="e">
        <f>'All regions'!E5353+"$F;@!);;"</f>
        <v>#VALUE!</v>
      </c>
      <c r="BE193" t="e">
        <f>'All regions'!F5353+"$F;@!);&lt;"</f>
        <v>#VALUE!</v>
      </c>
      <c r="BF193" t="e">
        <f>'All regions'!G5353+"$F;@!);="</f>
        <v>#VALUE!</v>
      </c>
      <c r="BG193" t="e">
        <f>'All regions'!H5353+"$F;@!);&gt;"</f>
        <v>#VALUE!</v>
      </c>
      <c r="BH193" t="e">
        <f>'All regions'!I5353+"$F;@!);?"</f>
        <v>#VALUE!</v>
      </c>
      <c r="BI193" t="e">
        <f>'All regions'!A5354+"$F;@!);@"</f>
        <v>#VALUE!</v>
      </c>
      <c r="BJ193" t="e">
        <f>'All regions'!B5354+"$F;@!);A"</f>
        <v>#VALUE!</v>
      </c>
      <c r="BK193" t="e">
        <f>'All regions'!C5354+"$F;@!);B"</f>
        <v>#VALUE!</v>
      </c>
      <c r="BL193" t="e">
        <f>'All regions'!D5354+"$F;@!);C"</f>
        <v>#VALUE!</v>
      </c>
      <c r="BM193" t="e">
        <f>'All regions'!E5354+"$F;@!);D"</f>
        <v>#VALUE!</v>
      </c>
      <c r="BN193" t="e">
        <f>'All regions'!F5354+"$F;@!);E"</f>
        <v>#VALUE!</v>
      </c>
      <c r="BO193" t="e">
        <f>'All regions'!G5354+"$F;@!);F"</f>
        <v>#VALUE!</v>
      </c>
      <c r="BP193" t="e">
        <f>'All regions'!H5354+"$F;@!);G"</f>
        <v>#VALUE!</v>
      </c>
      <c r="BQ193" t="e">
        <f>'All regions'!I5354+"$F;@!);H"</f>
        <v>#VALUE!</v>
      </c>
      <c r="BR193" t="e">
        <f>'All regions'!A5355+"$F;@!);I"</f>
        <v>#VALUE!</v>
      </c>
      <c r="BS193" t="e">
        <f>'All regions'!B5355+"$F;@!);J"</f>
        <v>#VALUE!</v>
      </c>
      <c r="BT193" t="e">
        <f>'All regions'!C5355+"$F;@!);K"</f>
        <v>#VALUE!</v>
      </c>
      <c r="BU193" t="e">
        <f>'All regions'!D5355+"$F;@!);L"</f>
        <v>#VALUE!</v>
      </c>
      <c r="BV193" t="e">
        <f>'All regions'!E5355+"$F;@!);M"</f>
        <v>#VALUE!</v>
      </c>
      <c r="BW193" t="e">
        <f>'All regions'!F5355+"$F;@!);N"</f>
        <v>#VALUE!</v>
      </c>
      <c r="BX193" t="e">
        <f>'All regions'!G5355+"$F;@!);O"</f>
        <v>#VALUE!</v>
      </c>
      <c r="BY193" t="e">
        <f>'All regions'!H5355+"$F;@!);P"</f>
        <v>#VALUE!</v>
      </c>
      <c r="BZ193" t="e">
        <f>'All regions'!I5355+"$F;@!);Q"</f>
        <v>#VALUE!</v>
      </c>
      <c r="CA193" t="e">
        <f>'All regions'!A5356+"$F;@!);R"</f>
        <v>#VALUE!</v>
      </c>
      <c r="CB193" t="e">
        <f>'All regions'!B5356+"$F;@!);S"</f>
        <v>#VALUE!</v>
      </c>
      <c r="CC193" t="e">
        <f>'All regions'!C5356+"$F;@!);T"</f>
        <v>#VALUE!</v>
      </c>
      <c r="CD193" t="e">
        <f>'All regions'!D5356+"$F;@!);U"</f>
        <v>#VALUE!</v>
      </c>
      <c r="CE193" t="e">
        <f>'All regions'!E5356+"$F;@!);V"</f>
        <v>#VALUE!</v>
      </c>
      <c r="CF193" t="e">
        <f>'All regions'!F5356+"$F;@!);W"</f>
        <v>#VALUE!</v>
      </c>
      <c r="CG193" t="e">
        <f>'All regions'!G5356+"$F;@!);X"</f>
        <v>#VALUE!</v>
      </c>
      <c r="CH193" t="e">
        <f>'All regions'!H5356+"$F;@!);Y"</f>
        <v>#VALUE!</v>
      </c>
      <c r="CI193" t="e">
        <f>'All regions'!I5356+"$F;@!);Z"</f>
        <v>#VALUE!</v>
      </c>
      <c r="CJ193" t="e">
        <f>'All regions'!A5357+"$F;@!);["</f>
        <v>#VALUE!</v>
      </c>
      <c r="CK193" t="e">
        <f>'All regions'!B5357+"$F;@!);\"</f>
        <v>#VALUE!</v>
      </c>
      <c r="CL193" t="e">
        <f>'All regions'!C5357+"$F;@!);]"</f>
        <v>#VALUE!</v>
      </c>
      <c r="CM193" t="e">
        <f>'All regions'!D5357+"$F;@!);^"</f>
        <v>#VALUE!</v>
      </c>
      <c r="CN193" t="e">
        <f>'All regions'!E5357+"$F;@!);_"</f>
        <v>#VALUE!</v>
      </c>
      <c r="CO193" t="e">
        <f>'All regions'!F5357+"$F;@!);`"</f>
        <v>#VALUE!</v>
      </c>
      <c r="CP193" t="e">
        <f>'All regions'!G5357+"$F;@!);a"</f>
        <v>#VALUE!</v>
      </c>
      <c r="CQ193" t="e">
        <f>'All regions'!H5357+"$F;@!);b"</f>
        <v>#VALUE!</v>
      </c>
      <c r="CR193" t="e">
        <f>'All regions'!I5357+"$F;@!);c"</f>
        <v>#VALUE!</v>
      </c>
      <c r="CS193" t="e">
        <f>'All regions'!A5358+"$F;@!);d"</f>
        <v>#VALUE!</v>
      </c>
      <c r="CT193" t="e">
        <f>'All regions'!B5358+"$F;@!);e"</f>
        <v>#VALUE!</v>
      </c>
      <c r="CU193" t="e">
        <f>'All regions'!C5358+"$F;@!);f"</f>
        <v>#VALUE!</v>
      </c>
      <c r="CV193" t="e">
        <f>'All regions'!D5358+"$F;@!);g"</f>
        <v>#VALUE!</v>
      </c>
      <c r="CW193" t="e">
        <f>'All regions'!E5358+"$F;@!);h"</f>
        <v>#VALUE!</v>
      </c>
      <c r="CX193" t="e">
        <f>'All regions'!G5358+"$F;@!);i"</f>
        <v>#VALUE!</v>
      </c>
      <c r="CY193" t="e">
        <f>'All regions'!H5358+"$F;@!);j"</f>
        <v>#VALUE!</v>
      </c>
      <c r="CZ193" t="e">
        <f>'All regions'!I5358+"$F;@!);k"</f>
        <v>#VALUE!</v>
      </c>
      <c r="DA193" t="e">
        <f>'All regions'!A5359+"$F;@!);l"</f>
        <v>#VALUE!</v>
      </c>
      <c r="DB193" t="e">
        <f>'All regions'!B5359+"$F;@!);m"</f>
        <v>#VALUE!</v>
      </c>
      <c r="DC193" t="e">
        <f>'All regions'!C5359+"$F;@!);n"</f>
        <v>#VALUE!</v>
      </c>
      <c r="DD193" t="e">
        <f>'All regions'!D5359+"$F;@!);o"</f>
        <v>#VALUE!</v>
      </c>
      <c r="DE193" t="e">
        <f>'All regions'!E5359+"$F;@!);p"</f>
        <v>#VALUE!</v>
      </c>
      <c r="DF193" t="e">
        <f>'All regions'!F5359+"$F;@!);q"</f>
        <v>#VALUE!</v>
      </c>
      <c r="DG193" t="e">
        <f>'All regions'!G5359+"$F;@!);r"</f>
        <v>#VALUE!</v>
      </c>
      <c r="DH193" t="e">
        <f>'All regions'!H5359+"$F;@!);s"</f>
        <v>#VALUE!</v>
      </c>
      <c r="DI193" t="e">
        <f>'All regions'!I5359+"$F;@!);t"</f>
        <v>#VALUE!</v>
      </c>
      <c r="DJ193" t="e">
        <f>'All regions'!A5360+"$F;@!);u"</f>
        <v>#VALUE!</v>
      </c>
      <c r="DK193" t="e">
        <f>'All regions'!B5360+"$F;@!);v"</f>
        <v>#VALUE!</v>
      </c>
      <c r="DL193" t="e">
        <f>'All regions'!C5360+"$F;@!);w"</f>
        <v>#VALUE!</v>
      </c>
      <c r="DM193" t="e">
        <f>'All regions'!D5360+"$F;@!);x"</f>
        <v>#VALUE!</v>
      </c>
      <c r="DN193" t="e">
        <f>'All regions'!E5360+"$F;@!);y"</f>
        <v>#VALUE!</v>
      </c>
      <c r="DO193" t="e">
        <f>'All regions'!F5360+"$F;@!);z"</f>
        <v>#VALUE!</v>
      </c>
      <c r="DP193" t="e">
        <f>'All regions'!G5360+"$F;@!);{"</f>
        <v>#VALUE!</v>
      </c>
      <c r="DQ193" t="e">
        <f>'All regions'!H5360+"$F;@!);|"</f>
        <v>#VALUE!</v>
      </c>
      <c r="DR193" t="e">
        <f>'All regions'!I5360+"$F;@!);}"</f>
        <v>#VALUE!</v>
      </c>
      <c r="DS193" t="e">
        <f>'All regions'!A5361+"$F;@!);~"</f>
        <v>#VALUE!</v>
      </c>
      <c r="DT193" t="e">
        <f>'All regions'!B5361+"$F;@!)&lt;#"</f>
        <v>#VALUE!</v>
      </c>
      <c r="DU193" t="e">
        <f>'All regions'!C5361+"$F;@!)&lt;$"</f>
        <v>#VALUE!</v>
      </c>
      <c r="DV193" t="e">
        <f>'All regions'!D5361+"$F;@!)&lt;%"</f>
        <v>#VALUE!</v>
      </c>
      <c r="DW193" t="e">
        <f>'All regions'!E5361+"$F;@!)&lt;&amp;"</f>
        <v>#VALUE!</v>
      </c>
      <c r="DX193" t="e">
        <f>'All regions'!F5361+"$F;@!)&lt;'"</f>
        <v>#VALUE!</v>
      </c>
      <c r="DY193" t="e">
        <f>'All regions'!G5361+"$F;@!)&lt;("</f>
        <v>#VALUE!</v>
      </c>
      <c r="DZ193" t="e">
        <f>'All regions'!H5361+"$F;@!)&lt;)"</f>
        <v>#VALUE!</v>
      </c>
      <c r="EA193" t="e">
        <f>'All regions'!I5361+"$F;@!)&lt;."</f>
        <v>#VALUE!</v>
      </c>
      <c r="EB193" t="e">
        <f>'All regions'!A5362+"$F;@!)&lt;/"</f>
        <v>#VALUE!</v>
      </c>
      <c r="EC193" t="e">
        <f>'All regions'!B5362+"$F;@!)&lt;0"</f>
        <v>#VALUE!</v>
      </c>
      <c r="ED193" t="e">
        <f>'All regions'!C5362+"$F;@!)&lt;1"</f>
        <v>#VALUE!</v>
      </c>
      <c r="EE193" t="e">
        <f>'All regions'!D5362+"$F;@!)&lt;2"</f>
        <v>#VALUE!</v>
      </c>
      <c r="EF193" t="e">
        <f>'All regions'!E5362+"$F;@!)&lt;3"</f>
        <v>#VALUE!</v>
      </c>
      <c r="EG193" t="e">
        <f>'All regions'!F5362+"$F;@!)&lt;4"</f>
        <v>#VALUE!</v>
      </c>
      <c r="EH193" t="e">
        <f>'All regions'!G5362+"$F;@!)&lt;5"</f>
        <v>#VALUE!</v>
      </c>
      <c r="EI193" t="e">
        <f>'All regions'!H5362+"$F;@!)&lt;6"</f>
        <v>#VALUE!</v>
      </c>
      <c r="EJ193" t="e">
        <f>'All regions'!I5362+"$F;@!)&lt;7"</f>
        <v>#VALUE!</v>
      </c>
      <c r="EK193" t="e">
        <f>'All regions'!A5363+"$F;@!)&lt;8"</f>
        <v>#VALUE!</v>
      </c>
      <c r="EL193" t="e">
        <f>'All regions'!B5363+"$F;@!)&lt;9"</f>
        <v>#VALUE!</v>
      </c>
      <c r="EM193" t="e">
        <f>'All regions'!C5363+"$F;@!)&lt;:"</f>
        <v>#VALUE!</v>
      </c>
      <c r="EN193" t="e">
        <f>'All regions'!D5363+"$F;@!)&lt;;"</f>
        <v>#VALUE!</v>
      </c>
      <c r="EO193" t="e">
        <f>'All regions'!E5363+"$F;@!)&lt;&lt;"</f>
        <v>#VALUE!</v>
      </c>
      <c r="EP193" t="e">
        <f>'All regions'!F5363+"$F;@!)&lt;="</f>
        <v>#VALUE!</v>
      </c>
      <c r="EQ193" t="e">
        <f>'All regions'!G5363+"$F;@!)&lt;&gt;"</f>
        <v>#VALUE!</v>
      </c>
      <c r="ER193" t="e">
        <f>'All regions'!H5363+"$F;@!)&lt;?"</f>
        <v>#VALUE!</v>
      </c>
      <c r="ES193" t="e">
        <f>'All regions'!I5363+"$F;@!)&lt;@"</f>
        <v>#VALUE!</v>
      </c>
      <c r="ET193" t="e">
        <f>'All regions'!A5364+"$F;@!)&lt;A"</f>
        <v>#VALUE!</v>
      </c>
      <c r="EU193" t="e">
        <f>'All regions'!B5364+"$F;@!)&lt;B"</f>
        <v>#VALUE!</v>
      </c>
      <c r="EV193" t="e">
        <f>'All regions'!C5364+"$F;@!)&lt;C"</f>
        <v>#VALUE!</v>
      </c>
      <c r="EW193" t="e">
        <f>'All regions'!D5364+"$F;@!)&lt;D"</f>
        <v>#VALUE!</v>
      </c>
      <c r="EX193" t="e">
        <f>'All regions'!E5364+"$F;@!)&lt;E"</f>
        <v>#VALUE!</v>
      </c>
      <c r="EY193" t="e">
        <f>'All regions'!F5364+"$F;@!)&lt;F"</f>
        <v>#VALUE!</v>
      </c>
      <c r="EZ193" t="e">
        <f>'All regions'!G5364+"$F;@!)&lt;G"</f>
        <v>#VALUE!</v>
      </c>
      <c r="FA193" t="e">
        <f>'All regions'!H5364+"$F;@!)&lt;H"</f>
        <v>#VALUE!</v>
      </c>
      <c r="FB193" t="e">
        <f>'All regions'!I5364+"$F;@!)&lt;I"</f>
        <v>#VALUE!</v>
      </c>
      <c r="FC193" t="e">
        <f>'All regions'!A5365+"$F;@!)&lt;J"</f>
        <v>#VALUE!</v>
      </c>
      <c r="FD193" t="e">
        <f>'All regions'!B5365+"$F;@!)&lt;K"</f>
        <v>#VALUE!</v>
      </c>
      <c r="FE193" t="e">
        <f>'All regions'!C5365+"$F;@!)&lt;L"</f>
        <v>#VALUE!</v>
      </c>
      <c r="FF193" t="e">
        <f>'All regions'!D5365+"$F;@!)&lt;M"</f>
        <v>#VALUE!</v>
      </c>
      <c r="FG193" t="e">
        <f>'All regions'!E5365+"$F;@!)&lt;N"</f>
        <v>#VALUE!</v>
      </c>
      <c r="FH193" t="e">
        <f>'All regions'!F5365+"$F;@!)&lt;O"</f>
        <v>#VALUE!</v>
      </c>
      <c r="FI193" t="e">
        <f>'All regions'!G5365+"$F;@!)&lt;P"</f>
        <v>#VALUE!</v>
      </c>
      <c r="FJ193" t="e">
        <f>'All regions'!H5365+"$F;@!)&lt;Q"</f>
        <v>#VALUE!</v>
      </c>
      <c r="FK193" t="e">
        <f>'All regions'!I5365+"$F;@!)&lt;R"</f>
        <v>#VALUE!</v>
      </c>
      <c r="FL193" t="e">
        <f>'All regions'!A5366+"$F;@!)&lt;S"</f>
        <v>#VALUE!</v>
      </c>
      <c r="FM193" t="e">
        <f>'All regions'!B5366+"$F;@!)&lt;T"</f>
        <v>#VALUE!</v>
      </c>
      <c r="FN193" t="e">
        <f>'All regions'!C5366+"$F;@!)&lt;U"</f>
        <v>#VALUE!</v>
      </c>
      <c r="FO193" t="e">
        <f>'All regions'!D5366+"$F;@!)&lt;V"</f>
        <v>#VALUE!</v>
      </c>
      <c r="FP193" t="e">
        <f>'All regions'!E5366+"$F;@!)&lt;W"</f>
        <v>#VALUE!</v>
      </c>
      <c r="FQ193" t="e">
        <f>'All regions'!F5366+"$F;@!)&lt;X"</f>
        <v>#VALUE!</v>
      </c>
      <c r="FR193" t="e">
        <f>'All regions'!G5366+"$F;@!)&lt;Y"</f>
        <v>#VALUE!</v>
      </c>
      <c r="FS193" t="e">
        <f>'All regions'!H5366+"$F;@!)&lt;Z"</f>
        <v>#VALUE!</v>
      </c>
      <c r="FT193" t="e">
        <f>'All regions'!I5366+"$F;@!)&lt;["</f>
        <v>#VALUE!</v>
      </c>
      <c r="FU193" t="e">
        <f>'All regions'!A5367+"$F;@!)&lt;\"</f>
        <v>#VALUE!</v>
      </c>
      <c r="FV193" t="e">
        <f>'All regions'!B5367+"$F;@!)&lt;]"</f>
        <v>#VALUE!</v>
      </c>
      <c r="FW193" t="e">
        <f>'All regions'!C5367+"$F;@!)&lt;^"</f>
        <v>#VALUE!</v>
      </c>
      <c r="FX193" t="e">
        <f>'All regions'!D5367+"$F;@!)&lt;_"</f>
        <v>#VALUE!</v>
      </c>
      <c r="FY193" t="e">
        <f>'All regions'!E5367+"$F;@!)&lt;`"</f>
        <v>#VALUE!</v>
      </c>
      <c r="FZ193" t="e">
        <f>'All regions'!F5367+"$F;@!)&lt;a"</f>
        <v>#VALUE!</v>
      </c>
      <c r="GA193" t="e">
        <f>'All regions'!G5367+"$F;@!)&lt;b"</f>
        <v>#VALUE!</v>
      </c>
      <c r="GB193" t="e">
        <f>'All regions'!H5367+"$F;@!)&lt;c"</f>
        <v>#VALUE!</v>
      </c>
      <c r="GC193" t="e">
        <f>'All regions'!I5367+"$F;@!)&lt;d"</f>
        <v>#VALUE!</v>
      </c>
      <c r="GD193" t="e">
        <f>'All regions'!A5368+"$F;@!)&lt;e"</f>
        <v>#VALUE!</v>
      </c>
      <c r="GE193" t="e">
        <f>'All regions'!B5368+"$F;@!)&lt;f"</f>
        <v>#VALUE!</v>
      </c>
      <c r="GF193" t="e">
        <f>'All regions'!C5368+"$F;@!)&lt;g"</f>
        <v>#VALUE!</v>
      </c>
      <c r="GG193" t="e">
        <f>'All regions'!D5368+"$F;@!)&lt;h"</f>
        <v>#VALUE!</v>
      </c>
      <c r="GH193" t="e">
        <f>'All regions'!E5368+"$F;@!)&lt;i"</f>
        <v>#VALUE!</v>
      </c>
      <c r="GI193" t="e">
        <f>'All regions'!F5368+"$F;@!)&lt;j"</f>
        <v>#VALUE!</v>
      </c>
      <c r="GJ193" t="e">
        <f>'All regions'!G5368+"$F;@!)&lt;k"</f>
        <v>#VALUE!</v>
      </c>
      <c r="GK193" t="e">
        <f>'All regions'!H5368+"$F;@!)&lt;l"</f>
        <v>#VALUE!</v>
      </c>
      <c r="GL193" t="e">
        <f>'All regions'!I5368+"$F;@!)&lt;m"</f>
        <v>#VALUE!</v>
      </c>
      <c r="GM193" t="e">
        <f>'All regions'!A5369+"$F;@!)&lt;n"</f>
        <v>#VALUE!</v>
      </c>
      <c r="GN193" t="e">
        <f>'All regions'!B5369+"$F;@!)&lt;o"</f>
        <v>#VALUE!</v>
      </c>
      <c r="GO193" t="e">
        <f>'All regions'!C5369+"$F;@!)&lt;p"</f>
        <v>#VALUE!</v>
      </c>
      <c r="GP193" t="e">
        <f>'All regions'!D5369+"$F;@!)&lt;q"</f>
        <v>#VALUE!</v>
      </c>
      <c r="GQ193" t="e">
        <f>'All regions'!E5369+"$F;@!)&lt;r"</f>
        <v>#VALUE!</v>
      </c>
      <c r="GR193" t="e">
        <f>'All regions'!F5369+"$F;@!)&lt;s"</f>
        <v>#VALUE!</v>
      </c>
      <c r="GS193" t="e">
        <f>'All regions'!G5369+"$F;@!)&lt;t"</f>
        <v>#VALUE!</v>
      </c>
      <c r="GT193" t="e">
        <f>'All regions'!H5369+"$F;@!)&lt;u"</f>
        <v>#VALUE!</v>
      </c>
      <c r="GU193" t="e">
        <f>'All regions'!I5369+"$F;@!)&lt;v"</f>
        <v>#VALUE!</v>
      </c>
      <c r="GV193" t="e">
        <f>'All regions'!A5370+"$F;@!)&lt;w"</f>
        <v>#VALUE!</v>
      </c>
      <c r="GW193" t="e">
        <f>'All regions'!B5370+"$F;@!)&lt;x"</f>
        <v>#VALUE!</v>
      </c>
      <c r="GX193" t="e">
        <f>'All regions'!C5370+"$F;@!)&lt;y"</f>
        <v>#VALUE!</v>
      </c>
      <c r="GY193" t="e">
        <f>'All regions'!D5370+"$F;@!)&lt;z"</f>
        <v>#VALUE!</v>
      </c>
      <c r="GZ193" t="e">
        <f>'All regions'!E5370+"$F;@!)&lt;{"</f>
        <v>#VALUE!</v>
      </c>
      <c r="HA193" t="e">
        <f>'All regions'!F5370+"$F;@!)&lt;|"</f>
        <v>#VALUE!</v>
      </c>
      <c r="HB193" t="e">
        <f>'All regions'!G5370+"$F;@!)&lt;}"</f>
        <v>#VALUE!</v>
      </c>
      <c r="HC193" t="e">
        <f>'All regions'!H5370+"$F;@!)&lt;~"</f>
        <v>#VALUE!</v>
      </c>
      <c r="HD193" t="e">
        <f>'All regions'!I5370+"$F;@!)=#"</f>
        <v>#VALUE!</v>
      </c>
      <c r="HE193" t="e">
        <f>'All regions'!A5371+"$F;@!)=$"</f>
        <v>#VALUE!</v>
      </c>
      <c r="HF193" t="e">
        <f>'All regions'!B5371+"$F;@!)=%"</f>
        <v>#VALUE!</v>
      </c>
      <c r="HG193" t="e">
        <f>'All regions'!C5371+"$F;@!)=&amp;"</f>
        <v>#VALUE!</v>
      </c>
      <c r="HH193" t="e">
        <f>'All regions'!D5371+"$F;@!)='"</f>
        <v>#VALUE!</v>
      </c>
      <c r="HI193" t="e">
        <f>'All regions'!E5371+"$F;@!)=("</f>
        <v>#VALUE!</v>
      </c>
      <c r="HJ193" t="e">
        <f>'All regions'!F5371+"$F;@!)=)"</f>
        <v>#VALUE!</v>
      </c>
      <c r="HK193" t="e">
        <f>'All regions'!G5371+"$F;@!)=."</f>
        <v>#VALUE!</v>
      </c>
      <c r="HL193" t="e">
        <f>'All regions'!H5371+"$F;@!)=/"</f>
        <v>#VALUE!</v>
      </c>
      <c r="HM193" t="e">
        <f>'All regions'!I5371+"$F;@!)=0"</f>
        <v>#VALUE!</v>
      </c>
      <c r="HN193" t="e">
        <f>'All regions'!A5372+"$F;@!)=1"</f>
        <v>#VALUE!</v>
      </c>
      <c r="HO193" t="e">
        <f>'All regions'!B5372+"$F;@!)=2"</f>
        <v>#VALUE!</v>
      </c>
      <c r="HP193" t="e">
        <f>'All regions'!C5372+"$F;@!)=3"</f>
        <v>#VALUE!</v>
      </c>
      <c r="HQ193" t="e">
        <f>'All regions'!D5372+"$F;@!)=4"</f>
        <v>#VALUE!</v>
      </c>
      <c r="HR193" t="e">
        <f>'All regions'!E5372+"$F;@!)=5"</f>
        <v>#VALUE!</v>
      </c>
      <c r="HS193" t="e">
        <f>'All regions'!F5372+"$F;@!)=6"</f>
        <v>#VALUE!</v>
      </c>
      <c r="HT193" t="e">
        <f>'All regions'!G5372+"$F;@!)=7"</f>
        <v>#VALUE!</v>
      </c>
      <c r="HU193" t="e">
        <f>'All regions'!H5372+"$F;@!)=8"</f>
        <v>#VALUE!</v>
      </c>
      <c r="HV193" t="e">
        <f>'All regions'!I5372+"$F;@!)=9"</f>
        <v>#VALUE!</v>
      </c>
      <c r="HW193" t="e">
        <f>'All regions'!A5373+"$F;@!)=:"</f>
        <v>#VALUE!</v>
      </c>
      <c r="HX193" t="e">
        <f>'All regions'!B5373+"$F;@!)=;"</f>
        <v>#VALUE!</v>
      </c>
      <c r="HY193" t="e">
        <f>'All regions'!C5373+"$F;@!)=&lt;"</f>
        <v>#VALUE!</v>
      </c>
      <c r="HZ193" t="e">
        <f>'All regions'!D5373+"$F;@!)=="</f>
        <v>#VALUE!</v>
      </c>
      <c r="IA193" t="e">
        <f>'All regions'!E5373+"$F;@!)=&gt;"</f>
        <v>#VALUE!</v>
      </c>
      <c r="IB193" t="e">
        <f>'All regions'!F5373+"$F;@!)=?"</f>
        <v>#VALUE!</v>
      </c>
      <c r="IC193" t="e">
        <f>'All regions'!G5373+"$F;@!)=@"</f>
        <v>#VALUE!</v>
      </c>
      <c r="ID193" t="e">
        <f>'All regions'!H5373+"$F;@!)=A"</f>
        <v>#VALUE!</v>
      </c>
      <c r="IE193" t="e">
        <f>'All regions'!I5373+"$F;@!)=B"</f>
        <v>#VALUE!</v>
      </c>
      <c r="IF193" t="e">
        <f>'All regions'!A5374+"$F;@!)=C"</f>
        <v>#VALUE!</v>
      </c>
      <c r="IG193" t="e">
        <f>'All regions'!B5374+"$F;@!)=D"</f>
        <v>#VALUE!</v>
      </c>
      <c r="IH193" t="e">
        <f>'All regions'!C5374+"$F;@!)=E"</f>
        <v>#VALUE!</v>
      </c>
      <c r="II193" t="e">
        <f>'All regions'!D5374+"$F;@!)=F"</f>
        <v>#VALUE!</v>
      </c>
      <c r="IJ193" t="e">
        <f>'All regions'!E5374+"$F;@!)=G"</f>
        <v>#VALUE!</v>
      </c>
      <c r="IK193" t="e">
        <f>'All regions'!F5374+"$F;@!)=H"</f>
        <v>#VALUE!</v>
      </c>
      <c r="IL193" t="e">
        <f>'All regions'!G5374+"$F;@!)=I"</f>
        <v>#VALUE!</v>
      </c>
      <c r="IM193" t="e">
        <f>'All regions'!H5374+"$F;@!)=J"</f>
        <v>#VALUE!</v>
      </c>
      <c r="IN193" t="e">
        <f>'All regions'!I5374+"$F;@!)=K"</f>
        <v>#VALUE!</v>
      </c>
      <c r="IO193" t="e">
        <f>'All regions'!A5375+"$F;@!)=L"</f>
        <v>#VALUE!</v>
      </c>
      <c r="IP193" t="e">
        <f>'All regions'!B5375+"$F;@!)=M"</f>
        <v>#VALUE!</v>
      </c>
      <c r="IQ193" t="e">
        <f>'All regions'!C5375+"$F;@!)=N"</f>
        <v>#VALUE!</v>
      </c>
      <c r="IR193" t="e">
        <f>'All regions'!D5375+"$F;@!)=O"</f>
        <v>#VALUE!</v>
      </c>
      <c r="IS193" t="e">
        <f>'All regions'!E5375+"$F;@!)=P"</f>
        <v>#VALUE!</v>
      </c>
      <c r="IT193" t="e">
        <f>'All regions'!F5375+"$F;@!)=Q"</f>
        <v>#VALUE!</v>
      </c>
      <c r="IU193" t="e">
        <f>'All regions'!G5375+"$F;@!)=R"</f>
        <v>#VALUE!</v>
      </c>
      <c r="IV193" t="e">
        <f>'All regions'!H5375+"$F;@!)=S"</f>
        <v>#VALUE!</v>
      </c>
    </row>
    <row r="194" spans="6:256" x14ac:dyDescent="0.35">
      <c r="F194" t="e">
        <f>'All regions'!I5375+"$F;@!)=T"</f>
        <v>#VALUE!</v>
      </c>
      <c r="G194" t="e">
        <f>'All regions'!A5376+"$F;@!)=U"</f>
        <v>#VALUE!</v>
      </c>
      <c r="H194" t="e">
        <f>'All regions'!B5376+"$F;@!)=V"</f>
        <v>#VALUE!</v>
      </c>
      <c r="I194" t="e">
        <f>'All regions'!C5376+"$F;@!)=W"</f>
        <v>#VALUE!</v>
      </c>
      <c r="J194" t="e">
        <f>'All regions'!D5376+"$F;@!)=X"</f>
        <v>#VALUE!</v>
      </c>
      <c r="K194" t="e">
        <f>'All regions'!E5376+"$F;@!)=Y"</f>
        <v>#VALUE!</v>
      </c>
      <c r="L194" t="e">
        <f>'All regions'!F5376+"$F;@!)=Z"</f>
        <v>#VALUE!</v>
      </c>
      <c r="M194" t="e">
        <f>'All regions'!G5376+"$F;@!)=["</f>
        <v>#VALUE!</v>
      </c>
      <c r="N194" t="e">
        <f>'All regions'!H5376+"$F;@!)=\"</f>
        <v>#VALUE!</v>
      </c>
      <c r="O194" t="e">
        <f>'All regions'!I5376+"$F;@!)=]"</f>
        <v>#VALUE!</v>
      </c>
      <c r="P194" t="e">
        <f>'All regions'!A5377+"$F;@!)=^"</f>
        <v>#VALUE!</v>
      </c>
      <c r="Q194" t="e">
        <f>'All regions'!B5377+"$F;@!)=_"</f>
        <v>#VALUE!</v>
      </c>
      <c r="R194" t="e">
        <f>'All regions'!C5377+"$F;@!)=`"</f>
        <v>#VALUE!</v>
      </c>
      <c r="S194" t="e">
        <f>'All regions'!D5377+"$F;@!)=a"</f>
        <v>#VALUE!</v>
      </c>
      <c r="T194" t="e">
        <f>'All regions'!E5377+"$F;@!)=b"</f>
        <v>#VALUE!</v>
      </c>
      <c r="U194" t="e">
        <f>'All regions'!F5377+"$F;@!)=c"</f>
        <v>#VALUE!</v>
      </c>
      <c r="V194" t="e">
        <f>'All regions'!G5377+"$F;@!)=d"</f>
        <v>#VALUE!</v>
      </c>
      <c r="W194" t="e">
        <f>'All regions'!H5377+"$F;@!)=e"</f>
        <v>#VALUE!</v>
      </c>
      <c r="X194" t="e">
        <f>'All regions'!I5377+"$F;@!)=f"</f>
        <v>#VALUE!</v>
      </c>
      <c r="Y194" t="e">
        <f>'All regions'!A5378+"$F;@!)=g"</f>
        <v>#VALUE!</v>
      </c>
      <c r="Z194" t="e">
        <f>'All regions'!B5378+"$F;@!)=h"</f>
        <v>#VALUE!</v>
      </c>
      <c r="AA194" t="e">
        <f>'All regions'!C5378+"$F;@!)=i"</f>
        <v>#VALUE!</v>
      </c>
      <c r="AB194" t="e">
        <f>'All regions'!D5378+"$F;@!)=j"</f>
        <v>#VALUE!</v>
      </c>
      <c r="AC194" t="e">
        <f>'All regions'!E5378+"$F;@!)=k"</f>
        <v>#VALUE!</v>
      </c>
      <c r="AD194" t="e">
        <f>'All regions'!F5378+"$F;@!)=l"</f>
        <v>#VALUE!</v>
      </c>
      <c r="AE194" t="e">
        <f>'All regions'!G5378+"$F;@!)=m"</f>
        <v>#VALUE!</v>
      </c>
      <c r="AF194" t="e">
        <f>'All regions'!H5378+"$F;@!)=n"</f>
        <v>#VALUE!</v>
      </c>
      <c r="AG194" t="e">
        <f>'All regions'!I5378+"$F;@!)=o"</f>
        <v>#VALUE!</v>
      </c>
      <c r="AH194" t="e">
        <f>'All regions'!A5379+"$F;@!)=p"</f>
        <v>#VALUE!</v>
      </c>
      <c r="AI194" t="e">
        <f>'All regions'!B5379+"$F;@!)=q"</f>
        <v>#VALUE!</v>
      </c>
      <c r="AJ194" t="e">
        <f>'All regions'!C5379+"$F;@!)=r"</f>
        <v>#VALUE!</v>
      </c>
      <c r="AK194" t="e">
        <f>'All regions'!D5379+"$F;@!)=s"</f>
        <v>#VALUE!</v>
      </c>
      <c r="AL194" t="e">
        <f>'All regions'!E5379+"$F;@!)=t"</f>
        <v>#VALUE!</v>
      </c>
      <c r="AM194" t="e">
        <f>'All regions'!F5379+"$F;@!)=u"</f>
        <v>#VALUE!</v>
      </c>
      <c r="AN194" t="e">
        <f>'All regions'!G5379+"$F;@!)=v"</f>
        <v>#VALUE!</v>
      </c>
      <c r="AO194" t="e">
        <f>'All regions'!H5379+"$F;@!)=w"</f>
        <v>#VALUE!</v>
      </c>
      <c r="AP194" t="e">
        <f>'All regions'!I5379+"$F;@!)=x"</f>
        <v>#VALUE!</v>
      </c>
      <c r="AQ194" t="e">
        <f>'All regions'!A5380+"$F;@!)=y"</f>
        <v>#VALUE!</v>
      </c>
      <c r="AR194" t="e">
        <f>'All regions'!B5380+"$F;@!)=z"</f>
        <v>#VALUE!</v>
      </c>
      <c r="AS194" t="e">
        <f>'All regions'!C5380+"$F;@!)={"</f>
        <v>#VALUE!</v>
      </c>
      <c r="AT194" t="e">
        <f>'All regions'!D5380+"$F;@!)=|"</f>
        <v>#VALUE!</v>
      </c>
      <c r="AU194" t="e">
        <f>'All regions'!E5380+"$F;@!)=}"</f>
        <v>#VALUE!</v>
      </c>
      <c r="AV194" t="e">
        <f>'All regions'!F5380+"$F;@!)=~"</f>
        <v>#VALUE!</v>
      </c>
      <c r="AW194" t="e">
        <f>'All regions'!G5380+"$F;@!)&gt;#"</f>
        <v>#VALUE!</v>
      </c>
      <c r="AX194" t="e">
        <f>'All regions'!H5380+"$F;@!)&gt;$"</f>
        <v>#VALUE!</v>
      </c>
      <c r="AY194" t="e">
        <f>'All regions'!I5380+"$F;@!)&gt;%"</f>
        <v>#VALUE!</v>
      </c>
      <c r="AZ194" t="e">
        <f>'All regions'!A5381+"$F;@!)&gt;&amp;"</f>
        <v>#VALUE!</v>
      </c>
      <c r="BA194" t="e">
        <f>'All regions'!B5381+"$F;@!)&gt;'"</f>
        <v>#VALUE!</v>
      </c>
      <c r="BB194" t="e">
        <f>'All regions'!C5381+"$F;@!)&gt;("</f>
        <v>#VALUE!</v>
      </c>
      <c r="BC194" t="e">
        <f>'All regions'!D5381+"$F;@!)&gt;)"</f>
        <v>#VALUE!</v>
      </c>
      <c r="BD194" t="e">
        <f>'All regions'!E5381+"$F;@!)&gt;."</f>
        <v>#VALUE!</v>
      </c>
      <c r="BE194" t="e">
        <f>'All regions'!F5381+"$F;@!)&gt;/"</f>
        <v>#VALUE!</v>
      </c>
      <c r="BF194" t="e">
        <f>'All regions'!G5381+"$F;@!)&gt;0"</f>
        <v>#VALUE!</v>
      </c>
      <c r="BG194" t="e">
        <f>'All regions'!H5381+"$F;@!)&gt;1"</f>
        <v>#VALUE!</v>
      </c>
      <c r="BH194" t="e">
        <f>'All regions'!I5381+"$F;@!)&gt;2"</f>
        <v>#VALUE!</v>
      </c>
      <c r="BI194" t="e">
        <f>'All regions'!A5382+"$F;@!)&gt;3"</f>
        <v>#VALUE!</v>
      </c>
      <c r="BJ194" t="e">
        <f>'All regions'!B5382+"$F;@!)&gt;4"</f>
        <v>#VALUE!</v>
      </c>
      <c r="BK194" t="e">
        <f>'All regions'!C5382+"$F;@!)&gt;5"</f>
        <v>#VALUE!</v>
      </c>
      <c r="BL194" t="e">
        <f>'All regions'!D5382+"$F;@!)&gt;6"</f>
        <v>#VALUE!</v>
      </c>
      <c r="BM194" t="e">
        <f>'All regions'!E5382+"$F;@!)&gt;7"</f>
        <v>#VALUE!</v>
      </c>
      <c r="BN194" t="e">
        <f>'All regions'!F5382+"$F;@!)&gt;8"</f>
        <v>#VALUE!</v>
      </c>
      <c r="BO194" t="e">
        <f>'All regions'!G5382+"$F;@!)&gt;9"</f>
        <v>#VALUE!</v>
      </c>
      <c r="BP194" t="e">
        <f>'All regions'!H5382+"$F;@!)&gt;:"</f>
        <v>#VALUE!</v>
      </c>
      <c r="BQ194" t="e">
        <f>'All regions'!I5382+"$F;@!)&gt;;"</f>
        <v>#VALUE!</v>
      </c>
      <c r="BR194" t="e">
        <f>'All regions'!A5383+"$F;@!)&gt;&lt;"</f>
        <v>#VALUE!</v>
      </c>
      <c r="BS194" t="e">
        <f>'All regions'!B5383+"$F;@!)&gt;="</f>
        <v>#VALUE!</v>
      </c>
      <c r="BT194" t="e">
        <f>'All regions'!C5383+"$F;@!)&gt;&gt;"</f>
        <v>#VALUE!</v>
      </c>
      <c r="BU194" t="e">
        <f>'All regions'!D5383+"$F;@!)&gt;?"</f>
        <v>#VALUE!</v>
      </c>
      <c r="BV194" t="e">
        <f>'All regions'!E5383+"$F;@!)&gt;@"</f>
        <v>#VALUE!</v>
      </c>
      <c r="BW194" t="e">
        <f>'All regions'!F5383+"$F;@!)&gt;A"</f>
        <v>#VALUE!</v>
      </c>
      <c r="BX194" t="e">
        <f>'All regions'!G5383+"$F;@!)&gt;B"</f>
        <v>#VALUE!</v>
      </c>
      <c r="BY194" t="e">
        <f>'All regions'!H5383+"$F;@!)&gt;C"</f>
        <v>#VALUE!</v>
      </c>
      <c r="BZ194" t="e">
        <f>'All regions'!I5383+"$F;@!)&gt;D"</f>
        <v>#VALUE!</v>
      </c>
      <c r="CA194" t="e">
        <f>'All regions'!A5384+"$F;@!)&gt;E"</f>
        <v>#VALUE!</v>
      </c>
      <c r="CB194" t="e">
        <f>'All regions'!B5384+"$F;@!)&gt;F"</f>
        <v>#VALUE!</v>
      </c>
      <c r="CC194" t="e">
        <f>'All regions'!C5384+"$F;@!)&gt;G"</f>
        <v>#VALUE!</v>
      </c>
      <c r="CD194" t="e">
        <f>'All regions'!D5384+"$F;@!)&gt;H"</f>
        <v>#VALUE!</v>
      </c>
      <c r="CE194" t="e">
        <f>'All regions'!E5384+"$F;@!)&gt;I"</f>
        <v>#VALUE!</v>
      </c>
      <c r="CF194" t="e">
        <f>'All regions'!F5384+"$F;@!)&gt;J"</f>
        <v>#VALUE!</v>
      </c>
      <c r="CG194" t="e">
        <f>'All regions'!G5384+"$F;@!)&gt;K"</f>
        <v>#VALUE!</v>
      </c>
      <c r="CH194" t="e">
        <f>'All regions'!H5384+"$F;@!)&gt;L"</f>
        <v>#VALUE!</v>
      </c>
      <c r="CI194" t="e">
        <f>'All regions'!I5384+"$F;@!)&gt;M"</f>
        <v>#VALUE!</v>
      </c>
      <c r="CJ194" t="e">
        <f>'All regions'!A5385+"$F;@!)&gt;N"</f>
        <v>#VALUE!</v>
      </c>
      <c r="CK194" t="e">
        <f>'All regions'!B5385+"$F;@!)&gt;O"</f>
        <v>#VALUE!</v>
      </c>
      <c r="CL194" t="e">
        <f>'All regions'!C5385+"$F;@!)&gt;P"</f>
        <v>#VALUE!</v>
      </c>
      <c r="CM194" t="e">
        <f>'All regions'!D5385+"$F;@!)&gt;Q"</f>
        <v>#VALUE!</v>
      </c>
      <c r="CN194" t="e">
        <f>'All regions'!E5385+"$F;@!)&gt;R"</f>
        <v>#VALUE!</v>
      </c>
      <c r="CO194" t="e">
        <f>'All regions'!F5385+"$F;@!)&gt;S"</f>
        <v>#VALUE!</v>
      </c>
      <c r="CP194" t="e">
        <f>'All regions'!G5385+"$F;@!)&gt;T"</f>
        <v>#VALUE!</v>
      </c>
      <c r="CQ194" t="e">
        <f>'All regions'!H5385+"$F;@!)&gt;U"</f>
        <v>#VALUE!</v>
      </c>
      <c r="CR194" t="e">
        <f>'All regions'!I5385+"$F;@!)&gt;V"</f>
        <v>#VALUE!</v>
      </c>
      <c r="CS194" t="e">
        <f>'All regions'!A5386+"$F;@!)&gt;W"</f>
        <v>#VALUE!</v>
      </c>
      <c r="CT194" t="e">
        <f>'All regions'!B5386+"$F;@!)&gt;X"</f>
        <v>#VALUE!</v>
      </c>
      <c r="CU194" t="e">
        <f>'All regions'!C5386+"$F;@!)&gt;Y"</f>
        <v>#VALUE!</v>
      </c>
      <c r="CV194" t="e">
        <f>'All regions'!D5386+"$F;@!)&gt;Z"</f>
        <v>#VALUE!</v>
      </c>
      <c r="CW194" t="e">
        <f>'All regions'!E5386+"$F;@!)&gt;["</f>
        <v>#VALUE!</v>
      </c>
      <c r="CX194" t="e">
        <f>'All regions'!F5386+"$F;@!)&gt;\"</f>
        <v>#VALUE!</v>
      </c>
      <c r="CY194" t="e">
        <f>'All regions'!G5386+"$F;@!)&gt;]"</f>
        <v>#VALUE!</v>
      </c>
      <c r="CZ194" t="e">
        <f>'All regions'!H5386+"$F;@!)&gt;^"</f>
        <v>#VALUE!</v>
      </c>
      <c r="DA194" t="e">
        <f>'All regions'!I5386+"$F;@!)&gt;_"</f>
        <v>#VALUE!</v>
      </c>
      <c r="DB194" t="e">
        <f>'All regions'!A5387+"$F;@!)&gt;`"</f>
        <v>#VALUE!</v>
      </c>
      <c r="DC194" t="e">
        <f>'All regions'!B5387+"$F;@!)&gt;a"</f>
        <v>#VALUE!</v>
      </c>
      <c r="DD194" t="e">
        <f>'All regions'!C5387+"$F;@!)&gt;b"</f>
        <v>#VALUE!</v>
      </c>
      <c r="DE194" t="e">
        <f>'All regions'!D5387+"$F;@!)&gt;c"</f>
        <v>#VALUE!</v>
      </c>
      <c r="DF194" t="e">
        <f>'All regions'!E5387+"$F;@!)&gt;d"</f>
        <v>#VALUE!</v>
      </c>
      <c r="DG194" t="e">
        <f>'All regions'!F5387+"$F;@!)&gt;e"</f>
        <v>#VALUE!</v>
      </c>
      <c r="DH194" t="e">
        <f>'All regions'!G5387+"$F;@!)&gt;f"</f>
        <v>#VALUE!</v>
      </c>
      <c r="DI194" t="e">
        <f>'All regions'!H5387+"$F;@!)&gt;g"</f>
        <v>#VALUE!</v>
      </c>
      <c r="DJ194" t="e">
        <f>'All regions'!I5387+"$F;@!)&gt;h"</f>
        <v>#VALUE!</v>
      </c>
      <c r="DK194" t="e">
        <f>'All regions'!A5388+"$F;@!)&gt;i"</f>
        <v>#VALUE!</v>
      </c>
      <c r="DL194" t="e">
        <f>'All regions'!B5388+"$F;@!)&gt;j"</f>
        <v>#VALUE!</v>
      </c>
      <c r="DM194" t="e">
        <f>'All regions'!C5388+"$F;@!)&gt;k"</f>
        <v>#VALUE!</v>
      </c>
      <c r="DN194" t="e">
        <f>'All regions'!D5388+"$F;@!)&gt;l"</f>
        <v>#VALUE!</v>
      </c>
      <c r="DO194" t="e">
        <f>'All regions'!E5388+"$F;@!)&gt;m"</f>
        <v>#VALUE!</v>
      </c>
      <c r="DP194" t="e">
        <f>'All regions'!F5388+"$F;@!)&gt;n"</f>
        <v>#VALUE!</v>
      </c>
      <c r="DQ194" t="e">
        <f>'All regions'!G5388+"$F;@!)&gt;o"</f>
        <v>#VALUE!</v>
      </c>
      <c r="DR194" t="e">
        <f>'All regions'!H5388+"$F;@!)&gt;p"</f>
        <v>#VALUE!</v>
      </c>
      <c r="DS194" t="e">
        <f>'All regions'!I5388+"$F;@!)&gt;q"</f>
        <v>#VALUE!</v>
      </c>
      <c r="DT194" t="e">
        <f>'All regions'!A5389+"$F;@!)&gt;r"</f>
        <v>#VALUE!</v>
      </c>
      <c r="DU194" t="e">
        <f>'All regions'!B5389+"$F;@!)&gt;s"</f>
        <v>#VALUE!</v>
      </c>
      <c r="DV194" t="e">
        <f>'All regions'!C5389+"$F;@!)&gt;t"</f>
        <v>#VALUE!</v>
      </c>
      <c r="DW194" t="e">
        <f>'All regions'!D5389+"$F;@!)&gt;u"</f>
        <v>#VALUE!</v>
      </c>
      <c r="DX194" t="e">
        <f>'All regions'!E5389+"$F;@!)&gt;v"</f>
        <v>#VALUE!</v>
      </c>
      <c r="DY194" t="e">
        <f>'All regions'!F5389+"$F;@!)&gt;w"</f>
        <v>#VALUE!</v>
      </c>
      <c r="DZ194" t="e">
        <f>'All regions'!G5389+"$F;@!)&gt;x"</f>
        <v>#VALUE!</v>
      </c>
      <c r="EA194" t="e">
        <f>'All regions'!H5389+"$F;@!)&gt;y"</f>
        <v>#VALUE!</v>
      </c>
      <c r="EB194" t="e">
        <f>'All regions'!I5389+"$F;@!)&gt;z"</f>
        <v>#VALUE!</v>
      </c>
      <c r="EC194" t="e">
        <f>'All regions'!A5390+"$F;@!)&gt;{"</f>
        <v>#VALUE!</v>
      </c>
      <c r="ED194" t="e">
        <f>'All regions'!B5390+"$F;@!)&gt;|"</f>
        <v>#VALUE!</v>
      </c>
      <c r="EE194" t="e">
        <f>'All regions'!C5390+"$F;@!)&gt;}"</f>
        <v>#VALUE!</v>
      </c>
      <c r="EF194" t="e">
        <f>'All regions'!D5390+"$F;@!)&gt;~"</f>
        <v>#VALUE!</v>
      </c>
      <c r="EG194" t="e">
        <f>'All regions'!E5390+"$F;@!)?#"</f>
        <v>#VALUE!</v>
      </c>
      <c r="EH194" t="e">
        <f>'All regions'!F5390+"$F;@!)?$"</f>
        <v>#VALUE!</v>
      </c>
      <c r="EI194" t="e">
        <f>'All regions'!G5390+"$F;@!)?%"</f>
        <v>#VALUE!</v>
      </c>
      <c r="EJ194" t="e">
        <f>'All regions'!H5390+"$F;@!)?&amp;"</f>
        <v>#VALUE!</v>
      </c>
      <c r="EK194" t="e">
        <f>'All regions'!I5390+"$F;@!)?'"</f>
        <v>#VALUE!</v>
      </c>
      <c r="EL194" t="e">
        <f>'All regions'!A5391+"$F;@!)?("</f>
        <v>#VALUE!</v>
      </c>
      <c r="EM194" t="e">
        <f>'All regions'!B5391+"$F;@!)?)"</f>
        <v>#VALUE!</v>
      </c>
      <c r="EN194" t="e">
        <f>'All regions'!C5391+"$F;@!)?."</f>
        <v>#VALUE!</v>
      </c>
      <c r="EO194" t="e">
        <f>'All regions'!D5391+"$F;@!)?/"</f>
        <v>#VALUE!</v>
      </c>
      <c r="EP194" t="e">
        <f>'All regions'!E5391+"$F;@!)?0"</f>
        <v>#VALUE!</v>
      </c>
      <c r="EQ194" t="e">
        <f>'All regions'!F5391+"$F;@!)?1"</f>
        <v>#VALUE!</v>
      </c>
      <c r="ER194" t="e">
        <f>'All regions'!G5391+"$F;@!)?2"</f>
        <v>#VALUE!</v>
      </c>
      <c r="ES194" t="e">
        <f>'All regions'!H5391+"$F;@!)?3"</f>
        <v>#VALUE!</v>
      </c>
      <c r="ET194" t="e">
        <f>'All regions'!I5391+"$F;@!)?4"</f>
        <v>#VALUE!</v>
      </c>
      <c r="EU194" t="e">
        <f>'All regions'!A5392+"$F;@!)?5"</f>
        <v>#VALUE!</v>
      </c>
      <c r="EV194" t="e">
        <f>'All regions'!B5392+"$F;@!)?6"</f>
        <v>#VALUE!</v>
      </c>
      <c r="EW194" t="e">
        <f>'All regions'!C5392+"$F;@!)?7"</f>
        <v>#VALUE!</v>
      </c>
      <c r="EX194" t="e">
        <f>'All regions'!D5392+"$F;@!)?8"</f>
        <v>#VALUE!</v>
      </c>
      <c r="EY194" t="e">
        <f>'All regions'!E5392+"$F;@!)?9"</f>
        <v>#VALUE!</v>
      </c>
      <c r="EZ194" t="e">
        <f>'All regions'!F5392+"$F;@!)?:"</f>
        <v>#VALUE!</v>
      </c>
      <c r="FA194" t="e">
        <f>'All regions'!G5392+"$F;@!)?;"</f>
        <v>#VALUE!</v>
      </c>
      <c r="FB194" t="e">
        <f>'All regions'!H5392+"$F;@!)?&lt;"</f>
        <v>#VALUE!</v>
      </c>
      <c r="FC194" t="e">
        <f>'All regions'!I5392+"$F;@!)?="</f>
        <v>#VALUE!</v>
      </c>
      <c r="FD194" t="e">
        <f>'All regions'!A5393+"$F;@!)?&gt;"</f>
        <v>#VALUE!</v>
      </c>
      <c r="FE194" t="e">
        <f>'All regions'!B5393+"$F;@!)??"</f>
        <v>#VALUE!</v>
      </c>
      <c r="FF194" t="e">
        <f>'All regions'!C5393+"$F;@!)?@"</f>
        <v>#VALUE!</v>
      </c>
      <c r="FG194" t="e">
        <f>'All regions'!D5393+"$F;@!)?A"</f>
        <v>#VALUE!</v>
      </c>
      <c r="FH194" t="e">
        <f>'All regions'!E5393+"$F;@!)?B"</f>
        <v>#VALUE!</v>
      </c>
      <c r="FI194" t="e">
        <f>'All regions'!F5393+"$F;@!)?C"</f>
        <v>#VALUE!</v>
      </c>
      <c r="FJ194" t="e">
        <f>'All regions'!G5393+"$F;@!)?D"</f>
        <v>#VALUE!</v>
      </c>
      <c r="FK194" t="e">
        <f>'All regions'!H5393+"$F;@!)?E"</f>
        <v>#VALUE!</v>
      </c>
      <c r="FL194" t="e">
        <f>'All regions'!I5393+"$F;@!)?F"</f>
        <v>#VALUE!</v>
      </c>
      <c r="FM194" t="e">
        <f>'All regions'!A5394+"$F;@!)?G"</f>
        <v>#VALUE!</v>
      </c>
      <c r="FN194" t="e">
        <f>'All regions'!B5394+"$F;@!)?H"</f>
        <v>#VALUE!</v>
      </c>
      <c r="FO194" t="e">
        <f>'All regions'!C5394+"$F;@!)?I"</f>
        <v>#VALUE!</v>
      </c>
      <c r="FP194" t="e">
        <f>'All regions'!D5394+"$F;@!)?J"</f>
        <v>#VALUE!</v>
      </c>
      <c r="FQ194" t="e">
        <f>'All regions'!E5394+"$F;@!)?K"</f>
        <v>#VALUE!</v>
      </c>
      <c r="FR194" t="e">
        <f>'All regions'!F5394+"$F;@!)?L"</f>
        <v>#VALUE!</v>
      </c>
      <c r="FS194" t="e">
        <f>'All regions'!G5394+"$F;@!)?M"</f>
        <v>#VALUE!</v>
      </c>
      <c r="FT194" t="e">
        <f>'All regions'!H5394+"$F;@!)?N"</f>
        <v>#VALUE!</v>
      </c>
      <c r="FU194" t="e">
        <f>'All regions'!I5394+"$F;@!)?O"</f>
        <v>#VALUE!</v>
      </c>
      <c r="FV194" t="e">
        <f>'All regions'!A5395+"$F;@!)?P"</f>
        <v>#VALUE!</v>
      </c>
      <c r="FW194" t="e">
        <f>'All regions'!B5395+"$F;@!)?Q"</f>
        <v>#VALUE!</v>
      </c>
      <c r="FX194" t="e">
        <f>'All regions'!C5395+"$F;@!)?R"</f>
        <v>#VALUE!</v>
      </c>
      <c r="FY194" t="e">
        <f>'All regions'!D5395+"$F;@!)?S"</f>
        <v>#VALUE!</v>
      </c>
      <c r="FZ194" t="e">
        <f>'All regions'!E5395+"$F;@!)?T"</f>
        <v>#VALUE!</v>
      </c>
      <c r="GA194" t="e">
        <f>'All regions'!F5395+"$F;@!)?U"</f>
        <v>#VALUE!</v>
      </c>
      <c r="GB194" t="e">
        <f>'All regions'!G5395+"$F;@!)?V"</f>
        <v>#VALUE!</v>
      </c>
      <c r="GC194" t="e">
        <f>'All regions'!H5395+"$F;@!)?W"</f>
        <v>#VALUE!</v>
      </c>
      <c r="GD194" t="e">
        <f>'All regions'!I5395+"$F;@!)?X"</f>
        <v>#VALUE!</v>
      </c>
      <c r="GE194" t="e">
        <f>'All regions'!A5396+"$F;@!)?Y"</f>
        <v>#VALUE!</v>
      </c>
      <c r="GF194" t="e">
        <f>'All regions'!B5396+"$F;@!)?Z"</f>
        <v>#VALUE!</v>
      </c>
      <c r="GG194" t="e">
        <f>'All regions'!C5396+"$F;@!)?["</f>
        <v>#VALUE!</v>
      </c>
      <c r="GH194" t="e">
        <f>'All regions'!D5396+"$F;@!)?\"</f>
        <v>#VALUE!</v>
      </c>
      <c r="GI194" t="e">
        <f>'All regions'!E5396+"$F;@!)?]"</f>
        <v>#VALUE!</v>
      </c>
      <c r="GJ194" t="e">
        <f>'All regions'!F5396+"$F;@!)?^"</f>
        <v>#VALUE!</v>
      </c>
      <c r="GK194" t="e">
        <f>'All regions'!G5396+"$F;@!)?_"</f>
        <v>#VALUE!</v>
      </c>
      <c r="GL194" t="e">
        <f>'All regions'!H5396+"$F;@!)?`"</f>
        <v>#VALUE!</v>
      </c>
      <c r="GM194" t="e">
        <f>'All regions'!I5396+"$F;@!)?a"</f>
        <v>#VALUE!</v>
      </c>
      <c r="GN194" t="e">
        <f>'All regions'!A5397+"$F;@!)?b"</f>
        <v>#VALUE!</v>
      </c>
      <c r="GO194" t="e">
        <f>'All regions'!B5397+"$F;@!)?c"</f>
        <v>#VALUE!</v>
      </c>
      <c r="GP194" t="e">
        <f>'All regions'!C5397+"$F;@!)?d"</f>
        <v>#VALUE!</v>
      </c>
      <c r="GQ194" t="e">
        <f>'All regions'!D5397+"$F;@!)?e"</f>
        <v>#VALUE!</v>
      </c>
      <c r="GR194" t="e">
        <f>'All regions'!E5397+"$F;@!)?f"</f>
        <v>#VALUE!</v>
      </c>
      <c r="GS194" t="e">
        <f>'All regions'!F5397+"$F;@!)?g"</f>
        <v>#VALUE!</v>
      </c>
      <c r="GT194" t="e">
        <f>'All regions'!G5397+"$F;@!)?h"</f>
        <v>#VALUE!</v>
      </c>
      <c r="GU194" t="e">
        <f>'All regions'!H5397+"$F;@!)?i"</f>
        <v>#VALUE!</v>
      </c>
      <c r="GV194" t="e">
        <f>'All regions'!I5397+"$F;@!)?j"</f>
        <v>#VALUE!</v>
      </c>
      <c r="GW194" t="e">
        <f>'All regions'!A5398+"$F;@!)?k"</f>
        <v>#VALUE!</v>
      </c>
      <c r="GX194" t="e">
        <f>'All regions'!B5398+"$F;@!)?l"</f>
        <v>#VALUE!</v>
      </c>
      <c r="GY194" t="e">
        <f>'All regions'!C5398+"$F;@!)?m"</f>
        <v>#VALUE!</v>
      </c>
      <c r="GZ194" t="e">
        <f>'All regions'!D5398+"$F;@!)?n"</f>
        <v>#VALUE!</v>
      </c>
      <c r="HA194" t="e">
        <f>'All regions'!E5398+"$F;@!)?o"</f>
        <v>#VALUE!</v>
      </c>
      <c r="HB194" t="e">
        <f>'All regions'!F5398+"$F;@!)?p"</f>
        <v>#VALUE!</v>
      </c>
      <c r="HC194" t="e">
        <f>'All regions'!G5398+"$F;@!)?q"</f>
        <v>#VALUE!</v>
      </c>
      <c r="HD194" t="e">
        <f>'All regions'!H5398+"$F;@!)?r"</f>
        <v>#VALUE!</v>
      </c>
      <c r="HE194" t="e">
        <f>'All regions'!I5398+"$F;@!)?s"</f>
        <v>#VALUE!</v>
      </c>
      <c r="HF194" t="e">
        <f>'All regions'!A5399+"$F;@!)?t"</f>
        <v>#VALUE!</v>
      </c>
      <c r="HG194" t="e">
        <f>'All regions'!B5399+"$F;@!)?u"</f>
        <v>#VALUE!</v>
      </c>
      <c r="HH194" t="e">
        <f>'All regions'!C5399+"$F;@!)?v"</f>
        <v>#VALUE!</v>
      </c>
      <c r="HI194" t="e">
        <f>'All regions'!D5399+"$F;@!)?w"</f>
        <v>#VALUE!</v>
      </c>
      <c r="HJ194" t="e">
        <f>'All regions'!E5399+"$F;@!)?x"</f>
        <v>#VALUE!</v>
      </c>
      <c r="HK194" t="e">
        <f>'All regions'!F5399+"$F;@!)?y"</f>
        <v>#VALUE!</v>
      </c>
      <c r="HL194" t="e">
        <f>'All regions'!G5399+"$F;@!)?z"</f>
        <v>#VALUE!</v>
      </c>
      <c r="HM194" t="e">
        <f>'All regions'!H5399+"$F;@!)?{"</f>
        <v>#VALUE!</v>
      </c>
      <c r="HN194" t="e">
        <f>'All regions'!I5399+"$F;@!)?|"</f>
        <v>#VALUE!</v>
      </c>
      <c r="HO194" t="e">
        <f>'All regions'!A5400+"$F;@!)?}"</f>
        <v>#VALUE!</v>
      </c>
      <c r="HP194" t="e">
        <f>'All regions'!B5400+"$F;@!)?~"</f>
        <v>#VALUE!</v>
      </c>
      <c r="HQ194" t="e">
        <f>'All regions'!C5400+"$F;@!)@#"</f>
        <v>#VALUE!</v>
      </c>
      <c r="HR194" t="e">
        <f>'All regions'!D5400+"$F;@!)@$"</f>
        <v>#VALUE!</v>
      </c>
      <c r="HS194" t="e">
        <f>'All regions'!E5400+"$F;@!)@%"</f>
        <v>#VALUE!</v>
      </c>
      <c r="HT194" t="e">
        <f>'All regions'!F5400+"$F;@!)@&amp;"</f>
        <v>#VALUE!</v>
      </c>
      <c r="HU194" t="e">
        <f>'All regions'!G5400+"$F;@!)@'"</f>
        <v>#VALUE!</v>
      </c>
      <c r="HV194" t="e">
        <f>'All regions'!H5400+"$F;@!)@("</f>
        <v>#VALUE!</v>
      </c>
      <c r="HW194" t="e">
        <f>'All regions'!I5400+"$F;@!)@)"</f>
        <v>#VALUE!</v>
      </c>
      <c r="HX194" t="e">
        <f>'All regions'!A5401+"$F;@!)@."</f>
        <v>#VALUE!</v>
      </c>
      <c r="HY194" t="e">
        <f>'All regions'!B5401+"$F;@!)@/"</f>
        <v>#VALUE!</v>
      </c>
      <c r="HZ194" t="e">
        <f>'All regions'!C5401+"$F;@!)@0"</f>
        <v>#VALUE!</v>
      </c>
      <c r="IA194" t="e">
        <f>'All regions'!D5401+"$F;@!)@1"</f>
        <v>#VALUE!</v>
      </c>
      <c r="IB194" t="e">
        <f>'All regions'!E5401+"$F;@!)@2"</f>
        <v>#VALUE!</v>
      </c>
      <c r="IC194" t="e">
        <f>'All regions'!F5401+"$F;@!)@3"</f>
        <v>#VALUE!</v>
      </c>
      <c r="ID194" t="e">
        <f>'All regions'!G5401+"$F;@!)@4"</f>
        <v>#VALUE!</v>
      </c>
      <c r="IE194" t="e">
        <f>'All regions'!H5401+"$F;@!)@5"</f>
        <v>#VALUE!</v>
      </c>
      <c r="IF194" t="e">
        <f>'All regions'!I5401+"$F;@!)@6"</f>
        <v>#VALUE!</v>
      </c>
      <c r="IG194" t="e">
        <f>'All regions'!A5402+"$F;@!)@7"</f>
        <v>#VALUE!</v>
      </c>
      <c r="IH194" t="e">
        <f>'All regions'!B5402+"$F;@!)@8"</f>
        <v>#VALUE!</v>
      </c>
      <c r="II194" t="e">
        <f>'All regions'!C5402+"$F;@!)@9"</f>
        <v>#VALUE!</v>
      </c>
      <c r="IJ194" t="e">
        <f>'All regions'!D5402+"$F;@!)@:"</f>
        <v>#VALUE!</v>
      </c>
      <c r="IK194" t="e">
        <f>'All regions'!E5402+"$F;@!)@;"</f>
        <v>#VALUE!</v>
      </c>
      <c r="IL194" t="e">
        <f>'All regions'!F5402+"$F;@!)@&lt;"</f>
        <v>#VALUE!</v>
      </c>
      <c r="IM194" t="e">
        <f>'All regions'!G5402+"$F;@!)@="</f>
        <v>#VALUE!</v>
      </c>
      <c r="IN194" t="e">
        <f>'All regions'!H5402+"$F;@!)@&gt;"</f>
        <v>#VALUE!</v>
      </c>
      <c r="IO194" t="e">
        <f>'All regions'!I5402+"$F;@!)@?"</f>
        <v>#VALUE!</v>
      </c>
      <c r="IP194" t="e">
        <f>'All regions'!A5403+"$F;@!)@@"</f>
        <v>#VALUE!</v>
      </c>
      <c r="IQ194" t="e">
        <f>'All regions'!B5403+"$F;@!)@A"</f>
        <v>#VALUE!</v>
      </c>
      <c r="IR194" t="e">
        <f>'All regions'!C5403+"$F;@!)@B"</f>
        <v>#VALUE!</v>
      </c>
      <c r="IS194" t="e">
        <f>'All regions'!D5403+"$F;@!)@C"</f>
        <v>#VALUE!</v>
      </c>
      <c r="IT194" t="e">
        <f>'All regions'!E5403+"$F;@!)@D"</f>
        <v>#VALUE!</v>
      </c>
      <c r="IU194" t="e">
        <f>'All regions'!F5403+"$F;@!)@E"</f>
        <v>#VALUE!</v>
      </c>
      <c r="IV194" t="e">
        <f>'All regions'!G5403+"$F;@!)@F"</f>
        <v>#VALUE!</v>
      </c>
    </row>
    <row r="195" spans="6:256" x14ac:dyDescent="0.35">
      <c r="F195" t="e">
        <f>'All regions'!H5403+"$F;@!)@G"</f>
        <v>#VALUE!</v>
      </c>
      <c r="G195" t="e">
        <f>'All regions'!I5403+"$F;@!)@H"</f>
        <v>#VALUE!</v>
      </c>
      <c r="H195" t="e">
        <f>'All regions'!A5404+"$F;@!)@I"</f>
        <v>#VALUE!</v>
      </c>
      <c r="I195" t="e">
        <f>'All regions'!B5404+"$F;@!)@J"</f>
        <v>#VALUE!</v>
      </c>
      <c r="J195" t="e">
        <f>'All regions'!C5404+"$F;@!)@K"</f>
        <v>#VALUE!</v>
      </c>
      <c r="K195" t="e">
        <f>'All regions'!D5404+"$F;@!)@L"</f>
        <v>#VALUE!</v>
      </c>
      <c r="L195" t="e">
        <f>'All regions'!E5404+"$F;@!)@M"</f>
        <v>#VALUE!</v>
      </c>
      <c r="M195" t="e">
        <f>'All regions'!F5404+"$F;@!)@N"</f>
        <v>#VALUE!</v>
      </c>
      <c r="N195" t="e">
        <f>'All regions'!G5404+"$F;@!)@O"</f>
        <v>#VALUE!</v>
      </c>
      <c r="O195" t="e">
        <f>'All regions'!H5404+"$F;@!)@P"</f>
        <v>#VALUE!</v>
      </c>
      <c r="P195" t="e">
        <f>'All regions'!I5404+"$F;@!)@Q"</f>
        <v>#VALUE!</v>
      </c>
      <c r="Q195" t="e">
        <f>'All regions'!A5405+"$F;@!)@R"</f>
        <v>#VALUE!</v>
      </c>
      <c r="R195" t="e">
        <f>'All regions'!B5405+"$F;@!)@S"</f>
        <v>#VALUE!</v>
      </c>
      <c r="S195" t="e">
        <f>'All regions'!C5405+"$F;@!)@T"</f>
        <v>#VALUE!</v>
      </c>
      <c r="T195" t="e">
        <f>'All regions'!D5405+"$F;@!)@U"</f>
        <v>#VALUE!</v>
      </c>
      <c r="U195" t="e">
        <f>'All regions'!E5405+"$F;@!)@V"</f>
        <v>#VALUE!</v>
      </c>
      <c r="V195" t="e">
        <f>'All regions'!F5405+"$F;@!)@W"</f>
        <v>#VALUE!</v>
      </c>
      <c r="W195" t="e">
        <f>'All regions'!G5405+"$F;@!)@X"</f>
        <v>#VALUE!</v>
      </c>
      <c r="X195" t="e">
        <f>'All regions'!H5405+"$F;@!)@Y"</f>
        <v>#VALUE!</v>
      </c>
      <c r="Y195" t="e">
        <f>'All regions'!I5405+"$F;@!)@Z"</f>
        <v>#VALUE!</v>
      </c>
      <c r="Z195" t="e">
        <f>'All regions'!A5406+"$F;@!)@["</f>
        <v>#VALUE!</v>
      </c>
      <c r="AA195" t="e">
        <f>'All regions'!B5406+"$F;@!)@\"</f>
        <v>#VALUE!</v>
      </c>
      <c r="AB195" t="e">
        <f>'All regions'!C5406+"$F;@!)@]"</f>
        <v>#VALUE!</v>
      </c>
      <c r="AC195" t="e">
        <f>'All regions'!D5406+"$F;@!)@^"</f>
        <v>#VALUE!</v>
      </c>
      <c r="AD195" t="e">
        <f>'All regions'!E5406+"$F;@!)@_"</f>
        <v>#VALUE!</v>
      </c>
      <c r="AE195" t="e">
        <f>'All regions'!F5406+"$F;@!)@`"</f>
        <v>#VALUE!</v>
      </c>
      <c r="AF195" t="e">
        <f>'All regions'!G5406+"$F;@!)@a"</f>
        <v>#VALUE!</v>
      </c>
      <c r="AG195" t="e">
        <f>'All regions'!H5406+"$F;@!)@b"</f>
        <v>#VALUE!</v>
      </c>
      <c r="AH195" t="e">
        <f>'All regions'!I5406+"$F;@!)@c"</f>
        <v>#VALUE!</v>
      </c>
      <c r="AI195" t="e">
        <f>'All regions'!A5407+"$F;@!)@d"</f>
        <v>#VALUE!</v>
      </c>
      <c r="AJ195" t="e">
        <f>'All regions'!B5407+"$F;@!)@e"</f>
        <v>#VALUE!</v>
      </c>
      <c r="AK195" t="e">
        <f>'All regions'!C5407+"$F;@!)@f"</f>
        <v>#VALUE!</v>
      </c>
      <c r="AL195" t="e">
        <f>'All regions'!D5407+"$F;@!)@g"</f>
        <v>#VALUE!</v>
      </c>
      <c r="AM195" t="e">
        <f>'All regions'!E5407+"$F;@!)@h"</f>
        <v>#VALUE!</v>
      </c>
      <c r="AN195" t="e">
        <f>'All regions'!F5407+"$F;@!)@i"</f>
        <v>#VALUE!</v>
      </c>
      <c r="AO195" t="e">
        <f>'All regions'!G5407+"$F;@!)@j"</f>
        <v>#VALUE!</v>
      </c>
      <c r="AP195" t="e">
        <f>'All regions'!H5407+"$F;@!)@k"</f>
        <v>#VALUE!</v>
      </c>
      <c r="AQ195" t="e">
        <f>'All regions'!I5407+"$F;@!)@l"</f>
        <v>#VALUE!</v>
      </c>
      <c r="AR195" t="e">
        <f>'All regions'!A5408+"$F;@!)@m"</f>
        <v>#VALUE!</v>
      </c>
      <c r="AS195" t="e">
        <f>'All regions'!B5408+"$F;@!)@n"</f>
        <v>#VALUE!</v>
      </c>
      <c r="AT195" t="e">
        <f>'All regions'!C5408+"$F;@!)@o"</f>
        <v>#VALUE!</v>
      </c>
      <c r="AU195" t="e">
        <f>'All regions'!D5408+"$F;@!)@p"</f>
        <v>#VALUE!</v>
      </c>
      <c r="AV195" t="e">
        <f>'All regions'!E5408+"$F;@!)@q"</f>
        <v>#VALUE!</v>
      </c>
      <c r="AW195" t="e">
        <f>'All regions'!F5408+"$F;@!)@r"</f>
        <v>#VALUE!</v>
      </c>
      <c r="AX195" t="e">
        <f>'All regions'!G5408+"$F;@!)@s"</f>
        <v>#VALUE!</v>
      </c>
      <c r="AY195" t="e">
        <f>'All regions'!H5408+"$F;@!)@t"</f>
        <v>#VALUE!</v>
      </c>
      <c r="AZ195" t="e">
        <f>'All regions'!I5408+"$F;@!)@u"</f>
        <v>#VALUE!</v>
      </c>
      <c r="BA195" t="e">
        <f>'All regions'!A5409+"$F;@!)@v"</f>
        <v>#VALUE!</v>
      </c>
      <c r="BB195" t="e">
        <f>'All regions'!B5409+"$F;@!)@w"</f>
        <v>#VALUE!</v>
      </c>
      <c r="BC195" t="e">
        <f>'All regions'!C5409+"$F;@!)@x"</f>
        <v>#VALUE!</v>
      </c>
      <c r="BD195" t="e">
        <f>'All regions'!D5409+"$F;@!)@y"</f>
        <v>#VALUE!</v>
      </c>
      <c r="BE195" t="e">
        <f>'All regions'!E5409+"$F;@!)@z"</f>
        <v>#VALUE!</v>
      </c>
      <c r="BF195" t="e">
        <f>'All regions'!F5409+"$F;@!)@{"</f>
        <v>#VALUE!</v>
      </c>
      <c r="BG195" t="e">
        <f>'All regions'!G5409+"$F;@!)@|"</f>
        <v>#VALUE!</v>
      </c>
      <c r="BH195" t="e">
        <f>'All regions'!H5409+"$F;@!)@}"</f>
        <v>#VALUE!</v>
      </c>
      <c r="BI195" t="e">
        <f>'All regions'!I5409+"$F;@!)@~"</f>
        <v>#VALUE!</v>
      </c>
      <c r="BJ195" t="e">
        <f>'All regions'!A5410+"$F;@!)A#"</f>
        <v>#VALUE!</v>
      </c>
      <c r="BK195" t="e">
        <f>'All regions'!B5410+"$F;@!)A$"</f>
        <v>#VALUE!</v>
      </c>
      <c r="BL195" t="e">
        <f>'All regions'!C5410+"$F;@!)A%"</f>
        <v>#VALUE!</v>
      </c>
      <c r="BM195" t="e">
        <f>'All regions'!D5410+"$F;@!)A&amp;"</f>
        <v>#VALUE!</v>
      </c>
      <c r="BN195" t="e">
        <f>'All regions'!E5410+"$F;@!)A'"</f>
        <v>#VALUE!</v>
      </c>
      <c r="BO195" t="e">
        <f>'All regions'!F5410+"$F;@!)A("</f>
        <v>#VALUE!</v>
      </c>
      <c r="BP195" t="e">
        <f>'All regions'!G5410+"$F;@!)A)"</f>
        <v>#VALUE!</v>
      </c>
      <c r="BQ195" t="e">
        <f>'All regions'!H5410+"$F;@!)A."</f>
        <v>#VALUE!</v>
      </c>
      <c r="BR195" t="e">
        <f>'All regions'!I5410+"$F;@!)A/"</f>
        <v>#VALUE!</v>
      </c>
      <c r="BS195" t="e">
        <f>'All regions'!A5411+"$F;@!)A0"</f>
        <v>#VALUE!</v>
      </c>
      <c r="BT195" t="e">
        <f>'All regions'!B5411+"$F;@!)A1"</f>
        <v>#VALUE!</v>
      </c>
      <c r="BU195" t="e">
        <f>'All regions'!C5411+"$F;@!)A2"</f>
        <v>#VALUE!</v>
      </c>
      <c r="BV195" t="e">
        <f>'All regions'!D5411+"$F;@!)A3"</f>
        <v>#VALUE!</v>
      </c>
      <c r="BW195" t="e">
        <f>'All regions'!E5411+"$F;@!)A4"</f>
        <v>#VALUE!</v>
      </c>
      <c r="BX195" t="e">
        <f>'All regions'!F5411+"$F;@!)A5"</f>
        <v>#VALUE!</v>
      </c>
      <c r="BY195" t="e">
        <f>'All regions'!G5411+"$F;@!)A6"</f>
        <v>#VALUE!</v>
      </c>
      <c r="BZ195" t="e">
        <f>'All regions'!H5411+"$F;@!)A7"</f>
        <v>#VALUE!</v>
      </c>
      <c r="CA195" t="e">
        <f>'All regions'!I5411+"$F;@!)A8"</f>
        <v>#VALUE!</v>
      </c>
      <c r="CB195" t="e">
        <f>'All regions'!A5412+"$F;@!)A9"</f>
        <v>#VALUE!</v>
      </c>
      <c r="CC195" t="e">
        <f>'All regions'!B5412+"$F;@!)A:"</f>
        <v>#VALUE!</v>
      </c>
      <c r="CD195" t="e">
        <f>'All regions'!C5412+"$F;@!)A;"</f>
        <v>#VALUE!</v>
      </c>
      <c r="CE195" t="e">
        <f>'All regions'!D5412+"$F;@!)A&lt;"</f>
        <v>#VALUE!</v>
      </c>
      <c r="CF195" t="e">
        <f>'All regions'!E5412+"$F;@!)A="</f>
        <v>#VALUE!</v>
      </c>
      <c r="CG195" t="e">
        <f>'All regions'!F5412+"$F;@!)A&gt;"</f>
        <v>#VALUE!</v>
      </c>
      <c r="CH195" t="e">
        <f>'All regions'!G5412+"$F;@!)A?"</f>
        <v>#VALUE!</v>
      </c>
      <c r="CI195" t="e">
        <f>'All regions'!H5412+"$F;@!)A@"</f>
        <v>#VALUE!</v>
      </c>
      <c r="CJ195" t="e">
        <f>'All regions'!I5412+"$F;@!)AA"</f>
        <v>#VALUE!</v>
      </c>
      <c r="CK195" t="e">
        <f>'All regions'!A5413+"$F;@!)AB"</f>
        <v>#VALUE!</v>
      </c>
      <c r="CL195" t="e">
        <f>'All regions'!B5413+"$F;@!)AC"</f>
        <v>#VALUE!</v>
      </c>
      <c r="CM195" t="e">
        <f>'All regions'!C5413+"$F;@!)AD"</f>
        <v>#VALUE!</v>
      </c>
      <c r="CN195" t="e">
        <f>'All regions'!D5413+"$F;@!)AE"</f>
        <v>#VALUE!</v>
      </c>
      <c r="CO195" t="e">
        <f>'All regions'!E5413+"$F;@!)AF"</f>
        <v>#VALUE!</v>
      </c>
      <c r="CP195" t="e">
        <f>'All regions'!F5413+"$F;@!)AG"</f>
        <v>#VALUE!</v>
      </c>
      <c r="CQ195" t="e">
        <f>'All regions'!G5413+"$F;@!)AH"</f>
        <v>#VALUE!</v>
      </c>
      <c r="CR195" t="e">
        <f>'All regions'!H5413+"$F;@!)AI"</f>
        <v>#VALUE!</v>
      </c>
      <c r="CS195" t="e">
        <f>'All regions'!I5413+"$F;@!)AJ"</f>
        <v>#VALUE!</v>
      </c>
      <c r="CT195" t="e">
        <f>'All regions'!A5414+"$F;@!)AK"</f>
        <v>#VALUE!</v>
      </c>
      <c r="CU195" t="e">
        <f>'All regions'!B5414+"$F;@!)AL"</f>
        <v>#VALUE!</v>
      </c>
      <c r="CV195" t="e">
        <f>'All regions'!C5414+"$F;@!)AM"</f>
        <v>#VALUE!</v>
      </c>
      <c r="CW195" t="e">
        <f>'All regions'!D5414+"$F;@!)AN"</f>
        <v>#VALUE!</v>
      </c>
      <c r="CX195" t="e">
        <f>'All regions'!E5414+"$F;@!)AO"</f>
        <v>#VALUE!</v>
      </c>
      <c r="CY195" t="e">
        <f>'All regions'!F5414+"$F;@!)AP"</f>
        <v>#VALUE!</v>
      </c>
      <c r="CZ195" t="e">
        <f>'All regions'!G5414+"$F;@!)AQ"</f>
        <v>#VALUE!</v>
      </c>
      <c r="DA195" t="e">
        <f>'All regions'!H5414+"$F;@!)AR"</f>
        <v>#VALUE!</v>
      </c>
      <c r="DB195" t="e">
        <f>'All regions'!I5414+"$F;@!)AS"</f>
        <v>#VALUE!</v>
      </c>
      <c r="DC195" t="e">
        <f>'All regions'!A5415+"$F;@!)AT"</f>
        <v>#VALUE!</v>
      </c>
      <c r="DD195" t="e">
        <f>'All regions'!B5415+"$F;@!)AU"</f>
        <v>#VALUE!</v>
      </c>
      <c r="DE195" t="e">
        <f>'All regions'!C5415+"$F;@!)AV"</f>
        <v>#VALUE!</v>
      </c>
      <c r="DF195" t="e">
        <f>'All regions'!D5415+"$F;@!)AW"</f>
        <v>#VALUE!</v>
      </c>
      <c r="DG195" t="e">
        <f>'All regions'!E5415+"$F;@!)AX"</f>
        <v>#VALUE!</v>
      </c>
      <c r="DH195" t="e">
        <f>'All regions'!F5415+"$F;@!)AY"</f>
        <v>#VALUE!</v>
      </c>
      <c r="DI195" t="e">
        <f>'All regions'!G5415+"$F;@!)AZ"</f>
        <v>#VALUE!</v>
      </c>
      <c r="DJ195" t="e">
        <f>'All regions'!H5415+"$F;@!)A["</f>
        <v>#VALUE!</v>
      </c>
      <c r="DK195" t="e">
        <f>'All regions'!I5415+"$F;@!)A\"</f>
        <v>#VALUE!</v>
      </c>
      <c r="DL195" t="e">
        <f>'All regions'!A5416+"$F;@!)A]"</f>
        <v>#VALUE!</v>
      </c>
      <c r="DM195" t="e">
        <f>'All regions'!B5416+"$F;@!)A^"</f>
        <v>#VALUE!</v>
      </c>
      <c r="DN195" t="e">
        <f>'All regions'!C5416+"$F;@!)A_"</f>
        <v>#VALUE!</v>
      </c>
      <c r="DO195" t="e">
        <f>'All regions'!D5416+"$F;@!)A`"</f>
        <v>#VALUE!</v>
      </c>
      <c r="DP195" t="e">
        <f>'All regions'!E5416+"$F;@!)Aa"</f>
        <v>#VALUE!</v>
      </c>
      <c r="DQ195" t="e">
        <f>'All regions'!F5416+"$F;@!)Ab"</f>
        <v>#VALUE!</v>
      </c>
      <c r="DR195" t="e">
        <f>'All regions'!G5416+"$F;@!)Ac"</f>
        <v>#VALUE!</v>
      </c>
      <c r="DS195" t="e">
        <f>'All regions'!H5416+"$F;@!)Ad"</f>
        <v>#VALUE!</v>
      </c>
      <c r="DT195" t="e">
        <f>'All regions'!I5416+"$F;@!)Ae"</f>
        <v>#VALUE!</v>
      </c>
      <c r="DU195" t="e">
        <f>'All regions'!A5417+"$F;@!)Af"</f>
        <v>#VALUE!</v>
      </c>
      <c r="DV195" t="e">
        <f>'All regions'!B5417+"$F;@!)Ag"</f>
        <v>#VALUE!</v>
      </c>
      <c r="DW195" t="e">
        <f>'All regions'!C5417+"$F;@!)Ah"</f>
        <v>#VALUE!</v>
      </c>
      <c r="DX195" t="e">
        <f>'All regions'!D5417+"$F;@!)Ai"</f>
        <v>#VALUE!</v>
      </c>
      <c r="DY195" t="e">
        <f>'All regions'!E5417+"$F;@!)Aj"</f>
        <v>#VALUE!</v>
      </c>
      <c r="DZ195" t="e">
        <f>'All regions'!F5417+"$F;@!)Ak"</f>
        <v>#VALUE!</v>
      </c>
      <c r="EA195" t="e">
        <f>'All regions'!G5417+"$F;@!)Al"</f>
        <v>#VALUE!</v>
      </c>
      <c r="EB195" t="e">
        <f>'All regions'!H5417+"$F;@!)Am"</f>
        <v>#VALUE!</v>
      </c>
      <c r="EC195" t="e">
        <f>'All regions'!I5417+"$F;@!)An"</f>
        <v>#VALUE!</v>
      </c>
      <c r="ED195" t="e">
        <f>'All regions'!A5418+"$F;@!)Ao"</f>
        <v>#VALUE!</v>
      </c>
      <c r="EE195" t="e">
        <f>'All regions'!B5418+"$F;@!)Ap"</f>
        <v>#VALUE!</v>
      </c>
      <c r="EF195" t="e">
        <f>'All regions'!C5418+"$F;@!)Aq"</f>
        <v>#VALUE!</v>
      </c>
      <c r="EG195" t="e">
        <f>'All regions'!D5418+"$F;@!)Ar"</f>
        <v>#VALUE!</v>
      </c>
      <c r="EH195" t="e">
        <f>'All regions'!E5418+"$F;@!)As"</f>
        <v>#VALUE!</v>
      </c>
      <c r="EI195" t="e">
        <f>'All regions'!F5418+"$F;@!)At"</f>
        <v>#VALUE!</v>
      </c>
      <c r="EJ195" t="e">
        <f>'All regions'!G5418+"$F;@!)Au"</f>
        <v>#VALUE!</v>
      </c>
      <c r="EK195" t="e">
        <f>'All regions'!H5418+"$F;@!)Av"</f>
        <v>#VALUE!</v>
      </c>
      <c r="EL195" t="e">
        <f>'All regions'!I5418+"$F;@!)Aw"</f>
        <v>#VALUE!</v>
      </c>
      <c r="EM195" t="e">
        <f>'All regions'!A5419+"$F;@!)Ax"</f>
        <v>#VALUE!</v>
      </c>
      <c r="EN195" t="e">
        <f>'All regions'!B5419+"$F;@!)Ay"</f>
        <v>#VALUE!</v>
      </c>
      <c r="EO195" t="e">
        <f>'All regions'!C5419+"$F;@!)Az"</f>
        <v>#VALUE!</v>
      </c>
      <c r="EP195" t="e">
        <f>'All regions'!D5419+"$F;@!)A{"</f>
        <v>#VALUE!</v>
      </c>
      <c r="EQ195" t="e">
        <f>'All regions'!E5419+"$F;@!)A|"</f>
        <v>#VALUE!</v>
      </c>
      <c r="ER195" t="e">
        <f>'All regions'!F5419+"$F;@!)A}"</f>
        <v>#VALUE!</v>
      </c>
      <c r="ES195" t="e">
        <f>'All regions'!G5419+"$F;@!)A~"</f>
        <v>#VALUE!</v>
      </c>
      <c r="ET195" t="e">
        <f>'All regions'!H5419+"$F;@!)B#"</f>
        <v>#VALUE!</v>
      </c>
      <c r="EU195" t="e">
        <f>'All regions'!I5419+"$F;@!)B$"</f>
        <v>#VALUE!</v>
      </c>
      <c r="EV195" t="e">
        <f>'All regions'!A5420+"$F;@!)B%"</f>
        <v>#VALUE!</v>
      </c>
      <c r="EW195" t="e">
        <f>'All regions'!B5420+"$F;@!)B&amp;"</f>
        <v>#VALUE!</v>
      </c>
      <c r="EX195" t="e">
        <f>'All regions'!C5420+"$F;@!)B'"</f>
        <v>#VALUE!</v>
      </c>
      <c r="EY195" t="e">
        <f>'All regions'!D5420+"$F;@!)B("</f>
        <v>#VALUE!</v>
      </c>
      <c r="EZ195" t="e">
        <f>'All regions'!E5420+"$F;@!)B)"</f>
        <v>#VALUE!</v>
      </c>
      <c r="FA195" t="e">
        <f>'All regions'!F5420+"$F;@!)B."</f>
        <v>#VALUE!</v>
      </c>
      <c r="FB195" t="e">
        <f>'All regions'!G5420+"$F;@!)B/"</f>
        <v>#VALUE!</v>
      </c>
      <c r="FC195" t="e">
        <f>'All regions'!H5420+"$F;@!)B0"</f>
        <v>#VALUE!</v>
      </c>
      <c r="FD195" t="e">
        <f>'All regions'!I5420+"$F;@!)B1"</f>
        <v>#VALUE!</v>
      </c>
      <c r="FE195" t="e">
        <f>'All regions'!A5421+"$F;@!)B2"</f>
        <v>#VALUE!</v>
      </c>
      <c r="FF195" t="e">
        <f>'All regions'!B5421+"$F;@!)B3"</f>
        <v>#VALUE!</v>
      </c>
      <c r="FG195" t="e">
        <f>'All regions'!C5421+"$F;@!)B4"</f>
        <v>#VALUE!</v>
      </c>
      <c r="FH195" t="e">
        <f>'All regions'!D5421+"$F;@!)B5"</f>
        <v>#VALUE!</v>
      </c>
      <c r="FI195" t="e">
        <f>'All regions'!E5421+"$F;@!)B6"</f>
        <v>#VALUE!</v>
      </c>
      <c r="FJ195" t="e">
        <f>'All regions'!F5421+"$F;@!)B7"</f>
        <v>#VALUE!</v>
      </c>
      <c r="FK195" t="e">
        <f>'All regions'!G5421+"$F;@!)B8"</f>
        <v>#VALUE!</v>
      </c>
      <c r="FL195" t="e">
        <f>'All regions'!H5421+"$F;@!)B9"</f>
        <v>#VALUE!</v>
      </c>
      <c r="FM195" t="e">
        <f>'All regions'!I5421+"$F;@!)B:"</f>
        <v>#VALUE!</v>
      </c>
      <c r="FN195" t="e">
        <f>'All regions'!A5422+"$F;@!)B;"</f>
        <v>#VALUE!</v>
      </c>
      <c r="FO195" t="e">
        <f>'All regions'!B5422+"$F;@!)B&lt;"</f>
        <v>#VALUE!</v>
      </c>
      <c r="FP195" t="e">
        <f>'All regions'!C5422+"$F;@!)B="</f>
        <v>#VALUE!</v>
      </c>
      <c r="FQ195" t="e">
        <f>'All regions'!D5422+"$F;@!)B&gt;"</f>
        <v>#VALUE!</v>
      </c>
      <c r="FR195" t="e">
        <f>'All regions'!E5422+"$F;@!)B?"</f>
        <v>#VALUE!</v>
      </c>
      <c r="FS195" t="e">
        <f>'All regions'!F5422+"$F;@!)B@"</f>
        <v>#VALUE!</v>
      </c>
      <c r="FT195" t="e">
        <f>'All regions'!G5422+"$F;@!)BA"</f>
        <v>#VALUE!</v>
      </c>
      <c r="FU195" t="e">
        <f>'All regions'!H5422+"$F;@!)BB"</f>
        <v>#VALUE!</v>
      </c>
      <c r="FV195" t="e">
        <f>'All regions'!I5422+"$F;@!)BC"</f>
        <v>#VALUE!</v>
      </c>
      <c r="FW195" t="e">
        <f>'All regions'!A5423+"$F;@!)BD"</f>
        <v>#VALUE!</v>
      </c>
      <c r="FX195" t="e">
        <f>'All regions'!B5423+"$F;@!)BE"</f>
        <v>#VALUE!</v>
      </c>
      <c r="FY195" t="e">
        <f>'All regions'!C5423+"$F;@!)BF"</f>
        <v>#VALUE!</v>
      </c>
      <c r="FZ195" t="e">
        <f>'All regions'!D5423+"$F;@!)BG"</f>
        <v>#VALUE!</v>
      </c>
      <c r="GA195" t="e">
        <f>'All regions'!E5423+"$F;@!)BH"</f>
        <v>#VALUE!</v>
      </c>
      <c r="GB195" t="e">
        <f>'All regions'!F5423+"$F;@!)BI"</f>
        <v>#VALUE!</v>
      </c>
      <c r="GC195" t="e">
        <f>'All regions'!G5423+"$F;@!)BJ"</f>
        <v>#VALUE!</v>
      </c>
      <c r="GD195" t="e">
        <f>'All regions'!H5423+"$F;@!)BK"</f>
        <v>#VALUE!</v>
      </c>
      <c r="GE195" t="e">
        <f>'All regions'!I5423+"$F;@!)BL"</f>
        <v>#VALUE!</v>
      </c>
      <c r="GF195" t="e">
        <f>'All regions'!A5424+"$F;@!)BM"</f>
        <v>#VALUE!</v>
      </c>
      <c r="GG195" t="e">
        <f>'All regions'!B5424+"$F;@!)BN"</f>
        <v>#VALUE!</v>
      </c>
      <c r="GH195" t="e">
        <f>'All regions'!C5424+"$F;@!)BO"</f>
        <v>#VALUE!</v>
      </c>
      <c r="GI195" t="e">
        <f>'All regions'!D5424+"$F;@!)BP"</f>
        <v>#VALUE!</v>
      </c>
      <c r="GJ195" t="e">
        <f>'All regions'!E5424+"$F;@!)BQ"</f>
        <v>#VALUE!</v>
      </c>
      <c r="GK195" t="e">
        <f>'All regions'!F5424+"$F;@!)BR"</f>
        <v>#VALUE!</v>
      </c>
      <c r="GL195" t="e">
        <f>'All regions'!G5424+"$F;@!)BS"</f>
        <v>#VALUE!</v>
      </c>
      <c r="GM195" t="e">
        <f>'All regions'!H5424+"$F;@!)BT"</f>
        <v>#VALUE!</v>
      </c>
      <c r="GN195" t="e">
        <f>'All regions'!I5424+"$F;@!)BU"</f>
        <v>#VALUE!</v>
      </c>
      <c r="GO195" t="e">
        <f>'All regions'!A5425+"$F;@!)BV"</f>
        <v>#VALUE!</v>
      </c>
      <c r="GP195" t="e">
        <f>'All regions'!B5425+"$F;@!)BW"</f>
        <v>#VALUE!</v>
      </c>
      <c r="GQ195" t="e">
        <f>'All regions'!C5425+"$F;@!)BX"</f>
        <v>#VALUE!</v>
      </c>
      <c r="GR195" t="e">
        <f>'All regions'!D5425+"$F;@!)BY"</f>
        <v>#VALUE!</v>
      </c>
      <c r="GS195" t="e">
        <f>'All regions'!E5425+"$F;@!)BZ"</f>
        <v>#VALUE!</v>
      </c>
      <c r="GT195" t="e">
        <f>'All regions'!F5425+"$F;@!)B["</f>
        <v>#VALUE!</v>
      </c>
      <c r="GU195" t="e">
        <f>'All regions'!G5425+"$F;@!)B\"</f>
        <v>#VALUE!</v>
      </c>
      <c r="GV195" t="e">
        <f>'All regions'!H5425+"$F;@!)B]"</f>
        <v>#VALUE!</v>
      </c>
      <c r="GW195" t="e">
        <f>'All regions'!I5425+"$F;@!)B^"</f>
        <v>#VALUE!</v>
      </c>
      <c r="GX195" t="e">
        <f>'All regions'!A5426+"$F;@!)B_"</f>
        <v>#VALUE!</v>
      </c>
      <c r="GY195" t="e">
        <f>'All regions'!B5426+"$F;@!)B`"</f>
        <v>#VALUE!</v>
      </c>
      <c r="GZ195" t="e">
        <f>'All regions'!C5426+"$F;@!)Ba"</f>
        <v>#VALUE!</v>
      </c>
      <c r="HA195" t="e">
        <f>'All regions'!D5426+"$F;@!)Bb"</f>
        <v>#VALUE!</v>
      </c>
      <c r="HB195" t="e">
        <f>'All regions'!E5426+"$F;@!)Bc"</f>
        <v>#VALUE!</v>
      </c>
      <c r="HC195" t="e">
        <f>'All regions'!F5426+"$F;@!)Bd"</f>
        <v>#VALUE!</v>
      </c>
      <c r="HD195" t="e">
        <f>'All regions'!G5426+"$F;@!)Be"</f>
        <v>#VALUE!</v>
      </c>
      <c r="HE195" t="e">
        <f>'All regions'!H5426+"$F;@!)Bf"</f>
        <v>#VALUE!</v>
      </c>
      <c r="HF195" t="e">
        <f>'All regions'!I5426+"$F;@!)Bg"</f>
        <v>#VALUE!</v>
      </c>
      <c r="HG195" t="e">
        <f>'All regions'!A5427+"$F;@!)Bh"</f>
        <v>#VALUE!</v>
      </c>
      <c r="HH195" t="e">
        <f>'All regions'!B5427+"$F;@!)Bi"</f>
        <v>#VALUE!</v>
      </c>
      <c r="HI195" t="e">
        <f>'All regions'!C5427+"$F;@!)Bj"</f>
        <v>#VALUE!</v>
      </c>
      <c r="HJ195" t="e">
        <f>'All regions'!D5427+"$F;@!)Bk"</f>
        <v>#VALUE!</v>
      </c>
      <c r="HK195" t="e">
        <f>'All regions'!E5427+"$F;@!)Bl"</f>
        <v>#VALUE!</v>
      </c>
      <c r="HL195" t="e">
        <f>'All regions'!F5427+"$F;@!)Bm"</f>
        <v>#VALUE!</v>
      </c>
      <c r="HM195" t="e">
        <f>'All regions'!G5427+"$F;@!)Bn"</f>
        <v>#VALUE!</v>
      </c>
      <c r="HN195" t="e">
        <f>'All regions'!H5427+"$F;@!)Bo"</f>
        <v>#VALUE!</v>
      </c>
      <c r="HO195" t="e">
        <f>'All regions'!I5427+"$F;@!)Bp"</f>
        <v>#VALUE!</v>
      </c>
      <c r="HP195" t="e">
        <f>'All regions'!A5428+"$F;@!)Bq"</f>
        <v>#VALUE!</v>
      </c>
      <c r="HQ195" t="e">
        <f>'All regions'!B5428+"$F;@!)Br"</f>
        <v>#VALUE!</v>
      </c>
      <c r="HR195" t="e">
        <f>'All regions'!C5428+"$F;@!)Bs"</f>
        <v>#VALUE!</v>
      </c>
      <c r="HS195" t="e">
        <f>'All regions'!D5428+"$F;@!)Bt"</f>
        <v>#VALUE!</v>
      </c>
      <c r="HT195" t="e">
        <f>'All regions'!E5428+"$F;@!)Bu"</f>
        <v>#VALUE!</v>
      </c>
      <c r="HU195" t="e">
        <f>'All regions'!F5428+"$F;@!)Bv"</f>
        <v>#VALUE!</v>
      </c>
      <c r="HV195" t="e">
        <f>'All regions'!G5428+"$F;@!)Bw"</f>
        <v>#VALUE!</v>
      </c>
      <c r="HW195" t="e">
        <f>'All regions'!H5428+"$F;@!)Bx"</f>
        <v>#VALUE!</v>
      </c>
      <c r="HX195" t="e">
        <f>'All regions'!I5428+"$F;@!)By"</f>
        <v>#VALUE!</v>
      </c>
      <c r="HY195" t="e">
        <f>'All regions'!A5429+"$F;@!)Bz"</f>
        <v>#VALUE!</v>
      </c>
      <c r="HZ195" t="e">
        <f>'All regions'!B5429+"$F;@!)B{"</f>
        <v>#VALUE!</v>
      </c>
      <c r="IA195" t="e">
        <f>'All regions'!C5429+"$F;@!)B|"</f>
        <v>#VALUE!</v>
      </c>
      <c r="IB195" t="e">
        <f>'All regions'!D5429+"$F;@!)B}"</f>
        <v>#VALUE!</v>
      </c>
      <c r="IC195" t="e">
        <f>'All regions'!E5429+"$F;@!)B~"</f>
        <v>#VALUE!</v>
      </c>
      <c r="ID195" t="e">
        <f>'All regions'!F5429+"$F;@!)C#"</f>
        <v>#VALUE!</v>
      </c>
      <c r="IE195" t="e">
        <f>'All regions'!G5429+"$F;@!)C$"</f>
        <v>#VALUE!</v>
      </c>
      <c r="IF195" t="e">
        <f>'All regions'!H5429+"$F;@!)C%"</f>
        <v>#VALUE!</v>
      </c>
      <c r="IG195" t="e">
        <f>'All regions'!I5429+"$F;@!)C&amp;"</f>
        <v>#VALUE!</v>
      </c>
      <c r="IH195" t="e">
        <f>'All regions'!A5430+"$F;@!)C'"</f>
        <v>#VALUE!</v>
      </c>
      <c r="II195" t="e">
        <f>'All regions'!B5430+"$F;@!)C("</f>
        <v>#VALUE!</v>
      </c>
      <c r="IJ195" t="e">
        <f>'All regions'!C5430+"$F;@!)C)"</f>
        <v>#VALUE!</v>
      </c>
      <c r="IK195" t="e">
        <f>'All regions'!D5430+"$F;@!)C."</f>
        <v>#VALUE!</v>
      </c>
      <c r="IL195" t="e">
        <f>'All regions'!E5430+"$F;@!)C/"</f>
        <v>#VALUE!</v>
      </c>
      <c r="IM195" t="e">
        <f>'All regions'!F5430+"$F;@!)C0"</f>
        <v>#VALUE!</v>
      </c>
      <c r="IN195" t="e">
        <f>'All regions'!G5430+"$F;@!)C1"</f>
        <v>#VALUE!</v>
      </c>
      <c r="IO195" t="e">
        <f>'All regions'!H5430+"$F;@!)C2"</f>
        <v>#VALUE!</v>
      </c>
      <c r="IP195" t="e">
        <f>'All regions'!I5430+"$F;@!)C3"</f>
        <v>#VALUE!</v>
      </c>
      <c r="IQ195" t="e">
        <f>'All regions'!A5431+"$F;@!)C4"</f>
        <v>#VALUE!</v>
      </c>
      <c r="IR195" t="e">
        <f>'All regions'!B5431+"$F;@!)C5"</f>
        <v>#VALUE!</v>
      </c>
      <c r="IS195" t="e">
        <f>'All regions'!C5431+"$F;@!)C6"</f>
        <v>#VALUE!</v>
      </c>
      <c r="IT195" t="e">
        <f>'All regions'!D5431+"$F;@!)C7"</f>
        <v>#VALUE!</v>
      </c>
      <c r="IU195" t="e">
        <f>'All regions'!E5431+"$F;@!)C8"</f>
        <v>#VALUE!</v>
      </c>
      <c r="IV195" t="e">
        <f>'All regions'!F5431+"$F;@!)C9"</f>
        <v>#VALUE!</v>
      </c>
    </row>
    <row r="196" spans="6:256" x14ac:dyDescent="0.35">
      <c r="F196" t="e">
        <f>'All regions'!G5431+"$F;@!)C:"</f>
        <v>#VALUE!</v>
      </c>
      <c r="G196" t="e">
        <f>'All regions'!H5431+"$F;@!)C;"</f>
        <v>#VALUE!</v>
      </c>
      <c r="H196" t="e">
        <f>'All regions'!I5431+"$F;@!)C&lt;"</f>
        <v>#VALUE!</v>
      </c>
      <c r="I196" t="e">
        <f>'All regions'!A5432+"$F;@!)C="</f>
        <v>#VALUE!</v>
      </c>
      <c r="J196" t="e">
        <f>'All regions'!B5432+"$F;@!)C&gt;"</f>
        <v>#VALUE!</v>
      </c>
      <c r="K196" t="e">
        <f>'All regions'!C5432+"$F;@!)C?"</f>
        <v>#VALUE!</v>
      </c>
      <c r="L196" t="e">
        <f>'All regions'!D5432+"$F;@!)C@"</f>
        <v>#VALUE!</v>
      </c>
      <c r="M196" t="e">
        <f>'All regions'!E5432+"$F;@!)CA"</f>
        <v>#VALUE!</v>
      </c>
      <c r="N196" t="e">
        <f>'All regions'!F5432+"$F;@!)CB"</f>
        <v>#VALUE!</v>
      </c>
      <c r="O196" t="e">
        <f>'All regions'!G5432+"$F;@!)CC"</f>
        <v>#VALUE!</v>
      </c>
      <c r="P196" t="e">
        <f>'All regions'!H5432+"$F;@!)CD"</f>
        <v>#VALUE!</v>
      </c>
      <c r="Q196" t="e">
        <f>'All regions'!I5432+"$F;@!)CE"</f>
        <v>#VALUE!</v>
      </c>
      <c r="R196" t="e">
        <f>'All regions'!A5433+"$F;@!)CF"</f>
        <v>#VALUE!</v>
      </c>
      <c r="S196" t="e">
        <f>'All regions'!B5433+"$F;@!)CG"</f>
        <v>#VALUE!</v>
      </c>
      <c r="T196" t="e">
        <f>'All regions'!C5433+"$F;@!)CH"</f>
        <v>#VALUE!</v>
      </c>
      <c r="U196" t="e">
        <f>'All regions'!D5433+"$F;@!)CI"</f>
        <v>#VALUE!</v>
      </c>
      <c r="V196" t="e">
        <f>'All regions'!E5433+"$F;@!)CJ"</f>
        <v>#VALUE!</v>
      </c>
      <c r="W196" t="e">
        <f>'All regions'!F5433+"$F;@!)CK"</f>
        <v>#VALUE!</v>
      </c>
      <c r="X196" t="e">
        <f>'All regions'!G5433+"$F;@!)CL"</f>
        <v>#VALUE!</v>
      </c>
      <c r="Y196" t="e">
        <f>'All regions'!H5433+"$F;@!)CM"</f>
        <v>#VALUE!</v>
      </c>
      <c r="Z196" t="e">
        <f>'All regions'!I5433+"$F;@!)CN"</f>
        <v>#VALUE!</v>
      </c>
      <c r="AA196" t="e">
        <f>'All regions'!A5434+"$F;@!)CO"</f>
        <v>#VALUE!</v>
      </c>
      <c r="AB196" t="e">
        <f>'All regions'!B5434+"$F;@!)CP"</f>
        <v>#VALUE!</v>
      </c>
      <c r="AC196" t="e">
        <f>'All regions'!C5434+"$F;@!)CQ"</f>
        <v>#VALUE!</v>
      </c>
      <c r="AD196" t="e">
        <f>'All regions'!D5434+"$F;@!)CR"</f>
        <v>#VALUE!</v>
      </c>
      <c r="AE196" t="e">
        <f>'All regions'!E5434+"$F;@!)CS"</f>
        <v>#VALUE!</v>
      </c>
      <c r="AF196" t="e">
        <f>'All regions'!F5434+"$F;@!)CT"</f>
        <v>#VALUE!</v>
      </c>
      <c r="AG196" t="e">
        <f>'All regions'!G5434+"$F;@!)CU"</f>
        <v>#VALUE!</v>
      </c>
      <c r="AH196" t="e">
        <f>'All regions'!H5434+"$F;@!)CV"</f>
        <v>#VALUE!</v>
      </c>
      <c r="AI196" t="e">
        <f>'All regions'!I5434+"$F;@!)CW"</f>
        <v>#VALUE!</v>
      </c>
      <c r="AJ196" t="e">
        <f>'All regions'!A5435+"$F;@!)CX"</f>
        <v>#VALUE!</v>
      </c>
      <c r="AK196" t="e">
        <f>'All regions'!B5435+"$F;@!)CY"</f>
        <v>#VALUE!</v>
      </c>
      <c r="AL196" t="e">
        <f>'All regions'!C5435+"$F;@!)CZ"</f>
        <v>#VALUE!</v>
      </c>
      <c r="AM196" t="e">
        <f>'All regions'!D5435+"$F;@!)C["</f>
        <v>#VALUE!</v>
      </c>
      <c r="AN196" t="e">
        <f>'All regions'!E5435+"$F;@!)C\"</f>
        <v>#VALUE!</v>
      </c>
      <c r="AO196" t="e">
        <f>'All regions'!F5435+"$F;@!)C]"</f>
        <v>#VALUE!</v>
      </c>
      <c r="AP196" t="e">
        <f>'All regions'!G5435+"$F;@!)C^"</f>
        <v>#VALUE!</v>
      </c>
      <c r="AQ196" t="e">
        <f>'All regions'!H5435+"$F;@!)C_"</f>
        <v>#VALUE!</v>
      </c>
      <c r="AR196" t="e">
        <f>'All regions'!I5435+"$F;@!)C`"</f>
        <v>#VALUE!</v>
      </c>
      <c r="AS196" t="e">
        <f>'All regions'!A5436+"$F;@!)Ca"</f>
        <v>#VALUE!</v>
      </c>
      <c r="AT196" t="e">
        <f>'All regions'!B5436+"$F;@!)Cb"</f>
        <v>#VALUE!</v>
      </c>
      <c r="AU196" t="e">
        <f>'All regions'!C5436+"$F;@!)Cc"</f>
        <v>#VALUE!</v>
      </c>
      <c r="AV196" t="e">
        <f>'All regions'!D5436+"$F;@!)Cd"</f>
        <v>#VALUE!</v>
      </c>
      <c r="AW196" t="e">
        <f>'All regions'!E5436+"$F;@!)Ce"</f>
        <v>#VALUE!</v>
      </c>
      <c r="AX196" t="e">
        <f>'All regions'!F5436+"$F;@!)Cf"</f>
        <v>#VALUE!</v>
      </c>
      <c r="AY196" t="e">
        <f>'All regions'!G5436+"$F;@!)Cg"</f>
        <v>#VALUE!</v>
      </c>
      <c r="AZ196" t="e">
        <f>'All regions'!H5436+"$F;@!)Ch"</f>
        <v>#VALUE!</v>
      </c>
      <c r="BA196" t="e">
        <f>'All regions'!I5436+"$F;@!)Ci"</f>
        <v>#VALUE!</v>
      </c>
      <c r="BB196" t="e">
        <f>'All regions'!A5437+"$F;@!)Cj"</f>
        <v>#VALUE!</v>
      </c>
      <c r="BC196" t="e">
        <f>'All regions'!B5437+"$F;@!)Ck"</f>
        <v>#VALUE!</v>
      </c>
      <c r="BD196" t="e">
        <f>'All regions'!C5437+"$F;@!)Cl"</f>
        <v>#VALUE!</v>
      </c>
      <c r="BE196" t="e">
        <f>'All regions'!D5437+"$F;@!)Cm"</f>
        <v>#VALUE!</v>
      </c>
      <c r="BF196" t="e">
        <f>'All regions'!E5437+"$F;@!)Cn"</f>
        <v>#VALUE!</v>
      </c>
      <c r="BG196" t="e">
        <f>'All regions'!F5437+"$F;@!)Co"</f>
        <v>#VALUE!</v>
      </c>
      <c r="BH196" t="e">
        <f>'All regions'!G5437+"$F;@!)Cp"</f>
        <v>#VALUE!</v>
      </c>
      <c r="BI196" t="e">
        <f>'All regions'!H5437+"$F;@!)Cq"</f>
        <v>#VALUE!</v>
      </c>
      <c r="BJ196" t="e">
        <f>'All regions'!I5437+"$F;@!)Cr"</f>
        <v>#VALUE!</v>
      </c>
      <c r="BK196" t="e">
        <f>'All regions'!A5438+"$F;@!)Cs"</f>
        <v>#VALUE!</v>
      </c>
      <c r="BL196" t="e">
        <f>'All regions'!B5438+"$F;@!)Ct"</f>
        <v>#VALUE!</v>
      </c>
      <c r="BM196" t="e">
        <f>'All regions'!C5438+"$F;@!)Cu"</f>
        <v>#VALUE!</v>
      </c>
      <c r="BN196" t="e">
        <f>'All regions'!D5438+"$F;@!)Cv"</f>
        <v>#VALUE!</v>
      </c>
      <c r="BO196" t="e">
        <f>'All regions'!E5438+"$F;@!)Cw"</f>
        <v>#VALUE!</v>
      </c>
      <c r="BP196" t="e">
        <f>'All regions'!F5438+"$F;@!)Cx"</f>
        <v>#VALUE!</v>
      </c>
      <c r="BQ196" t="e">
        <f>'All regions'!G5438+"$F;@!)Cy"</f>
        <v>#VALUE!</v>
      </c>
      <c r="BR196" t="e">
        <f>'All regions'!H5438+"$F;@!)Cz"</f>
        <v>#VALUE!</v>
      </c>
      <c r="BS196" t="e">
        <f>'All regions'!I5438+"$F;@!)C{"</f>
        <v>#VALUE!</v>
      </c>
      <c r="BT196" t="e">
        <f>'All regions'!A5439+"$F;@!)C|"</f>
        <v>#VALUE!</v>
      </c>
      <c r="BU196" t="e">
        <f>'All regions'!B5439+"$F;@!)C}"</f>
        <v>#VALUE!</v>
      </c>
      <c r="BV196" t="e">
        <f>'All regions'!C5439+"$F;@!)C~"</f>
        <v>#VALUE!</v>
      </c>
      <c r="BW196" t="e">
        <f>'All regions'!D5439+"$F;@!)D#"</f>
        <v>#VALUE!</v>
      </c>
      <c r="BX196" t="e">
        <f>'All regions'!E5439+"$F;@!)D$"</f>
        <v>#VALUE!</v>
      </c>
      <c r="BY196" t="e">
        <f>'All regions'!F5439+"$F;@!)D%"</f>
        <v>#VALUE!</v>
      </c>
      <c r="BZ196" t="e">
        <f>'All regions'!G5439+"$F;@!)D&amp;"</f>
        <v>#VALUE!</v>
      </c>
      <c r="CA196" t="e">
        <f>'All regions'!H5439+"$F;@!)D'"</f>
        <v>#VALUE!</v>
      </c>
      <c r="CB196" t="e">
        <f>'All regions'!I5439+"$F;@!)D("</f>
        <v>#VALUE!</v>
      </c>
      <c r="CC196" t="e">
        <f>'All regions'!A5440+"$F;@!)D)"</f>
        <v>#VALUE!</v>
      </c>
      <c r="CD196" t="e">
        <f>'All regions'!B5440+"$F;@!)D."</f>
        <v>#VALUE!</v>
      </c>
      <c r="CE196" t="e">
        <f>'All regions'!C5440+"$F;@!)D/"</f>
        <v>#VALUE!</v>
      </c>
      <c r="CF196" t="e">
        <f>'All regions'!D5440+"$F;@!)D0"</f>
        <v>#VALUE!</v>
      </c>
      <c r="CG196" t="e">
        <f>'All regions'!E5440+"$F;@!)D1"</f>
        <v>#VALUE!</v>
      </c>
      <c r="CH196" t="e">
        <f>'All regions'!F5440+"$F;@!)D2"</f>
        <v>#VALUE!</v>
      </c>
      <c r="CI196" t="e">
        <f>'All regions'!G5440+"$F;@!)D3"</f>
        <v>#VALUE!</v>
      </c>
      <c r="CJ196" t="e">
        <f>'All regions'!H5440+"$F;@!)D4"</f>
        <v>#VALUE!</v>
      </c>
      <c r="CK196" t="e">
        <f>'All regions'!I5440+"$F;@!)D5"</f>
        <v>#VALUE!</v>
      </c>
      <c r="CL196" t="e">
        <f>'All regions'!A5441+"$F;@!)D6"</f>
        <v>#VALUE!</v>
      </c>
      <c r="CM196" t="e">
        <f>'All regions'!B5441+"$F;@!)D7"</f>
        <v>#VALUE!</v>
      </c>
      <c r="CN196" t="e">
        <f>'All regions'!C5441+"$F;@!)D8"</f>
        <v>#VALUE!</v>
      </c>
      <c r="CO196" t="e">
        <f>'All regions'!D5441+"$F;@!)D9"</f>
        <v>#VALUE!</v>
      </c>
      <c r="CP196" t="e">
        <f>'All regions'!E5441+"$F;@!)D:"</f>
        <v>#VALUE!</v>
      </c>
      <c r="CQ196" t="e">
        <f>'All regions'!F5441+"$F;@!)D;"</f>
        <v>#VALUE!</v>
      </c>
      <c r="CR196" t="e">
        <f>'All regions'!G5441+"$F;@!)D&lt;"</f>
        <v>#VALUE!</v>
      </c>
      <c r="CS196" t="e">
        <f>'All regions'!H5441+"$F;@!)D="</f>
        <v>#VALUE!</v>
      </c>
      <c r="CT196" t="e">
        <f>'All regions'!I5441+"$F;@!)D&gt;"</f>
        <v>#VALUE!</v>
      </c>
      <c r="CU196" t="e">
        <f>'All regions'!A5442+"$F;@!)D?"</f>
        <v>#VALUE!</v>
      </c>
      <c r="CV196" t="e">
        <f>'All regions'!B5442+"$F;@!)D@"</f>
        <v>#VALUE!</v>
      </c>
      <c r="CW196" t="e">
        <f>'All regions'!C5442+"$F;@!)DA"</f>
        <v>#VALUE!</v>
      </c>
      <c r="CX196" t="e">
        <f>'All regions'!D5442+"$F;@!)DB"</f>
        <v>#VALUE!</v>
      </c>
      <c r="CY196" t="e">
        <f>'All regions'!E5442+"$F;@!)DC"</f>
        <v>#VALUE!</v>
      </c>
      <c r="CZ196" t="e">
        <f>'All regions'!F5442+"$F;@!)DD"</f>
        <v>#VALUE!</v>
      </c>
      <c r="DA196" t="e">
        <f>'All regions'!G5442+"$F;@!)DE"</f>
        <v>#VALUE!</v>
      </c>
      <c r="DB196" t="e">
        <f>'All regions'!H5442+"$F;@!)DF"</f>
        <v>#VALUE!</v>
      </c>
      <c r="DC196" t="e">
        <f>'All regions'!I5442+"$F;@!)DG"</f>
        <v>#VALUE!</v>
      </c>
      <c r="DD196" t="e">
        <f>'All regions'!A5443+"$F;@!)DH"</f>
        <v>#VALUE!</v>
      </c>
      <c r="DE196" t="e">
        <f>'All regions'!B5443+"$F;@!)DI"</f>
        <v>#VALUE!</v>
      </c>
      <c r="DF196" t="e">
        <f>'All regions'!C5443+"$F;@!)DJ"</f>
        <v>#VALUE!</v>
      </c>
      <c r="DG196" t="e">
        <f>'All regions'!D5443+"$F;@!)DK"</f>
        <v>#VALUE!</v>
      </c>
      <c r="DH196" t="e">
        <f>'All regions'!E5443+"$F;@!)DL"</f>
        <v>#VALUE!</v>
      </c>
      <c r="DI196" t="e">
        <f>'All regions'!F5443+"$F;@!)DM"</f>
        <v>#VALUE!</v>
      </c>
      <c r="DJ196" t="e">
        <f>'All regions'!G5443+"$F;@!)DN"</f>
        <v>#VALUE!</v>
      </c>
      <c r="DK196" t="e">
        <f>'All regions'!H5443+"$F;@!)DO"</f>
        <v>#VALUE!</v>
      </c>
      <c r="DL196" t="e">
        <f>'All regions'!I5443+"$F;@!)DP"</f>
        <v>#VALUE!</v>
      </c>
      <c r="DM196" t="e">
        <f>'All regions'!A5444+"$F;@!)DQ"</f>
        <v>#VALUE!</v>
      </c>
      <c r="DN196" t="e">
        <f>'All regions'!B5444+"$F;@!)DR"</f>
        <v>#VALUE!</v>
      </c>
      <c r="DO196" t="e">
        <f>'All regions'!C5444+"$F;@!)DS"</f>
        <v>#VALUE!</v>
      </c>
      <c r="DP196" t="e">
        <f>'All regions'!D5444+"$F;@!)DT"</f>
        <v>#VALUE!</v>
      </c>
      <c r="DQ196" t="e">
        <f>'All regions'!E5444+"$F;@!)DU"</f>
        <v>#VALUE!</v>
      </c>
      <c r="DR196" t="e">
        <f>'All regions'!F5444+"$F;@!)DV"</f>
        <v>#VALUE!</v>
      </c>
      <c r="DS196" t="e">
        <f>'All regions'!G5444+"$F;@!)DW"</f>
        <v>#VALUE!</v>
      </c>
      <c r="DT196" t="e">
        <f>'All regions'!H5444+"$F;@!)DX"</f>
        <v>#VALUE!</v>
      </c>
      <c r="DU196" t="e">
        <f>'All regions'!I5444+"$F;@!)DY"</f>
        <v>#VALUE!</v>
      </c>
      <c r="DV196" t="e">
        <f>'All regions'!A5445+"$F;@!)DZ"</f>
        <v>#VALUE!</v>
      </c>
      <c r="DW196" t="e">
        <f>'All regions'!B5445+"$F;@!)D["</f>
        <v>#VALUE!</v>
      </c>
      <c r="DX196" t="e">
        <f>'All regions'!C5445+"$F;@!)D\"</f>
        <v>#VALUE!</v>
      </c>
      <c r="DY196" t="e">
        <f>'All regions'!D5445+"$F;@!)D]"</f>
        <v>#VALUE!</v>
      </c>
      <c r="DZ196" t="e">
        <f>'All regions'!E5445+"$F;@!)D^"</f>
        <v>#VALUE!</v>
      </c>
      <c r="EA196" t="e">
        <f>'All regions'!F5445+"$F;@!)D_"</f>
        <v>#VALUE!</v>
      </c>
      <c r="EB196" t="e">
        <f>'All regions'!G5445+"$F;@!)D`"</f>
        <v>#VALUE!</v>
      </c>
      <c r="EC196" t="e">
        <f>'All regions'!H5445+"$F;@!)Da"</f>
        <v>#VALUE!</v>
      </c>
      <c r="ED196" t="e">
        <f>'All regions'!I5445+"$F;@!)Db"</f>
        <v>#VALUE!</v>
      </c>
      <c r="EE196" t="e">
        <f>'All regions'!A5446+"$F;@!)Dc"</f>
        <v>#VALUE!</v>
      </c>
      <c r="EF196" t="e">
        <f>'All regions'!B5446+"$F;@!)Dd"</f>
        <v>#VALUE!</v>
      </c>
      <c r="EG196" t="e">
        <f>'All regions'!C5446+"$F;@!)De"</f>
        <v>#VALUE!</v>
      </c>
      <c r="EH196" t="e">
        <f>'All regions'!D5446+"$F;@!)Df"</f>
        <v>#VALUE!</v>
      </c>
      <c r="EI196" t="e">
        <f>'All regions'!E5446+"$F;@!)Dg"</f>
        <v>#VALUE!</v>
      </c>
      <c r="EJ196" t="e">
        <f>'All regions'!F5446+"$F;@!)Dh"</f>
        <v>#VALUE!</v>
      </c>
      <c r="EK196" t="e">
        <f>'All regions'!G5446+"$F;@!)Di"</f>
        <v>#VALUE!</v>
      </c>
      <c r="EL196" t="e">
        <f>'All regions'!H5446+"$F;@!)Dj"</f>
        <v>#VALUE!</v>
      </c>
      <c r="EM196" t="e">
        <f>'All regions'!I5446+"$F;@!)Dk"</f>
        <v>#VALUE!</v>
      </c>
      <c r="EN196" t="e">
        <f>'All regions'!A5447+"$F;@!)Dl"</f>
        <v>#VALUE!</v>
      </c>
      <c r="EO196" t="e">
        <f>'All regions'!B5447+"$F;@!)Dm"</f>
        <v>#VALUE!</v>
      </c>
      <c r="EP196" t="e">
        <f>'All regions'!C5447+"$F;@!)Dn"</f>
        <v>#VALUE!</v>
      </c>
      <c r="EQ196" t="e">
        <f>'All regions'!D5447+"$F;@!)Do"</f>
        <v>#VALUE!</v>
      </c>
      <c r="ER196" t="e">
        <f>'All regions'!E5447+"$F;@!)Dp"</f>
        <v>#VALUE!</v>
      </c>
      <c r="ES196" t="e">
        <f>'All regions'!F5447+"$F;@!)Dq"</f>
        <v>#VALUE!</v>
      </c>
      <c r="ET196" t="e">
        <f>'All regions'!G5447+"$F;@!)Dr"</f>
        <v>#VALUE!</v>
      </c>
      <c r="EU196" t="e">
        <f>'All regions'!H5447+"$F;@!)Ds"</f>
        <v>#VALUE!</v>
      </c>
      <c r="EV196" t="e">
        <f>'All regions'!I5447+"$F;@!)Dt"</f>
        <v>#VALUE!</v>
      </c>
      <c r="EW196" t="e">
        <f>'All regions'!A5448+"$F;@!)Du"</f>
        <v>#VALUE!</v>
      </c>
      <c r="EX196" t="e">
        <f>'All regions'!B5448+"$F;@!)Dv"</f>
        <v>#VALUE!</v>
      </c>
      <c r="EY196" t="e">
        <f>'All regions'!C5448+"$F;@!)Dw"</f>
        <v>#VALUE!</v>
      </c>
      <c r="EZ196" t="e">
        <f>'All regions'!D5448+"$F;@!)Dx"</f>
        <v>#VALUE!</v>
      </c>
      <c r="FA196" t="e">
        <f>'All regions'!E5448+"$F;@!)Dy"</f>
        <v>#VALUE!</v>
      </c>
      <c r="FB196" t="e">
        <f>'All regions'!F5448+"$F;@!)Dz"</f>
        <v>#VALUE!</v>
      </c>
      <c r="FC196" t="e">
        <f>'All regions'!G5448+"$F;@!)D{"</f>
        <v>#VALUE!</v>
      </c>
      <c r="FD196" t="e">
        <f>'All regions'!H5448+"$F;@!)D|"</f>
        <v>#VALUE!</v>
      </c>
      <c r="FE196" t="e">
        <f>'All regions'!I5448+"$F;@!)D}"</f>
        <v>#VALUE!</v>
      </c>
      <c r="FF196" t="e">
        <f>'All regions'!A5449+"$F;@!)D~"</f>
        <v>#VALUE!</v>
      </c>
      <c r="FG196" t="e">
        <f>'All regions'!B5449+"$F;@!)E#"</f>
        <v>#VALUE!</v>
      </c>
      <c r="FH196" t="e">
        <f>'All regions'!C5449+"$F;@!)E$"</f>
        <v>#VALUE!</v>
      </c>
      <c r="FI196" t="e">
        <f>'All regions'!D5449+"$F;@!)E%"</f>
        <v>#VALUE!</v>
      </c>
      <c r="FJ196" t="e">
        <f>'All regions'!E5449+"$F;@!)E&amp;"</f>
        <v>#VALUE!</v>
      </c>
      <c r="FK196" t="e">
        <f>'All regions'!F5449+"$F;@!)E'"</f>
        <v>#VALUE!</v>
      </c>
      <c r="FL196" t="e">
        <f>'All regions'!G5449+"$F;@!)E("</f>
        <v>#VALUE!</v>
      </c>
      <c r="FM196" t="e">
        <f>'All regions'!H5449+"$F;@!)E)"</f>
        <v>#VALUE!</v>
      </c>
      <c r="FN196" t="e">
        <f>'All regions'!I5449+"$F;@!)E."</f>
        <v>#VALUE!</v>
      </c>
      <c r="FO196" t="e">
        <f>'All regions'!A5450+"$F;@!)E/"</f>
        <v>#VALUE!</v>
      </c>
      <c r="FP196" t="e">
        <f>'All regions'!B5450+"$F;@!)E0"</f>
        <v>#VALUE!</v>
      </c>
      <c r="FQ196" t="e">
        <f>'All regions'!C5450+"$F;@!)E1"</f>
        <v>#VALUE!</v>
      </c>
      <c r="FR196" t="e">
        <f>'All regions'!D5450+"$F;@!)E2"</f>
        <v>#VALUE!</v>
      </c>
      <c r="FS196" t="e">
        <f>'All regions'!E5450+"$F;@!)E3"</f>
        <v>#VALUE!</v>
      </c>
      <c r="FT196" t="e">
        <f>'All regions'!F5450+"$F;@!)E4"</f>
        <v>#VALUE!</v>
      </c>
      <c r="FU196" t="e">
        <f>'All regions'!G5450+"$F;@!)E5"</f>
        <v>#VALUE!</v>
      </c>
      <c r="FV196" t="e">
        <f>'All regions'!H5450+"$F;@!)E6"</f>
        <v>#VALUE!</v>
      </c>
      <c r="FW196" t="e">
        <f>'All regions'!I5450+"$F;@!)E7"</f>
        <v>#VALUE!</v>
      </c>
      <c r="FX196" t="e">
        <f>'All regions'!A5451+"$F;@!)E8"</f>
        <v>#VALUE!</v>
      </c>
      <c r="FY196" t="e">
        <f>'All regions'!B5451+"$F;@!)E9"</f>
        <v>#VALUE!</v>
      </c>
      <c r="FZ196" t="e">
        <f>'All regions'!C5451+"$F;@!)E:"</f>
        <v>#VALUE!</v>
      </c>
      <c r="GA196" t="e">
        <f>'All regions'!D5451+"$F;@!)E;"</f>
        <v>#VALUE!</v>
      </c>
      <c r="GB196" t="e">
        <f>'All regions'!E5451+"$F;@!)E&lt;"</f>
        <v>#VALUE!</v>
      </c>
      <c r="GC196" t="e">
        <f>'All regions'!F5451+"$F;@!)E="</f>
        <v>#VALUE!</v>
      </c>
      <c r="GD196" t="e">
        <f>'All regions'!G5451+"$F;@!)E&gt;"</f>
        <v>#VALUE!</v>
      </c>
      <c r="GE196" t="e">
        <f>'All regions'!H5451+"$F;@!)E?"</f>
        <v>#VALUE!</v>
      </c>
      <c r="GF196" t="e">
        <f>'All regions'!I5451+"$F;@!)E@"</f>
        <v>#VALUE!</v>
      </c>
      <c r="GG196" t="e">
        <f>'All regions'!A5452+"$F;@!)EA"</f>
        <v>#VALUE!</v>
      </c>
      <c r="GH196" t="e">
        <f>'All regions'!B5452+"$F;@!)EB"</f>
        <v>#VALUE!</v>
      </c>
      <c r="GI196" t="e">
        <f>'All regions'!C5452+"$F;@!)EC"</f>
        <v>#VALUE!</v>
      </c>
      <c r="GJ196" t="e">
        <f>'All regions'!D5452+"$F;@!)ED"</f>
        <v>#VALUE!</v>
      </c>
      <c r="GK196" t="e">
        <f>'All regions'!E5452+"$F;@!)EE"</f>
        <v>#VALUE!</v>
      </c>
      <c r="GL196" t="e">
        <f>'All regions'!F5452+"$F;@!)EF"</f>
        <v>#VALUE!</v>
      </c>
      <c r="GM196" t="e">
        <f>'All regions'!G5452+"$F;@!)EG"</f>
        <v>#VALUE!</v>
      </c>
      <c r="GN196" t="e">
        <f>'All regions'!H5452+"$F;@!)EH"</f>
        <v>#VALUE!</v>
      </c>
      <c r="GO196" t="e">
        <f>'All regions'!I5452+"$F;@!)EI"</f>
        <v>#VALUE!</v>
      </c>
      <c r="GP196" t="e">
        <f>'All regions'!A5453+"$F;@!)EJ"</f>
        <v>#VALUE!</v>
      </c>
      <c r="GQ196" t="e">
        <f>'All regions'!B5453+"$F;@!)EK"</f>
        <v>#VALUE!</v>
      </c>
      <c r="GR196" t="e">
        <f>'All regions'!C5453+"$F;@!)EL"</f>
        <v>#VALUE!</v>
      </c>
      <c r="GS196" t="e">
        <f>'All regions'!D5453+"$F;@!)EM"</f>
        <v>#VALUE!</v>
      </c>
      <c r="GT196" t="e">
        <f>'All regions'!E5453+"$F;@!)EN"</f>
        <v>#VALUE!</v>
      </c>
      <c r="GU196" t="e">
        <f>'All regions'!F5453+"$F;@!)EO"</f>
        <v>#VALUE!</v>
      </c>
      <c r="GV196" t="e">
        <f>'All regions'!G5453+"$F;@!)EP"</f>
        <v>#VALUE!</v>
      </c>
      <c r="GW196" t="e">
        <f>'All regions'!H5453+"$F;@!)EQ"</f>
        <v>#VALUE!</v>
      </c>
      <c r="GX196" t="e">
        <f>'All regions'!I5453+"$F;@!)ER"</f>
        <v>#VALUE!</v>
      </c>
      <c r="GY196" t="e">
        <f>'All regions'!A5454+"$F;@!)ES"</f>
        <v>#VALUE!</v>
      </c>
      <c r="GZ196" t="e">
        <f>'All regions'!B5454+"$F;@!)ET"</f>
        <v>#VALUE!</v>
      </c>
      <c r="HA196" t="e">
        <f>'All regions'!C5454+"$F;@!)EU"</f>
        <v>#VALUE!</v>
      </c>
      <c r="HB196" t="e">
        <f>'All regions'!D5454+"$F;@!)EV"</f>
        <v>#VALUE!</v>
      </c>
      <c r="HC196" t="e">
        <f>'All regions'!E5454+"$F;@!)EW"</f>
        <v>#VALUE!</v>
      </c>
      <c r="HD196" t="e">
        <f>'All regions'!F5454+"$F;@!)EX"</f>
        <v>#VALUE!</v>
      </c>
      <c r="HE196" t="e">
        <f>'All regions'!G5454+"$F;@!)EY"</f>
        <v>#VALUE!</v>
      </c>
      <c r="HF196" t="e">
        <f>'All regions'!H5454+"$F;@!)EZ"</f>
        <v>#VALUE!</v>
      </c>
      <c r="HG196" t="e">
        <f>'All regions'!I5454+"$F;@!)E["</f>
        <v>#VALUE!</v>
      </c>
      <c r="HH196" t="e">
        <f>'All regions'!A5455+"$F;@!)E\"</f>
        <v>#VALUE!</v>
      </c>
      <c r="HI196" t="e">
        <f>'All regions'!B5455+"$F;@!)E]"</f>
        <v>#VALUE!</v>
      </c>
      <c r="HJ196" t="e">
        <f>'All regions'!C5455+"$F;@!)E^"</f>
        <v>#VALUE!</v>
      </c>
      <c r="HK196" t="e">
        <f>'All regions'!D5455+"$F;@!)E_"</f>
        <v>#VALUE!</v>
      </c>
      <c r="HL196" t="e">
        <f>'All regions'!E5455+"$F;@!)E`"</f>
        <v>#VALUE!</v>
      </c>
      <c r="HM196" t="e">
        <f>'All regions'!F5455+"$F;@!)Ea"</f>
        <v>#VALUE!</v>
      </c>
      <c r="HN196" t="e">
        <f>'All regions'!G5455+"$F;@!)Eb"</f>
        <v>#VALUE!</v>
      </c>
      <c r="HO196" t="e">
        <f>'All regions'!H5455+"$F;@!)Ec"</f>
        <v>#VALUE!</v>
      </c>
      <c r="HP196" t="e">
        <f>'All regions'!I5455+"$F;@!)Ed"</f>
        <v>#VALUE!</v>
      </c>
      <c r="HQ196" t="e">
        <f>'All regions'!A5456+"$F;@!)Ee"</f>
        <v>#VALUE!</v>
      </c>
      <c r="HR196" t="e">
        <f>'All regions'!B5456+"$F;@!)Ef"</f>
        <v>#VALUE!</v>
      </c>
      <c r="HS196" t="e">
        <f>'All regions'!C5456+"$F;@!)Eg"</f>
        <v>#VALUE!</v>
      </c>
      <c r="HT196" t="e">
        <f>'All regions'!D5456+"$F;@!)Eh"</f>
        <v>#VALUE!</v>
      </c>
      <c r="HU196" t="e">
        <f>'All regions'!E5456+"$F;@!)Ei"</f>
        <v>#VALUE!</v>
      </c>
      <c r="HV196" t="e">
        <f>'All regions'!F5456+"$F;@!)Ej"</f>
        <v>#VALUE!</v>
      </c>
      <c r="HW196" t="e">
        <f>'All regions'!G5456+"$F;@!)Ek"</f>
        <v>#VALUE!</v>
      </c>
      <c r="HX196" t="e">
        <f>'All regions'!H5456+"$F;@!)El"</f>
        <v>#VALUE!</v>
      </c>
      <c r="HY196" t="e">
        <f>'All regions'!I5456+"$F;@!)Em"</f>
        <v>#VALUE!</v>
      </c>
      <c r="HZ196" t="e">
        <f>'All regions'!A5457+"$F;@!)En"</f>
        <v>#VALUE!</v>
      </c>
      <c r="IA196" t="e">
        <f>'All regions'!B5457+"$F;@!)Eo"</f>
        <v>#VALUE!</v>
      </c>
      <c r="IB196" t="e">
        <f>'All regions'!C5457+"$F;@!)Ep"</f>
        <v>#VALUE!</v>
      </c>
      <c r="IC196" t="e">
        <f>'All regions'!D5457+"$F;@!)Eq"</f>
        <v>#VALUE!</v>
      </c>
      <c r="ID196" t="e">
        <f>'All regions'!E5457+"$F;@!)Er"</f>
        <v>#VALUE!</v>
      </c>
      <c r="IE196" t="e">
        <f>'All regions'!F5457+"$F;@!)Es"</f>
        <v>#VALUE!</v>
      </c>
      <c r="IF196" t="e">
        <f>'All regions'!G5457+"$F;@!)Et"</f>
        <v>#VALUE!</v>
      </c>
      <c r="IG196" t="e">
        <f>'All regions'!H5457+"$F;@!)Eu"</f>
        <v>#VALUE!</v>
      </c>
      <c r="IH196" t="e">
        <f>'All regions'!I5457+"$F;@!)Ev"</f>
        <v>#VALUE!</v>
      </c>
      <c r="II196" t="e">
        <f>'All regions'!A5458+"$F;@!)Ew"</f>
        <v>#VALUE!</v>
      </c>
      <c r="IJ196" t="e">
        <f>'All regions'!B5458+"$F;@!)Ex"</f>
        <v>#VALUE!</v>
      </c>
      <c r="IK196" t="e">
        <f>'All regions'!C5458+"$F;@!)Ey"</f>
        <v>#VALUE!</v>
      </c>
      <c r="IL196" t="e">
        <f>'All regions'!D5458+"$F;@!)Ez"</f>
        <v>#VALUE!</v>
      </c>
      <c r="IM196" t="e">
        <f>'All regions'!E5458+"$F;@!)E{"</f>
        <v>#VALUE!</v>
      </c>
      <c r="IN196" t="e">
        <f>'All regions'!F5458+"$F;@!)E|"</f>
        <v>#VALUE!</v>
      </c>
      <c r="IO196" t="e">
        <f>'All regions'!G5458+"$F;@!)E}"</f>
        <v>#VALUE!</v>
      </c>
      <c r="IP196" t="e">
        <f>'All regions'!H5458+"$F;@!)E~"</f>
        <v>#VALUE!</v>
      </c>
      <c r="IQ196" t="e">
        <f>'All regions'!I5458+"$F;@!)F#"</f>
        <v>#VALUE!</v>
      </c>
      <c r="IR196" t="e">
        <f>'All regions'!A5459+"$F;@!)F$"</f>
        <v>#VALUE!</v>
      </c>
      <c r="IS196" t="e">
        <f>'All regions'!B5459+"$F;@!)F%"</f>
        <v>#VALUE!</v>
      </c>
      <c r="IT196" t="e">
        <f>'All regions'!C5459+"$F;@!)F&amp;"</f>
        <v>#VALUE!</v>
      </c>
      <c r="IU196" t="e">
        <f>'All regions'!D5459+"$F;@!)F'"</f>
        <v>#VALUE!</v>
      </c>
      <c r="IV196" t="e">
        <f>'All regions'!E5459+"$F;@!)F("</f>
        <v>#VALUE!</v>
      </c>
    </row>
    <row r="197" spans="6:256" x14ac:dyDescent="0.35">
      <c r="F197" t="e">
        <f>'All regions'!F5459+"$F;@!)F)"</f>
        <v>#VALUE!</v>
      </c>
      <c r="G197" t="e">
        <f>'All regions'!G5459+"$F;@!)F."</f>
        <v>#VALUE!</v>
      </c>
      <c r="H197" t="e">
        <f>'All regions'!H5459+"$F;@!)F/"</f>
        <v>#VALUE!</v>
      </c>
      <c r="I197" t="e">
        <f>'All regions'!I5459+"$F;@!)F0"</f>
        <v>#VALUE!</v>
      </c>
      <c r="J197" t="e">
        <f>'All regions'!A5460+"$F;@!)F1"</f>
        <v>#VALUE!</v>
      </c>
      <c r="K197" t="e">
        <f>'All regions'!B5460+"$F;@!)F2"</f>
        <v>#VALUE!</v>
      </c>
      <c r="L197" t="e">
        <f>'All regions'!C5460+"$F;@!)F3"</f>
        <v>#VALUE!</v>
      </c>
      <c r="M197" t="e">
        <f>'All regions'!D5460+"$F;@!)F4"</f>
        <v>#VALUE!</v>
      </c>
      <c r="N197" t="e">
        <f>'All regions'!E5460+"$F;@!)F5"</f>
        <v>#VALUE!</v>
      </c>
      <c r="O197" t="e">
        <f>'All regions'!F5460+"$F;@!)F6"</f>
        <v>#VALUE!</v>
      </c>
      <c r="P197" t="e">
        <f>'All regions'!G5460+"$F;@!)F7"</f>
        <v>#VALUE!</v>
      </c>
      <c r="Q197" t="e">
        <f>'All regions'!H5460+"$F;@!)F8"</f>
        <v>#VALUE!</v>
      </c>
      <c r="R197" t="e">
        <f>'All regions'!I5460+"$F;@!)F9"</f>
        <v>#VALUE!</v>
      </c>
      <c r="S197" t="e">
        <f>'All regions'!A5461+"$F;@!)F:"</f>
        <v>#VALUE!</v>
      </c>
      <c r="T197" t="e">
        <f>'All regions'!B5461+"$F;@!)F;"</f>
        <v>#VALUE!</v>
      </c>
      <c r="U197" t="e">
        <f>'All regions'!C5461+"$F;@!)F&lt;"</f>
        <v>#VALUE!</v>
      </c>
      <c r="V197" t="e">
        <f>'All regions'!D5461+"$F;@!)F="</f>
        <v>#VALUE!</v>
      </c>
      <c r="W197" t="e">
        <f>'All regions'!E5461+"$F;@!)F&gt;"</f>
        <v>#VALUE!</v>
      </c>
      <c r="X197" t="e">
        <f>'All regions'!F5461+"$F;@!)F?"</f>
        <v>#VALUE!</v>
      </c>
      <c r="Y197" t="e">
        <f>'All regions'!G5461+"$F;@!)F@"</f>
        <v>#VALUE!</v>
      </c>
      <c r="Z197" t="e">
        <f>'All regions'!H5461+"$F;@!)FA"</f>
        <v>#VALUE!</v>
      </c>
      <c r="AA197" t="e">
        <f>'All regions'!I5461+"$F;@!)FB"</f>
        <v>#VALUE!</v>
      </c>
      <c r="AB197" t="e">
        <f>'All regions'!A5462+"$F;@!)FC"</f>
        <v>#VALUE!</v>
      </c>
      <c r="AC197" t="e">
        <f>'All regions'!B5462+"$F;@!)FD"</f>
        <v>#VALUE!</v>
      </c>
      <c r="AD197" t="e">
        <f>'All regions'!C5462+"$F;@!)FE"</f>
        <v>#VALUE!</v>
      </c>
      <c r="AE197" t="e">
        <f>'All regions'!D5462+"$F;@!)FF"</f>
        <v>#VALUE!</v>
      </c>
      <c r="AF197" t="e">
        <f>'All regions'!E5462+"$F;@!)FG"</f>
        <v>#VALUE!</v>
      </c>
      <c r="AG197" t="e">
        <f>'All regions'!F5462+"$F;@!)FH"</f>
        <v>#VALUE!</v>
      </c>
      <c r="AH197" t="e">
        <f>'All regions'!G5462+"$F;@!)FI"</f>
        <v>#VALUE!</v>
      </c>
      <c r="AI197" t="e">
        <f>'All regions'!H5462+"$F;@!)FJ"</f>
        <v>#VALUE!</v>
      </c>
      <c r="AJ197" t="e">
        <f>'All regions'!I5462+"$F;@!)FK"</f>
        <v>#VALUE!</v>
      </c>
      <c r="AK197" t="e">
        <f>'All regions'!A5463+"$F;@!)FL"</f>
        <v>#VALUE!</v>
      </c>
      <c r="AL197" t="e">
        <f>'All regions'!B5463+"$F;@!)FM"</f>
        <v>#VALUE!</v>
      </c>
      <c r="AM197" t="e">
        <f>'All regions'!C5463+"$F;@!)FN"</f>
        <v>#VALUE!</v>
      </c>
      <c r="AN197" t="e">
        <f>'All regions'!D5463+"$F;@!)FO"</f>
        <v>#VALUE!</v>
      </c>
      <c r="AO197" t="e">
        <f>'All regions'!E5463+"$F;@!)FP"</f>
        <v>#VALUE!</v>
      </c>
      <c r="AP197" t="e">
        <f>'All regions'!F5463+"$F;@!)FQ"</f>
        <v>#VALUE!</v>
      </c>
      <c r="AQ197" t="e">
        <f>'All regions'!G5463+"$F;@!)FR"</f>
        <v>#VALUE!</v>
      </c>
      <c r="AR197" t="e">
        <f>'All regions'!H5463+"$F;@!)FS"</f>
        <v>#VALUE!</v>
      </c>
      <c r="AS197" t="e">
        <f>'All regions'!I5463+"$F;@!)FT"</f>
        <v>#VALUE!</v>
      </c>
      <c r="AT197" t="e">
        <f>'All regions'!A5464+"$F;@!)FU"</f>
        <v>#VALUE!</v>
      </c>
      <c r="AU197" t="e">
        <f>'All regions'!B5464+"$F;@!)FV"</f>
        <v>#VALUE!</v>
      </c>
      <c r="AV197" t="e">
        <f>'All regions'!C5464+"$F;@!)FW"</f>
        <v>#VALUE!</v>
      </c>
      <c r="AW197" t="e">
        <f>'All regions'!D5464+"$F;@!)FX"</f>
        <v>#VALUE!</v>
      </c>
      <c r="AX197" t="e">
        <f>'All regions'!E5464+"$F;@!)FY"</f>
        <v>#VALUE!</v>
      </c>
      <c r="AY197" t="e">
        <f>'All regions'!F5464+"$F;@!)FZ"</f>
        <v>#VALUE!</v>
      </c>
      <c r="AZ197" t="e">
        <f>'All regions'!G5464+"$F;@!)F["</f>
        <v>#VALUE!</v>
      </c>
      <c r="BA197" t="e">
        <f>'All regions'!H5464+"$F;@!)F\"</f>
        <v>#VALUE!</v>
      </c>
      <c r="BB197" t="e">
        <f>'All regions'!I5464+"$F;@!)F]"</f>
        <v>#VALUE!</v>
      </c>
      <c r="BC197" t="e">
        <f>'All regions'!A5465+"$F;@!)F^"</f>
        <v>#VALUE!</v>
      </c>
      <c r="BD197" t="e">
        <f>'All regions'!B5465+"$F;@!)F_"</f>
        <v>#VALUE!</v>
      </c>
      <c r="BE197" t="e">
        <f>'All regions'!C5465+"$F;@!)F`"</f>
        <v>#VALUE!</v>
      </c>
      <c r="BF197" t="e">
        <f>'All regions'!D5465+"$F;@!)Fa"</f>
        <v>#VALUE!</v>
      </c>
      <c r="BG197" t="e">
        <f>'All regions'!E5465+"$F;@!)Fb"</f>
        <v>#VALUE!</v>
      </c>
      <c r="BH197" t="e">
        <f>'All regions'!F5465+"$F;@!)Fc"</f>
        <v>#VALUE!</v>
      </c>
      <c r="BI197" t="e">
        <f>'All regions'!G5465+"$F;@!)Fd"</f>
        <v>#VALUE!</v>
      </c>
      <c r="BJ197" t="e">
        <f>'All regions'!H5465+"$F;@!)Fe"</f>
        <v>#VALUE!</v>
      </c>
      <c r="BK197" t="e">
        <f>'All regions'!I5465+"$F;@!)Ff"</f>
        <v>#VALUE!</v>
      </c>
      <c r="BL197" t="e">
        <f>'All regions'!A5466+"$F;@!)Fg"</f>
        <v>#VALUE!</v>
      </c>
      <c r="BM197" t="e">
        <f>'All regions'!B5466+"$F;@!)Fh"</f>
        <v>#VALUE!</v>
      </c>
      <c r="BN197" t="e">
        <f>'All regions'!C5466+"$F;@!)Fi"</f>
        <v>#VALUE!</v>
      </c>
      <c r="BO197" t="e">
        <f>'All regions'!D5466+"$F;@!)Fj"</f>
        <v>#VALUE!</v>
      </c>
      <c r="BP197" t="e">
        <f>'All regions'!E5466+"$F;@!)Fk"</f>
        <v>#VALUE!</v>
      </c>
      <c r="BQ197" t="e">
        <f>'All regions'!F5466+"$F;@!)Fl"</f>
        <v>#VALUE!</v>
      </c>
      <c r="BR197" t="e">
        <f>'All regions'!G5466+"$F;@!)Fm"</f>
        <v>#VALUE!</v>
      </c>
      <c r="BS197" t="e">
        <f>'All regions'!H5466+"$F;@!)Fn"</f>
        <v>#VALUE!</v>
      </c>
      <c r="BT197" t="e">
        <f>'All regions'!I5466+"$F;@!)Fo"</f>
        <v>#VALUE!</v>
      </c>
      <c r="BU197" t="e">
        <f>'All regions'!A5467+"$F;@!)Fp"</f>
        <v>#VALUE!</v>
      </c>
      <c r="BV197" t="e">
        <f>'All regions'!B5467+"$F;@!)Fq"</f>
        <v>#VALUE!</v>
      </c>
      <c r="BW197" t="e">
        <f>'All regions'!C5467+"$F;@!)Fr"</f>
        <v>#VALUE!</v>
      </c>
      <c r="BX197" t="e">
        <f>'All regions'!D5467+"$F;@!)Fs"</f>
        <v>#VALUE!</v>
      </c>
      <c r="BY197" t="e">
        <f>'All regions'!E5467+"$F;@!)Ft"</f>
        <v>#VALUE!</v>
      </c>
      <c r="BZ197" t="e">
        <f>'All regions'!F5467+"$F;@!)Fu"</f>
        <v>#VALUE!</v>
      </c>
      <c r="CA197" t="e">
        <f>'All regions'!G5467+"$F;@!)Fv"</f>
        <v>#VALUE!</v>
      </c>
      <c r="CB197" t="e">
        <f>'All regions'!H5467+"$F;@!)Fw"</f>
        <v>#VALUE!</v>
      </c>
      <c r="CC197" t="e">
        <f>'All regions'!I5467+"$F;@!)Fx"</f>
        <v>#VALUE!</v>
      </c>
      <c r="CD197" t="e">
        <f>'All regions'!A5468+"$F;@!)Fy"</f>
        <v>#VALUE!</v>
      </c>
      <c r="CE197" t="e">
        <f>'All regions'!B5468+"$F;@!)Fz"</f>
        <v>#VALUE!</v>
      </c>
      <c r="CF197" t="e">
        <f>'All regions'!C5468+"$F;@!)F{"</f>
        <v>#VALUE!</v>
      </c>
      <c r="CG197" t="e">
        <f>'All regions'!D5468+"$F;@!)F|"</f>
        <v>#VALUE!</v>
      </c>
      <c r="CH197" t="e">
        <f>'All regions'!E5468+"$F;@!)F}"</f>
        <v>#VALUE!</v>
      </c>
      <c r="CI197" t="e">
        <f>'All regions'!F5468+"$F;@!)F~"</f>
        <v>#VALUE!</v>
      </c>
      <c r="CJ197" t="e">
        <f>'All regions'!G5468+"$F;@!)G#"</f>
        <v>#VALUE!</v>
      </c>
      <c r="CK197" t="e">
        <f>'All regions'!H5468+"$F;@!)G$"</f>
        <v>#VALUE!</v>
      </c>
      <c r="CL197" t="e">
        <f>'All regions'!I5468+"$F;@!)G%"</f>
        <v>#VALUE!</v>
      </c>
      <c r="CM197" t="e">
        <f>'All regions'!A5469+"$F;@!)G&amp;"</f>
        <v>#VALUE!</v>
      </c>
      <c r="CN197" t="e">
        <f>'All regions'!B5469+"$F;@!)G'"</f>
        <v>#VALUE!</v>
      </c>
      <c r="CO197" t="e">
        <f>'All regions'!C5469+"$F;@!)G("</f>
        <v>#VALUE!</v>
      </c>
      <c r="CP197" t="e">
        <f>'All regions'!D5469+"$F;@!)G)"</f>
        <v>#VALUE!</v>
      </c>
      <c r="CQ197" t="e">
        <f>'All regions'!E5469+"$F;@!)G."</f>
        <v>#VALUE!</v>
      </c>
      <c r="CR197" t="e">
        <f>'All regions'!F5469+"$F;@!)G/"</f>
        <v>#VALUE!</v>
      </c>
      <c r="CS197" t="e">
        <f>'All regions'!G5469+"$F;@!)G0"</f>
        <v>#VALUE!</v>
      </c>
      <c r="CT197" t="e">
        <f>'All regions'!H5469+"$F;@!)G1"</f>
        <v>#VALUE!</v>
      </c>
      <c r="CU197" t="e">
        <f>'All regions'!I5469+"$F;@!)G2"</f>
        <v>#VALUE!</v>
      </c>
      <c r="CV197" t="e">
        <f>'All regions'!A5470+"$F;@!)G3"</f>
        <v>#VALUE!</v>
      </c>
      <c r="CW197" t="e">
        <f>'All regions'!B5470+"$F;@!)G4"</f>
        <v>#VALUE!</v>
      </c>
      <c r="CX197" t="e">
        <f>'All regions'!C5470+"$F;@!)G5"</f>
        <v>#VALUE!</v>
      </c>
      <c r="CY197" t="e">
        <f>'All regions'!D5470+"$F;@!)G6"</f>
        <v>#VALUE!</v>
      </c>
      <c r="CZ197" t="e">
        <f>'All regions'!E5470+"$F;@!)G7"</f>
        <v>#VALUE!</v>
      </c>
      <c r="DA197" t="e">
        <f>'All regions'!F5470+"$F;@!)G8"</f>
        <v>#VALUE!</v>
      </c>
      <c r="DB197" t="e">
        <f>'All regions'!G5470+"$F;@!)G9"</f>
        <v>#VALUE!</v>
      </c>
      <c r="DC197" t="e">
        <f>'All regions'!H5470+"$F;@!)G:"</f>
        <v>#VALUE!</v>
      </c>
      <c r="DD197" t="e">
        <f>'All regions'!I5470+"$F;@!)G;"</f>
        <v>#VALUE!</v>
      </c>
      <c r="DE197" t="e">
        <f>'All regions'!A5471+"$F;@!)G&lt;"</f>
        <v>#VALUE!</v>
      </c>
      <c r="DF197" t="e">
        <f>'All regions'!B5471+"$F;@!)G="</f>
        <v>#VALUE!</v>
      </c>
      <c r="DG197" t="e">
        <f>'All regions'!C5471+"$F;@!)G&gt;"</f>
        <v>#VALUE!</v>
      </c>
      <c r="DH197" t="e">
        <f>'All regions'!D5471+"$F;@!)G?"</f>
        <v>#VALUE!</v>
      </c>
      <c r="DI197" t="e">
        <f>'All regions'!E5471+"$F;@!)G@"</f>
        <v>#VALUE!</v>
      </c>
      <c r="DJ197" t="e">
        <f>'All regions'!F5471+"$F;@!)GA"</f>
        <v>#VALUE!</v>
      </c>
      <c r="DK197" t="e">
        <f>'All regions'!G5471+"$F;@!)GB"</f>
        <v>#VALUE!</v>
      </c>
      <c r="DL197" t="e">
        <f>'All regions'!H5471+"$F;@!)GC"</f>
        <v>#VALUE!</v>
      </c>
      <c r="DM197" t="e">
        <f>'All regions'!I5471+"$F;@!)GD"</f>
        <v>#VALUE!</v>
      </c>
      <c r="DN197" t="e">
        <f>'All regions'!A5472+"$F;@!)GE"</f>
        <v>#VALUE!</v>
      </c>
      <c r="DO197" t="e">
        <f>'All regions'!B5472+"$F;@!)GF"</f>
        <v>#VALUE!</v>
      </c>
      <c r="DP197" t="e">
        <f>'All regions'!C5472+"$F;@!)GG"</f>
        <v>#VALUE!</v>
      </c>
      <c r="DQ197" t="e">
        <f>'All regions'!D5472+"$F;@!)GH"</f>
        <v>#VALUE!</v>
      </c>
      <c r="DR197" t="e">
        <f>'All regions'!E5472+"$F;@!)GI"</f>
        <v>#VALUE!</v>
      </c>
      <c r="DS197" t="e">
        <f>'All regions'!F5472+"$F;@!)GJ"</f>
        <v>#VALUE!</v>
      </c>
      <c r="DT197" t="e">
        <f>'All regions'!G5472+"$F;@!)GK"</f>
        <v>#VALUE!</v>
      </c>
      <c r="DU197" t="e">
        <f>'All regions'!H5472+"$F;@!)GL"</f>
        <v>#VALUE!</v>
      </c>
      <c r="DV197" t="e">
        <f>'All regions'!I5472+"$F;@!)GM"</f>
        <v>#VALUE!</v>
      </c>
      <c r="DW197" t="e">
        <f>'All regions'!A5473+"$F;@!)GN"</f>
        <v>#VALUE!</v>
      </c>
      <c r="DX197" t="e">
        <f>'All regions'!B5473+"$F;@!)GO"</f>
        <v>#VALUE!</v>
      </c>
      <c r="DY197" t="e">
        <f>'All regions'!C5473+"$F;@!)GP"</f>
        <v>#VALUE!</v>
      </c>
      <c r="DZ197" t="e">
        <f>'All regions'!D5473+"$F;@!)GQ"</f>
        <v>#VALUE!</v>
      </c>
      <c r="EA197" t="e">
        <f>'All regions'!E5473+"$F;@!)GR"</f>
        <v>#VALUE!</v>
      </c>
      <c r="EB197" t="e">
        <f>'All regions'!F5473+"$F;@!)GS"</f>
        <v>#VALUE!</v>
      </c>
      <c r="EC197" t="e">
        <f>'All regions'!G5473+"$F;@!)GT"</f>
        <v>#VALUE!</v>
      </c>
      <c r="ED197" t="e">
        <f>'All regions'!H5473+"$F;@!)GU"</f>
        <v>#VALUE!</v>
      </c>
      <c r="EE197" t="e">
        <f>'All regions'!I5473+"$F;@!)GV"</f>
        <v>#VALUE!</v>
      </c>
      <c r="EF197" t="e">
        <f>'All regions'!A5474+"$F;@!)GW"</f>
        <v>#VALUE!</v>
      </c>
      <c r="EG197" t="e">
        <f>'All regions'!B5474+"$F;@!)GX"</f>
        <v>#VALUE!</v>
      </c>
      <c r="EH197" t="e">
        <f>'All regions'!C5474+"$F;@!)GY"</f>
        <v>#VALUE!</v>
      </c>
      <c r="EI197" t="e">
        <f>'All regions'!D5474+"$F;@!)GZ"</f>
        <v>#VALUE!</v>
      </c>
      <c r="EJ197" t="e">
        <f>'All regions'!E5474+"$F;@!)G["</f>
        <v>#VALUE!</v>
      </c>
      <c r="EK197" t="e">
        <f>'All regions'!F5474+"$F;@!)G\"</f>
        <v>#VALUE!</v>
      </c>
      <c r="EL197" t="e">
        <f>'All regions'!G5474+"$F;@!)G]"</f>
        <v>#VALUE!</v>
      </c>
      <c r="EM197" t="e">
        <f>'All regions'!H5474+"$F;@!)G^"</f>
        <v>#VALUE!</v>
      </c>
      <c r="EN197" t="e">
        <f>'All regions'!I5474+"$F;@!)G_"</f>
        <v>#VALUE!</v>
      </c>
      <c r="EO197" t="e">
        <f>'All regions'!A5475+"$F;@!)G`"</f>
        <v>#VALUE!</v>
      </c>
      <c r="EP197" t="e">
        <f>'All regions'!B5475+"$F;@!)Ga"</f>
        <v>#VALUE!</v>
      </c>
      <c r="EQ197" t="e">
        <f>'All regions'!C5475+"$F;@!)Gb"</f>
        <v>#VALUE!</v>
      </c>
      <c r="ER197" t="e">
        <f>'All regions'!D5475+"$F;@!)Gc"</f>
        <v>#VALUE!</v>
      </c>
      <c r="ES197" t="e">
        <f>'All regions'!E5475+"$F;@!)Gd"</f>
        <v>#VALUE!</v>
      </c>
      <c r="ET197" t="e">
        <f>'All regions'!F5475+"$F;@!)Ge"</f>
        <v>#VALUE!</v>
      </c>
      <c r="EU197" t="e">
        <f>'All regions'!G5475+"$F;@!)Gf"</f>
        <v>#VALUE!</v>
      </c>
      <c r="EV197" t="e">
        <f>'All regions'!H5475+"$F;@!)Gg"</f>
        <v>#VALUE!</v>
      </c>
      <c r="EW197" t="e">
        <f>'All regions'!I5475+"$F;@!)Gh"</f>
        <v>#VALUE!</v>
      </c>
      <c r="EX197" t="e">
        <f>'All regions'!A5476+"$F;@!)Gi"</f>
        <v>#VALUE!</v>
      </c>
      <c r="EY197" t="e">
        <f>'All regions'!B5476+"$F;@!)Gj"</f>
        <v>#VALUE!</v>
      </c>
      <c r="EZ197" t="e">
        <f>'All regions'!C5476+"$F;@!)Gk"</f>
        <v>#VALUE!</v>
      </c>
      <c r="FA197" t="e">
        <f>'All regions'!D5476+"$F;@!)Gl"</f>
        <v>#VALUE!</v>
      </c>
      <c r="FB197" t="e">
        <f>'All regions'!E5476+"$F;@!)Gm"</f>
        <v>#VALUE!</v>
      </c>
      <c r="FC197" t="e">
        <f>'All regions'!F5476+"$F;@!)Gn"</f>
        <v>#VALUE!</v>
      </c>
      <c r="FD197" t="e">
        <f>'All regions'!G5476+"$F;@!)Go"</f>
        <v>#VALUE!</v>
      </c>
      <c r="FE197" t="e">
        <f>'All regions'!H5476+"$F;@!)Gp"</f>
        <v>#VALUE!</v>
      </c>
      <c r="FF197" t="e">
        <f>'All regions'!I5476+"$F;@!)Gq"</f>
        <v>#VALUE!</v>
      </c>
      <c r="FG197" t="e">
        <f>'All regions'!A5477+"$F;@!)Gr"</f>
        <v>#VALUE!</v>
      </c>
      <c r="FH197" t="e">
        <f>'All regions'!B5477+"$F;@!)Gs"</f>
        <v>#VALUE!</v>
      </c>
      <c r="FI197" t="e">
        <f>'All regions'!C5477+"$F;@!)Gt"</f>
        <v>#VALUE!</v>
      </c>
      <c r="FJ197" t="e">
        <f>'All regions'!D5477+"$F;@!)Gu"</f>
        <v>#VALUE!</v>
      </c>
      <c r="FK197" t="e">
        <f>'All regions'!E5477+"$F;@!)Gv"</f>
        <v>#VALUE!</v>
      </c>
      <c r="FL197" t="e">
        <f>'All regions'!F5477+"$F;@!)Gw"</f>
        <v>#VALUE!</v>
      </c>
      <c r="FM197" t="e">
        <f>'All regions'!G5477+"$F;@!)Gx"</f>
        <v>#VALUE!</v>
      </c>
      <c r="FN197" t="e">
        <f>'All regions'!H5477+"$F;@!)Gy"</f>
        <v>#VALUE!</v>
      </c>
      <c r="FO197" t="e">
        <f>'All regions'!I5477+"$F;@!)Gz"</f>
        <v>#VALUE!</v>
      </c>
      <c r="FP197" t="e">
        <f>'All regions'!A5478+"$F;@!)G{"</f>
        <v>#VALUE!</v>
      </c>
      <c r="FQ197" t="e">
        <f>'All regions'!B5478+"$F;@!)G|"</f>
        <v>#VALUE!</v>
      </c>
      <c r="FR197" t="e">
        <f>'All regions'!C5478+"$F;@!)G}"</f>
        <v>#VALUE!</v>
      </c>
      <c r="FS197" t="e">
        <f>'All regions'!D5478+"$F;@!)G~"</f>
        <v>#VALUE!</v>
      </c>
      <c r="FT197" t="e">
        <f>'All regions'!E5478+"$F;@!)H#"</f>
        <v>#VALUE!</v>
      </c>
      <c r="FU197" t="e">
        <f>'All regions'!F5478+"$F;@!)H$"</f>
        <v>#VALUE!</v>
      </c>
      <c r="FV197" t="e">
        <f>'All regions'!G5478+"$F;@!)H%"</f>
        <v>#VALUE!</v>
      </c>
      <c r="FW197" t="e">
        <f>'All regions'!H5478+"$F;@!)H&amp;"</f>
        <v>#VALUE!</v>
      </c>
      <c r="FX197" t="e">
        <f>'All regions'!I5478+"$F;@!)H'"</f>
        <v>#VALUE!</v>
      </c>
      <c r="FY197" t="e">
        <f>'All regions'!A5479+"$F;@!)H("</f>
        <v>#VALUE!</v>
      </c>
      <c r="FZ197" t="e">
        <f>'All regions'!B5479+"$F;@!)H)"</f>
        <v>#VALUE!</v>
      </c>
      <c r="GA197" t="e">
        <f>'All regions'!C5479+"$F;@!)H."</f>
        <v>#VALUE!</v>
      </c>
      <c r="GB197" t="e">
        <f>'All regions'!D5479+"$F;@!)H/"</f>
        <v>#VALUE!</v>
      </c>
      <c r="GC197" t="e">
        <f>'All regions'!E5479+"$F;@!)H0"</f>
        <v>#VALUE!</v>
      </c>
      <c r="GD197" t="e">
        <f>'All regions'!F5479+"$F;@!)H1"</f>
        <v>#VALUE!</v>
      </c>
      <c r="GE197" t="e">
        <f>'All regions'!G5479+"$F;@!)H2"</f>
        <v>#VALUE!</v>
      </c>
      <c r="GF197" t="e">
        <f>'All regions'!H5479+"$F;@!)H3"</f>
        <v>#VALUE!</v>
      </c>
      <c r="GG197" t="e">
        <f>'All regions'!I5479+"$F;@!)H4"</f>
        <v>#VALUE!</v>
      </c>
      <c r="GH197" t="e">
        <f>'All regions'!A5480+"$F;@!)H5"</f>
        <v>#VALUE!</v>
      </c>
      <c r="GI197" t="e">
        <f>'All regions'!B5480+"$F;@!)H6"</f>
        <v>#VALUE!</v>
      </c>
      <c r="GJ197" t="e">
        <f>'All regions'!C5480+"$F;@!)H7"</f>
        <v>#VALUE!</v>
      </c>
      <c r="GK197" t="e">
        <f>'All regions'!D5480+"$F;@!)H8"</f>
        <v>#VALUE!</v>
      </c>
      <c r="GL197" t="e">
        <f>'All regions'!E5480+"$F;@!)H9"</f>
        <v>#VALUE!</v>
      </c>
      <c r="GM197" t="e">
        <f>'All regions'!F5480+"$F;@!)H:"</f>
        <v>#VALUE!</v>
      </c>
      <c r="GN197" t="e">
        <f>'All regions'!G5480+"$F;@!)H;"</f>
        <v>#VALUE!</v>
      </c>
      <c r="GO197" t="e">
        <f>'All regions'!H5480+"$F;@!)H&lt;"</f>
        <v>#VALUE!</v>
      </c>
      <c r="GP197" t="e">
        <f>'All regions'!I5480+"$F;@!)H="</f>
        <v>#VALUE!</v>
      </c>
      <c r="GQ197" t="e">
        <f>'All regions'!A5481+"$F;@!)H&gt;"</f>
        <v>#VALUE!</v>
      </c>
      <c r="GR197" t="e">
        <f>'All regions'!B5481+"$F;@!)H?"</f>
        <v>#VALUE!</v>
      </c>
      <c r="GS197" t="e">
        <f>'All regions'!C5481+"$F;@!)H@"</f>
        <v>#VALUE!</v>
      </c>
      <c r="GT197" t="e">
        <f>'All regions'!D5481+"$F;@!)HA"</f>
        <v>#VALUE!</v>
      </c>
      <c r="GU197" t="e">
        <f>'All regions'!E5481+"$F;@!)HB"</f>
        <v>#VALUE!</v>
      </c>
      <c r="GV197" t="e">
        <f>'All regions'!F5481+"$F;@!)HC"</f>
        <v>#VALUE!</v>
      </c>
      <c r="GW197" t="e">
        <f>'All regions'!G5481+"$F;@!)HD"</f>
        <v>#VALUE!</v>
      </c>
      <c r="GX197" t="e">
        <f>'All regions'!H5481+"$F;@!)HE"</f>
        <v>#VALUE!</v>
      </c>
      <c r="GY197" t="e">
        <f>'All regions'!I5481+"$F;@!)HF"</f>
        <v>#VALUE!</v>
      </c>
      <c r="GZ197" t="e">
        <f>'All regions'!A5482+"$F;@!)HG"</f>
        <v>#VALUE!</v>
      </c>
      <c r="HA197" t="e">
        <f>'All regions'!B5482+"$F;@!)HH"</f>
        <v>#VALUE!</v>
      </c>
      <c r="HB197" t="e">
        <f>'All regions'!C5482+"$F;@!)HI"</f>
        <v>#VALUE!</v>
      </c>
      <c r="HC197" t="e">
        <f>'All regions'!D5482+"$F;@!)HJ"</f>
        <v>#VALUE!</v>
      </c>
      <c r="HD197" t="e">
        <f>'All regions'!E5482+"$F;@!)HK"</f>
        <v>#VALUE!</v>
      </c>
      <c r="HE197" t="e">
        <f>'All regions'!F5482+"$F;@!)HL"</f>
        <v>#VALUE!</v>
      </c>
      <c r="HF197" t="e">
        <f>'All regions'!G5482+"$F;@!)HM"</f>
        <v>#VALUE!</v>
      </c>
      <c r="HG197" t="e">
        <f>'All regions'!H5482+"$F;@!)HN"</f>
        <v>#VALUE!</v>
      </c>
      <c r="HH197" t="e">
        <f>'All regions'!I5482+"$F;@!)HO"</f>
        <v>#VALUE!</v>
      </c>
      <c r="HI197" t="e">
        <f>'All regions'!A5483+"$F;@!)HP"</f>
        <v>#VALUE!</v>
      </c>
      <c r="HJ197" t="e">
        <f>'All regions'!B5483+"$F;@!)HQ"</f>
        <v>#VALUE!</v>
      </c>
      <c r="HK197" t="e">
        <f>'All regions'!C5483+"$F;@!)HR"</f>
        <v>#VALUE!</v>
      </c>
      <c r="HL197" t="e">
        <f>'All regions'!D5483+"$F;@!)HS"</f>
        <v>#VALUE!</v>
      </c>
      <c r="HM197" t="e">
        <f>'All regions'!E5483+"$F;@!)HT"</f>
        <v>#VALUE!</v>
      </c>
      <c r="HN197" t="e">
        <f>'All regions'!F5483+"$F;@!)HU"</f>
        <v>#VALUE!</v>
      </c>
      <c r="HO197" t="e">
        <f>'All regions'!G5483+"$F;@!)HV"</f>
        <v>#VALUE!</v>
      </c>
      <c r="HP197" t="e">
        <f>'All regions'!H5483+"$F;@!)HW"</f>
        <v>#VALUE!</v>
      </c>
      <c r="HQ197" t="e">
        <f>'All regions'!I5483+"$F;@!)HX"</f>
        <v>#VALUE!</v>
      </c>
      <c r="HR197" t="e">
        <f>'All regions'!A5484+"$F;@!)HY"</f>
        <v>#VALUE!</v>
      </c>
      <c r="HS197" t="e">
        <f>'All regions'!B5484+"$F;@!)HZ"</f>
        <v>#VALUE!</v>
      </c>
      <c r="HT197" t="e">
        <f>'All regions'!C5484+"$F;@!)H["</f>
        <v>#VALUE!</v>
      </c>
      <c r="HU197" t="e">
        <f>'All regions'!D5484+"$F;@!)H\"</f>
        <v>#VALUE!</v>
      </c>
      <c r="HV197" t="e">
        <f>'All regions'!E5484+"$F;@!)H]"</f>
        <v>#VALUE!</v>
      </c>
      <c r="HW197" t="e">
        <f>'All regions'!F5484+"$F;@!)H^"</f>
        <v>#VALUE!</v>
      </c>
      <c r="HX197" t="e">
        <f>'All regions'!G5484+"$F;@!)H_"</f>
        <v>#VALUE!</v>
      </c>
      <c r="HY197" t="e">
        <f>'All regions'!H5484+"$F;@!)H`"</f>
        <v>#VALUE!</v>
      </c>
      <c r="HZ197" t="e">
        <f>'All regions'!I5484+"$F;@!)Ha"</f>
        <v>#VALUE!</v>
      </c>
      <c r="IA197" t="e">
        <f>'All regions'!A5485+"$F;@!)Hb"</f>
        <v>#VALUE!</v>
      </c>
      <c r="IB197" t="e">
        <f>'All regions'!B5485+"$F;@!)Hc"</f>
        <v>#VALUE!</v>
      </c>
      <c r="IC197" t="e">
        <f>'All regions'!C5485+"$F;@!)Hd"</f>
        <v>#VALUE!</v>
      </c>
      <c r="ID197" t="e">
        <f>'All regions'!D5485+"$F;@!)He"</f>
        <v>#VALUE!</v>
      </c>
      <c r="IE197" t="e">
        <f>'All regions'!E5485+"$F;@!)Hf"</f>
        <v>#VALUE!</v>
      </c>
      <c r="IF197" t="e">
        <f>'All regions'!F5485+"$F;@!)Hg"</f>
        <v>#VALUE!</v>
      </c>
      <c r="IG197" t="e">
        <f>'All regions'!G5485+"$F;@!)Hh"</f>
        <v>#VALUE!</v>
      </c>
      <c r="IH197" t="e">
        <f>'All regions'!H5485+"$F;@!)Hi"</f>
        <v>#VALUE!</v>
      </c>
      <c r="II197" t="e">
        <f>'All regions'!I5485+"$F;@!)Hj"</f>
        <v>#VALUE!</v>
      </c>
      <c r="IJ197" t="e">
        <f>'All regions'!A5486+"$F;@!)Hk"</f>
        <v>#VALUE!</v>
      </c>
      <c r="IK197" t="e">
        <f>'All regions'!B5486+"$F;@!)Hl"</f>
        <v>#VALUE!</v>
      </c>
      <c r="IL197" t="e">
        <f>'All regions'!C5486+"$F;@!)Hm"</f>
        <v>#VALUE!</v>
      </c>
      <c r="IM197" t="e">
        <f>'All regions'!D5486+"$F;@!)Hn"</f>
        <v>#VALUE!</v>
      </c>
      <c r="IN197" t="e">
        <f>'All regions'!E5486+"$F;@!)Ho"</f>
        <v>#VALUE!</v>
      </c>
      <c r="IO197" t="e">
        <f>'All regions'!F5486+"$F;@!)Hp"</f>
        <v>#VALUE!</v>
      </c>
      <c r="IP197" t="e">
        <f>'All regions'!G5486+"$F;@!)Hq"</f>
        <v>#VALUE!</v>
      </c>
      <c r="IQ197" t="e">
        <f>'All regions'!H5486+"$F;@!)Hr"</f>
        <v>#VALUE!</v>
      </c>
      <c r="IR197" t="e">
        <f>'All regions'!I5486+"$F;@!)Hs"</f>
        <v>#VALUE!</v>
      </c>
      <c r="IS197" t="e">
        <f>'All regions'!A5487+"$F;@!)Ht"</f>
        <v>#VALUE!</v>
      </c>
      <c r="IT197" t="e">
        <f>'All regions'!B5487+"$F;@!)Hu"</f>
        <v>#VALUE!</v>
      </c>
      <c r="IU197" t="e">
        <f>'All regions'!C5487+"$F;@!)Hv"</f>
        <v>#VALUE!</v>
      </c>
      <c r="IV197" t="e">
        <f>'All regions'!D5487+"$F;@!)Hw"</f>
        <v>#VALUE!</v>
      </c>
    </row>
    <row r="198" spans="6:256" x14ac:dyDescent="0.35">
      <c r="F198" t="e">
        <f>'All regions'!E5487+"$F;@!)Hx"</f>
        <v>#VALUE!</v>
      </c>
      <c r="G198" t="e">
        <f>'All regions'!F5487+"$F;@!)Hy"</f>
        <v>#VALUE!</v>
      </c>
      <c r="H198" t="e">
        <f>'All regions'!G5487+"$F;@!)Hz"</f>
        <v>#VALUE!</v>
      </c>
      <c r="I198" t="e">
        <f>'All regions'!H5487+"$F;@!)H{"</f>
        <v>#VALUE!</v>
      </c>
      <c r="J198" t="e">
        <f>'All regions'!I5487+"$F;@!)H|"</f>
        <v>#VALUE!</v>
      </c>
      <c r="K198" t="e">
        <f>'All regions'!A5488+"$F;@!)H}"</f>
        <v>#VALUE!</v>
      </c>
      <c r="L198" t="e">
        <f>'All regions'!B5488+"$F;@!)H~"</f>
        <v>#VALUE!</v>
      </c>
      <c r="M198" t="e">
        <f>'All regions'!C5488+"$F;@!)I#"</f>
        <v>#VALUE!</v>
      </c>
      <c r="N198" t="e">
        <f>'All regions'!D5488+"$F;@!)I$"</f>
        <v>#VALUE!</v>
      </c>
      <c r="O198" t="e">
        <f>'All regions'!E5488+"$F;@!)I%"</f>
        <v>#VALUE!</v>
      </c>
      <c r="P198" t="e">
        <f>'All regions'!F5488+"$F;@!)I&amp;"</f>
        <v>#VALUE!</v>
      </c>
      <c r="Q198" t="e">
        <f>'All regions'!G5488+"$F;@!)I'"</f>
        <v>#VALUE!</v>
      </c>
      <c r="R198" t="e">
        <f>'All regions'!H5488+"$F;@!)I("</f>
        <v>#VALUE!</v>
      </c>
      <c r="S198" t="e">
        <f>'All regions'!I5488+"$F;@!)I)"</f>
        <v>#VALUE!</v>
      </c>
      <c r="T198" t="e">
        <f>'All regions'!A5489+"$F;@!)I."</f>
        <v>#VALUE!</v>
      </c>
      <c r="U198" t="e">
        <f>'All regions'!B5489+"$F;@!)I/"</f>
        <v>#VALUE!</v>
      </c>
      <c r="V198" t="e">
        <f>'All regions'!C5489+"$F;@!)I0"</f>
        <v>#VALUE!</v>
      </c>
      <c r="W198" t="e">
        <f>'All regions'!D5489+"$F;@!)I1"</f>
        <v>#VALUE!</v>
      </c>
      <c r="X198" t="e">
        <f>'All regions'!E5489+"$F;@!)I2"</f>
        <v>#VALUE!</v>
      </c>
      <c r="Y198" t="e">
        <f>'All regions'!F5489+"$F;@!)I3"</f>
        <v>#VALUE!</v>
      </c>
      <c r="Z198" t="e">
        <f>'All regions'!G5489+"$F;@!)I4"</f>
        <v>#VALUE!</v>
      </c>
      <c r="AA198" t="e">
        <f>'All regions'!H5489+"$F;@!)I5"</f>
        <v>#VALUE!</v>
      </c>
      <c r="AB198" t="e">
        <f>'All regions'!I5489+"$F;@!)I6"</f>
        <v>#VALUE!</v>
      </c>
      <c r="AC198" t="e">
        <f>'All regions'!A5490+"$F;@!)I7"</f>
        <v>#VALUE!</v>
      </c>
      <c r="AD198" t="e">
        <f>'All regions'!B5490+"$F;@!)I8"</f>
        <v>#VALUE!</v>
      </c>
      <c r="AE198" t="e">
        <f>'All regions'!C5490+"$F;@!)I9"</f>
        <v>#VALUE!</v>
      </c>
      <c r="AF198" t="e">
        <f>'All regions'!D5490+"$F;@!)I:"</f>
        <v>#VALUE!</v>
      </c>
      <c r="AG198" t="e">
        <f>'All regions'!E5490+"$F;@!)I;"</f>
        <v>#VALUE!</v>
      </c>
      <c r="AH198" t="e">
        <f>'All regions'!F5490+"$F;@!)I&lt;"</f>
        <v>#VALUE!</v>
      </c>
      <c r="AI198" t="e">
        <f>'All regions'!G5490+"$F;@!)I="</f>
        <v>#VALUE!</v>
      </c>
      <c r="AJ198" t="e">
        <f>'All regions'!H5490+"$F;@!)I&gt;"</f>
        <v>#VALUE!</v>
      </c>
      <c r="AK198" t="e">
        <f>'All regions'!I5490+"$F;@!)I?"</f>
        <v>#VALUE!</v>
      </c>
      <c r="AL198" t="e">
        <f>'All regions'!A5491+"$F;@!)I@"</f>
        <v>#VALUE!</v>
      </c>
      <c r="AM198" t="e">
        <f>'All regions'!B5491+"$F;@!)IA"</f>
        <v>#VALUE!</v>
      </c>
      <c r="AN198" t="e">
        <f>'All regions'!C5491+"$F;@!)IB"</f>
        <v>#VALUE!</v>
      </c>
      <c r="AO198" t="e">
        <f>'All regions'!D5491+"$F;@!)IC"</f>
        <v>#VALUE!</v>
      </c>
      <c r="AP198" t="e">
        <f>'All regions'!E5491+"$F;@!)ID"</f>
        <v>#VALUE!</v>
      </c>
      <c r="AQ198" t="e">
        <f>'All regions'!F5491+"$F;@!)IE"</f>
        <v>#VALUE!</v>
      </c>
      <c r="AR198" t="e">
        <f>'All regions'!G5491+"$F;@!)IF"</f>
        <v>#VALUE!</v>
      </c>
      <c r="AS198" t="e">
        <f>'All regions'!H5491+"$F;@!)IG"</f>
        <v>#VALUE!</v>
      </c>
      <c r="AT198" t="e">
        <f>'All regions'!I5491+"$F;@!)IH"</f>
        <v>#VALUE!</v>
      </c>
      <c r="AU198" t="e">
        <f>'All regions'!A5492+"$F;@!)II"</f>
        <v>#VALUE!</v>
      </c>
      <c r="AV198" t="e">
        <f>'All regions'!B5492+"$F;@!)IJ"</f>
        <v>#VALUE!</v>
      </c>
      <c r="AW198" t="e">
        <f>'All regions'!C5492+"$F;@!)IK"</f>
        <v>#VALUE!</v>
      </c>
      <c r="AX198" t="e">
        <f>'All regions'!D5492+"$F;@!)IL"</f>
        <v>#VALUE!</v>
      </c>
      <c r="AY198" t="e">
        <f>'All regions'!E5492+"$F;@!)IM"</f>
        <v>#VALUE!</v>
      </c>
      <c r="AZ198" t="e">
        <f>'All regions'!F5492+"$F;@!)IN"</f>
        <v>#VALUE!</v>
      </c>
      <c r="BA198" t="e">
        <f>'All regions'!G5492+"$F;@!)IO"</f>
        <v>#VALUE!</v>
      </c>
      <c r="BB198" t="e">
        <f>'All regions'!H5492+"$F;@!)IP"</f>
        <v>#VALUE!</v>
      </c>
      <c r="BC198" t="e">
        <f>'All regions'!I5492+"$F;@!)IQ"</f>
        <v>#VALUE!</v>
      </c>
      <c r="BD198" t="e">
        <f>'All regions'!A5493+"$F;@!)IR"</f>
        <v>#VALUE!</v>
      </c>
      <c r="BE198" t="e">
        <f>'All regions'!B5493+"$F;@!)IS"</f>
        <v>#VALUE!</v>
      </c>
      <c r="BF198" t="e">
        <f>'All regions'!C5493+"$F;@!)IT"</f>
        <v>#VALUE!</v>
      </c>
      <c r="BG198" t="e">
        <f>'All regions'!D5493+"$F;@!)IU"</f>
        <v>#VALUE!</v>
      </c>
      <c r="BH198" t="e">
        <f>'All regions'!E5493+"$F;@!)IV"</f>
        <v>#VALUE!</v>
      </c>
      <c r="BI198" t="e">
        <f>'All regions'!F5493+"$F;@!)IW"</f>
        <v>#VALUE!</v>
      </c>
      <c r="BJ198" t="e">
        <f>'All regions'!G5493+"$F;@!)IX"</f>
        <v>#VALUE!</v>
      </c>
      <c r="BK198" t="e">
        <f>'All regions'!H5493+"$F;@!)IY"</f>
        <v>#VALUE!</v>
      </c>
      <c r="BL198" t="e">
        <f>'All regions'!I5493+"$F;@!)IZ"</f>
        <v>#VALUE!</v>
      </c>
      <c r="BM198" t="e">
        <f>'All regions'!A5494+"$F;@!)I["</f>
        <v>#VALUE!</v>
      </c>
      <c r="BN198" t="e">
        <f>'All regions'!B5494+"$F;@!)I\"</f>
        <v>#VALUE!</v>
      </c>
      <c r="BO198" t="e">
        <f>'All regions'!C5494+"$F;@!)I]"</f>
        <v>#VALUE!</v>
      </c>
      <c r="BP198" t="e">
        <f>'All regions'!D5494+"$F;@!)I^"</f>
        <v>#VALUE!</v>
      </c>
      <c r="BQ198" t="e">
        <f>'All regions'!E5494+"$F;@!)I_"</f>
        <v>#VALUE!</v>
      </c>
      <c r="BR198" t="e">
        <f>'All regions'!F5494+"$F;@!)I`"</f>
        <v>#VALUE!</v>
      </c>
      <c r="BS198" t="e">
        <f>'All regions'!G5494+"$F;@!)Ia"</f>
        <v>#VALUE!</v>
      </c>
      <c r="BT198" t="e">
        <f>'All regions'!H5494+"$F;@!)Ib"</f>
        <v>#VALUE!</v>
      </c>
      <c r="BU198" t="e">
        <f>'All regions'!I5494+"$F;@!)Ic"</f>
        <v>#VALUE!</v>
      </c>
      <c r="BV198" t="e">
        <f>'All regions'!A5495+"$F;@!)Id"</f>
        <v>#VALUE!</v>
      </c>
      <c r="BW198" t="e">
        <f>'All regions'!B5495+"$F;@!)Ie"</f>
        <v>#VALUE!</v>
      </c>
      <c r="BX198" t="e">
        <f>'All regions'!C5495+"$F;@!)If"</f>
        <v>#VALUE!</v>
      </c>
      <c r="BY198" t="e">
        <f>'All regions'!D5495+"$F;@!)Ig"</f>
        <v>#VALUE!</v>
      </c>
      <c r="BZ198" t="e">
        <f>'All regions'!E5495+"$F;@!)Ih"</f>
        <v>#VALUE!</v>
      </c>
      <c r="CA198" t="e">
        <f>'All regions'!F5495+"$F;@!)Ii"</f>
        <v>#VALUE!</v>
      </c>
      <c r="CB198" t="e">
        <f>'All regions'!G5495+"$F;@!)Ij"</f>
        <v>#VALUE!</v>
      </c>
      <c r="CC198" t="e">
        <f>'All regions'!H5495+"$F;@!)Ik"</f>
        <v>#VALUE!</v>
      </c>
      <c r="CD198" t="e">
        <f>'All regions'!I5495+"$F;@!)Il"</f>
        <v>#VALUE!</v>
      </c>
      <c r="CE198" t="e">
        <f>'All regions'!A5496+"$F;@!)Im"</f>
        <v>#VALUE!</v>
      </c>
      <c r="CF198" t="e">
        <f>'All regions'!B5496+"$F;@!)In"</f>
        <v>#VALUE!</v>
      </c>
      <c r="CG198" t="e">
        <f>'All regions'!C5496+"$F;@!)Io"</f>
        <v>#VALUE!</v>
      </c>
      <c r="CH198" t="e">
        <f>'All regions'!D5496+"$F;@!)Ip"</f>
        <v>#VALUE!</v>
      </c>
      <c r="CI198" t="e">
        <f>'All regions'!E5496+"$F;@!)Iq"</f>
        <v>#VALUE!</v>
      </c>
      <c r="CJ198" t="e">
        <f>'All regions'!F5496+"$F;@!)Ir"</f>
        <v>#VALUE!</v>
      </c>
      <c r="CK198" t="e">
        <f>'All regions'!G5496+"$F;@!)Is"</f>
        <v>#VALUE!</v>
      </c>
      <c r="CL198" t="e">
        <f>'All regions'!H5496+"$F;@!)It"</f>
        <v>#VALUE!</v>
      </c>
      <c r="CM198" t="e">
        <f>'All regions'!I5496+"$F;@!)Iu"</f>
        <v>#VALUE!</v>
      </c>
      <c r="CN198" t="e">
        <f>'All regions'!A5497+"$F;@!)Iv"</f>
        <v>#VALUE!</v>
      </c>
      <c r="CO198" t="e">
        <f>'All regions'!B5497+"$F;@!)Iw"</f>
        <v>#VALUE!</v>
      </c>
      <c r="CP198" t="e">
        <f>'All regions'!C5497+"$F;@!)Ix"</f>
        <v>#VALUE!</v>
      </c>
      <c r="CQ198" t="e">
        <f>'All regions'!D5497+"$F;@!)Iy"</f>
        <v>#VALUE!</v>
      </c>
      <c r="CR198" t="e">
        <f>'All regions'!E5497+"$F;@!)Iz"</f>
        <v>#VALUE!</v>
      </c>
      <c r="CS198" t="e">
        <f>'All regions'!F5497+"$F;@!)I{"</f>
        <v>#VALUE!</v>
      </c>
      <c r="CT198" t="e">
        <f>'All regions'!G5497+"$F;@!)I|"</f>
        <v>#VALUE!</v>
      </c>
      <c r="CU198" t="e">
        <f>'All regions'!H5497+"$F;@!)I}"</f>
        <v>#VALUE!</v>
      </c>
      <c r="CV198" t="e">
        <f>'All regions'!I5497+"$F;@!)I~"</f>
        <v>#VALUE!</v>
      </c>
      <c r="CW198" t="e">
        <f>'All regions'!A5498+"$F;@!)J#"</f>
        <v>#VALUE!</v>
      </c>
      <c r="CX198" t="e">
        <f>'All regions'!B5498+"$F;@!)J$"</f>
        <v>#VALUE!</v>
      </c>
      <c r="CY198" t="e">
        <f>'All regions'!C5498+"$F;@!)J%"</f>
        <v>#VALUE!</v>
      </c>
      <c r="CZ198" t="e">
        <f>'All regions'!D5498+"$F;@!)J&amp;"</f>
        <v>#VALUE!</v>
      </c>
      <c r="DA198" t="e">
        <f>'All regions'!E5498+"$F;@!)J'"</f>
        <v>#VALUE!</v>
      </c>
      <c r="DB198" t="e">
        <f>'All regions'!F5498+"$F;@!)J("</f>
        <v>#VALUE!</v>
      </c>
      <c r="DC198" t="e">
        <f>'All regions'!G5498+"$F;@!)J)"</f>
        <v>#VALUE!</v>
      </c>
      <c r="DD198" t="e">
        <f>'All regions'!H5498+"$F;@!)J."</f>
        <v>#VALUE!</v>
      </c>
      <c r="DE198" t="e">
        <f>'All regions'!I5498+"$F;@!)J/"</f>
        <v>#VALUE!</v>
      </c>
      <c r="DF198" t="e">
        <f>'All regions'!A5499+"$F;@!)J0"</f>
        <v>#VALUE!</v>
      </c>
      <c r="DG198" t="e">
        <f>'All regions'!B5499+"$F;@!)J1"</f>
        <v>#VALUE!</v>
      </c>
      <c r="DH198" t="e">
        <f>'All regions'!C5499+"$F;@!)J2"</f>
        <v>#VALUE!</v>
      </c>
      <c r="DI198" t="e">
        <f>'All regions'!D5499+"$F;@!)J3"</f>
        <v>#VALUE!</v>
      </c>
      <c r="DJ198" t="e">
        <f>'All regions'!E5499+"$F;@!)J4"</f>
        <v>#VALUE!</v>
      </c>
      <c r="DK198" t="e">
        <f>'All regions'!F5499+"$F;@!)J5"</f>
        <v>#VALUE!</v>
      </c>
      <c r="DL198" t="e">
        <f>'All regions'!G5499+"$F;@!)J6"</f>
        <v>#VALUE!</v>
      </c>
      <c r="DM198" t="e">
        <f>'All regions'!H5499+"$F;@!)J7"</f>
        <v>#VALUE!</v>
      </c>
      <c r="DN198" t="e">
        <f>'All regions'!I5499+"$F;@!)J8"</f>
        <v>#VALUE!</v>
      </c>
      <c r="DO198" t="e">
        <f>'All regions'!A5500+"$F;@!)J9"</f>
        <v>#VALUE!</v>
      </c>
      <c r="DP198" t="e">
        <f>'All regions'!B5500+"$F;@!)J:"</f>
        <v>#VALUE!</v>
      </c>
      <c r="DQ198" t="e">
        <f>'All regions'!C5500+"$F;@!)J;"</f>
        <v>#VALUE!</v>
      </c>
      <c r="DR198" t="e">
        <f>'All regions'!D5500+"$F;@!)J&lt;"</f>
        <v>#VALUE!</v>
      </c>
      <c r="DS198" t="e">
        <f>'All regions'!E5500+"$F;@!)J="</f>
        <v>#VALUE!</v>
      </c>
      <c r="DT198" t="e">
        <f>'All regions'!F5500+"$F;@!)J&gt;"</f>
        <v>#VALUE!</v>
      </c>
      <c r="DU198" t="e">
        <f>'All regions'!G5500+"$F;@!)J?"</f>
        <v>#VALUE!</v>
      </c>
      <c r="DV198" t="e">
        <f>'All regions'!H5500+"$F;@!)J@"</f>
        <v>#VALUE!</v>
      </c>
      <c r="DW198" t="e">
        <f>'All regions'!I5500+"$F;@!)JA"</f>
        <v>#VALUE!</v>
      </c>
      <c r="DX198" t="e">
        <f>'All regions'!A5501+"$F;@!)JB"</f>
        <v>#VALUE!</v>
      </c>
      <c r="DY198" t="e">
        <f>'All regions'!B5501+"$F;@!)JC"</f>
        <v>#VALUE!</v>
      </c>
      <c r="DZ198" t="e">
        <f>'All regions'!C5501+"$F;@!)JD"</f>
        <v>#VALUE!</v>
      </c>
      <c r="EA198" t="e">
        <f>'All regions'!D5501+"$F;@!)JE"</f>
        <v>#VALUE!</v>
      </c>
      <c r="EB198" t="e">
        <f>'All regions'!E5501+"$F;@!)JF"</f>
        <v>#VALUE!</v>
      </c>
      <c r="EC198" t="e">
        <f>'All regions'!F5501+"$F;@!)JG"</f>
        <v>#VALUE!</v>
      </c>
      <c r="ED198" t="e">
        <f>'All regions'!G5501+"$F;@!)JH"</f>
        <v>#VALUE!</v>
      </c>
      <c r="EE198" t="e">
        <f>'All regions'!H5501+"$F;@!)JI"</f>
        <v>#VALUE!</v>
      </c>
      <c r="EF198" t="e">
        <f>'All regions'!I5501+"$F;@!)JJ"</f>
        <v>#VALUE!</v>
      </c>
      <c r="EG198" t="e">
        <f>'All regions'!A5502+"$F;@!)JK"</f>
        <v>#VALUE!</v>
      </c>
      <c r="EH198" t="e">
        <f>'All regions'!B5502+"$F;@!)JL"</f>
        <v>#VALUE!</v>
      </c>
      <c r="EI198" t="e">
        <f>'All regions'!C5502+"$F;@!)JM"</f>
        <v>#VALUE!</v>
      </c>
      <c r="EJ198" t="e">
        <f>'All regions'!D5502+"$F;@!)JN"</f>
        <v>#VALUE!</v>
      </c>
      <c r="EK198" t="e">
        <f>'All regions'!E5502+"$F;@!)JO"</f>
        <v>#VALUE!</v>
      </c>
      <c r="EL198" t="e">
        <f>'All regions'!F5502+"$F;@!)JP"</f>
        <v>#VALUE!</v>
      </c>
      <c r="EM198" t="e">
        <f>'All regions'!G5502+"$F;@!)JQ"</f>
        <v>#VALUE!</v>
      </c>
      <c r="EN198" t="e">
        <f>'All regions'!H5502+"$F;@!)JR"</f>
        <v>#VALUE!</v>
      </c>
      <c r="EO198" t="e">
        <f>'All regions'!I5502+"$F;@!)JS"</f>
        <v>#VALUE!</v>
      </c>
      <c r="EP198" t="e">
        <f>'All regions'!A5503+"$F;@!)JT"</f>
        <v>#VALUE!</v>
      </c>
      <c r="EQ198" t="e">
        <f>'All regions'!B5503+"$F;@!)JU"</f>
        <v>#VALUE!</v>
      </c>
      <c r="ER198" t="e">
        <f>'All regions'!C5503+"$F;@!)JV"</f>
        <v>#VALUE!</v>
      </c>
      <c r="ES198" t="e">
        <f>'All regions'!D5503+"$F;@!)JW"</f>
        <v>#VALUE!</v>
      </c>
      <c r="ET198" t="e">
        <f>'All regions'!E5503+"$F;@!)JX"</f>
        <v>#VALUE!</v>
      </c>
      <c r="EU198" t="e">
        <f>'All regions'!F5503+"$F;@!)JY"</f>
        <v>#VALUE!</v>
      </c>
      <c r="EV198" t="e">
        <f>'All regions'!G5503+"$F;@!)JZ"</f>
        <v>#VALUE!</v>
      </c>
      <c r="EW198" t="e">
        <f>'All regions'!H5503+"$F;@!)J["</f>
        <v>#VALUE!</v>
      </c>
      <c r="EX198" t="e">
        <f>'All regions'!I5503+"$F;@!)J\"</f>
        <v>#VALUE!</v>
      </c>
      <c r="EY198" t="e">
        <f>'All regions'!A5504+"$F;@!)J]"</f>
        <v>#VALUE!</v>
      </c>
      <c r="EZ198" t="e">
        <f>'All regions'!B5504+"$F;@!)J^"</f>
        <v>#VALUE!</v>
      </c>
      <c r="FA198" t="e">
        <f>'All regions'!C5504+"$F;@!)J_"</f>
        <v>#VALUE!</v>
      </c>
      <c r="FB198" t="e">
        <f>'All regions'!D5504+"$F;@!)J`"</f>
        <v>#VALUE!</v>
      </c>
      <c r="FC198" t="e">
        <f>'All regions'!E5504+"$F;@!)Ja"</f>
        <v>#VALUE!</v>
      </c>
      <c r="FD198" t="e">
        <f>'All regions'!F5504+"$F;@!)Jb"</f>
        <v>#VALUE!</v>
      </c>
      <c r="FE198" t="e">
        <f>'All regions'!G5504+"$F;@!)Jc"</f>
        <v>#VALUE!</v>
      </c>
      <c r="FF198" t="e">
        <f>'All regions'!H5504+"$F;@!)Jd"</f>
        <v>#VALUE!</v>
      </c>
      <c r="FG198" t="e">
        <f>'All regions'!I5504+"$F;@!)Je"</f>
        <v>#VALUE!</v>
      </c>
      <c r="FH198" t="e">
        <f>'All regions'!A5505+"$F;@!)Jf"</f>
        <v>#VALUE!</v>
      </c>
      <c r="FI198" t="e">
        <f>'All regions'!B5505+"$F;@!)Jg"</f>
        <v>#VALUE!</v>
      </c>
      <c r="FJ198" t="e">
        <f>'All regions'!C5505+"$F;@!)Jh"</f>
        <v>#VALUE!</v>
      </c>
      <c r="FK198" t="e">
        <f>'All regions'!D5505+"$F;@!)Ji"</f>
        <v>#VALUE!</v>
      </c>
      <c r="FL198" t="e">
        <f>'All regions'!E5505+"$F;@!)Jj"</f>
        <v>#VALUE!</v>
      </c>
      <c r="FM198" t="e">
        <f>'All regions'!F5505+"$F;@!)Jk"</f>
        <v>#VALUE!</v>
      </c>
      <c r="FN198" t="e">
        <f>'All regions'!G5505+"$F;@!)Jl"</f>
        <v>#VALUE!</v>
      </c>
      <c r="FO198" t="e">
        <f>'All regions'!H5505+"$F;@!)Jm"</f>
        <v>#VALUE!</v>
      </c>
      <c r="FP198" t="e">
        <f>'All regions'!I5505+"$F;@!)Jn"</f>
        <v>#VALUE!</v>
      </c>
      <c r="FQ198" t="e">
        <f>'All regions'!A5506+"$F;@!)Jo"</f>
        <v>#VALUE!</v>
      </c>
      <c r="FR198" t="e">
        <f>'All regions'!B5506+"$F;@!)Jp"</f>
        <v>#VALUE!</v>
      </c>
      <c r="FS198" t="e">
        <f>'All regions'!C5506+"$F;@!)Jq"</f>
        <v>#VALUE!</v>
      </c>
      <c r="FT198" t="e">
        <f>'All regions'!D5506+"$F;@!)Jr"</f>
        <v>#VALUE!</v>
      </c>
      <c r="FU198" t="e">
        <f>'All regions'!E5506+"$F;@!)Js"</f>
        <v>#VALUE!</v>
      </c>
      <c r="FV198" t="e">
        <f>'All regions'!F5506+"$F;@!)Jt"</f>
        <v>#VALUE!</v>
      </c>
      <c r="FW198" t="e">
        <f>'All regions'!G5506+"$F;@!)Ju"</f>
        <v>#VALUE!</v>
      </c>
      <c r="FX198" t="e">
        <f>'All regions'!H5506+"$F;@!)Jv"</f>
        <v>#VALUE!</v>
      </c>
      <c r="FY198" t="e">
        <f>'All regions'!I5506+"$F;@!)Jw"</f>
        <v>#VALUE!</v>
      </c>
      <c r="FZ198" t="e">
        <f>'All regions'!A5507+"$F;@!)Jx"</f>
        <v>#VALUE!</v>
      </c>
      <c r="GA198" t="e">
        <f>'All regions'!B5507+"$F;@!)Jy"</f>
        <v>#VALUE!</v>
      </c>
      <c r="GB198" t="e">
        <f>'All regions'!C5507+"$F;@!)Jz"</f>
        <v>#VALUE!</v>
      </c>
      <c r="GC198" t="e">
        <f>'All regions'!D5507+"$F;@!)J{"</f>
        <v>#VALUE!</v>
      </c>
      <c r="GD198" t="e">
        <f>'All regions'!E5507+"$F;@!)J|"</f>
        <v>#VALUE!</v>
      </c>
      <c r="GE198" t="e">
        <f>'All regions'!F5507+"$F;@!)J}"</f>
        <v>#VALUE!</v>
      </c>
      <c r="GF198" t="e">
        <f>'All regions'!G5507+"$F;@!)J~"</f>
        <v>#VALUE!</v>
      </c>
      <c r="GG198" t="e">
        <f>'All regions'!H5507+"$F;@!)K#"</f>
        <v>#VALUE!</v>
      </c>
      <c r="GH198" t="e">
        <f>'All regions'!I5507+"$F;@!)K$"</f>
        <v>#VALUE!</v>
      </c>
      <c r="GI198" t="e">
        <f>'All regions'!A5508+"$F;@!)K%"</f>
        <v>#VALUE!</v>
      </c>
      <c r="GJ198" t="e">
        <f>'All regions'!B5508+"$F;@!)K&amp;"</f>
        <v>#VALUE!</v>
      </c>
      <c r="GK198" t="e">
        <f>'All regions'!C5508+"$F;@!)K'"</f>
        <v>#VALUE!</v>
      </c>
      <c r="GL198" t="e">
        <f>'All regions'!D5508+"$F;@!)K("</f>
        <v>#VALUE!</v>
      </c>
      <c r="GM198" t="e">
        <f>'All regions'!E5508+"$F;@!)K)"</f>
        <v>#VALUE!</v>
      </c>
      <c r="GN198" t="e">
        <f>'All regions'!F5508+"$F;@!)K."</f>
        <v>#VALUE!</v>
      </c>
      <c r="GO198" t="e">
        <f>'All regions'!G5508+"$F;@!)K/"</f>
        <v>#VALUE!</v>
      </c>
      <c r="GP198" t="e">
        <f>'All regions'!H5508+"$F;@!)K0"</f>
        <v>#VALUE!</v>
      </c>
      <c r="GQ198" t="e">
        <f>'All regions'!I5508+"$F;@!)K1"</f>
        <v>#VALUE!</v>
      </c>
      <c r="GR198" t="e">
        <f>'All regions'!A5509+"$F;@!)K2"</f>
        <v>#VALUE!</v>
      </c>
      <c r="GS198" t="e">
        <f>'All regions'!B5509+"$F;@!)K3"</f>
        <v>#VALUE!</v>
      </c>
      <c r="GT198" t="e">
        <f>'All regions'!C5509+"$F;@!)K4"</f>
        <v>#VALUE!</v>
      </c>
      <c r="GU198" t="e">
        <f>'All regions'!D5509+"$F;@!)K5"</f>
        <v>#VALUE!</v>
      </c>
      <c r="GV198" t="e">
        <f>'All regions'!E5509+"$F;@!)K6"</f>
        <v>#VALUE!</v>
      </c>
      <c r="GW198" t="e">
        <f>'All regions'!F5509+"$F;@!)K7"</f>
        <v>#VALUE!</v>
      </c>
      <c r="GX198" t="e">
        <f>'All regions'!G5509+"$F;@!)K8"</f>
        <v>#VALUE!</v>
      </c>
      <c r="GY198" t="e">
        <f>'All regions'!H5509+"$F;@!)K9"</f>
        <v>#VALUE!</v>
      </c>
      <c r="GZ198" t="e">
        <f>'All regions'!I5509+"$F;@!)K:"</f>
        <v>#VALUE!</v>
      </c>
      <c r="HA198" t="e">
        <f>'All regions'!A5510+"$F;@!)K;"</f>
        <v>#VALUE!</v>
      </c>
      <c r="HB198" t="e">
        <f>'All regions'!B5510+"$F;@!)K&lt;"</f>
        <v>#VALUE!</v>
      </c>
      <c r="HC198" t="e">
        <f>'All regions'!C5510+"$F;@!)K="</f>
        <v>#VALUE!</v>
      </c>
      <c r="HD198" t="e">
        <f>'All regions'!D5510+"$F;@!)K&gt;"</f>
        <v>#VALUE!</v>
      </c>
      <c r="HE198" t="e">
        <f>'All regions'!E5510+"$F;@!)K?"</f>
        <v>#VALUE!</v>
      </c>
      <c r="HF198" t="e">
        <f>'All regions'!F5510+"$F;@!)K@"</f>
        <v>#VALUE!</v>
      </c>
      <c r="HG198" t="e">
        <f>'All regions'!G5510+"$F;@!)KA"</f>
        <v>#VALUE!</v>
      </c>
      <c r="HH198" t="e">
        <f>'All regions'!H5510+"$F;@!)KB"</f>
        <v>#VALUE!</v>
      </c>
      <c r="HI198" t="e">
        <f>'All regions'!I5510+"$F;@!)KC"</f>
        <v>#VALUE!</v>
      </c>
      <c r="HJ198" t="e">
        <f>'All regions'!A5511+"$F;@!)KD"</f>
        <v>#VALUE!</v>
      </c>
      <c r="HK198" t="e">
        <f>'All regions'!B5511+"$F;@!)KE"</f>
        <v>#VALUE!</v>
      </c>
      <c r="HL198" t="e">
        <f>'All regions'!C5511+"$F;@!)KF"</f>
        <v>#VALUE!</v>
      </c>
      <c r="HM198" t="e">
        <f>'All regions'!D5511+"$F;@!)KG"</f>
        <v>#VALUE!</v>
      </c>
      <c r="HN198" t="e">
        <f>'All regions'!E5511+"$F;@!)KH"</f>
        <v>#VALUE!</v>
      </c>
      <c r="HO198" t="e">
        <f>'All regions'!F5511+"$F;@!)KI"</f>
        <v>#VALUE!</v>
      </c>
      <c r="HP198" t="e">
        <f>'All regions'!G5511+"$F;@!)KJ"</f>
        <v>#VALUE!</v>
      </c>
      <c r="HQ198" t="e">
        <f>'All regions'!H5511+"$F;@!)KK"</f>
        <v>#VALUE!</v>
      </c>
      <c r="HR198" t="e">
        <f>'All regions'!I5511+"$F;@!)KL"</f>
        <v>#VALUE!</v>
      </c>
      <c r="HS198" t="e">
        <f>'All regions'!A5512+"$F;@!)KM"</f>
        <v>#VALUE!</v>
      </c>
      <c r="HT198" t="e">
        <f>'All regions'!B5512+"$F;@!)KN"</f>
        <v>#VALUE!</v>
      </c>
      <c r="HU198" t="e">
        <f>'All regions'!C5512+"$F;@!)KO"</f>
        <v>#VALUE!</v>
      </c>
      <c r="HV198" t="e">
        <f>'All regions'!D5512+"$F;@!)KP"</f>
        <v>#VALUE!</v>
      </c>
      <c r="HW198" t="e">
        <f>'All regions'!E5512+"$F;@!)KQ"</f>
        <v>#VALUE!</v>
      </c>
      <c r="HX198" t="e">
        <f>'All regions'!F5512+"$F;@!)KR"</f>
        <v>#VALUE!</v>
      </c>
      <c r="HY198" t="e">
        <f>'All regions'!G5512+"$F;@!)KS"</f>
        <v>#VALUE!</v>
      </c>
      <c r="HZ198" t="e">
        <f>'All regions'!H5512+"$F;@!)KT"</f>
        <v>#VALUE!</v>
      </c>
      <c r="IA198" t="e">
        <f>'All regions'!I5512+"$F;@!)KU"</f>
        <v>#VALUE!</v>
      </c>
      <c r="IB198" t="e">
        <f>'All regions'!A5513+"$F;@!)KV"</f>
        <v>#VALUE!</v>
      </c>
      <c r="IC198" t="e">
        <f>'All regions'!B5513+"$F;@!)KW"</f>
        <v>#VALUE!</v>
      </c>
      <c r="ID198" t="e">
        <f>'All regions'!C5513+"$F;@!)KX"</f>
        <v>#VALUE!</v>
      </c>
      <c r="IE198" t="e">
        <f>'All regions'!D5513+"$F;@!)KY"</f>
        <v>#VALUE!</v>
      </c>
      <c r="IF198" t="e">
        <f>'All regions'!E5513+"$F;@!)KZ"</f>
        <v>#VALUE!</v>
      </c>
      <c r="IG198" t="e">
        <f>'All regions'!F5513+"$F;@!)K["</f>
        <v>#VALUE!</v>
      </c>
      <c r="IH198" t="e">
        <f>'All regions'!G5513+"$F;@!)K\"</f>
        <v>#VALUE!</v>
      </c>
      <c r="II198" t="e">
        <f>'All regions'!H5513+"$F;@!)K]"</f>
        <v>#VALUE!</v>
      </c>
      <c r="IJ198" t="e">
        <f>'All regions'!I5513+"$F;@!)K^"</f>
        <v>#VALUE!</v>
      </c>
      <c r="IK198" t="e">
        <f>'All regions'!A5514+"$F;@!)K_"</f>
        <v>#VALUE!</v>
      </c>
      <c r="IL198" t="e">
        <f>'All regions'!B5514+"$F;@!)K`"</f>
        <v>#VALUE!</v>
      </c>
      <c r="IM198" t="e">
        <f>'All regions'!C5514+"$F;@!)Ka"</f>
        <v>#VALUE!</v>
      </c>
      <c r="IN198" t="e">
        <f>'All regions'!D5514+"$F;@!)Kb"</f>
        <v>#VALUE!</v>
      </c>
      <c r="IO198" t="e">
        <f>'All regions'!E5514+"$F;@!)Kc"</f>
        <v>#VALUE!</v>
      </c>
      <c r="IP198" t="e">
        <f>'All regions'!F5514+"$F;@!)Kd"</f>
        <v>#VALUE!</v>
      </c>
      <c r="IQ198" t="e">
        <f>'All regions'!G5514+"$F;@!)Ke"</f>
        <v>#VALUE!</v>
      </c>
      <c r="IR198" t="e">
        <f>'All regions'!H5514+"$F;@!)Kf"</f>
        <v>#VALUE!</v>
      </c>
      <c r="IS198" t="e">
        <f>'All regions'!I5514+"$F;@!)Kg"</f>
        <v>#VALUE!</v>
      </c>
      <c r="IT198" t="e">
        <f>'All regions'!A5515+"$F;@!)Kh"</f>
        <v>#VALUE!</v>
      </c>
      <c r="IU198" t="e">
        <f>'All regions'!B5515+"$F;@!)Ki"</f>
        <v>#VALUE!</v>
      </c>
      <c r="IV198" t="e">
        <f>'All regions'!C5515+"$F;@!)Kj"</f>
        <v>#VALUE!</v>
      </c>
    </row>
    <row r="199" spans="6:256" x14ac:dyDescent="0.35">
      <c r="F199" t="e">
        <f>'All regions'!D5515+"$F;@!)Kk"</f>
        <v>#VALUE!</v>
      </c>
      <c r="G199" t="e">
        <f>'All regions'!E5515+"$F;@!)Kl"</f>
        <v>#VALUE!</v>
      </c>
      <c r="H199" t="e">
        <f>'All regions'!F5515+"$F;@!)Km"</f>
        <v>#VALUE!</v>
      </c>
      <c r="I199" t="e">
        <f>'All regions'!G5515+"$F;@!)Kn"</f>
        <v>#VALUE!</v>
      </c>
      <c r="J199" t="e">
        <f>'All regions'!H5515+"$F;@!)Ko"</f>
        <v>#VALUE!</v>
      </c>
      <c r="K199" t="e">
        <f>'All regions'!I5515+"$F;@!)Kp"</f>
        <v>#VALUE!</v>
      </c>
      <c r="L199" t="e">
        <f>'All regions'!A5516+"$F;@!)Kq"</f>
        <v>#VALUE!</v>
      </c>
      <c r="M199" t="e">
        <f>'All regions'!B5516+"$F;@!)Kr"</f>
        <v>#VALUE!</v>
      </c>
      <c r="N199" t="e">
        <f>'All regions'!C5516+"$F;@!)Ks"</f>
        <v>#VALUE!</v>
      </c>
      <c r="O199" t="e">
        <f>'All regions'!D5516+"$F;@!)Kt"</f>
        <v>#VALUE!</v>
      </c>
      <c r="P199" t="e">
        <f>'All regions'!E5516+"$F;@!)Ku"</f>
        <v>#VALUE!</v>
      </c>
      <c r="Q199" t="e">
        <f>'All regions'!F5516+"$F;@!)Kv"</f>
        <v>#VALUE!</v>
      </c>
      <c r="R199" t="e">
        <f>'All regions'!G5516+"$F;@!)Kw"</f>
        <v>#VALUE!</v>
      </c>
      <c r="S199" t="e">
        <f>'All regions'!H5516+"$F;@!)Kx"</f>
        <v>#VALUE!</v>
      </c>
      <c r="T199" t="e">
        <f>'All regions'!I5516+"$F;@!)Ky"</f>
        <v>#VALUE!</v>
      </c>
      <c r="U199" t="e">
        <f>'All regions'!A5517+"$F;@!)Kz"</f>
        <v>#VALUE!</v>
      </c>
      <c r="V199" t="e">
        <f>'All regions'!B5517+"$F;@!)K{"</f>
        <v>#VALUE!</v>
      </c>
      <c r="W199" t="e">
        <f>'All regions'!C5517+"$F;@!)K|"</f>
        <v>#VALUE!</v>
      </c>
      <c r="X199" t="e">
        <f>'All regions'!D5517+"$F;@!)K}"</f>
        <v>#VALUE!</v>
      </c>
      <c r="Y199" t="e">
        <f>'All regions'!E5517+"$F;@!)K~"</f>
        <v>#VALUE!</v>
      </c>
      <c r="Z199" t="e">
        <f>'All regions'!F5517+"$F;@!)L#"</f>
        <v>#VALUE!</v>
      </c>
      <c r="AA199" t="e">
        <f>'All regions'!G5517+"$F;@!)L$"</f>
        <v>#VALUE!</v>
      </c>
      <c r="AB199" t="e">
        <f>'All regions'!H5517+"$F;@!)L%"</f>
        <v>#VALUE!</v>
      </c>
      <c r="AC199" t="e">
        <f>'All regions'!I5517+"$F;@!)L&amp;"</f>
        <v>#VALUE!</v>
      </c>
      <c r="AD199" t="e">
        <f>'All regions'!A5518+"$F;@!)L'"</f>
        <v>#VALUE!</v>
      </c>
      <c r="AE199" t="e">
        <f>'All regions'!B5518+"$F;@!)L("</f>
        <v>#VALUE!</v>
      </c>
      <c r="AF199" t="e">
        <f>'All regions'!C5518+"$F;@!)L)"</f>
        <v>#VALUE!</v>
      </c>
      <c r="AG199" t="e">
        <f>'All regions'!D5518+"$F;@!)L."</f>
        <v>#VALUE!</v>
      </c>
      <c r="AH199" t="e">
        <f>'All regions'!E5518+"$F;@!)L/"</f>
        <v>#VALUE!</v>
      </c>
      <c r="AI199" t="e">
        <f>'All regions'!F5518+"$F;@!)L0"</f>
        <v>#VALUE!</v>
      </c>
      <c r="AJ199" t="e">
        <f>'All regions'!G5518+"$F;@!)L1"</f>
        <v>#VALUE!</v>
      </c>
      <c r="AK199" t="e">
        <f>'All regions'!H5518+"$F;@!)L2"</f>
        <v>#VALUE!</v>
      </c>
      <c r="AL199" t="e">
        <f>'All regions'!I5518+"$F;@!)L3"</f>
        <v>#VALUE!</v>
      </c>
      <c r="AM199" t="e">
        <f>'All regions'!A5519+"$F;@!)L4"</f>
        <v>#VALUE!</v>
      </c>
      <c r="AN199" t="e">
        <f>'All regions'!B5519+"$F;@!)L5"</f>
        <v>#VALUE!</v>
      </c>
      <c r="AO199" t="e">
        <f>'All regions'!C5519+"$F;@!)L6"</f>
        <v>#VALUE!</v>
      </c>
      <c r="AP199" t="e">
        <f>'All regions'!D5519+"$F;@!)L7"</f>
        <v>#VALUE!</v>
      </c>
      <c r="AQ199" t="e">
        <f>'All regions'!E5519+"$F;@!)L8"</f>
        <v>#VALUE!</v>
      </c>
      <c r="AR199" t="e">
        <f>'All regions'!F5519+"$F;@!)L9"</f>
        <v>#VALUE!</v>
      </c>
      <c r="AS199" t="e">
        <f>'All regions'!G5519+"$F;@!)L:"</f>
        <v>#VALUE!</v>
      </c>
      <c r="AT199" t="e">
        <f>'All regions'!H5519+"$F;@!)L;"</f>
        <v>#VALUE!</v>
      </c>
      <c r="AU199" t="e">
        <f>'All regions'!I5519+"$F;@!)L&lt;"</f>
        <v>#VALUE!</v>
      </c>
      <c r="AV199" t="e">
        <f>'All regions'!A5520+"$F;@!)L="</f>
        <v>#VALUE!</v>
      </c>
      <c r="AW199" t="e">
        <f>'All regions'!B5520+"$F;@!)L&gt;"</f>
        <v>#VALUE!</v>
      </c>
      <c r="AX199" t="e">
        <f>'All regions'!C5520+"$F;@!)L?"</f>
        <v>#VALUE!</v>
      </c>
      <c r="AY199" t="e">
        <f>'All regions'!D5520+"$F;@!)L@"</f>
        <v>#VALUE!</v>
      </c>
      <c r="AZ199" t="e">
        <f>'All regions'!E5520+"$F;@!)LA"</f>
        <v>#VALUE!</v>
      </c>
      <c r="BA199" t="e">
        <f>'All regions'!F5520+"$F;@!)LB"</f>
        <v>#VALUE!</v>
      </c>
      <c r="BB199" t="e">
        <f>'All regions'!G5520+"$F;@!)LC"</f>
        <v>#VALUE!</v>
      </c>
      <c r="BC199" t="e">
        <f>'All regions'!H5520+"$F;@!)LD"</f>
        <v>#VALUE!</v>
      </c>
      <c r="BD199" t="e">
        <f>'All regions'!I5520+"$F;@!)LE"</f>
        <v>#VALUE!</v>
      </c>
      <c r="BE199" t="e">
        <f>'All regions'!A5521+"$F;@!)LF"</f>
        <v>#VALUE!</v>
      </c>
      <c r="BF199" t="e">
        <f>'All regions'!B5521+"$F;@!)LG"</f>
        <v>#VALUE!</v>
      </c>
      <c r="BG199" t="e">
        <f>'All regions'!C5521+"$F;@!)LH"</f>
        <v>#VALUE!</v>
      </c>
      <c r="BH199" t="e">
        <f>'All regions'!D5521+"$F;@!)LI"</f>
        <v>#VALUE!</v>
      </c>
      <c r="BI199" t="e">
        <f>'All regions'!E5521+"$F;@!)LJ"</f>
        <v>#VALUE!</v>
      </c>
      <c r="BJ199" t="e">
        <f>'All regions'!F5521+"$F;@!)LK"</f>
        <v>#VALUE!</v>
      </c>
      <c r="BK199" t="e">
        <f>'All regions'!G5521+"$F;@!)LL"</f>
        <v>#VALUE!</v>
      </c>
      <c r="BL199" t="e">
        <f>'All regions'!H5521+"$F;@!)LM"</f>
        <v>#VALUE!</v>
      </c>
      <c r="BM199" t="e">
        <f>'All regions'!I5521+"$F;@!)LN"</f>
        <v>#VALUE!</v>
      </c>
      <c r="BN199" t="e">
        <f>'All regions'!A5522+"$F;@!)LO"</f>
        <v>#VALUE!</v>
      </c>
      <c r="BO199" t="e">
        <f>'All regions'!B5522+"$F;@!)LP"</f>
        <v>#VALUE!</v>
      </c>
      <c r="BP199" t="e">
        <f>'All regions'!C5522+"$F;@!)LQ"</f>
        <v>#VALUE!</v>
      </c>
      <c r="BQ199" t="e">
        <f>'All regions'!D5522+"$F;@!)LR"</f>
        <v>#VALUE!</v>
      </c>
      <c r="BR199" t="e">
        <f>'All regions'!E5522+"$F;@!)LS"</f>
        <v>#VALUE!</v>
      </c>
      <c r="BS199" t="e">
        <f>'All regions'!F5522+"$F;@!)LT"</f>
        <v>#VALUE!</v>
      </c>
      <c r="BT199" t="e">
        <f>'All regions'!G5522+"$F;@!)LU"</f>
        <v>#VALUE!</v>
      </c>
      <c r="BU199" t="e">
        <f>'All regions'!H5522+"$F;@!)LV"</f>
        <v>#VALUE!</v>
      </c>
      <c r="BV199" t="e">
        <f>'All regions'!I5522+"$F;@!)LW"</f>
        <v>#VALUE!</v>
      </c>
      <c r="BW199" t="e">
        <f>'All regions'!A5523+"$F;@!)LX"</f>
        <v>#VALUE!</v>
      </c>
      <c r="BX199" t="e">
        <f>'All regions'!B5523+"$F;@!)LY"</f>
        <v>#VALUE!</v>
      </c>
      <c r="BY199" t="e">
        <f>'All regions'!C5523+"$F;@!)LZ"</f>
        <v>#VALUE!</v>
      </c>
      <c r="BZ199" t="e">
        <f>'All regions'!D5523+"$F;@!)L["</f>
        <v>#VALUE!</v>
      </c>
      <c r="CA199" t="e">
        <f>'All regions'!E5523+"$F;@!)L\"</f>
        <v>#VALUE!</v>
      </c>
      <c r="CB199" t="e">
        <f>'All regions'!F5523+"$F;@!)L]"</f>
        <v>#VALUE!</v>
      </c>
      <c r="CC199" t="e">
        <f>'All regions'!G5523+"$F;@!)L^"</f>
        <v>#VALUE!</v>
      </c>
      <c r="CD199" t="e">
        <f>'All regions'!H5523+"$F;@!)L_"</f>
        <v>#VALUE!</v>
      </c>
      <c r="CE199" t="e">
        <f>'All regions'!I5523+"$F;@!)L`"</f>
        <v>#VALUE!</v>
      </c>
      <c r="CF199" t="e">
        <f>'All regions'!A5524+"$F;@!)La"</f>
        <v>#VALUE!</v>
      </c>
      <c r="CG199" t="e">
        <f>'All regions'!B5524+"$F;@!)Lb"</f>
        <v>#VALUE!</v>
      </c>
      <c r="CH199" t="e">
        <f>'All regions'!C5524+"$F;@!)Lc"</f>
        <v>#VALUE!</v>
      </c>
      <c r="CI199" t="e">
        <f>'All regions'!D5524+"$F;@!)Ld"</f>
        <v>#VALUE!</v>
      </c>
      <c r="CJ199" t="e">
        <f>'All regions'!E5524+"$F;@!)Le"</f>
        <v>#VALUE!</v>
      </c>
      <c r="CK199" t="e">
        <f>'All regions'!F5524+"$F;@!)Lf"</f>
        <v>#VALUE!</v>
      </c>
      <c r="CL199" t="e">
        <f>'All regions'!G5524+"$F;@!)Lg"</f>
        <v>#VALUE!</v>
      </c>
      <c r="CM199" t="e">
        <f>'All regions'!H5524+"$F;@!)Lh"</f>
        <v>#VALUE!</v>
      </c>
      <c r="CN199" t="e">
        <f>'All regions'!I5524+"$F;@!)Li"</f>
        <v>#VALUE!</v>
      </c>
      <c r="CO199" t="e">
        <f>'All regions'!A5525+"$F;@!)Lj"</f>
        <v>#VALUE!</v>
      </c>
      <c r="CP199" t="e">
        <f>'All regions'!B5525+"$F;@!)Lk"</f>
        <v>#VALUE!</v>
      </c>
      <c r="CQ199" t="e">
        <f>'All regions'!C5525+"$F;@!)Ll"</f>
        <v>#VALUE!</v>
      </c>
      <c r="CR199" t="e">
        <f>'All regions'!D5525+"$F;@!)Lm"</f>
        <v>#VALUE!</v>
      </c>
      <c r="CS199" t="e">
        <f>'All regions'!E5525+"$F;@!)Ln"</f>
        <v>#VALUE!</v>
      </c>
      <c r="CT199" t="e">
        <f>'All regions'!F5525+"$F;@!)Lo"</f>
        <v>#VALUE!</v>
      </c>
      <c r="CU199" t="e">
        <f>'All regions'!G5525+"$F;@!)Lp"</f>
        <v>#VALUE!</v>
      </c>
      <c r="CV199" t="e">
        <f>'All regions'!H5525+"$F;@!)Lq"</f>
        <v>#VALUE!</v>
      </c>
      <c r="CW199" t="e">
        <f>'All regions'!I5525+"$F;@!)Lr"</f>
        <v>#VALUE!</v>
      </c>
      <c r="CX199" t="e">
        <f>'All regions'!A5526+"$F;@!)Ls"</f>
        <v>#VALUE!</v>
      </c>
      <c r="CY199" t="e">
        <f>'All regions'!B5526+"$F;@!)Lt"</f>
        <v>#VALUE!</v>
      </c>
      <c r="CZ199" t="e">
        <f>'All regions'!C5526+"$F;@!)Lu"</f>
        <v>#VALUE!</v>
      </c>
      <c r="DA199" t="e">
        <f>'All regions'!D5526+"$F;@!)Lv"</f>
        <v>#VALUE!</v>
      </c>
      <c r="DB199" t="e">
        <f>'All regions'!E5526+"$F;@!)Lw"</f>
        <v>#VALUE!</v>
      </c>
      <c r="DC199" t="e">
        <f>'All regions'!F5526+"$F;@!)Lx"</f>
        <v>#VALUE!</v>
      </c>
      <c r="DD199" t="e">
        <f>'All regions'!G5526+"$F;@!)Ly"</f>
        <v>#VALUE!</v>
      </c>
      <c r="DE199" t="e">
        <f>'All regions'!H5526+"$F;@!)Lz"</f>
        <v>#VALUE!</v>
      </c>
      <c r="DF199" t="e">
        <f>'All regions'!I5526+"$F;@!)L{"</f>
        <v>#VALUE!</v>
      </c>
      <c r="DG199" t="e">
        <f>'All regions'!A5527+"$F;@!)L|"</f>
        <v>#VALUE!</v>
      </c>
      <c r="DH199" t="e">
        <f>'All regions'!B5527+"$F;@!)L}"</f>
        <v>#VALUE!</v>
      </c>
      <c r="DI199" t="e">
        <f>'All regions'!C5527+"$F;@!)L~"</f>
        <v>#VALUE!</v>
      </c>
      <c r="DJ199" t="e">
        <f>'All regions'!D5527+"$F;@!)M#"</f>
        <v>#VALUE!</v>
      </c>
      <c r="DK199" t="e">
        <f>'All regions'!E5527+"$F;@!)M$"</f>
        <v>#VALUE!</v>
      </c>
      <c r="DL199" t="e">
        <f>'All regions'!F5527+"$F;@!)M%"</f>
        <v>#VALUE!</v>
      </c>
      <c r="DM199" t="e">
        <f>'All regions'!G5527+"$F;@!)M&amp;"</f>
        <v>#VALUE!</v>
      </c>
      <c r="DN199" t="e">
        <f>'All regions'!H5527+"$F;@!)M'"</f>
        <v>#VALUE!</v>
      </c>
      <c r="DO199" t="e">
        <f>'All regions'!I5527+"$F;@!)M("</f>
        <v>#VALUE!</v>
      </c>
      <c r="DP199" t="e">
        <f>'All regions'!A5528+"$F;@!)M)"</f>
        <v>#VALUE!</v>
      </c>
      <c r="DQ199" t="e">
        <f>'All regions'!B5528+"$F;@!)M."</f>
        <v>#VALUE!</v>
      </c>
      <c r="DR199" t="e">
        <f>'All regions'!C5528+"$F;@!)M/"</f>
        <v>#VALUE!</v>
      </c>
      <c r="DS199" t="e">
        <f>'All regions'!D5528+"$F;@!)M0"</f>
        <v>#VALUE!</v>
      </c>
      <c r="DT199" t="e">
        <f>'All regions'!E5528+"$F;@!)M1"</f>
        <v>#VALUE!</v>
      </c>
      <c r="DU199" t="e">
        <f>'All regions'!F5528+"$F;@!)M2"</f>
        <v>#VALUE!</v>
      </c>
      <c r="DV199" t="e">
        <f>'All regions'!G5528+"$F;@!)M3"</f>
        <v>#VALUE!</v>
      </c>
      <c r="DW199" t="e">
        <f>'All regions'!H5528+"$F;@!)M4"</f>
        <v>#VALUE!</v>
      </c>
      <c r="DX199" t="e">
        <f>'All regions'!I5528+"$F;@!)M5"</f>
        <v>#VALUE!</v>
      </c>
      <c r="DY199" t="e">
        <f>'All regions'!A5529+"$F;@!)M6"</f>
        <v>#VALUE!</v>
      </c>
      <c r="DZ199" t="e">
        <f>'All regions'!B5529+"$F;@!)M7"</f>
        <v>#VALUE!</v>
      </c>
      <c r="EA199" t="e">
        <f>'All regions'!C5529+"$F;@!)M8"</f>
        <v>#VALUE!</v>
      </c>
      <c r="EB199" t="e">
        <f>'All regions'!D5529+"$F;@!)M9"</f>
        <v>#VALUE!</v>
      </c>
      <c r="EC199" t="e">
        <f>'All regions'!E5529+"$F;@!)M:"</f>
        <v>#VALUE!</v>
      </c>
      <c r="ED199" t="e">
        <f>'All regions'!F5529+"$F;@!)M;"</f>
        <v>#VALUE!</v>
      </c>
      <c r="EE199" t="e">
        <f>'All regions'!G5529+"$F;@!)M&lt;"</f>
        <v>#VALUE!</v>
      </c>
      <c r="EF199" t="e">
        <f>'All regions'!H5529+"$F;@!)M="</f>
        <v>#VALUE!</v>
      </c>
      <c r="EG199" t="e">
        <f>'All regions'!I5529+"$F;@!)M&gt;"</f>
        <v>#VALUE!</v>
      </c>
      <c r="EH199" t="e">
        <f>'All regions'!A5530+"$F;@!)M?"</f>
        <v>#VALUE!</v>
      </c>
      <c r="EI199" t="e">
        <f>'All regions'!B5530+"$F;@!)M@"</f>
        <v>#VALUE!</v>
      </c>
      <c r="EJ199" t="e">
        <f>'All regions'!C5530+"$F;@!)MA"</f>
        <v>#VALUE!</v>
      </c>
      <c r="EK199" t="e">
        <f>'All regions'!D5530+"$F;@!)MB"</f>
        <v>#VALUE!</v>
      </c>
      <c r="EL199" t="e">
        <f>'All regions'!E5530+"$F;@!)MC"</f>
        <v>#VALUE!</v>
      </c>
      <c r="EM199" t="e">
        <f>'All regions'!F5530+"$F;@!)MD"</f>
        <v>#VALUE!</v>
      </c>
      <c r="EN199" t="e">
        <f>'All regions'!G5530+"$F;@!)ME"</f>
        <v>#VALUE!</v>
      </c>
      <c r="EO199" t="e">
        <f>'All regions'!H5530+"$F;@!)MF"</f>
        <v>#VALUE!</v>
      </c>
      <c r="EP199" t="e">
        <f>'All regions'!I5530+"$F;@!)MG"</f>
        <v>#VALUE!</v>
      </c>
      <c r="EQ199" t="e">
        <f>'All regions'!A5531+"$F;@!)MH"</f>
        <v>#VALUE!</v>
      </c>
      <c r="ER199" t="e">
        <f>'All regions'!B5531+"$F;@!)MI"</f>
        <v>#VALUE!</v>
      </c>
      <c r="ES199" t="e">
        <f>'All regions'!C5531+"$F;@!)MJ"</f>
        <v>#VALUE!</v>
      </c>
      <c r="ET199" t="e">
        <f>'All regions'!D5531+"$F;@!)MK"</f>
        <v>#VALUE!</v>
      </c>
      <c r="EU199" t="e">
        <f>'All regions'!E5531+"$F;@!)ML"</f>
        <v>#VALUE!</v>
      </c>
      <c r="EV199" t="e">
        <f>'All regions'!F5531+"$F;@!)MM"</f>
        <v>#VALUE!</v>
      </c>
      <c r="EW199" t="e">
        <f>'All regions'!G5531+"$F;@!)MN"</f>
        <v>#VALUE!</v>
      </c>
      <c r="EX199" t="e">
        <f>'All regions'!H5531+"$F;@!)MO"</f>
        <v>#VALUE!</v>
      </c>
      <c r="EY199" t="e">
        <f>'All regions'!I5531+"$F;@!)MP"</f>
        <v>#VALUE!</v>
      </c>
      <c r="EZ199" t="e">
        <f>'All regions'!A5532+"$F;@!)MQ"</f>
        <v>#VALUE!</v>
      </c>
      <c r="FA199" t="e">
        <f>'All regions'!B5532+"$F;@!)MR"</f>
        <v>#VALUE!</v>
      </c>
      <c r="FB199" t="e">
        <f>'All regions'!C5532+"$F;@!)MS"</f>
        <v>#VALUE!</v>
      </c>
      <c r="FC199" t="e">
        <f>'All regions'!D5532+"$F;@!)MT"</f>
        <v>#VALUE!</v>
      </c>
      <c r="FD199" t="e">
        <f>'All regions'!E5532+"$F;@!)MU"</f>
        <v>#VALUE!</v>
      </c>
      <c r="FE199" t="e">
        <f>'All regions'!F5532+"$F;@!)MV"</f>
        <v>#VALUE!</v>
      </c>
      <c r="FF199" t="e">
        <f>'All regions'!G5532+"$F;@!)MW"</f>
        <v>#VALUE!</v>
      </c>
      <c r="FG199" t="e">
        <f>'All regions'!H5532+"$F;@!)MX"</f>
        <v>#VALUE!</v>
      </c>
      <c r="FH199" t="e">
        <f>'All regions'!I5532+"$F;@!)MY"</f>
        <v>#VALUE!</v>
      </c>
      <c r="FI199" t="e">
        <f>'All regions'!A5533+"$F;@!)MZ"</f>
        <v>#VALUE!</v>
      </c>
      <c r="FJ199" t="e">
        <f>'All regions'!B5533+"$F;@!)M["</f>
        <v>#VALUE!</v>
      </c>
      <c r="FK199" t="e">
        <f>'All regions'!C5533+"$F;@!)M\"</f>
        <v>#VALUE!</v>
      </c>
      <c r="FL199" t="e">
        <f>'All regions'!D5533+"$F;@!)M]"</f>
        <v>#VALUE!</v>
      </c>
      <c r="FM199" t="e">
        <f>'All regions'!E5533+"$F;@!)M^"</f>
        <v>#VALUE!</v>
      </c>
      <c r="FN199" t="e">
        <f>'All regions'!F5533+"$F;@!)M_"</f>
        <v>#VALUE!</v>
      </c>
      <c r="FO199" t="e">
        <f>'All regions'!G5533+"$F;@!)M`"</f>
        <v>#VALUE!</v>
      </c>
      <c r="FP199" t="e">
        <f>'All regions'!H5533+"$F;@!)Ma"</f>
        <v>#VALUE!</v>
      </c>
      <c r="FQ199" t="e">
        <f>'All regions'!I5533+"$F;@!)Mb"</f>
        <v>#VALUE!</v>
      </c>
      <c r="FR199" t="e">
        <f>'All regions'!A5534+"$F;@!)Mc"</f>
        <v>#VALUE!</v>
      </c>
      <c r="FS199" t="e">
        <f>'All regions'!B5534+"$F;@!)Md"</f>
        <v>#VALUE!</v>
      </c>
      <c r="FT199" t="e">
        <f>'All regions'!C5534+"$F;@!)Me"</f>
        <v>#VALUE!</v>
      </c>
      <c r="FU199" t="e">
        <f>'All regions'!D5534+"$F;@!)Mf"</f>
        <v>#VALUE!</v>
      </c>
      <c r="FV199" t="e">
        <f>'All regions'!E5534+"$F;@!)Mg"</f>
        <v>#VALUE!</v>
      </c>
      <c r="FW199" t="e">
        <f>'All regions'!F5534+"$F;@!)Mh"</f>
        <v>#VALUE!</v>
      </c>
      <c r="FX199" t="e">
        <f>'All regions'!G5534+"$F;@!)Mi"</f>
        <v>#VALUE!</v>
      </c>
      <c r="FY199" t="e">
        <f>'All regions'!H5534+"$F;@!)Mj"</f>
        <v>#VALUE!</v>
      </c>
      <c r="FZ199" t="e">
        <f>'All regions'!I5534+"$F;@!)Mk"</f>
        <v>#VALUE!</v>
      </c>
      <c r="GA199" t="e">
        <f>'All regions'!A5535+"$F;@!)Ml"</f>
        <v>#VALUE!</v>
      </c>
      <c r="GB199" t="e">
        <f>'All regions'!B5535+"$F;@!)Mm"</f>
        <v>#VALUE!</v>
      </c>
      <c r="GC199" t="e">
        <f>'All regions'!C5535+"$F;@!)Mn"</f>
        <v>#VALUE!</v>
      </c>
      <c r="GD199" t="e">
        <f>'All regions'!D5535+"$F;@!)Mo"</f>
        <v>#VALUE!</v>
      </c>
      <c r="GE199" t="e">
        <f>'All regions'!E5535+"$F;@!)Mp"</f>
        <v>#VALUE!</v>
      </c>
      <c r="GF199" t="e">
        <f>'All regions'!F5535+"$F;@!)Mq"</f>
        <v>#VALUE!</v>
      </c>
      <c r="GG199" t="e">
        <f>'All regions'!G5535+"$F;@!)Mr"</f>
        <v>#VALUE!</v>
      </c>
      <c r="GH199" t="e">
        <f>'All regions'!H5535+"$F;@!)Ms"</f>
        <v>#VALUE!</v>
      </c>
      <c r="GI199" t="e">
        <f>'All regions'!I5535+"$F;@!)Mt"</f>
        <v>#VALUE!</v>
      </c>
      <c r="GJ199" t="e">
        <f>'All regions'!A5536+"$F;@!)Mu"</f>
        <v>#VALUE!</v>
      </c>
      <c r="GK199" t="e">
        <f>'All regions'!B5536+"$F;@!)Mv"</f>
        <v>#VALUE!</v>
      </c>
      <c r="GL199" t="e">
        <f>'All regions'!C5536+"$F;@!)Mw"</f>
        <v>#VALUE!</v>
      </c>
      <c r="GM199" t="e">
        <f>'All regions'!D5536+"$F;@!)Mx"</f>
        <v>#VALUE!</v>
      </c>
      <c r="GN199" t="e">
        <f>'All regions'!E5536+"$F;@!)My"</f>
        <v>#VALUE!</v>
      </c>
      <c r="GO199" t="e">
        <f>'All regions'!F5536+"$F;@!)Mz"</f>
        <v>#VALUE!</v>
      </c>
      <c r="GP199" t="e">
        <f>'All regions'!G5536+"$F;@!)M{"</f>
        <v>#VALUE!</v>
      </c>
      <c r="GQ199" t="e">
        <f>'All regions'!H5536+"$F;@!)M|"</f>
        <v>#VALUE!</v>
      </c>
      <c r="GR199" t="e">
        <f>'All regions'!I5536+"$F;@!)M}"</f>
        <v>#VALUE!</v>
      </c>
      <c r="GS199" t="e">
        <f>'All regions'!A5537+"$F;@!)M~"</f>
        <v>#VALUE!</v>
      </c>
      <c r="GT199" t="e">
        <f>'All regions'!B5537+"$F;@!)N#"</f>
        <v>#VALUE!</v>
      </c>
      <c r="GU199" t="e">
        <f>'All regions'!C5537+"$F;@!)N$"</f>
        <v>#VALUE!</v>
      </c>
      <c r="GV199" t="e">
        <f>'All regions'!D5537+"$F;@!)N%"</f>
        <v>#VALUE!</v>
      </c>
      <c r="GW199" t="e">
        <f>'All regions'!E5537+"$F;@!)N&amp;"</f>
        <v>#VALUE!</v>
      </c>
      <c r="GX199" t="e">
        <f>'All regions'!F5537+"$F;@!)N'"</f>
        <v>#VALUE!</v>
      </c>
      <c r="GY199" t="e">
        <f>'All regions'!G5537+"$F;@!)N("</f>
        <v>#VALUE!</v>
      </c>
      <c r="GZ199" t="e">
        <f>'All regions'!H5537+"$F;@!)N)"</f>
        <v>#VALUE!</v>
      </c>
      <c r="HA199" t="e">
        <f>'All regions'!I5537+"$F;@!)N."</f>
        <v>#VALUE!</v>
      </c>
      <c r="HB199" t="e">
        <f>'All regions'!A5538+"$F;@!)N/"</f>
        <v>#VALUE!</v>
      </c>
      <c r="HC199" t="e">
        <f>'All regions'!B5538+"$F;@!)N0"</f>
        <v>#VALUE!</v>
      </c>
      <c r="HD199" t="e">
        <f>'All regions'!C5538+"$F;@!)N1"</f>
        <v>#VALUE!</v>
      </c>
      <c r="HE199" t="e">
        <f>'All regions'!D5538+"$F;@!)N2"</f>
        <v>#VALUE!</v>
      </c>
      <c r="HF199" t="e">
        <f>'All regions'!E5538+"$F;@!)N3"</f>
        <v>#VALUE!</v>
      </c>
      <c r="HG199" t="e">
        <f>'All regions'!F5538+"$F;@!)N4"</f>
        <v>#VALUE!</v>
      </c>
      <c r="HH199" t="e">
        <f>'All regions'!G5538+"$F;@!)N5"</f>
        <v>#VALUE!</v>
      </c>
      <c r="HI199" t="e">
        <f>'All regions'!H5538+"$F;@!)N6"</f>
        <v>#VALUE!</v>
      </c>
      <c r="HJ199" t="e">
        <f>'All regions'!I5538+"$F;@!)N7"</f>
        <v>#VALUE!</v>
      </c>
      <c r="HK199" t="e">
        <f>'All regions'!A5539+"$F;@!)N8"</f>
        <v>#VALUE!</v>
      </c>
      <c r="HL199" t="e">
        <f>'All regions'!B5539+"$F;@!)N9"</f>
        <v>#VALUE!</v>
      </c>
      <c r="HM199" t="e">
        <f>'All regions'!C5539+"$F;@!)N:"</f>
        <v>#VALUE!</v>
      </c>
      <c r="HN199" t="e">
        <f>'All regions'!D5539+"$F;@!)N;"</f>
        <v>#VALUE!</v>
      </c>
      <c r="HO199" t="e">
        <f>'All regions'!E5539+"$F;@!)N&lt;"</f>
        <v>#VALUE!</v>
      </c>
      <c r="HP199" t="e">
        <f>'All regions'!F5539+"$F;@!)N="</f>
        <v>#VALUE!</v>
      </c>
      <c r="HQ199" t="e">
        <f>'All regions'!G5539+"$F;@!)N&gt;"</f>
        <v>#VALUE!</v>
      </c>
      <c r="HR199" t="e">
        <f>'All regions'!H5539+"$F;@!)N?"</f>
        <v>#VALUE!</v>
      </c>
      <c r="HS199" t="e">
        <f>'All regions'!I5539+"$F;@!)N@"</f>
        <v>#VALUE!</v>
      </c>
      <c r="HT199" t="e">
        <f>'All regions'!A5540+"$F;@!)NA"</f>
        <v>#VALUE!</v>
      </c>
      <c r="HU199" t="e">
        <f>'All regions'!B5540+"$F;@!)NB"</f>
        <v>#VALUE!</v>
      </c>
      <c r="HV199" t="e">
        <f>'All regions'!C5540+"$F;@!)NC"</f>
        <v>#VALUE!</v>
      </c>
      <c r="HW199" t="e">
        <f>'All regions'!D5540+"$F;@!)ND"</f>
        <v>#VALUE!</v>
      </c>
      <c r="HX199" t="e">
        <f>'All regions'!E5540+"$F;@!)NE"</f>
        <v>#VALUE!</v>
      </c>
      <c r="HY199" t="e">
        <f>'All regions'!F5540+"$F;@!)NF"</f>
        <v>#VALUE!</v>
      </c>
      <c r="HZ199" t="e">
        <f>'All regions'!G5540+"$F;@!)NG"</f>
        <v>#VALUE!</v>
      </c>
      <c r="IA199" t="e">
        <f>'All regions'!H5540+"$F;@!)NH"</f>
        <v>#VALUE!</v>
      </c>
      <c r="IB199" t="e">
        <f>'All regions'!I5540+"$F;@!)NI"</f>
        <v>#VALUE!</v>
      </c>
      <c r="IC199" t="e">
        <f>'All regions'!A5541+"$F;@!)NJ"</f>
        <v>#VALUE!</v>
      </c>
      <c r="ID199" t="e">
        <f>'All regions'!B5541+"$F;@!)NK"</f>
        <v>#VALUE!</v>
      </c>
      <c r="IE199" t="e">
        <f>'All regions'!C5541+"$F;@!)NL"</f>
        <v>#VALUE!</v>
      </c>
      <c r="IF199" t="e">
        <f>'All regions'!D5541+"$F;@!)NM"</f>
        <v>#VALUE!</v>
      </c>
      <c r="IG199" t="e">
        <f>'All regions'!E5541+"$F;@!)NN"</f>
        <v>#VALUE!</v>
      </c>
      <c r="IH199" t="e">
        <f>'All regions'!F5541+"$F;@!)NO"</f>
        <v>#VALUE!</v>
      </c>
      <c r="II199" t="e">
        <f>'All regions'!G5541+"$F;@!)NP"</f>
        <v>#VALUE!</v>
      </c>
      <c r="IJ199" t="e">
        <f>'All regions'!H5541+"$F;@!)NQ"</f>
        <v>#VALUE!</v>
      </c>
      <c r="IK199" t="e">
        <f>'All regions'!I5541+"$F;@!)NR"</f>
        <v>#VALUE!</v>
      </c>
      <c r="IL199" t="e">
        <f>'All regions'!A5542+"$F;@!)NS"</f>
        <v>#VALUE!</v>
      </c>
      <c r="IM199" t="e">
        <f>'All regions'!B5542+"$F;@!)NT"</f>
        <v>#VALUE!</v>
      </c>
      <c r="IN199" t="e">
        <f>'All regions'!C5542+"$F;@!)NU"</f>
        <v>#VALUE!</v>
      </c>
      <c r="IO199" t="e">
        <f>'All regions'!D5542+"$F;@!)NV"</f>
        <v>#VALUE!</v>
      </c>
      <c r="IP199" t="e">
        <f>'All regions'!E5542+"$F;@!)NW"</f>
        <v>#VALUE!</v>
      </c>
      <c r="IQ199" t="e">
        <f>'All regions'!F5542+"$F;@!)NX"</f>
        <v>#VALUE!</v>
      </c>
      <c r="IR199" t="e">
        <f>'All regions'!G5542+"$F;@!)NY"</f>
        <v>#VALUE!</v>
      </c>
      <c r="IS199" t="e">
        <f>'All regions'!H5542+"$F;@!)NZ"</f>
        <v>#VALUE!</v>
      </c>
      <c r="IT199" t="e">
        <f>'All regions'!I5542+"$F;@!)N["</f>
        <v>#VALUE!</v>
      </c>
      <c r="IU199" t="e">
        <f>'All regions'!A5543+"$F;@!)N\"</f>
        <v>#VALUE!</v>
      </c>
      <c r="IV199" t="e">
        <f>'All regions'!B5543+"$F;@!)N]"</f>
        <v>#VALUE!</v>
      </c>
    </row>
    <row r="200" spans="6:256" x14ac:dyDescent="0.35">
      <c r="F200" t="e">
        <f>'All regions'!C5543+"$F;@!)N^"</f>
        <v>#VALUE!</v>
      </c>
      <c r="G200" t="e">
        <f>'All regions'!D5543+"$F;@!)N_"</f>
        <v>#VALUE!</v>
      </c>
      <c r="H200" t="e">
        <f>'All regions'!E5543+"$F;@!)N`"</f>
        <v>#VALUE!</v>
      </c>
      <c r="I200" t="e">
        <f>'All regions'!F5543+"$F;@!)Na"</f>
        <v>#VALUE!</v>
      </c>
      <c r="J200" t="e">
        <f>'All regions'!G5543+"$F;@!)Nb"</f>
        <v>#VALUE!</v>
      </c>
      <c r="K200" t="e">
        <f>'All regions'!H5543+"$F;@!)Nc"</f>
        <v>#VALUE!</v>
      </c>
      <c r="L200" t="e">
        <f>'All regions'!I5543+"$F;@!)Nd"</f>
        <v>#VALUE!</v>
      </c>
      <c r="M200" t="e">
        <f>'All regions'!A5544+"$F;@!)Ne"</f>
        <v>#VALUE!</v>
      </c>
      <c r="N200" t="e">
        <f>'All regions'!B5544+"$F;@!)Nf"</f>
        <v>#VALUE!</v>
      </c>
      <c r="O200" t="e">
        <f>'All regions'!C5544+"$F;@!)Ng"</f>
        <v>#VALUE!</v>
      </c>
      <c r="P200" t="e">
        <f>'All regions'!D5544+"$F;@!)Nh"</f>
        <v>#VALUE!</v>
      </c>
      <c r="Q200" t="e">
        <f>'All regions'!E5544+"$F;@!)Ni"</f>
        <v>#VALUE!</v>
      </c>
      <c r="R200" t="e">
        <f>'All regions'!F5544+"$F;@!)Nj"</f>
        <v>#VALUE!</v>
      </c>
      <c r="S200" t="e">
        <f>'All regions'!G5544+"$F;@!)Nk"</f>
        <v>#VALUE!</v>
      </c>
      <c r="T200" t="e">
        <f>'All regions'!H5544+"$F;@!)Nl"</f>
        <v>#VALUE!</v>
      </c>
      <c r="U200" t="e">
        <f>'All regions'!I5544+"$F;@!)Nm"</f>
        <v>#VALUE!</v>
      </c>
      <c r="V200" t="e">
        <f>'All regions'!A5545+"$F;@!)Nn"</f>
        <v>#VALUE!</v>
      </c>
      <c r="W200" t="e">
        <f>'All regions'!B5545+"$F;@!)No"</f>
        <v>#VALUE!</v>
      </c>
      <c r="X200" t="e">
        <f>'All regions'!C5545+"$F;@!)Np"</f>
        <v>#VALUE!</v>
      </c>
      <c r="Y200" t="e">
        <f>'All regions'!D5545+"$F;@!)Nq"</f>
        <v>#VALUE!</v>
      </c>
      <c r="Z200" t="e">
        <f>'All regions'!E5545+"$F;@!)Nr"</f>
        <v>#VALUE!</v>
      </c>
      <c r="AA200" t="e">
        <f>'All regions'!F5545+"$F;@!)Ns"</f>
        <v>#VALUE!</v>
      </c>
      <c r="AB200" t="e">
        <f>'All regions'!G5545+"$F;@!)Nt"</f>
        <v>#VALUE!</v>
      </c>
      <c r="AC200" t="e">
        <f>'All regions'!H5545+"$F;@!)Nu"</f>
        <v>#VALUE!</v>
      </c>
      <c r="AD200" t="e">
        <f>'All regions'!I5545+"$F;@!)Nv"</f>
        <v>#VALUE!</v>
      </c>
      <c r="AE200" t="e">
        <f>'All regions'!A5546+"$F;@!)Nw"</f>
        <v>#VALUE!</v>
      </c>
      <c r="AF200" t="e">
        <f>'All regions'!B5546+"$F;@!)Nx"</f>
        <v>#VALUE!</v>
      </c>
      <c r="AG200" t="e">
        <f>'All regions'!C5546+"$F;@!)Ny"</f>
        <v>#VALUE!</v>
      </c>
      <c r="AH200" t="e">
        <f>'All regions'!D5546+"$F;@!)Nz"</f>
        <v>#VALUE!</v>
      </c>
      <c r="AI200" t="e">
        <f>'All regions'!E5546+"$F;@!)N{"</f>
        <v>#VALUE!</v>
      </c>
      <c r="AJ200" t="e">
        <f>'All regions'!F5546+"$F;@!)N|"</f>
        <v>#VALUE!</v>
      </c>
      <c r="AK200" t="e">
        <f>'All regions'!G5546+"$F;@!)N}"</f>
        <v>#VALUE!</v>
      </c>
      <c r="AL200" t="e">
        <f>'All regions'!H5546+"$F;@!)N~"</f>
        <v>#VALUE!</v>
      </c>
      <c r="AM200" t="e">
        <f>'All regions'!I5546+"$F;@!)O#"</f>
        <v>#VALUE!</v>
      </c>
      <c r="AN200" t="e">
        <f>'All regions'!A5547+"$F;@!)O$"</f>
        <v>#VALUE!</v>
      </c>
      <c r="AO200" t="e">
        <f>'All regions'!B5547+"$F;@!)O%"</f>
        <v>#VALUE!</v>
      </c>
      <c r="AP200" t="e">
        <f>'All regions'!C5547+"$F;@!)O&amp;"</f>
        <v>#VALUE!</v>
      </c>
      <c r="AQ200" t="e">
        <f>'All regions'!D5547+"$F;@!)O'"</f>
        <v>#VALUE!</v>
      </c>
      <c r="AR200" t="e">
        <f>'All regions'!E5547+"$F;@!)O("</f>
        <v>#VALUE!</v>
      </c>
      <c r="AS200" t="e">
        <f>'All regions'!F5547+"$F;@!)O)"</f>
        <v>#VALUE!</v>
      </c>
      <c r="AT200" t="e">
        <f>'All regions'!G5547+"$F;@!)O."</f>
        <v>#VALUE!</v>
      </c>
      <c r="AU200" t="e">
        <f>'All regions'!H5547+"$F;@!)O/"</f>
        <v>#VALUE!</v>
      </c>
      <c r="AV200" t="e">
        <f>'All regions'!I5547+"$F;@!)O0"</f>
        <v>#VALUE!</v>
      </c>
      <c r="AW200" t="e">
        <f>'All regions'!A5548+"$F;@!)O1"</f>
        <v>#VALUE!</v>
      </c>
      <c r="AX200" t="e">
        <f>'All regions'!B5548+"$F;@!)O2"</f>
        <v>#VALUE!</v>
      </c>
      <c r="AY200" t="e">
        <f>'All regions'!C5548+"$F;@!)O3"</f>
        <v>#VALUE!</v>
      </c>
      <c r="AZ200" t="e">
        <f>'All regions'!D5548+"$F;@!)O4"</f>
        <v>#VALUE!</v>
      </c>
      <c r="BA200" t="e">
        <f>'All regions'!E5548+"$F;@!)O5"</f>
        <v>#VALUE!</v>
      </c>
      <c r="BB200" t="e">
        <f>'All regions'!F5548+"$F;@!)O6"</f>
        <v>#VALUE!</v>
      </c>
      <c r="BC200" t="e">
        <f>'All regions'!G5548+"$F;@!)O7"</f>
        <v>#VALUE!</v>
      </c>
      <c r="BD200" t="e">
        <f>'All regions'!H5548+"$F;@!)O8"</f>
        <v>#VALUE!</v>
      </c>
      <c r="BE200" t="e">
        <f>'All regions'!I5548+"$F;@!)O9"</f>
        <v>#VALUE!</v>
      </c>
      <c r="BF200" t="e">
        <f>'All regions'!A5549+"$F;@!)O:"</f>
        <v>#VALUE!</v>
      </c>
      <c r="BG200" t="e">
        <f>'All regions'!B5549+"$F;@!)O;"</f>
        <v>#VALUE!</v>
      </c>
      <c r="BH200" t="e">
        <f>'All regions'!C5549+"$F;@!)O&lt;"</f>
        <v>#VALUE!</v>
      </c>
      <c r="BI200" t="e">
        <f>'All regions'!D5549+"$F;@!)O="</f>
        <v>#VALUE!</v>
      </c>
      <c r="BJ200" t="e">
        <f>'All regions'!E5549+"$F;@!)O&gt;"</f>
        <v>#VALUE!</v>
      </c>
      <c r="BK200" t="e">
        <f>'All regions'!F5549+"$F;@!)O?"</f>
        <v>#VALUE!</v>
      </c>
      <c r="BL200" t="e">
        <f>'All regions'!G5549+"$F;@!)O@"</f>
        <v>#VALUE!</v>
      </c>
      <c r="BM200" t="e">
        <f>'All regions'!H5549+"$F;@!)OA"</f>
        <v>#VALUE!</v>
      </c>
      <c r="BN200" t="e">
        <f>'All regions'!I5549+"$F;@!)OB"</f>
        <v>#VALUE!</v>
      </c>
      <c r="BO200" t="e">
        <f>'All regions'!A5550+"$F;@!)OC"</f>
        <v>#VALUE!</v>
      </c>
      <c r="BP200" t="e">
        <f>'All regions'!B5550+"$F;@!)OD"</f>
        <v>#VALUE!</v>
      </c>
      <c r="BQ200" t="e">
        <f>'All regions'!C5550+"$F;@!)OE"</f>
        <v>#VALUE!</v>
      </c>
      <c r="BR200" t="e">
        <f>'All regions'!D5550+"$F;@!)OF"</f>
        <v>#VALUE!</v>
      </c>
      <c r="BS200" t="e">
        <f>'All regions'!E5550+"$F;@!)OG"</f>
        <v>#VALUE!</v>
      </c>
      <c r="BT200" t="e">
        <f>'All regions'!F5550+"$F;@!)OH"</f>
        <v>#VALUE!</v>
      </c>
      <c r="BU200" t="e">
        <f>'All regions'!G5550+"$F;@!)OI"</f>
        <v>#VALUE!</v>
      </c>
      <c r="BV200" t="e">
        <f>'All regions'!H5550+"$F;@!)OJ"</f>
        <v>#VALUE!</v>
      </c>
      <c r="BW200" t="e">
        <f>'All regions'!I5550+"$F;@!)OK"</f>
        <v>#VALUE!</v>
      </c>
      <c r="BX200" t="e">
        <f>'All regions'!A5551+"$F;@!)OL"</f>
        <v>#VALUE!</v>
      </c>
      <c r="BY200" t="e">
        <f>'All regions'!B5551+"$F;@!)OM"</f>
        <v>#VALUE!</v>
      </c>
      <c r="BZ200" t="e">
        <f>'All regions'!C5551+"$F;@!)ON"</f>
        <v>#VALUE!</v>
      </c>
      <c r="CA200" t="e">
        <f>'All regions'!D5551+"$F;@!)OO"</f>
        <v>#VALUE!</v>
      </c>
      <c r="CB200" t="e">
        <f>'All regions'!E5551+"$F;@!)OP"</f>
        <v>#VALUE!</v>
      </c>
      <c r="CC200" t="e">
        <f>'All regions'!F5551+"$F;@!)OQ"</f>
        <v>#VALUE!</v>
      </c>
      <c r="CD200" t="e">
        <f>'All regions'!G5551+"$F;@!)OR"</f>
        <v>#VALUE!</v>
      </c>
      <c r="CE200" t="e">
        <f>'All regions'!H5551+"$F;@!)OS"</f>
        <v>#VALUE!</v>
      </c>
      <c r="CF200" t="e">
        <f>'All regions'!I5551+"$F;@!)OT"</f>
        <v>#VALUE!</v>
      </c>
      <c r="CG200" t="e">
        <f>'All regions'!A5552+"$F;@!)OU"</f>
        <v>#VALUE!</v>
      </c>
      <c r="CH200" t="e">
        <f>'All regions'!B5552+"$F;@!)OV"</f>
        <v>#VALUE!</v>
      </c>
      <c r="CI200" t="e">
        <f>'All regions'!C5552+"$F;@!)OW"</f>
        <v>#VALUE!</v>
      </c>
      <c r="CJ200" t="e">
        <f>'All regions'!D5552+"$F;@!)OX"</f>
        <v>#VALUE!</v>
      </c>
      <c r="CK200" t="e">
        <f>'All regions'!E5552+"$F;@!)OY"</f>
        <v>#VALUE!</v>
      </c>
      <c r="CL200" t="e">
        <f>'All regions'!F5552+"$F;@!)OZ"</f>
        <v>#VALUE!</v>
      </c>
      <c r="CM200" t="e">
        <f>'All regions'!G5552+"$F;@!)O["</f>
        <v>#VALUE!</v>
      </c>
      <c r="CN200" t="e">
        <f>'All regions'!H5552+"$F;@!)O\"</f>
        <v>#VALUE!</v>
      </c>
      <c r="CO200" t="e">
        <f>'All regions'!I5552+"$F;@!)O]"</f>
        <v>#VALUE!</v>
      </c>
      <c r="CP200" t="e">
        <f>'All regions'!A5553+"$F;@!)O^"</f>
        <v>#VALUE!</v>
      </c>
      <c r="CQ200" t="e">
        <f>'All regions'!B5553+"$F;@!)O_"</f>
        <v>#VALUE!</v>
      </c>
      <c r="CR200" t="e">
        <f>'All regions'!C5553+"$F;@!)O`"</f>
        <v>#VALUE!</v>
      </c>
      <c r="CS200" t="e">
        <f>'All regions'!D5553+"$F;@!)Oa"</f>
        <v>#VALUE!</v>
      </c>
      <c r="CT200" t="e">
        <f>'All regions'!E5553+"$F;@!)Ob"</f>
        <v>#VALUE!</v>
      </c>
      <c r="CU200" t="e">
        <f>'All regions'!F5553+"$F;@!)Oc"</f>
        <v>#VALUE!</v>
      </c>
      <c r="CV200" t="e">
        <f>'All regions'!G5553+"$F;@!)Od"</f>
        <v>#VALUE!</v>
      </c>
      <c r="CW200" t="e">
        <f>'All regions'!H5553+"$F;@!)Oe"</f>
        <v>#VALUE!</v>
      </c>
      <c r="CX200" t="e">
        <f>'All regions'!I5553+"$F;@!)Of"</f>
        <v>#VALUE!</v>
      </c>
      <c r="CY200" t="e">
        <f>'All regions'!A5554+"$F;@!)Og"</f>
        <v>#VALUE!</v>
      </c>
      <c r="CZ200" t="e">
        <f>'All regions'!B5554+"$F;@!)Oh"</f>
        <v>#VALUE!</v>
      </c>
      <c r="DA200" t="e">
        <f>'All regions'!C5554+"$F;@!)Oi"</f>
        <v>#VALUE!</v>
      </c>
      <c r="DB200" t="e">
        <f>'All regions'!D5554+"$F;@!)Oj"</f>
        <v>#VALUE!</v>
      </c>
      <c r="DC200" t="e">
        <f>'All regions'!E5554+"$F;@!)Ok"</f>
        <v>#VALUE!</v>
      </c>
      <c r="DD200" t="e">
        <f>'All regions'!F5554+"$F;@!)Ol"</f>
        <v>#VALUE!</v>
      </c>
      <c r="DE200" t="e">
        <f>'All regions'!G5554+"$F;@!)Om"</f>
        <v>#VALUE!</v>
      </c>
      <c r="DF200" t="e">
        <f>'All regions'!H5554+"$F;@!)On"</f>
        <v>#VALUE!</v>
      </c>
      <c r="DG200" t="e">
        <f>'All regions'!I5554+"$F;@!)Oo"</f>
        <v>#VALUE!</v>
      </c>
      <c r="DH200" t="e">
        <f>'All regions'!A5555+"$F;@!)Op"</f>
        <v>#VALUE!</v>
      </c>
      <c r="DI200" t="e">
        <f>'All regions'!B5555+"$F;@!)Oq"</f>
        <v>#VALUE!</v>
      </c>
      <c r="DJ200" t="e">
        <f>'All regions'!C5555+"$F;@!)Or"</f>
        <v>#VALUE!</v>
      </c>
      <c r="DK200" t="e">
        <f>'All regions'!D5555+"$F;@!)Os"</f>
        <v>#VALUE!</v>
      </c>
      <c r="DL200" t="e">
        <f>'All regions'!E5555+"$F;@!)Ot"</f>
        <v>#VALUE!</v>
      </c>
      <c r="DM200" t="e">
        <f>'All regions'!F5555+"$F;@!)Ou"</f>
        <v>#VALUE!</v>
      </c>
      <c r="DN200" t="e">
        <f>'All regions'!G5555+"$F;@!)Ov"</f>
        <v>#VALUE!</v>
      </c>
      <c r="DO200" t="e">
        <f>'All regions'!H5555+"$F;@!)Ow"</f>
        <v>#VALUE!</v>
      </c>
      <c r="DP200" t="e">
        <f>'All regions'!I5555+"$F;@!)Ox"</f>
        <v>#VALUE!</v>
      </c>
      <c r="DQ200" t="e">
        <f>'All regions'!A5556+"$F;@!)Oy"</f>
        <v>#VALUE!</v>
      </c>
      <c r="DR200" t="e">
        <f>'All regions'!B5556+"$F;@!)Oz"</f>
        <v>#VALUE!</v>
      </c>
      <c r="DS200" t="e">
        <f>'All regions'!C5556+"$F;@!)O{"</f>
        <v>#VALUE!</v>
      </c>
      <c r="DT200" t="e">
        <f>'All regions'!D5556+"$F;@!)O|"</f>
        <v>#VALUE!</v>
      </c>
      <c r="DU200" t="e">
        <f>'All regions'!E5556+"$F;@!)O}"</f>
        <v>#VALUE!</v>
      </c>
      <c r="DV200" t="e">
        <f>'All regions'!F5556+"$F;@!)O~"</f>
        <v>#VALUE!</v>
      </c>
      <c r="DW200" t="e">
        <f>'All regions'!G5556+"$F;@!)P#"</f>
        <v>#VALUE!</v>
      </c>
      <c r="DX200" t="e">
        <f>'All regions'!H5556+"$F;@!)P$"</f>
        <v>#VALUE!</v>
      </c>
      <c r="DY200" t="e">
        <f>'All regions'!I5556+"$F;@!)P%"</f>
        <v>#VALUE!</v>
      </c>
      <c r="DZ200" t="e">
        <f>'All regions'!A5557+"$F;@!)P&amp;"</f>
        <v>#VALUE!</v>
      </c>
      <c r="EA200" t="e">
        <f>'All regions'!B5557+"$F;@!)P'"</f>
        <v>#VALUE!</v>
      </c>
      <c r="EB200" t="e">
        <f>'All regions'!C5557+"$F;@!)P("</f>
        <v>#VALUE!</v>
      </c>
      <c r="EC200" t="e">
        <f>'All regions'!D5557+"$F;@!)P)"</f>
        <v>#VALUE!</v>
      </c>
      <c r="ED200" t="e">
        <f>'All regions'!E5557+"$F;@!)P."</f>
        <v>#VALUE!</v>
      </c>
      <c r="EE200" t="e">
        <f>'All regions'!F5557+"$F;@!)P/"</f>
        <v>#VALUE!</v>
      </c>
      <c r="EF200" t="e">
        <f>'All regions'!G5557+"$F;@!)P0"</f>
        <v>#VALUE!</v>
      </c>
      <c r="EG200" t="e">
        <f>'All regions'!H5557+"$F;@!)P1"</f>
        <v>#VALUE!</v>
      </c>
      <c r="EH200" t="e">
        <f>'All regions'!I5557+"$F;@!)P2"</f>
        <v>#VALUE!</v>
      </c>
      <c r="EI200" t="e">
        <f>'All regions'!A5558+"$F;@!)P3"</f>
        <v>#VALUE!</v>
      </c>
      <c r="EJ200" t="e">
        <f>'All regions'!B5558+"$F;@!)P4"</f>
        <v>#VALUE!</v>
      </c>
      <c r="EK200" t="e">
        <f>'All regions'!C5558+"$F;@!)P5"</f>
        <v>#VALUE!</v>
      </c>
      <c r="EL200" t="e">
        <f>'All regions'!D5558+"$F;@!)P6"</f>
        <v>#VALUE!</v>
      </c>
      <c r="EM200" t="e">
        <f>'All regions'!E5558+"$F;@!)P7"</f>
        <v>#VALUE!</v>
      </c>
      <c r="EN200" t="e">
        <f>'All regions'!F5558+"$F;@!)P8"</f>
        <v>#VALUE!</v>
      </c>
      <c r="EO200" t="e">
        <f>'All regions'!G5558+"$F;@!)P9"</f>
        <v>#VALUE!</v>
      </c>
      <c r="EP200" t="e">
        <f>'All regions'!H5558+"$F;@!)P:"</f>
        <v>#VALUE!</v>
      </c>
      <c r="EQ200" t="e">
        <f>'All regions'!I5558+"$F;@!)P;"</f>
        <v>#VALUE!</v>
      </c>
      <c r="ER200" t="e">
        <f>'All regions'!A5559+"$F;@!)P&lt;"</f>
        <v>#VALUE!</v>
      </c>
      <c r="ES200" t="e">
        <f>'All regions'!B5559+"$F;@!)P="</f>
        <v>#VALUE!</v>
      </c>
      <c r="ET200" t="e">
        <f>'All regions'!C5559+"$F;@!)P&gt;"</f>
        <v>#VALUE!</v>
      </c>
      <c r="EU200" t="e">
        <f>'All regions'!D5559+"$F;@!)P?"</f>
        <v>#VALUE!</v>
      </c>
      <c r="EV200" t="e">
        <f>'All regions'!E5559+"$F;@!)P@"</f>
        <v>#VALUE!</v>
      </c>
      <c r="EW200" t="e">
        <f>'All regions'!F5559+"$F;@!)PA"</f>
        <v>#VALUE!</v>
      </c>
      <c r="EX200" t="e">
        <f>'All regions'!G5559+"$F;@!)PB"</f>
        <v>#VALUE!</v>
      </c>
      <c r="EY200" t="e">
        <f>'All regions'!H5559+"$F;@!)PC"</f>
        <v>#VALUE!</v>
      </c>
      <c r="EZ200" t="e">
        <f>'All regions'!I5559+"$F;@!)PD"</f>
        <v>#VALUE!</v>
      </c>
      <c r="FA200" t="e">
        <f>'All regions'!A5560+"$F;@!)PE"</f>
        <v>#VALUE!</v>
      </c>
      <c r="FB200" t="e">
        <f>'All regions'!B5560+"$F;@!)PF"</f>
        <v>#VALUE!</v>
      </c>
      <c r="FC200" t="e">
        <f>'All regions'!C5560+"$F;@!)PG"</f>
        <v>#VALUE!</v>
      </c>
      <c r="FD200" t="e">
        <f>'All regions'!D5560+"$F;@!)PH"</f>
        <v>#VALUE!</v>
      </c>
      <c r="FE200" t="e">
        <f>'All regions'!E5560+"$F;@!)PI"</f>
        <v>#VALUE!</v>
      </c>
      <c r="FF200" t="e">
        <f>'All regions'!F5560+"$F;@!)PJ"</f>
        <v>#VALUE!</v>
      </c>
      <c r="FG200" t="e">
        <f>'All regions'!G5560+"$F;@!)PK"</f>
        <v>#VALUE!</v>
      </c>
      <c r="FH200" t="e">
        <f>'All regions'!H5560+"$F;@!)PL"</f>
        <v>#VALUE!</v>
      </c>
      <c r="FI200" t="e">
        <f>'All regions'!I5560+"$F;@!)PM"</f>
        <v>#VALUE!</v>
      </c>
      <c r="FJ200" t="e">
        <f>'All regions'!A5561+"$F;@!)PN"</f>
        <v>#VALUE!</v>
      </c>
      <c r="FK200" t="e">
        <f>'All regions'!B5561+"$F;@!)PO"</f>
        <v>#VALUE!</v>
      </c>
      <c r="FL200" t="e">
        <f>'All regions'!C5561+"$F;@!)PP"</f>
        <v>#VALUE!</v>
      </c>
      <c r="FM200" t="e">
        <f>'All regions'!D5561+"$F;@!)PQ"</f>
        <v>#VALUE!</v>
      </c>
      <c r="FN200" t="e">
        <f>'All regions'!E5561+"$F;@!)PR"</f>
        <v>#VALUE!</v>
      </c>
      <c r="FO200" t="e">
        <f>'All regions'!F5561+"$F;@!)PS"</f>
        <v>#VALUE!</v>
      </c>
      <c r="FP200" t="e">
        <f>'All regions'!G5561+"$F;@!)PT"</f>
        <v>#VALUE!</v>
      </c>
      <c r="FQ200" t="e">
        <f>'All regions'!H5561+"$F;@!)PU"</f>
        <v>#VALUE!</v>
      </c>
      <c r="FR200" t="e">
        <f>'All regions'!I5561+"$F;@!)PV"</f>
        <v>#VALUE!</v>
      </c>
      <c r="FS200" t="e">
        <f>'All regions'!A5562+"$F;@!)PW"</f>
        <v>#VALUE!</v>
      </c>
      <c r="FT200" t="e">
        <f>'All regions'!B5562+"$F;@!)PX"</f>
        <v>#VALUE!</v>
      </c>
      <c r="FU200" t="e">
        <f>'All regions'!C5562+"$F;@!)PY"</f>
        <v>#VALUE!</v>
      </c>
      <c r="FV200" t="e">
        <f>'All regions'!D5562+"$F;@!)PZ"</f>
        <v>#VALUE!</v>
      </c>
      <c r="FW200" t="e">
        <f>'All regions'!E5562+"$F;@!)P["</f>
        <v>#VALUE!</v>
      </c>
      <c r="FX200" t="e">
        <f>'All regions'!F5562+"$F;@!)P\"</f>
        <v>#VALUE!</v>
      </c>
      <c r="FY200" t="e">
        <f>'All regions'!G5562+"$F;@!)P]"</f>
        <v>#VALUE!</v>
      </c>
      <c r="FZ200" t="e">
        <f>'All regions'!H5562+"$F;@!)P^"</f>
        <v>#VALUE!</v>
      </c>
      <c r="GA200" t="e">
        <f>'All regions'!I5562+"$F;@!)P_"</f>
        <v>#VALUE!</v>
      </c>
      <c r="GB200" t="e">
        <f>'All regions'!A5563+"$F;@!)P`"</f>
        <v>#VALUE!</v>
      </c>
      <c r="GC200" t="e">
        <f>'All regions'!B5563+"$F;@!)Pa"</f>
        <v>#VALUE!</v>
      </c>
      <c r="GD200" t="e">
        <f>'All regions'!C5563+"$F;@!)Pb"</f>
        <v>#VALUE!</v>
      </c>
      <c r="GE200" t="e">
        <f>'All regions'!D5563+"$F;@!)Pc"</f>
        <v>#VALUE!</v>
      </c>
      <c r="GF200" t="e">
        <f>'All regions'!E5563+"$F;@!)Pd"</f>
        <v>#VALUE!</v>
      </c>
      <c r="GG200" t="e">
        <f>'All regions'!F5563+"$F;@!)Pe"</f>
        <v>#VALUE!</v>
      </c>
      <c r="GH200" t="e">
        <f>'All regions'!G5563+"$F;@!)Pf"</f>
        <v>#VALUE!</v>
      </c>
      <c r="GI200" t="e">
        <f>'All regions'!H5563+"$F;@!)Pg"</f>
        <v>#VALUE!</v>
      </c>
      <c r="GJ200" t="e">
        <f>'All regions'!I5563+"$F;@!)Ph"</f>
        <v>#VALUE!</v>
      </c>
      <c r="GK200" t="e">
        <f>'All regions'!A5564+"$F;@!)Pi"</f>
        <v>#VALUE!</v>
      </c>
      <c r="GL200" t="e">
        <f>'All regions'!B5564+"$F;@!)Pj"</f>
        <v>#VALUE!</v>
      </c>
      <c r="GM200" t="e">
        <f>'All regions'!C5564+"$F;@!)Pk"</f>
        <v>#VALUE!</v>
      </c>
      <c r="GN200" t="e">
        <f>'All regions'!D5564+"$F;@!)Pl"</f>
        <v>#VALUE!</v>
      </c>
      <c r="GO200" t="e">
        <f>'All regions'!E5564+"$F;@!)Pm"</f>
        <v>#VALUE!</v>
      </c>
      <c r="GP200" t="e">
        <f>'All regions'!F5564+"$F;@!)Pn"</f>
        <v>#VALUE!</v>
      </c>
      <c r="GQ200" t="e">
        <f>'All regions'!G5564+"$F;@!)Po"</f>
        <v>#VALUE!</v>
      </c>
      <c r="GR200" t="e">
        <f>'All regions'!H5564+"$F;@!)Pp"</f>
        <v>#VALUE!</v>
      </c>
      <c r="GS200" t="e">
        <f>'All regions'!I5564+"$F;@!)Pq"</f>
        <v>#VALUE!</v>
      </c>
      <c r="GT200" t="e">
        <f>'All regions'!A5565+"$F;@!)Pr"</f>
        <v>#VALUE!</v>
      </c>
      <c r="GU200" t="e">
        <f>'All regions'!B5565+"$F;@!)Ps"</f>
        <v>#VALUE!</v>
      </c>
      <c r="GV200" t="e">
        <f>'All regions'!C5565+"$F;@!)Pt"</f>
        <v>#VALUE!</v>
      </c>
      <c r="GW200" t="e">
        <f>'All regions'!D5565+"$F;@!)Pu"</f>
        <v>#VALUE!</v>
      </c>
      <c r="GX200" t="e">
        <f>'All regions'!E5565+"$F;@!)Pv"</f>
        <v>#VALUE!</v>
      </c>
      <c r="GY200" t="e">
        <f>'All regions'!F5565+"$F;@!)Pw"</f>
        <v>#VALUE!</v>
      </c>
      <c r="GZ200" t="e">
        <f>'All regions'!G5565+"$F;@!)Px"</f>
        <v>#VALUE!</v>
      </c>
      <c r="HA200" t="e">
        <f>'All regions'!H5565+"$F;@!)Py"</f>
        <v>#VALUE!</v>
      </c>
      <c r="HB200" t="e">
        <f>'All regions'!I5565+"$F;@!)Pz"</f>
        <v>#VALUE!</v>
      </c>
      <c r="HC200" t="e">
        <f>'All regions'!A5566+"$F;@!)P{"</f>
        <v>#VALUE!</v>
      </c>
      <c r="HD200" t="e">
        <f>'All regions'!B5566+"$F;@!)P|"</f>
        <v>#VALUE!</v>
      </c>
      <c r="HE200" t="e">
        <f>'All regions'!C5566+"$F;@!)P}"</f>
        <v>#VALUE!</v>
      </c>
      <c r="HF200" t="e">
        <f>'All regions'!D5566+"$F;@!)P~"</f>
        <v>#VALUE!</v>
      </c>
      <c r="HG200" t="e">
        <f>'All regions'!E5566+"$F;@!)Q#"</f>
        <v>#VALUE!</v>
      </c>
      <c r="HH200" t="e">
        <f>'All regions'!F5566+"$F;@!)Q$"</f>
        <v>#VALUE!</v>
      </c>
      <c r="HI200" t="e">
        <f>'All regions'!G5566+"$F;@!)Q%"</f>
        <v>#VALUE!</v>
      </c>
      <c r="HJ200" t="e">
        <f>'All regions'!H5566+"$F;@!)Q&amp;"</f>
        <v>#VALUE!</v>
      </c>
      <c r="HK200" t="e">
        <f>'All regions'!I5566+"$F;@!)Q'"</f>
        <v>#VALUE!</v>
      </c>
      <c r="HL200" t="e">
        <f>'All regions'!A5567+"$F;@!)Q("</f>
        <v>#VALUE!</v>
      </c>
      <c r="HM200" t="e">
        <f>'All regions'!B5567+"$F;@!)Q)"</f>
        <v>#VALUE!</v>
      </c>
      <c r="HN200" t="e">
        <f>'All regions'!C5567+"$F;@!)Q."</f>
        <v>#VALUE!</v>
      </c>
      <c r="HO200" t="e">
        <f>'All regions'!D5567+"$F;@!)Q/"</f>
        <v>#VALUE!</v>
      </c>
      <c r="HP200" t="e">
        <f>'All regions'!E5567+"$F;@!)Q0"</f>
        <v>#VALUE!</v>
      </c>
      <c r="HQ200" t="e">
        <f>'All regions'!F5567+"$F;@!)Q1"</f>
        <v>#VALUE!</v>
      </c>
      <c r="HR200" t="e">
        <f>'All regions'!G5567+"$F;@!)Q2"</f>
        <v>#VALUE!</v>
      </c>
      <c r="HS200" t="e">
        <f>'All regions'!H5567+"$F;@!)Q3"</f>
        <v>#VALUE!</v>
      </c>
      <c r="HT200" t="e">
        <f>'All regions'!I5567+"$F;@!)Q4"</f>
        <v>#VALUE!</v>
      </c>
      <c r="HU200" t="e">
        <f>'All regions'!A5568+"$F;@!)Q5"</f>
        <v>#VALUE!</v>
      </c>
      <c r="HV200" t="e">
        <f>'All regions'!B5568+"$F;@!)Q6"</f>
        <v>#VALUE!</v>
      </c>
      <c r="HW200" t="e">
        <f>'All regions'!C5568+"$F;@!)Q7"</f>
        <v>#VALUE!</v>
      </c>
      <c r="HX200" t="e">
        <f>'All regions'!D5568+"$F;@!)Q8"</f>
        <v>#VALUE!</v>
      </c>
      <c r="HY200" t="e">
        <f>'All regions'!E5568+"$F;@!)Q9"</f>
        <v>#VALUE!</v>
      </c>
      <c r="HZ200" t="e">
        <f>'All regions'!F5568+"$F;@!)Q:"</f>
        <v>#VALUE!</v>
      </c>
      <c r="IA200" t="e">
        <f>'All regions'!G5568+"$F;@!)Q;"</f>
        <v>#VALUE!</v>
      </c>
      <c r="IB200" t="e">
        <f>'All regions'!H5568+"$F;@!)Q&lt;"</f>
        <v>#VALUE!</v>
      </c>
      <c r="IC200" t="e">
        <f>'All regions'!I5568+"$F;@!)Q="</f>
        <v>#VALUE!</v>
      </c>
      <c r="ID200" t="e">
        <f>'All regions'!A5569+"$F;@!)Q&gt;"</f>
        <v>#VALUE!</v>
      </c>
      <c r="IE200" t="e">
        <f>'All regions'!B5569+"$F;@!)Q?"</f>
        <v>#VALUE!</v>
      </c>
      <c r="IF200" t="e">
        <f>'All regions'!C5569+"$F;@!)Q@"</f>
        <v>#VALUE!</v>
      </c>
      <c r="IG200" t="e">
        <f>'All regions'!D5569+"$F;@!)QA"</f>
        <v>#VALUE!</v>
      </c>
      <c r="IH200" t="e">
        <f>'All regions'!E5569+"$F;@!)QB"</f>
        <v>#VALUE!</v>
      </c>
      <c r="II200" t="e">
        <f>'All regions'!F5569+"$F;@!)QC"</f>
        <v>#VALUE!</v>
      </c>
      <c r="IJ200" t="e">
        <f>'All regions'!G5569+"$F;@!)QD"</f>
        <v>#VALUE!</v>
      </c>
      <c r="IK200" t="e">
        <f>'All regions'!H5569+"$F;@!)QE"</f>
        <v>#VALUE!</v>
      </c>
      <c r="IL200" t="e">
        <f>'All regions'!I5569+"$F;@!)QF"</f>
        <v>#VALUE!</v>
      </c>
      <c r="IM200" t="e">
        <f>'All regions'!A5570+"$F;@!)QG"</f>
        <v>#VALUE!</v>
      </c>
      <c r="IN200" t="e">
        <f>'All regions'!B5570+"$F;@!)QH"</f>
        <v>#VALUE!</v>
      </c>
      <c r="IO200" t="e">
        <f>'All regions'!C5570+"$F;@!)QI"</f>
        <v>#VALUE!</v>
      </c>
      <c r="IP200" t="e">
        <f>'All regions'!D5570+"$F;@!)QJ"</f>
        <v>#VALUE!</v>
      </c>
      <c r="IQ200" t="e">
        <f>'All regions'!E5570+"$F;@!)QK"</f>
        <v>#VALUE!</v>
      </c>
      <c r="IR200" t="e">
        <f>'All regions'!F5570+"$F;@!)QL"</f>
        <v>#VALUE!</v>
      </c>
      <c r="IS200" t="e">
        <f>'All regions'!G5570+"$F;@!)QM"</f>
        <v>#VALUE!</v>
      </c>
      <c r="IT200" t="e">
        <f>'All regions'!H5570+"$F;@!)QN"</f>
        <v>#VALUE!</v>
      </c>
      <c r="IU200" t="e">
        <f>'All regions'!I5570+"$F;@!)QO"</f>
        <v>#VALUE!</v>
      </c>
      <c r="IV200" t="e">
        <f>'All regions'!A5571+"$F;@!)QP"</f>
        <v>#VALUE!</v>
      </c>
    </row>
    <row r="201" spans="6:256" x14ac:dyDescent="0.35">
      <c r="F201" t="e">
        <f>'All regions'!B5571+"$F;@!)QQ"</f>
        <v>#VALUE!</v>
      </c>
      <c r="G201" t="e">
        <f>'All regions'!C5571+"$F;@!)QR"</f>
        <v>#VALUE!</v>
      </c>
      <c r="H201" t="e">
        <f>'All regions'!D5571+"$F;@!)QS"</f>
        <v>#VALUE!</v>
      </c>
      <c r="I201" t="e">
        <f>'All regions'!E5571+"$F;@!)QT"</f>
        <v>#VALUE!</v>
      </c>
      <c r="J201" t="e">
        <f>'All regions'!G5571+"$F;@!)QU"</f>
        <v>#VALUE!</v>
      </c>
      <c r="K201" t="e">
        <f>'All regions'!H5571+"$F;@!)QV"</f>
        <v>#VALUE!</v>
      </c>
      <c r="L201" t="e">
        <f>'All regions'!I5571+"$F;@!)QW"</f>
        <v>#VALUE!</v>
      </c>
      <c r="M201" t="e">
        <f>'All regions'!A5572+"$F;@!)QX"</f>
        <v>#VALUE!</v>
      </c>
      <c r="N201" t="e">
        <f>'All regions'!B5572+"$F;@!)QY"</f>
        <v>#VALUE!</v>
      </c>
      <c r="O201" t="e">
        <f>'All regions'!C5572+"$F;@!)QZ"</f>
        <v>#VALUE!</v>
      </c>
      <c r="P201" t="e">
        <f>'All regions'!D5572+"$F;@!)Q["</f>
        <v>#VALUE!</v>
      </c>
      <c r="Q201" t="e">
        <f>'All regions'!E5572+"$F;@!)Q\"</f>
        <v>#VALUE!</v>
      </c>
      <c r="R201" t="e">
        <f>'All regions'!H5572+"$F;@!)Q]"</f>
        <v>#VALUE!</v>
      </c>
      <c r="S201" t="e">
        <f>'All regions'!I5572+"$F;@!)Q^"</f>
        <v>#VALUE!</v>
      </c>
      <c r="T201" t="e">
        <f>'All regions'!A5573+"$F;@!)Q_"</f>
        <v>#VALUE!</v>
      </c>
      <c r="U201" t="e">
        <f>'All regions'!B5573+"$F;@!)Q`"</f>
        <v>#VALUE!</v>
      </c>
      <c r="V201" t="e">
        <f>'All regions'!C5573+"$F;@!)Qa"</f>
        <v>#VALUE!</v>
      </c>
      <c r="W201" t="e">
        <f>'All regions'!D5573+"$F;@!)Qb"</f>
        <v>#VALUE!</v>
      </c>
      <c r="X201" t="e">
        <f>'All regions'!E5573+"$F;@!)Qc"</f>
        <v>#VALUE!</v>
      </c>
      <c r="Y201" t="e">
        <f>'All regions'!F5573+"$F;@!)Qd"</f>
        <v>#VALUE!</v>
      </c>
      <c r="Z201" t="e">
        <f>'All regions'!G5573+"$F;@!)Qe"</f>
        <v>#VALUE!</v>
      </c>
      <c r="AA201" t="e">
        <f>'All regions'!H5573+"$F;@!)Qf"</f>
        <v>#VALUE!</v>
      </c>
      <c r="AB201" t="e">
        <f>'All regions'!I5573+"$F;@!)Qg"</f>
        <v>#VALUE!</v>
      </c>
      <c r="AC201" t="e">
        <f>'All regions'!A5574+"$F;@!)Qh"</f>
        <v>#VALUE!</v>
      </c>
      <c r="AD201" t="e">
        <f>'All regions'!B5574+"$F;@!)Qi"</f>
        <v>#VALUE!</v>
      </c>
      <c r="AE201" t="e">
        <f>'All regions'!C5574+"$F;@!)Qj"</f>
        <v>#VALUE!</v>
      </c>
      <c r="AF201" t="e">
        <f>'All regions'!D5574+"$F;@!)Qk"</f>
        <v>#VALUE!</v>
      </c>
      <c r="AG201" t="e">
        <f>'All regions'!E5574+"$F;@!)Ql"</f>
        <v>#VALUE!</v>
      </c>
      <c r="AH201" t="e">
        <f>'All regions'!F5574+"$F;@!)Qm"</f>
        <v>#VALUE!</v>
      </c>
      <c r="AI201" t="e">
        <f>'All regions'!G5574+"$F;@!)Qn"</f>
        <v>#VALUE!</v>
      </c>
      <c r="AJ201" t="e">
        <f>'All regions'!H5574+"$F;@!)Qo"</f>
        <v>#VALUE!</v>
      </c>
      <c r="AK201" t="e">
        <f>'All regions'!I5574+"$F;@!)Qp"</f>
        <v>#VALUE!</v>
      </c>
      <c r="AL201" t="e">
        <f>'All regions'!A5575+"$F;@!)Qq"</f>
        <v>#VALUE!</v>
      </c>
      <c r="AM201" t="e">
        <f>'All regions'!B5575+"$F;@!)Qr"</f>
        <v>#VALUE!</v>
      </c>
      <c r="AN201" t="e">
        <f>'All regions'!C5575+"$F;@!)Qs"</f>
        <v>#VALUE!</v>
      </c>
      <c r="AO201" t="e">
        <f>'All regions'!D5575+"$F;@!)Qt"</f>
        <v>#VALUE!</v>
      </c>
      <c r="AP201" t="e">
        <f>'All regions'!E5575+"$F;@!)Qu"</f>
        <v>#VALUE!</v>
      </c>
      <c r="AQ201" t="e">
        <f>'All regions'!F5575+"$F;@!)Qv"</f>
        <v>#VALUE!</v>
      </c>
      <c r="AR201" t="e">
        <f>'All regions'!G5575+"$F;@!)Qw"</f>
        <v>#VALUE!</v>
      </c>
      <c r="AS201" t="e">
        <f>'All regions'!H5575+"$F;@!)Qx"</f>
        <v>#VALUE!</v>
      </c>
      <c r="AT201" t="e">
        <f>'All regions'!I5575+"$F;@!)Qy"</f>
        <v>#VALUE!</v>
      </c>
      <c r="AU201" t="e">
        <f>'All regions'!A5576+"$F;@!)Qz"</f>
        <v>#VALUE!</v>
      </c>
      <c r="AV201" t="e">
        <f>'All regions'!B5576+"$F;@!)Q{"</f>
        <v>#VALUE!</v>
      </c>
      <c r="AW201" t="e">
        <f>'All regions'!C5576+"$F;@!)Q|"</f>
        <v>#VALUE!</v>
      </c>
      <c r="AX201" t="e">
        <f>'All regions'!D5576+"$F;@!)Q}"</f>
        <v>#VALUE!</v>
      </c>
      <c r="AY201" t="e">
        <f>'All regions'!E5576+"$F;@!)Q~"</f>
        <v>#VALUE!</v>
      </c>
      <c r="AZ201" t="e">
        <f>'All regions'!F5576+"$F;@!)R#"</f>
        <v>#VALUE!</v>
      </c>
      <c r="BA201" t="e">
        <f>'All regions'!G5576+"$F;@!)R$"</f>
        <v>#VALUE!</v>
      </c>
      <c r="BB201" t="e">
        <f>'All regions'!H5576+"$F;@!)R%"</f>
        <v>#VALUE!</v>
      </c>
      <c r="BC201" t="e">
        <f>'All regions'!I5576+"$F;@!)R&amp;"</f>
        <v>#VALUE!</v>
      </c>
      <c r="BD201" t="e">
        <f>'All regions'!A5577+"$F;@!)R'"</f>
        <v>#VALUE!</v>
      </c>
      <c r="BE201" t="e">
        <f>'All regions'!B5577+"$F;@!)R("</f>
        <v>#VALUE!</v>
      </c>
      <c r="BF201" t="e">
        <f>'All regions'!C5577+"$F;@!)R)"</f>
        <v>#VALUE!</v>
      </c>
      <c r="BG201" t="e">
        <f>'All regions'!D5577+"$F;@!)R."</f>
        <v>#VALUE!</v>
      </c>
      <c r="BH201" t="e">
        <f>'All regions'!E5577+"$F;@!)R/"</f>
        <v>#VALUE!</v>
      </c>
      <c r="BI201" t="e">
        <f>'All regions'!F5577+"$F;@!)R0"</f>
        <v>#VALUE!</v>
      </c>
      <c r="BJ201" t="e">
        <f>'All regions'!G5577+"$F;@!)R1"</f>
        <v>#VALUE!</v>
      </c>
      <c r="BK201" t="e">
        <f>'All regions'!H5577+"$F;@!)R2"</f>
        <v>#VALUE!</v>
      </c>
      <c r="BL201" t="e">
        <f>'All regions'!I5577+"$F;@!)R3"</f>
        <v>#VALUE!</v>
      </c>
      <c r="BM201" t="e">
        <f>'All regions'!A5578+"$F;@!)R4"</f>
        <v>#VALUE!</v>
      </c>
      <c r="BN201" t="e">
        <f>'All regions'!B5578+"$F;@!)R5"</f>
        <v>#VALUE!</v>
      </c>
      <c r="BO201" t="e">
        <f>'All regions'!C5578+"$F;@!)R6"</f>
        <v>#VALUE!</v>
      </c>
      <c r="BP201" t="e">
        <f>'All regions'!D5578+"$F;@!)R7"</f>
        <v>#VALUE!</v>
      </c>
      <c r="BQ201" t="e">
        <f>'All regions'!E5578+"$F;@!)R8"</f>
        <v>#VALUE!</v>
      </c>
      <c r="BR201" t="e">
        <f>'All regions'!F5578+"$F;@!)R9"</f>
        <v>#VALUE!</v>
      </c>
      <c r="BS201" t="e">
        <f>'All regions'!G5578+"$F;@!)R:"</f>
        <v>#VALUE!</v>
      </c>
      <c r="BT201" t="e">
        <f>'All regions'!H5578+"$F;@!)R;"</f>
        <v>#VALUE!</v>
      </c>
      <c r="BU201" t="e">
        <f>'All regions'!I5578+"$F;@!)R&lt;"</f>
        <v>#VALUE!</v>
      </c>
      <c r="BV201" t="e">
        <f>'All regions'!A5579+"$F;@!)R="</f>
        <v>#VALUE!</v>
      </c>
      <c r="BW201" t="e">
        <f>'All regions'!B5579+"$F;@!)R&gt;"</f>
        <v>#VALUE!</v>
      </c>
      <c r="BX201" t="e">
        <f>'All regions'!C5579+"$F;@!)R?"</f>
        <v>#VALUE!</v>
      </c>
      <c r="BY201" t="e">
        <f>'All regions'!D5579+"$F;@!)R@"</f>
        <v>#VALUE!</v>
      </c>
      <c r="BZ201" t="e">
        <f>'All regions'!E5579+"$F;@!)RA"</f>
        <v>#VALUE!</v>
      </c>
      <c r="CA201" t="e">
        <f>'All regions'!F5579+"$F;@!)RB"</f>
        <v>#VALUE!</v>
      </c>
      <c r="CB201" t="e">
        <f>'All regions'!G5579+"$F;@!)RC"</f>
        <v>#VALUE!</v>
      </c>
      <c r="CC201" t="e">
        <f>'All regions'!H5579+"$F;@!)RD"</f>
        <v>#VALUE!</v>
      </c>
      <c r="CD201" t="e">
        <f>'All regions'!I5579+"$F;@!)RE"</f>
        <v>#VALUE!</v>
      </c>
      <c r="CE201" t="e">
        <f>'All regions'!A5580+"$F;@!)RF"</f>
        <v>#VALUE!</v>
      </c>
      <c r="CF201" t="e">
        <f>'All regions'!B5580+"$F;@!)RG"</f>
        <v>#VALUE!</v>
      </c>
      <c r="CG201" t="e">
        <f>'All regions'!C5580+"$F;@!)RH"</f>
        <v>#VALUE!</v>
      </c>
      <c r="CH201" t="e">
        <f>'All regions'!D5580+"$F;@!)RI"</f>
        <v>#VALUE!</v>
      </c>
      <c r="CI201" t="e">
        <f>'All regions'!E5580+"$F;@!)RJ"</f>
        <v>#VALUE!</v>
      </c>
      <c r="CJ201" t="e">
        <f>'All regions'!F5580+"$F;@!)RK"</f>
        <v>#VALUE!</v>
      </c>
      <c r="CK201" t="e">
        <f>'All regions'!G5580+"$F;@!)RL"</f>
        <v>#VALUE!</v>
      </c>
      <c r="CL201" t="e">
        <f>'All regions'!H5580+"$F;@!)RM"</f>
        <v>#VALUE!</v>
      </c>
      <c r="CM201" t="e">
        <f>'All regions'!I5580+"$F;@!)RN"</f>
        <v>#VALUE!</v>
      </c>
      <c r="CN201" t="e">
        <f>'All regions'!A5581+"$F;@!)RO"</f>
        <v>#VALUE!</v>
      </c>
      <c r="CO201" t="e">
        <f>'All regions'!B5581+"$F;@!)RP"</f>
        <v>#VALUE!</v>
      </c>
      <c r="CP201" t="e">
        <f>'All regions'!C5581+"$F;@!)RQ"</f>
        <v>#VALUE!</v>
      </c>
      <c r="CQ201" t="e">
        <f>'All regions'!D5581+"$F;@!)RR"</f>
        <v>#VALUE!</v>
      </c>
      <c r="CR201" t="e">
        <f>'All regions'!E5581+"$F;@!)RS"</f>
        <v>#VALUE!</v>
      </c>
      <c r="CS201" t="e">
        <f>'All regions'!F5581+"$F;@!)RT"</f>
        <v>#VALUE!</v>
      </c>
      <c r="CT201" t="e">
        <f>'All regions'!G5581+"$F;@!)RU"</f>
        <v>#VALUE!</v>
      </c>
      <c r="CU201" t="e">
        <f>'All regions'!H5581+"$F;@!)RV"</f>
        <v>#VALUE!</v>
      </c>
      <c r="CV201" t="e">
        <f>'All regions'!A5582+"$F;@!)RW"</f>
        <v>#VALUE!</v>
      </c>
      <c r="CW201" t="e">
        <f>'All regions'!B5582+"$F;@!)RX"</f>
        <v>#VALUE!</v>
      </c>
      <c r="CX201" t="e">
        <f>'All regions'!C5582+"$F;@!)RY"</f>
        <v>#VALUE!</v>
      </c>
      <c r="CY201" t="e">
        <f>'All regions'!D5582+"$F;@!)RZ"</f>
        <v>#VALUE!</v>
      </c>
      <c r="CZ201" t="e">
        <f>'All regions'!E5582+"$F;@!)R["</f>
        <v>#VALUE!</v>
      </c>
      <c r="DA201" t="e">
        <f>'All regions'!F5582+"$F;@!)R\"</f>
        <v>#VALUE!</v>
      </c>
      <c r="DB201" t="e">
        <f>'All regions'!G5582+"$F;@!)R]"</f>
        <v>#VALUE!</v>
      </c>
      <c r="DC201" t="e">
        <f>'All regions'!H5582+"$F;@!)R^"</f>
        <v>#VALUE!</v>
      </c>
      <c r="DD201" t="e">
        <f>'All regions'!I5582+"$F;@!)R_"</f>
        <v>#VALUE!</v>
      </c>
      <c r="DE201" t="e">
        <f>'All regions'!A5583+"$F;@!)R`"</f>
        <v>#VALUE!</v>
      </c>
      <c r="DF201" t="e">
        <f>'All regions'!B5583+"$F;@!)Ra"</f>
        <v>#VALUE!</v>
      </c>
      <c r="DG201" t="e">
        <f>'All regions'!C5583+"$F;@!)Rb"</f>
        <v>#VALUE!</v>
      </c>
      <c r="DH201" t="e">
        <f>'All regions'!D5583+"$F;@!)Rc"</f>
        <v>#VALUE!</v>
      </c>
      <c r="DI201" t="e">
        <f>'All regions'!E5583+"$F;@!)Rd"</f>
        <v>#VALUE!</v>
      </c>
      <c r="DJ201" t="e">
        <f>'All regions'!F5583+"$F;@!)Re"</f>
        <v>#VALUE!</v>
      </c>
      <c r="DK201" t="e">
        <f>'All regions'!G5583+"$F;@!)Rf"</f>
        <v>#VALUE!</v>
      </c>
      <c r="DL201" t="e">
        <f>'All regions'!H5583+"$F;@!)Rg"</f>
        <v>#VALUE!</v>
      </c>
      <c r="DM201" t="e">
        <f>'All regions'!I5583+"$F;@!)Rh"</f>
        <v>#VALUE!</v>
      </c>
      <c r="DN201" t="e">
        <f>'All regions'!A5584+"$F;@!)Ri"</f>
        <v>#VALUE!</v>
      </c>
      <c r="DO201" t="e">
        <f>'All regions'!B5584+"$F;@!)Rj"</f>
        <v>#VALUE!</v>
      </c>
      <c r="DP201" t="e">
        <f>'All regions'!C5584+"$F;@!)Rk"</f>
        <v>#VALUE!</v>
      </c>
      <c r="DQ201" t="e">
        <f>'All regions'!D5584+"$F;@!)Rl"</f>
        <v>#VALUE!</v>
      </c>
      <c r="DR201" t="e">
        <f>'All regions'!E5584+"$F;@!)Rm"</f>
        <v>#VALUE!</v>
      </c>
      <c r="DS201" t="e">
        <f>'All regions'!F5584+"$F;@!)Rn"</f>
        <v>#VALUE!</v>
      </c>
      <c r="DT201" t="e">
        <f>'All regions'!G5584+"$F;@!)Ro"</f>
        <v>#VALUE!</v>
      </c>
      <c r="DU201" t="e">
        <f>'All regions'!H5584+"$F;@!)Rp"</f>
        <v>#VALUE!</v>
      </c>
      <c r="DV201" t="e">
        <f>'All regions'!I5584+"$F;@!)Rq"</f>
        <v>#VALUE!</v>
      </c>
      <c r="DW201" t="e">
        <f>'All regions'!A5585+"$F;@!)Rr"</f>
        <v>#VALUE!</v>
      </c>
      <c r="DX201" t="e">
        <f>'All regions'!B5585+"$F;@!)Rs"</f>
        <v>#VALUE!</v>
      </c>
      <c r="DY201" t="e">
        <f>'All regions'!C5585+"$F;@!)Rt"</f>
        <v>#VALUE!</v>
      </c>
      <c r="DZ201" t="e">
        <f>'All regions'!D5585+"$F;@!)Ru"</f>
        <v>#VALUE!</v>
      </c>
      <c r="EA201" t="e">
        <f>'All regions'!E5585+"$F;@!)Rv"</f>
        <v>#VALUE!</v>
      </c>
      <c r="EB201" t="e">
        <f>'All regions'!F5585+"$F;@!)Rw"</f>
        <v>#VALUE!</v>
      </c>
      <c r="EC201" t="e">
        <f>'All regions'!G5585+"$F;@!)Rx"</f>
        <v>#VALUE!</v>
      </c>
      <c r="ED201" t="e">
        <f>'All regions'!H5585+"$F;@!)Ry"</f>
        <v>#VALUE!</v>
      </c>
      <c r="EE201" t="e">
        <f>'All regions'!I5585+"$F;@!)Rz"</f>
        <v>#VALUE!</v>
      </c>
      <c r="EF201" t="e">
        <f>'All regions'!A5586+"$F;@!)R{"</f>
        <v>#VALUE!</v>
      </c>
      <c r="EG201" t="e">
        <f>'All regions'!B5586+"$F;@!)R|"</f>
        <v>#VALUE!</v>
      </c>
      <c r="EH201" t="e">
        <f>'All regions'!C5586+"$F;@!)R}"</f>
        <v>#VALUE!</v>
      </c>
      <c r="EI201" t="e">
        <f>'All regions'!D5586+"$F;@!)R~"</f>
        <v>#VALUE!</v>
      </c>
      <c r="EJ201" t="e">
        <f>'All regions'!E5586+"$F;@!)S#"</f>
        <v>#VALUE!</v>
      </c>
      <c r="EK201" t="e">
        <f>'All regions'!F5586+"$F;@!)S$"</f>
        <v>#VALUE!</v>
      </c>
      <c r="EL201" t="e">
        <f>'All regions'!G5586+"$F;@!)S%"</f>
        <v>#VALUE!</v>
      </c>
      <c r="EM201" t="e">
        <f>'All regions'!H5586+"$F;@!)S&amp;"</f>
        <v>#VALUE!</v>
      </c>
      <c r="EN201" t="e">
        <f>'All regions'!I5586+"$F;@!)S'"</f>
        <v>#VALUE!</v>
      </c>
      <c r="EO201" t="e">
        <f>'All regions'!A5587+"$F;@!)S("</f>
        <v>#VALUE!</v>
      </c>
      <c r="EP201" t="e">
        <f>'All regions'!B5587+"$F;@!)S)"</f>
        <v>#VALUE!</v>
      </c>
      <c r="EQ201" t="e">
        <f>'All regions'!C5587+"$F;@!)S."</f>
        <v>#VALUE!</v>
      </c>
      <c r="ER201" t="e">
        <f>'All regions'!D5587+"$F;@!)S/"</f>
        <v>#VALUE!</v>
      </c>
      <c r="ES201" t="e">
        <f>'All regions'!E5587+"$F;@!)S0"</f>
        <v>#VALUE!</v>
      </c>
      <c r="ET201" t="e">
        <f>'All regions'!F5587+"$F;@!)S1"</f>
        <v>#VALUE!</v>
      </c>
      <c r="EU201" t="e">
        <f>'All regions'!G5587+"$F;@!)S2"</f>
        <v>#VALUE!</v>
      </c>
      <c r="EV201" t="e">
        <f>'All regions'!H5587+"$F;@!)S3"</f>
        <v>#VALUE!</v>
      </c>
      <c r="EW201" t="e">
        <f>'All regions'!I5587+"$F;@!)S4"</f>
        <v>#VALUE!</v>
      </c>
      <c r="EX201" t="e">
        <f>'All regions'!A5588+"$F;@!)S5"</f>
        <v>#VALUE!</v>
      </c>
      <c r="EY201" t="e">
        <f>'All regions'!B5588+"$F;@!)S6"</f>
        <v>#VALUE!</v>
      </c>
      <c r="EZ201" t="e">
        <f>'All regions'!C5588+"$F;@!)S7"</f>
        <v>#VALUE!</v>
      </c>
      <c r="FA201" t="e">
        <f>'All regions'!D5588+"$F;@!)S8"</f>
        <v>#VALUE!</v>
      </c>
      <c r="FB201" t="e">
        <f>'All regions'!E5588+"$F;@!)S9"</f>
        <v>#VALUE!</v>
      </c>
      <c r="FC201" t="e">
        <f>'All regions'!F5588+"$F;@!)S:"</f>
        <v>#VALUE!</v>
      </c>
      <c r="FD201" t="e">
        <f>'All regions'!G5588+"$F;@!)S;"</f>
        <v>#VALUE!</v>
      </c>
      <c r="FE201" t="e">
        <f>'All regions'!H5588+"$F;@!)S&lt;"</f>
        <v>#VALUE!</v>
      </c>
      <c r="FF201" t="e">
        <f>'All regions'!I5588+"$F;@!)S="</f>
        <v>#VALUE!</v>
      </c>
      <c r="FG201" t="e">
        <f>'All regions'!A5589+"$F;@!)S&gt;"</f>
        <v>#VALUE!</v>
      </c>
      <c r="FH201" t="e">
        <f>'All regions'!B5589+"$F;@!)S?"</f>
        <v>#VALUE!</v>
      </c>
      <c r="FI201" t="e">
        <f>'All regions'!C5589+"$F;@!)S@"</f>
        <v>#VALUE!</v>
      </c>
      <c r="FJ201" t="e">
        <f>'All regions'!D5589+"$F;@!)SA"</f>
        <v>#VALUE!</v>
      </c>
      <c r="FK201" t="e">
        <f>'All regions'!E5589+"$F;@!)SB"</f>
        <v>#VALUE!</v>
      </c>
      <c r="FL201" t="e">
        <f>'All regions'!F5589+"$F;@!)SC"</f>
        <v>#VALUE!</v>
      </c>
      <c r="FM201" t="e">
        <f>'All regions'!G5589+"$F;@!)SD"</f>
        <v>#VALUE!</v>
      </c>
      <c r="FN201" t="e">
        <f>'All regions'!H5589+"$F;@!)SE"</f>
        <v>#VALUE!</v>
      </c>
      <c r="FO201" t="e">
        <f>'All regions'!I5589+"$F;@!)SF"</f>
        <v>#VALUE!</v>
      </c>
      <c r="FP201" t="e">
        <f>'All regions'!A5590+"$F;@!)SG"</f>
        <v>#VALUE!</v>
      </c>
      <c r="FQ201" t="e">
        <f>'All regions'!B5590+"$F;@!)SH"</f>
        <v>#VALUE!</v>
      </c>
      <c r="FR201" t="e">
        <f>'All regions'!C5590+"$F;@!)SI"</f>
        <v>#VALUE!</v>
      </c>
      <c r="FS201" t="e">
        <f>'All regions'!D5590+"$F;@!)SJ"</f>
        <v>#VALUE!</v>
      </c>
      <c r="FT201" t="e">
        <f>'All regions'!E5590+"$F;@!)SK"</f>
        <v>#VALUE!</v>
      </c>
      <c r="FU201" t="e">
        <f>'All regions'!F5590+"$F;@!)SL"</f>
        <v>#VALUE!</v>
      </c>
      <c r="FV201" t="e">
        <f>'All regions'!G5590+"$F;@!)SM"</f>
        <v>#VALUE!</v>
      </c>
      <c r="FW201" t="e">
        <f>'All regions'!H5590+"$F;@!)SN"</f>
        <v>#VALUE!</v>
      </c>
      <c r="FX201" t="e">
        <f>'All regions'!I5590+"$F;@!)SO"</f>
        <v>#VALUE!</v>
      </c>
      <c r="FY201" t="e">
        <f>'All regions'!A5591+"$F;@!)SP"</f>
        <v>#VALUE!</v>
      </c>
      <c r="FZ201" t="e">
        <f>'All regions'!B5591+"$F;@!)SQ"</f>
        <v>#VALUE!</v>
      </c>
      <c r="GA201" t="e">
        <f>'All regions'!C5591+"$F;@!)SR"</f>
        <v>#VALUE!</v>
      </c>
      <c r="GB201" t="e">
        <f>'All regions'!D5591+"$F;@!)SS"</f>
        <v>#VALUE!</v>
      </c>
      <c r="GC201" t="e">
        <f>'All regions'!E5591+"$F;@!)ST"</f>
        <v>#VALUE!</v>
      </c>
      <c r="GD201" t="e">
        <f>'All regions'!F5591+"$F;@!)SU"</f>
        <v>#VALUE!</v>
      </c>
      <c r="GE201" t="e">
        <f>'All regions'!G5591+"$F;@!)SV"</f>
        <v>#VALUE!</v>
      </c>
      <c r="GF201" t="e">
        <f>'All regions'!H5591+"$F;@!)SW"</f>
        <v>#VALUE!</v>
      </c>
      <c r="GG201" t="e">
        <f>'All regions'!I5591+"$F;@!)SX"</f>
        <v>#VALUE!</v>
      </c>
      <c r="GH201" t="e">
        <f>'All regions'!A5592+"$F;@!)SY"</f>
        <v>#VALUE!</v>
      </c>
      <c r="GI201" t="e">
        <f>'All regions'!B5592+"$F;@!)SZ"</f>
        <v>#VALUE!</v>
      </c>
      <c r="GJ201" t="e">
        <f>'All regions'!C5592+"$F;@!)S["</f>
        <v>#VALUE!</v>
      </c>
      <c r="GK201" t="e">
        <f>'All regions'!D5592+"$F;@!)S\"</f>
        <v>#VALUE!</v>
      </c>
      <c r="GL201" t="e">
        <f>'All regions'!E5592+"$F;@!)S]"</f>
        <v>#VALUE!</v>
      </c>
      <c r="GM201" t="e">
        <f>'All regions'!F5592+"$F;@!)S^"</f>
        <v>#VALUE!</v>
      </c>
      <c r="GN201" t="e">
        <f>'All regions'!G5592+"$F;@!)S_"</f>
        <v>#VALUE!</v>
      </c>
      <c r="GO201" t="e">
        <f>'All regions'!H5592+"$F;@!)S`"</f>
        <v>#VALUE!</v>
      </c>
      <c r="GP201" t="e">
        <f>'All regions'!I5592+"$F;@!)Sa"</f>
        <v>#VALUE!</v>
      </c>
      <c r="GQ201" t="e">
        <f>'All regions'!A5593+"$F;@!)Sb"</f>
        <v>#VALUE!</v>
      </c>
      <c r="GR201" t="e">
        <f>'All regions'!B5593+"$F;@!)Sc"</f>
        <v>#VALUE!</v>
      </c>
      <c r="GS201" t="e">
        <f>'All regions'!C5593+"$F;@!)Sd"</f>
        <v>#VALUE!</v>
      </c>
      <c r="GT201" t="e">
        <f>'All regions'!D5593+"$F;@!)Se"</f>
        <v>#VALUE!</v>
      </c>
      <c r="GU201" t="e">
        <f>'All regions'!E5593+"$F;@!)Sf"</f>
        <v>#VALUE!</v>
      </c>
      <c r="GV201" t="e">
        <f>'All regions'!F5593+"$F;@!)Sg"</f>
        <v>#VALUE!</v>
      </c>
      <c r="GW201" t="e">
        <f>'All regions'!G5593+"$F;@!)Sh"</f>
        <v>#VALUE!</v>
      </c>
      <c r="GX201" t="e">
        <f>'All regions'!H5593+"$F;@!)Si"</f>
        <v>#VALUE!</v>
      </c>
      <c r="GY201" t="e">
        <f>'All regions'!I5593+"$F;@!)Sj"</f>
        <v>#VALUE!</v>
      </c>
      <c r="GZ201" t="e">
        <f>'All regions'!A5594+"$F;@!)Sk"</f>
        <v>#VALUE!</v>
      </c>
      <c r="HA201" t="e">
        <f>'All regions'!B5594+"$F;@!)Sl"</f>
        <v>#VALUE!</v>
      </c>
      <c r="HB201" t="e">
        <f>'All regions'!C5594+"$F;@!)Sm"</f>
        <v>#VALUE!</v>
      </c>
      <c r="HC201" t="e">
        <f>'All regions'!D5594+"$F;@!)Sn"</f>
        <v>#VALUE!</v>
      </c>
      <c r="HD201" t="e">
        <f>'All regions'!E5594+"$F;@!)So"</f>
        <v>#VALUE!</v>
      </c>
      <c r="HE201" t="e">
        <f>'All regions'!F5594+"$F;@!)Sp"</f>
        <v>#VALUE!</v>
      </c>
      <c r="HF201" t="e">
        <f>'All regions'!G5594+"$F;@!)Sq"</f>
        <v>#VALUE!</v>
      </c>
      <c r="HG201" t="e">
        <f>'All regions'!H5594+"$F;@!)Sr"</f>
        <v>#VALUE!</v>
      </c>
      <c r="HH201" t="e">
        <f>'All regions'!I5594+"$F;@!)Ss"</f>
        <v>#VALUE!</v>
      </c>
      <c r="HI201" t="e">
        <f>'All regions'!A5595+"$F;@!)St"</f>
        <v>#VALUE!</v>
      </c>
      <c r="HJ201" t="e">
        <f>'All regions'!B5595+"$F;@!)Su"</f>
        <v>#VALUE!</v>
      </c>
      <c r="HK201" t="e">
        <f>'All regions'!C5595+"$F;@!)Sv"</f>
        <v>#VALUE!</v>
      </c>
      <c r="HL201" t="e">
        <f>'All regions'!D5595+"$F;@!)Sw"</f>
        <v>#VALUE!</v>
      </c>
      <c r="HM201" t="e">
        <f>'All regions'!E5595+"$F;@!)Sx"</f>
        <v>#VALUE!</v>
      </c>
      <c r="HN201" t="e">
        <f>'All regions'!F5595+"$F;@!)Sy"</f>
        <v>#VALUE!</v>
      </c>
      <c r="HO201" t="e">
        <f>'All regions'!G5595+"$F;@!)Sz"</f>
        <v>#VALUE!</v>
      </c>
      <c r="HP201" t="e">
        <f>'All regions'!H5595+"$F;@!)S{"</f>
        <v>#VALUE!</v>
      </c>
      <c r="HQ201" t="e">
        <f>'All regions'!I5595+"$F;@!)S|"</f>
        <v>#VALUE!</v>
      </c>
      <c r="HR201" t="e">
        <f>'All regions'!A5596+"$F;@!)S}"</f>
        <v>#VALUE!</v>
      </c>
      <c r="HS201" t="e">
        <f>'All regions'!B5596+"$F;@!)S~"</f>
        <v>#VALUE!</v>
      </c>
      <c r="HT201" t="e">
        <f>'All regions'!C5596+"$F;@!)T#"</f>
        <v>#VALUE!</v>
      </c>
      <c r="HU201" t="e">
        <f>'All regions'!D5596+"$F;@!)T$"</f>
        <v>#VALUE!</v>
      </c>
      <c r="HV201" t="e">
        <f>'All regions'!E5596+"$F;@!)T%"</f>
        <v>#VALUE!</v>
      </c>
      <c r="HW201" t="e">
        <f>'All regions'!F5596+"$F;@!)T&amp;"</f>
        <v>#VALUE!</v>
      </c>
      <c r="HX201" t="e">
        <f>'All regions'!G5596+"$F;@!)T'"</f>
        <v>#VALUE!</v>
      </c>
      <c r="HY201" t="e">
        <f>'All regions'!H5596+"$F;@!)T("</f>
        <v>#VALUE!</v>
      </c>
      <c r="HZ201" t="e">
        <f>'All regions'!I5596+"$F;@!)T)"</f>
        <v>#VALUE!</v>
      </c>
      <c r="IA201" t="e">
        <f>'All regions'!A5597+"$F;@!)T."</f>
        <v>#VALUE!</v>
      </c>
      <c r="IB201" t="e">
        <f>'All regions'!B5597+"$F;@!)T/"</f>
        <v>#VALUE!</v>
      </c>
      <c r="IC201" t="e">
        <f>'All regions'!C5597+"$F;@!)T0"</f>
        <v>#VALUE!</v>
      </c>
      <c r="ID201" t="e">
        <f>'All regions'!D5597+"$F;@!)T1"</f>
        <v>#VALUE!</v>
      </c>
      <c r="IE201" t="e">
        <f>'All regions'!E5597+"$F;@!)T2"</f>
        <v>#VALUE!</v>
      </c>
      <c r="IF201" t="e">
        <f>'All regions'!F5597+"$F;@!)T3"</f>
        <v>#VALUE!</v>
      </c>
      <c r="IG201" t="e">
        <f>'All regions'!G5597+"$F;@!)T4"</f>
        <v>#VALUE!</v>
      </c>
      <c r="IH201" t="e">
        <f>'All regions'!H5597+"$F;@!)T5"</f>
        <v>#VALUE!</v>
      </c>
      <c r="II201" t="e">
        <f>'All regions'!I5597+"$F;@!)T6"</f>
        <v>#VALUE!</v>
      </c>
      <c r="IJ201" t="e">
        <f>'All regions'!A5598+"$F;@!)T7"</f>
        <v>#VALUE!</v>
      </c>
      <c r="IK201" t="e">
        <f>'All regions'!B5598+"$F;@!)T8"</f>
        <v>#VALUE!</v>
      </c>
      <c r="IL201" t="e">
        <f>'All regions'!C5598+"$F;@!)T9"</f>
        <v>#VALUE!</v>
      </c>
      <c r="IM201" t="e">
        <f>'All regions'!D5598+"$F;@!)T:"</f>
        <v>#VALUE!</v>
      </c>
      <c r="IN201" t="e">
        <f>'All regions'!E5598+"$F;@!)T;"</f>
        <v>#VALUE!</v>
      </c>
      <c r="IO201" t="e">
        <f>'All regions'!F5598+"$F;@!)T&lt;"</f>
        <v>#VALUE!</v>
      </c>
      <c r="IP201" t="e">
        <f>'All regions'!G5598+"$F;@!)T="</f>
        <v>#VALUE!</v>
      </c>
      <c r="IQ201" t="e">
        <f>'All regions'!H5598+"$F;@!)T&gt;"</f>
        <v>#VALUE!</v>
      </c>
      <c r="IR201" t="e">
        <f>'All regions'!I5598+"$F;@!)T?"</f>
        <v>#VALUE!</v>
      </c>
      <c r="IS201" t="e">
        <f>'All regions'!A5599+"$F;@!)T@"</f>
        <v>#VALUE!</v>
      </c>
      <c r="IT201" t="e">
        <f>'All regions'!B5599+"$F;@!)TA"</f>
        <v>#VALUE!</v>
      </c>
      <c r="IU201" t="e">
        <f>'All regions'!C5599+"$F;@!)TB"</f>
        <v>#VALUE!</v>
      </c>
      <c r="IV201" t="e">
        <f>'All regions'!D5599+"$F;@!)TC"</f>
        <v>#VALUE!</v>
      </c>
    </row>
    <row r="202" spans="6:256" x14ac:dyDescent="0.35">
      <c r="F202" t="e">
        <f>'All regions'!E5599+"$F;@!)TD"</f>
        <v>#VALUE!</v>
      </c>
      <c r="G202" t="e">
        <f>'All regions'!F5599+"$F;@!)TE"</f>
        <v>#VALUE!</v>
      </c>
      <c r="H202" t="e">
        <f>'All regions'!G5599+"$F;@!)TF"</f>
        <v>#VALUE!</v>
      </c>
      <c r="I202" t="e">
        <f>'All regions'!H5599+"$F;@!)TG"</f>
        <v>#VALUE!</v>
      </c>
      <c r="J202" t="e">
        <f>'All regions'!I5599+"$F;@!)TH"</f>
        <v>#VALUE!</v>
      </c>
      <c r="K202" t="e">
        <f>'All regions'!A5600+"$F;@!)TI"</f>
        <v>#VALUE!</v>
      </c>
      <c r="L202" t="e">
        <f>'All regions'!B5600+"$F;@!)TJ"</f>
        <v>#VALUE!</v>
      </c>
      <c r="M202" t="e">
        <f>'All regions'!C5600+"$F;@!)TK"</f>
        <v>#VALUE!</v>
      </c>
      <c r="N202" t="e">
        <f>'All regions'!D5600+"$F;@!)TL"</f>
        <v>#VALUE!</v>
      </c>
      <c r="O202" t="e">
        <f>'All regions'!E5600+"$F;@!)TM"</f>
        <v>#VALUE!</v>
      </c>
      <c r="P202" t="e">
        <f>'All regions'!F5600+"$F;@!)TN"</f>
        <v>#VALUE!</v>
      </c>
      <c r="Q202" t="e">
        <f>'All regions'!G5600+"$F;@!)TO"</f>
        <v>#VALUE!</v>
      </c>
      <c r="R202" t="e">
        <f>'All regions'!H5600+"$F;@!)TP"</f>
        <v>#VALUE!</v>
      </c>
      <c r="S202" t="e">
        <f>'All regions'!I5600+"$F;@!)TQ"</f>
        <v>#VALUE!</v>
      </c>
      <c r="T202" t="e">
        <f>'All regions'!A5601+"$F;@!)TR"</f>
        <v>#VALUE!</v>
      </c>
      <c r="U202" t="e">
        <f>'All regions'!B5601+"$F;@!)TS"</f>
        <v>#VALUE!</v>
      </c>
      <c r="V202" t="e">
        <f>'All regions'!C5601+"$F;@!)TT"</f>
        <v>#VALUE!</v>
      </c>
      <c r="W202" t="e">
        <f>'All regions'!D5601+"$F;@!)TU"</f>
        <v>#VALUE!</v>
      </c>
      <c r="X202" t="e">
        <f>'All regions'!E5601+"$F;@!)TV"</f>
        <v>#VALUE!</v>
      </c>
      <c r="Y202" t="e">
        <f>'All regions'!F5601+"$F;@!)TW"</f>
        <v>#VALUE!</v>
      </c>
      <c r="Z202" t="e">
        <f>'All regions'!G5601+"$F;@!)TX"</f>
        <v>#VALUE!</v>
      </c>
      <c r="AA202" t="e">
        <f>'All regions'!H5601+"$F;@!)TY"</f>
        <v>#VALUE!</v>
      </c>
      <c r="AB202" t="e">
        <f>'All regions'!I5601+"$F;@!)TZ"</f>
        <v>#VALUE!</v>
      </c>
      <c r="AC202" t="e">
        <f>'All regions'!A5602+"$F;@!)T["</f>
        <v>#VALUE!</v>
      </c>
      <c r="AD202" t="e">
        <f>'All regions'!B5602+"$F;@!)T\"</f>
        <v>#VALUE!</v>
      </c>
      <c r="AE202" t="e">
        <f>'All regions'!C5602+"$F;@!)T]"</f>
        <v>#VALUE!</v>
      </c>
      <c r="AF202" t="e">
        <f>'All regions'!D5602+"$F;@!)T^"</f>
        <v>#VALUE!</v>
      </c>
      <c r="AG202" t="e">
        <f>'All regions'!E5602+"$F;@!)T_"</f>
        <v>#VALUE!</v>
      </c>
      <c r="AH202" t="e">
        <f>'All regions'!F5602+"$F;@!)T`"</f>
        <v>#VALUE!</v>
      </c>
      <c r="AI202" t="e">
        <f>'All regions'!G5602+"$F;@!)Ta"</f>
        <v>#VALUE!</v>
      </c>
      <c r="AJ202" t="e">
        <f>'All regions'!H5602+"$F;@!)Tb"</f>
        <v>#VALUE!</v>
      </c>
      <c r="AK202" t="e">
        <f>'All regions'!I5602+"$F;@!)Tc"</f>
        <v>#VALUE!</v>
      </c>
      <c r="AL202" t="e">
        <f>'All regions'!A5603+"$F;@!)Td"</f>
        <v>#VALUE!</v>
      </c>
      <c r="AM202" t="e">
        <f>'All regions'!B5603+"$F;@!)Te"</f>
        <v>#VALUE!</v>
      </c>
      <c r="AN202" t="e">
        <f>'All regions'!C5603+"$F;@!)Tf"</f>
        <v>#VALUE!</v>
      </c>
      <c r="AO202" t="e">
        <f>'All regions'!D5603+"$F;@!)Tg"</f>
        <v>#VALUE!</v>
      </c>
      <c r="AP202" t="e">
        <f>'All regions'!E5603+"$F;@!)Th"</f>
        <v>#VALUE!</v>
      </c>
      <c r="AQ202" t="e">
        <f>'All regions'!F5603+"$F;@!)Ti"</f>
        <v>#VALUE!</v>
      </c>
      <c r="AR202" t="e">
        <f>'All regions'!G5603+"$F;@!)Tj"</f>
        <v>#VALUE!</v>
      </c>
      <c r="AS202" t="e">
        <f>'All regions'!H5603+"$F;@!)Tk"</f>
        <v>#VALUE!</v>
      </c>
      <c r="AT202" t="e">
        <f>'All regions'!I5603+"$F;@!)Tl"</f>
        <v>#VALUE!</v>
      </c>
      <c r="AU202" t="e">
        <f>'All regions'!A5604+"$F;@!)Tm"</f>
        <v>#VALUE!</v>
      </c>
      <c r="AV202" t="e">
        <f>'All regions'!B5604+"$F;@!)Tn"</f>
        <v>#VALUE!</v>
      </c>
      <c r="AW202" t="e">
        <f>'All regions'!C5604+"$F;@!)To"</f>
        <v>#VALUE!</v>
      </c>
      <c r="AX202" t="e">
        <f>'All regions'!D5604+"$F;@!)Tp"</f>
        <v>#VALUE!</v>
      </c>
      <c r="AY202" t="e">
        <f>'All regions'!E5604+"$F;@!)Tq"</f>
        <v>#VALUE!</v>
      </c>
      <c r="AZ202" t="e">
        <f>'All regions'!F5604+"$F;@!)Tr"</f>
        <v>#VALUE!</v>
      </c>
      <c r="BA202" t="e">
        <f>'All regions'!G5604+"$F;@!)Ts"</f>
        <v>#VALUE!</v>
      </c>
      <c r="BB202" t="e">
        <f>'All regions'!H5604+"$F;@!)Tt"</f>
        <v>#VALUE!</v>
      </c>
      <c r="BC202" t="e">
        <f>'All regions'!I5604+"$F;@!)Tu"</f>
        <v>#VALUE!</v>
      </c>
      <c r="BD202" t="e">
        <f>'All regions'!A5605+"$F;@!)Tv"</f>
        <v>#VALUE!</v>
      </c>
      <c r="BE202" t="e">
        <f>'All regions'!B5605+"$F;@!)Tw"</f>
        <v>#VALUE!</v>
      </c>
      <c r="BF202" t="e">
        <f>'All regions'!C5605+"$F;@!)Tx"</f>
        <v>#VALUE!</v>
      </c>
      <c r="BG202" t="e">
        <f>'All regions'!D5605+"$F;@!)Ty"</f>
        <v>#VALUE!</v>
      </c>
      <c r="BH202" t="e">
        <f>'All regions'!E5605+"$F;@!)Tz"</f>
        <v>#VALUE!</v>
      </c>
      <c r="BI202" t="e">
        <f>'All regions'!F5605+"$F;@!)T{"</f>
        <v>#VALUE!</v>
      </c>
      <c r="BJ202" t="e">
        <f>'All regions'!G5605+"$F;@!)T|"</f>
        <v>#VALUE!</v>
      </c>
      <c r="BK202" t="e">
        <f>'All regions'!H5605+"$F;@!)T}"</f>
        <v>#VALUE!</v>
      </c>
      <c r="BL202" t="e">
        <f>'All regions'!I5605+"$F;@!)T~"</f>
        <v>#VALUE!</v>
      </c>
      <c r="BM202" t="e">
        <f>'All regions'!A5606+"$F;@!)U#"</f>
        <v>#VALUE!</v>
      </c>
      <c r="BN202" t="e">
        <f>'All regions'!B5606+"$F;@!)U$"</f>
        <v>#VALUE!</v>
      </c>
      <c r="BO202" t="e">
        <f>'All regions'!C5606+"$F;@!)U%"</f>
        <v>#VALUE!</v>
      </c>
      <c r="BP202" t="e">
        <f>'All regions'!D5606+"$F;@!)U&amp;"</f>
        <v>#VALUE!</v>
      </c>
      <c r="BQ202" t="e">
        <f>'All regions'!E5606+"$F;@!)U'"</f>
        <v>#VALUE!</v>
      </c>
      <c r="BR202" t="e">
        <f>'All regions'!F5606+"$F;@!)U("</f>
        <v>#VALUE!</v>
      </c>
      <c r="BS202" t="e">
        <f>'All regions'!G5606+"$F;@!)U)"</f>
        <v>#VALUE!</v>
      </c>
      <c r="BT202" t="e">
        <f>'All regions'!H5606+"$F;@!)U."</f>
        <v>#VALUE!</v>
      </c>
      <c r="BU202" t="e">
        <f>'All regions'!I5606+"$F;@!)U/"</f>
        <v>#VALUE!</v>
      </c>
      <c r="BV202" t="e">
        <f>'All regions'!A5607+"$F;@!)U0"</f>
        <v>#VALUE!</v>
      </c>
      <c r="BW202" t="e">
        <f>'All regions'!B5607+"$F;@!)U1"</f>
        <v>#VALUE!</v>
      </c>
      <c r="BX202" t="e">
        <f>'All regions'!C5607+"$F;@!)U2"</f>
        <v>#VALUE!</v>
      </c>
      <c r="BY202" t="e">
        <f>'All regions'!D5607+"$F;@!)U3"</f>
        <v>#VALUE!</v>
      </c>
      <c r="BZ202" t="e">
        <f>'All regions'!E5607+"$F;@!)U4"</f>
        <v>#VALUE!</v>
      </c>
      <c r="CA202" t="e">
        <f>'All regions'!F5607+"$F;@!)U5"</f>
        <v>#VALUE!</v>
      </c>
      <c r="CB202" t="e">
        <f>'All regions'!G5607+"$F;@!)U6"</f>
        <v>#VALUE!</v>
      </c>
      <c r="CC202" t="e">
        <f>'All regions'!H5607+"$F;@!)U7"</f>
        <v>#VALUE!</v>
      </c>
      <c r="CD202" t="e">
        <f>'All regions'!I5607+"$F;@!)U8"</f>
        <v>#VALUE!</v>
      </c>
      <c r="CE202" t="e">
        <f>'All regions'!A5608+"$F;@!)U9"</f>
        <v>#VALUE!</v>
      </c>
      <c r="CF202" t="e">
        <f>'All regions'!B5608+"$F;@!)U:"</f>
        <v>#VALUE!</v>
      </c>
      <c r="CG202" t="e">
        <f>'All regions'!C5608+"$F;@!)U;"</f>
        <v>#VALUE!</v>
      </c>
      <c r="CH202" t="e">
        <f>'All regions'!D5608+"$F;@!)U&lt;"</f>
        <v>#VALUE!</v>
      </c>
      <c r="CI202" t="e">
        <f>'All regions'!E5608+"$F;@!)U="</f>
        <v>#VALUE!</v>
      </c>
      <c r="CJ202" t="e">
        <f>'All regions'!F5608+"$F;@!)U&gt;"</f>
        <v>#VALUE!</v>
      </c>
      <c r="CK202" t="e">
        <f>'All regions'!G5608+"$F;@!)U?"</f>
        <v>#VALUE!</v>
      </c>
      <c r="CL202" t="e">
        <f>'All regions'!H5608+"$F;@!)U@"</f>
        <v>#VALUE!</v>
      </c>
      <c r="CM202" t="e">
        <f>'All regions'!I5608+"$F;@!)UA"</f>
        <v>#VALUE!</v>
      </c>
      <c r="CN202" t="e">
        <f>'All regions'!A5609+"$F;@!)UB"</f>
        <v>#VALUE!</v>
      </c>
      <c r="CO202" t="e">
        <f>'All regions'!B5609+"$F;@!)UC"</f>
        <v>#VALUE!</v>
      </c>
      <c r="CP202" t="e">
        <f>'All regions'!C5609+"$F;@!)UD"</f>
        <v>#VALUE!</v>
      </c>
      <c r="CQ202" t="e">
        <f>'All regions'!D5609+"$F;@!)UE"</f>
        <v>#VALUE!</v>
      </c>
      <c r="CR202" t="e">
        <f>'All regions'!E5609+"$F;@!)UF"</f>
        <v>#VALUE!</v>
      </c>
      <c r="CS202" t="e">
        <f>'All regions'!F5609+"$F;@!)UG"</f>
        <v>#VALUE!</v>
      </c>
      <c r="CT202" t="e">
        <f>'All regions'!G5609+"$F;@!)UH"</f>
        <v>#VALUE!</v>
      </c>
      <c r="CU202" t="e">
        <f>'All regions'!H5609+"$F;@!)UI"</f>
        <v>#VALUE!</v>
      </c>
      <c r="CV202" t="e">
        <f>'All regions'!I5609+"$F;@!)UJ"</f>
        <v>#VALUE!</v>
      </c>
      <c r="CW202" t="e">
        <f>'All regions'!A5610+"$F;@!)UK"</f>
        <v>#VALUE!</v>
      </c>
      <c r="CX202" t="e">
        <f>'All regions'!B5610+"$F;@!)UL"</f>
        <v>#VALUE!</v>
      </c>
      <c r="CY202" t="e">
        <f>'All regions'!C5610+"$F;@!)UM"</f>
        <v>#VALUE!</v>
      </c>
      <c r="CZ202" t="e">
        <f>'All regions'!D5610+"$F;@!)UN"</f>
        <v>#VALUE!</v>
      </c>
      <c r="DA202" t="e">
        <f>'All regions'!E5610+"$F;@!)UO"</f>
        <v>#VALUE!</v>
      </c>
      <c r="DB202" t="e">
        <f>'All regions'!F5610+"$F;@!)UP"</f>
        <v>#VALUE!</v>
      </c>
      <c r="DC202" t="e">
        <f>'All regions'!G5610+"$F;@!)UQ"</f>
        <v>#VALUE!</v>
      </c>
      <c r="DD202" t="e">
        <f>'All regions'!H5610+"$F;@!)UR"</f>
        <v>#VALUE!</v>
      </c>
      <c r="DE202" t="e">
        <f>'All regions'!I5610+"$F;@!)US"</f>
        <v>#VALUE!</v>
      </c>
      <c r="DF202" t="e">
        <f>'All regions'!A5611+"$F;@!)UT"</f>
        <v>#VALUE!</v>
      </c>
      <c r="DG202" t="e">
        <f>'All regions'!B5611+"$F;@!)UU"</f>
        <v>#VALUE!</v>
      </c>
      <c r="DH202" t="e">
        <f>'All regions'!C5611+"$F;@!)UV"</f>
        <v>#VALUE!</v>
      </c>
      <c r="DI202" t="e">
        <f>'All regions'!D5611+"$F;@!)UW"</f>
        <v>#VALUE!</v>
      </c>
      <c r="DJ202" t="e">
        <f>'All regions'!E5611+"$F;@!)UX"</f>
        <v>#VALUE!</v>
      </c>
      <c r="DK202" t="e">
        <f>'All regions'!F5611+"$F;@!)UY"</f>
        <v>#VALUE!</v>
      </c>
      <c r="DL202" t="e">
        <f>'All regions'!G5611+"$F;@!)UZ"</f>
        <v>#VALUE!</v>
      </c>
      <c r="DM202" t="e">
        <f>'All regions'!H5611+"$F;@!)U["</f>
        <v>#VALUE!</v>
      </c>
      <c r="DN202" t="e">
        <f>'All regions'!I5611+"$F;@!)U\"</f>
        <v>#VALUE!</v>
      </c>
      <c r="DO202" t="e">
        <f>'All regions'!A5612+"$F;@!)U]"</f>
        <v>#VALUE!</v>
      </c>
      <c r="DP202" t="e">
        <f>'All regions'!B5612+"$F;@!)U^"</f>
        <v>#VALUE!</v>
      </c>
      <c r="DQ202" t="e">
        <f>'All regions'!C5612+"$F;@!)U_"</f>
        <v>#VALUE!</v>
      </c>
      <c r="DR202" t="e">
        <f>'All regions'!D5612+"$F;@!)U`"</f>
        <v>#VALUE!</v>
      </c>
      <c r="DS202" t="e">
        <f>'All regions'!E5612+"$F;@!)Ua"</f>
        <v>#VALUE!</v>
      </c>
      <c r="DT202" t="e">
        <f>'All regions'!F5612+"$F;@!)Ub"</f>
        <v>#VALUE!</v>
      </c>
      <c r="DU202" t="e">
        <f>'All regions'!G5612+"$F;@!)Uc"</f>
        <v>#VALUE!</v>
      </c>
      <c r="DV202" t="e">
        <f>'All regions'!H5612+"$F;@!)Ud"</f>
        <v>#VALUE!</v>
      </c>
      <c r="DW202" t="e">
        <f>'All regions'!I5612+"$F;@!)Ue"</f>
        <v>#VALUE!</v>
      </c>
      <c r="DX202" t="e">
        <f>'All regions'!A5613+"$F;@!)Uf"</f>
        <v>#VALUE!</v>
      </c>
      <c r="DY202" t="e">
        <f>'All regions'!B5613+"$F;@!)Ug"</f>
        <v>#VALUE!</v>
      </c>
      <c r="DZ202" t="e">
        <f>'All regions'!C5613+"$F;@!)Uh"</f>
        <v>#VALUE!</v>
      </c>
      <c r="EA202" t="e">
        <f>'All regions'!D5613+"$F;@!)Ui"</f>
        <v>#VALUE!</v>
      </c>
      <c r="EB202" t="e">
        <f>'All regions'!E5613+"$F;@!)Uj"</f>
        <v>#VALUE!</v>
      </c>
      <c r="EC202" t="e">
        <f>'All regions'!F5613+"$F;@!)Uk"</f>
        <v>#VALUE!</v>
      </c>
      <c r="ED202" t="e">
        <f>'All regions'!G5613+"$F;@!)Ul"</f>
        <v>#VALUE!</v>
      </c>
      <c r="EE202" t="e">
        <f>'All regions'!H5613+"$F;@!)Um"</f>
        <v>#VALUE!</v>
      </c>
      <c r="EF202" t="e">
        <f>'All regions'!I5613+"$F;@!)Un"</f>
        <v>#VALUE!</v>
      </c>
      <c r="EG202" t="e">
        <f>'All regions'!A5614+"$F;@!)Uo"</f>
        <v>#VALUE!</v>
      </c>
      <c r="EH202" t="e">
        <f>'All regions'!B5614+"$F;@!)Up"</f>
        <v>#VALUE!</v>
      </c>
      <c r="EI202" t="e">
        <f>'All regions'!C5614+"$F;@!)Uq"</f>
        <v>#VALUE!</v>
      </c>
      <c r="EJ202" t="e">
        <f>'All regions'!D5614+"$F;@!)Ur"</f>
        <v>#VALUE!</v>
      </c>
      <c r="EK202" t="e">
        <f>'All regions'!E5614+"$F;@!)Us"</f>
        <v>#VALUE!</v>
      </c>
      <c r="EL202" t="e">
        <f>'All regions'!F5614+"$F;@!)Ut"</f>
        <v>#VALUE!</v>
      </c>
      <c r="EM202" t="e">
        <f>'All regions'!G5614+"$F;@!)Uu"</f>
        <v>#VALUE!</v>
      </c>
      <c r="EN202" t="e">
        <f>'All regions'!H5614+"$F;@!)Uv"</f>
        <v>#VALUE!</v>
      </c>
      <c r="EO202" t="e">
        <f>'All regions'!I5614+"$F;@!)Uw"</f>
        <v>#VALUE!</v>
      </c>
      <c r="EP202" t="e">
        <f>'All regions'!A5615+"$F;@!)Ux"</f>
        <v>#VALUE!</v>
      </c>
      <c r="EQ202" t="e">
        <f>'All regions'!B5615+"$F;@!)Uy"</f>
        <v>#VALUE!</v>
      </c>
      <c r="ER202" t="e">
        <f>'All regions'!C5615+"$F;@!)Uz"</f>
        <v>#VALUE!</v>
      </c>
      <c r="ES202" t="e">
        <f>'All regions'!D5615+"$F;@!)U{"</f>
        <v>#VALUE!</v>
      </c>
      <c r="ET202" t="e">
        <f>'All regions'!E5615+"$F;@!)U|"</f>
        <v>#VALUE!</v>
      </c>
      <c r="EU202" t="e">
        <f>'All regions'!F5615+"$F;@!)U}"</f>
        <v>#VALUE!</v>
      </c>
      <c r="EV202" t="e">
        <f>'All regions'!G5615+"$F;@!)U~"</f>
        <v>#VALUE!</v>
      </c>
      <c r="EW202" t="e">
        <f>'All regions'!H5615+"$F;@!)V#"</f>
        <v>#VALUE!</v>
      </c>
      <c r="EX202" t="e">
        <f>'All regions'!I5615+"$F;@!)V$"</f>
        <v>#VALUE!</v>
      </c>
      <c r="EY202" t="e">
        <f>'All regions'!A5616+"$F;@!)V%"</f>
        <v>#VALUE!</v>
      </c>
      <c r="EZ202" t="e">
        <f>'All regions'!B5616+"$F;@!)V&amp;"</f>
        <v>#VALUE!</v>
      </c>
      <c r="FA202" t="e">
        <f>'All regions'!C5616+"$F;@!)V'"</f>
        <v>#VALUE!</v>
      </c>
      <c r="FB202" t="e">
        <f>'All regions'!D5616+"$F;@!)V("</f>
        <v>#VALUE!</v>
      </c>
      <c r="FC202" t="e">
        <f>'All regions'!E5616+"$F;@!)V)"</f>
        <v>#VALUE!</v>
      </c>
      <c r="FD202" t="e">
        <f>'All regions'!F5616+"$F;@!)V."</f>
        <v>#VALUE!</v>
      </c>
      <c r="FE202" t="e">
        <f>'All regions'!G5616+"$F;@!)V/"</f>
        <v>#VALUE!</v>
      </c>
      <c r="FF202" t="e">
        <f>'All regions'!H5616+"$F;@!)V0"</f>
        <v>#VALUE!</v>
      </c>
      <c r="FG202" t="e">
        <f>'All regions'!I5616+"$F;@!)V1"</f>
        <v>#VALUE!</v>
      </c>
      <c r="FH202" t="e">
        <f>'All regions'!A5617+"$F;@!)V2"</f>
        <v>#VALUE!</v>
      </c>
      <c r="FI202" t="e">
        <f>'All regions'!B5617+"$F;@!)V3"</f>
        <v>#VALUE!</v>
      </c>
      <c r="FJ202" t="e">
        <f>'All regions'!C5617+"$F;@!)V4"</f>
        <v>#VALUE!</v>
      </c>
      <c r="FK202" t="e">
        <f>'All regions'!D5617+"$F;@!)V5"</f>
        <v>#VALUE!</v>
      </c>
      <c r="FL202" t="e">
        <f>'All regions'!E5617+"$F;@!)V6"</f>
        <v>#VALUE!</v>
      </c>
      <c r="FM202" t="e">
        <f>'All regions'!F5617+"$F;@!)V7"</f>
        <v>#VALUE!</v>
      </c>
      <c r="FN202" t="e">
        <f>'All regions'!G5617+"$F;@!)V8"</f>
        <v>#VALUE!</v>
      </c>
      <c r="FO202" t="e">
        <f>'All regions'!H5617+"$F;@!)V9"</f>
        <v>#VALUE!</v>
      </c>
      <c r="FP202" t="e">
        <f>'All regions'!I5617+"$F;@!)V:"</f>
        <v>#VALUE!</v>
      </c>
      <c r="FQ202" t="e">
        <f>'All regions'!A5618+"$F;@!)V;"</f>
        <v>#VALUE!</v>
      </c>
      <c r="FR202" t="e">
        <f>'All regions'!B5618+"$F;@!)V&lt;"</f>
        <v>#VALUE!</v>
      </c>
      <c r="FS202" t="e">
        <f>'All regions'!C5618+"$F;@!)V="</f>
        <v>#VALUE!</v>
      </c>
      <c r="FT202" t="e">
        <f>'All regions'!D5618+"$F;@!)V&gt;"</f>
        <v>#VALUE!</v>
      </c>
      <c r="FU202" t="e">
        <f>'All regions'!E5618+"$F;@!)V?"</f>
        <v>#VALUE!</v>
      </c>
      <c r="FV202" t="e">
        <f>'All regions'!F5618+"$F;@!)V@"</f>
        <v>#VALUE!</v>
      </c>
      <c r="FW202" t="e">
        <f>'All regions'!G5618+"$F;@!)VA"</f>
        <v>#VALUE!</v>
      </c>
      <c r="FX202" t="e">
        <f>'All regions'!H5618+"$F;@!)VB"</f>
        <v>#VALUE!</v>
      </c>
      <c r="FY202" t="e">
        <f>'All regions'!I5618+"$F;@!)VC"</f>
        <v>#VALUE!</v>
      </c>
      <c r="FZ202" t="e">
        <f>'All regions'!A5619+"$F;@!)VD"</f>
        <v>#VALUE!</v>
      </c>
      <c r="GA202" t="e">
        <f>'All regions'!B5619+"$F;@!)VE"</f>
        <v>#VALUE!</v>
      </c>
      <c r="GB202" t="e">
        <f>'All regions'!C5619+"$F;@!)VF"</f>
        <v>#VALUE!</v>
      </c>
      <c r="GC202" t="e">
        <f>'All regions'!D5619+"$F;@!)VG"</f>
        <v>#VALUE!</v>
      </c>
      <c r="GD202" t="e">
        <f>'All regions'!E5619+"$F;@!)VH"</f>
        <v>#VALUE!</v>
      </c>
      <c r="GE202" t="e">
        <f>'All regions'!F5619+"$F;@!)VI"</f>
        <v>#VALUE!</v>
      </c>
      <c r="GF202" t="e">
        <f>'All regions'!G5619+"$F;@!)VJ"</f>
        <v>#VALUE!</v>
      </c>
      <c r="GG202" t="e">
        <f>'All regions'!H5619+"$F;@!)VK"</f>
        <v>#VALUE!</v>
      </c>
      <c r="GH202" t="e">
        <f>'All regions'!I5619+"$F;@!)VL"</f>
        <v>#VALUE!</v>
      </c>
      <c r="GI202" t="e">
        <f>'All regions'!A5620+"$F;@!)VM"</f>
        <v>#VALUE!</v>
      </c>
      <c r="GJ202" t="e">
        <f>'All regions'!B5620+"$F;@!)VN"</f>
        <v>#VALUE!</v>
      </c>
      <c r="GK202" t="e">
        <f>'All regions'!C5620+"$F;@!)VO"</f>
        <v>#VALUE!</v>
      </c>
      <c r="GL202" t="e">
        <f>'All regions'!D5620+"$F;@!)VP"</f>
        <v>#VALUE!</v>
      </c>
      <c r="GM202" t="e">
        <f>'All regions'!E5620+"$F;@!)VQ"</f>
        <v>#VALUE!</v>
      </c>
      <c r="GN202" t="e">
        <f>'All regions'!F5620+"$F;@!)VR"</f>
        <v>#VALUE!</v>
      </c>
      <c r="GO202" t="e">
        <f>'All regions'!G5620+"$F;@!)VS"</f>
        <v>#VALUE!</v>
      </c>
      <c r="GP202" t="e">
        <f>'All regions'!H5620+"$F;@!)VT"</f>
        <v>#VALUE!</v>
      </c>
      <c r="GQ202" t="e">
        <f>'All regions'!I5620+"$F;@!)VU"</f>
        <v>#VALUE!</v>
      </c>
      <c r="GR202" t="e">
        <f>'All regions'!A5621+"$F;@!)VV"</f>
        <v>#VALUE!</v>
      </c>
      <c r="GS202" t="e">
        <f>'All regions'!B5621+"$F;@!)VW"</f>
        <v>#VALUE!</v>
      </c>
      <c r="GT202" t="e">
        <f>'All regions'!C5621+"$F;@!)VX"</f>
        <v>#VALUE!</v>
      </c>
      <c r="GU202" t="e">
        <f>'All regions'!D5621+"$F;@!)VY"</f>
        <v>#VALUE!</v>
      </c>
      <c r="GV202" t="e">
        <f>'All regions'!E5621+"$F;@!)VZ"</f>
        <v>#VALUE!</v>
      </c>
      <c r="GW202" t="e">
        <f>'All regions'!F5621+"$F;@!)V["</f>
        <v>#VALUE!</v>
      </c>
      <c r="GX202" t="e">
        <f>'All regions'!G5621+"$F;@!)V\"</f>
        <v>#VALUE!</v>
      </c>
      <c r="GY202" t="e">
        <f>'All regions'!H5621+"$F;@!)V]"</f>
        <v>#VALUE!</v>
      </c>
      <c r="GZ202" t="e">
        <f>'All regions'!I5621+"$F;@!)V^"</f>
        <v>#VALUE!</v>
      </c>
      <c r="HA202" t="e">
        <f>'All regions'!A5622+"$F;@!)V_"</f>
        <v>#VALUE!</v>
      </c>
      <c r="HB202" t="e">
        <f>'All regions'!B5622+"$F;@!)V`"</f>
        <v>#VALUE!</v>
      </c>
      <c r="HC202" t="e">
        <f>'All regions'!C5622+"$F;@!)Va"</f>
        <v>#VALUE!</v>
      </c>
      <c r="HD202" t="e">
        <f>'All regions'!D5622+"$F;@!)Vb"</f>
        <v>#VALUE!</v>
      </c>
      <c r="HE202" t="e">
        <f>'All regions'!E5622+"$F;@!)Vc"</f>
        <v>#VALUE!</v>
      </c>
      <c r="HF202" t="e">
        <f>'All regions'!F5622+"$F;@!)Vd"</f>
        <v>#VALUE!</v>
      </c>
      <c r="HG202" t="e">
        <f>'All regions'!G5622+"$F;@!)Ve"</f>
        <v>#VALUE!</v>
      </c>
      <c r="HH202" t="e">
        <f>'All regions'!H5622+"$F;@!)Vf"</f>
        <v>#VALUE!</v>
      </c>
      <c r="HI202" t="e">
        <f>'All regions'!I5622+"$F;@!)Vg"</f>
        <v>#VALUE!</v>
      </c>
      <c r="HJ202" t="e">
        <f>'All regions'!A5623+"$F;@!)Vh"</f>
        <v>#VALUE!</v>
      </c>
      <c r="HK202" t="e">
        <f>'All regions'!B5623+"$F;@!)Vi"</f>
        <v>#VALUE!</v>
      </c>
      <c r="HL202" t="e">
        <f>'All regions'!C5623+"$F;@!)Vj"</f>
        <v>#VALUE!</v>
      </c>
      <c r="HM202" t="e">
        <f>'All regions'!D5623+"$F;@!)Vk"</f>
        <v>#VALUE!</v>
      </c>
      <c r="HN202" t="e">
        <f>'All regions'!E5623+"$F;@!)Vl"</f>
        <v>#VALUE!</v>
      </c>
      <c r="HO202" t="e">
        <f>'All regions'!F5623+"$F;@!)Vm"</f>
        <v>#VALUE!</v>
      </c>
      <c r="HP202" t="e">
        <f>'All regions'!G5623+"$F;@!)Vn"</f>
        <v>#VALUE!</v>
      </c>
      <c r="HQ202" t="e">
        <f>'All regions'!H5623+"$F;@!)Vo"</f>
        <v>#VALUE!</v>
      </c>
      <c r="HR202" t="e">
        <f>'All regions'!I5623+"$F;@!)Vp"</f>
        <v>#VALUE!</v>
      </c>
      <c r="HS202" t="e">
        <f>'All regions'!A5624+"$F;@!)Vq"</f>
        <v>#VALUE!</v>
      </c>
      <c r="HT202" t="e">
        <f>'All regions'!B5624+"$F;@!)Vr"</f>
        <v>#VALUE!</v>
      </c>
      <c r="HU202" t="e">
        <f>'All regions'!C5624+"$F;@!)Vs"</f>
        <v>#VALUE!</v>
      </c>
      <c r="HV202" t="e">
        <f>'All regions'!D5624+"$F;@!)Vt"</f>
        <v>#VALUE!</v>
      </c>
      <c r="HW202" t="e">
        <f>'All regions'!E5624+"$F;@!)Vu"</f>
        <v>#VALUE!</v>
      </c>
      <c r="HX202" t="e">
        <f>'All regions'!F5624+"$F;@!)Vv"</f>
        <v>#VALUE!</v>
      </c>
      <c r="HY202" t="e">
        <f>'All regions'!G5624+"$F;@!)Vw"</f>
        <v>#VALUE!</v>
      </c>
      <c r="HZ202" t="e">
        <f>'All regions'!H5624+"$F;@!)Vx"</f>
        <v>#VALUE!</v>
      </c>
      <c r="IA202" t="e">
        <f>'All regions'!I5624+"$F;@!)Vy"</f>
        <v>#VALUE!</v>
      </c>
      <c r="IB202" t="e">
        <f>'All regions'!A5625+"$F;@!)Vz"</f>
        <v>#VALUE!</v>
      </c>
      <c r="IC202" t="e">
        <f>'All regions'!B5625+"$F;@!)V{"</f>
        <v>#VALUE!</v>
      </c>
      <c r="ID202" t="e">
        <f>'All regions'!C5625+"$F;@!)V|"</f>
        <v>#VALUE!</v>
      </c>
      <c r="IE202" t="e">
        <f>'All regions'!D5625+"$F;@!)V}"</f>
        <v>#VALUE!</v>
      </c>
      <c r="IF202" t="e">
        <f>'All regions'!E5625+"$F;@!)V~"</f>
        <v>#VALUE!</v>
      </c>
      <c r="IG202" t="e">
        <f>'All regions'!F5625+"$F;@!)W#"</f>
        <v>#VALUE!</v>
      </c>
      <c r="IH202" t="e">
        <f>'All regions'!G5625+"$F;@!)W$"</f>
        <v>#VALUE!</v>
      </c>
      <c r="II202" t="e">
        <f>'All regions'!H5625+"$F;@!)W%"</f>
        <v>#VALUE!</v>
      </c>
      <c r="IJ202" t="e">
        <f>'All regions'!I5625+"$F;@!)W&amp;"</f>
        <v>#VALUE!</v>
      </c>
      <c r="IK202" t="e">
        <f>'All regions'!A5626+"$F;@!)W'"</f>
        <v>#VALUE!</v>
      </c>
      <c r="IL202" t="e">
        <f>'All regions'!B5626+"$F;@!)W("</f>
        <v>#VALUE!</v>
      </c>
      <c r="IM202" t="e">
        <f>'All regions'!C5626+"$F;@!)W)"</f>
        <v>#VALUE!</v>
      </c>
      <c r="IN202" t="e">
        <f>'All regions'!D5626+"$F;@!)W."</f>
        <v>#VALUE!</v>
      </c>
      <c r="IO202" t="e">
        <f>'All regions'!E5626+"$F;@!)W/"</f>
        <v>#VALUE!</v>
      </c>
      <c r="IP202" t="e">
        <f>'All regions'!F5626+"$F;@!)W0"</f>
        <v>#VALUE!</v>
      </c>
      <c r="IQ202" t="e">
        <f>'All regions'!G5626+"$F;@!)W1"</f>
        <v>#VALUE!</v>
      </c>
      <c r="IR202" t="e">
        <f>'All regions'!H5626+"$F;@!)W2"</f>
        <v>#VALUE!</v>
      </c>
      <c r="IS202" t="e">
        <f>'All regions'!I5626+"$F;@!)W3"</f>
        <v>#VALUE!</v>
      </c>
      <c r="IT202" t="e">
        <f>'All regions'!A5627+"$F;@!)W4"</f>
        <v>#VALUE!</v>
      </c>
      <c r="IU202" t="e">
        <f>'All regions'!B5627+"$F;@!)W5"</f>
        <v>#VALUE!</v>
      </c>
      <c r="IV202" t="e">
        <f>'All regions'!C5627+"$F;@!)W6"</f>
        <v>#VALUE!</v>
      </c>
    </row>
    <row r="203" spans="6:256" x14ac:dyDescent="0.35">
      <c r="F203" t="e">
        <f>'All regions'!D5627+"$F;@!)W7"</f>
        <v>#VALUE!</v>
      </c>
      <c r="G203" t="e">
        <f>'All regions'!E5627+"$F;@!)W8"</f>
        <v>#VALUE!</v>
      </c>
      <c r="H203" t="e">
        <f>'All regions'!F5627+"$F;@!)W9"</f>
        <v>#VALUE!</v>
      </c>
      <c r="I203" t="e">
        <f>'All regions'!G5627+"$F;@!)W:"</f>
        <v>#VALUE!</v>
      </c>
      <c r="J203" t="e">
        <f>'All regions'!H5627+"$F;@!)W;"</f>
        <v>#VALUE!</v>
      </c>
      <c r="K203" t="e">
        <f>'All regions'!I5627+"$F;@!)W&lt;"</f>
        <v>#VALUE!</v>
      </c>
      <c r="L203" t="e">
        <f>'All regions'!A5628+"$F;@!)W="</f>
        <v>#VALUE!</v>
      </c>
      <c r="M203" t="e">
        <f>'All regions'!B5628+"$F;@!)W&gt;"</f>
        <v>#VALUE!</v>
      </c>
      <c r="N203" t="e">
        <f>'All regions'!C5628+"$F;@!)W?"</f>
        <v>#VALUE!</v>
      </c>
      <c r="O203" t="e">
        <f>'All regions'!D5628+"$F;@!)W@"</f>
        <v>#VALUE!</v>
      </c>
      <c r="P203" t="e">
        <f>'All regions'!E5628+"$F;@!)WA"</f>
        <v>#VALUE!</v>
      </c>
      <c r="Q203" t="e">
        <f>'All regions'!F5628+"$F;@!)WB"</f>
        <v>#VALUE!</v>
      </c>
      <c r="R203" t="e">
        <f>'All regions'!G5628+"$F;@!)WC"</f>
        <v>#VALUE!</v>
      </c>
      <c r="S203" t="e">
        <f>'All regions'!H5628+"$F;@!)WD"</f>
        <v>#VALUE!</v>
      </c>
      <c r="T203" t="e">
        <f>'All regions'!I5628+"$F;@!)WE"</f>
        <v>#VALUE!</v>
      </c>
      <c r="U203" t="e">
        <f>'All regions'!A5629+"$F;@!)WF"</f>
        <v>#VALUE!</v>
      </c>
      <c r="V203" t="e">
        <f>'All regions'!B5629+"$F;@!)WG"</f>
        <v>#VALUE!</v>
      </c>
      <c r="W203" t="e">
        <f>'All regions'!C5629+"$F;@!)WH"</f>
        <v>#VALUE!</v>
      </c>
      <c r="X203" t="e">
        <f>'All regions'!D5629+"$F;@!)WI"</f>
        <v>#VALUE!</v>
      </c>
      <c r="Y203" t="e">
        <f>'All regions'!E5629+"$F;@!)WJ"</f>
        <v>#VALUE!</v>
      </c>
      <c r="Z203" t="e">
        <f>'All regions'!F5629+"$F;@!)WK"</f>
        <v>#VALUE!</v>
      </c>
      <c r="AA203" t="e">
        <f>'All regions'!G5629+"$F;@!)WL"</f>
        <v>#VALUE!</v>
      </c>
      <c r="AB203" t="e">
        <f>'All regions'!H5629+"$F;@!)WM"</f>
        <v>#VALUE!</v>
      </c>
      <c r="AC203" t="e">
        <f>'All regions'!I5629+"$F;@!)WN"</f>
        <v>#VALUE!</v>
      </c>
      <c r="AD203" t="e">
        <f>'All regions'!A5630+"$F;@!)WO"</f>
        <v>#VALUE!</v>
      </c>
      <c r="AE203" t="e">
        <f>'All regions'!B5630+"$F;@!)WP"</f>
        <v>#VALUE!</v>
      </c>
      <c r="AF203" t="e">
        <f>'All regions'!C5630+"$F;@!)WQ"</f>
        <v>#VALUE!</v>
      </c>
      <c r="AG203" t="e">
        <f>'All regions'!D5630+"$F;@!)WR"</f>
        <v>#VALUE!</v>
      </c>
      <c r="AH203" t="e">
        <f>'All regions'!E5630+"$F;@!)WS"</f>
        <v>#VALUE!</v>
      </c>
      <c r="AI203" t="e">
        <f>'All regions'!F5630+"$F;@!)WT"</f>
        <v>#VALUE!</v>
      </c>
      <c r="AJ203" t="e">
        <f>'All regions'!G5630+"$F;@!)WU"</f>
        <v>#VALUE!</v>
      </c>
      <c r="AK203" t="e">
        <f>'All regions'!H5630+"$F;@!)WV"</f>
        <v>#VALUE!</v>
      </c>
      <c r="AL203" t="e">
        <f>'All regions'!I5630+"$F;@!)WW"</f>
        <v>#VALUE!</v>
      </c>
      <c r="AM203" t="e">
        <f>'All regions'!A5631+"$F;@!)WX"</f>
        <v>#VALUE!</v>
      </c>
      <c r="AN203" t="e">
        <f>'All regions'!B5631+"$F;@!)WY"</f>
        <v>#VALUE!</v>
      </c>
      <c r="AO203" t="e">
        <f>'All regions'!C5631+"$F;@!)WZ"</f>
        <v>#VALUE!</v>
      </c>
      <c r="AP203" t="e">
        <f>'All regions'!D5631+"$F;@!)W["</f>
        <v>#VALUE!</v>
      </c>
      <c r="AQ203" t="e">
        <f>'All regions'!E5631+"$F;@!)W\"</f>
        <v>#VALUE!</v>
      </c>
      <c r="AR203" t="e">
        <f>'All regions'!F5631+"$F;@!)W]"</f>
        <v>#VALUE!</v>
      </c>
      <c r="AS203" t="e">
        <f>'All regions'!G5631+"$F;@!)W^"</f>
        <v>#VALUE!</v>
      </c>
      <c r="AT203" t="e">
        <f>'All regions'!H5631+"$F;@!)W_"</f>
        <v>#VALUE!</v>
      </c>
      <c r="AU203" t="e">
        <f>'All regions'!I5631+"$F;@!)W`"</f>
        <v>#VALUE!</v>
      </c>
      <c r="AV203" t="e">
        <f>'All regions'!A5632+"$F;@!)Wa"</f>
        <v>#VALUE!</v>
      </c>
      <c r="AW203" t="e">
        <f>'All regions'!B5632+"$F;@!)Wb"</f>
        <v>#VALUE!</v>
      </c>
      <c r="AX203" t="e">
        <f>'All regions'!C5632+"$F;@!)Wc"</f>
        <v>#VALUE!</v>
      </c>
      <c r="AY203" t="e">
        <f>'All regions'!D5632+"$F;@!)Wd"</f>
        <v>#VALUE!</v>
      </c>
      <c r="AZ203" t="e">
        <f>'All regions'!E5632+"$F;@!)We"</f>
        <v>#VALUE!</v>
      </c>
      <c r="BA203" t="e">
        <f>'All regions'!F5632+"$F;@!)Wf"</f>
        <v>#VALUE!</v>
      </c>
      <c r="BB203" t="e">
        <f>'All regions'!G5632+"$F;@!)Wg"</f>
        <v>#VALUE!</v>
      </c>
      <c r="BC203" t="e">
        <f>'All regions'!H5632+"$F;@!)Wh"</f>
        <v>#VALUE!</v>
      </c>
      <c r="BD203" t="e">
        <f>'All regions'!I5632+"$F;@!)Wi"</f>
        <v>#VALUE!</v>
      </c>
      <c r="BE203" t="e">
        <f>'All regions'!A5633+"$F;@!)Wj"</f>
        <v>#VALUE!</v>
      </c>
      <c r="BF203" t="e">
        <f>'All regions'!B5633+"$F;@!)Wk"</f>
        <v>#VALUE!</v>
      </c>
      <c r="BG203" t="e">
        <f>'All regions'!C5633+"$F;@!)Wl"</f>
        <v>#VALUE!</v>
      </c>
      <c r="BH203" t="e">
        <f>'All regions'!D5633+"$F;@!)Wm"</f>
        <v>#VALUE!</v>
      </c>
      <c r="BI203" t="e">
        <f>'All regions'!E5633+"$F;@!)Wn"</f>
        <v>#VALUE!</v>
      </c>
      <c r="BJ203" t="e">
        <f>'All regions'!F5633+"$F;@!)Wo"</f>
        <v>#VALUE!</v>
      </c>
      <c r="BK203" t="e">
        <f>'All regions'!G5633+"$F;@!)Wp"</f>
        <v>#VALUE!</v>
      </c>
      <c r="BL203" t="e">
        <f>'All regions'!H5633+"$F;@!)Wq"</f>
        <v>#VALUE!</v>
      </c>
      <c r="BM203" t="e">
        <f>'All regions'!I5633+"$F;@!)Wr"</f>
        <v>#VALUE!</v>
      </c>
      <c r="BN203" t="e">
        <f>'All regions'!A5634+"$F;@!)Ws"</f>
        <v>#VALUE!</v>
      </c>
      <c r="BO203" t="e">
        <f>'All regions'!B5634+"$F;@!)Wt"</f>
        <v>#VALUE!</v>
      </c>
      <c r="BP203" t="e">
        <f>'All regions'!C5634+"$F;@!)Wu"</f>
        <v>#VALUE!</v>
      </c>
      <c r="BQ203" t="e">
        <f>'All regions'!D5634+"$F;@!)Wv"</f>
        <v>#VALUE!</v>
      </c>
      <c r="BR203" t="e">
        <f>'All regions'!E5634+"$F;@!)Ww"</f>
        <v>#VALUE!</v>
      </c>
      <c r="BS203" t="e">
        <f>'All regions'!F5634+"$F;@!)Wx"</f>
        <v>#VALUE!</v>
      </c>
      <c r="BT203" t="e">
        <f>'All regions'!G5634+"$F;@!)Wy"</f>
        <v>#VALUE!</v>
      </c>
      <c r="BU203" t="e">
        <f>'All regions'!H5634+"$F;@!)Wz"</f>
        <v>#VALUE!</v>
      </c>
      <c r="BV203" t="e">
        <f>'All regions'!I5634+"$F;@!)W{"</f>
        <v>#VALUE!</v>
      </c>
      <c r="BW203" t="e">
        <f>'All regions'!A5635+"$F;@!)W|"</f>
        <v>#VALUE!</v>
      </c>
      <c r="BX203" t="e">
        <f>'All regions'!B5635+"$F;@!)W}"</f>
        <v>#VALUE!</v>
      </c>
      <c r="BY203" t="e">
        <f>'All regions'!C5635+"$F;@!)W~"</f>
        <v>#VALUE!</v>
      </c>
      <c r="BZ203" t="e">
        <f>'All regions'!D5635+"$F;@!)X#"</f>
        <v>#VALUE!</v>
      </c>
      <c r="CA203" t="e">
        <f>'All regions'!E5635+"$F;@!)X$"</f>
        <v>#VALUE!</v>
      </c>
      <c r="CB203" t="e">
        <f>'All regions'!F5635+"$F;@!)X%"</f>
        <v>#VALUE!</v>
      </c>
      <c r="CC203" t="e">
        <f>'All regions'!G5635+"$F;@!)X&amp;"</f>
        <v>#VALUE!</v>
      </c>
      <c r="CD203" t="e">
        <f>'All regions'!H5635+"$F;@!)X'"</f>
        <v>#VALUE!</v>
      </c>
      <c r="CE203" t="e">
        <f>'All regions'!I5635+"$F;@!)X("</f>
        <v>#VALUE!</v>
      </c>
      <c r="CF203" t="e">
        <f>'All regions'!A5636+"$F;@!)X)"</f>
        <v>#VALUE!</v>
      </c>
      <c r="CG203" t="e">
        <f>'All regions'!B5636+"$F;@!)X."</f>
        <v>#VALUE!</v>
      </c>
      <c r="CH203" t="e">
        <f>'All regions'!C5636+"$F;@!)X/"</f>
        <v>#VALUE!</v>
      </c>
      <c r="CI203" t="e">
        <f>'All regions'!D5636+"$F;@!)X0"</f>
        <v>#VALUE!</v>
      </c>
      <c r="CJ203" t="e">
        <f>'All regions'!E5636+"$F;@!)X1"</f>
        <v>#VALUE!</v>
      </c>
      <c r="CK203" t="e">
        <f>'All regions'!F5636+"$F;@!)X2"</f>
        <v>#VALUE!</v>
      </c>
      <c r="CL203" t="e">
        <f>'All regions'!G5636+"$F;@!)X3"</f>
        <v>#VALUE!</v>
      </c>
      <c r="CM203" t="e">
        <f>'All regions'!H5636+"$F;@!)X4"</f>
        <v>#VALUE!</v>
      </c>
      <c r="CN203" t="e">
        <f>'All regions'!I5636+"$F;@!)X5"</f>
        <v>#VALUE!</v>
      </c>
      <c r="CO203" t="e">
        <f>'All regions'!A5637+"$F;@!)X6"</f>
        <v>#VALUE!</v>
      </c>
      <c r="CP203" t="e">
        <f>'All regions'!B5637+"$F;@!)X7"</f>
        <v>#VALUE!</v>
      </c>
      <c r="CQ203" t="e">
        <f>'All regions'!C5637+"$F;@!)X8"</f>
        <v>#VALUE!</v>
      </c>
      <c r="CR203" t="e">
        <f>'All regions'!D5637+"$F;@!)X9"</f>
        <v>#VALUE!</v>
      </c>
      <c r="CS203" t="e">
        <f>'All regions'!E5637+"$F;@!)X:"</f>
        <v>#VALUE!</v>
      </c>
      <c r="CT203" t="e">
        <f>'All regions'!F5637+"$F;@!)X;"</f>
        <v>#VALUE!</v>
      </c>
      <c r="CU203" t="e">
        <f>'All regions'!G5637+"$F;@!)X&lt;"</f>
        <v>#VALUE!</v>
      </c>
      <c r="CV203" t="e">
        <f>'All regions'!H5637+"$F;@!)X="</f>
        <v>#VALUE!</v>
      </c>
      <c r="CW203" t="e">
        <f>'All regions'!I5637+"$F;@!)X&gt;"</f>
        <v>#VALUE!</v>
      </c>
      <c r="CX203" t="e">
        <f>'All regions'!A5638+"$F;@!)X?"</f>
        <v>#VALUE!</v>
      </c>
      <c r="CY203" t="e">
        <f>'All regions'!B5638+"$F;@!)X@"</f>
        <v>#VALUE!</v>
      </c>
      <c r="CZ203" t="e">
        <f>'All regions'!C5638+"$F;@!)XA"</f>
        <v>#VALUE!</v>
      </c>
      <c r="DA203" t="e">
        <f>'All regions'!D5638+"$F;@!)XB"</f>
        <v>#VALUE!</v>
      </c>
      <c r="DB203" t="e">
        <f>'All regions'!E5638+"$F;@!)XC"</f>
        <v>#VALUE!</v>
      </c>
      <c r="DC203" t="e">
        <f>'All regions'!F5638+"$F;@!)XD"</f>
        <v>#VALUE!</v>
      </c>
      <c r="DD203" t="e">
        <f>'All regions'!G5638+"$F;@!)XE"</f>
        <v>#VALUE!</v>
      </c>
      <c r="DE203" t="e">
        <f>'All regions'!H5638+"$F;@!)XF"</f>
        <v>#VALUE!</v>
      </c>
      <c r="DF203" t="e">
        <f>'All regions'!I5638+"$F;@!)XG"</f>
        <v>#VALUE!</v>
      </c>
      <c r="DG203" t="e">
        <f>'All regions'!A5639+"$F;@!)XH"</f>
        <v>#VALUE!</v>
      </c>
      <c r="DH203" t="e">
        <f>'All regions'!B5639+"$F;@!)XI"</f>
        <v>#VALUE!</v>
      </c>
      <c r="DI203" t="e">
        <f>'All regions'!C5639+"$F;@!)XJ"</f>
        <v>#VALUE!</v>
      </c>
      <c r="DJ203" t="e">
        <f>'All regions'!D5639+"$F;@!)XK"</f>
        <v>#VALUE!</v>
      </c>
      <c r="DK203" t="e">
        <f>'All regions'!E5639+"$F;@!)XL"</f>
        <v>#VALUE!</v>
      </c>
      <c r="DL203" t="e">
        <f>'All regions'!F5639+"$F;@!)XM"</f>
        <v>#VALUE!</v>
      </c>
      <c r="DM203" t="e">
        <f>'All regions'!G5639+"$F;@!)XN"</f>
        <v>#VALUE!</v>
      </c>
      <c r="DN203" t="e">
        <f>'All regions'!H5639+"$F;@!)XO"</f>
        <v>#VALUE!</v>
      </c>
      <c r="DO203" t="e">
        <f>'All regions'!I5639+"$F;@!)XP"</f>
        <v>#VALUE!</v>
      </c>
      <c r="DP203" t="e">
        <f>'All regions'!A5640+"$F;@!)XQ"</f>
        <v>#VALUE!</v>
      </c>
      <c r="DQ203" t="e">
        <f>'All regions'!B5640+"$F;@!)XR"</f>
        <v>#VALUE!</v>
      </c>
      <c r="DR203" t="e">
        <f>'All regions'!C5640+"$F;@!)XS"</f>
        <v>#VALUE!</v>
      </c>
      <c r="DS203" t="e">
        <f>'All regions'!D5640+"$F;@!)XT"</f>
        <v>#VALUE!</v>
      </c>
      <c r="DT203" t="e">
        <f>'All regions'!E5640+"$F;@!)XU"</f>
        <v>#VALUE!</v>
      </c>
      <c r="DU203" t="e">
        <f>'All regions'!F5640+"$F;@!)XV"</f>
        <v>#VALUE!</v>
      </c>
      <c r="DV203" t="e">
        <f>'All regions'!G5640+"$F;@!)XW"</f>
        <v>#VALUE!</v>
      </c>
      <c r="DW203" t="e">
        <f>'All regions'!H5640+"$F;@!)XX"</f>
        <v>#VALUE!</v>
      </c>
      <c r="DX203" t="e">
        <f>'All regions'!I5640+"$F;@!)XY"</f>
        <v>#VALUE!</v>
      </c>
      <c r="DY203" t="e">
        <f>'All regions'!A5641+"$F;@!)XZ"</f>
        <v>#VALUE!</v>
      </c>
      <c r="DZ203" t="e">
        <f>'All regions'!B5641+"$F;@!)X["</f>
        <v>#VALUE!</v>
      </c>
      <c r="EA203" t="e">
        <f>'All regions'!C5641+"$F;@!)X\"</f>
        <v>#VALUE!</v>
      </c>
      <c r="EB203" t="e">
        <f>'All regions'!D5641+"$F;@!)X]"</f>
        <v>#VALUE!</v>
      </c>
      <c r="EC203" t="e">
        <f>'All regions'!E5641+"$F;@!)X^"</f>
        <v>#VALUE!</v>
      </c>
      <c r="ED203" t="e">
        <f>'All regions'!F5641+"$F;@!)X_"</f>
        <v>#VALUE!</v>
      </c>
      <c r="EE203" t="e">
        <f>'All regions'!G5641+"$F;@!)X`"</f>
        <v>#VALUE!</v>
      </c>
      <c r="EF203" t="e">
        <f>'All regions'!H5641+"$F;@!)Xa"</f>
        <v>#VALUE!</v>
      </c>
      <c r="EG203" t="e">
        <f>'All regions'!I5641+"$F;@!)Xb"</f>
        <v>#VALUE!</v>
      </c>
      <c r="EH203" t="e">
        <f>'All regions'!A5642+"$F;@!)Xc"</f>
        <v>#VALUE!</v>
      </c>
      <c r="EI203" t="e">
        <f>'All regions'!B5642+"$F;@!)Xd"</f>
        <v>#VALUE!</v>
      </c>
      <c r="EJ203" t="e">
        <f>'All regions'!C5642+"$F;@!)Xe"</f>
        <v>#VALUE!</v>
      </c>
      <c r="EK203" t="e">
        <f>'All regions'!D5642+"$F;@!)Xf"</f>
        <v>#VALUE!</v>
      </c>
      <c r="EL203" t="e">
        <f>'All regions'!E5642+"$F;@!)Xg"</f>
        <v>#VALUE!</v>
      </c>
      <c r="EM203" t="e">
        <f>'All regions'!F5642+"$F;@!)Xh"</f>
        <v>#VALUE!</v>
      </c>
      <c r="EN203" t="e">
        <f>'All regions'!G5642+"$F;@!)Xi"</f>
        <v>#VALUE!</v>
      </c>
      <c r="EO203" t="e">
        <f>'All regions'!H5642+"$F;@!)Xj"</f>
        <v>#VALUE!</v>
      </c>
      <c r="EP203" t="e">
        <f>'All regions'!I5642+"$F;@!)Xk"</f>
        <v>#VALUE!</v>
      </c>
      <c r="EQ203" t="e">
        <f>'All regions'!A5643+"$F;@!)Xl"</f>
        <v>#VALUE!</v>
      </c>
      <c r="ER203" t="e">
        <f>'All regions'!B5643+"$F;@!)Xm"</f>
        <v>#VALUE!</v>
      </c>
      <c r="ES203" t="e">
        <f>'All regions'!C5643+"$F;@!)Xn"</f>
        <v>#VALUE!</v>
      </c>
      <c r="ET203" t="e">
        <f>'All regions'!D5643+"$F;@!)Xo"</f>
        <v>#VALUE!</v>
      </c>
      <c r="EU203" t="e">
        <f>'All regions'!E5643+"$F;@!)Xp"</f>
        <v>#VALUE!</v>
      </c>
      <c r="EV203" t="e">
        <f>'All regions'!F5643+"$F;@!)Xq"</f>
        <v>#VALUE!</v>
      </c>
      <c r="EW203" t="e">
        <f>'All regions'!G5643+"$F;@!)Xr"</f>
        <v>#VALUE!</v>
      </c>
      <c r="EX203" t="e">
        <f>'All regions'!H5643+"$F;@!)Xs"</f>
        <v>#VALUE!</v>
      </c>
      <c r="EY203" t="e">
        <f>'All regions'!I5643+"$F;@!)Xt"</f>
        <v>#VALUE!</v>
      </c>
      <c r="EZ203" t="e">
        <f>'All regions'!A5644+"$F;@!)Xu"</f>
        <v>#VALUE!</v>
      </c>
      <c r="FA203" t="e">
        <f>'All regions'!B5644+"$F;@!)Xv"</f>
        <v>#VALUE!</v>
      </c>
      <c r="FB203" t="e">
        <f>'All regions'!C5644+"$F;@!)Xw"</f>
        <v>#VALUE!</v>
      </c>
      <c r="FC203" t="e">
        <f>'All regions'!D5644+"$F;@!)Xx"</f>
        <v>#VALUE!</v>
      </c>
      <c r="FD203" t="e">
        <f>'All regions'!E5644+"$F;@!)Xy"</f>
        <v>#VALUE!</v>
      </c>
      <c r="FE203" t="e">
        <f>'All regions'!F5644+"$F;@!)Xz"</f>
        <v>#VALUE!</v>
      </c>
      <c r="FF203" t="e">
        <f>'All regions'!G5644+"$F;@!)X{"</f>
        <v>#VALUE!</v>
      </c>
      <c r="FG203" t="e">
        <f>'All regions'!H5644+"$F;@!)X|"</f>
        <v>#VALUE!</v>
      </c>
      <c r="FH203" t="e">
        <f>'All regions'!I5644+"$F;@!)X}"</f>
        <v>#VALUE!</v>
      </c>
      <c r="FI203" t="e">
        <f>'All regions'!A5645+"$F;@!)X~"</f>
        <v>#VALUE!</v>
      </c>
      <c r="FJ203" t="e">
        <f>'All regions'!B5645+"$F;@!)Y#"</f>
        <v>#VALUE!</v>
      </c>
      <c r="FK203" t="e">
        <f>'All regions'!C5645+"$F;@!)Y$"</f>
        <v>#VALUE!</v>
      </c>
      <c r="FL203" t="e">
        <f>'All regions'!D5645+"$F;@!)Y%"</f>
        <v>#VALUE!</v>
      </c>
      <c r="FM203" t="e">
        <f>'All regions'!E5645+"$F;@!)Y&amp;"</f>
        <v>#VALUE!</v>
      </c>
      <c r="FN203" t="e">
        <f>'All regions'!F5645+"$F;@!)Y'"</f>
        <v>#VALUE!</v>
      </c>
      <c r="FO203" t="e">
        <f>'All regions'!G5645+"$F;@!)Y("</f>
        <v>#VALUE!</v>
      </c>
      <c r="FP203" t="e">
        <f>'All regions'!H5645+"$F;@!)Y)"</f>
        <v>#VALUE!</v>
      </c>
      <c r="FQ203" t="e">
        <f>'All regions'!I5645+"$F;@!)Y."</f>
        <v>#VALUE!</v>
      </c>
      <c r="FR203" t="e">
        <f>'All regions'!A5646+"$F;@!)Y/"</f>
        <v>#VALUE!</v>
      </c>
      <c r="FS203" t="e">
        <f>'All regions'!B5646+"$F;@!)Y0"</f>
        <v>#VALUE!</v>
      </c>
      <c r="FT203" t="e">
        <f>'All regions'!C5646+"$F;@!)Y1"</f>
        <v>#VALUE!</v>
      </c>
      <c r="FU203" t="e">
        <f>'All regions'!D5646+"$F;@!)Y2"</f>
        <v>#VALUE!</v>
      </c>
      <c r="FV203" t="e">
        <f>'All regions'!E5646+"$F;@!)Y3"</f>
        <v>#VALUE!</v>
      </c>
      <c r="FW203" t="e">
        <f>'All regions'!F5646+"$F;@!)Y4"</f>
        <v>#VALUE!</v>
      </c>
      <c r="FX203" t="e">
        <f>'All regions'!G5646+"$F;@!)Y5"</f>
        <v>#VALUE!</v>
      </c>
      <c r="FY203" t="e">
        <f>'All regions'!H5646+"$F;@!)Y6"</f>
        <v>#VALUE!</v>
      </c>
      <c r="FZ203" t="e">
        <f>'All regions'!I5646+"$F;@!)Y7"</f>
        <v>#VALUE!</v>
      </c>
      <c r="GA203" t="e">
        <f>'All regions'!A5647+"$F;@!)Y8"</f>
        <v>#VALUE!</v>
      </c>
      <c r="GB203" t="e">
        <f>'All regions'!B5647+"$F;@!)Y9"</f>
        <v>#VALUE!</v>
      </c>
      <c r="GC203" t="e">
        <f>'All regions'!C5647+"$F;@!)Y:"</f>
        <v>#VALUE!</v>
      </c>
      <c r="GD203" t="e">
        <f>'All regions'!D5647+"$F;@!)Y;"</f>
        <v>#VALUE!</v>
      </c>
      <c r="GE203" t="e">
        <f>'All regions'!E5647+"$F;@!)Y&lt;"</f>
        <v>#VALUE!</v>
      </c>
      <c r="GF203" t="e">
        <f>'All regions'!F5647+"$F;@!)Y="</f>
        <v>#VALUE!</v>
      </c>
      <c r="GG203" t="e">
        <f>'All regions'!G5647+"$F;@!)Y&gt;"</f>
        <v>#VALUE!</v>
      </c>
      <c r="GH203" t="e">
        <f>'All regions'!H5647+"$F;@!)Y?"</f>
        <v>#VALUE!</v>
      </c>
      <c r="GI203" t="e">
        <f>'All regions'!I5647+"$F;@!)Y@"</f>
        <v>#VALUE!</v>
      </c>
      <c r="GJ203" t="e">
        <f>'All regions'!A5648+"$F;@!)YA"</f>
        <v>#VALUE!</v>
      </c>
      <c r="GK203" t="e">
        <f>'All regions'!B5648+"$F;@!)YB"</f>
        <v>#VALUE!</v>
      </c>
      <c r="GL203" t="e">
        <f>'All regions'!C5648+"$F;@!)YC"</f>
        <v>#VALUE!</v>
      </c>
      <c r="GM203" t="e">
        <f>'All regions'!D5648+"$F;@!)YD"</f>
        <v>#VALUE!</v>
      </c>
      <c r="GN203" t="e">
        <f>'All regions'!E5648+"$F;@!)YE"</f>
        <v>#VALUE!</v>
      </c>
      <c r="GO203" t="e">
        <f>'All regions'!F5648+"$F;@!)YF"</f>
        <v>#VALUE!</v>
      </c>
      <c r="GP203" t="e">
        <f>'All regions'!G5648+"$F;@!)YG"</f>
        <v>#VALUE!</v>
      </c>
      <c r="GQ203" t="e">
        <f>'All regions'!H5648+"$F;@!)YH"</f>
        <v>#VALUE!</v>
      </c>
      <c r="GR203" t="e">
        <f>'All regions'!I5648+"$F;@!)YI"</f>
        <v>#VALUE!</v>
      </c>
      <c r="GS203" t="e">
        <f>'All regions'!A5649+"$F;@!)YJ"</f>
        <v>#VALUE!</v>
      </c>
      <c r="GT203" t="e">
        <f>'All regions'!B5649+"$F;@!)YK"</f>
        <v>#VALUE!</v>
      </c>
      <c r="GU203" t="e">
        <f>'All regions'!C5649+"$F;@!)YL"</f>
        <v>#VALUE!</v>
      </c>
      <c r="GV203" t="e">
        <f>'All regions'!D5649+"$F;@!)YM"</f>
        <v>#VALUE!</v>
      </c>
      <c r="GW203" t="e">
        <f>'All regions'!E5649+"$F;@!)YN"</f>
        <v>#VALUE!</v>
      </c>
      <c r="GX203" t="e">
        <f>'All regions'!F5649+"$F;@!)YO"</f>
        <v>#VALUE!</v>
      </c>
      <c r="GY203" t="e">
        <f>'All regions'!G5649+"$F;@!)YP"</f>
        <v>#VALUE!</v>
      </c>
      <c r="GZ203" t="e">
        <f>'All regions'!H5649+"$F;@!)YQ"</f>
        <v>#VALUE!</v>
      </c>
      <c r="HA203" t="e">
        <f>'All regions'!I5649+"$F;@!)YR"</f>
        <v>#VALUE!</v>
      </c>
      <c r="HB203" t="e">
        <f>'All regions'!A5650+"$F;@!)YS"</f>
        <v>#VALUE!</v>
      </c>
      <c r="HC203" t="e">
        <f>'All regions'!B5650+"$F;@!)YT"</f>
        <v>#VALUE!</v>
      </c>
      <c r="HD203" t="e">
        <f>'All regions'!C5650+"$F;@!)YU"</f>
        <v>#VALUE!</v>
      </c>
      <c r="HE203" t="e">
        <f>'All regions'!D5650+"$F;@!)YV"</f>
        <v>#VALUE!</v>
      </c>
      <c r="HF203" t="e">
        <f>'All regions'!E5650+"$F;@!)YW"</f>
        <v>#VALUE!</v>
      </c>
      <c r="HG203" t="e">
        <f>'All regions'!F5650+"$F;@!)YX"</f>
        <v>#VALUE!</v>
      </c>
      <c r="HH203" t="e">
        <f>'All regions'!G5650+"$F;@!)YY"</f>
        <v>#VALUE!</v>
      </c>
      <c r="HI203" t="e">
        <f>'All regions'!H5650+"$F;@!)YZ"</f>
        <v>#VALUE!</v>
      </c>
      <c r="HJ203" t="e">
        <f>'All regions'!I5650+"$F;@!)Y["</f>
        <v>#VALUE!</v>
      </c>
      <c r="HK203" t="e">
        <f>'All regions'!A5651+"$F;@!)Y\"</f>
        <v>#VALUE!</v>
      </c>
      <c r="HL203" t="e">
        <f>'All regions'!B5651+"$F;@!)Y]"</f>
        <v>#VALUE!</v>
      </c>
      <c r="HM203" t="e">
        <f>'All regions'!C5651+"$F;@!)Y^"</f>
        <v>#VALUE!</v>
      </c>
      <c r="HN203" t="e">
        <f>'All regions'!D5651+"$F;@!)Y_"</f>
        <v>#VALUE!</v>
      </c>
      <c r="HO203" t="e">
        <f>'All regions'!E5651+"$F;@!)Y`"</f>
        <v>#VALUE!</v>
      </c>
      <c r="HP203" t="e">
        <f>'All regions'!F5651+"$F;@!)Ya"</f>
        <v>#VALUE!</v>
      </c>
      <c r="HQ203" t="e">
        <f>'All regions'!G5651+"$F;@!)Yb"</f>
        <v>#VALUE!</v>
      </c>
      <c r="HR203" t="e">
        <f>'All regions'!H5651+"$F;@!)Yc"</f>
        <v>#VALUE!</v>
      </c>
      <c r="HS203" t="e">
        <f>'All regions'!I5651+"$F;@!)Yd"</f>
        <v>#VALUE!</v>
      </c>
      <c r="HT203" t="e">
        <f>'All regions'!A5652+"$F;@!)Ye"</f>
        <v>#VALUE!</v>
      </c>
      <c r="HU203" t="e">
        <f>'All regions'!B5652+"$F;@!)Yf"</f>
        <v>#VALUE!</v>
      </c>
      <c r="HV203" t="e">
        <f>'All regions'!C5652+"$F;@!)Yg"</f>
        <v>#VALUE!</v>
      </c>
      <c r="HW203" t="e">
        <f>'All regions'!D5652+"$F;@!)Yh"</f>
        <v>#VALUE!</v>
      </c>
      <c r="HX203" t="e">
        <f>'All regions'!E5652+"$F;@!)Yi"</f>
        <v>#VALUE!</v>
      </c>
      <c r="HY203" t="e">
        <f>'All regions'!F5652+"$F;@!)Yj"</f>
        <v>#VALUE!</v>
      </c>
      <c r="HZ203" t="e">
        <f>'All regions'!G5652+"$F;@!)Yk"</f>
        <v>#VALUE!</v>
      </c>
      <c r="IA203" t="e">
        <f>'All regions'!H5652+"$F;@!)Yl"</f>
        <v>#VALUE!</v>
      </c>
      <c r="IB203" t="e">
        <f>'All regions'!I5652+"$F;@!)Ym"</f>
        <v>#VALUE!</v>
      </c>
      <c r="IC203" t="e">
        <f>'All regions'!A5653+"$F;@!)Yn"</f>
        <v>#VALUE!</v>
      </c>
      <c r="ID203" t="e">
        <f>'All regions'!B5653+"$F;@!)Yo"</f>
        <v>#VALUE!</v>
      </c>
      <c r="IE203" t="e">
        <f>'All regions'!C5653+"$F;@!)Yp"</f>
        <v>#VALUE!</v>
      </c>
      <c r="IF203" t="e">
        <f>'All regions'!D5653+"$F;@!)Yq"</f>
        <v>#VALUE!</v>
      </c>
      <c r="IG203" t="e">
        <f>'All regions'!E5653+"$F;@!)Yr"</f>
        <v>#VALUE!</v>
      </c>
      <c r="IH203" t="e">
        <f>'All regions'!F5653+"$F;@!)Ys"</f>
        <v>#VALUE!</v>
      </c>
      <c r="II203" t="e">
        <f>'All regions'!G5653+"$F;@!)Yt"</f>
        <v>#VALUE!</v>
      </c>
      <c r="IJ203" t="e">
        <f>'All regions'!H5653+"$F;@!)Yu"</f>
        <v>#VALUE!</v>
      </c>
      <c r="IK203" t="e">
        <f>'All regions'!I5653+"$F;@!)Yv"</f>
        <v>#VALUE!</v>
      </c>
      <c r="IL203" t="e">
        <f>'All regions'!A5654+"$F;@!)Yw"</f>
        <v>#VALUE!</v>
      </c>
      <c r="IM203" t="e">
        <f>'All regions'!B5654+"$F;@!)Yx"</f>
        <v>#VALUE!</v>
      </c>
      <c r="IN203" t="e">
        <f>'All regions'!C5654+"$F;@!)Yy"</f>
        <v>#VALUE!</v>
      </c>
      <c r="IO203" t="e">
        <f>'All regions'!D5654+"$F;@!)Yz"</f>
        <v>#VALUE!</v>
      </c>
      <c r="IP203" t="e">
        <f>'All regions'!E5654+"$F;@!)Y{"</f>
        <v>#VALUE!</v>
      </c>
      <c r="IQ203" t="e">
        <f>'All regions'!F5654+"$F;@!)Y|"</f>
        <v>#VALUE!</v>
      </c>
      <c r="IR203" t="e">
        <f>'All regions'!G5654+"$F;@!)Y}"</f>
        <v>#VALUE!</v>
      </c>
      <c r="IS203" t="e">
        <f>'All regions'!H5654+"$F;@!)Y~"</f>
        <v>#VALUE!</v>
      </c>
      <c r="IT203" t="e">
        <f>'All regions'!I5654+"$F;@!)Z#"</f>
        <v>#VALUE!</v>
      </c>
      <c r="IU203" t="e">
        <f>'All regions'!A5655+"$F;@!)Z$"</f>
        <v>#VALUE!</v>
      </c>
      <c r="IV203" t="e">
        <f>'All regions'!B5655+"$F;@!)Z%"</f>
        <v>#VALUE!</v>
      </c>
    </row>
    <row r="204" spans="6:256" x14ac:dyDescent="0.35">
      <c r="F204" t="e">
        <f>'All regions'!C5655+"$F;@!)Z&amp;"</f>
        <v>#VALUE!</v>
      </c>
      <c r="G204" t="e">
        <f>'All regions'!D5655+"$F;@!)Z'"</f>
        <v>#VALUE!</v>
      </c>
      <c r="H204" t="e">
        <f>'All regions'!E5655+"$F;@!)Z("</f>
        <v>#VALUE!</v>
      </c>
      <c r="I204" t="e">
        <f>'All regions'!F5655+"$F;@!)Z)"</f>
        <v>#VALUE!</v>
      </c>
      <c r="J204" t="e">
        <f>'All regions'!G5655+"$F;@!)Z."</f>
        <v>#VALUE!</v>
      </c>
      <c r="K204" t="e">
        <f>'All regions'!H5655+"$F;@!)Z/"</f>
        <v>#VALUE!</v>
      </c>
      <c r="L204" t="e">
        <f>'All regions'!I5655+"$F;@!)Z0"</f>
        <v>#VALUE!</v>
      </c>
      <c r="M204" t="e">
        <f>'All regions'!A5656+"$F;@!)Z1"</f>
        <v>#VALUE!</v>
      </c>
      <c r="N204" t="e">
        <f>'All regions'!B5656+"$F;@!)Z2"</f>
        <v>#VALUE!</v>
      </c>
      <c r="O204" t="e">
        <f>'All regions'!C5656+"$F;@!)Z3"</f>
        <v>#VALUE!</v>
      </c>
      <c r="P204" t="e">
        <f>'All regions'!D5656+"$F;@!)Z4"</f>
        <v>#VALUE!</v>
      </c>
      <c r="Q204" t="e">
        <f>'All regions'!E5656+"$F;@!)Z5"</f>
        <v>#VALUE!</v>
      </c>
      <c r="R204" t="e">
        <f>'All regions'!F5656+"$F;@!)Z6"</f>
        <v>#VALUE!</v>
      </c>
      <c r="S204" t="e">
        <f>'All regions'!G5656+"$F;@!)Z7"</f>
        <v>#VALUE!</v>
      </c>
      <c r="T204" t="e">
        <f>'All regions'!H5656+"$F;@!)Z8"</f>
        <v>#VALUE!</v>
      </c>
      <c r="U204" t="e">
        <f>'All regions'!I5656+"$F;@!)Z9"</f>
        <v>#VALUE!</v>
      </c>
      <c r="V204" t="e">
        <f>'All regions'!A5657+"$F;@!)Z:"</f>
        <v>#VALUE!</v>
      </c>
      <c r="W204" t="e">
        <f>'All regions'!B5657+"$F;@!)Z;"</f>
        <v>#VALUE!</v>
      </c>
      <c r="X204" t="e">
        <f>'All regions'!C5657+"$F;@!)Z&lt;"</f>
        <v>#VALUE!</v>
      </c>
      <c r="Y204" t="e">
        <f>'All regions'!D5657+"$F;@!)Z="</f>
        <v>#VALUE!</v>
      </c>
      <c r="Z204" t="e">
        <f>'All regions'!E5657+"$F;@!)Z&gt;"</f>
        <v>#VALUE!</v>
      </c>
      <c r="AA204" t="e">
        <f>'All regions'!F5657+"$F;@!)Z?"</f>
        <v>#VALUE!</v>
      </c>
      <c r="AB204" t="e">
        <f>'All regions'!G5657+"$F;@!)Z@"</f>
        <v>#VALUE!</v>
      </c>
      <c r="AC204" t="e">
        <f>'All regions'!H5657+"$F;@!)ZA"</f>
        <v>#VALUE!</v>
      </c>
      <c r="AD204" t="e">
        <f>'All regions'!I5657+"$F;@!)ZB"</f>
        <v>#VALUE!</v>
      </c>
      <c r="AE204" t="e">
        <f>'All regions'!A5658+"$F;@!)ZC"</f>
        <v>#VALUE!</v>
      </c>
      <c r="AF204" t="e">
        <f>'All regions'!B5658+"$F;@!)ZD"</f>
        <v>#VALUE!</v>
      </c>
      <c r="AG204" t="e">
        <f>'All regions'!C5658+"$F;@!)ZE"</f>
        <v>#VALUE!</v>
      </c>
      <c r="AH204" t="e">
        <f>'All regions'!D5658+"$F;@!)ZF"</f>
        <v>#VALUE!</v>
      </c>
      <c r="AI204" t="e">
        <f>'All regions'!E5658+"$F;@!)ZG"</f>
        <v>#VALUE!</v>
      </c>
      <c r="AJ204" t="e">
        <f>'All regions'!F5658+"$F;@!)ZH"</f>
        <v>#VALUE!</v>
      </c>
      <c r="AK204" t="e">
        <f>'All regions'!G5658+"$F;@!)ZI"</f>
        <v>#VALUE!</v>
      </c>
      <c r="AL204" t="e">
        <f>'All regions'!H5658+"$F;@!)ZJ"</f>
        <v>#VALUE!</v>
      </c>
      <c r="AM204" t="e">
        <f>'All regions'!I5658+"$F;@!)ZK"</f>
        <v>#VALUE!</v>
      </c>
      <c r="AN204" t="e">
        <f>'All regions'!A5659+"$F;@!)ZL"</f>
        <v>#VALUE!</v>
      </c>
      <c r="AO204" t="e">
        <f>'All regions'!B5659+"$F;@!)ZM"</f>
        <v>#VALUE!</v>
      </c>
      <c r="AP204" t="e">
        <f>'All regions'!C5659+"$F;@!)ZN"</f>
        <v>#VALUE!</v>
      </c>
      <c r="AQ204" t="e">
        <f>'All regions'!D5659+"$F;@!)ZO"</f>
        <v>#VALUE!</v>
      </c>
      <c r="AR204" t="e">
        <f>'All regions'!E5659+"$F;@!)ZP"</f>
        <v>#VALUE!</v>
      </c>
      <c r="AS204" t="e">
        <f>'All regions'!F5659+"$F;@!)ZQ"</f>
        <v>#VALUE!</v>
      </c>
      <c r="AT204" t="e">
        <f>'All regions'!G5659+"$F;@!)ZR"</f>
        <v>#VALUE!</v>
      </c>
      <c r="AU204" t="e">
        <f>'All regions'!H5659+"$F;@!)ZS"</f>
        <v>#VALUE!</v>
      </c>
      <c r="AV204" t="e">
        <f>'All regions'!I5659+"$F;@!)ZT"</f>
        <v>#VALUE!</v>
      </c>
      <c r="AW204" t="e">
        <f>'All regions'!A5660+"$F;@!)ZU"</f>
        <v>#VALUE!</v>
      </c>
      <c r="AX204" t="e">
        <f>'All regions'!B5660+"$F;@!)ZV"</f>
        <v>#VALUE!</v>
      </c>
      <c r="AY204" t="e">
        <f>'All regions'!C5660+"$F;@!)ZW"</f>
        <v>#VALUE!</v>
      </c>
      <c r="AZ204" t="e">
        <f>'All regions'!D5660+"$F;@!)ZX"</f>
        <v>#VALUE!</v>
      </c>
      <c r="BA204" t="e">
        <f>'All regions'!E5660+"$F;@!)ZY"</f>
        <v>#VALUE!</v>
      </c>
      <c r="BB204" t="e">
        <f>'All regions'!F5660+"$F;@!)ZZ"</f>
        <v>#VALUE!</v>
      </c>
      <c r="BC204" t="e">
        <f>'All regions'!G5660+"$F;@!)Z["</f>
        <v>#VALUE!</v>
      </c>
      <c r="BD204" t="e">
        <f>'All regions'!H5660+"$F;@!)Z\"</f>
        <v>#VALUE!</v>
      </c>
      <c r="BE204" t="e">
        <f>'All regions'!I5660+"$F;@!)Z]"</f>
        <v>#VALUE!</v>
      </c>
      <c r="BF204" t="e">
        <f>'All regions'!A5661+"$F;@!)Z^"</f>
        <v>#VALUE!</v>
      </c>
      <c r="BG204" t="e">
        <f>'All regions'!B5661+"$F;@!)Z_"</f>
        <v>#VALUE!</v>
      </c>
      <c r="BH204" t="e">
        <f>'All regions'!C5661+"$F;@!)Z`"</f>
        <v>#VALUE!</v>
      </c>
      <c r="BI204" t="e">
        <f>'All regions'!D5661+"$F;@!)Za"</f>
        <v>#VALUE!</v>
      </c>
      <c r="BJ204" t="e">
        <f>'All regions'!E5661+"$F;@!)Zb"</f>
        <v>#VALUE!</v>
      </c>
      <c r="BK204" t="e">
        <f>'All regions'!F5661+"$F;@!)Zc"</f>
        <v>#VALUE!</v>
      </c>
      <c r="BL204" t="e">
        <f>'All regions'!G5661+"$F;@!)Zd"</f>
        <v>#VALUE!</v>
      </c>
      <c r="BM204" t="e">
        <f>'All regions'!H5661+"$F;@!)Ze"</f>
        <v>#VALUE!</v>
      </c>
      <c r="BN204" t="e">
        <f>'All regions'!I5661+"$F;@!)Zf"</f>
        <v>#VALUE!</v>
      </c>
      <c r="BO204" t="e">
        <f>'All regions'!A5662+"$F;@!)Zg"</f>
        <v>#VALUE!</v>
      </c>
      <c r="BP204" t="e">
        <f>'All regions'!B5662+"$F;@!)Zh"</f>
        <v>#VALUE!</v>
      </c>
      <c r="BQ204" t="e">
        <f>'All regions'!C5662+"$F;@!)Zi"</f>
        <v>#VALUE!</v>
      </c>
      <c r="BR204" t="e">
        <f>'All regions'!D5662+"$F;@!)Zj"</f>
        <v>#VALUE!</v>
      </c>
      <c r="BS204" t="e">
        <f>'All regions'!E5662+"$F;@!)Zk"</f>
        <v>#VALUE!</v>
      </c>
      <c r="BT204" t="e">
        <f>'All regions'!F5662+"$F;@!)Zl"</f>
        <v>#VALUE!</v>
      </c>
      <c r="BU204" t="e">
        <f>'All regions'!G5662+"$F;@!)Zm"</f>
        <v>#VALUE!</v>
      </c>
      <c r="BV204" t="e">
        <f>'All regions'!H5662+"$F;@!)Zn"</f>
        <v>#VALUE!</v>
      </c>
      <c r="BW204" t="e">
        <f>'All regions'!I5662+"$F;@!)Zo"</f>
        <v>#VALUE!</v>
      </c>
      <c r="BX204" t="e">
        <f>'All regions'!A5663+"$F;@!)Zp"</f>
        <v>#VALUE!</v>
      </c>
      <c r="BY204" t="e">
        <f>'All regions'!B5663+"$F;@!)Zq"</f>
        <v>#VALUE!</v>
      </c>
      <c r="BZ204" t="e">
        <f>'All regions'!C5663+"$F;@!)Zr"</f>
        <v>#VALUE!</v>
      </c>
      <c r="CA204" t="e">
        <f>'All regions'!D5663+"$F;@!)Zs"</f>
        <v>#VALUE!</v>
      </c>
      <c r="CB204" t="e">
        <f>'All regions'!E5663+"$F;@!)Zt"</f>
        <v>#VALUE!</v>
      </c>
      <c r="CC204" t="e">
        <f>'All regions'!F5663+"$F;@!)Zu"</f>
        <v>#VALUE!</v>
      </c>
      <c r="CD204" t="e">
        <f>'All regions'!G5663+"$F;@!)Zv"</f>
        <v>#VALUE!</v>
      </c>
      <c r="CE204" t="e">
        <f>'All regions'!H5663+"$F;@!)Zw"</f>
        <v>#VALUE!</v>
      </c>
      <c r="CF204" t="e">
        <f>'All regions'!I5663+"$F;@!)Zx"</f>
        <v>#VALUE!</v>
      </c>
      <c r="CG204" t="e">
        <f>'All regions'!A5664+"$F;@!)Zy"</f>
        <v>#VALUE!</v>
      </c>
      <c r="CH204" t="e">
        <f>'All regions'!B5664+"$F;@!)Zz"</f>
        <v>#VALUE!</v>
      </c>
      <c r="CI204" t="e">
        <f>'All regions'!C5664+"$F;@!)Z{"</f>
        <v>#VALUE!</v>
      </c>
      <c r="CJ204" t="e">
        <f>'All regions'!D5664+"$F;@!)Z|"</f>
        <v>#VALUE!</v>
      </c>
      <c r="CK204" t="e">
        <f>'All regions'!E5664+"$F;@!)Z}"</f>
        <v>#VALUE!</v>
      </c>
      <c r="CL204" t="e">
        <f>'All regions'!F5664+"$F;@!)Z~"</f>
        <v>#VALUE!</v>
      </c>
      <c r="CM204" t="e">
        <f>'All regions'!G5664+"$F;@!)[#"</f>
        <v>#VALUE!</v>
      </c>
      <c r="CN204" t="e">
        <f>'All regions'!H5664+"$F;@!)[$"</f>
        <v>#VALUE!</v>
      </c>
      <c r="CO204" t="e">
        <f>'All regions'!I5664+"$F;@!)[%"</f>
        <v>#VALUE!</v>
      </c>
      <c r="CP204" t="e">
        <f>'All regions'!A5665+"$F;@!)[&amp;"</f>
        <v>#VALUE!</v>
      </c>
      <c r="CQ204" t="e">
        <f>'All regions'!B5665+"$F;@!)['"</f>
        <v>#VALUE!</v>
      </c>
      <c r="CR204" t="e">
        <f>'All regions'!C5665+"$F;@!)[("</f>
        <v>#VALUE!</v>
      </c>
      <c r="CS204" t="e">
        <f>'All regions'!D5665+"$F;@!)[)"</f>
        <v>#VALUE!</v>
      </c>
      <c r="CT204" t="e">
        <f>'All regions'!E5665+"$F;@!)[."</f>
        <v>#VALUE!</v>
      </c>
      <c r="CU204" t="e">
        <f>'All regions'!F5665+"$F;@!)[/"</f>
        <v>#VALUE!</v>
      </c>
      <c r="CV204" t="e">
        <f>'All regions'!G5665+"$F;@!)[0"</f>
        <v>#VALUE!</v>
      </c>
      <c r="CW204" t="e">
        <f>'All regions'!H5665+"$F;@!)[1"</f>
        <v>#VALUE!</v>
      </c>
      <c r="CX204" t="e">
        <f>'All regions'!I5665+"$F;@!)[2"</f>
        <v>#VALUE!</v>
      </c>
      <c r="CY204" t="e">
        <f>'All regions'!A5666+"$F;@!)[3"</f>
        <v>#VALUE!</v>
      </c>
      <c r="CZ204" t="e">
        <f>'All regions'!B5666+"$F;@!)[4"</f>
        <v>#VALUE!</v>
      </c>
      <c r="DA204" t="e">
        <f>'All regions'!C5666+"$F;@!)[5"</f>
        <v>#VALUE!</v>
      </c>
      <c r="DB204" t="e">
        <f>'All regions'!D5666+"$F;@!)[6"</f>
        <v>#VALUE!</v>
      </c>
      <c r="DC204" t="e">
        <f>'All regions'!E5666+"$F;@!)[7"</f>
        <v>#VALUE!</v>
      </c>
      <c r="DD204" t="e">
        <f>'All regions'!F5666+"$F;@!)[8"</f>
        <v>#VALUE!</v>
      </c>
      <c r="DE204" t="e">
        <f>'All regions'!G5666+"$F;@!)[9"</f>
        <v>#VALUE!</v>
      </c>
      <c r="DF204" t="e">
        <f>'All regions'!H5666+"$F;@!)[:"</f>
        <v>#VALUE!</v>
      </c>
      <c r="DG204" t="e">
        <f>'All regions'!I5666+"$F;@!)[;"</f>
        <v>#VALUE!</v>
      </c>
      <c r="DH204" t="e">
        <f>'All regions'!A5667+"$F;@!)[&lt;"</f>
        <v>#VALUE!</v>
      </c>
      <c r="DI204" t="e">
        <f>'All regions'!B5667+"$F;@!)[="</f>
        <v>#VALUE!</v>
      </c>
      <c r="DJ204" t="e">
        <f>'All regions'!C5667+"$F;@!)[&gt;"</f>
        <v>#VALUE!</v>
      </c>
      <c r="DK204" t="e">
        <f>'All regions'!D5667+"$F;@!)[?"</f>
        <v>#VALUE!</v>
      </c>
      <c r="DL204" t="e">
        <f>'All regions'!E5667+"$F;@!)[@"</f>
        <v>#VALUE!</v>
      </c>
      <c r="DM204" t="e">
        <f>'All regions'!F5667+"$F;@!)[A"</f>
        <v>#VALUE!</v>
      </c>
      <c r="DN204" t="e">
        <f>'All regions'!G5667+"$F;@!)[B"</f>
        <v>#VALUE!</v>
      </c>
      <c r="DO204" t="e">
        <f>'All regions'!H5667+"$F;@!)[C"</f>
        <v>#VALUE!</v>
      </c>
      <c r="DP204" t="e">
        <f>'All regions'!I5667+"$F;@!)[D"</f>
        <v>#VALUE!</v>
      </c>
      <c r="DQ204" t="e">
        <f>'All regions'!A5668+"$F;@!)[E"</f>
        <v>#VALUE!</v>
      </c>
      <c r="DR204" t="e">
        <f>'All regions'!B5668+"$F;@!)[F"</f>
        <v>#VALUE!</v>
      </c>
      <c r="DS204" t="e">
        <f>'All regions'!C5668+"$F;@!)[G"</f>
        <v>#VALUE!</v>
      </c>
      <c r="DT204" t="e">
        <f>'All regions'!D5668+"$F;@!)[H"</f>
        <v>#VALUE!</v>
      </c>
      <c r="DU204" t="e">
        <f>'All regions'!E5668+"$F;@!)[I"</f>
        <v>#VALUE!</v>
      </c>
      <c r="DV204" t="e">
        <f>'All regions'!F5668+"$F;@!)[J"</f>
        <v>#VALUE!</v>
      </c>
      <c r="DW204" t="e">
        <f>'All regions'!G5668+"$F;@!)[K"</f>
        <v>#VALUE!</v>
      </c>
      <c r="DX204" t="e">
        <f>'All regions'!H5668+"$F;@!)[L"</f>
        <v>#VALUE!</v>
      </c>
      <c r="DY204" t="e">
        <f>'All regions'!I5668+"$F;@!)[M"</f>
        <v>#VALUE!</v>
      </c>
      <c r="DZ204" t="e">
        <f>'All regions'!A5669+"$F;@!)[N"</f>
        <v>#VALUE!</v>
      </c>
      <c r="EA204" t="e">
        <f>'All regions'!B5669+"$F;@!)[O"</f>
        <v>#VALUE!</v>
      </c>
      <c r="EB204" t="e">
        <f>'All regions'!C5669+"$F;@!)[P"</f>
        <v>#VALUE!</v>
      </c>
      <c r="EC204" t="e">
        <f>'All regions'!D5669+"$F;@!)[Q"</f>
        <v>#VALUE!</v>
      </c>
      <c r="ED204" t="e">
        <f>'All regions'!E5669+"$F;@!)[R"</f>
        <v>#VALUE!</v>
      </c>
      <c r="EE204" t="e">
        <f>'All regions'!F5669+"$F;@!)[S"</f>
        <v>#VALUE!</v>
      </c>
      <c r="EF204" t="e">
        <f>'All regions'!G5669+"$F;@!)[T"</f>
        <v>#VALUE!</v>
      </c>
      <c r="EG204" t="e">
        <f>'All regions'!H5669+"$F;@!)[U"</f>
        <v>#VALUE!</v>
      </c>
      <c r="EH204" t="e">
        <f>'All regions'!I5669+"$F;@!)[V"</f>
        <v>#VALUE!</v>
      </c>
      <c r="EI204" t="e">
        <f>'All regions'!A5670+"$F;@!)[W"</f>
        <v>#VALUE!</v>
      </c>
      <c r="EJ204" t="e">
        <f>'All regions'!B5670+"$F;@!)[X"</f>
        <v>#VALUE!</v>
      </c>
      <c r="EK204" t="e">
        <f>'All regions'!C5670+"$F;@!)[Y"</f>
        <v>#VALUE!</v>
      </c>
      <c r="EL204" t="e">
        <f>'All regions'!D5670+"$F;@!)[Z"</f>
        <v>#VALUE!</v>
      </c>
      <c r="EM204" t="e">
        <f>'All regions'!E5670+"$F;@!)[["</f>
        <v>#VALUE!</v>
      </c>
      <c r="EN204" t="e">
        <f>'All regions'!F5670+"$F;@!)[\"</f>
        <v>#VALUE!</v>
      </c>
      <c r="EO204" t="e">
        <f>'All regions'!G5670+"$F;@!)[]"</f>
        <v>#VALUE!</v>
      </c>
      <c r="EP204" t="e">
        <f>'All regions'!H5670+"$F;@!)[^"</f>
        <v>#VALUE!</v>
      </c>
      <c r="EQ204" t="e">
        <f>'All regions'!I5670+"$F;@!)[_"</f>
        <v>#VALUE!</v>
      </c>
      <c r="ER204" t="e">
        <f>'All regions'!A5671+"$F;@!)[`"</f>
        <v>#VALUE!</v>
      </c>
      <c r="ES204" t="e">
        <f>'All regions'!B5671+"$F;@!)[a"</f>
        <v>#VALUE!</v>
      </c>
      <c r="ET204" t="e">
        <f>'All regions'!C5671+"$F;@!)[b"</f>
        <v>#VALUE!</v>
      </c>
      <c r="EU204" t="e">
        <f>'All regions'!D5671+"$F;@!)[c"</f>
        <v>#VALUE!</v>
      </c>
      <c r="EV204" t="e">
        <f>'All regions'!E5671+"$F;@!)[d"</f>
        <v>#VALUE!</v>
      </c>
      <c r="EW204" t="e">
        <f>'All regions'!F5671+"$F;@!)[e"</f>
        <v>#VALUE!</v>
      </c>
      <c r="EX204" t="e">
        <f>'All regions'!G5671+"$F;@!)[f"</f>
        <v>#VALUE!</v>
      </c>
      <c r="EY204" t="e">
        <f>'All regions'!H5671+"$F;@!)[g"</f>
        <v>#VALUE!</v>
      </c>
      <c r="EZ204" t="e">
        <f>'All regions'!I5671+"$F;@!)[h"</f>
        <v>#VALUE!</v>
      </c>
      <c r="FA204" t="e">
        <f>'All regions'!A5672+"$F;@!)[i"</f>
        <v>#VALUE!</v>
      </c>
      <c r="FB204" t="e">
        <f>'All regions'!B5672+"$F;@!)[j"</f>
        <v>#VALUE!</v>
      </c>
      <c r="FC204" t="e">
        <f>'All regions'!C5672+"$F;@!)[k"</f>
        <v>#VALUE!</v>
      </c>
      <c r="FD204" t="e">
        <f>'All regions'!D5672+"$F;@!)[l"</f>
        <v>#VALUE!</v>
      </c>
      <c r="FE204" t="e">
        <f>'All regions'!E5672+"$F;@!)[m"</f>
        <v>#VALUE!</v>
      </c>
      <c r="FF204" t="e">
        <f>'All regions'!F5672+"$F;@!)[n"</f>
        <v>#VALUE!</v>
      </c>
      <c r="FG204" t="e">
        <f>'All regions'!G5672+"$F;@!)[o"</f>
        <v>#VALUE!</v>
      </c>
      <c r="FH204" t="e">
        <f>'All regions'!H5672+"$F;@!)[p"</f>
        <v>#VALUE!</v>
      </c>
      <c r="FI204" t="e">
        <f>'All regions'!I5672+"$F;@!)[q"</f>
        <v>#VALUE!</v>
      </c>
      <c r="FJ204" t="e">
        <f>'All regions'!A5673+"$F;@!)[r"</f>
        <v>#VALUE!</v>
      </c>
      <c r="FK204" t="e">
        <f>'All regions'!B5673+"$F;@!)[s"</f>
        <v>#VALUE!</v>
      </c>
      <c r="FL204" t="e">
        <f>'All regions'!C5673+"$F;@!)[t"</f>
        <v>#VALUE!</v>
      </c>
      <c r="FM204" t="e">
        <f>'All regions'!D5673+"$F;@!)[u"</f>
        <v>#VALUE!</v>
      </c>
      <c r="FN204" t="e">
        <f>'All regions'!E5673+"$F;@!)[v"</f>
        <v>#VALUE!</v>
      </c>
      <c r="FO204" t="e">
        <f>'All regions'!F5673+"$F;@!)[w"</f>
        <v>#VALUE!</v>
      </c>
      <c r="FP204" t="e">
        <f>'All regions'!G5673+"$F;@!)[x"</f>
        <v>#VALUE!</v>
      </c>
      <c r="FQ204" t="e">
        <f>'All regions'!H5673+"$F;@!)[y"</f>
        <v>#VALUE!</v>
      </c>
      <c r="FR204" t="e">
        <f>'All regions'!I5673+"$F;@!)[z"</f>
        <v>#VALUE!</v>
      </c>
      <c r="FS204" t="e">
        <f>'All regions'!A5674+"$F;@!)[{"</f>
        <v>#VALUE!</v>
      </c>
      <c r="FT204" t="e">
        <f>'All regions'!B5674+"$F;@!)[|"</f>
        <v>#VALUE!</v>
      </c>
      <c r="FU204" t="e">
        <f>'All regions'!C5674+"$F;@!)[}"</f>
        <v>#VALUE!</v>
      </c>
      <c r="FV204" t="e">
        <f>'All regions'!D5674+"$F;@!)[~"</f>
        <v>#VALUE!</v>
      </c>
      <c r="FW204" t="e">
        <f>'All regions'!E5674+"$F;@!)\#"</f>
        <v>#VALUE!</v>
      </c>
      <c r="FX204" t="e">
        <f>'All regions'!F5674+"$F;@!)\$"</f>
        <v>#VALUE!</v>
      </c>
      <c r="FY204" t="e">
        <f>'All regions'!G5674+"$F;@!)\%"</f>
        <v>#VALUE!</v>
      </c>
      <c r="FZ204" t="e">
        <f>'All regions'!H5674+"$F;@!)\&amp;"</f>
        <v>#VALUE!</v>
      </c>
      <c r="GA204" t="e">
        <f>'All regions'!I5674+"$F;@!)\'"</f>
        <v>#VALUE!</v>
      </c>
      <c r="GB204" t="e">
        <f>'All regions'!A5675+"$F;@!)\("</f>
        <v>#VALUE!</v>
      </c>
      <c r="GC204" t="e">
        <f>'All regions'!B5675+"$F;@!)\)"</f>
        <v>#VALUE!</v>
      </c>
      <c r="GD204" t="e">
        <f>'All regions'!C5675+"$F;@!)\."</f>
        <v>#VALUE!</v>
      </c>
      <c r="GE204" t="e">
        <f>'All regions'!D5675+"$F;@!)\/"</f>
        <v>#VALUE!</v>
      </c>
      <c r="GF204" t="e">
        <f>'All regions'!E5675+"$F;@!)\0"</f>
        <v>#VALUE!</v>
      </c>
      <c r="GG204" t="e">
        <f>'All regions'!F5675+"$F;@!)\1"</f>
        <v>#VALUE!</v>
      </c>
      <c r="GH204" t="e">
        <f>'All regions'!G5675+"$F;@!)\2"</f>
        <v>#VALUE!</v>
      </c>
      <c r="GI204" t="e">
        <f>'All regions'!H5675+"$F;@!)\3"</f>
        <v>#VALUE!</v>
      </c>
      <c r="GJ204" t="e">
        <f>'All regions'!I5675+"$F;@!)\4"</f>
        <v>#VALUE!</v>
      </c>
      <c r="GK204" t="e">
        <f>'All regions'!A5676+"$F;@!)\5"</f>
        <v>#VALUE!</v>
      </c>
      <c r="GL204" t="e">
        <f>'All regions'!B5676+"$F;@!)\6"</f>
        <v>#VALUE!</v>
      </c>
      <c r="GM204" t="e">
        <f>'All regions'!C5676+"$F;@!)\7"</f>
        <v>#VALUE!</v>
      </c>
      <c r="GN204" t="e">
        <f>'All regions'!D5676+"$F;@!)\8"</f>
        <v>#VALUE!</v>
      </c>
      <c r="GO204" t="e">
        <f>'All regions'!E5676+"$F;@!)\9"</f>
        <v>#VALUE!</v>
      </c>
      <c r="GP204" t="e">
        <f>'All regions'!F5676+"$F;@!)\:"</f>
        <v>#VALUE!</v>
      </c>
      <c r="GQ204" t="e">
        <f>'All regions'!G5676+"$F;@!)\;"</f>
        <v>#VALUE!</v>
      </c>
      <c r="GR204" t="e">
        <f>'All regions'!H5676+"$F;@!)\&lt;"</f>
        <v>#VALUE!</v>
      </c>
      <c r="GS204" t="e">
        <f>'All regions'!I5676+"$F;@!)\="</f>
        <v>#VALUE!</v>
      </c>
      <c r="GT204" t="e">
        <f>'All regions'!A5677+"$F;@!)\&gt;"</f>
        <v>#VALUE!</v>
      </c>
      <c r="GU204" t="e">
        <f>'All regions'!B5677+"$F;@!)\?"</f>
        <v>#VALUE!</v>
      </c>
      <c r="GV204" t="e">
        <f>'All regions'!C5677+"$F;@!)\@"</f>
        <v>#VALUE!</v>
      </c>
      <c r="GW204" t="e">
        <f>'All regions'!D5677+"$F;@!)\A"</f>
        <v>#VALUE!</v>
      </c>
      <c r="GX204" t="e">
        <f>'All regions'!E5677+"$F;@!)\B"</f>
        <v>#VALUE!</v>
      </c>
      <c r="GY204" t="e">
        <f>'All regions'!F5677+"$F;@!)\C"</f>
        <v>#VALUE!</v>
      </c>
      <c r="GZ204" t="e">
        <f>'All regions'!G5677+"$F;@!)\D"</f>
        <v>#VALUE!</v>
      </c>
      <c r="HA204" t="e">
        <f>'All regions'!H5677+"$F;@!)\E"</f>
        <v>#VALUE!</v>
      </c>
      <c r="HB204" t="e">
        <f>'All regions'!I5677+"$F;@!)\F"</f>
        <v>#VALUE!</v>
      </c>
      <c r="HC204" t="e">
        <f>'All regions'!A5678+"$F;@!)\G"</f>
        <v>#VALUE!</v>
      </c>
      <c r="HD204" t="e">
        <f>'All regions'!B5678+"$F;@!)\H"</f>
        <v>#VALUE!</v>
      </c>
      <c r="HE204" t="e">
        <f>'All regions'!C5678+"$F;@!)\I"</f>
        <v>#VALUE!</v>
      </c>
      <c r="HF204" t="e">
        <f>'All regions'!D5678+"$F;@!)\J"</f>
        <v>#VALUE!</v>
      </c>
      <c r="HG204" t="e">
        <f>'All regions'!E5678+"$F;@!)\K"</f>
        <v>#VALUE!</v>
      </c>
      <c r="HH204" t="e">
        <f>'All regions'!F5678+"$F;@!)\L"</f>
        <v>#VALUE!</v>
      </c>
      <c r="HI204" t="e">
        <f>'All regions'!G5678+"$F;@!)\M"</f>
        <v>#VALUE!</v>
      </c>
      <c r="HJ204" t="e">
        <f>'All regions'!H5678+"$F;@!)\N"</f>
        <v>#VALUE!</v>
      </c>
      <c r="HK204" t="e">
        <f>'All regions'!I5678+"$F;@!)\O"</f>
        <v>#VALUE!</v>
      </c>
      <c r="HL204" t="e">
        <f>'All regions'!A5679+"$F;@!)\P"</f>
        <v>#VALUE!</v>
      </c>
      <c r="HM204" t="e">
        <f>'All regions'!B5679+"$F;@!)\Q"</f>
        <v>#VALUE!</v>
      </c>
      <c r="HN204" t="e">
        <f>'All regions'!C5679+"$F;@!)\R"</f>
        <v>#VALUE!</v>
      </c>
      <c r="HO204" t="e">
        <f>'All regions'!D5679+"$F;@!)\S"</f>
        <v>#VALUE!</v>
      </c>
      <c r="HP204" t="e">
        <f>'All regions'!E5679+"$F;@!)\T"</f>
        <v>#VALUE!</v>
      </c>
      <c r="HQ204" t="e">
        <f>'All regions'!F5679+"$F;@!)\U"</f>
        <v>#VALUE!</v>
      </c>
      <c r="HR204" t="e">
        <f>'All regions'!G5679+"$F;@!)\V"</f>
        <v>#VALUE!</v>
      </c>
      <c r="HS204" t="e">
        <f>'All regions'!H5679+"$F;@!)\W"</f>
        <v>#VALUE!</v>
      </c>
      <c r="HT204" t="e">
        <f>'All regions'!I5679+"$F;@!)\X"</f>
        <v>#VALUE!</v>
      </c>
      <c r="HU204" t="e">
        <f>'All regions'!A5680+"$F;@!)\Y"</f>
        <v>#VALUE!</v>
      </c>
      <c r="HV204" t="e">
        <f>'All regions'!B5680+"$F;@!)\Z"</f>
        <v>#VALUE!</v>
      </c>
      <c r="HW204" t="e">
        <f>'All regions'!C5680+"$F;@!)\["</f>
        <v>#VALUE!</v>
      </c>
      <c r="HX204" t="e">
        <f>'All regions'!D5680+"$F;@!)\\"</f>
        <v>#VALUE!</v>
      </c>
      <c r="HY204" t="e">
        <f>'All regions'!E5680+"$F;@!)\]"</f>
        <v>#VALUE!</v>
      </c>
      <c r="HZ204" t="e">
        <f>'All regions'!F5680+"$F;@!)\^"</f>
        <v>#VALUE!</v>
      </c>
      <c r="IA204" t="e">
        <f>'All regions'!G5680+"$F;@!)\_"</f>
        <v>#VALUE!</v>
      </c>
      <c r="IB204" t="e">
        <f>'All regions'!H5680+"$F;@!)\`"</f>
        <v>#VALUE!</v>
      </c>
      <c r="IC204" t="e">
        <f>'All regions'!I5680+"$F;@!)\a"</f>
        <v>#VALUE!</v>
      </c>
      <c r="ID204" t="e">
        <f>'All regions'!A5681+"$F;@!)\b"</f>
        <v>#VALUE!</v>
      </c>
      <c r="IE204" t="e">
        <f>'All regions'!B5681+"$F;@!)\c"</f>
        <v>#VALUE!</v>
      </c>
      <c r="IF204" t="e">
        <f>'All regions'!C5681+"$F;@!)\d"</f>
        <v>#VALUE!</v>
      </c>
      <c r="IG204" t="e">
        <f>'All regions'!D5681+"$F;@!)\e"</f>
        <v>#VALUE!</v>
      </c>
      <c r="IH204" t="e">
        <f>'All regions'!E5681+"$F;@!)\f"</f>
        <v>#VALUE!</v>
      </c>
      <c r="II204" t="e">
        <f>'All regions'!F5681+"$F;@!)\g"</f>
        <v>#VALUE!</v>
      </c>
      <c r="IJ204" t="e">
        <f>'All regions'!G5681+"$F;@!)\h"</f>
        <v>#VALUE!</v>
      </c>
      <c r="IK204" t="e">
        <f>'All regions'!H5681+"$F;@!)\i"</f>
        <v>#VALUE!</v>
      </c>
      <c r="IL204" t="e">
        <f>'All regions'!I5681+"$F;@!)\j"</f>
        <v>#VALUE!</v>
      </c>
      <c r="IM204" t="e">
        <f>'All regions'!A5682+"$F;@!)\k"</f>
        <v>#VALUE!</v>
      </c>
      <c r="IN204" t="e">
        <f>'All regions'!B5682+"$F;@!)\l"</f>
        <v>#VALUE!</v>
      </c>
      <c r="IO204" t="e">
        <f>'All regions'!C5682+"$F;@!)\m"</f>
        <v>#VALUE!</v>
      </c>
      <c r="IP204" t="e">
        <f>'All regions'!D5682+"$F;@!)\n"</f>
        <v>#VALUE!</v>
      </c>
      <c r="IQ204" t="e">
        <f>'All regions'!E5682+"$F;@!)\o"</f>
        <v>#VALUE!</v>
      </c>
      <c r="IR204" t="e">
        <f>'All regions'!F5682+"$F;@!)\p"</f>
        <v>#VALUE!</v>
      </c>
      <c r="IS204" t="e">
        <f>'All regions'!G5682+"$F;@!)\q"</f>
        <v>#VALUE!</v>
      </c>
      <c r="IT204" t="e">
        <f>'All regions'!H5682+"$F;@!)\r"</f>
        <v>#VALUE!</v>
      </c>
      <c r="IU204" t="e">
        <f>'All regions'!I5682+"$F;@!)\s"</f>
        <v>#VALUE!</v>
      </c>
      <c r="IV204" t="e">
        <f>'All regions'!A5683+"$F;@!)\t"</f>
        <v>#VALUE!</v>
      </c>
    </row>
    <row r="205" spans="6:256" x14ac:dyDescent="0.35">
      <c r="F205" t="e">
        <f>'All regions'!B5683+"$F;@!)\u"</f>
        <v>#VALUE!</v>
      </c>
      <c r="G205" t="e">
        <f>'All regions'!C5683+"$F;@!)\v"</f>
        <v>#VALUE!</v>
      </c>
      <c r="H205" t="e">
        <f>'All regions'!D5683+"$F;@!)\w"</f>
        <v>#VALUE!</v>
      </c>
      <c r="I205" t="e">
        <f>'All regions'!E5683+"$F;@!)\x"</f>
        <v>#VALUE!</v>
      </c>
      <c r="J205" t="e">
        <f>'All regions'!F5683+"$F;@!)\y"</f>
        <v>#VALUE!</v>
      </c>
      <c r="K205" t="e">
        <f>'All regions'!G5683+"$F;@!)\z"</f>
        <v>#VALUE!</v>
      </c>
      <c r="L205" t="e">
        <f>'All regions'!H5683+"$F;@!)\{"</f>
        <v>#VALUE!</v>
      </c>
      <c r="M205" t="e">
        <f>'All regions'!I5683+"$F;@!)\|"</f>
        <v>#VALUE!</v>
      </c>
      <c r="N205" t="e">
        <f>'All regions'!A5684+"$F;@!)\}"</f>
        <v>#VALUE!</v>
      </c>
      <c r="O205" t="e">
        <f>'All regions'!B5684+"$F;@!)\~"</f>
        <v>#VALUE!</v>
      </c>
      <c r="P205" t="e">
        <f>'All regions'!C5684+"$F;@!)]#"</f>
        <v>#VALUE!</v>
      </c>
      <c r="Q205" t="e">
        <f>'All regions'!D5684+"$F;@!)]$"</f>
        <v>#VALUE!</v>
      </c>
      <c r="R205" t="e">
        <f>'All regions'!E5684+"$F;@!)]%"</f>
        <v>#VALUE!</v>
      </c>
      <c r="S205" t="e">
        <f>'All regions'!F5684+"$F;@!)]&amp;"</f>
        <v>#VALUE!</v>
      </c>
      <c r="T205" t="e">
        <f>'All regions'!G5684+"$F;@!)]'"</f>
        <v>#VALUE!</v>
      </c>
      <c r="U205" t="e">
        <f>'All regions'!H5684+"$F;@!)]("</f>
        <v>#VALUE!</v>
      </c>
      <c r="V205" t="e">
        <f>'All regions'!I5684+"$F;@!)])"</f>
        <v>#VALUE!</v>
      </c>
      <c r="W205" t="e">
        <f>'All regions'!A5685+"$F;@!)]."</f>
        <v>#VALUE!</v>
      </c>
      <c r="X205" t="e">
        <f>'All regions'!B5685+"$F;@!)]/"</f>
        <v>#VALUE!</v>
      </c>
      <c r="Y205" t="e">
        <f>'All regions'!C5685+"$F;@!)]0"</f>
        <v>#VALUE!</v>
      </c>
      <c r="Z205" t="e">
        <f>'All regions'!D5685+"$F;@!)]1"</f>
        <v>#VALUE!</v>
      </c>
      <c r="AA205" t="e">
        <f>'All regions'!E5685+"$F;@!)]2"</f>
        <v>#VALUE!</v>
      </c>
      <c r="AB205" t="e">
        <f>'All regions'!F5685+"$F;@!)]3"</f>
        <v>#VALUE!</v>
      </c>
      <c r="AC205" t="e">
        <f>'All regions'!G5685+"$F;@!)]4"</f>
        <v>#VALUE!</v>
      </c>
      <c r="AD205" t="e">
        <f>'All regions'!H5685+"$F;@!)]5"</f>
        <v>#VALUE!</v>
      </c>
      <c r="AE205" t="e">
        <f>'All regions'!I5685+"$F;@!)]6"</f>
        <v>#VALUE!</v>
      </c>
      <c r="AF205" t="e">
        <f>'All regions'!A5686+"$F;@!)]7"</f>
        <v>#VALUE!</v>
      </c>
      <c r="AG205" t="e">
        <f>'All regions'!B5686+"$F;@!)]8"</f>
        <v>#VALUE!</v>
      </c>
      <c r="AH205" t="e">
        <f>'All regions'!C5686+"$F;@!)]9"</f>
        <v>#VALUE!</v>
      </c>
      <c r="AI205" t="e">
        <f>'All regions'!D5686+"$F;@!)]:"</f>
        <v>#VALUE!</v>
      </c>
      <c r="AJ205" t="e">
        <f>'All regions'!E5686+"$F;@!)];"</f>
        <v>#VALUE!</v>
      </c>
      <c r="AK205" t="e">
        <f>'All regions'!F5686+"$F;@!)]&lt;"</f>
        <v>#VALUE!</v>
      </c>
      <c r="AL205" t="e">
        <f>'All regions'!G5686+"$F;@!)]="</f>
        <v>#VALUE!</v>
      </c>
      <c r="AM205" t="e">
        <f>'All regions'!H5686+"$F;@!)]&gt;"</f>
        <v>#VALUE!</v>
      </c>
      <c r="AN205" t="e">
        <f>'All regions'!I5686+"$F;@!)]?"</f>
        <v>#VALUE!</v>
      </c>
      <c r="AO205" t="e">
        <f>'All regions'!A5687+"$F;@!)]@"</f>
        <v>#VALUE!</v>
      </c>
      <c r="AP205" t="e">
        <f>'All regions'!B5687+"$F;@!)]A"</f>
        <v>#VALUE!</v>
      </c>
      <c r="AQ205" t="e">
        <f>'All regions'!C5687+"$F;@!)]B"</f>
        <v>#VALUE!</v>
      </c>
      <c r="AR205" t="e">
        <f>'All regions'!D5687+"$F;@!)]C"</f>
        <v>#VALUE!</v>
      </c>
      <c r="AS205" t="e">
        <f>'All regions'!E5687+"$F;@!)]D"</f>
        <v>#VALUE!</v>
      </c>
      <c r="AT205" t="e">
        <f>'All regions'!F5687+"$F;@!)]E"</f>
        <v>#VALUE!</v>
      </c>
      <c r="AU205" t="e">
        <f>'All regions'!G5687+"$F;@!)]F"</f>
        <v>#VALUE!</v>
      </c>
      <c r="AV205" t="e">
        <f>'All regions'!H5687+"$F;@!)]G"</f>
        <v>#VALUE!</v>
      </c>
      <c r="AW205" t="e">
        <f>'All regions'!I5687+"$F;@!)]H"</f>
        <v>#VALUE!</v>
      </c>
      <c r="AX205" t="e">
        <f>'All regions'!A5688+"$F;@!)]I"</f>
        <v>#VALUE!</v>
      </c>
      <c r="AY205" t="e">
        <f>'All regions'!B5688+"$F;@!)]J"</f>
        <v>#VALUE!</v>
      </c>
      <c r="AZ205" t="e">
        <f>'All regions'!C5688+"$F;@!)]K"</f>
        <v>#VALUE!</v>
      </c>
      <c r="BA205" t="e">
        <f>'All regions'!D5688+"$F;@!)]L"</f>
        <v>#VALUE!</v>
      </c>
      <c r="BB205" t="e">
        <f>'All regions'!E5688+"$F;@!)]M"</f>
        <v>#VALUE!</v>
      </c>
      <c r="BC205" t="e">
        <f>'All regions'!F5688+"$F;@!)]N"</f>
        <v>#VALUE!</v>
      </c>
      <c r="BD205" t="e">
        <f>'All regions'!G5688+"$F;@!)]O"</f>
        <v>#VALUE!</v>
      </c>
      <c r="BE205" t="e">
        <f>'All regions'!H5688+"$F;@!)]P"</f>
        <v>#VALUE!</v>
      </c>
      <c r="BF205" t="e">
        <f>'All regions'!I5688+"$F;@!)]Q"</f>
        <v>#VALUE!</v>
      </c>
      <c r="BG205" t="e">
        <f>'All regions'!A5689+"$F;@!)]R"</f>
        <v>#VALUE!</v>
      </c>
      <c r="BH205" t="e">
        <f>'All regions'!B5689+"$F;@!)]S"</f>
        <v>#VALUE!</v>
      </c>
      <c r="BI205" t="e">
        <f>'All regions'!C5689+"$F;@!)]T"</f>
        <v>#VALUE!</v>
      </c>
      <c r="BJ205" t="e">
        <f>'All regions'!D5689+"$F;@!)]U"</f>
        <v>#VALUE!</v>
      </c>
      <c r="BK205" t="e">
        <f>'All regions'!E5689+"$F;@!)]V"</f>
        <v>#VALUE!</v>
      </c>
      <c r="BL205" t="e">
        <f>'All regions'!F5689+"$F;@!)]W"</f>
        <v>#VALUE!</v>
      </c>
      <c r="BM205" t="e">
        <f>'All regions'!G5689+"$F;@!)]X"</f>
        <v>#VALUE!</v>
      </c>
      <c r="BN205" t="e">
        <f>'All regions'!H5689+"$F;@!)]Y"</f>
        <v>#VALUE!</v>
      </c>
      <c r="BO205" t="e">
        <f>'All regions'!I5689+"$F;@!)]Z"</f>
        <v>#VALUE!</v>
      </c>
      <c r="BP205" t="e">
        <f>'All regions'!A5690+"$F;@!)]["</f>
        <v>#VALUE!</v>
      </c>
      <c r="BQ205" t="e">
        <f>'All regions'!B5690+"$F;@!)]\"</f>
        <v>#VALUE!</v>
      </c>
      <c r="BR205" t="e">
        <f>'All regions'!C5690+"$F;@!)]]"</f>
        <v>#VALUE!</v>
      </c>
      <c r="BS205" t="e">
        <f>'All regions'!D5690+"$F;@!)]^"</f>
        <v>#VALUE!</v>
      </c>
      <c r="BT205" t="e">
        <f>'All regions'!E5690+"$F;@!)]_"</f>
        <v>#VALUE!</v>
      </c>
      <c r="BU205" t="e">
        <f>'All regions'!F5690+"$F;@!)]`"</f>
        <v>#VALUE!</v>
      </c>
      <c r="BV205" t="e">
        <f>'All regions'!G5690+"$F;@!)]a"</f>
        <v>#VALUE!</v>
      </c>
      <c r="BW205" t="e">
        <f>'All regions'!H5690+"$F;@!)]b"</f>
        <v>#VALUE!</v>
      </c>
      <c r="BX205" t="e">
        <f>'All regions'!I5690+"$F;@!)]c"</f>
        <v>#VALUE!</v>
      </c>
      <c r="BY205" t="e">
        <f>'All regions'!A5691+"$F;@!)]d"</f>
        <v>#VALUE!</v>
      </c>
      <c r="BZ205" t="e">
        <f>'All regions'!B5691+"$F;@!)]e"</f>
        <v>#VALUE!</v>
      </c>
      <c r="CA205" t="e">
        <f>'All regions'!C5691+"$F;@!)]f"</f>
        <v>#VALUE!</v>
      </c>
      <c r="CB205" t="e">
        <f>'All regions'!D5691+"$F;@!)]g"</f>
        <v>#VALUE!</v>
      </c>
      <c r="CC205" t="e">
        <f>'All regions'!E5691+"$F;@!)]h"</f>
        <v>#VALUE!</v>
      </c>
      <c r="CD205" t="e">
        <f>'All regions'!F5691+"$F;@!)]i"</f>
        <v>#VALUE!</v>
      </c>
      <c r="CE205" t="e">
        <f>'All regions'!G5691+"$F;@!)]j"</f>
        <v>#VALUE!</v>
      </c>
      <c r="CF205" t="e">
        <f>'All regions'!H5691+"$F;@!)]k"</f>
        <v>#VALUE!</v>
      </c>
      <c r="CG205" t="e">
        <f>'All regions'!I5691+"$F;@!)]l"</f>
        <v>#VALUE!</v>
      </c>
      <c r="CH205" t="e">
        <f>'All regions'!A5692+"$F;@!)]m"</f>
        <v>#VALUE!</v>
      </c>
      <c r="CI205" t="e">
        <f>'All regions'!B5692+"$F;@!)]n"</f>
        <v>#VALUE!</v>
      </c>
      <c r="CJ205" t="e">
        <f>'All regions'!C5692+"$F;@!)]o"</f>
        <v>#VALUE!</v>
      </c>
      <c r="CK205" t="e">
        <f>'All regions'!D5692+"$F;@!)]p"</f>
        <v>#VALUE!</v>
      </c>
      <c r="CL205" t="e">
        <f>'All regions'!E5692+"$F;@!)]q"</f>
        <v>#VALUE!</v>
      </c>
      <c r="CM205" t="e">
        <f>'All regions'!F5692+"$F;@!)]r"</f>
        <v>#VALUE!</v>
      </c>
      <c r="CN205" t="e">
        <f>'All regions'!G5692+"$F;@!)]s"</f>
        <v>#VALUE!</v>
      </c>
      <c r="CO205" t="e">
        <f>'All regions'!H5692+"$F;@!)]t"</f>
        <v>#VALUE!</v>
      </c>
      <c r="CP205" t="e">
        <f>'All regions'!I5692+"$F;@!)]u"</f>
        <v>#VALUE!</v>
      </c>
      <c r="CQ205" t="e">
        <f>'All regions'!A5693+"$F;@!)]v"</f>
        <v>#VALUE!</v>
      </c>
      <c r="CR205" t="e">
        <f>'All regions'!B5693+"$F;@!)]w"</f>
        <v>#VALUE!</v>
      </c>
      <c r="CS205" t="e">
        <f>'All regions'!C5693+"$F;@!)]x"</f>
        <v>#VALUE!</v>
      </c>
      <c r="CT205" t="e">
        <f>'All regions'!D5693+"$F;@!)]y"</f>
        <v>#VALUE!</v>
      </c>
      <c r="CU205" t="e">
        <f>'All regions'!E5693+"$F;@!)]z"</f>
        <v>#VALUE!</v>
      </c>
      <c r="CV205" t="e">
        <f>'All regions'!F5693+"$F;@!)]{"</f>
        <v>#VALUE!</v>
      </c>
      <c r="CW205" t="e">
        <f>'All regions'!G5693+"$F;@!)]|"</f>
        <v>#VALUE!</v>
      </c>
      <c r="CX205" t="e">
        <f>'All regions'!H5693+"$F;@!)]}"</f>
        <v>#VALUE!</v>
      </c>
      <c r="CY205" t="e">
        <f>'All regions'!I5693+"$F;@!)]~"</f>
        <v>#VALUE!</v>
      </c>
      <c r="CZ205" t="e">
        <f>'All regions'!A5694+"$F;@!)^#"</f>
        <v>#VALUE!</v>
      </c>
      <c r="DA205" t="e">
        <f>'All regions'!B5694+"$F;@!)^$"</f>
        <v>#VALUE!</v>
      </c>
      <c r="DB205" t="e">
        <f>'All regions'!C5694+"$F;@!)^%"</f>
        <v>#VALUE!</v>
      </c>
      <c r="DC205" t="e">
        <f>'All regions'!D5694+"$F;@!)^&amp;"</f>
        <v>#VALUE!</v>
      </c>
      <c r="DD205" t="e">
        <f>'All regions'!E5694+"$F;@!)^'"</f>
        <v>#VALUE!</v>
      </c>
      <c r="DE205" t="e">
        <f>'All regions'!F5694+"$F;@!)^("</f>
        <v>#VALUE!</v>
      </c>
      <c r="DF205" t="e">
        <f>'All regions'!G5694+"$F;@!)^)"</f>
        <v>#VALUE!</v>
      </c>
      <c r="DG205" t="e">
        <f>'All regions'!H5694+"$F;@!)^."</f>
        <v>#VALUE!</v>
      </c>
      <c r="DH205" t="e">
        <f>'All regions'!I5694+"$F;@!)^/"</f>
        <v>#VALUE!</v>
      </c>
      <c r="DI205" t="e">
        <f>'All regions'!A5695+"$F;@!)^0"</f>
        <v>#VALUE!</v>
      </c>
      <c r="DJ205" t="e">
        <f>'All regions'!B5695+"$F;@!)^1"</f>
        <v>#VALUE!</v>
      </c>
      <c r="DK205" t="e">
        <f>'All regions'!C5695+"$F;@!)^2"</f>
        <v>#VALUE!</v>
      </c>
      <c r="DL205" t="e">
        <f>'All regions'!D5695+"$F;@!)^3"</f>
        <v>#VALUE!</v>
      </c>
      <c r="DM205" t="e">
        <f>'All regions'!E5695+"$F;@!)^4"</f>
        <v>#VALUE!</v>
      </c>
      <c r="DN205" t="e">
        <f>'All regions'!F5695+"$F;@!)^5"</f>
        <v>#VALUE!</v>
      </c>
      <c r="DO205" t="e">
        <f>'All regions'!G5695+"$F;@!)^6"</f>
        <v>#VALUE!</v>
      </c>
      <c r="DP205" t="e">
        <f>'All regions'!H5695+"$F;@!)^7"</f>
        <v>#VALUE!</v>
      </c>
      <c r="DQ205" t="e">
        <f>'All regions'!I5695+"$F;@!)^8"</f>
        <v>#VALUE!</v>
      </c>
      <c r="DR205" t="e">
        <f>'All regions'!A5696+"$F;@!)^9"</f>
        <v>#VALUE!</v>
      </c>
      <c r="DS205" t="e">
        <f>'All regions'!B5696+"$F;@!)^:"</f>
        <v>#VALUE!</v>
      </c>
      <c r="DT205" t="e">
        <f>'All regions'!C5696+"$F;@!)^;"</f>
        <v>#VALUE!</v>
      </c>
      <c r="DU205" t="e">
        <f>'All regions'!D5696+"$F;@!)^&lt;"</f>
        <v>#VALUE!</v>
      </c>
      <c r="DV205" t="e">
        <f>'All regions'!E5696+"$F;@!)^="</f>
        <v>#VALUE!</v>
      </c>
      <c r="DW205" t="e">
        <f>'All regions'!F5696+"$F;@!)^&gt;"</f>
        <v>#VALUE!</v>
      </c>
      <c r="DX205" t="e">
        <f>'All regions'!G5696+"$F;@!)^?"</f>
        <v>#VALUE!</v>
      </c>
      <c r="DY205" t="e">
        <f>'All regions'!H5696+"$F;@!)^@"</f>
        <v>#VALUE!</v>
      </c>
      <c r="DZ205" t="e">
        <f>'All regions'!I5696+"$F;@!)^A"</f>
        <v>#VALUE!</v>
      </c>
      <c r="EA205" t="e">
        <f>'All regions'!A5697+"$F;@!)^B"</f>
        <v>#VALUE!</v>
      </c>
      <c r="EB205" t="e">
        <f>'All regions'!B5697+"$F;@!)^C"</f>
        <v>#VALUE!</v>
      </c>
      <c r="EC205" t="e">
        <f>'All regions'!C5697+"$F;@!)^D"</f>
        <v>#VALUE!</v>
      </c>
      <c r="ED205" t="e">
        <f>'All regions'!D5697+"$F;@!)^E"</f>
        <v>#VALUE!</v>
      </c>
      <c r="EE205" t="e">
        <f>'All regions'!E5697+"$F;@!)^F"</f>
        <v>#VALUE!</v>
      </c>
      <c r="EF205" t="e">
        <f>'All regions'!F5697+"$F;@!)^G"</f>
        <v>#VALUE!</v>
      </c>
      <c r="EG205" t="e">
        <f>'All regions'!G5697+"$F;@!)^H"</f>
        <v>#VALUE!</v>
      </c>
      <c r="EH205" t="e">
        <f>'All regions'!H5697+"$F;@!)^I"</f>
        <v>#VALUE!</v>
      </c>
      <c r="EI205" t="e">
        <f>'All regions'!I5697+"$F;@!)^J"</f>
        <v>#VALUE!</v>
      </c>
      <c r="EJ205" t="e">
        <f>'All regions'!A5698+"$F;@!)^K"</f>
        <v>#VALUE!</v>
      </c>
      <c r="EK205" t="e">
        <f>'All regions'!B5698+"$F;@!)^L"</f>
        <v>#VALUE!</v>
      </c>
      <c r="EL205" t="e">
        <f>'All regions'!C5698+"$F;@!)^M"</f>
        <v>#VALUE!</v>
      </c>
      <c r="EM205" t="e">
        <f>'All regions'!D5698+"$F;@!)^N"</f>
        <v>#VALUE!</v>
      </c>
      <c r="EN205" t="e">
        <f>'All regions'!E5698+"$F;@!)^O"</f>
        <v>#VALUE!</v>
      </c>
      <c r="EO205" t="e">
        <f>'All regions'!F5698+"$F;@!)^P"</f>
        <v>#VALUE!</v>
      </c>
      <c r="EP205" t="e">
        <f>'All regions'!G5698+"$F;@!)^Q"</f>
        <v>#VALUE!</v>
      </c>
      <c r="EQ205" t="e">
        <f>'All regions'!H5698+"$F;@!)^R"</f>
        <v>#VALUE!</v>
      </c>
      <c r="ER205" t="e">
        <f>'All regions'!I5698+"$F;@!)^S"</f>
        <v>#VALUE!</v>
      </c>
      <c r="ES205" t="e">
        <f>'All regions'!A5699+"$F;@!)^T"</f>
        <v>#VALUE!</v>
      </c>
      <c r="ET205" t="e">
        <f>'All regions'!B5699+"$F;@!)^U"</f>
        <v>#VALUE!</v>
      </c>
      <c r="EU205" t="e">
        <f>'All regions'!C5699+"$F;@!)^V"</f>
        <v>#VALUE!</v>
      </c>
      <c r="EV205" t="e">
        <f>'All regions'!D5699+"$F;@!)^W"</f>
        <v>#VALUE!</v>
      </c>
      <c r="EW205" t="e">
        <f>'All regions'!E5699+"$F;@!)^X"</f>
        <v>#VALUE!</v>
      </c>
      <c r="EX205" t="e">
        <f>'All regions'!F5699+"$F;@!)^Y"</f>
        <v>#VALUE!</v>
      </c>
      <c r="EY205" t="e">
        <f>'All regions'!G5699+"$F;@!)^Z"</f>
        <v>#VALUE!</v>
      </c>
      <c r="EZ205" t="e">
        <f>'All regions'!H5699+"$F;@!)^["</f>
        <v>#VALUE!</v>
      </c>
      <c r="FA205" t="e">
        <f>'All regions'!I5699+"$F;@!)^\"</f>
        <v>#VALUE!</v>
      </c>
      <c r="FB205" t="e">
        <f>'All regions'!A5700+"$F;@!)^]"</f>
        <v>#VALUE!</v>
      </c>
      <c r="FC205" t="e">
        <f>'All regions'!B5700+"$F;@!)^^"</f>
        <v>#VALUE!</v>
      </c>
      <c r="FD205" t="e">
        <f>'All regions'!C5700+"$F;@!)^_"</f>
        <v>#VALUE!</v>
      </c>
      <c r="FE205" t="e">
        <f>'All regions'!D5700+"$F;@!)^`"</f>
        <v>#VALUE!</v>
      </c>
      <c r="FF205" t="e">
        <f>'All regions'!E5700+"$F;@!)^a"</f>
        <v>#VALUE!</v>
      </c>
      <c r="FG205" t="e">
        <f>'All regions'!F5700+"$F;@!)^b"</f>
        <v>#VALUE!</v>
      </c>
      <c r="FH205" t="e">
        <f>'All regions'!G5700+"$F;@!)^c"</f>
        <v>#VALUE!</v>
      </c>
      <c r="FI205" t="e">
        <f>'All regions'!H5700+"$F;@!)^d"</f>
        <v>#VALUE!</v>
      </c>
      <c r="FJ205" t="e">
        <f>'All regions'!I5700+"$F;@!)^e"</f>
        <v>#VALUE!</v>
      </c>
      <c r="FK205" t="e">
        <f>'All regions'!A5701+"$F;@!)^f"</f>
        <v>#VALUE!</v>
      </c>
      <c r="FL205" t="e">
        <f>'All regions'!B5701+"$F;@!)^g"</f>
        <v>#VALUE!</v>
      </c>
      <c r="FM205" t="e">
        <f>'All regions'!C5701+"$F;@!)^h"</f>
        <v>#VALUE!</v>
      </c>
      <c r="FN205" t="e">
        <f>'All regions'!D5701+"$F;@!)^i"</f>
        <v>#VALUE!</v>
      </c>
      <c r="FO205" t="e">
        <f>'All regions'!E5701+"$F;@!)^j"</f>
        <v>#VALUE!</v>
      </c>
      <c r="FP205" t="e">
        <f>'All regions'!F5701+"$F;@!)^k"</f>
        <v>#VALUE!</v>
      </c>
      <c r="FQ205" t="e">
        <f>'All regions'!G5701+"$F;@!)^l"</f>
        <v>#VALUE!</v>
      </c>
      <c r="FR205" t="e">
        <f>'All regions'!H5701+"$F;@!)^m"</f>
        <v>#VALUE!</v>
      </c>
      <c r="FS205" t="e">
        <f>'All regions'!I5701+"$F;@!)^n"</f>
        <v>#VALUE!</v>
      </c>
      <c r="FT205" t="e">
        <f>'All regions'!A5702+"$F;@!)^o"</f>
        <v>#VALUE!</v>
      </c>
      <c r="FU205" t="e">
        <f>'All regions'!B5702+"$F;@!)^p"</f>
        <v>#VALUE!</v>
      </c>
      <c r="FV205" t="e">
        <f>'All regions'!C5702+"$F;@!)^q"</f>
        <v>#VALUE!</v>
      </c>
      <c r="FW205" t="e">
        <f>'All regions'!D5702+"$F;@!)^r"</f>
        <v>#VALUE!</v>
      </c>
      <c r="FX205" t="e">
        <f>'All regions'!E5702+"$F;@!)^s"</f>
        <v>#VALUE!</v>
      </c>
      <c r="FY205" t="e">
        <f>'All regions'!F5702+"$F;@!)^t"</f>
        <v>#VALUE!</v>
      </c>
      <c r="FZ205" t="e">
        <f>'All regions'!G5702+"$F;@!)^u"</f>
        <v>#VALUE!</v>
      </c>
      <c r="GA205" t="e">
        <f>'All regions'!H5702+"$F;@!)^v"</f>
        <v>#VALUE!</v>
      </c>
      <c r="GB205" t="e">
        <f>'All regions'!I5702+"$F;@!)^w"</f>
        <v>#VALUE!</v>
      </c>
      <c r="GC205" t="e">
        <f>'All regions'!A5703+"$F;@!)^x"</f>
        <v>#VALUE!</v>
      </c>
      <c r="GD205" t="e">
        <f>'All regions'!B5703+"$F;@!)^y"</f>
        <v>#VALUE!</v>
      </c>
      <c r="GE205" t="e">
        <f>'All regions'!C5703+"$F;@!)^z"</f>
        <v>#VALUE!</v>
      </c>
      <c r="GF205" t="e">
        <f>'All regions'!D5703+"$F;@!)^{"</f>
        <v>#VALUE!</v>
      </c>
      <c r="GG205" t="e">
        <f>'All regions'!E5703+"$F;@!)^|"</f>
        <v>#VALUE!</v>
      </c>
      <c r="GH205" t="e">
        <f>'All regions'!F5703+"$F;@!)^}"</f>
        <v>#VALUE!</v>
      </c>
      <c r="GI205" t="e">
        <f>'All regions'!G5703+"$F;@!)^~"</f>
        <v>#VALUE!</v>
      </c>
      <c r="GJ205" t="e">
        <f>'All regions'!H5703+"$F;@!)_#"</f>
        <v>#VALUE!</v>
      </c>
      <c r="GK205" t="e">
        <f>'All regions'!I5703+"$F;@!)_$"</f>
        <v>#VALUE!</v>
      </c>
      <c r="GL205" t="e">
        <f>'All regions'!A5704+"$F;@!)_%"</f>
        <v>#VALUE!</v>
      </c>
      <c r="GM205" t="e">
        <f>'All regions'!B5704+"$F;@!)_&amp;"</f>
        <v>#VALUE!</v>
      </c>
      <c r="GN205" t="e">
        <f>'All regions'!C5704+"$F;@!)_'"</f>
        <v>#VALUE!</v>
      </c>
      <c r="GO205" t="e">
        <f>'All regions'!D5704+"$F;@!)_("</f>
        <v>#VALUE!</v>
      </c>
      <c r="GP205" t="e">
        <f>'All regions'!E5704+"$F;@!)_)"</f>
        <v>#VALUE!</v>
      </c>
      <c r="GQ205" t="e">
        <f>'All regions'!F5704+"$F;@!)_."</f>
        <v>#VALUE!</v>
      </c>
      <c r="GR205" t="e">
        <f>'All regions'!G5704+"$F;@!)_/"</f>
        <v>#VALUE!</v>
      </c>
      <c r="GS205" t="e">
        <f>'All regions'!H5704+"$F;@!)_0"</f>
        <v>#VALUE!</v>
      </c>
      <c r="GT205" t="e">
        <f>'All regions'!I5704+"$F;@!)_1"</f>
        <v>#VALUE!</v>
      </c>
      <c r="GU205" t="e">
        <f>'All regions'!A5705+"$F;@!)_2"</f>
        <v>#VALUE!</v>
      </c>
      <c r="GV205" t="e">
        <f>'All regions'!B5705+"$F;@!)_3"</f>
        <v>#VALUE!</v>
      </c>
      <c r="GW205" t="e">
        <f>'All regions'!C5705+"$F;@!)_4"</f>
        <v>#VALUE!</v>
      </c>
      <c r="GX205" t="e">
        <f>'All regions'!D5705+"$F;@!)_5"</f>
        <v>#VALUE!</v>
      </c>
      <c r="GY205" t="e">
        <f>'All regions'!E5705+"$F;@!)_6"</f>
        <v>#VALUE!</v>
      </c>
      <c r="GZ205" t="e">
        <f>'All regions'!H5705+"$F;@!)_7"</f>
        <v>#VALUE!</v>
      </c>
      <c r="HA205" t="e">
        <f>'All regions'!I5705+"$F;@!)_8"</f>
        <v>#VALUE!</v>
      </c>
      <c r="HB205" t="e">
        <f>'All regions'!A5706+"$F;@!)_9"</f>
        <v>#VALUE!</v>
      </c>
      <c r="HC205" t="e">
        <f>'All regions'!B5706+"$F;@!)_:"</f>
        <v>#VALUE!</v>
      </c>
      <c r="HD205" t="e">
        <f>'All regions'!C5706+"$F;@!)_;"</f>
        <v>#VALUE!</v>
      </c>
      <c r="HE205" t="e">
        <f>'All regions'!D5706+"$F;@!)_&lt;"</f>
        <v>#VALUE!</v>
      </c>
      <c r="HF205" t="e">
        <f>'All regions'!E5706+"$F;@!)_="</f>
        <v>#VALUE!</v>
      </c>
      <c r="HG205" t="e">
        <f>'All regions'!F5706+"$F;@!)_&gt;"</f>
        <v>#VALUE!</v>
      </c>
      <c r="HH205" t="e">
        <f>'All regions'!G5706+"$F;@!)_?"</f>
        <v>#VALUE!</v>
      </c>
      <c r="HI205" t="e">
        <f>'All regions'!H5706+"$F;@!)_@"</f>
        <v>#VALUE!</v>
      </c>
      <c r="HJ205" t="e">
        <f>'All regions'!I5706+"$F;@!)_A"</f>
        <v>#VALUE!</v>
      </c>
      <c r="HK205" t="e">
        <f>'All regions'!A5707+"$F;@!)_B"</f>
        <v>#VALUE!</v>
      </c>
      <c r="HL205" t="e">
        <f>'All regions'!B5707+"$F;@!)_C"</f>
        <v>#VALUE!</v>
      </c>
      <c r="HM205" t="e">
        <f>'All regions'!C5707+"$F;@!)_D"</f>
        <v>#VALUE!</v>
      </c>
      <c r="HN205" t="e">
        <f>'All regions'!D5707+"$F;@!)_E"</f>
        <v>#VALUE!</v>
      </c>
      <c r="HO205" t="e">
        <f>'All regions'!E5707+"$F;@!)_F"</f>
        <v>#VALUE!</v>
      </c>
      <c r="HP205" t="e">
        <f>'All regions'!F5707+"$F;@!)_G"</f>
        <v>#VALUE!</v>
      </c>
      <c r="HQ205" t="e">
        <f>'All regions'!G5707+"$F;@!)_H"</f>
        <v>#VALUE!</v>
      </c>
      <c r="HR205" t="e">
        <f>'All regions'!H5707+"$F;@!)_I"</f>
        <v>#VALUE!</v>
      </c>
      <c r="HS205" t="e">
        <f>'All regions'!I5707+"$F;@!)_J"</f>
        <v>#VALUE!</v>
      </c>
      <c r="HT205" t="e">
        <f>'All regions'!A5708+"$F;@!)_K"</f>
        <v>#VALUE!</v>
      </c>
      <c r="HU205" t="e">
        <f>'All regions'!B5708+"$F;@!)_L"</f>
        <v>#VALUE!</v>
      </c>
      <c r="HV205" t="e">
        <f>'All regions'!C5708+"$F;@!)_M"</f>
        <v>#VALUE!</v>
      </c>
      <c r="HW205" t="e">
        <f>'All regions'!D5708+"$F;@!)_N"</f>
        <v>#VALUE!</v>
      </c>
      <c r="HX205" t="e">
        <f>'All regions'!E5708+"$F;@!)_O"</f>
        <v>#VALUE!</v>
      </c>
      <c r="HY205" t="e">
        <f>'All regions'!F5708+"$F;@!)_P"</f>
        <v>#VALUE!</v>
      </c>
      <c r="HZ205" t="e">
        <f>'All regions'!G5708+"$F;@!)_Q"</f>
        <v>#VALUE!</v>
      </c>
      <c r="IA205" t="e">
        <f>'All regions'!H5708+"$F;@!)_R"</f>
        <v>#VALUE!</v>
      </c>
      <c r="IB205" t="e">
        <f>'All regions'!I5708+"$F;@!)_S"</f>
        <v>#VALUE!</v>
      </c>
      <c r="IC205" t="e">
        <f>'All regions'!A5709+"$F;@!)_T"</f>
        <v>#VALUE!</v>
      </c>
      <c r="ID205" t="e">
        <f>'All regions'!B5709+"$F;@!)_U"</f>
        <v>#VALUE!</v>
      </c>
      <c r="IE205" t="e">
        <f>'All regions'!C5709+"$F;@!)_V"</f>
        <v>#VALUE!</v>
      </c>
      <c r="IF205" t="e">
        <f>'All regions'!D5709+"$F;@!)_W"</f>
        <v>#VALUE!</v>
      </c>
      <c r="IG205" t="e">
        <f>'All regions'!E5709+"$F;@!)_X"</f>
        <v>#VALUE!</v>
      </c>
      <c r="IH205" t="e">
        <f>'All regions'!F5709+"$F;@!)_Y"</f>
        <v>#VALUE!</v>
      </c>
      <c r="II205" t="e">
        <f>'All regions'!G5709+"$F;@!)_Z"</f>
        <v>#VALUE!</v>
      </c>
      <c r="IJ205" t="e">
        <f>'All regions'!H5709+"$F;@!)_["</f>
        <v>#VALUE!</v>
      </c>
      <c r="IK205" t="e">
        <f>'All regions'!I5709+"$F;@!)_\"</f>
        <v>#VALUE!</v>
      </c>
      <c r="IL205" t="e">
        <f>'All regions'!A5710+"$F;@!)_]"</f>
        <v>#VALUE!</v>
      </c>
      <c r="IM205" t="e">
        <f>'All regions'!B5710+"$F;@!)_^"</f>
        <v>#VALUE!</v>
      </c>
      <c r="IN205" t="e">
        <f>'All regions'!C5710+"$F;@!)__"</f>
        <v>#VALUE!</v>
      </c>
      <c r="IO205" t="e">
        <f>'All regions'!D5710+"$F;@!)_`"</f>
        <v>#VALUE!</v>
      </c>
      <c r="IP205" t="e">
        <f>'All regions'!E5710+"$F;@!)_a"</f>
        <v>#VALUE!</v>
      </c>
      <c r="IQ205" t="e">
        <f>'All regions'!F5710+"$F;@!)_b"</f>
        <v>#VALUE!</v>
      </c>
      <c r="IR205" t="e">
        <f>'All regions'!G5710+"$F;@!)_c"</f>
        <v>#VALUE!</v>
      </c>
      <c r="IS205" t="e">
        <f>'All regions'!H5710+"$F;@!)_d"</f>
        <v>#VALUE!</v>
      </c>
      <c r="IT205" t="e">
        <f>'All regions'!I5710+"$F;@!)_e"</f>
        <v>#VALUE!</v>
      </c>
      <c r="IU205" t="e">
        <f>'All regions'!A5711+"$F;@!)_f"</f>
        <v>#VALUE!</v>
      </c>
      <c r="IV205" t="e">
        <f>'All regions'!B5711+"$F;@!)_g"</f>
        <v>#VALUE!</v>
      </c>
    </row>
    <row r="206" spans="6:256" x14ac:dyDescent="0.35">
      <c r="F206" t="e">
        <f>'All regions'!C5711+"$F;@!)_h"</f>
        <v>#VALUE!</v>
      </c>
      <c r="G206" t="e">
        <f>'All regions'!D5711+"$F;@!)_i"</f>
        <v>#VALUE!</v>
      </c>
      <c r="H206" t="e">
        <f>'All regions'!E5711+"$F;@!)_j"</f>
        <v>#VALUE!</v>
      </c>
      <c r="I206" t="e">
        <f>'All regions'!F5711+"$F;@!)_k"</f>
        <v>#VALUE!</v>
      </c>
      <c r="J206" t="e">
        <f>'All regions'!G5711+"$F;@!)_l"</f>
        <v>#VALUE!</v>
      </c>
      <c r="K206" t="e">
        <f>'All regions'!H5711+"$F;@!)_m"</f>
        <v>#VALUE!</v>
      </c>
      <c r="L206" t="e">
        <f>'All regions'!I5711+"$F;@!)_n"</f>
        <v>#VALUE!</v>
      </c>
      <c r="M206" t="e">
        <f>'All regions'!A5712+"$F;@!)_o"</f>
        <v>#VALUE!</v>
      </c>
      <c r="N206" t="e">
        <f>'All regions'!B5712+"$F;@!)_p"</f>
        <v>#VALUE!</v>
      </c>
      <c r="O206" t="e">
        <f>'All regions'!C5712+"$F;@!)_q"</f>
        <v>#VALUE!</v>
      </c>
      <c r="P206" t="e">
        <f>'All regions'!D5712+"$F;@!)_r"</f>
        <v>#VALUE!</v>
      </c>
      <c r="Q206" t="e">
        <f>'All regions'!E5712+"$F;@!)_s"</f>
        <v>#VALUE!</v>
      </c>
      <c r="R206" t="e">
        <f>'All regions'!F5712+"$F;@!)_t"</f>
        <v>#VALUE!</v>
      </c>
      <c r="S206" t="e">
        <f>'All regions'!G5712+"$F;@!)_u"</f>
        <v>#VALUE!</v>
      </c>
      <c r="T206" t="e">
        <f>'All regions'!H5712+"$F;@!)_v"</f>
        <v>#VALUE!</v>
      </c>
      <c r="U206" t="e">
        <f>'All regions'!I5712+"$F;@!)_w"</f>
        <v>#VALUE!</v>
      </c>
      <c r="V206" t="e">
        <f>'All regions'!A5713+"$F;@!)_x"</f>
        <v>#VALUE!</v>
      </c>
      <c r="W206" t="e">
        <f>'All regions'!B5713+"$F;@!)_y"</f>
        <v>#VALUE!</v>
      </c>
      <c r="X206" t="e">
        <f>'All regions'!C5713+"$F;@!)_z"</f>
        <v>#VALUE!</v>
      </c>
      <c r="Y206" t="e">
        <f>'All regions'!D5713+"$F;@!)_{"</f>
        <v>#VALUE!</v>
      </c>
      <c r="Z206" t="e">
        <f>'All regions'!E5713+"$F;@!)_|"</f>
        <v>#VALUE!</v>
      </c>
      <c r="AA206" t="e">
        <f>'All regions'!F5713+"$F;@!)_}"</f>
        <v>#VALUE!</v>
      </c>
      <c r="AB206" t="e">
        <f>'All regions'!G5713+"$F;@!)_~"</f>
        <v>#VALUE!</v>
      </c>
      <c r="AC206" t="e">
        <f>'All regions'!H5713+"$F;@!)`#"</f>
        <v>#VALUE!</v>
      </c>
      <c r="AD206" t="e">
        <f>'All regions'!I5713+"$F;@!)`$"</f>
        <v>#VALUE!</v>
      </c>
      <c r="AE206" t="e">
        <f>'All regions'!A5714+"$F;@!)`%"</f>
        <v>#VALUE!</v>
      </c>
      <c r="AF206" t="e">
        <f>'All regions'!B5714+"$F;@!)`&amp;"</f>
        <v>#VALUE!</v>
      </c>
      <c r="AG206" t="e">
        <f>'All regions'!C5714+"$F;@!)`'"</f>
        <v>#VALUE!</v>
      </c>
      <c r="AH206" t="e">
        <f>'All regions'!D5714+"$F;@!)`("</f>
        <v>#VALUE!</v>
      </c>
      <c r="AI206" t="e">
        <f>'All regions'!E5714+"$F;@!)`)"</f>
        <v>#VALUE!</v>
      </c>
      <c r="AJ206" t="e">
        <f>'All regions'!F5714+"$F;@!)`."</f>
        <v>#VALUE!</v>
      </c>
      <c r="AK206" t="e">
        <f>'All regions'!G5714+"$F;@!)`/"</f>
        <v>#VALUE!</v>
      </c>
      <c r="AL206" t="e">
        <f>'All regions'!H5714+"$F;@!)`0"</f>
        <v>#VALUE!</v>
      </c>
      <c r="AM206" t="e">
        <f>'All regions'!I5714+"$F;@!)`1"</f>
        <v>#VALUE!</v>
      </c>
      <c r="AN206" t="e">
        <f>'All regions'!A5715+"$F;@!)`2"</f>
        <v>#VALUE!</v>
      </c>
      <c r="AO206" t="e">
        <f>'All regions'!B5715+"$F;@!)`3"</f>
        <v>#VALUE!</v>
      </c>
      <c r="AP206" t="e">
        <f>'All regions'!C5715+"$F;@!)`4"</f>
        <v>#VALUE!</v>
      </c>
      <c r="AQ206" t="e">
        <f>'All regions'!D5715+"$F;@!)`5"</f>
        <v>#VALUE!</v>
      </c>
      <c r="AR206" t="e">
        <f>'All regions'!E5715+"$F;@!)`6"</f>
        <v>#VALUE!</v>
      </c>
      <c r="AS206" t="e">
        <f>'All regions'!F5715+"$F;@!)`7"</f>
        <v>#VALUE!</v>
      </c>
      <c r="AT206" t="e">
        <f>'All regions'!G5715+"$F;@!)`8"</f>
        <v>#VALUE!</v>
      </c>
      <c r="AU206" t="e">
        <f>'All regions'!H5715+"$F;@!)`9"</f>
        <v>#VALUE!</v>
      </c>
      <c r="AV206" t="e">
        <f>'All regions'!I5715+"$F;@!)`:"</f>
        <v>#VALUE!</v>
      </c>
      <c r="AW206" t="e">
        <f>'All regions'!A5716+"$F;@!)`;"</f>
        <v>#VALUE!</v>
      </c>
      <c r="AX206" t="e">
        <f>'All regions'!B5716+"$F;@!)`&lt;"</f>
        <v>#VALUE!</v>
      </c>
      <c r="AY206" t="e">
        <f>'All regions'!C5716+"$F;@!)`="</f>
        <v>#VALUE!</v>
      </c>
      <c r="AZ206" t="e">
        <f>'All regions'!D5716+"$F;@!)`&gt;"</f>
        <v>#VALUE!</v>
      </c>
      <c r="BA206" t="e">
        <f>'All regions'!E5716+"$F;@!)`?"</f>
        <v>#VALUE!</v>
      </c>
      <c r="BB206" t="e">
        <f>'All regions'!F5716+"$F;@!)`@"</f>
        <v>#VALUE!</v>
      </c>
      <c r="BC206" t="e">
        <f>'All regions'!G5716+"$F;@!)`A"</f>
        <v>#VALUE!</v>
      </c>
      <c r="BD206" t="e">
        <f>'All regions'!H5716+"$F;@!)`B"</f>
        <v>#VALUE!</v>
      </c>
      <c r="BE206" t="e">
        <f>'All regions'!I5716+"$F;@!)`C"</f>
        <v>#VALUE!</v>
      </c>
      <c r="BF206" t="e">
        <f>'All regions'!A5717+"$F;@!)`D"</f>
        <v>#VALUE!</v>
      </c>
      <c r="BG206" t="e">
        <f>'All regions'!B5717+"$F;@!)`E"</f>
        <v>#VALUE!</v>
      </c>
      <c r="BH206" t="e">
        <f>'All regions'!C5717+"$F;@!)`F"</f>
        <v>#VALUE!</v>
      </c>
      <c r="BI206" t="e">
        <f>'All regions'!D5717+"$F;@!)`G"</f>
        <v>#VALUE!</v>
      </c>
      <c r="BJ206" t="e">
        <f>'All regions'!E5717+"$F;@!)`H"</f>
        <v>#VALUE!</v>
      </c>
      <c r="BK206" t="e">
        <f>'All regions'!F5717+"$F;@!)`I"</f>
        <v>#VALUE!</v>
      </c>
      <c r="BL206" t="e">
        <f>'All regions'!G5717+"$F;@!)`J"</f>
        <v>#VALUE!</v>
      </c>
      <c r="BM206" t="e">
        <f>'All regions'!H5717+"$F;@!)`K"</f>
        <v>#VALUE!</v>
      </c>
      <c r="BN206" t="e">
        <f>'All regions'!I5717+"$F;@!)`L"</f>
        <v>#VALUE!</v>
      </c>
      <c r="BO206" t="e">
        <f>'All regions'!A5718+"$F;@!)`M"</f>
        <v>#VALUE!</v>
      </c>
      <c r="BP206" t="e">
        <f>'All regions'!B5718+"$F;@!)`N"</f>
        <v>#VALUE!</v>
      </c>
      <c r="BQ206" t="e">
        <f>'All regions'!C5718+"$F;@!)`O"</f>
        <v>#VALUE!</v>
      </c>
      <c r="BR206" t="e">
        <f>'All regions'!D5718+"$F;@!)`P"</f>
        <v>#VALUE!</v>
      </c>
      <c r="BS206" t="e">
        <f>'All regions'!E5718+"$F;@!)`Q"</f>
        <v>#VALUE!</v>
      </c>
      <c r="BT206" t="e">
        <f>'All regions'!F5718+"$F;@!)`R"</f>
        <v>#VALUE!</v>
      </c>
      <c r="BU206" t="e">
        <f>'All regions'!G5718+"$F;@!)`S"</f>
        <v>#VALUE!</v>
      </c>
      <c r="BV206" t="e">
        <f>'All regions'!H5718+"$F;@!)`T"</f>
        <v>#VALUE!</v>
      </c>
      <c r="BW206" t="e">
        <f>'All regions'!I5718+"$F;@!)`U"</f>
        <v>#VALUE!</v>
      </c>
      <c r="BX206" t="e">
        <f>'All regions'!A5719+"$F;@!)`V"</f>
        <v>#VALUE!</v>
      </c>
      <c r="BY206" t="e">
        <f>'All regions'!B5719+"$F;@!)`W"</f>
        <v>#VALUE!</v>
      </c>
      <c r="BZ206" t="e">
        <f>'All regions'!C5719+"$F;@!)`X"</f>
        <v>#VALUE!</v>
      </c>
      <c r="CA206" t="e">
        <f>'All regions'!D5719+"$F;@!)`Y"</f>
        <v>#VALUE!</v>
      </c>
      <c r="CB206" t="e">
        <f>'All regions'!E5719+"$F;@!)`Z"</f>
        <v>#VALUE!</v>
      </c>
      <c r="CC206" t="e">
        <f>'All regions'!F5719+"$F;@!)`["</f>
        <v>#VALUE!</v>
      </c>
      <c r="CD206" t="e">
        <f>'All regions'!G5719+"$F;@!)`\"</f>
        <v>#VALUE!</v>
      </c>
      <c r="CE206" t="e">
        <f>'All regions'!H5719+"$F;@!)`]"</f>
        <v>#VALUE!</v>
      </c>
      <c r="CF206" t="e">
        <f>'All regions'!I5719+"$F;@!)`^"</f>
        <v>#VALUE!</v>
      </c>
      <c r="CG206" t="e">
        <f>'All regions'!A5720+"$F;@!)`_"</f>
        <v>#VALUE!</v>
      </c>
      <c r="CH206" t="e">
        <f>'All regions'!B5720+"$F;@!)``"</f>
        <v>#VALUE!</v>
      </c>
      <c r="CI206" t="e">
        <f>'All regions'!C5720+"$F;@!)`a"</f>
        <v>#VALUE!</v>
      </c>
      <c r="CJ206" t="e">
        <f>'All regions'!D5720+"$F;@!)`b"</f>
        <v>#VALUE!</v>
      </c>
      <c r="CK206" t="e">
        <f>'All regions'!E5720+"$F;@!)`c"</f>
        <v>#VALUE!</v>
      </c>
      <c r="CL206" t="e">
        <f>'All regions'!F5720+"$F;@!)`d"</f>
        <v>#VALUE!</v>
      </c>
      <c r="CM206" t="e">
        <f>'All regions'!G5720+"$F;@!)`e"</f>
        <v>#VALUE!</v>
      </c>
      <c r="CN206" t="e">
        <f>'All regions'!H5720+"$F;@!)`f"</f>
        <v>#VALUE!</v>
      </c>
      <c r="CO206" t="e">
        <f>'All regions'!I5720+"$F;@!)`g"</f>
        <v>#VALUE!</v>
      </c>
      <c r="CP206" t="e">
        <f>'All regions'!A5721+"$F;@!)`h"</f>
        <v>#VALUE!</v>
      </c>
      <c r="CQ206" t="e">
        <f>'All regions'!B5721+"$F;@!)`i"</f>
        <v>#VALUE!</v>
      </c>
      <c r="CR206" t="e">
        <f>'All regions'!C5721+"$F;@!)`j"</f>
        <v>#VALUE!</v>
      </c>
      <c r="CS206" t="e">
        <f>'All regions'!D5721+"$F;@!)`k"</f>
        <v>#VALUE!</v>
      </c>
      <c r="CT206" t="e">
        <f>'All regions'!E5721+"$F;@!)`l"</f>
        <v>#VALUE!</v>
      </c>
      <c r="CU206" t="e">
        <f>'All regions'!F5721+"$F;@!)`m"</f>
        <v>#VALUE!</v>
      </c>
      <c r="CV206" t="e">
        <f>'All regions'!G5721+"$F;@!)`n"</f>
        <v>#VALUE!</v>
      </c>
      <c r="CW206" t="e">
        <f>'All regions'!H5721+"$F;@!)`o"</f>
        <v>#VALUE!</v>
      </c>
      <c r="CX206" t="e">
        <f>'All regions'!I5721+"$F;@!)`p"</f>
        <v>#VALUE!</v>
      </c>
      <c r="CY206" t="e">
        <f>'All regions'!A5722+"$F;@!)`q"</f>
        <v>#VALUE!</v>
      </c>
      <c r="CZ206" t="e">
        <f>'All regions'!B5722+"$F;@!)`r"</f>
        <v>#VALUE!</v>
      </c>
      <c r="DA206" t="e">
        <f>'All regions'!C5722+"$F;@!)`s"</f>
        <v>#VALUE!</v>
      </c>
      <c r="DB206" t="e">
        <f>'All regions'!D5722+"$F;@!)`t"</f>
        <v>#VALUE!</v>
      </c>
      <c r="DC206" t="e">
        <f>'All regions'!E5722+"$F;@!)`u"</f>
        <v>#VALUE!</v>
      </c>
      <c r="DD206" t="e">
        <f>'All regions'!F5722+"$F;@!)`v"</f>
        <v>#VALUE!</v>
      </c>
      <c r="DE206" t="e">
        <f>'All regions'!G5722+"$F;@!)`w"</f>
        <v>#VALUE!</v>
      </c>
      <c r="DF206" t="e">
        <f>'All regions'!H5722+"$F;@!)`x"</f>
        <v>#VALUE!</v>
      </c>
      <c r="DG206" t="e">
        <f>'All regions'!I5722+"$F;@!)`y"</f>
        <v>#VALUE!</v>
      </c>
      <c r="DH206" t="e">
        <f>'All regions'!A5723+"$F;@!)`z"</f>
        <v>#VALUE!</v>
      </c>
      <c r="DI206" t="e">
        <f>'All regions'!B5723+"$F;@!)`{"</f>
        <v>#VALUE!</v>
      </c>
      <c r="DJ206" t="e">
        <f>'All regions'!C5723+"$F;@!)`|"</f>
        <v>#VALUE!</v>
      </c>
      <c r="DK206" t="e">
        <f>'All regions'!D5723+"$F;@!)`}"</f>
        <v>#VALUE!</v>
      </c>
      <c r="DL206" t="e">
        <f>'All regions'!E5723+"$F;@!)`~"</f>
        <v>#VALUE!</v>
      </c>
      <c r="DM206" t="e">
        <f>'All regions'!F5723+"$F;@!)a#"</f>
        <v>#VALUE!</v>
      </c>
      <c r="DN206" t="e">
        <f>'All regions'!G5723+"$F;@!)a$"</f>
        <v>#VALUE!</v>
      </c>
      <c r="DO206" t="e">
        <f>'All regions'!H5723+"$F;@!)a%"</f>
        <v>#VALUE!</v>
      </c>
      <c r="DP206" t="e">
        <f>'All regions'!I5723+"$F;@!)a&amp;"</f>
        <v>#VALUE!</v>
      </c>
      <c r="DQ206" t="e">
        <f>'All regions'!A5724+"$F;@!)a'"</f>
        <v>#VALUE!</v>
      </c>
      <c r="DR206" t="e">
        <f>'All regions'!B5724+"$F;@!)a("</f>
        <v>#VALUE!</v>
      </c>
      <c r="DS206" t="e">
        <f>'All regions'!C5724+"$F;@!)a)"</f>
        <v>#VALUE!</v>
      </c>
      <c r="DT206" t="e">
        <f>'All regions'!D5724+"$F;@!)a."</f>
        <v>#VALUE!</v>
      </c>
      <c r="DU206" t="e">
        <f>'All regions'!E5724+"$F;@!)a/"</f>
        <v>#VALUE!</v>
      </c>
      <c r="DV206" t="e">
        <f>'All regions'!F5724+"$F;@!)a0"</f>
        <v>#VALUE!</v>
      </c>
      <c r="DW206" t="e">
        <f>'All regions'!G5724+"$F;@!)a1"</f>
        <v>#VALUE!</v>
      </c>
      <c r="DX206" t="e">
        <f>'All regions'!H5724+"$F;@!)a2"</f>
        <v>#VALUE!</v>
      </c>
      <c r="DY206" t="e">
        <f>'All regions'!I5724+"$F;@!)a3"</f>
        <v>#VALUE!</v>
      </c>
      <c r="DZ206" t="e">
        <f>'All regions'!A5725+"$F;@!)a4"</f>
        <v>#VALUE!</v>
      </c>
      <c r="EA206" t="e">
        <f>'All regions'!B5725+"$F;@!)a5"</f>
        <v>#VALUE!</v>
      </c>
      <c r="EB206" t="e">
        <f>'All regions'!C5725+"$F;@!)a6"</f>
        <v>#VALUE!</v>
      </c>
      <c r="EC206" t="e">
        <f>'All regions'!D5725+"$F;@!)a7"</f>
        <v>#VALUE!</v>
      </c>
      <c r="ED206" t="e">
        <f>'All regions'!E5725+"$F;@!)a8"</f>
        <v>#VALUE!</v>
      </c>
      <c r="EE206" t="e">
        <f>'All regions'!F5725+"$F;@!)a9"</f>
        <v>#VALUE!</v>
      </c>
      <c r="EF206" t="e">
        <f>'All regions'!G5725+"$F;@!)a:"</f>
        <v>#VALUE!</v>
      </c>
      <c r="EG206" t="e">
        <f>'All regions'!H5725+"$F;@!)a;"</f>
        <v>#VALUE!</v>
      </c>
      <c r="EH206" t="e">
        <f>'All regions'!I5725+"$F;@!)a&lt;"</f>
        <v>#VALUE!</v>
      </c>
      <c r="EI206" t="e">
        <f>'All regions'!A5726+"$F;@!)a="</f>
        <v>#VALUE!</v>
      </c>
      <c r="EJ206" t="e">
        <f>'All regions'!B5726+"$F;@!)a&gt;"</f>
        <v>#VALUE!</v>
      </c>
      <c r="EK206" t="e">
        <f>'All regions'!C5726+"$F;@!)a?"</f>
        <v>#VALUE!</v>
      </c>
      <c r="EL206" t="e">
        <f>'All regions'!D5726+"$F;@!)a@"</f>
        <v>#VALUE!</v>
      </c>
      <c r="EM206" t="e">
        <f>'All regions'!E5726+"$F;@!)aA"</f>
        <v>#VALUE!</v>
      </c>
      <c r="EN206" t="e">
        <f>'All regions'!F5726+"$F;@!)aB"</f>
        <v>#VALUE!</v>
      </c>
      <c r="EO206" t="e">
        <f>'All regions'!G5726+"$F;@!)aC"</f>
        <v>#VALUE!</v>
      </c>
      <c r="EP206" t="e">
        <f>'All regions'!H5726+"$F;@!)aD"</f>
        <v>#VALUE!</v>
      </c>
      <c r="EQ206" t="e">
        <f>'All regions'!I5726+"$F;@!)aE"</f>
        <v>#VALUE!</v>
      </c>
      <c r="ER206" t="e">
        <f>'All regions'!A5727+"$F;@!)aF"</f>
        <v>#VALUE!</v>
      </c>
      <c r="ES206" t="e">
        <f>'All regions'!B5727+"$F;@!)aG"</f>
        <v>#VALUE!</v>
      </c>
      <c r="ET206" t="e">
        <f>'All regions'!C5727+"$F;@!)aH"</f>
        <v>#VALUE!</v>
      </c>
      <c r="EU206" t="e">
        <f>'All regions'!D5727+"$F;@!)aI"</f>
        <v>#VALUE!</v>
      </c>
      <c r="EV206" t="e">
        <f>'All regions'!E5727+"$F;@!)aJ"</f>
        <v>#VALUE!</v>
      </c>
      <c r="EW206" t="e">
        <f>'All regions'!F5727+"$F;@!)aK"</f>
        <v>#VALUE!</v>
      </c>
      <c r="EX206" t="e">
        <f>'All regions'!G5727+"$F;@!)aL"</f>
        <v>#VALUE!</v>
      </c>
      <c r="EY206" t="e">
        <f>'All regions'!H5727+"$F;@!)aM"</f>
        <v>#VALUE!</v>
      </c>
      <c r="EZ206" t="e">
        <f>'All regions'!I5727+"$F;@!)aN"</f>
        <v>#VALUE!</v>
      </c>
      <c r="FA206" t="e">
        <f>'All regions'!A5728+"$F;@!)aO"</f>
        <v>#VALUE!</v>
      </c>
      <c r="FB206" t="e">
        <f>'All regions'!B5728+"$F;@!)aP"</f>
        <v>#VALUE!</v>
      </c>
      <c r="FC206" t="e">
        <f>'All regions'!C5728+"$F;@!)aQ"</f>
        <v>#VALUE!</v>
      </c>
      <c r="FD206" t="e">
        <f>'All regions'!D5728+"$F;@!)aR"</f>
        <v>#VALUE!</v>
      </c>
      <c r="FE206" t="e">
        <f>'All regions'!E5728+"$F;@!)aS"</f>
        <v>#VALUE!</v>
      </c>
      <c r="FF206" t="e">
        <f>'All regions'!F5728+"$F;@!)aT"</f>
        <v>#VALUE!</v>
      </c>
      <c r="FG206" t="e">
        <f>'All regions'!G5728+"$F;@!)aU"</f>
        <v>#VALUE!</v>
      </c>
      <c r="FH206" t="e">
        <f>'All regions'!H5728+"$F;@!)aV"</f>
        <v>#VALUE!</v>
      </c>
      <c r="FI206" t="e">
        <f>'All regions'!I5728+"$F;@!)aW"</f>
        <v>#VALUE!</v>
      </c>
      <c r="FJ206" t="e">
        <f>'All regions'!A5729+"$F;@!)aX"</f>
        <v>#VALUE!</v>
      </c>
      <c r="FK206" t="e">
        <f>'All regions'!B5729+"$F;@!)aY"</f>
        <v>#VALUE!</v>
      </c>
      <c r="FL206" t="e">
        <f>'All regions'!C5729+"$F;@!)aZ"</f>
        <v>#VALUE!</v>
      </c>
      <c r="FM206" t="e">
        <f>'All regions'!D5729+"$F;@!)a["</f>
        <v>#VALUE!</v>
      </c>
      <c r="FN206" t="e">
        <f>'All regions'!E5729+"$F;@!)a\"</f>
        <v>#VALUE!</v>
      </c>
      <c r="FO206" t="e">
        <f>'All regions'!F5729+"$F;@!)a]"</f>
        <v>#VALUE!</v>
      </c>
      <c r="FP206" t="e">
        <f>'All regions'!G5729+"$F;@!)a^"</f>
        <v>#VALUE!</v>
      </c>
      <c r="FQ206" t="e">
        <f>'All regions'!H5729+"$F;@!)a_"</f>
        <v>#VALUE!</v>
      </c>
      <c r="FR206" t="e">
        <f>'All regions'!I5729+"$F;@!)a`"</f>
        <v>#VALUE!</v>
      </c>
      <c r="FS206" t="e">
        <f>'All regions'!A5730+"$F;@!)aa"</f>
        <v>#VALUE!</v>
      </c>
      <c r="FT206" t="e">
        <f>'All regions'!B5730+"$F;@!)ab"</f>
        <v>#VALUE!</v>
      </c>
      <c r="FU206" t="e">
        <f>'All regions'!C5730+"$F;@!)ac"</f>
        <v>#VALUE!</v>
      </c>
      <c r="FV206" t="e">
        <f>'All regions'!D5730+"$F;@!)ad"</f>
        <v>#VALUE!</v>
      </c>
      <c r="FW206" t="e">
        <f>'All regions'!E5730+"$F;@!)ae"</f>
        <v>#VALUE!</v>
      </c>
      <c r="FX206" t="e">
        <f>'All regions'!F5730+"$F;@!)af"</f>
        <v>#VALUE!</v>
      </c>
      <c r="FY206" t="e">
        <f>'All regions'!G5730+"$F;@!)ag"</f>
        <v>#VALUE!</v>
      </c>
      <c r="FZ206" t="e">
        <f>'All regions'!H5730+"$F;@!)ah"</f>
        <v>#VALUE!</v>
      </c>
      <c r="GA206" t="e">
        <f>'All regions'!I5730+"$F;@!)ai"</f>
        <v>#VALUE!</v>
      </c>
      <c r="GB206" t="e">
        <f>'All regions'!A5731+"$F;@!)aj"</f>
        <v>#VALUE!</v>
      </c>
      <c r="GC206" t="e">
        <f>'All regions'!B5731+"$F;@!)ak"</f>
        <v>#VALUE!</v>
      </c>
      <c r="GD206" t="e">
        <f>'All regions'!C5731+"$F;@!)al"</f>
        <v>#VALUE!</v>
      </c>
      <c r="GE206" t="e">
        <f>'All regions'!D5731+"$F;@!)am"</f>
        <v>#VALUE!</v>
      </c>
      <c r="GF206" t="e">
        <f>'All regions'!E5731+"$F;@!)an"</f>
        <v>#VALUE!</v>
      </c>
      <c r="GG206" t="e">
        <f>'All regions'!F5731+"$F;@!)ao"</f>
        <v>#VALUE!</v>
      </c>
      <c r="GH206" t="e">
        <f>'All regions'!G5731+"$F;@!)ap"</f>
        <v>#VALUE!</v>
      </c>
      <c r="GI206" t="e">
        <f>'All regions'!H5731+"$F;@!)aq"</f>
        <v>#VALUE!</v>
      </c>
      <c r="GJ206" t="e">
        <f>'All regions'!I5731+"$F;@!)ar"</f>
        <v>#VALUE!</v>
      </c>
      <c r="GK206" t="e">
        <f>'All regions'!A5732+"$F;@!)as"</f>
        <v>#VALUE!</v>
      </c>
      <c r="GL206" t="e">
        <f>'All regions'!B5732+"$F;@!)at"</f>
        <v>#VALUE!</v>
      </c>
      <c r="GM206" t="e">
        <f>'All regions'!C5732+"$F;@!)au"</f>
        <v>#VALUE!</v>
      </c>
      <c r="GN206" t="e">
        <f>'All regions'!D5732+"$F;@!)av"</f>
        <v>#VALUE!</v>
      </c>
      <c r="GO206" t="e">
        <f>'All regions'!E5732+"$F;@!)aw"</f>
        <v>#VALUE!</v>
      </c>
      <c r="GP206" t="e">
        <f>'All regions'!F5732+"$F;@!)ax"</f>
        <v>#VALUE!</v>
      </c>
      <c r="GQ206" t="e">
        <f>'All regions'!G5732+"$F;@!)ay"</f>
        <v>#VALUE!</v>
      </c>
      <c r="GR206" t="e">
        <f>'All regions'!H5732+"$F;@!)az"</f>
        <v>#VALUE!</v>
      </c>
      <c r="GS206" t="e">
        <f>'All regions'!I5732+"$F;@!)a{"</f>
        <v>#VALUE!</v>
      </c>
      <c r="GT206" t="e">
        <f>'All regions'!A5733+"$F;@!)a|"</f>
        <v>#VALUE!</v>
      </c>
      <c r="GU206" t="e">
        <f>'All regions'!B5733+"$F;@!)a}"</f>
        <v>#VALUE!</v>
      </c>
      <c r="GV206" t="e">
        <f>'All regions'!C5733+"$F;@!)a~"</f>
        <v>#VALUE!</v>
      </c>
      <c r="GW206" t="e">
        <f>'All regions'!D5733+"$F;@!)b#"</f>
        <v>#VALUE!</v>
      </c>
      <c r="GX206" t="e">
        <f>'All regions'!E5733+"$F;@!)b$"</f>
        <v>#VALUE!</v>
      </c>
      <c r="GY206" t="e">
        <f>'All regions'!F5733+"$F;@!)b%"</f>
        <v>#VALUE!</v>
      </c>
      <c r="GZ206" t="e">
        <f>'All regions'!G5733+"$F;@!)b&amp;"</f>
        <v>#VALUE!</v>
      </c>
      <c r="HA206" t="e">
        <f>'All regions'!H5733+"$F;@!)b'"</f>
        <v>#VALUE!</v>
      </c>
      <c r="HB206" t="e">
        <f>'All regions'!I5733+"$F;@!)b("</f>
        <v>#VALUE!</v>
      </c>
      <c r="HC206" t="e">
        <f>'All regions'!A5734+"$F;@!)b)"</f>
        <v>#VALUE!</v>
      </c>
      <c r="HD206" t="e">
        <f>'All regions'!B5734+"$F;@!)b."</f>
        <v>#VALUE!</v>
      </c>
      <c r="HE206" t="e">
        <f>'All regions'!C5734+"$F;@!)b/"</f>
        <v>#VALUE!</v>
      </c>
      <c r="HF206" t="e">
        <f>'All regions'!D5734+"$F;@!)b0"</f>
        <v>#VALUE!</v>
      </c>
      <c r="HG206" t="e">
        <f>'All regions'!E5734+"$F;@!)b1"</f>
        <v>#VALUE!</v>
      </c>
      <c r="HH206" t="e">
        <f>'All regions'!F5734+"$F;@!)b2"</f>
        <v>#VALUE!</v>
      </c>
      <c r="HI206" t="e">
        <f>'All regions'!G5734+"$F;@!)b3"</f>
        <v>#VALUE!</v>
      </c>
      <c r="HJ206" t="e">
        <f>'All regions'!H5734+"$F;@!)b4"</f>
        <v>#VALUE!</v>
      </c>
      <c r="HK206" t="e">
        <f>'All regions'!I5734+"$F;@!)b5"</f>
        <v>#VALUE!</v>
      </c>
      <c r="HL206" t="e">
        <f>'All regions'!A5735+"$F;@!)b6"</f>
        <v>#VALUE!</v>
      </c>
      <c r="HM206" t="e">
        <f>'All regions'!B5735+"$F;@!)b7"</f>
        <v>#VALUE!</v>
      </c>
      <c r="HN206" t="e">
        <f>'All regions'!C5735+"$F;@!)b8"</f>
        <v>#VALUE!</v>
      </c>
      <c r="HO206" t="e">
        <f>'All regions'!D5735+"$F;@!)b9"</f>
        <v>#VALUE!</v>
      </c>
      <c r="HP206" t="e">
        <f>'All regions'!E5735+"$F;@!)b:"</f>
        <v>#VALUE!</v>
      </c>
      <c r="HQ206" t="e">
        <f>'All regions'!F5735+"$F;@!)b;"</f>
        <v>#VALUE!</v>
      </c>
      <c r="HR206" t="e">
        <f>'All regions'!G5735+"$F;@!)b&lt;"</f>
        <v>#VALUE!</v>
      </c>
      <c r="HS206" t="e">
        <f>'All regions'!H5735+"$F;@!)b="</f>
        <v>#VALUE!</v>
      </c>
      <c r="HT206" t="e">
        <f>'All regions'!I5735+"$F;@!)b&gt;"</f>
        <v>#VALUE!</v>
      </c>
      <c r="HU206" t="e">
        <f>'All regions'!A5736+"$F;@!)b?"</f>
        <v>#VALUE!</v>
      </c>
      <c r="HV206" t="e">
        <f>'All regions'!B5736+"$F;@!)b@"</f>
        <v>#VALUE!</v>
      </c>
      <c r="HW206" t="e">
        <f>'All regions'!C5736+"$F;@!)bA"</f>
        <v>#VALUE!</v>
      </c>
      <c r="HX206" t="e">
        <f>'All regions'!D5736+"$F;@!)bB"</f>
        <v>#VALUE!</v>
      </c>
      <c r="HY206" t="e">
        <f>'All regions'!E5736+"$F;@!)bC"</f>
        <v>#VALUE!</v>
      </c>
      <c r="HZ206" t="e">
        <f>'All regions'!F5736+"$F;@!)bD"</f>
        <v>#VALUE!</v>
      </c>
      <c r="IA206" t="e">
        <f>'All regions'!G5736+"$F;@!)bE"</f>
        <v>#VALUE!</v>
      </c>
      <c r="IB206" t="e">
        <f>'All regions'!H5736+"$F;@!)bF"</f>
        <v>#VALUE!</v>
      </c>
      <c r="IC206" t="e">
        <f>'All regions'!I5736+"$F;@!)bG"</f>
        <v>#VALUE!</v>
      </c>
      <c r="ID206" t="e">
        <f>'All regions'!A5737+"$F;@!)bH"</f>
        <v>#VALUE!</v>
      </c>
      <c r="IE206" t="e">
        <f>'All regions'!B5737+"$F;@!)bI"</f>
        <v>#VALUE!</v>
      </c>
      <c r="IF206" t="e">
        <f>'All regions'!C5737+"$F;@!)bJ"</f>
        <v>#VALUE!</v>
      </c>
      <c r="IG206" t="e">
        <f>'All regions'!D5737+"$F;@!)bK"</f>
        <v>#VALUE!</v>
      </c>
      <c r="IH206" t="e">
        <f>'All regions'!E5737+"$F;@!)bL"</f>
        <v>#VALUE!</v>
      </c>
      <c r="II206" t="e">
        <f>'All regions'!F5737+"$F;@!)bM"</f>
        <v>#VALUE!</v>
      </c>
      <c r="IJ206" t="e">
        <f>'All regions'!G5737+"$F;@!)bN"</f>
        <v>#VALUE!</v>
      </c>
      <c r="IK206" t="e">
        <f>'All regions'!H5737+"$F;@!)bO"</f>
        <v>#VALUE!</v>
      </c>
      <c r="IL206" t="e">
        <f>'All regions'!I5737+"$F;@!)bP"</f>
        <v>#VALUE!</v>
      </c>
      <c r="IM206" t="e">
        <f>'All regions'!A5738+"$F;@!)bQ"</f>
        <v>#VALUE!</v>
      </c>
      <c r="IN206" t="e">
        <f>'All regions'!B5738+"$F;@!)bR"</f>
        <v>#VALUE!</v>
      </c>
      <c r="IO206" t="e">
        <f>'All regions'!C5738+"$F;@!)bS"</f>
        <v>#VALUE!</v>
      </c>
      <c r="IP206" t="e">
        <f>'All regions'!D5738+"$F;@!)bT"</f>
        <v>#VALUE!</v>
      </c>
      <c r="IQ206" t="e">
        <f>'All regions'!E5738+"$F;@!)bU"</f>
        <v>#VALUE!</v>
      </c>
      <c r="IR206" t="e">
        <f>'All regions'!F5738+"$F;@!)bV"</f>
        <v>#VALUE!</v>
      </c>
      <c r="IS206" t="e">
        <f>'All regions'!G5738+"$F;@!)bW"</f>
        <v>#VALUE!</v>
      </c>
      <c r="IT206" t="e">
        <f>'All regions'!H5738+"$F;@!)bX"</f>
        <v>#VALUE!</v>
      </c>
      <c r="IU206" t="e">
        <f>'All regions'!I5738+"$F;@!)bY"</f>
        <v>#VALUE!</v>
      </c>
      <c r="IV206" t="e">
        <f>'All regions'!A5739+"$F;@!)bZ"</f>
        <v>#VALUE!</v>
      </c>
    </row>
    <row r="207" spans="6:256" x14ac:dyDescent="0.35">
      <c r="F207" t="e">
        <f>'All regions'!B5739+"$F;@!)b["</f>
        <v>#VALUE!</v>
      </c>
      <c r="G207" t="e">
        <f>'All regions'!C5739+"$F;@!)b\"</f>
        <v>#VALUE!</v>
      </c>
      <c r="H207" t="e">
        <f>'All regions'!D5739+"$F;@!)b]"</f>
        <v>#VALUE!</v>
      </c>
      <c r="I207" t="e">
        <f>'All regions'!E5739+"$F;@!)b^"</f>
        <v>#VALUE!</v>
      </c>
      <c r="J207" t="e">
        <f>'All regions'!F5739+"$F;@!)b_"</f>
        <v>#VALUE!</v>
      </c>
      <c r="K207" t="e">
        <f>'All regions'!G5739+"$F;@!)b`"</f>
        <v>#VALUE!</v>
      </c>
      <c r="L207" t="e">
        <f>'All regions'!H5739+"$F;@!)ba"</f>
        <v>#VALUE!</v>
      </c>
      <c r="M207" t="e">
        <f>'All regions'!I5739+"$F;@!)bb"</f>
        <v>#VALUE!</v>
      </c>
      <c r="N207" t="e">
        <f>'All regions'!A5740+"$F;@!)bc"</f>
        <v>#VALUE!</v>
      </c>
      <c r="O207" t="e">
        <f>'All regions'!B5740+"$F;@!)bd"</f>
        <v>#VALUE!</v>
      </c>
      <c r="P207" t="e">
        <f>'All regions'!C5740+"$F;@!)be"</f>
        <v>#VALUE!</v>
      </c>
      <c r="Q207" t="e">
        <f>'All regions'!D5740+"$F;@!)bf"</f>
        <v>#VALUE!</v>
      </c>
      <c r="R207" t="e">
        <f>'All regions'!E5740+"$F;@!)bg"</f>
        <v>#VALUE!</v>
      </c>
      <c r="S207" t="e">
        <f>'All regions'!F5740+"$F;@!)bh"</f>
        <v>#VALUE!</v>
      </c>
      <c r="T207" t="e">
        <f>'All regions'!G5740+"$F;@!)bi"</f>
        <v>#VALUE!</v>
      </c>
      <c r="U207" t="e">
        <f>'All regions'!H5740+"$F;@!)bj"</f>
        <v>#VALUE!</v>
      </c>
      <c r="V207" t="e">
        <f>'All regions'!I5740+"$F;@!)bk"</f>
        <v>#VALUE!</v>
      </c>
      <c r="W207" t="e">
        <f>'All regions'!A5741+"$F;@!)bl"</f>
        <v>#VALUE!</v>
      </c>
      <c r="X207" t="e">
        <f>'All regions'!B5741+"$F;@!)bm"</f>
        <v>#VALUE!</v>
      </c>
      <c r="Y207" t="e">
        <f>'All regions'!C5741+"$F;@!)bn"</f>
        <v>#VALUE!</v>
      </c>
      <c r="Z207" t="e">
        <f>'All regions'!D5741+"$F;@!)bo"</f>
        <v>#VALUE!</v>
      </c>
      <c r="AA207" t="e">
        <f>'All regions'!E5741+"$F;@!)bp"</f>
        <v>#VALUE!</v>
      </c>
      <c r="AB207" t="e">
        <f>'All regions'!F5741+"$F;@!)bq"</f>
        <v>#VALUE!</v>
      </c>
      <c r="AC207" t="e">
        <f>'All regions'!G5741+"$F;@!)br"</f>
        <v>#VALUE!</v>
      </c>
      <c r="AD207" t="e">
        <f>'All regions'!H5741+"$F;@!)bs"</f>
        <v>#VALUE!</v>
      </c>
      <c r="AE207" t="e">
        <f>'All regions'!I5741+"$F;@!)bt"</f>
        <v>#VALUE!</v>
      </c>
      <c r="AF207" t="e">
        <f>'All regions'!A5742+"$F;@!)bu"</f>
        <v>#VALUE!</v>
      </c>
      <c r="AG207" t="e">
        <f>'All regions'!B5742+"$F;@!)bv"</f>
        <v>#VALUE!</v>
      </c>
      <c r="AH207" t="e">
        <f>'All regions'!C5742+"$F;@!)bw"</f>
        <v>#VALUE!</v>
      </c>
      <c r="AI207" t="e">
        <f>'All regions'!D5742+"$F;@!)bx"</f>
        <v>#VALUE!</v>
      </c>
      <c r="AJ207" t="e">
        <f>'All regions'!E5742+"$F;@!)by"</f>
        <v>#VALUE!</v>
      </c>
      <c r="AK207" t="e">
        <f>'All regions'!F5742+"$F;@!)bz"</f>
        <v>#VALUE!</v>
      </c>
      <c r="AL207" t="e">
        <f>'All regions'!G5742+"$F;@!)b{"</f>
        <v>#VALUE!</v>
      </c>
      <c r="AM207" t="e">
        <f>'All regions'!H5742+"$F;@!)b|"</f>
        <v>#VALUE!</v>
      </c>
      <c r="AN207" t="e">
        <f>'All regions'!I5742+"$F;@!)b}"</f>
        <v>#VALUE!</v>
      </c>
      <c r="AO207" t="e">
        <f>'All regions'!A5743+"$F;@!)b~"</f>
        <v>#VALUE!</v>
      </c>
      <c r="AP207" t="e">
        <f>'All regions'!B5743+"$F;@!)c#"</f>
        <v>#VALUE!</v>
      </c>
      <c r="AQ207" t="e">
        <f>'All regions'!C5743+"$F;@!)c$"</f>
        <v>#VALUE!</v>
      </c>
      <c r="AR207" t="e">
        <f>'All regions'!D5743+"$F;@!)c%"</f>
        <v>#VALUE!</v>
      </c>
      <c r="AS207" t="e">
        <f>'All regions'!E5743+"$F;@!)c&amp;"</f>
        <v>#VALUE!</v>
      </c>
      <c r="AT207" t="e">
        <f>'All regions'!F5743+"$F;@!)c'"</f>
        <v>#VALUE!</v>
      </c>
      <c r="AU207" t="e">
        <f>'All regions'!G5743+"$F;@!)c("</f>
        <v>#VALUE!</v>
      </c>
      <c r="AV207" t="e">
        <f>'All regions'!H5743+"$F;@!)c)"</f>
        <v>#VALUE!</v>
      </c>
      <c r="AW207" t="e">
        <f>'All regions'!I5743+"$F;@!)c."</f>
        <v>#VALUE!</v>
      </c>
      <c r="AX207" t="e">
        <f>'All regions'!A5744+"$F;@!)c/"</f>
        <v>#VALUE!</v>
      </c>
      <c r="AY207" t="e">
        <f>'All regions'!B5744+"$F;@!)c0"</f>
        <v>#VALUE!</v>
      </c>
      <c r="AZ207" t="e">
        <f>'All regions'!C5744+"$F;@!)c1"</f>
        <v>#VALUE!</v>
      </c>
      <c r="BA207" t="e">
        <f>'All regions'!D5744+"$F;@!)c2"</f>
        <v>#VALUE!</v>
      </c>
      <c r="BB207" t="e">
        <f>'All regions'!E5744+"$F;@!)c3"</f>
        <v>#VALUE!</v>
      </c>
      <c r="BC207" t="e">
        <f>'All regions'!F5744+"$F;@!)c4"</f>
        <v>#VALUE!</v>
      </c>
      <c r="BD207" t="e">
        <f>'All regions'!G5744+"$F;@!)c5"</f>
        <v>#VALUE!</v>
      </c>
      <c r="BE207" t="e">
        <f>'All regions'!H5744+"$F;@!)c6"</f>
        <v>#VALUE!</v>
      </c>
      <c r="BF207" t="e">
        <f>'All regions'!I5744+"$F;@!)c7"</f>
        <v>#VALUE!</v>
      </c>
      <c r="BG207" t="e">
        <f>'All regions'!A5745+"$F;@!)c8"</f>
        <v>#VALUE!</v>
      </c>
      <c r="BH207" t="e">
        <f>'All regions'!B5745+"$F;@!)c9"</f>
        <v>#VALUE!</v>
      </c>
      <c r="BI207" t="e">
        <f>'All regions'!C5745+"$F;@!)c:"</f>
        <v>#VALUE!</v>
      </c>
      <c r="BJ207" t="e">
        <f>'All regions'!D5745+"$F;@!)c;"</f>
        <v>#VALUE!</v>
      </c>
      <c r="BK207" t="e">
        <f>'All regions'!E5745+"$F;@!)c&lt;"</f>
        <v>#VALUE!</v>
      </c>
      <c r="BL207" t="e">
        <f>'All regions'!F5745+"$F;@!)c="</f>
        <v>#VALUE!</v>
      </c>
      <c r="BM207" t="e">
        <f>'All regions'!G5745+"$F;@!)c&gt;"</f>
        <v>#VALUE!</v>
      </c>
      <c r="BN207" t="e">
        <f>'All regions'!H5745+"$F;@!)c?"</f>
        <v>#VALUE!</v>
      </c>
      <c r="BO207" t="e">
        <f>'All regions'!I5745+"$F;@!)c@"</f>
        <v>#VALUE!</v>
      </c>
      <c r="BP207" t="e">
        <f>'All regions'!A5746+"$F;@!)cA"</f>
        <v>#VALUE!</v>
      </c>
      <c r="BQ207" t="e">
        <f>'All regions'!B5746+"$F;@!)cB"</f>
        <v>#VALUE!</v>
      </c>
      <c r="BR207" t="e">
        <f>'All regions'!C5746+"$F;@!)cC"</f>
        <v>#VALUE!</v>
      </c>
      <c r="BS207" t="e">
        <f>'All regions'!D5746+"$F;@!)cD"</f>
        <v>#VALUE!</v>
      </c>
      <c r="BT207" t="e">
        <f>'All regions'!E5746+"$F;@!)cE"</f>
        <v>#VALUE!</v>
      </c>
      <c r="BU207" t="e">
        <f>'All regions'!F5746+"$F;@!)cF"</f>
        <v>#VALUE!</v>
      </c>
      <c r="BV207" t="e">
        <f>'All regions'!G5746+"$F;@!)cG"</f>
        <v>#VALUE!</v>
      </c>
      <c r="BW207" t="e">
        <f>'All regions'!H5746+"$F;@!)cH"</f>
        <v>#VALUE!</v>
      </c>
      <c r="BX207" t="e">
        <f>'All regions'!I5746+"$F;@!)cI"</f>
        <v>#VALUE!</v>
      </c>
      <c r="BY207" t="e">
        <f>'All regions'!A5747+"$F;@!)cJ"</f>
        <v>#VALUE!</v>
      </c>
      <c r="BZ207" t="e">
        <f>'All regions'!B5747+"$F;@!)cK"</f>
        <v>#VALUE!</v>
      </c>
      <c r="CA207" t="e">
        <f>'All regions'!C5747+"$F;@!)cL"</f>
        <v>#VALUE!</v>
      </c>
      <c r="CB207" t="e">
        <f>'All regions'!D5747+"$F;@!)cM"</f>
        <v>#VALUE!</v>
      </c>
      <c r="CC207" t="e">
        <f>'All regions'!E5747+"$F;@!)cN"</f>
        <v>#VALUE!</v>
      </c>
      <c r="CD207" t="e">
        <f>'All regions'!F5747+"$F;@!)cO"</f>
        <v>#VALUE!</v>
      </c>
      <c r="CE207" t="e">
        <f>'All regions'!G5747+"$F;@!)cP"</f>
        <v>#VALUE!</v>
      </c>
      <c r="CF207" t="e">
        <f>'All regions'!H5747+"$F;@!)cQ"</f>
        <v>#VALUE!</v>
      </c>
      <c r="CG207" t="e">
        <f>'All regions'!I5747+"$F;@!)cR"</f>
        <v>#VALUE!</v>
      </c>
      <c r="CH207" t="e">
        <f>'All regions'!A5748+"$F;@!)cS"</f>
        <v>#VALUE!</v>
      </c>
      <c r="CI207" t="e">
        <f>'All regions'!B5748+"$F;@!)cT"</f>
        <v>#VALUE!</v>
      </c>
      <c r="CJ207" t="e">
        <f>'All regions'!C5748+"$F;@!)cU"</f>
        <v>#VALUE!</v>
      </c>
      <c r="CK207" t="e">
        <f>'All regions'!D5748+"$F;@!)cV"</f>
        <v>#VALUE!</v>
      </c>
      <c r="CL207" t="e">
        <f>'All regions'!E5748+"$F;@!)cW"</f>
        <v>#VALUE!</v>
      </c>
      <c r="CM207" t="e">
        <f>'All regions'!F5748+"$F;@!)cX"</f>
        <v>#VALUE!</v>
      </c>
      <c r="CN207" t="e">
        <f>'All regions'!G5748+"$F;@!)cY"</f>
        <v>#VALUE!</v>
      </c>
      <c r="CO207" t="e">
        <f>'All regions'!H5748+"$F;@!)cZ"</f>
        <v>#VALUE!</v>
      </c>
      <c r="CP207" t="e">
        <f>'All regions'!I5748+"$F;@!)c["</f>
        <v>#VALUE!</v>
      </c>
      <c r="CQ207" t="e">
        <f>'All regions'!A5749+"$F;@!)c\"</f>
        <v>#VALUE!</v>
      </c>
      <c r="CR207" t="e">
        <f>'All regions'!B5749+"$F;@!)c]"</f>
        <v>#VALUE!</v>
      </c>
      <c r="CS207" t="e">
        <f>'All regions'!C5749+"$F;@!)c^"</f>
        <v>#VALUE!</v>
      </c>
      <c r="CT207" t="e">
        <f>'All regions'!D5749+"$F;@!)c_"</f>
        <v>#VALUE!</v>
      </c>
      <c r="CU207" t="e">
        <f>'All regions'!E5749+"$F;@!)c`"</f>
        <v>#VALUE!</v>
      </c>
      <c r="CV207" t="e">
        <f>'All regions'!F5749+"$F;@!)ca"</f>
        <v>#VALUE!</v>
      </c>
      <c r="CW207" t="e">
        <f>'All regions'!G5749+"$F;@!)cb"</f>
        <v>#VALUE!</v>
      </c>
      <c r="CX207" t="e">
        <f>'All regions'!H5749+"$F;@!)cc"</f>
        <v>#VALUE!</v>
      </c>
      <c r="CY207" t="e">
        <f>'All regions'!I5749+"$F;@!)cd"</f>
        <v>#VALUE!</v>
      </c>
      <c r="CZ207" t="e">
        <f>'All regions'!A5750+"$F;@!)ce"</f>
        <v>#VALUE!</v>
      </c>
      <c r="DA207" t="e">
        <f>'All regions'!B5750+"$F;@!)cf"</f>
        <v>#VALUE!</v>
      </c>
      <c r="DB207" t="e">
        <f>'All regions'!C5750+"$F;@!)cg"</f>
        <v>#VALUE!</v>
      </c>
      <c r="DC207" t="e">
        <f>'All regions'!D5750+"$F;@!)ch"</f>
        <v>#VALUE!</v>
      </c>
      <c r="DD207" t="e">
        <f>'All regions'!E5750+"$F;@!)ci"</f>
        <v>#VALUE!</v>
      </c>
      <c r="DE207" t="e">
        <f>'All regions'!F5750+"$F;@!)cj"</f>
        <v>#VALUE!</v>
      </c>
      <c r="DF207" t="e">
        <f>'All regions'!G5750+"$F;@!)ck"</f>
        <v>#VALUE!</v>
      </c>
      <c r="DG207" t="e">
        <f>'All regions'!H5750+"$F;@!)cl"</f>
        <v>#VALUE!</v>
      </c>
      <c r="DH207" t="e">
        <f>'All regions'!I5750+"$F;@!)cm"</f>
        <v>#VALUE!</v>
      </c>
      <c r="DI207" t="e">
        <f>'All regions'!A5751+"$F;@!)cn"</f>
        <v>#VALUE!</v>
      </c>
      <c r="DJ207" t="e">
        <f>'All regions'!B5751+"$F;@!)co"</f>
        <v>#VALUE!</v>
      </c>
      <c r="DK207" t="e">
        <f>'All regions'!C5751+"$F;@!)cp"</f>
        <v>#VALUE!</v>
      </c>
      <c r="DL207" t="e">
        <f>'All regions'!D5751+"$F;@!)cq"</f>
        <v>#VALUE!</v>
      </c>
      <c r="DM207" t="e">
        <f>'All regions'!E5751+"$F;@!)cr"</f>
        <v>#VALUE!</v>
      </c>
      <c r="DN207" t="e">
        <f>'All regions'!F5751+"$F;@!)cs"</f>
        <v>#VALUE!</v>
      </c>
      <c r="DO207" t="e">
        <f>'All regions'!G5751+"$F;@!)ct"</f>
        <v>#VALUE!</v>
      </c>
      <c r="DP207" t="e">
        <f>'All regions'!H5751+"$F;@!)cu"</f>
        <v>#VALUE!</v>
      </c>
      <c r="DQ207" t="e">
        <f>'All regions'!I5751+"$F;@!)cv"</f>
        <v>#VALUE!</v>
      </c>
      <c r="DR207" t="e">
        <f>'All regions'!A5752+"$F;@!)cw"</f>
        <v>#VALUE!</v>
      </c>
      <c r="DS207" t="e">
        <f>'All regions'!B5752+"$F;@!)cx"</f>
        <v>#VALUE!</v>
      </c>
      <c r="DT207" t="e">
        <f>'All regions'!C5752+"$F;@!)cy"</f>
        <v>#VALUE!</v>
      </c>
      <c r="DU207" t="e">
        <f>'All regions'!D5752+"$F;@!)cz"</f>
        <v>#VALUE!</v>
      </c>
      <c r="DV207" t="e">
        <f>'All regions'!E5752+"$F;@!)c{"</f>
        <v>#VALUE!</v>
      </c>
      <c r="DW207" t="e">
        <f>'All regions'!F5752+"$F;@!)c|"</f>
        <v>#VALUE!</v>
      </c>
      <c r="DX207" t="e">
        <f>'All regions'!G5752+"$F;@!)c}"</f>
        <v>#VALUE!</v>
      </c>
      <c r="DY207" t="e">
        <f>'All regions'!H5752+"$F;@!)c~"</f>
        <v>#VALUE!</v>
      </c>
      <c r="DZ207" t="e">
        <f>'All regions'!I5752+"$F;@!)d#"</f>
        <v>#VALUE!</v>
      </c>
      <c r="EA207" t="e">
        <f>'All regions'!A5753+"$F;@!)d$"</f>
        <v>#VALUE!</v>
      </c>
      <c r="EB207" t="e">
        <f>'All regions'!B5753+"$F;@!)d%"</f>
        <v>#VALUE!</v>
      </c>
      <c r="EC207" t="e">
        <f>'All regions'!C5753+"$F;@!)d&amp;"</f>
        <v>#VALUE!</v>
      </c>
      <c r="ED207" t="e">
        <f>'All regions'!D5753+"$F;@!)d'"</f>
        <v>#VALUE!</v>
      </c>
      <c r="EE207" t="e">
        <f>'All regions'!E5753+"$F;@!)d("</f>
        <v>#VALUE!</v>
      </c>
      <c r="EF207" t="e">
        <f>'All regions'!F5753+"$F;@!)d)"</f>
        <v>#VALUE!</v>
      </c>
      <c r="EG207" t="e">
        <f>'All regions'!G5753+"$F;@!)d."</f>
        <v>#VALUE!</v>
      </c>
      <c r="EH207" t="e">
        <f>'All regions'!H5753+"$F;@!)d/"</f>
        <v>#VALUE!</v>
      </c>
      <c r="EI207" t="e">
        <f>'All regions'!I5753+"$F;@!)d0"</f>
        <v>#VALUE!</v>
      </c>
      <c r="EJ207" t="e">
        <f>'All regions'!A5754+"$F;@!)d1"</f>
        <v>#VALUE!</v>
      </c>
      <c r="EK207" t="e">
        <f>'All regions'!B5754+"$F;@!)d2"</f>
        <v>#VALUE!</v>
      </c>
      <c r="EL207" t="e">
        <f>'All regions'!C5754+"$F;@!)d3"</f>
        <v>#VALUE!</v>
      </c>
      <c r="EM207" t="e">
        <f>'All regions'!D5754+"$F;@!)d4"</f>
        <v>#VALUE!</v>
      </c>
      <c r="EN207" t="e">
        <f>'All regions'!E5754+"$F;@!)d5"</f>
        <v>#VALUE!</v>
      </c>
      <c r="EO207" t="e">
        <f>'All regions'!F5754+"$F;@!)d6"</f>
        <v>#VALUE!</v>
      </c>
      <c r="EP207" t="e">
        <f>'All regions'!G5754+"$F;@!)d7"</f>
        <v>#VALUE!</v>
      </c>
      <c r="EQ207" t="e">
        <f>'All regions'!H5754+"$F;@!)d8"</f>
        <v>#VALUE!</v>
      </c>
      <c r="ER207" t="e">
        <f>'All regions'!I5754+"$F;@!)d9"</f>
        <v>#VALUE!</v>
      </c>
      <c r="ES207" t="e">
        <f>'All regions'!A5755+"$F;@!)d:"</f>
        <v>#VALUE!</v>
      </c>
      <c r="ET207" t="e">
        <f>'All regions'!B5755+"$F;@!)d;"</f>
        <v>#VALUE!</v>
      </c>
      <c r="EU207" t="e">
        <f>'All regions'!C5755+"$F;@!)d&lt;"</f>
        <v>#VALUE!</v>
      </c>
      <c r="EV207" t="e">
        <f>'All regions'!D5755+"$F;@!)d="</f>
        <v>#VALUE!</v>
      </c>
      <c r="EW207" t="e">
        <f>'All regions'!E5755+"$F;@!)d&gt;"</f>
        <v>#VALUE!</v>
      </c>
      <c r="EX207" t="e">
        <f>'All regions'!F5755+"$F;@!)d?"</f>
        <v>#VALUE!</v>
      </c>
      <c r="EY207" t="e">
        <f>'All regions'!G5755+"$F;@!)d@"</f>
        <v>#VALUE!</v>
      </c>
      <c r="EZ207" t="e">
        <f>'All regions'!H5755+"$F;@!)dA"</f>
        <v>#VALUE!</v>
      </c>
      <c r="FA207" t="e">
        <f>'All regions'!I5755+"$F;@!)dB"</f>
        <v>#VALUE!</v>
      </c>
      <c r="FB207" t="e">
        <f>'All regions'!A5756+"$F;@!)dC"</f>
        <v>#VALUE!</v>
      </c>
      <c r="FC207" t="e">
        <f>'All regions'!B5756+"$F;@!)dD"</f>
        <v>#VALUE!</v>
      </c>
      <c r="FD207" t="e">
        <f>'All regions'!C5756+"$F;@!)dE"</f>
        <v>#VALUE!</v>
      </c>
      <c r="FE207" t="e">
        <f>'All regions'!D5756+"$F;@!)dF"</f>
        <v>#VALUE!</v>
      </c>
      <c r="FF207" t="e">
        <f>'All regions'!E5756+"$F;@!)dG"</f>
        <v>#VALUE!</v>
      </c>
      <c r="FG207" t="e">
        <f>'All regions'!F5756+"$F;@!)dH"</f>
        <v>#VALUE!</v>
      </c>
      <c r="FH207" t="e">
        <f>'All regions'!G5756+"$F;@!)dI"</f>
        <v>#VALUE!</v>
      </c>
      <c r="FI207" t="e">
        <f>'All regions'!H5756+"$F;@!)dJ"</f>
        <v>#VALUE!</v>
      </c>
      <c r="FJ207" t="e">
        <f>'All regions'!I5756+"$F;@!)dK"</f>
        <v>#VALUE!</v>
      </c>
      <c r="FK207" t="e">
        <f>'All regions'!A5760+"$F;@!)dL"</f>
        <v>#VALUE!</v>
      </c>
      <c r="FL207" t="e">
        <f>'All regions'!B5760+"$F;@!)dM"</f>
        <v>#VALUE!</v>
      </c>
      <c r="FM207" t="e">
        <f>'All regions'!C5760+"$F;@!)dN"</f>
        <v>#VALUE!</v>
      </c>
      <c r="FN207" t="e">
        <f>'All regions'!D5760+"$F;@!)dO"</f>
        <v>#VALUE!</v>
      </c>
      <c r="FO207" t="e">
        <f>'All regions'!E5760+"$F;@!)dP"</f>
        <v>#VALUE!</v>
      </c>
      <c r="FP207" t="e">
        <f>'All regions'!F5760+"$F;@!)dQ"</f>
        <v>#VALUE!</v>
      </c>
      <c r="FQ207" t="e">
        <f>'All regions'!G5760+"$F;@!)dR"</f>
        <v>#VALUE!</v>
      </c>
      <c r="FR207" t="e">
        <f>'All regions'!H5760+"$F;@!)dS"</f>
        <v>#VALUE!</v>
      </c>
      <c r="FS207" t="e">
        <f>'All regions'!I5760+"$F;@!)dT"</f>
        <v>#VALUE!</v>
      </c>
      <c r="FT207" t="e">
        <f>'All regions'!A5761+"$F;@!)dU"</f>
        <v>#VALUE!</v>
      </c>
      <c r="FU207" t="e">
        <f>'All regions'!B5761+"$F;@!)dV"</f>
        <v>#VALUE!</v>
      </c>
      <c r="FV207" t="e">
        <f>'All regions'!C5761+"$F;@!)dW"</f>
        <v>#VALUE!</v>
      </c>
      <c r="FW207" t="e">
        <f>'All regions'!D5761+"$F;@!)dX"</f>
        <v>#VALUE!</v>
      </c>
      <c r="FX207" t="e">
        <f>'All regions'!E5761+"$F;@!)dY"</f>
        <v>#VALUE!</v>
      </c>
      <c r="FY207" t="e">
        <f>'All regions'!F5761+"$F;@!)dZ"</f>
        <v>#VALUE!</v>
      </c>
      <c r="FZ207" t="e">
        <f>'All regions'!G5761+"$F;@!)d["</f>
        <v>#VALUE!</v>
      </c>
      <c r="GA207" t="e">
        <f>'All regions'!H5761+"$F;@!)d\"</f>
        <v>#VALUE!</v>
      </c>
      <c r="GB207" t="e">
        <f>'All regions'!I5761+"$F;@!)d]"</f>
        <v>#VALUE!</v>
      </c>
      <c r="GC207" t="e">
        <f>'All regions'!A5762+"$F;@!)d^"</f>
        <v>#VALUE!</v>
      </c>
      <c r="GD207" t="e">
        <f>'All regions'!B5762+"$F;@!)d_"</f>
        <v>#VALUE!</v>
      </c>
      <c r="GE207" t="e">
        <f>'All regions'!C5762+"$F;@!)d`"</f>
        <v>#VALUE!</v>
      </c>
      <c r="GF207" t="e">
        <f>'All regions'!D5762+"$F;@!)da"</f>
        <v>#VALUE!</v>
      </c>
      <c r="GG207" t="e">
        <f>'All regions'!E5762+"$F;@!)db"</f>
        <v>#VALUE!</v>
      </c>
      <c r="GH207" t="e">
        <f>'All regions'!F5762+"$F;@!)dc"</f>
        <v>#VALUE!</v>
      </c>
      <c r="GI207" t="e">
        <f>'All regions'!G5762+"$F;@!)dd"</f>
        <v>#VALUE!</v>
      </c>
      <c r="GJ207" t="e">
        <f>'All regions'!H5762+"$F;@!)de"</f>
        <v>#VALUE!</v>
      </c>
      <c r="GK207" t="e">
        <f>'All regions'!I5762+"$F;@!)df"</f>
        <v>#VALUE!</v>
      </c>
      <c r="GL207" t="e">
        <f>'All regions'!A5763+"$F;@!)dg"</f>
        <v>#VALUE!</v>
      </c>
      <c r="GM207" t="e">
        <f>'All regions'!B5763+"$F;@!)dh"</f>
        <v>#VALUE!</v>
      </c>
      <c r="GN207" t="e">
        <f>'All regions'!C5763+"$F;@!)di"</f>
        <v>#VALUE!</v>
      </c>
      <c r="GO207" t="e">
        <f>'All regions'!D5763+"$F;@!)dj"</f>
        <v>#VALUE!</v>
      </c>
      <c r="GP207" t="e">
        <f>'All regions'!E5763+"$F;@!)dk"</f>
        <v>#VALUE!</v>
      </c>
      <c r="GQ207" t="e">
        <f>'All regions'!F5763+"$F;@!)dl"</f>
        <v>#VALUE!</v>
      </c>
      <c r="GR207" t="e">
        <f>'All regions'!G5763+"$F;@!)dm"</f>
        <v>#VALUE!</v>
      </c>
      <c r="GS207" t="e">
        <f>'All regions'!H5763+"$F;@!)dn"</f>
        <v>#VALUE!</v>
      </c>
      <c r="GT207" t="e">
        <f>'All regions'!I5763+"$F;@!)do"</f>
        <v>#VALUE!</v>
      </c>
      <c r="GU207" t="e">
        <f>'All regions'!A5764+"$F;@!)dp"</f>
        <v>#VALUE!</v>
      </c>
      <c r="GV207" t="e">
        <f>'All regions'!B5764+"$F;@!)dq"</f>
        <v>#VALUE!</v>
      </c>
      <c r="GW207" t="e">
        <f>'All regions'!C5764+"$F;@!)dr"</f>
        <v>#VALUE!</v>
      </c>
      <c r="GX207" t="e">
        <f>'All regions'!D5764+"$F;@!)ds"</f>
        <v>#VALUE!</v>
      </c>
      <c r="GY207" t="e">
        <f>'All regions'!E5764+"$F;@!)dt"</f>
        <v>#VALUE!</v>
      </c>
      <c r="GZ207" t="e">
        <f>'All regions'!F5764+"$F;@!)du"</f>
        <v>#VALUE!</v>
      </c>
      <c r="HA207" t="e">
        <f>'All regions'!G5764+"$F;@!)dv"</f>
        <v>#VALUE!</v>
      </c>
      <c r="HB207" t="e">
        <f>'All regions'!H5764+"$F;@!)dw"</f>
        <v>#VALUE!</v>
      </c>
      <c r="HC207" t="e">
        <f>'All regions'!I5764+"$F;@!)dx"</f>
        <v>#VALUE!</v>
      </c>
      <c r="HD207" t="e">
        <f>'All regions'!A5765+"$F;@!)dy"</f>
        <v>#VALUE!</v>
      </c>
      <c r="HE207" t="e">
        <f>'All regions'!B5765+"$F;@!)dz"</f>
        <v>#VALUE!</v>
      </c>
      <c r="HF207" t="e">
        <f>'All regions'!C5765+"$F;@!)d{"</f>
        <v>#VALUE!</v>
      </c>
      <c r="HG207" t="e">
        <f>'All regions'!D5765+"$F;@!)d|"</f>
        <v>#VALUE!</v>
      </c>
      <c r="HH207" t="e">
        <f>'All regions'!E5765+"$F;@!)d}"</f>
        <v>#VALUE!</v>
      </c>
      <c r="HI207" t="e">
        <f>'All regions'!F5765+"$F;@!)d~"</f>
        <v>#VALUE!</v>
      </c>
      <c r="HJ207" t="e">
        <f>'All regions'!G5765+"$F;@!)e#"</f>
        <v>#VALUE!</v>
      </c>
      <c r="HK207" t="e">
        <f>'All regions'!H5765+"$F;@!)e$"</f>
        <v>#VALUE!</v>
      </c>
      <c r="HL207" t="e">
        <f>'All regions'!I5765+"$F;@!)e%"</f>
        <v>#VALUE!</v>
      </c>
      <c r="HM207" t="e">
        <f>'All regions'!A5766+"$F;@!)e&amp;"</f>
        <v>#VALUE!</v>
      </c>
      <c r="HN207" t="e">
        <f>'All regions'!B5766+"$F;@!)e'"</f>
        <v>#VALUE!</v>
      </c>
      <c r="HO207" t="e">
        <f>'All regions'!C5766+"$F;@!)e("</f>
        <v>#VALUE!</v>
      </c>
      <c r="HP207" t="e">
        <f>'All regions'!D5766+"$F;@!)e)"</f>
        <v>#VALUE!</v>
      </c>
      <c r="HQ207" t="e">
        <f>'All regions'!E5766+"$F;@!)e."</f>
        <v>#VALUE!</v>
      </c>
      <c r="HR207" t="e">
        <f>'All regions'!F5766+"$F;@!)e/"</f>
        <v>#VALUE!</v>
      </c>
      <c r="HS207" t="e">
        <f>'All regions'!G5766+"$F;@!)e0"</f>
        <v>#VALUE!</v>
      </c>
      <c r="HT207" t="e">
        <f>'All regions'!H5766+"$F;@!)e1"</f>
        <v>#VALUE!</v>
      </c>
      <c r="HU207" t="e">
        <f>'All regions'!I5766+"$F;@!)e2"</f>
        <v>#VALUE!</v>
      </c>
      <c r="HV207" t="e">
        <f>'All regions'!A5767+"$F;@!)e3"</f>
        <v>#VALUE!</v>
      </c>
      <c r="HW207" t="e">
        <f>'All regions'!B5767+"$F;@!)e4"</f>
        <v>#VALUE!</v>
      </c>
      <c r="HX207" t="e">
        <f>'All regions'!C5767+"$F;@!)e5"</f>
        <v>#VALUE!</v>
      </c>
      <c r="HY207" t="e">
        <f>'All regions'!D5767+"$F;@!)e6"</f>
        <v>#VALUE!</v>
      </c>
      <c r="HZ207" t="e">
        <f>'All regions'!E5767+"$F;@!)e7"</f>
        <v>#VALUE!</v>
      </c>
      <c r="IA207" t="e">
        <f>'All regions'!F5767+"$F;@!)e8"</f>
        <v>#VALUE!</v>
      </c>
      <c r="IB207" t="e">
        <f>'All regions'!G5767+"$F;@!)e9"</f>
        <v>#VALUE!</v>
      </c>
      <c r="IC207" t="e">
        <f>'All regions'!H5767+"$F;@!)e:"</f>
        <v>#VALUE!</v>
      </c>
      <c r="ID207" t="e">
        <f>'All regions'!I5767+"$F;@!)e;"</f>
        <v>#VALUE!</v>
      </c>
      <c r="IE207" t="e">
        <f>'All regions'!A5768+"$F;@!)e&lt;"</f>
        <v>#VALUE!</v>
      </c>
      <c r="IF207" t="e">
        <f>'All regions'!B5768+"$F;@!)e="</f>
        <v>#VALUE!</v>
      </c>
      <c r="IG207" t="e">
        <f>'All regions'!C5768+"$F;@!)e&gt;"</f>
        <v>#VALUE!</v>
      </c>
      <c r="IH207" t="e">
        <f>'All regions'!D5768+"$F;@!)e?"</f>
        <v>#VALUE!</v>
      </c>
      <c r="II207" t="e">
        <f>'All regions'!E5768+"$F;@!)e@"</f>
        <v>#VALUE!</v>
      </c>
      <c r="IJ207" t="e">
        <f>'All regions'!F5768+"$F;@!)eA"</f>
        <v>#VALUE!</v>
      </c>
      <c r="IK207" t="e">
        <f>'All regions'!G5768+"$F;@!)eB"</f>
        <v>#VALUE!</v>
      </c>
      <c r="IL207" t="e">
        <f>'All regions'!H5768+"$F;@!)eC"</f>
        <v>#VALUE!</v>
      </c>
      <c r="IM207" t="e">
        <f>'All regions'!I5768+"$F;@!)eD"</f>
        <v>#VALUE!</v>
      </c>
      <c r="IN207" t="e">
        <f>'All regions'!A5769+"$F;@!)eE"</f>
        <v>#VALUE!</v>
      </c>
      <c r="IO207" t="e">
        <f>'All regions'!B5769+"$F;@!)eF"</f>
        <v>#VALUE!</v>
      </c>
      <c r="IP207" t="e">
        <f>'All regions'!C5769+"$F;@!)eG"</f>
        <v>#VALUE!</v>
      </c>
      <c r="IQ207" t="e">
        <f>'All regions'!D5769+"$F;@!)eH"</f>
        <v>#VALUE!</v>
      </c>
      <c r="IR207" t="e">
        <f>'All regions'!E5769+"$F;@!)eI"</f>
        <v>#VALUE!</v>
      </c>
      <c r="IS207" t="e">
        <f>'All regions'!F5769+"$F;@!)eJ"</f>
        <v>#VALUE!</v>
      </c>
      <c r="IT207" t="e">
        <f>'All regions'!G5769+"$F;@!)eK"</f>
        <v>#VALUE!</v>
      </c>
      <c r="IU207" t="e">
        <f>'All regions'!H5769+"$F;@!)eL"</f>
        <v>#VALUE!</v>
      </c>
      <c r="IV207" t="e">
        <f>'All regions'!I5769+"$F;@!)eM"</f>
        <v>#VALUE!</v>
      </c>
    </row>
    <row r="208" spans="6:256" x14ac:dyDescent="0.35">
      <c r="F208" t="e">
        <f>'All regions'!A5770+"$F;@!)eN"</f>
        <v>#VALUE!</v>
      </c>
      <c r="G208" t="e">
        <f>'All regions'!B5770+"$F;@!)eO"</f>
        <v>#VALUE!</v>
      </c>
      <c r="H208" t="e">
        <f>'All regions'!C5770+"$F;@!)eP"</f>
        <v>#VALUE!</v>
      </c>
      <c r="I208" t="e">
        <f>'All regions'!D5770+"$F;@!)eQ"</f>
        <v>#VALUE!</v>
      </c>
      <c r="J208" t="e">
        <f>'All regions'!E5770+"$F;@!)eR"</f>
        <v>#VALUE!</v>
      </c>
      <c r="K208" t="e">
        <f>'All regions'!F5770+"$F;@!)eS"</f>
        <v>#VALUE!</v>
      </c>
      <c r="L208" t="e">
        <f>'All regions'!G5770+"$F;@!)eT"</f>
        <v>#VALUE!</v>
      </c>
      <c r="M208" t="e">
        <f>'All regions'!H5770+"$F;@!)eU"</f>
        <v>#VALUE!</v>
      </c>
      <c r="N208" t="e">
        <f>'All regions'!I5770+"$F;@!)eV"</f>
        <v>#VALUE!</v>
      </c>
      <c r="O208" t="e">
        <f>'All regions'!A5771+"$F;@!)eW"</f>
        <v>#VALUE!</v>
      </c>
      <c r="P208" t="e">
        <f>'All regions'!B5771+"$F;@!)eX"</f>
        <v>#VALUE!</v>
      </c>
      <c r="Q208" t="e">
        <f>'All regions'!C5771+"$F;@!)eY"</f>
        <v>#VALUE!</v>
      </c>
      <c r="R208" t="e">
        <f>'All regions'!D5771+"$F;@!)eZ"</f>
        <v>#VALUE!</v>
      </c>
      <c r="S208" t="e">
        <f>'All regions'!E5771+"$F;@!)e["</f>
        <v>#VALUE!</v>
      </c>
      <c r="T208" t="e">
        <f>'All regions'!F5771+"$F;@!)e\"</f>
        <v>#VALUE!</v>
      </c>
      <c r="U208" t="e">
        <f>'All regions'!G5771+"$F;@!)e]"</f>
        <v>#VALUE!</v>
      </c>
      <c r="V208" t="e">
        <f>'All regions'!H5771+"$F;@!)e^"</f>
        <v>#VALUE!</v>
      </c>
      <c r="W208" t="e">
        <f>'All regions'!I5771+"$F;@!)e_"</f>
        <v>#VALUE!</v>
      </c>
      <c r="X208" t="e">
        <f>'All regions'!A5772+"$F;@!)e`"</f>
        <v>#VALUE!</v>
      </c>
      <c r="Y208" t="e">
        <f>'All regions'!B5772+"$F;@!)ea"</f>
        <v>#VALUE!</v>
      </c>
      <c r="Z208" t="e">
        <f>'All regions'!C5772+"$F;@!)eb"</f>
        <v>#VALUE!</v>
      </c>
      <c r="AA208" t="e">
        <f>'All regions'!D5772+"$F;@!)ec"</f>
        <v>#VALUE!</v>
      </c>
      <c r="AB208" t="e">
        <f>'All regions'!E5772+"$F;@!)ed"</f>
        <v>#VALUE!</v>
      </c>
      <c r="AC208" t="e">
        <f>'All regions'!F5772+"$F;@!)ee"</f>
        <v>#VALUE!</v>
      </c>
      <c r="AD208" t="e">
        <f>'All regions'!G5772+"$F;@!)ef"</f>
        <v>#VALUE!</v>
      </c>
      <c r="AE208" t="e">
        <f>'All regions'!H5772+"$F;@!)eg"</f>
        <v>#VALUE!</v>
      </c>
      <c r="AF208" t="e">
        <f>'All regions'!I5772+"$F;@!)eh"</f>
        <v>#VALUE!</v>
      </c>
      <c r="AG208" t="e">
        <f>'All regions'!A5773+"$F;@!)ei"</f>
        <v>#VALUE!</v>
      </c>
      <c r="AH208" t="e">
        <f>'All regions'!B5773+"$F;@!)ej"</f>
        <v>#VALUE!</v>
      </c>
      <c r="AI208" t="e">
        <f>'All regions'!C5773+"$F;@!)ek"</f>
        <v>#VALUE!</v>
      </c>
      <c r="AJ208" t="e">
        <f>'All regions'!D5773+"$F;@!)el"</f>
        <v>#VALUE!</v>
      </c>
      <c r="AK208" t="e">
        <f>'All regions'!E5773+"$F;@!)em"</f>
        <v>#VALUE!</v>
      </c>
      <c r="AL208" t="e">
        <f>'All regions'!F5773+"$F;@!)en"</f>
        <v>#VALUE!</v>
      </c>
      <c r="AM208" t="e">
        <f>'All regions'!G5773+"$F;@!)eo"</f>
        <v>#VALUE!</v>
      </c>
      <c r="AN208" t="e">
        <f>'All regions'!H5773+"$F;@!)ep"</f>
        <v>#VALUE!</v>
      </c>
      <c r="AO208" t="e">
        <f>'All regions'!I5773+"$F;@!)eq"</f>
        <v>#VALUE!</v>
      </c>
      <c r="AP208" t="e">
        <f>'All regions'!A5774+"$F;@!)er"</f>
        <v>#VALUE!</v>
      </c>
      <c r="AQ208" t="e">
        <f>'All regions'!B5774+"$F;@!)es"</f>
        <v>#VALUE!</v>
      </c>
      <c r="AR208" t="e">
        <f>'All regions'!C5774+"$F;@!)et"</f>
        <v>#VALUE!</v>
      </c>
      <c r="AS208" t="e">
        <f>'All regions'!D5774+"$F;@!)eu"</f>
        <v>#VALUE!</v>
      </c>
      <c r="AT208" t="e">
        <f>'All regions'!E5774+"$F;@!)ev"</f>
        <v>#VALUE!</v>
      </c>
      <c r="AU208" t="e">
        <f>'All regions'!F5774+"$F;@!)ew"</f>
        <v>#VALUE!</v>
      </c>
      <c r="AV208" t="e">
        <f>'All regions'!G5774+"$F;@!)ex"</f>
        <v>#VALUE!</v>
      </c>
      <c r="AW208" t="e">
        <f>'All regions'!H5774+"$F;@!)ey"</f>
        <v>#VALUE!</v>
      </c>
      <c r="AX208" t="e">
        <f>'All regions'!I5774+"$F;@!)ez"</f>
        <v>#VALUE!</v>
      </c>
      <c r="AY208" t="e">
        <f>'All regions'!A5775+"$F;@!)e{"</f>
        <v>#VALUE!</v>
      </c>
      <c r="AZ208" t="e">
        <f>'All regions'!B5775+"$F;@!)e|"</f>
        <v>#VALUE!</v>
      </c>
      <c r="BA208" t="e">
        <f>'All regions'!C5775+"$F;@!)e}"</f>
        <v>#VALUE!</v>
      </c>
      <c r="BB208" t="e">
        <f>'All regions'!D5775+"$F;@!)e~"</f>
        <v>#VALUE!</v>
      </c>
      <c r="BC208" t="e">
        <f>'All regions'!E5775+"$F;@!)f#"</f>
        <v>#VALUE!</v>
      </c>
      <c r="BD208" t="e">
        <f>'All regions'!F5775+"$F;@!)f$"</f>
        <v>#VALUE!</v>
      </c>
      <c r="BE208" t="e">
        <f>'All regions'!G5775+"$F;@!)f%"</f>
        <v>#VALUE!</v>
      </c>
      <c r="BF208" t="e">
        <f>'All regions'!H5775+"$F;@!)f&amp;"</f>
        <v>#VALUE!</v>
      </c>
      <c r="BG208" t="e">
        <f>'All regions'!I5775+"$F;@!)f'"</f>
        <v>#VALUE!</v>
      </c>
      <c r="BH208" t="e">
        <f>'All regions'!A5777+"$F;@!)f("</f>
        <v>#VALUE!</v>
      </c>
      <c r="BI208" t="e">
        <f>'All regions'!B5777+"$F;@!)f)"</f>
        <v>#VALUE!</v>
      </c>
      <c r="BJ208" t="e">
        <f>'All regions'!C5777+"$F;@!)f."</f>
        <v>#VALUE!</v>
      </c>
      <c r="BK208" t="e">
        <f>'All regions'!D5777+"$F;@!)f/"</f>
        <v>#VALUE!</v>
      </c>
      <c r="BL208" t="e">
        <f>'All regions'!E5777+"$F;@!)f0"</f>
        <v>#VALUE!</v>
      </c>
      <c r="BM208" t="e">
        <f>'All regions'!F5777+"$F;@!)f1"</f>
        <v>#VALUE!</v>
      </c>
      <c r="BN208" t="e">
        <f>'All regions'!G5777+"$F;@!)f2"</f>
        <v>#VALUE!</v>
      </c>
      <c r="BO208" t="e">
        <f>'All regions'!H5777+"$F;@!)f3"</f>
        <v>#VALUE!</v>
      </c>
      <c r="BP208" t="e">
        <f>'All regions'!I5777+"$F;@!)f4"</f>
        <v>#VALUE!</v>
      </c>
      <c r="BQ208" t="e">
        <f>'All regions'!A5778+"$F;@!)f5"</f>
        <v>#VALUE!</v>
      </c>
      <c r="BR208" t="e">
        <f>'All regions'!B5778+"$F;@!)f6"</f>
        <v>#VALUE!</v>
      </c>
      <c r="BS208" t="e">
        <f>'All regions'!C5778+"$F;@!)f7"</f>
        <v>#VALUE!</v>
      </c>
      <c r="BT208" t="e">
        <f>'All regions'!D5778+"$F;@!)f8"</f>
        <v>#VALUE!</v>
      </c>
      <c r="BU208" t="e">
        <f>'All regions'!E5778+"$F;@!)f9"</f>
        <v>#VALUE!</v>
      </c>
      <c r="BV208" t="e">
        <f>'All regions'!F5778+"$F;@!)f:"</f>
        <v>#VALUE!</v>
      </c>
      <c r="BW208" t="e">
        <f>'All regions'!G5778+"$F;@!)f;"</f>
        <v>#VALUE!</v>
      </c>
      <c r="BX208" t="e">
        <f>'All regions'!H5778+"$F;@!)f&lt;"</f>
        <v>#VALUE!</v>
      </c>
      <c r="BY208" t="e">
        <f>'All regions'!I5778+"$F;@!)f="</f>
        <v>#VALUE!</v>
      </c>
      <c r="BZ208" t="e">
        <f>'All regions'!A5779+"$F;@!)f&gt;"</f>
        <v>#VALUE!</v>
      </c>
      <c r="CA208" t="e">
        <f>'All regions'!B5779+"$F;@!)f?"</f>
        <v>#VALUE!</v>
      </c>
      <c r="CB208" t="e">
        <f>'All regions'!C5779+"$F;@!)f@"</f>
        <v>#VALUE!</v>
      </c>
      <c r="CC208" t="e">
        <f>'All regions'!D5779+"$F;@!)fA"</f>
        <v>#VALUE!</v>
      </c>
      <c r="CD208" t="e">
        <f>'All regions'!E5779+"$F;@!)fB"</f>
        <v>#VALUE!</v>
      </c>
      <c r="CE208" t="e">
        <f>'All regions'!F5779+"$F;@!)fC"</f>
        <v>#VALUE!</v>
      </c>
      <c r="CF208" t="e">
        <f>'All regions'!G5779+"$F;@!)fD"</f>
        <v>#VALUE!</v>
      </c>
      <c r="CG208" t="e">
        <f>'All regions'!H5779+"$F;@!)fE"</f>
        <v>#VALUE!</v>
      </c>
      <c r="CH208" t="e">
        <f>'All regions'!I5779+"$F;@!)fF"</f>
        <v>#VALUE!</v>
      </c>
      <c r="CI208" t="e">
        <f>'All regions'!A5780+"$F;@!)fG"</f>
        <v>#VALUE!</v>
      </c>
      <c r="CJ208" t="e">
        <f>'All regions'!B5780+"$F;@!)fH"</f>
        <v>#VALUE!</v>
      </c>
      <c r="CK208" t="e">
        <f>'All regions'!C5780+"$F;@!)fI"</f>
        <v>#VALUE!</v>
      </c>
      <c r="CL208" t="e">
        <f>'All regions'!D5780+"$F;@!)fJ"</f>
        <v>#VALUE!</v>
      </c>
      <c r="CM208" t="e">
        <f>'All regions'!E5780+"$F;@!)fK"</f>
        <v>#VALUE!</v>
      </c>
      <c r="CN208" t="e">
        <f>'All regions'!F5780+"$F;@!)fL"</f>
        <v>#VALUE!</v>
      </c>
      <c r="CO208" t="e">
        <f>'All regions'!G5780+"$F;@!)fM"</f>
        <v>#VALUE!</v>
      </c>
      <c r="CP208" t="e">
        <f>'All regions'!H5780+"$F;@!)fN"</f>
        <v>#VALUE!</v>
      </c>
      <c r="CQ208" t="e">
        <f>'All regions'!I5780+"$F;@!)fO"</f>
        <v>#VALUE!</v>
      </c>
      <c r="CR208" t="e">
        <f>'All regions'!A5781+"$F;@!)fP"</f>
        <v>#VALUE!</v>
      </c>
      <c r="CS208" t="e">
        <f>'All regions'!B5781+"$F;@!)fQ"</f>
        <v>#VALUE!</v>
      </c>
      <c r="CT208" t="e">
        <f>'All regions'!C5781+"$F;@!)fR"</f>
        <v>#VALUE!</v>
      </c>
      <c r="CU208" t="e">
        <f>'All regions'!D5781+"$F;@!)fS"</f>
        <v>#VALUE!</v>
      </c>
      <c r="CV208" t="e">
        <f>'All regions'!E5781+"$F;@!)fT"</f>
        <v>#VALUE!</v>
      </c>
      <c r="CW208" t="e">
        <f>'All regions'!F5781+"$F;@!)fU"</f>
        <v>#VALUE!</v>
      </c>
      <c r="CX208" t="e">
        <f>'All regions'!G5781+"$F;@!)fV"</f>
        <v>#VALUE!</v>
      </c>
      <c r="CY208" t="e">
        <f>'All regions'!H5781+"$F;@!)fW"</f>
        <v>#VALUE!</v>
      </c>
      <c r="CZ208" t="e">
        <f>'All regions'!I5781+"$F;@!)fX"</f>
        <v>#VALUE!</v>
      </c>
      <c r="DA208" t="e">
        <f>'All regions'!A5782+"$F;@!)fY"</f>
        <v>#VALUE!</v>
      </c>
      <c r="DB208" t="e">
        <f>'All regions'!B5782+"$F;@!)fZ"</f>
        <v>#VALUE!</v>
      </c>
      <c r="DC208" t="e">
        <f>'All regions'!C5782+"$F;@!)f["</f>
        <v>#VALUE!</v>
      </c>
      <c r="DD208" t="e">
        <f>'All regions'!D5782+"$F;@!)f\"</f>
        <v>#VALUE!</v>
      </c>
      <c r="DE208" t="e">
        <f>'All regions'!E5782+"$F;@!)f]"</f>
        <v>#VALUE!</v>
      </c>
      <c r="DF208" t="e">
        <f>'All regions'!F5782+"$F;@!)f^"</f>
        <v>#VALUE!</v>
      </c>
      <c r="DG208" t="e">
        <f>'All regions'!G5782+"$F;@!)f_"</f>
        <v>#VALUE!</v>
      </c>
      <c r="DH208" t="e">
        <f>'All regions'!H5782+"$F;@!)f`"</f>
        <v>#VALUE!</v>
      </c>
      <c r="DI208" t="e">
        <f>'All regions'!I5782+"$F;@!)fa"</f>
        <v>#VALUE!</v>
      </c>
      <c r="DJ208" t="e">
        <f>'All regions'!A5783+"$F;@!)fb"</f>
        <v>#VALUE!</v>
      </c>
      <c r="DK208" t="e">
        <f>'All regions'!B5783+"$F;@!)fc"</f>
        <v>#VALUE!</v>
      </c>
      <c r="DL208" t="e">
        <f>'All regions'!C5783+"$F;@!)fd"</f>
        <v>#VALUE!</v>
      </c>
      <c r="DM208" t="e">
        <f>'All regions'!D5783+"$F;@!)fe"</f>
        <v>#VALUE!</v>
      </c>
      <c r="DN208" t="e">
        <f>'All regions'!E5783+"$F;@!)ff"</f>
        <v>#VALUE!</v>
      </c>
      <c r="DO208" t="e">
        <f>'All regions'!F5783+"$F;@!)fg"</f>
        <v>#VALUE!</v>
      </c>
      <c r="DP208" t="e">
        <f>'All regions'!G5783+"$F;@!)fh"</f>
        <v>#VALUE!</v>
      </c>
      <c r="DQ208" t="e">
        <f>'All regions'!H5783+"$F;@!)fi"</f>
        <v>#VALUE!</v>
      </c>
      <c r="DR208" t="e">
        <f>'All regions'!I5783+"$F;@!)fj"</f>
        <v>#VALUE!</v>
      </c>
      <c r="DS208" t="e">
        <f>'All regions'!A5784+"$F;@!)fk"</f>
        <v>#VALUE!</v>
      </c>
      <c r="DT208" t="e">
        <f>'All regions'!B5784+"$F;@!)fl"</f>
        <v>#VALUE!</v>
      </c>
      <c r="DU208" t="e">
        <f>'All regions'!C5784+"$F;@!)fm"</f>
        <v>#VALUE!</v>
      </c>
      <c r="DV208" t="e">
        <f>'All regions'!D5784+"$F;@!)fn"</f>
        <v>#VALUE!</v>
      </c>
      <c r="DW208" t="e">
        <f>'All regions'!E5784+"$F;@!)fo"</f>
        <v>#VALUE!</v>
      </c>
      <c r="DX208" t="e">
        <f>'All regions'!F5784+"$F;@!)fp"</f>
        <v>#VALUE!</v>
      </c>
      <c r="DY208" t="e">
        <f>'All regions'!G5784+"$F;@!)fq"</f>
        <v>#VALUE!</v>
      </c>
      <c r="DZ208" t="e">
        <f>'All regions'!H5784+"$F;@!)fr"</f>
        <v>#VALUE!</v>
      </c>
      <c r="EA208" t="e">
        <f>'All regions'!A5785+"$F;@!)fs"</f>
        <v>#VALUE!</v>
      </c>
      <c r="EB208" t="e">
        <f>'All regions'!B5785+"$F;@!)ft"</f>
        <v>#VALUE!</v>
      </c>
      <c r="EC208" t="e">
        <f>'All regions'!C5785+"$F;@!)fu"</f>
        <v>#VALUE!</v>
      </c>
      <c r="ED208" t="e">
        <f>'All regions'!D5785+"$F;@!)fv"</f>
        <v>#VALUE!</v>
      </c>
      <c r="EE208" t="e">
        <f>'All regions'!E5785+"$F;@!)fw"</f>
        <v>#VALUE!</v>
      </c>
      <c r="EF208" t="e">
        <f>'All regions'!F5785+"$F;@!)fx"</f>
        <v>#VALUE!</v>
      </c>
      <c r="EG208" t="e">
        <f>'All regions'!G5785+"$F;@!)fy"</f>
        <v>#VALUE!</v>
      </c>
      <c r="EH208" t="e">
        <f>'All regions'!H5785+"$F;@!)fz"</f>
        <v>#VALUE!</v>
      </c>
      <c r="EI208" t="e">
        <f>'All regions'!A5786+"$F;@!)f{"</f>
        <v>#VALUE!</v>
      </c>
      <c r="EJ208" t="e">
        <f>'All regions'!B5786+"$F;@!)f|"</f>
        <v>#VALUE!</v>
      </c>
      <c r="EK208" t="e">
        <f>'All regions'!C5786+"$F;@!)f}"</f>
        <v>#VALUE!</v>
      </c>
      <c r="EL208" t="e">
        <f>'All regions'!D5786+"$F;@!)f~"</f>
        <v>#VALUE!</v>
      </c>
      <c r="EM208" t="e">
        <f>'All regions'!E5786+"$F;@!)g#"</f>
        <v>#VALUE!</v>
      </c>
      <c r="EN208" t="e">
        <f>'All regions'!F5786+"$F;@!)g$"</f>
        <v>#VALUE!</v>
      </c>
      <c r="EO208" t="e">
        <f>'All regions'!G5786+"$F;@!)g%"</f>
        <v>#VALUE!</v>
      </c>
      <c r="EP208" t="e">
        <f>'All regions'!H5786+"$F;@!)g&amp;"</f>
        <v>#VALUE!</v>
      </c>
      <c r="EQ208" t="e">
        <f>'All regions'!A5787+"$F;@!)g'"</f>
        <v>#VALUE!</v>
      </c>
      <c r="ER208" t="e">
        <f>'All regions'!B5787+"$F;@!)g("</f>
        <v>#VALUE!</v>
      </c>
      <c r="ES208" t="e">
        <f>'All regions'!C5787+"$F;@!)g)"</f>
        <v>#VALUE!</v>
      </c>
      <c r="ET208" t="e">
        <f>'All regions'!D5787+"$F;@!)g."</f>
        <v>#VALUE!</v>
      </c>
      <c r="EU208" t="e">
        <f>'All regions'!E5787+"$F;@!)g/"</f>
        <v>#VALUE!</v>
      </c>
      <c r="EV208" t="e">
        <f>'All regions'!F5787+"$F;@!)g0"</f>
        <v>#VALUE!</v>
      </c>
      <c r="EW208" t="e">
        <f>'All regions'!G5787+"$F;@!)g1"</f>
        <v>#VALUE!</v>
      </c>
      <c r="EX208" t="e">
        <f>'All regions'!H5787+"$F;@!)g2"</f>
        <v>#VALUE!</v>
      </c>
      <c r="EY208" t="e">
        <f>'All regions'!A5788+"$F;@!)g3"</f>
        <v>#VALUE!</v>
      </c>
      <c r="EZ208" t="e">
        <f>'All regions'!B5788+"$F;@!)g4"</f>
        <v>#VALUE!</v>
      </c>
      <c r="FA208" t="e">
        <f>'All regions'!C5788+"$F;@!)g5"</f>
        <v>#VALUE!</v>
      </c>
      <c r="FB208" t="e">
        <f>'All regions'!D5788+"$F;@!)g6"</f>
        <v>#VALUE!</v>
      </c>
      <c r="FC208" t="e">
        <f>'All regions'!E5788+"$F;@!)g7"</f>
        <v>#VALUE!</v>
      </c>
      <c r="FD208" t="e">
        <f>'All regions'!F5788+"$F;@!)g8"</f>
        <v>#VALUE!</v>
      </c>
      <c r="FE208" t="e">
        <f>'All regions'!G5788+"$F;@!)g9"</f>
        <v>#VALUE!</v>
      </c>
      <c r="FF208" t="e">
        <f>'All regions'!H5788+"$F;@!)g:"</f>
        <v>#VALUE!</v>
      </c>
      <c r="FG208" t="e">
        <f>'All regions'!A5789+"$F;@!)g;"</f>
        <v>#VALUE!</v>
      </c>
      <c r="FH208" t="e">
        <f>'All regions'!B5789+"$F;@!)g&lt;"</f>
        <v>#VALUE!</v>
      </c>
      <c r="FI208" t="e">
        <f>'All regions'!C5789+"$F;@!)g="</f>
        <v>#VALUE!</v>
      </c>
      <c r="FJ208" t="e">
        <f>'All regions'!D5789+"$F;@!)g&gt;"</f>
        <v>#VALUE!</v>
      </c>
      <c r="FK208" t="e">
        <f>'All regions'!E5789+"$F;@!)g?"</f>
        <v>#VALUE!</v>
      </c>
      <c r="FL208" t="e">
        <f>'All regions'!F5789+"$F;@!)g@"</f>
        <v>#VALUE!</v>
      </c>
      <c r="FM208" t="e">
        <f>'All regions'!G5789+"$F;@!)gA"</f>
        <v>#VALUE!</v>
      </c>
      <c r="FN208" t="e">
        <f>'All regions'!H5789+"$F;@!)gB"</f>
        <v>#VALUE!</v>
      </c>
      <c r="FO208" t="e">
        <f>'All regions'!A5790+"$F;@!)gC"</f>
        <v>#VALUE!</v>
      </c>
      <c r="FP208" t="e">
        <f>'All regions'!B5790+"$F;@!)gD"</f>
        <v>#VALUE!</v>
      </c>
      <c r="FQ208" t="e">
        <f>'All regions'!C5790+"$F;@!)gE"</f>
        <v>#VALUE!</v>
      </c>
      <c r="FR208" t="e">
        <f>'All regions'!D5790+"$F;@!)gF"</f>
        <v>#VALUE!</v>
      </c>
      <c r="FS208" t="e">
        <f>'All regions'!E5790+"$F;@!)gG"</f>
        <v>#VALUE!</v>
      </c>
      <c r="FT208" t="e">
        <f>'All regions'!F5790+"$F;@!)gH"</f>
        <v>#VALUE!</v>
      </c>
      <c r="FU208" t="e">
        <f>'All regions'!G5790+"$F;@!)gI"</f>
        <v>#VALUE!</v>
      </c>
      <c r="FV208" t="e">
        <f>'All regions'!H5790+"$F;@!)gJ"</f>
        <v>#VALUE!</v>
      </c>
      <c r="FW208" t="e">
        <f>'All regions'!A5791+"$F;@!)gK"</f>
        <v>#VALUE!</v>
      </c>
      <c r="FX208" t="e">
        <f>'All regions'!B5791+"$F;@!)gL"</f>
        <v>#VALUE!</v>
      </c>
      <c r="FY208" t="e">
        <f>'All regions'!C5791+"$F;@!)gM"</f>
        <v>#VALUE!</v>
      </c>
      <c r="FZ208" t="e">
        <f>'All regions'!D5791+"$F;@!)gN"</f>
        <v>#VALUE!</v>
      </c>
      <c r="GA208" t="e">
        <f>'All regions'!E5791+"$F;@!)gO"</f>
        <v>#VALUE!</v>
      </c>
      <c r="GB208" t="e">
        <f>'All regions'!F5791+"$F;@!)gP"</f>
        <v>#VALUE!</v>
      </c>
      <c r="GC208" t="e">
        <f>'All regions'!G5791+"$F;@!)gQ"</f>
        <v>#VALUE!</v>
      </c>
      <c r="GD208" t="e">
        <f>'All regions'!H5791+"$F;@!)gR"</f>
        <v>#VALUE!</v>
      </c>
      <c r="GE208" t="e">
        <f>'All regions'!A5792+"$F;@!)gS"</f>
        <v>#VALUE!</v>
      </c>
      <c r="GF208" t="e">
        <f>'All regions'!B5792+"$F;@!)gT"</f>
        <v>#VALUE!</v>
      </c>
      <c r="GG208" t="e">
        <f>'All regions'!C5792+"$F;@!)gU"</f>
        <v>#VALUE!</v>
      </c>
      <c r="GH208" t="e">
        <f>'All regions'!D5792+"$F;@!)gV"</f>
        <v>#VALUE!</v>
      </c>
      <c r="GI208" t="e">
        <f>'All regions'!E5792+"$F;@!)gW"</f>
        <v>#VALUE!</v>
      </c>
      <c r="GJ208" t="e">
        <f>'All regions'!F5792+"$F;@!)gX"</f>
        <v>#VALUE!</v>
      </c>
      <c r="GK208" t="e">
        <f>'All regions'!G5792+"$F;@!)gY"</f>
        <v>#VALUE!</v>
      </c>
      <c r="GL208" t="e">
        <f>'All regions'!H5792+"$F;@!)gZ"</f>
        <v>#VALUE!</v>
      </c>
      <c r="GM208" t="e">
        <f>'All regions'!A5793+"$F;@!)g["</f>
        <v>#VALUE!</v>
      </c>
      <c r="GN208" t="e">
        <f>'All regions'!B5793+"$F;@!)g\"</f>
        <v>#VALUE!</v>
      </c>
      <c r="GO208" t="e">
        <f>'All regions'!C5793+"$F;@!)g]"</f>
        <v>#VALUE!</v>
      </c>
      <c r="GP208" t="e">
        <f>'All regions'!D5793+"$F;@!)g^"</f>
        <v>#VALUE!</v>
      </c>
      <c r="GQ208" t="e">
        <f>'All regions'!E5793+"$F;@!)g_"</f>
        <v>#VALUE!</v>
      </c>
      <c r="GR208" t="e">
        <f>'All regions'!F5793+"$F;@!)g`"</f>
        <v>#VALUE!</v>
      </c>
      <c r="GS208" t="e">
        <f>'All regions'!G5793+"$F;@!)ga"</f>
        <v>#VALUE!</v>
      </c>
      <c r="GT208" t="e">
        <f>'All regions'!H5793+"$F;@!)gb"</f>
        <v>#VALUE!</v>
      </c>
      <c r="GU208" t="e">
        <f>'All regions'!A5794+"$F;@!)gc"</f>
        <v>#VALUE!</v>
      </c>
      <c r="GV208" t="e">
        <f>'All regions'!B5794+"$F;@!)gd"</f>
        <v>#VALUE!</v>
      </c>
      <c r="GW208" t="e">
        <f>'All regions'!C5794+"$F;@!)ge"</f>
        <v>#VALUE!</v>
      </c>
      <c r="GX208" t="e">
        <f>'All regions'!D5794+"$F;@!)gf"</f>
        <v>#VALUE!</v>
      </c>
      <c r="GY208" t="e">
        <f>'All regions'!E5794+"$F;@!)gg"</f>
        <v>#VALUE!</v>
      </c>
      <c r="GZ208" t="e">
        <f>'All regions'!F5794+"$F;@!)gh"</f>
        <v>#VALUE!</v>
      </c>
      <c r="HA208" t="e">
        <f>'All regions'!G5794+"$F;@!)gi"</f>
        <v>#VALUE!</v>
      </c>
      <c r="HB208" t="e">
        <f>'All regions'!H5794+"$F;@!)gj"</f>
        <v>#VALUE!</v>
      </c>
      <c r="HC208" t="e">
        <f>'All regions'!A5795+"$F;@!)gk"</f>
        <v>#VALUE!</v>
      </c>
      <c r="HD208" t="e">
        <f>'All regions'!B5795+"$F;@!)gl"</f>
        <v>#VALUE!</v>
      </c>
      <c r="HE208" t="e">
        <f>'All regions'!C5795+"$F;@!)gm"</f>
        <v>#VALUE!</v>
      </c>
      <c r="HF208" t="e">
        <f>'All regions'!D5795+"$F;@!)gn"</f>
        <v>#VALUE!</v>
      </c>
      <c r="HG208" t="e">
        <f>'All regions'!E5795+"$F;@!)go"</f>
        <v>#VALUE!</v>
      </c>
      <c r="HH208" t="e">
        <f>'All regions'!F5795+"$F;@!)gp"</f>
        <v>#VALUE!</v>
      </c>
      <c r="HI208" t="e">
        <f>'All regions'!G5795+"$F;@!)gq"</f>
        <v>#VALUE!</v>
      </c>
      <c r="HJ208" t="e">
        <f>'All regions'!H5795+"$F;@!)gr"</f>
        <v>#VALUE!</v>
      </c>
      <c r="HK208" t="e">
        <f>'All regions'!A5798+"$F;@!)gs"</f>
        <v>#VALUE!</v>
      </c>
      <c r="HL208" t="e">
        <f>'All regions'!B5798+"$F;@!)gt"</f>
        <v>#VALUE!</v>
      </c>
      <c r="HM208" t="e">
        <f>'All regions'!C5798+"$F;@!)gu"</f>
        <v>#VALUE!</v>
      </c>
      <c r="HN208" t="e">
        <f>'All regions'!D5798+"$F;@!)gv"</f>
        <v>#VALUE!</v>
      </c>
      <c r="HO208" t="e">
        <f>'All regions'!E5798+"$F;@!)gw"</f>
        <v>#VALUE!</v>
      </c>
      <c r="HP208" t="e">
        <f>'All regions'!F5798+"$F;@!)gx"</f>
        <v>#VALUE!</v>
      </c>
      <c r="HQ208" t="e">
        <f>'All regions'!G5798+"$F;@!)gy"</f>
        <v>#VALUE!</v>
      </c>
      <c r="HR208" t="e">
        <f>'All regions'!H5798+"$F;@!)gz"</f>
        <v>#VALUE!</v>
      </c>
      <c r="HS208" t="e">
        <f>'All regions'!I5798+"$F;@!)g{"</f>
        <v>#VALUE!</v>
      </c>
      <c r="HT208" t="e">
        <f>'All regions'!A5799+"$F;@!)g|"</f>
        <v>#VALUE!</v>
      </c>
      <c r="HU208" t="e">
        <f>'All regions'!B5799+"$F;@!)g}"</f>
        <v>#VALUE!</v>
      </c>
      <c r="HV208" t="e">
        <f>'All regions'!C5799+"$F;@!)g~"</f>
        <v>#VALUE!</v>
      </c>
      <c r="HW208" t="e">
        <f>'All regions'!D5799+"$F;@!)h#"</f>
        <v>#VALUE!</v>
      </c>
      <c r="HX208" t="e">
        <f>'All regions'!E5799+"$F;@!)h$"</f>
        <v>#VALUE!</v>
      </c>
      <c r="HY208" t="e">
        <f>'All regions'!F5799+"$F;@!)h%"</f>
        <v>#VALUE!</v>
      </c>
      <c r="HZ208" t="e">
        <f>'All regions'!G5799+"$F;@!)h&amp;"</f>
        <v>#VALUE!</v>
      </c>
      <c r="IA208" t="e">
        <f>'All regions'!H5799+"$F;@!)h'"</f>
        <v>#VALUE!</v>
      </c>
      <c r="IB208" t="e">
        <f>'All regions'!I5799+"$F;@!)h("</f>
        <v>#VALUE!</v>
      </c>
      <c r="IC208" t="e">
        <f>'All regions'!A5800+"$F;@!)h)"</f>
        <v>#VALUE!</v>
      </c>
      <c r="ID208" t="e">
        <f>'All regions'!B5800+"$F;@!)h."</f>
        <v>#VALUE!</v>
      </c>
      <c r="IE208" t="e">
        <f>'All regions'!C5800+"$F;@!)h/"</f>
        <v>#VALUE!</v>
      </c>
      <c r="IF208" t="e">
        <f>'All regions'!D5800+"$F;@!)h0"</f>
        <v>#VALUE!</v>
      </c>
      <c r="IG208" t="e">
        <f>'All regions'!E5800+"$F;@!)h1"</f>
        <v>#VALUE!</v>
      </c>
      <c r="IH208" t="e">
        <f>'All regions'!F5800+"$F;@!)h2"</f>
        <v>#VALUE!</v>
      </c>
      <c r="II208" t="e">
        <f>'All regions'!G5800+"$F;@!)h3"</f>
        <v>#VALUE!</v>
      </c>
      <c r="IJ208" t="e">
        <f>'All regions'!H5800+"$F;@!)h4"</f>
        <v>#VALUE!</v>
      </c>
      <c r="IK208" t="e">
        <f>'All regions'!I5800+"$F;@!)h5"</f>
        <v>#VALUE!</v>
      </c>
      <c r="IL208" t="e">
        <f>'All regions'!A5801+"$F;@!)h6"</f>
        <v>#VALUE!</v>
      </c>
      <c r="IM208" t="e">
        <f>'All regions'!B5801+"$F;@!)h7"</f>
        <v>#VALUE!</v>
      </c>
      <c r="IN208" t="e">
        <f>'All regions'!C5801+"$F;@!)h8"</f>
        <v>#VALUE!</v>
      </c>
      <c r="IO208" t="e">
        <f>'All regions'!D5801+"$F;@!)h9"</f>
        <v>#VALUE!</v>
      </c>
      <c r="IP208" t="e">
        <f>'All regions'!E5801+"$F;@!)h:"</f>
        <v>#VALUE!</v>
      </c>
      <c r="IQ208" t="e">
        <f>'All regions'!F5801+"$F;@!)h;"</f>
        <v>#VALUE!</v>
      </c>
      <c r="IR208" t="e">
        <f>'All regions'!G5801+"$F;@!)h&lt;"</f>
        <v>#VALUE!</v>
      </c>
      <c r="IS208" t="e">
        <f>'All regions'!H5801+"$F;@!)h="</f>
        <v>#VALUE!</v>
      </c>
      <c r="IT208" t="e">
        <f>'All regions'!I5801+"$F;@!)h&gt;"</f>
        <v>#VALUE!</v>
      </c>
      <c r="IU208" t="e">
        <f>'All regions'!A5802+"$F;@!)h?"</f>
        <v>#VALUE!</v>
      </c>
      <c r="IV208" t="e">
        <f>'All regions'!B5802+"$F;@!)h@"</f>
        <v>#VALUE!</v>
      </c>
    </row>
    <row r="209" spans="6:256" x14ac:dyDescent="0.35">
      <c r="F209" t="e">
        <f>'All regions'!C5802+"$F;@!)hA"</f>
        <v>#VALUE!</v>
      </c>
      <c r="G209" t="e">
        <f>'All regions'!D5802+"$F;@!)hB"</f>
        <v>#VALUE!</v>
      </c>
      <c r="H209" t="e">
        <f>'All regions'!E5802+"$F;@!)hC"</f>
        <v>#VALUE!</v>
      </c>
      <c r="I209" t="e">
        <f>'All regions'!F5802+"$F;@!)hD"</f>
        <v>#VALUE!</v>
      </c>
      <c r="J209" t="e">
        <f>'All regions'!G5802+"$F;@!)hE"</f>
        <v>#VALUE!</v>
      </c>
      <c r="K209" t="e">
        <f>'All regions'!H5802+"$F;@!)hF"</f>
        <v>#VALUE!</v>
      </c>
      <c r="L209" t="e">
        <f>'All regions'!I5802+"$F;@!)hG"</f>
        <v>#VALUE!</v>
      </c>
      <c r="M209" t="e">
        <f>'All regions'!A5803+"$F;@!)hH"</f>
        <v>#VALUE!</v>
      </c>
      <c r="N209" t="e">
        <f>'All regions'!B5803+"$F;@!)hI"</f>
        <v>#VALUE!</v>
      </c>
      <c r="O209" t="e">
        <f>'All regions'!C5803+"$F;@!)hJ"</f>
        <v>#VALUE!</v>
      </c>
      <c r="P209" t="e">
        <f>'All regions'!D5803+"$F;@!)hK"</f>
        <v>#VALUE!</v>
      </c>
      <c r="Q209" t="e">
        <f>'All regions'!E5803+"$F;@!)hL"</f>
        <v>#VALUE!</v>
      </c>
      <c r="R209" t="e">
        <f>'All regions'!F5803+"$F;@!)hM"</f>
        <v>#VALUE!</v>
      </c>
      <c r="S209" t="e">
        <f>'All regions'!G5803+"$F;@!)hN"</f>
        <v>#VALUE!</v>
      </c>
      <c r="T209" t="e">
        <f>'All regions'!H5803+"$F;@!)hO"</f>
        <v>#VALUE!</v>
      </c>
      <c r="U209" t="e">
        <f>'All regions'!I5803+"$F;@!)hP"</f>
        <v>#VALUE!</v>
      </c>
      <c r="V209" t="e">
        <f>'All regions'!A5804+"$F;@!)hQ"</f>
        <v>#VALUE!</v>
      </c>
      <c r="W209" t="e">
        <f>'All regions'!B5804+"$F;@!)hR"</f>
        <v>#VALUE!</v>
      </c>
      <c r="X209" t="e">
        <f>'All regions'!C5804+"$F;@!)hS"</f>
        <v>#VALUE!</v>
      </c>
      <c r="Y209" t="e">
        <f>'All regions'!D5804+"$F;@!)hT"</f>
        <v>#VALUE!</v>
      </c>
      <c r="Z209" t="e">
        <f>'All regions'!E5804+"$F;@!)hU"</f>
        <v>#VALUE!</v>
      </c>
      <c r="AA209" t="e">
        <f>'All regions'!F5804+"$F;@!)hV"</f>
        <v>#VALUE!</v>
      </c>
      <c r="AB209" t="e">
        <f>'All regions'!G5804+"$F;@!)hW"</f>
        <v>#VALUE!</v>
      </c>
      <c r="AC209" t="e">
        <f>'All regions'!H5804+"$F;@!)hX"</f>
        <v>#VALUE!</v>
      </c>
      <c r="AD209" t="e">
        <f>'All regions'!I5804+"$F;@!)hY"</f>
        <v>#VALUE!</v>
      </c>
      <c r="AE209" t="e">
        <f>'All regions'!A5805+"$F;@!)hZ"</f>
        <v>#VALUE!</v>
      </c>
      <c r="AF209" t="e">
        <f>'All regions'!B5805+"$F;@!)h["</f>
        <v>#VALUE!</v>
      </c>
      <c r="AG209" t="e">
        <f>'All regions'!C5805+"$F;@!)h\"</f>
        <v>#VALUE!</v>
      </c>
      <c r="AH209" t="e">
        <f>'All regions'!D5805+"$F;@!)h]"</f>
        <v>#VALUE!</v>
      </c>
      <c r="AI209" t="e">
        <f>'All regions'!E5805+"$F;@!)h^"</f>
        <v>#VALUE!</v>
      </c>
      <c r="AJ209" t="e">
        <f>'All regions'!F5805+"$F;@!)h_"</f>
        <v>#VALUE!</v>
      </c>
      <c r="AK209" t="e">
        <f>'All regions'!G5805+"$F;@!)h`"</f>
        <v>#VALUE!</v>
      </c>
      <c r="AL209" t="e">
        <f>'All regions'!H5805+"$F;@!)ha"</f>
        <v>#VALUE!</v>
      </c>
      <c r="AM209" t="e">
        <f>'All regions'!I5805+"$F;@!)hb"</f>
        <v>#VALUE!</v>
      </c>
      <c r="AN209" t="e">
        <f>'All regions'!A5806+"$F;@!)hc"</f>
        <v>#VALUE!</v>
      </c>
      <c r="AO209" t="e">
        <f>'All regions'!B5806+"$F;@!)hd"</f>
        <v>#VALUE!</v>
      </c>
      <c r="AP209" t="e">
        <f>'All regions'!C5806+"$F;@!)he"</f>
        <v>#VALUE!</v>
      </c>
      <c r="AQ209" t="e">
        <f>'All regions'!D5806+"$F;@!)hf"</f>
        <v>#VALUE!</v>
      </c>
      <c r="AR209" t="e">
        <f>'All regions'!E5806+"$F;@!)hg"</f>
        <v>#VALUE!</v>
      </c>
      <c r="AS209" t="e">
        <f>'All regions'!F5806+"$F;@!)hh"</f>
        <v>#VALUE!</v>
      </c>
      <c r="AT209" t="e">
        <f>'All regions'!G5806+"$F;@!)hi"</f>
        <v>#VALUE!</v>
      </c>
      <c r="AU209" t="e">
        <f>'All regions'!H5806+"$F;@!)hj"</f>
        <v>#VALUE!</v>
      </c>
      <c r="AV209" t="e">
        <f>'All regions'!I5806+"$F;@!)hk"</f>
        <v>#VALUE!</v>
      </c>
      <c r="AW209" t="e">
        <f>'All regions'!A5807+"$F;@!)hl"</f>
        <v>#VALUE!</v>
      </c>
      <c r="AX209" t="e">
        <f>'All regions'!B5807+"$F;@!)hm"</f>
        <v>#VALUE!</v>
      </c>
      <c r="AY209" t="e">
        <f>'All regions'!C5807+"$F;@!)hn"</f>
        <v>#VALUE!</v>
      </c>
      <c r="AZ209" t="e">
        <f>'All regions'!D5807+"$F;@!)ho"</f>
        <v>#VALUE!</v>
      </c>
      <c r="BA209" t="e">
        <f>'All regions'!E5807+"$F;@!)hp"</f>
        <v>#VALUE!</v>
      </c>
      <c r="BB209" t="e">
        <f>'All regions'!F5807+"$F;@!)hq"</f>
        <v>#VALUE!</v>
      </c>
      <c r="BC209" t="e">
        <f>'All regions'!G5807+"$F;@!)hr"</f>
        <v>#VALUE!</v>
      </c>
      <c r="BD209" t="e">
        <f>'All regions'!H5807+"$F;@!)hs"</f>
        <v>#VALUE!</v>
      </c>
      <c r="BE209" t="e">
        <f>'All regions'!I5807+"$F;@!)ht"</f>
        <v>#VALUE!</v>
      </c>
      <c r="BF209" t="e">
        <f>'All regions'!A5808+"$F;@!)hu"</f>
        <v>#VALUE!</v>
      </c>
      <c r="BG209" t="e">
        <f>'All regions'!B5808+"$F;@!)hv"</f>
        <v>#VALUE!</v>
      </c>
      <c r="BH209" t="e">
        <f>'All regions'!C5808+"$F;@!)hw"</f>
        <v>#VALUE!</v>
      </c>
      <c r="BI209" t="e">
        <f>'All regions'!D5808+"$F;@!)hx"</f>
        <v>#VALUE!</v>
      </c>
      <c r="BJ209" t="e">
        <f>'All regions'!E5808+"$F;@!)hy"</f>
        <v>#VALUE!</v>
      </c>
      <c r="BK209" t="e">
        <f>'All regions'!F5808+"$F;@!)hz"</f>
        <v>#VALUE!</v>
      </c>
      <c r="BL209" t="e">
        <f>'All regions'!G5808+"$F;@!)h{"</f>
        <v>#VALUE!</v>
      </c>
      <c r="BM209" t="e">
        <f>'All regions'!H5808+"$F;@!)h|"</f>
        <v>#VALUE!</v>
      </c>
      <c r="BN209" t="e">
        <f>'All regions'!I5808+"$F;@!)h}"</f>
        <v>#VALUE!</v>
      </c>
      <c r="BO209" t="e">
        <f>'All regions'!A5809+"$F;@!)h~"</f>
        <v>#VALUE!</v>
      </c>
      <c r="BP209" t="e">
        <f>'All regions'!B5809+"$F;@!)i#"</f>
        <v>#VALUE!</v>
      </c>
      <c r="BQ209" t="e">
        <f>'All regions'!C5809+"$F;@!)i$"</f>
        <v>#VALUE!</v>
      </c>
      <c r="BR209" t="e">
        <f>'All regions'!D5809+"$F;@!)i%"</f>
        <v>#VALUE!</v>
      </c>
      <c r="BS209" t="e">
        <f>'All regions'!E5809+"$F;@!)i&amp;"</f>
        <v>#VALUE!</v>
      </c>
      <c r="BT209" t="e">
        <f>'All regions'!F5809+"$F;@!)i'"</f>
        <v>#VALUE!</v>
      </c>
      <c r="BU209" t="e">
        <f>'All regions'!G5809+"$F;@!)i("</f>
        <v>#VALUE!</v>
      </c>
      <c r="BV209" t="e">
        <f>'All regions'!H5809+"$F;@!)i)"</f>
        <v>#VALUE!</v>
      </c>
      <c r="BW209" t="e">
        <f>'All regions'!I5809+"$F;@!)i."</f>
        <v>#VALUE!</v>
      </c>
      <c r="BX209" t="e">
        <f>'All regions'!A5810+"$F;@!)i/"</f>
        <v>#VALUE!</v>
      </c>
      <c r="BY209" t="e">
        <f>'All regions'!B5810+"$F;@!)i0"</f>
        <v>#VALUE!</v>
      </c>
      <c r="BZ209" t="e">
        <f>'All regions'!C5810+"$F;@!)i1"</f>
        <v>#VALUE!</v>
      </c>
      <c r="CA209" t="e">
        <f>'All regions'!D5810+"$F;@!)i2"</f>
        <v>#VALUE!</v>
      </c>
      <c r="CB209" t="e">
        <f>'All regions'!E5810+"$F;@!)i3"</f>
        <v>#VALUE!</v>
      </c>
      <c r="CC209" t="e">
        <f>'All regions'!F5810+"$F;@!)i4"</f>
        <v>#VALUE!</v>
      </c>
      <c r="CD209" t="e">
        <f>'All regions'!G5810+"$F;@!)i5"</f>
        <v>#VALUE!</v>
      </c>
      <c r="CE209" t="e">
        <f>'All regions'!H5810+"$F;@!)i6"</f>
        <v>#VALUE!</v>
      </c>
      <c r="CF209" t="e">
        <f>'All regions'!I5810+"$F;@!)i7"</f>
        <v>#VALUE!</v>
      </c>
      <c r="CG209" t="e">
        <f>'All regions'!A5811+"$F;@!)i8"</f>
        <v>#VALUE!</v>
      </c>
      <c r="CH209" t="e">
        <f>'All regions'!B5811+"$F;@!)i9"</f>
        <v>#VALUE!</v>
      </c>
      <c r="CI209" t="e">
        <f>'All regions'!C5811+"$F;@!)i:"</f>
        <v>#VALUE!</v>
      </c>
      <c r="CJ209" t="e">
        <f>'All regions'!D5811+"$F;@!)i;"</f>
        <v>#VALUE!</v>
      </c>
      <c r="CK209" t="e">
        <f>'All regions'!E5811+"$F;@!)i&lt;"</f>
        <v>#VALUE!</v>
      </c>
      <c r="CL209" t="e">
        <f>'All regions'!F5811+"$F;@!)i="</f>
        <v>#VALUE!</v>
      </c>
      <c r="CM209" t="e">
        <f>'All regions'!G5811+"$F;@!)i&gt;"</f>
        <v>#VALUE!</v>
      </c>
      <c r="CN209" t="e">
        <f>'All regions'!H5811+"$F;@!)i?"</f>
        <v>#VALUE!</v>
      </c>
      <c r="CO209" t="e">
        <f>'All regions'!I5811+"$F;@!)i@"</f>
        <v>#VALUE!</v>
      </c>
      <c r="CP209" t="e">
        <f>'All regions'!A5812+"$F;@!)iA"</f>
        <v>#VALUE!</v>
      </c>
      <c r="CQ209" t="e">
        <f>'All regions'!B5812+"$F;@!)iB"</f>
        <v>#VALUE!</v>
      </c>
      <c r="CR209" t="e">
        <f>'All regions'!C5812+"$F;@!)iC"</f>
        <v>#VALUE!</v>
      </c>
      <c r="CS209" t="e">
        <f>'All regions'!D5812+"$F;@!)iD"</f>
        <v>#VALUE!</v>
      </c>
      <c r="CT209" t="e">
        <f>'All regions'!E5812+"$F;@!)iE"</f>
        <v>#VALUE!</v>
      </c>
      <c r="CU209" t="e">
        <f>'All regions'!F5812+"$F;@!)iF"</f>
        <v>#VALUE!</v>
      </c>
      <c r="CV209" t="e">
        <f>'All regions'!G5812+"$F;@!)iG"</f>
        <v>#VALUE!</v>
      </c>
      <c r="CW209" t="e">
        <f>'All regions'!H5812+"$F;@!)iH"</f>
        <v>#VALUE!</v>
      </c>
      <c r="CX209" t="e">
        <f>'All regions'!I5812+"$F;@!)iI"</f>
        <v>#VALUE!</v>
      </c>
      <c r="CY209" t="e">
        <f>'All regions'!A5813+"$F;@!)iJ"</f>
        <v>#VALUE!</v>
      </c>
      <c r="CZ209" t="e">
        <f>'All regions'!B5813+"$F;@!)iK"</f>
        <v>#VALUE!</v>
      </c>
      <c r="DA209" t="e">
        <f>'All regions'!C5813+"$F;@!)iL"</f>
        <v>#VALUE!</v>
      </c>
      <c r="DB209" t="e">
        <f>'All regions'!D5813+"$F;@!)iM"</f>
        <v>#VALUE!</v>
      </c>
      <c r="DC209" t="e">
        <f>'All regions'!E5813+"$F;@!)iN"</f>
        <v>#VALUE!</v>
      </c>
      <c r="DD209" t="e">
        <f>'All regions'!F5813+"$F;@!)iO"</f>
        <v>#VALUE!</v>
      </c>
      <c r="DE209" t="e">
        <f>'All regions'!G5813+"$F;@!)iP"</f>
        <v>#VALUE!</v>
      </c>
      <c r="DF209" t="e">
        <f>'All regions'!H5813+"$F;@!)iQ"</f>
        <v>#VALUE!</v>
      </c>
      <c r="DG209" t="e">
        <f>'All regions'!I5813+"$F;@!)iR"</f>
        <v>#VALUE!</v>
      </c>
      <c r="DH209" t="e">
        <f>'All regions'!A5814+"$F;@!)iS"</f>
        <v>#VALUE!</v>
      </c>
      <c r="DI209" t="e">
        <f>'All regions'!B5814+"$F;@!)iT"</f>
        <v>#VALUE!</v>
      </c>
      <c r="DJ209" t="e">
        <f>'All regions'!C5814+"$F;@!)iU"</f>
        <v>#VALUE!</v>
      </c>
      <c r="DK209" t="e">
        <f>'All regions'!D5814+"$F;@!)iV"</f>
        <v>#VALUE!</v>
      </c>
      <c r="DL209" t="e">
        <f>'All regions'!E5814+"$F;@!)iW"</f>
        <v>#VALUE!</v>
      </c>
      <c r="DM209" t="e">
        <f>'All regions'!F5814+"$F;@!)iX"</f>
        <v>#VALUE!</v>
      </c>
      <c r="DN209" t="e">
        <f>'All regions'!G5814+"$F;@!)iY"</f>
        <v>#VALUE!</v>
      </c>
      <c r="DO209" t="e">
        <f>'All regions'!H5814+"$F;@!)iZ"</f>
        <v>#VALUE!</v>
      </c>
      <c r="DP209" t="e">
        <f>'All regions'!I5814+"$F;@!)i["</f>
        <v>#VALUE!</v>
      </c>
      <c r="DQ209" t="e">
        <f>'All regions'!A5815+"$F;@!)i\"</f>
        <v>#VALUE!</v>
      </c>
      <c r="DR209" t="e">
        <f>'All regions'!B5815+"$F;@!)i]"</f>
        <v>#VALUE!</v>
      </c>
      <c r="DS209" t="e">
        <f>'All regions'!C5815+"$F;@!)i^"</f>
        <v>#VALUE!</v>
      </c>
      <c r="DT209" t="e">
        <f>'All regions'!D5815+"$F;@!)i_"</f>
        <v>#VALUE!</v>
      </c>
      <c r="DU209" t="e">
        <f>'All regions'!E5815+"$F;@!)i`"</f>
        <v>#VALUE!</v>
      </c>
      <c r="DV209" t="e">
        <f>'All regions'!F5815+"$F;@!)ia"</f>
        <v>#VALUE!</v>
      </c>
      <c r="DW209" t="e">
        <f>'All regions'!G5815+"$F;@!)ib"</f>
        <v>#VALUE!</v>
      </c>
      <c r="DX209" t="e">
        <f>'All regions'!H5815+"$F;@!)ic"</f>
        <v>#VALUE!</v>
      </c>
      <c r="DY209" t="e">
        <f>'All regions'!I5815+"$F;@!)id"</f>
        <v>#VALUE!</v>
      </c>
      <c r="DZ209" t="e">
        <f>'All regions'!A5816+"$F;@!)ie"</f>
        <v>#VALUE!</v>
      </c>
      <c r="EA209" t="e">
        <f>'All regions'!B5816+"$F;@!)if"</f>
        <v>#VALUE!</v>
      </c>
      <c r="EB209" t="e">
        <f>'All regions'!C5816+"$F;@!)ig"</f>
        <v>#VALUE!</v>
      </c>
      <c r="EC209" t="e">
        <f>'All regions'!D5816+"$F;@!)ih"</f>
        <v>#VALUE!</v>
      </c>
      <c r="ED209" t="e">
        <f>'All regions'!E5816+"$F;@!)ii"</f>
        <v>#VALUE!</v>
      </c>
      <c r="EE209" t="e">
        <f>'All regions'!F5816+"$F;@!)ij"</f>
        <v>#VALUE!</v>
      </c>
      <c r="EF209" t="e">
        <f>'All regions'!G5816+"$F;@!)ik"</f>
        <v>#VALUE!</v>
      </c>
      <c r="EG209" t="e">
        <f>'All regions'!H5816+"$F;@!)il"</f>
        <v>#VALUE!</v>
      </c>
      <c r="EH209" t="e">
        <f>'All regions'!I5816+"$F;@!)im"</f>
        <v>#VALUE!</v>
      </c>
      <c r="EI209" t="e">
        <f>'All regions'!A5817+"$F;@!)in"</f>
        <v>#VALUE!</v>
      </c>
      <c r="EJ209" t="e">
        <f>'All regions'!B5817+"$F;@!)io"</f>
        <v>#VALUE!</v>
      </c>
      <c r="EK209" t="e">
        <f>'All regions'!C5817+"$F;@!)ip"</f>
        <v>#VALUE!</v>
      </c>
      <c r="EL209" t="e">
        <f>'All regions'!D5817+"$F;@!)iq"</f>
        <v>#VALUE!</v>
      </c>
      <c r="EM209" t="e">
        <f>'All regions'!E5817+"$F;@!)ir"</f>
        <v>#VALUE!</v>
      </c>
      <c r="EN209" t="e">
        <f>'All regions'!F5817+"$F;@!)is"</f>
        <v>#VALUE!</v>
      </c>
      <c r="EO209" t="e">
        <f>'All regions'!G5817+"$F;@!)it"</f>
        <v>#VALUE!</v>
      </c>
      <c r="EP209" t="e">
        <f>'All regions'!H5817+"$F;@!)iu"</f>
        <v>#VALUE!</v>
      </c>
      <c r="EQ209" t="e">
        <f>'All regions'!I5817+"$F;@!)iv"</f>
        <v>#VALUE!</v>
      </c>
      <c r="ER209" t="e">
        <f>'All regions'!A5818+"$F;@!)iw"</f>
        <v>#VALUE!</v>
      </c>
      <c r="ES209" t="e">
        <f>'All regions'!B5818+"$F;@!)ix"</f>
        <v>#VALUE!</v>
      </c>
      <c r="ET209" t="e">
        <f>'All regions'!C5818+"$F;@!)iy"</f>
        <v>#VALUE!</v>
      </c>
      <c r="EU209" t="e">
        <f>'All regions'!D5818+"$F;@!)iz"</f>
        <v>#VALUE!</v>
      </c>
      <c r="EV209" t="e">
        <f>'All regions'!E5818+"$F;@!)i{"</f>
        <v>#VALUE!</v>
      </c>
      <c r="EW209" t="e">
        <f>'All regions'!F5818+"$F;@!)i|"</f>
        <v>#VALUE!</v>
      </c>
      <c r="EX209" t="e">
        <f>'All regions'!G5818+"$F;@!)i}"</f>
        <v>#VALUE!</v>
      </c>
      <c r="EY209" t="e">
        <f>'All regions'!H5818+"$F;@!)i~"</f>
        <v>#VALUE!</v>
      </c>
      <c r="EZ209" t="e">
        <f>'All regions'!I5818+"$F;@!)j#"</f>
        <v>#VALUE!</v>
      </c>
      <c r="FA209" t="e">
        <f>'All regions'!A5819+"$F;@!)j$"</f>
        <v>#VALUE!</v>
      </c>
      <c r="FB209" t="e">
        <f>'All regions'!B5819+"$F;@!)j%"</f>
        <v>#VALUE!</v>
      </c>
      <c r="FC209" t="e">
        <f>'All regions'!C5819+"$F;@!)j&amp;"</f>
        <v>#VALUE!</v>
      </c>
      <c r="FD209" t="e">
        <f>'All regions'!D5819+"$F;@!)j'"</f>
        <v>#VALUE!</v>
      </c>
      <c r="FE209" t="e">
        <f>'All regions'!E5819+"$F;@!)j("</f>
        <v>#VALUE!</v>
      </c>
      <c r="FF209" t="e">
        <f>'All regions'!F5819+"$F;@!)j)"</f>
        <v>#VALUE!</v>
      </c>
      <c r="FG209" t="e">
        <f>'All regions'!G5819+"$F;@!)j."</f>
        <v>#VALUE!</v>
      </c>
      <c r="FH209" t="e">
        <f>'All regions'!H5819+"$F;@!)j/"</f>
        <v>#VALUE!</v>
      </c>
      <c r="FI209" t="e">
        <f>'All regions'!I5819+"$F;@!)j0"</f>
        <v>#VALUE!</v>
      </c>
      <c r="FJ209" t="e">
        <f>'All regions'!A5820+"$F;@!)j1"</f>
        <v>#VALUE!</v>
      </c>
      <c r="FK209" t="e">
        <f>'All regions'!B5820+"$F;@!)j2"</f>
        <v>#VALUE!</v>
      </c>
      <c r="FL209" t="e">
        <f>'All regions'!C5820+"$F;@!)j3"</f>
        <v>#VALUE!</v>
      </c>
      <c r="FM209" t="e">
        <f>'All regions'!D5820+"$F;@!)j4"</f>
        <v>#VALUE!</v>
      </c>
      <c r="FN209" t="e">
        <f>'All regions'!E5820+"$F;@!)j5"</f>
        <v>#VALUE!</v>
      </c>
      <c r="FO209" t="e">
        <f>'All regions'!F5820+"$F;@!)j6"</f>
        <v>#VALUE!</v>
      </c>
      <c r="FP209" t="e">
        <f>'All regions'!G5820+"$F;@!)j7"</f>
        <v>#VALUE!</v>
      </c>
      <c r="FQ209" t="e">
        <f>'All regions'!H5820+"$F;@!)j8"</f>
        <v>#VALUE!</v>
      </c>
      <c r="FR209" t="e">
        <f>'All regions'!I5820+"$F;@!)j9"</f>
        <v>#VALUE!</v>
      </c>
      <c r="FS209" t="e">
        <f>'All regions'!A5824+"$F;@!)j:"</f>
        <v>#VALUE!</v>
      </c>
      <c r="FT209" t="e">
        <f>'All regions'!B5824+"$F;@!)j;"</f>
        <v>#VALUE!</v>
      </c>
      <c r="FU209" t="e">
        <f>'All regions'!C5824+"$F;@!)j&lt;"</f>
        <v>#VALUE!</v>
      </c>
      <c r="FV209" t="e">
        <f>'All regions'!D5824+"$F;@!)j="</f>
        <v>#VALUE!</v>
      </c>
      <c r="FW209" t="e">
        <f>'All regions'!E5824+"$F;@!)j&gt;"</f>
        <v>#VALUE!</v>
      </c>
      <c r="FX209" t="e">
        <f>'All regions'!F5824+"$F;@!)j?"</f>
        <v>#VALUE!</v>
      </c>
      <c r="FY209" t="e">
        <f>'All regions'!G5824+"$F;@!)j@"</f>
        <v>#VALUE!</v>
      </c>
      <c r="FZ209" t="e">
        <f>'All regions'!H5824+"$F;@!)jA"</f>
        <v>#VALUE!</v>
      </c>
      <c r="GA209" t="e">
        <f>'All regions'!I5824+"$F;@!)jB"</f>
        <v>#VALUE!</v>
      </c>
      <c r="GB209" t="e">
        <f>'All regions'!A5825+"$F;@!)jC"</f>
        <v>#VALUE!</v>
      </c>
      <c r="GC209" t="e">
        <f>'All regions'!B5825+"$F;@!)jD"</f>
        <v>#VALUE!</v>
      </c>
      <c r="GD209" t="e">
        <f>'All regions'!C5825+"$F;@!)jE"</f>
        <v>#VALUE!</v>
      </c>
      <c r="GE209" t="e">
        <f>'All regions'!D5825+"$F;@!)jF"</f>
        <v>#VALUE!</v>
      </c>
      <c r="GF209" t="e">
        <f>'All regions'!E5825+"$F;@!)jG"</f>
        <v>#VALUE!</v>
      </c>
      <c r="GG209" t="e">
        <f>'All regions'!F5825+"$F;@!)jH"</f>
        <v>#VALUE!</v>
      </c>
      <c r="GH209" t="e">
        <f>'All regions'!G5825+"$F;@!)jI"</f>
        <v>#VALUE!</v>
      </c>
      <c r="GI209" t="e">
        <f>'All regions'!H5825+"$F;@!)jJ"</f>
        <v>#VALUE!</v>
      </c>
      <c r="GJ209" t="e">
        <f>'All regions'!I5825+"$F;@!)jK"</f>
        <v>#VALUE!</v>
      </c>
      <c r="GK209" t="e">
        <f>'All regions'!A5826+"$F;@!)jL"</f>
        <v>#VALUE!</v>
      </c>
      <c r="GL209" t="e">
        <f>'All regions'!B5826+"$F;@!)jM"</f>
        <v>#VALUE!</v>
      </c>
      <c r="GM209" t="e">
        <f>'All regions'!C5826+"$F;@!)jN"</f>
        <v>#VALUE!</v>
      </c>
      <c r="GN209" t="e">
        <f>'All regions'!D5826+"$F;@!)jO"</f>
        <v>#VALUE!</v>
      </c>
      <c r="GO209" t="e">
        <f>'All regions'!E5826+"$F;@!)jP"</f>
        <v>#VALUE!</v>
      </c>
      <c r="GP209" t="e">
        <f>'All regions'!F5826+"$F;@!)jQ"</f>
        <v>#VALUE!</v>
      </c>
      <c r="GQ209" t="e">
        <f>'All regions'!G5826+"$F;@!)jR"</f>
        <v>#VALUE!</v>
      </c>
      <c r="GR209" t="e">
        <f>'All regions'!H5826+"$F;@!)jS"</f>
        <v>#VALUE!</v>
      </c>
      <c r="GS209" t="e">
        <f>'All regions'!I5826+"$F;@!)jT"</f>
        <v>#VALUE!</v>
      </c>
      <c r="GT209" t="e">
        <f>'All regions'!A5827+"$F;@!)jU"</f>
        <v>#VALUE!</v>
      </c>
      <c r="GU209" t="e">
        <f>'All regions'!B5827+"$F;@!)jV"</f>
        <v>#VALUE!</v>
      </c>
      <c r="GV209" t="e">
        <f>'All regions'!C5827+"$F;@!)jW"</f>
        <v>#VALUE!</v>
      </c>
      <c r="GW209" t="e">
        <f>'All regions'!D5827+"$F;@!)jX"</f>
        <v>#VALUE!</v>
      </c>
      <c r="GX209" t="e">
        <f>'All regions'!E5827+"$F;@!)jY"</f>
        <v>#VALUE!</v>
      </c>
      <c r="GY209" t="e">
        <f>'All regions'!F5827+"$F;@!)jZ"</f>
        <v>#VALUE!</v>
      </c>
      <c r="GZ209" t="e">
        <f>'All regions'!G5827+"$F;@!)j["</f>
        <v>#VALUE!</v>
      </c>
      <c r="HA209" t="e">
        <f>'All regions'!H5827+"$F;@!)j\"</f>
        <v>#VALUE!</v>
      </c>
      <c r="HB209" t="e">
        <f>'All regions'!I5827+"$F;@!)j]"</f>
        <v>#VALUE!</v>
      </c>
      <c r="HC209" t="e">
        <f>'All regions'!A5828+"$F;@!)j^"</f>
        <v>#VALUE!</v>
      </c>
      <c r="HD209" t="e">
        <f>'All regions'!B5828+"$F;@!)j_"</f>
        <v>#VALUE!</v>
      </c>
      <c r="HE209" t="e">
        <f>'All regions'!C5828+"$F;@!)j`"</f>
        <v>#VALUE!</v>
      </c>
      <c r="HF209" t="e">
        <f>'All regions'!D5828+"$F;@!)ja"</f>
        <v>#VALUE!</v>
      </c>
      <c r="HG209" t="e">
        <f>'All regions'!E5828+"$F;@!)jb"</f>
        <v>#VALUE!</v>
      </c>
      <c r="HH209" t="e">
        <f>'All regions'!F5828+"$F;@!)jc"</f>
        <v>#VALUE!</v>
      </c>
      <c r="HI209" t="e">
        <f>'All regions'!G5828+"$F;@!)jd"</f>
        <v>#VALUE!</v>
      </c>
      <c r="HJ209" t="e">
        <f>'All regions'!H5828+"$F;@!)je"</f>
        <v>#VALUE!</v>
      </c>
      <c r="HK209" t="e">
        <f>'All regions'!I5828+"$F;@!)jf"</f>
        <v>#VALUE!</v>
      </c>
      <c r="HL209" t="e">
        <f>'All regions'!A5829+"$F;@!)jg"</f>
        <v>#VALUE!</v>
      </c>
      <c r="HM209" t="e">
        <f>'All regions'!B5829+"$F;@!)jh"</f>
        <v>#VALUE!</v>
      </c>
      <c r="HN209" t="e">
        <f>'All regions'!C5829+"$F;@!)ji"</f>
        <v>#VALUE!</v>
      </c>
      <c r="HO209" t="e">
        <f>'All regions'!D5829+"$F;@!)jj"</f>
        <v>#VALUE!</v>
      </c>
      <c r="HP209" t="e">
        <f>'All regions'!E5829+"$F;@!)jk"</f>
        <v>#VALUE!</v>
      </c>
      <c r="HQ209" t="e">
        <f>'All regions'!F5829+"$F;@!)jl"</f>
        <v>#VALUE!</v>
      </c>
      <c r="HR209" t="e">
        <f>'All regions'!G5829+"$F;@!)jm"</f>
        <v>#VALUE!</v>
      </c>
      <c r="HS209" t="e">
        <f>'All regions'!H5829+"$F;@!)jn"</f>
        <v>#VALUE!</v>
      </c>
      <c r="HT209" t="e">
        <f>'All regions'!I5829+"$F;@!)jo"</f>
        <v>#VALUE!</v>
      </c>
      <c r="HU209" t="e">
        <f>'All regions'!A5830+"$F;@!)jp"</f>
        <v>#VALUE!</v>
      </c>
      <c r="HV209" t="e">
        <f>'All regions'!B5830+"$F;@!)jq"</f>
        <v>#VALUE!</v>
      </c>
      <c r="HW209" t="e">
        <f>'All regions'!C5830+"$F;@!)jr"</f>
        <v>#VALUE!</v>
      </c>
      <c r="HX209" t="e">
        <f>'All regions'!D5830+"$F;@!)js"</f>
        <v>#VALUE!</v>
      </c>
      <c r="HY209" t="e">
        <f>'All regions'!E5830+"$F;@!)jt"</f>
        <v>#VALUE!</v>
      </c>
      <c r="HZ209" t="e">
        <f>'All regions'!F5830+"$F;@!)ju"</f>
        <v>#VALUE!</v>
      </c>
      <c r="IA209" t="e">
        <f>'All regions'!G5830+"$F;@!)jv"</f>
        <v>#VALUE!</v>
      </c>
      <c r="IB209" t="e">
        <f>'All regions'!H5830+"$F;@!)jw"</f>
        <v>#VALUE!</v>
      </c>
      <c r="IC209" t="e">
        <f>'All regions'!I5830+"$F;@!)jx"</f>
        <v>#VALUE!</v>
      </c>
      <c r="ID209" t="e">
        <f>'All regions'!A5831+"$F;@!)jy"</f>
        <v>#VALUE!</v>
      </c>
      <c r="IE209" t="e">
        <f>'All regions'!B5831+"$F;@!)jz"</f>
        <v>#VALUE!</v>
      </c>
      <c r="IF209" t="e">
        <f>'All regions'!C5831+"$F;@!)j{"</f>
        <v>#VALUE!</v>
      </c>
      <c r="IG209" t="e">
        <f>'All regions'!D5831+"$F;@!)j|"</f>
        <v>#VALUE!</v>
      </c>
      <c r="IH209" t="e">
        <f>'All regions'!E5831+"$F;@!)j}"</f>
        <v>#VALUE!</v>
      </c>
      <c r="II209" t="e">
        <f>'All regions'!F5831+"$F;@!)j~"</f>
        <v>#VALUE!</v>
      </c>
      <c r="IJ209" t="e">
        <f>'All regions'!G5831+"$F;@!)k#"</f>
        <v>#VALUE!</v>
      </c>
      <c r="IK209" t="e">
        <f>'All regions'!H5831+"$F;@!)k$"</f>
        <v>#VALUE!</v>
      </c>
      <c r="IL209" t="e">
        <f>'All regions'!I5831+"$F;@!)k%"</f>
        <v>#VALUE!</v>
      </c>
      <c r="IM209" t="e">
        <f>'All regions'!A5832+"$F;@!)k&amp;"</f>
        <v>#VALUE!</v>
      </c>
      <c r="IN209" t="e">
        <f>'All regions'!B5832+"$F;@!)k'"</f>
        <v>#VALUE!</v>
      </c>
      <c r="IO209" t="e">
        <f>'All regions'!C5832+"$F;@!)k("</f>
        <v>#VALUE!</v>
      </c>
      <c r="IP209" t="e">
        <f>'All regions'!D5832+"$F;@!)k)"</f>
        <v>#VALUE!</v>
      </c>
      <c r="IQ209" t="e">
        <f>'All regions'!E5832+"$F;@!)k."</f>
        <v>#VALUE!</v>
      </c>
      <c r="IR209" t="e">
        <f>'All regions'!F5832+"$F;@!)k/"</f>
        <v>#VALUE!</v>
      </c>
      <c r="IS209" t="e">
        <f>'All regions'!G5832+"$F;@!)k0"</f>
        <v>#VALUE!</v>
      </c>
      <c r="IT209" t="e">
        <f>'All regions'!H5832+"$F;@!)k1"</f>
        <v>#VALUE!</v>
      </c>
      <c r="IU209" t="e">
        <f>'All regions'!I5832+"$F;@!)k2"</f>
        <v>#VALUE!</v>
      </c>
      <c r="IV209" t="e">
        <f>'All regions'!A5833+"$F;@!)k3"</f>
        <v>#VALUE!</v>
      </c>
    </row>
    <row r="210" spans="6:256" x14ac:dyDescent="0.35">
      <c r="F210" t="e">
        <f>'All regions'!B5833+"$F;@!)k4"</f>
        <v>#VALUE!</v>
      </c>
      <c r="G210" t="e">
        <f>'All regions'!C5833+"$F;@!)k5"</f>
        <v>#VALUE!</v>
      </c>
      <c r="H210" t="e">
        <f>'All regions'!D5833+"$F;@!)k6"</f>
        <v>#VALUE!</v>
      </c>
      <c r="I210" t="e">
        <f>'All regions'!E5833+"$F;@!)k7"</f>
        <v>#VALUE!</v>
      </c>
      <c r="J210" t="e">
        <f>'All regions'!F5833+"$F;@!)k8"</f>
        <v>#VALUE!</v>
      </c>
      <c r="K210" t="e">
        <f>'All regions'!G5833+"$F;@!)k9"</f>
        <v>#VALUE!</v>
      </c>
      <c r="L210" t="e">
        <f>'All regions'!H5833+"$F;@!)k:"</f>
        <v>#VALUE!</v>
      </c>
      <c r="M210" t="e">
        <f>'All regions'!I5833+"$F;@!)k;"</f>
        <v>#VALUE!</v>
      </c>
      <c r="N210" t="e">
        <f>'All regions'!A5834+"$F;@!)k&lt;"</f>
        <v>#VALUE!</v>
      </c>
      <c r="O210" t="e">
        <f>'All regions'!B5834+"$F;@!)k="</f>
        <v>#VALUE!</v>
      </c>
      <c r="P210" t="e">
        <f>'All regions'!C5834+"$F;@!)k&gt;"</f>
        <v>#VALUE!</v>
      </c>
      <c r="Q210" t="e">
        <f>'All regions'!D5834+"$F;@!)k?"</f>
        <v>#VALUE!</v>
      </c>
      <c r="R210" t="e">
        <f>'All regions'!E5834+"$F;@!)k@"</f>
        <v>#VALUE!</v>
      </c>
      <c r="S210" t="e">
        <f>'All regions'!F5834+"$F;@!)kA"</f>
        <v>#VALUE!</v>
      </c>
      <c r="T210" t="e">
        <f>'All regions'!G5834+"$F;@!)kB"</f>
        <v>#VALUE!</v>
      </c>
      <c r="U210" t="e">
        <f>'All regions'!H5834+"$F;@!)kC"</f>
        <v>#VALUE!</v>
      </c>
      <c r="V210" t="e">
        <f>'All regions'!I5834+"$F;@!)kD"</f>
        <v>#VALUE!</v>
      </c>
      <c r="W210" t="e">
        <f>'All regions'!A5838+"$F;@!)kE"</f>
        <v>#VALUE!</v>
      </c>
      <c r="X210" t="e">
        <f>'All regions'!B5838+"$F;@!)kF"</f>
        <v>#VALUE!</v>
      </c>
      <c r="Y210" t="e">
        <f>'All regions'!C5838+"$F;@!)kG"</f>
        <v>#VALUE!</v>
      </c>
      <c r="Z210" t="e">
        <f>'All regions'!D5838+"$F;@!)kH"</f>
        <v>#VALUE!</v>
      </c>
      <c r="AA210" t="e">
        <f>'All regions'!E5838+"$F;@!)kI"</f>
        <v>#VALUE!</v>
      </c>
      <c r="AB210" t="e">
        <f>'All regions'!F5838+"$F;@!)kJ"</f>
        <v>#VALUE!</v>
      </c>
      <c r="AC210" t="e">
        <f>'All regions'!G5838+"$F;@!)kK"</f>
        <v>#VALUE!</v>
      </c>
      <c r="AD210" t="e">
        <f>'All regions'!H5838+"$F;@!)kL"</f>
        <v>#VALUE!</v>
      </c>
      <c r="AE210" t="e">
        <f>'All regions'!I5838+"$F;@!)kM"</f>
        <v>#VALUE!</v>
      </c>
      <c r="AF210" t="e">
        <f>'All regions'!A5839+"$F;@!)kN"</f>
        <v>#VALUE!</v>
      </c>
      <c r="AG210" t="e">
        <f>'All regions'!B5839+"$F;@!)kO"</f>
        <v>#VALUE!</v>
      </c>
      <c r="AH210" t="e">
        <f>'All regions'!C5839+"$F;@!)kP"</f>
        <v>#VALUE!</v>
      </c>
      <c r="AI210" t="e">
        <f>'All regions'!D5839+"$F;@!)kQ"</f>
        <v>#VALUE!</v>
      </c>
      <c r="AJ210" t="e">
        <f>'All regions'!E5839+"$F;@!)kR"</f>
        <v>#VALUE!</v>
      </c>
      <c r="AK210" t="e">
        <f>'All regions'!F5839+"$F;@!)kS"</f>
        <v>#VALUE!</v>
      </c>
      <c r="AL210" t="e">
        <f>'All regions'!G5839+"$F;@!)kT"</f>
        <v>#VALUE!</v>
      </c>
      <c r="AM210" t="e">
        <f>'All regions'!H5839+"$F;@!)kU"</f>
        <v>#VALUE!</v>
      </c>
      <c r="AN210" t="e">
        <f>'All regions'!I5839+"$F;@!)kV"</f>
        <v>#VALUE!</v>
      </c>
      <c r="AO210" t="e">
        <f>'All regions'!A5840+"$F;@!)kW"</f>
        <v>#VALUE!</v>
      </c>
      <c r="AP210" t="e">
        <f>'All regions'!B5840+"$F;@!)kX"</f>
        <v>#VALUE!</v>
      </c>
      <c r="AQ210" t="e">
        <f>'All regions'!C5840+"$F;@!)kY"</f>
        <v>#VALUE!</v>
      </c>
      <c r="AR210" t="e">
        <f>'All regions'!D5840+"$F;@!)kZ"</f>
        <v>#VALUE!</v>
      </c>
      <c r="AS210" t="e">
        <f>'All regions'!E5840+"$F;@!)k["</f>
        <v>#VALUE!</v>
      </c>
      <c r="AT210" t="e">
        <f>'All regions'!F5840+"$F;@!)k\"</f>
        <v>#VALUE!</v>
      </c>
      <c r="AU210" t="e">
        <f>'All regions'!G5840+"$F;@!)k]"</f>
        <v>#VALUE!</v>
      </c>
      <c r="AV210" t="e">
        <f>'All regions'!H5840+"$F;@!)k^"</f>
        <v>#VALUE!</v>
      </c>
      <c r="AW210" t="e">
        <f>'All regions'!I5840+"$F;@!)k_"</f>
        <v>#VALUE!</v>
      </c>
      <c r="AX210" t="e">
        <f>'All regions'!A5841+"$F;@!)k`"</f>
        <v>#VALUE!</v>
      </c>
      <c r="AY210" t="e">
        <f>'All regions'!B5841+"$F;@!)ka"</f>
        <v>#VALUE!</v>
      </c>
      <c r="AZ210" t="e">
        <f>'All regions'!C5841+"$F;@!)kb"</f>
        <v>#VALUE!</v>
      </c>
      <c r="BA210" t="e">
        <f>'All regions'!D5841+"$F;@!)kc"</f>
        <v>#VALUE!</v>
      </c>
      <c r="BB210" t="e">
        <f>'All regions'!E5841+"$F;@!)kd"</f>
        <v>#VALUE!</v>
      </c>
      <c r="BC210" t="e">
        <f>'All regions'!F5841+"$F;@!)ke"</f>
        <v>#VALUE!</v>
      </c>
      <c r="BD210" t="e">
        <f>'All regions'!G5841+"$F;@!)kf"</f>
        <v>#VALUE!</v>
      </c>
      <c r="BE210" t="e">
        <f>'All regions'!H5841+"$F;@!)kg"</f>
        <v>#VALUE!</v>
      </c>
      <c r="BF210" t="e">
        <f>'All regions'!I5841+"$F;@!)kh"</f>
        <v>#VALUE!</v>
      </c>
      <c r="BG210" t="e">
        <f>'All regions'!A5842+"$F;@!)ki"</f>
        <v>#VALUE!</v>
      </c>
      <c r="BH210" t="e">
        <f>'All regions'!B5842+"$F;@!)kj"</f>
        <v>#VALUE!</v>
      </c>
      <c r="BI210" t="e">
        <f>'All regions'!C5842+"$F;@!)kk"</f>
        <v>#VALUE!</v>
      </c>
      <c r="BJ210" t="e">
        <f>'All regions'!D5842+"$F;@!)kl"</f>
        <v>#VALUE!</v>
      </c>
      <c r="BK210" t="e">
        <f>'All regions'!E5842+"$F;@!)km"</f>
        <v>#VALUE!</v>
      </c>
      <c r="BL210" t="e">
        <f>'All regions'!F5842+"$F;@!)kn"</f>
        <v>#VALUE!</v>
      </c>
      <c r="BM210" t="e">
        <f>'All regions'!G5842+"$F;@!)ko"</f>
        <v>#VALUE!</v>
      </c>
      <c r="BN210" t="e">
        <f>'All regions'!H5842+"$F;@!)kp"</f>
        <v>#VALUE!</v>
      </c>
      <c r="BO210" t="e">
        <f>'All regions'!I5842+"$F;@!)kq"</f>
        <v>#VALUE!</v>
      </c>
      <c r="BP210" t="e">
        <f>'All regions'!A5843+"$F;@!)kr"</f>
        <v>#VALUE!</v>
      </c>
      <c r="BQ210" t="e">
        <f>'All regions'!B5843+"$F;@!)ks"</f>
        <v>#VALUE!</v>
      </c>
      <c r="BR210" t="e">
        <f>'All regions'!C5843+"$F;@!)kt"</f>
        <v>#VALUE!</v>
      </c>
      <c r="BS210" t="e">
        <f>'All regions'!D5843+"$F;@!)ku"</f>
        <v>#VALUE!</v>
      </c>
      <c r="BT210" t="e">
        <f>'All regions'!E5843+"$F;@!)kv"</f>
        <v>#VALUE!</v>
      </c>
      <c r="BU210" t="e">
        <f>'All regions'!F5843+"$F;@!)kw"</f>
        <v>#VALUE!</v>
      </c>
      <c r="BV210" t="e">
        <f>'All regions'!G5843+"$F;@!)kx"</f>
        <v>#VALUE!</v>
      </c>
      <c r="BW210" t="e">
        <f>'All regions'!H5843+"$F;@!)ky"</f>
        <v>#VALUE!</v>
      </c>
      <c r="BX210" t="e">
        <f>'All regions'!I5843+"$F;@!)kz"</f>
        <v>#VALUE!</v>
      </c>
      <c r="BY210" t="e">
        <f>'All regions'!A5844+"$F;@!)k{"</f>
        <v>#VALUE!</v>
      </c>
      <c r="BZ210" t="e">
        <f>'All regions'!B5844+"$F;@!)k|"</f>
        <v>#VALUE!</v>
      </c>
      <c r="CA210" t="e">
        <f>'All regions'!C5844+"$F;@!)k}"</f>
        <v>#VALUE!</v>
      </c>
      <c r="CB210" t="e">
        <f>'All regions'!D5844+"$F;@!)k~"</f>
        <v>#VALUE!</v>
      </c>
      <c r="CC210" t="e">
        <f>'All regions'!E5844+"$F;@!)l#"</f>
        <v>#VALUE!</v>
      </c>
      <c r="CD210" t="e">
        <f>'All regions'!F5844+"$F;@!)l$"</f>
        <v>#VALUE!</v>
      </c>
      <c r="CE210" t="e">
        <f>'All regions'!G5844+"$F;@!)l%"</f>
        <v>#VALUE!</v>
      </c>
      <c r="CF210" t="e">
        <f>'All regions'!H5844+"$F;@!)l&amp;"</f>
        <v>#VALUE!</v>
      </c>
      <c r="CG210" t="e">
        <f>'All regions'!I5844+"$F;@!)l'"</f>
        <v>#VALUE!</v>
      </c>
      <c r="CH210" t="e">
        <f>'All regions'!A5845+"$F;@!)l("</f>
        <v>#VALUE!</v>
      </c>
      <c r="CI210" t="e">
        <f>'All regions'!B5845+"$F;@!)l)"</f>
        <v>#VALUE!</v>
      </c>
      <c r="CJ210" t="e">
        <f>'All regions'!C5845+"$F;@!)l."</f>
        <v>#VALUE!</v>
      </c>
      <c r="CK210" t="e">
        <f>'All regions'!D5845+"$F;@!)l/"</f>
        <v>#VALUE!</v>
      </c>
      <c r="CL210" t="e">
        <f>'All regions'!E5845+"$F;@!)l0"</f>
        <v>#VALUE!</v>
      </c>
      <c r="CM210" t="e">
        <f>'All regions'!F5845+"$F;@!)l1"</f>
        <v>#VALUE!</v>
      </c>
      <c r="CN210" t="e">
        <f>'All regions'!G5845+"$F;@!)l2"</f>
        <v>#VALUE!</v>
      </c>
      <c r="CO210" t="e">
        <f>'All regions'!H5845+"$F;@!)l3"</f>
        <v>#VALUE!</v>
      </c>
      <c r="CP210" t="e">
        <f>'All regions'!I5845+"$F;@!)l4"</f>
        <v>#VALUE!</v>
      </c>
      <c r="CQ210" t="e">
        <f>'All regions'!A5846+"$F;@!)l5"</f>
        <v>#VALUE!</v>
      </c>
      <c r="CR210" t="e">
        <f>'All regions'!B5846+"$F;@!)l6"</f>
        <v>#VALUE!</v>
      </c>
      <c r="CS210" t="e">
        <f>'All regions'!C5846+"$F;@!)l7"</f>
        <v>#VALUE!</v>
      </c>
      <c r="CT210" t="e">
        <f>'All regions'!D5846+"$F;@!)l8"</f>
        <v>#VALUE!</v>
      </c>
      <c r="CU210" t="e">
        <f>'All regions'!E5846+"$F;@!)l9"</f>
        <v>#VALUE!</v>
      </c>
      <c r="CV210" t="e">
        <f>'All regions'!F5846+"$F;@!)l:"</f>
        <v>#VALUE!</v>
      </c>
      <c r="CW210" t="e">
        <f>'All regions'!G5846+"$F;@!)l;"</f>
        <v>#VALUE!</v>
      </c>
      <c r="CX210" t="e">
        <f>'All regions'!H5846+"$F;@!)l&lt;"</f>
        <v>#VALUE!</v>
      </c>
      <c r="CY210" t="e">
        <f>'All regions'!I5846+"$F;@!)l="</f>
        <v>#VALUE!</v>
      </c>
      <c r="CZ210" t="e">
        <f>'All regions'!A5847+"$F;@!)l&gt;"</f>
        <v>#VALUE!</v>
      </c>
      <c r="DA210" t="e">
        <f>'All regions'!B5847+"$F;@!)l?"</f>
        <v>#VALUE!</v>
      </c>
      <c r="DB210" t="e">
        <f>'All regions'!C5847+"$F;@!)l@"</f>
        <v>#VALUE!</v>
      </c>
      <c r="DC210" t="e">
        <f>'All regions'!D5847+"$F;@!)lA"</f>
        <v>#VALUE!</v>
      </c>
      <c r="DD210" t="e">
        <f>'All regions'!E5847+"$F;@!)lB"</f>
        <v>#VALUE!</v>
      </c>
      <c r="DE210" t="e">
        <f>'All regions'!F5847+"$F;@!)lC"</f>
        <v>#VALUE!</v>
      </c>
      <c r="DF210" t="e">
        <f>'All regions'!G5847+"$F;@!)lD"</f>
        <v>#VALUE!</v>
      </c>
      <c r="DG210" t="e">
        <f>'All regions'!H5847+"$F;@!)lE"</f>
        <v>#VALUE!</v>
      </c>
      <c r="DH210" t="e">
        <f>'All regions'!I5847+"$F;@!)lF"</f>
        <v>#VALUE!</v>
      </c>
      <c r="DI210" t="e">
        <f>'All regions'!A5848+"$F;@!)lG"</f>
        <v>#VALUE!</v>
      </c>
      <c r="DJ210" t="e">
        <f>'All regions'!B5848+"$F;@!)lH"</f>
        <v>#VALUE!</v>
      </c>
      <c r="DK210" t="e">
        <f>'All regions'!C5848+"$F;@!)lI"</f>
        <v>#VALUE!</v>
      </c>
      <c r="DL210" t="e">
        <f>'All regions'!D5848+"$F;@!)lJ"</f>
        <v>#VALUE!</v>
      </c>
      <c r="DM210" t="e">
        <f>'All regions'!E5848+"$F;@!)lK"</f>
        <v>#VALUE!</v>
      </c>
      <c r="DN210" t="e">
        <f>'All regions'!F5848+"$F;@!)lL"</f>
        <v>#VALUE!</v>
      </c>
      <c r="DO210" t="e">
        <f>'All regions'!G5848+"$F;@!)lM"</f>
        <v>#VALUE!</v>
      </c>
      <c r="DP210" t="e">
        <f>'All regions'!H5848+"$F;@!)lN"</f>
        <v>#VALUE!</v>
      </c>
      <c r="DQ210" t="e">
        <f>'All regions'!I5848+"$F;@!)lO"</f>
        <v>#VALUE!</v>
      </c>
      <c r="DR210" t="e">
        <f>'All regions'!A5849+"$F;@!)lP"</f>
        <v>#VALUE!</v>
      </c>
      <c r="DS210" t="e">
        <f>'All regions'!B5849+"$F;@!)lQ"</f>
        <v>#VALUE!</v>
      </c>
      <c r="DT210" t="e">
        <f>'All regions'!C5849+"$F;@!)lR"</f>
        <v>#VALUE!</v>
      </c>
      <c r="DU210" t="e">
        <f>'All regions'!D5849+"$F;@!)lS"</f>
        <v>#VALUE!</v>
      </c>
      <c r="DV210" t="e">
        <f>'All regions'!E5849+"$F;@!)lT"</f>
        <v>#VALUE!</v>
      </c>
      <c r="DW210" t="e">
        <f>'All regions'!F5849+"$F;@!)lU"</f>
        <v>#VALUE!</v>
      </c>
      <c r="DX210" t="e">
        <f>'All regions'!G5849+"$F;@!)lV"</f>
        <v>#VALUE!</v>
      </c>
      <c r="DY210" t="e">
        <f>'All regions'!H5849+"$F;@!)lW"</f>
        <v>#VALUE!</v>
      </c>
      <c r="DZ210" t="e">
        <f>'All regions'!A5850+"$F;@!)lX"</f>
        <v>#VALUE!</v>
      </c>
      <c r="EA210" t="e">
        <f>'All regions'!B5850+"$F;@!)lY"</f>
        <v>#VALUE!</v>
      </c>
      <c r="EB210" t="e">
        <f>'All regions'!C5850+"$F;@!)lZ"</f>
        <v>#VALUE!</v>
      </c>
      <c r="EC210" t="e">
        <f>'All regions'!D5850+"$F;@!)l["</f>
        <v>#VALUE!</v>
      </c>
      <c r="ED210" t="e">
        <f>'All regions'!E5850+"$F;@!)l\"</f>
        <v>#VALUE!</v>
      </c>
      <c r="EE210" t="e">
        <f>'All regions'!F5850+"$F;@!)l]"</f>
        <v>#VALUE!</v>
      </c>
      <c r="EF210" t="e">
        <f>'All regions'!G5850+"$F;@!)l^"</f>
        <v>#VALUE!</v>
      </c>
      <c r="EG210" t="e">
        <f>'All regions'!H5850+"$F;@!)l_"</f>
        <v>#VALUE!</v>
      </c>
      <c r="EH210" t="e">
        <f>'All regions'!I5850+"$F;@!)l`"</f>
        <v>#VALUE!</v>
      </c>
      <c r="EI210" t="e">
        <f>'All regions'!A5851+"$F;@!)la"</f>
        <v>#VALUE!</v>
      </c>
      <c r="EJ210" t="e">
        <f>'All regions'!B5851+"$F;@!)lb"</f>
        <v>#VALUE!</v>
      </c>
      <c r="EK210" t="e">
        <f>'All regions'!C5851+"$F;@!)lc"</f>
        <v>#VALUE!</v>
      </c>
      <c r="EL210" t="e">
        <f>'All regions'!D5851+"$F;@!)ld"</f>
        <v>#VALUE!</v>
      </c>
      <c r="EM210" t="e">
        <f>'All regions'!E5851+"$F;@!)le"</f>
        <v>#VALUE!</v>
      </c>
      <c r="EN210" t="e">
        <f>'All regions'!F5851+"$F;@!)lf"</f>
        <v>#VALUE!</v>
      </c>
      <c r="EO210" t="e">
        <f>'All regions'!G5851+"$F;@!)lg"</f>
        <v>#VALUE!</v>
      </c>
      <c r="EP210" t="e">
        <f>'All regions'!H5851+"$F;@!)lh"</f>
        <v>#VALUE!</v>
      </c>
      <c r="EQ210" t="e">
        <f>'All regions'!I5851+"$F;@!)li"</f>
        <v>#VALUE!</v>
      </c>
      <c r="ER210" t="e">
        <f>'All regions'!A5852+"$F;@!)lj"</f>
        <v>#VALUE!</v>
      </c>
      <c r="ES210" t="e">
        <f>'All regions'!B5852+"$F;@!)lk"</f>
        <v>#VALUE!</v>
      </c>
      <c r="ET210" t="e">
        <f>'All regions'!C5852+"$F;@!)ll"</f>
        <v>#VALUE!</v>
      </c>
      <c r="EU210" t="e">
        <f>'All regions'!D5852+"$F;@!)lm"</f>
        <v>#VALUE!</v>
      </c>
      <c r="EV210" t="e">
        <f>'All regions'!E5852+"$F;@!)ln"</f>
        <v>#VALUE!</v>
      </c>
      <c r="EW210" t="e">
        <f>'All regions'!F5852+"$F;@!)lo"</f>
        <v>#VALUE!</v>
      </c>
      <c r="EX210" t="e">
        <f>'All regions'!G5852+"$F;@!)lp"</f>
        <v>#VALUE!</v>
      </c>
      <c r="EY210" t="e">
        <f>'All regions'!H5852+"$F;@!)lq"</f>
        <v>#VALUE!</v>
      </c>
      <c r="EZ210" t="e">
        <f>'All regions'!I5852+"$F;@!)lr"</f>
        <v>#VALUE!</v>
      </c>
      <c r="FA210" t="e">
        <f>'All regions'!A5853+"$F;@!)ls"</f>
        <v>#VALUE!</v>
      </c>
      <c r="FB210" t="e">
        <f>'All regions'!B5853+"$F;@!)lt"</f>
        <v>#VALUE!</v>
      </c>
      <c r="FC210" t="e">
        <f>'All regions'!C5853+"$F;@!)lu"</f>
        <v>#VALUE!</v>
      </c>
      <c r="FD210" t="e">
        <f>'All regions'!D5853+"$F;@!)lv"</f>
        <v>#VALUE!</v>
      </c>
      <c r="FE210" t="e">
        <f>'All regions'!E5853+"$F;@!)lw"</f>
        <v>#VALUE!</v>
      </c>
      <c r="FF210" t="e">
        <f>'All regions'!F5853+"$F;@!)lx"</f>
        <v>#VALUE!</v>
      </c>
      <c r="FG210" t="e">
        <f>'All regions'!G5853+"$F;@!)ly"</f>
        <v>#VALUE!</v>
      </c>
      <c r="FH210" t="e">
        <f>'All regions'!H5853+"$F;@!)lz"</f>
        <v>#VALUE!</v>
      </c>
      <c r="FI210" t="e">
        <f>'All regions'!I5853+"$F;@!)l{"</f>
        <v>#VALUE!</v>
      </c>
      <c r="FJ210" t="e">
        <f>'All regions'!A5854+"$F;@!)l|"</f>
        <v>#VALUE!</v>
      </c>
      <c r="FK210" t="e">
        <f>'All regions'!B5854+"$F;@!)l}"</f>
        <v>#VALUE!</v>
      </c>
      <c r="FL210" t="e">
        <f>'All regions'!C5854+"$F;@!)l~"</f>
        <v>#VALUE!</v>
      </c>
      <c r="FM210" t="e">
        <f>'All regions'!D5854+"$F;@!)m#"</f>
        <v>#VALUE!</v>
      </c>
      <c r="FN210" t="e">
        <f>'All regions'!E5854+"$F;@!)m$"</f>
        <v>#VALUE!</v>
      </c>
      <c r="FO210" t="e">
        <f>'All regions'!F5854+"$F;@!)m%"</f>
        <v>#VALUE!</v>
      </c>
      <c r="FP210" t="e">
        <f>'All regions'!G5854+"$F;@!)m&amp;"</f>
        <v>#VALUE!</v>
      </c>
      <c r="FQ210" t="e">
        <f>'All regions'!H5854+"$F;@!)m'"</f>
        <v>#VALUE!</v>
      </c>
      <c r="FR210" t="e">
        <f>'All regions'!I5854+"$F;@!)m("</f>
        <v>#VALUE!</v>
      </c>
      <c r="FS210" t="e">
        <f>'All regions'!A5855+"$F;@!)m)"</f>
        <v>#VALUE!</v>
      </c>
      <c r="FT210" t="e">
        <f>'All regions'!B5855+"$F;@!)m."</f>
        <v>#VALUE!</v>
      </c>
      <c r="FU210" t="e">
        <f>'All regions'!C5855+"$F;@!)m/"</f>
        <v>#VALUE!</v>
      </c>
      <c r="FV210" t="e">
        <f>'All regions'!D5855+"$F;@!)m0"</f>
        <v>#VALUE!</v>
      </c>
      <c r="FW210" t="e">
        <f>'All regions'!E5855+"$F;@!)m1"</f>
        <v>#VALUE!</v>
      </c>
      <c r="FX210" t="e">
        <f>'All regions'!F5855+"$F;@!)m2"</f>
        <v>#VALUE!</v>
      </c>
      <c r="FY210" t="e">
        <f>'All regions'!G5855+"$F;@!)m3"</f>
        <v>#VALUE!</v>
      </c>
      <c r="FZ210" t="e">
        <f>'All regions'!H5855+"$F;@!)m4"</f>
        <v>#VALUE!</v>
      </c>
      <c r="GA210" t="e">
        <f>'All regions'!I5855+"$F;@!)m5"</f>
        <v>#VALUE!</v>
      </c>
      <c r="GB210" t="e">
        <f>'All regions'!A5856+"$F;@!)m6"</f>
        <v>#VALUE!</v>
      </c>
      <c r="GC210" t="e">
        <f>'All regions'!B5856+"$F;@!)m7"</f>
        <v>#VALUE!</v>
      </c>
      <c r="GD210" t="e">
        <f>'All regions'!C5856+"$F;@!)m8"</f>
        <v>#VALUE!</v>
      </c>
      <c r="GE210" t="e">
        <f>'All regions'!D5856+"$F;@!)m9"</f>
        <v>#VALUE!</v>
      </c>
      <c r="GF210" t="e">
        <f>'All regions'!E5856+"$F;@!)m:"</f>
        <v>#VALUE!</v>
      </c>
      <c r="GG210" t="e">
        <f>'All regions'!F5856+"$F;@!)m;"</f>
        <v>#VALUE!</v>
      </c>
      <c r="GH210" t="e">
        <f>'All regions'!G5856+"$F;@!)m&lt;"</f>
        <v>#VALUE!</v>
      </c>
      <c r="GI210" t="e">
        <f>'All regions'!H5856+"$F;@!)m="</f>
        <v>#VALUE!</v>
      </c>
      <c r="GJ210" t="e">
        <f>'All regions'!I5856+"$F;@!)m&gt;"</f>
        <v>#VALUE!</v>
      </c>
      <c r="GK210" t="e">
        <f>'All regions'!A5857+"$F;@!)m?"</f>
        <v>#VALUE!</v>
      </c>
      <c r="GL210" t="e">
        <f>'All regions'!B5857+"$F;@!)m@"</f>
        <v>#VALUE!</v>
      </c>
      <c r="GM210" t="e">
        <f>'All regions'!C5857+"$F;@!)mA"</f>
        <v>#VALUE!</v>
      </c>
      <c r="GN210" t="e">
        <f>'All regions'!D5857+"$F;@!)mB"</f>
        <v>#VALUE!</v>
      </c>
      <c r="GO210" t="e">
        <f>'All regions'!E5857+"$F;@!)mC"</f>
        <v>#VALUE!</v>
      </c>
      <c r="GP210" t="e">
        <f>'All regions'!F5857+"$F;@!)mD"</f>
        <v>#VALUE!</v>
      </c>
      <c r="GQ210" t="e">
        <f>'All regions'!G5857+"$F;@!)mE"</f>
        <v>#VALUE!</v>
      </c>
      <c r="GR210" t="e">
        <f>'All regions'!H5857+"$F;@!)mF"</f>
        <v>#VALUE!</v>
      </c>
      <c r="GS210" t="e">
        <f>'All regions'!I5857+"$F;@!)mG"</f>
        <v>#VALUE!</v>
      </c>
      <c r="GT210" t="e">
        <f>'All regions'!A5858+"$F;@!)mH"</f>
        <v>#VALUE!</v>
      </c>
      <c r="GU210" t="e">
        <f>'All regions'!B5858+"$F;@!)mI"</f>
        <v>#VALUE!</v>
      </c>
      <c r="GV210" t="e">
        <f>'All regions'!C5858+"$F;@!)mJ"</f>
        <v>#VALUE!</v>
      </c>
      <c r="GW210" t="e">
        <f>'All regions'!D5858+"$F;@!)mK"</f>
        <v>#VALUE!</v>
      </c>
      <c r="GX210" t="e">
        <f>'All regions'!E5858+"$F;@!)mL"</f>
        <v>#VALUE!</v>
      </c>
      <c r="GY210" t="e">
        <f>'All regions'!F5858+"$F;@!)mM"</f>
        <v>#VALUE!</v>
      </c>
      <c r="GZ210" t="e">
        <f>'All regions'!G5858+"$F;@!)mN"</f>
        <v>#VALUE!</v>
      </c>
      <c r="HA210" t="e">
        <f>'All regions'!H5858+"$F;@!)mO"</f>
        <v>#VALUE!</v>
      </c>
      <c r="HB210" t="e">
        <f>'All regions'!I5858+"$F;@!)mP"</f>
        <v>#VALUE!</v>
      </c>
      <c r="HC210" t="e">
        <f>'All regions'!A5859+"$F;@!)mQ"</f>
        <v>#VALUE!</v>
      </c>
      <c r="HD210" t="e">
        <f>'All regions'!B5859+"$F;@!)mR"</f>
        <v>#VALUE!</v>
      </c>
      <c r="HE210" t="e">
        <f>'All regions'!C5859+"$F;@!)mS"</f>
        <v>#VALUE!</v>
      </c>
      <c r="HF210" t="e">
        <f>'All regions'!D5859+"$F;@!)mT"</f>
        <v>#VALUE!</v>
      </c>
      <c r="HG210" t="e">
        <f>'All regions'!E5859+"$F;@!)mU"</f>
        <v>#VALUE!</v>
      </c>
      <c r="HH210" t="e">
        <f>'All regions'!F5859+"$F;@!)mV"</f>
        <v>#VALUE!</v>
      </c>
      <c r="HI210" t="e">
        <f>'All regions'!G5859+"$F;@!)mW"</f>
        <v>#VALUE!</v>
      </c>
      <c r="HJ210" t="e">
        <f>'All regions'!H5859+"$F;@!)mX"</f>
        <v>#VALUE!</v>
      </c>
      <c r="HK210" t="e">
        <f>'All regions'!I5859+"$F;@!)mY"</f>
        <v>#VALUE!</v>
      </c>
      <c r="HL210" t="e">
        <f>'All regions'!A5860+"$F;@!)mZ"</f>
        <v>#VALUE!</v>
      </c>
      <c r="HM210" t="e">
        <f>'All regions'!B5860+"$F;@!)m["</f>
        <v>#VALUE!</v>
      </c>
      <c r="HN210" t="e">
        <f>'All regions'!C5860+"$F;@!)m\"</f>
        <v>#VALUE!</v>
      </c>
      <c r="HO210" t="e">
        <f>'All regions'!D5860+"$F;@!)m]"</f>
        <v>#VALUE!</v>
      </c>
      <c r="HP210" t="e">
        <f>'All regions'!E5860+"$F;@!)m^"</f>
        <v>#VALUE!</v>
      </c>
      <c r="HQ210" t="e">
        <f>'All regions'!F5860+"$F;@!)m_"</f>
        <v>#VALUE!</v>
      </c>
      <c r="HR210" t="e">
        <f>'All regions'!G5860+"$F;@!)m`"</f>
        <v>#VALUE!</v>
      </c>
      <c r="HS210" t="e">
        <f>'All regions'!H5860+"$F;@!)ma"</f>
        <v>#VALUE!</v>
      </c>
      <c r="HT210" t="e">
        <f>'All regions'!I5860+"$F;@!)mb"</f>
        <v>#VALUE!</v>
      </c>
      <c r="HU210" t="e">
        <f>'All regions'!A5861+"$F;@!)mc"</f>
        <v>#VALUE!</v>
      </c>
      <c r="HV210" t="e">
        <f>'All regions'!B5861+"$F;@!)md"</f>
        <v>#VALUE!</v>
      </c>
      <c r="HW210" t="e">
        <f>'All regions'!C5861+"$F;@!)me"</f>
        <v>#VALUE!</v>
      </c>
      <c r="HX210" t="e">
        <f>'All regions'!D5861+"$F;@!)mf"</f>
        <v>#VALUE!</v>
      </c>
      <c r="HY210" t="e">
        <f>'All regions'!E5861+"$F;@!)mg"</f>
        <v>#VALUE!</v>
      </c>
      <c r="HZ210" t="e">
        <f>'All regions'!F5861+"$F;@!)mh"</f>
        <v>#VALUE!</v>
      </c>
      <c r="IA210" t="e">
        <f>'All regions'!G5861+"$F;@!)mi"</f>
        <v>#VALUE!</v>
      </c>
      <c r="IB210" t="e">
        <f>'All regions'!H5861+"$F;@!)mj"</f>
        <v>#VALUE!</v>
      </c>
      <c r="IC210" t="e">
        <f>'All regions'!I5861+"$F;@!)mk"</f>
        <v>#VALUE!</v>
      </c>
      <c r="ID210" t="e">
        <f>'All regions'!A5862+"$F;@!)ml"</f>
        <v>#VALUE!</v>
      </c>
      <c r="IE210" t="e">
        <f>'All regions'!B5862+"$F;@!)mm"</f>
        <v>#VALUE!</v>
      </c>
      <c r="IF210" t="e">
        <f>'All regions'!C5862+"$F;@!)mn"</f>
        <v>#VALUE!</v>
      </c>
      <c r="IG210" t="e">
        <f>'All regions'!D5862+"$F;@!)mo"</f>
        <v>#VALUE!</v>
      </c>
      <c r="IH210" t="e">
        <f>'All regions'!E5862+"$F;@!)mp"</f>
        <v>#VALUE!</v>
      </c>
      <c r="II210" t="e">
        <f>'All regions'!F5862+"$F;@!)mq"</f>
        <v>#VALUE!</v>
      </c>
      <c r="IJ210" t="e">
        <f>'All regions'!G5862+"$F;@!)mr"</f>
        <v>#VALUE!</v>
      </c>
      <c r="IK210" t="e">
        <f>'All regions'!H5862+"$F;@!)ms"</f>
        <v>#VALUE!</v>
      </c>
      <c r="IL210" t="e">
        <f>'All regions'!I5862+"$F;@!)mt"</f>
        <v>#VALUE!</v>
      </c>
      <c r="IM210" t="e">
        <f>'All regions'!A5863+"$F;@!)mu"</f>
        <v>#VALUE!</v>
      </c>
      <c r="IN210" t="e">
        <f>'All regions'!B5863+"$F;@!)mv"</f>
        <v>#VALUE!</v>
      </c>
      <c r="IO210" t="e">
        <f>'All regions'!C5863+"$F;@!)mw"</f>
        <v>#VALUE!</v>
      </c>
      <c r="IP210" t="e">
        <f>'All regions'!D5863+"$F;@!)mx"</f>
        <v>#VALUE!</v>
      </c>
      <c r="IQ210" t="e">
        <f>'All regions'!E5863+"$F;@!)my"</f>
        <v>#VALUE!</v>
      </c>
      <c r="IR210" t="e">
        <f>'All regions'!F5863+"$F;@!)mz"</f>
        <v>#VALUE!</v>
      </c>
      <c r="IS210" t="e">
        <f>'All regions'!G5863+"$F;@!)m{"</f>
        <v>#VALUE!</v>
      </c>
      <c r="IT210" t="e">
        <f>'All regions'!H5863+"$F;@!)m|"</f>
        <v>#VALUE!</v>
      </c>
      <c r="IU210" t="e">
        <f>'All regions'!I5863+"$F;@!)m}"</f>
        <v>#VALUE!</v>
      </c>
      <c r="IV210" t="e">
        <f>'All regions'!A5864+"$F;@!)m~"</f>
        <v>#VALUE!</v>
      </c>
    </row>
    <row r="211" spans="6:256" x14ac:dyDescent="0.35">
      <c r="F211" t="e">
        <f>'All regions'!B5864+"$F;@!)n#"</f>
        <v>#VALUE!</v>
      </c>
      <c r="G211" t="e">
        <f>'All regions'!C5864+"$F;@!)n$"</f>
        <v>#VALUE!</v>
      </c>
      <c r="H211" t="e">
        <f>'All regions'!D5864+"$F;@!)n%"</f>
        <v>#VALUE!</v>
      </c>
      <c r="I211" t="e">
        <f>'All regions'!E5864+"$F;@!)n&amp;"</f>
        <v>#VALUE!</v>
      </c>
      <c r="J211" t="e">
        <f>'All regions'!F5864+"$F;@!)n'"</f>
        <v>#VALUE!</v>
      </c>
      <c r="K211" t="e">
        <f>'All regions'!G5864+"$F;@!)n("</f>
        <v>#VALUE!</v>
      </c>
      <c r="L211" t="e">
        <f>'All regions'!H5864+"$F;@!)n)"</f>
        <v>#VALUE!</v>
      </c>
      <c r="M211" t="e">
        <f>'All regions'!I5864+"$F;@!)n."</f>
        <v>#VALUE!</v>
      </c>
      <c r="N211" t="e">
        <f>'All regions'!A5865+"$F;@!)n/"</f>
        <v>#VALUE!</v>
      </c>
      <c r="O211" t="e">
        <f>'All regions'!B5865+"$F;@!)n0"</f>
        <v>#VALUE!</v>
      </c>
      <c r="P211" t="e">
        <f>'All regions'!C5865+"$F;@!)n1"</f>
        <v>#VALUE!</v>
      </c>
      <c r="Q211" t="e">
        <f>'All regions'!D5865+"$F;@!)n2"</f>
        <v>#VALUE!</v>
      </c>
      <c r="R211" t="e">
        <f>'All regions'!E5865+"$F;@!)n3"</f>
        <v>#VALUE!</v>
      </c>
      <c r="S211" t="e">
        <f>'All regions'!F5865+"$F;@!)n4"</f>
        <v>#VALUE!</v>
      </c>
      <c r="T211" t="e">
        <f>'All regions'!G5865+"$F;@!)n5"</f>
        <v>#VALUE!</v>
      </c>
      <c r="U211" t="e">
        <f>'All regions'!H5865+"$F;@!)n6"</f>
        <v>#VALUE!</v>
      </c>
      <c r="V211" t="e">
        <f>'All regions'!I5865+"$F;@!)n7"</f>
        <v>#VALUE!</v>
      </c>
      <c r="W211" t="e">
        <f>'All regions'!A5866+"$F;@!)n8"</f>
        <v>#VALUE!</v>
      </c>
      <c r="X211" t="e">
        <f>'All regions'!B5866+"$F;@!)n9"</f>
        <v>#VALUE!</v>
      </c>
      <c r="Y211" t="e">
        <f>'All regions'!C5866+"$F;@!)n:"</f>
        <v>#VALUE!</v>
      </c>
      <c r="Z211" t="e">
        <f>'All regions'!D5866+"$F;@!)n;"</f>
        <v>#VALUE!</v>
      </c>
      <c r="AA211" t="e">
        <f>'All regions'!E5866+"$F;@!)n&lt;"</f>
        <v>#VALUE!</v>
      </c>
      <c r="AB211" t="e">
        <f>'All regions'!F5866+"$F;@!)n="</f>
        <v>#VALUE!</v>
      </c>
      <c r="AC211" t="e">
        <f>'All regions'!G5866+"$F;@!)n&gt;"</f>
        <v>#VALUE!</v>
      </c>
      <c r="AD211" t="e">
        <f>'All regions'!H5866+"$F;@!)n?"</f>
        <v>#VALUE!</v>
      </c>
      <c r="AE211" t="e">
        <f>'All regions'!A5867+"$F;@!)n@"</f>
        <v>#VALUE!</v>
      </c>
      <c r="AF211" t="e">
        <f>'All regions'!B5867+"$F;@!)nA"</f>
        <v>#VALUE!</v>
      </c>
      <c r="AG211" t="e">
        <f>'All regions'!C5867+"$F;@!)nB"</f>
        <v>#VALUE!</v>
      </c>
      <c r="AH211" t="e">
        <f>'All regions'!D5867+"$F;@!)nC"</f>
        <v>#VALUE!</v>
      </c>
      <c r="AI211" t="e">
        <f>'All regions'!E5867+"$F;@!)nD"</f>
        <v>#VALUE!</v>
      </c>
      <c r="AJ211" t="e">
        <f>'All regions'!F5867+"$F;@!)nE"</f>
        <v>#VALUE!</v>
      </c>
      <c r="AK211" t="e">
        <f>'All regions'!G5867+"$F;@!)nF"</f>
        <v>#VALUE!</v>
      </c>
      <c r="AL211" t="e">
        <f>'All regions'!H5867+"$F;@!)nG"</f>
        <v>#VALUE!</v>
      </c>
      <c r="AM211" t="e">
        <f>'All regions'!A5868+"$F;@!)nH"</f>
        <v>#VALUE!</v>
      </c>
      <c r="AN211" t="e">
        <f>'All regions'!B5868+"$F;@!)nI"</f>
        <v>#VALUE!</v>
      </c>
      <c r="AO211" t="e">
        <f>'All regions'!C5868+"$F;@!)nJ"</f>
        <v>#VALUE!</v>
      </c>
      <c r="AP211" t="e">
        <f>'All regions'!D5868+"$F;@!)nK"</f>
        <v>#VALUE!</v>
      </c>
      <c r="AQ211" t="e">
        <f>'All regions'!E5868+"$F;@!)nL"</f>
        <v>#VALUE!</v>
      </c>
      <c r="AR211" t="e">
        <f>'All regions'!F5868+"$F;@!)nM"</f>
        <v>#VALUE!</v>
      </c>
      <c r="AS211" t="e">
        <f>'All regions'!G5868+"$F;@!)nN"</f>
        <v>#VALUE!</v>
      </c>
      <c r="AT211" t="e">
        <f>'All regions'!H5868+"$F;@!)nO"</f>
        <v>#VALUE!</v>
      </c>
      <c r="AU211" t="e">
        <f>'All regions'!I5868+"$F;@!)nP"</f>
        <v>#VALUE!</v>
      </c>
      <c r="AV211" t="e">
        <f>'All regions'!A5869+"$F;@!)nQ"</f>
        <v>#VALUE!</v>
      </c>
      <c r="AW211" t="e">
        <f>'All regions'!B5869+"$F;@!)nR"</f>
        <v>#VALUE!</v>
      </c>
      <c r="AX211" t="e">
        <f>'All regions'!C5869+"$F;@!)nS"</f>
        <v>#VALUE!</v>
      </c>
      <c r="AY211" t="e">
        <f>'All regions'!D5869+"$F;@!)nT"</f>
        <v>#VALUE!</v>
      </c>
      <c r="AZ211" t="e">
        <f>'All regions'!E5869+"$F;@!)nU"</f>
        <v>#VALUE!</v>
      </c>
      <c r="BA211" t="e">
        <f>'All regions'!F5869+"$F;@!)nV"</f>
        <v>#VALUE!</v>
      </c>
      <c r="BB211" t="e">
        <f>'All regions'!G5869+"$F;@!)nW"</f>
        <v>#VALUE!</v>
      </c>
      <c r="BC211" t="e">
        <f>'All regions'!H5869+"$F;@!)nX"</f>
        <v>#VALUE!</v>
      </c>
      <c r="BD211" t="e">
        <f>'All regions'!I5869+"$F;@!)nY"</f>
        <v>#VALUE!</v>
      </c>
      <c r="BE211" t="e">
        <f>'All regions'!A5870+"$F;@!)nZ"</f>
        <v>#VALUE!</v>
      </c>
      <c r="BF211" t="e">
        <f>'All regions'!B5870+"$F;@!)n["</f>
        <v>#VALUE!</v>
      </c>
      <c r="BG211" t="e">
        <f>'All regions'!C5870+"$F;@!)n\"</f>
        <v>#VALUE!</v>
      </c>
      <c r="BH211" t="e">
        <f>'All regions'!D5870+"$F;@!)n]"</f>
        <v>#VALUE!</v>
      </c>
      <c r="BI211" t="e">
        <f>'All regions'!E5870+"$F;@!)n^"</f>
        <v>#VALUE!</v>
      </c>
      <c r="BJ211" t="e">
        <f>'All regions'!F5870+"$F;@!)n_"</f>
        <v>#VALUE!</v>
      </c>
      <c r="BK211" t="e">
        <f>'All regions'!G5870+"$F;@!)n`"</f>
        <v>#VALUE!</v>
      </c>
      <c r="BL211" t="e">
        <f>'All regions'!H5870+"$F;@!)na"</f>
        <v>#VALUE!</v>
      </c>
      <c r="BM211" t="e">
        <f>'All regions'!I5870+"$F;@!)nb"</f>
        <v>#VALUE!</v>
      </c>
      <c r="BN211" t="e">
        <f>'All regions'!A5871+"$F;@!)nc"</f>
        <v>#VALUE!</v>
      </c>
      <c r="BO211" t="e">
        <f>'All regions'!B5871+"$F;@!)nd"</f>
        <v>#VALUE!</v>
      </c>
      <c r="BP211" t="e">
        <f>'All regions'!C5871+"$F;@!)ne"</f>
        <v>#VALUE!</v>
      </c>
      <c r="BQ211" t="e">
        <f>'All regions'!D5871+"$F;@!)nf"</f>
        <v>#VALUE!</v>
      </c>
      <c r="BR211" t="e">
        <f>'All regions'!E5871+"$F;@!)ng"</f>
        <v>#VALUE!</v>
      </c>
      <c r="BS211" t="e">
        <f>'All regions'!F5871+"$F;@!)nh"</f>
        <v>#VALUE!</v>
      </c>
      <c r="BT211" t="e">
        <f>'All regions'!G5871+"$F;@!)ni"</f>
        <v>#VALUE!</v>
      </c>
      <c r="BU211" t="e">
        <f>'All regions'!H5871+"$F;@!)nj"</f>
        <v>#VALUE!</v>
      </c>
      <c r="BV211" t="e">
        <f>'All regions'!I5871+"$F;@!)nk"</f>
        <v>#VALUE!</v>
      </c>
      <c r="BW211" t="e">
        <f>'All regions'!A5872+"$F;@!)nl"</f>
        <v>#VALUE!</v>
      </c>
      <c r="BX211" t="e">
        <f>'All regions'!B5872+"$F;@!)nm"</f>
        <v>#VALUE!</v>
      </c>
      <c r="BY211" t="e">
        <f>'All regions'!C5872+"$F;@!)nn"</f>
        <v>#VALUE!</v>
      </c>
      <c r="BZ211" t="e">
        <f>'All regions'!D5872+"$F;@!)no"</f>
        <v>#VALUE!</v>
      </c>
      <c r="CA211" t="e">
        <f>'All regions'!E5872+"$F;@!)np"</f>
        <v>#VALUE!</v>
      </c>
      <c r="CB211" t="e">
        <f>'All regions'!F5872+"$F;@!)nq"</f>
        <v>#VALUE!</v>
      </c>
      <c r="CC211" t="e">
        <f>'All regions'!G5872+"$F;@!)nr"</f>
        <v>#VALUE!</v>
      </c>
      <c r="CD211" t="e">
        <f>'All regions'!H5872+"$F;@!)ns"</f>
        <v>#VALUE!</v>
      </c>
      <c r="CE211" t="e">
        <f>'All regions'!I5872+"$F;@!)nt"</f>
        <v>#VALUE!</v>
      </c>
      <c r="CF211" t="e">
        <f>'All regions'!A5873+"$F;@!)nu"</f>
        <v>#VALUE!</v>
      </c>
      <c r="CG211" t="e">
        <f>'All regions'!B5873+"$F;@!)nv"</f>
        <v>#VALUE!</v>
      </c>
      <c r="CH211" t="e">
        <f>'All regions'!C5873+"$F;@!)nw"</f>
        <v>#VALUE!</v>
      </c>
      <c r="CI211" t="e">
        <f>'All regions'!D5873+"$F;@!)nx"</f>
        <v>#VALUE!</v>
      </c>
      <c r="CJ211" t="e">
        <f>'All regions'!E5873+"$F;@!)ny"</f>
        <v>#VALUE!</v>
      </c>
      <c r="CK211" t="e">
        <f>'All regions'!F5873+"$F;@!)nz"</f>
        <v>#VALUE!</v>
      </c>
      <c r="CL211" t="e">
        <f>'All regions'!G5873+"$F;@!)n{"</f>
        <v>#VALUE!</v>
      </c>
      <c r="CM211" t="e">
        <f>'All regions'!H5873+"$F;@!)n|"</f>
        <v>#VALUE!</v>
      </c>
      <c r="CN211" t="e">
        <f>'All regions'!I5873+"$F;@!)n}"</f>
        <v>#VALUE!</v>
      </c>
      <c r="CO211" t="e">
        <f>'All regions'!A5874+"$F;@!)n~"</f>
        <v>#VALUE!</v>
      </c>
      <c r="CP211" t="e">
        <f>'All regions'!B5874+"$F;@!)o#"</f>
        <v>#VALUE!</v>
      </c>
      <c r="CQ211" t="e">
        <f>'All regions'!C5874+"$F;@!)o$"</f>
        <v>#VALUE!</v>
      </c>
      <c r="CR211" t="e">
        <f>'All regions'!D5874+"$F;@!)o%"</f>
        <v>#VALUE!</v>
      </c>
      <c r="CS211" t="e">
        <f>'All regions'!E5874+"$F;@!)o&amp;"</f>
        <v>#VALUE!</v>
      </c>
      <c r="CT211" t="e">
        <f>'All regions'!F5874+"$F;@!)o'"</f>
        <v>#VALUE!</v>
      </c>
      <c r="CU211" t="e">
        <f>'All regions'!G5874+"$F;@!)o("</f>
        <v>#VALUE!</v>
      </c>
      <c r="CV211" t="e">
        <f>'All regions'!H5874+"$F;@!)o)"</f>
        <v>#VALUE!</v>
      </c>
      <c r="CW211" t="e">
        <f>'All regions'!I5874+"$F;@!)o."</f>
        <v>#VALUE!</v>
      </c>
      <c r="CX211" t="e">
        <f>'All regions'!A5875+"$F;@!)o/"</f>
        <v>#VALUE!</v>
      </c>
      <c r="CY211" t="e">
        <f>'All regions'!B5875+"$F;@!)o0"</f>
        <v>#VALUE!</v>
      </c>
      <c r="CZ211" t="e">
        <f>'All regions'!C5875+"$F;@!)o1"</f>
        <v>#VALUE!</v>
      </c>
      <c r="DA211" t="e">
        <f>'All regions'!D5875+"$F;@!)o2"</f>
        <v>#VALUE!</v>
      </c>
      <c r="DB211" t="e">
        <f>'All regions'!E5875+"$F;@!)o3"</f>
        <v>#VALUE!</v>
      </c>
      <c r="DC211" t="e">
        <f>'All regions'!F5875+"$F;@!)o4"</f>
        <v>#VALUE!</v>
      </c>
      <c r="DD211" t="e">
        <f>'All regions'!G5875+"$F;@!)o5"</f>
        <v>#VALUE!</v>
      </c>
      <c r="DE211" t="e">
        <f>'All regions'!H5875+"$F;@!)o6"</f>
        <v>#VALUE!</v>
      </c>
      <c r="DF211" t="e">
        <f>'All regions'!I5875+"$F;@!)o7"</f>
        <v>#VALUE!</v>
      </c>
      <c r="DG211" t="e">
        <f>'All regions'!A5876+"$F;@!)o8"</f>
        <v>#VALUE!</v>
      </c>
      <c r="DH211" t="e">
        <f>'All regions'!B5876+"$F;@!)o9"</f>
        <v>#VALUE!</v>
      </c>
      <c r="DI211" t="e">
        <f>'All regions'!C5876+"$F;@!)o:"</f>
        <v>#VALUE!</v>
      </c>
      <c r="DJ211" t="e">
        <f>'All regions'!D5876+"$F;@!)o;"</f>
        <v>#VALUE!</v>
      </c>
      <c r="DK211" t="e">
        <f>'All regions'!E5876+"$F;@!)o&lt;"</f>
        <v>#VALUE!</v>
      </c>
      <c r="DL211" t="e">
        <f>'All regions'!F5876+"$F;@!)o="</f>
        <v>#VALUE!</v>
      </c>
      <c r="DM211" t="e">
        <f>'All regions'!G5876+"$F;@!)o&gt;"</f>
        <v>#VALUE!</v>
      </c>
      <c r="DN211" t="e">
        <f>'All regions'!H5876+"$F;@!)o?"</f>
        <v>#VALUE!</v>
      </c>
      <c r="DO211" t="e">
        <f>'All regions'!I5876+"$F;@!)o@"</f>
        <v>#VALUE!</v>
      </c>
      <c r="DP211" t="e">
        <f>'All regions'!A5877+"$F;@!)oA"</f>
        <v>#VALUE!</v>
      </c>
      <c r="DQ211" t="e">
        <f>'All regions'!B5877+"$F;@!)oB"</f>
        <v>#VALUE!</v>
      </c>
      <c r="DR211" t="e">
        <f>'All regions'!C5877+"$F;@!)oC"</f>
        <v>#VALUE!</v>
      </c>
      <c r="DS211" t="e">
        <f>'All regions'!D5877+"$F;@!)oD"</f>
        <v>#VALUE!</v>
      </c>
      <c r="DT211" t="e">
        <f>'All regions'!E5877+"$F;@!)oE"</f>
        <v>#VALUE!</v>
      </c>
      <c r="DU211" t="e">
        <f>'All regions'!F5877+"$F;@!)oF"</f>
        <v>#VALUE!</v>
      </c>
      <c r="DV211" t="e">
        <f>'All regions'!G5877+"$F;@!)oG"</f>
        <v>#VALUE!</v>
      </c>
      <c r="DW211" t="e">
        <f>'All regions'!H5877+"$F;@!)oH"</f>
        <v>#VALUE!</v>
      </c>
      <c r="DX211" t="e">
        <f>'All regions'!I5877+"$F;@!)oI"</f>
        <v>#VALUE!</v>
      </c>
      <c r="DY211" t="e">
        <f>'All regions'!A5884+"$F;@!)oJ"</f>
        <v>#VALUE!</v>
      </c>
      <c r="DZ211" t="e">
        <f>'All regions'!B5884+"$F;@!)oK"</f>
        <v>#VALUE!</v>
      </c>
      <c r="EA211" t="e">
        <f>'All regions'!C5884+"$F;@!)oL"</f>
        <v>#VALUE!</v>
      </c>
      <c r="EB211" t="e">
        <f>'All regions'!D5884+"$F;@!)oM"</f>
        <v>#VALUE!</v>
      </c>
      <c r="EC211" t="e">
        <f>'All regions'!E5884+"$F;@!)oN"</f>
        <v>#VALUE!</v>
      </c>
      <c r="ED211" t="e">
        <f>'All regions'!F5884+"$F;@!)oO"</f>
        <v>#VALUE!</v>
      </c>
      <c r="EE211" t="e">
        <f>'All regions'!G5884+"$F;@!)oP"</f>
        <v>#VALUE!</v>
      </c>
      <c r="EF211" t="e">
        <f>'All regions'!H5884+"$F;@!)oQ"</f>
        <v>#VALUE!</v>
      </c>
      <c r="EG211" t="e">
        <f>'All regions'!I5884+"$F;@!)oR"</f>
        <v>#VALUE!</v>
      </c>
      <c r="EH211" t="e">
        <f>'All regions'!A5885+"$F;@!)oS"</f>
        <v>#VALUE!</v>
      </c>
      <c r="EI211" t="e">
        <f>'All regions'!B5885+"$F;@!)oT"</f>
        <v>#VALUE!</v>
      </c>
      <c r="EJ211" t="e">
        <f>'All regions'!C5885+"$F;@!)oU"</f>
        <v>#VALUE!</v>
      </c>
      <c r="EK211" t="e">
        <f>'All regions'!D5885+"$F;@!)oV"</f>
        <v>#VALUE!</v>
      </c>
      <c r="EL211" t="e">
        <f>'All regions'!E5885+"$F;@!)oW"</f>
        <v>#VALUE!</v>
      </c>
      <c r="EM211" t="e">
        <f>'All regions'!F5885+"$F;@!)oX"</f>
        <v>#VALUE!</v>
      </c>
      <c r="EN211" t="e">
        <f>'All regions'!G5885+"$F;@!)oY"</f>
        <v>#VALUE!</v>
      </c>
      <c r="EO211" t="e">
        <f>'All regions'!H5885+"$F;@!)oZ"</f>
        <v>#VALUE!</v>
      </c>
      <c r="EP211" t="e">
        <f>'All regions'!I5885+"$F;@!)o["</f>
        <v>#VALUE!</v>
      </c>
      <c r="EQ211" t="e">
        <f>'All regions'!A5886+"$F;@!)o\"</f>
        <v>#VALUE!</v>
      </c>
      <c r="ER211" t="e">
        <f>'All regions'!B5886+"$F;@!)o]"</f>
        <v>#VALUE!</v>
      </c>
      <c r="ES211" t="e">
        <f>'All regions'!C5886+"$F;@!)o^"</f>
        <v>#VALUE!</v>
      </c>
      <c r="ET211" t="e">
        <f>'All regions'!D5886+"$F;@!)o_"</f>
        <v>#VALUE!</v>
      </c>
      <c r="EU211" t="e">
        <f>'All regions'!E5886+"$F;@!)o`"</f>
        <v>#VALUE!</v>
      </c>
      <c r="EV211" t="e">
        <f>'All regions'!F5886+"$F;@!)oa"</f>
        <v>#VALUE!</v>
      </c>
      <c r="EW211" t="e">
        <f>'All regions'!G5886+"$F;@!)ob"</f>
        <v>#VALUE!</v>
      </c>
      <c r="EX211" t="e">
        <f>'All regions'!H5886+"$F;@!)oc"</f>
        <v>#VALUE!</v>
      </c>
      <c r="EY211" t="e">
        <f>'All regions'!I5886+"$F;@!)od"</f>
        <v>#VALUE!</v>
      </c>
      <c r="EZ211" t="e">
        <f>'All regions'!A5887+"$F;@!)oe"</f>
        <v>#VALUE!</v>
      </c>
      <c r="FA211" t="e">
        <f>'All regions'!B5887+"$F;@!)of"</f>
        <v>#VALUE!</v>
      </c>
      <c r="FB211" t="e">
        <f>'All regions'!C5887+"$F;@!)og"</f>
        <v>#VALUE!</v>
      </c>
      <c r="FC211" t="e">
        <f>'All regions'!D5887+"$F;@!)oh"</f>
        <v>#VALUE!</v>
      </c>
      <c r="FD211" t="e">
        <f>'All regions'!E5887+"$F;@!)oi"</f>
        <v>#VALUE!</v>
      </c>
      <c r="FE211" t="e">
        <f>'All regions'!F5887+"$F;@!)oj"</f>
        <v>#VALUE!</v>
      </c>
      <c r="FF211" t="e">
        <f>'All regions'!G5887+"$F;@!)ok"</f>
        <v>#VALUE!</v>
      </c>
      <c r="FG211" t="e">
        <f>'All regions'!H5887+"$F;@!)ol"</f>
        <v>#VALUE!</v>
      </c>
      <c r="FH211" t="e">
        <f>'All regions'!I5887+"$F;@!)om"</f>
        <v>#VALUE!</v>
      </c>
      <c r="FI211" t="e">
        <f>'All regions'!A5888+"$F;@!)on"</f>
        <v>#VALUE!</v>
      </c>
      <c r="FJ211" t="e">
        <f>'All regions'!B5888+"$F;@!)oo"</f>
        <v>#VALUE!</v>
      </c>
      <c r="FK211" t="e">
        <f>'All regions'!C5888+"$F;@!)op"</f>
        <v>#VALUE!</v>
      </c>
      <c r="FL211" t="e">
        <f>'All regions'!D5888+"$F;@!)oq"</f>
        <v>#VALUE!</v>
      </c>
      <c r="FM211" t="e">
        <f>'All regions'!E5888+"$F;@!)or"</f>
        <v>#VALUE!</v>
      </c>
      <c r="FN211" t="e">
        <f>'All regions'!F5888+"$F;@!)os"</f>
        <v>#VALUE!</v>
      </c>
      <c r="FO211" t="e">
        <f>'All regions'!G5888+"$F;@!)ot"</f>
        <v>#VALUE!</v>
      </c>
      <c r="FP211" t="e">
        <f>'All regions'!H5888+"$F;@!)ou"</f>
        <v>#VALUE!</v>
      </c>
      <c r="FQ211" t="e">
        <f>'All regions'!I5888+"$F;@!)ov"</f>
        <v>#VALUE!</v>
      </c>
      <c r="FR211" t="e">
        <f>'All regions'!A5889+"$F;@!)ow"</f>
        <v>#VALUE!</v>
      </c>
      <c r="FS211" t="e">
        <f>'All regions'!B5889+"$F;@!)ox"</f>
        <v>#VALUE!</v>
      </c>
      <c r="FT211" t="e">
        <f>'All regions'!C5889+"$F;@!)oy"</f>
        <v>#VALUE!</v>
      </c>
      <c r="FU211" t="e">
        <f>'All regions'!D5889+"$F;@!)oz"</f>
        <v>#VALUE!</v>
      </c>
      <c r="FV211" t="e">
        <f>'All regions'!E5889+"$F;@!)o{"</f>
        <v>#VALUE!</v>
      </c>
      <c r="FW211" t="e">
        <f>'All regions'!F5889+"$F;@!)o|"</f>
        <v>#VALUE!</v>
      </c>
      <c r="FX211" t="e">
        <f>'All regions'!G5889+"$F;@!)o}"</f>
        <v>#VALUE!</v>
      </c>
      <c r="FY211" t="e">
        <f>'All regions'!H5889+"$F;@!)o~"</f>
        <v>#VALUE!</v>
      </c>
      <c r="FZ211" t="e">
        <f>'All regions'!I5889+"$F;@!)p#"</f>
        <v>#VALUE!</v>
      </c>
      <c r="GA211" t="e">
        <f>'All regions'!A5890+"$F;@!)p$"</f>
        <v>#VALUE!</v>
      </c>
      <c r="GB211" t="e">
        <f>'All regions'!B5890+"$F;@!)p%"</f>
        <v>#VALUE!</v>
      </c>
      <c r="GC211" t="e">
        <f>'All regions'!C5890+"$F;@!)p&amp;"</f>
        <v>#VALUE!</v>
      </c>
      <c r="GD211" t="e">
        <f>'All regions'!D5890+"$F;@!)p'"</f>
        <v>#VALUE!</v>
      </c>
      <c r="GE211" t="e">
        <f>'All regions'!E5890+"$F;@!)p("</f>
        <v>#VALUE!</v>
      </c>
      <c r="GF211" t="e">
        <f>'All regions'!F5890+"$F;@!)p)"</f>
        <v>#VALUE!</v>
      </c>
      <c r="GG211" t="e">
        <f>'All regions'!G5890+"$F;@!)p."</f>
        <v>#VALUE!</v>
      </c>
      <c r="GH211" t="e">
        <f>'All regions'!H5890+"$F;@!)p/"</f>
        <v>#VALUE!</v>
      </c>
      <c r="GI211" t="e">
        <f>'All regions'!I5890+"$F;@!)p0"</f>
        <v>#VALUE!</v>
      </c>
      <c r="GJ211" t="e">
        <f>'All regions'!A5891+"$F;@!)p1"</f>
        <v>#VALUE!</v>
      </c>
      <c r="GK211" t="e">
        <f>'All regions'!B5891+"$F;@!)p2"</f>
        <v>#VALUE!</v>
      </c>
      <c r="GL211" t="e">
        <f>'All regions'!C5891+"$F;@!)p3"</f>
        <v>#VALUE!</v>
      </c>
      <c r="GM211" t="e">
        <f>'All regions'!D5891+"$F;@!)p4"</f>
        <v>#VALUE!</v>
      </c>
      <c r="GN211" t="e">
        <f>'All regions'!E5891+"$F;@!)p5"</f>
        <v>#VALUE!</v>
      </c>
      <c r="GO211" t="e">
        <f>'All regions'!F5891+"$F;@!)p6"</f>
        <v>#VALUE!</v>
      </c>
      <c r="GP211" t="e">
        <f>'All regions'!G5891+"$F;@!)p7"</f>
        <v>#VALUE!</v>
      </c>
      <c r="GQ211" t="e">
        <f>'All regions'!H5891+"$F;@!)p8"</f>
        <v>#VALUE!</v>
      </c>
      <c r="GR211" t="e">
        <f>'All regions'!I5891+"$F;@!)p9"</f>
        <v>#VALUE!</v>
      </c>
      <c r="GS211" t="e">
        <f>'All regions'!A5892+"$F;@!)p:"</f>
        <v>#VALUE!</v>
      </c>
      <c r="GT211" t="e">
        <f>'All regions'!B5892+"$F;@!)p;"</f>
        <v>#VALUE!</v>
      </c>
      <c r="GU211" t="e">
        <f>'All regions'!C5892+"$F;@!)p&lt;"</f>
        <v>#VALUE!</v>
      </c>
      <c r="GV211" t="e">
        <f>'All regions'!D5892+"$F;@!)p="</f>
        <v>#VALUE!</v>
      </c>
      <c r="GW211" t="e">
        <f>'All regions'!E5892+"$F;@!)p&gt;"</f>
        <v>#VALUE!</v>
      </c>
      <c r="GX211" t="e">
        <f>'All regions'!F5892+"$F;@!)p?"</f>
        <v>#VALUE!</v>
      </c>
      <c r="GY211" t="e">
        <f>'All regions'!G5892+"$F;@!)p@"</f>
        <v>#VALUE!</v>
      </c>
      <c r="GZ211" t="e">
        <f>'All regions'!H5892+"$F;@!)pA"</f>
        <v>#VALUE!</v>
      </c>
      <c r="HA211" t="e">
        <f>'All regions'!I5892+"$F;@!)pB"</f>
        <v>#VALUE!</v>
      </c>
      <c r="HB211" t="e">
        <f>'All regions'!A5893+"$F;@!)pC"</f>
        <v>#VALUE!</v>
      </c>
      <c r="HC211" t="e">
        <f>'All regions'!B5893+"$F;@!)pD"</f>
        <v>#VALUE!</v>
      </c>
      <c r="HD211" t="e">
        <f>'All regions'!C5893+"$F;@!)pE"</f>
        <v>#VALUE!</v>
      </c>
      <c r="HE211" t="e">
        <f>'All regions'!D5893+"$F;@!)pF"</f>
        <v>#VALUE!</v>
      </c>
      <c r="HF211" t="e">
        <f>'All regions'!E5893+"$F;@!)pG"</f>
        <v>#VALUE!</v>
      </c>
      <c r="HG211" t="e">
        <f>'All regions'!F5893+"$F;@!)pH"</f>
        <v>#VALUE!</v>
      </c>
      <c r="HH211" t="e">
        <f>'All regions'!G5893+"$F;@!)pI"</f>
        <v>#VALUE!</v>
      </c>
      <c r="HI211" t="e">
        <f>'All regions'!H5893+"$F;@!)pJ"</f>
        <v>#VALUE!</v>
      </c>
      <c r="HJ211" t="e">
        <f>'All regions'!I5893+"$F;@!)pK"</f>
        <v>#VALUE!</v>
      </c>
      <c r="HK211" t="e">
        <f>'All regions'!A5894+"$F;@!)pL"</f>
        <v>#VALUE!</v>
      </c>
      <c r="HL211" t="e">
        <f>'All regions'!B5894+"$F;@!)pM"</f>
        <v>#VALUE!</v>
      </c>
      <c r="HM211" t="e">
        <f>'All regions'!C5894+"$F;@!)pN"</f>
        <v>#VALUE!</v>
      </c>
      <c r="HN211" t="e">
        <f>'All regions'!D5894+"$F;@!)pO"</f>
        <v>#VALUE!</v>
      </c>
      <c r="HO211" t="e">
        <f>'All regions'!E5894+"$F;@!)pP"</f>
        <v>#VALUE!</v>
      </c>
      <c r="HP211" t="e">
        <f>'All regions'!F5894+"$F;@!)pQ"</f>
        <v>#VALUE!</v>
      </c>
      <c r="HQ211" t="e">
        <f>'All regions'!G5894+"$F;@!)pR"</f>
        <v>#VALUE!</v>
      </c>
      <c r="HR211" t="e">
        <f>'All regions'!H5894+"$F;@!)pS"</f>
        <v>#VALUE!</v>
      </c>
      <c r="HS211" t="e">
        <f>'All regions'!I5894+"$F;@!)pT"</f>
        <v>#VALUE!</v>
      </c>
      <c r="HT211" t="e">
        <f>'All regions'!A5895+"$F;@!)pU"</f>
        <v>#VALUE!</v>
      </c>
      <c r="HU211" t="e">
        <f>'All regions'!B5895+"$F;@!)pV"</f>
        <v>#VALUE!</v>
      </c>
      <c r="HV211" t="e">
        <f>'All regions'!C5895+"$F;@!)pW"</f>
        <v>#VALUE!</v>
      </c>
      <c r="HW211" t="e">
        <f>'All regions'!D5895+"$F;@!)pX"</f>
        <v>#VALUE!</v>
      </c>
      <c r="HX211" t="e">
        <f>'All regions'!E5895+"$F;@!)pY"</f>
        <v>#VALUE!</v>
      </c>
      <c r="HY211" t="e">
        <f>'All regions'!F5895+"$F;@!)pZ"</f>
        <v>#VALUE!</v>
      </c>
      <c r="HZ211" t="e">
        <f>'All regions'!G5895+"$F;@!)p["</f>
        <v>#VALUE!</v>
      </c>
      <c r="IA211" t="e">
        <f>'All regions'!H5895+"$F;@!)p\"</f>
        <v>#VALUE!</v>
      </c>
      <c r="IB211" t="e">
        <f>'All regions'!I5895+"$F;@!)p]"</f>
        <v>#VALUE!</v>
      </c>
      <c r="IC211" t="e">
        <f>'All regions'!A5896+"$F;@!)p^"</f>
        <v>#VALUE!</v>
      </c>
      <c r="ID211" t="e">
        <f>'All regions'!B5896+"$F;@!)p_"</f>
        <v>#VALUE!</v>
      </c>
      <c r="IE211" t="e">
        <f>'All regions'!C5896+"$F;@!)p`"</f>
        <v>#VALUE!</v>
      </c>
      <c r="IF211" t="e">
        <f>'All regions'!D5896+"$F;@!)pa"</f>
        <v>#VALUE!</v>
      </c>
      <c r="IG211" t="e">
        <f>'All regions'!E5896+"$F;@!)pb"</f>
        <v>#VALUE!</v>
      </c>
      <c r="IH211" t="e">
        <f>'All regions'!F5896+"$F;@!)pc"</f>
        <v>#VALUE!</v>
      </c>
      <c r="II211" t="e">
        <f>'All regions'!G5896+"$F;@!)pd"</f>
        <v>#VALUE!</v>
      </c>
      <c r="IJ211" t="e">
        <f>'All regions'!H5896+"$F;@!)pe"</f>
        <v>#VALUE!</v>
      </c>
      <c r="IK211" t="e">
        <f>'All regions'!I5896+"$F;@!)pf"</f>
        <v>#VALUE!</v>
      </c>
      <c r="IL211" t="e">
        <f>'All regions'!A5897+"$F;@!)pg"</f>
        <v>#VALUE!</v>
      </c>
      <c r="IM211" t="e">
        <f>'All regions'!B5897+"$F;@!)ph"</f>
        <v>#VALUE!</v>
      </c>
      <c r="IN211" t="e">
        <f>'All regions'!C5897+"$F;@!)pi"</f>
        <v>#VALUE!</v>
      </c>
      <c r="IO211" t="e">
        <f>'All regions'!D5897+"$F;@!)pj"</f>
        <v>#VALUE!</v>
      </c>
      <c r="IP211" t="e">
        <f>'All regions'!E5897+"$F;@!)pk"</f>
        <v>#VALUE!</v>
      </c>
      <c r="IQ211" t="e">
        <f>'All regions'!F5897+"$F;@!)pl"</f>
        <v>#VALUE!</v>
      </c>
      <c r="IR211" t="e">
        <f>'All regions'!G5897+"$F;@!)pm"</f>
        <v>#VALUE!</v>
      </c>
      <c r="IS211" t="e">
        <f>'All regions'!H5897+"$F;@!)pn"</f>
        <v>#VALUE!</v>
      </c>
      <c r="IT211" t="e">
        <f>'All regions'!I5897+"$F;@!)po"</f>
        <v>#VALUE!</v>
      </c>
      <c r="IU211" t="e">
        <f>'All regions'!A5898+"$F;@!)pp"</f>
        <v>#VALUE!</v>
      </c>
      <c r="IV211" t="e">
        <f>'All regions'!B5898+"$F;@!)pq"</f>
        <v>#VALUE!</v>
      </c>
    </row>
    <row r="212" spans="6:256" x14ac:dyDescent="0.35">
      <c r="F212" t="e">
        <f>'All regions'!C5898+"$F;@!)pr"</f>
        <v>#VALUE!</v>
      </c>
      <c r="G212" t="e">
        <f>'All regions'!D5898+"$F;@!)ps"</f>
        <v>#VALUE!</v>
      </c>
      <c r="H212" t="e">
        <f>'All regions'!E5898+"$F;@!)pt"</f>
        <v>#VALUE!</v>
      </c>
      <c r="I212" t="e">
        <f>'All regions'!F5898+"$F;@!)pu"</f>
        <v>#VALUE!</v>
      </c>
      <c r="J212" t="e">
        <f>'All regions'!G5898+"$F;@!)pv"</f>
        <v>#VALUE!</v>
      </c>
      <c r="K212" t="e">
        <f>'All regions'!H5898+"$F;@!)pw"</f>
        <v>#VALUE!</v>
      </c>
      <c r="L212" t="e">
        <f>'All regions'!I5898+"$F;@!)px"</f>
        <v>#VALUE!</v>
      </c>
      <c r="M212" t="e">
        <f>'All regions'!A5899+"$F;@!)py"</f>
        <v>#VALUE!</v>
      </c>
      <c r="N212" t="e">
        <f>'All regions'!B5899+"$F;@!)pz"</f>
        <v>#VALUE!</v>
      </c>
      <c r="O212" t="e">
        <f>'All regions'!C5899+"$F;@!)p{"</f>
        <v>#VALUE!</v>
      </c>
      <c r="P212" t="e">
        <f>'All regions'!D5899+"$F;@!)p|"</f>
        <v>#VALUE!</v>
      </c>
      <c r="Q212" t="e">
        <f>'All regions'!E5899+"$F;@!)p}"</f>
        <v>#VALUE!</v>
      </c>
      <c r="R212" t="e">
        <f>'All regions'!F5899+"$F;@!)p~"</f>
        <v>#VALUE!</v>
      </c>
      <c r="S212" t="e">
        <f>'All regions'!G5899+"$F;@!)q#"</f>
        <v>#VALUE!</v>
      </c>
      <c r="T212" t="e">
        <f>'All regions'!H5899+"$F;@!)q$"</f>
        <v>#VALUE!</v>
      </c>
      <c r="U212" t="e">
        <f>'All regions'!I5899+"$F;@!)q%"</f>
        <v>#VALUE!</v>
      </c>
      <c r="V212" t="e">
        <f>'All regions'!A5900+"$F;@!)q&amp;"</f>
        <v>#VALUE!</v>
      </c>
      <c r="W212" t="e">
        <f>'All regions'!B5900+"$F;@!)q'"</f>
        <v>#VALUE!</v>
      </c>
      <c r="X212" t="e">
        <f>'All regions'!C5900+"$F;@!)q("</f>
        <v>#VALUE!</v>
      </c>
      <c r="Y212" t="e">
        <f>'All regions'!D5900+"$F;@!)q)"</f>
        <v>#VALUE!</v>
      </c>
      <c r="Z212" t="e">
        <f>'All regions'!E5900+"$F;@!)q."</f>
        <v>#VALUE!</v>
      </c>
      <c r="AA212" t="e">
        <f>'All regions'!F5900+"$F;@!)q/"</f>
        <v>#VALUE!</v>
      </c>
      <c r="AB212" t="e">
        <f>'All regions'!G5900+"$F;@!)q0"</f>
        <v>#VALUE!</v>
      </c>
      <c r="AC212" t="e">
        <f>'All regions'!H5900+"$F;@!)q1"</f>
        <v>#VALUE!</v>
      </c>
      <c r="AD212" t="e">
        <f>'All regions'!I5900+"$F;@!)q2"</f>
        <v>#VALUE!</v>
      </c>
      <c r="AE212" t="e">
        <f>'All regions'!A5902+"$F;@!)q3"</f>
        <v>#VALUE!</v>
      </c>
      <c r="AF212" t="e">
        <f>'All regions'!B5902+"$F;@!)q4"</f>
        <v>#VALUE!</v>
      </c>
      <c r="AG212" t="e">
        <f>'All regions'!C5902+"$F;@!)q5"</f>
        <v>#VALUE!</v>
      </c>
      <c r="AH212" t="e">
        <f>'All regions'!D5902+"$F;@!)q6"</f>
        <v>#VALUE!</v>
      </c>
      <c r="AI212" t="e">
        <f>'All regions'!E5902+"$F;@!)q7"</f>
        <v>#VALUE!</v>
      </c>
      <c r="AJ212" t="e">
        <f>'All regions'!F5902+"$F;@!)q8"</f>
        <v>#VALUE!</v>
      </c>
      <c r="AK212" t="e">
        <f>'All regions'!G5902+"$F;@!)q9"</f>
        <v>#VALUE!</v>
      </c>
      <c r="AL212" t="e">
        <f>'All regions'!H5902+"$F;@!)q:"</f>
        <v>#VALUE!</v>
      </c>
      <c r="AM212" t="e">
        <f>'All regions'!I5902+"$F;@!)q;"</f>
        <v>#VALUE!</v>
      </c>
      <c r="AN212" t="e">
        <f>'All regions'!A5903+"$F;@!)q&lt;"</f>
        <v>#VALUE!</v>
      </c>
      <c r="AO212" t="e">
        <f>'All regions'!B5903+"$F;@!)q="</f>
        <v>#VALUE!</v>
      </c>
      <c r="AP212" t="e">
        <f>'All regions'!C5903+"$F;@!)q&gt;"</f>
        <v>#VALUE!</v>
      </c>
      <c r="AQ212" t="e">
        <f>'All regions'!D5903+"$F;@!)q?"</f>
        <v>#VALUE!</v>
      </c>
      <c r="AR212" t="e">
        <f>'All regions'!E5903+"$F;@!)q@"</f>
        <v>#VALUE!</v>
      </c>
      <c r="AS212" t="e">
        <f>'All regions'!A5904+"$F;@!)qA"</f>
        <v>#VALUE!</v>
      </c>
      <c r="AT212" t="e">
        <f>'All regions'!B5904+"$F;@!)qB"</f>
        <v>#VALUE!</v>
      </c>
      <c r="AU212" t="e">
        <f>'All regions'!C5904+"$F;@!)qC"</f>
        <v>#VALUE!</v>
      </c>
      <c r="AV212" t="e">
        <f>'All regions'!D5904+"$F;@!)qD"</f>
        <v>#VALUE!</v>
      </c>
      <c r="AW212" t="e">
        <f>'All regions'!E5904+"$F;@!)qE"</f>
        <v>#VALUE!</v>
      </c>
      <c r="AX212" t="e">
        <f>'All regions'!F5904+"$F;@!)qF"</f>
        <v>#VALUE!</v>
      </c>
      <c r="AY212" t="e">
        <f>'All regions'!G5904+"$F;@!)qG"</f>
        <v>#VALUE!</v>
      </c>
      <c r="AZ212" t="e">
        <f>'All regions'!A:A*"$F;@!)qH"</f>
        <v>#VALUE!</v>
      </c>
      <c r="BA212" t="e">
        <f>'All regions'!B:B*"$F;@!)qI"</f>
        <v>#VALUE!</v>
      </c>
      <c r="BB212" t="e">
        <f>'All regions'!C:C*"$F;@!)qJ"</f>
        <v>#VALUE!</v>
      </c>
      <c r="BC212" t="e">
        <f>'All regions'!D:D*"$F;@!)qK"</f>
        <v>#VALUE!</v>
      </c>
      <c r="BD212" t="e">
        <f>'All regions'!E:E*"$F;@!)qL"</f>
        <v>#VALUE!</v>
      </c>
      <c r="BE212" t="e">
        <f>'All regions'!F:F*"$F;@!)qM"</f>
        <v>#VALUE!</v>
      </c>
      <c r="BF212" t="e">
        <f>'All regions'!G:G*"$F;@!)qN"</f>
        <v>#VALUE!</v>
      </c>
      <c r="BG212" t="e">
        <f>'All regions'!H:H*"$F;@!)qO"</f>
        <v>#VALUE!</v>
      </c>
      <c r="BH212" t="e">
        <f>'All regions'!I:I*"$F;@!)qP"</f>
        <v>#VALUE!</v>
      </c>
      <c r="BI212" t="e">
        <f>'All regions'!J:J*"$F;@!)qQ"</f>
        <v>#VALUE!</v>
      </c>
      <c r="BJ212" t="e">
        <f>'All regions'!K:K*"$F;@!)qR"</f>
        <v>#VALUE!</v>
      </c>
      <c r="BK212" t="e">
        <f>'All regions'!L:L*"$F;@!)qS"</f>
        <v>#VALUE!</v>
      </c>
      <c r="BL212" t="e">
        <f>'All regions'!M:M*"$F;@!)qT"</f>
        <v>#VALUE!</v>
      </c>
      <c r="BM212" t="e">
        <f>'All regions'!N:N*"$F;@!)qU"</f>
        <v>#VALUE!</v>
      </c>
      <c r="BN212" t="e">
        <f>'All regions'!O:O*"$F;@!)qV"</f>
        <v>#VALUE!</v>
      </c>
      <c r="BO212" t="e">
        <f>'All regions'!P:P*"$F;@!)qW"</f>
        <v>#VALUE!</v>
      </c>
      <c r="BP212" t="e">
        <f>'All regions'!Q:Q*"$F;@!)qX"</f>
        <v>#VALUE!</v>
      </c>
      <c r="BQ212" t="e">
        <f>'All regions'!R:R*"$F;@!)qY"</f>
        <v>#VALUE!</v>
      </c>
      <c r="BR212" t="e">
        <f>'All regions'!S:S*"$F;@!)qZ"</f>
        <v>#VALUE!</v>
      </c>
      <c r="BS212" t="e">
        <f>'All regions'!T:T*"$F;@!)q["</f>
        <v>#VALUE!</v>
      </c>
      <c r="BT212" t="e">
        <f>'All regions'!U:U*"$F;@!)q\"</f>
        <v>#VALUE!</v>
      </c>
      <c r="BU212" t="e">
        <f>'All regions'!V:V*"$F;@!)q]"</f>
        <v>#VALUE!</v>
      </c>
      <c r="BV212" t="e">
        <f>'All regions'!W:W*"$F;@!)q^"</f>
        <v>#VALUE!</v>
      </c>
      <c r="BW212" t="e">
        <f>'All regions'!X:X*"$F;@!)q_"</f>
        <v>#VALUE!</v>
      </c>
      <c r="BX212" t="e">
        <f>'All regions'!Y:Y*"$F;@!)q`"</f>
        <v>#VALUE!</v>
      </c>
      <c r="BY212" t="e">
        <f>'All regions'!Z:Z*"$F;@!)qa"</f>
        <v>#VALUE!</v>
      </c>
      <c r="BZ212" t="e">
        <f>'All regions'!AA:AA*"$F;@!)qb"</f>
        <v>#VALUE!</v>
      </c>
      <c r="CA212" t="e">
        <f>'All regions'!AB:AB*"$F;@!)qc"</f>
        <v>#VALUE!</v>
      </c>
      <c r="CB212" t="e">
        <f>'All regions'!AC:AC*"$F;@!)qd"</f>
        <v>#VALUE!</v>
      </c>
      <c r="CC212" t="e">
        <f>'All regions'!AD:AD*"$F;@!)qe"</f>
        <v>#VALUE!</v>
      </c>
      <c r="CD212" t="e">
        <f>'All regions'!AE:AE*"$F;@!)qf"</f>
        <v>#VALUE!</v>
      </c>
      <c r="CE212" t="e">
        <f>'All regions'!AF:AF*"$F;@!)qg"</f>
        <v>#VALUE!</v>
      </c>
      <c r="CF212" t="e">
        <f>'All regions'!AG:AG*"$F;@!)qh"</f>
        <v>#VALUE!</v>
      </c>
      <c r="CG212" t="e">
        <f>'All regions'!AH:AH*"$F;@!)qi"</f>
        <v>#VALUE!</v>
      </c>
      <c r="CH212" t="e">
        <f>'All regions'!AI:AI*"$F;@!)qj"</f>
        <v>#VALUE!</v>
      </c>
      <c r="CI212" t="e">
        <f>'All regions'!AJ:AJ*"$F;@!)qk"</f>
        <v>#VALUE!</v>
      </c>
      <c r="CJ212" t="e">
        <f>'All regions'!AK:AK*"$F;@!)ql"</f>
        <v>#VALUE!</v>
      </c>
      <c r="CK212" t="e">
        <f>'All regions'!AL:AL*"$F;@!)qm"</f>
        <v>#VALUE!</v>
      </c>
      <c r="CL212" t="e">
        <f>'All regions'!AM:AM*"$F;@!)qn"</f>
        <v>#VALUE!</v>
      </c>
      <c r="CM212" t="e">
        <f>'All regions'!AN:AN*"$F;@!)qo"</f>
        <v>#VALUE!</v>
      </c>
      <c r="CN212" t="e">
        <f>'All regions'!AO:AO*"$F;@!)qp"</f>
        <v>#VALUE!</v>
      </c>
      <c r="CO212" t="e">
        <f>'All regions'!AP:AP*"$F;@!)qq"</f>
        <v>#VALUE!</v>
      </c>
      <c r="CP212" t="e">
        <f>'All regions'!AQ:AQ*"$F;@!)qr"</f>
        <v>#VALUE!</v>
      </c>
      <c r="CQ212" t="e">
        <f>'All regions'!AR:AR*"$F;@!)qs"</f>
        <v>#VALUE!</v>
      </c>
      <c r="CR212" t="e">
        <f>'All regions'!AS:AS*"$F;@!)qt"</f>
        <v>#VALUE!</v>
      </c>
      <c r="CS212" t="e">
        <f>'All regions'!AT:AT*"$F;@!)qu"</f>
        <v>#VALUE!</v>
      </c>
      <c r="CT212" t="e">
        <f>'All regions'!AU:AU*"$F;@!)qv"</f>
        <v>#VALUE!</v>
      </c>
      <c r="CU212" t="e">
        <f>'All regions'!AV:AV*"$F;@!)qw"</f>
        <v>#VALUE!</v>
      </c>
      <c r="CV212" t="e">
        <f>'All regions'!AW:AW*"$F;@!)qx"</f>
        <v>#VALUE!</v>
      </c>
      <c r="CW212" t="e">
        <f>'All regions'!AX:AX*"$F;@!)qy"</f>
        <v>#VALUE!</v>
      </c>
      <c r="CX212" t="e">
        <f>'All regions'!AY:AY*"$F;@!)qz"</f>
        <v>#VALUE!</v>
      </c>
      <c r="CY212" t="e">
        <f>'All regions'!AZ:AZ*"$F;@!)q{"</f>
        <v>#VALUE!</v>
      </c>
      <c r="CZ212" t="e">
        <f>'All regions'!BA:BA*"$F;@!)q|"</f>
        <v>#VALUE!</v>
      </c>
      <c r="DA212" t="e">
        <f>'All regions'!BB:BB*"$F;@!)q}"</f>
        <v>#VALUE!</v>
      </c>
      <c r="DB212" t="e">
        <f>'All regions'!BC:BC*"$F;@!)q~"</f>
        <v>#VALUE!</v>
      </c>
      <c r="DC212" t="e">
        <f>'All regions'!BD:BD*"$F;@!)r#"</f>
        <v>#VALUE!</v>
      </c>
      <c r="DD212" t="e">
        <f>'All regions'!BE:BE*"$F;@!)r$"</f>
        <v>#VALUE!</v>
      </c>
      <c r="DE212" t="e">
        <f>'All regions'!BF:BF*"$F;@!)r%"</f>
        <v>#VALUE!</v>
      </c>
      <c r="DF212" t="e">
        <f>'All regions'!BG:BG*"$F;@!)r&amp;"</f>
        <v>#VALUE!</v>
      </c>
      <c r="DG212" t="e">
        <f>'All regions'!BH:BH*"$F;@!)r'"</f>
        <v>#VALUE!</v>
      </c>
      <c r="DH212" t="e">
        <f>'All regions'!1:1-"$F;@!)r("</f>
        <v>#VALUE!</v>
      </c>
      <c r="DI212" t="e">
        <f>'All regions'!2:2-"$F;@!)r)"</f>
        <v>#VALUE!</v>
      </c>
      <c r="DJ212" t="e">
        <f>'All regions'!3:3-"$F;@!)r."</f>
        <v>#VALUE!</v>
      </c>
      <c r="DK212" t="e">
        <f>'All regions'!4:4-"$F;@!)r/"</f>
        <v>#VALUE!</v>
      </c>
      <c r="DL212" t="e">
        <f>'All regions'!5:5-"$F;@!)r0"</f>
        <v>#VALUE!</v>
      </c>
      <c r="DM212" t="e">
        <f>'All regions'!6:6-"$F;@!)r1"</f>
        <v>#VALUE!</v>
      </c>
      <c r="DN212" t="e">
        <f>'All regions'!7:7-"$F;@!)r2"</f>
        <v>#VALUE!</v>
      </c>
      <c r="DO212" t="e">
        <f>'All regions'!8:8-"$F;@!)r3"</f>
        <v>#VALUE!</v>
      </c>
      <c r="DP212" t="e">
        <f>'All regions'!9:9-"$F;@!)r4"</f>
        <v>#VALUE!</v>
      </c>
      <c r="DQ212" t="e">
        <f>'All regions'!10:10-"$F;@!)r5"</f>
        <v>#VALUE!</v>
      </c>
      <c r="DR212" t="e">
        <f>'All regions'!11:11-"$F;@!)r6"</f>
        <v>#VALUE!</v>
      </c>
      <c r="DS212" t="e">
        <f>'All regions'!12:12-"$F;@!)r7"</f>
        <v>#VALUE!</v>
      </c>
      <c r="DT212" t="e">
        <f>'All regions'!13:13-"$F;@!)r8"</f>
        <v>#VALUE!</v>
      </c>
      <c r="DU212" t="e">
        <f>'All regions'!14:14-"$F;@!)r9"</f>
        <v>#VALUE!</v>
      </c>
      <c r="DV212" t="e">
        <f>'All regions'!15:15-"$F;@!)r:"</f>
        <v>#VALUE!</v>
      </c>
      <c r="DW212" t="e">
        <f>'All regions'!16:16-"$F;@!)r;"</f>
        <v>#VALUE!</v>
      </c>
      <c r="DX212" t="e">
        <f>'All regions'!17:17-"$F;@!)r&lt;"</f>
        <v>#VALUE!</v>
      </c>
      <c r="DY212" t="e">
        <f>'All regions'!18:18-"$F;@!)r="</f>
        <v>#VALUE!</v>
      </c>
      <c r="DZ212" t="e">
        <f>'All regions'!19:19-"$F;@!)r&gt;"</f>
        <v>#VALUE!</v>
      </c>
      <c r="EA212" t="e">
        <f>'All regions'!20:20-"$F;@!)r?"</f>
        <v>#VALUE!</v>
      </c>
      <c r="EB212" t="e">
        <f>'All regions'!21:21-"$F;@!)r@"</f>
        <v>#VALUE!</v>
      </c>
      <c r="EC212" t="e">
        <f>'All regions'!22:22-"$F;@!)rA"</f>
        <v>#VALUE!</v>
      </c>
      <c r="ED212" t="e">
        <f>'All regions'!23:23-"$F;@!)rB"</f>
        <v>#VALUE!</v>
      </c>
      <c r="EE212" t="e">
        <f>'All regions'!24:24-"$F;@!)rC"</f>
        <v>#VALUE!</v>
      </c>
      <c r="EF212" t="e">
        <f>'All regions'!25:25-"$F;@!)rD"</f>
        <v>#VALUE!</v>
      </c>
      <c r="EG212" t="e">
        <f>'All regions'!26:26-"$F;@!)rE"</f>
        <v>#VALUE!</v>
      </c>
      <c r="EH212" t="e">
        <f>'All regions'!27:27-"$F;@!)rF"</f>
        <v>#VALUE!</v>
      </c>
      <c r="EI212" t="e">
        <f>'All regions'!28:28-"$F;@!)rG"</f>
        <v>#VALUE!</v>
      </c>
      <c r="EJ212" t="e">
        <f>'All regions'!29:29-"$F;@!)rH"</f>
        <v>#VALUE!</v>
      </c>
      <c r="EK212" t="e">
        <f>'All regions'!30:30-"$F;@!)rI"</f>
        <v>#VALUE!</v>
      </c>
      <c r="EL212" t="e">
        <f>'All regions'!31:31-"$F;@!)rJ"</f>
        <v>#VALUE!</v>
      </c>
      <c r="EM212" t="e">
        <f>'All regions'!32:32-"$F;@!)rK"</f>
        <v>#VALUE!</v>
      </c>
      <c r="EN212" t="e">
        <f>'All regions'!33:33-"$F;@!)rL"</f>
        <v>#VALUE!</v>
      </c>
      <c r="EO212" t="e">
        <f>'All regions'!34:34-"$F;@!)rM"</f>
        <v>#VALUE!</v>
      </c>
      <c r="EP212" t="e">
        <f>'All regions'!35:35-"$F;@!)rN"</f>
        <v>#VALUE!</v>
      </c>
      <c r="EQ212" t="e">
        <f>'All regions'!36:36-"$F;@!)rO"</f>
        <v>#VALUE!</v>
      </c>
      <c r="ER212" t="e">
        <f>'All regions'!37:37-"$F;@!)rP"</f>
        <v>#VALUE!</v>
      </c>
      <c r="ES212" t="e">
        <f>'All regions'!38:38-"$F;@!)rQ"</f>
        <v>#VALUE!</v>
      </c>
      <c r="ET212" t="e">
        <f>'All regions'!39:39-"$F;@!)rR"</f>
        <v>#VALUE!</v>
      </c>
      <c r="EU212" t="e">
        <f>'All regions'!40:40-"$F;@!)rS"</f>
        <v>#VALUE!</v>
      </c>
      <c r="EV212" t="e">
        <f>'All regions'!41:41-"$F;@!)rT"</f>
        <v>#VALUE!</v>
      </c>
      <c r="EW212" t="e">
        <f>'All regions'!42:42-"$F;@!)rU"</f>
        <v>#VALUE!</v>
      </c>
      <c r="EX212" t="e">
        <f>'All regions'!43:43-"$F;@!)rV"</f>
        <v>#VALUE!</v>
      </c>
      <c r="EY212" t="e">
        <f>'All regions'!44:44-"$F;@!)rW"</f>
        <v>#VALUE!</v>
      </c>
      <c r="EZ212" t="e">
        <f>'All regions'!45:45-"$F;@!)rX"</f>
        <v>#VALUE!</v>
      </c>
      <c r="FA212" t="e">
        <f>'All regions'!46:46-"$F;@!)rY"</f>
        <v>#VALUE!</v>
      </c>
      <c r="FB212" t="e">
        <f>'All regions'!47:47-"$F;@!)rZ"</f>
        <v>#VALUE!</v>
      </c>
      <c r="FC212" t="e">
        <f>'All regions'!48:48-"$F;@!)r["</f>
        <v>#VALUE!</v>
      </c>
      <c r="FD212" t="e">
        <f>'All regions'!49:49-"$F;@!)r\"</f>
        <v>#VALUE!</v>
      </c>
      <c r="FE212" t="e">
        <f>'All regions'!50:50-"$F;@!)r]"</f>
        <v>#VALUE!</v>
      </c>
      <c r="FF212" t="e">
        <f>'All regions'!51:51-"$F;@!)r^"</f>
        <v>#VALUE!</v>
      </c>
      <c r="FG212" t="e">
        <f>'All regions'!52:52-"$F;@!)r_"</f>
        <v>#VALUE!</v>
      </c>
      <c r="FH212" t="e">
        <f>'All regions'!55:55-"$F;@!)r`"</f>
        <v>#VALUE!</v>
      </c>
      <c r="FI212" t="e">
        <f>'All regions'!56:56-"$F;@!)ra"</f>
        <v>#VALUE!</v>
      </c>
      <c r="FJ212" t="e">
        <f>'All regions'!57:57-"$F;@!)rb"</f>
        <v>#VALUE!</v>
      </c>
      <c r="FK212" t="e">
        <f>'All regions'!58:58-"$F;@!)rc"</f>
        <v>#VALUE!</v>
      </c>
      <c r="FL212" t="e">
        <f>'All regions'!59:59-"$F;@!)rd"</f>
        <v>#VALUE!</v>
      </c>
      <c r="FM212" t="e">
        <f>'All regions'!60:60-"$F;@!)re"</f>
        <v>#VALUE!</v>
      </c>
      <c r="FN212" t="e">
        <f>'All regions'!61:61-"$F;@!)rf"</f>
        <v>#VALUE!</v>
      </c>
      <c r="FO212" t="e">
        <f>'All regions'!62:62-"$F;@!)rg"</f>
        <v>#VALUE!</v>
      </c>
      <c r="FP212" t="e">
        <f>'All regions'!63:63-"$F;@!)rh"</f>
        <v>#VALUE!</v>
      </c>
      <c r="FQ212" t="e">
        <f>'All regions'!64:64-"$F;@!)ri"</f>
        <v>#VALUE!</v>
      </c>
      <c r="FR212" t="e">
        <f>'All regions'!65:65-"$F;@!)rj"</f>
        <v>#VALUE!</v>
      </c>
      <c r="FS212" t="e">
        <f>'All regions'!66:66-"$F;@!)rk"</f>
        <v>#VALUE!</v>
      </c>
      <c r="FT212" t="e">
        <f>'All regions'!67:67-"$F;@!)rl"</f>
        <v>#VALUE!</v>
      </c>
      <c r="FU212" t="e">
        <f>'All regions'!68:68-"$F;@!)rm"</f>
        <v>#VALUE!</v>
      </c>
      <c r="FV212" t="e">
        <f>'All regions'!69:69-"$F;@!)rn"</f>
        <v>#VALUE!</v>
      </c>
      <c r="FW212" t="e">
        <f>'All regions'!70:70-"$F;@!)ro"</f>
        <v>#VALUE!</v>
      </c>
      <c r="FX212" t="e">
        <f>'All regions'!71:71-"$F;@!)rp"</f>
        <v>#VALUE!</v>
      </c>
      <c r="FY212" t="e">
        <f>'All regions'!72:72-"$F;@!)rq"</f>
        <v>#VALUE!</v>
      </c>
      <c r="FZ212" t="e">
        <f>'All regions'!73:73-"$F;@!)rr"</f>
        <v>#VALUE!</v>
      </c>
      <c r="GA212" t="e">
        <f>'All regions'!74:74-"$F;@!)rs"</f>
        <v>#VALUE!</v>
      </c>
      <c r="GB212" t="e">
        <f>'All regions'!75:75-"$F;@!)rt"</f>
        <v>#VALUE!</v>
      </c>
      <c r="GC212" t="e">
        <f>'All regions'!76:76-"$F;@!)ru"</f>
        <v>#VALUE!</v>
      </c>
      <c r="GD212" t="e">
        <f>'All regions'!77:77-"$F;@!)rv"</f>
        <v>#VALUE!</v>
      </c>
      <c r="GE212" t="e">
        <f>'All regions'!78:78-"$F;@!)rw"</f>
        <v>#VALUE!</v>
      </c>
      <c r="GF212" t="e">
        <f>'All regions'!79:79-"$F;@!)rx"</f>
        <v>#VALUE!</v>
      </c>
      <c r="GG212" t="e">
        <f>'All regions'!80:80-"$F;@!)ry"</f>
        <v>#VALUE!</v>
      </c>
      <c r="GH212" t="e">
        <f>'All regions'!81:81-"$F;@!)rz"</f>
        <v>#VALUE!</v>
      </c>
      <c r="GI212" t="e">
        <f>'All regions'!87:87-"$F;@!)r{"</f>
        <v>#VALUE!</v>
      </c>
      <c r="GJ212" t="e">
        <f>'All regions'!88:88-"$F;@!)r|"</f>
        <v>#VALUE!</v>
      </c>
      <c r="GK212" t="e">
        <f>'All regions'!89:89-"$F;@!)r}"</f>
        <v>#VALUE!</v>
      </c>
      <c r="GL212" t="e">
        <f>'All regions'!96:96-"$F;@!)r~"</f>
        <v>#VALUE!</v>
      </c>
      <c r="GM212" t="e">
        <f>'All regions'!97:97-"$F;@!)s#"</f>
        <v>#VALUE!</v>
      </c>
      <c r="GN212" t="e">
        <f>'All regions'!98:98-"$F;@!)s$"</f>
        <v>#VALUE!</v>
      </c>
      <c r="GO212" t="e">
        <f>'All regions'!99:99-"$F;@!)s%"</f>
        <v>#VALUE!</v>
      </c>
      <c r="GP212" t="e">
        <f>'All regions'!100:100-"$F;@!)s&amp;"</f>
        <v>#VALUE!</v>
      </c>
      <c r="GQ212" t="e">
        <f>'All regions'!101:101-"$F;@!)s'"</f>
        <v>#VALUE!</v>
      </c>
      <c r="GR212" t="e">
        <f>'All regions'!102:102-"$F;@!)s("</f>
        <v>#VALUE!</v>
      </c>
      <c r="GS212" t="e">
        <f>'All regions'!103:103-"$F;@!)s)"</f>
        <v>#VALUE!</v>
      </c>
      <c r="GT212" t="e">
        <f>'All regions'!104:104-"$F;@!)s."</f>
        <v>#VALUE!</v>
      </c>
      <c r="GU212" t="e">
        <f>'All regions'!105:105-"$F;@!)s/"</f>
        <v>#VALUE!</v>
      </c>
      <c r="GV212" t="e">
        <f>'All regions'!106:106-"$F;@!)s0"</f>
        <v>#VALUE!</v>
      </c>
      <c r="GW212" t="e">
        <f>'All regions'!107:107-"$F;@!)s1"</f>
        <v>#VALUE!</v>
      </c>
      <c r="GX212" t="e">
        <f>'All regions'!108:108-"$F;@!)s2"</f>
        <v>#VALUE!</v>
      </c>
      <c r="GY212" t="e">
        <f>'All regions'!109:109-"$F;@!)s3"</f>
        <v>#VALUE!</v>
      </c>
      <c r="GZ212" t="e">
        <f>'All regions'!110:110-"$F;@!)s4"</f>
        <v>#VALUE!</v>
      </c>
      <c r="HA212" t="e">
        <f>'All regions'!111:111-"$F;@!)s5"</f>
        <v>#VALUE!</v>
      </c>
      <c r="HB212" t="e">
        <f>'All regions'!112:112-"$F;@!)s6"</f>
        <v>#VALUE!</v>
      </c>
      <c r="HC212" t="e">
        <f>'All regions'!113:113-"$F;@!)s7"</f>
        <v>#VALUE!</v>
      </c>
      <c r="HD212" t="e">
        <f>'All regions'!114:114-"$F;@!)s8"</f>
        <v>#VALUE!</v>
      </c>
      <c r="HE212" t="e">
        <f>'All regions'!115:115-"$F;@!)s9"</f>
        <v>#VALUE!</v>
      </c>
      <c r="HF212" t="e">
        <f>'All regions'!116:116-"$F;@!)s:"</f>
        <v>#VALUE!</v>
      </c>
      <c r="HG212" t="e">
        <f>'All regions'!117:117-"$F;@!)s;"</f>
        <v>#VALUE!</v>
      </c>
      <c r="HH212" t="e">
        <f>'All regions'!118:118-"$F;@!)s&lt;"</f>
        <v>#VALUE!</v>
      </c>
      <c r="HI212" t="e">
        <f>'All regions'!119:119-"$F;@!)s="</f>
        <v>#VALUE!</v>
      </c>
      <c r="HJ212" t="e">
        <f>'All regions'!120:120-"$F;@!)s&gt;"</f>
        <v>#VALUE!</v>
      </c>
      <c r="HK212" t="e">
        <f>'All regions'!121:121-"$F;@!)s?"</f>
        <v>#VALUE!</v>
      </c>
      <c r="HL212" t="e">
        <f>'All regions'!122:122-"$F;@!)s@"</f>
        <v>#VALUE!</v>
      </c>
      <c r="HM212" t="e">
        <f>'All regions'!123:123-"$F;@!)sA"</f>
        <v>#VALUE!</v>
      </c>
      <c r="HN212" t="e">
        <f>'All regions'!124:124-"$F;@!)sB"</f>
        <v>#VALUE!</v>
      </c>
      <c r="HO212" t="e">
        <f>'All regions'!125:125-"$F;@!)sC"</f>
        <v>#VALUE!</v>
      </c>
      <c r="HP212" t="e">
        <f>'All regions'!126:126-"$F;@!)sD"</f>
        <v>#VALUE!</v>
      </c>
      <c r="HQ212" t="e">
        <f>'All regions'!127:127-"$F;@!)sE"</f>
        <v>#VALUE!</v>
      </c>
      <c r="HR212" t="e">
        <f>'All regions'!128:128-"$F;@!)sF"</f>
        <v>#VALUE!</v>
      </c>
      <c r="HS212" t="e">
        <f>'All regions'!129:129-"$F;@!)sG"</f>
        <v>#VALUE!</v>
      </c>
      <c r="HT212" t="e">
        <f>'All regions'!130:130-"$F;@!)sH"</f>
        <v>#VALUE!</v>
      </c>
      <c r="HU212" t="e">
        <f>'All regions'!131:131-"$F;@!)sI"</f>
        <v>#VALUE!</v>
      </c>
      <c r="HV212" t="e">
        <f>'All regions'!132:132-"$F;@!)sJ"</f>
        <v>#VALUE!</v>
      </c>
      <c r="HW212" t="e">
        <f>'All regions'!133:133-"$F;@!)sK"</f>
        <v>#VALUE!</v>
      </c>
      <c r="HX212" t="e">
        <f>'All regions'!134:134-"$F;@!)sL"</f>
        <v>#VALUE!</v>
      </c>
      <c r="HY212" t="e">
        <f>'All regions'!135:135-"$F;@!)sM"</f>
        <v>#VALUE!</v>
      </c>
      <c r="HZ212" t="e">
        <f>'All regions'!136:136-"$F;@!)sN"</f>
        <v>#VALUE!</v>
      </c>
      <c r="IA212" t="e">
        <f>'All regions'!137:137-"$F;@!)sO"</f>
        <v>#VALUE!</v>
      </c>
      <c r="IB212" t="e">
        <f>'All regions'!138:138-"$F;@!)sP"</f>
        <v>#VALUE!</v>
      </c>
      <c r="IC212" t="e">
        <f>'All regions'!139:139-"$F;@!)sQ"</f>
        <v>#VALUE!</v>
      </c>
      <c r="ID212" t="e">
        <f>'All regions'!140:140-"$F;@!)sR"</f>
        <v>#VALUE!</v>
      </c>
      <c r="IE212" t="e">
        <f>'All regions'!141:141-"$F;@!)sS"</f>
        <v>#VALUE!</v>
      </c>
      <c r="IF212" t="e">
        <f>'All regions'!142:142-"$F;@!)sT"</f>
        <v>#VALUE!</v>
      </c>
      <c r="IG212" t="e">
        <f>'All regions'!143:143-"$F;@!)sU"</f>
        <v>#VALUE!</v>
      </c>
      <c r="IH212" t="e">
        <f>'All regions'!144:144-"$F;@!)sV"</f>
        <v>#VALUE!</v>
      </c>
      <c r="II212" t="e">
        <f>'All regions'!145:145-"$F;@!)sW"</f>
        <v>#VALUE!</v>
      </c>
      <c r="IJ212" t="e">
        <f>'All regions'!146:146-"$F;@!)sX"</f>
        <v>#VALUE!</v>
      </c>
      <c r="IK212" t="e">
        <f>'All regions'!147:147-"$F;@!)sY"</f>
        <v>#VALUE!</v>
      </c>
      <c r="IL212" t="e">
        <f>'All regions'!148:148-"$F;@!)sZ"</f>
        <v>#VALUE!</v>
      </c>
      <c r="IM212" t="e">
        <f>'All regions'!149:149-"$F;@!)s["</f>
        <v>#VALUE!</v>
      </c>
      <c r="IN212" t="e">
        <f>'All regions'!150:150-"$F;@!)s\"</f>
        <v>#VALUE!</v>
      </c>
      <c r="IO212" t="e">
        <f>'All regions'!151:151-"$F;@!)s]"</f>
        <v>#VALUE!</v>
      </c>
      <c r="IP212" t="e">
        <f>'All regions'!152:152-"$F;@!)s^"</f>
        <v>#VALUE!</v>
      </c>
      <c r="IQ212" t="e">
        <f>'All regions'!153:153-"$F;@!)s_"</f>
        <v>#VALUE!</v>
      </c>
      <c r="IR212" t="e">
        <f>'All regions'!154:154-"$F;@!)s`"</f>
        <v>#VALUE!</v>
      </c>
      <c r="IS212" t="e">
        <f>'All regions'!155:155-"$F;@!)sa"</f>
        <v>#VALUE!</v>
      </c>
      <c r="IT212" t="e">
        <f>'All regions'!156:156-"$F;@!)sb"</f>
        <v>#VALUE!</v>
      </c>
      <c r="IU212" t="e">
        <f>'All regions'!157:157-"$F;@!)sc"</f>
        <v>#VALUE!</v>
      </c>
      <c r="IV212" t="e">
        <f>'All regions'!158:158-"$F;@!)sd"</f>
        <v>#VALUE!</v>
      </c>
    </row>
    <row r="213" spans="6:256" x14ac:dyDescent="0.35">
      <c r="F213" t="e">
        <f>'All regions'!159:159-"$F;@!)se"</f>
        <v>#VALUE!</v>
      </c>
      <c r="G213" t="e">
        <f>'All regions'!160:160-"$F;@!)sf"</f>
        <v>#VALUE!</v>
      </c>
      <c r="H213" t="e">
        <f>'All regions'!161:161-"$F;@!)sg"</f>
        <v>#VALUE!</v>
      </c>
      <c r="I213" t="e">
        <f>'All regions'!162:162-"$F;@!)sh"</f>
        <v>#VALUE!</v>
      </c>
      <c r="J213" t="e">
        <f>'All regions'!163:163-"$F;@!)si"</f>
        <v>#VALUE!</v>
      </c>
      <c r="K213" t="e">
        <f>'All regions'!164:164-"$F;@!)sj"</f>
        <v>#VALUE!</v>
      </c>
      <c r="L213" t="e">
        <f>'All regions'!165:165-"$F;@!)sk"</f>
        <v>#VALUE!</v>
      </c>
      <c r="M213" t="e">
        <f>'All regions'!166:166-"$F;@!)sl"</f>
        <v>#VALUE!</v>
      </c>
      <c r="N213" t="e">
        <f>'All regions'!167:167-"$F;@!)sm"</f>
        <v>#VALUE!</v>
      </c>
      <c r="O213" t="e">
        <f>'All regions'!168:168-"$F;@!)sn"</f>
        <v>#VALUE!</v>
      </c>
      <c r="P213" t="e">
        <f>'All regions'!169:169-"$F;@!)so"</f>
        <v>#VALUE!</v>
      </c>
      <c r="Q213" t="e">
        <f>'All regions'!170:170-"$F;@!)sp"</f>
        <v>#VALUE!</v>
      </c>
      <c r="R213" t="e">
        <f>'All regions'!171:171-"$F;@!)sq"</f>
        <v>#VALUE!</v>
      </c>
      <c r="S213" t="e">
        <f>'All regions'!172:172-"$F;@!)sr"</f>
        <v>#VALUE!</v>
      </c>
      <c r="T213" t="e">
        <f>'All regions'!173:173-"$F;@!)ss"</f>
        <v>#VALUE!</v>
      </c>
      <c r="U213" t="e">
        <f>'All regions'!174:174-"$F;@!)st"</f>
        <v>#VALUE!</v>
      </c>
      <c r="V213" t="e">
        <f>'All regions'!175:175-"$F;@!)su"</f>
        <v>#VALUE!</v>
      </c>
      <c r="W213" t="e">
        <f>'All regions'!176:176-"$F;@!)sv"</f>
        <v>#VALUE!</v>
      </c>
      <c r="X213" t="e">
        <f>'All regions'!177:177-"$F;@!)sw"</f>
        <v>#VALUE!</v>
      </c>
      <c r="Y213" t="e">
        <f>'All regions'!178:178-"$F;@!)sx"</f>
        <v>#VALUE!</v>
      </c>
      <c r="Z213" t="e">
        <f>'All regions'!179:179-"$F;@!)sy"</f>
        <v>#VALUE!</v>
      </c>
      <c r="AA213" t="e">
        <f>'All regions'!180:180-"$F;@!)sz"</f>
        <v>#VALUE!</v>
      </c>
      <c r="AB213" t="e">
        <f>'All regions'!181:181-"$F;@!)s{"</f>
        <v>#VALUE!</v>
      </c>
      <c r="AC213" t="e">
        <f>'All regions'!182:182-"$F;@!)s|"</f>
        <v>#VALUE!</v>
      </c>
      <c r="AD213" t="e">
        <f>'All regions'!183:183-"$F;@!)s}"</f>
        <v>#VALUE!</v>
      </c>
      <c r="AE213" t="e">
        <f>'All regions'!184:184-"$F;@!)s~"</f>
        <v>#VALUE!</v>
      </c>
      <c r="AF213" t="e">
        <f>'All regions'!185:185-"$F;@!)t#"</f>
        <v>#VALUE!</v>
      </c>
      <c r="AG213" t="e">
        <f>'All regions'!186:186-"$F;@!)t$"</f>
        <v>#VALUE!</v>
      </c>
      <c r="AH213" t="e">
        <f>'All regions'!187:187-"$F;@!)t%"</f>
        <v>#VALUE!</v>
      </c>
      <c r="AI213" t="e">
        <f>'All regions'!188:188-"$F;@!)t&amp;"</f>
        <v>#VALUE!</v>
      </c>
      <c r="AJ213" t="e">
        <f>'All regions'!189:189-"$F;@!)t'"</f>
        <v>#VALUE!</v>
      </c>
      <c r="AK213" t="e">
        <f>'All regions'!190:190-"$F;@!)t("</f>
        <v>#VALUE!</v>
      </c>
      <c r="AL213" t="e">
        <f>'All regions'!191:191-"$F;@!)t)"</f>
        <v>#VALUE!</v>
      </c>
      <c r="AM213" t="e">
        <f>'All regions'!192:192-"$F;@!)t."</f>
        <v>#VALUE!</v>
      </c>
      <c r="AN213" t="e">
        <f>'All regions'!193:193-"$F;@!)t/"</f>
        <v>#VALUE!</v>
      </c>
      <c r="AO213" t="e">
        <f>'All regions'!194:194-"$F;@!)t0"</f>
        <v>#VALUE!</v>
      </c>
      <c r="AP213" t="e">
        <f>'All regions'!195:195-"$F;@!)t1"</f>
        <v>#VALUE!</v>
      </c>
      <c r="AQ213" t="e">
        <f>'All regions'!196:196-"$F;@!)t2"</f>
        <v>#VALUE!</v>
      </c>
      <c r="AR213" t="e">
        <f>'All regions'!197:197-"$F;@!)t3"</f>
        <v>#VALUE!</v>
      </c>
      <c r="AS213" t="e">
        <f>'All regions'!198:198-"$F;@!)t4"</f>
        <v>#VALUE!</v>
      </c>
      <c r="AT213" t="e">
        <f>'All regions'!199:199-"$F;@!)t5"</f>
        <v>#VALUE!</v>
      </c>
      <c r="AU213" t="e">
        <f>'All regions'!200:200-"$F;@!)t6"</f>
        <v>#VALUE!</v>
      </c>
      <c r="AV213" t="e">
        <f>'All regions'!201:201-"$F;@!)t7"</f>
        <v>#VALUE!</v>
      </c>
      <c r="AW213" t="e">
        <f>'All regions'!202:202-"$F;@!)t8"</f>
        <v>#VALUE!</v>
      </c>
      <c r="AX213" t="e">
        <f>'All regions'!203:203-"$F;@!)t9"</f>
        <v>#VALUE!</v>
      </c>
      <c r="AY213" t="e">
        <f>'All regions'!204:204-"$F;@!)t:"</f>
        <v>#VALUE!</v>
      </c>
      <c r="AZ213" t="e">
        <f>'All regions'!205:205-"$F;@!)t;"</f>
        <v>#VALUE!</v>
      </c>
      <c r="BA213" t="e">
        <f>'All regions'!206:206-"$F;@!)t&lt;"</f>
        <v>#VALUE!</v>
      </c>
      <c r="BB213" t="e">
        <f>'All regions'!207:207-"$F;@!)t="</f>
        <v>#VALUE!</v>
      </c>
      <c r="BC213" t="e">
        <f>'All regions'!208:208-"$F;@!)t&gt;"</f>
        <v>#VALUE!</v>
      </c>
      <c r="BD213" t="e">
        <f>'All regions'!209:209-"$F;@!)t?"</f>
        <v>#VALUE!</v>
      </c>
      <c r="BE213" t="e">
        <f>'All regions'!210:210-"$F;@!)t@"</f>
        <v>#VALUE!</v>
      </c>
      <c r="BF213" t="e">
        <f>'All regions'!211:211-"$F;@!)tA"</f>
        <v>#VALUE!</v>
      </c>
      <c r="BG213" t="e">
        <f>'All regions'!212:212-"$F;@!)tB"</f>
        <v>#VALUE!</v>
      </c>
      <c r="BH213" t="e">
        <f>'All regions'!213:213-"$F;@!)tC"</f>
        <v>#VALUE!</v>
      </c>
      <c r="BI213" t="e">
        <f>'All regions'!214:214-"$F;@!)tD"</f>
        <v>#VALUE!</v>
      </c>
      <c r="BJ213" t="e">
        <f>'All regions'!215:215-"$F;@!)tE"</f>
        <v>#VALUE!</v>
      </c>
      <c r="BK213" t="e">
        <f>'All regions'!216:216-"$F;@!)tF"</f>
        <v>#VALUE!</v>
      </c>
      <c r="BL213" t="e">
        <f>'All regions'!217:217-"$F;@!)tG"</f>
        <v>#VALUE!</v>
      </c>
      <c r="BM213" t="e">
        <f>'All regions'!218:218-"$F;@!)tH"</f>
        <v>#VALUE!</v>
      </c>
      <c r="BN213" t="e">
        <f>'All regions'!219:219-"$F;@!)tI"</f>
        <v>#VALUE!</v>
      </c>
      <c r="BO213" t="e">
        <f>'All regions'!220:220-"$F;@!)tJ"</f>
        <v>#VALUE!</v>
      </c>
      <c r="BP213" t="e">
        <f>'All regions'!221:221-"$F;@!)tK"</f>
        <v>#VALUE!</v>
      </c>
      <c r="BQ213" t="e">
        <f>'All regions'!222:222-"$F;@!)tL"</f>
        <v>#VALUE!</v>
      </c>
      <c r="BR213" t="e">
        <f>'All regions'!223:223-"$F;@!)tM"</f>
        <v>#VALUE!</v>
      </c>
      <c r="BS213" t="e">
        <f>'All regions'!224:224-"$F;@!)tN"</f>
        <v>#VALUE!</v>
      </c>
      <c r="BT213" t="e">
        <f>'All regions'!225:225-"$F;@!)tO"</f>
        <v>#VALUE!</v>
      </c>
      <c r="BU213" t="e">
        <f>'All regions'!226:226-"$F;@!)tP"</f>
        <v>#VALUE!</v>
      </c>
      <c r="BV213" t="e">
        <f>'All regions'!227:227-"$F;@!)tQ"</f>
        <v>#VALUE!</v>
      </c>
      <c r="BW213" t="e">
        <f>'All regions'!228:228-"$F;@!)tR"</f>
        <v>#VALUE!</v>
      </c>
      <c r="BX213" t="e">
        <f>'All regions'!229:229-"$F;@!)tS"</f>
        <v>#VALUE!</v>
      </c>
      <c r="BY213" t="e">
        <f>'All regions'!230:230-"$F;@!)tT"</f>
        <v>#VALUE!</v>
      </c>
      <c r="BZ213" t="e">
        <f>'All regions'!231:231-"$F;@!)tU"</f>
        <v>#VALUE!</v>
      </c>
      <c r="CA213" t="e">
        <f>'All regions'!232:232-"$F;@!)tV"</f>
        <v>#VALUE!</v>
      </c>
      <c r="CB213" t="e">
        <f>'All regions'!233:233-"$F;@!)tW"</f>
        <v>#VALUE!</v>
      </c>
      <c r="CC213" t="e">
        <f>'All regions'!234:234-"$F;@!)tX"</f>
        <v>#VALUE!</v>
      </c>
      <c r="CD213" t="e">
        <f>'All regions'!235:235-"$F;@!)tY"</f>
        <v>#VALUE!</v>
      </c>
      <c r="CE213" t="e">
        <f>'All regions'!236:236-"$F;@!)tZ"</f>
        <v>#VALUE!</v>
      </c>
      <c r="CF213" t="e">
        <f>'All regions'!237:237-"$F;@!)t["</f>
        <v>#VALUE!</v>
      </c>
      <c r="CG213" t="e">
        <f>'All regions'!238:238-"$F;@!)t\"</f>
        <v>#VALUE!</v>
      </c>
      <c r="CH213" t="e">
        <f>'All regions'!239:239-"$F;@!)t]"</f>
        <v>#VALUE!</v>
      </c>
      <c r="CI213" t="e">
        <f>'All regions'!240:240-"$F;@!)t^"</f>
        <v>#VALUE!</v>
      </c>
      <c r="CJ213" t="e">
        <f>'All regions'!241:241-"$F;@!)t_"</f>
        <v>#VALUE!</v>
      </c>
      <c r="CK213" t="e">
        <f>'All regions'!242:242-"$F;@!)t`"</f>
        <v>#VALUE!</v>
      </c>
      <c r="CL213" t="e">
        <f>'All regions'!243:243-"$F;@!)ta"</f>
        <v>#VALUE!</v>
      </c>
      <c r="CM213" t="e">
        <f>'All regions'!244:244-"$F;@!)tb"</f>
        <v>#VALUE!</v>
      </c>
      <c r="CN213" t="e">
        <f>'All regions'!245:245-"$F;@!)tc"</f>
        <v>#VALUE!</v>
      </c>
      <c r="CO213" t="e">
        <f>'All regions'!246:246-"$F;@!)td"</f>
        <v>#VALUE!</v>
      </c>
      <c r="CP213" t="e">
        <f>'All regions'!247:247-"$F;@!)te"</f>
        <v>#VALUE!</v>
      </c>
      <c r="CQ213" t="e">
        <f>'All regions'!248:248-"$F;@!)tf"</f>
        <v>#VALUE!</v>
      </c>
      <c r="CR213" t="e">
        <f>'All regions'!249:249-"$F;@!)tg"</f>
        <v>#VALUE!</v>
      </c>
      <c r="CS213" t="e">
        <f>'All regions'!250:250-"$F;@!)th"</f>
        <v>#VALUE!</v>
      </c>
      <c r="CT213" t="e">
        <f>'All regions'!251:251-"$F;@!)ti"</f>
        <v>#VALUE!</v>
      </c>
      <c r="CU213" t="e">
        <f>'All regions'!252:252-"$F;@!)tj"</f>
        <v>#VALUE!</v>
      </c>
      <c r="CV213" t="e">
        <f>'All regions'!253:253-"$F;@!)tk"</f>
        <v>#VALUE!</v>
      </c>
      <c r="CW213" t="e">
        <f>'All regions'!254:254-"$F;@!)tl"</f>
        <v>#VALUE!</v>
      </c>
      <c r="CX213" t="e">
        <f>'All regions'!255:255-"$F;@!)tm"</f>
        <v>#VALUE!</v>
      </c>
      <c r="CY213" t="e">
        <f>'All regions'!256:256-"$F;@!)tn"</f>
        <v>#VALUE!</v>
      </c>
      <c r="CZ213" t="e">
        <f>'All regions'!257:257-"$F;@!)to"</f>
        <v>#VALUE!</v>
      </c>
      <c r="DA213" t="e">
        <f>'All regions'!258:258-"$F;@!)tp"</f>
        <v>#VALUE!</v>
      </c>
      <c r="DB213" t="e">
        <f>'All regions'!259:259-"$F;@!)tq"</f>
        <v>#VALUE!</v>
      </c>
      <c r="DC213" t="e">
        <f>'All regions'!260:260-"$F;@!)tr"</f>
        <v>#VALUE!</v>
      </c>
      <c r="DD213" t="e">
        <f>'All regions'!261:261-"$F;@!)ts"</f>
        <v>#VALUE!</v>
      </c>
      <c r="DE213" t="e">
        <f>'All regions'!262:262-"$F;@!)tt"</f>
        <v>#VALUE!</v>
      </c>
      <c r="DF213" t="e">
        <f>'All regions'!263:263-"$F;@!)tu"</f>
        <v>#VALUE!</v>
      </c>
      <c r="DG213" t="e">
        <f>'All regions'!264:264-"$F;@!)tv"</f>
        <v>#VALUE!</v>
      </c>
      <c r="DH213" t="e">
        <f>'All regions'!265:265-"$F;@!)tw"</f>
        <v>#VALUE!</v>
      </c>
      <c r="DI213" t="e">
        <f>'All regions'!266:266-"$F;@!)tx"</f>
        <v>#VALUE!</v>
      </c>
      <c r="DJ213" t="e">
        <f>'All regions'!267:267-"$F;@!)ty"</f>
        <v>#VALUE!</v>
      </c>
      <c r="DK213" t="e">
        <f>'All regions'!268:268-"$F;@!)tz"</f>
        <v>#VALUE!</v>
      </c>
      <c r="DL213" t="e">
        <f>'All regions'!269:269-"$F;@!)t{"</f>
        <v>#VALUE!</v>
      </c>
      <c r="DM213" t="e">
        <f>'All regions'!270:270-"$F;@!)t|"</f>
        <v>#VALUE!</v>
      </c>
      <c r="DN213" t="e">
        <f>'All regions'!271:271-"$F;@!)t}"</f>
        <v>#VALUE!</v>
      </c>
      <c r="DO213" t="e">
        <f>'All regions'!272:272-"$F;@!)t~"</f>
        <v>#VALUE!</v>
      </c>
      <c r="DP213" t="e">
        <f>'All regions'!273:273-"$F;@!)u#"</f>
        <v>#VALUE!</v>
      </c>
      <c r="DQ213" t="e">
        <f>'All regions'!274:274-"$F;@!)u$"</f>
        <v>#VALUE!</v>
      </c>
      <c r="DR213" t="e">
        <f>'All regions'!275:275-"$F;@!)u%"</f>
        <v>#VALUE!</v>
      </c>
      <c r="DS213" t="e">
        <f>'All regions'!276:276-"$F;@!)u&amp;"</f>
        <v>#VALUE!</v>
      </c>
      <c r="DT213" t="e">
        <f>'All regions'!277:277-"$F;@!)u'"</f>
        <v>#VALUE!</v>
      </c>
      <c r="DU213" t="e">
        <f>'All regions'!278:278-"$F;@!)u("</f>
        <v>#VALUE!</v>
      </c>
      <c r="DV213" t="e">
        <f>'All regions'!279:279-"$F;@!)u)"</f>
        <v>#VALUE!</v>
      </c>
      <c r="DW213" t="e">
        <f>'All regions'!280:280-"$F;@!)u."</f>
        <v>#VALUE!</v>
      </c>
      <c r="DX213" t="e">
        <f>'All regions'!281:281-"$F;@!)u/"</f>
        <v>#VALUE!</v>
      </c>
      <c r="DY213" t="e">
        <f>'All regions'!282:282-"$F;@!)u0"</f>
        <v>#VALUE!</v>
      </c>
      <c r="DZ213" t="e">
        <f>'All regions'!283:283-"$F;@!)u1"</f>
        <v>#VALUE!</v>
      </c>
      <c r="EA213" t="e">
        <f>'All regions'!284:284-"$F;@!)u2"</f>
        <v>#VALUE!</v>
      </c>
      <c r="EB213" t="e">
        <f>'All regions'!285:285-"$F;@!)u3"</f>
        <v>#VALUE!</v>
      </c>
      <c r="EC213" t="e">
        <f>'All regions'!286:286-"$F;@!)u4"</f>
        <v>#VALUE!</v>
      </c>
      <c r="ED213" t="e">
        <f>'All regions'!287:287-"$F;@!)u5"</f>
        <v>#VALUE!</v>
      </c>
      <c r="EE213" t="e">
        <f>'All regions'!288:288-"$F;@!)u6"</f>
        <v>#VALUE!</v>
      </c>
      <c r="EF213" t="e">
        <f>'All regions'!289:289-"$F;@!)u7"</f>
        <v>#VALUE!</v>
      </c>
      <c r="EG213" t="e">
        <f>'All regions'!290:290-"$F;@!)u8"</f>
        <v>#VALUE!</v>
      </c>
      <c r="EH213" t="e">
        <f>'All regions'!291:291-"$F;@!)u9"</f>
        <v>#VALUE!</v>
      </c>
      <c r="EI213" t="e">
        <f>'All regions'!292:292-"$F;@!)u:"</f>
        <v>#VALUE!</v>
      </c>
      <c r="EJ213" t="e">
        <f>'All regions'!293:293-"$F;@!)u;"</f>
        <v>#VALUE!</v>
      </c>
      <c r="EK213" t="e">
        <f>'All regions'!294:294-"$F;@!)u&lt;"</f>
        <v>#VALUE!</v>
      </c>
      <c r="EL213" t="e">
        <f>'All regions'!295:295-"$F;@!)u="</f>
        <v>#VALUE!</v>
      </c>
      <c r="EM213" t="e">
        <f>'All regions'!296:296-"$F;@!)u&gt;"</f>
        <v>#VALUE!</v>
      </c>
      <c r="EN213" t="e">
        <f>'All regions'!297:297-"$F;@!)u?"</f>
        <v>#VALUE!</v>
      </c>
      <c r="EO213" t="e">
        <f>'All regions'!298:298-"$F;@!)u@"</f>
        <v>#VALUE!</v>
      </c>
      <c r="EP213" t="e">
        <f>'All regions'!299:299-"$F;@!)uA"</f>
        <v>#VALUE!</v>
      </c>
      <c r="EQ213" t="e">
        <f>'All regions'!300:300-"$F;@!)uB"</f>
        <v>#VALUE!</v>
      </c>
      <c r="ER213" t="e">
        <f>'All regions'!301:301-"$F;@!)uC"</f>
        <v>#VALUE!</v>
      </c>
      <c r="ES213" t="e">
        <f>'All regions'!302:302-"$F;@!)uD"</f>
        <v>#VALUE!</v>
      </c>
      <c r="ET213" t="e">
        <f>'All regions'!303:303-"$F;@!)uE"</f>
        <v>#VALUE!</v>
      </c>
      <c r="EU213" t="e">
        <f>'All regions'!304:304-"$F;@!)uF"</f>
        <v>#VALUE!</v>
      </c>
      <c r="EV213" t="e">
        <f>'All regions'!305:305-"$F;@!)uG"</f>
        <v>#VALUE!</v>
      </c>
      <c r="EW213" t="e">
        <f>'All regions'!306:306-"$F;@!)uH"</f>
        <v>#VALUE!</v>
      </c>
      <c r="EX213" t="e">
        <f>'All regions'!307:307-"$F;@!)uI"</f>
        <v>#VALUE!</v>
      </c>
      <c r="EY213" t="e">
        <f>'All regions'!308:308-"$F;@!)uJ"</f>
        <v>#VALUE!</v>
      </c>
      <c r="EZ213" t="e">
        <f>'All regions'!309:309-"$F;@!)uK"</f>
        <v>#VALUE!</v>
      </c>
      <c r="FA213" t="e">
        <f>'All regions'!310:310-"$F;@!)uL"</f>
        <v>#VALUE!</v>
      </c>
      <c r="FB213" t="e">
        <f>'All regions'!311:311-"$F;@!)uM"</f>
        <v>#VALUE!</v>
      </c>
      <c r="FC213" t="e">
        <f>'All regions'!312:312-"$F;@!)uN"</f>
        <v>#VALUE!</v>
      </c>
      <c r="FD213" t="e">
        <f>'All regions'!313:313-"$F;@!)uO"</f>
        <v>#VALUE!</v>
      </c>
      <c r="FE213" t="e">
        <f>'All regions'!314:314-"$F;@!)uP"</f>
        <v>#VALUE!</v>
      </c>
      <c r="FF213" t="e">
        <f>'All regions'!315:315-"$F;@!)uQ"</f>
        <v>#VALUE!</v>
      </c>
      <c r="FG213" t="e">
        <f>'All regions'!316:316-"$F;@!)uR"</f>
        <v>#VALUE!</v>
      </c>
      <c r="FH213" t="e">
        <f>'All regions'!317:317-"$F;@!)uS"</f>
        <v>#VALUE!</v>
      </c>
      <c r="FI213" t="e">
        <f>'All regions'!318:318-"$F;@!)uT"</f>
        <v>#VALUE!</v>
      </c>
      <c r="FJ213" t="e">
        <f>'All regions'!319:319-"$F;@!)uU"</f>
        <v>#VALUE!</v>
      </c>
      <c r="FK213" t="e">
        <f>'All regions'!320:320-"$F;@!)uV"</f>
        <v>#VALUE!</v>
      </c>
      <c r="FL213" t="e">
        <f>'All regions'!321:321-"$F;@!)uW"</f>
        <v>#VALUE!</v>
      </c>
      <c r="FM213" t="e">
        <f>'All regions'!322:322-"$F;@!)uX"</f>
        <v>#VALUE!</v>
      </c>
      <c r="FN213" t="e">
        <f>'All regions'!323:323-"$F;@!)uY"</f>
        <v>#VALUE!</v>
      </c>
      <c r="FO213" t="e">
        <f>'All regions'!324:324-"$F;@!)uZ"</f>
        <v>#VALUE!</v>
      </c>
      <c r="FP213" t="e">
        <f>'All regions'!325:325-"$F;@!)u["</f>
        <v>#VALUE!</v>
      </c>
      <c r="FQ213" t="e">
        <f>'All regions'!326:326-"$F;@!)u\"</f>
        <v>#VALUE!</v>
      </c>
      <c r="FR213" t="e">
        <f>'All regions'!327:327-"$F;@!)u]"</f>
        <v>#VALUE!</v>
      </c>
      <c r="FS213" t="e">
        <f>'All regions'!328:328-"$F;@!)u^"</f>
        <v>#VALUE!</v>
      </c>
      <c r="FT213" t="e">
        <f>'All regions'!329:329-"$F;@!)u_"</f>
        <v>#VALUE!</v>
      </c>
      <c r="FU213" t="e">
        <f>'All regions'!330:330-"$F;@!)u`"</f>
        <v>#VALUE!</v>
      </c>
      <c r="FV213" t="e">
        <f>'All regions'!331:331-"$F;@!)ua"</f>
        <v>#VALUE!</v>
      </c>
      <c r="FW213" t="e">
        <f>'All regions'!332:332-"$F;@!)ub"</f>
        <v>#VALUE!</v>
      </c>
      <c r="FX213" t="e">
        <f>'All regions'!333:333-"$F;@!)uc"</f>
        <v>#VALUE!</v>
      </c>
      <c r="FY213" t="e">
        <f>'All regions'!334:334-"$F;@!)ud"</f>
        <v>#VALUE!</v>
      </c>
      <c r="FZ213" t="e">
        <f>'All regions'!335:335-"$F;@!)ue"</f>
        <v>#VALUE!</v>
      </c>
      <c r="GA213" t="e">
        <f>'All regions'!336:336-"$F;@!)uf"</f>
        <v>#VALUE!</v>
      </c>
      <c r="GB213" t="e">
        <f>'All regions'!337:337-"$F;@!)ug"</f>
        <v>#VALUE!</v>
      </c>
      <c r="GC213" t="e">
        <f>'All regions'!338:338-"$F;@!)uh"</f>
        <v>#VALUE!</v>
      </c>
      <c r="GD213" t="e">
        <f>'All regions'!339:339-"$F;@!)ui"</f>
        <v>#VALUE!</v>
      </c>
      <c r="GE213" t="e">
        <f>'All regions'!340:340-"$F;@!)uj"</f>
        <v>#VALUE!</v>
      </c>
      <c r="GF213" t="e">
        <f>'All regions'!341:341-"$F;@!)uk"</f>
        <v>#VALUE!</v>
      </c>
      <c r="GG213" t="e">
        <f>'All regions'!342:342-"$F;@!)ul"</f>
        <v>#VALUE!</v>
      </c>
      <c r="GH213" t="e">
        <f>'All regions'!343:343-"$F;@!)um"</f>
        <v>#VALUE!</v>
      </c>
      <c r="GI213" t="e">
        <f>'All regions'!344:344-"$F;@!)un"</f>
        <v>#VALUE!</v>
      </c>
      <c r="GJ213" t="e">
        <f>'All regions'!345:345-"$F;@!)uo"</f>
        <v>#VALUE!</v>
      </c>
      <c r="GK213" t="e">
        <f>'All regions'!346:346-"$F;@!)up"</f>
        <v>#VALUE!</v>
      </c>
      <c r="GL213" t="e">
        <f>'All regions'!347:347-"$F;@!)uq"</f>
        <v>#VALUE!</v>
      </c>
      <c r="GM213" t="e">
        <f>'All regions'!348:348-"$F;@!)ur"</f>
        <v>#VALUE!</v>
      </c>
      <c r="GN213" t="e">
        <f>'All regions'!349:349-"$F;@!)us"</f>
        <v>#VALUE!</v>
      </c>
      <c r="GO213" t="e">
        <f>'All regions'!350:350-"$F;@!)ut"</f>
        <v>#VALUE!</v>
      </c>
      <c r="GP213" t="e">
        <f>'All regions'!351:351-"$F;@!)uu"</f>
        <v>#VALUE!</v>
      </c>
      <c r="GQ213" t="e">
        <f>'All regions'!352:352-"$F;@!)uv"</f>
        <v>#VALUE!</v>
      </c>
      <c r="GR213" t="e">
        <f>'All regions'!353:353-"$F;@!)uw"</f>
        <v>#VALUE!</v>
      </c>
      <c r="GS213" t="e">
        <f>'All regions'!354:354-"$F;@!)ux"</f>
        <v>#VALUE!</v>
      </c>
      <c r="GT213" t="e">
        <f>'All regions'!355:355-"$F;@!)uy"</f>
        <v>#VALUE!</v>
      </c>
      <c r="GU213" t="e">
        <f>'All regions'!357:357-"$F;@!)uz"</f>
        <v>#VALUE!</v>
      </c>
      <c r="GV213" t="e">
        <f>'All regions'!358:358-"$F;@!)u{"</f>
        <v>#VALUE!</v>
      </c>
      <c r="GW213" t="e">
        <f>'All regions'!359:359-"$F;@!)u|"</f>
        <v>#VALUE!</v>
      </c>
      <c r="GX213" t="e">
        <f>'All regions'!360:360-"$F;@!)u}"</f>
        <v>#VALUE!</v>
      </c>
      <c r="GY213" t="e">
        <f>'All regions'!361:361-"$F;@!)u~"</f>
        <v>#VALUE!</v>
      </c>
      <c r="GZ213" t="e">
        <f>'All regions'!362:362-"$F;@!)v#"</f>
        <v>#VALUE!</v>
      </c>
      <c r="HA213" t="e">
        <f>'All regions'!363:363-"$F;@!)v$"</f>
        <v>#VALUE!</v>
      </c>
      <c r="HB213" t="e">
        <f>'All regions'!364:364-"$F;@!)v%"</f>
        <v>#VALUE!</v>
      </c>
      <c r="HC213" t="e">
        <f>'All regions'!365:365-"$F;@!)v&amp;"</f>
        <v>#VALUE!</v>
      </c>
      <c r="HD213" t="e">
        <f>'All regions'!366:366-"$F;@!)v'"</f>
        <v>#VALUE!</v>
      </c>
      <c r="HE213" t="e">
        <f>'All regions'!367:367-"$F;@!)v("</f>
        <v>#VALUE!</v>
      </c>
      <c r="HF213" t="e">
        <f>'All regions'!368:368-"$F;@!)v)"</f>
        <v>#VALUE!</v>
      </c>
      <c r="HG213" t="e">
        <f>'All regions'!369:369-"$F;@!)v."</f>
        <v>#VALUE!</v>
      </c>
      <c r="HH213" t="e">
        <f>'All regions'!370:370-"$F;@!)v/"</f>
        <v>#VALUE!</v>
      </c>
      <c r="HI213" t="e">
        <f>'All regions'!371:371-"$F;@!)v0"</f>
        <v>#VALUE!</v>
      </c>
      <c r="HJ213" t="e">
        <f>'All regions'!372:372-"$F;@!)v1"</f>
        <v>#VALUE!</v>
      </c>
      <c r="HK213" t="e">
        <f>'All regions'!373:373-"$F;@!)v2"</f>
        <v>#VALUE!</v>
      </c>
      <c r="HL213" t="e">
        <f>'All regions'!374:374-"$F;@!)v3"</f>
        <v>#VALUE!</v>
      </c>
      <c r="HM213" t="e">
        <f>'All regions'!375:375-"$F;@!)v4"</f>
        <v>#VALUE!</v>
      </c>
      <c r="HN213" t="e">
        <f>'All regions'!376:376-"$F;@!)v5"</f>
        <v>#VALUE!</v>
      </c>
      <c r="HO213" t="e">
        <f>'All regions'!377:377-"$F;@!)v6"</f>
        <v>#VALUE!</v>
      </c>
      <c r="HP213" t="e">
        <f>'All regions'!378:378-"$F;@!)v7"</f>
        <v>#VALUE!</v>
      </c>
      <c r="HQ213" t="e">
        <f>'All regions'!379:379-"$F;@!)v8"</f>
        <v>#VALUE!</v>
      </c>
      <c r="HR213" t="e">
        <f>'All regions'!380:380-"$F;@!)v9"</f>
        <v>#VALUE!</v>
      </c>
      <c r="HS213" t="e">
        <f>'All regions'!381:381-"$F;@!)v:"</f>
        <v>#VALUE!</v>
      </c>
      <c r="HT213" t="e">
        <f>'All regions'!382:382-"$F;@!)v;"</f>
        <v>#VALUE!</v>
      </c>
      <c r="HU213" t="e">
        <f>'All regions'!383:383-"$F;@!)v&lt;"</f>
        <v>#VALUE!</v>
      </c>
      <c r="HV213" t="e">
        <f>'All regions'!384:384-"$F;@!)v="</f>
        <v>#VALUE!</v>
      </c>
      <c r="HW213" t="e">
        <f>'All regions'!385:385-"$F;@!)v&gt;"</f>
        <v>#VALUE!</v>
      </c>
      <c r="HX213" t="e">
        <f>'All regions'!386:386-"$F;@!)v?"</f>
        <v>#VALUE!</v>
      </c>
      <c r="HY213" t="e">
        <f>'All regions'!387:387-"$F;@!)v@"</f>
        <v>#VALUE!</v>
      </c>
      <c r="HZ213" t="e">
        <f>'All regions'!388:388-"$F;@!)vA"</f>
        <v>#VALUE!</v>
      </c>
      <c r="IA213" t="e">
        <f>'All regions'!389:389-"$F;@!)vB"</f>
        <v>#VALUE!</v>
      </c>
      <c r="IB213" t="e">
        <f>'All regions'!390:390-"$F;@!)vC"</f>
        <v>#VALUE!</v>
      </c>
      <c r="IC213" t="e">
        <f>'All regions'!391:391-"$F;@!)vD"</f>
        <v>#VALUE!</v>
      </c>
      <c r="ID213" t="e">
        <f>'All regions'!392:392-"$F;@!)vE"</f>
        <v>#VALUE!</v>
      </c>
      <c r="IE213" t="e">
        <f>'All regions'!393:393-"$F;@!)vF"</f>
        <v>#VALUE!</v>
      </c>
      <c r="IF213" t="e">
        <f>'All regions'!394:394-"$F;@!)vG"</f>
        <v>#VALUE!</v>
      </c>
      <c r="IG213" t="e">
        <f>'All regions'!395:395-"$F;@!)vH"</f>
        <v>#VALUE!</v>
      </c>
      <c r="IH213" t="e">
        <f>'All regions'!396:396-"$F;@!)vI"</f>
        <v>#VALUE!</v>
      </c>
      <c r="II213" t="e">
        <f>'All regions'!397:397-"$F;@!)vJ"</f>
        <v>#VALUE!</v>
      </c>
      <c r="IJ213" t="e">
        <f>'All regions'!398:398-"$F;@!)vK"</f>
        <v>#VALUE!</v>
      </c>
      <c r="IK213" t="e">
        <f>'All regions'!399:399-"$F;@!)vL"</f>
        <v>#VALUE!</v>
      </c>
      <c r="IL213" t="e">
        <f>'All regions'!400:400-"$F;@!)vM"</f>
        <v>#VALUE!</v>
      </c>
      <c r="IM213" t="e">
        <f>'All regions'!401:401-"$F;@!)vN"</f>
        <v>#VALUE!</v>
      </c>
      <c r="IN213" t="e">
        <f>'All regions'!402:402-"$F;@!)vO"</f>
        <v>#VALUE!</v>
      </c>
      <c r="IO213" t="e">
        <f>'All regions'!403:403-"$F;@!)vP"</f>
        <v>#VALUE!</v>
      </c>
      <c r="IP213" t="e">
        <f>'All regions'!404:404-"$F;@!)vQ"</f>
        <v>#VALUE!</v>
      </c>
      <c r="IQ213" t="e">
        <f>'All regions'!407:407-"$F;@!)vR"</f>
        <v>#VALUE!</v>
      </c>
      <c r="IR213" t="e">
        <f>'All regions'!408:408-"$F;@!)vS"</f>
        <v>#VALUE!</v>
      </c>
      <c r="IS213" t="e">
        <f>'All regions'!409:409-"$F;@!)vT"</f>
        <v>#VALUE!</v>
      </c>
      <c r="IT213" t="e">
        <f>'All regions'!410:410-"$F;@!)vU"</f>
        <v>#VALUE!</v>
      </c>
      <c r="IU213" t="e">
        <f>'All regions'!411:411-"$F;@!)vV"</f>
        <v>#VALUE!</v>
      </c>
      <c r="IV213" t="e">
        <f>'All regions'!412:412-"$F;@!)vW"</f>
        <v>#VALUE!</v>
      </c>
    </row>
    <row r="214" spans="6:256" x14ac:dyDescent="0.35">
      <c r="F214" t="e">
        <f>'All regions'!413:413-"$F;@!)vX"</f>
        <v>#VALUE!</v>
      </c>
      <c r="G214" t="e">
        <f>'All regions'!414:414-"$F;@!)vY"</f>
        <v>#VALUE!</v>
      </c>
      <c r="H214" t="e">
        <f>'All regions'!415:415-"$F;@!)vZ"</f>
        <v>#VALUE!</v>
      </c>
      <c r="I214" t="e">
        <f>'All regions'!416:416-"$F;@!)v["</f>
        <v>#VALUE!</v>
      </c>
      <c r="J214" t="e">
        <f>'All regions'!417:417-"$F;@!)v\"</f>
        <v>#VALUE!</v>
      </c>
      <c r="K214" t="e">
        <f>'All regions'!418:418-"$F;@!)v]"</f>
        <v>#VALUE!</v>
      </c>
      <c r="L214" t="e">
        <f>'All regions'!419:419-"$F;@!)v^"</f>
        <v>#VALUE!</v>
      </c>
      <c r="M214" t="e">
        <f>'All regions'!420:420-"$F;@!)v_"</f>
        <v>#VALUE!</v>
      </c>
      <c r="N214" t="e">
        <f>'All regions'!421:421-"$F;@!)v`"</f>
        <v>#VALUE!</v>
      </c>
      <c r="O214" t="e">
        <f>'All regions'!422:422-"$F;@!)va"</f>
        <v>#VALUE!</v>
      </c>
      <c r="P214" t="e">
        <f>'All regions'!423:423-"$F;@!)vb"</f>
        <v>#VALUE!</v>
      </c>
      <c r="Q214" t="e">
        <f>'All regions'!424:424-"$F;@!)vc"</f>
        <v>#VALUE!</v>
      </c>
      <c r="R214" t="e">
        <f>'All regions'!425:425-"$F;@!)vd"</f>
        <v>#VALUE!</v>
      </c>
      <c r="S214" t="e">
        <f>'All regions'!426:426-"$F;@!)ve"</f>
        <v>#VALUE!</v>
      </c>
      <c r="T214" t="e">
        <f>'All regions'!427:427-"$F;@!)vf"</f>
        <v>#VALUE!</v>
      </c>
      <c r="U214" t="e">
        <f>'All regions'!428:428-"$F;@!)vg"</f>
        <v>#VALUE!</v>
      </c>
      <c r="V214" t="e">
        <f>'All regions'!429:429-"$F;@!)vh"</f>
        <v>#VALUE!</v>
      </c>
      <c r="W214" t="e">
        <f>'All regions'!430:430-"$F;@!)vi"</f>
        <v>#VALUE!</v>
      </c>
      <c r="X214" t="e">
        <f>'All regions'!431:431-"$F;@!)vj"</f>
        <v>#VALUE!</v>
      </c>
      <c r="Y214" t="e">
        <f>'All regions'!432:432-"$F;@!)vk"</f>
        <v>#VALUE!</v>
      </c>
      <c r="Z214" t="e">
        <f>'All regions'!433:433-"$F;@!)vl"</f>
        <v>#VALUE!</v>
      </c>
      <c r="AA214" t="e">
        <f>'All regions'!434:434-"$F;@!)vm"</f>
        <v>#VALUE!</v>
      </c>
      <c r="AB214" t="e">
        <f>'All regions'!435:435-"$F;@!)vn"</f>
        <v>#VALUE!</v>
      </c>
      <c r="AC214" t="e">
        <f>'All regions'!436:436-"$F;@!)vo"</f>
        <v>#VALUE!</v>
      </c>
      <c r="AD214" t="e">
        <f>'All regions'!437:437-"$F;@!)vp"</f>
        <v>#VALUE!</v>
      </c>
      <c r="AE214" t="e">
        <f>'All regions'!438:438-"$F;@!)vq"</f>
        <v>#VALUE!</v>
      </c>
      <c r="AF214" t="e">
        <f>'All regions'!439:439-"$F;@!)vr"</f>
        <v>#VALUE!</v>
      </c>
      <c r="AG214" t="e">
        <f>'All regions'!440:440-"$F;@!)vs"</f>
        <v>#VALUE!</v>
      </c>
      <c r="AH214" t="e">
        <f>'All regions'!441:441-"$F;@!)vt"</f>
        <v>#VALUE!</v>
      </c>
      <c r="AI214" t="e">
        <f>'All regions'!442:442-"$F;@!)vu"</f>
        <v>#VALUE!</v>
      </c>
      <c r="AJ214" t="e">
        <f>'All regions'!443:443-"$F;@!)vv"</f>
        <v>#VALUE!</v>
      </c>
      <c r="AK214" t="e">
        <f>'All regions'!444:444-"$F;@!)vw"</f>
        <v>#VALUE!</v>
      </c>
      <c r="AL214" t="e">
        <f>'All regions'!445:445-"$F;@!)vx"</f>
        <v>#VALUE!</v>
      </c>
      <c r="AM214" t="e">
        <f>'All regions'!446:446-"$F;@!)vy"</f>
        <v>#VALUE!</v>
      </c>
      <c r="AN214" t="e">
        <f>'All regions'!447:447-"$F;@!)vz"</f>
        <v>#VALUE!</v>
      </c>
      <c r="AO214" t="e">
        <f>'All regions'!448:448-"$F;@!)v{"</f>
        <v>#VALUE!</v>
      </c>
      <c r="AP214" t="e">
        <f>'All regions'!449:449-"$F;@!)v|"</f>
        <v>#VALUE!</v>
      </c>
      <c r="AQ214" t="e">
        <f>'All regions'!450:450-"$F;@!)v}"</f>
        <v>#VALUE!</v>
      </c>
      <c r="AR214" t="e">
        <f>'All regions'!451:451-"$F;@!)v~"</f>
        <v>#VALUE!</v>
      </c>
      <c r="AS214" t="e">
        <f>'All regions'!452:452-"$F;@!)w#"</f>
        <v>#VALUE!</v>
      </c>
      <c r="AT214" t="e">
        <f>'All regions'!453:453-"$F;@!)w$"</f>
        <v>#VALUE!</v>
      </c>
      <c r="AU214" t="e">
        <f>'All regions'!454:454-"$F;@!)w%"</f>
        <v>#VALUE!</v>
      </c>
      <c r="AV214" t="e">
        <f>'All regions'!455:455-"$F;@!)w&amp;"</f>
        <v>#VALUE!</v>
      </c>
      <c r="AW214" t="e">
        <f>'All regions'!456:456-"$F;@!)w'"</f>
        <v>#VALUE!</v>
      </c>
      <c r="AX214" t="e">
        <f>'All regions'!457:457-"$F;@!)w("</f>
        <v>#VALUE!</v>
      </c>
      <c r="AY214" t="e">
        <f>'All regions'!458:458-"$F;@!)w)"</f>
        <v>#VALUE!</v>
      </c>
      <c r="AZ214" t="e">
        <f>'All regions'!459:459-"$F;@!)w."</f>
        <v>#VALUE!</v>
      </c>
      <c r="BA214" t="e">
        <f>'All regions'!460:460-"$F;@!)w/"</f>
        <v>#VALUE!</v>
      </c>
      <c r="BB214" t="e">
        <f>'All regions'!461:461-"$F;@!)w0"</f>
        <v>#VALUE!</v>
      </c>
      <c r="BC214" t="e">
        <f>'All regions'!462:462-"$F;@!)w1"</f>
        <v>#VALUE!</v>
      </c>
      <c r="BD214" t="e">
        <f>'All regions'!463:463-"$F;@!)w2"</f>
        <v>#VALUE!</v>
      </c>
      <c r="BE214" t="e">
        <f>'All regions'!464:464-"$F;@!)w3"</f>
        <v>#VALUE!</v>
      </c>
      <c r="BF214" t="e">
        <f>'All regions'!465:465-"$F;@!)w4"</f>
        <v>#VALUE!</v>
      </c>
      <c r="BG214" t="e">
        <f>'All regions'!466:466-"$F;@!)w5"</f>
        <v>#VALUE!</v>
      </c>
      <c r="BH214" t="e">
        <f>'All regions'!467:467-"$F;@!)w6"</f>
        <v>#VALUE!</v>
      </c>
      <c r="BI214" t="e">
        <f>'All regions'!468:468-"$F;@!)w7"</f>
        <v>#VALUE!</v>
      </c>
      <c r="BJ214" t="e">
        <f>'All regions'!469:469-"$F;@!)w8"</f>
        <v>#VALUE!</v>
      </c>
      <c r="BK214" t="e">
        <f>'All regions'!470:470-"$F;@!)w9"</f>
        <v>#VALUE!</v>
      </c>
      <c r="BL214" t="e">
        <f>'All regions'!471:471-"$F;@!)w:"</f>
        <v>#VALUE!</v>
      </c>
      <c r="BM214" t="e">
        <f>'All regions'!481:481-"$F;@!)w;"</f>
        <v>#VALUE!</v>
      </c>
      <c r="BN214" t="e">
        <f>'All regions'!482:482-"$F;@!)w&lt;"</f>
        <v>#VALUE!</v>
      </c>
      <c r="BO214" t="e">
        <f>'All regions'!483:483-"$F;@!)w="</f>
        <v>#VALUE!</v>
      </c>
      <c r="BP214" t="e">
        <f>'All regions'!484:484-"$F;@!)w&gt;"</f>
        <v>#VALUE!</v>
      </c>
      <c r="BQ214" t="e">
        <f>'All regions'!485:485-"$F;@!)w?"</f>
        <v>#VALUE!</v>
      </c>
      <c r="BR214" t="e">
        <f>'All regions'!486:486-"$F;@!)w@"</f>
        <v>#VALUE!</v>
      </c>
      <c r="BS214" t="e">
        <f>'All regions'!487:487-"$F;@!)wA"</f>
        <v>#VALUE!</v>
      </c>
      <c r="BT214" t="e">
        <f>'All regions'!488:488-"$F;@!)wB"</f>
        <v>#VALUE!</v>
      </c>
      <c r="BU214" t="e">
        <f>'All regions'!489:489-"$F;@!)wC"</f>
        <v>#VALUE!</v>
      </c>
      <c r="BV214" t="e">
        <f>'All regions'!490:490-"$F;@!)wD"</f>
        <v>#VALUE!</v>
      </c>
      <c r="BW214" t="e">
        <f>'All regions'!491:491-"$F;@!)wE"</f>
        <v>#VALUE!</v>
      </c>
      <c r="BX214" t="e">
        <f>'All regions'!492:492-"$F;@!)wF"</f>
        <v>#VALUE!</v>
      </c>
      <c r="BY214" t="e">
        <f>'All regions'!493:493-"$F;@!)wG"</f>
        <v>#VALUE!</v>
      </c>
      <c r="BZ214" t="e">
        <f>'All regions'!494:494-"$F;@!)wH"</f>
        <v>#VALUE!</v>
      </c>
      <c r="CA214" t="e">
        <f>'All regions'!495:495-"$F;@!)wI"</f>
        <v>#VALUE!</v>
      </c>
      <c r="CB214" t="e">
        <f>'All regions'!496:496-"$F;@!)wJ"</f>
        <v>#VALUE!</v>
      </c>
      <c r="CC214" t="e">
        <f>'All regions'!497:497-"$F;@!)wK"</f>
        <v>#VALUE!</v>
      </c>
      <c r="CD214" t="e">
        <f>'All regions'!498:498-"$F;@!)wL"</f>
        <v>#VALUE!</v>
      </c>
      <c r="CE214" t="e">
        <f>'All regions'!499:499-"$F;@!)wM"</f>
        <v>#VALUE!</v>
      </c>
      <c r="CF214" t="e">
        <f>'All regions'!500:500-"$F;@!)wN"</f>
        <v>#VALUE!</v>
      </c>
      <c r="CG214" t="e">
        <f>'All regions'!501:501-"$F;@!)wO"</f>
        <v>#VALUE!</v>
      </c>
      <c r="CH214" t="e">
        <f>'All regions'!502:502-"$F;@!)wP"</f>
        <v>#VALUE!</v>
      </c>
      <c r="CI214" t="e">
        <f>'All regions'!503:503-"$F;@!)wQ"</f>
        <v>#VALUE!</v>
      </c>
      <c r="CJ214" t="e">
        <f>'All regions'!504:504-"$F;@!)wR"</f>
        <v>#VALUE!</v>
      </c>
      <c r="CK214" t="e">
        <f>'All regions'!505:505-"$F;@!)wS"</f>
        <v>#VALUE!</v>
      </c>
      <c r="CL214" t="e">
        <f>'All regions'!506:506-"$F;@!)wT"</f>
        <v>#VALUE!</v>
      </c>
      <c r="CM214" t="e">
        <f>'All regions'!507:507-"$F;@!)wU"</f>
        <v>#VALUE!</v>
      </c>
      <c r="CN214" t="e">
        <f>'All regions'!508:508-"$F;@!)wV"</f>
        <v>#VALUE!</v>
      </c>
      <c r="CO214" t="e">
        <f>'All regions'!509:509-"$F;@!)wW"</f>
        <v>#VALUE!</v>
      </c>
      <c r="CP214" t="e">
        <f>'All regions'!510:510-"$F;@!)wX"</f>
        <v>#VALUE!</v>
      </c>
      <c r="CQ214" t="e">
        <f>'All regions'!511:511-"$F;@!)wY"</f>
        <v>#VALUE!</v>
      </c>
      <c r="CR214" t="e">
        <f>'All regions'!512:512-"$F;@!)wZ"</f>
        <v>#VALUE!</v>
      </c>
      <c r="CS214" t="e">
        <f>'All regions'!513:513-"$F;@!)w["</f>
        <v>#VALUE!</v>
      </c>
      <c r="CT214" t="e">
        <f>'All regions'!514:514-"$F;@!)w\"</f>
        <v>#VALUE!</v>
      </c>
      <c r="CU214" t="e">
        <f>'All regions'!515:515-"$F;@!)w]"</f>
        <v>#VALUE!</v>
      </c>
      <c r="CV214" t="e">
        <f>'All regions'!516:516-"$F;@!)w^"</f>
        <v>#VALUE!</v>
      </c>
      <c r="CW214" t="e">
        <f>'All regions'!517:517-"$F;@!)w_"</f>
        <v>#VALUE!</v>
      </c>
      <c r="CX214" t="e">
        <f>'All regions'!518:518-"$F;@!)w`"</f>
        <v>#VALUE!</v>
      </c>
      <c r="CY214" t="e">
        <f>'All regions'!519:519-"$F;@!)wa"</f>
        <v>#VALUE!</v>
      </c>
      <c r="CZ214" t="e">
        <f>'All regions'!520:520-"$F;@!)wb"</f>
        <v>#VALUE!</v>
      </c>
      <c r="DA214" t="e">
        <f>'All regions'!521:521-"$F;@!)wc"</f>
        <v>#VALUE!</v>
      </c>
      <c r="DB214" t="e">
        <f>'All regions'!522:522-"$F;@!)wd"</f>
        <v>#VALUE!</v>
      </c>
      <c r="DC214" t="e">
        <f>'All regions'!523:523-"$F;@!)we"</f>
        <v>#VALUE!</v>
      </c>
      <c r="DD214" t="e">
        <f>'All regions'!524:524-"$F;@!)wf"</f>
        <v>#VALUE!</v>
      </c>
      <c r="DE214" t="e">
        <f>'All regions'!525:525-"$F;@!)wg"</f>
        <v>#VALUE!</v>
      </c>
      <c r="DF214" t="e">
        <f>'All regions'!526:526-"$F;@!)wh"</f>
        <v>#VALUE!</v>
      </c>
      <c r="DG214" t="e">
        <f>'All regions'!527:527-"$F;@!)wi"</f>
        <v>#VALUE!</v>
      </c>
      <c r="DH214" t="e">
        <f>'All regions'!528:528-"$F;@!)wj"</f>
        <v>#VALUE!</v>
      </c>
      <c r="DI214" t="e">
        <f>'All regions'!529:529-"$F;@!)wk"</f>
        <v>#VALUE!</v>
      </c>
      <c r="DJ214" t="e">
        <f>'All regions'!530:530-"$F;@!)wl"</f>
        <v>#VALUE!</v>
      </c>
      <c r="DK214" t="e">
        <f>'All regions'!531:531-"$F;@!)wm"</f>
        <v>#VALUE!</v>
      </c>
      <c r="DL214" t="e">
        <f>'All regions'!532:532-"$F;@!)wn"</f>
        <v>#VALUE!</v>
      </c>
      <c r="DM214" t="e">
        <f>'All regions'!533:533-"$F;@!)wo"</f>
        <v>#VALUE!</v>
      </c>
      <c r="DN214" t="e">
        <f>'All regions'!534:534-"$F;@!)wp"</f>
        <v>#VALUE!</v>
      </c>
      <c r="DO214" t="e">
        <f>'All regions'!535:535-"$F;@!)wq"</f>
        <v>#VALUE!</v>
      </c>
      <c r="DP214" t="e">
        <f>'All regions'!536:536-"$F;@!)wr"</f>
        <v>#VALUE!</v>
      </c>
      <c r="DQ214" t="e">
        <f>'All regions'!537:537-"$F;@!)ws"</f>
        <v>#VALUE!</v>
      </c>
      <c r="DR214" t="e">
        <f>'All regions'!538:538-"$F;@!)wt"</f>
        <v>#VALUE!</v>
      </c>
      <c r="DS214" t="e">
        <f>'All regions'!539:539-"$F;@!)wu"</f>
        <v>#VALUE!</v>
      </c>
      <c r="DT214" t="e">
        <f>'All regions'!540:540-"$F;@!)wv"</f>
        <v>#VALUE!</v>
      </c>
      <c r="DU214" t="e">
        <f>'All regions'!541:541-"$F;@!)ww"</f>
        <v>#VALUE!</v>
      </c>
      <c r="DV214" t="e">
        <f>'All regions'!542:542-"$F;@!)wx"</f>
        <v>#VALUE!</v>
      </c>
      <c r="DW214" t="e">
        <f>'All regions'!543:543-"$F;@!)wy"</f>
        <v>#VALUE!</v>
      </c>
      <c r="DX214" t="e">
        <f>'All regions'!544:544-"$F;@!)wz"</f>
        <v>#VALUE!</v>
      </c>
      <c r="DY214" t="e">
        <f>'All regions'!545:545-"$F;@!)w{"</f>
        <v>#VALUE!</v>
      </c>
      <c r="DZ214" t="e">
        <f>'All regions'!546:546-"$F;@!)w|"</f>
        <v>#VALUE!</v>
      </c>
      <c r="EA214" t="e">
        <f>'All regions'!547:547-"$F;@!)w}"</f>
        <v>#VALUE!</v>
      </c>
      <c r="EB214" t="e">
        <f>'All regions'!548:548-"$F;@!)w~"</f>
        <v>#VALUE!</v>
      </c>
      <c r="EC214" t="e">
        <f>'All regions'!549:549-"$F;@!)x#"</f>
        <v>#VALUE!</v>
      </c>
      <c r="ED214" t="e">
        <f>'All regions'!550:550-"$F;@!)x$"</f>
        <v>#VALUE!</v>
      </c>
      <c r="EE214" t="e">
        <f>'All regions'!551:551-"$F;@!)x%"</f>
        <v>#VALUE!</v>
      </c>
      <c r="EF214" t="e">
        <f>'All regions'!552:552-"$F;@!)x&amp;"</f>
        <v>#VALUE!</v>
      </c>
      <c r="EG214" t="e">
        <f>'All regions'!553:553-"$F;@!)x'"</f>
        <v>#VALUE!</v>
      </c>
      <c r="EH214" t="e">
        <f>'All regions'!554:554-"$F;@!)x("</f>
        <v>#VALUE!</v>
      </c>
      <c r="EI214" t="e">
        <f>'All regions'!555:555-"$F;@!)x)"</f>
        <v>#VALUE!</v>
      </c>
      <c r="EJ214" t="e">
        <f>'All regions'!556:556-"$F;@!)x."</f>
        <v>#VALUE!</v>
      </c>
      <c r="EK214" t="e">
        <f>'All regions'!557:557-"$F;@!)x/"</f>
        <v>#VALUE!</v>
      </c>
      <c r="EL214" t="e">
        <f>'All regions'!558:558-"$F;@!)x0"</f>
        <v>#VALUE!</v>
      </c>
      <c r="EM214" t="e">
        <f>'All regions'!559:559-"$F;@!)x1"</f>
        <v>#VALUE!</v>
      </c>
      <c r="EN214" t="e">
        <f>'All regions'!560:560-"$F;@!)x2"</f>
        <v>#VALUE!</v>
      </c>
      <c r="EO214" t="e">
        <f>'All regions'!562:562-"$F;@!)x3"</f>
        <v>#VALUE!</v>
      </c>
      <c r="EP214" t="e">
        <f>'All regions'!564:564-"$F;@!)x4"</f>
        <v>#VALUE!</v>
      </c>
      <c r="EQ214" t="e">
        <f>'All regions'!565:565-"$F;@!)x5"</f>
        <v>#VALUE!</v>
      </c>
      <c r="ER214" t="e">
        <f>'All regions'!566:566-"$F;@!)x6"</f>
        <v>#VALUE!</v>
      </c>
      <c r="ES214" t="e">
        <f>'All regions'!567:567-"$F;@!)x7"</f>
        <v>#VALUE!</v>
      </c>
      <c r="ET214" t="e">
        <f>'All regions'!568:568-"$F;@!)x8"</f>
        <v>#VALUE!</v>
      </c>
      <c r="EU214" t="e">
        <f>'All regions'!569:569-"$F;@!)x9"</f>
        <v>#VALUE!</v>
      </c>
      <c r="EV214" t="e">
        <f>'All regions'!570:570-"$F;@!)x:"</f>
        <v>#VALUE!</v>
      </c>
      <c r="EW214" t="e">
        <f>'All regions'!571:571-"$F;@!)x;"</f>
        <v>#VALUE!</v>
      </c>
      <c r="EX214" t="e">
        <f>'All regions'!572:572-"$F;@!)x&lt;"</f>
        <v>#VALUE!</v>
      </c>
      <c r="EY214" t="e">
        <f>'All regions'!573:573-"$F;@!)x="</f>
        <v>#VALUE!</v>
      </c>
      <c r="EZ214" t="e">
        <f>'All regions'!574:574-"$F;@!)x&gt;"</f>
        <v>#VALUE!</v>
      </c>
      <c r="FA214" t="e">
        <f>'All regions'!575:575-"$F;@!)x?"</f>
        <v>#VALUE!</v>
      </c>
      <c r="FB214" t="e">
        <f>'All regions'!576:576-"$F;@!)x@"</f>
        <v>#VALUE!</v>
      </c>
      <c r="FC214" t="e">
        <f>'All regions'!577:577-"$F;@!)xA"</f>
        <v>#VALUE!</v>
      </c>
      <c r="FD214" t="e">
        <f>'All regions'!578:578-"$F;@!)xB"</f>
        <v>#VALUE!</v>
      </c>
      <c r="FE214" t="e">
        <f>'All regions'!579:579-"$F;@!)xC"</f>
        <v>#VALUE!</v>
      </c>
      <c r="FF214" t="e">
        <f>'All regions'!580:580-"$F;@!)xD"</f>
        <v>#VALUE!</v>
      </c>
      <c r="FG214" t="e">
        <f>'All regions'!581:581-"$F;@!)xE"</f>
        <v>#VALUE!</v>
      </c>
      <c r="FH214" t="e">
        <f>'All regions'!582:582-"$F;@!)xF"</f>
        <v>#VALUE!</v>
      </c>
      <c r="FI214" t="e">
        <f>'All regions'!583:583-"$F;@!)xG"</f>
        <v>#VALUE!</v>
      </c>
      <c r="FJ214" t="e">
        <f>'All regions'!584:584-"$F;@!)xH"</f>
        <v>#VALUE!</v>
      </c>
      <c r="FK214" t="e">
        <f>'All regions'!585:585-"$F;@!)xI"</f>
        <v>#VALUE!</v>
      </c>
      <c r="FL214" t="e">
        <f>'All regions'!586:586-"$F;@!)xJ"</f>
        <v>#VALUE!</v>
      </c>
      <c r="FM214" t="e">
        <f>'All regions'!587:587-"$F;@!)xK"</f>
        <v>#VALUE!</v>
      </c>
      <c r="FN214" t="e">
        <f>'All regions'!588:588-"$F;@!)xL"</f>
        <v>#VALUE!</v>
      </c>
      <c r="FO214" t="e">
        <f>'All regions'!589:589-"$F;@!)xM"</f>
        <v>#VALUE!</v>
      </c>
      <c r="FP214" t="e">
        <f>'All regions'!590:590-"$F;@!)xN"</f>
        <v>#VALUE!</v>
      </c>
      <c r="FQ214" t="e">
        <f>'All regions'!591:591-"$F;@!)xO"</f>
        <v>#VALUE!</v>
      </c>
      <c r="FR214" t="e">
        <f>'All regions'!592:592-"$F;@!)xP"</f>
        <v>#VALUE!</v>
      </c>
      <c r="FS214" t="e">
        <f>'All regions'!593:593-"$F;@!)xQ"</f>
        <v>#VALUE!</v>
      </c>
      <c r="FT214" t="e">
        <f>'All regions'!594:594-"$F;@!)xR"</f>
        <v>#VALUE!</v>
      </c>
      <c r="FU214" t="e">
        <f>'All regions'!595:595-"$F;@!)xS"</f>
        <v>#VALUE!</v>
      </c>
      <c r="FV214" t="e">
        <f>'All regions'!596:596-"$F;@!)xT"</f>
        <v>#VALUE!</v>
      </c>
      <c r="FW214" t="e">
        <f>'All regions'!597:597-"$F;@!)xU"</f>
        <v>#VALUE!</v>
      </c>
      <c r="FX214" t="e">
        <f>'All regions'!598:598-"$F;@!)xV"</f>
        <v>#VALUE!</v>
      </c>
      <c r="FY214" t="e">
        <f>'All regions'!599:599-"$F;@!)xW"</f>
        <v>#VALUE!</v>
      </c>
      <c r="FZ214" t="e">
        <f>'All regions'!600:600-"$F;@!)xX"</f>
        <v>#VALUE!</v>
      </c>
      <c r="GA214" t="e">
        <f>'All regions'!601:601-"$F;@!)xY"</f>
        <v>#VALUE!</v>
      </c>
      <c r="GB214" t="e">
        <f>'All regions'!602:602-"$F;@!)xZ"</f>
        <v>#VALUE!</v>
      </c>
      <c r="GC214" t="e">
        <f>'All regions'!603:603-"$F;@!)x["</f>
        <v>#VALUE!</v>
      </c>
      <c r="GD214" t="e">
        <f>'All regions'!604:604-"$F;@!)x\"</f>
        <v>#VALUE!</v>
      </c>
      <c r="GE214" t="e">
        <f>'All regions'!605:605-"$F;@!)x]"</f>
        <v>#VALUE!</v>
      </c>
      <c r="GF214" t="e">
        <f>'All regions'!606:606-"$F;@!)x^"</f>
        <v>#VALUE!</v>
      </c>
      <c r="GG214" t="e">
        <f>'All regions'!607:607-"$F;@!)x_"</f>
        <v>#VALUE!</v>
      </c>
      <c r="GH214" t="e">
        <f>'All regions'!608:608-"$F;@!)x`"</f>
        <v>#VALUE!</v>
      </c>
      <c r="GI214" t="e">
        <f>'All regions'!609:609-"$F;@!)xa"</f>
        <v>#VALUE!</v>
      </c>
      <c r="GJ214" t="e">
        <f>'All regions'!610:610-"$F;@!)xb"</f>
        <v>#VALUE!</v>
      </c>
      <c r="GK214" t="e">
        <f>'All regions'!611:611-"$F;@!)xc"</f>
        <v>#VALUE!</v>
      </c>
      <c r="GL214" t="e">
        <f>'All regions'!612:612-"$F;@!)xd"</f>
        <v>#VALUE!</v>
      </c>
      <c r="GM214" t="e">
        <f>'All regions'!613:613-"$F;@!)xe"</f>
        <v>#VALUE!</v>
      </c>
      <c r="GN214" t="e">
        <f>'All regions'!614:614-"$F;@!)xf"</f>
        <v>#VALUE!</v>
      </c>
      <c r="GO214" t="e">
        <f>'All regions'!615:615-"$F;@!)xg"</f>
        <v>#VALUE!</v>
      </c>
      <c r="GP214" t="e">
        <f>'All regions'!616:616-"$F;@!)xh"</f>
        <v>#VALUE!</v>
      </c>
      <c r="GQ214" t="e">
        <f>'All regions'!617:617-"$F;@!)xi"</f>
        <v>#VALUE!</v>
      </c>
      <c r="GR214" t="e">
        <f>'All regions'!620:620-"$F;@!)xj"</f>
        <v>#VALUE!</v>
      </c>
      <c r="GS214" t="e">
        <f>'All regions'!621:621-"$F;@!)xk"</f>
        <v>#VALUE!</v>
      </c>
      <c r="GT214" t="e">
        <f>'All regions'!622:622-"$F;@!)xl"</f>
        <v>#VALUE!</v>
      </c>
      <c r="GU214" t="e">
        <f>'All regions'!623:623-"$F;@!)xm"</f>
        <v>#VALUE!</v>
      </c>
      <c r="GV214" t="e">
        <f>'All regions'!624:624-"$F;@!)xn"</f>
        <v>#VALUE!</v>
      </c>
      <c r="GW214" t="e">
        <f>'All regions'!625:625-"$F;@!)xo"</f>
        <v>#VALUE!</v>
      </c>
      <c r="GX214" t="e">
        <f>'All regions'!626:626-"$F;@!)xp"</f>
        <v>#VALUE!</v>
      </c>
      <c r="GY214" t="e">
        <f>'All regions'!627:627-"$F;@!)xq"</f>
        <v>#VALUE!</v>
      </c>
      <c r="GZ214" t="e">
        <f>'All regions'!628:628-"$F;@!)xr"</f>
        <v>#VALUE!</v>
      </c>
      <c r="HA214" t="e">
        <f>'All regions'!629:629-"$F;@!)xs"</f>
        <v>#VALUE!</v>
      </c>
      <c r="HB214" t="e">
        <f>'All regions'!630:630-"$F;@!)xt"</f>
        <v>#VALUE!</v>
      </c>
      <c r="HC214" t="e">
        <f>'All regions'!631:631-"$F;@!)xu"</f>
        <v>#VALUE!</v>
      </c>
      <c r="HD214" t="e">
        <f>'All regions'!632:632-"$F;@!)xv"</f>
        <v>#VALUE!</v>
      </c>
      <c r="HE214" t="e">
        <f>'All regions'!633:633-"$F;@!)xw"</f>
        <v>#VALUE!</v>
      </c>
      <c r="HF214" t="e">
        <f>'All regions'!634:634-"$F;@!)xx"</f>
        <v>#VALUE!</v>
      </c>
      <c r="HG214" t="e">
        <f>'All regions'!635:635-"$F;@!)xy"</f>
        <v>#VALUE!</v>
      </c>
      <c r="HH214" t="e">
        <f>'All regions'!636:636-"$F;@!)xz"</f>
        <v>#VALUE!</v>
      </c>
      <c r="HI214" t="e">
        <f>'All regions'!637:637-"$F;@!)x{"</f>
        <v>#VALUE!</v>
      </c>
      <c r="HJ214" t="e">
        <f>'All regions'!638:638-"$F;@!)x|"</f>
        <v>#VALUE!</v>
      </c>
      <c r="HK214" t="e">
        <f>'All regions'!639:639-"$F;@!)x}"</f>
        <v>#VALUE!</v>
      </c>
      <c r="HL214" t="e">
        <f>'All regions'!640:640-"$F;@!)x~"</f>
        <v>#VALUE!</v>
      </c>
      <c r="HM214" t="e">
        <f>'All regions'!641:641-"$F;@!)y#"</f>
        <v>#VALUE!</v>
      </c>
      <c r="HN214" t="e">
        <f>'All regions'!642:642-"$F;@!)y$"</f>
        <v>#VALUE!</v>
      </c>
      <c r="HO214" t="e">
        <f>'All regions'!643:643-"$F;@!)y%"</f>
        <v>#VALUE!</v>
      </c>
      <c r="HP214" t="e">
        <f>'All regions'!644:644-"$F;@!)y&amp;"</f>
        <v>#VALUE!</v>
      </c>
      <c r="HQ214" t="e">
        <f>'All regions'!645:645-"$F;@!)y'"</f>
        <v>#VALUE!</v>
      </c>
      <c r="HR214" t="e">
        <f>'All regions'!646:646-"$F;@!)y("</f>
        <v>#VALUE!</v>
      </c>
      <c r="HS214" t="e">
        <f>'All regions'!647:647-"$F;@!)y)"</f>
        <v>#VALUE!</v>
      </c>
      <c r="HT214" t="e">
        <f>'All regions'!648:648-"$F;@!)y."</f>
        <v>#VALUE!</v>
      </c>
      <c r="HU214" t="e">
        <f>'All regions'!649:649-"$F;@!)y/"</f>
        <v>#VALUE!</v>
      </c>
      <c r="HV214" t="e">
        <f>'All regions'!650:650-"$F;@!)y0"</f>
        <v>#VALUE!</v>
      </c>
      <c r="HW214" t="e">
        <f>'All regions'!651:651-"$F;@!)y1"</f>
        <v>#VALUE!</v>
      </c>
      <c r="HX214" t="e">
        <f>'All regions'!652:652-"$F;@!)y2"</f>
        <v>#VALUE!</v>
      </c>
      <c r="HY214" t="e">
        <f>'All regions'!653:653-"$F;@!)y3"</f>
        <v>#VALUE!</v>
      </c>
      <c r="HZ214" t="e">
        <f>'All regions'!654:654-"$F;@!)y4"</f>
        <v>#VALUE!</v>
      </c>
      <c r="IA214" t="e">
        <f>'All regions'!655:655-"$F;@!)y5"</f>
        <v>#VALUE!</v>
      </c>
      <c r="IB214" t="e">
        <f>'All regions'!656:656-"$F;@!)y6"</f>
        <v>#VALUE!</v>
      </c>
      <c r="IC214" t="e">
        <f>'All regions'!657:657-"$F;@!)y7"</f>
        <v>#VALUE!</v>
      </c>
      <c r="ID214" t="e">
        <f>'All regions'!658:658-"$F;@!)y8"</f>
        <v>#VALUE!</v>
      </c>
      <c r="IE214" t="e">
        <f>'All regions'!659:659-"$F;@!)y9"</f>
        <v>#VALUE!</v>
      </c>
      <c r="IF214" t="e">
        <f>'All regions'!660:660-"$F;@!)y:"</f>
        <v>#VALUE!</v>
      </c>
      <c r="IG214" t="e">
        <f>'All regions'!661:661-"$F;@!)y;"</f>
        <v>#VALUE!</v>
      </c>
      <c r="IH214" t="e">
        <f>'All regions'!662:662-"$F;@!)y&lt;"</f>
        <v>#VALUE!</v>
      </c>
      <c r="II214" t="e">
        <f>'All regions'!663:663-"$F;@!)y="</f>
        <v>#VALUE!</v>
      </c>
      <c r="IJ214" t="e">
        <f>'All regions'!664:664-"$F;@!)y&gt;"</f>
        <v>#VALUE!</v>
      </c>
      <c r="IK214" t="e">
        <f>'All regions'!665:665-"$F;@!)y?"</f>
        <v>#VALUE!</v>
      </c>
      <c r="IL214" t="e">
        <f>'All regions'!666:666-"$F;@!)y@"</f>
        <v>#VALUE!</v>
      </c>
      <c r="IM214" t="e">
        <f>'All regions'!667:667-"$F;@!)yA"</f>
        <v>#VALUE!</v>
      </c>
      <c r="IN214" t="e">
        <f>'All regions'!668:668-"$F;@!)yB"</f>
        <v>#VALUE!</v>
      </c>
      <c r="IO214" t="e">
        <f>'All regions'!669:669-"$F;@!)yC"</f>
        <v>#VALUE!</v>
      </c>
      <c r="IP214" t="e">
        <f>'All regions'!670:670-"$F;@!)yD"</f>
        <v>#VALUE!</v>
      </c>
      <c r="IQ214" t="e">
        <f>'All regions'!671:671-"$F;@!)yE"</f>
        <v>#VALUE!</v>
      </c>
      <c r="IR214" t="e">
        <f>'All regions'!672:672-"$F;@!)yF"</f>
        <v>#VALUE!</v>
      </c>
      <c r="IS214" t="e">
        <f>'All regions'!673:673-"$F;@!)yG"</f>
        <v>#VALUE!</v>
      </c>
      <c r="IT214" t="e">
        <f>'All regions'!674:674-"$F;@!)yH"</f>
        <v>#VALUE!</v>
      </c>
      <c r="IU214" t="e">
        <f>'All regions'!675:675-"$F;@!)yI"</f>
        <v>#VALUE!</v>
      </c>
      <c r="IV214" t="e">
        <f>'All regions'!676:676-"$F;@!)yJ"</f>
        <v>#VALUE!</v>
      </c>
    </row>
    <row r="215" spans="6:256" x14ac:dyDescent="0.35">
      <c r="F215" t="e">
        <f>'All regions'!677:677-"$F;@!)yK"</f>
        <v>#VALUE!</v>
      </c>
      <c r="G215" t="e">
        <f>'All regions'!678:678-"$F;@!)yL"</f>
        <v>#VALUE!</v>
      </c>
      <c r="H215" t="e">
        <f>'All regions'!679:679-"$F;@!)yM"</f>
        <v>#VALUE!</v>
      </c>
      <c r="I215" t="e">
        <f>'All regions'!680:680-"$F;@!)yN"</f>
        <v>#VALUE!</v>
      </c>
      <c r="J215" t="e">
        <f>'All regions'!681:681-"$F;@!)yO"</f>
        <v>#VALUE!</v>
      </c>
      <c r="K215" t="e">
        <f>'All regions'!682:682-"$F;@!)yP"</f>
        <v>#VALUE!</v>
      </c>
      <c r="L215" t="e">
        <f>'All regions'!683:683-"$F;@!)yQ"</f>
        <v>#VALUE!</v>
      </c>
      <c r="M215" t="e">
        <f>'All regions'!684:684-"$F;@!)yR"</f>
        <v>#VALUE!</v>
      </c>
      <c r="N215" t="e">
        <f>'All regions'!685:685-"$F;@!)yS"</f>
        <v>#VALUE!</v>
      </c>
      <c r="O215" t="e">
        <f>'All regions'!686:686-"$F;@!)yT"</f>
        <v>#VALUE!</v>
      </c>
      <c r="P215" t="e">
        <f>'All regions'!687:687-"$F;@!)yU"</f>
        <v>#VALUE!</v>
      </c>
      <c r="Q215" t="e">
        <f>'All regions'!688:688-"$F;@!)yV"</f>
        <v>#VALUE!</v>
      </c>
      <c r="R215" t="e">
        <f>'All regions'!689:689-"$F;@!)yW"</f>
        <v>#VALUE!</v>
      </c>
      <c r="S215" t="e">
        <f>'All regions'!690:690-"$F;@!)yX"</f>
        <v>#VALUE!</v>
      </c>
      <c r="T215" t="e">
        <f>'All regions'!691:691-"$F;@!)yY"</f>
        <v>#VALUE!</v>
      </c>
      <c r="U215" t="e">
        <f>'All regions'!693:693-"$F;@!)yZ"</f>
        <v>#VALUE!</v>
      </c>
      <c r="V215" t="e">
        <f>'All regions'!694:694-"$F;@!)y["</f>
        <v>#VALUE!</v>
      </c>
      <c r="W215" t="e">
        <f>'All regions'!695:695-"$F;@!)y\"</f>
        <v>#VALUE!</v>
      </c>
      <c r="X215" t="e">
        <f>'All regions'!696:696-"$F;@!)y]"</f>
        <v>#VALUE!</v>
      </c>
      <c r="Y215" t="e">
        <f>'All regions'!697:697-"$F;@!)y^"</f>
        <v>#VALUE!</v>
      </c>
      <c r="Z215" t="e">
        <f>'All regions'!698:698-"$F;@!)y_"</f>
        <v>#VALUE!</v>
      </c>
      <c r="AA215" t="e">
        <f>'All regions'!699:699-"$F;@!)y`"</f>
        <v>#VALUE!</v>
      </c>
      <c r="AB215" t="e">
        <f>'All regions'!700:700-"$F;@!)ya"</f>
        <v>#VALUE!</v>
      </c>
      <c r="AC215" t="e">
        <f>'All regions'!701:701-"$F;@!)yb"</f>
        <v>#VALUE!</v>
      </c>
      <c r="AD215" t="e">
        <f>'All regions'!702:702-"$F;@!)yc"</f>
        <v>#VALUE!</v>
      </c>
      <c r="AE215" t="e">
        <f>'All regions'!703:703-"$F;@!)yd"</f>
        <v>#VALUE!</v>
      </c>
      <c r="AF215" t="e">
        <f>'All regions'!704:704-"$F;@!)ye"</f>
        <v>#VALUE!</v>
      </c>
      <c r="AG215" t="e">
        <f>'All regions'!705:705-"$F;@!)yf"</f>
        <v>#VALUE!</v>
      </c>
      <c r="AH215" t="e">
        <f>'All regions'!706:706-"$F;@!)yg"</f>
        <v>#VALUE!</v>
      </c>
      <c r="AI215" t="e">
        <f>'All regions'!707:707-"$F;@!)yh"</f>
        <v>#VALUE!</v>
      </c>
      <c r="AJ215" t="e">
        <f>'All regions'!708:708-"$F;@!)yi"</f>
        <v>#VALUE!</v>
      </c>
      <c r="AK215" t="e">
        <f>'All regions'!709:709-"$F;@!)yj"</f>
        <v>#VALUE!</v>
      </c>
      <c r="AL215" t="e">
        <f>'All regions'!710:710-"$F;@!)yk"</f>
        <v>#VALUE!</v>
      </c>
      <c r="AM215" t="e">
        <f>'All regions'!711:711-"$F;@!)yl"</f>
        <v>#VALUE!</v>
      </c>
      <c r="AN215" t="e">
        <f>'All regions'!712:712-"$F;@!)ym"</f>
        <v>#VALUE!</v>
      </c>
      <c r="AO215" t="e">
        <f>'All regions'!713:713-"$F;@!)yn"</f>
        <v>#VALUE!</v>
      </c>
      <c r="AP215" t="e">
        <f>'All regions'!714:714-"$F;@!)yo"</f>
        <v>#VALUE!</v>
      </c>
      <c r="AQ215" t="e">
        <f>'All regions'!715:715-"$F;@!)yp"</f>
        <v>#VALUE!</v>
      </c>
      <c r="AR215" t="e">
        <f>'All regions'!716:716-"$F;@!)yq"</f>
        <v>#VALUE!</v>
      </c>
      <c r="AS215" t="e">
        <f>'All regions'!717:717-"$F;@!)yr"</f>
        <v>#VALUE!</v>
      </c>
      <c r="AT215" t="e">
        <f>'All regions'!718:718-"$F;@!)ys"</f>
        <v>#VALUE!</v>
      </c>
      <c r="AU215" t="e">
        <f>'All regions'!719:719-"$F;@!)yt"</f>
        <v>#VALUE!</v>
      </c>
      <c r="AV215" t="e">
        <f>'All regions'!720:720-"$F;@!)yu"</f>
        <v>#VALUE!</v>
      </c>
      <c r="AW215" t="e">
        <f>'All regions'!721:721-"$F;@!)yv"</f>
        <v>#VALUE!</v>
      </c>
      <c r="AX215" t="e">
        <f>'All regions'!722:722-"$F;@!)yw"</f>
        <v>#VALUE!</v>
      </c>
      <c r="AY215" t="e">
        <f>'All regions'!723:723-"$F;@!)yx"</f>
        <v>#VALUE!</v>
      </c>
      <c r="AZ215" t="e">
        <f>'All regions'!724:724-"$F;@!)yy"</f>
        <v>#VALUE!</v>
      </c>
      <c r="BA215" t="e">
        <f>'All regions'!725:725-"$F;@!)yz"</f>
        <v>#VALUE!</v>
      </c>
      <c r="BB215" t="e">
        <f>'All regions'!726:726-"$F;@!)y{"</f>
        <v>#VALUE!</v>
      </c>
      <c r="BC215" t="e">
        <f>'All regions'!727:727-"$F;@!)y|"</f>
        <v>#VALUE!</v>
      </c>
      <c r="BD215" t="e">
        <f>'All regions'!728:728-"$F;@!)y}"</f>
        <v>#VALUE!</v>
      </c>
      <c r="BE215" t="e">
        <f>'All regions'!729:729-"$F;@!)y~"</f>
        <v>#VALUE!</v>
      </c>
      <c r="BF215" t="e">
        <f>'All regions'!730:730-"$F;@!)z#"</f>
        <v>#VALUE!</v>
      </c>
      <c r="BG215" t="e">
        <f>'All regions'!731:731-"$F;@!)z$"</f>
        <v>#VALUE!</v>
      </c>
      <c r="BH215" t="e">
        <f>'All regions'!732:732-"$F;@!)z%"</f>
        <v>#VALUE!</v>
      </c>
      <c r="BI215" t="e">
        <f>'All regions'!733:733-"$F;@!)z&amp;"</f>
        <v>#VALUE!</v>
      </c>
      <c r="BJ215" t="e">
        <f>'All regions'!734:734-"$F;@!)z'"</f>
        <v>#VALUE!</v>
      </c>
      <c r="BK215" t="e">
        <f>'All regions'!735:735-"$F;@!)z("</f>
        <v>#VALUE!</v>
      </c>
      <c r="BL215" t="e">
        <f>'All regions'!736:736-"$F;@!)z)"</f>
        <v>#VALUE!</v>
      </c>
      <c r="BM215" t="e">
        <f>'All regions'!737:737-"$F;@!)z."</f>
        <v>#VALUE!</v>
      </c>
      <c r="BN215" t="e">
        <f>'All regions'!738:738-"$F;@!)z/"</f>
        <v>#VALUE!</v>
      </c>
      <c r="BO215" t="e">
        <f>'All regions'!739:739-"$F;@!)z0"</f>
        <v>#VALUE!</v>
      </c>
      <c r="BP215" t="e">
        <f>'All regions'!740:740-"$F;@!)z1"</f>
        <v>#VALUE!</v>
      </c>
      <c r="BQ215" t="e">
        <f>'All regions'!741:741-"$F;@!)z2"</f>
        <v>#VALUE!</v>
      </c>
      <c r="BR215" t="e">
        <f>'All regions'!742:742-"$F;@!)z3"</f>
        <v>#VALUE!</v>
      </c>
      <c r="BS215" t="e">
        <f>'All regions'!743:743-"$F;@!)z4"</f>
        <v>#VALUE!</v>
      </c>
      <c r="BT215" t="e">
        <f>'All regions'!744:744-"$F;@!)z5"</f>
        <v>#VALUE!</v>
      </c>
      <c r="BU215" t="e">
        <f>'All regions'!745:745-"$F;@!)z6"</f>
        <v>#VALUE!</v>
      </c>
      <c r="BV215" t="e">
        <f>'All regions'!746:746-"$F;@!)z7"</f>
        <v>#VALUE!</v>
      </c>
      <c r="BW215" t="e">
        <f>'All regions'!747:747-"$F;@!)z8"</f>
        <v>#VALUE!</v>
      </c>
      <c r="BX215" t="e">
        <f>'All regions'!748:748-"$F;@!)z9"</f>
        <v>#VALUE!</v>
      </c>
      <c r="BY215" t="e">
        <f>'All regions'!749:749-"$F;@!)z:"</f>
        <v>#VALUE!</v>
      </c>
      <c r="BZ215" t="e">
        <f>'All regions'!750:750-"$F;@!)z;"</f>
        <v>#VALUE!</v>
      </c>
      <c r="CA215" t="e">
        <f>'All regions'!751:751-"$F;@!)z&lt;"</f>
        <v>#VALUE!</v>
      </c>
      <c r="CB215" t="e">
        <f>'All regions'!752:752-"$F;@!)z="</f>
        <v>#VALUE!</v>
      </c>
      <c r="CC215" t="e">
        <f>'All regions'!753:753-"$F;@!)z&gt;"</f>
        <v>#VALUE!</v>
      </c>
      <c r="CD215" t="e">
        <f>'All regions'!754:754-"$F;@!)z?"</f>
        <v>#VALUE!</v>
      </c>
      <c r="CE215" t="e">
        <f>'All regions'!755:755-"$F;@!)z@"</f>
        <v>#VALUE!</v>
      </c>
      <c r="CF215" t="e">
        <f>'All regions'!756:756-"$F;@!)zA"</f>
        <v>#VALUE!</v>
      </c>
      <c r="CG215" t="e">
        <f>'All regions'!757:757-"$F;@!)zB"</f>
        <v>#VALUE!</v>
      </c>
      <c r="CH215" t="e">
        <f>'All regions'!758:758-"$F;@!)zC"</f>
        <v>#VALUE!</v>
      </c>
      <c r="CI215" t="e">
        <f>'All regions'!759:759-"$F;@!)zD"</f>
        <v>#VALUE!</v>
      </c>
      <c r="CJ215" t="e">
        <f>'All regions'!760:760-"$F;@!)zE"</f>
        <v>#VALUE!</v>
      </c>
      <c r="CK215" t="e">
        <f>'All regions'!761:761-"$F;@!)zF"</f>
        <v>#VALUE!</v>
      </c>
      <c r="CL215" t="e">
        <f>'All regions'!762:762-"$F;@!)zG"</f>
        <v>#VALUE!</v>
      </c>
      <c r="CM215" t="e">
        <f>'All regions'!763:763-"$F;@!)zH"</f>
        <v>#VALUE!</v>
      </c>
      <c r="CN215" t="e">
        <f>'All regions'!764:764-"$F;@!)zI"</f>
        <v>#VALUE!</v>
      </c>
      <c r="CO215" t="e">
        <f>'All regions'!765:765-"$F;@!)zJ"</f>
        <v>#VALUE!</v>
      </c>
      <c r="CP215" t="e">
        <f>'All regions'!766:766-"$F;@!)zK"</f>
        <v>#VALUE!</v>
      </c>
      <c r="CQ215" t="e">
        <f>'All regions'!767:767-"$F;@!)zL"</f>
        <v>#VALUE!</v>
      </c>
      <c r="CR215" t="e">
        <f>'All regions'!768:768-"$F;@!)zM"</f>
        <v>#VALUE!</v>
      </c>
      <c r="CS215" t="e">
        <f>'All regions'!769:769-"$F;@!)zN"</f>
        <v>#VALUE!</v>
      </c>
      <c r="CT215" t="e">
        <f>'All regions'!770:770-"$F;@!)zO"</f>
        <v>#VALUE!</v>
      </c>
      <c r="CU215" t="e">
        <f>'All regions'!771:771-"$F;@!)zP"</f>
        <v>#VALUE!</v>
      </c>
      <c r="CV215" t="e">
        <f>'All regions'!772:772-"$F;@!)zQ"</f>
        <v>#VALUE!</v>
      </c>
      <c r="CW215" t="e">
        <f>'All regions'!773:773-"$F;@!)zR"</f>
        <v>#VALUE!</v>
      </c>
      <c r="CX215" t="e">
        <f>'All regions'!774:774-"$F;@!)zS"</f>
        <v>#VALUE!</v>
      </c>
      <c r="CY215" t="e">
        <f>'All regions'!775:775-"$F;@!)zT"</f>
        <v>#VALUE!</v>
      </c>
      <c r="CZ215" t="e">
        <f>'All regions'!776:776-"$F;@!)zU"</f>
        <v>#VALUE!</v>
      </c>
      <c r="DA215" t="e">
        <f>'All regions'!777:777-"$F;@!)zV"</f>
        <v>#VALUE!</v>
      </c>
      <c r="DB215" t="e">
        <f>'All regions'!778:778-"$F;@!)zW"</f>
        <v>#VALUE!</v>
      </c>
      <c r="DC215" t="e">
        <f>'All regions'!779:779-"$F;@!)zX"</f>
        <v>#VALUE!</v>
      </c>
      <c r="DD215" t="e">
        <f>'All regions'!780:780-"$F;@!)zY"</f>
        <v>#VALUE!</v>
      </c>
      <c r="DE215" t="e">
        <f>'All regions'!781:781-"$F;@!)zZ"</f>
        <v>#VALUE!</v>
      </c>
      <c r="DF215" t="e">
        <f>'All regions'!782:782-"$F;@!)z["</f>
        <v>#VALUE!</v>
      </c>
      <c r="DG215" t="e">
        <f>'All regions'!783:783-"$F;@!)z\"</f>
        <v>#VALUE!</v>
      </c>
      <c r="DH215" t="e">
        <f>'All regions'!784:784-"$F;@!)z]"</f>
        <v>#VALUE!</v>
      </c>
      <c r="DI215" t="e">
        <f>'All regions'!785:785-"$F;@!)z^"</f>
        <v>#VALUE!</v>
      </c>
      <c r="DJ215" t="e">
        <f>'All regions'!786:786-"$F;@!)z_"</f>
        <v>#VALUE!</v>
      </c>
      <c r="DK215" t="e">
        <f>'All regions'!787:787-"$F;@!)z`"</f>
        <v>#VALUE!</v>
      </c>
      <c r="DL215" t="e">
        <f>'All regions'!788:788-"$F;@!)za"</f>
        <v>#VALUE!</v>
      </c>
      <c r="DM215" t="e">
        <f>'All regions'!789:789-"$F;@!)zb"</f>
        <v>#VALUE!</v>
      </c>
      <c r="DN215" t="e">
        <f>'All regions'!790:790-"$F;@!)zc"</f>
        <v>#VALUE!</v>
      </c>
      <c r="DO215" t="e">
        <f>'All regions'!791:791-"$F;@!)zd"</f>
        <v>#VALUE!</v>
      </c>
      <c r="DP215" t="e">
        <f>'All regions'!792:792-"$F;@!)ze"</f>
        <v>#VALUE!</v>
      </c>
      <c r="DQ215" t="e">
        <f>'All regions'!793:793-"$F;@!)zf"</f>
        <v>#VALUE!</v>
      </c>
      <c r="DR215" t="e">
        <f>'All regions'!794:794-"$F;@!)zg"</f>
        <v>#VALUE!</v>
      </c>
      <c r="DS215" t="e">
        <f>'All regions'!795:795-"$F;@!)zh"</f>
        <v>#VALUE!</v>
      </c>
      <c r="DT215" t="e">
        <f>'All regions'!796:796-"$F;@!)zi"</f>
        <v>#VALUE!</v>
      </c>
      <c r="DU215" t="e">
        <f>'All regions'!797:797-"$F;@!)zj"</f>
        <v>#VALUE!</v>
      </c>
      <c r="DV215" t="e">
        <f>'All regions'!799:799-"$F;@!)zk"</f>
        <v>#VALUE!</v>
      </c>
      <c r="DW215" t="e">
        <f>'All regions'!801:801-"$F;@!)zl"</f>
        <v>#VALUE!</v>
      </c>
      <c r="DX215" t="e">
        <f>'All regions'!802:802-"$F;@!)zm"</f>
        <v>#VALUE!</v>
      </c>
      <c r="DY215" t="e">
        <f>'All regions'!803:803-"$F;@!)zn"</f>
        <v>#VALUE!</v>
      </c>
      <c r="DZ215" t="e">
        <f>'All regions'!804:804-"$F;@!)zo"</f>
        <v>#VALUE!</v>
      </c>
      <c r="EA215" t="e">
        <f>'All regions'!805:805-"$F;@!)zp"</f>
        <v>#VALUE!</v>
      </c>
      <c r="EB215" t="e">
        <f>'All regions'!806:806-"$F;@!)zq"</f>
        <v>#VALUE!</v>
      </c>
      <c r="EC215" t="e">
        <f>'All regions'!807:807-"$F;@!)zr"</f>
        <v>#VALUE!</v>
      </c>
      <c r="ED215" t="e">
        <f>'All regions'!808:808-"$F;@!)zs"</f>
        <v>#VALUE!</v>
      </c>
      <c r="EE215" t="e">
        <f>'All regions'!809:809-"$F;@!)zt"</f>
        <v>#VALUE!</v>
      </c>
      <c r="EF215" t="e">
        <f>'All regions'!810:810-"$F;@!)zu"</f>
        <v>#VALUE!</v>
      </c>
      <c r="EG215" t="e">
        <f>'All regions'!811:811-"$F;@!)zv"</f>
        <v>#VALUE!</v>
      </c>
      <c r="EH215" t="e">
        <f>'All regions'!812:812-"$F;@!)zw"</f>
        <v>#VALUE!</v>
      </c>
      <c r="EI215" t="e">
        <f>'All regions'!813:813-"$F;@!)zx"</f>
        <v>#VALUE!</v>
      </c>
      <c r="EJ215" t="e">
        <f>'All regions'!814:814-"$F;@!)zy"</f>
        <v>#VALUE!</v>
      </c>
      <c r="EK215" t="e">
        <f>'All regions'!815:815-"$F;@!)zz"</f>
        <v>#VALUE!</v>
      </c>
      <c r="EL215" t="e">
        <f>'All regions'!816:816-"$F;@!)z{"</f>
        <v>#VALUE!</v>
      </c>
      <c r="EM215" t="e">
        <f>'All regions'!817:817-"$F;@!)z|"</f>
        <v>#VALUE!</v>
      </c>
      <c r="EN215" t="e">
        <f>'All regions'!818:818-"$F;@!)z}"</f>
        <v>#VALUE!</v>
      </c>
      <c r="EO215" t="e">
        <f>'All regions'!819:819-"$F;@!)z~"</f>
        <v>#VALUE!</v>
      </c>
      <c r="EP215" t="e">
        <f>'All regions'!820:820-"$F;@!){#"</f>
        <v>#VALUE!</v>
      </c>
      <c r="EQ215" t="e">
        <f>'All regions'!821:821-"$F;@!){$"</f>
        <v>#VALUE!</v>
      </c>
      <c r="ER215" t="e">
        <f>'All regions'!822:822-"$F;@!){%"</f>
        <v>#VALUE!</v>
      </c>
      <c r="ES215" t="e">
        <f>'All regions'!823:823-"$F;@!){&amp;"</f>
        <v>#VALUE!</v>
      </c>
      <c r="ET215" t="e">
        <f>'All regions'!824:824-"$F;@!){'"</f>
        <v>#VALUE!</v>
      </c>
      <c r="EU215" t="e">
        <f>'All regions'!825:825-"$F;@!){("</f>
        <v>#VALUE!</v>
      </c>
      <c r="EV215" t="e">
        <f>'All regions'!826:826-"$F;@!){)"</f>
        <v>#VALUE!</v>
      </c>
      <c r="EW215" t="e">
        <f>'All regions'!827:827-"$F;@!){."</f>
        <v>#VALUE!</v>
      </c>
      <c r="EX215" t="e">
        <f>'All regions'!828:828-"$F;@!){/"</f>
        <v>#VALUE!</v>
      </c>
      <c r="EY215" t="e">
        <f>'All regions'!829:829-"$F;@!){0"</f>
        <v>#VALUE!</v>
      </c>
      <c r="EZ215" t="e">
        <f>'All regions'!830:830-"$F;@!){1"</f>
        <v>#VALUE!</v>
      </c>
      <c r="FA215" t="e">
        <f>'All regions'!831:831-"$F;@!){2"</f>
        <v>#VALUE!</v>
      </c>
      <c r="FB215" t="e">
        <f>'All regions'!832:832-"$F;@!){3"</f>
        <v>#VALUE!</v>
      </c>
      <c r="FC215" t="e">
        <f>'All regions'!833:833-"$F;@!){4"</f>
        <v>#VALUE!</v>
      </c>
      <c r="FD215" t="e">
        <f>'All regions'!834:834-"$F;@!){5"</f>
        <v>#VALUE!</v>
      </c>
      <c r="FE215" t="e">
        <f>'All regions'!835:835-"$F;@!){6"</f>
        <v>#VALUE!</v>
      </c>
      <c r="FF215" t="e">
        <f>'All regions'!836:836-"$F;@!){7"</f>
        <v>#VALUE!</v>
      </c>
      <c r="FG215" t="e">
        <f>'All regions'!837:837-"$F;@!){8"</f>
        <v>#VALUE!</v>
      </c>
      <c r="FH215" t="e">
        <f>'All regions'!838:838-"$F;@!){9"</f>
        <v>#VALUE!</v>
      </c>
      <c r="FI215" t="e">
        <f>'All regions'!839:839-"$F;@!){:"</f>
        <v>#VALUE!</v>
      </c>
      <c r="FJ215" t="e">
        <f>'All regions'!840:840-"$F;@!){;"</f>
        <v>#VALUE!</v>
      </c>
      <c r="FK215" t="e">
        <f>'All regions'!841:841-"$F;@!){&lt;"</f>
        <v>#VALUE!</v>
      </c>
      <c r="FL215" t="e">
        <f>'All regions'!842:842-"$F;@!){="</f>
        <v>#VALUE!</v>
      </c>
      <c r="FM215" t="e">
        <f>'All regions'!843:843-"$F;@!){&gt;"</f>
        <v>#VALUE!</v>
      </c>
      <c r="FN215" t="e">
        <f>'All regions'!844:844-"$F;@!){?"</f>
        <v>#VALUE!</v>
      </c>
      <c r="FO215" t="e">
        <f>'All regions'!845:845-"$F;@!){@"</f>
        <v>#VALUE!</v>
      </c>
      <c r="FP215" t="e">
        <f>'All regions'!846:846-"$F;@!){A"</f>
        <v>#VALUE!</v>
      </c>
      <c r="FQ215" t="e">
        <f>'All regions'!847:847-"$F;@!){B"</f>
        <v>#VALUE!</v>
      </c>
      <c r="FR215" t="e">
        <f>'All regions'!848:848-"$F;@!){C"</f>
        <v>#VALUE!</v>
      </c>
      <c r="FS215" t="e">
        <f>'All regions'!849:849-"$F;@!){D"</f>
        <v>#VALUE!</v>
      </c>
      <c r="FT215" t="e">
        <f>'All regions'!850:850-"$F;@!){E"</f>
        <v>#VALUE!</v>
      </c>
      <c r="FU215" t="e">
        <f>'All regions'!851:851-"$F;@!){F"</f>
        <v>#VALUE!</v>
      </c>
      <c r="FV215" t="e">
        <f>'All regions'!852:852-"$F;@!){G"</f>
        <v>#VALUE!</v>
      </c>
      <c r="FW215" t="e">
        <f>'All regions'!853:853-"$F;@!){H"</f>
        <v>#VALUE!</v>
      </c>
      <c r="FX215" t="e">
        <f>'All regions'!854:854-"$F;@!){I"</f>
        <v>#VALUE!</v>
      </c>
      <c r="FY215" t="e">
        <f>'All regions'!855:855-"$F;@!){J"</f>
        <v>#VALUE!</v>
      </c>
      <c r="FZ215" t="e">
        <f>'All regions'!856:856-"$F;@!){K"</f>
        <v>#VALUE!</v>
      </c>
      <c r="GA215" t="e">
        <f>'All regions'!857:857-"$F;@!){L"</f>
        <v>#VALUE!</v>
      </c>
      <c r="GB215" t="e">
        <f>'All regions'!858:858-"$F;@!){M"</f>
        <v>#VALUE!</v>
      </c>
      <c r="GC215" t="e">
        <f>'All regions'!859:859-"$F;@!){N"</f>
        <v>#VALUE!</v>
      </c>
      <c r="GD215" t="e">
        <f>'All regions'!860:860-"$F;@!){O"</f>
        <v>#VALUE!</v>
      </c>
      <c r="GE215" t="e">
        <f>'All regions'!861:861-"$F;@!){P"</f>
        <v>#VALUE!</v>
      </c>
      <c r="GF215" t="e">
        <f>'All regions'!862:862-"$F;@!){Q"</f>
        <v>#VALUE!</v>
      </c>
      <c r="GG215" t="e">
        <f>'All regions'!863:863-"$F;@!){R"</f>
        <v>#VALUE!</v>
      </c>
      <c r="GH215" t="e">
        <f>'All regions'!864:864-"$F;@!){S"</f>
        <v>#VALUE!</v>
      </c>
      <c r="GI215" t="e">
        <f>'All regions'!865:865-"$F;@!){T"</f>
        <v>#VALUE!</v>
      </c>
      <c r="GJ215" t="e">
        <f>'All regions'!866:866-"$F;@!){U"</f>
        <v>#VALUE!</v>
      </c>
      <c r="GK215" t="e">
        <f>'All regions'!867:867-"$F;@!){V"</f>
        <v>#VALUE!</v>
      </c>
      <c r="GL215" t="e">
        <f>'All regions'!868:868-"$F;@!){W"</f>
        <v>#VALUE!</v>
      </c>
      <c r="GM215" t="e">
        <f>'All regions'!869:869-"$F;@!){X"</f>
        <v>#VALUE!</v>
      </c>
      <c r="GN215" t="e">
        <f>'All regions'!870:870-"$F;@!){Y"</f>
        <v>#VALUE!</v>
      </c>
      <c r="GO215" t="e">
        <f>'All regions'!871:871-"$F;@!){Z"</f>
        <v>#VALUE!</v>
      </c>
      <c r="GP215" t="e">
        <f>'All regions'!872:872-"$F;@!){["</f>
        <v>#VALUE!</v>
      </c>
      <c r="GQ215" t="e">
        <f>'All regions'!873:873-"$F;@!){\"</f>
        <v>#VALUE!</v>
      </c>
      <c r="GR215" t="e">
        <f>'All regions'!874:874-"$F;@!){]"</f>
        <v>#VALUE!</v>
      </c>
      <c r="GS215" t="e">
        <f>'All regions'!875:875-"$F;@!){^"</f>
        <v>#VALUE!</v>
      </c>
      <c r="GT215" t="e">
        <f>'All regions'!876:876-"$F;@!){_"</f>
        <v>#VALUE!</v>
      </c>
      <c r="GU215" t="e">
        <f>'All regions'!877:877-"$F;@!){`"</f>
        <v>#VALUE!</v>
      </c>
      <c r="GV215" t="e">
        <f>'All regions'!878:878-"$F;@!){a"</f>
        <v>#VALUE!</v>
      </c>
      <c r="GW215" t="e">
        <f>'All regions'!879:879-"$F;@!){b"</f>
        <v>#VALUE!</v>
      </c>
      <c r="GX215" t="e">
        <f>'All regions'!880:880-"$F;@!){c"</f>
        <v>#VALUE!</v>
      </c>
      <c r="GY215" t="e">
        <f>'All regions'!881:881-"$F;@!){d"</f>
        <v>#VALUE!</v>
      </c>
      <c r="GZ215" t="e">
        <f>'All regions'!882:882-"$F;@!){e"</f>
        <v>#VALUE!</v>
      </c>
      <c r="HA215" t="e">
        <f>'All regions'!883:883-"$F;@!){f"</f>
        <v>#VALUE!</v>
      </c>
      <c r="HB215" t="e">
        <f>'All regions'!884:884-"$F;@!){g"</f>
        <v>#VALUE!</v>
      </c>
      <c r="HC215" t="e">
        <f>'All regions'!885:885-"$F;@!){h"</f>
        <v>#VALUE!</v>
      </c>
      <c r="HD215" t="e">
        <f>'All regions'!886:886-"$F;@!){i"</f>
        <v>#VALUE!</v>
      </c>
      <c r="HE215" t="e">
        <f>'All regions'!887:887-"$F;@!){j"</f>
        <v>#VALUE!</v>
      </c>
      <c r="HF215" t="e">
        <f>'All regions'!888:888-"$F;@!){k"</f>
        <v>#VALUE!</v>
      </c>
      <c r="HG215" t="e">
        <f>'All regions'!889:889-"$F;@!){l"</f>
        <v>#VALUE!</v>
      </c>
      <c r="HH215" t="e">
        <f>'All regions'!890:890-"$F;@!){m"</f>
        <v>#VALUE!</v>
      </c>
      <c r="HI215" t="e">
        <f>'All regions'!891:891-"$F;@!){n"</f>
        <v>#VALUE!</v>
      </c>
      <c r="HJ215" t="e">
        <f>'All regions'!892:892-"$F;@!){o"</f>
        <v>#VALUE!</v>
      </c>
      <c r="HK215" t="e">
        <f>'All regions'!893:893-"$F;@!){p"</f>
        <v>#VALUE!</v>
      </c>
      <c r="HL215" t="e">
        <f>'All regions'!894:894-"$F;@!){q"</f>
        <v>#VALUE!</v>
      </c>
      <c r="HM215" t="e">
        <f>'All regions'!895:895-"$F;@!){r"</f>
        <v>#VALUE!</v>
      </c>
      <c r="HN215" t="e">
        <f>'All regions'!896:896-"$F;@!){s"</f>
        <v>#VALUE!</v>
      </c>
      <c r="HO215" t="e">
        <f>'All regions'!897:897-"$F;@!){t"</f>
        <v>#VALUE!</v>
      </c>
      <c r="HP215" t="e">
        <f>'All regions'!898:898-"$F;@!){u"</f>
        <v>#VALUE!</v>
      </c>
      <c r="HQ215" t="e">
        <f>'All regions'!899:899-"$F;@!){v"</f>
        <v>#VALUE!</v>
      </c>
      <c r="HR215" t="e">
        <f>'All regions'!900:900-"$F;@!){w"</f>
        <v>#VALUE!</v>
      </c>
      <c r="HS215" t="e">
        <f>'All regions'!901:901-"$F;@!){x"</f>
        <v>#VALUE!</v>
      </c>
      <c r="HT215" t="e">
        <f>'All regions'!902:902-"$F;@!){y"</f>
        <v>#VALUE!</v>
      </c>
      <c r="HU215" t="e">
        <f>'All regions'!903:903-"$F;@!){z"</f>
        <v>#VALUE!</v>
      </c>
      <c r="HV215" t="e">
        <f>'All regions'!904:904-"$F;@!){{"</f>
        <v>#VALUE!</v>
      </c>
      <c r="HW215" t="e">
        <f>'All regions'!905:905-"$F;@!){|"</f>
        <v>#VALUE!</v>
      </c>
      <c r="HX215" t="e">
        <f>'All regions'!906:906-"$F;@!){}"</f>
        <v>#VALUE!</v>
      </c>
      <c r="HY215" t="e">
        <f>'All regions'!907:907-"$F;@!){~"</f>
        <v>#VALUE!</v>
      </c>
      <c r="HZ215" t="e">
        <f>'All regions'!908:908-"$F;@!)|#"</f>
        <v>#VALUE!</v>
      </c>
      <c r="IA215" t="e">
        <f>'All regions'!909:909-"$F;@!)|$"</f>
        <v>#VALUE!</v>
      </c>
      <c r="IB215" t="e">
        <f>'All regions'!910:910-"$F;@!)|%"</f>
        <v>#VALUE!</v>
      </c>
      <c r="IC215" t="e">
        <f>'All regions'!911:911-"$F;@!)|&amp;"</f>
        <v>#VALUE!</v>
      </c>
      <c r="ID215" t="e">
        <f>'All regions'!912:912-"$F;@!)|'"</f>
        <v>#VALUE!</v>
      </c>
      <c r="IE215" t="e">
        <f>'All regions'!913:913-"$F;@!)|("</f>
        <v>#VALUE!</v>
      </c>
      <c r="IF215" t="e">
        <f>'All regions'!914:914-"$F;@!)|)"</f>
        <v>#VALUE!</v>
      </c>
      <c r="IG215" t="e">
        <f>'All regions'!915:915-"$F;@!)|."</f>
        <v>#VALUE!</v>
      </c>
      <c r="IH215" t="e">
        <f>'All regions'!916:916-"$F;@!)|/"</f>
        <v>#VALUE!</v>
      </c>
      <c r="II215" t="e">
        <f>'All regions'!917:917-"$F;@!)|0"</f>
        <v>#VALUE!</v>
      </c>
      <c r="IJ215" t="e">
        <f>'All regions'!918:918-"$F;@!)|1"</f>
        <v>#VALUE!</v>
      </c>
      <c r="IK215" t="e">
        <f>'All regions'!919:919-"$F;@!)|2"</f>
        <v>#VALUE!</v>
      </c>
      <c r="IL215" t="e">
        <f>'All regions'!920:920-"$F;@!)|3"</f>
        <v>#VALUE!</v>
      </c>
      <c r="IM215" t="e">
        <f>'All regions'!921:921-"$F;@!)|4"</f>
        <v>#VALUE!</v>
      </c>
      <c r="IN215" t="e">
        <f>'All regions'!922:922-"$F;@!)|5"</f>
        <v>#VALUE!</v>
      </c>
      <c r="IO215" t="e">
        <f>'All regions'!923:923-"$F;@!)|6"</f>
        <v>#VALUE!</v>
      </c>
      <c r="IP215" t="e">
        <f>'All regions'!924:924-"$F;@!)|7"</f>
        <v>#VALUE!</v>
      </c>
      <c r="IQ215" t="e">
        <f>'All regions'!925:925-"$F;@!)|8"</f>
        <v>#VALUE!</v>
      </c>
      <c r="IR215" t="e">
        <f>'All regions'!926:926-"$F;@!)|9"</f>
        <v>#VALUE!</v>
      </c>
      <c r="IS215" t="e">
        <f>'All regions'!927:927-"$F;@!)|:"</f>
        <v>#VALUE!</v>
      </c>
      <c r="IT215" t="e">
        <f>'All regions'!928:928-"$F;@!)|;"</f>
        <v>#VALUE!</v>
      </c>
      <c r="IU215" t="e">
        <f>'All regions'!929:929-"$F;@!)|&lt;"</f>
        <v>#VALUE!</v>
      </c>
      <c r="IV215" t="e">
        <f>'All regions'!930:930-"$F;@!)|="</f>
        <v>#VALUE!</v>
      </c>
    </row>
    <row r="216" spans="6:256" x14ac:dyDescent="0.35">
      <c r="F216" t="e">
        <f>'All regions'!931:931-"$F;@!)|&gt;"</f>
        <v>#VALUE!</v>
      </c>
      <c r="G216" t="e">
        <f>'All regions'!932:932-"$F;@!)|?"</f>
        <v>#VALUE!</v>
      </c>
      <c r="H216" t="e">
        <f>'All regions'!933:933-"$F;@!)|@"</f>
        <v>#VALUE!</v>
      </c>
      <c r="I216" t="e">
        <f>'All regions'!934:934-"$F;@!)|A"</f>
        <v>#VALUE!</v>
      </c>
      <c r="J216" t="e">
        <f>'All regions'!935:935-"$F;@!)|B"</f>
        <v>#VALUE!</v>
      </c>
      <c r="K216" t="e">
        <f>'All regions'!936:936-"$F;@!)|C"</f>
        <v>#VALUE!</v>
      </c>
      <c r="L216" t="e">
        <f>'All regions'!937:937-"$F;@!)|D"</f>
        <v>#VALUE!</v>
      </c>
      <c r="M216" t="e">
        <f>'All regions'!938:938-"$F;@!)|E"</f>
        <v>#VALUE!</v>
      </c>
      <c r="N216" t="e">
        <f>'All regions'!939:939-"$F;@!)|F"</f>
        <v>#VALUE!</v>
      </c>
      <c r="O216" t="e">
        <f>'All regions'!940:940-"$F;@!)|G"</f>
        <v>#VALUE!</v>
      </c>
      <c r="P216" t="e">
        <f>'All regions'!941:941-"$F;@!)|H"</f>
        <v>#VALUE!</v>
      </c>
      <c r="Q216" t="e">
        <f>'All regions'!942:942-"$F;@!)|I"</f>
        <v>#VALUE!</v>
      </c>
      <c r="R216" t="e">
        <f>'All regions'!943:943-"$F;@!)|J"</f>
        <v>#VALUE!</v>
      </c>
      <c r="S216" t="e">
        <f>'All regions'!944:944-"$F;@!)|K"</f>
        <v>#VALUE!</v>
      </c>
      <c r="T216" t="e">
        <f>'All regions'!945:945-"$F;@!)|L"</f>
        <v>#VALUE!</v>
      </c>
      <c r="U216" t="e">
        <f>'All regions'!946:946-"$F;@!)|M"</f>
        <v>#VALUE!</v>
      </c>
      <c r="V216" t="e">
        <f>'All regions'!947:947-"$F;@!)|N"</f>
        <v>#VALUE!</v>
      </c>
      <c r="W216" t="e">
        <f>'All regions'!948:948-"$F;@!)|O"</f>
        <v>#VALUE!</v>
      </c>
      <c r="X216" t="e">
        <f>'All regions'!949:949-"$F;@!)|P"</f>
        <v>#VALUE!</v>
      </c>
      <c r="Y216" t="e">
        <f>'All regions'!950:950-"$F;@!)|Q"</f>
        <v>#VALUE!</v>
      </c>
      <c r="Z216" t="e">
        <f>'All regions'!951:951-"$F;@!)|R"</f>
        <v>#VALUE!</v>
      </c>
      <c r="AA216" t="e">
        <f>'All regions'!952:952-"$F;@!)|S"</f>
        <v>#VALUE!</v>
      </c>
      <c r="AB216" t="e">
        <f>'All regions'!953:953-"$F;@!)|T"</f>
        <v>#VALUE!</v>
      </c>
      <c r="AC216" t="e">
        <f>'All regions'!954:954-"$F;@!)|U"</f>
        <v>#VALUE!</v>
      </c>
      <c r="AD216" t="e">
        <f>'All regions'!955:955-"$F;@!)|V"</f>
        <v>#VALUE!</v>
      </c>
      <c r="AE216" t="e">
        <f>'All regions'!956:956-"$F;@!)|W"</f>
        <v>#VALUE!</v>
      </c>
      <c r="AF216" t="e">
        <f>'All regions'!957:957-"$F;@!)|X"</f>
        <v>#VALUE!</v>
      </c>
      <c r="AG216" t="e">
        <f>'All regions'!958:958-"$F;@!)|Y"</f>
        <v>#VALUE!</v>
      </c>
      <c r="AH216" t="e">
        <f>'All regions'!959:959-"$F;@!)|Z"</f>
        <v>#VALUE!</v>
      </c>
      <c r="AI216" t="e">
        <f>'All regions'!960:960-"$F;@!)|["</f>
        <v>#VALUE!</v>
      </c>
      <c r="AJ216" t="e">
        <f>'All regions'!961:961-"$F;@!)|\"</f>
        <v>#VALUE!</v>
      </c>
      <c r="AK216" t="e">
        <f>'All regions'!962:962-"$F;@!)|]"</f>
        <v>#VALUE!</v>
      </c>
      <c r="AL216" t="e">
        <f>'All regions'!963:963-"$F;@!)|^"</f>
        <v>#VALUE!</v>
      </c>
      <c r="AM216" t="e">
        <f>'All regions'!964:964-"$F;@!)|_"</f>
        <v>#VALUE!</v>
      </c>
      <c r="AN216" t="e">
        <f>'All regions'!965:965-"$F;@!)|`"</f>
        <v>#VALUE!</v>
      </c>
      <c r="AO216" t="e">
        <f>'All regions'!966:966-"$F;@!)|a"</f>
        <v>#VALUE!</v>
      </c>
      <c r="AP216" t="e">
        <f>'All regions'!967:967-"$F;@!)|b"</f>
        <v>#VALUE!</v>
      </c>
      <c r="AQ216" t="e">
        <f>'All regions'!968:968-"$F;@!)|c"</f>
        <v>#VALUE!</v>
      </c>
      <c r="AR216" t="e">
        <f>'All regions'!969:969-"$F;@!)|d"</f>
        <v>#VALUE!</v>
      </c>
      <c r="AS216" t="e">
        <f>'All regions'!970:970-"$F;@!)|e"</f>
        <v>#VALUE!</v>
      </c>
      <c r="AT216" t="e">
        <f>'All regions'!971:971-"$F;@!)|f"</f>
        <v>#VALUE!</v>
      </c>
      <c r="AU216" t="e">
        <f>'All regions'!972:972-"$F;@!)|g"</f>
        <v>#VALUE!</v>
      </c>
      <c r="AV216" t="e">
        <f>'All regions'!973:973-"$F;@!)|h"</f>
        <v>#VALUE!</v>
      </c>
      <c r="AW216" t="e">
        <f>'All regions'!974:974-"$F;@!)|i"</f>
        <v>#VALUE!</v>
      </c>
      <c r="AX216" t="e">
        <f>'All regions'!975:975-"$F;@!)|j"</f>
        <v>#VALUE!</v>
      </c>
      <c r="AY216" t="e">
        <f>'All regions'!976:976-"$F;@!)|k"</f>
        <v>#VALUE!</v>
      </c>
      <c r="AZ216" t="e">
        <f>'All regions'!977:977-"$F;@!)|l"</f>
        <v>#VALUE!</v>
      </c>
      <c r="BA216" t="e">
        <f>'All regions'!978:978-"$F;@!)|m"</f>
        <v>#VALUE!</v>
      </c>
      <c r="BB216" t="e">
        <f>'All regions'!979:979-"$F;@!)|n"</f>
        <v>#VALUE!</v>
      </c>
      <c r="BC216" t="e">
        <f>'All regions'!980:980-"$F;@!)|o"</f>
        <v>#VALUE!</v>
      </c>
      <c r="BD216" t="e">
        <f>'All regions'!981:981-"$F;@!)|p"</f>
        <v>#VALUE!</v>
      </c>
      <c r="BE216" t="e">
        <f>'All regions'!982:982-"$F;@!)|q"</f>
        <v>#VALUE!</v>
      </c>
      <c r="BF216" t="e">
        <f>'All regions'!983:983-"$F;@!)|r"</f>
        <v>#VALUE!</v>
      </c>
      <c r="BG216" t="e">
        <f>'All regions'!984:984-"$F;@!)|s"</f>
        <v>#VALUE!</v>
      </c>
      <c r="BH216" t="e">
        <f>'All regions'!985:985-"$F;@!)|t"</f>
        <v>#VALUE!</v>
      </c>
      <c r="BI216" t="e">
        <f>'All regions'!986:986-"$F;@!)|u"</f>
        <v>#VALUE!</v>
      </c>
      <c r="BJ216" t="e">
        <f>'All regions'!987:987-"$F;@!)|v"</f>
        <v>#VALUE!</v>
      </c>
      <c r="BK216" t="e">
        <f>'All regions'!988:988-"$F;@!)|w"</f>
        <v>#VALUE!</v>
      </c>
      <c r="BL216" t="e">
        <f>'All regions'!989:989-"$F;@!)|x"</f>
        <v>#VALUE!</v>
      </c>
      <c r="BM216" t="e">
        <f>'All regions'!990:990-"$F;@!)|y"</f>
        <v>#VALUE!</v>
      </c>
      <c r="BN216" t="e">
        <f>'All regions'!991:991-"$F;@!)|z"</f>
        <v>#VALUE!</v>
      </c>
      <c r="BO216" t="e">
        <f>'All regions'!992:992-"$F;@!)|{"</f>
        <v>#VALUE!</v>
      </c>
      <c r="BP216" t="e">
        <f>'All regions'!993:993-"$F;@!)||"</f>
        <v>#VALUE!</v>
      </c>
      <c r="BQ216" t="e">
        <f>'All regions'!994:994-"$F;@!)|}"</f>
        <v>#VALUE!</v>
      </c>
      <c r="BR216" t="e">
        <f>'All regions'!995:995-"$F;@!)|~"</f>
        <v>#VALUE!</v>
      </c>
      <c r="BS216" t="e">
        <f>'All regions'!996:996-"$F;@!)}#"</f>
        <v>#VALUE!</v>
      </c>
      <c r="BT216" t="e">
        <f>'All regions'!997:997-"$F;@!)}$"</f>
        <v>#VALUE!</v>
      </c>
      <c r="BU216" t="e">
        <f>'All regions'!998:998-"$F;@!)}%"</f>
        <v>#VALUE!</v>
      </c>
      <c r="BV216" t="e">
        <f>'All regions'!999:999-"$F;@!)}&amp;"</f>
        <v>#VALUE!</v>
      </c>
      <c r="BW216" t="e">
        <f>'All regions'!1000:1000-"$F;@!)}'"</f>
        <v>#VALUE!</v>
      </c>
      <c r="BX216" t="e">
        <f>'All regions'!1001:1001-"$F;@!)}("</f>
        <v>#VALUE!</v>
      </c>
      <c r="BY216" t="e">
        <f>'All regions'!1002:1002-"$F;@!)})"</f>
        <v>#VALUE!</v>
      </c>
      <c r="BZ216" t="e">
        <f>'All regions'!1003:1003-"$F;@!)}."</f>
        <v>#VALUE!</v>
      </c>
      <c r="CA216" t="e">
        <f>'All regions'!1004:1004-"$F;@!)}/"</f>
        <v>#VALUE!</v>
      </c>
      <c r="CB216" t="e">
        <f>'All regions'!1005:1005-"$F;@!)}0"</f>
        <v>#VALUE!</v>
      </c>
      <c r="CC216" t="e">
        <f>'All regions'!1006:1006-"$F;@!)}1"</f>
        <v>#VALUE!</v>
      </c>
      <c r="CD216" t="e">
        <f>'All regions'!1007:1007-"$F;@!)}2"</f>
        <v>#VALUE!</v>
      </c>
      <c r="CE216" t="e">
        <f>'All regions'!1008:1008-"$F;@!)}3"</f>
        <v>#VALUE!</v>
      </c>
      <c r="CF216" t="e">
        <f>'All regions'!1009:1009-"$F;@!)}4"</f>
        <v>#VALUE!</v>
      </c>
      <c r="CG216" t="e">
        <f>'All regions'!1010:1010-"$F;@!)}5"</f>
        <v>#VALUE!</v>
      </c>
      <c r="CH216" t="e">
        <f>'All regions'!1011:1011-"$F;@!)}6"</f>
        <v>#VALUE!</v>
      </c>
      <c r="CI216" t="e">
        <f>'All regions'!1012:1012-"$F;@!)}7"</f>
        <v>#VALUE!</v>
      </c>
      <c r="CJ216" t="e">
        <f>'All regions'!1013:1013-"$F;@!)}8"</f>
        <v>#VALUE!</v>
      </c>
      <c r="CK216" t="e">
        <f>'All regions'!1014:1014-"$F;@!)}9"</f>
        <v>#VALUE!</v>
      </c>
      <c r="CL216" t="e">
        <f>'All regions'!1015:1015-"$F;@!)}:"</f>
        <v>#VALUE!</v>
      </c>
      <c r="CM216" t="e">
        <f>'All regions'!1016:1016-"$F;@!)};"</f>
        <v>#VALUE!</v>
      </c>
      <c r="CN216" t="e">
        <f>'All regions'!1017:1017-"$F;@!)}&lt;"</f>
        <v>#VALUE!</v>
      </c>
      <c r="CO216" t="e">
        <f>'All regions'!1018:1018-"$F;@!)}="</f>
        <v>#VALUE!</v>
      </c>
      <c r="CP216" t="e">
        <f>'All regions'!1019:1019-"$F;@!)}&gt;"</f>
        <v>#VALUE!</v>
      </c>
      <c r="CQ216" t="e">
        <f>'All regions'!1020:1020-"$F;@!)}?"</f>
        <v>#VALUE!</v>
      </c>
      <c r="CR216" t="e">
        <f>'All regions'!1021:1021-"$F;@!)}@"</f>
        <v>#VALUE!</v>
      </c>
      <c r="CS216" t="e">
        <f>'All regions'!1022:1022-"$F;@!)}A"</f>
        <v>#VALUE!</v>
      </c>
      <c r="CT216" t="e">
        <f>'All regions'!1023:1023-"$F;@!)}B"</f>
        <v>#VALUE!</v>
      </c>
      <c r="CU216" t="e">
        <f>'All regions'!1024:1024-"$F;@!)}C"</f>
        <v>#VALUE!</v>
      </c>
      <c r="CV216" t="e">
        <f>'All regions'!1025:1025-"$F;@!)}D"</f>
        <v>#VALUE!</v>
      </c>
      <c r="CW216" t="e">
        <f>'All regions'!1026:1026-"$F;@!)}E"</f>
        <v>#VALUE!</v>
      </c>
      <c r="CX216" t="e">
        <f>'All regions'!1027:1027-"$F;@!)}F"</f>
        <v>#VALUE!</v>
      </c>
      <c r="CY216" t="e">
        <f>'All regions'!1028:1028-"$F;@!)}G"</f>
        <v>#VALUE!</v>
      </c>
      <c r="CZ216" t="e">
        <f>'All regions'!1029:1029-"$F;@!)}H"</f>
        <v>#VALUE!</v>
      </c>
      <c r="DA216" t="e">
        <f>'All regions'!1030:1030-"$F;@!)}I"</f>
        <v>#VALUE!</v>
      </c>
      <c r="DB216" t="e">
        <f>'All regions'!1031:1031-"$F;@!)}J"</f>
        <v>#VALUE!</v>
      </c>
      <c r="DC216" t="e">
        <f>'All regions'!1032:1032-"$F;@!)}K"</f>
        <v>#VALUE!</v>
      </c>
      <c r="DD216" t="e">
        <f>'All regions'!1033:1033-"$F;@!)}L"</f>
        <v>#VALUE!</v>
      </c>
      <c r="DE216" t="e">
        <f>'All regions'!1034:1034-"$F;@!)}M"</f>
        <v>#VALUE!</v>
      </c>
      <c r="DF216" t="e">
        <f>'All regions'!1035:1035-"$F;@!)}N"</f>
        <v>#VALUE!</v>
      </c>
      <c r="DG216" t="e">
        <f>'All regions'!1036:1036-"$F;@!)}O"</f>
        <v>#VALUE!</v>
      </c>
      <c r="DH216" t="e">
        <f>'All regions'!1037:1037-"$F;@!)}P"</f>
        <v>#VALUE!</v>
      </c>
      <c r="DI216" t="e">
        <f>'All regions'!1038:1038-"$F;@!)}Q"</f>
        <v>#VALUE!</v>
      </c>
      <c r="DJ216" t="e">
        <f>'All regions'!1039:1039-"$F;@!)}R"</f>
        <v>#VALUE!</v>
      </c>
      <c r="DK216" t="e">
        <f>'All regions'!1040:1040-"$F;@!)}S"</f>
        <v>#VALUE!</v>
      </c>
      <c r="DL216" t="e">
        <f>'All regions'!1041:1041-"$F;@!)}T"</f>
        <v>#VALUE!</v>
      </c>
      <c r="DM216" t="e">
        <f>'All regions'!1042:1042-"$F;@!)}U"</f>
        <v>#VALUE!</v>
      </c>
      <c r="DN216" t="e">
        <f>'All regions'!1043:1043-"$F;@!)}V"</f>
        <v>#VALUE!</v>
      </c>
      <c r="DO216" t="e">
        <f>'All regions'!1044:1044-"$F;@!)}W"</f>
        <v>#VALUE!</v>
      </c>
      <c r="DP216" t="e">
        <f>'All regions'!1045:1045-"$F;@!)}X"</f>
        <v>#VALUE!</v>
      </c>
      <c r="DQ216" t="e">
        <f>'All regions'!1046:1046-"$F;@!)}Y"</f>
        <v>#VALUE!</v>
      </c>
      <c r="DR216" t="e">
        <f>'All regions'!1047:1047-"$F;@!)}Z"</f>
        <v>#VALUE!</v>
      </c>
      <c r="DS216" t="e">
        <f>'All regions'!1048:1048-"$F;@!)}["</f>
        <v>#VALUE!</v>
      </c>
      <c r="DT216" t="e">
        <f>'All regions'!1049:1049-"$F;@!)}\"</f>
        <v>#VALUE!</v>
      </c>
      <c r="DU216" t="e">
        <f>'All regions'!1050:1050-"$F;@!)}]"</f>
        <v>#VALUE!</v>
      </c>
      <c r="DV216" t="e">
        <f>'All regions'!1051:1051-"$F;@!)}^"</f>
        <v>#VALUE!</v>
      </c>
      <c r="DW216" t="e">
        <f>'All regions'!1052:1052-"$F;@!)}_"</f>
        <v>#VALUE!</v>
      </c>
      <c r="DX216" t="e">
        <f>'All regions'!1053:1053-"$F;@!)}`"</f>
        <v>#VALUE!</v>
      </c>
      <c r="DY216" t="e">
        <f>'All regions'!1054:1054-"$F;@!)}a"</f>
        <v>#VALUE!</v>
      </c>
      <c r="DZ216" t="e">
        <f>'All regions'!1055:1055-"$F;@!)}b"</f>
        <v>#VALUE!</v>
      </c>
      <c r="EA216" t="e">
        <f>'All regions'!1056:1056-"$F;@!)}c"</f>
        <v>#VALUE!</v>
      </c>
      <c r="EB216" t="e">
        <f>'All regions'!1057:1057-"$F;@!)}d"</f>
        <v>#VALUE!</v>
      </c>
      <c r="EC216" t="e">
        <f>'All regions'!1058:1058-"$F;@!)}e"</f>
        <v>#VALUE!</v>
      </c>
      <c r="ED216" t="e">
        <f>'All regions'!1059:1059-"$F;@!)}f"</f>
        <v>#VALUE!</v>
      </c>
      <c r="EE216" t="e">
        <f>'All regions'!1060:1060-"$F;@!)}g"</f>
        <v>#VALUE!</v>
      </c>
      <c r="EF216" t="e">
        <f>'All regions'!1061:1061-"$F;@!)}h"</f>
        <v>#VALUE!</v>
      </c>
      <c r="EG216" t="e">
        <f>'All regions'!1062:1062-"$F;@!)}i"</f>
        <v>#VALUE!</v>
      </c>
      <c r="EH216" t="e">
        <f>'All regions'!1063:1063-"$F;@!)}j"</f>
        <v>#VALUE!</v>
      </c>
      <c r="EI216" t="e">
        <f>'All regions'!1064:1064-"$F;@!)}k"</f>
        <v>#VALUE!</v>
      </c>
      <c r="EJ216" t="e">
        <f>'All regions'!1065:1065-"$F;@!)}l"</f>
        <v>#VALUE!</v>
      </c>
      <c r="EK216" t="e">
        <f>'All regions'!1066:1066-"$F;@!)}m"</f>
        <v>#VALUE!</v>
      </c>
      <c r="EL216" t="e">
        <f>'All regions'!1067:1067-"$F;@!)}n"</f>
        <v>#VALUE!</v>
      </c>
      <c r="EM216" t="e">
        <f>'All regions'!1068:1068-"$F;@!)}o"</f>
        <v>#VALUE!</v>
      </c>
      <c r="EN216" t="e">
        <f>'All regions'!1069:1069-"$F;@!)}p"</f>
        <v>#VALUE!</v>
      </c>
      <c r="EO216" t="e">
        <f>'All regions'!1070:1070-"$F;@!)}q"</f>
        <v>#VALUE!</v>
      </c>
      <c r="EP216" t="e">
        <f>'All regions'!1071:1071-"$F;@!)}r"</f>
        <v>#VALUE!</v>
      </c>
      <c r="EQ216" t="e">
        <f>'All regions'!1072:1072-"$F;@!)}s"</f>
        <v>#VALUE!</v>
      </c>
      <c r="ER216" t="e">
        <f>'All regions'!1073:1073-"$F;@!)}t"</f>
        <v>#VALUE!</v>
      </c>
      <c r="ES216" t="e">
        <f>'All regions'!1074:1074-"$F;@!)}u"</f>
        <v>#VALUE!</v>
      </c>
      <c r="ET216" t="e">
        <f>'All regions'!1075:1075-"$F;@!)}v"</f>
        <v>#VALUE!</v>
      </c>
      <c r="EU216" t="e">
        <f>'All regions'!1076:1076-"$F;@!)}w"</f>
        <v>#VALUE!</v>
      </c>
      <c r="EV216" t="e">
        <f>'All regions'!1077:1077-"$F;@!)}x"</f>
        <v>#VALUE!</v>
      </c>
      <c r="EW216" t="e">
        <f>'All regions'!1078:1078-"$F;@!)}y"</f>
        <v>#VALUE!</v>
      </c>
      <c r="EX216" t="e">
        <f>'All regions'!1079:1079-"$F;@!)}z"</f>
        <v>#VALUE!</v>
      </c>
      <c r="EY216" t="e">
        <f>'All regions'!1080:1080-"$F;@!)}{"</f>
        <v>#VALUE!</v>
      </c>
      <c r="EZ216" t="e">
        <f>'All regions'!1081:1081-"$F;@!)}|"</f>
        <v>#VALUE!</v>
      </c>
      <c r="FA216" t="e">
        <f>'All regions'!1082:1082-"$F;@!)}}"</f>
        <v>#VALUE!</v>
      </c>
      <c r="FB216" t="e">
        <f>'All regions'!1083:1083-"$F;@!)}~"</f>
        <v>#VALUE!</v>
      </c>
      <c r="FC216" t="e">
        <f>'All regions'!1084:1084-"$F;@!)~#"</f>
        <v>#VALUE!</v>
      </c>
      <c r="FD216" t="e">
        <f>'All regions'!1085:1085-"$F;@!)~$"</f>
        <v>#VALUE!</v>
      </c>
      <c r="FE216" t="e">
        <f>'All regions'!1086:1086-"$F;@!)~%"</f>
        <v>#VALUE!</v>
      </c>
      <c r="FF216" t="e">
        <f>'All regions'!1087:1087-"$F;@!)~&amp;"</f>
        <v>#VALUE!</v>
      </c>
      <c r="FG216" t="e">
        <f>'All regions'!1088:1088-"$F;@!)~'"</f>
        <v>#VALUE!</v>
      </c>
      <c r="FH216" t="e">
        <f>'All regions'!1089:1089-"$F;@!)~("</f>
        <v>#VALUE!</v>
      </c>
      <c r="FI216" t="e">
        <f>'All regions'!1090:1090-"$F;@!)~)"</f>
        <v>#VALUE!</v>
      </c>
      <c r="FJ216" t="e">
        <f>'All regions'!1091:1091-"$F;@!)~."</f>
        <v>#VALUE!</v>
      </c>
      <c r="FK216" t="e">
        <f>'All regions'!1092:1092-"$F;@!)~/"</f>
        <v>#VALUE!</v>
      </c>
      <c r="FL216" t="e">
        <f>'All regions'!1093:1093-"$F;@!)~0"</f>
        <v>#VALUE!</v>
      </c>
      <c r="FM216" t="e">
        <f>'All regions'!1094:1094-"$F;@!)~1"</f>
        <v>#VALUE!</v>
      </c>
      <c r="FN216" t="e">
        <f>'All regions'!1095:1095-"$F;@!)~2"</f>
        <v>#VALUE!</v>
      </c>
      <c r="FO216" t="e">
        <f>'All regions'!1096:1096-"$F;@!)~3"</f>
        <v>#VALUE!</v>
      </c>
      <c r="FP216" t="e">
        <f>'All regions'!1097:1097-"$F;@!)~4"</f>
        <v>#VALUE!</v>
      </c>
      <c r="FQ216" t="e">
        <f>'All regions'!1098:1098-"$F;@!)~5"</f>
        <v>#VALUE!</v>
      </c>
      <c r="FR216" t="e">
        <f>'All regions'!1099:1099-"$F;@!)~6"</f>
        <v>#VALUE!</v>
      </c>
      <c r="FS216" t="e">
        <f>'All regions'!1100:1100-"$F;@!)~7"</f>
        <v>#VALUE!</v>
      </c>
      <c r="FT216" t="e">
        <f>'All regions'!1101:1101-"$F;@!)~8"</f>
        <v>#VALUE!</v>
      </c>
      <c r="FU216" t="e">
        <f>'All regions'!1102:1102-"$F;@!)~9"</f>
        <v>#VALUE!</v>
      </c>
      <c r="FV216" t="e">
        <f>'All regions'!1103:1103-"$F;@!)~:"</f>
        <v>#VALUE!</v>
      </c>
      <c r="FW216" t="e">
        <f>'All regions'!1104:1104-"$F;@!)~;"</f>
        <v>#VALUE!</v>
      </c>
      <c r="FX216" t="e">
        <f>'All regions'!1105:1105-"$F;@!)~&lt;"</f>
        <v>#VALUE!</v>
      </c>
      <c r="FY216" t="e">
        <f>'All regions'!1106:1106-"$F;@!)~="</f>
        <v>#VALUE!</v>
      </c>
      <c r="FZ216" t="e">
        <f>'All regions'!1107:1107-"$F;@!)~&gt;"</f>
        <v>#VALUE!</v>
      </c>
      <c r="GA216" t="e">
        <f>'All regions'!1108:1108-"$F;@!)~?"</f>
        <v>#VALUE!</v>
      </c>
      <c r="GB216" t="e">
        <f>'All regions'!1109:1109-"$F;@!)~@"</f>
        <v>#VALUE!</v>
      </c>
      <c r="GC216" t="e">
        <f>'All regions'!1110:1110-"$F;@!)~A"</f>
        <v>#VALUE!</v>
      </c>
      <c r="GD216" t="e">
        <f>'All regions'!1111:1111-"$F;@!)~B"</f>
        <v>#VALUE!</v>
      </c>
      <c r="GE216" t="e">
        <f>'All regions'!1112:1112-"$F;@!)~C"</f>
        <v>#VALUE!</v>
      </c>
      <c r="GF216" t="e">
        <f>'All regions'!1113:1113-"$F;@!)~D"</f>
        <v>#VALUE!</v>
      </c>
      <c r="GG216" t="e">
        <f>'All regions'!1114:1114-"$F;@!)~E"</f>
        <v>#VALUE!</v>
      </c>
      <c r="GH216" t="e">
        <f>'All regions'!1115:1115-"$F;@!)~F"</f>
        <v>#VALUE!</v>
      </c>
      <c r="GI216" t="e">
        <f>'All regions'!1116:1116-"$F;@!)~G"</f>
        <v>#VALUE!</v>
      </c>
      <c r="GJ216" t="e">
        <f>'All regions'!1117:1117-"$F;@!)~H"</f>
        <v>#VALUE!</v>
      </c>
      <c r="GK216" t="e">
        <f>'All regions'!1118:1118-"$F;@!)~I"</f>
        <v>#VALUE!</v>
      </c>
      <c r="GL216" t="e">
        <f>'All regions'!1119:1119-"$F;@!)~J"</f>
        <v>#VALUE!</v>
      </c>
      <c r="GM216" t="e">
        <f>'All regions'!1120:1120-"$F;@!)~K"</f>
        <v>#VALUE!</v>
      </c>
      <c r="GN216" t="e">
        <f>'All regions'!1121:1121-"$F;@!)~L"</f>
        <v>#VALUE!</v>
      </c>
      <c r="GO216" t="e">
        <f>'All regions'!1122:1122-"$F;@!)~M"</f>
        <v>#VALUE!</v>
      </c>
      <c r="GP216" t="e">
        <f>'All regions'!1123:1123-"$F;@!)~N"</f>
        <v>#VALUE!</v>
      </c>
      <c r="GQ216" t="e">
        <f>'All regions'!1124:1124-"$F;@!)~O"</f>
        <v>#VALUE!</v>
      </c>
      <c r="GR216" t="e">
        <f>'All regions'!1125:1125-"$F;@!)~P"</f>
        <v>#VALUE!</v>
      </c>
      <c r="GS216" t="e">
        <f>'All regions'!1126:1126-"$F;@!)~Q"</f>
        <v>#VALUE!</v>
      </c>
      <c r="GT216" t="e">
        <f>'All regions'!1127:1127-"$F;@!)~R"</f>
        <v>#VALUE!</v>
      </c>
      <c r="GU216" t="e">
        <f>'All regions'!1128:1128-"$F;@!)~S"</f>
        <v>#VALUE!</v>
      </c>
      <c r="GV216" t="e">
        <f>'All regions'!1129:1129-"$F;@!)~T"</f>
        <v>#VALUE!</v>
      </c>
      <c r="GW216" t="e">
        <f>'All regions'!1130:1130-"$F;@!)~U"</f>
        <v>#VALUE!</v>
      </c>
      <c r="GX216" t="e">
        <f>'All regions'!1131:1131-"$F;@!)~V"</f>
        <v>#VALUE!</v>
      </c>
      <c r="GY216" t="e">
        <f>'All regions'!1132:1132-"$F;@!)~W"</f>
        <v>#VALUE!</v>
      </c>
      <c r="GZ216" t="e">
        <f>'All regions'!1133:1133-"$F;@!)~X"</f>
        <v>#VALUE!</v>
      </c>
      <c r="HA216" t="e">
        <f>'All regions'!1134:1134-"$F;@!)~Y"</f>
        <v>#VALUE!</v>
      </c>
      <c r="HB216" t="e">
        <f>'All regions'!1135:1135-"$F;@!)~Z"</f>
        <v>#VALUE!</v>
      </c>
      <c r="HC216" t="e">
        <f>'All regions'!1136:1136-"$F;@!)~["</f>
        <v>#VALUE!</v>
      </c>
      <c r="HD216" t="e">
        <f>'All regions'!1137:1137-"$F;@!)~\"</f>
        <v>#VALUE!</v>
      </c>
      <c r="HE216" t="e">
        <f>'All regions'!1138:1138-"$F;@!)~]"</f>
        <v>#VALUE!</v>
      </c>
      <c r="HF216" t="e">
        <f>'All regions'!1139:1139-"$F;@!)~^"</f>
        <v>#VALUE!</v>
      </c>
      <c r="HG216" t="e">
        <f>'All regions'!1140:1140-"$F;@!)~_"</f>
        <v>#VALUE!</v>
      </c>
      <c r="HH216" t="e">
        <f>'All regions'!1143:1143-"$F;@!)~`"</f>
        <v>#VALUE!</v>
      </c>
      <c r="HI216" t="e">
        <f>'All regions'!1144:1144-"$F;@!)~a"</f>
        <v>#VALUE!</v>
      </c>
      <c r="HJ216" t="e">
        <f>'All regions'!1145:1145-"$F;@!)~b"</f>
        <v>#VALUE!</v>
      </c>
      <c r="HK216" t="e">
        <f>'All regions'!1146:1146-"$F;@!)~c"</f>
        <v>#VALUE!</v>
      </c>
      <c r="HL216" t="e">
        <f>'All regions'!1147:1147-"$F;@!)~d"</f>
        <v>#VALUE!</v>
      </c>
      <c r="HM216" t="e">
        <f>'All regions'!1148:1148-"$F;@!)~e"</f>
        <v>#VALUE!</v>
      </c>
      <c r="HN216" t="e">
        <f>'All regions'!1149:1149-"$F;@!)~f"</f>
        <v>#VALUE!</v>
      </c>
      <c r="HO216" t="e">
        <f>'All regions'!1150:1150-"$F;@!)~g"</f>
        <v>#VALUE!</v>
      </c>
      <c r="HP216" t="e">
        <f>'All regions'!1151:1151-"$F;@!)~h"</f>
        <v>#VALUE!</v>
      </c>
      <c r="HQ216" t="e">
        <f>'All regions'!1152:1152-"$F;@!)~i"</f>
        <v>#VALUE!</v>
      </c>
      <c r="HR216" t="e">
        <f>'All regions'!1153:1153-"$F;@!)~j"</f>
        <v>#VALUE!</v>
      </c>
      <c r="HS216" t="e">
        <f>'All regions'!1154:1154-"$F;@!)~k"</f>
        <v>#VALUE!</v>
      </c>
      <c r="HT216" t="e">
        <f>'All regions'!1155:1155-"$F;@!)~l"</f>
        <v>#VALUE!</v>
      </c>
      <c r="HU216" t="e">
        <f>'All regions'!1156:1156-"$F;@!)~m"</f>
        <v>#VALUE!</v>
      </c>
      <c r="HV216" t="e">
        <f>'All regions'!1157:1157-"$F;@!)~n"</f>
        <v>#VALUE!</v>
      </c>
      <c r="HW216" t="e">
        <f>'All regions'!1158:1158-"$F;@!)~o"</f>
        <v>#VALUE!</v>
      </c>
      <c r="HX216" t="e">
        <f>'All regions'!1159:1159-"$F;@!)~p"</f>
        <v>#VALUE!</v>
      </c>
      <c r="HY216" t="e">
        <f>'All regions'!1160:1160-"$F;@!)~q"</f>
        <v>#VALUE!</v>
      </c>
      <c r="HZ216" t="e">
        <f>'All regions'!1161:1161-"$F;@!)~r"</f>
        <v>#VALUE!</v>
      </c>
      <c r="IA216" t="e">
        <f>'All regions'!1162:1162-"$F;@!)~s"</f>
        <v>#VALUE!</v>
      </c>
      <c r="IB216" t="e">
        <f>'All regions'!1163:1163-"$F;@!)~t"</f>
        <v>#VALUE!</v>
      </c>
      <c r="IC216" t="e">
        <f>'All regions'!1164:1164-"$F;@!)~u"</f>
        <v>#VALUE!</v>
      </c>
      <c r="ID216" t="e">
        <f>'All regions'!1165:1165-"$F;@!)~v"</f>
        <v>#VALUE!</v>
      </c>
      <c r="IE216" t="e">
        <f>'All regions'!1166:1166-"$F;@!)~w"</f>
        <v>#VALUE!</v>
      </c>
      <c r="IF216" t="e">
        <f>'All regions'!1167:1167-"$F;@!)~x"</f>
        <v>#VALUE!</v>
      </c>
      <c r="IG216" t="e">
        <f>'All regions'!1168:1168-"$F;@!)~y"</f>
        <v>#VALUE!</v>
      </c>
      <c r="IH216" t="e">
        <f>'All regions'!1169:1169-"$F;@!)~z"</f>
        <v>#VALUE!</v>
      </c>
      <c r="II216" t="e">
        <f>'All regions'!1170:1170-"$F;@!)~{"</f>
        <v>#VALUE!</v>
      </c>
      <c r="IJ216" t="e">
        <f>'All regions'!1171:1171-"$F;@!)~|"</f>
        <v>#VALUE!</v>
      </c>
      <c r="IK216" t="e">
        <f>'All regions'!1172:1172-"$F;@!)~}"</f>
        <v>#VALUE!</v>
      </c>
      <c r="IL216" t="e">
        <f>'All regions'!1173:1173-"$F;@!)~~"</f>
        <v>#VALUE!</v>
      </c>
      <c r="IM216" t="e">
        <f>'All regions'!1174:1174-"$F;@!.##"</f>
        <v>#VALUE!</v>
      </c>
      <c r="IN216" t="e">
        <f>'All regions'!1175:1175-"$F;@!.#$"</f>
        <v>#VALUE!</v>
      </c>
      <c r="IO216" t="e">
        <f>'All regions'!1176:1176-"$F;@!.#%"</f>
        <v>#VALUE!</v>
      </c>
      <c r="IP216" t="e">
        <f>'All regions'!1177:1177-"$F;@!.#&amp;"</f>
        <v>#VALUE!</v>
      </c>
      <c r="IQ216" t="e">
        <f>'All regions'!1178:1178-"$F;@!.#'"</f>
        <v>#VALUE!</v>
      </c>
      <c r="IR216" t="e">
        <f>'All regions'!1179:1179-"$F;@!.#("</f>
        <v>#VALUE!</v>
      </c>
      <c r="IS216" t="e">
        <f>'All regions'!1180:1180-"$F;@!.#)"</f>
        <v>#VALUE!</v>
      </c>
      <c r="IT216" t="e">
        <f>'All regions'!1181:1181-"$F;@!.#."</f>
        <v>#VALUE!</v>
      </c>
      <c r="IU216" t="e">
        <f>'All regions'!1182:1182-"$F;@!.#/"</f>
        <v>#VALUE!</v>
      </c>
      <c r="IV216" t="e">
        <f>'All regions'!1183:1183-"$F;@!.#0"</f>
        <v>#VALUE!</v>
      </c>
    </row>
    <row r="217" spans="6:256" x14ac:dyDescent="0.35">
      <c r="F217" t="e">
        <f>'All regions'!1184:1184-"$F;@!.#1"</f>
        <v>#VALUE!</v>
      </c>
      <c r="G217" t="e">
        <f>'All regions'!1185:1185-"$F;@!.#2"</f>
        <v>#VALUE!</v>
      </c>
      <c r="H217" t="e">
        <f>'All regions'!1186:1186-"$F;@!.#3"</f>
        <v>#VALUE!</v>
      </c>
      <c r="I217" t="e">
        <f>'All regions'!1187:1187-"$F;@!.#4"</f>
        <v>#VALUE!</v>
      </c>
      <c r="J217" t="e">
        <f>'All regions'!1188:1188-"$F;@!.#5"</f>
        <v>#VALUE!</v>
      </c>
      <c r="K217" t="e">
        <f>'All regions'!1189:1189-"$F;@!.#6"</f>
        <v>#VALUE!</v>
      </c>
      <c r="L217" t="e">
        <f>'All regions'!1190:1190-"$F;@!.#7"</f>
        <v>#VALUE!</v>
      </c>
      <c r="M217" t="e">
        <f>'All regions'!1191:1191-"$F;@!.#8"</f>
        <v>#VALUE!</v>
      </c>
      <c r="N217" t="e">
        <f>'All regions'!1192:1192-"$F;@!.#9"</f>
        <v>#VALUE!</v>
      </c>
      <c r="O217" t="e">
        <f>'All regions'!1193:1193-"$F;@!.#:"</f>
        <v>#VALUE!</v>
      </c>
      <c r="P217" t="e">
        <f>'All regions'!1194:1194-"$F;@!.#;"</f>
        <v>#VALUE!</v>
      </c>
      <c r="Q217" t="e">
        <f>'All regions'!1195:1195-"$F;@!.#&lt;"</f>
        <v>#VALUE!</v>
      </c>
      <c r="R217" t="e">
        <f>'All regions'!1196:1196-"$F;@!.#="</f>
        <v>#VALUE!</v>
      </c>
      <c r="S217" t="e">
        <f>'All regions'!1197:1197-"$F;@!.#&gt;"</f>
        <v>#VALUE!</v>
      </c>
      <c r="T217" t="e">
        <f>'All regions'!1198:1198-"$F;@!.#?"</f>
        <v>#VALUE!</v>
      </c>
      <c r="U217" t="e">
        <f>'All regions'!1199:1199-"$F;@!.#@"</f>
        <v>#VALUE!</v>
      </c>
      <c r="V217" t="e">
        <f>'All regions'!1200:1200-"$F;@!.#A"</f>
        <v>#VALUE!</v>
      </c>
      <c r="W217" t="e">
        <f>'All regions'!1201:1201-"$F;@!.#B"</f>
        <v>#VALUE!</v>
      </c>
      <c r="X217" t="e">
        <f>'All regions'!1202:1202-"$F;@!.#C"</f>
        <v>#VALUE!</v>
      </c>
      <c r="Y217" t="e">
        <f>'All regions'!1203:1203-"$F;@!.#D"</f>
        <v>#VALUE!</v>
      </c>
      <c r="Z217" t="e">
        <f>'All regions'!1204:1204-"$F;@!.#E"</f>
        <v>#VALUE!</v>
      </c>
      <c r="AA217" t="e">
        <f>'All regions'!1205:1205-"$F;@!.#F"</f>
        <v>#VALUE!</v>
      </c>
      <c r="AB217" t="e">
        <f>'All regions'!1206:1206-"$F;@!.#G"</f>
        <v>#VALUE!</v>
      </c>
      <c r="AC217" t="e">
        <f>'All regions'!1207:1207-"$F;@!.#H"</f>
        <v>#VALUE!</v>
      </c>
      <c r="AD217" t="e">
        <f>'All regions'!1210:1210-"$F;@!.#I"</f>
        <v>#VALUE!</v>
      </c>
      <c r="AE217" t="e">
        <f>'All regions'!1211:1211-"$F;@!.#J"</f>
        <v>#VALUE!</v>
      </c>
      <c r="AF217" t="e">
        <f>'All regions'!1212:1212-"$F;@!.#K"</f>
        <v>#VALUE!</v>
      </c>
      <c r="AG217" t="e">
        <f>'All regions'!1213:1213-"$F;@!.#L"</f>
        <v>#VALUE!</v>
      </c>
      <c r="AH217" t="e">
        <f>'All regions'!1214:1214-"$F;@!.#M"</f>
        <v>#VALUE!</v>
      </c>
      <c r="AI217" t="e">
        <f>'All regions'!1215:1215-"$F;@!.#N"</f>
        <v>#VALUE!</v>
      </c>
      <c r="AJ217" t="e">
        <f>'All regions'!1216:1216-"$F;@!.#O"</f>
        <v>#VALUE!</v>
      </c>
      <c r="AK217" t="e">
        <f>'All regions'!1217:1217-"$F;@!.#P"</f>
        <v>#VALUE!</v>
      </c>
      <c r="AL217" t="e">
        <f>'All regions'!1218:1218-"$F;@!.#Q"</f>
        <v>#VALUE!</v>
      </c>
      <c r="AM217" t="e">
        <f>'All regions'!1219:1219-"$F;@!.#R"</f>
        <v>#VALUE!</v>
      </c>
      <c r="AN217" t="e">
        <f>'All regions'!1220:1220-"$F;@!.#S"</f>
        <v>#VALUE!</v>
      </c>
      <c r="AO217" t="e">
        <f>'All regions'!1221:1221-"$F;@!.#T"</f>
        <v>#VALUE!</v>
      </c>
      <c r="AP217" t="e">
        <f>'All regions'!1222:1222-"$F;@!.#U"</f>
        <v>#VALUE!</v>
      </c>
      <c r="AQ217" t="e">
        <f>'All regions'!1223:1223-"$F;@!.#V"</f>
        <v>#VALUE!</v>
      </c>
      <c r="AR217" t="e">
        <f>'All regions'!1224:1224-"$F;@!.#W"</f>
        <v>#VALUE!</v>
      </c>
      <c r="AS217" t="e">
        <f>'All regions'!1225:1225-"$F;@!.#X"</f>
        <v>#VALUE!</v>
      </c>
      <c r="AT217" t="e">
        <f>'All regions'!1226:1226-"$F;@!.#Y"</f>
        <v>#VALUE!</v>
      </c>
      <c r="AU217" t="e">
        <f>'All regions'!1227:1227-"$F;@!.#Z"</f>
        <v>#VALUE!</v>
      </c>
      <c r="AV217" t="e">
        <f>'All regions'!1228:1228-"$F;@!.#["</f>
        <v>#VALUE!</v>
      </c>
      <c r="AW217" t="e">
        <f>'All regions'!1229:1229-"$F;@!.#\"</f>
        <v>#VALUE!</v>
      </c>
      <c r="AX217" t="e">
        <f>'All regions'!1230:1230-"$F;@!.#]"</f>
        <v>#VALUE!</v>
      </c>
      <c r="AY217" t="e">
        <f>'All regions'!1231:1231-"$F;@!.#^"</f>
        <v>#VALUE!</v>
      </c>
      <c r="AZ217" t="e">
        <f>'All regions'!1232:1232-"$F;@!.#_"</f>
        <v>#VALUE!</v>
      </c>
      <c r="BA217" t="e">
        <f>'All regions'!1233:1233-"$F;@!.#`"</f>
        <v>#VALUE!</v>
      </c>
      <c r="BB217" t="e">
        <f>'All regions'!1234:1234-"$F;@!.#a"</f>
        <v>#VALUE!</v>
      </c>
      <c r="BC217" t="e">
        <f>'All regions'!1235:1235-"$F;@!.#b"</f>
        <v>#VALUE!</v>
      </c>
      <c r="BD217" t="e">
        <f>'All regions'!1236:1236-"$F;@!.#c"</f>
        <v>#VALUE!</v>
      </c>
      <c r="BE217" t="e">
        <f>'All regions'!1237:1237-"$F;@!.#d"</f>
        <v>#VALUE!</v>
      </c>
      <c r="BF217" t="e">
        <f>'All regions'!1238:1238-"$F;@!.#e"</f>
        <v>#VALUE!</v>
      </c>
      <c r="BG217" t="e">
        <f>'All regions'!1239:1239-"$F;@!.#f"</f>
        <v>#VALUE!</v>
      </c>
      <c r="BH217" t="e">
        <f>'All regions'!1240:1240-"$F;@!.#g"</f>
        <v>#VALUE!</v>
      </c>
      <c r="BI217" t="e">
        <f>'All regions'!1241:1241-"$F;@!.#h"</f>
        <v>#VALUE!</v>
      </c>
      <c r="BJ217" t="e">
        <f>'All regions'!1242:1242-"$F;@!.#i"</f>
        <v>#VALUE!</v>
      </c>
      <c r="BK217" t="e">
        <f>'All regions'!1243:1243-"$F;@!.#j"</f>
        <v>#VALUE!</v>
      </c>
      <c r="BL217" t="e">
        <f>'All regions'!1244:1244-"$F;@!.#k"</f>
        <v>#VALUE!</v>
      </c>
      <c r="BM217" t="e">
        <f>'All regions'!1245:1245-"$F;@!.#l"</f>
        <v>#VALUE!</v>
      </c>
      <c r="BN217" t="e">
        <f>'All regions'!1246:1246-"$F;@!.#m"</f>
        <v>#VALUE!</v>
      </c>
      <c r="BO217" t="e">
        <f>'All regions'!1247:1247-"$F;@!.#n"</f>
        <v>#VALUE!</v>
      </c>
      <c r="BP217" t="e">
        <f>'All regions'!1248:1248-"$F;@!.#o"</f>
        <v>#VALUE!</v>
      </c>
      <c r="BQ217" t="e">
        <f>'All regions'!1249:1249-"$F;@!.#p"</f>
        <v>#VALUE!</v>
      </c>
      <c r="BR217" t="e">
        <f>'All regions'!1250:1250-"$F;@!.#q"</f>
        <v>#VALUE!</v>
      </c>
      <c r="BS217" t="e">
        <f>'All regions'!1251:1251-"$F;@!.#r"</f>
        <v>#VALUE!</v>
      </c>
      <c r="BT217" t="e">
        <f>'All regions'!1252:1252-"$F;@!.#s"</f>
        <v>#VALUE!</v>
      </c>
      <c r="BU217" t="e">
        <f>'All regions'!1253:1253-"$F;@!.#t"</f>
        <v>#VALUE!</v>
      </c>
      <c r="BV217" t="e">
        <f>'All regions'!1254:1254-"$F;@!.#u"</f>
        <v>#VALUE!</v>
      </c>
      <c r="BW217" t="e">
        <f>'All regions'!1255:1255-"$F;@!.#v"</f>
        <v>#VALUE!</v>
      </c>
      <c r="BX217" t="e">
        <f>'All regions'!1256:1256-"$F;@!.#w"</f>
        <v>#VALUE!</v>
      </c>
      <c r="BY217" t="e">
        <f>'All regions'!1257:1257-"$F;@!.#x"</f>
        <v>#VALUE!</v>
      </c>
      <c r="BZ217" t="e">
        <f>'All regions'!1258:1258-"$F;@!.#y"</f>
        <v>#VALUE!</v>
      </c>
      <c r="CA217" t="e">
        <f>'All regions'!1259:1259-"$F;@!.#z"</f>
        <v>#VALUE!</v>
      </c>
      <c r="CB217" t="e">
        <f>'All regions'!1260:1260-"$F;@!.#{"</f>
        <v>#VALUE!</v>
      </c>
      <c r="CC217" t="e">
        <f>'All regions'!1261:1261-"$F;@!.#|"</f>
        <v>#VALUE!</v>
      </c>
      <c r="CD217" t="e">
        <f>'All regions'!1262:1262-"$F;@!.#}"</f>
        <v>#VALUE!</v>
      </c>
      <c r="CE217" t="e">
        <f>'All regions'!1263:1263-"$F;@!.#~"</f>
        <v>#VALUE!</v>
      </c>
      <c r="CF217" t="e">
        <f>'All regions'!1264:1264-"$F;@!.$#"</f>
        <v>#VALUE!</v>
      </c>
      <c r="CG217" t="e">
        <f>'All regions'!1265:1265-"$F;@!.$$"</f>
        <v>#VALUE!</v>
      </c>
      <c r="CH217" t="e">
        <f>'All regions'!1266:1266-"$F;@!.$%"</f>
        <v>#VALUE!</v>
      </c>
      <c r="CI217" t="e">
        <f>'All regions'!1267:1267-"$F;@!.$&amp;"</f>
        <v>#VALUE!</v>
      </c>
      <c r="CJ217" t="e">
        <f>'All regions'!1268:1268-"$F;@!.$'"</f>
        <v>#VALUE!</v>
      </c>
      <c r="CK217" t="e">
        <f>'All regions'!1269:1269-"$F;@!.$("</f>
        <v>#VALUE!</v>
      </c>
      <c r="CL217" t="e">
        <f>'All regions'!1270:1270-"$F;@!.$)"</f>
        <v>#VALUE!</v>
      </c>
      <c r="CM217" t="e">
        <f>'All regions'!1271:1271-"$F;@!.$."</f>
        <v>#VALUE!</v>
      </c>
      <c r="CN217" t="e">
        <f>'All regions'!1272:1272-"$F;@!.$/"</f>
        <v>#VALUE!</v>
      </c>
      <c r="CO217" t="e">
        <f>'All regions'!1273:1273-"$F;@!.$0"</f>
        <v>#VALUE!</v>
      </c>
      <c r="CP217" t="e">
        <f>'All regions'!1274:1274-"$F;@!.$1"</f>
        <v>#VALUE!</v>
      </c>
      <c r="CQ217" t="e">
        <f>'All regions'!1275:1275-"$F;@!.$2"</f>
        <v>#VALUE!</v>
      </c>
      <c r="CR217" t="e">
        <f>'All regions'!1276:1276-"$F;@!.$3"</f>
        <v>#VALUE!</v>
      </c>
      <c r="CS217" t="e">
        <f>'All regions'!1277:1277-"$F;@!.$4"</f>
        <v>#VALUE!</v>
      </c>
      <c r="CT217" t="e">
        <f>'All regions'!1278:1278-"$F;@!.$5"</f>
        <v>#VALUE!</v>
      </c>
      <c r="CU217" t="e">
        <f>'All regions'!1279:1279-"$F;@!.$6"</f>
        <v>#VALUE!</v>
      </c>
      <c r="CV217" t="e">
        <f>'All regions'!1280:1280-"$F;@!.$7"</f>
        <v>#VALUE!</v>
      </c>
      <c r="CW217" t="e">
        <f>'All regions'!1281:1281-"$F;@!.$8"</f>
        <v>#VALUE!</v>
      </c>
      <c r="CX217" t="e">
        <f>'All regions'!1282:1282-"$F;@!.$9"</f>
        <v>#VALUE!</v>
      </c>
      <c r="CY217" t="e">
        <f>'All regions'!1283:1283-"$F;@!.$:"</f>
        <v>#VALUE!</v>
      </c>
      <c r="CZ217" t="e">
        <f>'All regions'!1284:1284-"$F;@!.$;"</f>
        <v>#VALUE!</v>
      </c>
      <c r="DA217" t="e">
        <f>'All regions'!1285:1285-"$F;@!.$&lt;"</f>
        <v>#VALUE!</v>
      </c>
      <c r="DB217" t="e">
        <f>'All regions'!1286:1286-"$F;@!.$="</f>
        <v>#VALUE!</v>
      </c>
      <c r="DC217" t="e">
        <f>'All regions'!1287:1287-"$F;@!.$&gt;"</f>
        <v>#VALUE!</v>
      </c>
      <c r="DD217" t="e">
        <f>'All regions'!1288:1288-"$F;@!.$?"</f>
        <v>#VALUE!</v>
      </c>
      <c r="DE217" t="e">
        <f>'All regions'!1289:1289-"$F;@!.$@"</f>
        <v>#VALUE!</v>
      </c>
      <c r="DF217" t="e">
        <f>'All regions'!1290:1290-"$F;@!.$A"</f>
        <v>#VALUE!</v>
      </c>
      <c r="DG217" t="e">
        <f>'All regions'!1291:1291-"$F;@!.$B"</f>
        <v>#VALUE!</v>
      </c>
      <c r="DH217" t="e">
        <f>'All regions'!1292:1292-"$F;@!.$C"</f>
        <v>#VALUE!</v>
      </c>
      <c r="DI217" t="e">
        <f>'All regions'!1293:1293-"$F;@!.$D"</f>
        <v>#VALUE!</v>
      </c>
      <c r="DJ217" t="e">
        <f>'All regions'!1294:1294-"$F;@!.$E"</f>
        <v>#VALUE!</v>
      </c>
      <c r="DK217" t="e">
        <f>'All regions'!1295:1295-"$F;@!.$F"</f>
        <v>#VALUE!</v>
      </c>
      <c r="DL217" t="e">
        <f>'All regions'!1296:1296-"$F;@!.$G"</f>
        <v>#VALUE!</v>
      </c>
      <c r="DM217" t="e">
        <f>'All regions'!1297:1297-"$F;@!.$H"</f>
        <v>#VALUE!</v>
      </c>
      <c r="DN217" t="e">
        <f>'All regions'!1298:1298-"$F;@!.$I"</f>
        <v>#VALUE!</v>
      </c>
      <c r="DO217" t="e">
        <f>'All regions'!1299:1299-"$F;@!.$J"</f>
        <v>#VALUE!</v>
      </c>
      <c r="DP217" t="e">
        <f>'All regions'!1300:1300-"$F;@!.$K"</f>
        <v>#VALUE!</v>
      </c>
      <c r="DQ217" t="e">
        <f>'All regions'!1301:1301-"$F;@!.$L"</f>
        <v>#VALUE!</v>
      </c>
      <c r="DR217" t="e">
        <f>'All regions'!1302:1302-"$F;@!.$M"</f>
        <v>#VALUE!</v>
      </c>
      <c r="DS217" t="e">
        <f>'All regions'!1303:1303-"$F;@!.$N"</f>
        <v>#VALUE!</v>
      </c>
      <c r="DT217" t="e">
        <f>'All regions'!1304:1304-"$F;@!.$O"</f>
        <v>#VALUE!</v>
      </c>
      <c r="DU217" t="e">
        <f>'All regions'!1305:1305-"$F;@!.$P"</f>
        <v>#VALUE!</v>
      </c>
      <c r="DV217" t="e">
        <f>'All regions'!1306:1306-"$F;@!.$Q"</f>
        <v>#VALUE!</v>
      </c>
      <c r="DW217" t="e">
        <f>'All regions'!1307:1307-"$F;@!.$R"</f>
        <v>#VALUE!</v>
      </c>
      <c r="DX217" t="e">
        <f>'All regions'!1308:1308-"$F;@!.$S"</f>
        <v>#VALUE!</v>
      </c>
      <c r="DY217" t="e">
        <f>'All regions'!1309:1309-"$F;@!.$T"</f>
        <v>#VALUE!</v>
      </c>
      <c r="DZ217" t="e">
        <f>'All regions'!1310:1310-"$F;@!.$U"</f>
        <v>#VALUE!</v>
      </c>
      <c r="EA217" t="e">
        <f>'All regions'!1311:1311-"$F;@!.$V"</f>
        <v>#VALUE!</v>
      </c>
      <c r="EB217" t="e">
        <f>'All regions'!1312:1312-"$F;@!.$W"</f>
        <v>#VALUE!</v>
      </c>
      <c r="EC217" t="e">
        <f>'All regions'!1313:1313-"$F;@!.$X"</f>
        <v>#VALUE!</v>
      </c>
      <c r="ED217" t="e">
        <f>'All regions'!1314:1314-"$F;@!.$Y"</f>
        <v>#VALUE!</v>
      </c>
      <c r="EE217" t="e">
        <f>'All regions'!1315:1315-"$F;@!.$Z"</f>
        <v>#VALUE!</v>
      </c>
      <c r="EF217" t="e">
        <f>'All regions'!1316:1316-"$F;@!.$["</f>
        <v>#VALUE!</v>
      </c>
      <c r="EG217" t="e">
        <f>'All regions'!1317:1317-"$F;@!.$\"</f>
        <v>#VALUE!</v>
      </c>
      <c r="EH217" t="e">
        <f>'All regions'!1318:1318-"$F;@!.$]"</f>
        <v>#VALUE!</v>
      </c>
      <c r="EI217" t="e">
        <f>'All regions'!1319:1319-"$F;@!.$^"</f>
        <v>#VALUE!</v>
      </c>
      <c r="EJ217" t="e">
        <f>'All regions'!1320:1320-"$F;@!.$_"</f>
        <v>#VALUE!</v>
      </c>
      <c r="EK217" t="e">
        <f>'All regions'!1321:1321-"$F;@!.$`"</f>
        <v>#VALUE!</v>
      </c>
      <c r="EL217" t="e">
        <f>'All regions'!1322:1322-"$F;@!.$a"</f>
        <v>#VALUE!</v>
      </c>
      <c r="EM217" t="e">
        <f>'All regions'!1323:1323-"$F;@!.$b"</f>
        <v>#VALUE!</v>
      </c>
      <c r="EN217" t="e">
        <f>'All regions'!1324:1324-"$F;@!.$c"</f>
        <v>#VALUE!</v>
      </c>
      <c r="EO217" t="e">
        <f>'All regions'!1325:1325-"$F;@!.$d"</f>
        <v>#VALUE!</v>
      </c>
      <c r="EP217" t="e">
        <f>'All regions'!1326:1326-"$F;@!.$e"</f>
        <v>#VALUE!</v>
      </c>
      <c r="EQ217" t="e">
        <f>'All regions'!1327:1327-"$F;@!.$f"</f>
        <v>#VALUE!</v>
      </c>
      <c r="ER217" t="e">
        <f>'All regions'!1328:1328-"$F;@!.$g"</f>
        <v>#VALUE!</v>
      </c>
      <c r="ES217" t="e">
        <f>'All regions'!1329:1329-"$F;@!.$h"</f>
        <v>#VALUE!</v>
      </c>
      <c r="ET217" t="e">
        <f>'All regions'!1330:1330-"$F;@!.$i"</f>
        <v>#VALUE!</v>
      </c>
      <c r="EU217" t="e">
        <f>'All regions'!1331:1331-"$F;@!.$j"</f>
        <v>#VALUE!</v>
      </c>
      <c r="EV217" t="e">
        <f>'All regions'!1332:1332-"$F;@!.$k"</f>
        <v>#VALUE!</v>
      </c>
      <c r="EW217" t="e">
        <f>'All regions'!1333:1333-"$F;@!.$l"</f>
        <v>#VALUE!</v>
      </c>
      <c r="EX217" t="e">
        <f>'All regions'!1334:1334-"$F;@!.$m"</f>
        <v>#VALUE!</v>
      </c>
      <c r="EY217" t="e">
        <f>'All regions'!1335:1335-"$F;@!.$n"</f>
        <v>#VALUE!</v>
      </c>
      <c r="EZ217" t="e">
        <f>'All regions'!1336:1336-"$F;@!.$o"</f>
        <v>#VALUE!</v>
      </c>
      <c r="FA217" t="e">
        <f>'All regions'!1337:1337-"$F;@!.$p"</f>
        <v>#VALUE!</v>
      </c>
      <c r="FB217" t="e">
        <f>'All regions'!1338:1338-"$F;@!.$q"</f>
        <v>#VALUE!</v>
      </c>
      <c r="FC217" t="e">
        <f>'All regions'!1339:1339-"$F;@!.$r"</f>
        <v>#VALUE!</v>
      </c>
      <c r="FD217" t="e">
        <f>'All regions'!1340:1340-"$F;@!.$s"</f>
        <v>#VALUE!</v>
      </c>
      <c r="FE217" t="e">
        <f>'All regions'!1341:1341-"$F;@!.$t"</f>
        <v>#VALUE!</v>
      </c>
      <c r="FF217" t="e">
        <f>'All regions'!1342:1342-"$F;@!.$u"</f>
        <v>#VALUE!</v>
      </c>
      <c r="FG217" t="e">
        <f>'All regions'!1343:1343-"$F;@!.$v"</f>
        <v>#VALUE!</v>
      </c>
      <c r="FH217" t="e">
        <f>'All regions'!1344:1344-"$F;@!.$w"</f>
        <v>#VALUE!</v>
      </c>
      <c r="FI217" t="e">
        <f>'All regions'!1345:1345-"$F;@!.$x"</f>
        <v>#VALUE!</v>
      </c>
      <c r="FJ217" t="e">
        <f>'All regions'!1346:1346-"$F;@!.$y"</f>
        <v>#VALUE!</v>
      </c>
      <c r="FK217" t="e">
        <f>'All regions'!1347:1347-"$F;@!.$z"</f>
        <v>#VALUE!</v>
      </c>
      <c r="FL217" t="e">
        <f>'All regions'!1348:1348-"$F;@!.${"</f>
        <v>#VALUE!</v>
      </c>
      <c r="FM217" t="e">
        <f>'All regions'!1349:1349-"$F;@!.$|"</f>
        <v>#VALUE!</v>
      </c>
      <c r="FN217" t="e">
        <f>'All regions'!1350:1350-"$F;@!.$}"</f>
        <v>#VALUE!</v>
      </c>
      <c r="FO217" t="e">
        <f>'All regions'!1351:1351-"$F;@!.$~"</f>
        <v>#VALUE!</v>
      </c>
      <c r="FP217" t="e">
        <f>'All regions'!1352:1352-"$F;@!.%#"</f>
        <v>#VALUE!</v>
      </c>
      <c r="FQ217" t="e">
        <f>'All regions'!1353:1353-"$F;@!.%$"</f>
        <v>#VALUE!</v>
      </c>
      <c r="FR217" t="e">
        <f>'All regions'!1354:1354-"$F;@!.%%"</f>
        <v>#VALUE!</v>
      </c>
      <c r="FS217" t="e">
        <f>'All regions'!1355:1355-"$F;@!.%&amp;"</f>
        <v>#VALUE!</v>
      </c>
      <c r="FT217" t="e">
        <f>'All regions'!1356:1356-"$F;@!.%'"</f>
        <v>#VALUE!</v>
      </c>
      <c r="FU217" t="e">
        <f>'All regions'!1357:1357-"$F;@!.%("</f>
        <v>#VALUE!</v>
      </c>
      <c r="FV217" t="e">
        <f>'All regions'!1358:1358-"$F;@!.%)"</f>
        <v>#VALUE!</v>
      </c>
      <c r="FW217" t="e">
        <f>'All regions'!1359:1359-"$F;@!.%."</f>
        <v>#VALUE!</v>
      </c>
      <c r="FX217" t="e">
        <f>'All regions'!1360:1360-"$F;@!.%/"</f>
        <v>#VALUE!</v>
      </c>
      <c r="FY217" t="e">
        <f>'All regions'!1361:1361-"$F;@!.%0"</f>
        <v>#VALUE!</v>
      </c>
      <c r="FZ217" t="e">
        <f>'All regions'!1362:1362-"$F;@!.%1"</f>
        <v>#VALUE!</v>
      </c>
      <c r="GA217" t="e">
        <f>'All regions'!1363:1363-"$F;@!.%2"</f>
        <v>#VALUE!</v>
      </c>
      <c r="GB217" t="e">
        <f>'All regions'!1364:1364-"$F;@!.%3"</f>
        <v>#VALUE!</v>
      </c>
      <c r="GC217" t="e">
        <f>'All regions'!1365:1365-"$F;@!.%4"</f>
        <v>#VALUE!</v>
      </c>
      <c r="GD217" t="e">
        <f>'All regions'!1366:1366-"$F;@!.%5"</f>
        <v>#VALUE!</v>
      </c>
      <c r="GE217" t="e">
        <f>'All regions'!1367:1367-"$F;@!.%6"</f>
        <v>#VALUE!</v>
      </c>
      <c r="GF217" t="e">
        <f>'All regions'!1368:1368-"$F;@!.%7"</f>
        <v>#VALUE!</v>
      </c>
      <c r="GG217" t="e">
        <f>'All regions'!1369:1369-"$F;@!.%8"</f>
        <v>#VALUE!</v>
      </c>
      <c r="GH217" t="e">
        <f>'All regions'!1370:1370-"$F;@!.%9"</f>
        <v>#VALUE!</v>
      </c>
      <c r="GI217" t="e">
        <f>'All regions'!1371:1371-"$F;@!.%:"</f>
        <v>#VALUE!</v>
      </c>
      <c r="GJ217" t="e">
        <f>'All regions'!1372:1372-"$F;@!.%;"</f>
        <v>#VALUE!</v>
      </c>
      <c r="GK217" t="e">
        <f>'All regions'!1373:1373-"$F;@!.%&lt;"</f>
        <v>#VALUE!</v>
      </c>
      <c r="GL217" t="e">
        <f>'All regions'!1374:1374-"$F;@!.%="</f>
        <v>#VALUE!</v>
      </c>
      <c r="GM217" t="e">
        <f>'All regions'!1375:1375-"$F;@!.%&gt;"</f>
        <v>#VALUE!</v>
      </c>
      <c r="GN217" t="e">
        <f>'All regions'!1376:1376-"$F;@!.%?"</f>
        <v>#VALUE!</v>
      </c>
      <c r="GO217" t="e">
        <f>'All regions'!1377:1377-"$F;@!.%@"</f>
        <v>#VALUE!</v>
      </c>
      <c r="GP217" t="e">
        <f>'All regions'!1378:1378-"$F;@!.%A"</f>
        <v>#VALUE!</v>
      </c>
      <c r="GQ217" t="e">
        <f>'All regions'!1379:1379-"$F;@!.%B"</f>
        <v>#VALUE!</v>
      </c>
      <c r="GR217" t="e">
        <f>'All regions'!1380:1380-"$F;@!.%C"</f>
        <v>#VALUE!</v>
      </c>
      <c r="GS217" t="e">
        <f>'All regions'!1381:1381-"$F;@!.%D"</f>
        <v>#VALUE!</v>
      </c>
      <c r="GT217" t="e">
        <f>'All regions'!1382:1382-"$F;@!.%E"</f>
        <v>#VALUE!</v>
      </c>
      <c r="GU217" t="e">
        <f>'All regions'!1383:1383-"$F;@!.%F"</f>
        <v>#VALUE!</v>
      </c>
      <c r="GV217" t="e">
        <f>'All regions'!1384:1384-"$F;@!.%G"</f>
        <v>#VALUE!</v>
      </c>
      <c r="GW217" t="e">
        <f>'All regions'!1385:1385-"$F;@!.%H"</f>
        <v>#VALUE!</v>
      </c>
      <c r="GX217" t="e">
        <f>'All regions'!1386:1386-"$F;@!.%I"</f>
        <v>#VALUE!</v>
      </c>
      <c r="GY217" t="e">
        <f>'All regions'!1387:1387-"$F;@!.%J"</f>
        <v>#VALUE!</v>
      </c>
      <c r="GZ217" t="e">
        <f>'All regions'!1388:1388-"$F;@!.%K"</f>
        <v>#VALUE!</v>
      </c>
      <c r="HA217" t="e">
        <f>'All regions'!1389:1389-"$F;@!.%L"</f>
        <v>#VALUE!</v>
      </c>
      <c r="HB217" t="e">
        <f>'All regions'!1390:1390-"$F;@!.%M"</f>
        <v>#VALUE!</v>
      </c>
      <c r="HC217" t="e">
        <f>'All regions'!1391:1391-"$F;@!.%N"</f>
        <v>#VALUE!</v>
      </c>
      <c r="HD217" t="e">
        <f>'All regions'!1392:1392-"$F;@!.%O"</f>
        <v>#VALUE!</v>
      </c>
      <c r="HE217" t="e">
        <f>'All regions'!1393:1393-"$F;@!.%P"</f>
        <v>#VALUE!</v>
      </c>
      <c r="HF217" t="e">
        <f>'All regions'!1394:1394-"$F;@!.%Q"</f>
        <v>#VALUE!</v>
      </c>
      <c r="HG217" t="e">
        <f>'All regions'!1395:1395-"$F;@!.%R"</f>
        <v>#VALUE!</v>
      </c>
      <c r="HH217" t="e">
        <f>'All regions'!1396:1396-"$F;@!.%S"</f>
        <v>#VALUE!</v>
      </c>
      <c r="HI217" t="e">
        <f>'All regions'!1397:1397-"$F;@!.%T"</f>
        <v>#VALUE!</v>
      </c>
      <c r="HJ217" t="e">
        <f>'All regions'!1398:1398-"$F;@!.%U"</f>
        <v>#VALUE!</v>
      </c>
      <c r="HK217" t="e">
        <f>'All regions'!1399:1399-"$F;@!.%V"</f>
        <v>#VALUE!</v>
      </c>
      <c r="HL217" t="e">
        <f>'All regions'!1400:1400-"$F;@!.%W"</f>
        <v>#VALUE!</v>
      </c>
      <c r="HM217" t="e">
        <f>'All regions'!1401:1401-"$F;@!.%X"</f>
        <v>#VALUE!</v>
      </c>
      <c r="HN217" t="e">
        <f>'All regions'!1402:1402-"$F;@!.%Y"</f>
        <v>#VALUE!</v>
      </c>
      <c r="HO217" t="e">
        <f>'All regions'!1403:1403-"$F;@!.%Z"</f>
        <v>#VALUE!</v>
      </c>
      <c r="HP217" t="e">
        <f>'All regions'!1404:1404-"$F;@!.%["</f>
        <v>#VALUE!</v>
      </c>
      <c r="HQ217" t="e">
        <f>'All regions'!1405:1405-"$F;@!.%\"</f>
        <v>#VALUE!</v>
      </c>
      <c r="HR217" t="e">
        <f>'All regions'!1406:1406-"$F;@!.%]"</f>
        <v>#VALUE!</v>
      </c>
      <c r="HS217" t="e">
        <f>'All regions'!1407:1407-"$F;@!.%^"</f>
        <v>#VALUE!</v>
      </c>
      <c r="HT217" t="e">
        <f>'All regions'!1408:1408-"$F;@!.%_"</f>
        <v>#VALUE!</v>
      </c>
      <c r="HU217" t="e">
        <f>'All regions'!1409:1409-"$F;@!.%`"</f>
        <v>#VALUE!</v>
      </c>
      <c r="HV217" t="e">
        <f>'All regions'!1410:1410-"$F;@!.%a"</f>
        <v>#VALUE!</v>
      </c>
      <c r="HW217" t="e">
        <f>'All regions'!1411:1411-"$F;@!.%b"</f>
        <v>#VALUE!</v>
      </c>
      <c r="HX217" t="e">
        <f>'All regions'!1412:1412-"$F;@!.%c"</f>
        <v>#VALUE!</v>
      </c>
      <c r="HY217" t="e">
        <f>'All regions'!1413:1413-"$F;@!.%d"</f>
        <v>#VALUE!</v>
      </c>
      <c r="HZ217" t="e">
        <f>'All regions'!1414:1414-"$F;@!.%e"</f>
        <v>#VALUE!</v>
      </c>
      <c r="IA217" t="e">
        <f>'All regions'!1415:1415-"$F;@!.%f"</f>
        <v>#VALUE!</v>
      </c>
      <c r="IB217" t="e">
        <f>'All regions'!1416:1416-"$F;@!.%g"</f>
        <v>#VALUE!</v>
      </c>
      <c r="IC217" t="e">
        <f>'All regions'!1417:1417-"$F;@!.%h"</f>
        <v>#VALUE!</v>
      </c>
      <c r="ID217" t="e">
        <f>'All regions'!1418:1418-"$F;@!.%i"</f>
        <v>#VALUE!</v>
      </c>
      <c r="IE217" t="e">
        <f>'All regions'!1419:1419-"$F;@!.%j"</f>
        <v>#VALUE!</v>
      </c>
      <c r="IF217" t="e">
        <f>'All regions'!1420:1420-"$F;@!.%k"</f>
        <v>#VALUE!</v>
      </c>
      <c r="IG217" t="e">
        <f>'All regions'!1421:1421-"$F;@!.%l"</f>
        <v>#VALUE!</v>
      </c>
      <c r="IH217" t="e">
        <f>'All regions'!1422:1422-"$F;@!.%m"</f>
        <v>#VALUE!</v>
      </c>
      <c r="II217" t="e">
        <f>'All regions'!1423:1423-"$F;@!.%n"</f>
        <v>#VALUE!</v>
      </c>
      <c r="IJ217" t="e">
        <f>'All regions'!1424:1424-"$F;@!.%o"</f>
        <v>#VALUE!</v>
      </c>
      <c r="IK217" t="e">
        <f>'All regions'!1425:1425-"$F;@!.%p"</f>
        <v>#VALUE!</v>
      </c>
      <c r="IL217" t="e">
        <f>'All regions'!1426:1426-"$F;@!.%q"</f>
        <v>#VALUE!</v>
      </c>
      <c r="IM217" t="e">
        <f>'All regions'!1427:1427-"$F;@!.%r"</f>
        <v>#VALUE!</v>
      </c>
      <c r="IN217" t="e">
        <f>'All regions'!1428:1428-"$F;@!.%s"</f>
        <v>#VALUE!</v>
      </c>
      <c r="IO217" t="e">
        <f>'All regions'!1429:1429-"$F;@!.%t"</f>
        <v>#VALUE!</v>
      </c>
      <c r="IP217" t="e">
        <f>'All regions'!1430:1430-"$F;@!.%u"</f>
        <v>#VALUE!</v>
      </c>
      <c r="IQ217" t="e">
        <f>'All regions'!1431:1431-"$F;@!.%v"</f>
        <v>#VALUE!</v>
      </c>
      <c r="IR217" t="e">
        <f>'All regions'!1432:1432-"$F;@!.%w"</f>
        <v>#VALUE!</v>
      </c>
      <c r="IS217" t="e">
        <f>'All regions'!1433:1433-"$F;@!.%x"</f>
        <v>#VALUE!</v>
      </c>
      <c r="IT217" t="e">
        <f>'All regions'!1434:1434-"$F;@!.%y"</f>
        <v>#VALUE!</v>
      </c>
      <c r="IU217" t="e">
        <f>'All regions'!1435:1435-"$F;@!.%z"</f>
        <v>#VALUE!</v>
      </c>
      <c r="IV217" t="e">
        <f>'All regions'!1436:1436-"$F;@!.%{"</f>
        <v>#VALUE!</v>
      </c>
    </row>
    <row r="218" spans="6:256" x14ac:dyDescent="0.35">
      <c r="F218" t="e">
        <f>'All regions'!1437:1437-"$F;@!.%|"</f>
        <v>#VALUE!</v>
      </c>
      <c r="G218" t="e">
        <f>'All regions'!1438:1438-"$F;@!.%}"</f>
        <v>#VALUE!</v>
      </c>
      <c r="H218" t="e">
        <f>'All regions'!1439:1439-"$F;@!.%~"</f>
        <v>#VALUE!</v>
      </c>
      <c r="I218" t="e">
        <f>'All regions'!1440:1440-"$F;@!.&amp;#"</f>
        <v>#VALUE!</v>
      </c>
      <c r="J218" t="e">
        <f>'All regions'!1441:1441-"$F;@!.&amp;$"</f>
        <v>#VALUE!</v>
      </c>
      <c r="K218" t="e">
        <f>'All regions'!1442:1442-"$F;@!.&amp;%"</f>
        <v>#VALUE!</v>
      </c>
      <c r="L218" t="e">
        <f>'All regions'!1443:1443-"$F;@!.&amp;&amp;"</f>
        <v>#VALUE!</v>
      </c>
      <c r="M218" t="e">
        <f>'All regions'!1444:1444-"$F;@!.&amp;'"</f>
        <v>#VALUE!</v>
      </c>
      <c r="N218" t="e">
        <f>'All regions'!1445:1445-"$F;@!.&amp;("</f>
        <v>#VALUE!</v>
      </c>
      <c r="O218" t="e">
        <f>'All regions'!1446:1446-"$F;@!.&amp;)"</f>
        <v>#VALUE!</v>
      </c>
      <c r="P218" t="e">
        <f>'All regions'!1447:1447-"$F;@!.&amp;."</f>
        <v>#VALUE!</v>
      </c>
      <c r="Q218" t="e">
        <f>'All regions'!1448:1448-"$F;@!.&amp;/"</f>
        <v>#VALUE!</v>
      </c>
      <c r="R218" t="e">
        <f>'All regions'!1449:1449-"$F;@!.&amp;0"</f>
        <v>#VALUE!</v>
      </c>
      <c r="S218" t="e">
        <f>'All regions'!1450:1450-"$F;@!.&amp;1"</f>
        <v>#VALUE!</v>
      </c>
      <c r="T218" t="e">
        <f>'All regions'!1451:1451-"$F;@!.&amp;2"</f>
        <v>#VALUE!</v>
      </c>
      <c r="U218" t="e">
        <f>'All regions'!1452:1452-"$F;@!.&amp;3"</f>
        <v>#VALUE!</v>
      </c>
      <c r="V218" t="e">
        <f>'All regions'!1453:1453-"$F;@!.&amp;4"</f>
        <v>#VALUE!</v>
      </c>
      <c r="W218" t="e">
        <f>'All regions'!1454:1454-"$F;@!.&amp;5"</f>
        <v>#VALUE!</v>
      </c>
      <c r="X218" t="e">
        <f>'All regions'!1455:1455-"$F;@!.&amp;6"</f>
        <v>#VALUE!</v>
      </c>
      <c r="Y218" t="e">
        <f>'All regions'!1456:1456-"$F;@!.&amp;7"</f>
        <v>#VALUE!</v>
      </c>
      <c r="Z218" t="e">
        <f>'All regions'!1457:1457-"$F;@!.&amp;8"</f>
        <v>#VALUE!</v>
      </c>
      <c r="AA218" t="e">
        <f>'All regions'!1458:1458-"$F;@!.&amp;9"</f>
        <v>#VALUE!</v>
      </c>
      <c r="AB218" t="e">
        <f>'All regions'!1459:1459-"$F;@!.&amp;:"</f>
        <v>#VALUE!</v>
      </c>
      <c r="AC218" t="e">
        <f>'All regions'!1460:1460-"$F;@!.&amp;;"</f>
        <v>#VALUE!</v>
      </c>
      <c r="AD218" t="e">
        <f>'All regions'!1461:1461-"$F;@!.&amp;&lt;"</f>
        <v>#VALUE!</v>
      </c>
      <c r="AE218" t="e">
        <f>'All regions'!1462:1462-"$F;@!.&amp;="</f>
        <v>#VALUE!</v>
      </c>
      <c r="AF218" t="e">
        <f>'All regions'!1463:1463-"$F;@!.&amp;&gt;"</f>
        <v>#VALUE!</v>
      </c>
      <c r="AG218" t="e">
        <f>'All regions'!1464:1464-"$F;@!.&amp;?"</f>
        <v>#VALUE!</v>
      </c>
      <c r="AH218" t="e">
        <f>'All regions'!1465:1465-"$F;@!.&amp;@"</f>
        <v>#VALUE!</v>
      </c>
      <c r="AI218" t="e">
        <f>'All regions'!1466:1466-"$F;@!.&amp;A"</f>
        <v>#VALUE!</v>
      </c>
      <c r="AJ218" t="e">
        <f>'All regions'!1467:1467-"$F;@!.&amp;B"</f>
        <v>#VALUE!</v>
      </c>
      <c r="AK218" t="e">
        <f>'All regions'!1468:1468-"$F;@!.&amp;C"</f>
        <v>#VALUE!</v>
      </c>
      <c r="AL218" t="e">
        <f>'All regions'!1469:1469-"$F;@!.&amp;D"</f>
        <v>#VALUE!</v>
      </c>
      <c r="AM218" t="e">
        <f>'All regions'!1471:1471-"$F;@!.&amp;E"</f>
        <v>#VALUE!</v>
      </c>
      <c r="AN218" t="e">
        <f>'All regions'!1473:1473-"$F;@!.&amp;F"</f>
        <v>#VALUE!</v>
      </c>
      <c r="AO218" t="e">
        <f>'All regions'!1474:1474-"$F;@!.&amp;G"</f>
        <v>#VALUE!</v>
      </c>
      <c r="AP218" t="e">
        <f>'All regions'!1475:1475-"$F;@!.&amp;H"</f>
        <v>#VALUE!</v>
      </c>
      <c r="AQ218" t="e">
        <f>'All regions'!1476:1476-"$F;@!.&amp;I"</f>
        <v>#VALUE!</v>
      </c>
      <c r="AR218" t="e">
        <f>'All regions'!1477:1477-"$F;@!.&amp;J"</f>
        <v>#VALUE!</v>
      </c>
      <c r="AS218" t="e">
        <f>'All regions'!1478:1478-"$F;@!.&amp;K"</f>
        <v>#VALUE!</v>
      </c>
      <c r="AT218" t="e">
        <f>'All regions'!1479:1479-"$F;@!.&amp;L"</f>
        <v>#VALUE!</v>
      </c>
      <c r="AU218" t="e">
        <f>'All regions'!1480:1480-"$F;@!.&amp;M"</f>
        <v>#VALUE!</v>
      </c>
      <c r="AV218" t="e">
        <f>'All regions'!1481:1481-"$F;@!.&amp;N"</f>
        <v>#VALUE!</v>
      </c>
      <c r="AW218" t="e">
        <f>'All regions'!1482:1482-"$F;@!.&amp;O"</f>
        <v>#VALUE!</v>
      </c>
      <c r="AX218" t="e">
        <f>'All regions'!1483:1483-"$F;@!.&amp;P"</f>
        <v>#VALUE!</v>
      </c>
      <c r="AY218" t="e">
        <f>'All regions'!1484:1484-"$F;@!.&amp;Q"</f>
        <v>#VALUE!</v>
      </c>
      <c r="AZ218" t="e">
        <f>'All regions'!1485:1485-"$F;@!.&amp;R"</f>
        <v>#VALUE!</v>
      </c>
      <c r="BA218" t="e">
        <f>'All regions'!1486:1486-"$F;@!.&amp;S"</f>
        <v>#VALUE!</v>
      </c>
      <c r="BB218" t="e">
        <f>'All regions'!1487:1487-"$F;@!.&amp;T"</f>
        <v>#VALUE!</v>
      </c>
      <c r="BC218" t="e">
        <f>'All regions'!1488:1488-"$F;@!.&amp;U"</f>
        <v>#VALUE!</v>
      </c>
      <c r="BD218" t="e">
        <f>'All regions'!1489:1489-"$F;@!.&amp;V"</f>
        <v>#VALUE!</v>
      </c>
      <c r="BE218" t="e">
        <f>'All regions'!1490:1490-"$F;@!.&amp;W"</f>
        <v>#VALUE!</v>
      </c>
      <c r="BF218" t="e">
        <f>'All regions'!1491:1491-"$F;@!.&amp;X"</f>
        <v>#VALUE!</v>
      </c>
      <c r="BG218" t="e">
        <f>'All regions'!1492:1492-"$F;@!.&amp;Y"</f>
        <v>#VALUE!</v>
      </c>
      <c r="BH218" t="e">
        <f>'All regions'!1493:1493-"$F;@!.&amp;Z"</f>
        <v>#VALUE!</v>
      </c>
      <c r="BI218" t="e">
        <f>'All regions'!1494:1494-"$F;@!.&amp;["</f>
        <v>#VALUE!</v>
      </c>
      <c r="BJ218" t="e">
        <f>'All regions'!1495:1495-"$F;@!.&amp;\"</f>
        <v>#VALUE!</v>
      </c>
      <c r="BK218" t="e">
        <f>'All regions'!1496:1496-"$F;@!.&amp;]"</f>
        <v>#VALUE!</v>
      </c>
      <c r="BL218" t="e">
        <f>'All regions'!1497:1497-"$F;@!.&amp;^"</f>
        <v>#VALUE!</v>
      </c>
      <c r="BM218" t="e">
        <f>'All regions'!1498:1498-"$F;@!.&amp;_"</f>
        <v>#VALUE!</v>
      </c>
      <c r="BN218" t="e">
        <f>'All regions'!1499:1499-"$F;@!.&amp;`"</f>
        <v>#VALUE!</v>
      </c>
      <c r="BO218" t="e">
        <f>'All regions'!1500:1500-"$F;@!.&amp;a"</f>
        <v>#VALUE!</v>
      </c>
      <c r="BP218" t="e">
        <f>'All regions'!1501:1501-"$F;@!.&amp;b"</f>
        <v>#VALUE!</v>
      </c>
      <c r="BQ218" t="e">
        <f>'All regions'!1502:1502-"$F;@!.&amp;c"</f>
        <v>#VALUE!</v>
      </c>
      <c r="BR218" t="e">
        <f>'All regions'!1503:1503-"$F;@!.&amp;d"</f>
        <v>#VALUE!</v>
      </c>
      <c r="BS218" t="e">
        <f>'All regions'!1504:1504-"$F;@!.&amp;e"</f>
        <v>#VALUE!</v>
      </c>
      <c r="BT218" t="e">
        <f>'All regions'!1505:1505-"$F;@!.&amp;f"</f>
        <v>#VALUE!</v>
      </c>
      <c r="BU218" t="e">
        <f>'All regions'!1506:1506-"$F;@!.&amp;g"</f>
        <v>#VALUE!</v>
      </c>
      <c r="BV218" t="e">
        <f>'All regions'!1507:1507-"$F;@!.&amp;h"</f>
        <v>#VALUE!</v>
      </c>
      <c r="BW218" t="e">
        <f>'All regions'!1508:1508-"$F;@!.&amp;i"</f>
        <v>#VALUE!</v>
      </c>
      <c r="BX218" t="e">
        <f>'All regions'!1509:1509-"$F;@!.&amp;j"</f>
        <v>#VALUE!</v>
      </c>
      <c r="BY218" t="e">
        <f>'All regions'!1510:1510-"$F;@!.&amp;k"</f>
        <v>#VALUE!</v>
      </c>
      <c r="BZ218" t="e">
        <f>'All regions'!1511:1511-"$F;@!.&amp;l"</f>
        <v>#VALUE!</v>
      </c>
      <c r="CA218" t="e">
        <f>'All regions'!1512:1512-"$F;@!.&amp;m"</f>
        <v>#VALUE!</v>
      </c>
      <c r="CB218" t="e">
        <f>'All regions'!1513:1513-"$F;@!.&amp;n"</f>
        <v>#VALUE!</v>
      </c>
      <c r="CC218" t="e">
        <f>'All regions'!1514:1514-"$F;@!.&amp;o"</f>
        <v>#VALUE!</v>
      </c>
      <c r="CD218" t="e">
        <f>'All regions'!1515:1515-"$F;@!.&amp;p"</f>
        <v>#VALUE!</v>
      </c>
      <c r="CE218" t="e">
        <f>'All regions'!1516:1516-"$F;@!.&amp;q"</f>
        <v>#VALUE!</v>
      </c>
      <c r="CF218" t="e">
        <f>'All regions'!1517:1517-"$F;@!.&amp;r"</f>
        <v>#VALUE!</v>
      </c>
      <c r="CG218" t="e">
        <f>'All regions'!1518:1518-"$F;@!.&amp;s"</f>
        <v>#VALUE!</v>
      </c>
      <c r="CH218" t="e">
        <f>'All regions'!1519:1519-"$F;@!.&amp;t"</f>
        <v>#VALUE!</v>
      </c>
      <c r="CI218" t="e">
        <f>'All regions'!1520:1520-"$F;@!.&amp;u"</f>
        <v>#VALUE!</v>
      </c>
      <c r="CJ218" t="e">
        <f>'All regions'!1521:1521-"$F;@!.&amp;v"</f>
        <v>#VALUE!</v>
      </c>
      <c r="CK218" t="e">
        <f>'All regions'!1522:1522-"$F;@!.&amp;w"</f>
        <v>#VALUE!</v>
      </c>
      <c r="CL218" t="e">
        <f>'All regions'!1523:1523-"$F;@!.&amp;x"</f>
        <v>#VALUE!</v>
      </c>
      <c r="CM218" t="e">
        <f>'All regions'!1524:1524-"$F;@!.&amp;y"</f>
        <v>#VALUE!</v>
      </c>
      <c r="CN218" t="e">
        <f>'All regions'!1525:1525-"$F;@!.&amp;z"</f>
        <v>#VALUE!</v>
      </c>
      <c r="CO218" t="e">
        <f>'All regions'!1526:1526-"$F;@!.&amp;{"</f>
        <v>#VALUE!</v>
      </c>
      <c r="CP218" t="e">
        <f>'All regions'!1527:1527-"$F;@!.&amp;|"</f>
        <v>#VALUE!</v>
      </c>
      <c r="CQ218" t="e">
        <f>'All regions'!1528:1528-"$F;@!.&amp;}"</f>
        <v>#VALUE!</v>
      </c>
      <c r="CR218" t="e">
        <f>'All regions'!1529:1529-"$F;@!.&amp;~"</f>
        <v>#VALUE!</v>
      </c>
      <c r="CS218" t="e">
        <f>'All regions'!1530:1530-"$F;@!.'#"</f>
        <v>#VALUE!</v>
      </c>
      <c r="CT218" t="e">
        <f>'All regions'!1531:1531-"$F;@!.'$"</f>
        <v>#VALUE!</v>
      </c>
      <c r="CU218" t="e">
        <f>'All regions'!1532:1532-"$F;@!.'%"</f>
        <v>#VALUE!</v>
      </c>
      <c r="CV218" t="e">
        <f>'All regions'!1533:1533-"$F;@!.'&amp;"</f>
        <v>#VALUE!</v>
      </c>
      <c r="CW218" t="e">
        <f>'All regions'!1534:1534-"$F;@!.''"</f>
        <v>#VALUE!</v>
      </c>
      <c r="CX218" t="e">
        <f>'All regions'!1535:1535-"$F;@!.'("</f>
        <v>#VALUE!</v>
      </c>
      <c r="CY218" t="e">
        <f>'All regions'!1536:1536-"$F;@!.')"</f>
        <v>#VALUE!</v>
      </c>
      <c r="CZ218" t="e">
        <f>'All regions'!1537:1537-"$F;@!.'."</f>
        <v>#VALUE!</v>
      </c>
      <c r="DA218" t="e">
        <f>'All regions'!1538:1538-"$F;@!.'/"</f>
        <v>#VALUE!</v>
      </c>
      <c r="DB218" t="e">
        <f>'All regions'!1539:1539-"$F;@!.'0"</f>
        <v>#VALUE!</v>
      </c>
      <c r="DC218" t="e">
        <f>'All regions'!1540:1540-"$F;@!.'1"</f>
        <v>#VALUE!</v>
      </c>
      <c r="DD218" t="e">
        <f>'All regions'!1541:1541-"$F;@!.'2"</f>
        <v>#VALUE!</v>
      </c>
      <c r="DE218" t="e">
        <f>'All regions'!1542:1542-"$F;@!.'3"</f>
        <v>#VALUE!</v>
      </c>
      <c r="DF218" t="e">
        <f>'All regions'!1543:1543-"$F;@!.'4"</f>
        <v>#VALUE!</v>
      </c>
      <c r="DG218" t="e">
        <f>'All regions'!1544:1544-"$F;@!.'5"</f>
        <v>#VALUE!</v>
      </c>
      <c r="DH218" t="e">
        <f>'All regions'!1545:1545-"$F;@!.'6"</f>
        <v>#VALUE!</v>
      </c>
      <c r="DI218" t="e">
        <f>'All regions'!1546:1546-"$F;@!.'7"</f>
        <v>#VALUE!</v>
      </c>
      <c r="DJ218" t="e">
        <f>'All regions'!1547:1547-"$F;@!.'8"</f>
        <v>#VALUE!</v>
      </c>
      <c r="DK218" t="e">
        <f>'All regions'!1548:1548-"$F;@!.'9"</f>
        <v>#VALUE!</v>
      </c>
      <c r="DL218" t="e">
        <f>'All regions'!1549:1549-"$F;@!.':"</f>
        <v>#VALUE!</v>
      </c>
      <c r="DM218" t="e">
        <f>'All regions'!1550:1550-"$F;@!.';"</f>
        <v>#VALUE!</v>
      </c>
      <c r="DN218" t="e">
        <f>'All regions'!1551:1551-"$F;@!.'&lt;"</f>
        <v>#VALUE!</v>
      </c>
      <c r="DO218" t="e">
        <f>'All regions'!1552:1552-"$F;@!.'="</f>
        <v>#VALUE!</v>
      </c>
      <c r="DP218" t="e">
        <f>'All regions'!1553:1553-"$F;@!.'&gt;"</f>
        <v>#VALUE!</v>
      </c>
      <c r="DQ218" t="e">
        <f>'All regions'!1554:1554-"$F;@!.'?"</f>
        <v>#VALUE!</v>
      </c>
      <c r="DR218" t="e">
        <f>'All regions'!1555:1555-"$F;@!.'@"</f>
        <v>#VALUE!</v>
      </c>
      <c r="DS218" t="e">
        <f>'All regions'!1556:1556-"$F;@!.'A"</f>
        <v>#VALUE!</v>
      </c>
      <c r="DT218" t="e">
        <f>'All regions'!1557:1557-"$F;@!.'B"</f>
        <v>#VALUE!</v>
      </c>
      <c r="DU218" t="e">
        <f>'All regions'!1558:1558-"$F;@!.'C"</f>
        <v>#VALUE!</v>
      </c>
      <c r="DV218" t="e">
        <f>'All regions'!1559:1559-"$F;@!.'D"</f>
        <v>#VALUE!</v>
      </c>
      <c r="DW218" t="e">
        <f>'All regions'!1560:1560-"$F;@!.'E"</f>
        <v>#VALUE!</v>
      </c>
      <c r="DX218" t="e">
        <f>'All regions'!1561:1561-"$F;@!.'F"</f>
        <v>#VALUE!</v>
      </c>
      <c r="DY218" t="e">
        <f>'All regions'!1562:1562-"$F;@!.'G"</f>
        <v>#VALUE!</v>
      </c>
      <c r="DZ218" t="e">
        <f>'All regions'!1563:1563-"$F;@!.'H"</f>
        <v>#VALUE!</v>
      </c>
      <c r="EA218" t="e">
        <f>'All regions'!1564:1564-"$F;@!.'I"</f>
        <v>#VALUE!</v>
      </c>
      <c r="EB218" t="e">
        <f>'All regions'!1565:1565-"$F;@!.'J"</f>
        <v>#VALUE!</v>
      </c>
      <c r="EC218" t="e">
        <f>'All regions'!1566:1566-"$F;@!.'K"</f>
        <v>#VALUE!</v>
      </c>
      <c r="ED218" t="e">
        <f>'All regions'!1567:1567-"$F;@!.'L"</f>
        <v>#VALUE!</v>
      </c>
      <c r="EE218" t="e">
        <f>'All regions'!1568:1568-"$F;@!.'M"</f>
        <v>#VALUE!</v>
      </c>
      <c r="EF218" t="e">
        <f>'All regions'!1569:1569-"$F;@!.'N"</f>
        <v>#VALUE!</v>
      </c>
      <c r="EG218" t="e">
        <f>'All regions'!1570:1570-"$F;@!.'O"</f>
        <v>#VALUE!</v>
      </c>
      <c r="EH218" t="e">
        <f>'All regions'!1571:1571-"$F;@!.'P"</f>
        <v>#VALUE!</v>
      </c>
      <c r="EI218" t="e">
        <f>'All regions'!1572:1572-"$F;@!.'Q"</f>
        <v>#VALUE!</v>
      </c>
      <c r="EJ218" t="e">
        <f>'All regions'!1573:1573-"$F;@!.'R"</f>
        <v>#VALUE!</v>
      </c>
      <c r="EK218" t="e">
        <f>'All regions'!1574:1574-"$F;@!.'S"</f>
        <v>#VALUE!</v>
      </c>
      <c r="EL218" t="e">
        <f>'All regions'!1575:1575-"$F;@!.'T"</f>
        <v>#VALUE!</v>
      </c>
      <c r="EM218" t="e">
        <f>'All regions'!1576:1576-"$F;@!.'U"</f>
        <v>#VALUE!</v>
      </c>
      <c r="EN218" t="e">
        <f>'All regions'!1577:1577-"$F;@!.'V"</f>
        <v>#VALUE!</v>
      </c>
      <c r="EO218" t="e">
        <f>'All regions'!1578:1578-"$F;@!.'W"</f>
        <v>#VALUE!</v>
      </c>
      <c r="EP218" t="e">
        <f>'All regions'!1579:1579-"$F;@!.'X"</f>
        <v>#VALUE!</v>
      </c>
      <c r="EQ218" t="e">
        <f>'All regions'!1580:1580-"$F;@!.'Y"</f>
        <v>#VALUE!</v>
      </c>
      <c r="ER218" t="e">
        <f>'All regions'!1581:1581-"$F;@!.'Z"</f>
        <v>#VALUE!</v>
      </c>
      <c r="ES218" t="e">
        <f>'All regions'!1582:1582-"$F;@!.'["</f>
        <v>#VALUE!</v>
      </c>
      <c r="ET218" t="e">
        <f>'All regions'!1583:1583-"$F;@!.'\"</f>
        <v>#VALUE!</v>
      </c>
      <c r="EU218" t="e">
        <f>'All regions'!1584:1584-"$F;@!.']"</f>
        <v>#VALUE!</v>
      </c>
      <c r="EV218" t="e">
        <f>'All regions'!1585:1585-"$F;@!.'^"</f>
        <v>#VALUE!</v>
      </c>
      <c r="EW218" t="e">
        <f>'All regions'!1586:1586-"$F;@!.'_"</f>
        <v>#VALUE!</v>
      </c>
      <c r="EX218" t="e">
        <f>'All regions'!1587:1587-"$F;@!.'`"</f>
        <v>#VALUE!</v>
      </c>
      <c r="EY218" t="e">
        <f>'All regions'!1588:1588-"$F;@!.'a"</f>
        <v>#VALUE!</v>
      </c>
      <c r="EZ218" t="e">
        <f>'All regions'!1589:1589-"$F;@!.'b"</f>
        <v>#VALUE!</v>
      </c>
      <c r="FA218" t="e">
        <f>'All regions'!1590:1590-"$F;@!.'c"</f>
        <v>#VALUE!</v>
      </c>
      <c r="FB218" t="e">
        <f>'All regions'!1591:1591-"$F;@!.'d"</f>
        <v>#VALUE!</v>
      </c>
      <c r="FC218" t="e">
        <f>'All regions'!1592:1592-"$F;@!.'e"</f>
        <v>#VALUE!</v>
      </c>
      <c r="FD218" t="e">
        <f>'All regions'!1593:1593-"$F;@!.'f"</f>
        <v>#VALUE!</v>
      </c>
      <c r="FE218" t="e">
        <f>'All regions'!1594:1594-"$F;@!.'g"</f>
        <v>#VALUE!</v>
      </c>
      <c r="FF218" t="e">
        <f>'All regions'!1595:1595-"$F;@!.'h"</f>
        <v>#VALUE!</v>
      </c>
      <c r="FG218" t="e">
        <f>'All regions'!1596:1596-"$F;@!.'i"</f>
        <v>#VALUE!</v>
      </c>
      <c r="FH218" t="e">
        <f>'All regions'!1597:1597-"$F;@!.'j"</f>
        <v>#VALUE!</v>
      </c>
      <c r="FI218" t="e">
        <f>'All regions'!1598:1598-"$F;@!.'k"</f>
        <v>#VALUE!</v>
      </c>
      <c r="FJ218" t="e">
        <f>'All regions'!1599:1599-"$F;@!.'l"</f>
        <v>#VALUE!</v>
      </c>
      <c r="FK218" t="e">
        <f>'All regions'!1600:1600-"$F;@!.'m"</f>
        <v>#VALUE!</v>
      </c>
      <c r="FL218" t="e">
        <f>'All regions'!1601:1601-"$F;@!.'n"</f>
        <v>#VALUE!</v>
      </c>
      <c r="FM218" t="e">
        <f>'All regions'!1602:1602-"$F;@!.'o"</f>
        <v>#VALUE!</v>
      </c>
      <c r="FN218" t="e">
        <f>'All regions'!1603:1603-"$F;@!.'p"</f>
        <v>#VALUE!</v>
      </c>
      <c r="FO218" t="e">
        <f>'All regions'!1604:1604-"$F;@!.'q"</f>
        <v>#VALUE!</v>
      </c>
      <c r="FP218" t="e">
        <f>'All regions'!1605:1605-"$F;@!.'r"</f>
        <v>#VALUE!</v>
      </c>
      <c r="FQ218" t="e">
        <f>'All regions'!1606:1606-"$F;@!.'s"</f>
        <v>#VALUE!</v>
      </c>
      <c r="FR218" t="e">
        <f>'All regions'!1607:1607-"$F;@!.'t"</f>
        <v>#VALUE!</v>
      </c>
      <c r="FS218" t="e">
        <f>'All regions'!1608:1608-"$F;@!.'u"</f>
        <v>#VALUE!</v>
      </c>
      <c r="FT218" t="e">
        <f>'All regions'!1609:1609-"$F;@!.'v"</f>
        <v>#VALUE!</v>
      </c>
      <c r="FU218" t="e">
        <f>'All regions'!1610:1610-"$F;@!.'w"</f>
        <v>#VALUE!</v>
      </c>
      <c r="FV218" t="e">
        <f>'All regions'!1611:1611-"$F;@!.'x"</f>
        <v>#VALUE!</v>
      </c>
      <c r="FW218" t="e">
        <f>'All regions'!1612:1612-"$F;@!.'y"</f>
        <v>#VALUE!</v>
      </c>
      <c r="FX218" t="e">
        <f>'All regions'!1613:1613-"$F;@!.'z"</f>
        <v>#VALUE!</v>
      </c>
      <c r="FY218" t="e">
        <f>'All regions'!1614:1614-"$F;@!.'{"</f>
        <v>#VALUE!</v>
      </c>
      <c r="FZ218" t="e">
        <f>'All regions'!1615:1615-"$F;@!.'|"</f>
        <v>#VALUE!</v>
      </c>
      <c r="GA218" t="e">
        <f>'All regions'!1616:1616-"$F;@!.'}"</f>
        <v>#VALUE!</v>
      </c>
      <c r="GB218" t="e">
        <f>'All regions'!1617:1617-"$F;@!.'~"</f>
        <v>#VALUE!</v>
      </c>
      <c r="GC218" t="e">
        <f>'All regions'!1618:1618-"$F;@!.(#"</f>
        <v>#VALUE!</v>
      </c>
      <c r="GD218" t="e">
        <f>'All regions'!1619:1619-"$F;@!.($"</f>
        <v>#VALUE!</v>
      </c>
      <c r="GE218" t="e">
        <f>'All regions'!1620:1620-"$F;@!.(%"</f>
        <v>#VALUE!</v>
      </c>
      <c r="GF218" t="e">
        <f>'All regions'!1621:1621-"$F;@!.(&amp;"</f>
        <v>#VALUE!</v>
      </c>
      <c r="GG218" t="e">
        <f>'All regions'!1622:1622-"$F;@!.('"</f>
        <v>#VALUE!</v>
      </c>
      <c r="GH218" t="e">
        <f>'All regions'!1623:1623-"$F;@!.(("</f>
        <v>#VALUE!</v>
      </c>
      <c r="GI218" t="e">
        <f>'All regions'!1624:1624-"$F;@!.()"</f>
        <v>#VALUE!</v>
      </c>
      <c r="GJ218" t="e">
        <f>'All regions'!1625:1625-"$F;@!.(."</f>
        <v>#VALUE!</v>
      </c>
      <c r="GK218" t="e">
        <f>'All regions'!1626:1626-"$F;@!.(/"</f>
        <v>#VALUE!</v>
      </c>
      <c r="GL218" t="e">
        <f>'All regions'!1627:1627-"$F;@!.(0"</f>
        <v>#VALUE!</v>
      </c>
      <c r="GM218" t="e">
        <f>'All regions'!1628:1628-"$F;@!.(1"</f>
        <v>#VALUE!</v>
      </c>
      <c r="GN218" t="e">
        <f>'All regions'!1629:1629-"$F;@!.(2"</f>
        <v>#VALUE!</v>
      </c>
      <c r="GO218" t="e">
        <f>'All regions'!1630:1630-"$F;@!.(3"</f>
        <v>#VALUE!</v>
      </c>
      <c r="GP218" t="e">
        <f>'All regions'!1631:1631-"$F;@!.(4"</f>
        <v>#VALUE!</v>
      </c>
      <c r="GQ218" t="e">
        <f>'All regions'!1632:1632-"$F;@!.(5"</f>
        <v>#VALUE!</v>
      </c>
      <c r="GR218" t="e">
        <f>'All regions'!1633:1633-"$F;@!.(6"</f>
        <v>#VALUE!</v>
      </c>
      <c r="GS218" t="e">
        <f>'All regions'!1634:1634-"$F;@!.(7"</f>
        <v>#VALUE!</v>
      </c>
      <c r="GT218" t="e">
        <f>'All regions'!1635:1635-"$F;@!.(8"</f>
        <v>#VALUE!</v>
      </c>
      <c r="GU218" t="e">
        <f>'All regions'!1636:1636-"$F;@!.(9"</f>
        <v>#VALUE!</v>
      </c>
      <c r="GV218" t="e">
        <f>'All regions'!1637:1637-"$F;@!.(:"</f>
        <v>#VALUE!</v>
      </c>
      <c r="GW218" t="e">
        <f>'All regions'!1638:1638-"$F;@!.(;"</f>
        <v>#VALUE!</v>
      </c>
      <c r="GX218" t="e">
        <f>'All regions'!1639:1639-"$F;@!.(&lt;"</f>
        <v>#VALUE!</v>
      </c>
      <c r="GY218" t="e">
        <f>'All regions'!1640:1640-"$F;@!.(="</f>
        <v>#VALUE!</v>
      </c>
      <c r="GZ218" t="e">
        <f>'All regions'!1641:1641-"$F;@!.(&gt;"</f>
        <v>#VALUE!</v>
      </c>
      <c r="HA218" t="e">
        <f>'All regions'!1642:1642-"$F;@!.(?"</f>
        <v>#VALUE!</v>
      </c>
      <c r="HB218" t="e">
        <f>'All regions'!1643:1643-"$F;@!.(@"</f>
        <v>#VALUE!</v>
      </c>
      <c r="HC218" t="e">
        <f>'All regions'!1644:1644-"$F;@!.(A"</f>
        <v>#VALUE!</v>
      </c>
      <c r="HD218" t="e">
        <f>'All regions'!1645:1645-"$F;@!.(B"</f>
        <v>#VALUE!</v>
      </c>
      <c r="HE218" t="e">
        <f>'All regions'!1646:1646-"$F;@!.(C"</f>
        <v>#VALUE!</v>
      </c>
      <c r="HF218" t="e">
        <f>'All regions'!1647:1647-"$F;@!.(D"</f>
        <v>#VALUE!</v>
      </c>
      <c r="HG218" t="e">
        <f>'All regions'!1648:1648-"$F;@!.(E"</f>
        <v>#VALUE!</v>
      </c>
      <c r="HH218" t="e">
        <f>'All regions'!1649:1649-"$F;@!.(F"</f>
        <v>#VALUE!</v>
      </c>
      <c r="HI218" t="e">
        <f>'All regions'!1650:1650-"$F;@!.(G"</f>
        <v>#VALUE!</v>
      </c>
      <c r="HJ218" t="e">
        <f>'All regions'!1651:1651-"$F;@!.(H"</f>
        <v>#VALUE!</v>
      </c>
      <c r="HK218" t="e">
        <f>'All regions'!1652:1652-"$F;@!.(I"</f>
        <v>#VALUE!</v>
      </c>
      <c r="HL218" t="e">
        <f>'All regions'!1653:1653-"$F;@!.(J"</f>
        <v>#VALUE!</v>
      </c>
      <c r="HM218" t="e">
        <f>'All regions'!1654:1654-"$F;@!.(K"</f>
        <v>#VALUE!</v>
      </c>
      <c r="HN218" t="e">
        <f>'All regions'!1655:1655-"$F;@!.(L"</f>
        <v>#VALUE!</v>
      </c>
      <c r="HO218" t="e">
        <f>'All regions'!1656:1656-"$F;@!.(M"</f>
        <v>#VALUE!</v>
      </c>
      <c r="HP218" t="e">
        <f>'All regions'!1657:1657-"$F;@!.(N"</f>
        <v>#VALUE!</v>
      </c>
      <c r="HQ218" t="e">
        <f>'All regions'!1658:1658-"$F;@!.(O"</f>
        <v>#VALUE!</v>
      </c>
      <c r="HR218" t="e">
        <f>'All regions'!1659:1659-"$F;@!.(P"</f>
        <v>#VALUE!</v>
      </c>
      <c r="HS218" t="e">
        <f>'All regions'!1660:1660-"$F;@!.(Q"</f>
        <v>#VALUE!</v>
      </c>
      <c r="HT218" t="e">
        <f>'All regions'!1661:1661-"$F;@!.(R"</f>
        <v>#VALUE!</v>
      </c>
      <c r="HU218" t="e">
        <f>'All regions'!1662:1662-"$F;@!.(S"</f>
        <v>#VALUE!</v>
      </c>
      <c r="HV218" t="e">
        <f>'All regions'!1663:1663-"$F;@!.(T"</f>
        <v>#VALUE!</v>
      </c>
      <c r="HW218" t="e">
        <f>'All regions'!1664:1664-"$F;@!.(U"</f>
        <v>#VALUE!</v>
      </c>
      <c r="HX218" t="e">
        <f>'All regions'!1665:1665-"$F;@!.(V"</f>
        <v>#VALUE!</v>
      </c>
      <c r="HY218" t="e">
        <f>'All regions'!1666:1666-"$F;@!.(W"</f>
        <v>#VALUE!</v>
      </c>
      <c r="HZ218" t="e">
        <f>'All regions'!1667:1667-"$F;@!.(X"</f>
        <v>#VALUE!</v>
      </c>
      <c r="IA218" t="e">
        <f>'All regions'!1668:1668-"$F;@!.(Y"</f>
        <v>#VALUE!</v>
      </c>
      <c r="IB218" t="e">
        <f>'All regions'!1669:1669-"$F;@!.(Z"</f>
        <v>#VALUE!</v>
      </c>
      <c r="IC218" t="e">
        <f>'All regions'!1670:1670-"$F;@!.(["</f>
        <v>#VALUE!</v>
      </c>
      <c r="ID218" t="e">
        <f>'All regions'!1671:1671-"$F;@!.(\"</f>
        <v>#VALUE!</v>
      </c>
      <c r="IE218" t="e">
        <f>'All regions'!1672:1672-"$F;@!.(]"</f>
        <v>#VALUE!</v>
      </c>
      <c r="IF218" t="e">
        <f>'All regions'!1673:1673-"$F;@!.(^"</f>
        <v>#VALUE!</v>
      </c>
      <c r="IG218" t="e">
        <f>'All regions'!1674:1674-"$F;@!.(_"</f>
        <v>#VALUE!</v>
      </c>
      <c r="IH218" t="e">
        <f>'All regions'!1675:1675-"$F;@!.(`"</f>
        <v>#VALUE!</v>
      </c>
      <c r="II218" t="e">
        <f>'All regions'!1676:1676-"$F;@!.(a"</f>
        <v>#VALUE!</v>
      </c>
      <c r="IJ218" t="e">
        <f>'All regions'!1677:1677-"$F;@!.(b"</f>
        <v>#VALUE!</v>
      </c>
      <c r="IK218" t="e">
        <f>'All regions'!1678:1678-"$F;@!.(c"</f>
        <v>#VALUE!</v>
      </c>
      <c r="IL218" t="e">
        <f>'All regions'!1679:1679-"$F;@!.(d"</f>
        <v>#VALUE!</v>
      </c>
      <c r="IM218" t="e">
        <f>'All regions'!1680:1680-"$F;@!.(e"</f>
        <v>#VALUE!</v>
      </c>
      <c r="IN218" t="e">
        <f>'All regions'!1681:1681-"$F;@!.(f"</f>
        <v>#VALUE!</v>
      </c>
      <c r="IO218" t="e">
        <f>'All regions'!1682:1682-"$F;@!.(g"</f>
        <v>#VALUE!</v>
      </c>
      <c r="IP218" t="e">
        <f>'All regions'!1683:1683-"$F;@!.(h"</f>
        <v>#VALUE!</v>
      </c>
      <c r="IQ218" t="e">
        <f>'All regions'!1684:1684-"$F;@!.(i"</f>
        <v>#VALUE!</v>
      </c>
      <c r="IR218" t="e">
        <f>'All regions'!1685:1685-"$F;@!.(j"</f>
        <v>#VALUE!</v>
      </c>
      <c r="IS218" t="e">
        <f>'All regions'!1686:1686-"$F;@!.(k"</f>
        <v>#VALUE!</v>
      </c>
      <c r="IT218" t="e">
        <f>'All regions'!1687:1687-"$F;@!.(l"</f>
        <v>#VALUE!</v>
      </c>
      <c r="IU218" t="e">
        <f>'All regions'!1688:1688-"$F;@!.(m"</f>
        <v>#VALUE!</v>
      </c>
      <c r="IV218" t="e">
        <f>'All regions'!1689:1689-"$F;@!.(n"</f>
        <v>#VALUE!</v>
      </c>
    </row>
    <row r="219" spans="6:256" x14ac:dyDescent="0.35">
      <c r="F219" t="e">
        <f>'All regions'!1690:1690-"$F;@!.(o"</f>
        <v>#VALUE!</v>
      </c>
      <c r="G219" t="e">
        <f>'All regions'!1691:1691-"$F;@!.(p"</f>
        <v>#VALUE!</v>
      </c>
      <c r="H219" t="e">
        <f>'All regions'!1692:1692-"$F;@!.(q"</f>
        <v>#VALUE!</v>
      </c>
      <c r="I219" t="e">
        <f>'All regions'!1693:1693-"$F;@!.(r"</f>
        <v>#VALUE!</v>
      </c>
      <c r="J219" t="e">
        <f>'All regions'!1694:1694-"$F;@!.(s"</f>
        <v>#VALUE!</v>
      </c>
      <c r="K219" t="e">
        <f>'All regions'!1695:1695-"$F;@!.(t"</f>
        <v>#VALUE!</v>
      </c>
      <c r="L219" t="e">
        <f>'All regions'!1696:1696-"$F;@!.(u"</f>
        <v>#VALUE!</v>
      </c>
      <c r="M219" t="e">
        <f>'All regions'!1697:1697-"$F;@!.(v"</f>
        <v>#VALUE!</v>
      </c>
      <c r="N219" t="e">
        <f>'All regions'!1698:1698-"$F;@!.(w"</f>
        <v>#VALUE!</v>
      </c>
      <c r="O219" t="e">
        <f>'All regions'!1699:1699-"$F;@!.(x"</f>
        <v>#VALUE!</v>
      </c>
      <c r="P219" t="e">
        <f>'All regions'!1700:1700-"$F;@!.(y"</f>
        <v>#VALUE!</v>
      </c>
      <c r="Q219" t="e">
        <f>'All regions'!1701:1701-"$F;@!.(z"</f>
        <v>#VALUE!</v>
      </c>
      <c r="R219" t="e">
        <f>'All regions'!1702:1702-"$F;@!.({"</f>
        <v>#VALUE!</v>
      </c>
      <c r="S219" t="e">
        <f>'All regions'!1703:1703-"$F;@!.(|"</f>
        <v>#VALUE!</v>
      </c>
      <c r="T219" t="e">
        <f>'All regions'!1704:1704-"$F;@!.(}"</f>
        <v>#VALUE!</v>
      </c>
      <c r="U219" t="e">
        <f>'All regions'!1705:1705-"$F;@!.(~"</f>
        <v>#VALUE!</v>
      </c>
      <c r="V219" t="e">
        <f>'All regions'!1706:1706-"$F;@!.)#"</f>
        <v>#VALUE!</v>
      </c>
      <c r="W219" t="e">
        <f>'All regions'!1707:1707-"$F;@!.)$"</f>
        <v>#VALUE!</v>
      </c>
      <c r="X219" t="e">
        <f>'All regions'!1708:1708-"$F;@!.)%"</f>
        <v>#VALUE!</v>
      </c>
      <c r="Y219" t="e">
        <f>'All regions'!1709:1709-"$F;@!.)&amp;"</f>
        <v>#VALUE!</v>
      </c>
      <c r="Z219" t="e">
        <f>'All regions'!1710:1710-"$F;@!.)'"</f>
        <v>#VALUE!</v>
      </c>
      <c r="AA219" t="e">
        <f>'All regions'!1711:1711-"$F;@!.)("</f>
        <v>#VALUE!</v>
      </c>
      <c r="AB219" t="e">
        <f>'All regions'!1712:1712-"$F;@!.))"</f>
        <v>#VALUE!</v>
      </c>
      <c r="AC219" t="e">
        <f>'All regions'!1713:1713-"$F;@!.)."</f>
        <v>#VALUE!</v>
      </c>
      <c r="AD219" t="e">
        <f>'All regions'!1714:1714-"$F;@!.)/"</f>
        <v>#VALUE!</v>
      </c>
      <c r="AE219" t="e">
        <f>'All regions'!1715:1715-"$F;@!.)0"</f>
        <v>#VALUE!</v>
      </c>
      <c r="AF219" t="e">
        <f>'All regions'!1716:1716-"$F;@!.)1"</f>
        <v>#VALUE!</v>
      </c>
      <c r="AG219" t="e">
        <f>'All regions'!1717:1717-"$F;@!.)2"</f>
        <v>#VALUE!</v>
      </c>
      <c r="AH219" t="e">
        <f>'All regions'!1718:1718-"$F;@!.)3"</f>
        <v>#VALUE!</v>
      </c>
      <c r="AI219" t="e">
        <f>'All regions'!1719:1719-"$F;@!.)4"</f>
        <v>#VALUE!</v>
      </c>
      <c r="AJ219" t="e">
        <f>'All regions'!1720:1720-"$F;@!.)5"</f>
        <v>#VALUE!</v>
      </c>
      <c r="AK219" t="e">
        <f>'All regions'!1721:1721-"$F;@!.)6"</f>
        <v>#VALUE!</v>
      </c>
      <c r="AL219" t="e">
        <f>'All regions'!1722:1722-"$F;@!.)7"</f>
        <v>#VALUE!</v>
      </c>
      <c r="AM219" t="e">
        <f>'All regions'!1723:1723-"$F;@!.)8"</f>
        <v>#VALUE!</v>
      </c>
      <c r="AN219" t="e">
        <f>'All regions'!1724:1724-"$F;@!.)9"</f>
        <v>#VALUE!</v>
      </c>
      <c r="AO219" t="e">
        <f>'All regions'!1725:1725-"$F;@!.):"</f>
        <v>#VALUE!</v>
      </c>
      <c r="AP219" t="e">
        <f>'All regions'!1726:1726-"$F;@!.);"</f>
        <v>#VALUE!</v>
      </c>
      <c r="AQ219" t="e">
        <f>'All regions'!1727:1727-"$F;@!.)&lt;"</f>
        <v>#VALUE!</v>
      </c>
      <c r="AR219" t="e">
        <f>'All regions'!1728:1728-"$F;@!.)="</f>
        <v>#VALUE!</v>
      </c>
      <c r="AS219" t="e">
        <f>'All regions'!1729:1729-"$F;@!.)&gt;"</f>
        <v>#VALUE!</v>
      </c>
      <c r="AT219" t="e">
        <f>'All regions'!1730:1730-"$F;@!.)?"</f>
        <v>#VALUE!</v>
      </c>
      <c r="AU219" t="e">
        <f>'All regions'!1731:1731-"$F;@!.)@"</f>
        <v>#VALUE!</v>
      </c>
      <c r="AV219" t="e">
        <f>'All regions'!1732:1732-"$F;@!.)A"</f>
        <v>#VALUE!</v>
      </c>
      <c r="AW219" t="e">
        <f>'All regions'!1733:1733-"$F;@!.)B"</f>
        <v>#VALUE!</v>
      </c>
      <c r="AX219" t="e">
        <f>'All regions'!1734:1734-"$F;@!.)C"</f>
        <v>#VALUE!</v>
      </c>
      <c r="AY219" t="e">
        <f>'All regions'!1735:1735-"$F;@!.)D"</f>
        <v>#VALUE!</v>
      </c>
      <c r="AZ219" t="e">
        <f>'All regions'!1736:1736-"$F;@!.)E"</f>
        <v>#VALUE!</v>
      </c>
      <c r="BA219" t="e">
        <f>'All regions'!1737:1737-"$F;@!.)F"</f>
        <v>#VALUE!</v>
      </c>
      <c r="BB219" t="e">
        <f>'All regions'!1738:1738-"$F;@!.)G"</f>
        <v>#VALUE!</v>
      </c>
      <c r="BC219" t="e">
        <f>'All regions'!1739:1739-"$F;@!.)H"</f>
        <v>#VALUE!</v>
      </c>
      <c r="BD219" t="e">
        <f>'All regions'!1740:1740-"$F;@!.)I"</f>
        <v>#VALUE!</v>
      </c>
      <c r="BE219" t="e">
        <f>'All regions'!1741:1741-"$F;@!.)J"</f>
        <v>#VALUE!</v>
      </c>
      <c r="BF219" t="e">
        <f>'All regions'!1742:1742-"$F;@!.)K"</f>
        <v>#VALUE!</v>
      </c>
      <c r="BG219" t="e">
        <f>'All regions'!1743:1743-"$F;@!.)L"</f>
        <v>#VALUE!</v>
      </c>
      <c r="BH219" t="e">
        <f>'All regions'!1744:1744-"$F;@!.)M"</f>
        <v>#VALUE!</v>
      </c>
      <c r="BI219" t="e">
        <f>'All regions'!1745:1745-"$F;@!.)N"</f>
        <v>#VALUE!</v>
      </c>
      <c r="BJ219" t="e">
        <f>'All regions'!1746:1746-"$F;@!.)O"</f>
        <v>#VALUE!</v>
      </c>
      <c r="BK219" t="e">
        <f>'All regions'!1747:1747-"$F;@!.)P"</f>
        <v>#VALUE!</v>
      </c>
      <c r="BL219" t="e">
        <f>'All regions'!1748:1748-"$F;@!.)Q"</f>
        <v>#VALUE!</v>
      </c>
      <c r="BM219" t="e">
        <f>'All regions'!1749:1749-"$F;@!.)R"</f>
        <v>#VALUE!</v>
      </c>
      <c r="BN219" t="e">
        <f>'All regions'!1750:1750-"$F;@!.)S"</f>
        <v>#VALUE!</v>
      </c>
      <c r="BO219" t="e">
        <f>'All regions'!1751:1751-"$F;@!.)T"</f>
        <v>#VALUE!</v>
      </c>
      <c r="BP219" t="e">
        <f>'All regions'!1752:1752-"$F;@!.)U"</f>
        <v>#VALUE!</v>
      </c>
      <c r="BQ219" t="e">
        <f>'All regions'!1753:1753-"$F;@!.)V"</f>
        <v>#VALUE!</v>
      </c>
      <c r="BR219" t="e">
        <f>'All regions'!1755:1755-"$F;@!.)W"</f>
        <v>#VALUE!</v>
      </c>
      <c r="BS219" t="e">
        <f>'All regions'!1756:1756-"$F;@!.)X"</f>
        <v>#VALUE!</v>
      </c>
      <c r="BT219" t="e">
        <f>'All regions'!1757:1757-"$F;@!.)Y"</f>
        <v>#VALUE!</v>
      </c>
      <c r="BU219" t="e">
        <f>'All regions'!1758:1758-"$F;@!.)Z"</f>
        <v>#VALUE!</v>
      </c>
      <c r="BV219" t="e">
        <f>'All regions'!1759:1759-"$F;@!.)["</f>
        <v>#VALUE!</v>
      </c>
      <c r="BW219" t="e">
        <f>'All regions'!1760:1760-"$F;@!.)\"</f>
        <v>#VALUE!</v>
      </c>
      <c r="BX219" t="e">
        <f>'All regions'!1761:1761-"$F;@!.)]"</f>
        <v>#VALUE!</v>
      </c>
      <c r="BY219" t="e">
        <f>'All regions'!1762:1762-"$F;@!.)^"</f>
        <v>#VALUE!</v>
      </c>
      <c r="BZ219" t="e">
        <f>'All regions'!1763:1763-"$F;@!.)_"</f>
        <v>#VALUE!</v>
      </c>
      <c r="CA219" t="e">
        <f>'All regions'!1764:1764-"$F;@!.)`"</f>
        <v>#VALUE!</v>
      </c>
      <c r="CB219" t="e">
        <f>'All regions'!1765:1765-"$F;@!.)a"</f>
        <v>#VALUE!</v>
      </c>
      <c r="CC219" t="e">
        <f>'All regions'!1766:1766-"$F;@!.)b"</f>
        <v>#VALUE!</v>
      </c>
      <c r="CD219" t="e">
        <f>'All regions'!1767:1767-"$F;@!.)c"</f>
        <v>#VALUE!</v>
      </c>
      <c r="CE219" t="e">
        <f>'All regions'!1768:1768-"$F;@!.)d"</f>
        <v>#VALUE!</v>
      </c>
      <c r="CF219" t="e">
        <f>'All regions'!1769:1769-"$F;@!.)e"</f>
        <v>#VALUE!</v>
      </c>
      <c r="CG219" t="e">
        <f>'All regions'!1770:1770-"$F;@!.)f"</f>
        <v>#VALUE!</v>
      </c>
      <c r="CH219" t="e">
        <f>'All regions'!1771:1771-"$F;@!.)g"</f>
        <v>#VALUE!</v>
      </c>
      <c r="CI219" t="e">
        <f>'All regions'!1772:1772-"$F;@!.)h"</f>
        <v>#VALUE!</v>
      </c>
      <c r="CJ219" t="e">
        <f>'All regions'!1773:1773-"$F;@!.)i"</f>
        <v>#VALUE!</v>
      </c>
      <c r="CK219" t="e">
        <f>'All regions'!1774:1774-"$F;@!.)j"</f>
        <v>#VALUE!</v>
      </c>
      <c r="CL219" t="e">
        <f>'All regions'!1775:1775-"$F;@!.)k"</f>
        <v>#VALUE!</v>
      </c>
      <c r="CM219" t="e">
        <f>'All regions'!1776:1776-"$F;@!.)l"</f>
        <v>#VALUE!</v>
      </c>
      <c r="CN219" t="e">
        <f>'All regions'!1777:1777-"$F;@!.)m"</f>
        <v>#VALUE!</v>
      </c>
      <c r="CO219" t="e">
        <f>'All regions'!1779:1779-"$F;@!.)n"</f>
        <v>#VALUE!</v>
      </c>
      <c r="CP219" t="e">
        <f>'All regions'!1780:1780-"$F;@!.)o"</f>
        <v>#VALUE!</v>
      </c>
      <c r="CQ219" t="e">
        <f>'All regions'!1781:1781-"$F;@!.)p"</f>
        <v>#VALUE!</v>
      </c>
      <c r="CR219" t="e">
        <f>'All regions'!1782:1782-"$F;@!.)q"</f>
        <v>#VALUE!</v>
      </c>
      <c r="CS219" t="e">
        <f>'All regions'!1783:1783-"$F;@!.)r"</f>
        <v>#VALUE!</v>
      </c>
      <c r="CT219" t="e">
        <f>'All regions'!1784:1784-"$F;@!.)s"</f>
        <v>#VALUE!</v>
      </c>
      <c r="CU219" t="e">
        <f>'All regions'!1785:1785-"$F;@!.)t"</f>
        <v>#VALUE!</v>
      </c>
      <c r="CV219" t="e">
        <f>'All regions'!1786:1786-"$F;@!.)u"</f>
        <v>#VALUE!</v>
      </c>
      <c r="CW219" t="e">
        <f>'All regions'!1787:1787-"$F;@!.)v"</f>
        <v>#VALUE!</v>
      </c>
      <c r="CX219" t="e">
        <f>'All regions'!1788:1788-"$F;@!.)w"</f>
        <v>#VALUE!</v>
      </c>
      <c r="CY219" t="e">
        <f>'All regions'!1789:1789-"$F;@!.)x"</f>
        <v>#VALUE!</v>
      </c>
      <c r="CZ219" t="e">
        <f>'All regions'!1790:1790-"$F;@!.)y"</f>
        <v>#VALUE!</v>
      </c>
      <c r="DA219" t="e">
        <f>'All regions'!1791:1791-"$F;@!.)z"</f>
        <v>#VALUE!</v>
      </c>
      <c r="DB219" t="e">
        <f>'All regions'!1792:1792-"$F;@!.){"</f>
        <v>#VALUE!</v>
      </c>
      <c r="DC219" t="e">
        <f>'All regions'!1793:1793-"$F;@!.)|"</f>
        <v>#VALUE!</v>
      </c>
      <c r="DD219" t="e">
        <f>'All regions'!1794:1794-"$F;@!.)}"</f>
        <v>#VALUE!</v>
      </c>
      <c r="DE219" t="e">
        <f>'All regions'!1795:1795-"$F;@!.)~"</f>
        <v>#VALUE!</v>
      </c>
      <c r="DF219" t="e">
        <f>'All regions'!1796:1796-"$F;@!..#"</f>
        <v>#VALUE!</v>
      </c>
      <c r="DG219" t="e">
        <f>'All regions'!1797:1797-"$F;@!..$"</f>
        <v>#VALUE!</v>
      </c>
      <c r="DH219" t="e">
        <f>'All regions'!1798:1798-"$F;@!..%"</f>
        <v>#VALUE!</v>
      </c>
      <c r="DI219" t="e">
        <f>'All regions'!1799:1799-"$F;@!..&amp;"</f>
        <v>#VALUE!</v>
      </c>
      <c r="DJ219" t="e">
        <f>'All regions'!1800:1800-"$F;@!..'"</f>
        <v>#VALUE!</v>
      </c>
      <c r="DK219" t="e">
        <f>'All regions'!1801:1801-"$F;@!..("</f>
        <v>#VALUE!</v>
      </c>
      <c r="DL219" t="e">
        <f>'All regions'!1802:1802-"$F;@!..)"</f>
        <v>#VALUE!</v>
      </c>
      <c r="DM219" t="e">
        <f>'All regions'!1803:1803-"$F;@!..."</f>
        <v>#VALUE!</v>
      </c>
      <c r="DN219" t="e">
        <f>'All regions'!1804:1804-"$F;@!../"</f>
        <v>#VALUE!</v>
      </c>
      <c r="DO219" t="e">
        <f>'All regions'!1805:1805-"$F;@!..0"</f>
        <v>#VALUE!</v>
      </c>
      <c r="DP219" t="e">
        <f>'All regions'!1806:1806-"$F;@!..1"</f>
        <v>#VALUE!</v>
      </c>
      <c r="DQ219" t="e">
        <f>'All regions'!1807:1807-"$F;@!..2"</f>
        <v>#VALUE!</v>
      </c>
      <c r="DR219" t="e">
        <f>'All regions'!1808:1808-"$F;@!..3"</f>
        <v>#VALUE!</v>
      </c>
      <c r="DS219" t="e">
        <f>'All regions'!1809:1809-"$F;@!..4"</f>
        <v>#VALUE!</v>
      </c>
      <c r="DT219" t="e">
        <f>'All regions'!1810:1810-"$F;@!..5"</f>
        <v>#VALUE!</v>
      </c>
      <c r="DU219" t="e">
        <f>'All regions'!1811:1811-"$F;@!..6"</f>
        <v>#VALUE!</v>
      </c>
      <c r="DV219" t="e">
        <f>'All regions'!1812:1812-"$F;@!..7"</f>
        <v>#VALUE!</v>
      </c>
      <c r="DW219" t="e">
        <f>'All regions'!1813:1813-"$F;@!..8"</f>
        <v>#VALUE!</v>
      </c>
      <c r="DX219" t="e">
        <f>'All regions'!1814:1814-"$F;@!..9"</f>
        <v>#VALUE!</v>
      </c>
      <c r="DY219" t="e">
        <f>'All regions'!1815:1815-"$F;@!..:"</f>
        <v>#VALUE!</v>
      </c>
      <c r="DZ219" t="e">
        <f>'All regions'!1816:1816-"$F;@!..;"</f>
        <v>#VALUE!</v>
      </c>
      <c r="EA219" t="e">
        <f>'All regions'!1817:1817-"$F;@!..&lt;"</f>
        <v>#VALUE!</v>
      </c>
      <c r="EB219" t="e">
        <f>'All regions'!1818:1818-"$F;@!..="</f>
        <v>#VALUE!</v>
      </c>
      <c r="EC219" t="e">
        <f>'All regions'!1819:1819-"$F;@!..&gt;"</f>
        <v>#VALUE!</v>
      </c>
      <c r="ED219" t="e">
        <f>'All regions'!1820:1820-"$F;@!..?"</f>
        <v>#VALUE!</v>
      </c>
      <c r="EE219" t="e">
        <f>'All regions'!1821:1821-"$F;@!..@"</f>
        <v>#VALUE!</v>
      </c>
      <c r="EF219" t="e">
        <f>'All regions'!1822:1822-"$F;@!..A"</f>
        <v>#VALUE!</v>
      </c>
      <c r="EG219" t="e">
        <f>'All regions'!1823:1823-"$F;@!..B"</f>
        <v>#VALUE!</v>
      </c>
      <c r="EH219" t="e">
        <f>'All regions'!1824:1824-"$F;@!..C"</f>
        <v>#VALUE!</v>
      </c>
      <c r="EI219" t="e">
        <f>'All regions'!1825:1825-"$F;@!..D"</f>
        <v>#VALUE!</v>
      </c>
      <c r="EJ219" t="e">
        <f>'All regions'!1826:1826-"$F;@!..E"</f>
        <v>#VALUE!</v>
      </c>
      <c r="EK219" t="e">
        <f>'All regions'!1827:1827-"$F;@!..F"</f>
        <v>#VALUE!</v>
      </c>
      <c r="EL219" t="e">
        <f>'All regions'!1828:1828-"$F;@!..G"</f>
        <v>#VALUE!</v>
      </c>
      <c r="EM219" t="e">
        <f>'All regions'!1829:1829-"$F;@!..H"</f>
        <v>#VALUE!</v>
      </c>
      <c r="EN219" t="e">
        <f>'All regions'!1830:1830-"$F;@!..I"</f>
        <v>#VALUE!</v>
      </c>
      <c r="EO219" t="e">
        <f>'All regions'!1831:1831-"$F;@!..J"</f>
        <v>#VALUE!</v>
      </c>
      <c r="EP219" t="e">
        <f>'All regions'!1832:1832-"$F;@!..K"</f>
        <v>#VALUE!</v>
      </c>
      <c r="EQ219" t="e">
        <f>'All regions'!1833:1833-"$F;@!..L"</f>
        <v>#VALUE!</v>
      </c>
      <c r="ER219" t="e">
        <f>'All regions'!1834:1834-"$F;@!..M"</f>
        <v>#VALUE!</v>
      </c>
      <c r="ES219" t="e">
        <f>'All regions'!1835:1835-"$F;@!..N"</f>
        <v>#VALUE!</v>
      </c>
      <c r="ET219" t="e">
        <f>'All regions'!1836:1836-"$F;@!..O"</f>
        <v>#VALUE!</v>
      </c>
      <c r="EU219" t="e">
        <f>'All regions'!1837:1837-"$F;@!..P"</f>
        <v>#VALUE!</v>
      </c>
      <c r="EV219" t="e">
        <f>'All regions'!1838:1838-"$F;@!..Q"</f>
        <v>#VALUE!</v>
      </c>
      <c r="EW219" t="e">
        <f>'All regions'!1839:1839-"$F;@!..R"</f>
        <v>#VALUE!</v>
      </c>
      <c r="EX219" t="e">
        <f>'All regions'!1840:1840-"$F;@!..S"</f>
        <v>#VALUE!</v>
      </c>
      <c r="EY219" t="e">
        <f>'All regions'!1841:1841-"$F;@!..T"</f>
        <v>#VALUE!</v>
      </c>
      <c r="EZ219" t="e">
        <f>'All regions'!1842:1842-"$F;@!..U"</f>
        <v>#VALUE!</v>
      </c>
      <c r="FA219" t="e">
        <f>'All regions'!1843:1843-"$F;@!..V"</f>
        <v>#VALUE!</v>
      </c>
      <c r="FB219" t="e">
        <f>'All regions'!1844:1844-"$F;@!..W"</f>
        <v>#VALUE!</v>
      </c>
      <c r="FC219" t="e">
        <f>'All regions'!1845:1845-"$F;@!..X"</f>
        <v>#VALUE!</v>
      </c>
      <c r="FD219" t="e">
        <f>'All regions'!1846:1846-"$F;@!..Y"</f>
        <v>#VALUE!</v>
      </c>
      <c r="FE219" t="e">
        <f>'All regions'!1847:1847-"$F;@!..Z"</f>
        <v>#VALUE!</v>
      </c>
      <c r="FF219" t="e">
        <f>'All regions'!1848:1848-"$F;@!..["</f>
        <v>#VALUE!</v>
      </c>
      <c r="FG219" t="e">
        <f>'All regions'!1849:1849-"$F;@!..\"</f>
        <v>#VALUE!</v>
      </c>
      <c r="FH219" t="e">
        <f>'All regions'!1850:1850-"$F;@!..]"</f>
        <v>#VALUE!</v>
      </c>
      <c r="FI219" t="e">
        <f>'All regions'!1851:1851-"$F;@!..^"</f>
        <v>#VALUE!</v>
      </c>
      <c r="FJ219" t="e">
        <f>'All regions'!1852:1852-"$F;@!.._"</f>
        <v>#VALUE!</v>
      </c>
      <c r="FK219" t="e">
        <f>'All regions'!1853:1853-"$F;@!..`"</f>
        <v>#VALUE!</v>
      </c>
      <c r="FL219" t="e">
        <f>'All regions'!1854:1854-"$F;@!..a"</f>
        <v>#VALUE!</v>
      </c>
      <c r="FM219" t="e">
        <f>'All regions'!1855:1855-"$F;@!..b"</f>
        <v>#VALUE!</v>
      </c>
      <c r="FN219" t="e">
        <f>'All regions'!1856:1856-"$F;@!..c"</f>
        <v>#VALUE!</v>
      </c>
      <c r="FO219" t="e">
        <f>'All regions'!1857:1857-"$F;@!..d"</f>
        <v>#VALUE!</v>
      </c>
      <c r="FP219" t="e">
        <f>'All regions'!1858:1858-"$F;@!..e"</f>
        <v>#VALUE!</v>
      </c>
      <c r="FQ219" t="e">
        <f>'All regions'!1859:1859-"$F;@!..f"</f>
        <v>#VALUE!</v>
      </c>
      <c r="FR219" t="e">
        <f>'All regions'!1860:1860-"$F;@!..g"</f>
        <v>#VALUE!</v>
      </c>
      <c r="FS219" t="e">
        <f>'All regions'!1861:1861-"$F;@!..h"</f>
        <v>#VALUE!</v>
      </c>
      <c r="FT219" t="e">
        <f>'All regions'!1862:1862-"$F;@!..i"</f>
        <v>#VALUE!</v>
      </c>
      <c r="FU219" t="e">
        <f>'All regions'!1863:1863-"$F;@!..j"</f>
        <v>#VALUE!</v>
      </c>
      <c r="FV219" t="e">
        <f>'All regions'!1864:1864-"$F;@!..k"</f>
        <v>#VALUE!</v>
      </c>
      <c r="FW219" t="e">
        <f>'All regions'!1865:1865-"$F;@!..l"</f>
        <v>#VALUE!</v>
      </c>
      <c r="FX219" t="e">
        <f>'All regions'!1866:1866-"$F;@!..m"</f>
        <v>#VALUE!</v>
      </c>
      <c r="FY219" t="e">
        <f>'All regions'!1867:1867-"$F;@!..n"</f>
        <v>#VALUE!</v>
      </c>
      <c r="FZ219" t="e">
        <f>'All regions'!1868:1868-"$F;@!..o"</f>
        <v>#VALUE!</v>
      </c>
      <c r="GA219" t="e">
        <f>'All regions'!1869:1869-"$F;@!..p"</f>
        <v>#VALUE!</v>
      </c>
      <c r="GB219" t="e">
        <f>'All regions'!1870:1870-"$F;@!..q"</f>
        <v>#VALUE!</v>
      </c>
      <c r="GC219" t="e">
        <f>'All regions'!1871:1871-"$F;@!..r"</f>
        <v>#VALUE!</v>
      </c>
      <c r="GD219" t="e">
        <f>'All regions'!1872:1872-"$F;@!..s"</f>
        <v>#VALUE!</v>
      </c>
      <c r="GE219" t="e">
        <f>'All regions'!1873:1873-"$F;@!..t"</f>
        <v>#VALUE!</v>
      </c>
      <c r="GF219" t="e">
        <f>'All regions'!1874:1874-"$F;@!..u"</f>
        <v>#VALUE!</v>
      </c>
      <c r="GG219" t="e">
        <f>'All regions'!1875:1875-"$F;@!..v"</f>
        <v>#VALUE!</v>
      </c>
      <c r="GH219" t="e">
        <f>'All regions'!1876:1876-"$F;@!..w"</f>
        <v>#VALUE!</v>
      </c>
      <c r="GI219" t="e">
        <f>'All regions'!1877:1877-"$F;@!..x"</f>
        <v>#VALUE!</v>
      </c>
      <c r="GJ219" t="e">
        <f>'All regions'!1878:1878-"$F;@!..y"</f>
        <v>#VALUE!</v>
      </c>
      <c r="GK219" t="e">
        <f>'All regions'!1879:1879-"$F;@!..z"</f>
        <v>#VALUE!</v>
      </c>
      <c r="GL219" t="e">
        <f>'All regions'!1880:1880-"$F;@!..{"</f>
        <v>#VALUE!</v>
      </c>
      <c r="GM219" t="e">
        <f>'All regions'!1881:1881-"$F;@!..|"</f>
        <v>#VALUE!</v>
      </c>
      <c r="GN219" t="e">
        <f>'All regions'!1882:1882-"$F;@!..}"</f>
        <v>#VALUE!</v>
      </c>
      <c r="GO219" t="e">
        <f>'All regions'!1883:1883-"$F;@!..~"</f>
        <v>#VALUE!</v>
      </c>
      <c r="GP219" t="e">
        <f>'All regions'!1884:1884-"$F;@!./#"</f>
        <v>#VALUE!</v>
      </c>
      <c r="GQ219" t="e">
        <f>'All regions'!1885:1885-"$F;@!./$"</f>
        <v>#VALUE!</v>
      </c>
      <c r="GR219" t="e">
        <f>'All regions'!1886:1886-"$F;@!./%"</f>
        <v>#VALUE!</v>
      </c>
      <c r="GS219" t="e">
        <f>'All regions'!1887:1887-"$F;@!./&amp;"</f>
        <v>#VALUE!</v>
      </c>
      <c r="GT219" t="e">
        <f>'All regions'!1888:1888-"$F;@!./'"</f>
        <v>#VALUE!</v>
      </c>
      <c r="GU219" t="e">
        <f>'All regions'!1889:1889-"$F;@!./("</f>
        <v>#VALUE!</v>
      </c>
      <c r="GV219" t="e">
        <f>'All regions'!1890:1890-"$F;@!./)"</f>
        <v>#VALUE!</v>
      </c>
      <c r="GW219" t="e">
        <f>'All regions'!1891:1891-"$F;@!./."</f>
        <v>#VALUE!</v>
      </c>
      <c r="GX219" t="e">
        <f>'All regions'!1892:1892-"$F;@!.//"</f>
        <v>#VALUE!</v>
      </c>
      <c r="GY219" t="e">
        <f>'All regions'!1893:1893-"$F;@!./0"</f>
        <v>#VALUE!</v>
      </c>
      <c r="GZ219" t="e">
        <f>'All regions'!1894:1894-"$F;@!./1"</f>
        <v>#VALUE!</v>
      </c>
      <c r="HA219" t="e">
        <f>'All regions'!1895:1895-"$F;@!./2"</f>
        <v>#VALUE!</v>
      </c>
      <c r="HB219" t="e">
        <f>'All regions'!1897:1897-"$F;@!./3"</f>
        <v>#VALUE!</v>
      </c>
      <c r="HC219" t="e">
        <f>'All regions'!1898:1898-"$F;@!./4"</f>
        <v>#VALUE!</v>
      </c>
      <c r="HD219" t="e">
        <f>'All regions'!1900:1900-"$F;@!./5"</f>
        <v>#VALUE!</v>
      </c>
      <c r="HE219" t="e">
        <f>'All regions'!1901:1901-"$F;@!./6"</f>
        <v>#VALUE!</v>
      </c>
      <c r="HF219" t="e">
        <f>'All regions'!1903:1903-"$F;@!./7"</f>
        <v>#VALUE!</v>
      </c>
      <c r="HG219" t="e">
        <f>'All regions'!1905:1905-"$F;@!./8"</f>
        <v>#VALUE!</v>
      </c>
      <c r="HH219" t="e">
        <f>'All regions'!1906:1906-"$F;@!./9"</f>
        <v>#VALUE!</v>
      </c>
      <c r="HI219" t="e">
        <f>'All regions'!1907:1907-"$F;@!./:"</f>
        <v>#VALUE!</v>
      </c>
      <c r="HJ219" t="e">
        <f>'All regions'!1908:1908-"$F;@!./;"</f>
        <v>#VALUE!</v>
      </c>
      <c r="HK219" t="e">
        <f>'All regions'!1909:1909-"$F;@!./&lt;"</f>
        <v>#VALUE!</v>
      </c>
      <c r="HL219" t="e">
        <f>'All regions'!1910:1910-"$F;@!./="</f>
        <v>#VALUE!</v>
      </c>
      <c r="HM219" t="e">
        <f>'All regions'!1912:1912-"$F;@!./&gt;"</f>
        <v>#VALUE!</v>
      </c>
      <c r="HN219" t="e">
        <f>'All regions'!1913:1913-"$F;@!./?"</f>
        <v>#VALUE!</v>
      </c>
      <c r="HO219" t="e">
        <f>'All regions'!1914:1914-"$F;@!./@"</f>
        <v>#VALUE!</v>
      </c>
      <c r="HP219" t="e">
        <f>'All regions'!1915:1915-"$F;@!./A"</f>
        <v>#VALUE!</v>
      </c>
      <c r="HQ219" t="e">
        <f>'All regions'!1916:1916-"$F;@!./B"</f>
        <v>#VALUE!</v>
      </c>
      <c r="HR219" t="e">
        <f>'All regions'!1917:1917-"$F;@!./C"</f>
        <v>#VALUE!</v>
      </c>
      <c r="HS219" t="e">
        <f>'All regions'!1918:1918-"$F;@!./D"</f>
        <v>#VALUE!</v>
      </c>
      <c r="HT219" t="e">
        <f>'All regions'!1919:1919-"$F;@!./E"</f>
        <v>#VALUE!</v>
      </c>
      <c r="HU219" t="e">
        <f>'All regions'!1920:1920-"$F;@!./F"</f>
        <v>#VALUE!</v>
      </c>
      <c r="HV219" t="e">
        <f>'All regions'!1921:1921-"$F;@!./G"</f>
        <v>#VALUE!</v>
      </c>
      <c r="HW219" t="e">
        <f>'All regions'!1922:1922-"$F;@!./H"</f>
        <v>#VALUE!</v>
      </c>
      <c r="HX219" t="e">
        <f>'All regions'!1923:1923-"$F;@!./I"</f>
        <v>#VALUE!</v>
      </c>
      <c r="HY219" t="e">
        <f>'All regions'!1924:1924-"$F;@!./J"</f>
        <v>#VALUE!</v>
      </c>
      <c r="HZ219" t="e">
        <f>'All regions'!1925:1925-"$F;@!./K"</f>
        <v>#VALUE!</v>
      </c>
      <c r="IA219" t="e">
        <f>'All regions'!1926:1926-"$F;@!./L"</f>
        <v>#VALUE!</v>
      </c>
      <c r="IB219" t="e">
        <f>'All regions'!1927:1927-"$F;@!./M"</f>
        <v>#VALUE!</v>
      </c>
      <c r="IC219" t="e">
        <f>'All regions'!1930:1930-"$F;@!./N"</f>
        <v>#VALUE!</v>
      </c>
      <c r="ID219" t="e">
        <f>'All regions'!1931:1931-"$F;@!./O"</f>
        <v>#VALUE!</v>
      </c>
      <c r="IE219" t="e">
        <f>'All regions'!1932:1932-"$F;@!./P"</f>
        <v>#VALUE!</v>
      </c>
      <c r="IF219" t="e">
        <f>'All regions'!1933:1933-"$F;@!./Q"</f>
        <v>#VALUE!</v>
      </c>
      <c r="IG219" t="e">
        <f>'All regions'!1934:1934-"$F;@!./R"</f>
        <v>#VALUE!</v>
      </c>
      <c r="IH219" t="e">
        <f>'All regions'!1935:1935-"$F;@!./S"</f>
        <v>#VALUE!</v>
      </c>
      <c r="II219" t="e">
        <f>'All regions'!1936:1936-"$F;@!./T"</f>
        <v>#VALUE!</v>
      </c>
      <c r="IJ219" t="e">
        <f>'All regions'!1937:1937-"$F;@!./U"</f>
        <v>#VALUE!</v>
      </c>
      <c r="IK219" t="e">
        <f>'All regions'!1938:1938-"$F;@!./V"</f>
        <v>#VALUE!</v>
      </c>
      <c r="IL219" t="e">
        <f>'All regions'!1939:1939-"$F;@!./W"</f>
        <v>#VALUE!</v>
      </c>
      <c r="IM219" t="e">
        <f>'All regions'!1940:1940-"$F;@!./X"</f>
        <v>#VALUE!</v>
      </c>
      <c r="IN219" t="e">
        <f>'All regions'!1941:1941-"$F;@!./Y"</f>
        <v>#VALUE!</v>
      </c>
      <c r="IO219" t="e">
        <f>'All regions'!1942:1942-"$F;@!./Z"</f>
        <v>#VALUE!</v>
      </c>
      <c r="IP219" t="e">
        <f>'All regions'!1943:1943-"$F;@!./["</f>
        <v>#VALUE!</v>
      </c>
      <c r="IQ219" t="e">
        <f>'All regions'!1944:1944-"$F;@!./\"</f>
        <v>#VALUE!</v>
      </c>
      <c r="IR219" t="e">
        <f>'All regions'!1945:1945-"$F;@!./]"</f>
        <v>#VALUE!</v>
      </c>
      <c r="IS219" t="e">
        <f>'All regions'!1946:1946-"$F;@!./^"</f>
        <v>#VALUE!</v>
      </c>
      <c r="IT219" t="e">
        <f>'All regions'!1947:1947-"$F;@!./_"</f>
        <v>#VALUE!</v>
      </c>
      <c r="IU219" t="e">
        <f>'All regions'!1948:1948-"$F;@!./`"</f>
        <v>#VALUE!</v>
      </c>
      <c r="IV219" t="e">
        <f>'All regions'!1949:1949-"$F;@!./a"</f>
        <v>#VALUE!</v>
      </c>
    </row>
    <row r="220" spans="6:256" x14ac:dyDescent="0.35">
      <c r="F220" t="e">
        <f>'All regions'!1950:1950-"$F;@!./b"</f>
        <v>#VALUE!</v>
      </c>
      <c r="G220" t="e">
        <f>'All regions'!1951:1951-"$F;@!./c"</f>
        <v>#VALUE!</v>
      </c>
      <c r="H220" t="e">
        <f>'All regions'!1952:1952-"$F;@!./d"</f>
        <v>#VALUE!</v>
      </c>
      <c r="I220" t="e">
        <f>'All regions'!1953:1953-"$F;@!./e"</f>
        <v>#VALUE!</v>
      </c>
      <c r="J220" t="e">
        <f>'All regions'!1954:1954-"$F;@!./f"</f>
        <v>#VALUE!</v>
      </c>
      <c r="K220" t="e">
        <f>'All regions'!1955:1955-"$F;@!./g"</f>
        <v>#VALUE!</v>
      </c>
      <c r="L220" t="e">
        <f>'All regions'!1956:1956-"$F;@!./h"</f>
        <v>#VALUE!</v>
      </c>
      <c r="M220" t="e">
        <f>'All regions'!1957:1957-"$F;@!./i"</f>
        <v>#VALUE!</v>
      </c>
      <c r="N220" t="e">
        <f>'All regions'!1958:1958-"$F;@!./j"</f>
        <v>#VALUE!</v>
      </c>
      <c r="O220" t="e">
        <f>'All regions'!1959:1959-"$F;@!./k"</f>
        <v>#VALUE!</v>
      </c>
      <c r="P220" t="e">
        <f>'All regions'!1960:1960-"$F;@!./l"</f>
        <v>#VALUE!</v>
      </c>
      <c r="Q220" t="e">
        <f>'All regions'!1961:1961-"$F;@!./m"</f>
        <v>#VALUE!</v>
      </c>
      <c r="R220" t="e">
        <f>'All regions'!1962:1962-"$F;@!./n"</f>
        <v>#VALUE!</v>
      </c>
      <c r="S220" t="e">
        <f>'All regions'!1963:1963-"$F;@!./o"</f>
        <v>#VALUE!</v>
      </c>
      <c r="T220" t="e">
        <f>'All regions'!1964:1964-"$F;@!./p"</f>
        <v>#VALUE!</v>
      </c>
      <c r="U220" t="e">
        <f>'All regions'!1965:1965-"$F;@!./q"</f>
        <v>#VALUE!</v>
      </c>
      <c r="V220" t="e">
        <f>'All regions'!1966:1966-"$F;@!./r"</f>
        <v>#VALUE!</v>
      </c>
      <c r="W220" t="e">
        <f>'All regions'!1967:1967-"$F;@!./s"</f>
        <v>#VALUE!</v>
      </c>
      <c r="X220" t="e">
        <f>'All regions'!1968:1968-"$F;@!./t"</f>
        <v>#VALUE!</v>
      </c>
      <c r="Y220" t="e">
        <f>'All regions'!1969:1969-"$F;@!./u"</f>
        <v>#VALUE!</v>
      </c>
      <c r="Z220" t="e">
        <f>'All regions'!1970:1970-"$F;@!./v"</f>
        <v>#VALUE!</v>
      </c>
      <c r="AA220" t="e">
        <f>'All regions'!1971:1971-"$F;@!./w"</f>
        <v>#VALUE!</v>
      </c>
      <c r="AB220" t="e">
        <f>'All regions'!1972:1972-"$F;@!./x"</f>
        <v>#VALUE!</v>
      </c>
      <c r="AC220" t="e">
        <f>'All regions'!1973:1973-"$F;@!./y"</f>
        <v>#VALUE!</v>
      </c>
      <c r="AD220" t="e">
        <f>'All regions'!1974:1974-"$F;@!./z"</f>
        <v>#VALUE!</v>
      </c>
      <c r="AE220" t="e">
        <f>'All regions'!1975:1975-"$F;@!./{"</f>
        <v>#VALUE!</v>
      </c>
      <c r="AF220" t="e">
        <f>'All regions'!1976:1976-"$F;@!./|"</f>
        <v>#VALUE!</v>
      </c>
      <c r="AG220" t="e">
        <f>'All regions'!1977:1977-"$F;@!./}"</f>
        <v>#VALUE!</v>
      </c>
      <c r="AH220" t="e">
        <f>'All regions'!1978:1978-"$F;@!./~"</f>
        <v>#VALUE!</v>
      </c>
      <c r="AI220" t="e">
        <f>'All regions'!1979:1979-"$F;@!.0#"</f>
        <v>#VALUE!</v>
      </c>
      <c r="AJ220" t="e">
        <f>'All regions'!1980:1980-"$F;@!.0$"</f>
        <v>#VALUE!</v>
      </c>
      <c r="AK220" t="e">
        <f>'All regions'!1981:1981-"$F;@!.0%"</f>
        <v>#VALUE!</v>
      </c>
      <c r="AL220" t="e">
        <f>'All regions'!1982:1982-"$F;@!.0&amp;"</f>
        <v>#VALUE!</v>
      </c>
      <c r="AM220" t="e">
        <f>'All regions'!1983:1983-"$F;@!.0'"</f>
        <v>#VALUE!</v>
      </c>
      <c r="AN220" t="e">
        <f>'All regions'!1984:1984-"$F;@!.0("</f>
        <v>#VALUE!</v>
      </c>
      <c r="AO220" t="e">
        <f>'All regions'!1985:1985-"$F;@!.0)"</f>
        <v>#VALUE!</v>
      </c>
      <c r="AP220" t="e">
        <f>'All regions'!1986:1986-"$F;@!.0."</f>
        <v>#VALUE!</v>
      </c>
      <c r="AQ220" t="e">
        <f>'All regions'!1990:1990-"$F;@!.0/"</f>
        <v>#VALUE!</v>
      </c>
      <c r="AR220" t="e">
        <f>'All regions'!1991:1991-"$F;@!.00"</f>
        <v>#VALUE!</v>
      </c>
      <c r="AS220" t="e">
        <f>'All regions'!1992:1992-"$F;@!.01"</f>
        <v>#VALUE!</v>
      </c>
      <c r="AT220" t="e">
        <f>'All regions'!1993:1993-"$F;@!.02"</f>
        <v>#VALUE!</v>
      </c>
      <c r="AU220" t="e">
        <f>'All regions'!1994:1994-"$F;@!.03"</f>
        <v>#VALUE!</v>
      </c>
      <c r="AV220" t="e">
        <f>'All regions'!1995:1995-"$F;@!.04"</f>
        <v>#VALUE!</v>
      </c>
      <c r="AW220" t="e">
        <f>'All regions'!1996:1996-"$F;@!.05"</f>
        <v>#VALUE!</v>
      </c>
      <c r="AX220" t="e">
        <f>'All regions'!1997:1997-"$F;@!.06"</f>
        <v>#VALUE!</v>
      </c>
      <c r="AY220" t="e">
        <f>'All regions'!1998:1998-"$F;@!.07"</f>
        <v>#VALUE!</v>
      </c>
      <c r="AZ220" t="e">
        <f>'All regions'!1999:1999-"$F;@!.08"</f>
        <v>#VALUE!</v>
      </c>
      <c r="BA220" t="e">
        <f>'All regions'!2000:2000-"$F;@!.09"</f>
        <v>#VALUE!</v>
      </c>
      <c r="BB220" t="e">
        <f>'All regions'!2001:2001-"$F;@!.0:"</f>
        <v>#VALUE!</v>
      </c>
      <c r="BC220" t="e">
        <f>'All regions'!2002:2002-"$F;@!.0;"</f>
        <v>#VALUE!</v>
      </c>
      <c r="BD220" t="e">
        <f>'All regions'!2003:2003-"$F;@!.0&lt;"</f>
        <v>#VALUE!</v>
      </c>
      <c r="BE220" t="e">
        <f>'All regions'!2004:2004-"$F;@!.0="</f>
        <v>#VALUE!</v>
      </c>
      <c r="BF220" t="e">
        <f>'All regions'!2005:2005-"$F;@!.0&gt;"</f>
        <v>#VALUE!</v>
      </c>
      <c r="BG220" t="e">
        <f>'All regions'!2006:2006-"$F;@!.0?"</f>
        <v>#VALUE!</v>
      </c>
      <c r="BH220" t="e">
        <f>'All regions'!2007:2007-"$F;@!.0@"</f>
        <v>#VALUE!</v>
      </c>
      <c r="BI220" t="e">
        <f>'All regions'!2008:2008-"$F;@!.0A"</f>
        <v>#VALUE!</v>
      </c>
      <c r="BJ220" t="e">
        <f>'All regions'!2009:2009-"$F;@!.0B"</f>
        <v>#VALUE!</v>
      </c>
      <c r="BK220" t="e">
        <f>'All regions'!2010:2010-"$F;@!.0C"</f>
        <v>#VALUE!</v>
      </c>
      <c r="BL220" t="e">
        <f>'All regions'!2011:2011-"$F;@!.0D"</f>
        <v>#VALUE!</v>
      </c>
      <c r="BM220" t="e">
        <f>'All regions'!2012:2012-"$F;@!.0E"</f>
        <v>#VALUE!</v>
      </c>
      <c r="BN220" t="e">
        <f>'All regions'!2013:2013-"$F;@!.0F"</f>
        <v>#VALUE!</v>
      </c>
      <c r="BO220" t="e">
        <f>'All regions'!2014:2014-"$F;@!.0G"</f>
        <v>#VALUE!</v>
      </c>
      <c r="BP220" t="e">
        <f>'All regions'!2015:2015-"$F;@!.0H"</f>
        <v>#VALUE!</v>
      </c>
      <c r="BQ220" t="e">
        <f>'All regions'!2016:2016-"$F;@!.0I"</f>
        <v>#VALUE!</v>
      </c>
      <c r="BR220" t="e">
        <f>'All regions'!2017:2017-"$F;@!.0J"</f>
        <v>#VALUE!</v>
      </c>
      <c r="BS220" t="e">
        <f>'All regions'!2018:2018-"$F;@!.0K"</f>
        <v>#VALUE!</v>
      </c>
      <c r="BT220" t="e">
        <f>'All regions'!2019:2019-"$F;@!.0L"</f>
        <v>#VALUE!</v>
      </c>
      <c r="BU220" t="e">
        <f>'All regions'!2020:2020-"$F;@!.0M"</f>
        <v>#VALUE!</v>
      </c>
      <c r="BV220" t="e">
        <f>'All regions'!2021:2021-"$F;@!.0N"</f>
        <v>#VALUE!</v>
      </c>
      <c r="BW220" t="e">
        <f>'All regions'!2022:2022-"$F;@!.0O"</f>
        <v>#VALUE!</v>
      </c>
      <c r="BX220" t="e">
        <f>'All regions'!2023:2023-"$F;@!.0P"</f>
        <v>#VALUE!</v>
      </c>
      <c r="BY220" t="e">
        <f>'All regions'!2024:2024-"$F;@!.0Q"</f>
        <v>#VALUE!</v>
      </c>
      <c r="BZ220" t="e">
        <f>'All regions'!2025:2025-"$F;@!.0R"</f>
        <v>#VALUE!</v>
      </c>
      <c r="CA220" t="e">
        <f>'All regions'!2026:2026-"$F;@!.0S"</f>
        <v>#VALUE!</v>
      </c>
      <c r="CB220" t="e">
        <f>'All regions'!2027:2027-"$F;@!.0T"</f>
        <v>#VALUE!</v>
      </c>
      <c r="CC220" t="e">
        <f>'All regions'!2028:2028-"$F;@!.0U"</f>
        <v>#VALUE!</v>
      </c>
      <c r="CD220" t="e">
        <f>'All regions'!2029:2029-"$F;@!.0V"</f>
        <v>#VALUE!</v>
      </c>
      <c r="CE220" t="e">
        <f>'All regions'!2030:2030-"$F;@!.0W"</f>
        <v>#VALUE!</v>
      </c>
      <c r="CF220" t="e">
        <f>'All regions'!2031:2031-"$F;@!.0X"</f>
        <v>#VALUE!</v>
      </c>
      <c r="CG220" t="e">
        <f>'All regions'!2032:2032-"$F;@!.0Y"</f>
        <v>#VALUE!</v>
      </c>
      <c r="CH220" t="e">
        <f>'All regions'!2033:2033-"$F;@!.0Z"</f>
        <v>#VALUE!</v>
      </c>
      <c r="CI220" t="e">
        <f>'All regions'!2034:2034-"$F;@!.0["</f>
        <v>#VALUE!</v>
      </c>
      <c r="CJ220" t="e">
        <f>'All regions'!2035:2035-"$F;@!.0\"</f>
        <v>#VALUE!</v>
      </c>
      <c r="CK220" t="e">
        <f>'All regions'!2036:2036-"$F;@!.0]"</f>
        <v>#VALUE!</v>
      </c>
      <c r="CL220" t="e">
        <f>'All regions'!2037:2037-"$F;@!.0^"</f>
        <v>#VALUE!</v>
      </c>
      <c r="CM220" t="e">
        <f>'All regions'!2038:2038-"$F;@!.0_"</f>
        <v>#VALUE!</v>
      </c>
      <c r="CN220" t="e">
        <f>'All regions'!2039:2039-"$F;@!.0`"</f>
        <v>#VALUE!</v>
      </c>
      <c r="CO220" t="e">
        <f>'All regions'!2040:2040-"$F;@!.0a"</f>
        <v>#VALUE!</v>
      </c>
      <c r="CP220" t="e">
        <f>'All regions'!2041:2041-"$F;@!.0b"</f>
        <v>#VALUE!</v>
      </c>
      <c r="CQ220" t="e">
        <f>'All regions'!2042:2042-"$F;@!.0c"</f>
        <v>#VALUE!</v>
      </c>
      <c r="CR220" t="e">
        <f>'All regions'!2043:2043-"$F;@!.0d"</f>
        <v>#VALUE!</v>
      </c>
      <c r="CS220" t="e">
        <f>'All regions'!2044:2044-"$F;@!.0e"</f>
        <v>#VALUE!</v>
      </c>
      <c r="CT220" t="e">
        <f>'All regions'!2045:2045-"$F;@!.0f"</f>
        <v>#VALUE!</v>
      </c>
      <c r="CU220" t="e">
        <f>'All regions'!2046:2046-"$F;@!.0g"</f>
        <v>#VALUE!</v>
      </c>
      <c r="CV220" t="e">
        <f>'All regions'!2047:2047-"$F;@!.0h"</f>
        <v>#VALUE!</v>
      </c>
      <c r="CW220" t="e">
        <f>'All regions'!2048:2048-"$F;@!.0i"</f>
        <v>#VALUE!</v>
      </c>
      <c r="CX220" t="e">
        <f>'All regions'!2049:2049-"$F;@!.0j"</f>
        <v>#VALUE!</v>
      </c>
      <c r="CY220" t="e">
        <f>'All regions'!2050:2050-"$F;@!.0k"</f>
        <v>#VALUE!</v>
      </c>
      <c r="CZ220" t="e">
        <f>'All regions'!2051:2051-"$F;@!.0l"</f>
        <v>#VALUE!</v>
      </c>
      <c r="DA220" t="e">
        <f>'All regions'!2052:2052-"$F;@!.0m"</f>
        <v>#VALUE!</v>
      </c>
      <c r="DB220" t="e">
        <f>'All regions'!2053:2053-"$F;@!.0n"</f>
        <v>#VALUE!</v>
      </c>
      <c r="DC220" t="e">
        <f>'All regions'!2054:2054-"$F;@!.0o"</f>
        <v>#VALUE!</v>
      </c>
      <c r="DD220" t="e">
        <f>'All regions'!2055:2055-"$F;@!.0p"</f>
        <v>#VALUE!</v>
      </c>
      <c r="DE220" t="e">
        <f>'All regions'!2056:2056-"$F;@!.0q"</f>
        <v>#VALUE!</v>
      </c>
      <c r="DF220" t="e">
        <f>'All regions'!2057:2057-"$F;@!.0r"</f>
        <v>#VALUE!</v>
      </c>
      <c r="DG220" t="e">
        <f>'All regions'!2058:2058-"$F;@!.0s"</f>
        <v>#VALUE!</v>
      </c>
      <c r="DH220" t="e">
        <f>'All regions'!2059:2059-"$F;@!.0t"</f>
        <v>#VALUE!</v>
      </c>
      <c r="DI220" t="e">
        <f>'All regions'!2060:2060-"$F;@!.0u"</f>
        <v>#VALUE!</v>
      </c>
      <c r="DJ220" t="e">
        <f>'All regions'!2061:2061-"$F;@!.0v"</f>
        <v>#VALUE!</v>
      </c>
      <c r="DK220" t="e">
        <f>'All regions'!2062:2062-"$F;@!.0w"</f>
        <v>#VALUE!</v>
      </c>
      <c r="DL220" t="e">
        <f>'All regions'!2063:2063-"$F;@!.0x"</f>
        <v>#VALUE!</v>
      </c>
      <c r="DM220" t="e">
        <f>'All regions'!2064:2064-"$F;@!.0y"</f>
        <v>#VALUE!</v>
      </c>
      <c r="DN220" t="e">
        <f>'All regions'!2065:2065-"$F;@!.0z"</f>
        <v>#VALUE!</v>
      </c>
      <c r="DO220" t="e">
        <f>'All regions'!2066:2066-"$F;@!.0{"</f>
        <v>#VALUE!</v>
      </c>
      <c r="DP220" t="e">
        <f>'All regions'!2067:2067-"$F;@!.0|"</f>
        <v>#VALUE!</v>
      </c>
      <c r="DQ220" t="e">
        <f>'All regions'!2068:2068-"$F;@!.0}"</f>
        <v>#VALUE!</v>
      </c>
      <c r="DR220" t="e">
        <f>'All regions'!2069:2069-"$F;@!.0~"</f>
        <v>#VALUE!</v>
      </c>
      <c r="DS220" t="e">
        <f>'All regions'!2070:2070-"$F;@!.1#"</f>
        <v>#VALUE!</v>
      </c>
      <c r="DT220" t="e">
        <f>'All regions'!2071:2071-"$F;@!.1$"</f>
        <v>#VALUE!</v>
      </c>
      <c r="DU220" t="e">
        <f>'All regions'!2072:2072-"$F;@!.1%"</f>
        <v>#VALUE!</v>
      </c>
      <c r="DV220" t="e">
        <f>'All regions'!2073:2073-"$F;@!.1&amp;"</f>
        <v>#VALUE!</v>
      </c>
      <c r="DW220" t="e">
        <f>'All regions'!2074:2074-"$F;@!.1'"</f>
        <v>#VALUE!</v>
      </c>
      <c r="DX220" t="e">
        <f>'All regions'!2075:2075-"$F;@!.1("</f>
        <v>#VALUE!</v>
      </c>
      <c r="DY220" t="e">
        <f>'All regions'!2076:2076-"$F;@!.1)"</f>
        <v>#VALUE!</v>
      </c>
      <c r="DZ220" t="e">
        <f>'All regions'!2077:2077-"$F;@!.1."</f>
        <v>#VALUE!</v>
      </c>
      <c r="EA220" t="e">
        <f>'All regions'!2078:2078-"$F;@!.1/"</f>
        <v>#VALUE!</v>
      </c>
      <c r="EB220" t="e">
        <f>'All regions'!2079:2079-"$F;@!.10"</f>
        <v>#VALUE!</v>
      </c>
      <c r="EC220" t="e">
        <f>'All regions'!2080:2080-"$F;@!.11"</f>
        <v>#VALUE!</v>
      </c>
      <c r="ED220" t="e">
        <f>'All regions'!2081:2081-"$F;@!.12"</f>
        <v>#VALUE!</v>
      </c>
      <c r="EE220" t="e">
        <f>'All regions'!2082:2082-"$F;@!.13"</f>
        <v>#VALUE!</v>
      </c>
      <c r="EF220" t="e">
        <f>'All regions'!2083:2083-"$F;@!.14"</f>
        <v>#VALUE!</v>
      </c>
      <c r="EG220" t="e">
        <f>'All regions'!2084:2084-"$F;@!.15"</f>
        <v>#VALUE!</v>
      </c>
      <c r="EH220" t="e">
        <f>'All regions'!2085:2085-"$F;@!.16"</f>
        <v>#VALUE!</v>
      </c>
      <c r="EI220" t="e">
        <f>'All regions'!2086:2086-"$F;@!.17"</f>
        <v>#VALUE!</v>
      </c>
      <c r="EJ220" t="e">
        <f>'All regions'!2087:2087-"$F;@!.18"</f>
        <v>#VALUE!</v>
      </c>
      <c r="EK220" t="e">
        <f>'All regions'!2088:2088-"$F;@!.19"</f>
        <v>#VALUE!</v>
      </c>
      <c r="EL220" t="e">
        <f>'All regions'!2089:2089-"$F;@!.1:"</f>
        <v>#VALUE!</v>
      </c>
      <c r="EM220" t="e">
        <f>'All regions'!2090:2090-"$F;@!.1;"</f>
        <v>#VALUE!</v>
      </c>
      <c r="EN220" t="e">
        <f>'All regions'!2091:2091-"$F;@!.1&lt;"</f>
        <v>#VALUE!</v>
      </c>
      <c r="EO220" t="e">
        <f>'All regions'!2092:2092-"$F;@!.1="</f>
        <v>#VALUE!</v>
      </c>
      <c r="EP220" t="e">
        <f>'All regions'!2093:2093-"$F;@!.1&gt;"</f>
        <v>#VALUE!</v>
      </c>
      <c r="EQ220" t="e">
        <f>'All regions'!2094:2094-"$F;@!.1?"</f>
        <v>#VALUE!</v>
      </c>
      <c r="ER220" t="e">
        <f>'All regions'!2095:2095-"$F;@!.1@"</f>
        <v>#VALUE!</v>
      </c>
      <c r="ES220" t="e">
        <f>'All regions'!2096:2096-"$F;@!.1A"</f>
        <v>#VALUE!</v>
      </c>
      <c r="ET220" t="e">
        <f>'All regions'!2097:2097-"$F;@!.1B"</f>
        <v>#VALUE!</v>
      </c>
      <c r="EU220" t="e">
        <f>'All regions'!2098:2098-"$F;@!.1C"</f>
        <v>#VALUE!</v>
      </c>
      <c r="EV220" t="e">
        <f>'All regions'!2099:2099-"$F;@!.1D"</f>
        <v>#VALUE!</v>
      </c>
      <c r="EW220" t="e">
        <f>'All regions'!2100:2100-"$F;@!.1E"</f>
        <v>#VALUE!</v>
      </c>
      <c r="EX220" t="e">
        <f>'All regions'!2101:2101-"$F;@!.1F"</f>
        <v>#VALUE!</v>
      </c>
      <c r="EY220" t="e">
        <f>'All regions'!2102:2102-"$F;@!.1G"</f>
        <v>#VALUE!</v>
      </c>
      <c r="EZ220" t="e">
        <f>'All regions'!2103:2103-"$F;@!.1H"</f>
        <v>#VALUE!</v>
      </c>
      <c r="FA220" t="e">
        <f>'All regions'!2104:2104-"$F;@!.1I"</f>
        <v>#VALUE!</v>
      </c>
      <c r="FB220" t="e">
        <f>'All regions'!2105:2105-"$F;@!.1J"</f>
        <v>#VALUE!</v>
      </c>
      <c r="FC220" t="e">
        <f>'All regions'!2106:2106-"$F;@!.1K"</f>
        <v>#VALUE!</v>
      </c>
      <c r="FD220" t="e">
        <f>'All regions'!2107:2107-"$F;@!.1L"</f>
        <v>#VALUE!</v>
      </c>
      <c r="FE220" t="e">
        <f>'All regions'!2108:2108-"$F;@!.1M"</f>
        <v>#VALUE!</v>
      </c>
      <c r="FF220" t="e">
        <f>'All regions'!2109:2109-"$F;@!.1N"</f>
        <v>#VALUE!</v>
      </c>
      <c r="FG220" t="e">
        <f>'All regions'!2110:2110-"$F;@!.1O"</f>
        <v>#VALUE!</v>
      </c>
      <c r="FH220" t="e">
        <f>'All regions'!2111:2111-"$F;@!.1P"</f>
        <v>#VALUE!</v>
      </c>
      <c r="FI220" t="e">
        <f>'All regions'!2112:2112-"$F;@!.1Q"</f>
        <v>#VALUE!</v>
      </c>
      <c r="FJ220" t="e">
        <f>'All regions'!2113:2113-"$F;@!.1R"</f>
        <v>#VALUE!</v>
      </c>
      <c r="FK220" t="e">
        <f>'All regions'!2115:2115-"$F;@!.1S"</f>
        <v>#VALUE!</v>
      </c>
      <c r="FL220" t="e">
        <f>'All regions'!2116:2116-"$F;@!.1T"</f>
        <v>#VALUE!</v>
      </c>
      <c r="FM220" t="e">
        <f>'All regions'!2117:2117-"$F;@!.1U"</f>
        <v>#VALUE!</v>
      </c>
      <c r="FN220" t="e">
        <f>'All regions'!2118:2118-"$F;@!.1V"</f>
        <v>#VALUE!</v>
      </c>
      <c r="FO220" t="e">
        <f>'All regions'!2120:2120-"$F;@!.1W"</f>
        <v>#VALUE!</v>
      </c>
      <c r="FP220" t="e">
        <f>'All regions'!2121:2121-"$F;@!.1X"</f>
        <v>#VALUE!</v>
      </c>
      <c r="FQ220" t="e">
        <f>'All regions'!2122:2122-"$F;@!.1Y"</f>
        <v>#VALUE!</v>
      </c>
      <c r="FR220" t="e">
        <f>'All regions'!2123:2123-"$F;@!.1Z"</f>
        <v>#VALUE!</v>
      </c>
      <c r="FS220" t="e">
        <f>'All regions'!2124:2124-"$F;@!.1["</f>
        <v>#VALUE!</v>
      </c>
      <c r="FT220" t="e">
        <f>'All regions'!2125:2125-"$F;@!.1\"</f>
        <v>#VALUE!</v>
      </c>
      <c r="FU220" t="e">
        <f>'All regions'!2126:2126-"$F;@!.1]"</f>
        <v>#VALUE!</v>
      </c>
      <c r="FV220" t="e">
        <f>'All regions'!2127:2127-"$F;@!.1^"</f>
        <v>#VALUE!</v>
      </c>
      <c r="FW220" t="e">
        <f>'All regions'!2128:2128-"$F;@!.1_"</f>
        <v>#VALUE!</v>
      </c>
      <c r="FX220" t="e">
        <f>'All regions'!2129:2129-"$F;@!.1`"</f>
        <v>#VALUE!</v>
      </c>
      <c r="FY220" t="e">
        <f>'All regions'!2130:2130-"$F;@!.1a"</f>
        <v>#VALUE!</v>
      </c>
      <c r="FZ220" t="e">
        <f>'All regions'!2131:2131-"$F;@!.1b"</f>
        <v>#VALUE!</v>
      </c>
      <c r="GA220" t="e">
        <f>'All regions'!2132:2132-"$F;@!.1c"</f>
        <v>#VALUE!</v>
      </c>
      <c r="GB220" t="e">
        <f>'All regions'!2133:2133-"$F;@!.1d"</f>
        <v>#VALUE!</v>
      </c>
      <c r="GC220" t="e">
        <f>'All regions'!2134:2134-"$F;@!.1e"</f>
        <v>#VALUE!</v>
      </c>
      <c r="GD220" t="e">
        <f>'All regions'!2135:2135-"$F;@!.1f"</f>
        <v>#VALUE!</v>
      </c>
      <c r="GE220" t="e">
        <f>'All regions'!2136:2136-"$F;@!.1g"</f>
        <v>#VALUE!</v>
      </c>
      <c r="GF220" t="e">
        <f>'All regions'!2137:2137-"$F;@!.1h"</f>
        <v>#VALUE!</v>
      </c>
      <c r="GG220" t="e">
        <f>'All regions'!2138:2138-"$F;@!.1i"</f>
        <v>#VALUE!</v>
      </c>
      <c r="GH220" t="e">
        <f>'All regions'!2139:2139-"$F;@!.1j"</f>
        <v>#VALUE!</v>
      </c>
      <c r="GI220" t="e">
        <f>'All regions'!2140:2140-"$F;@!.1k"</f>
        <v>#VALUE!</v>
      </c>
      <c r="GJ220" t="e">
        <f>'All regions'!2141:2141-"$F;@!.1l"</f>
        <v>#VALUE!</v>
      </c>
      <c r="GK220" t="e">
        <f>'All regions'!2142:2142-"$F;@!.1m"</f>
        <v>#VALUE!</v>
      </c>
      <c r="GL220" t="e">
        <f>'All regions'!2143:2143-"$F;@!.1n"</f>
        <v>#VALUE!</v>
      </c>
      <c r="GM220" t="e">
        <f>'All regions'!2144:2144-"$F;@!.1o"</f>
        <v>#VALUE!</v>
      </c>
      <c r="GN220" t="e">
        <f>'All regions'!2145:2145-"$F;@!.1p"</f>
        <v>#VALUE!</v>
      </c>
      <c r="GO220" t="e">
        <f>'All regions'!2146:2146-"$F;@!.1q"</f>
        <v>#VALUE!</v>
      </c>
      <c r="GP220" t="e">
        <f>'All regions'!2147:2147-"$F;@!.1r"</f>
        <v>#VALUE!</v>
      </c>
      <c r="GQ220" t="e">
        <f>'All regions'!2148:2148-"$F;@!.1s"</f>
        <v>#VALUE!</v>
      </c>
      <c r="GR220" t="e">
        <f>'All regions'!2149:2149-"$F;@!.1t"</f>
        <v>#VALUE!</v>
      </c>
      <c r="GS220" t="e">
        <f>'All regions'!2150:2150-"$F;@!.1u"</f>
        <v>#VALUE!</v>
      </c>
      <c r="GT220" t="e">
        <f>'All regions'!2151:2151-"$F;@!.1v"</f>
        <v>#VALUE!</v>
      </c>
      <c r="GU220" t="e">
        <f>'All regions'!2152:2152-"$F;@!.1w"</f>
        <v>#VALUE!</v>
      </c>
      <c r="GV220" t="e">
        <f>'All regions'!2153:2153-"$F;@!.1x"</f>
        <v>#VALUE!</v>
      </c>
      <c r="GW220" t="e">
        <f>'All regions'!2154:2154-"$F;@!.1y"</f>
        <v>#VALUE!</v>
      </c>
      <c r="GX220" t="e">
        <f>'All regions'!2160:2160-"$F;@!.1z"</f>
        <v>#VALUE!</v>
      </c>
      <c r="GY220" t="e">
        <f>'All regions'!2161:2161-"$F;@!.1{"</f>
        <v>#VALUE!</v>
      </c>
      <c r="GZ220" t="e">
        <f>'All regions'!2162:2162-"$F;@!.1|"</f>
        <v>#VALUE!</v>
      </c>
      <c r="HA220" t="e">
        <f>'All regions'!2163:2163-"$F;@!.1}"</f>
        <v>#VALUE!</v>
      </c>
      <c r="HB220" t="e">
        <f>'All regions'!2164:2164-"$F;@!.1~"</f>
        <v>#VALUE!</v>
      </c>
      <c r="HC220" t="e">
        <f>'All regions'!2165:2165-"$F;@!.2#"</f>
        <v>#VALUE!</v>
      </c>
      <c r="HD220" t="e">
        <f>'All regions'!2166:2166-"$F;@!.2$"</f>
        <v>#VALUE!</v>
      </c>
      <c r="HE220" t="e">
        <f>'All regions'!2167:2167-"$F;@!.2%"</f>
        <v>#VALUE!</v>
      </c>
      <c r="HF220" t="e">
        <f>'All regions'!2168:2168-"$F;@!.2&amp;"</f>
        <v>#VALUE!</v>
      </c>
      <c r="HG220" t="e">
        <f>'All regions'!2169:2169-"$F;@!.2'"</f>
        <v>#VALUE!</v>
      </c>
      <c r="HH220" t="e">
        <f>'All regions'!2170:2170-"$F;@!.2("</f>
        <v>#VALUE!</v>
      </c>
      <c r="HI220" t="e">
        <f>'All regions'!2171:2171-"$F;@!.2)"</f>
        <v>#VALUE!</v>
      </c>
      <c r="HJ220" t="e">
        <f>'All regions'!2172:2172-"$F;@!.2."</f>
        <v>#VALUE!</v>
      </c>
      <c r="HK220" t="e">
        <f>'All regions'!2173:2173-"$F;@!.2/"</f>
        <v>#VALUE!</v>
      </c>
      <c r="HL220" t="e">
        <f>'All regions'!2174:2174-"$F;@!.20"</f>
        <v>#VALUE!</v>
      </c>
      <c r="HM220" t="e">
        <f>'All regions'!2175:2175-"$F;@!.21"</f>
        <v>#VALUE!</v>
      </c>
      <c r="HN220" t="e">
        <f>'All regions'!2176:2176-"$F;@!.22"</f>
        <v>#VALUE!</v>
      </c>
      <c r="HO220" t="e">
        <f>'All regions'!2177:2177-"$F;@!.23"</f>
        <v>#VALUE!</v>
      </c>
      <c r="HP220" t="e">
        <f>'All regions'!2178:2178-"$F;@!.24"</f>
        <v>#VALUE!</v>
      </c>
      <c r="HQ220" t="e">
        <f>'All regions'!2179:2179-"$F;@!.25"</f>
        <v>#VALUE!</v>
      </c>
      <c r="HR220" t="e">
        <f>'All regions'!2180:2180-"$F;@!.26"</f>
        <v>#VALUE!</v>
      </c>
      <c r="HS220" t="e">
        <f>'All regions'!2181:2181-"$F;@!.27"</f>
        <v>#VALUE!</v>
      </c>
      <c r="HT220" t="e">
        <f>'All regions'!2182:2182-"$F;@!.28"</f>
        <v>#VALUE!</v>
      </c>
      <c r="HU220" t="e">
        <f>'All regions'!2183:2183-"$F;@!.29"</f>
        <v>#VALUE!</v>
      </c>
      <c r="HV220" t="e">
        <f>'All regions'!2184:2184-"$F;@!.2:"</f>
        <v>#VALUE!</v>
      </c>
      <c r="HW220" t="e">
        <f>'All regions'!2185:2185-"$F;@!.2;"</f>
        <v>#VALUE!</v>
      </c>
      <c r="HX220" t="e">
        <f>'All regions'!2186:2186-"$F;@!.2&lt;"</f>
        <v>#VALUE!</v>
      </c>
      <c r="HY220" t="e">
        <f>'All regions'!2187:2187-"$F;@!.2="</f>
        <v>#VALUE!</v>
      </c>
      <c r="HZ220" t="e">
        <f>'All regions'!2188:2188-"$F;@!.2&gt;"</f>
        <v>#VALUE!</v>
      </c>
      <c r="IA220" t="e">
        <f>'All regions'!2189:2189-"$F;@!.2?"</f>
        <v>#VALUE!</v>
      </c>
      <c r="IB220" t="e">
        <f>'All regions'!2190:2190-"$F;@!.2@"</f>
        <v>#VALUE!</v>
      </c>
      <c r="IC220" t="e">
        <f>'All regions'!2191:2191-"$F;@!.2A"</f>
        <v>#VALUE!</v>
      </c>
      <c r="ID220" t="e">
        <f>'All regions'!2192:2192-"$F;@!.2B"</f>
        <v>#VALUE!</v>
      </c>
      <c r="IE220" t="e">
        <f>'All regions'!2193:2193-"$F;@!.2C"</f>
        <v>#VALUE!</v>
      </c>
      <c r="IF220" t="e">
        <f>'All regions'!2194:2194-"$F;@!.2D"</f>
        <v>#VALUE!</v>
      </c>
      <c r="IG220" t="e">
        <f>'All regions'!2195:2195-"$F;@!.2E"</f>
        <v>#VALUE!</v>
      </c>
      <c r="IH220" t="e">
        <f>'All regions'!2196:2196-"$F;@!.2F"</f>
        <v>#VALUE!</v>
      </c>
      <c r="II220" t="e">
        <f>'All regions'!2197:2197-"$F;@!.2G"</f>
        <v>#VALUE!</v>
      </c>
      <c r="IJ220" t="e">
        <f>'All regions'!2198:2198-"$F;@!.2H"</f>
        <v>#VALUE!</v>
      </c>
      <c r="IK220" t="e">
        <f>'All regions'!2199:2199-"$F;@!.2I"</f>
        <v>#VALUE!</v>
      </c>
      <c r="IL220" t="e">
        <f>'All regions'!2200:2200-"$F;@!.2J"</f>
        <v>#VALUE!</v>
      </c>
      <c r="IM220" t="e">
        <f>'All regions'!2201:2201-"$F;@!.2K"</f>
        <v>#VALUE!</v>
      </c>
      <c r="IN220" t="e">
        <f>'All regions'!2202:2202-"$F;@!.2L"</f>
        <v>#VALUE!</v>
      </c>
      <c r="IO220" t="e">
        <f>'All regions'!2203:2203-"$F;@!.2M"</f>
        <v>#VALUE!</v>
      </c>
      <c r="IP220" t="e">
        <f>'All regions'!2204:2204-"$F;@!.2N"</f>
        <v>#VALUE!</v>
      </c>
      <c r="IQ220" t="e">
        <f>'All regions'!2205:2205-"$F;@!.2O"</f>
        <v>#VALUE!</v>
      </c>
      <c r="IR220" t="e">
        <f>'All regions'!2206:2206-"$F;@!.2P"</f>
        <v>#VALUE!</v>
      </c>
      <c r="IS220" t="e">
        <f>'All regions'!2207:2207-"$F;@!.2Q"</f>
        <v>#VALUE!</v>
      </c>
      <c r="IT220" t="e">
        <f>'All regions'!2208:2208-"$F;@!.2R"</f>
        <v>#VALUE!</v>
      </c>
      <c r="IU220" t="e">
        <f>'All regions'!2209:2209-"$F;@!.2S"</f>
        <v>#VALUE!</v>
      </c>
      <c r="IV220" t="e">
        <f>'All regions'!2210:2210-"$F;@!.2T"</f>
        <v>#VALUE!</v>
      </c>
    </row>
    <row r="221" spans="6:256" x14ac:dyDescent="0.35">
      <c r="F221" t="e">
        <f>'All regions'!2211:2211-"$F;@!.2U"</f>
        <v>#VALUE!</v>
      </c>
      <c r="G221" t="e">
        <f>'All regions'!2212:2212-"$F;@!.2V"</f>
        <v>#VALUE!</v>
      </c>
      <c r="H221" t="e">
        <f>'All regions'!2213:2213-"$F;@!.2W"</f>
        <v>#VALUE!</v>
      </c>
      <c r="I221" t="e">
        <f>'All regions'!2214:2214-"$F;@!.2X"</f>
        <v>#VALUE!</v>
      </c>
      <c r="J221" t="e">
        <f>'All regions'!2215:2215-"$F;@!.2Y"</f>
        <v>#VALUE!</v>
      </c>
      <c r="K221" t="e">
        <f>'All regions'!2216:2216-"$F;@!.2Z"</f>
        <v>#VALUE!</v>
      </c>
      <c r="L221" t="e">
        <f>'All regions'!2217:2217-"$F;@!.2["</f>
        <v>#VALUE!</v>
      </c>
      <c r="M221" t="e">
        <f>'All regions'!2218:2218-"$F;@!.2\"</f>
        <v>#VALUE!</v>
      </c>
      <c r="N221" t="e">
        <f>'All regions'!2219:2219-"$F;@!.2]"</f>
        <v>#VALUE!</v>
      </c>
      <c r="O221" t="e">
        <f>'All regions'!2220:2220-"$F;@!.2^"</f>
        <v>#VALUE!</v>
      </c>
      <c r="P221" t="e">
        <f>'All regions'!2221:2221-"$F;@!.2_"</f>
        <v>#VALUE!</v>
      </c>
      <c r="Q221" t="e">
        <f>'All regions'!2222:2222-"$F;@!.2`"</f>
        <v>#VALUE!</v>
      </c>
      <c r="R221" t="e">
        <f>'All regions'!2223:2223-"$F;@!.2a"</f>
        <v>#VALUE!</v>
      </c>
      <c r="S221" t="e">
        <f>'All regions'!2224:2224-"$F;@!.2b"</f>
        <v>#VALUE!</v>
      </c>
      <c r="T221" t="e">
        <f>'All regions'!2225:2225-"$F;@!.2c"</f>
        <v>#VALUE!</v>
      </c>
      <c r="U221" t="e">
        <f>'All regions'!2226:2226-"$F;@!.2d"</f>
        <v>#VALUE!</v>
      </c>
      <c r="V221" t="e">
        <f>'All regions'!2227:2227-"$F;@!.2e"</f>
        <v>#VALUE!</v>
      </c>
      <c r="W221" t="e">
        <f>'All regions'!2228:2228-"$F;@!.2f"</f>
        <v>#VALUE!</v>
      </c>
      <c r="X221" t="e">
        <f>'All regions'!2229:2229-"$F;@!.2g"</f>
        <v>#VALUE!</v>
      </c>
      <c r="Y221" t="e">
        <f>'All regions'!2230:2230-"$F;@!.2h"</f>
        <v>#VALUE!</v>
      </c>
      <c r="Z221" t="e">
        <f>'All regions'!2231:2231-"$F;@!.2i"</f>
        <v>#VALUE!</v>
      </c>
      <c r="AA221" t="e">
        <f>'All regions'!2232:2232-"$F;@!.2j"</f>
        <v>#VALUE!</v>
      </c>
      <c r="AB221" t="e">
        <f>'All regions'!2233:2233-"$F;@!.2k"</f>
        <v>#VALUE!</v>
      </c>
      <c r="AC221" t="e">
        <f>'All regions'!2234:2234-"$F;@!.2l"</f>
        <v>#VALUE!</v>
      </c>
      <c r="AD221" t="e">
        <f>'All regions'!2235:2235-"$F;@!.2m"</f>
        <v>#VALUE!</v>
      </c>
      <c r="AE221" t="e">
        <f>'All regions'!2236:2236-"$F;@!.2n"</f>
        <v>#VALUE!</v>
      </c>
      <c r="AF221" t="e">
        <f>'All regions'!2237:2237-"$F;@!.2o"</f>
        <v>#VALUE!</v>
      </c>
      <c r="AG221" t="e">
        <f>'All regions'!2238:2238-"$F;@!.2p"</f>
        <v>#VALUE!</v>
      </c>
      <c r="AH221" t="e">
        <f>'All regions'!2239:2239-"$F;@!.2q"</f>
        <v>#VALUE!</v>
      </c>
      <c r="AI221" t="e">
        <f>'All regions'!2240:2240-"$F;@!.2r"</f>
        <v>#VALUE!</v>
      </c>
      <c r="AJ221" t="e">
        <f>'All regions'!2241:2241-"$F;@!.2s"</f>
        <v>#VALUE!</v>
      </c>
      <c r="AK221" t="e">
        <f>'All regions'!2242:2242-"$F;@!.2t"</f>
        <v>#VALUE!</v>
      </c>
      <c r="AL221" t="e">
        <f>'All regions'!2243:2243-"$F;@!.2u"</f>
        <v>#VALUE!</v>
      </c>
      <c r="AM221" t="e">
        <f>'All regions'!2244:2244-"$F;@!.2v"</f>
        <v>#VALUE!</v>
      </c>
      <c r="AN221" t="e">
        <f>'All regions'!2245:2245-"$F;@!.2w"</f>
        <v>#VALUE!</v>
      </c>
      <c r="AO221" t="e">
        <f>'All regions'!2246:2246-"$F;@!.2x"</f>
        <v>#VALUE!</v>
      </c>
      <c r="AP221" t="e">
        <f>'All regions'!2247:2247-"$F;@!.2y"</f>
        <v>#VALUE!</v>
      </c>
      <c r="AQ221" t="e">
        <f>'All regions'!2248:2248-"$F;@!.2z"</f>
        <v>#VALUE!</v>
      </c>
      <c r="AR221" t="e">
        <f>'All regions'!2249:2249-"$F;@!.2{"</f>
        <v>#VALUE!</v>
      </c>
      <c r="AS221" t="e">
        <f>'All regions'!2250:2250-"$F;@!.2|"</f>
        <v>#VALUE!</v>
      </c>
      <c r="AT221" t="e">
        <f>'All regions'!2251:2251-"$F;@!.2}"</f>
        <v>#VALUE!</v>
      </c>
      <c r="AU221" t="e">
        <f>'All regions'!2252:2252-"$F;@!.2~"</f>
        <v>#VALUE!</v>
      </c>
      <c r="AV221" t="e">
        <f>'All regions'!2253:2253-"$F;@!.3#"</f>
        <v>#VALUE!</v>
      </c>
      <c r="AW221" t="e">
        <f>'All regions'!2254:2254-"$F;@!.3$"</f>
        <v>#VALUE!</v>
      </c>
      <c r="AX221" t="e">
        <f>'All regions'!2255:2255-"$F;@!.3%"</f>
        <v>#VALUE!</v>
      </c>
      <c r="AY221" t="e">
        <f>'All regions'!2256:2256-"$F;@!.3&amp;"</f>
        <v>#VALUE!</v>
      </c>
      <c r="AZ221" t="e">
        <f>'All regions'!2257:2257-"$F;@!.3'"</f>
        <v>#VALUE!</v>
      </c>
      <c r="BA221" t="e">
        <f>'All regions'!2258:2258-"$F;@!.3("</f>
        <v>#VALUE!</v>
      </c>
      <c r="BB221" t="e">
        <f>'All regions'!2259:2259-"$F;@!.3)"</f>
        <v>#VALUE!</v>
      </c>
      <c r="BC221" t="e">
        <f>'All regions'!2260:2260-"$F;@!.3."</f>
        <v>#VALUE!</v>
      </c>
      <c r="BD221" t="e">
        <f>'All regions'!2261:2261-"$F;@!.3/"</f>
        <v>#VALUE!</v>
      </c>
      <c r="BE221" t="e">
        <f>'All regions'!2262:2262-"$F;@!.30"</f>
        <v>#VALUE!</v>
      </c>
      <c r="BF221" t="e">
        <f>'All regions'!2263:2263-"$F;@!.31"</f>
        <v>#VALUE!</v>
      </c>
      <c r="BG221" t="e">
        <f>'All regions'!2264:2264-"$F;@!.32"</f>
        <v>#VALUE!</v>
      </c>
      <c r="BH221" t="e">
        <f>'All regions'!2265:2265-"$F;@!.33"</f>
        <v>#VALUE!</v>
      </c>
      <c r="BI221" t="e">
        <f>'All regions'!2266:2266-"$F;@!.34"</f>
        <v>#VALUE!</v>
      </c>
      <c r="BJ221" t="e">
        <f>'All regions'!2267:2267-"$F;@!.35"</f>
        <v>#VALUE!</v>
      </c>
      <c r="BK221" t="e">
        <f>'All regions'!2268:2268-"$F;@!.36"</f>
        <v>#VALUE!</v>
      </c>
      <c r="BL221" t="e">
        <f>'All regions'!2269:2269-"$F;@!.37"</f>
        <v>#VALUE!</v>
      </c>
      <c r="BM221" t="e">
        <f>'All regions'!2270:2270-"$F;@!.38"</f>
        <v>#VALUE!</v>
      </c>
      <c r="BN221" t="e">
        <f>'All regions'!2271:2271-"$F;@!.39"</f>
        <v>#VALUE!</v>
      </c>
      <c r="BO221" t="e">
        <f>'All regions'!2272:2272-"$F;@!.3:"</f>
        <v>#VALUE!</v>
      </c>
      <c r="BP221" t="e">
        <f>'All regions'!2273:2273-"$F;@!.3;"</f>
        <v>#VALUE!</v>
      </c>
      <c r="BQ221" t="e">
        <f>'All regions'!2274:2274-"$F;@!.3&lt;"</f>
        <v>#VALUE!</v>
      </c>
      <c r="BR221" t="e">
        <f>'All regions'!2275:2275-"$F;@!.3="</f>
        <v>#VALUE!</v>
      </c>
      <c r="BS221" t="e">
        <f>'All regions'!2276:2276-"$F;@!.3&gt;"</f>
        <v>#VALUE!</v>
      </c>
      <c r="BT221" t="e">
        <f>'All regions'!2277:2277-"$F;@!.3?"</f>
        <v>#VALUE!</v>
      </c>
      <c r="BU221" t="e">
        <f>'All regions'!2278:2278-"$F;@!.3@"</f>
        <v>#VALUE!</v>
      </c>
      <c r="BV221" t="e">
        <f>'All regions'!2279:2279-"$F;@!.3A"</f>
        <v>#VALUE!</v>
      </c>
      <c r="BW221" t="e">
        <f>'All regions'!2280:2280-"$F;@!.3B"</f>
        <v>#VALUE!</v>
      </c>
      <c r="BX221" t="e">
        <f>'All regions'!2281:2281-"$F;@!.3C"</f>
        <v>#VALUE!</v>
      </c>
      <c r="BY221" t="e">
        <f>'All regions'!2282:2282-"$F;@!.3D"</f>
        <v>#VALUE!</v>
      </c>
      <c r="BZ221" t="e">
        <f>'All regions'!2283:2283-"$F;@!.3E"</f>
        <v>#VALUE!</v>
      </c>
      <c r="CA221" t="e">
        <f>'All regions'!2284:2284-"$F;@!.3F"</f>
        <v>#VALUE!</v>
      </c>
      <c r="CB221" t="e">
        <f>'All regions'!2285:2285-"$F;@!.3G"</f>
        <v>#VALUE!</v>
      </c>
      <c r="CC221" t="e">
        <f>'All regions'!2286:2286-"$F;@!.3H"</f>
        <v>#VALUE!</v>
      </c>
      <c r="CD221" t="e">
        <f>'All regions'!2287:2287-"$F;@!.3I"</f>
        <v>#VALUE!</v>
      </c>
      <c r="CE221" t="e">
        <f>'All regions'!2288:2288-"$F;@!.3J"</f>
        <v>#VALUE!</v>
      </c>
      <c r="CF221" t="e">
        <f>'All regions'!2289:2289-"$F;@!.3K"</f>
        <v>#VALUE!</v>
      </c>
      <c r="CG221" t="e">
        <f>'All regions'!2290:2290-"$F;@!.3L"</f>
        <v>#VALUE!</v>
      </c>
      <c r="CH221" t="e">
        <f>'All regions'!2291:2291-"$F;@!.3M"</f>
        <v>#VALUE!</v>
      </c>
      <c r="CI221" t="e">
        <f>'All regions'!2292:2292-"$F;@!.3N"</f>
        <v>#VALUE!</v>
      </c>
      <c r="CJ221" t="e">
        <f>'All regions'!2293:2293-"$F;@!.3O"</f>
        <v>#VALUE!</v>
      </c>
      <c r="CK221" t="e">
        <f>'All regions'!2294:2294-"$F;@!.3P"</f>
        <v>#VALUE!</v>
      </c>
      <c r="CL221" t="e">
        <f>'All regions'!2295:2295-"$F;@!.3Q"</f>
        <v>#VALUE!</v>
      </c>
      <c r="CM221" t="e">
        <f>'All regions'!2296:2296-"$F;@!.3R"</f>
        <v>#VALUE!</v>
      </c>
      <c r="CN221" t="e">
        <f>'All regions'!2297:2297-"$F;@!.3S"</f>
        <v>#VALUE!</v>
      </c>
      <c r="CO221" t="e">
        <f>'All regions'!2298:2298-"$F;@!.3T"</f>
        <v>#VALUE!</v>
      </c>
      <c r="CP221" t="e">
        <f>'All regions'!2299:2299-"$F;@!.3U"</f>
        <v>#VALUE!</v>
      </c>
      <c r="CQ221" t="e">
        <f>'All regions'!2300:2300-"$F;@!.3V"</f>
        <v>#VALUE!</v>
      </c>
      <c r="CR221" t="e">
        <f>'All regions'!2301:2301-"$F;@!.3W"</f>
        <v>#VALUE!</v>
      </c>
      <c r="CS221" t="e">
        <f>'All regions'!2302:2302-"$F;@!.3X"</f>
        <v>#VALUE!</v>
      </c>
      <c r="CT221" t="e">
        <f>'All regions'!2303:2303-"$F;@!.3Y"</f>
        <v>#VALUE!</v>
      </c>
      <c r="CU221" t="e">
        <f>'All regions'!2304:2304-"$F;@!.3Z"</f>
        <v>#VALUE!</v>
      </c>
      <c r="CV221" t="e">
        <f>'All regions'!2305:2305-"$F;@!.3["</f>
        <v>#VALUE!</v>
      </c>
      <c r="CW221" t="e">
        <f>'All regions'!2306:2306-"$F;@!.3\"</f>
        <v>#VALUE!</v>
      </c>
      <c r="CX221" t="e">
        <f>'All regions'!2307:2307-"$F;@!.3]"</f>
        <v>#VALUE!</v>
      </c>
      <c r="CY221" t="e">
        <f>'All regions'!2308:2308-"$F;@!.3^"</f>
        <v>#VALUE!</v>
      </c>
      <c r="CZ221" t="e">
        <f>'All regions'!2309:2309-"$F;@!.3_"</f>
        <v>#VALUE!</v>
      </c>
      <c r="DA221" t="e">
        <f>'All regions'!2310:2310-"$F;@!.3`"</f>
        <v>#VALUE!</v>
      </c>
      <c r="DB221" t="e">
        <f>'All regions'!2311:2311-"$F;@!.3a"</f>
        <v>#VALUE!</v>
      </c>
      <c r="DC221" t="e">
        <f>'All regions'!2312:2312-"$F;@!.3b"</f>
        <v>#VALUE!</v>
      </c>
      <c r="DD221" t="e">
        <f>'All regions'!2313:2313-"$F;@!.3c"</f>
        <v>#VALUE!</v>
      </c>
      <c r="DE221" t="e">
        <f>'All regions'!2314:2314-"$F;@!.3d"</f>
        <v>#VALUE!</v>
      </c>
      <c r="DF221" t="e">
        <f>'All regions'!2315:2315-"$F;@!.3e"</f>
        <v>#VALUE!</v>
      </c>
      <c r="DG221" t="e">
        <f>'All regions'!2316:2316-"$F;@!.3f"</f>
        <v>#VALUE!</v>
      </c>
      <c r="DH221" t="e">
        <f>'All regions'!2317:2317-"$F;@!.3g"</f>
        <v>#VALUE!</v>
      </c>
      <c r="DI221" t="e">
        <f>'All regions'!2318:2318-"$F;@!.3h"</f>
        <v>#VALUE!</v>
      </c>
      <c r="DJ221" t="e">
        <f>'All regions'!2319:2319-"$F;@!.3i"</f>
        <v>#VALUE!</v>
      </c>
      <c r="DK221" t="e">
        <f>'All regions'!2320:2320-"$F;@!.3j"</f>
        <v>#VALUE!</v>
      </c>
      <c r="DL221" t="e">
        <f>'All regions'!2321:2321-"$F;@!.3k"</f>
        <v>#VALUE!</v>
      </c>
      <c r="DM221" t="e">
        <f>'All regions'!2322:2322-"$F;@!.3l"</f>
        <v>#VALUE!</v>
      </c>
      <c r="DN221" t="e">
        <f>'All regions'!2323:2323-"$F;@!.3m"</f>
        <v>#VALUE!</v>
      </c>
      <c r="DO221" t="e">
        <f>'All regions'!2324:2324-"$F;@!.3n"</f>
        <v>#VALUE!</v>
      </c>
      <c r="DP221" t="e">
        <f>'All regions'!2325:2325-"$F;@!.3o"</f>
        <v>#VALUE!</v>
      </c>
      <c r="DQ221" t="e">
        <f>'All regions'!2326:2326-"$F;@!.3p"</f>
        <v>#VALUE!</v>
      </c>
      <c r="DR221" t="e">
        <f>'All regions'!2327:2327-"$F;@!.3q"</f>
        <v>#VALUE!</v>
      </c>
      <c r="DS221" t="e">
        <f>'All regions'!2328:2328-"$F;@!.3r"</f>
        <v>#VALUE!</v>
      </c>
      <c r="DT221" t="e">
        <f>'All regions'!2329:2329-"$F;@!.3s"</f>
        <v>#VALUE!</v>
      </c>
      <c r="DU221" t="e">
        <f>'All regions'!2330:2330-"$F;@!.3t"</f>
        <v>#VALUE!</v>
      </c>
      <c r="DV221" t="e">
        <f>'All regions'!2331:2331-"$F;@!.3u"</f>
        <v>#VALUE!</v>
      </c>
      <c r="DW221" t="e">
        <f>'All regions'!2332:2332-"$F;@!.3v"</f>
        <v>#VALUE!</v>
      </c>
      <c r="DX221" t="e">
        <f>'All regions'!2333:2333-"$F;@!.3w"</f>
        <v>#VALUE!</v>
      </c>
      <c r="DY221" t="e">
        <f>'All regions'!2334:2334-"$F;@!.3x"</f>
        <v>#VALUE!</v>
      </c>
      <c r="DZ221" t="e">
        <f>'All regions'!2335:2335-"$F;@!.3y"</f>
        <v>#VALUE!</v>
      </c>
      <c r="EA221" t="e">
        <f>'All regions'!2336:2336-"$F;@!.3z"</f>
        <v>#VALUE!</v>
      </c>
      <c r="EB221" t="e">
        <f>'All regions'!2337:2337-"$F;@!.3{"</f>
        <v>#VALUE!</v>
      </c>
      <c r="EC221" t="e">
        <f>'All regions'!2338:2338-"$F;@!.3|"</f>
        <v>#VALUE!</v>
      </c>
      <c r="ED221" t="e">
        <f>'All regions'!2339:2339-"$F;@!.3}"</f>
        <v>#VALUE!</v>
      </c>
      <c r="EE221" t="e">
        <f>'All regions'!2340:2340-"$F;@!.3~"</f>
        <v>#VALUE!</v>
      </c>
      <c r="EF221" t="e">
        <f>'All regions'!2341:2341-"$F;@!.4#"</f>
        <v>#VALUE!</v>
      </c>
      <c r="EG221" t="e">
        <f>'All regions'!2342:2342-"$F;@!.4$"</f>
        <v>#VALUE!</v>
      </c>
      <c r="EH221" t="e">
        <f>'All regions'!2343:2343-"$F;@!.4%"</f>
        <v>#VALUE!</v>
      </c>
      <c r="EI221" t="e">
        <f>'All regions'!2344:2344-"$F;@!.4&amp;"</f>
        <v>#VALUE!</v>
      </c>
      <c r="EJ221" t="e">
        <f>'All regions'!2345:2345-"$F;@!.4'"</f>
        <v>#VALUE!</v>
      </c>
      <c r="EK221" t="e">
        <f>'All regions'!2346:2346-"$F;@!.4("</f>
        <v>#VALUE!</v>
      </c>
      <c r="EL221" t="e">
        <f>'All regions'!2347:2347-"$F;@!.4)"</f>
        <v>#VALUE!</v>
      </c>
      <c r="EM221" t="e">
        <f>'All regions'!2348:2348-"$F;@!.4."</f>
        <v>#VALUE!</v>
      </c>
      <c r="EN221" t="e">
        <f>'All regions'!2349:2349-"$F;@!.4/"</f>
        <v>#VALUE!</v>
      </c>
      <c r="EO221" t="e">
        <f>'All regions'!2350:2350-"$F;@!.40"</f>
        <v>#VALUE!</v>
      </c>
      <c r="EP221" t="e">
        <f>'All regions'!2351:2351-"$F;@!.41"</f>
        <v>#VALUE!</v>
      </c>
      <c r="EQ221" t="e">
        <f>'All regions'!2352:2352-"$F;@!.42"</f>
        <v>#VALUE!</v>
      </c>
      <c r="ER221" t="e">
        <f>'All regions'!2353:2353-"$F;@!.43"</f>
        <v>#VALUE!</v>
      </c>
      <c r="ES221" t="e">
        <f>'All regions'!2354:2354-"$F;@!.44"</f>
        <v>#VALUE!</v>
      </c>
      <c r="ET221" t="e">
        <f>'All regions'!2355:2355-"$F;@!.45"</f>
        <v>#VALUE!</v>
      </c>
      <c r="EU221" t="e">
        <f>'All regions'!2356:2356-"$F;@!.46"</f>
        <v>#VALUE!</v>
      </c>
      <c r="EV221" t="e">
        <f>'All regions'!2357:2357-"$F;@!.47"</f>
        <v>#VALUE!</v>
      </c>
      <c r="EW221" t="e">
        <f>'All regions'!2358:2358-"$F;@!.48"</f>
        <v>#VALUE!</v>
      </c>
      <c r="EX221" t="e">
        <f>'All regions'!2359:2359-"$F;@!.49"</f>
        <v>#VALUE!</v>
      </c>
      <c r="EY221" t="e">
        <f>'All regions'!2360:2360-"$F;@!.4:"</f>
        <v>#VALUE!</v>
      </c>
      <c r="EZ221" t="e">
        <f>'All regions'!2361:2361-"$F;@!.4;"</f>
        <v>#VALUE!</v>
      </c>
      <c r="FA221" t="e">
        <f>'All regions'!2362:2362-"$F;@!.4&lt;"</f>
        <v>#VALUE!</v>
      </c>
      <c r="FB221" t="e">
        <f>'All regions'!2363:2363-"$F;@!.4="</f>
        <v>#VALUE!</v>
      </c>
      <c r="FC221" t="e">
        <f>'All regions'!2364:2364-"$F;@!.4&gt;"</f>
        <v>#VALUE!</v>
      </c>
      <c r="FD221" t="e">
        <f>'All regions'!2365:2365-"$F;@!.4?"</f>
        <v>#VALUE!</v>
      </c>
      <c r="FE221" t="e">
        <f>'All regions'!2367:2367-"$F;@!.4@"</f>
        <v>#VALUE!</v>
      </c>
      <c r="FF221" t="e">
        <f>'All regions'!2368:2368-"$F;@!.4A"</f>
        <v>#VALUE!</v>
      </c>
      <c r="FG221" t="e">
        <f>'All regions'!2369:2369-"$F;@!.4B"</f>
        <v>#VALUE!</v>
      </c>
      <c r="FH221" t="e">
        <f>'All regions'!2370:2370-"$F;@!.4C"</f>
        <v>#VALUE!</v>
      </c>
      <c r="FI221" t="e">
        <f>'All regions'!2371:2371-"$F;@!.4D"</f>
        <v>#VALUE!</v>
      </c>
      <c r="FJ221" t="e">
        <f>'All regions'!2372:2372-"$F;@!.4E"</f>
        <v>#VALUE!</v>
      </c>
      <c r="FK221" t="e">
        <f>'All regions'!2373:2373-"$F;@!.4F"</f>
        <v>#VALUE!</v>
      </c>
      <c r="FL221" t="e">
        <f>'All regions'!2374:2374-"$F;@!.4G"</f>
        <v>#VALUE!</v>
      </c>
      <c r="FM221" t="e">
        <f>'All regions'!2375:2375-"$F;@!.4H"</f>
        <v>#VALUE!</v>
      </c>
      <c r="FN221" t="e">
        <f>'All regions'!2376:2376-"$F;@!.4I"</f>
        <v>#VALUE!</v>
      </c>
      <c r="FO221" t="e">
        <f>'All regions'!2377:2377-"$F;@!.4J"</f>
        <v>#VALUE!</v>
      </c>
      <c r="FP221" t="e">
        <f>'All regions'!2378:2378-"$F;@!.4K"</f>
        <v>#VALUE!</v>
      </c>
      <c r="FQ221" t="e">
        <f>'All regions'!2379:2379-"$F;@!.4L"</f>
        <v>#VALUE!</v>
      </c>
      <c r="FR221" t="e">
        <f>'All regions'!2380:2380-"$F;@!.4M"</f>
        <v>#VALUE!</v>
      </c>
      <c r="FS221" t="e">
        <f>'All regions'!2381:2381-"$F;@!.4N"</f>
        <v>#VALUE!</v>
      </c>
      <c r="FT221" t="e">
        <f>'All regions'!2382:2382-"$F;@!.4O"</f>
        <v>#VALUE!</v>
      </c>
      <c r="FU221" t="e">
        <f>'All regions'!2383:2383-"$F;@!.4P"</f>
        <v>#VALUE!</v>
      </c>
      <c r="FV221" t="e">
        <f>'All regions'!2384:2384-"$F;@!.4Q"</f>
        <v>#VALUE!</v>
      </c>
      <c r="FW221" t="e">
        <f>'All regions'!2385:2385-"$F;@!.4R"</f>
        <v>#VALUE!</v>
      </c>
      <c r="FX221" t="e">
        <f>'All regions'!2386:2386-"$F;@!.4S"</f>
        <v>#VALUE!</v>
      </c>
      <c r="FY221" t="e">
        <f>'All regions'!2387:2387-"$F;@!.4T"</f>
        <v>#VALUE!</v>
      </c>
      <c r="FZ221" t="e">
        <f>'All regions'!2388:2388-"$F;@!.4U"</f>
        <v>#VALUE!</v>
      </c>
      <c r="GA221" t="e">
        <f>'All regions'!2389:2389-"$F;@!.4V"</f>
        <v>#VALUE!</v>
      </c>
      <c r="GB221" t="e">
        <f>'All regions'!2390:2390-"$F;@!.4W"</f>
        <v>#VALUE!</v>
      </c>
      <c r="GC221" t="e">
        <f>'All regions'!2391:2391-"$F;@!.4X"</f>
        <v>#VALUE!</v>
      </c>
      <c r="GD221" t="e">
        <f>'All regions'!2392:2392-"$F;@!.4Y"</f>
        <v>#VALUE!</v>
      </c>
      <c r="GE221" t="e">
        <f>'All regions'!2393:2393-"$F;@!.4Z"</f>
        <v>#VALUE!</v>
      </c>
      <c r="GF221" t="e">
        <f>'All regions'!2394:2394-"$F;@!.4["</f>
        <v>#VALUE!</v>
      </c>
      <c r="GG221" t="e">
        <f>'All regions'!2395:2395-"$F;@!.4\"</f>
        <v>#VALUE!</v>
      </c>
      <c r="GH221" t="e">
        <f>'All regions'!2396:2396-"$F;@!.4]"</f>
        <v>#VALUE!</v>
      </c>
      <c r="GI221" t="e">
        <f>'All regions'!2397:2397-"$F;@!.4^"</f>
        <v>#VALUE!</v>
      </c>
      <c r="GJ221" t="e">
        <f>'All regions'!2398:2398-"$F;@!.4_"</f>
        <v>#VALUE!</v>
      </c>
      <c r="GK221" t="e">
        <f>'All regions'!2399:2399-"$F;@!.4`"</f>
        <v>#VALUE!</v>
      </c>
      <c r="GL221" t="e">
        <f>'All regions'!2400:2400-"$F;@!.4a"</f>
        <v>#VALUE!</v>
      </c>
      <c r="GM221" t="e">
        <f>'All regions'!2401:2401-"$F;@!.4b"</f>
        <v>#VALUE!</v>
      </c>
      <c r="GN221" t="e">
        <f>'All regions'!2402:2402-"$F;@!.4c"</f>
        <v>#VALUE!</v>
      </c>
      <c r="GO221" t="e">
        <f>'All regions'!2403:2403-"$F;@!.4d"</f>
        <v>#VALUE!</v>
      </c>
      <c r="GP221" t="e">
        <f>'All regions'!2404:2404-"$F;@!.4e"</f>
        <v>#VALUE!</v>
      </c>
      <c r="GQ221" t="e">
        <f>'All regions'!2405:2405-"$F;@!.4f"</f>
        <v>#VALUE!</v>
      </c>
      <c r="GR221" t="e">
        <f>'All regions'!2406:2406-"$F;@!.4g"</f>
        <v>#VALUE!</v>
      </c>
      <c r="GS221" t="e">
        <f>'All regions'!2407:2407-"$F;@!.4h"</f>
        <v>#VALUE!</v>
      </c>
      <c r="GT221" t="e">
        <f>'All regions'!2408:2408-"$F;@!.4i"</f>
        <v>#VALUE!</v>
      </c>
      <c r="GU221" t="e">
        <f>'All regions'!2409:2409-"$F;@!.4j"</f>
        <v>#VALUE!</v>
      </c>
      <c r="GV221" t="e">
        <f>'All regions'!2410:2410-"$F;@!.4k"</f>
        <v>#VALUE!</v>
      </c>
      <c r="GW221" t="e">
        <f>'All regions'!2411:2411-"$F;@!.4l"</f>
        <v>#VALUE!</v>
      </c>
      <c r="GX221" t="e">
        <f>'All regions'!2412:2412-"$F;@!.4m"</f>
        <v>#VALUE!</v>
      </c>
      <c r="GY221" t="e">
        <f>'All regions'!2413:2413-"$F;@!.4n"</f>
        <v>#VALUE!</v>
      </c>
      <c r="GZ221" t="e">
        <f>'All regions'!2414:2414-"$F;@!.4o"</f>
        <v>#VALUE!</v>
      </c>
      <c r="HA221" t="e">
        <f>'All regions'!2415:2415-"$F;@!.4p"</f>
        <v>#VALUE!</v>
      </c>
      <c r="HB221" t="e">
        <f>'All regions'!2416:2416-"$F;@!.4q"</f>
        <v>#VALUE!</v>
      </c>
      <c r="HC221" t="e">
        <f>'All regions'!2417:2417-"$F;@!.4r"</f>
        <v>#VALUE!</v>
      </c>
      <c r="HD221" t="e">
        <f>'All regions'!2418:2418-"$F;@!.4s"</f>
        <v>#VALUE!</v>
      </c>
      <c r="HE221" t="e">
        <f>'All regions'!2419:2419-"$F;@!.4t"</f>
        <v>#VALUE!</v>
      </c>
      <c r="HF221" t="e">
        <f>'All regions'!2420:2420-"$F;@!.4u"</f>
        <v>#VALUE!</v>
      </c>
      <c r="HG221" t="e">
        <f>'All regions'!2421:2421-"$F;@!.4v"</f>
        <v>#VALUE!</v>
      </c>
      <c r="HH221" t="e">
        <f>'All regions'!2422:2422-"$F;@!.4w"</f>
        <v>#VALUE!</v>
      </c>
      <c r="HI221" t="e">
        <f>'All regions'!2423:2423-"$F;@!.4x"</f>
        <v>#VALUE!</v>
      </c>
      <c r="HJ221" t="e">
        <f>'All regions'!2424:2424-"$F;@!.4y"</f>
        <v>#VALUE!</v>
      </c>
      <c r="HK221" t="e">
        <f>'All regions'!2425:2425-"$F;@!.4z"</f>
        <v>#VALUE!</v>
      </c>
      <c r="HL221" t="e">
        <f>'All regions'!2426:2426-"$F;@!.4{"</f>
        <v>#VALUE!</v>
      </c>
      <c r="HM221" t="e">
        <f>'All regions'!2427:2427-"$F;@!.4|"</f>
        <v>#VALUE!</v>
      </c>
      <c r="HN221" t="e">
        <f>'All regions'!2428:2428-"$F;@!.4}"</f>
        <v>#VALUE!</v>
      </c>
      <c r="HO221" t="e">
        <f>'All regions'!2429:2429-"$F;@!.4~"</f>
        <v>#VALUE!</v>
      </c>
      <c r="HP221" t="e">
        <f>'All regions'!2430:2430-"$F;@!.5#"</f>
        <v>#VALUE!</v>
      </c>
      <c r="HQ221" t="e">
        <f>'All regions'!2431:2431-"$F;@!.5$"</f>
        <v>#VALUE!</v>
      </c>
      <c r="HR221" t="e">
        <f>'All regions'!2432:2432-"$F;@!.5%"</f>
        <v>#VALUE!</v>
      </c>
      <c r="HS221" t="e">
        <f>'All regions'!2433:2433-"$F;@!.5&amp;"</f>
        <v>#VALUE!</v>
      </c>
      <c r="HT221" t="e">
        <f>'All regions'!2434:2434-"$F;@!.5'"</f>
        <v>#VALUE!</v>
      </c>
      <c r="HU221" t="e">
        <f>'All regions'!2435:2435-"$F;@!.5("</f>
        <v>#VALUE!</v>
      </c>
      <c r="HV221" t="e">
        <f>'All regions'!2436:2436-"$F;@!.5)"</f>
        <v>#VALUE!</v>
      </c>
      <c r="HW221" t="e">
        <f>'All regions'!2437:2437-"$F;@!.5."</f>
        <v>#VALUE!</v>
      </c>
      <c r="HX221" t="e">
        <f>'All regions'!2438:2438-"$F;@!.5/"</f>
        <v>#VALUE!</v>
      </c>
      <c r="HY221" t="e">
        <f>'All regions'!2439:2439-"$F;@!.50"</f>
        <v>#VALUE!</v>
      </c>
      <c r="HZ221" t="e">
        <f>'All regions'!2440:2440-"$F;@!.51"</f>
        <v>#VALUE!</v>
      </c>
      <c r="IA221" t="e">
        <f>'All regions'!2441:2441-"$F;@!.52"</f>
        <v>#VALUE!</v>
      </c>
      <c r="IB221" t="e">
        <f>'All regions'!2442:2442-"$F;@!.53"</f>
        <v>#VALUE!</v>
      </c>
      <c r="IC221" t="e">
        <f>'All regions'!2443:2443-"$F;@!.54"</f>
        <v>#VALUE!</v>
      </c>
      <c r="ID221" t="e">
        <f>'All regions'!2444:2444-"$F;@!.55"</f>
        <v>#VALUE!</v>
      </c>
      <c r="IE221" t="e">
        <f>'All regions'!2445:2445-"$F;@!.56"</f>
        <v>#VALUE!</v>
      </c>
      <c r="IF221" t="e">
        <f>'All regions'!2446:2446-"$F;@!.57"</f>
        <v>#VALUE!</v>
      </c>
      <c r="IG221" t="e">
        <f>'All regions'!2447:2447-"$F;@!.58"</f>
        <v>#VALUE!</v>
      </c>
      <c r="IH221" t="e">
        <f>'All regions'!2448:2448-"$F;@!.59"</f>
        <v>#VALUE!</v>
      </c>
      <c r="II221" t="e">
        <f>'All regions'!2449:2449-"$F;@!.5:"</f>
        <v>#VALUE!</v>
      </c>
      <c r="IJ221" t="e">
        <f>'All regions'!2450:2450-"$F;@!.5;"</f>
        <v>#VALUE!</v>
      </c>
      <c r="IK221" t="e">
        <f>'All regions'!2451:2451-"$F;@!.5&lt;"</f>
        <v>#VALUE!</v>
      </c>
      <c r="IL221" t="e">
        <f>'All regions'!2452:2452-"$F;@!.5="</f>
        <v>#VALUE!</v>
      </c>
      <c r="IM221" t="e">
        <f>'All regions'!2453:2453-"$F;@!.5&gt;"</f>
        <v>#VALUE!</v>
      </c>
      <c r="IN221" t="e">
        <f>'All regions'!2454:2454-"$F;@!.5?"</f>
        <v>#VALUE!</v>
      </c>
      <c r="IO221" t="e">
        <f>'All regions'!2455:2455-"$F;@!.5@"</f>
        <v>#VALUE!</v>
      </c>
      <c r="IP221" t="e">
        <f>'All regions'!2456:2456-"$F;@!.5A"</f>
        <v>#VALUE!</v>
      </c>
      <c r="IQ221" t="e">
        <f>'All regions'!2457:2457-"$F;@!.5B"</f>
        <v>#VALUE!</v>
      </c>
      <c r="IR221" t="e">
        <f>'All regions'!2458:2458-"$F;@!.5C"</f>
        <v>#VALUE!</v>
      </c>
      <c r="IS221" t="e">
        <f>'All regions'!2459:2459-"$F;@!.5D"</f>
        <v>#VALUE!</v>
      </c>
      <c r="IT221" t="e">
        <f>'All regions'!2460:2460-"$F;@!.5E"</f>
        <v>#VALUE!</v>
      </c>
      <c r="IU221" t="e">
        <f>'All regions'!2461:2461-"$F;@!.5F"</f>
        <v>#VALUE!</v>
      </c>
      <c r="IV221" t="e">
        <f>'All regions'!2462:2462-"$F;@!.5G"</f>
        <v>#VALUE!</v>
      </c>
    </row>
    <row r="222" spans="6:256" x14ac:dyDescent="0.35">
      <c r="F222" t="e">
        <f>'All regions'!2463:2463-"$F;@!.5H"</f>
        <v>#VALUE!</v>
      </c>
      <c r="G222" t="e">
        <f>'All regions'!2464:2464-"$F;@!.5I"</f>
        <v>#VALUE!</v>
      </c>
      <c r="H222" t="e">
        <f>'All regions'!2465:2465-"$F;@!.5J"</f>
        <v>#VALUE!</v>
      </c>
      <c r="I222" t="e">
        <f>'All regions'!2466:2466-"$F;@!.5K"</f>
        <v>#VALUE!</v>
      </c>
      <c r="J222" t="e">
        <f>'All regions'!2467:2467-"$F;@!.5L"</f>
        <v>#VALUE!</v>
      </c>
      <c r="K222" t="e">
        <f>'All regions'!2468:2468-"$F;@!.5M"</f>
        <v>#VALUE!</v>
      </c>
      <c r="L222" t="e">
        <f>'All regions'!2469:2469-"$F;@!.5N"</f>
        <v>#VALUE!</v>
      </c>
      <c r="M222" t="e">
        <f>'All regions'!2470:2470-"$F;@!.5O"</f>
        <v>#VALUE!</v>
      </c>
      <c r="N222" t="e">
        <f>'All regions'!2471:2471-"$F;@!.5P"</f>
        <v>#VALUE!</v>
      </c>
      <c r="O222" t="e">
        <f>'All regions'!2472:2472-"$F;@!.5Q"</f>
        <v>#VALUE!</v>
      </c>
      <c r="P222" t="e">
        <f>'All regions'!2473:2473-"$F;@!.5R"</f>
        <v>#VALUE!</v>
      </c>
      <c r="Q222" t="e">
        <f>'All regions'!2474:2474-"$F;@!.5S"</f>
        <v>#VALUE!</v>
      </c>
      <c r="R222" t="e">
        <f>'All regions'!2475:2475-"$F;@!.5T"</f>
        <v>#VALUE!</v>
      </c>
      <c r="S222" t="e">
        <f>'All regions'!2476:2476-"$F;@!.5U"</f>
        <v>#VALUE!</v>
      </c>
      <c r="T222" t="e">
        <f>'All regions'!2477:2477-"$F;@!.5V"</f>
        <v>#VALUE!</v>
      </c>
      <c r="U222" t="e">
        <f>'All regions'!2478:2478-"$F;@!.5W"</f>
        <v>#VALUE!</v>
      </c>
      <c r="V222" t="e">
        <f>'All regions'!2479:2479-"$F;@!.5X"</f>
        <v>#VALUE!</v>
      </c>
      <c r="W222" t="e">
        <f>'All regions'!2480:2480-"$F;@!.5Y"</f>
        <v>#VALUE!</v>
      </c>
      <c r="X222" t="e">
        <f>'All regions'!2481:2481-"$F;@!.5Z"</f>
        <v>#VALUE!</v>
      </c>
      <c r="Y222" t="e">
        <f>'All regions'!2482:2482-"$F;@!.5["</f>
        <v>#VALUE!</v>
      </c>
      <c r="Z222" t="e">
        <f>'All regions'!2483:2483-"$F;@!.5\"</f>
        <v>#VALUE!</v>
      </c>
      <c r="AA222" t="e">
        <f>'All regions'!2484:2484-"$F;@!.5]"</f>
        <v>#VALUE!</v>
      </c>
      <c r="AB222" t="e">
        <f>'All regions'!2485:2485-"$F;@!.5^"</f>
        <v>#VALUE!</v>
      </c>
      <c r="AC222" t="e">
        <f>'All regions'!2486:2486-"$F;@!.5_"</f>
        <v>#VALUE!</v>
      </c>
      <c r="AD222" t="e">
        <f>'All regions'!2487:2487-"$F;@!.5`"</f>
        <v>#VALUE!</v>
      </c>
      <c r="AE222" t="e">
        <f>'All regions'!2488:2488-"$F;@!.5a"</f>
        <v>#VALUE!</v>
      </c>
      <c r="AF222" t="e">
        <f>'All regions'!2489:2489-"$F;@!.5b"</f>
        <v>#VALUE!</v>
      </c>
      <c r="AG222" t="e">
        <f>'All regions'!2490:2490-"$F;@!.5c"</f>
        <v>#VALUE!</v>
      </c>
      <c r="AH222" t="e">
        <f>'All regions'!2491:2491-"$F;@!.5d"</f>
        <v>#VALUE!</v>
      </c>
      <c r="AI222" t="e">
        <f>'All regions'!2492:2492-"$F;@!.5e"</f>
        <v>#VALUE!</v>
      </c>
      <c r="AJ222" t="e">
        <f>'All regions'!2493:2493-"$F;@!.5f"</f>
        <v>#VALUE!</v>
      </c>
      <c r="AK222" t="e">
        <f>'All regions'!2494:2494-"$F;@!.5g"</f>
        <v>#VALUE!</v>
      </c>
      <c r="AL222" t="e">
        <f>'All regions'!2495:2495-"$F;@!.5h"</f>
        <v>#VALUE!</v>
      </c>
      <c r="AM222" t="e">
        <f>'All regions'!2496:2496-"$F;@!.5i"</f>
        <v>#VALUE!</v>
      </c>
      <c r="AN222" t="e">
        <f>'All regions'!2497:2497-"$F;@!.5j"</f>
        <v>#VALUE!</v>
      </c>
      <c r="AO222" t="e">
        <f>'All regions'!2498:2498-"$F;@!.5k"</f>
        <v>#VALUE!</v>
      </c>
      <c r="AP222" t="e">
        <f>'All regions'!2499:2499-"$F;@!.5l"</f>
        <v>#VALUE!</v>
      </c>
      <c r="AQ222" t="e">
        <f>'All regions'!2500:2500-"$F;@!.5m"</f>
        <v>#VALUE!</v>
      </c>
      <c r="AR222" t="e">
        <f>'All regions'!2501:2501-"$F;@!.5n"</f>
        <v>#VALUE!</v>
      </c>
      <c r="AS222" t="e">
        <f>'All regions'!2502:2502-"$F;@!.5o"</f>
        <v>#VALUE!</v>
      </c>
      <c r="AT222" t="e">
        <f>'All regions'!2503:2503-"$F;@!.5p"</f>
        <v>#VALUE!</v>
      </c>
      <c r="AU222" t="e">
        <f>'All regions'!2504:2504-"$F;@!.5q"</f>
        <v>#VALUE!</v>
      </c>
      <c r="AV222" t="e">
        <f>'All regions'!2505:2505-"$F;@!.5r"</f>
        <v>#VALUE!</v>
      </c>
      <c r="AW222" t="e">
        <f>'All regions'!2506:2506-"$F;@!.5s"</f>
        <v>#VALUE!</v>
      </c>
      <c r="AX222" t="e">
        <f>'All regions'!2507:2507-"$F;@!.5t"</f>
        <v>#VALUE!</v>
      </c>
      <c r="AY222" t="e">
        <f>'All regions'!2508:2508-"$F;@!.5u"</f>
        <v>#VALUE!</v>
      </c>
      <c r="AZ222" t="e">
        <f>'All regions'!2509:2509-"$F;@!.5v"</f>
        <v>#VALUE!</v>
      </c>
      <c r="BA222" t="e">
        <f>'All regions'!2510:2510-"$F;@!.5w"</f>
        <v>#VALUE!</v>
      </c>
      <c r="BB222" t="e">
        <f>'All regions'!2511:2511-"$F;@!.5x"</f>
        <v>#VALUE!</v>
      </c>
      <c r="BC222" t="e">
        <f>'All regions'!2512:2512-"$F;@!.5y"</f>
        <v>#VALUE!</v>
      </c>
      <c r="BD222" t="e">
        <f>'All regions'!2513:2513-"$F;@!.5z"</f>
        <v>#VALUE!</v>
      </c>
      <c r="BE222" t="e">
        <f>'All regions'!2514:2514-"$F;@!.5{"</f>
        <v>#VALUE!</v>
      </c>
      <c r="BF222" t="e">
        <f>'All regions'!2515:2515-"$F;@!.5|"</f>
        <v>#VALUE!</v>
      </c>
      <c r="BG222" t="e">
        <f>'All regions'!2516:2516-"$F;@!.5}"</f>
        <v>#VALUE!</v>
      </c>
      <c r="BH222" t="e">
        <f>'All regions'!2517:2517-"$F;@!.5~"</f>
        <v>#VALUE!</v>
      </c>
      <c r="BI222" t="e">
        <f>'All regions'!2518:2518-"$F;@!.6#"</f>
        <v>#VALUE!</v>
      </c>
      <c r="BJ222" t="e">
        <f>'All regions'!2519:2519-"$F;@!.6$"</f>
        <v>#VALUE!</v>
      </c>
      <c r="BK222" t="e">
        <f>'All regions'!2520:2520-"$F;@!.6%"</f>
        <v>#VALUE!</v>
      </c>
      <c r="BL222" t="e">
        <f>'All regions'!2521:2521-"$F;@!.6&amp;"</f>
        <v>#VALUE!</v>
      </c>
      <c r="BM222" t="e">
        <f>'All regions'!2522:2522-"$F;@!.6'"</f>
        <v>#VALUE!</v>
      </c>
      <c r="BN222" t="e">
        <f>'All regions'!2523:2523-"$F;@!.6("</f>
        <v>#VALUE!</v>
      </c>
      <c r="BO222" t="e">
        <f>'All regions'!2524:2524-"$F;@!.6)"</f>
        <v>#VALUE!</v>
      </c>
      <c r="BP222" t="e">
        <f>'All regions'!2525:2525-"$F;@!.6."</f>
        <v>#VALUE!</v>
      </c>
      <c r="BQ222" t="e">
        <f>'All regions'!2526:2526-"$F;@!.6/"</f>
        <v>#VALUE!</v>
      </c>
      <c r="BR222" t="e">
        <f>'All regions'!2527:2527-"$F;@!.60"</f>
        <v>#VALUE!</v>
      </c>
      <c r="BS222" t="e">
        <f>'All regions'!2528:2528-"$F;@!.61"</f>
        <v>#VALUE!</v>
      </c>
      <c r="BT222" t="e">
        <f>'All regions'!2529:2529-"$F;@!.62"</f>
        <v>#VALUE!</v>
      </c>
      <c r="BU222" t="e">
        <f>'All regions'!2530:2530-"$F;@!.63"</f>
        <v>#VALUE!</v>
      </c>
      <c r="BV222" t="e">
        <f>'All regions'!2531:2531-"$F;@!.64"</f>
        <v>#VALUE!</v>
      </c>
      <c r="BW222" t="e">
        <f>'All regions'!2532:2532-"$F;@!.65"</f>
        <v>#VALUE!</v>
      </c>
      <c r="BX222" t="e">
        <f>'All regions'!2533:2533-"$F;@!.66"</f>
        <v>#VALUE!</v>
      </c>
      <c r="BY222" t="e">
        <f>'All regions'!2534:2534-"$F;@!.67"</f>
        <v>#VALUE!</v>
      </c>
      <c r="BZ222" t="e">
        <f>'All regions'!2535:2535-"$F;@!.68"</f>
        <v>#VALUE!</v>
      </c>
      <c r="CA222" t="e">
        <f>'All regions'!2536:2536-"$F;@!.69"</f>
        <v>#VALUE!</v>
      </c>
      <c r="CB222" t="e">
        <f>'All regions'!2537:2537-"$F;@!.6:"</f>
        <v>#VALUE!</v>
      </c>
      <c r="CC222" t="e">
        <f>'All regions'!2538:2538-"$F;@!.6;"</f>
        <v>#VALUE!</v>
      </c>
      <c r="CD222" t="e">
        <f>'All regions'!2539:2539-"$F;@!.6&lt;"</f>
        <v>#VALUE!</v>
      </c>
      <c r="CE222" t="e">
        <f>'All regions'!2540:2540-"$F;@!.6="</f>
        <v>#VALUE!</v>
      </c>
      <c r="CF222" t="e">
        <f>'All regions'!2541:2541-"$F;@!.6&gt;"</f>
        <v>#VALUE!</v>
      </c>
      <c r="CG222" t="e">
        <f>'All regions'!2542:2542-"$F;@!.6?"</f>
        <v>#VALUE!</v>
      </c>
      <c r="CH222" t="e">
        <f>'All regions'!2543:2543-"$F;@!.6@"</f>
        <v>#VALUE!</v>
      </c>
      <c r="CI222" t="e">
        <f>'All regions'!2544:2544-"$F;@!.6A"</f>
        <v>#VALUE!</v>
      </c>
      <c r="CJ222" t="e">
        <f>'All regions'!2545:2545-"$F;@!.6B"</f>
        <v>#VALUE!</v>
      </c>
      <c r="CK222" t="e">
        <f>'All regions'!2546:2546-"$F;@!.6C"</f>
        <v>#VALUE!</v>
      </c>
      <c r="CL222" t="e">
        <f>'All regions'!2547:2547-"$F;@!.6D"</f>
        <v>#VALUE!</v>
      </c>
      <c r="CM222" t="e">
        <f>'All regions'!2548:2548-"$F;@!.6E"</f>
        <v>#VALUE!</v>
      </c>
      <c r="CN222" t="e">
        <f>'All regions'!2549:2549-"$F;@!.6F"</f>
        <v>#VALUE!</v>
      </c>
      <c r="CO222" t="e">
        <f>'All regions'!2550:2550-"$F;@!.6G"</f>
        <v>#VALUE!</v>
      </c>
      <c r="CP222" t="e">
        <f>'All regions'!2551:2551-"$F;@!.6H"</f>
        <v>#VALUE!</v>
      </c>
      <c r="CQ222" t="e">
        <f>'All regions'!2552:2552-"$F;@!.6I"</f>
        <v>#VALUE!</v>
      </c>
      <c r="CR222" t="e">
        <f>'All regions'!2553:2553-"$F;@!.6J"</f>
        <v>#VALUE!</v>
      </c>
      <c r="CS222" t="e">
        <f>'All regions'!2554:2554-"$F;@!.6K"</f>
        <v>#VALUE!</v>
      </c>
      <c r="CT222" t="e">
        <f>'All regions'!2555:2555-"$F;@!.6L"</f>
        <v>#VALUE!</v>
      </c>
      <c r="CU222" t="e">
        <f>'All regions'!2556:2556-"$F;@!.6M"</f>
        <v>#VALUE!</v>
      </c>
      <c r="CV222" t="e">
        <f>'All regions'!2557:2557-"$F;@!.6N"</f>
        <v>#VALUE!</v>
      </c>
      <c r="CW222" t="e">
        <f>'All regions'!2558:2558-"$F;@!.6O"</f>
        <v>#VALUE!</v>
      </c>
      <c r="CX222" t="e">
        <f>'All regions'!2559:2559-"$F;@!.6P"</f>
        <v>#VALUE!</v>
      </c>
      <c r="CY222" t="e">
        <f>'All regions'!2560:2560-"$F;@!.6Q"</f>
        <v>#VALUE!</v>
      </c>
      <c r="CZ222" t="e">
        <f>'All regions'!2561:2561-"$F;@!.6R"</f>
        <v>#VALUE!</v>
      </c>
      <c r="DA222" t="e">
        <f>'All regions'!2562:2562-"$F;@!.6S"</f>
        <v>#VALUE!</v>
      </c>
      <c r="DB222" t="e">
        <f>'All regions'!2563:2563-"$F;@!.6T"</f>
        <v>#VALUE!</v>
      </c>
      <c r="DC222" t="e">
        <f>'All regions'!2564:2564-"$F;@!.6U"</f>
        <v>#VALUE!</v>
      </c>
      <c r="DD222" t="e">
        <f>'All regions'!2565:2565-"$F;@!.6V"</f>
        <v>#VALUE!</v>
      </c>
      <c r="DE222" t="e">
        <f>'All regions'!2566:2566-"$F;@!.6W"</f>
        <v>#VALUE!</v>
      </c>
      <c r="DF222" t="e">
        <f>'All regions'!2567:2567-"$F;@!.6X"</f>
        <v>#VALUE!</v>
      </c>
      <c r="DG222" t="e">
        <f>'All regions'!2568:2568-"$F;@!.6Y"</f>
        <v>#VALUE!</v>
      </c>
      <c r="DH222" t="e">
        <f>'All regions'!2569:2569-"$F;@!.6Z"</f>
        <v>#VALUE!</v>
      </c>
      <c r="DI222" t="e">
        <f>'All regions'!2570:2570-"$F;@!.6["</f>
        <v>#VALUE!</v>
      </c>
      <c r="DJ222" t="e">
        <f>'All regions'!2571:2571-"$F;@!.6\"</f>
        <v>#VALUE!</v>
      </c>
      <c r="DK222" t="e">
        <f>'All regions'!2572:2572-"$F;@!.6]"</f>
        <v>#VALUE!</v>
      </c>
      <c r="DL222" t="e">
        <f>'All regions'!2573:2573-"$F;@!.6^"</f>
        <v>#VALUE!</v>
      </c>
      <c r="DM222" t="e">
        <f>'All regions'!2574:2574-"$F;@!.6_"</f>
        <v>#VALUE!</v>
      </c>
      <c r="DN222" t="e">
        <f>'All regions'!2575:2575-"$F;@!.6`"</f>
        <v>#VALUE!</v>
      </c>
      <c r="DO222" t="e">
        <f>'All regions'!2576:2576-"$F;@!.6a"</f>
        <v>#VALUE!</v>
      </c>
      <c r="DP222" t="e">
        <f>'All regions'!2577:2577-"$F;@!.6b"</f>
        <v>#VALUE!</v>
      </c>
      <c r="DQ222" t="e">
        <f>'All regions'!2578:2578-"$F;@!.6c"</f>
        <v>#VALUE!</v>
      </c>
      <c r="DR222" t="e">
        <f>'All regions'!2579:2579-"$F;@!.6d"</f>
        <v>#VALUE!</v>
      </c>
      <c r="DS222" t="e">
        <f>'All regions'!2580:2580-"$F;@!.6e"</f>
        <v>#VALUE!</v>
      </c>
      <c r="DT222" t="e">
        <f>'All regions'!2581:2581-"$F;@!.6f"</f>
        <v>#VALUE!</v>
      </c>
      <c r="DU222" t="e">
        <f>'All regions'!2582:2582-"$F;@!.6g"</f>
        <v>#VALUE!</v>
      </c>
      <c r="DV222" t="e">
        <f>'All regions'!2583:2583-"$F;@!.6h"</f>
        <v>#VALUE!</v>
      </c>
      <c r="DW222" t="e">
        <f>'All regions'!2584:2584-"$F;@!.6i"</f>
        <v>#VALUE!</v>
      </c>
      <c r="DX222" t="e">
        <f>'All regions'!2585:2585-"$F;@!.6j"</f>
        <v>#VALUE!</v>
      </c>
      <c r="DY222" t="e">
        <f>'All regions'!2586:2586-"$F;@!.6k"</f>
        <v>#VALUE!</v>
      </c>
      <c r="DZ222" t="e">
        <f>'All regions'!2587:2587-"$F;@!.6l"</f>
        <v>#VALUE!</v>
      </c>
      <c r="EA222" t="e">
        <f>'All regions'!2588:2588-"$F;@!.6m"</f>
        <v>#VALUE!</v>
      </c>
      <c r="EB222" t="e">
        <f>'All regions'!2589:2589-"$F;@!.6n"</f>
        <v>#VALUE!</v>
      </c>
      <c r="EC222" t="e">
        <f>'All regions'!2590:2590-"$F;@!.6o"</f>
        <v>#VALUE!</v>
      </c>
      <c r="ED222" t="e">
        <f>'All regions'!2591:2591-"$F;@!.6p"</f>
        <v>#VALUE!</v>
      </c>
      <c r="EE222" t="e">
        <f>'All regions'!2592:2592-"$F;@!.6q"</f>
        <v>#VALUE!</v>
      </c>
      <c r="EF222" t="e">
        <f>'All regions'!2593:2593-"$F;@!.6r"</f>
        <v>#VALUE!</v>
      </c>
      <c r="EG222" t="e">
        <f>'All regions'!2594:2594-"$F;@!.6s"</f>
        <v>#VALUE!</v>
      </c>
      <c r="EH222" t="e">
        <f>'All regions'!2595:2595-"$F;@!.6t"</f>
        <v>#VALUE!</v>
      </c>
      <c r="EI222" t="e">
        <f>'All regions'!2596:2596-"$F;@!.6u"</f>
        <v>#VALUE!</v>
      </c>
      <c r="EJ222" t="e">
        <f>'All regions'!2597:2597-"$F;@!.6v"</f>
        <v>#VALUE!</v>
      </c>
      <c r="EK222" t="e">
        <f>'All regions'!2598:2598-"$F;@!.6w"</f>
        <v>#VALUE!</v>
      </c>
      <c r="EL222" t="e">
        <f>'All regions'!2599:2599-"$F;@!.6x"</f>
        <v>#VALUE!</v>
      </c>
      <c r="EM222" t="e">
        <f>'All regions'!2600:2600-"$F;@!.6y"</f>
        <v>#VALUE!</v>
      </c>
      <c r="EN222" t="e">
        <f>'All regions'!2601:2601-"$F;@!.6z"</f>
        <v>#VALUE!</v>
      </c>
      <c r="EO222" t="e">
        <f>'All regions'!2602:2602-"$F;@!.6{"</f>
        <v>#VALUE!</v>
      </c>
      <c r="EP222" t="e">
        <f>'All regions'!2603:2603-"$F;@!.6|"</f>
        <v>#VALUE!</v>
      </c>
      <c r="EQ222" t="e">
        <f>'All regions'!2604:2604-"$F;@!.6}"</f>
        <v>#VALUE!</v>
      </c>
      <c r="ER222" t="e">
        <f>'All regions'!2605:2605-"$F;@!.6~"</f>
        <v>#VALUE!</v>
      </c>
      <c r="ES222" t="e">
        <f>'All regions'!2606:2606-"$F;@!.7#"</f>
        <v>#VALUE!</v>
      </c>
      <c r="ET222" t="e">
        <f>'All regions'!2607:2607-"$F;@!.7$"</f>
        <v>#VALUE!</v>
      </c>
      <c r="EU222" t="e">
        <f>'All regions'!2608:2608-"$F;@!.7%"</f>
        <v>#VALUE!</v>
      </c>
      <c r="EV222" t="e">
        <f>'All regions'!2609:2609-"$F;@!.7&amp;"</f>
        <v>#VALUE!</v>
      </c>
      <c r="EW222" t="e">
        <f>'All regions'!2610:2610-"$F;@!.7'"</f>
        <v>#VALUE!</v>
      </c>
      <c r="EX222" t="e">
        <f>'All regions'!2611:2611-"$F;@!.7("</f>
        <v>#VALUE!</v>
      </c>
      <c r="EY222" t="e">
        <f>'All regions'!2612:2612-"$F;@!.7)"</f>
        <v>#VALUE!</v>
      </c>
      <c r="EZ222" t="e">
        <f>'All regions'!2613:2613-"$F;@!.7."</f>
        <v>#VALUE!</v>
      </c>
      <c r="FA222" t="e">
        <f>'All regions'!2614:2614-"$F;@!.7/"</f>
        <v>#VALUE!</v>
      </c>
      <c r="FB222" t="e">
        <f>'All regions'!2615:2615-"$F;@!.70"</f>
        <v>#VALUE!</v>
      </c>
      <c r="FC222" t="e">
        <f>'All regions'!2616:2616-"$F;@!.71"</f>
        <v>#VALUE!</v>
      </c>
      <c r="FD222" t="e">
        <f>'All regions'!2617:2617-"$F;@!.72"</f>
        <v>#VALUE!</v>
      </c>
      <c r="FE222" t="e">
        <f>'All regions'!2618:2618-"$F;@!.73"</f>
        <v>#VALUE!</v>
      </c>
      <c r="FF222" t="e">
        <f>'All regions'!2619:2619-"$F;@!.74"</f>
        <v>#VALUE!</v>
      </c>
      <c r="FG222" t="e">
        <f>'All regions'!2620:2620-"$F;@!.75"</f>
        <v>#VALUE!</v>
      </c>
      <c r="FH222" t="e">
        <f>'All regions'!2621:2621-"$F;@!.76"</f>
        <v>#VALUE!</v>
      </c>
      <c r="FI222" t="e">
        <f>'All regions'!2622:2622-"$F;@!.77"</f>
        <v>#VALUE!</v>
      </c>
      <c r="FJ222" t="e">
        <f>'All regions'!2623:2623-"$F;@!.78"</f>
        <v>#VALUE!</v>
      </c>
      <c r="FK222" t="e">
        <f>'All regions'!2624:2624-"$F;@!.79"</f>
        <v>#VALUE!</v>
      </c>
      <c r="FL222" t="e">
        <f>'All regions'!2625:2625-"$F;@!.7:"</f>
        <v>#VALUE!</v>
      </c>
      <c r="FM222" t="e">
        <f>'All regions'!2626:2626-"$F;@!.7;"</f>
        <v>#VALUE!</v>
      </c>
      <c r="FN222" t="e">
        <f>'All regions'!2627:2627-"$F;@!.7&lt;"</f>
        <v>#VALUE!</v>
      </c>
      <c r="FO222" t="e">
        <f>'All regions'!2629:2629-"$F;@!.7="</f>
        <v>#VALUE!</v>
      </c>
      <c r="FP222" t="e">
        <f>'All regions'!2630:2630-"$F;@!.7&gt;"</f>
        <v>#VALUE!</v>
      </c>
      <c r="FQ222" t="e">
        <f>'All regions'!2631:2631-"$F;@!.7?"</f>
        <v>#VALUE!</v>
      </c>
      <c r="FR222" t="e">
        <f>'All regions'!2632:2632-"$F;@!.7@"</f>
        <v>#VALUE!</v>
      </c>
      <c r="FS222" t="e">
        <f>'All regions'!2633:2633-"$F;@!.7A"</f>
        <v>#VALUE!</v>
      </c>
      <c r="FT222" t="e">
        <f>'All regions'!2634:2634-"$F;@!.7B"</f>
        <v>#VALUE!</v>
      </c>
      <c r="FU222" t="e">
        <f>'All regions'!2635:2635-"$F;@!.7C"</f>
        <v>#VALUE!</v>
      </c>
      <c r="FV222" t="e">
        <f>'All regions'!2636:2636-"$F;@!.7D"</f>
        <v>#VALUE!</v>
      </c>
      <c r="FW222" t="e">
        <f>'All regions'!2637:2637-"$F;@!.7E"</f>
        <v>#VALUE!</v>
      </c>
      <c r="FX222" t="e">
        <f>'All regions'!2638:2638-"$F;@!.7F"</f>
        <v>#VALUE!</v>
      </c>
      <c r="FY222" t="e">
        <f>'All regions'!2639:2639-"$F;@!.7G"</f>
        <v>#VALUE!</v>
      </c>
      <c r="FZ222" t="e">
        <f>'All regions'!2640:2640-"$F;@!.7H"</f>
        <v>#VALUE!</v>
      </c>
      <c r="GA222" t="e">
        <f>'All regions'!2641:2641-"$F;@!.7I"</f>
        <v>#VALUE!</v>
      </c>
      <c r="GB222" t="e">
        <f>'All regions'!2642:2642-"$F;@!.7J"</f>
        <v>#VALUE!</v>
      </c>
      <c r="GC222" t="e">
        <f>'All regions'!2643:2643-"$F;@!.7K"</f>
        <v>#VALUE!</v>
      </c>
      <c r="GD222" t="e">
        <f>'All regions'!2644:2644-"$F;@!.7L"</f>
        <v>#VALUE!</v>
      </c>
      <c r="GE222" t="e">
        <f>'All regions'!2645:2645-"$F;@!.7M"</f>
        <v>#VALUE!</v>
      </c>
      <c r="GF222" t="e">
        <f>'All regions'!2646:2646-"$F;@!.7N"</f>
        <v>#VALUE!</v>
      </c>
      <c r="GG222" t="e">
        <f>'All regions'!2647:2647-"$F;@!.7O"</f>
        <v>#VALUE!</v>
      </c>
      <c r="GH222" t="e">
        <f>'All regions'!2648:2648-"$F;@!.7P"</f>
        <v>#VALUE!</v>
      </c>
      <c r="GI222" t="e">
        <f>'All regions'!2649:2649-"$F;@!.7Q"</f>
        <v>#VALUE!</v>
      </c>
      <c r="GJ222" t="e">
        <f>'All regions'!2650:2650-"$F;@!.7R"</f>
        <v>#VALUE!</v>
      </c>
      <c r="GK222" t="e">
        <f>'All regions'!2651:2651-"$F;@!.7S"</f>
        <v>#VALUE!</v>
      </c>
      <c r="GL222" t="e">
        <f>'All regions'!2652:2652-"$F;@!.7T"</f>
        <v>#VALUE!</v>
      </c>
      <c r="GM222" t="e">
        <f>'All regions'!2653:2653-"$F;@!.7U"</f>
        <v>#VALUE!</v>
      </c>
      <c r="GN222" t="e">
        <f>'All regions'!2654:2654-"$F;@!.7V"</f>
        <v>#VALUE!</v>
      </c>
      <c r="GO222" t="e">
        <f>'All regions'!2655:2655-"$F;@!.7W"</f>
        <v>#VALUE!</v>
      </c>
      <c r="GP222" t="e">
        <f>'All regions'!2656:2656-"$F;@!.7X"</f>
        <v>#VALUE!</v>
      </c>
      <c r="GQ222" t="e">
        <f>'All regions'!2657:2657-"$F;@!.7Y"</f>
        <v>#VALUE!</v>
      </c>
      <c r="GR222" t="e">
        <f>'All regions'!2658:2658-"$F;@!.7Z"</f>
        <v>#VALUE!</v>
      </c>
      <c r="GS222" t="e">
        <f>'All regions'!2659:2659-"$F;@!.7["</f>
        <v>#VALUE!</v>
      </c>
      <c r="GT222" t="e">
        <f>'All regions'!2660:2660-"$F;@!.7\"</f>
        <v>#VALUE!</v>
      </c>
      <c r="GU222" t="e">
        <f>'All regions'!2661:2661-"$F;@!.7]"</f>
        <v>#VALUE!</v>
      </c>
      <c r="GV222" t="e">
        <f>'All regions'!2662:2662-"$F;@!.7^"</f>
        <v>#VALUE!</v>
      </c>
      <c r="GW222" t="e">
        <f>'All regions'!2663:2663-"$F;@!.7_"</f>
        <v>#VALUE!</v>
      </c>
      <c r="GX222" t="e">
        <f>'All regions'!2664:2664-"$F;@!.7`"</f>
        <v>#VALUE!</v>
      </c>
      <c r="GY222" t="e">
        <f>'All regions'!2665:2665-"$F;@!.7a"</f>
        <v>#VALUE!</v>
      </c>
      <c r="GZ222" t="e">
        <f>'All regions'!2666:2666-"$F;@!.7b"</f>
        <v>#VALUE!</v>
      </c>
      <c r="HA222" t="e">
        <f>'All regions'!2667:2667-"$F;@!.7c"</f>
        <v>#VALUE!</v>
      </c>
      <c r="HB222" t="e">
        <f>'All regions'!2668:2668-"$F;@!.7d"</f>
        <v>#VALUE!</v>
      </c>
      <c r="HC222" t="e">
        <f>'All regions'!2669:2669-"$F;@!.7e"</f>
        <v>#VALUE!</v>
      </c>
      <c r="HD222" t="e">
        <f>'All regions'!2670:2670-"$F;@!.7f"</f>
        <v>#VALUE!</v>
      </c>
      <c r="HE222" t="e">
        <f>'All regions'!2671:2671-"$F;@!.7g"</f>
        <v>#VALUE!</v>
      </c>
      <c r="HF222" t="e">
        <f>'All regions'!2672:2672-"$F;@!.7h"</f>
        <v>#VALUE!</v>
      </c>
      <c r="HG222" t="e">
        <f>'All regions'!2673:2673-"$F;@!.7i"</f>
        <v>#VALUE!</v>
      </c>
      <c r="HH222" t="e">
        <f>'All regions'!2674:2674-"$F;@!.7j"</f>
        <v>#VALUE!</v>
      </c>
      <c r="HI222" t="e">
        <f>'All regions'!2675:2675-"$F;@!.7k"</f>
        <v>#VALUE!</v>
      </c>
      <c r="HJ222" t="e">
        <f>'All regions'!2676:2676-"$F;@!.7l"</f>
        <v>#VALUE!</v>
      </c>
      <c r="HK222" t="e">
        <f>'All regions'!2677:2677-"$F;@!.7m"</f>
        <v>#VALUE!</v>
      </c>
      <c r="HL222" t="e">
        <f>'All regions'!2678:2678-"$F;@!.7n"</f>
        <v>#VALUE!</v>
      </c>
      <c r="HM222" t="e">
        <f>'All regions'!2679:2679-"$F;@!.7o"</f>
        <v>#VALUE!</v>
      </c>
      <c r="HN222" t="e">
        <f>'All regions'!2680:2680-"$F;@!.7p"</f>
        <v>#VALUE!</v>
      </c>
      <c r="HO222" t="e">
        <f>'All regions'!2681:2681-"$F;@!.7q"</f>
        <v>#VALUE!</v>
      </c>
      <c r="HP222" t="e">
        <f>'All regions'!2682:2682-"$F;@!.7r"</f>
        <v>#VALUE!</v>
      </c>
      <c r="HQ222" t="e">
        <f>'All regions'!2683:2683-"$F;@!.7s"</f>
        <v>#VALUE!</v>
      </c>
      <c r="HR222" t="e">
        <f>'All regions'!2684:2684-"$F;@!.7t"</f>
        <v>#VALUE!</v>
      </c>
      <c r="HS222" t="e">
        <f>'All regions'!2685:2685-"$F;@!.7u"</f>
        <v>#VALUE!</v>
      </c>
      <c r="HT222" t="e">
        <f>'All regions'!2686:2686-"$F;@!.7v"</f>
        <v>#VALUE!</v>
      </c>
      <c r="HU222" t="e">
        <f>'All regions'!2687:2687-"$F;@!.7w"</f>
        <v>#VALUE!</v>
      </c>
      <c r="HV222" t="e">
        <f>'All regions'!2688:2688-"$F;@!.7x"</f>
        <v>#VALUE!</v>
      </c>
      <c r="HW222" t="e">
        <f>'All regions'!2689:2689-"$F;@!.7y"</f>
        <v>#VALUE!</v>
      </c>
      <c r="HX222" t="e">
        <f>'All regions'!2690:2690-"$F;@!.7z"</f>
        <v>#VALUE!</v>
      </c>
      <c r="HY222" t="e">
        <f>'All regions'!2691:2691-"$F;@!.7{"</f>
        <v>#VALUE!</v>
      </c>
      <c r="HZ222" t="e">
        <f>'All regions'!2692:2692-"$F;@!.7|"</f>
        <v>#VALUE!</v>
      </c>
      <c r="IA222" t="e">
        <f>'All regions'!2693:2693-"$F;@!.7}"</f>
        <v>#VALUE!</v>
      </c>
      <c r="IB222" t="e">
        <f>'All regions'!2694:2694-"$F;@!.7~"</f>
        <v>#VALUE!</v>
      </c>
      <c r="IC222" t="e">
        <f>'All regions'!2695:2695-"$F;@!.8#"</f>
        <v>#VALUE!</v>
      </c>
      <c r="ID222" t="e">
        <f>'All regions'!2696:2696-"$F;@!.8$"</f>
        <v>#VALUE!</v>
      </c>
      <c r="IE222" t="e">
        <f>'All regions'!2697:2697-"$F;@!.8%"</f>
        <v>#VALUE!</v>
      </c>
      <c r="IF222" t="e">
        <f>'All regions'!2698:2698-"$F;@!.8&amp;"</f>
        <v>#VALUE!</v>
      </c>
      <c r="IG222" t="e">
        <f>'All regions'!2699:2699-"$F;@!.8'"</f>
        <v>#VALUE!</v>
      </c>
      <c r="IH222" t="e">
        <f>'All regions'!2700:2700-"$F;@!.8("</f>
        <v>#VALUE!</v>
      </c>
      <c r="II222" t="e">
        <f>'All regions'!2701:2701-"$F;@!.8)"</f>
        <v>#VALUE!</v>
      </c>
      <c r="IJ222" t="e">
        <f>'All regions'!2702:2702-"$F;@!.8."</f>
        <v>#VALUE!</v>
      </c>
      <c r="IK222" t="e">
        <f>'All regions'!2703:2703-"$F;@!.8/"</f>
        <v>#VALUE!</v>
      </c>
      <c r="IL222" t="e">
        <f>'All regions'!2704:2704-"$F;@!.80"</f>
        <v>#VALUE!</v>
      </c>
      <c r="IM222" t="e">
        <f>'All regions'!2705:2705-"$F;@!.81"</f>
        <v>#VALUE!</v>
      </c>
      <c r="IN222" t="e">
        <f>'All regions'!2706:2706-"$F;@!.82"</f>
        <v>#VALUE!</v>
      </c>
      <c r="IO222" t="e">
        <f>'All regions'!2707:2707-"$F;@!.83"</f>
        <v>#VALUE!</v>
      </c>
      <c r="IP222" t="e">
        <f>'All regions'!2708:2708-"$F;@!.84"</f>
        <v>#VALUE!</v>
      </c>
      <c r="IQ222" t="e">
        <f>'All regions'!2709:2709-"$F;@!.85"</f>
        <v>#VALUE!</v>
      </c>
      <c r="IR222" t="e">
        <f>'All regions'!2710:2710-"$F;@!.86"</f>
        <v>#VALUE!</v>
      </c>
      <c r="IS222" t="e">
        <f>'All regions'!2711:2711-"$F;@!.87"</f>
        <v>#VALUE!</v>
      </c>
      <c r="IT222" t="e">
        <f>'All regions'!2712:2712-"$F;@!.88"</f>
        <v>#VALUE!</v>
      </c>
      <c r="IU222" t="e">
        <f>'All regions'!2713:2713-"$F;@!.89"</f>
        <v>#VALUE!</v>
      </c>
      <c r="IV222" t="e">
        <f>'All regions'!2714:2714-"$F;@!.8:"</f>
        <v>#VALUE!</v>
      </c>
    </row>
    <row r="223" spans="6:256" x14ac:dyDescent="0.35">
      <c r="F223" t="e">
        <f>'All regions'!2715:2715-"$F;@!.8;"</f>
        <v>#VALUE!</v>
      </c>
      <c r="G223" t="e">
        <f>'All regions'!2716:2716-"$F;@!.8&lt;"</f>
        <v>#VALUE!</v>
      </c>
      <c r="H223" t="e">
        <f>'All regions'!2717:2717-"$F;@!.8="</f>
        <v>#VALUE!</v>
      </c>
      <c r="I223" t="e">
        <f>'All regions'!2718:2718-"$F;@!.8&gt;"</f>
        <v>#VALUE!</v>
      </c>
      <c r="J223" t="e">
        <f>'All regions'!2719:2719-"$F;@!.8?"</f>
        <v>#VALUE!</v>
      </c>
      <c r="K223" t="e">
        <f>'All regions'!2720:2720-"$F;@!.8@"</f>
        <v>#VALUE!</v>
      </c>
      <c r="L223" t="e">
        <f>'All regions'!2721:2721-"$F;@!.8A"</f>
        <v>#VALUE!</v>
      </c>
      <c r="M223" t="e">
        <f>'All regions'!2722:2722-"$F;@!.8B"</f>
        <v>#VALUE!</v>
      </c>
      <c r="N223" t="e">
        <f>'All regions'!2723:2723-"$F;@!.8C"</f>
        <v>#VALUE!</v>
      </c>
      <c r="O223" t="e">
        <f>'All regions'!2724:2724-"$F;@!.8D"</f>
        <v>#VALUE!</v>
      </c>
      <c r="P223" t="e">
        <f>'All regions'!2725:2725-"$F;@!.8E"</f>
        <v>#VALUE!</v>
      </c>
      <c r="Q223" t="e">
        <f>'All regions'!2726:2726-"$F;@!.8F"</f>
        <v>#VALUE!</v>
      </c>
      <c r="R223" t="e">
        <f>'All regions'!2727:2727-"$F;@!.8G"</f>
        <v>#VALUE!</v>
      </c>
      <c r="S223" t="e">
        <f>'All regions'!2728:2728-"$F;@!.8H"</f>
        <v>#VALUE!</v>
      </c>
      <c r="T223" t="e">
        <f>'All regions'!2729:2729-"$F;@!.8I"</f>
        <v>#VALUE!</v>
      </c>
      <c r="U223" t="e">
        <f>'All regions'!2730:2730-"$F;@!.8J"</f>
        <v>#VALUE!</v>
      </c>
      <c r="V223" t="e">
        <f>'All regions'!2731:2731-"$F;@!.8K"</f>
        <v>#VALUE!</v>
      </c>
      <c r="W223" t="e">
        <f>'All regions'!2732:2732-"$F;@!.8L"</f>
        <v>#VALUE!</v>
      </c>
      <c r="X223" t="e">
        <f>'All regions'!2733:2733-"$F;@!.8M"</f>
        <v>#VALUE!</v>
      </c>
      <c r="Y223" t="e">
        <f>'All regions'!2734:2734-"$F;@!.8N"</f>
        <v>#VALUE!</v>
      </c>
      <c r="Z223" t="e">
        <f>'All regions'!2736:2736-"$F;@!.8O"</f>
        <v>#VALUE!</v>
      </c>
      <c r="AA223" t="e">
        <f>'All regions'!2737:2737-"$F;@!.8P"</f>
        <v>#VALUE!</v>
      </c>
      <c r="AB223" t="e">
        <f>'All regions'!2738:2738-"$F;@!.8Q"</f>
        <v>#VALUE!</v>
      </c>
      <c r="AC223" t="e">
        <f>'All regions'!2739:2739-"$F;@!.8R"</f>
        <v>#VALUE!</v>
      </c>
      <c r="AD223" t="e">
        <f>'All regions'!2740:2740-"$F;@!.8S"</f>
        <v>#VALUE!</v>
      </c>
      <c r="AE223" t="e">
        <f>'All regions'!2741:2741-"$F;@!.8T"</f>
        <v>#VALUE!</v>
      </c>
      <c r="AF223" t="e">
        <f>'All regions'!2742:2742-"$F;@!.8U"</f>
        <v>#VALUE!</v>
      </c>
      <c r="AG223" t="e">
        <f>'All regions'!2743:2743-"$F;@!.8V"</f>
        <v>#VALUE!</v>
      </c>
      <c r="AH223" t="e">
        <f>'All regions'!2744:2744-"$F;@!.8W"</f>
        <v>#VALUE!</v>
      </c>
      <c r="AI223" t="e">
        <f>'All regions'!2745:2745-"$F;@!.8X"</f>
        <v>#VALUE!</v>
      </c>
      <c r="AJ223" t="e">
        <f>'All regions'!2746:2746-"$F;@!.8Y"</f>
        <v>#VALUE!</v>
      </c>
      <c r="AK223" t="e">
        <f>'All regions'!2747:2747-"$F;@!.8Z"</f>
        <v>#VALUE!</v>
      </c>
      <c r="AL223" t="e">
        <f>'All regions'!2748:2748-"$F;@!.8["</f>
        <v>#VALUE!</v>
      </c>
      <c r="AM223" t="e">
        <f>'All regions'!2749:2749-"$F;@!.8\"</f>
        <v>#VALUE!</v>
      </c>
      <c r="AN223" t="e">
        <f>'All regions'!2750:2750-"$F;@!.8]"</f>
        <v>#VALUE!</v>
      </c>
      <c r="AO223" t="e">
        <f>'All regions'!2751:2751-"$F;@!.8^"</f>
        <v>#VALUE!</v>
      </c>
      <c r="AP223" t="e">
        <f>'All regions'!2752:2752-"$F;@!.8_"</f>
        <v>#VALUE!</v>
      </c>
      <c r="AQ223" t="e">
        <f>'All regions'!2753:2753-"$F;@!.8`"</f>
        <v>#VALUE!</v>
      </c>
      <c r="AR223" t="e">
        <f>'All regions'!2754:2754-"$F;@!.8a"</f>
        <v>#VALUE!</v>
      </c>
      <c r="AS223" t="e">
        <f>'All regions'!2755:2755-"$F;@!.8b"</f>
        <v>#VALUE!</v>
      </c>
      <c r="AT223" t="e">
        <f>'All regions'!2756:2756-"$F;@!.8c"</f>
        <v>#VALUE!</v>
      </c>
      <c r="AU223" t="e">
        <f>'All regions'!2757:2757-"$F;@!.8d"</f>
        <v>#VALUE!</v>
      </c>
      <c r="AV223" t="e">
        <f>'All regions'!2758:2758-"$F;@!.8e"</f>
        <v>#VALUE!</v>
      </c>
      <c r="AW223" t="e">
        <f>'All regions'!2759:2759-"$F;@!.8f"</f>
        <v>#VALUE!</v>
      </c>
      <c r="AX223" t="e">
        <f>'All regions'!2760:2760-"$F;@!.8g"</f>
        <v>#VALUE!</v>
      </c>
      <c r="AY223" t="e">
        <f>'All regions'!2761:2761-"$F;@!.8h"</f>
        <v>#VALUE!</v>
      </c>
      <c r="AZ223" t="e">
        <f>'All regions'!2762:2762-"$F;@!.8i"</f>
        <v>#VALUE!</v>
      </c>
      <c r="BA223" t="e">
        <f>'All regions'!2763:2763-"$F;@!.8j"</f>
        <v>#VALUE!</v>
      </c>
      <c r="BB223" t="e">
        <f>'All regions'!2764:2764-"$F;@!.8k"</f>
        <v>#VALUE!</v>
      </c>
      <c r="BC223" t="e">
        <f>'All regions'!2765:2765-"$F;@!.8l"</f>
        <v>#VALUE!</v>
      </c>
      <c r="BD223" t="e">
        <f>'All regions'!2766:2766-"$F;@!.8m"</f>
        <v>#VALUE!</v>
      </c>
      <c r="BE223" t="e">
        <f>'All regions'!2767:2767-"$F;@!.8n"</f>
        <v>#VALUE!</v>
      </c>
      <c r="BF223" t="e">
        <f>'All regions'!2768:2768-"$F;@!.8o"</f>
        <v>#VALUE!</v>
      </c>
      <c r="BG223" t="e">
        <f>'All regions'!2769:2769-"$F;@!.8p"</f>
        <v>#VALUE!</v>
      </c>
      <c r="BH223" t="e">
        <f>'All regions'!2770:2770-"$F;@!.8q"</f>
        <v>#VALUE!</v>
      </c>
      <c r="BI223" t="e">
        <f>'All regions'!2771:2771-"$F;@!.8r"</f>
        <v>#VALUE!</v>
      </c>
      <c r="BJ223" t="e">
        <f>'All regions'!2772:2772-"$F;@!.8s"</f>
        <v>#VALUE!</v>
      </c>
      <c r="BK223" t="e">
        <f>'All regions'!2773:2773-"$F;@!.8t"</f>
        <v>#VALUE!</v>
      </c>
      <c r="BL223" t="e">
        <f>'All regions'!2774:2774-"$F;@!.8u"</f>
        <v>#VALUE!</v>
      </c>
      <c r="BM223" t="e">
        <f>'All regions'!2775:2775-"$F;@!.8v"</f>
        <v>#VALUE!</v>
      </c>
      <c r="BN223" t="e">
        <f>'All regions'!2776:2776-"$F;@!.8w"</f>
        <v>#VALUE!</v>
      </c>
      <c r="BO223" t="e">
        <f>'All regions'!2777:2777-"$F;@!.8x"</f>
        <v>#VALUE!</v>
      </c>
      <c r="BP223" t="e">
        <f>'All regions'!2778:2778-"$F;@!.8y"</f>
        <v>#VALUE!</v>
      </c>
      <c r="BQ223" t="e">
        <f>'All regions'!2779:2779-"$F;@!.8z"</f>
        <v>#VALUE!</v>
      </c>
      <c r="BR223" t="e">
        <f>'All regions'!2780:2780-"$F;@!.8{"</f>
        <v>#VALUE!</v>
      </c>
      <c r="BS223" t="e">
        <f>'All regions'!2781:2781-"$F;@!.8|"</f>
        <v>#VALUE!</v>
      </c>
      <c r="BT223" t="e">
        <f>'All regions'!2782:2782-"$F;@!.8}"</f>
        <v>#VALUE!</v>
      </c>
      <c r="BU223" t="e">
        <f>'All regions'!2783:2783-"$F;@!.8~"</f>
        <v>#VALUE!</v>
      </c>
      <c r="BV223" t="e">
        <f>'All regions'!2784:2784-"$F;@!.9#"</f>
        <v>#VALUE!</v>
      </c>
      <c r="BW223" t="e">
        <f>'All regions'!2785:2785-"$F;@!.9$"</f>
        <v>#VALUE!</v>
      </c>
      <c r="BX223" t="e">
        <f>'All regions'!2787:2787-"$F;@!.9%"</f>
        <v>#VALUE!</v>
      </c>
      <c r="BY223" t="e">
        <f>'All regions'!2788:2788-"$F;@!.9&amp;"</f>
        <v>#VALUE!</v>
      </c>
      <c r="BZ223" t="e">
        <f>'All regions'!2789:2789-"$F;@!.9'"</f>
        <v>#VALUE!</v>
      </c>
      <c r="CA223" t="e">
        <f>'All regions'!2790:2790-"$F;@!.9("</f>
        <v>#VALUE!</v>
      </c>
      <c r="CB223" t="e">
        <f>'All regions'!2791:2791-"$F;@!.9)"</f>
        <v>#VALUE!</v>
      </c>
      <c r="CC223" t="e">
        <f>'All regions'!2792:2792-"$F;@!.9."</f>
        <v>#VALUE!</v>
      </c>
      <c r="CD223" t="e">
        <f>'All regions'!2794:2794-"$F;@!.9/"</f>
        <v>#VALUE!</v>
      </c>
      <c r="CE223" t="e">
        <f>'All regions'!2795:2795-"$F;@!.90"</f>
        <v>#VALUE!</v>
      </c>
      <c r="CF223" t="e">
        <f>'All regions'!2796:2796-"$F;@!.91"</f>
        <v>#VALUE!</v>
      </c>
      <c r="CG223" t="e">
        <f>'All regions'!2797:2797-"$F;@!.92"</f>
        <v>#VALUE!</v>
      </c>
      <c r="CH223" t="e">
        <f>'All regions'!2798:2798-"$F;@!.93"</f>
        <v>#VALUE!</v>
      </c>
      <c r="CI223" t="e">
        <f>'All regions'!2799:2799-"$F;@!.94"</f>
        <v>#VALUE!</v>
      </c>
      <c r="CJ223" t="e">
        <f>'All regions'!2800:2800-"$F;@!.95"</f>
        <v>#VALUE!</v>
      </c>
      <c r="CK223" t="e">
        <f>'All regions'!2801:2801-"$F;@!.96"</f>
        <v>#VALUE!</v>
      </c>
      <c r="CL223" t="e">
        <f>'All regions'!2802:2802-"$F;@!.97"</f>
        <v>#VALUE!</v>
      </c>
      <c r="CM223" t="e">
        <f>'All regions'!2803:2803-"$F;@!.98"</f>
        <v>#VALUE!</v>
      </c>
      <c r="CN223" t="e">
        <f>'All regions'!2804:2804-"$F;@!.99"</f>
        <v>#VALUE!</v>
      </c>
      <c r="CO223" t="e">
        <f>'All regions'!2805:2805-"$F;@!.9:"</f>
        <v>#VALUE!</v>
      </c>
      <c r="CP223" t="e">
        <f>'All regions'!2806:2806-"$F;@!.9;"</f>
        <v>#VALUE!</v>
      </c>
      <c r="CQ223" t="e">
        <f>'All regions'!2807:2807-"$F;@!.9&lt;"</f>
        <v>#VALUE!</v>
      </c>
      <c r="CR223" t="e">
        <f>'All regions'!2808:2808-"$F;@!.9="</f>
        <v>#VALUE!</v>
      </c>
      <c r="CS223" t="e">
        <f>'All regions'!2809:2809-"$F;@!.9&gt;"</f>
        <v>#VALUE!</v>
      </c>
      <c r="CT223" t="e">
        <f>'All regions'!2810:2810-"$F;@!.9?"</f>
        <v>#VALUE!</v>
      </c>
      <c r="CU223" t="e">
        <f>'All regions'!2811:2811-"$F;@!.9@"</f>
        <v>#VALUE!</v>
      </c>
      <c r="CV223" t="e">
        <f>'All regions'!2812:2812-"$F;@!.9A"</f>
        <v>#VALUE!</v>
      </c>
      <c r="CW223" t="e">
        <f>'All regions'!2813:2813-"$F;@!.9B"</f>
        <v>#VALUE!</v>
      </c>
      <c r="CX223" t="e">
        <f>'All regions'!2814:2814-"$F;@!.9C"</f>
        <v>#VALUE!</v>
      </c>
      <c r="CY223" t="e">
        <f>'All regions'!2815:2815-"$F;@!.9D"</f>
        <v>#VALUE!</v>
      </c>
      <c r="CZ223" t="e">
        <f>'All regions'!2816:2816-"$F;@!.9E"</f>
        <v>#VALUE!</v>
      </c>
      <c r="DA223" t="e">
        <f>'All regions'!2817:2817-"$F;@!.9F"</f>
        <v>#VALUE!</v>
      </c>
      <c r="DB223" t="e">
        <f>'All regions'!2818:2818-"$F;@!.9G"</f>
        <v>#VALUE!</v>
      </c>
      <c r="DC223" t="e">
        <f>'All regions'!2819:2819-"$F;@!.9H"</f>
        <v>#VALUE!</v>
      </c>
      <c r="DD223" t="e">
        <f>'All regions'!2820:2820-"$F;@!.9I"</f>
        <v>#VALUE!</v>
      </c>
      <c r="DE223" t="e">
        <f>'All regions'!2821:2821-"$F;@!.9J"</f>
        <v>#VALUE!</v>
      </c>
      <c r="DF223" t="e">
        <f>'All regions'!2822:2822-"$F;@!.9K"</f>
        <v>#VALUE!</v>
      </c>
      <c r="DG223" t="e">
        <f>'All regions'!2823:2823-"$F;@!.9L"</f>
        <v>#VALUE!</v>
      </c>
      <c r="DH223" t="e">
        <f>'All regions'!2824:2824-"$F;@!.9M"</f>
        <v>#VALUE!</v>
      </c>
      <c r="DI223" t="e">
        <f>'All regions'!2825:2825-"$F;@!.9N"</f>
        <v>#VALUE!</v>
      </c>
      <c r="DJ223" t="e">
        <f>'All regions'!2826:2826-"$F;@!.9O"</f>
        <v>#VALUE!</v>
      </c>
      <c r="DK223" t="e">
        <f>'All regions'!2827:2827-"$F;@!.9P"</f>
        <v>#VALUE!</v>
      </c>
      <c r="DL223" t="e">
        <f>'All regions'!2828:2828-"$F;@!.9Q"</f>
        <v>#VALUE!</v>
      </c>
      <c r="DM223" t="e">
        <f>'All regions'!2829:2829-"$F;@!.9R"</f>
        <v>#VALUE!</v>
      </c>
      <c r="DN223" t="e">
        <f>'All regions'!2830:2830-"$F;@!.9S"</f>
        <v>#VALUE!</v>
      </c>
      <c r="DO223" t="e">
        <f>'All regions'!2831:2831-"$F;@!.9T"</f>
        <v>#VALUE!</v>
      </c>
      <c r="DP223" t="e">
        <f>'All regions'!2832:2832-"$F;@!.9U"</f>
        <v>#VALUE!</v>
      </c>
      <c r="DQ223" t="e">
        <f>'All regions'!2833:2833-"$F;@!.9V"</f>
        <v>#VALUE!</v>
      </c>
      <c r="DR223" t="e">
        <f>'All regions'!2834:2834-"$F;@!.9W"</f>
        <v>#VALUE!</v>
      </c>
      <c r="DS223" t="e">
        <f>'All regions'!2835:2835-"$F;@!.9X"</f>
        <v>#VALUE!</v>
      </c>
      <c r="DT223" t="e">
        <f>'All regions'!2836:2836-"$F;@!.9Y"</f>
        <v>#VALUE!</v>
      </c>
      <c r="DU223" t="e">
        <f>'All regions'!2837:2837-"$F;@!.9Z"</f>
        <v>#VALUE!</v>
      </c>
      <c r="DV223" t="e">
        <f>'All regions'!2838:2838-"$F;@!.9["</f>
        <v>#VALUE!</v>
      </c>
      <c r="DW223" t="e">
        <f>'All regions'!2839:2839-"$F;@!.9\"</f>
        <v>#VALUE!</v>
      </c>
      <c r="DX223" t="e">
        <f>'All regions'!2840:2840-"$F;@!.9]"</f>
        <v>#VALUE!</v>
      </c>
      <c r="DY223" t="e">
        <f>'All regions'!2841:2841-"$F;@!.9^"</f>
        <v>#VALUE!</v>
      </c>
      <c r="DZ223" t="e">
        <f>'All regions'!2842:2842-"$F;@!.9_"</f>
        <v>#VALUE!</v>
      </c>
      <c r="EA223" t="e">
        <f>'All regions'!2843:2843-"$F;@!.9`"</f>
        <v>#VALUE!</v>
      </c>
      <c r="EB223" t="e">
        <f>'All regions'!2844:2844-"$F;@!.9a"</f>
        <v>#VALUE!</v>
      </c>
      <c r="EC223" t="e">
        <f>'All regions'!2845:2845-"$F;@!.9b"</f>
        <v>#VALUE!</v>
      </c>
      <c r="ED223" t="e">
        <f>'All regions'!2846:2846-"$F;@!.9c"</f>
        <v>#VALUE!</v>
      </c>
      <c r="EE223" t="e">
        <f>'All regions'!2847:2847-"$F;@!.9d"</f>
        <v>#VALUE!</v>
      </c>
      <c r="EF223" t="e">
        <f>'All regions'!2848:2848-"$F;@!.9e"</f>
        <v>#VALUE!</v>
      </c>
      <c r="EG223" t="e">
        <f>'All regions'!2849:2849-"$F;@!.9f"</f>
        <v>#VALUE!</v>
      </c>
      <c r="EH223" t="e">
        <f>'All regions'!2850:2850-"$F;@!.9g"</f>
        <v>#VALUE!</v>
      </c>
      <c r="EI223" t="e">
        <f>'All regions'!2851:2851-"$F;@!.9h"</f>
        <v>#VALUE!</v>
      </c>
      <c r="EJ223" t="e">
        <f>'All regions'!2852:2852-"$F;@!.9i"</f>
        <v>#VALUE!</v>
      </c>
      <c r="EK223" t="e">
        <f>'All regions'!2853:2853-"$F;@!.9j"</f>
        <v>#VALUE!</v>
      </c>
      <c r="EL223" t="e">
        <f>'All regions'!2854:2854-"$F;@!.9k"</f>
        <v>#VALUE!</v>
      </c>
      <c r="EM223" t="e">
        <f>'All regions'!2855:2855-"$F;@!.9l"</f>
        <v>#VALUE!</v>
      </c>
      <c r="EN223" t="e">
        <f>'All regions'!2856:2856-"$F;@!.9m"</f>
        <v>#VALUE!</v>
      </c>
      <c r="EO223" t="e">
        <f>'All regions'!2857:2857-"$F;@!.9n"</f>
        <v>#VALUE!</v>
      </c>
      <c r="EP223" t="e">
        <f>'All regions'!2858:2858-"$F;@!.9o"</f>
        <v>#VALUE!</v>
      </c>
      <c r="EQ223" t="e">
        <f>'All regions'!2859:2859-"$F;@!.9p"</f>
        <v>#VALUE!</v>
      </c>
      <c r="ER223" t="e">
        <f>'All regions'!2860:2860-"$F;@!.9q"</f>
        <v>#VALUE!</v>
      </c>
      <c r="ES223" t="e">
        <f>'All regions'!2861:2861-"$F;@!.9r"</f>
        <v>#VALUE!</v>
      </c>
      <c r="ET223" t="e">
        <f>'All regions'!2862:2862-"$F;@!.9s"</f>
        <v>#VALUE!</v>
      </c>
      <c r="EU223" t="e">
        <f>'All regions'!2863:2863-"$F;@!.9t"</f>
        <v>#VALUE!</v>
      </c>
      <c r="EV223" t="e">
        <f>'All regions'!2864:2864-"$F;@!.9u"</f>
        <v>#VALUE!</v>
      </c>
      <c r="EW223" t="e">
        <f>'All regions'!2865:2865-"$F;@!.9v"</f>
        <v>#VALUE!</v>
      </c>
      <c r="EX223" t="e">
        <f>'All regions'!2866:2866-"$F;@!.9w"</f>
        <v>#VALUE!</v>
      </c>
      <c r="EY223" t="e">
        <f>'All regions'!2867:2867-"$F;@!.9x"</f>
        <v>#VALUE!</v>
      </c>
      <c r="EZ223" t="e">
        <f>'All regions'!2868:2868-"$F;@!.9y"</f>
        <v>#VALUE!</v>
      </c>
      <c r="FA223" t="e">
        <f>'All regions'!2869:2869-"$F;@!.9z"</f>
        <v>#VALUE!</v>
      </c>
      <c r="FB223" t="e">
        <f>'All regions'!2870:2870-"$F;@!.9{"</f>
        <v>#VALUE!</v>
      </c>
      <c r="FC223" t="e">
        <f>'All regions'!2871:2871-"$F;@!.9|"</f>
        <v>#VALUE!</v>
      </c>
      <c r="FD223" t="e">
        <f>'All regions'!2872:2872-"$F;@!.9}"</f>
        <v>#VALUE!</v>
      </c>
      <c r="FE223" t="e">
        <f>'All regions'!2873:2873-"$F;@!.9~"</f>
        <v>#VALUE!</v>
      </c>
      <c r="FF223" t="e">
        <f>'All regions'!2874:2874-"$F;@!.:#"</f>
        <v>#VALUE!</v>
      </c>
      <c r="FG223" t="e">
        <f>'All regions'!2875:2875-"$F;@!.:$"</f>
        <v>#VALUE!</v>
      </c>
      <c r="FH223" t="e">
        <f>'All regions'!2876:2876-"$F;@!.:%"</f>
        <v>#VALUE!</v>
      </c>
      <c r="FI223" t="e">
        <f>'All regions'!2877:2877-"$F;@!.:&amp;"</f>
        <v>#VALUE!</v>
      </c>
      <c r="FJ223" t="e">
        <f>'All regions'!2878:2878-"$F;@!.:'"</f>
        <v>#VALUE!</v>
      </c>
      <c r="FK223" t="e">
        <f>'All regions'!2879:2879-"$F;@!.:("</f>
        <v>#VALUE!</v>
      </c>
      <c r="FL223" t="e">
        <f>'All regions'!2880:2880-"$F;@!.:)"</f>
        <v>#VALUE!</v>
      </c>
      <c r="FM223" t="e">
        <f>'All regions'!2881:2881-"$F;@!.:."</f>
        <v>#VALUE!</v>
      </c>
      <c r="FN223" t="e">
        <f>'All regions'!2882:2882-"$F;@!.:/"</f>
        <v>#VALUE!</v>
      </c>
      <c r="FO223" t="e">
        <f>'All regions'!2883:2883-"$F;@!.:0"</f>
        <v>#VALUE!</v>
      </c>
      <c r="FP223" t="e">
        <f>'All regions'!2884:2884-"$F;@!.:1"</f>
        <v>#VALUE!</v>
      </c>
      <c r="FQ223" t="e">
        <f>'All regions'!2885:2885-"$F;@!.:2"</f>
        <v>#VALUE!</v>
      </c>
      <c r="FR223" t="e">
        <f>'All regions'!2886:2886-"$F;@!.:3"</f>
        <v>#VALUE!</v>
      </c>
      <c r="FS223" t="e">
        <f>'All regions'!2887:2887-"$F;@!.:4"</f>
        <v>#VALUE!</v>
      </c>
      <c r="FT223" t="e">
        <f>'All regions'!2888:2888-"$F;@!.:5"</f>
        <v>#VALUE!</v>
      </c>
      <c r="FU223" t="e">
        <f>'All regions'!2889:2889-"$F;@!.:6"</f>
        <v>#VALUE!</v>
      </c>
      <c r="FV223" t="e">
        <f>'All regions'!2890:2890-"$F;@!.:7"</f>
        <v>#VALUE!</v>
      </c>
      <c r="FW223" t="e">
        <f>'All regions'!2891:2891-"$F;@!.:8"</f>
        <v>#VALUE!</v>
      </c>
      <c r="FX223" t="e">
        <f>'All regions'!2892:2892-"$F;@!.:9"</f>
        <v>#VALUE!</v>
      </c>
      <c r="FY223" t="e">
        <f>'All regions'!2893:2893-"$F;@!.::"</f>
        <v>#VALUE!</v>
      </c>
      <c r="FZ223" t="e">
        <f>'All regions'!2894:2894-"$F;@!.:;"</f>
        <v>#VALUE!</v>
      </c>
      <c r="GA223" t="e">
        <f>'All regions'!2895:2895-"$F;@!.:&lt;"</f>
        <v>#VALUE!</v>
      </c>
      <c r="GB223" t="e">
        <f>'All regions'!2896:2896-"$F;@!.:="</f>
        <v>#VALUE!</v>
      </c>
      <c r="GC223" t="e">
        <f>'All regions'!2897:2897-"$F;@!.:&gt;"</f>
        <v>#VALUE!</v>
      </c>
      <c r="GD223" t="e">
        <f>'All regions'!2898:2898-"$F;@!.:?"</f>
        <v>#VALUE!</v>
      </c>
      <c r="GE223" t="e">
        <f>'All regions'!2899:2899-"$F;@!.:@"</f>
        <v>#VALUE!</v>
      </c>
      <c r="GF223" t="e">
        <f>'All regions'!2900:2900-"$F;@!.:A"</f>
        <v>#VALUE!</v>
      </c>
      <c r="GG223" t="e">
        <f>'All regions'!2901:2901-"$F;@!.:B"</f>
        <v>#VALUE!</v>
      </c>
      <c r="GH223" t="e">
        <f>'All regions'!2902:2902-"$F;@!.:C"</f>
        <v>#VALUE!</v>
      </c>
      <c r="GI223" t="e">
        <f>'All regions'!2903:2903-"$F;@!.:D"</f>
        <v>#VALUE!</v>
      </c>
      <c r="GJ223" t="e">
        <f>'All regions'!2904:2904-"$F;@!.:E"</f>
        <v>#VALUE!</v>
      </c>
      <c r="GK223" t="e">
        <f>'All regions'!2905:2905-"$F;@!.:F"</f>
        <v>#VALUE!</v>
      </c>
      <c r="GL223" t="e">
        <f>'All regions'!2906:2906-"$F;@!.:G"</f>
        <v>#VALUE!</v>
      </c>
      <c r="GM223" t="e">
        <f>'All regions'!2907:2907-"$F;@!.:H"</f>
        <v>#VALUE!</v>
      </c>
      <c r="GN223" t="e">
        <f>'All regions'!2908:2908-"$F;@!.:I"</f>
        <v>#VALUE!</v>
      </c>
      <c r="GO223" t="e">
        <f>'All regions'!2909:2909-"$F;@!.:J"</f>
        <v>#VALUE!</v>
      </c>
      <c r="GP223" t="e">
        <f>'All regions'!2910:2910-"$F;@!.:K"</f>
        <v>#VALUE!</v>
      </c>
      <c r="GQ223" t="e">
        <f>'All regions'!2911:2911-"$F;@!.:L"</f>
        <v>#VALUE!</v>
      </c>
      <c r="GR223" t="e">
        <f>'All regions'!2912:2912-"$F;@!.:M"</f>
        <v>#VALUE!</v>
      </c>
      <c r="GS223" t="e">
        <f>'All regions'!2913:2913-"$F;@!.:N"</f>
        <v>#VALUE!</v>
      </c>
      <c r="GT223" t="e">
        <f>'All regions'!2914:2914-"$F;@!.:O"</f>
        <v>#VALUE!</v>
      </c>
      <c r="GU223" t="e">
        <f>'All regions'!2915:2915-"$F;@!.:P"</f>
        <v>#VALUE!</v>
      </c>
      <c r="GV223" t="e">
        <f>'All regions'!2916:2916-"$F;@!.:Q"</f>
        <v>#VALUE!</v>
      </c>
      <c r="GW223" t="e">
        <f>'All regions'!2917:2917-"$F;@!.:R"</f>
        <v>#VALUE!</v>
      </c>
      <c r="GX223" t="e">
        <f>'All regions'!2918:2918-"$F;@!.:S"</f>
        <v>#VALUE!</v>
      </c>
      <c r="GY223" t="e">
        <f>'All regions'!2919:2919-"$F;@!.:T"</f>
        <v>#VALUE!</v>
      </c>
      <c r="GZ223" t="e">
        <f>'All regions'!2920:2920-"$F;@!.:U"</f>
        <v>#VALUE!</v>
      </c>
      <c r="HA223" t="e">
        <f>'All regions'!2921:2921-"$F;@!.:V"</f>
        <v>#VALUE!</v>
      </c>
      <c r="HB223" t="e">
        <f>'All regions'!2922:2922-"$F;@!.:W"</f>
        <v>#VALUE!</v>
      </c>
      <c r="HC223" t="e">
        <f>'All regions'!2923:2923-"$F;@!.:X"</f>
        <v>#VALUE!</v>
      </c>
      <c r="HD223" t="e">
        <f>'All regions'!2924:2924-"$F;@!.:Y"</f>
        <v>#VALUE!</v>
      </c>
      <c r="HE223" t="e">
        <f>'All regions'!2925:2925-"$F;@!.:Z"</f>
        <v>#VALUE!</v>
      </c>
      <c r="HF223" t="e">
        <f>'All regions'!2926:2926-"$F;@!.:["</f>
        <v>#VALUE!</v>
      </c>
      <c r="HG223" t="e">
        <f>'All regions'!2927:2927-"$F;@!.:\"</f>
        <v>#VALUE!</v>
      </c>
      <c r="HH223" t="e">
        <f>'All regions'!2928:2928-"$F;@!.:]"</f>
        <v>#VALUE!</v>
      </c>
      <c r="HI223" t="e">
        <f>'All regions'!2929:2929-"$F;@!.:^"</f>
        <v>#VALUE!</v>
      </c>
      <c r="HJ223" t="e">
        <f>'All regions'!2930:2930-"$F;@!.:_"</f>
        <v>#VALUE!</v>
      </c>
      <c r="HK223" t="e">
        <f>'All regions'!2931:2931-"$F;@!.:`"</f>
        <v>#VALUE!</v>
      </c>
      <c r="HL223" t="e">
        <f>'All regions'!2932:2932-"$F;@!.:a"</f>
        <v>#VALUE!</v>
      </c>
      <c r="HM223" t="e">
        <f>'All regions'!2933:2933-"$F;@!.:b"</f>
        <v>#VALUE!</v>
      </c>
      <c r="HN223" t="e">
        <f>'All regions'!2934:2934-"$F;@!.:c"</f>
        <v>#VALUE!</v>
      </c>
      <c r="HO223" t="e">
        <f>'All regions'!2935:2935-"$F;@!.:d"</f>
        <v>#VALUE!</v>
      </c>
      <c r="HP223" t="e">
        <f>'All regions'!2936:2936-"$F;@!.:e"</f>
        <v>#VALUE!</v>
      </c>
      <c r="HQ223" t="e">
        <f>'All regions'!2937:2937-"$F;@!.:f"</f>
        <v>#VALUE!</v>
      </c>
      <c r="HR223" t="e">
        <f>'All regions'!2938:2938-"$F;@!.:g"</f>
        <v>#VALUE!</v>
      </c>
      <c r="HS223" t="e">
        <f>'All regions'!2939:2939-"$F;@!.:h"</f>
        <v>#VALUE!</v>
      </c>
      <c r="HT223" t="e">
        <f>'All regions'!2940:2940-"$F;@!.:i"</f>
        <v>#VALUE!</v>
      </c>
      <c r="HU223" t="e">
        <f>'All regions'!2941:2941-"$F;@!.:j"</f>
        <v>#VALUE!</v>
      </c>
      <c r="HV223" t="e">
        <f>'All regions'!2942:2942-"$F;@!.:k"</f>
        <v>#VALUE!</v>
      </c>
      <c r="HW223" t="e">
        <f>'All regions'!2943:2943-"$F;@!.:l"</f>
        <v>#VALUE!</v>
      </c>
      <c r="HX223" t="e">
        <f>'All regions'!2944:2944-"$F;@!.:m"</f>
        <v>#VALUE!</v>
      </c>
      <c r="HY223" t="e">
        <f>'All regions'!2945:2945-"$F;@!.:n"</f>
        <v>#VALUE!</v>
      </c>
      <c r="HZ223" t="e">
        <f>'All regions'!2946:2946-"$F;@!.:o"</f>
        <v>#VALUE!</v>
      </c>
      <c r="IA223" t="e">
        <f>'All regions'!2947:2947-"$F;@!.:p"</f>
        <v>#VALUE!</v>
      </c>
      <c r="IB223" t="e">
        <f>'All regions'!2948:2948-"$F;@!.:q"</f>
        <v>#VALUE!</v>
      </c>
      <c r="IC223" t="e">
        <f>'All regions'!2949:2949-"$F;@!.:r"</f>
        <v>#VALUE!</v>
      </c>
      <c r="ID223" t="e">
        <f>'All regions'!2950:2950-"$F;@!.:s"</f>
        <v>#VALUE!</v>
      </c>
      <c r="IE223" t="e">
        <f>'All regions'!2951:2951-"$F;@!.:t"</f>
        <v>#VALUE!</v>
      </c>
      <c r="IF223" t="e">
        <f>'All regions'!2952:2952-"$F;@!.:u"</f>
        <v>#VALUE!</v>
      </c>
      <c r="IG223" t="e">
        <f>'All regions'!2953:2953-"$F;@!.:v"</f>
        <v>#VALUE!</v>
      </c>
      <c r="IH223" t="e">
        <f>'All regions'!2954:2954-"$F;@!.:w"</f>
        <v>#VALUE!</v>
      </c>
      <c r="II223" t="e">
        <f>'All regions'!2955:2955-"$F;@!.:x"</f>
        <v>#VALUE!</v>
      </c>
      <c r="IJ223" t="e">
        <f>'All regions'!2956:2956-"$F;@!.:y"</f>
        <v>#VALUE!</v>
      </c>
      <c r="IK223" t="e">
        <f>'All regions'!2957:2957-"$F;@!.:z"</f>
        <v>#VALUE!</v>
      </c>
      <c r="IL223" t="e">
        <f>'All regions'!2958:2958-"$F;@!.:{"</f>
        <v>#VALUE!</v>
      </c>
      <c r="IM223" t="e">
        <f>'All regions'!2959:2959-"$F;@!.:|"</f>
        <v>#VALUE!</v>
      </c>
      <c r="IN223" t="e">
        <f>'All regions'!2960:2960-"$F;@!.:}"</f>
        <v>#VALUE!</v>
      </c>
      <c r="IO223" t="e">
        <f>'All regions'!2961:2961-"$F;@!.:~"</f>
        <v>#VALUE!</v>
      </c>
      <c r="IP223" t="e">
        <f>'All regions'!2962:2962-"$F;@!.;#"</f>
        <v>#VALUE!</v>
      </c>
      <c r="IQ223" t="e">
        <f>'All regions'!2963:2963-"$F;@!.;$"</f>
        <v>#VALUE!</v>
      </c>
      <c r="IR223" t="e">
        <f>'All regions'!2964:2964-"$F;@!.;%"</f>
        <v>#VALUE!</v>
      </c>
      <c r="IS223" t="e">
        <f>'All regions'!2965:2965-"$F;@!.;&amp;"</f>
        <v>#VALUE!</v>
      </c>
      <c r="IT223" t="e">
        <f>'All regions'!2966:2966-"$F;@!.;'"</f>
        <v>#VALUE!</v>
      </c>
      <c r="IU223" t="e">
        <f>'All regions'!2967:2967-"$F;@!.;("</f>
        <v>#VALUE!</v>
      </c>
      <c r="IV223" t="e">
        <f>'All regions'!2968:2968-"$F;@!.;)"</f>
        <v>#VALUE!</v>
      </c>
    </row>
    <row r="224" spans="6:256" x14ac:dyDescent="0.35">
      <c r="F224" t="e">
        <f>'All regions'!2969:2969-"$F;@!.;."</f>
        <v>#VALUE!</v>
      </c>
      <c r="G224" t="e">
        <f>'All regions'!2970:2970-"$F;@!.;/"</f>
        <v>#VALUE!</v>
      </c>
      <c r="H224" t="e">
        <f>'All regions'!2971:2971-"$F;@!.;0"</f>
        <v>#VALUE!</v>
      </c>
      <c r="I224" t="e">
        <f>'All regions'!2972:2972-"$F;@!.;1"</f>
        <v>#VALUE!</v>
      </c>
      <c r="J224" t="e">
        <f>'All regions'!2973:2973-"$F;@!.;2"</f>
        <v>#VALUE!</v>
      </c>
      <c r="K224" t="e">
        <f>'All regions'!2974:2974-"$F;@!.;3"</f>
        <v>#VALUE!</v>
      </c>
      <c r="L224" t="e">
        <f>'All regions'!2975:2975-"$F;@!.;4"</f>
        <v>#VALUE!</v>
      </c>
      <c r="M224" t="e">
        <f>'All regions'!2976:2976-"$F;@!.;5"</f>
        <v>#VALUE!</v>
      </c>
      <c r="N224" t="e">
        <f>'All regions'!2977:2977-"$F;@!.;6"</f>
        <v>#VALUE!</v>
      </c>
      <c r="O224" t="e">
        <f>'All regions'!2978:2978-"$F;@!.;7"</f>
        <v>#VALUE!</v>
      </c>
      <c r="P224" t="e">
        <f>'All regions'!2979:2979-"$F;@!.;8"</f>
        <v>#VALUE!</v>
      </c>
      <c r="Q224" t="e">
        <f>'All regions'!2980:2980-"$F;@!.;9"</f>
        <v>#VALUE!</v>
      </c>
      <c r="R224" t="e">
        <f>'All regions'!2981:2981-"$F;@!.;:"</f>
        <v>#VALUE!</v>
      </c>
      <c r="S224" t="e">
        <f>'All regions'!2982:2982-"$F;@!.;;"</f>
        <v>#VALUE!</v>
      </c>
      <c r="T224" t="e">
        <f>'All regions'!2983:2983-"$F;@!.;&lt;"</f>
        <v>#VALUE!</v>
      </c>
      <c r="U224" t="e">
        <f>'All regions'!2984:2984-"$F;@!.;="</f>
        <v>#VALUE!</v>
      </c>
      <c r="V224" t="e">
        <f>'All regions'!2985:2985-"$F;@!.;&gt;"</f>
        <v>#VALUE!</v>
      </c>
      <c r="W224" t="e">
        <f>'All regions'!2986:2986-"$F;@!.;?"</f>
        <v>#VALUE!</v>
      </c>
      <c r="X224" t="e">
        <f>'All regions'!2987:2987-"$F;@!.;@"</f>
        <v>#VALUE!</v>
      </c>
      <c r="Y224" t="e">
        <f>'All regions'!2988:2988-"$F;@!.;A"</f>
        <v>#VALUE!</v>
      </c>
      <c r="Z224" t="e">
        <f>'All regions'!2989:2989-"$F;@!.;B"</f>
        <v>#VALUE!</v>
      </c>
      <c r="AA224" t="e">
        <f>'All regions'!2990:2990-"$F;@!.;C"</f>
        <v>#VALUE!</v>
      </c>
      <c r="AB224" t="e">
        <f>'All regions'!2991:2991-"$F;@!.;D"</f>
        <v>#VALUE!</v>
      </c>
      <c r="AC224" t="e">
        <f>'All regions'!2992:2992-"$F;@!.;E"</f>
        <v>#VALUE!</v>
      </c>
      <c r="AD224" t="e">
        <f>'All regions'!2993:2993-"$F;@!.;F"</f>
        <v>#VALUE!</v>
      </c>
      <c r="AE224" t="e">
        <f>'All regions'!2994:2994-"$F;@!.;G"</f>
        <v>#VALUE!</v>
      </c>
      <c r="AF224" t="e">
        <f>'All regions'!2995:2995-"$F;@!.;H"</f>
        <v>#VALUE!</v>
      </c>
      <c r="AG224" t="e">
        <f>'All regions'!2996:2996-"$F;@!.;I"</f>
        <v>#VALUE!</v>
      </c>
      <c r="AH224" t="e">
        <f>'All regions'!2997:2997-"$F;@!.;J"</f>
        <v>#VALUE!</v>
      </c>
      <c r="AI224" t="e">
        <f>'All regions'!2998:2998-"$F;@!.;K"</f>
        <v>#VALUE!</v>
      </c>
      <c r="AJ224" t="e">
        <f>'All regions'!2999:2999-"$F;@!.;L"</f>
        <v>#VALUE!</v>
      </c>
      <c r="AK224" t="e">
        <f>'All regions'!3000:3000-"$F;@!.;M"</f>
        <v>#VALUE!</v>
      </c>
      <c r="AL224" t="e">
        <f>'All regions'!3001:3001-"$F;@!.;N"</f>
        <v>#VALUE!</v>
      </c>
      <c r="AM224" t="e">
        <f>'All regions'!3002:3002-"$F;@!.;O"</f>
        <v>#VALUE!</v>
      </c>
      <c r="AN224" t="e">
        <f>'All regions'!3003:3003-"$F;@!.;P"</f>
        <v>#VALUE!</v>
      </c>
      <c r="AO224" t="e">
        <f>'All regions'!3004:3004-"$F;@!.;Q"</f>
        <v>#VALUE!</v>
      </c>
      <c r="AP224" t="e">
        <f>'All regions'!3005:3005-"$F;@!.;R"</f>
        <v>#VALUE!</v>
      </c>
      <c r="AQ224" t="e">
        <f>'All regions'!3006:3006-"$F;@!.;S"</f>
        <v>#VALUE!</v>
      </c>
      <c r="AR224" t="e">
        <f>'All regions'!3007:3007-"$F;@!.;T"</f>
        <v>#VALUE!</v>
      </c>
      <c r="AS224" t="e">
        <f>'All regions'!3008:3008-"$F;@!.;U"</f>
        <v>#VALUE!</v>
      </c>
      <c r="AT224" t="e">
        <f>'All regions'!3009:3009-"$F;@!.;V"</f>
        <v>#VALUE!</v>
      </c>
      <c r="AU224" t="e">
        <f>'All regions'!3010:3010-"$F;@!.;W"</f>
        <v>#VALUE!</v>
      </c>
      <c r="AV224" t="e">
        <f>'All regions'!3011:3011-"$F;@!.;X"</f>
        <v>#VALUE!</v>
      </c>
      <c r="AW224" t="e">
        <f>'All regions'!3012:3012-"$F;@!.;Y"</f>
        <v>#VALUE!</v>
      </c>
      <c r="AX224" t="e">
        <f>'All regions'!3013:3013-"$F;@!.;Z"</f>
        <v>#VALUE!</v>
      </c>
      <c r="AY224" t="e">
        <f>'All regions'!3014:3014-"$F;@!.;["</f>
        <v>#VALUE!</v>
      </c>
      <c r="AZ224" t="e">
        <f>'All regions'!3015:3015-"$F;@!.;\"</f>
        <v>#VALUE!</v>
      </c>
      <c r="BA224" t="e">
        <f>'All regions'!3016:3016-"$F;@!.;]"</f>
        <v>#VALUE!</v>
      </c>
      <c r="BB224" t="e">
        <f>'All regions'!3017:3017-"$F;@!.;^"</f>
        <v>#VALUE!</v>
      </c>
      <c r="BC224" t="e">
        <f>'All regions'!3018:3018-"$F;@!.;_"</f>
        <v>#VALUE!</v>
      </c>
      <c r="BD224" t="e">
        <f>'All regions'!3019:3019-"$F;@!.;`"</f>
        <v>#VALUE!</v>
      </c>
      <c r="BE224" t="e">
        <f>'All regions'!3020:3020-"$F;@!.;a"</f>
        <v>#VALUE!</v>
      </c>
      <c r="BF224" t="e">
        <f>'All regions'!3021:3021-"$F;@!.;b"</f>
        <v>#VALUE!</v>
      </c>
      <c r="BG224" t="e">
        <f>'All regions'!3022:3022-"$F;@!.;c"</f>
        <v>#VALUE!</v>
      </c>
      <c r="BH224" t="e">
        <f>'All regions'!3023:3023-"$F;@!.;d"</f>
        <v>#VALUE!</v>
      </c>
      <c r="BI224" t="e">
        <f>'All regions'!3024:3024-"$F;@!.;e"</f>
        <v>#VALUE!</v>
      </c>
      <c r="BJ224" t="e">
        <f>'All regions'!3025:3025-"$F;@!.;f"</f>
        <v>#VALUE!</v>
      </c>
      <c r="BK224" t="e">
        <f>'All regions'!3026:3026-"$F;@!.;g"</f>
        <v>#VALUE!</v>
      </c>
      <c r="BL224" t="e">
        <f>'All regions'!3027:3027-"$F;@!.;h"</f>
        <v>#VALUE!</v>
      </c>
      <c r="BM224" t="e">
        <f>'All regions'!3028:3028-"$F;@!.;i"</f>
        <v>#VALUE!</v>
      </c>
      <c r="BN224" t="e">
        <f>'All regions'!3029:3029-"$F;@!.;j"</f>
        <v>#VALUE!</v>
      </c>
      <c r="BO224" t="e">
        <f>'All regions'!3030:3030-"$F;@!.;k"</f>
        <v>#VALUE!</v>
      </c>
      <c r="BP224" t="e">
        <f>'All regions'!3031:3031-"$F;@!.;l"</f>
        <v>#VALUE!</v>
      </c>
      <c r="BQ224" t="e">
        <f>'All regions'!3032:3032-"$F;@!.;m"</f>
        <v>#VALUE!</v>
      </c>
      <c r="BR224" t="e">
        <f>'All regions'!3033:3033-"$F;@!.;n"</f>
        <v>#VALUE!</v>
      </c>
      <c r="BS224" t="e">
        <f>'All regions'!3034:3034-"$F;@!.;o"</f>
        <v>#VALUE!</v>
      </c>
      <c r="BT224" t="e">
        <f>'All regions'!3035:3035-"$F;@!.;p"</f>
        <v>#VALUE!</v>
      </c>
      <c r="BU224" t="e">
        <f>'All regions'!3036:3036-"$F;@!.;q"</f>
        <v>#VALUE!</v>
      </c>
      <c r="BV224" t="e">
        <f>'All regions'!3037:3037-"$F;@!.;r"</f>
        <v>#VALUE!</v>
      </c>
      <c r="BW224" t="e">
        <f>'All regions'!3038:3038-"$F;@!.;s"</f>
        <v>#VALUE!</v>
      </c>
      <c r="BX224" t="e">
        <f>'All regions'!3039:3039-"$F;@!.;t"</f>
        <v>#VALUE!</v>
      </c>
      <c r="BY224" t="e">
        <f>'All regions'!3040:3040-"$F;@!.;u"</f>
        <v>#VALUE!</v>
      </c>
      <c r="BZ224" t="e">
        <f>'All regions'!3041:3041-"$F;@!.;v"</f>
        <v>#VALUE!</v>
      </c>
      <c r="CA224" t="e">
        <f>'All regions'!3042:3042-"$F;@!.;w"</f>
        <v>#VALUE!</v>
      </c>
      <c r="CB224" t="e">
        <f>'All regions'!3043:3043-"$F;@!.;x"</f>
        <v>#VALUE!</v>
      </c>
      <c r="CC224" t="e">
        <f>'All regions'!3044:3044-"$F;@!.;y"</f>
        <v>#VALUE!</v>
      </c>
      <c r="CD224" t="e">
        <f>'All regions'!3045:3045-"$F;@!.;z"</f>
        <v>#VALUE!</v>
      </c>
      <c r="CE224" t="e">
        <f>'All regions'!3046:3046-"$F;@!.;{"</f>
        <v>#VALUE!</v>
      </c>
      <c r="CF224" t="e">
        <f>'All regions'!3047:3047-"$F;@!.;|"</f>
        <v>#VALUE!</v>
      </c>
      <c r="CG224" t="e">
        <f>'All regions'!3048:3048-"$F;@!.;}"</f>
        <v>#VALUE!</v>
      </c>
      <c r="CH224" t="e">
        <f>'All regions'!3049:3049-"$F;@!.;~"</f>
        <v>#VALUE!</v>
      </c>
      <c r="CI224" t="e">
        <f>'All regions'!3050:3050-"$F;@!.&lt;#"</f>
        <v>#VALUE!</v>
      </c>
      <c r="CJ224" t="e">
        <f>'All regions'!3051:3051-"$F;@!.&lt;$"</f>
        <v>#VALUE!</v>
      </c>
      <c r="CK224" t="e">
        <f>'All regions'!3052:3052-"$F;@!.&lt;%"</f>
        <v>#VALUE!</v>
      </c>
      <c r="CL224" t="e">
        <f>'All regions'!3053:3053-"$F;@!.&lt;&amp;"</f>
        <v>#VALUE!</v>
      </c>
      <c r="CM224" t="e">
        <f>'All regions'!3054:3054-"$F;@!.&lt;'"</f>
        <v>#VALUE!</v>
      </c>
      <c r="CN224" t="e">
        <f>'All regions'!3055:3055-"$F;@!.&lt;("</f>
        <v>#VALUE!</v>
      </c>
      <c r="CO224" t="e">
        <f>'All regions'!3056:3056-"$F;@!.&lt;)"</f>
        <v>#VALUE!</v>
      </c>
      <c r="CP224" t="e">
        <f>'All regions'!3057:3057-"$F;@!.&lt;."</f>
        <v>#VALUE!</v>
      </c>
      <c r="CQ224" t="e">
        <f>'All regions'!3058:3058-"$F;@!.&lt;/"</f>
        <v>#VALUE!</v>
      </c>
      <c r="CR224" t="e">
        <f>'All regions'!3059:3059-"$F;@!.&lt;0"</f>
        <v>#VALUE!</v>
      </c>
      <c r="CS224" t="e">
        <f>'All regions'!3060:3060-"$F;@!.&lt;1"</f>
        <v>#VALUE!</v>
      </c>
      <c r="CT224" t="e">
        <f>'All regions'!3061:3061-"$F;@!.&lt;2"</f>
        <v>#VALUE!</v>
      </c>
      <c r="CU224" t="e">
        <f>'All regions'!3062:3062-"$F;@!.&lt;3"</f>
        <v>#VALUE!</v>
      </c>
      <c r="CV224" t="e">
        <f>'All regions'!3063:3063-"$F;@!.&lt;4"</f>
        <v>#VALUE!</v>
      </c>
      <c r="CW224" t="e">
        <f>'All regions'!3064:3064-"$F;@!.&lt;5"</f>
        <v>#VALUE!</v>
      </c>
      <c r="CX224" t="e">
        <f>'All regions'!3065:3065-"$F;@!.&lt;6"</f>
        <v>#VALUE!</v>
      </c>
      <c r="CY224" t="e">
        <f>'All regions'!3066:3066-"$F;@!.&lt;7"</f>
        <v>#VALUE!</v>
      </c>
      <c r="CZ224" t="e">
        <f>'All regions'!3067:3067-"$F;@!.&lt;8"</f>
        <v>#VALUE!</v>
      </c>
      <c r="DA224" t="e">
        <f>'All regions'!3068:3068-"$F;@!.&lt;9"</f>
        <v>#VALUE!</v>
      </c>
      <c r="DB224" t="e">
        <f>'All regions'!3069:3069-"$F;@!.&lt;:"</f>
        <v>#VALUE!</v>
      </c>
      <c r="DC224" t="e">
        <f>'All regions'!3070:3070-"$F;@!.&lt;;"</f>
        <v>#VALUE!</v>
      </c>
      <c r="DD224" t="e">
        <f>'All regions'!3071:3071-"$F;@!.&lt;&lt;"</f>
        <v>#VALUE!</v>
      </c>
      <c r="DE224" t="e">
        <f>'All regions'!3072:3072-"$F;@!.&lt;="</f>
        <v>#VALUE!</v>
      </c>
      <c r="DF224" t="e">
        <f>'All regions'!3073:3073-"$F;@!.&lt;&gt;"</f>
        <v>#VALUE!</v>
      </c>
      <c r="DG224" t="e">
        <f>'All regions'!3074:3074-"$F;@!.&lt;?"</f>
        <v>#VALUE!</v>
      </c>
      <c r="DH224" t="e">
        <f>'All regions'!3075:3075-"$F;@!.&lt;@"</f>
        <v>#VALUE!</v>
      </c>
      <c r="DI224" t="e">
        <f>'All regions'!3076:3076-"$F;@!.&lt;A"</f>
        <v>#VALUE!</v>
      </c>
      <c r="DJ224" t="e">
        <f>'All regions'!3077:3077-"$F;@!.&lt;B"</f>
        <v>#VALUE!</v>
      </c>
      <c r="DK224" t="e">
        <f>'All regions'!3078:3078-"$F;@!.&lt;C"</f>
        <v>#VALUE!</v>
      </c>
      <c r="DL224" t="e">
        <f>'All regions'!3079:3079-"$F;@!.&lt;D"</f>
        <v>#VALUE!</v>
      </c>
      <c r="DM224" t="e">
        <f>'All regions'!3080:3080-"$F;@!.&lt;E"</f>
        <v>#VALUE!</v>
      </c>
      <c r="DN224" t="e">
        <f>'All regions'!3081:3081-"$F;@!.&lt;F"</f>
        <v>#VALUE!</v>
      </c>
      <c r="DO224" t="e">
        <f>'All regions'!3082:3082-"$F;@!.&lt;G"</f>
        <v>#VALUE!</v>
      </c>
      <c r="DP224" t="e">
        <f>'All regions'!3083:3083-"$F;@!.&lt;H"</f>
        <v>#VALUE!</v>
      </c>
      <c r="DQ224" t="e">
        <f>'All regions'!3084:3084-"$F;@!.&lt;I"</f>
        <v>#VALUE!</v>
      </c>
      <c r="DR224" t="e">
        <f>'All regions'!3085:3085-"$F;@!.&lt;J"</f>
        <v>#VALUE!</v>
      </c>
      <c r="DS224" t="e">
        <f>'All regions'!3086:3086-"$F;@!.&lt;K"</f>
        <v>#VALUE!</v>
      </c>
      <c r="DT224" t="e">
        <f>'All regions'!3087:3087-"$F;@!.&lt;L"</f>
        <v>#VALUE!</v>
      </c>
      <c r="DU224" t="e">
        <f>'All regions'!3088:3088-"$F;@!.&lt;M"</f>
        <v>#VALUE!</v>
      </c>
      <c r="DV224" t="e">
        <f>'All regions'!3089:3089-"$F;@!.&lt;N"</f>
        <v>#VALUE!</v>
      </c>
      <c r="DW224" t="e">
        <f>'All regions'!3090:3090-"$F;@!.&lt;O"</f>
        <v>#VALUE!</v>
      </c>
      <c r="DX224" t="e">
        <f>'All regions'!3091:3091-"$F;@!.&lt;P"</f>
        <v>#VALUE!</v>
      </c>
      <c r="DY224" t="e">
        <f>'All regions'!3092:3092-"$F;@!.&lt;Q"</f>
        <v>#VALUE!</v>
      </c>
      <c r="DZ224" t="e">
        <f>'All regions'!3093:3093-"$F;@!.&lt;R"</f>
        <v>#VALUE!</v>
      </c>
      <c r="EA224" t="e">
        <f>'All regions'!3094:3094-"$F;@!.&lt;S"</f>
        <v>#VALUE!</v>
      </c>
      <c r="EB224" t="e">
        <f>'All regions'!3095:3095-"$F;@!.&lt;T"</f>
        <v>#VALUE!</v>
      </c>
      <c r="EC224" t="e">
        <f>'All regions'!3096:3096-"$F;@!.&lt;U"</f>
        <v>#VALUE!</v>
      </c>
      <c r="ED224" t="e">
        <f>'All regions'!3097:3097-"$F;@!.&lt;V"</f>
        <v>#VALUE!</v>
      </c>
      <c r="EE224" t="e">
        <f>'All regions'!3098:3098-"$F;@!.&lt;W"</f>
        <v>#VALUE!</v>
      </c>
      <c r="EF224" t="e">
        <f>'All regions'!3099:3099-"$F;@!.&lt;X"</f>
        <v>#VALUE!</v>
      </c>
      <c r="EG224" t="e">
        <f>'All regions'!3100:3100-"$F;@!.&lt;Y"</f>
        <v>#VALUE!</v>
      </c>
      <c r="EH224" t="e">
        <f>'All regions'!3101:3101-"$F;@!.&lt;Z"</f>
        <v>#VALUE!</v>
      </c>
      <c r="EI224" t="e">
        <f>'All regions'!3102:3102-"$F;@!.&lt;["</f>
        <v>#VALUE!</v>
      </c>
      <c r="EJ224" t="e">
        <f>'All regions'!3103:3103-"$F;@!.&lt;\"</f>
        <v>#VALUE!</v>
      </c>
      <c r="EK224" t="e">
        <f>'All regions'!3104:3104-"$F;@!.&lt;]"</f>
        <v>#VALUE!</v>
      </c>
      <c r="EL224" t="e">
        <f>'All regions'!3105:3105-"$F;@!.&lt;^"</f>
        <v>#VALUE!</v>
      </c>
      <c r="EM224" t="e">
        <f>'All regions'!3106:3106-"$F;@!.&lt;_"</f>
        <v>#VALUE!</v>
      </c>
      <c r="EN224" t="e">
        <f>'All regions'!3107:3107-"$F;@!.&lt;`"</f>
        <v>#VALUE!</v>
      </c>
      <c r="EO224" t="e">
        <f>'All regions'!3108:3108-"$F;@!.&lt;a"</f>
        <v>#VALUE!</v>
      </c>
      <c r="EP224" t="e">
        <f>'All regions'!3109:3109-"$F;@!.&lt;b"</f>
        <v>#VALUE!</v>
      </c>
      <c r="EQ224" t="e">
        <f>'All regions'!3110:3110-"$F;@!.&lt;c"</f>
        <v>#VALUE!</v>
      </c>
      <c r="ER224" t="e">
        <f>'All regions'!3111:3111-"$F;@!.&lt;d"</f>
        <v>#VALUE!</v>
      </c>
      <c r="ES224" t="e">
        <f>'All regions'!3112:3112-"$F;@!.&lt;e"</f>
        <v>#VALUE!</v>
      </c>
      <c r="ET224" t="e">
        <f>'All regions'!3113:3113-"$F;@!.&lt;f"</f>
        <v>#VALUE!</v>
      </c>
      <c r="EU224" t="e">
        <f>'All regions'!3114:3114-"$F;@!.&lt;g"</f>
        <v>#VALUE!</v>
      </c>
      <c r="EV224" t="e">
        <f>'All regions'!3115:3115-"$F;@!.&lt;h"</f>
        <v>#VALUE!</v>
      </c>
      <c r="EW224" t="e">
        <f>'All regions'!3116:3116-"$F;@!.&lt;i"</f>
        <v>#VALUE!</v>
      </c>
      <c r="EX224" t="e">
        <f>'All regions'!3117:3117-"$F;@!.&lt;j"</f>
        <v>#VALUE!</v>
      </c>
      <c r="EY224" t="e">
        <f>'All regions'!3118:3118-"$F;@!.&lt;k"</f>
        <v>#VALUE!</v>
      </c>
      <c r="EZ224" t="e">
        <f>'All regions'!3119:3119-"$F;@!.&lt;l"</f>
        <v>#VALUE!</v>
      </c>
      <c r="FA224" t="e">
        <f>'All regions'!3120:3120-"$F;@!.&lt;m"</f>
        <v>#VALUE!</v>
      </c>
      <c r="FB224" t="e">
        <f>'All regions'!3121:3121-"$F;@!.&lt;n"</f>
        <v>#VALUE!</v>
      </c>
      <c r="FC224" t="e">
        <f>'All regions'!3122:3122-"$F;@!.&lt;o"</f>
        <v>#VALUE!</v>
      </c>
      <c r="FD224" t="e">
        <f>'All regions'!3123:3123-"$F;@!.&lt;p"</f>
        <v>#VALUE!</v>
      </c>
      <c r="FE224" t="e">
        <f>'All regions'!3124:3124-"$F;@!.&lt;q"</f>
        <v>#VALUE!</v>
      </c>
      <c r="FF224" t="e">
        <f>'All regions'!3125:3125-"$F;@!.&lt;r"</f>
        <v>#VALUE!</v>
      </c>
      <c r="FG224" t="e">
        <f>'All regions'!3126:3126-"$F;@!.&lt;s"</f>
        <v>#VALUE!</v>
      </c>
      <c r="FH224" t="e">
        <f>'All regions'!3127:3127-"$F;@!.&lt;t"</f>
        <v>#VALUE!</v>
      </c>
      <c r="FI224" t="e">
        <f>'All regions'!3128:3128-"$F;@!.&lt;u"</f>
        <v>#VALUE!</v>
      </c>
      <c r="FJ224" t="e">
        <f>'All regions'!3129:3129-"$F;@!.&lt;v"</f>
        <v>#VALUE!</v>
      </c>
      <c r="FK224" t="e">
        <f>'All regions'!3130:3130-"$F;@!.&lt;w"</f>
        <v>#VALUE!</v>
      </c>
      <c r="FL224" t="e">
        <f>'All regions'!3131:3131-"$F;@!.&lt;x"</f>
        <v>#VALUE!</v>
      </c>
      <c r="FM224" t="e">
        <f>'All regions'!3132:3132-"$F;@!.&lt;y"</f>
        <v>#VALUE!</v>
      </c>
      <c r="FN224" t="e">
        <f>'All regions'!3133:3133-"$F;@!.&lt;z"</f>
        <v>#VALUE!</v>
      </c>
      <c r="FO224" t="e">
        <f>'All regions'!3134:3134-"$F;@!.&lt;{"</f>
        <v>#VALUE!</v>
      </c>
      <c r="FP224" t="e">
        <f>'All regions'!3135:3135-"$F;@!.&lt;|"</f>
        <v>#VALUE!</v>
      </c>
      <c r="FQ224" t="e">
        <f>'All regions'!3136:3136-"$F;@!.&lt;}"</f>
        <v>#VALUE!</v>
      </c>
      <c r="FR224" t="e">
        <f>'All regions'!3137:3137-"$F;@!.&lt;~"</f>
        <v>#VALUE!</v>
      </c>
      <c r="FS224" t="e">
        <f>'All regions'!3138:3138-"$F;@!.=#"</f>
        <v>#VALUE!</v>
      </c>
      <c r="FT224" t="e">
        <f>'All regions'!3139:3139-"$F;@!.=$"</f>
        <v>#VALUE!</v>
      </c>
      <c r="FU224" t="e">
        <f>'All regions'!3140:3140-"$F;@!.=%"</f>
        <v>#VALUE!</v>
      </c>
      <c r="FV224" t="e">
        <f>'All regions'!3141:3141-"$F;@!.=&amp;"</f>
        <v>#VALUE!</v>
      </c>
      <c r="FW224" t="e">
        <f>'All regions'!3142:3142-"$F;@!.='"</f>
        <v>#VALUE!</v>
      </c>
      <c r="FX224" t="e">
        <f>'All regions'!3143:3143-"$F;@!.=("</f>
        <v>#VALUE!</v>
      </c>
      <c r="FY224" t="e">
        <f>'All regions'!3144:3144-"$F;@!.=)"</f>
        <v>#VALUE!</v>
      </c>
      <c r="FZ224" t="e">
        <f>'All regions'!3145:3145-"$F;@!.=."</f>
        <v>#VALUE!</v>
      </c>
      <c r="GA224" t="e">
        <f>'All regions'!3146:3146-"$F;@!.=/"</f>
        <v>#VALUE!</v>
      </c>
      <c r="GB224" t="e">
        <f>'All regions'!3147:3147-"$F;@!.=0"</f>
        <v>#VALUE!</v>
      </c>
      <c r="GC224" t="e">
        <f>'All regions'!3148:3148-"$F;@!.=1"</f>
        <v>#VALUE!</v>
      </c>
      <c r="GD224" t="e">
        <f>'All regions'!3149:3149-"$F;@!.=2"</f>
        <v>#VALUE!</v>
      </c>
      <c r="GE224" t="e">
        <f>'All regions'!3150:3150-"$F;@!.=3"</f>
        <v>#VALUE!</v>
      </c>
      <c r="GF224" t="e">
        <f>'All regions'!3151:3151-"$F;@!.=4"</f>
        <v>#VALUE!</v>
      </c>
      <c r="GG224" t="e">
        <f>'All regions'!3152:3152-"$F;@!.=5"</f>
        <v>#VALUE!</v>
      </c>
      <c r="GH224" t="e">
        <f>'All regions'!3153:3153-"$F;@!.=6"</f>
        <v>#VALUE!</v>
      </c>
      <c r="GI224" t="e">
        <f>'All regions'!3154:3154-"$F;@!.=7"</f>
        <v>#VALUE!</v>
      </c>
      <c r="GJ224" t="e">
        <f>'All regions'!3155:3155-"$F;@!.=8"</f>
        <v>#VALUE!</v>
      </c>
      <c r="GK224" t="e">
        <f>'All regions'!3156:3156-"$F;@!.=9"</f>
        <v>#VALUE!</v>
      </c>
      <c r="GL224" t="e">
        <f>'All regions'!3157:3157-"$F;@!.=:"</f>
        <v>#VALUE!</v>
      </c>
      <c r="GM224" t="e">
        <f>'All regions'!3158:3158-"$F;@!.=;"</f>
        <v>#VALUE!</v>
      </c>
      <c r="GN224" t="e">
        <f>'All regions'!3159:3159-"$F;@!.=&lt;"</f>
        <v>#VALUE!</v>
      </c>
      <c r="GO224" t="e">
        <f>'All regions'!3160:3160-"$F;@!.=="</f>
        <v>#VALUE!</v>
      </c>
      <c r="GP224" t="e">
        <f>'All regions'!3161:3161-"$F;@!.=&gt;"</f>
        <v>#VALUE!</v>
      </c>
      <c r="GQ224" t="e">
        <f>'All regions'!3162:3162-"$F;@!.=?"</f>
        <v>#VALUE!</v>
      </c>
      <c r="GR224" t="e">
        <f>'All regions'!3163:3163-"$F;@!.=@"</f>
        <v>#VALUE!</v>
      </c>
      <c r="GS224" t="e">
        <f>'All regions'!3164:3164-"$F;@!.=A"</f>
        <v>#VALUE!</v>
      </c>
      <c r="GT224" t="e">
        <f>'All regions'!3165:3165-"$F;@!.=B"</f>
        <v>#VALUE!</v>
      </c>
      <c r="GU224" t="e">
        <f>'All regions'!3166:3166-"$F;@!.=C"</f>
        <v>#VALUE!</v>
      </c>
      <c r="GV224" t="e">
        <f>'All regions'!3167:3167-"$F;@!.=D"</f>
        <v>#VALUE!</v>
      </c>
      <c r="GW224" t="e">
        <f>'All regions'!3168:3168-"$F;@!.=E"</f>
        <v>#VALUE!</v>
      </c>
      <c r="GX224" t="e">
        <f>'All regions'!3169:3169-"$F;@!.=F"</f>
        <v>#VALUE!</v>
      </c>
      <c r="GY224" t="e">
        <f>'All regions'!3170:3170-"$F;@!.=G"</f>
        <v>#VALUE!</v>
      </c>
      <c r="GZ224" t="e">
        <f>'All regions'!3171:3171-"$F;@!.=H"</f>
        <v>#VALUE!</v>
      </c>
      <c r="HA224" t="e">
        <f>'All regions'!3172:3172-"$F;@!.=I"</f>
        <v>#VALUE!</v>
      </c>
      <c r="HB224" t="e">
        <f>'All regions'!3173:3173-"$F;@!.=J"</f>
        <v>#VALUE!</v>
      </c>
      <c r="HC224" t="e">
        <f>'All regions'!3174:3174-"$F;@!.=K"</f>
        <v>#VALUE!</v>
      </c>
      <c r="HD224" t="e">
        <f>'All regions'!3175:3175-"$F;@!.=L"</f>
        <v>#VALUE!</v>
      </c>
      <c r="HE224" t="e">
        <f>'All regions'!3176:3176-"$F;@!.=M"</f>
        <v>#VALUE!</v>
      </c>
      <c r="HF224" t="e">
        <f>'All regions'!3177:3177-"$F;@!.=N"</f>
        <v>#VALUE!</v>
      </c>
      <c r="HG224" t="e">
        <f>'All regions'!3178:3178-"$F;@!.=O"</f>
        <v>#VALUE!</v>
      </c>
      <c r="HH224" t="e">
        <f>'All regions'!3179:3179-"$F;@!.=P"</f>
        <v>#VALUE!</v>
      </c>
      <c r="HI224" t="e">
        <f>'All regions'!3180:3180-"$F;@!.=Q"</f>
        <v>#VALUE!</v>
      </c>
      <c r="HJ224" t="e">
        <f>'All regions'!3181:3181-"$F;@!.=R"</f>
        <v>#VALUE!</v>
      </c>
      <c r="HK224" t="e">
        <f>'All regions'!3182:3182-"$F;@!.=S"</f>
        <v>#VALUE!</v>
      </c>
      <c r="HL224" t="e">
        <f>'All regions'!3183:3183-"$F;@!.=T"</f>
        <v>#VALUE!</v>
      </c>
      <c r="HM224" t="e">
        <f>'All regions'!3184:3184-"$F;@!.=U"</f>
        <v>#VALUE!</v>
      </c>
      <c r="HN224" t="e">
        <f>'All regions'!3185:3185-"$F;@!.=V"</f>
        <v>#VALUE!</v>
      </c>
      <c r="HO224" t="e">
        <f>'All regions'!3186:3186-"$F;@!.=W"</f>
        <v>#VALUE!</v>
      </c>
      <c r="HP224" t="e">
        <f>'All regions'!3187:3187-"$F;@!.=X"</f>
        <v>#VALUE!</v>
      </c>
      <c r="HQ224" t="e">
        <f>'All regions'!3188:3188-"$F;@!.=Y"</f>
        <v>#VALUE!</v>
      </c>
      <c r="HR224" t="e">
        <f>'All regions'!3189:3189-"$F;@!.=Z"</f>
        <v>#VALUE!</v>
      </c>
      <c r="HS224" t="e">
        <f>'All regions'!3190:3190-"$F;@!.=["</f>
        <v>#VALUE!</v>
      </c>
      <c r="HT224" t="e">
        <f>'All regions'!3191:3191-"$F;@!.=\"</f>
        <v>#VALUE!</v>
      </c>
      <c r="HU224" t="e">
        <f>'All regions'!3192:3192-"$F;@!.=]"</f>
        <v>#VALUE!</v>
      </c>
      <c r="HV224" t="e">
        <f>'All regions'!3193:3193-"$F;@!.=^"</f>
        <v>#VALUE!</v>
      </c>
      <c r="HW224" t="e">
        <f>'All regions'!3194:3194-"$F;@!.=_"</f>
        <v>#VALUE!</v>
      </c>
      <c r="HX224" t="e">
        <f>'All regions'!3195:3195-"$F;@!.=`"</f>
        <v>#VALUE!</v>
      </c>
      <c r="HY224" t="e">
        <f>'All regions'!3196:3196-"$F;@!.=a"</f>
        <v>#VALUE!</v>
      </c>
      <c r="HZ224" t="e">
        <f>'All regions'!3197:3197-"$F;@!.=b"</f>
        <v>#VALUE!</v>
      </c>
      <c r="IA224" t="e">
        <f>'All regions'!3198:3198-"$F;@!.=c"</f>
        <v>#VALUE!</v>
      </c>
      <c r="IB224" t="e">
        <f>'All regions'!3199:3199-"$F;@!.=d"</f>
        <v>#VALUE!</v>
      </c>
      <c r="IC224" t="e">
        <f>'All regions'!3200:3200-"$F;@!.=e"</f>
        <v>#VALUE!</v>
      </c>
      <c r="ID224" t="e">
        <f>'All regions'!3201:3201-"$F;@!.=f"</f>
        <v>#VALUE!</v>
      </c>
      <c r="IE224" t="e">
        <f>'All regions'!3202:3202-"$F;@!.=g"</f>
        <v>#VALUE!</v>
      </c>
      <c r="IF224" t="e">
        <f>'All regions'!3203:3203-"$F;@!.=h"</f>
        <v>#VALUE!</v>
      </c>
      <c r="IG224" t="e">
        <f>'All regions'!3204:3204-"$F;@!.=i"</f>
        <v>#VALUE!</v>
      </c>
      <c r="IH224" t="e">
        <f>'All regions'!3205:3205-"$F;@!.=j"</f>
        <v>#VALUE!</v>
      </c>
      <c r="II224" t="e">
        <f>'All regions'!3206:3206-"$F;@!.=k"</f>
        <v>#VALUE!</v>
      </c>
      <c r="IJ224" t="e">
        <f>'All regions'!3207:3207-"$F;@!.=l"</f>
        <v>#VALUE!</v>
      </c>
      <c r="IK224" t="e">
        <f>'All regions'!3208:3208-"$F;@!.=m"</f>
        <v>#VALUE!</v>
      </c>
      <c r="IL224" t="e">
        <f>'All regions'!3209:3209-"$F;@!.=n"</f>
        <v>#VALUE!</v>
      </c>
      <c r="IM224" t="e">
        <f>'All regions'!3210:3210-"$F;@!.=o"</f>
        <v>#VALUE!</v>
      </c>
      <c r="IN224" t="e">
        <f>'All regions'!3211:3211-"$F;@!.=p"</f>
        <v>#VALUE!</v>
      </c>
      <c r="IO224" t="e">
        <f>'All regions'!3212:3212-"$F;@!.=q"</f>
        <v>#VALUE!</v>
      </c>
      <c r="IP224" t="e">
        <f>'All regions'!3213:3213-"$F;@!.=r"</f>
        <v>#VALUE!</v>
      </c>
      <c r="IQ224" t="e">
        <f>'All regions'!3214:3214-"$F;@!.=s"</f>
        <v>#VALUE!</v>
      </c>
      <c r="IR224" t="e">
        <f>'All regions'!3215:3215-"$F;@!.=t"</f>
        <v>#VALUE!</v>
      </c>
      <c r="IS224" t="e">
        <f>'All regions'!3216:3216-"$F;@!.=u"</f>
        <v>#VALUE!</v>
      </c>
      <c r="IT224" t="e">
        <f>'All regions'!3217:3217-"$F;@!.=v"</f>
        <v>#VALUE!</v>
      </c>
      <c r="IU224" t="e">
        <f>'All regions'!3218:3218-"$F;@!.=w"</f>
        <v>#VALUE!</v>
      </c>
      <c r="IV224" t="e">
        <f>'All regions'!3219:3219-"$F;@!.=x"</f>
        <v>#VALUE!</v>
      </c>
    </row>
    <row r="225" spans="6:256" x14ac:dyDescent="0.35">
      <c r="F225" t="e">
        <f>'All regions'!3220:3220-"$F;@!.=y"</f>
        <v>#VALUE!</v>
      </c>
      <c r="G225" t="e">
        <f>'All regions'!3221:3221-"$F;@!.=z"</f>
        <v>#VALUE!</v>
      </c>
      <c r="H225" t="e">
        <f>'All regions'!3222:3222-"$F;@!.={"</f>
        <v>#VALUE!</v>
      </c>
      <c r="I225" t="e">
        <f>'All regions'!3223:3223-"$F;@!.=|"</f>
        <v>#VALUE!</v>
      </c>
      <c r="J225" t="e">
        <f>'All regions'!3224:3224-"$F;@!.=}"</f>
        <v>#VALUE!</v>
      </c>
      <c r="K225" t="e">
        <f>'All regions'!3225:3225-"$F;@!.=~"</f>
        <v>#VALUE!</v>
      </c>
      <c r="L225" t="e">
        <f>'All regions'!3226:3226-"$F;@!.&gt;#"</f>
        <v>#VALUE!</v>
      </c>
      <c r="M225" t="e">
        <f>'All regions'!3227:3227-"$F;@!.&gt;$"</f>
        <v>#VALUE!</v>
      </c>
      <c r="N225" t="e">
        <f>'All regions'!3228:3228-"$F;@!.&gt;%"</f>
        <v>#VALUE!</v>
      </c>
      <c r="O225" t="e">
        <f>'All regions'!3229:3229-"$F;@!.&gt;&amp;"</f>
        <v>#VALUE!</v>
      </c>
      <c r="P225" t="e">
        <f>'All regions'!3230:3230-"$F;@!.&gt;'"</f>
        <v>#VALUE!</v>
      </c>
      <c r="Q225" t="e">
        <f>'All regions'!3231:3231-"$F;@!.&gt;("</f>
        <v>#VALUE!</v>
      </c>
      <c r="R225" t="e">
        <f>'All regions'!3232:3232-"$F;@!.&gt;)"</f>
        <v>#VALUE!</v>
      </c>
      <c r="S225" t="e">
        <f>'All regions'!3233:3233-"$F;@!.&gt;."</f>
        <v>#VALUE!</v>
      </c>
      <c r="T225" t="e">
        <f>'All regions'!3234:3234-"$F;@!.&gt;/"</f>
        <v>#VALUE!</v>
      </c>
      <c r="U225" t="e">
        <f>'All regions'!3235:3235-"$F;@!.&gt;0"</f>
        <v>#VALUE!</v>
      </c>
      <c r="V225" t="e">
        <f>'All regions'!3236:3236-"$F;@!.&gt;1"</f>
        <v>#VALUE!</v>
      </c>
      <c r="W225" t="e">
        <f>'All regions'!3237:3237-"$F;@!.&gt;2"</f>
        <v>#VALUE!</v>
      </c>
      <c r="X225" t="e">
        <f>'All regions'!3238:3238-"$F;@!.&gt;3"</f>
        <v>#VALUE!</v>
      </c>
      <c r="Y225" t="e">
        <f>'All regions'!3239:3239-"$F;@!.&gt;4"</f>
        <v>#VALUE!</v>
      </c>
      <c r="Z225" t="e">
        <f>'All regions'!3240:3240-"$F;@!.&gt;5"</f>
        <v>#VALUE!</v>
      </c>
      <c r="AA225" t="e">
        <f>'All regions'!3241:3241-"$F;@!.&gt;6"</f>
        <v>#VALUE!</v>
      </c>
      <c r="AB225" t="e">
        <f>'All regions'!3242:3242-"$F;@!.&gt;7"</f>
        <v>#VALUE!</v>
      </c>
      <c r="AC225" t="e">
        <f>'All regions'!3243:3243-"$F;@!.&gt;8"</f>
        <v>#VALUE!</v>
      </c>
      <c r="AD225" t="e">
        <f>'All regions'!3244:3244-"$F;@!.&gt;9"</f>
        <v>#VALUE!</v>
      </c>
      <c r="AE225" t="e">
        <f>'All regions'!3245:3245-"$F;@!.&gt;:"</f>
        <v>#VALUE!</v>
      </c>
      <c r="AF225" t="e">
        <f>'All regions'!3246:3246-"$F;@!.&gt;;"</f>
        <v>#VALUE!</v>
      </c>
      <c r="AG225" t="e">
        <f>'All regions'!3247:3247-"$F;@!.&gt;&lt;"</f>
        <v>#VALUE!</v>
      </c>
      <c r="AH225" t="e">
        <f>'All regions'!3248:3248-"$F;@!.&gt;="</f>
        <v>#VALUE!</v>
      </c>
      <c r="AI225" t="e">
        <f>'All regions'!3249:3249-"$F;@!.&gt;&gt;"</f>
        <v>#VALUE!</v>
      </c>
      <c r="AJ225" t="e">
        <f>'All regions'!3250:3250-"$F;@!.&gt;?"</f>
        <v>#VALUE!</v>
      </c>
      <c r="AK225" t="e">
        <f>'All regions'!3251:3251-"$F;@!.&gt;@"</f>
        <v>#VALUE!</v>
      </c>
      <c r="AL225" t="e">
        <f>'All regions'!3252:3252-"$F;@!.&gt;A"</f>
        <v>#VALUE!</v>
      </c>
      <c r="AM225" t="e">
        <f>'All regions'!3253:3253-"$F;@!.&gt;B"</f>
        <v>#VALUE!</v>
      </c>
      <c r="AN225" t="e">
        <f>'All regions'!3254:3254-"$F;@!.&gt;C"</f>
        <v>#VALUE!</v>
      </c>
      <c r="AO225" t="e">
        <f>'All regions'!3255:3255-"$F;@!.&gt;D"</f>
        <v>#VALUE!</v>
      </c>
      <c r="AP225" t="e">
        <f>'All regions'!3256:3256-"$F;@!.&gt;E"</f>
        <v>#VALUE!</v>
      </c>
      <c r="AQ225" t="e">
        <f>'All regions'!3257:3257-"$F;@!.&gt;F"</f>
        <v>#VALUE!</v>
      </c>
      <c r="AR225" t="e">
        <f>'All regions'!3258:3258-"$F;@!.&gt;G"</f>
        <v>#VALUE!</v>
      </c>
      <c r="AS225" t="e">
        <f>'All regions'!3259:3259-"$F;@!.&gt;H"</f>
        <v>#VALUE!</v>
      </c>
      <c r="AT225" t="e">
        <f>'All regions'!3260:3260-"$F;@!.&gt;I"</f>
        <v>#VALUE!</v>
      </c>
      <c r="AU225" t="e">
        <f>'All regions'!3261:3261-"$F;@!.&gt;J"</f>
        <v>#VALUE!</v>
      </c>
      <c r="AV225" t="e">
        <f>'All regions'!3262:3262-"$F;@!.&gt;K"</f>
        <v>#VALUE!</v>
      </c>
      <c r="AW225" t="e">
        <f>'All regions'!3263:3263-"$F;@!.&gt;L"</f>
        <v>#VALUE!</v>
      </c>
      <c r="AX225" t="e">
        <f>'All regions'!3264:3264-"$F;@!.&gt;M"</f>
        <v>#VALUE!</v>
      </c>
      <c r="AY225" t="e">
        <f>'All regions'!3265:3265-"$F;@!.&gt;N"</f>
        <v>#VALUE!</v>
      </c>
      <c r="AZ225" t="e">
        <f>'All regions'!3266:3266-"$F;@!.&gt;O"</f>
        <v>#VALUE!</v>
      </c>
      <c r="BA225" t="e">
        <f>'All regions'!3267:3267-"$F;@!.&gt;P"</f>
        <v>#VALUE!</v>
      </c>
      <c r="BB225" t="e">
        <f>'All regions'!3268:3268-"$F;@!.&gt;Q"</f>
        <v>#VALUE!</v>
      </c>
      <c r="BC225" t="e">
        <f>'All regions'!3269:3269-"$F;@!.&gt;R"</f>
        <v>#VALUE!</v>
      </c>
      <c r="BD225" t="e">
        <f>'All regions'!3270:3270-"$F;@!.&gt;S"</f>
        <v>#VALUE!</v>
      </c>
      <c r="BE225" t="e">
        <f>'All regions'!3271:3271-"$F;@!.&gt;T"</f>
        <v>#VALUE!</v>
      </c>
      <c r="BF225" t="e">
        <f>'All regions'!3272:3272-"$F;@!.&gt;U"</f>
        <v>#VALUE!</v>
      </c>
      <c r="BG225" t="e">
        <f>'All regions'!3273:3273-"$F;@!.&gt;V"</f>
        <v>#VALUE!</v>
      </c>
      <c r="BH225" t="e">
        <f>'All regions'!3275:3275-"$F;@!.&gt;W"</f>
        <v>#VALUE!</v>
      </c>
      <c r="BI225" t="e">
        <f>'All regions'!3276:3276-"$F;@!.&gt;X"</f>
        <v>#VALUE!</v>
      </c>
      <c r="BJ225" t="e">
        <f>'All regions'!3277:3277-"$F;@!.&gt;Y"</f>
        <v>#VALUE!</v>
      </c>
      <c r="BK225" t="e">
        <f>'All regions'!3278:3278-"$F;@!.&gt;Z"</f>
        <v>#VALUE!</v>
      </c>
      <c r="BL225" t="e">
        <f>'All regions'!3279:3279-"$F;@!.&gt;["</f>
        <v>#VALUE!</v>
      </c>
      <c r="BM225" t="e">
        <f>'All regions'!3280:3280-"$F;@!.&gt;\"</f>
        <v>#VALUE!</v>
      </c>
      <c r="BN225" t="e">
        <f>'All regions'!3281:3281-"$F;@!.&gt;]"</f>
        <v>#VALUE!</v>
      </c>
      <c r="BO225" t="e">
        <f>'All regions'!3282:3282-"$F;@!.&gt;^"</f>
        <v>#VALUE!</v>
      </c>
      <c r="BP225" t="e">
        <f>'All regions'!3283:3283-"$F;@!.&gt;_"</f>
        <v>#VALUE!</v>
      </c>
      <c r="BQ225" t="e">
        <f>'All regions'!3284:3284-"$F;@!.&gt;`"</f>
        <v>#VALUE!</v>
      </c>
      <c r="BR225" t="e">
        <f>'All regions'!3285:3285-"$F;@!.&gt;a"</f>
        <v>#VALUE!</v>
      </c>
      <c r="BS225" t="e">
        <f>'All regions'!3286:3286-"$F;@!.&gt;b"</f>
        <v>#VALUE!</v>
      </c>
      <c r="BT225" t="e">
        <f>'All regions'!3287:3287-"$F;@!.&gt;c"</f>
        <v>#VALUE!</v>
      </c>
      <c r="BU225" t="e">
        <f>'All regions'!3288:3288-"$F;@!.&gt;d"</f>
        <v>#VALUE!</v>
      </c>
      <c r="BV225" t="e">
        <f>'All regions'!3289:3289-"$F;@!.&gt;e"</f>
        <v>#VALUE!</v>
      </c>
      <c r="BW225" t="e">
        <f>'All regions'!3290:3290-"$F;@!.&gt;f"</f>
        <v>#VALUE!</v>
      </c>
      <c r="BX225" t="e">
        <f>'All regions'!3291:3291-"$F;@!.&gt;g"</f>
        <v>#VALUE!</v>
      </c>
      <c r="BY225" t="e">
        <f>'All regions'!3292:3292-"$F;@!.&gt;h"</f>
        <v>#VALUE!</v>
      </c>
      <c r="BZ225" t="e">
        <f>'All regions'!3293:3293-"$F;@!.&gt;i"</f>
        <v>#VALUE!</v>
      </c>
      <c r="CA225" t="e">
        <f>'All regions'!3294:3294-"$F;@!.&gt;j"</f>
        <v>#VALUE!</v>
      </c>
      <c r="CB225" t="e">
        <f>'All regions'!3295:3295-"$F;@!.&gt;k"</f>
        <v>#VALUE!</v>
      </c>
      <c r="CC225" t="e">
        <f>'All regions'!3296:3296-"$F;@!.&gt;l"</f>
        <v>#VALUE!</v>
      </c>
      <c r="CD225" t="e">
        <f>'All regions'!3297:3297-"$F;@!.&gt;m"</f>
        <v>#VALUE!</v>
      </c>
      <c r="CE225" t="e">
        <f>'All regions'!3298:3298-"$F;@!.&gt;n"</f>
        <v>#VALUE!</v>
      </c>
      <c r="CF225" t="e">
        <f>'All regions'!3299:3299-"$F;@!.&gt;o"</f>
        <v>#VALUE!</v>
      </c>
      <c r="CG225" t="e">
        <f>'All regions'!3300:3300-"$F;@!.&gt;p"</f>
        <v>#VALUE!</v>
      </c>
      <c r="CH225" t="e">
        <f>'All regions'!3301:3301-"$F;@!.&gt;q"</f>
        <v>#VALUE!</v>
      </c>
      <c r="CI225" t="e">
        <f>'All regions'!3302:3302-"$F;@!.&gt;r"</f>
        <v>#VALUE!</v>
      </c>
      <c r="CJ225" t="e">
        <f>'All regions'!3303:3303-"$F;@!.&gt;s"</f>
        <v>#VALUE!</v>
      </c>
      <c r="CK225" t="e">
        <f>'All regions'!3304:3304-"$F;@!.&gt;t"</f>
        <v>#VALUE!</v>
      </c>
      <c r="CL225" t="e">
        <f>'All regions'!3305:3305-"$F;@!.&gt;u"</f>
        <v>#VALUE!</v>
      </c>
      <c r="CM225" t="e">
        <f>'All regions'!3306:3306-"$F;@!.&gt;v"</f>
        <v>#VALUE!</v>
      </c>
      <c r="CN225" t="e">
        <f>'All regions'!3307:3307-"$F;@!.&gt;w"</f>
        <v>#VALUE!</v>
      </c>
      <c r="CO225" t="e">
        <f>'All regions'!3308:3308-"$F;@!.&gt;x"</f>
        <v>#VALUE!</v>
      </c>
      <c r="CP225" t="e">
        <f>'All regions'!3309:3309-"$F;@!.&gt;y"</f>
        <v>#VALUE!</v>
      </c>
      <c r="CQ225" t="e">
        <f>'All regions'!3310:3310-"$F;@!.&gt;z"</f>
        <v>#VALUE!</v>
      </c>
      <c r="CR225" t="e">
        <f>'All regions'!3311:3311-"$F;@!.&gt;{"</f>
        <v>#VALUE!</v>
      </c>
      <c r="CS225" t="e">
        <f>'All regions'!3312:3312-"$F;@!.&gt;|"</f>
        <v>#VALUE!</v>
      </c>
      <c r="CT225" t="e">
        <f>'All regions'!3313:3313-"$F;@!.&gt;}"</f>
        <v>#VALUE!</v>
      </c>
      <c r="CU225" t="e">
        <f>'All regions'!3314:3314-"$F;@!.&gt;~"</f>
        <v>#VALUE!</v>
      </c>
      <c r="CV225" t="e">
        <f>'All regions'!3315:3315-"$F;@!.?#"</f>
        <v>#VALUE!</v>
      </c>
      <c r="CW225" t="e">
        <f>'All regions'!3316:3316-"$F;@!.?$"</f>
        <v>#VALUE!</v>
      </c>
      <c r="CX225" t="e">
        <f>'All regions'!3317:3317-"$F;@!.?%"</f>
        <v>#VALUE!</v>
      </c>
      <c r="CY225" t="e">
        <f>'All regions'!3318:3318-"$F;@!.?&amp;"</f>
        <v>#VALUE!</v>
      </c>
      <c r="CZ225" t="e">
        <f>'All regions'!3319:3319-"$F;@!.?'"</f>
        <v>#VALUE!</v>
      </c>
      <c r="DA225" t="e">
        <f>'All regions'!3320:3320-"$F;@!.?("</f>
        <v>#VALUE!</v>
      </c>
      <c r="DB225" t="e">
        <f>'All regions'!3321:3321-"$F;@!.?)"</f>
        <v>#VALUE!</v>
      </c>
      <c r="DC225" t="e">
        <f>'All regions'!3322:3322-"$F;@!.?."</f>
        <v>#VALUE!</v>
      </c>
      <c r="DD225" t="e">
        <f>'All regions'!3323:3323-"$F;@!.?/"</f>
        <v>#VALUE!</v>
      </c>
      <c r="DE225" t="e">
        <f>'All regions'!3324:3324-"$F;@!.?0"</f>
        <v>#VALUE!</v>
      </c>
      <c r="DF225" t="e">
        <f>'All regions'!3325:3325-"$F;@!.?1"</f>
        <v>#VALUE!</v>
      </c>
      <c r="DG225" t="e">
        <f>'All regions'!3326:3326-"$F;@!.?2"</f>
        <v>#VALUE!</v>
      </c>
      <c r="DH225" t="e">
        <f>'All regions'!3327:3327-"$F;@!.?3"</f>
        <v>#VALUE!</v>
      </c>
      <c r="DI225" t="e">
        <f>'All regions'!3328:3328-"$F;@!.?4"</f>
        <v>#VALUE!</v>
      </c>
      <c r="DJ225" t="e">
        <f>'All regions'!3329:3329-"$F;@!.?5"</f>
        <v>#VALUE!</v>
      </c>
      <c r="DK225" t="e">
        <f>'All regions'!3330:3330-"$F;@!.?6"</f>
        <v>#VALUE!</v>
      </c>
      <c r="DL225" t="e">
        <f>'All regions'!3331:3331-"$F;@!.?7"</f>
        <v>#VALUE!</v>
      </c>
      <c r="DM225" t="e">
        <f>'All regions'!3332:3332-"$F;@!.?8"</f>
        <v>#VALUE!</v>
      </c>
      <c r="DN225" t="e">
        <f>'All regions'!3333:3333-"$F;@!.?9"</f>
        <v>#VALUE!</v>
      </c>
      <c r="DO225" t="e">
        <f>'All regions'!3334:3334-"$F;@!.?:"</f>
        <v>#VALUE!</v>
      </c>
      <c r="DP225" t="e">
        <f>'All regions'!3335:3335-"$F;@!.?;"</f>
        <v>#VALUE!</v>
      </c>
      <c r="DQ225" t="e">
        <f>'All regions'!3336:3336-"$F;@!.?&lt;"</f>
        <v>#VALUE!</v>
      </c>
      <c r="DR225" t="e">
        <f>'All regions'!3337:3337-"$F;@!.?="</f>
        <v>#VALUE!</v>
      </c>
      <c r="DS225" t="e">
        <f>'All regions'!3338:3338-"$F;@!.?&gt;"</f>
        <v>#VALUE!</v>
      </c>
      <c r="DT225" t="e">
        <f>'All regions'!3339:3339-"$F;@!.??"</f>
        <v>#VALUE!</v>
      </c>
      <c r="DU225" t="e">
        <f>'All regions'!3340:3340-"$F;@!.?@"</f>
        <v>#VALUE!</v>
      </c>
      <c r="DV225" t="e">
        <f>'All regions'!3341:3341-"$F;@!.?A"</f>
        <v>#VALUE!</v>
      </c>
      <c r="DW225" t="e">
        <f>'All regions'!3342:3342-"$F;@!.?B"</f>
        <v>#VALUE!</v>
      </c>
      <c r="DX225" t="e">
        <f>'All regions'!3343:3343-"$F;@!.?C"</f>
        <v>#VALUE!</v>
      </c>
      <c r="DY225" t="e">
        <f>'All regions'!3344:3344-"$F;@!.?D"</f>
        <v>#VALUE!</v>
      </c>
      <c r="DZ225" t="e">
        <f>'All regions'!3345:3345-"$F;@!.?E"</f>
        <v>#VALUE!</v>
      </c>
      <c r="EA225" t="e">
        <f>'All regions'!3346:3346-"$F;@!.?F"</f>
        <v>#VALUE!</v>
      </c>
      <c r="EB225" t="e">
        <f>'All regions'!3347:3347-"$F;@!.?G"</f>
        <v>#VALUE!</v>
      </c>
      <c r="EC225" t="e">
        <f>'All regions'!3348:3348-"$F;@!.?H"</f>
        <v>#VALUE!</v>
      </c>
      <c r="ED225" t="e">
        <f>'All regions'!3349:3349-"$F;@!.?I"</f>
        <v>#VALUE!</v>
      </c>
      <c r="EE225" t="e">
        <f>'All regions'!3350:3350-"$F;@!.?J"</f>
        <v>#VALUE!</v>
      </c>
      <c r="EF225" t="e">
        <f>'All regions'!3351:3351-"$F;@!.?K"</f>
        <v>#VALUE!</v>
      </c>
      <c r="EG225" t="e">
        <f>'All regions'!3352:3352-"$F;@!.?L"</f>
        <v>#VALUE!</v>
      </c>
      <c r="EH225" t="e">
        <f>'All regions'!3353:3353-"$F;@!.?M"</f>
        <v>#VALUE!</v>
      </c>
      <c r="EI225" t="e">
        <f>'All regions'!3354:3354-"$F;@!.?N"</f>
        <v>#VALUE!</v>
      </c>
      <c r="EJ225" t="e">
        <f>'All regions'!3355:3355-"$F;@!.?O"</f>
        <v>#VALUE!</v>
      </c>
      <c r="EK225" t="e">
        <f>'All regions'!3356:3356-"$F;@!.?P"</f>
        <v>#VALUE!</v>
      </c>
      <c r="EL225" t="e">
        <f>'All regions'!3357:3357-"$F;@!.?Q"</f>
        <v>#VALUE!</v>
      </c>
      <c r="EM225" t="e">
        <f>'All regions'!3358:3358-"$F;@!.?R"</f>
        <v>#VALUE!</v>
      </c>
      <c r="EN225" t="e">
        <f>'All regions'!3359:3359-"$F;@!.?S"</f>
        <v>#VALUE!</v>
      </c>
      <c r="EO225" t="e">
        <f>'All regions'!3360:3360-"$F;@!.?T"</f>
        <v>#VALUE!</v>
      </c>
      <c r="EP225" t="e">
        <f>'All regions'!3361:3361-"$F;@!.?U"</f>
        <v>#VALUE!</v>
      </c>
      <c r="EQ225" t="e">
        <f>'All regions'!3362:3362-"$F;@!.?V"</f>
        <v>#VALUE!</v>
      </c>
      <c r="ER225" t="e">
        <f>'All regions'!3363:3363-"$F;@!.?W"</f>
        <v>#VALUE!</v>
      </c>
      <c r="ES225" t="e">
        <f>'All regions'!3364:3364-"$F;@!.?X"</f>
        <v>#VALUE!</v>
      </c>
      <c r="ET225" t="e">
        <f>'All regions'!3365:3365-"$F;@!.?Y"</f>
        <v>#VALUE!</v>
      </c>
      <c r="EU225" t="e">
        <f>'All regions'!3366:3366-"$F;@!.?Z"</f>
        <v>#VALUE!</v>
      </c>
      <c r="EV225" t="e">
        <f>'All regions'!3367:3367-"$F;@!.?["</f>
        <v>#VALUE!</v>
      </c>
      <c r="EW225" t="e">
        <f>'All regions'!3368:3368-"$F;@!.?\"</f>
        <v>#VALUE!</v>
      </c>
      <c r="EX225" t="e">
        <f>'All regions'!3369:3369-"$F;@!.?]"</f>
        <v>#VALUE!</v>
      </c>
      <c r="EY225" t="e">
        <f>'All regions'!3370:3370-"$F;@!.?^"</f>
        <v>#VALUE!</v>
      </c>
      <c r="EZ225" t="e">
        <f>'All regions'!3371:3371-"$F;@!.?_"</f>
        <v>#VALUE!</v>
      </c>
      <c r="FA225" t="e">
        <f>'All regions'!3372:3372-"$F;@!.?`"</f>
        <v>#VALUE!</v>
      </c>
      <c r="FB225" t="e">
        <f>'All regions'!3373:3373-"$F;@!.?a"</f>
        <v>#VALUE!</v>
      </c>
      <c r="FC225" t="e">
        <f>'All regions'!3374:3374-"$F;@!.?b"</f>
        <v>#VALUE!</v>
      </c>
      <c r="FD225" t="e">
        <f>'All regions'!3375:3375-"$F;@!.?c"</f>
        <v>#VALUE!</v>
      </c>
      <c r="FE225" t="e">
        <f>'All regions'!3376:3376-"$F;@!.?d"</f>
        <v>#VALUE!</v>
      </c>
      <c r="FF225" t="e">
        <f>'All regions'!3377:3377-"$F;@!.?e"</f>
        <v>#VALUE!</v>
      </c>
      <c r="FG225" t="e">
        <f>'All regions'!3378:3378-"$F;@!.?f"</f>
        <v>#VALUE!</v>
      </c>
      <c r="FH225" t="e">
        <f>'All regions'!3379:3379-"$F;@!.?g"</f>
        <v>#VALUE!</v>
      </c>
      <c r="FI225" t="e">
        <f>'All regions'!3380:3380-"$F;@!.?h"</f>
        <v>#VALUE!</v>
      </c>
      <c r="FJ225" t="e">
        <f>'All regions'!3381:3381-"$F;@!.?i"</f>
        <v>#VALUE!</v>
      </c>
      <c r="FK225" t="e">
        <f>'All regions'!3382:3382-"$F;@!.?j"</f>
        <v>#VALUE!</v>
      </c>
      <c r="FL225" t="e">
        <f>'All regions'!3383:3383-"$F;@!.?k"</f>
        <v>#VALUE!</v>
      </c>
      <c r="FM225" t="e">
        <f>'All regions'!3384:3384-"$F;@!.?l"</f>
        <v>#VALUE!</v>
      </c>
      <c r="FN225" t="e">
        <f>'All regions'!3385:3385-"$F;@!.?m"</f>
        <v>#VALUE!</v>
      </c>
      <c r="FO225" t="e">
        <f>'All regions'!3386:3386-"$F;@!.?n"</f>
        <v>#VALUE!</v>
      </c>
      <c r="FP225" t="e">
        <f>'All regions'!3387:3387-"$F;@!.?o"</f>
        <v>#VALUE!</v>
      </c>
      <c r="FQ225" t="e">
        <f>'All regions'!3388:3388-"$F;@!.?p"</f>
        <v>#VALUE!</v>
      </c>
      <c r="FR225" t="e">
        <f>'All regions'!3389:3389-"$F;@!.?q"</f>
        <v>#VALUE!</v>
      </c>
      <c r="FS225" t="e">
        <f>'All regions'!3390:3390-"$F;@!.?r"</f>
        <v>#VALUE!</v>
      </c>
      <c r="FT225" t="e">
        <f>'All regions'!3391:3391-"$F;@!.?s"</f>
        <v>#VALUE!</v>
      </c>
      <c r="FU225" t="e">
        <f>'All regions'!3392:3392-"$F;@!.?t"</f>
        <v>#VALUE!</v>
      </c>
      <c r="FV225" t="e">
        <f>'All regions'!3393:3393-"$F;@!.?u"</f>
        <v>#VALUE!</v>
      </c>
      <c r="FW225" t="e">
        <f>'All regions'!3395:3395-"$F;@!.?v"</f>
        <v>#VALUE!</v>
      </c>
      <c r="FX225" t="e">
        <f>'All regions'!3396:3396-"$F;@!.?w"</f>
        <v>#VALUE!</v>
      </c>
      <c r="FY225" t="e">
        <f>'All regions'!3397:3397-"$F;@!.?x"</f>
        <v>#VALUE!</v>
      </c>
      <c r="FZ225" t="e">
        <f>'All regions'!3398:3398-"$F;@!.?y"</f>
        <v>#VALUE!</v>
      </c>
      <c r="GA225" t="e">
        <f>'All regions'!3399:3399-"$F;@!.?z"</f>
        <v>#VALUE!</v>
      </c>
      <c r="GB225" t="e">
        <f>'All regions'!3400:3400-"$F;@!.?{"</f>
        <v>#VALUE!</v>
      </c>
      <c r="GC225" t="e">
        <f>'All regions'!3401:3401-"$F;@!.?|"</f>
        <v>#VALUE!</v>
      </c>
      <c r="GD225" t="e">
        <f>'All regions'!3402:3402-"$F;@!.?}"</f>
        <v>#VALUE!</v>
      </c>
      <c r="GE225" t="e">
        <f>'All regions'!3403:3403-"$F;@!.?~"</f>
        <v>#VALUE!</v>
      </c>
      <c r="GF225" t="e">
        <f>'All regions'!3404:3404-"$F;@!.@#"</f>
        <v>#VALUE!</v>
      </c>
      <c r="GG225" t="e">
        <f>'All regions'!3405:3405-"$F;@!.@$"</f>
        <v>#VALUE!</v>
      </c>
      <c r="GH225" t="e">
        <f>'All regions'!3406:3406-"$F;@!.@%"</f>
        <v>#VALUE!</v>
      </c>
      <c r="GI225" t="e">
        <f>'All regions'!3407:3407-"$F;@!.@&amp;"</f>
        <v>#VALUE!</v>
      </c>
      <c r="GJ225" t="e">
        <f>'All regions'!3408:3408-"$F;@!.@'"</f>
        <v>#VALUE!</v>
      </c>
      <c r="GK225" t="e">
        <f>'All regions'!3409:3409-"$F;@!.@("</f>
        <v>#VALUE!</v>
      </c>
      <c r="GL225" t="e">
        <f>'All regions'!3410:3410-"$F;@!.@)"</f>
        <v>#VALUE!</v>
      </c>
      <c r="GM225" t="e">
        <f>'All regions'!3411:3411-"$F;@!.@."</f>
        <v>#VALUE!</v>
      </c>
      <c r="GN225" t="e">
        <f>'All regions'!3412:3412-"$F;@!.@/"</f>
        <v>#VALUE!</v>
      </c>
      <c r="GO225" t="e">
        <f>'All regions'!3413:3413-"$F;@!.@0"</f>
        <v>#VALUE!</v>
      </c>
      <c r="GP225" t="e">
        <f>'All regions'!3414:3414-"$F;@!.@1"</f>
        <v>#VALUE!</v>
      </c>
      <c r="GQ225" t="e">
        <f>'All regions'!3415:3415-"$F;@!.@2"</f>
        <v>#VALUE!</v>
      </c>
      <c r="GR225" t="e">
        <f>'All regions'!3416:3416-"$F;@!.@3"</f>
        <v>#VALUE!</v>
      </c>
      <c r="GS225" t="e">
        <f>'All regions'!3417:3417-"$F;@!.@4"</f>
        <v>#VALUE!</v>
      </c>
      <c r="GT225" t="e">
        <f>'All regions'!3418:3418-"$F;@!.@5"</f>
        <v>#VALUE!</v>
      </c>
      <c r="GU225" t="e">
        <f>'All regions'!3419:3419-"$F;@!.@6"</f>
        <v>#VALUE!</v>
      </c>
      <c r="GV225" t="e">
        <f>'All regions'!3420:3420-"$F;@!.@7"</f>
        <v>#VALUE!</v>
      </c>
      <c r="GW225" t="e">
        <f>'All regions'!3421:3421-"$F;@!.@8"</f>
        <v>#VALUE!</v>
      </c>
      <c r="GX225" t="e">
        <f>'All regions'!3423:3423-"$F;@!.@9"</f>
        <v>#VALUE!</v>
      </c>
      <c r="GY225" t="e">
        <f>'All regions'!3424:3424-"$F;@!.@:"</f>
        <v>#VALUE!</v>
      </c>
      <c r="GZ225" t="e">
        <f>'All regions'!3425:3425-"$F;@!.@;"</f>
        <v>#VALUE!</v>
      </c>
      <c r="HA225" t="e">
        <f>'All regions'!3426:3426-"$F;@!.@&lt;"</f>
        <v>#VALUE!</v>
      </c>
      <c r="HB225" t="e">
        <f>'All regions'!3427:3427-"$F;@!.@="</f>
        <v>#VALUE!</v>
      </c>
      <c r="HC225" t="e">
        <f>'All regions'!3428:3428-"$F;@!.@&gt;"</f>
        <v>#VALUE!</v>
      </c>
      <c r="HD225" t="e">
        <f>'All regions'!3429:3429-"$F;@!.@?"</f>
        <v>#VALUE!</v>
      </c>
      <c r="HE225" t="e">
        <f>'All regions'!3430:3430-"$F;@!.@@"</f>
        <v>#VALUE!</v>
      </c>
      <c r="HF225" t="e">
        <f>'All regions'!3431:3431-"$F;@!.@A"</f>
        <v>#VALUE!</v>
      </c>
      <c r="HG225" t="e">
        <f>'All regions'!3432:3432-"$F;@!.@B"</f>
        <v>#VALUE!</v>
      </c>
      <c r="HH225" t="e">
        <f>'All regions'!3433:3433-"$F;@!.@C"</f>
        <v>#VALUE!</v>
      </c>
      <c r="HI225" t="e">
        <f>'All regions'!3434:3434-"$F;@!.@D"</f>
        <v>#VALUE!</v>
      </c>
      <c r="HJ225" t="e">
        <f>'All regions'!3435:3435-"$F;@!.@E"</f>
        <v>#VALUE!</v>
      </c>
      <c r="HK225" t="e">
        <f>'All regions'!3436:3436-"$F;@!.@F"</f>
        <v>#VALUE!</v>
      </c>
      <c r="HL225" t="e">
        <f>'All regions'!3437:3437-"$F;@!.@G"</f>
        <v>#VALUE!</v>
      </c>
      <c r="HM225" t="e">
        <f>'All regions'!3438:3438-"$F;@!.@H"</f>
        <v>#VALUE!</v>
      </c>
      <c r="HN225" t="e">
        <f>'All regions'!3439:3439-"$F;@!.@I"</f>
        <v>#VALUE!</v>
      </c>
      <c r="HO225" t="e">
        <f>'All regions'!3440:3440-"$F;@!.@J"</f>
        <v>#VALUE!</v>
      </c>
      <c r="HP225" t="e">
        <f>'All regions'!3441:3441-"$F;@!.@K"</f>
        <v>#VALUE!</v>
      </c>
      <c r="HQ225" t="e">
        <f>'All regions'!3442:3442-"$F;@!.@L"</f>
        <v>#VALUE!</v>
      </c>
      <c r="HR225" t="e">
        <f>'All regions'!3443:3443-"$F;@!.@M"</f>
        <v>#VALUE!</v>
      </c>
      <c r="HS225" t="e">
        <f>'All regions'!3444:3444-"$F;@!.@N"</f>
        <v>#VALUE!</v>
      </c>
      <c r="HT225" t="e">
        <f>'All regions'!3445:3445-"$F;@!.@O"</f>
        <v>#VALUE!</v>
      </c>
      <c r="HU225" t="e">
        <f>'All regions'!3446:3446-"$F;@!.@P"</f>
        <v>#VALUE!</v>
      </c>
      <c r="HV225" t="e">
        <f>'All regions'!3447:3447-"$F;@!.@Q"</f>
        <v>#VALUE!</v>
      </c>
      <c r="HW225" t="e">
        <f>'All regions'!3448:3448-"$F;@!.@R"</f>
        <v>#VALUE!</v>
      </c>
      <c r="HX225" t="e">
        <f>'All regions'!3449:3449-"$F;@!.@S"</f>
        <v>#VALUE!</v>
      </c>
      <c r="HY225" t="e">
        <f>'All regions'!3450:3450-"$F;@!.@T"</f>
        <v>#VALUE!</v>
      </c>
      <c r="HZ225" t="e">
        <f>'All regions'!3451:3451-"$F;@!.@U"</f>
        <v>#VALUE!</v>
      </c>
      <c r="IA225" t="e">
        <f>'All regions'!3452:3452-"$F;@!.@V"</f>
        <v>#VALUE!</v>
      </c>
      <c r="IB225" t="e">
        <f>'All regions'!3453:3453-"$F;@!.@W"</f>
        <v>#VALUE!</v>
      </c>
      <c r="IC225" t="e">
        <f>'All regions'!3454:3454-"$F;@!.@X"</f>
        <v>#VALUE!</v>
      </c>
      <c r="ID225" t="e">
        <f>'All regions'!3455:3455-"$F;@!.@Y"</f>
        <v>#VALUE!</v>
      </c>
      <c r="IE225" t="e">
        <f>'All regions'!3456:3456-"$F;@!.@Z"</f>
        <v>#VALUE!</v>
      </c>
      <c r="IF225" t="e">
        <f>'All regions'!3457:3457-"$F;@!.@["</f>
        <v>#VALUE!</v>
      </c>
      <c r="IG225" t="e">
        <f>'All regions'!3458:3458-"$F;@!.@\"</f>
        <v>#VALUE!</v>
      </c>
      <c r="IH225" t="e">
        <f>'All regions'!3459:3459-"$F;@!.@]"</f>
        <v>#VALUE!</v>
      </c>
      <c r="II225" t="e">
        <f>'All regions'!3460:3460-"$F;@!.@^"</f>
        <v>#VALUE!</v>
      </c>
      <c r="IJ225" t="e">
        <f>'All regions'!3461:3461-"$F;@!.@_"</f>
        <v>#VALUE!</v>
      </c>
      <c r="IK225" t="e">
        <f>'All regions'!3462:3462-"$F;@!.@`"</f>
        <v>#VALUE!</v>
      </c>
      <c r="IL225" t="e">
        <f>'All regions'!3463:3463-"$F;@!.@a"</f>
        <v>#VALUE!</v>
      </c>
      <c r="IM225" t="e">
        <f>'All regions'!3464:3464-"$F;@!.@b"</f>
        <v>#VALUE!</v>
      </c>
      <c r="IN225" t="e">
        <f>'All regions'!3465:3465-"$F;@!.@c"</f>
        <v>#VALUE!</v>
      </c>
      <c r="IO225" t="e">
        <f>'All regions'!3466:3466-"$F;@!.@d"</f>
        <v>#VALUE!</v>
      </c>
      <c r="IP225" t="e">
        <f>'All regions'!3467:3467-"$F;@!.@e"</f>
        <v>#VALUE!</v>
      </c>
      <c r="IQ225" t="e">
        <f>'All regions'!3468:3468-"$F;@!.@f"</f>
        <v>#VALUE!</v>
      </c>
      <c r="IR225" t="e">
        <f>'All regions'!3469:3469-"$F;@!.@g"</f>
        <v>#VALUE!</v>
      </c>
      <c r="IS225" t="e">
        <f>'All regions'!3470:3470-"$F;@!.@h"</f>
        <v>#VALUE!</v>
      </c>
      <c r="IT225" t="e">
        <f>'All regions'!3471:3471-"$F;@!.@i"</f>
        <v>#VALUE!</v>
      </c>
      <c r="IU225" t="e">
        <f>'All regions'!3472:3472-"$F;@!.@j"</f>
        <v>#VALUE!</v>
      </c>
      <c r="IV225" t="e">
        <f>'All regions'!3473:3473-"$F;@!.@k"</f>
        <v>#VALUE!</v>
      </c>
    </row>
    <row r="226" spans="6:256" x14ac:dyDescent="0.35">
      <c r="F226" t="e">
        <f>'All regions'!3474:3474-"$F;@!.@l"</f>
        <v>#VALUE!</v>
      </c>
      <c r="G226" t="e">
        <f>'All regions'!3475:3475-"$F;@!.@m"</f>
        <v>#VALUE!</v>
      </c>
      <c r="H226" t="e">
        <f>'All regions'!3476:3476-"$F;@!.@n"</f>
        <v>#VALUE!</v>
      </c>
      <c r="I226" t="e">
        <f>'All regions'!3477:3477-"$F;@!.@o"</f>
        <v>#VALUE!</v>
      </c>
      <c r="J226" t="e">
        <f>'All regions'!3478:3478-"$F;@!.@p"</f>
        <v>#VALUE!</v>
      </c>
      <c r="K226" t="e">
        <f>'All regions'!3479:3479-"$F;@!.@q"</f>
        <v>#VALUE!</v>
      </c>
      <c r="L226" t="e">
        <f>'All regions'!3480:3480-"$F;@!.@r"</f>
        <v>#VALUE!</v>
      </c>
      <c r="M226" t="e">
        <f>'All regions'!3481:3481-"$F;@!.@s"</f>
        <v>#VALUE!</v>
      </c>
      <c r="N226" t="e">
        <f>'All regions'!3482:3482-"$F;@!.@t"</f>
        <v>#VALUE!</v>
      </c>
      <c r="O226" t="e">
        <f>'All regions'!3483:3483-"$F;@!.@u"</f>
        <v>#VALUE!</v>
      </c>
      <c r="P226" t="e">
        <f>'All regions'!3484:3484-"$F;@!.@v"</f>
        <v>#VALUE!</v>
      </c>
      <c r="Q226" t="e">
        <f>'All regions'!3485:3485-"$F;@!.@w"</f>
        <v>#VALUE!</v>
      </c>
      <c r="R226" t="e">
        <f>'All regions'!3486:3486-"$F;@!.@x"</f>
        <v>#VALUE!</v>
      </c>
      <c r="S226" t="e">
        <f>'All regions'!3487:3487-"$F;@!.@y"</f>
        <v>#VALUE!</v>
      </c>
      <c r="T226" t="e">
        <f>'All regions'!3488:3488-"$F;@!.@z"</f>
        <v>#VALUE!</v>
      </c>
      <c r="U226" t="e">
        <f>'All regions'!3489:3489-"$F;@!.@{"</f>
        <v>#VALUE!</v>
      </c>
      <c r="V226" t="e">
        <f>'All regions'!3490:3490-"$F;@!.@|"</f>
        <v>#VALUE!</v>
      </c>
      <c r="W226" t="e">
        <f>'All regions'!3491:3491-"$F;@!.@}"</f>
        <v>#VALUE!</v>
      </c>
      <c r="X226" t="e">
        <f>'All regions'!3492:3492-"$F;@!.@~"</f>
        <v>#VALUE!</v>
      </c>
      <c r="Y226" t="e">
        <f>'All regions'!3493:3493-"$F;@!.A#"</f>
        <v>#VALUE!</v>
      </c>
      <c r="Z226" t="e">
        <f>'All regions'!3494:3494-"$F;@!.A$"</f>
        <v>#VALUE!</v>
      </c>
      <c r="AA226" t="e">
        <f>'All regions'!3495:3495-"$F;@!.A%"</f>
        <v>#VALUE!</v>
      </c>
      <c r="AB226" t="e">
        <f>'All regions'!3496:3496-"$F;@!.A&amp;"</f>
        <v>#VALUE!</v>
      </c>
      <c r="AC226" t="e">
        <f>'All regions'!3497:3497-"$F;@!.A'"</f>
        <v>#VALUE!</v>
      </c>
      <c r="AD226" t="e">
        <f>'All regions'!3498:3498-"$F;@!.A("</f>
        <v>#VALUE!</v>
      </c>
      <c r="AE226" t="e">
        <f>'All regions'!3499:3499-"$F;@!.A)"</f>
        <v>#VALUE!</v>
      </c>
      <c r="AF226" t="e">
        <f>'All regions'!3500:3500-"$F;@!.A."</f>
        <v>#VALUE!</v>
      </c>
      <c r="AG226" t="e">
        <f>'All regions'!3501:3501-"$F;@!.A/"</f>
        <v>#VALUE!</v>
      </c>
      <c r="AH226" t="e">
        <f>'All regions'!3502:3502-"$F;@!.A0"</f>
        <v>#VALUE!</v>
      </c>
      <c r="AI226" t="e">
        <f>'All regions'!3503:3503-"$F;@!.A1"</f>
        <v>#VALUE!</v>
      </c>
      <c r="AJ226" t="e">
        <f>'All regions'!3504:3504-"$F;@!.A2"</f>
        <v>#VALUE!</v>
      </c>
      <c r="AK226" t="e">
        <f>'All regions'!3505:3505-"$F;@!.A3"</f>
        <v>#VALUE!</v>
      </c>
      <c r="AL226" t="e">
        <f>'All regions'!3506:3506-"$F;@!.A4"</f>
        <v>#VALUE!</v>
      </c>
      <c r="AM226" t="e">
        <f>'All regions'!3507:3507-"$F;@!.A5"</f>
        <v>#VALUE!</v>
      </c>
      <c r="AN226" t="e">
        <f>'All regions'!3508:3508-"$F;@!.A6"</f>
        <v>#VALUE!</v>
      </c>
      <c r="AO226" t="e">
        <f>'All regions'!3509:3509-"$F;@!.A7"</f>
        <v>#VALUE!</v>
      </c>
      <c r="AP226" t="e">
        <f>'All regions'!3510:3510-"$F;@!.A8"</f>
        <v>#VALUE!</v>
      </c>
      <c r="AQ226" t="e">
        <f>'All regions'!3511:3511-"$F;@!.A9"</f>
        <v>#VALUE!</v>
      </c>
      <c r="AR226" t="e">
        <f>'All regions'!3512:3512-"$F;@!.A:"</f>
        <v>#VALUE!</v>
      </c>
      <c r="AS226" t="e">
        <f>'All regions'!3513:3513-"$F;@!.A;"</f>
        <v>#VALUE!</v>
      </c>
      <c r="AT226" t="e">
        <f>'All regions'!3514:3514-"$F;@!.A&lt;"</f>
        <v>#VALUE!</v>
      </c>
      <c r="AU226" t="e">
        <f>'All regions'!3515:3515-"$F;@!.A="</f>
        <v>#VALUE!</v>
      </c>
      <c r="AV226" t="e">
        <f>'All regions'!3516:3516-"$F;@!.A&gt;"</f>
        <v>#VALUE!</v>
      </c>
      <c r="AW226" t="e">
        <f>'All regions'!3517:3517-"$F;@!.A?"</f>
        <v>#VALUE!</v>
      </c>
      <c r="AX226" t="e">
        <f>'All regions'!3518:3518-"$F;@!.A@"</f>
        <v>#VALUE!</v>
      </c>
      <c r="AY226" t="e">
        <f>'All regions'!3519:3519-"$F;@!.AA"</f>
        <v>#VALUE!</v>
      </c>
      <c r="AZ226" t="e">
        <f>'All regions'!3520:3520-"$F;@!.AB"</f>
        <v>#VALUE!</v>
      </c>
      <c r="BA226" t="e">
        <f>'All regions'!3521:3521-"$F;@!.AC"</f>
        <v>#VALUE!</v>
      </c>
      <c r="BB226" t="e">
        <f>'All regions'!3522:3522-"$F;@!.AD"</f>
        <v>#VALUE!</v>
      </c>
      <c r="BC226" t="e">
        <f>'All regions'!3523:3523-"$F;@!.AE"</f>
        <v>#VALUE!</v>
      </c>
      <c r="BD226" t="e">
        <f>'All regions'!3524:3524-"$F;@!.AF"</f>
        <v>#VALUE!</v>
      </c>
      <c r="BE226" t="e">
        <f>'All regions'!3525:3525-"$F;@!.AG"</f>
        <v>#VALUE!</v>
      </c>
      <c r="BF226" t="e">
        <f>'All regions'!3526:3526-"$F;@!.AH"</f>
        <v>#VALUE!</v>
      </c>
      <c r="BG226" t="e">
        <f>'All regions'!3527:3527-"$F;@!.AI"</f>
        <v>#VALUE!</v>
      </c>
      <c r="BH226" t="e">
        <f>'All regions'!3528:3528-"$F;@!.AJ"</f>
        <v>#VALUE!</v>
      </c>
      <c r="BI226" t="e">
        <f>'All regions'!3529:3529-"$F;@!.AK"</f>
        <v>#VALUE!</v>
      </c>
      <c r="BJ226" t="e">
        <f>'All regions'!3530:3530-"$F;@!.AL"</f>
        <v>#VALUE!</v>
      </c>
      <c r="BK226" t="e">
        <f>'All regions'!3531:3531-"$F;@!.AM"</f>
        <v>#VALUE!</v>
      </c>
      <c r="BL226" t="e">
        <f>'All regions'!3532:3532-"$F;@!.AN"</f>
        <v>#VALUE!</v>
      </c>
      <c r="BM226" t="e">
        <f>'All regions'!3533:3533-"$F;@!.AO"</f>
        <v>#VALUE!</v>
      </c>
      <c r="BN226" t="e">
        <f>'All regions'!3534:3534-"$F;@!.AP"</f>
        <v>#VALUE!</v>
      </c>
      <c r="BO226" t="e">
        <f>'All regions'!3535:3535-"$F;@!.AQ"</f>
        <v>#VALUE!</v>
      </c>
      <c r="BP226" t="e">
        <f>'All regions'!3536:3536-"$F;@!.AR"</f>
        <v>#VALUE!</v>
      </c>
      <c r="BQ226" t="e">
        <f>'All regions'!3537:3537-"$F;@!.AS"</f>
        <v>#VALUE!</v>
      </c>
      <c r="BR226" t="e">
        <f>'All regions'!3538:3538-"$F;@!.AT"</f>
        <v>#VALUE!</v>
      </c>
      <c r="BS226" t="e">
        <f>'All regions'!3539:3539-"$F;@!.AU"</f>
        <v>#VALUE!</v>
      </c>
      <c r="BT226" t="e">
        <f>'All regions'!3540:3540-"$F;@!.AV"</f>
        <v>#VALUE!</v>
      </c>
      <c r="BU226" t="e">
        <f>'All regions'!3541:3541-"$F;@!.AW"</f>
        <v>#VALUE!</v>
      </c>
      <c r="BV226" t="e">
        <f>'All regions'!3542:3542-"$F;@!.AX"</f>
        <v>#VALUE!</v>
      </c>
      <c r="BW226" t="e">
        <f>'All regions'!3543:3543-"$F;@!.AY"</f>
        <v>#VALUE!</v>
      </c>
      <c r="BX226" t="e">
        <f>'All regions'!3544:3544-"$F;@!.AZ"</f>
        <v>#VALUE!</v>
      </c>
      <c r="BY226" t="e">
        <f>'All regions'!3545:3545-"$F;@!.A["</f>
        <v>#VALUE!</v>
      </c>
      <c r="BZ226" t="e">
        <f>'All regions'!3546:3546-"$F;@!.A\"</f>
        <v>#VALUE!</v>
      </c>
      <c r="CA226" t="e">
        <f>'All regions'!3547:3547-"$F;@!.A]"</f>
        <v>#VALUE!</v>
      </c>
      <c r="CB226" t="e">
        <f>'All regions'!3548:3548-"$F;@!.A^"</f>
        <v>#VALUE!</v>
      </c>
      <c r="CC226" t="e">
        <f>'All regions'!3549:3549-"$F;@!.A_"</f>
        <v>#VALUE!</v>
      </c>
      <c r="CD226" t="e">
        <f>'All regions'!3550:3550-"$F;@!.A`"</f>
        <v>#VALUE!</v>
      </c>
      <c r="CE226" t="e">
        <f>'All regions'!3551:3551-"$F;@!.Aa"</f>
        <v>#VALUE!</v>
      </c>
      <c r="CF226" t="e">
        <f>'All regions'!3552:3552-"$F;@!.Ab"</f>
        <v>#VALUE!</v>
      </c>
      <c r="CG226" t="e">
        <f>'All regions'!3553:3553-"$F;@!.Ac"</f>
        <v>#VALUE!</v>
      </c>
      <c r="CH226" t="e">
        <f>'All regions'!3554:3554-"$F;@!.Ad"</f>
        <v>#VALUE!</v>
      </c>
      <c r="CI226" t="e">
        <f>'All regions'!3555:3555-"$F;@!.Ae"</f>
        <v>#VALUE!</v>
      </c>
      <c r="CJ226" t="e">
        <f>'All regions'!3556:3556-"$F;@!.Af"</f>
        <v>#VALUE!</v>
      </c>
      <c r="CK226" t="e">
        <f>'All regions'!3557:3557-"$F;@!.Ag"</f>
        <v>#VALUE!</v>
      </c>
      <c r="CL226" t="e">
        <f>'All regions'!3558:3558-"$F;@!.Ah"</f>
        <v>#VALUE!</v>
      </c>
      <c r="CM226" t="e">
        <f>'All regions'!3559:3559-"$F;@!.Ai"</f>
        <v>#VALUE!</v>
      </c>
      <c r="CN226" t="e">
        <f>'All regions'!3560:3560-"$F;@!.Aj"</f>
        <v>#VALUE!</v>
      </c>
      <c r="CO226" t="e">
        <f>'All regions'!3561:3561-"$F;@!.Ak"</f>
        <v>#VALUE!</v>
      </c>
      <c r="CP226" t="e">
        <f>'All regions'!3562:3562-"$F;@!.Al"</f>
        <v>#VALUE!</v>
      </c>
      <c r="CQ226" t="e">
        <f>'All regions'!3563:3563-"$F;@!.Am"</f>
        <v>#VALUE!</v>
      </c>
      <c r="CR226" t="e">
        <f>'All regions'!3564:3564-"$F;@!.An"</f>
        <v>#VALUE!</v>
      </c>
      <c r="CS226" t="e">
        <f>'All regions'!3565:3565-"$F;@!.Ao"</f>
        <v>#VALUE!</v>
      </c>
      <c r="CT226" t="e">
        <f>'All regions'!3566:3566-"$F;@!.Ap"</f>
        <v>#VALUE!</v>
      </c>
      <c r="CU226" t="e">
        <f>'All regions'!3567:3567-"$F;@!.Aq"</f>
        <v>#VALUE!</v>
      </c>
      <c r="CV226" t="e">
        <f>'All regions'!3568:3568-"$F;@!.Ar"</f>
        <v>#VALUE!</v>
      </c>
      <c r="CW226" t="e">
        <f>'All regions'!3569:3569-"$F;@!.As"</f>
        <v>#VALUE!</v>
      </c>
      <c r="CX226" t="e">
        <f>'All regions'!3570:3570-"$F;@!.At"</f>
        <v>#VALUE!</v>
      </c>
      <c r="CY226" t="e">
        <f>'All regions'!3571:3571-"$F;@!.Au"</f>
        <v>#VALUE!</v>
      </c>
      <c r="CZ226" t="e">
        <f>'All regions'!3572:3572-"$F;@!.Av"</f>
        <v>#VALUE!</v>
      </c>
      <c r="DA226" t="e">
        <f>'All regions'!3573:3573-"$F;@!.Aw"</f>
        <v>#VALUE!</v>
      </c>
      <c r="DB226" t="e">
        <f>'All regions'!3574:3574-"$F;@!.Ax"</f>
        <v>#VALUE!</v>
      </c>
      <c r="DC226" t="e">
        <f>'All regions'!3575:3575-"$F;@!.Ay"</f>
        <v>#VALUE!</v>
      </c>
      <c r="DD226" t="e">
        <f>'All regions'!3576:3576-"$F;@!.Az"</f>
        <v>#VALUE!</v>
      </c>
      <c r="DE226" t="e">
        <f>'All regions'!3577:3577-"$F;@!.A{"</f>
        <v>#VALUE!</v>
      </c>
      <c r="DF226" t="e">
        <f>'All regions'!3578:3578-"$F;@!.A|"</f>
        <v>#VALUE!</v>
      </c>
      <c r="DG226" t="e">
        <f>'All regions'!3579:3579-"$F;@!.A}"</f>
        <v>#VALUE!</v>
      </c>
      <c r="DH226" t="e">
        <f>'All regions'!3580:3580-"$F;@!.A~"</f>
        <v>#VALUE!</v>
      </c>
      <c r="DI226" t="e">
        <f>'All regions'!3581:3581-"$F;@!.B#"</f>
        <v>#VALUE!</v>
      </c>
      <c r="DJ226" t="e">
        <f>'All regions'!3582:3582-"$F;@!.B$"</f>
        <v>#VALUE!</v>
      </c>
      <c r="DK226" t="e">
        <f>'All regions'!3583:3583-"$F;@!.B%"</f>
        <v>#VALUE!</v>
      </c>
      <c r="DL226" t="e">
        <f>'All regions'!3584:3584-"$F;@!.B&amp;"</f>
        <v>#VALUE!</v>
      </c>
      <c r="DM226" t="e">
        <f>'All regions'!3585:3585-"$F;@!.B'"</f>
        <v>#VALUE!</v>
      </c>
      <c r="DN226" t="e">
        <f>'All regions'!3586:3586-"$F;@!.B("</f>
        <v>#VALUE!</v>
      </c>
      <c r="DO226" t="e">
        <f>'All regions'!3587:3587-"$F;@!.B)"</f>
        <v>#VALUE!</v>
      </c>
      <c r="DP226" t="e">
        <f>'All regions'!3588:3588-"$F;@!.B."</f>
        <v>#VALUE!</v>
      </c>
      <c r="DQ226" t="e">
        <f>'All regions'!3589:3589-"$F;@!.B/"</f>
        <v>#VALUE!</v>
      </c>
      <c r="DR226" t="e">
        <f>'All regions'!3590:3590-"$F;@!.B0"</f>
        <v>#VALUE!</v>
      </c>
      <c r="DS226" t="e">
        <f>'All regions'!3591:3591-"$F;@!.B1"</f>
        <v>#VALUE!</v>
      </c>
      <c r="DT226" t="e">
        <f>'All regions'!3592:3592-"$F;@!.B2"</f>
        <v>#VALUE!</v>
      </c>
      <c r="DU226" t="e">
        <f>'All regions'!3593:3593-"$F;@!.B3"</f>
        <v>#VALUE!</v>
      </c>
      <c r="DV226" t="e">
        <f>'All regions'!3594:3594-"$F;@!.B4"</f>
        <v>#VALUE!</v>
      </c>
      <c r="DW226" t="e">
        <f>'All regions'!3595:3595-"$F;@!.B5"</f>
        <v>#VALUE!</v>
      </c>
      <c r="DX226" t="e">
        <f>'All regions'!3596:3596-"$F;@!.B6"</f>
        <v>#VALUE!</v>
      </c>
      <c r="DY226" t="e">
        <f>'All regions'!3597:3597-"$F;@!.B7"</f>
        <v>#VALUE!</v>
      </c>
      <c r="DZ226" t="e">
        <f>'All regions'!3598:3598-"$F;@!.B8"</f>
        <v>#VALUE!</v>
      </c>
      <c r="EA226" t="e">
        <f>'All regions'!3599:3599-"$F;@!.B9"</f>
        <v>#VALUE!</v>
      </c>
      <c r="EB226" t="e">
        <f>'All regions'!3600:3600-"$F;@!.B:"</f>
        <v>#VALUE!</v>
      </c>
      <c r="EC226" t="e">
        <f>'All regions'!3601:3601-"$F;@!.B;"</f>
        <v>#VALUE!</v>
      </c>
      <c r="ED226" t="e">
        <f>'All regions'!3602:3602-"$F;@!.B&lt;"</f>
        <v>#VALUE!</v>
      </c>
      <c r="EE226" t="e">
        <f>'All regions'!3603:3603-"$F;@!.B="</f>
        <v>#VALUE!</v>
      </c>
      <c r="EF226" t="e">
        <f>'All regions'!3604:3604-"$F;@!.B&gt;"</f>
        <v>#VALUE!</v>
      </c>
      <c r="EG226" t="e">
        <f>'All regions'!3605:3605-"$F;@!.B?"</f>
        <v>#VALUE!</v>
      </c>
      <c r="EH226" t="e">
        <f>'All regions'!3606:3606-"$F;@!.B@"</f>
        <v>#VALUE!</v>
      </c>
      <c r="EI226" t="e">
        <f>'All regions'!3607:3607-"$F;@!.BA"</f>
        <v>#VALUE!</v>
      </c>
      <c r="EJ226" t="e">
        <f>'All regions'!3608:3608-"$F;@!.BB"</f>
        <v>#VALUE!</v>
      </c>
      <c r="EK226" t="e">
        <f>'All regions'!3609:3609-"$F;@!.BC"</f>
        <v>#VALUE!</v>
      </c>
      <c r="EL226" t="e">
        <f>'All regions'!3610:3610-"$F;@!.BD"</f>
        <v>#VALUE!</v>
      </c>
      <c r="EM226" t="e">
        <f>'All regions'!3611:3611-"$F;@!.BE"</f>
        <v>#VALUE!</v>
      </c>
      <c r="EN226" t="e">
        <f>'All regions'!3612:3612-"$F;@!.BF"</f>
        <v>#VALUE!</v>
      </c>
      <c r="EO226" t="e">
        <f>'All regions'!3613:3613-"$F;@!.BG"</f>
        <v>#VALUE!</v>
      </c>
      <c r="EP226" t="e">
        <f>'All regions'!3614:3614-"$F;@!.BH"</f>
        <v>#VALUE!</v>
      </c>
      <c r="EQ226" t="e">
        <f>'All regions'!3615:3615-"$F;@!.BI"</f>
        <v>#VALUE!</v>
      </c>
      <c r="ER226" t="e">
        <f>'All regions'!3616:3616-"$F;@!.BJ"</f>
        <v>#VALUE!</v>
      </c>
      <c r="ES226" t="e">
        <f>'All regions'!3617:3617-"$F;@!.BK"</f>
        <v>#VALUE!</v>
      </c>
      <c r="ET226" t="e">
        <f>'All regions'!3618:3618-"$F;@!.BL"</f>
        <v>#VALUE!</v>
      </c>
      <c r="EU226" t="e">
        <f>'All regions'!3619:3619-"$F;@!.BM"</f>
        <v>#VALUE!</v>
      </c>
      <c r="EV226" t="e">
        <f>'All regions'!3620:3620-"$F;@!.BN"</f>
        <v>#VALUE!</v>
      </c>
      <c r="EW226" t="e">
        <f>'All regions'!3621:3621-"$F;@!.BO"</f>
        <v>#VALUE!</v>
      </c>
      <c r="EX226" t="e">
        <f>'All regions'!3622:3622-"$F;@!.BP"</f>
        <v>#VALUE!</v>
      </c>
      <c r="EY226" t="e">
        <f>'All regions'!3623:3623-"$F;@!.BQ"</f>
        <v>#VALUE!</v>
      </c>
      <c r="EZ226" t="e">
        <f>'All regions'!3624:3624-"$F;@!.BR"</f>
        <v>#VALUE!</v>
      </c>
      <c r="FA226" t="e">
        <f>'All regions'!3625:3625-"$F;@!.BS"</f>
        <v>#VALUE!</v>
      </c>
      <c r="FB226" t="e">
        <f>'All regions'!3626:3626-"$F;@!.BT"</f>
        <v>#VALUE!</v>
      </c>
      <c r="FC226" t="e">
        <f>'All regions'!3627:3627-"$F;@!.BU"</f>
        <v>#VALUE!</v>
      </c>
      <c r="FD226" t="e">
        <f>'All regions'!3628:3628-"$F;@!.BV"</f>
        <v>#VALUE!</v>
      </c>
      <c r="FE226" t="e">
        <f>'All regions'!3629:3629-"$F;@!.BW"</f>
        <v>#VALUE!</v>
      </c>
      <c r="FF226" t="e">
        <f>'All regions'!3630:3630-"$F;@!.BX"</f>
        <v>#VALUE!</v>
      </c>
      <c r="FG226" t="e">
        <f>'All regions'!3631:3631-"$F;@!.BY"</f>
        <v>#VALUE!</v>
      </c>
      <c r="FH226" t="e">
        <f>'All regions'!3632:3632-"$F;@!.BZ"</f>
        <v>#VALUE!</v>
      </c>
      <c r="FI226" t="e">
        <f>'All regions'!3633:3633-"$F;@!.B["</f>
        <v>#VALUE!</v>
      </c>
      <c r="FJ226" t="e">
        <f>'All regions'!3634:3634-"$F;@!.B\"</f>
        <v>#VALUE!</v>
      </c>
      <c r="FK226" t="e">
        <f>'All regions'!3635:3635-"$F;@!.B]"</f>
        <v>#VALUE!</v>
      </c>
      <c r="FL226" t="e">
        <f>'All regions'!3636:3636-"$F;@!.B^"</f>
        <v>#VALUE!</v>
      </c>
      <c r="FM226" t="e">
        <f>'All regions'!3637:3637-"$F;@!.B_"</f>
        <v>#VALUE!</v>
      </c>
      <c r="FN226" t="e">
        <f>'All regions'!3638:3638-"$F;@!.B`"</f>
        <v>#VALUE!</v>
      </c>
      <c r="FO226" t="e">
        <f>'All regions'!3639:3639-"$F;@!.Ba"</f>
        <v>#VALUE!</v>
      </c>
      <c r="FP226" t="e">
        <f>'All regions'!3640:3640-"$F;@!.Bb"</f>
        <v>#VALUE!</v>
      </c>
      <c r="FQ226" t="e">
        <f>'All regions'!3641:3641-"$F;@!.Bc"</f>
        <v>#VALUE!</v>
      </c>
      <c r="FR226" t="e">
        <f>'All regions'!3642:3642-"$F;@!.Bd"</f>
        <v>#VALUE!</v>
      </c>
      <c r="FS226" t="e">
        <f>'All regions'!3643:3643-"$F;@!.Be"</f>
        <v>#VALUE!</v>
      </c>
      <c r="FT226" t="e">
        <f>'All regions'!3644:3644-"$F;@!.Bf"</f>
        <v>#VALUE!</v>
      </c>
      <c r="FU226" t="e">
        <f>'All regions'!3645:3645-"$F;@!.Bg"</f>
        <v>#VALUE!</v>
      </c>
      <c r="FV226" t="e">
        <f>'All regions'!3646:3646-"$F;@!.Bh"</f>
        <v>#VALUE!</v>
      </c>
      <c r="FW226" t="e">
        <f>'All regions'!3647:3647-"$F;@!.Bi"</f>
        <v>#VALUE!</v>
      </c>
      <c r="FX226" t="e">
        <f>'All regions'!3648:3648-"$F;@!.Bj"</f>
        <v>#VALUE!</v>
      </c>
      <c r="FY226" t="e">
        <f>'All regions'!3649:3649-"$F;@!.Bk"</f>
        <v>#VALUE!</v>
      </c>
      <c r="FZ226" t="e">
        <f>'All regions'!3650:3650-"$F;@!.Bl"</f>
        <v>#VALUE!</v>
      </c>
      <c r="GA226" t="e">
        <f>'All regions'!3651:3651-"$F;@!.Bm"</f>
        <v>#VALUE!</v>
      </c>
      <c r="GB226" t="e">
        <f>'All regions'!3652:3652-"$F;@!.Bn"</f>
        <v>#VALUE!</v>
      </c>
      <c r="GC226" t="e">
        <f>'All regions'!3653:3653-"$F;@!.Bo"</f>
        <v>#VALUE!</v>
      </c>
      <c r="GD226" t="e">
        <f>'All regions'!3654:3654-"$F;@!.Bp"</f>
        <v>#VALUE!</v>
      </c>
      <c r="GE226" t="e">
        <f>'All regions'!3655:3655-"$F;@!.Bq"</f>
        <v>#VALUE!</v>
      </c>
      <c r="GF226" t="e">
        <f>'All regions'!3656:3656-"$F;@!.Br"</f>
        <v>#VALUE!</v>
      </c>
      <c r="GG226" t="e">
        <f>'All regions'!3657:3657-"$F;@!.Bs"</f>
        <v>#VALUE!</v>
      </c>
      <c r="GH226" t="e">
        <f>'All regions'!3658:3658-"$F;@!.Bt"</f>
        <v>#VALUE!</v>
      </c>
      <c r="GI226" t="e">
        <f>'All regions'!3659:3659-"$F;@!.Bu"</f>
        <v>#VALUE!</v>
      </c>
      <c r="GJ226" t="e">
        <f>'All regions'!3660:3660-"$F;@!.Bv"</f>
        <v>#VALUE!</v>
      </c>
      <c r="GK226" t="e">
        <f>'All regions'!3663:3663-"$F;@!.Bw"</f>
        <v>#VALUE!</v>
      </c>
      <c r="GL226" t="e">
        <f>'All regions'!3664:3664-"$F;@!.Bx"</f>
        <v>#VALUE!</v>
      </c>
      <c r="GM226" t="e">
        <f>'All regions'!3665:3665-"$F;@!.By"</f>
        <v>#VALUE!</v>
      </c>
      <c r="GN226" t="e">
        <f>'All regions'!3667:3667-"$F;@!.Bz"</f>
        <v>#VALUE!</v>
      </c>
      <c r="GO226" t="e">
        <f>'All regions'!3668:3668-"$F;@!.B{"</f>
        <v>#VALUE!</v>
      </c>
      <c r="GP226" t="e">
        <f>'All regions'!3669:3669-"$F;@!.B|"</f>
        <v>#VALUE!</v>
      </c>
      <c r="GQ226" t="e">
        <f>'All regions'!3670:3670-"$F;@!.B}"</f>
        <v>#VALUE!</v>
      </c>
      <c r="GR226" t="e">
        <f>'All regions'!3671:3671-"$F;@!.B~"</f>
        <v>#VALUE!</v>
      </c>
      <c r="GS226" t="e">
        <f>'All regions'!3672:3672-"$F;@!.C#"</f>
        <v>#VALUE!</v>
      </c>
      <c r="GT226" t="e">
        <f>'All regions'!3673:3673-"$F;@!.C$"</f>
        <v>#VALUE!</v>
      </c>
      <c r="GU226" t="e">
        <f>'All regions'!3674:3674-"$F;@!.C%"</f>
        <v>#VALUE!</v>
      </c>
      <c r="GV226" t="e">
        <f>'All regions'!3675:3675-"$F;@!.C&amp;"</f>
        <v>#VALUE!</v>
      </c>
      <c r="GW226" t="e">
        <f>'All regions'!3676:3676-"$F;@!.C'"</f>
        <v>#VALUE!</v>
      </c>
      <c r="GX226" t="e">
        <f>'All regions'!3677:3677-"$F;@!.C("</f>
        <v>#VALUE!</v>
      </c>
      <c r="GY226" t="e">
        <f>'All regions'!3678:3678-"$F;@!.C)"</f>
        <v>#VALUE!</v>
      </c>
      <c r="GZ226" t="e">
        <f>'All regions'!3679:3679-"$F;@!.C."</f>
        <v>#VALUE!</v>
      </c>
      <c r="HA226" t="e">
        <f>'All regions'!3680:3680-"$F;@!.C/"</f>
        <v>#VALUE!</v>
      </c>
      <c r="HB226" t="e">
        <f>'All regions'!3681:3681-"$F;@!.C0"</f>
        <v>#VALUE!</v>
      </c>
      <c r="HC226" t="e">
        <f>'All regions'!3682:3682-"$F;@!.C1"</f>
        <v>#VALUE!</v>
      </c>
      <c r="HD226" t="e">
        <f>'All regions'!3683:3683-"$F;@!.C2"</f>
        <v>#VALUE!</v>
      </c>
      <c r="HE226" t="e">
        <f>'All regions'!3684:3684-"$F;@!.C3"</f>
        <v>#VALUE!</v>
      </c>
      <c r="HF226" t="e">
        <f>'All regions'!3685:3685-"$F;@!.C4"</f>
        <v>#VALUE!</v>
      </c>
      <c r="HG226" t="e">
        <f>'All regions'!3686:3686-"$F;@!.C5"</f>
        <v>#VALUE!</v>
      </c>
      <c r="HH226" t="e">
        <f>'All regions'!3687:3687-"$F;@!.C6"</f>
        <v>#VALUE!</v>
      </c>
      <c r="HI226" t="e">
        <f>'All regions'!3688:3688-"$F;@!.C7"</f>
        <v>#VALUE!</v>
      </c>
      <c r="HJ226" t="e">
        <f>'All regions'!3689:3689-"$F;@!.C8"</f>
        <v>#VALUE!</v>
      </c>
      <c r="HK226" t="e">
        <f>'All regions'!3690:3690-"$F;@!.C9"</f>
        <v>#VALUE!</v>
      </c>
      <c r="HL226" t="e">
        <f>'All regions'!3691:3691-"$F;@!.C:"</f>
        <v>#VALUE!</v>
      </c>
      <c r="HM226" t="e">
        <f>'All regions'!3692:3692-"$F;@!.C;"</f>
        <v>#VALUE!</v>
      </c>
      <c r="HN226" t="e">
        <f>'All regions'!3693:3693-"$F;@!.C&lt;"</f>
        <v>#VALUE!</v>
      </c>
      <c r="HO226" t="e">
        <f>'All regions'!3694:3694-"$F;@!.C="</f>
        <v>#VALUE!</v>
      </c>
      <c r="HP226" t="e">
        <f>'All regions'!3695:3695-"$F;@!.C&gt;"</f>
        <v>#VALUE!</v>
      </c>
      <c r="HQ226" t="e">
        <f>'All regions'!3696:3696-"$F;@!.C?"</f>
        <v>#VALUE!</v>
      </c>
      <c r="HR226" t="e">
        <f>'All regions'!3697:3697-"$F;@!.C@"</f>
        <v>#VALUE!</v>
      </c>
      <c r="HS226" t="e">
        <f>'All regions'!3698:3698-"$F;@!.CA"</f>
        <v>#VALUE!</v>
      </c>
      <c r="HT226" t="e">
        <f>'All regions'!3699:3699-"$F;@!.CB"</f>
        <v>#VALUE!</v>
      </c>
      <c r="HU226" t="e">
        <f>'All regions'!3700:3700-"$F;@!.CC"</f>
        <v>#VALUE!</v>
      </c>
      <c r="HV226" t="e">
        <f>'All regions'!3701:3701-"$F;@!.CD"</f>
        <v>#VALUE!</v>
      </c>
      <c r="HW226" t="e">
        <f>'All regions'!3702:3702-"$F;@!.CE"</f>
        <v>#VALUE!</v>
      </c>
      <c r="HX226" t="e">
        <f>'All regions'!3703:3703-"$F;@!.CF"</f>
        <v>#VALUE!</v>
      </c>
      <c r="HY226" t="e">
        <f>'All regions'!3704:3704-"$F;@!.CG"</f>
        <v>#VALUE!</v>
      </c>
      <c r="HZ226" t="e">
        <f>'All regions'!3705:3705-"$F;@!.CH"</f>
        <v>#VALUE!</v>
      </c>
      <c r="IA226" t="e">
        <f>'All regions'!3706:3706-"$F;@!.CI"</f>
        <v>#VALUE!</v>
      </c>
      <c r="IB226" t="e">
        <f>'All regions'!3707:3707-"$F;@!.CJ"</f>
        <v>#VALUE!</v>
      </c>
      <c r="IC226" t="e">
        <f>'All regions'!3708:3708-"$F;@!.CK"</f>
        <v>#VALUE!</v>
      </c>
      <c r="ID226" t="e">
        <f>'All regions'!3709:3709-"$F;@!.CL"</f>
        <v>#VALUE!</v>
      </c>
      <c r="IE226" t="e">
        <f>'All regions'!3710:3710-"$F;@!.CM"</f>
        <v>#VALUE!</v>
      </c>
      <c r="IF226" t="e">
        <f>'All regions'!3711:3711-"$F;@!.CN"</f>
        <v>#VALUE!</v>
      </c>
      <c r="IG226" t="e">
        <f>'All regions'!3712:3712-"$F;@!.CO"</f>
        <v>#VALUE!</v>
      </c>
      <c r="IH226" t="e">
        <f>'All regions'!3713:3713-"$F;@!.CP"</f>
        <v>#VALUE!</v>
      </c>
      <c r="II226" t="e">
        <f>'All regions'!3714:3714-"$F;@!.CQ"</f>
        <v>#VALUE!</v>
      </c>
      <c r="IJ226" t="e">
        <f>'All regions'!3715:3715-"$F;@!.CR"</f>
        <v>#VALUE!</v>
      </c>
      <c r="IK226" t="e">
        <f>'All regions'!3716:3716-"$F;@!.CS"</f>
        <v>#VALUE!</v>
      </c>
      <c r="IL226" t="e">
        <f>'All regions'!3717:3717-"$F;@!.CT"</f>
        <v>#VALUE!</v>
      </c>
      <c r="IM226" t="e">
        <f>'All regions'!3718:3718-"$F;@!.CU"</f>
        <v>#VALUE!</v>
      </c>
      <c r="IN226" t="e">
        <f>'All regions'!3719:3719-"$F;@!.CV"</f>
        <v>#VALUE!</v>
      </c>
      <c r="IO226" t="e">
        <f>'All regions'!3720:3720-"$F;@!.CW"</f>
        <v>#VALUE!</v>
      </c>
      <c r="IP226" t="e">
        <f>'All regions'!3721:3721-"$F;@!.CX"</f>
        <v>#VALUE!</v>
      </c>
      <c r="IQ226" t="e">
        <f>'All regions'!3722:3722-"$F;@!.CY"</f>
        <v>#VALUE!</v>
      </c>
      <c r="IR226" t="e">
        <f>'All regions'!3723:3723-"$F;@!.CZ"</f>
        <v>#VALUE!</v>
      </c>
      <c r="IS226" t="e">
        <f>'All regions'!3724:3724-"$F;@!.C["</f>
        <v>#VALUE!</v>
      </c>
      <c r="IT226" t="e">
        <f>'All regions'!3725:3725-"$F;@!.C\"</f>
        <v>#VALUE!</v>
      </c>
      <c r="IU226" t="e">
        <f>'All regions'!3726:3726-"$F;@!.C]"</f>
        <v>#VALUE!</v>
      </c>
      <c r="IV226" t="e">
        <f>'All regions'!3727:3727-"$F;@!.C^"</f>
        <v>#VALUE!</v>
      </c>
    </row>
    <row r="227" spans="6:256" x14ac:dyDescent="0.35">
      <c r="F227" t="e">
        <f>'All regions'!3728:3728-"$F;@!.C_"</f>
        <v>#VALUE!</v>
      </c>
      <c r="G227" t="e">
        <f>'All regions'!3729:3729-"$F;@!.C`"</f>
        <v>#VALUE!</v>
      </c>
      <c r="H227" t="e">
        <f>'All regions'!3730:3730-"$F;@!.Ca"</f>
        <v>#VALUE!</v>
      </c>
      <c r="I227" t="e">
        <f>'All regions'!3731:3731-"$F;@!.Cb"</f>
        <v>#VALUE!</v>
      </c>
      <c r="J227" t="e">
        <f>'All regions'!3732:3732-"$F;@!.Cc"</f>
        <v>#VALUE!</v>
      </c>
      <c r="K227" t="e">
        <f>'All regions'!3733:3733-"$F;@!.Cd"</f>
        <v>#VALUE!</v>
      </c>
      <c r="L227" t="e">
        <f>'All regions'!3734:3734-"$F;@!.Ce"</f>
        <v>#VALUE!</v>
      </c>
      <c r="M227" t="e">
        <f>'All regions'!3735:3735-"$F;@!.Cf"</f>
        <v>#VALUE!</v>
      </c>
      <c r="N227" t="e">
        <f>'All regions'!3736:3736-"$F;@!.Cg"</f>
        <v>#VALUE!</v>
      </c>
      <c r="O227" t="e">
        <f>'All regions'!3737:3737-"$F;@!.Ch"</f>
        <v>#VALUE!</v>
      </c>
      <c r="P227" t="e">
        <f>'All regions'!3738:3738-"$F;@!.Ci"</f>
        <v>#VALUE!</v>
      </c>
      <c r="Q227" t="e">
        <f>'All regions'!3739:3739-"$F;@!.Cj"</f>
        <v>#VALUE!</v>
      </c>
      <c r="R227" t="e">
        <f>'All regions'!3740:3740-"$F;@!.Ck"</f>
        <v>#VALUE!</v>
      </c>
      <c r="S227" t="e">
        <f>'All regions'!3741:3741-"$F;@!.Cl"</f>
        <v>#VALUE!</v>
      </c>
      <c r="T227" t="e">
        <f>'All regions'!3742:3742-"$F;@!.Cm"</f>
        <v>#VALUE!</v>
      </c>
      <c r="U227" t="e">
        <f>'All regions'!3743:3743-"$F;@!.Cn"</f>
        <v>#VALUE!</v>
      </c>
      <c r="V227" t="e">
        <f>'All regions'!3744:3744-"$F;@!.Co"</f>
        <v>#VALUE!</v>
      </c>
      <c r="W227" t="e">
        <f>'All regions'!3745:3745-"$F;@!.Cp"</f>
        <v>#VALUE!</v>
      </c>
      <c r="X227" t="e">
        <f>'All regions'!3746:3746-"$F;@!.Cq"</f>
        <v>#VALUE!</v>
      </c>
      <c r="Y227" t="e">
        <f>'All regions'!3747:3747-"$F;@!.Cr"</f>
        <v>#VALUE!</v>
      </c>
      <c r="Z227" t="e">
        <f>'All regions'!3748:3748-"$F;@!.Cs"</f>
        <v>#VALUE!</v>
      </c>
      <c r="AA227" t="e">
        <f>'All regions'!3749:3749-"$F;@!.Ct"</f>
        <v>#VALUE!</v>
      </c>
      <c r="AB227" t="e">
        <f>'All regions'!3750:3750-"$F;@!.Cu"</f>
        <v>#VALUE!</v>
      </c>
      <c r="AC227" t="e">
        <f>'All regions'!3751:3751-"$F;@!.Cv"</f>
        <v>#VALUE!</v>
      </c>
      <c r="AD227" t="e">
        <f>'All regions'!3752:3752-"$F;@!.Cw"</f>
        <v>#VALUE!</v>
      </c>
      <c r="AE227" t="e">
        <f>'All regions'!3753:3753-"$F;@!.Cx"</f>
        <v>#VALUE!</v>
      </c>
      <c r="AF227" t="e">
        <f>'All regions'!3754:3754-"$F;@!.Cy"</f>
        <v>#VALUE!</v>
      </c>
      <c r="AG227" t="e">
        <f>'All regions'!3755:3755-"$F;@!.Cz"</f>
        <v>#VALUE!</v>
      </c>
      <c r="AH227" t="e">
        <f>'All regions'!3756:3756-"$F;@!.C{"</f>
        <v>#VALUE!</v>
      </c>
      <c r="AI227" t="e">
        <f>'All regions'!3757:3757-"$F;@!.C|"</f>
        <v>#VALUE!</v>
      </c>
      <c r="AJ227" t="e">
        <f>'All regions'!3758:3758-"$F;@!.C}"</f>
        <v>#VALUE!</v>
      </c>
      <c r="AK227" t="e">
        <f>'All regions'!3759:3759-"$F;@!.C~"</f>
        <v>#VALUE!</v>
      </c>
      <c r="AL227" t="e">
        <f>'All regions'!3760:3760-"$F;@!.D#"</f>
        <v>#VALUE!</v>
      </c>
      <c r="AM227" t="e">
        <f>'All regions'!3761:3761-"$F;@!.D$"</f>
        <v>#VALUE!</v>
      </c>
      <c r="AN227" t="e">
        <f>'All regions'!3762:3762-"$F;@!.D%"</f>
        <v>#VALUE!</v>
      </c>
      <c r="AO227" t="e">
        <f>'All regions'!3763:3763-"$F;@!.D&amp;"</f>
        <v>#VALUE!</v>
      </c>
      <c r="AP227" t="e">
        <f>'All regions'!3764:3764-"$F;@!.D'"</f>
        <v>#VALUE!</v>
      </c>
      <c r="AQ227" t="e">
        <f>'All regions'!3765:3765-"$F;@!.D("</f>
        <v>#VALUE!</v>
      </c>
      <c r="AR227" t="e">
        <f>'All regions'!3766:3766-"$F;@!.D)"</f>
        <v>#VALUE!</v>
      </c>
      <c r="AS227" t="e">
        <f>'All regions'!3767:3767-"$F;@!.D."</f>
        <v>#VALUE!</v>
      </c>
      <c r="AT227" t="e">
        <f>'All regions'!3768:3768-"$F;@!.D/"</f>
        <v>#VALUE!</v>
      </c>
      <c r="AU227" t="e">
        <f>'All regions'!3769:3769-"$F;@!.D0"</f>
        <v>#VALUE!</v>
      </c>
      <c r="AV227" t="e">
        <f>'All regions'!3770:3770-"$F;@!.D1"</f>
        <v>#VALUE!</v>
      </c>
      <c r="AW227" t="e">
        <f>'All regions'!3771:3771-"$F;@!.D2"</f>
        <v>#VALUE!</v>
      </c>
      <c r="AX227" t="e">
        <f>'All regions'!3772:3772-"$F;@!.D3"</f>
        <v>#VALUE!</v>
      </c>
      <c r="AY227" t="e">
        <f>'All regions'!3773:3773-"$F;@!.D4"</f>
        <v>#VALUE!</v>
      </c>
      <c r="AZ227" t="e">
        <f>'All regions'!3774:3774-"$F;@!.D5"</f>
        <v>#VALUE!</v>
      </c>
      <c r="BA227" t="e">
        <f>'All regions'!3775:3775-"$F;@!.D6"</f>
        <v>#VALUE!</v>
      </c>
      <c r="BB227" t="e">
        <f>'All regions'!3776:3776-"$F;@!.D7"</f>
        <v>#VALUE!</v>
      </c>
      <c r="BC227" t="e">
        <f>'All regions'!3777:3777-"$F;@!.D8"</f>
        <v>#VALUE!</v>
      </c>
      <c r="BD227" t="e">
        <f>'All regions'!3778:3778-"$F;@!.D9"</f>
        <v>#VALUE!</v>
      </c>
      <c r="BE227" t="e">
        <f>'All regions'!3779:3779-"$F;@!.D:"</f>
        <v>#VALUE!</v>
      </c>
      <c r="BF227" t="e">
        <f>'All regions'!3780:3780-"$F;@!.D;"</f>
        <v>#VALUE!</v>
      </c>
      <c r="BG227" t="e">
        <f>'All regions'!3781:3781-"$F;@!.D&lt;"</f>
        <v>#VALUE!</v>
      </c>
      <c r="BH227" t="e">
        <f>'All regions'!3782:3782-"$F;@!.D="</f>
        <v>#VALUE!</v>
      </c>
      <c r="BI227" t="e">
        <f>'All regions'!3783:3783-"$F;@!.D&gt;"</f>
        <v>#VALUE!</v>
      </c>
      <c r="BJ227" t="e">
        <f>'All regions'!3784:3784-"$F;@!.D?"</f>
        <v>#VALUE!</v>
      </c>
      <c r="BK227" t="e">
        <f>'All regions'!3785:3785-"$F;@!.D@"</f>
        <v>#VALUE!</v>
      </c>
      <c r="BL227" t="e">
        <f>'All regions'!3786:3786-"$F;@!.DA"</f>
        <v>#VALUE!</v>
      </c>
      <c r="BM227" t="e">
        <f>'All regions'!3787:3787-"$F;@!.DB"</f>
        <v>#VALUE!</v>
      </c>
      <c r="BN227" t="e">
        <f>'All regions'!3788:3788-"$F;@!.DC"</f>
        <v>#VALUE!</v>
      </c>
      <c r="BO227" t="e">
        <f>'All regions'!3789:3789-"$F;@!.DD"</f>
        <v>#VALUE!</v>
      </c>
      <c r="BP227" t="e">
        <f>'All regions'!3790:3790-"$F;@!.DE"</f>
        <v>#VALUE!</v>
      </c>
      <c r="BQ227" t="e">
        <f>'All regions'!3791:3791-"$F;@!.DF"</f>
        <v>#VALUE!</v>
      </c>
      <c r="BR227" t="e">
        <f>'All regions'!3792:3792-"$F;@!.DG"</f>
        <v>#VALUE!</v>
      </c>
      <c r="BS227" t="e">
        <f>'All regions'!3793:3793-"$F;@!.DH"</f>
        <v>#VALUE!</v>
      </c>
      <c r="BT227" t="e">
        <f>'All regions'!3794:3794-"$F;@!.DI"</f>
        <v>#VALUE!</v>
      </c>
      <c r="BU227" t="e">
        <f>'All regions'!3795:3795-"$F;@!.DJ"</f>
        <v>#VALUE!</v>
      </c>
      <c r="BV227" t="e">
        <f>'All regions'!3796:3796-"$F;@!.DK"</f>
        <v>#VALUE!</v>
      </c>
      <c r="BW227" t="e">
        <f>'All regions'!3797:3797-"$F;@!.DL"</f>
        <v>#VALUE!</v>
      </c>
      <c r="BX227" t="e">
        <f>'All regions'!3798:3798-"$F;@!.DM"</f>
        <v>#VALUE!</v>
      </c>
      <c r="BY227" t="e">
        <f>'All regions'!3799:3799-"$F;@!.DN"</f>
        <v>#VALUE!</v>
      </c>
      <c r="BZ227" t="e">
        <f>'All regions'!3800:3800-"$F;@!.DO"</f>
        <v>#VALUE!</v>
      </c>
      <c r="CA227" t="e">
        <f>'All regions'!3801:3801-"$F;@!.DP"</f>
        <v>#VALUE!</v>
      </c>
      <c r="CB227" t="e">
        <f>'All regions'!3802:3802-"$F;@!.DQ"</f>
        <v>#VALUE!</v>
      </c>
      <c r="CC227" t="e">
        <f>'All regions'!3803:3803-"$F;@!.DR"</f>
        <v>#VALUE!</v>
      </c>
      <c r="CD227" t="e">
        <f>'All regions'!3804:3804-"$F;@!.DS"</f>
        <v>#VALUE!</v>
      </c>
      <c r="CE227" t="e">
        <f>'All regions'!3805:3805-"$F;@!.DT"</f>
        <v>#VALUE!</v>
      </c>
      <c r="CF227" t="e">
        <f>'All regions'!3806:3806-"$F;@!.DU"</f>
        <v>#VALUE!</v>
      </c>
      <c r="CG227" t="e">
        <f>'All regions'!3807:3807-"$F;@!.DV"</f>
        <v>#VALUE!</v>
      </c>
      <c r="CH227" t="e">
        <f>'All regions'!3808:3808-"$F;@!.DW"</f>
        <v>#VALUE!</v>
      </c>
      <c r="CI227" t="e">
        <f>'All regions'!3809:3809-"$F;@!.DX"</f>
        <v>#VALUE!</v>
      </c>
      <c r="CJ227" t="e">
        <f>'All regions'!3810:3810-"$F;@!.DY"</f>
        <v>#VALUE!</v>
      </c>
      <c r="CK227" t="e">
        <f>'All regions'!3811:3811-"$F;@!.DZ"</f>
        <v>#VALUE!</v>
      </c>
      <c r="CL227" t="e">
        <f>'All regions'!3812:3812-"$F;@!.D["</f>
        <v>#VALUE!</v>
      </c>
      <c r="CM227" t="e">
        <f>'All regions'!3813:3813-"$F;@!.D\"</f>
        <v>#VALUE!</v>
      </c>
      <c r="CN227" t="e">
        <f>'All regions'!3814:3814-"$F;@!.D]"</f>
        <v>#VALUE!</v>
      </c>
      <c r="CO227" t="e">
        <f>'All regions'!3815:3815-"$F;@!.D^"</f>
        <v>#VALUE!</v>
      </c>
      <c r="CP227" t="e">
        <f>'All regions'!3816:3816-"$F;@!.D_"</f>
        <v>#VALUE!</v>
      </c>
      <c r="CQ227" t="e">
        <f>'All regions'!3817:3817-"$F;@!.D`"</f>
        <v>#VALUE!</v>
      </c>
      <c r="CR227" t="e">
        <f>'All regions'!3818:3818-"$F;@!.Da"</f>
        <v>#VALUE!</v>
      </c>
      <c r="CS227" t="e">
        <f>'All regions'!3819:3819-"$F;@!.Db"</f>
        <v>#VALUE!</v>
      </c>
      <c r="CT227" t="e">
        <f>'All regions'!3820:3820-"$F;@!.Dc"</f>
        <v>#VALUE!</v>
      </c>
      <c r="CU227" t="e">
        <f>'All regions'!3821:3821-"$F;@!.Dd"</f>
        <v>#VALUE!</v>
      </c>
      <c r="CV227" t="e">
        <f>'All regions'!3822:3822-"$F;@!.De"</f>
        <v>#VALUE!</v>
      </c>
      <c r="CW227" t="e">
        <f>'All regions'!3823:3823-"$F;@!.Df"</f>
        <v>#VALUE!</v>
      </c>
      <c r="CX227" t="e">
        <f>'All regions'!3824:3824-"$F;@!.Dg"</f>
        <v>#VALUE!</v>
      </c>
      <c r="CY227" t="e">
        <f>'All regions'!3825:3825-"$F;@!.Dh"</f>
        <v>#VALUE!</v>
      </c>
      <c r="CZ227" t="e">
        <f>'All regions'!3826:3826-"$F;@!.Di"</f>
        <v>#VALUE!</v>
      </c>
      <c r="DA227" t="e">
        <f>'All regions'!3827:3827-"$F;@!.Dj"</f>
        <v>#VALUE!</v>
      </c>
      <c r="DB227" t="e">
        <f>'All regions'!3828:3828-"$F;@!.Dk"</f>
        <v>#VALUE!</v>
      </c>
      <c r="DC227" t="e">
        <f>'All regions'!3829:3829-"$F;@!.Dl"</f>
        <v>#VALUE!</v>
      </c>
      <c r="DD227" t="e">
        <f>'All regions'!3830:3830-"$F;@!.Dm"</f>
        <v>#VALUE!</v>
      </c>
      <c r="DE227" t="e">
        <f>'All regions'!3831:3831-"$F;@!.Dn"</f>
        <v>#VALUE!</v>
      </c>
      <c r="DF227" t="e">
        <f>'All regions'!3832:3832-"$F;@!.Do"</f>
        <v>#VALUE!</v>
      </c>
      <c r="DG227" t="e">
        <f>'All regions'!3833:3833-"$F;@!.Dp"</f>
        <v>#VALUE!</v>
      </c>
      <c r="DH227" t="e">
        <f>'All regions'!3834:3834-"$F;@!.Dq"</f>
        <v>#VALUE!</v>
      </c>
      <c r="DI227" t="e">
        <f>'All regions'!3835:3835-"$F;@!.Dr"</f>
        <v>#VALUE!</v>
      </c>
      <c r="DJ227" t="e">
        <f>'All regions'!3836:3836-"$F;@!.Ds"</f>
        <v>#VALUE!</v>
      </c>
      <c r="DK227" t="e">
        <f>'All regions'!3837:3837-"$F;@!.Dt"</f>
        <v>#VALUE!</v>
      </c>
      <c r="DL227" t="e">
        <f>'All regions'!3838:3838-"$F;@!.Du"</f>
        <v>#VALUE!</v>
      </c>
      <c r="DM227" t="e">
        <f>'All regions'!3839:3839-"$F;@!.Dv"</f>
        <v>#VALUE!</v>
      </c>
      <c r="DN227" t="e">
        <f>'All regions'!3840:3840-"$F;@!.Dw"</f>
        <v>#VALUE!</v>
      </c>
      <c r="DO227" t="e">
        <f>'All regions'!3841:3841-"$F;@!.Dx"</f>
        <v>#VALUE!</v>
      </c>
      <c r="DP227" t="e">
        <f>'All regions'!3842:3842-"$F;@!.Dy"</f>
        <v>#VALUE!</v>
      </c>
      <c r="DQ227" t="e">
        <f>'All regions'!3843:3843-"$F;@!.Dz"</f>
        <v>#VALUE!</v>
      </c>
      <c r="DR227" t="e">
        <f>'All regions'!3844:3844-"$F;@!.D{"</f>
        <v>#VALUE!</v>
      </c>
      <c r="DS227" t="e">
        <f>'All regions'!3845:3845-"$F;@!.D|"</f>
        <v>#VALUE!</v>
      </c>
      <c r="DT227" t="e">
        <f>'All regions'!3846:3846-"$F;@!.D}"</f>
        <v>#VALUE!</v>
      </c>
      <c r="DU227" t="e">
        <f>'All regions'!3847:3847-"$F;@!.D~"</f>
        <v>#VALUE!</v>
      </c>
      <c r="DV227" t="e">
        <f>'All regions'!3848:3848-"$F;@!.E#"</f>
        <v>#VALUE!</v>
      </c>
      <c r="DW227" t="e">
        <f>'All regions'!3849:3849-"$F;@!.E$"</f>
        <v>#VALUE!</v>
      </c>
      <c r="DX227" t="e">
        <f>'All regions'!3850:3850-"$F;@!.E%"</f>
        <v>#VALUE!</v>
      </c>
      <c r="DY227" t="e">
        <f>'All regions'!3851:3851-"$F;@!.E&amp;"</f>
        <v>#VALUE!</v>
      </c>
      <c r="DZ227" t="e">
        <f>'All regions'!3852:3852-"$F;@!.E'"</f>
        <v>#VALUE!</v>
      </c>
      <c r="EA227" t="e">
        <f>'All regions'!3853:3853-"$F;@!.E("</f>
        <v>#VALUE!</v>
      </c>
      <c r="EB227" t="e">
        <f>'All regions'!3854:3854-"$F;@!.E)"</f>
        <v>#VALUE!</v>
      </c>
      <c r="EC227" t="e">
        <f>'All regions'!3855:3855-"$F;@!.E."</f>
        <v>#VALUE!</v>
      </c>
      <c r="ED227" t="e">
        <f>'All regions'!3856:3856-"$F;@!.E/"</f>
        <v>#VALUE!</v>
      </c>
      <c r="EE227" t="e">
        <f>'All regions'!3857:3857-"$F;@!.E0"</f>
        <v>#VALUE!</v>
      </c>
      <c r="EF227" t="e">
        <f>'All regions'!3858:3858-"$F;@!.E1"</f>
        <v>#VALUE!</v>
      </c>
      <c r="EG227" t="e">
        <f>'All regions'!3859:3859-"$F;@!.E2"</f>
        <v>#VALUE!</v>
      </c>
      <c r="EH227" t="e">
        <f>'All regions'!3860:3860-"$F;@!.E3"</f>
        <v>#VALUE!</v>
      </c>
      <c r="EI227" t="e">
        <f>'All regions'!3861:3861-"$F;@!.E4"</f>
        <v>#VALUE!</v>
      </c>
      <c r="EJ227" t="e">
        <f>'All regions'!3862:3862-"$F;@!.E5"</f>
        <v>#VALUE!</v>
      </c>
      <c r="EK227" t="e">
        <f>'All regions'!3863:3863-"$F;@!.E6"</f>
        <v>#VALUE!</v>
      </c>
      <c r="EL227" t="e">
        <f>'All regions'!3864:3864-"$F;@!.E7"</f>
        <v>#VALUE!</v>
      </c>
      <c r="EM227" t="e">
        <f>'All regions'!3865:3865-"$F;@!.E8"</f>
        <v>#VALUE!</v>
      </c>
      <c r="EN227" t="e">
        <f>'All regions'!3866:3866-"$F;@!.E9"</f>
        <v>#VALUE!</v>
      </c>
      <c r="EO227" t="e">
        <f>'All regions'!3867:3867-"$F;@!.E:"</f>
        <v>#VALUE!</v>
      </c>
      <c r="EP227" t="e">
        <f>'All regions'!3868:3868-"$F;@!.E;"</f>
        <v>#VALUE!</v>
      </c>
      <c r="EQ227" t="e">
        <f>'All regions'!3869:3869-"$F;@!.E&lt;"</f>
        <v>#VALUE!</v>
      </c>
      <c r="ER227" t="e">
        <f>'All regions'!3870:3870-"$F;@!.E="</f>
        <v>#VALUE!</v>
      </c>
      <c r="ES227" t="e">
        <f>'All regions'!3871:3871-"$F;@!.E&gt;"</f>
        <v>#VALUE!</v>
      </c>
      <c r="ET227" t="e">
        <f>'All regions'!3872:3872-"$F;@!.E?"</f>
        <v>#VALUE!</v>
      </c>
      <c r="EU227" t="e">
        <f>'All regions'!3873:3873-"$F;@!.E@"</f>
        <v>#VALUE!</v>
      </c>
      <c r="EV227" t="e">
        <f>'All regions'!3874:3874-"$F;@!.EA"</f>
        <v>#VALUE!</v>
      </c>
      <c r="EW227" t="e">
        <f>'All regions'!3875:3875-"$F;@!.EB"</f>
        <v>#VALUE!</v>
      </c>
      <c r="EX227" t="e">
        <f>'All regions'!3876:3876-"$F;@!.EC"</f>
        <v>#VALUE!</v>
      </c>
      <c r="EY227" t="e">
        <f>'All regions'!3877:3877-"$F;@!.ED"</f>
        <v>#VALUE!</v>
      </c>
      <c r="EZ227" t="e">
        <f>'All regions'!3878:3878-"$F;@!.EE"</f>
        <v>#VALUE!</v>
      </c>
      <c r="FA227" t="e">
        <f>'All regions'!3879:3879-"$F;@!.EF"</f>
        <v>#VALUE!</v>
      </c>
      <c r="FB227" t="e">
        <f>'All regions'!3880:3880-"$F;@!.EG"</f>
        <v>#VALUE!</v>
      </c>
      <c r="FC227" t="e">
        <f>'All regions'!3881:3881-"$F;@!.EH"</f>
        <v>#VALUE!</v>
      </c>
      <c r="FD227" t="e">
        <f>'All regions'!3882:3882-"$F;@!.EI"</f>
        <v>#VALUE!</v>
      </c>
      <c r="FE227" t="e">
        <f>'All regions'!3883:3883-"$F;@!.EJ"</f>
        <v>#VALUE!</v>
      </c>
      <c r="FF227" t="e">
        <f>'All regions'!3884:3884-"$F;@!.EK"</f>
        <v>#VALUE!</v>
      </c>
      <c r="FG227" t="e">
        <f>'All regions'!3885:3885-"$F;@!.EL"</f>
        <v>#VALUE!</v>
      </c>
      <c r="FH227" t="e">
        <f>'All regions'!3886:3886-"$F;@!.EM"</f>
        <v>#VALUE!</v>
      </c>
      <c r="FI227" t="e">
        <f>'All regions'!3887:3887-"$F;@!.EN"</f>
        <v>#VALUE!</v>
      </c>
      <c r="FJ227" t="e">
        <f>'All regions'!3888:3888-"$F;@!.EO"</f>
        <v>#VALUE!</v>
      </c>
      <c r="FK227" t="e">
        <f>'All regions'!3889:3889-"$F;@!.EP"</f>
        <v>#VALUE!</v>
      </c>
      <c r="FL227" t="e">
        <f>'All regions'!3890:3890-"$F;@!.EQ"</f>
        <v>#VALUE!</v>
      </c>
      <c r="FM227" t="e">
        <f>'All regions'!3891:3891-"$F;@!.ER"</f>
        <v>#VALUE!</v>
      </c>
      <c r="FN227" t="e">
        <f>'All regions'!3892:3892-"$F;@!.ES"</f>
        <v>#VALUE!</v>
      </c>
      <c r="FO227" t="e">
        <f>'All regions'!3893:3893-"$F;@!.ET"</f>
        <v>#VALUE!</v>
      </c>
      <c r="FP227" t="e">
        <f>'All regions'!3894:3894-"$F;@!.EU"</f>
        <v>#VALUE!</v>
      </c>
      <c r="FQ227" t="e">
        <f>'All regions'!3895:3895-"$F;@!.EV"</f>
        <v>#VALUE!</v>
      </c>
      <c r="FR227" t="e">
        <f>'All regions'!3896:3896-"$F;@!.EW"</f>
        <v>#VALUE!</v>
      </c>
      <c r="FS227" t="e">
        <f>'All regions'!3897:3897-"$F;@!.EX"</f>
        <v>#VALUE!</v>
      </c>
      <c r="FT227" t="e">
        <f>'All regions'!3898:3898-"$F;@!.EY"</f>
        <v>#VALUE!</v>
      </c>
      <c r="FU227" t="e">
        <f>'All regions'!3899:3899-"$F;@!.EZ"</f>
        <v>#VALUE!</v>
      </c>
      <c r="FV227" t="e">
        <f>'All regions'!3900:3900-"$F;@!.E["</f>
        <v>#VALUE!</v>
      </c>
      <c r="FW227" t="e">
        <f>'All regions'!3901:3901-"$F;@!.E\"</f>
        <v>#VALUE!</v>
      </c>
      <c r="FX227" t="e">
        <f>'All regions'!3902:3902-"$F;@!.E]"</f>
        <v>#VALUE!</v>
      </c>
      <c r="FY227" t="e">
        <f>'All regions'!3903:3903-"$F;@!.E^"</f>
        <v>#VALUE!</v>
      </c>
      <c r="FZ227" t="e">
        <f>'All regions'!3904:3904-"$F;@!.E_"</f>
        <v>#VALUE!</v>
      </c>
      <c r="GA227" t="e">
        <f>'All regions'!3905:3905-"$F;@!.E`"</f>
        <v>#VALUE!</v>
      </c>
      <c r="GB227" t="e">
        <f>'All regions'!3906:3906-"$F;@!.Ea"</f>
        <v>#VALUE!</v>
      </c>
      <c r="GC227" t="e">
        <f>'All regions'!3907:3907-"$F;@!.Eb"</f>
        <v>#VALUE!</v>
      </c>
      <c r="GD227" t="e">
        <f>'All regions'!3908:3908-"$F;@!.Ec"</f>
        <v>#VALUE!</v>
      </c>
      <c r="GE227" t="e">
        <f>'All regions'!3909:3909-"$F;@!.Ed"</f>
        <v>#VALUE!</v>
      </c>
      <c r="GF227" t="e">
        <f>'All regions'!3910:3910-"$F;@!.Ee"</f>
        <v>#VALUE!</v>
      </c>
      <c r="GG227" t="e">
        <f>'All regions'!3911:3911-"$F;@!.Ef"</f>
        <v>#VALUE!</v>
      </c>
      <c r="GH227" t="e">
        <f>'All regions'!3912:3912-"$F;@!.Eg"</f>
        <v>#VALUE!</v>
      </c>
      <c r="GI227" t="e">
        <f>'All regions'!3913:3913-"$F;@!.Eh"</f>
        <v>#VALUE!</v>
      </c>
      <c r="GJ227" t="e">
        <f>'All regions'!3914:3914-"$F;@!.Ei"</f>
        <v>#VALUE!</v>
      </c>
      <c r="GK227" t="e">
        <f>'All regions'!3915:3915-"$F;@!.Ej"</f>
        <v>#VALUE!</v>
      </c>
      <c r="GL227" t="e">
        <f>'All regions'!3916:3916-"$F;@!.Ek"</f>
        <v>#VALUE!</v>
      </c>
      <c r="GM227" t="e">
        <f>'All regions'!3917:3917-"$F;@!.El"</f>
        <v>#VALUE!</v>
      </c>
      <c r="GN227" t="e">
        <f>'All regions'!3918:3918-"$F;@!.Em"</f>
        <v>#VALUE!</v>
      </c>
      <c r="GO227" t="e">
        <f>'All regions'!3919:3919-"$F;@!.En"</f>
        <v>#VALUE!</v>
      </c>
      <c r="GP227" t="e">
        <f>'All regions'!3920:3920-"$F;@!.Eo"</f>
        <v>#VALUE!</v>
      </c>
      <c r="GQ227" t="e">
        <f>'All regions'!3921:3921-"$F;@!.Ep"</f>
        <v>#VALUE!</v>
      </c>
      <c r="GR227" t="e">
        <f>'All regions'!3922:3922-"$F;@!.Eq"</f>
        <v>#VALUE!</v>
      </c>
      <c r="GS227" t="e">
        <f>'All regions'!3923:3923-"$F;@!.Er"</f>
        <v>#VALUE!</v>
      </c>
      <c r="GT227" t="e">
        <f>'All regions'!3924:3924-"$F;@!.Es"</f>
        <v>#VALUE!</v>
      </c>
      <c r="GU227" t="e">
        <f>'All regions'!3925:3925-"$F;@!.Et"</f>
        <v>#VALUE!</v>
      </c>
      <c r="GV227" t="e">
        <f>'All regions'!3926:3926-"$F;@!.Eu"</f>
        <v>#VALUE!</v>
      </c>
      <c r="GW227" t="e">
        <f>'All regions'!3927:3927-"$F;@!.Ev"</f>
        <v>#VALUE!</v>
      </c>
      <c r="GX227" t="e">
        <f>'All regions'!3928:3928-"$F;@!.Ew"</f>
        <v>#VALUE!</v>
      </c>
      <c r="GY227" t="e">
        <f>'All regions'!3929:3929-"$F;@!.Ex"</f>
        <v>#VALUE!</v>
      </c>
      <c r="GZ227" t="e">
        <f>'All regions'!3930:3930-"$F;@!.Ey"</f>
        <v>#VALUE!</v>
      </c>
      <c r="HA227" t="e">
        <f>'All regions'!3931:3931-"$F;@!.Ez"</f>
        <v>#VALUE!</v>
      </c>
      <c r="HB227" t="e">
        <f>'All regions'!3932:3932-"$F;@!.E{"</f>
        <v>#VALUE!</v>
      </c>
      <c r="HC227" t="e">
        <f>'All regions'!3933:3933-"$F;@!.E|"</f>
        <v>#VALUE!</v>
      </c>
      <c r="HD227" t="e">
        <f>'All regions'!3934:3934-"$F;@!.E}"</f>
        <v>#VALUE!</v>
      </c>
      <c r="HE227" t="e">
        <f>'All regions'!3935:3935-"$F;@!.E~"</f>
        <v>#VALUE!</v>
      </c>
      <c r="HF227" t="e">
        <f>'All regions'!3936:3936-"$F;@!.F#"</f>
        <v>#VALUE!</v>
      </c>
      <c r="HG227" t="e">
        <f>'All regions'!3937:3937-"$F;@!.F$"</f>
        <v>#VALUE!</v>
      </c>
      <c r="HH227" t="e">
        <f>'All regions'!3938:3938-"$F;@!.F%"</f>
        <v>#VALUE!</v>
      </c>
      <c r="HI227" t="e">
        <f>'All regions'!3939:3939-"$F;@!.F&amp;"</f>
        <v>#VALUE!</v>
      </c>
      <c r="HJ227" t="e">
        <f>'All regions'!3940:3940-"$F;@!.F'"</f>
        <v>#VALUE!</v>
      </c>
      <c r="HK227" t="e">
        <f>'All regions'!3941:3941-"$F;@!.F("</f>
        <v>#VALUE!</v>
      </c>
      <c r="HL227" t="e">
        <f>'All regions'!3942:3942-"$F;@!.F)"</f>
        <v>#VALUE!</v>
      </c>
      <c r="HM227" t="e">
        <f>'All regions'!3943:3943-"$F;@!.F."</f>
        <v>#VALUE!</v>
      </c>
      <c r="HN227" t="e">
        <f>'All regions'!3944:3944-"$F;@!.F/"</f>
        <v>#VALUE!</v>
      </c>
      <c r="HO227" t="e">
        <f>'All regions'!3945:3945-"$F;@!.F0"</f>
        <v>#VALUE!</v>
      </c>
      <c r="HP227" t="e">
        <f>'All regions'!3946:3946-"$F;@!.F1"</f>
        <v>#VALUE!</v>
      </c>
      <c r="HQ227" t="e">
        <f>'All regions'!3947:3947-"$F;@!.F2"</f>
        <v>#VALUE!</v>
      </c>
      <c r="HR227" t="e">
        <f>'All regions'!3948:3948-"$F;@!.F3"</f>
        <v>#VALUE!</v>
      </c>
      <c r="HS227" t="e">
        <f>'All regions'!3949:3949-"$F;@!.F4"</f>
        <v>#VALUE!</v>
      </c>
      <c r="HT227" t="e">
        <f>'All regions'!3950:3950-"$F;@!.F5"</f>
        <v>#VALUE!</v>
      </c>
      <c r="HU227" t="e">
        <f>'All regions'!3951:3951-"$F;@!.F6"</f>
        <v>#VALUE!</v>
      </c>
      <c r="HV227" t="e">
        <f>'All regions'!3952:3952-"$F;@!.F7"</f>
        <v>#VALUE!</v>
      </c>
      <c r="HW227" t="e">
        <f>'All regions'!3953:3953-"$F;@!.F8"</f>
        <v>#VALUE!</v>
      </c>
      <c r="HX227" t="e">
        <f>'All regions'!3954:3954-"$F;@!.F9"</f>
        <v>#VALUE!</v>
      </c>
      <c r="HY227" t="e">
        <f>'All regions'!3955:3955-"$F;@!.F:"</f>
        <v>#VALUE!</v>
      </c>
      <c r="HZ227" t="e">
        <f>'All regions'!3956:3956-"$F;@!.F;"</f>
        <v>#VALUE!</v>
      </c>
      <c r="IA227" t="e">
        <f>'All regions'!3957:3957-"$F;@!.F&lt;"</f>
        <v>#VALUE!</v>
      </c>
      <c r="IB227" t="e">
        <f>'All regions'!3958:3958-"$F;@!.F="</f>
        <v>#VALUE!</v>
      </c>
      <c r="IC227" t="e">
        <f>'All regions'!3959:3959-"$F;@!.F&gt;"</f>
        <v>#VALUE!</v>
      </c>
      <c r="ID227" t="e">
        <f>'All regions'!3960:3960-"$F;@!.F?"</f>
        <v>#VALUE!</v>
      </c>
      <c r="IE227" t="e">
        <f>'All regions'!3961:3961-"$F;@!.F@"</f>
        <v>#VALUE!</v>
      </c>
      <c r="IF227" t="e">
        <f>'All regions'!3962:3962-"$F;@!.FA"</f>
        <v>#VALUE!</v>
      </c>
      <c r="IG227" t="e">
        <f>'All regions'!3963:3963-"$F;@!.FB"</f>
        <v>#VALUE!</v>
      </c>
      <c r="IH227" t="e">
        <f>'All regions'!3964:3964-"$F;@!.FC"</f>
        <v>#VALUE!</v>
      </c>
      <c r="II227" t="e">
        <f>'All regions'!3965:3965-"$F;@!.FD"</f>
        <v>#VALUE!</v>
      </c>
      <c r="IJ227" t="e">
        <f>'All regions'!3966:3966-"$F;@!.FE"</f>
        <v>#VALUE!</v>
      </c>
      <c r="IK227" t="e">
        <f>'All regions'!3967:3967-"$F;@!.FF"</f>
        <v>#VALUE!</v>
      </c>
      <c r="IL227" t="e">
        <f>'All regions'!3968:3968-"$F;@!.FG"</f>
        <v>#VALUE!</v>
      </c>
      <c r="IM227" t="e">
        <f>'All regions'!3969:3969-"$F;@!.FH"</f>
        <v>#VALUE!</v>
      </c>
      <c r="IN227" t="e">
        <f>'All regions'!3970:3970-"$F;@!.FI"</f>
        <v>#VALUE!</v>
      </c>
      <c r="IO227" t="e">
        <f>'All regions'!3971:3971-"$F;@!.FJ"</f>
        <v>#VALUE!</v>
      </c>
      <c r="IP227" t="e">
        <f>'All regions'!3972:3972-"$F;@!.FK"</f>
        <v>#VALUE!</v>
      </c>
      <c r="IQ227" t="e">
        <f>'All regions'!3973:3973-"$F;@!.FL"</f>
        <v>#VALUE!</v>
      </c>
      <c r="IR227" t="e">
        <f>'All regions'!3974:3974-"$F;@!.FM"</f>
        <v>#VALUE!</v>
      </c>
      <c r="IS227" t="e">
        <f>'All regions'!3975:3975-"$F;@!.FN"</f>
        <v>#VALUE!</v>
      </c>
      <c r="IT227" t="e">
        <f>'All regions'!3976:3976-"$F;@!.FO"</f>
        <v>#VALUE!</v>
      </c>
      <c r="IU227" t="e">
        <f>'All regions'!3977:3977-"$F;@!.FP"</f>
        <v>#VALUE!</v>
      </c>
      <c r="IV227" t="e">
        <f>'All regions'!3978:3978-"$F;@!.FQ"</f>
        <v>#VALUE!</v>
      </c>
    </row>
    <row r="228" spans="6:256" x14ac:dyDescent="0.35">
      <c r="F228" t="e">
        <f>'All regions'!3979:3979-"$F;@!.FR"</f>
        <v>#VALUE!</v>
      </c>
      <c r="G228" t="e">
        <f>'All regions'!3980:3980-"$F;@!.FS"</f>
        <v>#VALUE!</v>
      </c>
      <c r="H228" t="e">
        <f>'All regions'!3981:3981-"$F;@!.FT"</f>
        <v>#VALUE!</v>
      </c>
      <c r="I228" t="e">
        <f>'All regions'!3982:3982-"$F;@!.FU"</f>
        <v>#VALUE!</v>
      </c>
      <c r="J228" t="e">
        <f>'All regions'!3983:3983-"$F;@!.FV"</f>
        <v>#VALUE!</v>
      </c>
      <c r="K228" t="e">
        <f>'All regions'!3984:3984-"$F;@!.FW"</f>
        <v>#VALUE!</v>
      </c>
      <c r="L228" t="e">
        <f>'All regions'!3985:3985-"$F;@!.FX"</f>
        <v>#VALUE!</v>
      </c>
      <c r="M228" t="e">
        <f>'All regions'!3986:3986-"$F;@!.FY"</f>
        <v>#VALUE!</v>
      </c>
      <c r="N228" t="e">
        <f>'All regions'!3987:3987-"$F;@!.FZ"</f>
        <v>#VALUE!</v>
      </c>
      <c r="O228" t="e">
        <f>'All regions'!3988:3988-"$F;@!.F["</f>
        <v>#VALUE!</v>
      </c>
      <c r="P228" t="e">
        <f>'All regions'!3989:3989-"$F;@!.F\"</f>
        <v>#VALUE!</v>
      </c>
      <c r="Q228" t="e">
        <f>'All regions'!3990:3990-"$F;@!.F]"</f>
        <v>#VALUE!</v>
      </c>
      <c r="R228" t="e">
        <f>'All regions'!3991:3991-"$F;@!.F^"</f>
        <v>#VALUE!</v>
      </c>
      <c r="S228" t="e">
        <f>'All regions'!3992:3992-"$F;@!.F_"</f>
        <v>#VALUE!</v>
      </c>
      <c r="T228" t="e">
        <f>'All regions'!3993:3993-"$F;@!.F`"</f>
        <v>#VALUE!</v>
      </c>
      <c r="U228" t="e">
        <f>'All regions'!3994:3994-"$F;@!.Fa"</f>
        <v>#VALUE!</v>
      </c>
      <c r="V228" t="e">
        <f>'All regions'!3995:3995-"$F;@!.Fb"</f>
        <v>#VALUE!</v>
      </c>
      <c r="W228" t="e">
        <f>'All regions'!3996:3996-"$F;@!.Fc"</f>
        <v>#VALUE!</v>
      </c>
      <c r="X228" t="e">
        <f>'All regions'!3997:3997-"$F;@!.Fd"</f>
        <v>#VALUE!</v>
      </c>
      <c r="Y228" t="e">
        <f>'All regions'!3998:3998-"$F;@!.Fe"</f>
        <v>#VALUE!</v>
      </c>
      <c r="Z228" t="e">
        <f>'All regions'!3999:3999-"$F;@!.Ff"</f>
        <v>#VALUE!</v>
      </c>
      <c r="AA228" t="e">
        <f>'All regions'!4000:4000-"$F;@!.Fg"</f>
        <v>#VALUE!</v>
      </c>
      <c r="AB228" t="e">
        <f>'All regions'!4001:4001-"$F;@!.Fh"</f>
        <v>#VALUE!</v>
      </c>
      <c r="AC228" t="e">
        <f>'All regions'!4002:4002-"$F;@!.Fi"</f>
        <v>#VALUE!</v>
      </c>
      <c r="AD228" t="e">
        <f>'All regions'!4003:4003-"$F;@!.Fj"</f>
        <v>#VALUE!</v>
      </c>
      <c r="AE228" t="e">
        <f>'All regions'!4004:4004-"$F;@!.Fk"</f>
        <v>#VALUE!</v>
      </c>
      <c r="AF228" t="e">
        <f>'All regions'!4005:4005-"$F;@!.Fl"</f>
        <v>#VALUE!</v>
      </c>
      <c r="AG228" t="e">
        <f>'All regions'!4006:4006-"$F;@!.Fm"</f>
        <v>#VALUE!</v>
      </c>
      <c r="AH228" t="e">
        <f>'All regions'!4007:4007-"$F;@!.Fn"</f>
        <v>#VALUE!</v>
      </c>
      <c r="AI228" t="e">
        <f>'All regions'!4008:4008-"$F;@!.Fo"</f>
        <v>#VALUE!</v>
      </c>
      <c r="AJ228" t="e">
        <f>'All regions'!4009:4009-"$F;@!.Fp"</f>
        <v>#VALUE!</v>
      </c>
      <c r="AK228" t="e">
        <f>'All regions'!4010:4010-"$F;@!.Fq"</f>
        <v>#VALUE!</v>
      </c>
      <c r="AL228" t="e">
        <f>'All regions'!4011:4011-"$F;@!.Fr"</f>
        <v>#VALUE!</v>
      </c>
      <c r="AM228" t="e">
        <f>'All regions'!4012:4012-"$F;@!.Fs"</f>
        <v>#VALUE!</v>
      </c>
      <c r="AN228" t="e">
        <f>'All regions'!4013:4013-"$F;@!.Ft"</f>
        <v>#VALUE!</v>
      </c>
      <c r="AO228" t="e">
        <f>'All regions'!4014:4014-"$F;@!.Fu"</f>
        <v>#VALUE!</v>
      </c>
      <c r="AP228" t="e">
        <f>'All regions'!4015:4015-"$F;@!.Fv"</f>
        <v>#VALUE!</v>
      </c>
      <c r="AQ228" t="e">
        <f>'All regions'!4016:4016-"$F;@!.Fw"</f>
        <v>#VALUE!</v>
      </c>
      <c r="AR228" t="e">
        <f>'All regions'!4017:4017-"$F;@!.Fx"</f>
        <v>#VALUE!</v>
      </c>
      <c r="AS228" t="e">
        <f>'All regions'!4018:4018-"$F;@!.Fy"</f>
        <v>#VALUE!</v>
      </c>
      <c r="AT228" t="e">
        <f>'All regions'!4019:4019-"$F;@!.Fz"</f>
        <v>#VALUE!</v>
      </c>
      <c r="AU228" t="e">
        <f>'All regions'!4020:4020-"$F;@!.F{"</f>
        <v>#VALUE!</v>
      </c>
      <c r="AV228" t="e">
        <f>'All regions'!4021:4021-"$F;@!.F|"</f>
        <v>#VALUE!</v>
      </c>
      <c r="AW228" t="e">
        <f>'All regions'!4022:4022-"$F;@!.F}"</f>
        <v>#VALUE!</v>
      </c>
      <c r="AX228" t="e">
        <f>'All regions'!4023:4023-"$F;@!.F~"</f>
        <v>#VALUE!</v>
      </c>
      <c r="AY228" t="e">
        <f>'All regions'!4024:4024-"$F;@!.G#"</f>
        <v>#VALUE!</v>
      </c>
      <c r="AZ228" t="e">
        <f>'All regions'!4025:4025-"$F;@!.G$"</f>
        <v>#VALUE!</v>
      </c>
      <c r="BA228" t="e">
        <f>'All regions'!4026:4026-"$F;@!.G%"</f>
        <v>#VALUE!</v>
      </c>
      <c r="BB228" t="e">
        <f>'All regions'!4027:4027-"$F;@!.G&amp;"</f>
        <v>#VALUE!</v>
      </c>
      <c r="BC228" t="e">
        <f>'All regions'!4028:4028-"$F;@!.G'"</f>
        <v>#VALUE!</v>
      </c>
      <c r="BD228" t="e">
        <f>'All regions'!4029:4029-"$F;@!.G("</f>
        <v>#VALUE!</v>
      </c>
      <c r="BE228" t="e">
        <f>'All regions'!4030:4030-"$F;@!.G)"</f>
        <v>#VALUE!</v>
      </c>
      <c r="BF228" t="e">
        <f>'All regions'!4031:4031-"$F;@!.G."</f>
        <v>#VALUE!</v>
      </c>
      <c r="BG228" t="e">
        <f>'All regions'!4032:4032-"$F;@!.G/"</f>
        <v>#VALUE!</v>
      </c>
      <c r="BH228" t="e">
        <f>'All regions'!4033:4033-"$F;@!.G0"</f>
        <v>#VALUE!</v>
      </c>
      <c r="BI228" t="e">
        <f>'All regions'!4034:4034-"$F;@!.G1"</f>
        <v>#VALUE!</v>
      </c>
      <c r="BJ228" t="e">
        <f>'All regions'!4035:4035-"$F;@!.G2"</f>
        <v>#VALUE!</v>
      </c>
      <c r="BK228" t="e">
        <f>'All regions'!4036:4036-"$F;@!.G3"</f>
        <v>#VALUE!</v>
      </c>
      <c r="BL228" t="e">
        <f>'All regions'!4037:4037-"$F;@!.G4"</f>
        <v>#VALUE!</v>
      </c>
      <c r="BM228" t="e">
        <f>'All regions'!4038:4038-"$F;@!.G5"</f>
        <v>#VALUE!</v>
      </c>
      <c r="BN228" t="e">
        <f>'All regions'!4039:4039-"$F;@!.G6"</f>
        <v>#VALUE!</v>
      </c>
      <c r="BO228" t="e">
        <f>'All regions'!4040:4040-"$F;@!.G7"</f>
        <v>#VALUE!</v>
      </c>
      <c r="BP228" t="e">
        <f>'All regions'!4041:4041-"$F;@!.G8"</f>
        <v>#VALUE!</v>
      </c>
      <c r="BQ228" t="e">
        <f>'All regions'!4042:4042-"$F;@!.G9"</f>
        <v>#VALUE!</v>
      </c>
      <c r="BR228" t="e">
        <f>'All regions'!4043:4043-"$F;@!.G:"</f>
        <v>#VALUE!</v>
      </c>
      <c r="BS228" t="e">
        <f>'All regions'!4044:4044-"$F;@!.G;"</f>
        <v>#VALUE!</v>
      </c>
      <c r="BT228" t="e">
        <f>'All regions'!4045:4045-"$F;@!.G&lt;"</f>
        <v>#VALUE!</v>
      </c>
      <c r="BU228" t="e">
        <f>'All regions'!4046:4046-"$F;@!.G="</f>
        <v>#VALUE!</v>
      </c>
      <c r="BV228" t="e">
        <f>'All regions'!4047:4047-"$F;@!.G&gt;"</f>
        <v>#VALUE!</v>
      </c>
      <c r="BW228" t="e">
        <f>'All regions'!4048:4048-"$F;@!.G?"</f>
        <v>#VALUE!</v>
      </c>
      <c r="BX228" t="e">
        <f>'All regions'!4049:4049-"$F;@!.G@"</f>
        <v>#VALUE!</v>
      </c>
      <c r="BY228" t="e">
        <f>'All regions'!4050:4050-"$F;@!.GA"</f>
        <v>#VALUE!</v>
      </c>
      <c r="BZ228" t="e">
        <f>'All regions'!4051:4051-"$F;@!.GB"</f>
        <v>#VALUE!</v>
      </c>
      <c r="CA228" t="e">
        <f>'All regions'!4052:4052-"$F;@!.GC"</f>
        <v>#VALUE!</v>
      </c>
      <c r="CB228" t="e">
        <f>'All regions'!4053:4053-"$F;@!.GD"</f>
        <v>#VALUE!</v>
      </c>
      <c r="CC228" t="e">
        <f>'All regions'!4054:4054-"$F;@!.GE"</f>
        <v>#VALUE!</v>
      </c>
      <c r="CD228" t="e">
        <f>'All regions'!4055:4055-"$F;@!.GF"</f>
        <v>#VALUE!</v>
      </c>
      <c r="CE228" t="e">
        <f>'All regions'!4056:4056-"$F;@!.GG"</f>
        <v>#VALUE!</v>
      </c>
      <c r="CF228" t="e">
        <f>'All regions'!4057:4057-"$F;@!.GH"</f>
        <v>#VALUE!</v>
      </c>
      <c r="CG228" t="e">
        <f>'All regions'!4058:4058-"$F;@!.GI"</f>
        <v>#VALUE!</v>
      </c>
      <c r="CH228" t="e">
        <f>'All regions'!4059:4059-"$F;@!.GJ"</f>
        <v>#VALUE!</v>
      </c>
      <c r="CI228" t="e">
        <f>'All regions'!4060:4060-"$F;@!.GK"</f>
        <v>#VALUE!</v>
      </c>
      <c r="CJ228" t="e">
        <f>'All regions'!4061:4061-"$F;@!.GL"</f>
        <v>#VALUE!</v>
      </c>
      <c r="CK228" t="e">
        <f>'All regions'!4062:4062-"$F;@!.GM"</f>
        <v>#VALUE!</v>
      </c>
      <c r="CL228" t="e">
        <f>'All regions'!4063:4063-"$F;@!.GN"</f>
        <v>#VALUE!</v>
      </c>
      <c r="CM228" t="e">
        <f>'All regions'!4064:4064-"$F;@!.GO"</f>
        <v>#VALUE!</v>
      </c>
      <c r="CN228" t="e">
        <f>'All regions'!4065:4065-"$F;@!.GP"</f>
        <v>#VALUE!</v>
      </c>
      <c r="CO228" t="e">
        <f>'All regions'!4066:4066-"$F;@!.GQ"</f>
        <v>#VALUE!</v>
      </c>
      <c r="CP228" t="e">
        <f>'All regions'!4067:4067-"$F;@!.GR"</f>
        <v>#VALUE!</v>
      </c>
      <c r="CQ228" t="e">
        <f>'All regions'!4068:4068-"$F;@!.GS"</f>
        <v>#VALUE!</v>
      </c>
      <c r="CR228" t="e">
        <f>'All regions'!4069:4069-"$F;@!.GT"</f>
        <v>#VALUE!</v>
      </c>
      <c r="CS228" t="e">
        <f>'All regions'!4070:4070-"$F;@!.GU"</f>
        <v>#VALUE!</v>
      </c>
      <c r="CT228" t="e">
        <f>'All regions'!4071:4071-"$F;@!.GV"</f>
        <v>#VALUE!</v>
      </c>
      <c r="CU228" t="e">
        <f>'All regions'!4072:4072-"$F;@!.GW"</f>
        <v>#VALUE!</v>
      </c>
      <c r="CV228" t="e">
        <f>'All regions'!4073:4073-"$F;@!.GX"</f>
        <v>#VALUE!</v>
      </c>
      <c r="CW228" t="e">
        <f>'All regions'!4074:4074-"$F;@!.GY"</f>
        <v>#VALUE!</v>
      </c>
      <c r="CX228" t="e">
        <f>'All regions'!4075:4075-"$F;@!.GZ"</f>
        <v>#VALUE!</v>
      </c>
      <c r="CY228" t="e">
        <f>'All regions'!4076:4076-"$F;@!.G["</f>
        <v>#VALUE!</v>
      </c>
      <c r="CZ228" t="e">
        <f>'All regions'!4077:4077-"$F;@!.G\"</f>
        <v>#VALUE!</v>
      </c>
      <c r="DA228" t="e">
        <f>'All regions'!4078:4078-"$F;@!.G]"</f>
        <v>#VALUE!</v>
      </c>
      <c r="DB228" t="e">
        <f>'All regions'!4079:4079-"$F;@!.G^"</f>
        <v>#VALUE!</v>
      </c>
      <c r="DC228" t="e">
        <f>'All regions'!4080:4080-"$F;@!.G_"</f>
        <v>#VALUE!</v>
      </c>
      <c r="DD228" t="e">
        <f>'All regions'!4081:4081-"$F;@!.G`"</f>
        <v>#VALUE!</v>
      </c>
      <c r="DE228" t="e">
        <f>'All regions'!4082:4082-"$F;@!.Ga"</f>
        <v>#VALUE!</v>
      </c>
      <c r="DF228" t="e">
        <f>'All regions'!4083:4083-"$F;@!.Gb"</f>
        <v>#VALUE!</v>
      </c>
      <c r="DG228" t="e">
        <f>'All regions'!4084:4084-"$F;@!.Gc"</f>
        <v>#VALUE!</v>
      </c>
      <c r="DH228" t="e">
        <f>'All regions'!4085:4085-"$F;@!.Gd"</f>
        <v>#VALUE!</v>
      </c>
      <c r="DI228" t="e">
        <f>'All regions'!4086:4086-"$F;@!.Ge"</f>
        <v>#VALUE!</v>
      </c>
      <c r="DJ228" t="e">
        <f>'All regions'!4087:4087-"$F;@!.Gf"</f>
        <v>#VALUE!</v>
      </c>
      <c r="DK228" t="e">
        <f>'All regions'!4088:4088-"$F;@!.Gg"</f>
        <v>#VALUE!</v>
      </c>
      <c r="DL228" t="e">
        <f>'All regions'!4089:4089-"$F;@!.Gh"</f>
        <v>#VALUE!</v>
      </c>
      <c r="DM228" t="e">
        <f>'All regions'!4090:4090-"$F;@!.Gi"</f>
        <v>#VALUE!</v>
      </c>
      <c r="DN228" t="e">
        <f>'All regions'!4091:4091-"$F;@!.Gj"</f>
        <v>#VALUE!</v>
      </c>
      <c r="DO228" t="e">
        <f>'All regions'!4092:4092-"$F;@!.Gk"</f>
        <v>#VALUE!</v>
      </c>
      <c r="DP228" t="e">
        <f>'All regions'!4093:4093-"$F;@!.Gl"</f>
        <v>#VALUE!</v>
      </c>
      <c r="DQ228" t="e">
        <f>'All regions'!4094:4094-"$F;@!.Gm"</f>
        <v>#VALUE!</v>
      </c>
      <c r="DR228" t="e">
        <f>'All regions'!4095:4095-"$F;@!.Gn"</f>
        <v>#VALUE!</v>
      </c>
      <c r="DS228" t="e">
        <f>'All regions'!4096:4096-"$F;@!.Go"</f>
        <v>#VALUE!</v>
      </c>
      <c r="DT228" t="e">
        <f>'All regions'!4097:4097-"$F;@!.Gp"</f>
        <v>#VALUE!</v>
      </c>
      <c r="DU228" t="e">
        <f>'All regions'!4098:4098-"$F;@!.Gq"</f>
        <v>#VALUE!</v>
      </c>
      <c r="DV228" t="e">
        <f>'All regions'!4099:4099-"$F;@!.Gr"</f>
        <v>#VALUE!</v>
      </c>
      <c r="DW228" t="e">
        <f>'All regions'!4100:4100-"$F;@!.Gs"</f>
        <v>#VALUE!</v>
      </c>
      <c r="DX228" t="e">
        <f>'All regions'!4101:4101-"$F;@!.Gt"</f>
        <v>#VALUE!</v>
      </c>
      <c r="DY228" t="e">
        <f>'All regions'!4102:4102-"$F;@!.Gu"</f>
        <v>#VALUE!</v>
      </c>
      <c r="DZ228" t="e">
        <f>'All regions'!4103:4103-"$F;@!.Gv"</f>
        <v>#VALUE!</v>
      </c>
      <c r="EA228" t="e">
        <f>'All regions'!4104:4104-"$F;@!.Gw"</f>
        <v>#VALUE!</v>
      </c>
      <c r="EB228" t="e">
        <f>'All regions'!4105:4105-"$F;@!.Gx"</f>
        <v>#VALUE!</v>
      </c>
      <c r="EC228" t="e">
        <f>'All regions'!4106:4106-"$F;@!.Gy"</f>
        <v>#VALUE!</v>
      </c>
      <c r="ED228" t="e">
        <f>'All regions'!4107:4107-"$F;@!.Gz"</f>
        <v>#VALUE!</v>
      </c>
      <c r="EE228" t="e">
        <f>'All regions'!4108:4108-"$F;@!.G{"</f>
        <v>#VALUE!</v>
      </c>
      <c r="EF228" t="e">
        <f>'All regions'!4109:4109-"$F;@!.G|"</f>
        <v>#VALUE!</v>
      </c>
      <c r="EG228" t="e">
        <f>'All regions'!4110:4110-"$F;@!.G}"</f>
        <v>#VALUE!</v>
      </c>
      <c r="EH228" t="e">
        <f>'All regions'!4111:4111-"$F;@!.G~"</f>
        <v>#VALUE!</v>
      </c>
      <c r="EI228" t="e">
        <f>'All regions'!4112:4112-"$F;@!.H#"</f>
        <v>#VALUE!</v>
      </c>
      <c r="EJ228" t="e">
        <f>'All regions'!4113:4113-"$F;@!.H$"</f>
        <v>#VALUE!</v>
      </c>
      <c r="EK228" t="e">
        <f>'All regions'!4114:4114-"$F;@!.H%"</f>
        <v>#VALUE!</v>
      </c>
      <c r="EL228" t="e">
        <f>'All regions'!4115:4115-"$F;@!.H&amp;"</f>
        <v>#VALUE!</v>
      </c>
      <c r="EM228" t="e">
        <f>'All regions'!4116:4116-"$F;@!.H'"</f>
        <v>#VALUE!</v>
      </c>
      <c r="EN228" t="e">
        <f>'All regions'!4117:4117-"$F;@!.H("</f>
        <v>#VALUE!</v>
      </c>
      <c r="EO228" t="e">
        <f>'All regions'!4118:4118-"$F;@!.H)"</f>
        <v>#VALUE!</v>
      </c>
      <c r="EP228" t="e">
        <f>'All regions'!4119:4119-"$F;@!.H."</f>
        <v>#VALUE!</v>
      </c>
      <c r="EQ228" t="e">
        <f>'All regions'!4120:4120-"$F;@!.H/"</f>
        <v>#VALUE!</v>
      </c>
      <c r="ER228" t="e">
        <f>'All regions'!4121:4121-"$F;@!.H0"</f>
        <v>#VALUE!</v>
      </c>
      <c r="ES228" t="e">
        <f>'All regions'!4122:4122-"$F;@!.H1"</f>
        <v>#VALUE!</v>
      </c>
      <c r="ET228" t="e">
        <f>'All regions'!4123:4123-"$F;@!.H2"</f>
        <v>#VALUE!</v>
      </c>
      <c r="EU228" t="e">
        <f>'All regions'!4124:4124-"$F;@!.H3"</f>
        <v>#VALUE!</v>
      </c>
      <c r="EV228" t="e">
        <f>'All regions'!4125:4125-"$F;@!.H4"</f>
        <v>#VALUE!</v>
      </c>
      <c r="EW228" t="e">
        <f>'All regions'!4126:4126-"$F;@!.H5"</f>
        <v>#VALUE!</v>
      </c>
      <c r="EX228" t="e">
        <f>'All regions'!4127:4127-"$F;@!.H6"</f>
        <v>#VALUE!</v>
      </c>
      <c r="EY228" t="e">
        <f>'All regions'!4128:4128-"$F;@!.H7"</f>
        <v>#VALUE!</v>
      </c>
      <c r="EZ228" t="e">
        <f>'All regions'!4129:4129-"$F;@!.H8"</f>
        <v>#VALUE!</v>
      </c>
      <c r="FA228" t="e">
        <f>'All regions'!4130:4130-"$F;@!.H9"</f>
        <v>#VALUE!</v>
      </c>
      <c r="FB228" t="e">
        <f>'All regions'!4131:4131-"$F;@!.H:"</f>
        <v>#VALUE!</v>
      </c>
      <c r="FC228" t="e">
        <f>'All regions'!4132:4132-"$F;@!.H;"</f>
        <v>#VALUE!</v>
      </c>
      <c r="FD228" t="e">
        <f>'All regions'!4133:4133-"$F;@!.H&lt;"</f>
        <v>#VALUE!</v>
      </c>
      <c r="FE228" t="e">
        <f>'All regions'!4134:4134-"$F;@!.H="</f>
        <v>#VALUE!</v>
      </c>
      <c r="FF228" t="e">
        <f>'All regions'!4135:4135-"$F;@!.H&gt;"</f>
        <v>#VALUE!</v>
      </c>
      <c r="FG228" t="e">
        <f>'All regions'!4136:4136-"$F;@!.H?"</f>
        <v>#VALUE!</v>
      </c>
      <c r="FH228" t="e">
        <f>'All regions'!4137:4137-"$F;@!.H@"</f>
        <v>#VALUE!</v>
      </c>
      <c r="FI228" t="e">
        <f>'All regions'!4138:4138-"$F;@!.HA"</f>
        <v>#VALUE!</v>
      </c>
      <c r="FJ228" t="e">
        <f>'All regions'!4139:4139-"$F;@!.HB"</f>
        <v>#VALUE!</v>
      </c>
      <c r="FK228" t="e">
        <f>'All regions'!4140:4140-"$F;@!.HC"</f>
        <v>#VALUE!</v>
      </c>
      <c r="FL228" t="e">
        <f>'All regions'!4141:4141-"$F;@!.HD"</f>
        <v>#VALUE!</v>
      </c>
      <c r="FM228" t="e">
        <f>'All regions'!4142:4142-"$F;@!.HE"</f>
        <v>#VALUE!</v>
      </c>
      <c r="FN228" t="e">
        <f>'All regions'!4143:4143-"$F;@!.HF"</f>
        <v>#VALUE!</v>
      </c>
      <c r="FO228" t="e">
        <f>'All regions'!4144:4144-"$F;@!.HG"</f>
        <v>#VALUE!</v>
      </c>
      <c r="FP228" t="e">
        <f>'All regions'!4145:4145-"$F;@!.HH"</f>
        <v>#VALUE!</v>
      </c>
      <c r="FQ228" t="e">
        <f>'All regions'!4146:4146-"$F;@!.HI"</f>
        <v>#VALUE!</v>
      </c>
      <c r="FR228" t="e">
        <f>'All regions'!4147:4147-"$F;@!.HJ"</f>
        <v>#VALUE!</v>
      </c>
      <c r="FS228" t="e">
        <f>'All regions'!4148:4148-"$F;@!.HK"</f>
        <v>#VALUE!</v>
      </c>
      <c r="FT228" t="e">
        <f>'All regions'!4149:4149-"$F;@!.HL"</f>
        <v>#VALUE!</v>
      </c>
      <c r="FU228" t="e">
        <f>'All regions'!4150:4150-"$F;@!.HM"</f>
        <v>#VALUE!</v>
      </c>
      <c r="FV228" t="e">
        <f>'All regions'!4151:4151-"$F;@!.HN"</f>
        <v>#VALUE!</v>
      </c>
      <c r="FW228" t="e">
        <f>'All regions'!4152:4152-"$F;@!.HO"</f>
        <v>#VALUE!</v>
      </c>
      <c r="FX228" t="e">
        <f>'All regions'!4153:4153-"$F;@!.HP"</f>
        <v>#VALUE!</v>
      </c>
      <c r="FY228" t="e">
        <f>'All regions'!4154:4154-"$F;@!.HQ"</f>
        <v>#VALUE!</v>
      </c>
      <c r="FZ228" t="e">
        <f>'All regions'!4155:4155-"$F;@!.HR"</f>
        <v>#VALUE!</v>
      </c>
      <c r="GA228" t="e">
        <f>'All regions'!4156:4156-"$F;@!.HS"</f>
        <v>#VALUE!</v>
      </c>
      <c r="GB228" t="e">
        <f>'All regions'!4157:4157-"$F;@!.HT"</f>
        <v>#VALUE!</v>
      </c>
      <c r="GC228" t="e">
        <f>'All regions'!4158:4158-"$F;@!.HU"</f>
        <v>#VALUE!</v>
      </c>
      <c r="GD228" t="e">
        <f>'All regions'!4159:4159-"$F;@!.HV"</f>
        <v>#VALUE!</v>
      </c>
      <c r="GE228" t="e">
        <f>'All regions'!4160:4160-"$F;@!.HW"</f>
        <v>#VALUE!</v>
      </c>
      <c r="GF228" t="e">
        <f>'All regions'!4161:4161-"$F;@!.HX"</f>
        <v>#VALUE!</v>
      </c>
      <c r="GG228" t="e">
        <f>'All regions'!4162:4162-"$F;@!.HY"</f>
        <v>#VALUE!</v>
      </c>
      <c r="GH228" t="e">
        <f>'All regions'!4163:4163-"$F;@!.HZ"</f>
        <v>#VALUE!</v>
      </c>
      <c r="GI228" t="e">
        <f>'All regions'!4164:4164-"$F;@!.H["</f>
        <v>#VALUE!</v>
      </c>
      <c r="GJ228" t="e">
        <f>'All regions'!4165:4165-"$F;@!.H\"</f>
        <v>#VALUE!</v>
      </c>
      <c r="GK228" t="e">
        <f>'All regions'!4166:4166-"$F;@!.H]"</f>
        <v>#VALUE!</v>
      </c>
      <c r="GL228" t="e">
        <f>'All regions'!4167:4167-"$F;@!.H^"</f>
        <v>#VALUE!</v>
      </c>
      <c r="GM228" t="e">
        <f>'All regions'!4168:4168-"$F;@!.H_"</f>
        <v>#VALUE!</v>
      </c>
      <c r="GN228" t="e">
        <f>'All regions'!4169:4169-"$F;@!.H`"</f>
        <v>#VALUE!</v>
      </c>
      <c r="GO228" t="e">
        <f>'All regions'!4170:4170-"$F;@!.Ha"</f>
        <v>#VALUE!</v>
      </c>
      <c r="GP228" t="e">
        <f>'All regions'!4171:4171-"$F;@!.Hb"</f>
        <v>#VALUE!</v>
      </c>
      <c r="GQ228" t="e">
        <f>'All regions'!4172:4172-"$F;@!.Hc"</f>
        <v>#VALUE!</v>
      </c>
      <c r="GR228" t="e">
        <f>'All regions'!4173:4173-"$F;@!.Hd"</f>
        <v>#VALUE!</v>
      </c>
      <c r="GS228" t="e">
        <f>'All regions'!4174:4174-"$F;@!.He"</f>
        <v>#VALUE!</v>
      </c>
      <c r="GT228" t="e">
        <f>'All regions'!4175:4175-"$F;@!.Hf"</f>
        <v>#VALUE!</v>
      </c>
      <c r="GU228" t="e">
        <f>'All regions'!4176:4176-"$F;@!.Hg"</f>
        <v>#VALUE!</v>
      </c>
      <c r="GV228" t="e">
        <f>'All regions'!4177:4177-"$F;@!.Hh"</f>
        <v>#VALUE!</v>
      </c>
      <c r="GW228" t="e">
        <f>'All regions'!4178:4178-"$F;@!.Hi"</f>
        <v>#VALUE!</v>
      </c>
      <c r="GX228" t="e">
        <f>'All regions'!4179:4179-"$F;@!.Hj"</f>
        <v>#VALUE!</v>
      </c>
      <c r="GY228" t="e">
        <f>'All regions'!4180:4180-"$F;@!.Hk"</f>
        <v>#VALUE!</v>
      </c>
      <c r="GZ228" t="e">
        <f>'All regions'!4181:4181-"$F;@!.Hl"</f>
        <v>#VALUE!</v>
      </c>
      <c r="HA228" t="e">
        <f>'All regions'!4182:4182-"$F;@!.Hm"</f>
        <v>#VALUE!</v>
      </c>
      <c r="HB228" t="e">
        <f>'All regions'!4183:4183-"$F;@!.Hn"</f>
        <v>#VALUE!</v>
      </c>
      <c r="HC228" t="e">
        <f>'All regions'!4184:4184-"$F;@!.Ho"</f>
        <v>#VALUE!</v>
      </c>
      <c r="HD228" t="e">
        <f>'All regions'!4185:4185-"$F;@!.Hp"</f>
        <v>#VALUE!</v>
      </c>
      <c r="HE228" t="e">
        <f>'All regions'!4186:4186-"$F;@!.Hq"</f>
        <v>#VALUE!</v>
      </c>
      <c r="HF228" t="e">
        <f>'All regions'!4187:4187-"$F;@!.Hr"</f>
        <v>#VALUE!</v>
      </c>
      <c r="HG228" t="e">
        <f>'All regions'!4188:4188-"$F;@!.Hs"</f>
        <v>#VALUE!</v>
      </c>
      <c r="HH228" t="e">
        <f>'All regions'!4189:4189-"$F;@!.Ht"</f>
        <v>#VALUE!</v>
      </c>
      <c r="HI228" t="e">
        <f>'All regions'!4190:4190-"$F;@!.Hu"</f>
        <v>#VALUE!</v>
      </c>
      <c r="HJ228" t="e">
        <f>'All regions'!4191:4191-"$F;@!.Hv"</f>
        <v>#VALUE!</v>
      </c>
      <c r="HK228" t="e">
        <f>'All regions'!4192:4192-"$F;@!.Hw"</f>
        <v>#VALUE!</v>
      </c>
      <c r="HL228" t="e">
        <f>'All regions'!4193:4193-"$F;@!.Hx"</f>
        <v>#VALUE!</v>
      </c>
      <c r="HM228" t="e">
        <f>'All regions'!4194:4194-"$F;@!.Hy"</f>
        <v>#VALUE!</v>
      </c>
      <c r="HN228" t="e">
        <f>'All regions'!4195:4195-"$F;@!.Hz"</f>
        <v>#VALUE!</v>
      </c>
      <c r="HO228" t="e">
        <f>'All regions'!4196:4196-"$F;@!.H{"</f>
        <v>#VALUE!</v>
      </c>
      <c r="HP228" t="e">
        <f>'All regions'!4197:4197-"$F;@!.H|"</f>
        <v>#VALUE!</v>
      </c>
      <c r="HQ228" t="e">
        <f>'All regions'!4198:4198-"$F;@!.H}"</f>
        <v>#VALUE!</v>
      </c>
      <c r="HR228" t="e">
        <f>'All regions'!4199:4199-"$F;@!.H~"</f>
        <v>#VALUE!</v>
      </c>
      <c r="HS228" t="e">
        <f>'All regions'!4200:4200-"$F;@!.I#"</f>
        <v>#VALUE!</v>
      </c>
      <c r="HT228" t="e">
        <f>'All regions'!4201:4201-"$F;@!.I$"</f>
        <v>#VALUE!</v>
      </c>
      <c r="HU228" t="e">
        <f>'All regions'!4202:4202-"$F;@!.I%"</f>
        <v>#VALUE!</v>
      </c>
      <c r="HV228" t="e">
        <f>'All regions'!4203:4203-"$F;@!.I&amp;"</f>
        <v>#VALUE!</v>
      </c>
      <c r="HW228" t="e">
        <f>'All regions'!4204:4204-"$F;@!.I'"</f>
        <v>#VALUE!</v>
      </c>
      <c r="HX228" t="e">
        <f>'All regions'!4205:4205-"$F;@!.I("</f>
        <v>#VALUE!</v>
      </c>
      <c r="HY228" t="e">
        <f>'All regions'!4206:4206-"$F;@!.I)"</f>
        <v>#VALUE!</v>
      </c>
      <c r="HZ228" t="e">
        <f>'All regions'!4207:4207-"$F;@!.I."</f>
        <v>#VALUE!</v>
      </c>
      <c r="IA228" t="e">
        <f>'All regions'!4208:4208-"$F;@!.I/"</f>
        <v>#VALUE!</v>
      </c>
      <c r="IB228" t="e">
        <f>'All regions'!4209:4209-"$F;@!.I0"</f>
        <v>#VALUE!</v>
      </c>
      <c r="IC228" t="e">
        <f>'All regions'!4210:4210-"$F;@!.I1"</f>
        <v>#VALUE!</v>
      </c>
      <c r="ID228" t="e">
        <f>'All regions'!4211:4211-"$F;@!.I2"</f>
        <v>#VALUE!</v>
      </c>
      <c r="IE228" t="e">
        <f>'All regions'!4212:4212-"$F;@!.I3"</f>
        <v>#VALUE!</v>
      </c>
      <c r="IF228" t="e">
        <f>'All regions'!4213:4213-"$F;@!.I4"</f>
        <v>#VALUE!</v>
      </c>
      <c r="IG228" t="e">
        <f>'All regions'!4214:4214-"$F;@!.I5"</f>
        <v>#VALUE!</v>
      </c>
      <c r="IH228" t="e">
        <f>'All regions'!4215:4215-"$F;@!.I6"</f>
        <v>#VALUE!</v>
      </c>
      <c r="II228" t="e">
        <f>'All regions'!4216:4216-"$F;@!.I7"</f>
        <v>#VALUE!</v>
      </c>
      <c r="IJ228" t="e">
        <f>'All regions'!4217:4217-"$F;@!.I8"</f>
        <v>#VALUE!</v>
      </c>
      <c r="IK228" t="e">
        <f>'All regions'!4218:4218-"$F;@!.I9"</f>
        <v>#VALUE!</v>
      </c>
      <c r="IL228" t="e">
        <f>'All regions'!4219:4219-"$F;@!.I:"</f>
        <v>#VALUE!</v>
      </c>
      <c r="IM228" t="e">
        <f>'All regions'!4220:4220-"$F;@!.I;"</f>
        <v>#VALUE!</v>
      </c>
      <c r="IN228" t="e">
        <f>'All regions'!4221:4221-"$F;@!.I&lt;"</f>
        <v>#VALUE!</v>
      </c>
      <c r="IO228" t="e">
        <f>'All regions'!4222:4222-"$F;@!.I="</f>
        <v>#VALUE!</v>
      </c>
      <c r="IP228" t="e">
        <f>'All regions'!4223:4223-"$F;@!.I&gt;"</f>
        <v>#VALUE!</v>
      </c>
      <c r="IQ228" t="e">
        <f>'All regions'!4224:4224-"$F;@!.I?"</f>
        <v>#VALUE!</v>
      </c>
      <c r="IR228" t="e">
        <f>'All regions'!4225:4225-"$F;@!.I@"</f>
        <v>#VALUE!</v>
      </c>
      <c r="IS228" t="e">
        <f>'All regions'!4226:4226-"$F;@!.IA"</f>
        <v>#VALUE!</v>
      </c>
      <c r="IT228" t="e">
        <f>'All regions'!4227:4227-"$F;@!.IB"</f>
        <v>#VALUE!</v>
      </c>
      <c r="IU228" t="e">
        <f>'All regions'!4228:4228-"$F;@!.IC"</f>
        <v>#VALUE!</v>
      </c>
      <c r="IV228" t="e">
        <f>'All regions'!4229:4229-"$F;@!.ID"</f>
        <v>#VALUE!</v>
      </c>
    </row>
    <row r="229" spans="6:256" x14ac:dyDescent="0.35">
      <c r="F229" t="e">
        <f>'All regions'!4230:4230-"$F;@!.IE"</f>
        <v>#VALUE!</v>
      </c>
      <c r="G229" t="e">
        <f>'All regions'!4231:4231-"$F;@!.IF"</f>
        <v>#VALUE!</v>
      </c>
      <c r="H229" t="e">
        <f>'All regions'!4232:4232-"$F;@!.IG"</f>
        <v>#VALUE!</v>
      </c>
      <c r="I229" t="e">
        <f>'All regions'!4233:4233-"$F;@!.IH"</f>
        <v>#VALUE!</v>
      </c>
      <c r="J229" t="e">
        <f>'All regions'!4234:4234-"$F;@!.II"</f>
        <v>#VALUE!</v>
      </c>
      <c r="K229" t="e">
        <f>'All regions'!4235:4235-"$F;@!.IJ"</f>
        <v>#VALUE!</v>
      </c>
      <c r="L229" t="e">
        <f>'All regions'!4236:4236-"$F;@!.IK"</f>
        <v>#VALUE!</v>
      </c>
      <c r="M229" t="e">
        <f>'All regions'!4237:4237-"$F;@!.IL"</f>
        <v>#VALUE!</v>
      </c>
      <c r="N229" t="e">
        <f>'All regions'!4238:4238-"$F;@!.IM"</f>
        <v>#VALUE!</v>
      </c>
      <c r="O229" t="e">
        <f>'All regions'!4239:4239-"$F;@!.IN"</f>
        <v>#VALUE!</v>
      </c>
      <c r="P229" t="e">
        <f>'All regions'!4240:4240-"$F;@!.IO"</f>
        <v>#VALUE!</v>
      </c>
      <c r="Q229" t="e">
        <f>'All regions'!4241:4241-"$F;@!.IP"</f>
        <v>#VALUE!</v>
      </c>
      <c r="R229" t="e">
        <f>'All regions'!4242:4242-"$F;@!.IQ"</f>
        <v>#VALUE!</v>
      </c>
      <c r="S229" t="e">
        <f>'All regions'!4243:4243-"$F;@!.IR"</f>
        <v>#VALUE!</v>
      </c>
      <c r="T229" t="e">
        <f>'All regions'!4244:4244-"$F;@!.IS"</f>
        <v>#VALUE!</v>
      </c>
      <c r="U229" t="e">
        <f>'All regions'!4245:4245-"$F;@!.IT"</f>
        <v>#VALUE!</v>
      </c>
      <c r="V229" t="e">
        <f>'All regions'!4246:4246-"$F;@!.IU"</f>
        <v>#VALUE!</v>
      </c>
      <c r="W229" t="e">
        <f>'All regions'!4247:4247-"$F;@!.IV"</f>
        <v>#VALUE!</v>
      </c>
      <c r="X229" t="e">
        <f>'All regions'!4248:4248-"$F;@!.IW"</f>
        <v>#VALUE!</v>
      </c>
      <c r="Y229" t="e">
        <f>'All regions'!4249:4249-"$F;@!.IX"</f>
        <v>#VALUE!</v>
      </c>
      <c r="Z229" t="e">
        <f>'All regions'!4250:4250-"$F;@!.IY"</f>
        <v>#VALUE!</v>
      </c>
      <c r="AA229" t="e">
        <f>'All regions'!4251:4251-"$F;@!.IZ"</f>
        <v>#VALUE!</v>
      </c>
      <c r="AB229" t="e">
        <f>'All regions'!4252:4252-"$F;@!.I["</f>
        <v>#VALUE!</v>
      </c>
      <c r="AC229" t="e">
        <f>'All regions'!4253:4253-"$F;@!.I\"</f>
        <v>#VALUE!</v>
      </c>
      <c r="AD229" t="e">
        <f>'All regions'!4254:4254-"$F;@!.I]"</f>
        <v>#VALUE!</v>
      </c>
      <c r="AE229" t="e">
        <f>'All regions'!4255:4255-"$F;@!.I^"</f>
        <v>#VALUE!</v>
      </c>
      <c r="AF229" t="e">
        <f>'All regions'!4256:4256-"$F;@!.I_"</f>
        <v>#VALUE!</v>
      </c>
      <c r="AG229" t="e">
        <f>'All regions'!4257:4257-"$F;@!.I`"</f>
        <v>#VALUE!</v>
      </c>
      <c r="AH229" t="e">
        <f>'All regions'!4258:4258-"$F;@!.Ia"</f>
        <v>#VALUE!</v>
      </c>
      <c r="AI229" t="e">
        <f>'All regions'!4259:4259-"$F;@!.Ib"</f>
        <v>#VALUE!</v>
      </c>
      <c r="AJ229" t="e">
        <f>'All regions'!4260:4260-"$F;@!.Ic"</f>
        <v>#VALUE!</v>
      </c>
      <c r="AK229" t="e">
        <f>'All regions'!4261:4261-"$F;@!.Id"</f>
        <v>#VALUE!</v>
      </c>
      <c r="AL229" t="e">
        <f>'All regions'!4262:4262-"$F;@!.Ie"</f>
        <v>#VALUE!</v>
      </c>
      <c r="AM229" t="e">
        <f>'All regions'!4263:4263-"$F;@!.If"</f>
        <v>#VALUE!</v>
      </c>
      <c r="AN229" t="e">
        <f>'All regions'!4264:4264-"$F;@!.Ig"</f>
        <v>#VALUE!</v>
      </c>
      <c r="AO229" t="e">
        <f>'All regions'!4265:4265-"$F;@!.Ih"</f>
        <v>#VALUE!</v>
      </c>
      <c r="AP229" t="e">
        <f>'All regions'!4266:4266-"$F;@!.Ii"</f>
        <v>#VALUE!</v>
      </c>
      <c r="AQ229" t="e">
        <f>'All regions'!4267:4267-"$F;@!.Ij"</f>
        <v>#VALUE!</v>
      </c>
      <c r="AR229" t="e">
        <f>'All regions'!4268:4268-"$F;@!.Ik"</f>
        <v>#VALUE!</v>
      </c>
      <c r="AS229" t="e">
        <f>'All regions'!4269:4269-"$F;@!.Il"</f>
        <v>#VALUE!</v>
      </c>
      <c r="AT229" t="e">
        <f>'All regions'!4270:4270-"$F;@!.Im"</f>
        <v>#VALUE!</v>
      </c>
      <c r="AU229" t="e">
        <f>'All regions'!4271:4271-"$F;@!.In"</f>
        <v>#VALUE!</v>
      </c>
      <c r="AV229" t="e">
        <f>'All regions'!4272:4272-"$F;@!.Io"</f>
        <v>#VALUE!</v>
      </c>
      <c r="AW229" t="e">
        <f>'All regions'!4273:4273-"$F;@!.Ip"</f>
        <v>#VALUE!</v>
      </c>
      <c r="AX229" t="e">
        <f>'All regions'!4274:4274-"$F;@!.Iq"</f>
        <v>#VALUE!</v>
      </c>
      <c r="AY229" t="e">
        <f>'All regions'!4275:4275-"$F;@!.Ir"</f>
        <v>#VALUE!</v>
      </c>
      <c r="AZ229" t="e">
        <f>'All regions'!4276:4276-"$F;@!.Is"</f>
        <v>#VALUE!</v>
      </c>
      <c r="BA229" t="e">
        <f>'All regions'!4277:4277-"$F;@!.It"</f>
        <v>#VALUE!</v>
      </c>
      <c r="BB229" t="e">
        <f>'All regions'!4278:4278-"$F;@!.Iu"</f>
        <v>#VALUE!</v>
      </c>
      <c r="BC229" t="e">
        <f>'All regions'!4279:4279-"$F;@!.Iv"</f>
        <v>#VALUE!</v>
      </c>
      <c r="BD229" t="e">
        <f>'All regions'!4280:4280-"$F;@!.Iw"</f>
        <v>#VALUE!</v>
      </c>
      <c r="BE229" t="e">
        <f>'All regions'!4281:4281-"$F;@!.Ix"</f>
        <v>#VALUE!</v>
      </c>
      <c r="BF229" t="e">
        <f>'All regions'!4282:4282-"$F;@!.Iy"</f>
        <v>#VALUE!</v>
      </c>
      <c r="BG229" t="e">
        <f>'All regions'!4283:4283-"$F;@!.Iz"</f>
        <v>#VALUE!</v>
      </c>
      <c r="BH229" t="e">
        <f>'All regions'!4284:4284-"$F;@!.I{"</f>
        <v>#VALUE!</v>
      </c>
      <c r="BI229" t="e">
        <f>'All regions'!4285:4285-"$F;@!.I|"</f>
        <v>#VALUE!</v>
      </c>
      <c r="BJ229" t="e">
        <f>'All regions'!4286:4286-"$F;@!.I}"</f>
        <v>#VALUE!</v>
      </c>
      <c r="BK229" t="e">
        <f>'All regions'!4287:4287-"$F;@!.I~"</f>
        <v>#VALUE!</v>
      </c>
      <c r="BL229" t="e">
        <f>'All regions'!4288:4288-"$F;@!.J#"</f>
        <v>#VALUE!</v>
      </c>
      <c r="BM229" t="e">
        <f>'All regions'!4289:4289-"$F;@!.J$"</f>
        <v>#VALUE!</v>
      </c>
      <c r="BN229" t="e">
        <f>'All regions'!4290:4290-"$F;@!.J%"</f>
        <v>#VALUE!</v>
      </c>
      <c r="BO229" t="e">
        <f>'All regions'!4291:4291-"$F;@!.J&amp;"</f>
        <v>#VALUE!</v>
      </c>
      <c r="BP229" t="e">
        <f>'All regions'!4292:4292-"$F;@!.J'"</f>
        <v>#VALUE!</v>
      </c>
      <c r="BQ229" t="e">
        <f>'All regions'!4293:4293-"$F;@!.J("</f>
        <v>#VALUE!</v>
      </c>
      <c r="BR229" t="e">
        <f>'All regions'!4294:4294-"$F;@!.J)"</f>
        <v>#VALUE!</v>
      </c>
      <c r="BS229" t="e">
        <f>'All regions'!4295:4295-"$F;@!.J."</f>
        <v>#VALUE!</v>
      </c>
      <c r="BT229" t="e">
        <f>'All regions'!4296:4296-"$F;@!.J/"</f>
        <v>#VALUE!</v>
      </c>
      <c r="BU229" t="e">
        <f>'All regions'!4297:4297-"$F;@!.J0"</f>
        <v>#VALUE!</v>
      </c>
      <c r="BV229" t="e">
        <f>'All regions'!4298:4298-"$F;@!.J1"</f>
        <v>#VALUE!</v>
      </c>
      <c r="BW229" t="e">
        <f>'All regions'!4299:4299-"$F;@!.J2"</f>
        <v>#VALUE!</v>
      </c>
      <c r="BX229" t="e">
        <f>'All regions'!4300:4300-"$F;@!.J3"</f>
        <v>#VALUE!</v>
      </c>
      <c r="BY229" t="e">
        <f>'All regions'!4301:4301-"$F;@!.J4"</f>
        <v>#VALUE!</v>
      </c>
      <c r="BZ229" t="e">
        <f>'All regions'!4302:4302-"$F;@!.J5"</f>
        <v>#VALUE!</v>
      </c>
      <c r="CA229" t="e">
        <f>'All regions'!4303:4303-"$F;@!.J6"</f>
        <v>#VALUE!</v>
      </c>
      <c r="CB229" t="e">
        <f>'All regions'!4304:4304-"$F;@!.J7"</f>
        <v>#VALUE!</v>
      </c>
      <c r="CC229" t="e">
        <f>'All regions'!4305:4305-"$F;@!.J8"</f>
        <v>#VALUE!</v>
      </c>
      <c r="CD229" t="e">
        <f>'All regions'!4306:4306-"$F;@!.J9"</f>
        <v>#VALUE!</v>
      </c>
      <c r="CE229" t="e">
        <f>'All regions'!4307:4307-"$F;@!.J:"</f>
        <v>#VALUE!</v>
      </c>
      <c r="CF229" t="e">
        <f>'All regions'!4308:4308-"$F;@!.J;"</f>
        <v>#VALUE!</v>
      </c>
      <c r="CG229" t="e">
        <f>'All regions'!4309:4309-"$F;@!.J&lt;"</f>
        <v>#VALUE!</v>
      </c>
      <c r="CH229" t="e">
        <f>'All regions'!4310:4310-"$F;@!.J="</f>
        <v>#VALUE!</v>
      </c>
      <c r="CI229" t="e">
        <f>'All regions'!4311:4311-"$F;@!.J&gt;"</f>
        <v>#VALUE!</v>
      </c>
      <c r="CJ229" t="e">
        <f>'All regions'!4312:4312-"$F;@!.J?"</f>
        <v>#VALUE!</v>
      </c>
      <c r="CK229" t="e">
        <f>'All regions'!4313:4313-"$F;@!.J@"</f>
        <v>#VALUE!</v>
      </c>
      <c r="CL229" t="e">
        <f>'All regions'!4314:4314-"$F;@!.JA"</f>
        <v>#VALUE!</v>
      </c>
      <c r="CM229" t="e">
        <f>'All regions'!4315:4315-"$F;@!.JB"</f>
        <v>#VALUE!</v>
      </c>
      <c r="CN229" t="e">
        <f>'All regions'!4316:4316-"$F;@!.JC"</f>
        <v>#VALUE!</v>
      </c>
      <c r="CO229" t="e">
        <f>'All regions'!4317:4317-"$F;@!.JD"</f>
        <v>#VALUE!</v>
      </c>
      <c r="CP229" t="e">
        <f>'All regions'!4318:4318-"$F;@!.JE"</f>
        <v>#VALUE!</v>
      </c>
      <c r="CQ229" t="e">
        <f>'All regions'!4319:4319-"$F;@!.JF"</f>
        <v>#VALUE!</v>
      </c>
      <c r="CR229" t="e">
        <f>'All regions'!4320:4320-"$F;@!.JG"</f>
        <v>#VALUE!</v>
      </c>
      <c r="CS229" t="e">
        <f>'All regions'!4321:4321-"$F;@!.JH"</f>
        <v>#VALUE!</v>
      </c>
      <c r="CT229" t="e">
        <f>'All regions'!4322:4322-"$F;@!.JI"</f>
        <v>#VALUE!</v>
      </c>
      <c r="CU229" t="e">
        <f>'All regions'!4323:4323-"$F;@!.JJ"</f>
        <v>#VALUE!</v>
      </c>
      <c r="CV229" t="e">
        <f>'All regions'!4324:4324-"$F;@!.JK"</f>
        <v>#VALUE!</v>
      </c>
      <c r="CW229" t="e">
        <f>'All regions'!4325:4325-"$F;@!.JL"</f>
        <v>#VALUE!</v>
      </c>
      <c r="CX229" t="e">
        <f>'All regions'!4326:4326-"$F;@!.JM"</f>
        <v>#VALUE!</v>
      </c>
      <c r="CY229" t="e">
        <f>'All regions'!4327:4327-"$F;@!.JN"</f>
        <v>#VALUE!</v>
      </c>
      <c r="CZ229" t="e">
        <f>'All regions'!4328:4328-"$F;@!.JO"</f>
        <v>#VALUE!</v>
      </c>
      <c r="DA229" t="e">
        <f>'All regions'!4329:4329-"$F;@!.JP"</f>
        <v>#VALUE!</v>
      </c>
      <c r="DB229" t="e">
        <f>'All regions'!4330:4330-"$F;@!.JQ"</f>
        <v>#VALUE!</v>
      </c>
      <c r="DC229" t="e">
        <f>'All regions'!4331:4331-"$F;@!.JR"</f>
        <v>#VALUE!</v>
      </c>
      <c r="DD229" t="e">
        <f>'All regions'!4332:4332-"$F;@!.JS"</f>
        <v>#VALUE!</v>
      </c>
      <c r="DE229" t="e">
        <f>'All regions'!4333:4333-"$F;@!.JT"</f>
        <v>#VALUE!</v>
      </c>
      <c r="DF229" t="e">
        <f>'All regions'!4334:4334-"$F;@!.JU"</f>
        <v>#VALUE!</v>
      </c>
      <c r="DG229" t="e">
        <f>'All regions'!4335:4335-"$F;@!.JV"</f>
        <v>#VALUE!</v>
      </c>
      <c r="DH229" t="e">
        <f>'All regions'!4336:4336-"$F;@!.JW"</f>
        <v>#VALUE!</v>
      </c>
      <c r="DI229" t="e">
        <f>'All regions'!4337:4337-"$F;@!.JX"</f>
        <v>#VALUE!</v>
      </c>
      <c r="DJ229" t="e">
        <f>'All regions'!4338:4338-"$F;@!.JY"</f>
        <v>#VALUE!</v>
      </c>
      <c r="DK229" t="e">
        <f>'All regions'!4339:4339-"$F;@!.JZ"</f>
        <v>#VALUE!</v>
      </c>
      <c r="DL229" t="e">
        <f>'All regions'!4340:4340-"$F;@!.J["</f>
        <v>#VALUE!</v>
      </c>
      <c r="DM229" t="e">
        <f>'All regions'!4341:4341-"$F;@!.J\"</f>
        <v>#VALUE!</v>
      </c>
      <c r="DN229" t="e">
        <f>'All regions'!4342:4342-"$F;@!.J]"</f>
        <v>#VALUE!</v>
      </c>
      <c r="DO229" t="e">
        <f>'All regions'!4343:4343-"$F;@!.J^"</f>
        <v>#VALUE!</v>
      </c>
      <c r="DP229" t="e">
        <f>'All regions'!4344:4344-"$F;@!.J_"</f>
        <v>#VALUE!</v>
      </c>
      <c r="DQ229" t="e">
        <f>'All regions'!4345:4345-"$F;@!.J`"</f>
        <v>#VALUE!</v>
      </c>
      <c r="DR229" t="e">
        <f>'All regions'!4346:4346-"$F;@!.Ja"</f>
        <v>#VALUE!</v>
      </c>
      <c r="DS229" t="e">
        <f>'All regions'!4347:4347-"$F;@!.Jb"</f>
        <v>#VALUE!</v>
      </c>
      <c r="DT229" t="e">
        <f>'All regions'!4348:4348-"$F;@!.Jc"</f>
        <v>#VALUE!</v>
      </c>
      <c r="DU229" t="e">
        <f>'All regions'!4349:4349-"$F;@!.Jd"</f>
        <v>#VALUE!</v>
      </c>
      <c r="DV229" t="e">
        <f>'All regions'!4350:4350-"$F;@!.Je"</f>
        <v>#VALUE!</v>
      </c>
      <c r="DW229" t="e">
        <f>'All regions'!4351:4351-"$F;@!.Jf"</f>
        <v>#VALUE!</v>
      </c>
      <c r="DX229" t="e">
        <f>'All regions'!4352:4352-"$F;@!.Jg"</f>
        <v>#VALUE!</v>
      </c>
      <c r="DY229" t="e">
        <f>'All regions'!4353:4353-"$F;@!.Jh"</f>
        <v>#VALUE!</v>
      </c>
      <c r="DZ229" t="e">
        <f>'All regions'!4354:4354-"$F;@!.Ji"</f>
        <v>#VALUE!</v>
      </c>
      <c r="EA229" t="e">
        <f>'All regions'!4355:4355-"$F;@!.Jj"</f>
        <v>#VALUE!</v>
      </c>
      <c r="EB229" t="e">
        <f>'All regions'!4356:4356-"$F;@!.Jk"</f>
        <v>#VALUE!</v>
      </c>
      <c r="EC229" t="e">
        <f>'All regions'!4357:4357-"$F;@!.Jl"</f>
        <v>#VALUE!</v>
      </c>
      <c r="ED229" t="e">
        <f>'All regions'!4358:4358-"$F;@!.Jm"</f>
        <v>#VALUE!</v>
      </c>
      <c r="EE229" t="e">
        <f>'All regions'!4359:4359-"$F;@!.Jn"</f>
        <v>#VALUE!</v>
      </c>
      <c r="EF229" t="e">
        <f>'All regions'!4360:4360-"$F;@!.Jo"</f>
        <v>#VALUE!</v>
      </c>
      <c r="EG229" t="e">
        <f>'All regions'!4361:4361-"$F;@!.Jp"</f>
        <v>#VALUE!</v>
      </c>
      <c r="EH229" t="e">
        <f>'All regions'!4362:4362-"$F;@!.Jq"</f>
        <v>#VALUE!</v>
      </c>
      <c r="EI229" t="e">
        <f>'All regions'!4363:4363-"$F;@!.Jr"</f>
        <v>#VALUE!</v>
      </c>
      <c r="EJ229" t="e">
        <f>'All regions'!4364:4364-"$F;@!.Js"</f>
        <v>#VALUE!</v>
      </c>
      <c r="EK229" t="e">
        <f>'All regions'!4365:4365-"$F;@!.Jt"</f>
        <v>#VALUE!</v>
      </c>
      <c r="EL229" t="e">
        <f>'All regions'!4366:4366-"$F;@!.Ju"</f>
        <v>#VALUE!</v>
      </c>
      <c r="EM229" t="e">
        <f>'All regions'!4367:4367-"$F;@!.Jv"</f>
        <v>#VALUE!</v>
      </c>
      <c r="EN229" t="e">
        <f>'All regions'!4368:4368-"$F;@!.Jw"</f>
        <v>#VALUE!</v>
      </c>
      <c r="EO229" t="e">
        <f>'All regions'!4369:4369-"$F;@!.Jx"</f>
        <v>#VALUE!</v>
      </c>
      <c r="EP229" t="e">
        <f>'All regions'!4370:4370-"$F;@!.Jy"</f>
        <v>#VALUE!</v>
      </c>
      <c r="EQ229" t="e">
        <f>'All regions'!4371:4371-"$F;@!.Jz"</f>
        <v>#VALUE!</v>
      </c>
      <c r="ER229" t="e">
        <f>'All regions'!4372:4372-"$F;@!.J{"</f>
        <v>#VALUE!</v>
      </c>
      <c r="ES229" t="e">
        <f>'All regions'!4373:4373-"$F;@!.J|"</f>
        <v>#VALUE!</v>
      </c>
      <c r="ET229" t="e">
        <f>'All regions'!4374:4374-"$F;@!.J}"</f>
        <v>#VALUE!</v>
      </c>
      <c r="EU229" t="e">
        <f>'All regions'!4375:4375-"$F;@!.J~"</f>
        <v>#VALUE!</v>
      </c>
      <c r="EV229" t="e">
        <f>'All regions'!4376:4376-"$F;@!.K#"</f>
        <v>#VALUE!</v>
      </c>
      <c r="EW229" t="e">
        <f>'All regions'!4377:4377-"$F;@!.K$"</f>
        <v>#VALUE!</v>
      </c>
      <c r="EX229" t="e">
        <f>'All regions'!4378:4378-"$F;@!.K%"</f>
        <v>#VALUE!</v>
      </c>
      <c r="EY229" t="e">
        <f>'All regions'!4379:4379-"$F;@!.K&amp;"</f>
        <v>#VALUE!</v>
      </c>
      <c r="EZ229" t="e">
        <f>'All regions'!4380:4380-"$F;@!.K'"</f>
        <v>#VALUE!</v>
      </c>
      <c r="FA229" t="e">
        <f>'All regions'!4381:4381-"$F;@!.K("</f>
        <v>#VALUE!</v>
      </c>
      <c r="FB229" t="e">
        <f>'All regions'!4382:4382-"$F;@!.K)"</f>
        <v>#VALUE!</v>
      </c>
      <c r="FC229" t="e">
        <f>'All regions'!4383:4383-"$F;@!.K."</f>
        <v>#VALUE!</v>
      </c>
      <c r="FD229" t="e">
        <f>'All regions'!4384:4384-"$F;@!.K/"</f>
        <v>#VALUE!</v>
      </c>
      <c r="FE229" t="e">
        <f>'All regions'!4385:4385-"$F;@!.K0"</f>
        <v>#VALUE!</v>
      </c>
      <c r="FF229" t="e">
        <f>'All regions'!4386:4386-"$F;@!.K1"</f>
        <v>#VALUE!</v>
      </c>
      <c r="FG229" t="e">
        <f>'All regions'!4387:4387-"$F;@!.K2"</f>
        <v>#VALUE!</v>
      </c>
      <c r="FH229" t="e">
        <f>'All regions'!4388:4388-"$F;@!.K3"</f>
        <v>#VALUE!</v>
      </c>
      <c r="FI229" t="e">
        <f>'All regions'!4389:4389-"$F;@!.K4"</f>
        <v>#VALUE!</v>
      </c>
      <c r="FJ229" t="e">
        <f>'All regions'!4390:4390-"$F;@!.K5"</f>
        <v>#VALUE!</v>
      </c>
      <c r="FK229" t="e">
        <f>'All regions'!4391:4391-"$F;@!.K6"</f>
        <v>#VALUE!</v>
      </c>
      <c r="FL229" t="e">
        <f>'All regions'!4392:4392-"$F;@!.K7"</f>
        <v>#VALUE!</v>
      </c>
      <c r="FM229" t="e">
        <f>'All regions'!4393:4393-"$F;@!.K8"</f>
        <v>#VALUE!</v>
      </c>
      <c r="FN229" t="e">
        <f>'All regions'!4394:4394-"$F;@!.K9"</f>
        <v>#VALUE!</v>
      </c>
      <c r="FO229" t="e">
        <f>'All regions'!4395:4395-"$F;@!.K:"</f>
        <v>#VALUE!</v>
      </c>
      <c r="FP229" t="e">
        <f>'All regions'!4396:4396-"$F;@!.K;"</f>
        <v>#VALUE!</v>
      </c>
      <c r="FQ229" t="e">
        <f>'All regions'!4397:4397-"$F;@!.K&lt;"</f>
        <v>#VALUE!</v>
      </c>
      <c r="FR229" t="e">
        <f>'All regions'!4398:4398-"$F;@!.K="</f>
        <v>#VALUE!</v>
      </c>
      <c r="FS229" t="e">
        <f>'All regions'!4399:4399-"$F;@!.K&gt;"</f>
        <v>#VALUE!</v>
      </c>
      <c r="FT229" t="e">
        <f>'All regions'!4400:4400-"$F;@!.K?"</f>
        <v>#VALUE!</v>
      </c>
      <c r="FU229" t="e">
        <f>'All regions'!4401:4401-"$F;@!.K@"</f>
        <v>#VALUE!</v>
      </c>
      <c r="FV229" t="e">
        <f>'All regions'!4402:4402-"$F;@!.KA"</f>
        <v>#VALUE!</v>
      </c>
      <c r="FW229" t="e">
        <f>'All regions'!4403:4403-"$F;@!.KB"</f>
        <v>#VALUE!</v>
      </c>
      <c r="FX229" t="e">
        <f>'All regions'!4404:4404-"$F;@!.KC"</f>
        <v>#VALUE!</v>
      </c>
      <c r="FY229" t="e">
        <f>'All regions'!4405:4405-"$F;@!.KD"</f>
        <v>#VALUE!</v>
      </c>
      <c r="FZ229" t="e">
        <f>'All regions'!4406:4406-"$F;@!.KE"</f>
        <v>#VALUE!</v>
      </c>
      <c r="GA229" t="e">
        <f>'All regions'!4407:4407-"$F;@!.KF"</f>
        <v>#VALUE!</v>
      </c>
      <c r="GB229" t="e">
        <f>'All regions'!4408:4408-"$F;@!.KG"</f>
        <v>#VALUE!</v>
      </c>
      <c r="GC229" t="e">
        <f>'All regions'!4409:4409-"$F;@!.KH"</f>
        <v>#VALUE!</v>
      </c>
      <c r="GD229" t="e">
        <f>'All regions'!4410:4410-"$F;@!.KI"</f>
        <v>#VALUE!</v>
      </c>
      <c r="GE229" t="e">
        <f>'All regions'!4411:4411-"$F;@!.KJ"</f>
        <v>#VALUE!</v>
      </c>
      <c r="GF229" t="e">
        <f>'All regions'!4412:4412-"$F;@!.KK"</f>
        <v>#VALUE!</v>
      </c>
      <c r="GG229" t="e">
        <f>'All regions'!4413:4413-"$F;@!.KL"</f>
        <v>#VALUE!</v>
      </c>
      <c r="GH229" t="e">
        <f>'All regions'!4414:4414-"$F;@!.KM"</f>
        <v>#VALUE!</v>
      </c>
      <c r="GI229" t="e">
        <f>'All regions'!4415:4415-"$F;@!.KN"</f>
        <v>#VALUE!</v>
      </c>
      <c r="GJ229" t="e">
        <f>'All regions'!4416:4416-"$F;@!.KO"</f>
        <v>#VALUE!</v>
      </c>
      <c r="GK229" t="e">
        <f>'All regions'!4417:4417-"$F;@!.KP"</f>
        <v>#VALUE!</v>
      </c>
      <c r="GL229" t="e">
        <f>'All regions'!4418:4418-"$F;@!.KQ"</f>
        <v>#VALUE!</v>
      </c>
      <c r="GM229" t="e">
        <f>'All regions'!4419:4419-"$F;@!.KR"</f>
        <v>#VALUE!</v>
      </c>
      <c r="GN229" t="e">
        <f>'All regions'!4420:4420-"$F;@!.KS"</f>
        <v>#VALUE!</v>
      </c>
      <c r="GO229" t="e">
        <f>'All regions'!4421:4421-"$F;@!.KT"</f>
        <v>#VALUE!</v>
      </c>
      <c r="GP229" t="e">
        <f>'All regions'!4422:4422-"$F;@!.KU"</f>
        <v>#VALUE!</v>
      </c>
      <c r="GQ229" t="e">
        <f>'All regions'!4423:4423-"$F;@!.KV"</f>
        <v>#VALUE!</v>
      </c>
      <c r="GR229" t="e">
        <f>'All regions'!4424:4424-"$F;@!.KW"</f>
        <v>#VALUE!</v>
      </c>
      <c r="GS229" t="e">
        <f>'All regions'!4425:4425-"$F;@!.KX"</f>
        <v>#VALUE!</v>
      </c>
      <c r="GT229" t="e">
        <f>'All regions'!4426:4426-"$F;@!.KY"</f>
        <v>#VALUE!</v>
      </c>
      <c r="GU229" t="e">
        <f>'All regions'!4427:4427-"$F;@!.KZ"</f>
        <v>#VALUE!</v>
      </c>
      <c r="GV229" t="e">
        <f>'All regions'!4428:4428-"$F;@!.K["</f>
        <v>#VALUE!</v>
      </c>
      <c r="GW229" t="e">
        <f>'All regions'!4429:4429-"$F;@!.K\"</f>
        <v>#VALUE!</v>
      </c>
      <c r="GX229" t="e">
        <f>'All regions'!4430:4430-"$F;@!.K]"</f>
        <v>#VALUE!</v>
      </c>
      <c r="GY229" t="e">
        <f>'All regions'!4431:4431-"$F;@!.K^"</f>
        <v>#VALUE!</v>
      </c>
      <c r="GZ229" t="e">
        <f>'All regions'!4432:4432-"$F;@!.K_"</f>
        <v>#VALUE!</v>
      </c>
      <c r="HA229" t="e">
        <f>'All regions'!4433:4433-"$F;@!.K`"</f>
        <v>#VALUE!</v>
      </c>
      <c r="HB229" t="e">
        <f>'All regions'!4434:4434-"$F;@!.Ka"</f>
        <v>#VALUE!</v>
      </c>
      <c r="HC229" t="e">
        <f>'All regions'!4435:4435-"$F;@!.Kb"</f>
        <v>#VALUE!</v>
      </c>
      <c r="HD229" t="e">
        <f>'All regions'!4436:4436-"$F;@!.Kc"</f>
        <v>#VALUE!</v>
      </c>
      <c r="HE229" t="e">
        <f>'All regions'!4437:4437-"$F;@!.Kd"</f>
        <v>#VALUE!</v>
      </c>
      <c r="HF229" t="e">
        <f>'All regions'!4438:4438-"$F;@!.Ke"</f>
        <v>#VALUE!</v>
      </c>
      <c r="HG229" t="e">
        <f>'All regions'!4439:4439-"$F;@!.Kf"</f>
        <v>#VALUE!</v>
      </c>
      <c r="HH229" t="e">
        <f>'All regions'!4440:4440-"$F;@!.Kg"</f>
        <v>#VALUE!</v>
      </c>
      <c r="HI229" t="e">
        <f>'All regions'!4441:4441-"$F;@!.Kh"</f>
        <v>#VALUE!</v>
      </c>
      <c r="HJ229" t="e">
        <f>'All regions'!4442:4442-"$F;@!.Ki"</f>
        <v>#VALUE!</v>
      </c>
      <c r="HK229" t="e">
        <f>'All regions'!4443:4443-"$F;@!.Kj"</f>
        <v>#VALUE!</v>
      </c>
      <c r="HL229" t="e">
        <f>'All regions'!4444:4444-"$F;@!.Kk"</f>
        <v>#VALUE!</v>
      </c>
      <c r="HM229" t="e">
        <f>'All regions'!4445:4445-"$F;@!.Kl"</f>
        <v>#VALUE!</v>
      </c>
      <c r="HN229" t="e">
        <f>'All regions'!4446:4446-"$F;@!.Km"</f>
        <v>#VALUE!</v>
      </c>
      <c r="HO229" t="e">
        <f>'All regions'!4447:4447-"$F;@!.Kn"</f>
        <v>#VALUE!</v>
      </c>
      <c r="HP229" t="e">
        <f>'All regions'!4448:4448-"$F;@!.Ko"</f>
        <v>#VALUE!</v>
      </c>
      <c r="HQ229" t="e">
        <f>'All regions'!4449:4449-"$F;@!.Kp"</f>
        <v>#VALUE!</v>
      </c>
      <c r="HR229" t="e">
        <f>'All regions'!4450:4450-"$F;@!.Kq"</f>
        <v>#VALUE!</v>
      </c>
      <c r="HS229" t="e">
        <f>'All regions'!4451:4451-"$F;@!.Kr"</f>
        <v>#VALUE!</v>
      </c>
      <c r="HT229" t="e">
        <f>'All regions'!4452:4452-"$F;@!.Ks"</f>
        <v>#VALUE!</v>
      </c>
      <c r="HU229" t="e">
        <f>'All regions'!4453:4453-"$F;@!.Kt"</f>
        <v>#VALUE!</v>
      </c>
      <c r="HV229" t="e">
        <f>'All regions'!4454:4454-"$F;@!.Ku"</f>
        <v>#VALUE!</v>
      </c>
      <c r="HW229" t="e">
        <f>'All regions'!4455:4455-"$F;@!.Kv"</f>
        <v>#VALUE!</v>
      </c>
      <c r="HX229" t="e">
        <f>'All regions'!4456:4456-"$F;@!.Kw"</f>
        <v>#VALUE!</v>
      </c>
      <c r="HY229" t="e">
        <f>'All regions'!4457:4457-"$F;@!.Kx"</f>
        <v>#VALUE!</v>
      </c>
      <c r="HZ229" t="e">
        <f>'All regions'!4458:4458-"$F;@!.Ky"</f>
        <v>#VALUE!</v>
      </c>
      <c r="IA229" t="e">
        <f>'All regions'!4459:4459-"$F;@!.Kz"</f>
        <v>#VALUE!</v>
      </c>
      <c r="IB229" t="e">
        <f>'All regions'!4460:4460-"$F;@!.K{"</f>
        <v>#VALUE!</v>
      </c>
      <c r="IC229" t="e">
        <f>'All regions'!4461:4461-"$F;@!.K|"</f>
        <v>#VALUE!</v>
      </c>
      <c r="ID229" t="e">
        <f>'All regions'!4462:4462-"$F;@!.K}"</f>
        <v>#VALUE!</v>
      </c>
      <c r="IE229" t="e">
        <f>'All regions'!4463:4463-"$F;@!.K~"</f>
        <v>#VALUE!</v>
      </c>
      <c r="IF229" t="e">
        <f>'All regions'!4464:4464-"$F;@!.L#"</f>
        <v>#VALUE!</v>
      </c>
      <c r="IG229" t="e">
        <f>'All regions'!4465:4465-"$F;@!.L$"</f>
        <v>#VALUE!</v>
      </c>
      <c r="IH229" t="e">
        <f>'All regions'!4466:4466-"$F;@!.L%"</f>
        <v>#VALUE!</v>
      </c>
      <c r="II229" t="e">
        <f>'All regions'!4467:4467-"$F;@!.L&amp;"</f>
        <v>#VALUE!</v>
      </c>
      <c r="IJ229" t="e">
        <f>'All regions'!4468:4468-"$F;@!.L'"</f>
        <v>#VALUE!</v>
      </c>
      <c r="IK229" t="e">
        <f>'All regions'!4469:4469-"$F;@!.L("</f>
        <v>#VALUE!</v>
      </c>
      <c r="IL229" t="e">
        <f>'All regions'!4470:4470-"$F;@!.L)"</f>
        <v>#VALUE!</v>
      </c>
      <c r="IM229" t="e">
        <f>'All regions'!4471:4471-"$F;@!.L."</f>
        <v>#VALUE!</v>
      </c>
      <c r="IN229" t="e">
        <f>'All regions'!4472:4472-"$F;@!.L/"</f>
        <v>#VALUE!</v>
      </c>
      <c r="IO229" t="e">
        <f>'All regions'!4473:4473-"$F;@!.L0"</f>
        <v>#VALUE!</v>
      </c>
      <c r="IP229" t="e">
        <f>'All regions'!4474:4474-"$F;@!.L1"</f>
        <v>#VALUE!</v>
      </c>
      <c r="IQ229" t="e">
        <f>'All regions'!4475:4475-"$F;@!.L2"</f>
        <v>#VALUE!</v>
      </c>
      <c r="IR229" t="e">
        <f>'All regions'!4476:4476-"$F;@!.L3"</f>
        <v>#VALUE!</v>
      </c>
      <c r="IS229" t="e">
        <f>'All regions'!4477:4477-"$F;@!.L4"</f>
        <v>#VALUE!</v>
      </c>
      <c r="IT229" t="e">
        <f>'All regions'!4478:4478-"$F;@!.L5"</f>
        <v>#VALUE!</v>
      </c>
      <c r="IU229" t="e">
        <f>'All regions'!4479:4479-"$F;@!.L6"</f>
        <v>#VALUE!</v>
      </c>
      <c r="IV229" t="e">
        <f>'All regions'!4480:4480-"$F;@!.L7"</f>
        <v>#VALUE!</v>
      </c>
    </row>
    <row r="230" spans="6:256" x14ac:dyDescent="0.35">
      <c r="F230" t="e">
        <f>'All regions'!4481:4481-"$F;@!.L8"</f>
        <v>#VALUE!</v>
      </c>
      <c r="G230" t="e">
        <f>'All regions'!4482:4482-"$F;@!.L9"</f>
        <v>#VALUE!</v>
      </c>
      <c r="H230" t="e">
        <f>'All regions'!4483:4483-"$F;@!.L:"</f>
        <v>#VALUE!</v>
      </c>
      <c r="I230" t="e">
        <f>'All regions'!4484:4484-"$F;@!.L;"</f>
        <v>#VALUE!</v>
      </c>
      <c r="J230" t="e">
        <f>'All regions'!4485:4485-"$F;@!.L&lt;"</f>
        <v>#VALUE!</v>
      </c>
      <c r="K230" t="e">
        <f>'All regions'!4486:4486-"$F;@!.L="</f>
        <v>#VALUE!</v>
      </c>
      <c r="L230" t="e">
        <f>'All regions'!4487:4487-"$F;@!.L&gt;"</f>
        <v>#VALUE!</v>
      </c>
      <c r="M230" t="e">
        <f>'All regions'!4488:4488-"$F;@!.L?"</f>
        <v>#VALUE!</v>
      </c>
      <c r="N230" t="e">
        <f>'All regions'!4489:4489-"$F;@!.L@"</f>
        <v>#VALUE!</v>
      </c>
      <c r="O230" t="e">
        <f>'All regions'!4490:4490-"$F;@!.LA"</f>
        <v>#VALUE!</v>
      </c>
      <c r="P230" t="e">
        <f>'All regions'!4491:4491-"$F;@!.LB"</f>
        <v>#VALUE!</v>
      </c>
      <c r="Q230" t="e">
        <f>'All regions'!4492:4492-"$F;@!.LC"</f>
        <v>#VALUE!</v>
      </c>
      <c r="R230" t="e">
        <f>'All regions'!4493:4493-"$F;@!.LD"</f>
        <v>#VALUE!</v>
      </c>
      <c r="S230" t="e">
        <f>'All regions'!4494:4494-"$F;@!.LE"</f>
        <v>#VALUE!</v>
      </c>
      <c r="T230" t="e">
        <f>'All regions'!4495:4495-"$F;@!.LF"</f>
        <v>#VALUE!</v>
      </c>
      <c r="U230" t="e">
        <f>'All regions'!4496:4496-"$F;@!.LG"</f>
        <v>#VALUE!</v>
      </c>
      <c r="V230" t="e">
        <f>'All regions'!4497:4497-"$F;@!.LH"</f>
        <v>#VALUE!</v>
      </c>
      <c r="W230" t="e">
        <f>'All regions'!4498:4498-"$F;@!.LI"</f>
        <v>#VALUE!</v>
      </c>
      <c r="X230" t="e">
        <f>'All regions'!4499:4499-"$F;@!.LJ"</f>
        <v>#VALUE!</v>
      </c>
      <c r="Y230" t="e">
        <f>'All regions'!4500:4500-"$F;@!.LK"</f>
        <v>#VALUE!</v>
      </c>
      <c r="Z230" t="e">
        <f>'All regions'!4501:4501-"$F;@!.LL"</f>
        <v>#VALUE!</v>
      </c>
      <c r="AA230" t="e">
        <f>'All regions'!4502:4502-"$F;@!.LM"</f>
        <v>#VALUE!</v>
      </c>
      <c r="AB230" t="e">
        <f>'All regions'!4503:4503-"$F;@!.LN"</f>
        <v>#VALUE!</v>
      </c>
      <c r="AC230" t="e">
        <f>'All regions'!4504:4504-"$F;@!.LO"</f>
        <v>#VALUE!</v>
      </c>
      <c r="AD230" t="e">
        <f>'All regions'!4505:4505-"$F;@!.LP"</f>
        <v>#VALUE!</v>
      </c>
      <c r="AE230" t="e">
        <f>'All regions'!4506:4506-"$F;@!.LQ"</f>
        <v>#VALUE!</v>
      </c>
      <c r="AF230" t="e">
        <f>'All regions'!4507:4507-"$F;@!.LR"</f>
        <v>#VALUE!</v>
      </c>
      <c r="AG230" t="e">
        <f>'All regions'!4508:4508-"$F;@!.LS"</f>
        <v>#VALUE!</v>
      </c>
      <c r="AH230" t="e">
        <f>'All regions'!4509:4509-"$F;@!.LT"</f>
        <v>#VALUE!</v>
      </c>
      <c r="AI230" t="e">
        <f>'All regions'!4510:4510-"$F;@!.LU"</f>
        <v>#VALUE!</v>
      </c>
      <c r="AJ230" t="e">
        <f>'All regions'!4511:4511-"$F;@!.LV"</f>
        <v>#VALUE!</v>
      </c>
      <c r="AK230" t="e">
        <f>'All regions'!4512:4512-"$F;@!.LW"</f>
        <v>#VALUE!</v>
      </c>
      <c r="AL230" t="e">
        <f>'All regions'!4513:4513-"$F;@!.LX"</f>
        <v>#VALUE!</v>
      </c>
      <c r="AM230" t="e">
        <f>'All regions'!4514:4514-"$F;@!.LY"</f>
        <v>#VALUE!</v>
      </c>
      <c r="AN230" t="e">
        <f>'All regions'!4515:4515-"$F;@!.LZ"</f>
        <v>#VALUE!</v>
      </c>
      <c r="AO230" t="e">
        <f>'All regions'!4516:4516-"$F;@!.L["</f>
        <v>#VALUE!</v>
      </c>
      <c r="AP230" t="e">
        <f>'All regions'!4517:4517-"$F;@!.L\"</f>
        <v>#VALUE!</v>
      </c>
      <c r="AQ230" t="e">
        <f>'All regions'!4518:4518-"$F;@!.L]"</f>
        <v>#VALUE!</v>
      </c>
      <c r="AR230" t="e">
        <f>'All regions'!4519:4519-"$F;@!.L^"</f>
        <v>#VALUE!</v>
      </c>
      <c r="AS230" t="e">
        <f>'All regions'!4520:4520-"$F;@!.L_"</f>
        <v>#VALUE!</v>
      </c>
      <c r="AT230" t="e">
        <f>'All regions'!4521:4521-"$F;@!.L`"</f>
        <v>#VALUE!</v>
      </c>
      <c r="AU230" t="e">
        <f>'All regions'!4522:4522-"$F;@!.La"</f>
        <v>#VALUE!</v>
      </c>
      <c r="AV230" t="e">
        <f>'All regions'!4523:4523-"$F;@!.Lb"</f>
        <v>#VALUE!</v>
      </c>
      <c r="AW230" t="e">
        <f>'All regions'!4524:4524-"$F;@!.Lc"</f>
        <v>#VALUE!</v>
      </c>
      <c r="AX230" t="e">
        <f>'All regions'!4525:4525-"$F;@!.Ld"</f>
        <v>#VALUE!</v>
      </c>
      <c r="AY230" t="e">
        <f>'All regions'!4526:4526-"$F;@!.Le"</f>
        <v>#VALUE!</v>
      </c>
      <c r="AZ230" t="e">
        <f>'All regions'!4527:4527-"$F;@!.Lf"</f>
        <v>#VALUE!</v>
      </c>
      <c r="BA230" t="e">
        <f>'All regions'!4528:4528-"$F;@!.Lg"</f>
        <v>#VALUE!</v>
      </c>
      <c r="BB230" t="e">
        <f>'All regions'!4529:4529-"$F;@!.Lh"</f>
        <v>#VALUE!</v>
      </c>
      <c r="BC230" t="e">
        <f>'All regions'!4530:4530-"$F;@!.Li"</f>
        <v>#VALUE!</v>
      </c>
      <c r="BD230" t="e">
        <f>'All regions'!4531:4531-"$F;@!.Lj"</f>
        <v>#VALUE!</v>
      </c>
      <c r="BE230" t="e">
        <f>'All regions'!4532:4532-"$F;@!.Lk"</f>
        <v>#VALUE!</v>
      </c>
      <c r="BF230" t="e">
        <f>'All regions'!4533:4533-"$F;@!.Ll"</f>
        <v>#VALUE!</v>
      </c>
      <c r="BG230" t="e">
        <f>'All regions'!4534:4534-"$F;@!.Lm"</f>
        <v>#VALUE!</v>
      </c>
      <c r="BH230" t="e">
        <f>'All regions'!4535:4535-"$F;@!.Ln"</f>
        <v>#VALUE!</v>
      </c>
      <c r="BI230" t="e">
        <f>'All regions'!4536:4536-"$F;@!.Lo"</f>
        <v>#VALUE!</v>
      </c>
      <c r="BJ230" t="e">
        <f>'All regions'!4537:4537-"$F;@!.Lp"</f>
        <v>#VALUE!</v>
      </c>
      <c r="BK230" t="e">
        <f>'All regions'!4538:4538-"$F;@!.Lq"</f>
        <v>#VALUE!</v>
      </c>
      <c r="BL230" t="e">
        <f>'All regions'!4539:4539-"$F;@!.Lr"</f>
        <v>#VALUE!</v>
      </c>
      <c r="BM230" t="e">
        <f>'All regions'!4540:4540-"$F;@!.Ls"</f>
        <v>#VALUE!</v>
      </c>
      <c r="BN230" t="e">
        <f>'All regions'!4541:4541-"$F;@!.Lt"</f>
        <v>#VALUE!</v>
      </c>
      <c r="BO230" t="e">
        <f>'All regions'!4542:4542-"$F;@!.Lu"</f>
        <v>#VALUE!</v>
      </c>
      <c r="BP230" t="e">
        <f>'All regions'!4543:4543-"$F;@!.Lv"</f>
        <v>#VALUE!</v>
      </c>
      <c r="BQ230" t="e">
        <f>'All regions'!4544:4544-"$F;@!.Lw"</f>
        <v>#VALUE!</v>
      </c>
      <c r="BR230" t="e">
        <f>'All regions'!4545:4545-"$F;@!.Lx"</f>
        <v>#VALUE!</v>
      </c>
      <c r="BS230" t="e">
        <f>'All regions'!4546:4546-"$F;@!.Ly"</f>
        <v>#VALUE!</v>
      </c>
      <c r="BT230" t="e">
        <f>'All regions'!4547:4547-"$F;@!.Lz"</f>
        <v>#VALUE!</v>
      </c>
      <c r="BU230" t="e">
        <f>'All regions'!4548:4548-"$F;@!.L{"</f>
        <v>#VALUE!</v>
      </c>
      <c r="BV230" t="e">
        <f>'All regions'!4549:4549-"$F;@!.L|"</f>
        <v>#VALUE!</v>
      </c>
      <c r="BW230" t="e">
        <f>'All regions'!4550:4550-"$F;@!.L}"</f>
        <v>#VALUE!</v>
      </c>
      <c r="BX230" t="e">
        <f>'All regions'!4551:4551-"$F;@!.L~"</f>
        <v>#VALUE!</v>
      </c>
      <c r="BY230" t="e">
        <f>'All regions'!4552:4552-"$F;@!.M#"</f>
        <v>#VALUE!</v>
      </c>
      <c r="BZ230" t="e">
        <f>'All regions'!4553:4553-"$F;@!.M$"</f>
        <v>#VALUE!</v>
      </c>
      <c r="CA230" t="e">
        <f>'All regions'!4554:4554-"$F;@!.M%"</f>
        <v>#VALUE!</v>
      </c>
      <c r="CB230" t="e">
        <f>'All regions'!4555:4555-"$F;@!.M&amp;"</f>
        <v>#VALUE!</v>
      </c>
      <c r="CC230" t="e">
        <f>'All regions'!4556:4556-"$F;@!.M'"</f>
        <v>#VALUE!</v>
      </c>
      <c r="CD230" t="e">
        <f>'All regions'!4557:4557-"$F;@!.M("</f>
        <v>#VALUE!</v>
      </c>
      <c r="CE230" t="e">
        <f>'All regions'!4558:4558-"$F;@!.M)"</f>
        <v>#VALUE!</v>
      </c>
      <c r="CF230" t="e">
        <f>'All regions'!4559:4559-"$F;@!.M."</f>
        <v>#VALUE!</v>
      </c>
      <c r="CG230" t="e">
        <f>'All regions'!4560:4560-"$F;@!.M/"</f>
        <v>#VALUE!</v>
      </c>
      <c r="CH230" t="e">
        <f>'All regions'!4561:4561-"$F;@!.M0"</f>
        <v>#VALUE!</v>
      </c>
      <c r="CI230" t="e">
        <f>'All regions'!4562:4562-"$F;@!.M1"</f>
        <v>#VALUE!</v>
      </c>
      <c r="CJ230" t="e">
        <f>'All regions'!4563:4563-"$F;@!.M2"</f>
        <v>#VALUE!</v>
      </c>
      <c r="CK230" t="e">
        <f>'All regions'!4564:4564-"$F;@!.M3"</f>
        <v>#VALUE!</v>
      </c>
      <c r="CL230" t="e">
        <f>'All regions'!4565:4565-"$F;@!.M4"</f>
        <v>#VALUE!</v>
      </c>
      <c r="CM230" t="e">
        <f>'All regions'!4566:4566-"$F;@!.M5"</f>
        <v>#VALUE!</v>
      </c>
      <c r="CN230" t="e">
        <f>'All regions'!4567:4567-"$F;@!.M6"</f>
        <v>#VALUE!</v>
      </c>
      <c r="CO230" t="e">
        <f>'All regions'!4568:4568-"$F;@!.M7"</f>
        <v>#VALUE!</v>
      </c>
      <c r="CP230" t="e">
        <f>'All regions'!4569:4569-"$F;@!.M8"</f>
        <v>#VALUE!</v>
      </c>
      <c r="CQ230" t="e">
        <f>'All regions'!4570:4570-"$F;@!.M9"</f>
        <v>#VALUE!</v>
      </c>
      <c r="CR230" t="e">
        <f>'All regions'!4571:4571-"$F;@!.M:"</f>
        <v>#VALUE!</v>
      </c>
      <c r="CS230" t="e">
        <f>'All regions'!4572:4572-"$F;@!.M;"</f>
        <v>#VALUE!</v>
      </c>
      <c r="CT230" t="e">
        <f>'All regions'!4573:4573-"$F;@!.M&lt;"</f>
        <v>#VALUE!</v>
      </c>
      <c r="CU230" t="e">
        <f>'All regions'!4574:4574-"$F;@!.M="</f>
        <v>#VALUE!</v>
      </c>
      <c r="CV230" t="e">
        <f>'All regions'!4575:4575-"$F;@!.M&gt;"</f>
        <v>#VALUE!</v>
      </c>
      <c r="CW230" t="e">
        <f>'All regions'!4576:4576-"$F;@!.M?"</f>
        <v>#VALUE!</v>
      </c>
      <c r="CX230" t="e">
        <f>'All regions'!4577:4577-"$F;@!.M@"</f>
        <v>#VALUE!</v>
      </c>
      <c r="CY230" t="e">
        <f>'All regions'!4578:4578-"$F;@!.MA"</f>
        <v>#VALUE!</v>
      </c>
      <c r="CZ230" t="e">
        <f>'All regions'!4579:4579-"$F;@!.MB"</f>
        <v>#VALUE!</v>
      </c>
      <c r="DA230" t="e">
        <f>'All regions'!4580:4580-"$F;@!.MC"</f>
        <v>#VALUE!</v>
      </c>
      <c r="DB230" t="e">
        <f>'All regions'!4581:4581-"$F;@!.MD"</f>
        <v>#VALUE!</v>
      </c>
      <c r="DC230" t="e">
        <f>'All regions'!4582:4582-"$F;@!.ME"</f>
        <v>#VALUE!</v>
      </c>
      <c r="DD230" t="e">
        <f>'All regions'!4583:4583-"$F;@!.MF"</f>
        <v>#VALUE!</v>
      </c>
      <c r="DE230" t="e">
        <f>'All regions'!4584:4584-"$F;@!.MG"</f>
        <v>#VALUE!</v>
      </c>
      <c r="DF230" t="e">
        <f>'All regions'!4585:4585-"$F;@!.MH"</f>
        <v>#VALUE!</v>
      </c>
      <c r="DG230" t="e">
        <f>'All regions'!4586:4586-"$F;@!.MI"</f>
        <v>#VALUE!</v>
      </c>
      <c r="DH230" t="e">
        <f>'All regions'!4587:4587-"$F;@!.MJ"</f>
        <v>#VALUE!</v>
      </c>
      <c r="DI230" t="e">
        <f>'All regions'!4588:4588-"$F;@!.MK"</f>
        <v>#VALUE!</v>
      </c>
      <c r="DJ230" t="e">
        <f>'All regions'!4589:4589-"$F;@!.ML"</f>
        <v>#VALUE!</v>
      </c>
      <c r="DK230" t="e">
        <f>'All regions'!4590:4590-"$F;@!.MM"</f>
        <v>#VALUE!</v>
      </c>
      <c r="DL230" t="e">
        <f>'All regions'!4591:4591-"$F;@!.MN"</f>
        <v>#VALUE!</v>
      </c>
      <c r="DM230" t="e">
        <f>'All regions'!4592:4592-"$F;@!.MO"</f>
        <v>#VALUE!</v>
      </c>
      <c r="DN230" t="e">
        <f>'All regions'!4593:4593-"$F;@!.MP"</f>
        <v>#VALUE!</v>
      </c>
      <c r="DO230" t="e">
        <f>'All regions'!4594:4594-"$F;@!.MQ"</f>
        <v>#VALUE!</v>
      </c>
      <c r="DP230" t="e">
        <f>'All regions'!4595:4595-"$F;@!.MR"</f>
        <v>#VALUE!</v>
      </c>
      <c r="DQ230" t="e">
        <f>'All regions'!4596:4596-"$F;@!.MS"</f>
        <v>#VALUE!</v>
      </c>
      <c r="DR230" t="e">
        <f>'All regions'!4597:4597-"$F;@!.MT"</f>
        <v>#VALUE!</v>
      </c>
      <c r="DS230" t="e">
        <f>'All regions'!4598:4598-"$F;@!.MU"</f>
        <v>#VALUE!</v>
      </c>
      <c r="DT230" t="e">
        <f>'All regions'!4599:4599-"$F;@!.MV"</f>
        <v>#VALUE!</v>
      </c>
      <c r="DU230" t="e">
        <f>'All regions'!4600:4600-"$F;@!.MW"</f>
        <v>#VALUE!</v>
      </c>
      <c r="DV230" t="e">
        <f>'All regions'!4601:4601-"$F;@!.MX"</f>
        <v>#VALUE!</v>
      </c>
      <c r="DW230" t="e">
        <f>'All regions'!4602:4602-"$F;@!.MY"</f>
        <v>#VALUE!</v>
      </c>
      <c r="DX230" t="e">
        <f>'All regions'!4603:4603-"$F;@!.MZ"</f>
        <v>#VALUE!</v>
      </c>
      <c r="DY230" t="e">
        <f>'All regions'!4604:4604-"$F;@!.M["</f>
        <v>#VALUE!</v>
      </c>
      <c r="DZ230" t="e">
        <f>'All regions'!4605:4605-"$F;@!.M\"</f>
        <v>#VALUE!</v>
      </c>
      <c r="EA230" t="e">
        <f>'All regions'!4606:4606-"$F;@!.M]"</f>
        <v>#VALUE!</v>
      </c>
      <c r="EB230" t="e">
        <f>'All regions'!4607:4607-"$F;@!.M^"</f>
        <v>#VALUE!</v>
      </c>
      <c r="EC230" t="e">
        <f>'All regions'!4608:4608-"$F;@!.M_"</f>
        <v>#VALUE!</v>
      </c>
      <c r="ED230" t="e">
        <f>'All regions'!4609:4609-"$F;@!.M`"</f>
        <v>#VALUE!</v>
      </c>
      <c r="EE230" t="e">
        <f>'All regions'!4610:4610-"$F;@!.Ma"</f>
        <v>#VALUE!</v>
      </c>
      <c r="EF230" t="e">
        <f>'All regions'!4611:4611-"$F;@!.Mb"</f>
        <v>#VALUE!</v>
      </c>
      <c r="EG230" t="e">
        <f>'All regions'!4612:4612-"$F;@!.Mc"</f>
        <v>#VALUE!</v>
      </c>
      <c r="EH230" t="e">
        <f>'All regions'!4613:4613-"$F;@!.Md"</f>
        <v>#VALUE!</v>
      </c>
      <c r="EI230" t="e">
        <f>'All regions'!4614:4614-"$F;@!.Me"</f>
        <v>#VALUE!</v>
      </c>
      <c r="EJ230" t="e">
        <f>'All regions'!4615:4615-"$F;@!.Mf"</f>
        <v>#VALUE!</v>
      </c>
      <c r="EK230" t="e">
        <f>'All regions'!4616:4616-"$F;@!.Mg"</f>
        <v>#VALUE!</v>
      </c>
      <c r="EL230" t="e">
        <f>'All regions'!4617:4617-"$F;@!.Mh"</f>
        <v>#VALUE!</v>
      </c>
      <c r="EM230" t="e">
        <f>'All regions'!4618:4618-"$F;@!.Mi"</f>
        <v>#VALUE!</v>
      </c>
      <c r="EN230" t="e">
        <f>'All regions'!4619:4619-"$F;@!.Mj"</f>
        <v>#VALUE!</v>
      </c>
      <c r="EO230" t="e">
        <f>'All regions'!4620:4620-"$F;@!.Mk"</f>
        <v>#VALUE!</v>
      </c>
      <c r="EP230" t="e">
        <f>'All regions'!4621:4621-"$F;@!.Ml"</f>
        <v>#VALUE!</v>
      </c>
      <c r="EQ230" t="e">
        <f>'All regions'!4622:4622-"$F;@!.Mm"</f>
        <v>#VALUE!</v>
      </c>
      <c r="ER230" t="e">
        <f>'All regions'!4623:4623-"$F;@!.Mn"</f>
        <v>#VALUE!</v>
      </c>
      <c r="ES230" t="e">
        <f>'All regions'!4624:4624-"$F;@!.Mo"</f>
        <v>#VALUE!</v>
      </c>
      <c r="ET230" t="e">
        <f>'All regions'!4625:4625-"$F;@!.Mp"</f>
        <v>#VALUE!</v>
      </c>
      <c r="EU230" t="e">
        <f>'All regions'!4626:4626-"$F;@!.Mq"</f>
        <v>#VALUE!</v>
      </c>
      <c r="EV230" t="e">
        <f>'All regions'!4627:4627-"$F;@!.Mr"</f>
        <v>#VALUE!</v>
      </c>
      <c r="EW230" t="e">
        <f>'All regions'!4628:4628-"$F;@!.Ms"</f>
        <v>#VALUE!</v>
      </c>
      <c r="EX230" t="e">
        <f>'All regions'!4629:4629-"$F;@!.Mt"</f>
        <v>#VALUE!</v>
      </c>
      <c r="EY230" t="e">
        <f>'All regions'!4630:4630-"$F;@!.Mu"</f>
        <v>#VALUE!</v>
      </c>
      <c r="EZ230" t="e">
        <f>'All regions'!4631:4631-"$F;@!.Mv"</f>
        <v>#VALUE!</v>
      </c>
      <c r="FA230" t="e">
        <f>'All regions'!4632:4632-"$F;@!.Mw"</f>
        <v>#VALUE!</v>
      </c>
      <c r="FB230" t="e">
        <f>'All regions'!4633:4633-"$F;@!.Mx"</f>
        <v>#VALUE!</v>
      </c>
      <c r="FC230" t="e">
        <f>'All regions'!4634:4634-"$F;@!.My"</f>
        <v>#VALUE!</v>
      </c>
      <c r="FD230" t="e">
        <f>'All regions'!4635:4635-"$F;@!.Mz"</f>
        <v>#VALUE!</v>
      </c>
      <c r="FE230" t="e">
        <f>'All regions'!4636:4636-"$F;@!.M{"</f>
        <v>#VALUE!</v>
      </c>
      <c r="FF230" t="e">
        <f>'All regions'!4637:4637-"$F;@!.M|"</f>
        <v>#VALUE!</v>
      </c>
      <c r="FG230" t="e">
        <f>'All regions'!4638:4638-"$F;@!.M}"</f>
        <v>#VALUE!</v>
      </c>
      <c r="FH230" t="e">
        <f>'All regions'!4639:4639-"$F;@!.M~"</f>
        <v>#VALUE!</v>
      </c>
      <c r="FI230" t="e">
        <f>'All regions'!4640:4640-"$F;@!.N#"</f>
        <v>#VALUE!</v>
      </c>
      <c r="FJ230" t="e">
        <f>'All regions'!4641:4641-"$F;@!.N$"</f>
        <v>#VALUE!</v>
      </c>
      <c r="FK230" t="e">
        <f>'All regions'!4642:4642-"$F;@!.N%"</f>
        <v>#VALUE!</v>
      </c>
      <c r="FL230" t="e">
        <f>'All regions'!4643:4643-"$F;@!.N&amp;"</f>
        <v>#VALUE!</v>
      </c>
      <c r="FM230" t="e">
        <f>'All regions'!4644:4644-"$F;@!.N'"</f>
        <v>#VALUE!</v>
      </c>
      <c r="FN230" t="e">
        <f>'All regions'!4645:4645-"$F;@!.N("</f>
        <v>#VALUE!</v>
      </c>
      <c r="FO230" t="e">
        <f>'All regions'!4646:4646-"$F;@!.N)"</f>
        <v>#VALUE!</v>
      </c>
      <c r="FP230" t="e">
        <f>'All regions'!4647:4647-"$F;@!.N."</f>
        <v>#VALUE!</v>
      </c>
      <c r="FQ230" t="e">
        <f>'All regions'!4648:4648-"$F;@!.N/"</f>
        <v>#VALUE!</v>
      </c>
      <c r="FR230" t="e">
        <f>'All regions'!4649:4649-"$F;@!.N0"</f>
        <v>#VALUE!</v>
      </c>
      <c r="FS230" t="e">
        <f>'All regions'!4650:4650-"$F;@!.N1"</f>
        <v>#VALUE!</v>
      </c>
      <c r="FT230" t="e">
        <f>'All regions'!4651:4651-"$F;@!.N2"</f>
        <v>#VALUE!</v>
      </c>
      <c r="FU230" t="e">
        <f>'All regions'!4652:4652-"$F;@!.N3"</f>
        <v>#VALUE!</v>
      </c>
      <c r="FV230" t="e">
        <f>'All regions'!4653:4653-"$F;@!.N4"</f>
        <v>#VALUE!</v>
      </c>
      <c r="FW230" t="e">
        <f>'All regions'!4654:4654-"$F;@!.N5"</f>
        <v>#VALUE!</v>
      </c>
      <c r="FX230" t="e">
        <f>'All regions'!4655:4655-"$F;@!.N6"</f>
        <v>#VALUE!</v>
      </c>
      <c r="FY230" t="e">
        <f>'All regions'!4656:4656-"$F;@!.N7"</f>
        <v>#VALUE!</v>
      </c>
      <c r="FZ230" t="e">
        <f>'All regions'!4657:4657-"$F;@!.N8"</f>
        <v>#VALUE!</v>
      </c>
      <c r="GA230" t="e">
        <f>'All regions'!4658:4658-"$F;@!.N9"</f>
        <v>#VALUE!</v>
      </c>
      <c r="GB230" t="e">
        <f>'All regions'!4659:4659-"$F;@!.N:"</f>
        <v>#VALUE!</v>
      </c>
      <c r="GC230" t="e">
        <f>'All regions'!4660:4660-"$F;@!.N;"</f>
        <v>#VALUE!</v>
      </c>
      <c r="GD230" t="e">
        <f>'All regions'!4661:4661-"$F;@!.N&lt;"</f>
        <v>#VALUE!</v>
      </c>
      <c r="GE230" t="e">
        <f>'All regions'!4662:4662-"$F;@!.N="</f>
        <v>#VALUE!</v>
      </c>
      <c r="GF230" t="e">
        <f>'All regions'!4663:4663-"$F;@!.N&gt;"</f>
        <v>#VALUE!</v>
      </c>
      <c r="GG230" t="e">
        <f>'All regions'!4664:4664-"$F;@!.N?"</f>
        <v>#VALUE!</v>
      </c>
      <c r="GH230" t="e">
        <f>'All regions'!4665:4665-"$F;@!.N@"</f>
        <v>#VALUE!</v>
      </c>
      <c r="GI230" t="e">
        <f>'All regions'!4666:4666-"$F;@!.NA"</f>
        <v>#VALUE!</v>
      </c>
      <c r="GJ230" t="e">
        <f>'All regions'!4667:4667-"$F;@!.NB"</f>
        <v>#VALUE!</v>
      </c>
      <c r="GK230" t="e">
        <f>'All regions'!4668:4668-"$F;@!.NC"</f>
        <v>#VALUE!</v>
      </c>
      <c r="GL230" t="e">
        <f>'All regions'!4669:4669-"$F;@!.ND"</f>
        <v>#VALUE!</v>
      </c>
      <c r="GM230" t="e">
        <f>'All regions'!4670:4670-"$F;@!.NE"</f>
        <v>#VALUE!</v>
      </c>
      <c r="GN230" t="e">
        <f>'All regions'!4671:4671-"$F;@!.NF"</f>
        <v>#VALUE!</v>
      </c>
      <c r="GO230" t="e">
        <f>'All regions'!4672:4672-"$F;@!.NG"</f>
        <v>#VALUE!</v>
      </c>
      <c r="GP230" t="e">
        <f>'All regions'!4673:4673-"$F;@!.NH"</f>
        <v>#VALUE!</v>
      </c>
      <c r="GQ230" t="e">
        <f>'All regions'!4674:4674-"$F;@!.NI"</f>
        <v>#VALUE!</v>
      </c>
      <c r="GR230" t="e">
        <f>'All regions'!4675:4675-"$F;@!.NJ"</f>
        <v>#VALUE!</v>
      </c>
      <c r="GS230" t="e">
        <f>'All regions'!4676:4676-"$F;@!.NK"</f>
        <v>#VALUE!</v>
      </c>
      <c r="GT230" t="e">
        <f>'All regions'!4677:4677-"$F;@!.NL"</f>
        <v>#VALUE!</v>
      </c>
      <c r="GU230" t="e">
        <f>'All regions'!4678:4678-"$F;@!.NM"</f>
        <v>#VALUE!</v>
      </c>
      <c r="GV230" t="e">
        <f>'All regions'!4679:4679-"$F;@!.NN"</f>
        <v>#VALUE!</v>
      </c>
      <c r="GW230" t="e">
        <f>'All regions'!4680:4680-"$F;@!.NO"</f>
        <v>#VALUE!</v>
      </c>
      <c r="GX230" t="e">
        <f>'All regions'!4681:4681-"$F;@!.NP"</f>
        <v>#VALUE!</v>
      </c>
      <c r="GY230" t="e">
        <f>'All regions'!4682:4682-"$F;@!.NQ"</f>
        <v>#VALUE!</v>
      </c>
      <c r="GZ230" t="e">
        <f>'All regions'!4683:4683-"$F;@!.NR"</f>
        <v>#VALUE!</v>
      </c>
      <c r="HA230" t="e">
        <f>'All regions'!4684:4684-"$F;@!.NS"</f>
        <v>#VALUE!</v>
      </c>
      <c r="HB230" t="e">
        <f>'All regions'!4685:4685-"$F;@!.NT"</f>
        <v>#VALUE!</v>
      </c>
      <c r="HC230" t="e">
        <f>'All regions'!4686:4686-"$F;@!.NU"</f>
        <v>#VALUE!</v>
      </c>
      <c r="HD230" t="e">
        <f>'All regions'!4687:4687-"$F;@!.NV"</f>
        <v>#VALUE!</v>
      </c>
      <c r="HE230" t="e">
        <f>'All regions'!4688:4688-"$F;@!.NW"</f>
        <v>#VALUE!</v>
      </c>
      <c r="HF230" t="e">
        <f>'All regions'!4689:4689-"$F;@!.NX"</f>
        <v>#VALUE!</v>
      </c>
      <c r="HG230" t="e">
        <f>'All regions'!4690:4690-"$F;@!.NY"</f>
        <v>#VALUE!</v>
      </c>
      <c r="HH230" t="e">
        <f>'All regions'!4694:4694-"$F;@!.NZ"</f>
        <v>#VALUE!</v>
      </c>
      <c r="HI230" t="e">
        <f>'All regions'!4695:4695-"$F;@!.N["</f>
        <v>#VALUE!</v>
      </c>
      <c r="HJ230" t="e">
        <f>'All regions'!4696:4696-"$F;@!.N\"</f>
        <v>#VALUE!</v>
      </c>
      <c r="HK230" t="e">
        <f>'All regions'!4697:4697-"$F;@!.N]"</f>
        <v>#VALUE!</v>
      </c>
      <c r="HL230" t="e">
        <f>'All regions'!4698:4698-"$F;@!.N^"</f>
        <v>#VALUE!</v>
      </c>
      <c r="HM230" t="e">
        <f>'All regions'!4699:4699-"$F;@!.N_"</f>
        <v>#VALUE!</v>
      </c>
      <c r="HN230" t="e">
        <f>'All regions'!4700:4700-"$F;@!.N`"</f>
        <v>#VALUE!</v>
      </c>
      <c r="HO230" t="e">
        <f>'All regions'!4701:4701-"$F;@!.Na"</f>
        <v>#VALUE!</v>
      </c>
      <c r="HP230" t="e">
        <f>'All regions'!4702:4702-"$F;@!.Nb"</f>
        <v>#VALUE!</v>
      </c>
      <c r="HQ230" t="e">
        <f>'All regions'!4703:4703-"$F;@!.Nc"</f>
        <v>#VALUE!</v>
      </c>
      <c r="HR230" t="e">
        <f>'All regions'!4704:4704-"$F;@!.Nd"</f>
        <v>#VALUE!</v>
      </c>
      <c r="HS230" t="e">
        <f>'All regions'!4705:4705-"$F;@!.Ne"</f>
        <v>#VALUE!</v>
      </c>
      <c r="HT230" t="e">
        <f>'All regions'!4706:4706-"$F;@!.Nf"</f>
        <v>#VALUE!</v>
      </c>
      <c r="HU230" t="e">
        <f>'All regions'!4707:4707-"$F;@!.Ng"</f>
        <v>#VALUE!</v>
      </c>
      <c r="HV230" t="e">
        <f>'All regions'!4708:4708-"$F;@!.Nh"</f>
        <v>#VALUE!</v>
      </c>
      <c r="HW230" t="e">
        <f>'All regions'!4709:4709-"$F;@!.Ni"</f>
        <v>#VALUE!</v>
      </c>
      <c r="HX230" t="e">
        <f>'All regions'!4710:4710-"$F;@!.Nj"</f>
        <v>#VALUE!</v>
      </c>
      <c r="HY230" t="e">
        <f>'All regions'!4711:4711-"$F;@!.Nk"</f>
        <v>#VALUE!</v>
      </c>
      <c r="HZ230" t="e">
        <f>'All regions'!4712:4712-"$F;@!.Nl"</f>
        <v>#VALUE!</v>
      </c>
      <c r="IA230" t="e">
        <f>'All regions'!4713:4713-"$F;@!.Nm"</f>
        <v>#VALUE!</v>
      </c>
      <c r="IB230" t="e">
        <f>'All regions'!4714:4714-"$F;@!.Nn"</f>
        <v>#VALUE!</v>
      </c>
      <c r="IC230" t="e">
        <f>'All regions'!4715:4715-"$F;@!.No"</f>
        <v>#VALUE!</v>
      </c>
      <c r="ID230" t="e">
        <f>'All regions'!4716:4716-"$F;@!.Np"</f>
        <v>#VALUE!</v>
      </c>
      <c r="IE230" t="e">
        <f>'All regions'!4717:4717-"$F;@!.Nq"</f>
        <v>#VALUE!</v>
      </c>
      <c r="IF230" t="e">
        <f>'All regions'!4718:4718-"$F;@!.Nr"</f>
        <v>#VALUE!</v>
      </c>
      <c r="IG230" t="e">
        <f>'All regions'!4719:4719-"$F;@!.Ns"</f>
        <v>#VALUE!</v>
      </c>
      <c r="IH230" t="e">
        <f>'All regions'!4720:4720-"$F;@!.Nt"</f>
        <v>#VALUE!</v>
      </c>
      <c r="II230" t="e">
        <f>'All regions'!4721:4721-"$F;@!.Nu"</f>
        <v>#VALUE!</v>
      </c>
      <c r="IJ230" t="e">
        <f>'All regions'!4722:4722-"$F;@!.Nv"</f>
        <v>#VALUE!</v>
      </c>
      <c r="IK230" t="e">
        <f>'All regions'!4723:4723-"$F;@!.Nw"</f>
        <v>#VALUE!</v>
      </c>
      <c r="IL230" t="e">
        <f>'All regions'!4724:4724-"$F;@!.Nx"</f>
        <v>#VALUE!</v>
      </c>
      <c r="IM230" t="e">
        <f>'All regions'!4725:4725-"$F;@!.Ny"</f>
        <v>#VALUE!</v>
      </c>
      <c r="IN230" t="e">
        <f>'All regions'!4726:4726-"$F;@!.Nz"</f>
        <v>#VALUE!</v>
      </c>
      <c r="IO230" t="e">
        <f>'All regions'!4727:4727-"$F;@!.N{"</f>
        <v>#VALUE!</v>
      </c>
      <c r="IP230" t="e">
        <f>'All regions'!4728:4728-"$F;@!.N|"</f>
        <v>#VALUE!</v>
      </c>
      <c r="IQ230" t="e">
        <f>'All regions'!4729:4729-"$F;@!.N}"</f>
        <v>#VALUE!</v>
      </c>
      <c r="IR230" t="e">
        <f>'All regions'!4731:4731-"$F;@!.N~"</f>
        <v>#VALUE!</v>
      </c>
      <c r="IS230" t="e">
        <f>'All regions'!4732:4732-"$F;@!.O#"</f>
        <v>#VALUE!</v>
      </c>
      <c r="IT230" t="e">
        <f>'All regions'!4733:4733-"$F;@!.O$"</f>
        <v>#VALUE!</v>
      </c>
      <c r="IU230" t="e">
        <f>'All regions'!4734:4734-"$F;@!.O%"</f>
        <v>#VALUE!</v>
      </c>
      <c r="IV230" t="e">
        <f>'All regions'!4735:4735-"$F;@!.O&amp;"</f>
        <v>#VALUE!</v>
      </c>
    </row>
    <row r="231" spans="6:256" x14ac:dyDescent="0.35">
      <c r="F231" t="e">
        <f>'All regions'!4736:4736-"$F;@!.O'"</f>
        <v>#VALUE!</v>
      </c>
      <c r="G231" t="e">
        <f>'All regions'!4737:4737-"$F;@!.O("</f>
        <v>#VALUE!</v>
      </c>
      <c r="H231" t="e">
        <f>'All regions'!4738:4738-"$F;@!.O)"</f>
        <v>#VALUE!</v>
      </c>
      <c r="I231" t="e">
        <f>'All regions'!4739:4739-"$F;@!.O."</f>
        <v>#VALUE!</v>
      </c>
      <c r="J231" t="e">
        <f>'All regions'!4740:4740-"$F;@!.O/"</f>
        <v>#VALUE!</v>
      </c>
      <c r="K231" t="e">
        <f>'All regions'!4741:4741-"$F;@!.O0"</f>
        <v>#VALUE!</v>
      </c>
      <c r="L231" t="e">
        <f>'All regions'!4742:4742-"$F;@!.O1"</f>
        <v>#VALUE!</v>
      </c>
      <c r="M231" t="e">
        <f>'All regions'!4743:4743-"$F;@!.O2"</f>
        <v>#VALUE!</v>
      </c>
      <c r="N231" t="e">
        <f>'All regions'!4744:4744-"$F;@!.O3"</f>
        <v>#VALUE!</v>
      </c>
      <c r="O231" t="e">
        <f>'All regions'!4745:4745-"$F;@!.O4"</f>
        <v>#VALUE!</v>
      </c>
      <c r="P231" t="e">
        <f>'All regions'!4746:4746-"$F;@!.O5"</f>
        <v>#VALUE!</v>
      </c>
      <c r="Q231" t="e">
        <f>'All regions'!4747:4747-"$F;@!.O6"</f>
        <v>#VALUE!</v>
      </c>
      <c r="R231" t="e">
        <f>'All regions'!4748:4748-"$F;@!.O7"</f>
        <v>#VALUE!</v>
      </c>
      <c r="S231" t="e">
        <f>'All regions'!4749:4749-"$F;@!.O8"</f>
        <v>#VALUE!</v>
      </c>
      <c r="T231" t="e">
        <f>'All regions'!4750:4750-"$F;@!.O9"</f>
        <v>#VALUE!</v>
      </c>
      <c r="U231" t="e">
        <f>'All regions'!4751:4751-"$F;@!.O:"</f>
        <v>#VALUE!</v>
      </c>
      <c r="V231" t="e">
        <f>'All regions'!4752:4752-"$F;@!.O;"</f>
        <v>#VALUE!</v>
      </c>
      <c r="W231" t="e">
        <f>'All regions'!4753:4753-"$F;@!.O&lt;"</f>
        <v>#VALUE!</v>
      </c>
      <c r="X231" t="e">
        <f>'All regions'!4754:4754-"$F;@!.O="</f>
        <v>#VALUE!</v>
      </c>
      <c r="Y231" t="e">
        <f>'All regions'!4755:4755-"$F;@!.O&gt;"</f>
        <v>#VALUE!</v>
      </c>
      <c r="Z231" t="e">
        <f>'All regions'!4756:4756-"$F;@!.O?"</f>
        <v>#VALUE!</v>
      </c>
      <c r="AA231" t="e">
        <f>'All regions'!4757:4757-"$F;@!.O@"</f>
        <v>#VALUE!</v>
      </c>
      <c r="AB231" t="e">
        <f>'All regions'!4758:4758-"$F;@!.OA"</f>
        <v>#VALUE!</v>
      </c>
      <c r="AC231" t="e">
        <f>'All regions'!4759:4759-"$F;@!.OB"</f>
        <v>#VALUE!</v>
      </c>
      <c r="AD231" t="e">
        <f>'All regions'!4760:4760-"$F;@!.OC"</f>
        <v>#VALUE!</v>
      </c>
      <c r="AE231" t="e">
        <f>'All regions'!4761:4761-"$F;@!.OD"</f>
        <v>#VALUE!</v>
      </c>
      <c r="AF231" t="e">
        <f>'All regions'!4762:4762-"$F;@!.OE"</f>
        <v>#VALUE!</v>
      </c>
      <c r="AG231" t="e">
        <f>'All regions'!4763:4763-"$F;@!.OF"</f>
        <v>#VALUE!</v>
      </c>
      <c r="AH231" t="e">
        <f>'All regions'!4764:4764-"$F;@!.OG"</f>
        <v>#VALUE!</v>
      </c>
      <c r="AI231" t="e">
        <f>'All regions'!4765:4765-"$F;@!.OH"</f>
        <v>#VALUE!</v>
      </c>
      <c r="AJ231" t="e">
        <f>'All regions'!4766:4766-"$F;@!.OI"</f>
        <v>#VALUE!</v>
      </c>
      <c r="AK231" t="e">
        <f>'All regions'!4767:4767-"$F;@!.OJ"</f>
        <v>#VALUE!</v>
      </c>
      <c r="AL231" t="e">
        <f>'All regions'!4768:4768-"$F;@!.OK"</f>
        <v>#VALUE!</v>
      </c>
      <c r="AM231" t="e">
        <f>'All regions'!4769:4769-"$F;@!.OL"</f>
        <v>#VALUE!</v>
      </c>
      <c r="AN231" t="e">
        <f>'All regions'!4770:4770-"$F;@!.OM"</f>
        <v>#VALUE!</v>
      </c>
      <c r="AO231" t="e">
        <f>'All regions'!4771:4771-"$F;@!.ON"</f>
        <v>#VALUE!</v>
      </c>
      <c r="AP231" t="e">
        <f>'All regions'!4772:4772-"$F;@!.OO"</f>
        <v>#VALUE!</v>
      </c>
      <c r="AQ231" t="e">
        <f>'All regions'!4773:4773-"$F;@!.OP"</f>
        <v>#VALUE!</v>
      </c>
      <c r="AR231" t="e">
        <f>'All regions'!4774:4774-"$F;@!.OQ"</f>
        <v>#VALUE!</v>
      </c>
      <c r="AS231" t="e">
        <f>'All regions'!4775:4775-"$F;@!.OR"</f>
        <v>#VALUE!</v>
      </c>
      <c r="AT231" t="e">
        <f>'All regions'!4776:4776-"$F;@!.OS"</f>
        <v>#VALUE!</v>
      </c>
      <c r="AU231" t="e">
        <f>'All regions'!4777:4777-"$F;@!.OT"</f>
        <v>#VALUE!</v>
      </c>
      <c r="AV231" t="e">
        <f>'All regions'!4778:4778-"$F;@!.OU"</f>
        <v>#VALUE!</v>
      </c>
      <c r="AW231" t="e">
        <f>'All regions'!4779:4779-"$F;@!.OV"</f>
        <v>#VALUE!</v>
      </c>
      <c r="AX231" t="e">
        <f>'All regions'!4780:4780-"$F;@!.OW"</f>
        <v>#VALUE!</v>
      </c>
      <c r="AY231" t="e">
        <f>'All regions'!4781:4781-"$F;@!.OX"</f>
        <v>#VALUE!</v>
      </c>
      <c r="AZ231" t="e">
        <f>'All regions'!4782:4782-"$F;@!.OY"</f>
        <v>#VALUE!</v>
      </c>
      <c r="BA231" t="e">
        <f>'All regions'!4783:4783-"$F;@!.OZ"</f>
        <v>#VALUE!</v>
      </c>
      <c r="BB231" t="e">
        <f>'All regions'!4784:4784-"$F;@!.O["</f>
        <v>#VALUE!</v>
      </c>
      <c r="BC231" t="e">
        <f>'All regions'!4785:4785-"$F;@!.O\"</f>
        <v>#VALUE!</v>
      </c>
      <c r="BD231" t="e">
        <f>'All regions'!4786:4786-"$F;@!.O]"</f>
        <v>#VALUE!</v>
      </c>
      <c r="BE231" t="e">
        <f>'All regions'!4787:4787-"$F;@!.O^"</f>
        <v>#VALUE!</v>
      </c>
      <c r="BF231" t="e">
        <f>'All regions'!4788:4788-"$F;@!.O_"</f>
        <v>#VALUE!</v>
      </c>
      <c r="BG231" t="e">
        <f>'All regions'!4789:4789-"$F;@!.O`"</f>
        <v>#VALUE!</v>
      </c>
      <c r="BH231" t="e">
        <f>'All regions'!4790:4790-"$F;@!.Oa"</f>
        <v>#VALUE!</v>
      </c>
      <c r="BI231" t="e">
        <f>'All regions'!4791:4791-"$F;@!.Ob"</f>
        <v>#VALUE!</v>
      </c>
      <c r="BJ231" t="e">
        <f>'All regions'!4792:4792-"$F;@!.Oc"</f>
        <v>#VALUE!</v>
      </c>
      <c r="BK231" t="e">
        <f>'All regions'!4793:4793-"$F;@!.Od"</f>
        <v>#VALUE!</v>
      </c>
      <c r="BL231" t="e">
        <f>'All regions'!4794:4794-"$F;@!.Oe"</f>
        <v>#VALUE!</v>
      </c>
      <c r="BM231" t="e">
        <f>'All regions'!4795:4795-"$F;@!.Of"</f>
        <v>#VALUE!</v>
      </c>
      <c r="BN231" t="e">
        <f>'All regions'!4796:4796-"$F;@!.Og"</f>
        <v>#VALUE!</v>
      </c>
      <c r="BO231" t="e">
        <f>'All regions'!4797:4797-"$F;@!.Oh"</f>
        <v>#VALUE!</v>
      </c>
      <c r="BP231" t="e">
        <f>'All regions'!4798:4798-"$F;@!.Oi"</f>
        <v>#VALUE!</v>
      </c>
      <c r="BQ231" t="e">
        <f>'All regions'!4799:4799-"$F;@!.Oj"</f>
        <v>#VALUE!</v>
      </c>
      <c r="BR231" t="e">
        <f>'All regions'!4800:4800-"$F;@!.Ok"</f>
        <v>#VALUE!</v>
      </c>
      <c r="BS231" t="e">
        <f>'All regions'!4801:4801-"$F;@!.Ol"</f>
        <v>#VALUE!</v>
      </c>
      <c r="BT231" t="e">
        <f>'All regions'!4802:4802-"$F;@!.Om"</f>
        <v>#VALUE!</v>
      </c>
      <c r="BU231" t="e">
        <f>'All regions'!4803:4803-"$F;@!.On"</f>
        <v>#VALUE!</v>
      </c>
      <c r="BV231" t="e">
        <f>'All regions'!4804:4804-"$F;@!.Oo"</f>
        <v>#VALUE!</v>
      </c>
      <c r="BW231" t="e">
        <f>'All regions'!4805:4805-"$F;@!.Op"</f>
        <v>#VALUE!</v>
      </c>
      <c r="BX231" t="e">
        <f>'All regions'!4806:4806-"$F;@!.Oq"</f>
        <v>#VALUE!</v>
      </c>
      <c r="BY231" t="e">
        <f>'All regions'!4807:4807-"$F;@!.Or"</f>
        <v>#VALUE!</v>
      </c>
      <c r="BZ231" t="e">
        <f>'All regions'!4808:4808-"$F;@!.Os"</f>
        <v>#VALUE!</v>
      </c>
      <c r="CA231" t="e">
        <f>'All regions'!4809:4809-"$F;@!.Ot"</f>
        <v>#VALUE!</v>
      </c>
      <c r="CB231" t="e">
        <f>'All regions'!4810:4810-"$F;@!.Ou"</f>
        <v>#VALUE!</v>
      </c>
      <c r="CC231" t="e">
        <f>'All regions'!4811:4811-"$F;@!.Ov"</f>
        <v>#VALUE!</v>
      </c>
      <c r="CD231" t="e">
        <f>'All regions'!4812:4812-"$F;@!.Ow"</f>
        <v>#VALUE!</v>
      </c>
      <c r="CE231" t="e">
        <f>'All regions'!4813:4813-"$F;@!.Ox"</f>
        <v>#VALUE!</v>
      </c>
      <c r="CF231" t="e">
        <f>'All regions'!4814:4814-"$F;@!.Oy"</f>
        <v>#VALUE!</v>
      </c>
      <c r="CG231" t="e">
        <f>'All regions'!4815:4815-"$F;@!.Oz"</f>
        <v>#VALUE!</v>
      </c>
      <c r="CH231" t="e">
        <f>'All regions'!4816:4816-"$F;@!.O{"</f>
        <v>#VALUE!</v>
      </c>
      <c r="CI231" t="e">
        <f>'All regions'!4817:4817-"$F;@!.O|"</f>
        <v>#VALUE!</v>
      </c>
      <c r="CJ231" t="e">
        <f>'All regions'!4818:4818-"$F;@!.O}"</f>
        <v>#VALUE!</v>
      </c>
      <c r="CK231" t="e">
        <f>'All regions'!4819:4819-"$F;@!.O~"</f>
        <v>#VALUE!</v>
      </c>
      <c r="CL231" t="e">
        <f>'All regions'!4820:4820-"$F;@!.P#"</f>
        <v>#VALUE!</v>
      </c>
      <c r="CM231" t="e">
        <f>'All regions'!4821:4821-"$F;@!.P$"</f>
        <v>#VALUE!</v>
      </c>
      <c r="CN231" t="e">
        <f>'All regions'!4822:4822-"$F;@!.P%"</f>
        <v>#VALUE!</v>
      </c>
      <c r="CO231" t="e">
        <f>'All regions'!4823:4823-"$F;@!.P&amp;"</f>
        <v>#VALUE!</v>
      </c>
      <c r="CP231" t="e">
        <f>'All regions'!4824:4824-"$F;@!.P'"</f>
        <v>#VALUE!</v>
      </c>
      <c r="CQ231" t="e">
        <f>'All regions'!4825:4825-"$F;@!.P("</f>
        <v>#VALUE!</v>
      </c>
      <c r="CR231" t="e">
        <f>'All regions'!4826:4826-"$F;@!.P)"</f>
        <v>#VALUE!</v>
      </c>
      <c r="CS231" t="e">
        <f>'All regions'!4827:4827-"$F;@!.P."</f>
        <v>#VALUE!</v>
      </c>
      <c r="CT231" t="e">
        <f>'All regions'!4828:4828-"$F;@!.P/"</f>
        <v>#VALUE!</v>
      </c>
      <c r="CU231" t="e">
        <f>'All regions'!4829:4829-"$F;@!.P0"</f>
        <v>#VALUE!</v>
      </c>
      <c r="CV231" t="e">
        <f>'All regions'!4830:4830-"$F;@!.P1"</f>
        <v>#VALUE!</v>
      </c>
      <c r="CW231" t="e">
        <f>'All regions'!4831:4831-"$F;@!.P2"</f>
        <v>#VALUE!</v>
      </c>
      <c r="CX231" t="e">
        <f>'All regions'!4832:4832-"$F;@!.P3"</f>
        <v>#VALUE!</v>
      </c>
      <c r="CY231" t="e">
        <f>'All regions'!4833:4833-"$F;@!.P4"</f>
        <v>#VALUE!</v>
      </c>
      <c r="CZ231" t="e">
        <f>'All regions'!4834:4834-"$F;@!.P5"</f>
        <v>#VALUE!</v>
      </c>
      <c r="DA231" t="e">
        <f>'All regions'!4835:4835-"$F;@!.P6"</f>
        <v>#VALUE!</v>
      </c>
      <c r="DB231" t="e">
        <f>'All regions'!4836:4836-"$F;@!.P7"</f>
        <v>#VALUE!</v>
      </c>
      <c r="DC231" t="e">
        <f>'All regions'!4837:4837-"$F;@!.P8"</f>
        <v>#VALUE!</v>
      </c>
      <c r="DD231" t="e">
        <f>'All regions'!4838:4838-"$F;@!.P9"</f>
        <v>#VALUE!</v>
      </c>
      <c r="DE231" t="e">
        <f>'All regions'!4839:4839-"$F;@!.P:"</f>
        <v>#VALUE!</v>
      </c>
      <c r="DF231" t="e">
        <f>'All regions'!4840:4840-"$F;@!.P;"</f>
        <v>#VALUE!</v>
      </c>
      <c r="DG231" t="e">
        <f>'All regions'!4841:4841-"$F;@!.P&lt;"</f>
        <v>#VALUE!</v>
      </c>
      <c r="DH231" t="e">
        <f>'All regions'!4842:4842-"$F;@!.P="</f>
        <v>#VALUE!</v>
      </c>
      <c r="DI231" t="e">
        <f>'All regions'!4843:4843-"$F;@!.P&gt;"</f>
        <v>#VALUE!</v>
      </c>
      <c r="DJ231" t="e">
        <f>'All regions'!4844:4844-"$F;@!.P?"</f>
        <v>#VALUE!</v>
      </c>
      <c r="DK231" t="e">
        <f>'All regions'!4845:4845-"$F;@!.P@"</f>
        <v>#VALUE!</v>
      </c>
      <c r="DL231" t="e">
        <f>'All regions'!4846:4846-"$F;@!.PA"</f>
        <v>#VALUE!</v>
      </c>
      <c r="DM231" t="e">
        <f>'All regions'!4847:4847-"$F;@!.PB"</f>
        <v>#VALUE!</v>
      </c>
      <c r="DN231" t="e">
        <f>'All regions'!4848:4848-"$F;@!.PC"</f>
        <v>#VALUE!</v>
      </c>
      <c r="DO231" t="e">
        <f>'All regions'!4849:4849-"$F;@!.PD"</f>
        <v>#VALUE!</v>
      </c>
      <c r="DP231" t="e">
        <f>'All regions'!4850:4850-"$F;@!.PE"</f>
        <v>#VALUE!</v>
      </c>
      <c r="DQ231" t="e">
        <f>'All regions'!4851:4851-"$F;@!.PF"</f>
        <v>#VALUE!</v>
      </c>
      <c r="DR231" t="e">
        <f>'All regions'!4852:4852-"$F;@!.PG"</f>
        <v>#VALUE!</v>
      </c>
      <c r="DS231" t="e">
        <f>'All regions'!4853:4853-"$F;@!.PH"</f>
        <v>#VALUE!</v>
      </c>
      <c r="DT231" t="e">
        <f>'All regions'!4854:4854-"$F;@!.PI"</f>
        <v>#VALUE!</v>
      </c>
      <c r="DU231" t="e">
        <f>'All regions'!4855:4855-"$F;@!.PJ"</f>
        <v>#VALUE!</v>
      </c>
      <c r="DV231" t="e">
        <f>'All regions'!4856:4856-"$F;@!.PK"</f>
        <v>#VALUE!</v>
      </c>
      <c r="DW231" t="e">
        <f>'All regions'!4857:4857-"$F;@!.PL"</f>
        <v>#VALUE!</v>
      </c>
      <c r="DX231" t="e">
        <f>'All regions'!4858:4858-"$F;@!.PM"</f>
        <v>#VALUE!</v>
      </c>
      <c r="DY231" t="e">
        <f>'All regions'!4859:4859-"$F;@!.PN"</f>
        <v>#VALUE!</v>
      </c>
      <c r="DZ231" t="e">
        <f>'All regions'!4860:4860-"$F;@!.PO"</f>
        <v>#VALUE!</v>
      </c>
      <c r="EA231" t="e">
        <f>'All regions'!4861:4861-"$F;@!.PP"</f>
        <v>#VALUE!</v>
      </c>
      <c r="EB231" t="e">
        <f>'All regions'!4862:4862-"$F;@!.PQ"</f>
        <v>#VALUE!</v>
      </c>
      <c r="EC231" t="e">
        <f>'All regions'!4863:4863-"$F;@!.PR"</f>
        <v>#VALUE!</v>
      </c>
      <c r="ED231" t="e">
        <f>'All regions'!4864:4864-"$F;@!.PS"</f>
        <v>#VALUE!</v>
      </c>
      <c r="EE231" t="e">
        <f>'All regions'!4865:4865-"$F;@!.PT"</f>
        <v>#VALUE!</v>
      </c>
      <c r="EF231" t="e">
        <f>'All regions'!4866:4866-"$F;@!.PU"</f>
        <v>#VALUE!</v>
      </c>
      <c r="EG231" t="e">
        <f>'All regions'!4867:4867-"$F;@!.PV"</f>
        <v>#VALUE!</v>
      </c>
      <c r="EH231" t="e">
        <f>'All regions'!4868:4868-"$F;@!.PW"</f>
        <v>#VALUE!</v>
      </c>
      <c r="EI231" t="e">
        <f>'All regions'!4869:4869-"$F;@!.PX"</f>
        <v>#VALUE!</v>
      </c>
      <c r="EJ231" t="e">
        <f>'All regions'!4870:4870-"$F;@!.PY"</f>
        <v>#VALUE!</v>
      </c>
      <c r="EK231" t="e">
        <f>'All regions'!4871:4871-"$F;@!.PZ"</f>
        <v>#VALUE!</v>
      </c>
      <c r="EL231" t="e">
        <f>'All regions'!4872:4872-"$F;@!.P["</f>
        <v>#VALUE!</v>
      </c>
      <c r="EM231" t="e">
        <f>'All regions'!4873:4873-"$F;@!.P\"</f>
        <v>#VALUE!</v>
      </c>
      <c r="EN231" t="e">
        <f>'All regions'!4874:4874-"$F;@!.P]"</f>
        <v>#VALUE!</v>
      </c>
      <c r="EO231" t="e">
        <f>'All regions'!4875:4875-"$F;@!.P^"</f>
        <v>#VALUE!</v>
      </c>
      <c r="EP231" t="e">
        <f>'All regions'!4876:4876-"$F;@!.P_"</f>
        <v>#VALUE!</v>
      </c>
      <c r="EQ231" t="e">
        <f>'All regions'!4877:4877-"$F;@!.P`"</f>
        <v>#VALUE!</v>
      </c>
      <c r="ER231" t="e">
        <f>'All regions'!4878:4878-"$F;@!.Pa"</f>
        <v>#VALUE!</v>
      </c>
      <c r="ES231" t="e">
        <f>'All regions'!4879:4879-"$F;@!.Pb"</f>
        <v>#VALUE!</v>
      </c>
      <c r="ET231" t="e">
        <f>'All regions'!4880:4880-"$F;@!.Pc"</f>
        <v>#VALUE!</v>
      </c>
      <c r="EU231" t="e">
        <f>'All regions'!4881:4881-"$F;@!.Pd"</f>
        <v>#VALUE!</v>
      </c>
      <c r="EV231" t="e">
        <f>'All regions'!4882:4882-"$F;@!.Pe"</f>
        <v>#VALUE!</v>
      </c>
      <c r="EW231" t="e">
        <f>'All regions'!4883:4883-"$F;@!.Pf"</f>
        <v>#VALUE!</v>
      </c>
      <c r="EX231" t="e">
        <f>'All regions'!4884:4884-"$F;@!.Pg"</f>
        <v>#VALUE!</v>
      </c>
      <c r="EY231" t="e">
        <f>'All regions'!4885:4885-"$F;@!.Ph"</f>
        <v>#VALUE!</v>
      </c>
      <c r="EZ231" t="e">
        <f>'All regions'!4886:4886-"$F;@!.Pi"</f>
        <v>#VALUE!</v>
      </c>
      <c r="FA231" t="e">
        <f>'All regions'!4887:4887-"$F;@!.Pj"</f>
        <v>#VALUE!</v>
      </c>
      <c r="FB231" t="e">
        <f>'All regions'!4888:4888-"$F;@!.Pk"</f>
        <v>#VALUE!</v>
      </c>
      <c r="FC231" t="e">
        <f>'All regions'!4889:4889-"$F;@!.Pl"</f>
        <v>#VALUE!</v>
      </c>
      <c r="FD231" t="e">
        <f>'All regions'!4890:4890-"$F;@!.Pm"</f>
        <v>#VALUE!</v>
      </c>
      <c r="FE231" t="e">
        <f>'All regions'!4891:4891-"$F;@!.Pn"</f>
        <v>#VALUE!</v>
      </c>
      <c r="FF231" t="e">
        <f>'All regions'!4892:4892-"$F;@!.Po"</f>
        <v>#VALUE!</v>
      </c>
      <c r="FG231" t="e">
        <f>'All regions'!4893:4893-"$F;@!.Pp"</f>
        <v>#VALUE!</v>
      </c>
      <c r="FH231" t="e">
        <f>'All regions'!4894:4894-"$F;@!.Pq"</f>
        <v>#VALUE!</v>
      </c>
      <c r="FI231" t="e">
        <f>'All regions'!4895:4895-"$F;@!.Pr"</f>
        <v>#VALUE!</v>
      </c>
      <c r="FJ231" t="e">
        <f>'All regions'!4896:4896-"$F;@!.Ps"</f>
        <v>#VALUE!</v>
      </c>
      <c r="FK231" t="e">
        <f>'All regions'!4897:4897-"$F;@!.Pt"</f>
        <v>#VALUE!</v>
      </c>
      <c r="FL231" t="e">
        <f>'All regions'!4898:4898-"$F;@!.Pu"</f>
        <v>#VALUE!</v>
      </c>
      <c r="FM231" t="e">
        <f>'All regions'!4899:4899-"$F;@!.Pv"</f>
        <v>#VALUE!</v>
      </c>
      <c r="FN231" t="e">
        <f>'All regions'!4900:4900-"$F;@!.Pw"</f>
        <v>#VALUE!</v>
      </c>
      <c r="FO231" t="e">
        <f>'All regions'!4901:4901-"$F;@!.Px"</f>
        <v>#VALUE!</v>
      </c>
      <c r="FP231" t="e">
        <f>'All regions'!4902:4902-"$F;@!.Py"</f>
        <v>#VALUE!</v>
      </c>
      <c r="FQ231" t="e">
        <f>'All regions'!4903:4903-"$F;@!.Pz"</f>
        <v>#VALUE!</v>
      </c>
      <c r="FR231" t="e">
        <f>'All regions'!4904:4904-"$F;@!.P{"</f>
        <v>#VALUE!</v>
      </c>
      <c r="FS231" t="e">
        <f>'All regions'!4905:4905-"$F;@!.P|"</f>
        <v>#VALUE!</v>
      </c>
      <c r="FT231" t="e">
        <f>'All regions'!4906:4906-"$F;@!.P}"</f>
        <v>#VALUE!</v>
      </c>
      <c r="FU231" t="e">
        <f>'All regions'!4907:4907-"$F;@!.P~"</f>
        <v>#VALUE!</v>
      </c>
      <c r="FV231" t="e">
        <f>'All regions'!4908:4908-"$F;@!.Q#"</f>
        <v>#VALUE!</v>
      </c>
      <c r="FW231" t="e">
        <f>'All regions'!4909:4909-"$F;@!.Q$"</f>
        <v>#VALUE!</v>
      </c>
      <c r="FX231" t="e">
        <f>'All regions'!4910:4910-"$F;@!.Q%"</f>
        <v>#VALUE!</v>
      </c>
      <c r="FY231" t="e">
        <f>'All regions'!4911:4911-"$F;@!.Q&amp;"</f>
        <v>#VALUE!</v>
      </c>
      <c r="FZ231" t="e">
        <f>'All regions'!4912:4912-"$F;@!.Q'"</f>
        <v>#VALUE!</v>
      </c>
      <c r="GA231" t="e">
        <f>'All regions'!4913:4913-"$F;@!.Q("</f>
        <v>#VALUE!</v>
      </c>
      <c r="GB231" t="e">
        <f>'All regions'!4914:4914-"$F;@!.Q)"</f>
        <v>#VALUE!</v>
      </c>
      <c r="GC231" t="e">
        <f>'All regions'!4915:4915-"$F;@!.Q."</f>
        <v>#VALUE!</v>
      </c>
      <c r="GD231" t="e">
        <f>'All regions'!4916:4916-"$F;@!.Q/"</f>
        <v>#VALUE!</v>
      </c>
      <c r="GE231" t="e">
        <f>'All regions'!4917:4917-"$F;@!.Q0"</f>
        <v>#VALUE!</v>
      </c>
      <c r="GF231" t="e">
        <f>'All regions'!4918:4918-"$F;@!.Q1"</f>
        <v>#VALUE!</v>
      </c>
      <c r="GG231" t="e">
        <f>'All regions'!4919:4919-"$F;@!.Q2"</f>
        <v>#VALUE!</v>
      </c>
      <c r="GH231" t="e">
        <f>'All regions'!4920:4920-"$F;@!.Q3"</f>
        <v>#VALUE!</v>
      </c>
      <c r="GI231" t="e">
        <f>'All regions'!4921:4921-"$F;@!.Q4"</f>
        <v>#VALUE!</v>
      </c>
      <c r="GJ231" t="e">
        <f>'All regions'!4922:4922-"$F;@!.Q5"</f>
        <v>#VALUE!</v>
      </c>
      <c r="GK231" t="e">
        <f>'All regions'!4923:4923-"$F;@!.Q6"</f>
        <v>#VALUE!</v>
      </c>
      <c r="GL231" t="e">
        <f>'All regions'!4924:4924-"$F;@!.Q7"</f>
        <v>#VALUE!</v>
      </c>
      <c r="GM231" t="e">
        <f>'All regions'!4925:4925-"$F;@!.Q8"</f>
        <v>#VALUE!</v>
      </c>
      <c r="GN231" t="e">
        <f>'All regions'!4926:4926-"$F;@!.Q9"</f>
        <v>#VALUE!</v>
      </c>
      <c r="GO231" t="e">
        <f>'All regions'!4927:4927-"$F;@!.Q:"</f>
        <v>#VALUE!</v>
      </c>
      <c r="GP231" t="e">
        <f>'All regions'!4928:4928-"$F;@!.Q;"</f>
        <v>#VALUE!</v>
      </c>
      <c r="GQ231" t="e">
        <f>'All regions'!4929:4929-"$F;@!.Q&lt;"</f>
        <v>#VALUE!</v>
      </c>
      <c r="GR231" t="e">
        <f>'All regions'!4930:4930-"$F;@!.Q="</f>
        <v>#VALUE!</v>
      </c>
      <c r="GS231" t="e">
        <f>'All regions'!4931:4931-"$F;@!.Q&gt;"</f>
        <v>#VALUE!</v>
      </c>
      <c r="GT231" t="e">
        <f>'All regions'!4932:4932-"$F;@!.Q?"</f>
        <v>#VALUE!</v>
      </c>
      <c r="GU231" t="e">
        <f>'All regions'!4933:4933-"$F;@!.Q@"</f>
        <v>#VALUE!</v>
      </c>
      <c r="GV231" t="e">
        <f>'All regions'!4934:4934-"$F;@!.QA"</f>
        <v>#VALUE!</v>
      </c>
      <c r="GW231" t="e">
        <f>'All regions'!4935:4935-"$F;@!.QB"</f>
        <v>#VALUE!</v>
      </c>
      <c r="GX231" t="e">
        <f>'All regions'!4936:4936-"$F;@!.QC"</f>
        <v>#VALUE!</v>
      </c>
      <c r="GY231" t="e">
        <f>'All regions'!4937:4937-"$F;@!.QD"</f>
        <v>#VALUE!</v>
      </c>
      <c r="GZ231" t="e">
        <f>'All regions'!4938:4938-"$F;@!.QE"</f>
        <v>#VALUE!</v>
      </c>
      <c r="HA231" t="e">
        <f>'All regions'!4939:4939-"$F;@!.QF"</f>
        <v>#VALUE!</v>
      </c>
      <c r="HB231" t="e">
        <f>'All regions'!4940:4940-"$F;@!.QG"</f>
        <v>#VALUE!</v>
      </c>
      <c r="HC231" t="e">
        <f>'All regions'!4941:4941-"$F;@!.QH"</f>
        <v>#VALUE!</v>
      </c>
      <c r="HD231" t="e">
        <f>'All regions'!4942:4942-"$F;@!.QI"</f>
        <v>#VALUE!</v>
      </c>
      <c r="HE231" t="e">
        <f>'All regions'!4943:4943-"$F;@!.QJ"</f>
        <v>#VALUE!</v>
      </c>
      <c r="HF231" t="e">
        <f>'All regions'!4944:4944-"$F;@!.QK"</f>
        <v>#VALUE!</v>
      </c>
      <c r="HG231" t="e">
        <f>'All regions'!4945:4945-"$F;@!.QL"</f>
        <v>#VALUE!</v>
      </c>
      <c r="HH231" t="e">
        <f>'All regions'!4946:4946-"$F;@!.QM"</f>
        <v>#VALUE!</v>
      </c>
      <c r="HI231" t="e">
        <f>'All regions'!4947:4947-"$F;@!.QN"</f>
        <v>#VALUE!</v>
      </c>
      <c r="HJ231" t="e">
        <f>'All regions'!4948:4948-"$F;@!.QO"</f>
        <v>#VALUE!</v>
      </c>
      <c r="HK231" t="e">
        <f>'All regions'!4949:4949-"$F;@!.QP"</f>
        <v>#VALUE!</v>
      </c>
      <c r="HL231" t="e">
        <f>'All regions'!4950:4950-"$F;@!.QQ"</f>
        <v>#VALUE!</v>
      </c>
      <c r="HM231" t="e">
        <f>'All regions'!4951:4951-"$F;@!.QR"</f>
        <v>#VALUE!</v>
      </c>
      <c r="HN231" t="e">
        <f>'All regions'!4952:4952-"$F;@!.QS"</f>
        <v>#VALUE!</v>
      </c>
      <c r="HO231" t="e">
        <f>'All regions'!4953:4953-"$F;@!.QT"</f>
        <v>#VALUE!</v>
      </c>
      <c r="HP231" t="e">
        <f>'All regions'!4954:4954-"$F;@!.QU"</f>
        <v>#VALUE!</v>
      </c>
      <c r="HQ231" t="e">
        <f>'All regions'!4955:4955-"$F;@!.QV"</f>
        <v>#VALUE!</v>
      </c>
      <c r="HR231" t="e">
        <f>'All regions'!4956:4956-"$F;@!.QW"</f>
        <v>#VALUE!</v>
      </c>
      <c r="HS231" t="e">
        <f>'All regions'!4957:4957-"$F;@!.QX"</f>
        <v>#VALUE!</v>
      </c>
      <c r="HT231" t="e">
        <f>'All regions'!4958:4958-"$F;@!.QY"</f>
        <v>#VALUE!</v>
      </c>
      <c r="HU231" t="e">
        <f>'All regions'!4959:4959-"$F;@!.QZ"</f>
        <v>#VALUE!</v>
      </c>
      <c r="HV231" t="e">
        <f>'All regions'!4960:4960-"$F;@!.Q["</f>
        <v>#VALUE!</v>
      </c>
      <c r="HW231" t="e">
        <f>'All regions'!4961:4961-"$F;@!.Q\"</f>
        <v>#VALUE!</v>
      </c>
      <c r="HX231" t="e">
        <f>'All regions'!4962:4962-"$F;@!.Q]"</f>
        <v>#VALUE!</v>
      </c>
      <c r="HY231" t="e">
        <f>'All regions'!4963:4963-"$F;@!.Q^"</f>
        <v>#VALUE!</v>
      </c>
      <c r="HZ231" t="e">
        <f>'All regions'!4964:4964-"$F;@!.Q_"</f>
        <v>#VALUE!</v>
      </c>
      <c r="IA231" t="e">
        <f>'All regions'!4965:4965-"$F;@!.Q`"</f>
        <v>#VALUE!</v>
      </c>
      <c r="IB231" t="e">
        <f>'All regions'!4966:4966-"$F;@!.Qa"</f>
        <v>#VALUE!</v>
      </c>
      <c r="IC231" t="e">
        <f>'All regions'!4967:4967-"$F;@!.Qb"</f>
        <v>#VALUE!</v>
      </c>
      <c r="ID231" t="e">
        <f>'All regions'!4968:4968-"$F;@!.Qc"</f>
        <v>#VALUE!</v>
      </c>
      <c r="IE231" t="e">
        <f>'All regions'!4969:4969-"$F;@!.Qd"</f>
        <v>#VALUE!</v>
      </c>
      <c r="IF231" t="e">
        <f>'All regions'!4970:4970-"$F;@!.Qe"</f>
        <v>#VALUE!</v>
      </c>
      <c r="IG231" t="e">
        <f>'All regions'!4971:4971-"$F;@!.Qf"</f>
        <v>#VALUE!</v>
      </c>
      <c r="IH231" t="e">
        <f>'All regions'!4972:4972-"$F;@!.Qg"</f>
        <v>#VALUE!</v>
      </c>
      <c r="II231" t="e">
        <f>'All regions'!4973:4973-"$F;@!.Qh"</f>
        <v>#VALUE!</v>
      </c>
      <c r="IJ231" t="e">
        <f>'All regions'!4974:4974-"$F;@!.Qi"</f>
        <v>#VALUE!</v>
      </c>
      <c r="IK231" t="e">
        <f>'All regions'!4975:4975-"$F;@!.Qj"</f>
        <v>#VALUE!</v>
      </c>
      <c r="IL231" t="e">
        <f>'All regions'!4976:4976-"$F;@!.Qk"</f>
        <v>#VALUE!</v>
      </c>
      <c r="IM231" t="e">
        <f>'All regions'!4977:4977-"$F;@!.Ql"</f>
        <v>#VALUE!</v>
      </c>
      <c r="IN231" t="e">
        <f>'All regions'!4978:4978-"$F;@!.Qm"</f>
        <v>#VALUE!</v>
      </c>
      <c r="IO231" t="e">
        <f>'All regions'!4979:4979-"$F;@!.Qn"</f>
        <v>#VALUE!</v>
      </c>
      <c r="IP231" t="e">
        <f>'All regions'!4980:4980-"$F;@!.Qo"</f>
        <v>#VALUE!</v>
      </c>
      <c r="IQ231" t="e">
        <f>'All regions'!4981:4981-"$F;@!.Qp"</f>
        <v>#VALUE!</v>
      </c>
      <c r="IR231" t="e">
        <f>'All regions'!4982:4982-"$F;@!.Qq"</f>
        <v>#VALUE!</v>
      </c>
      <c r="IS231" t="e">
        <f>'All regions'!4983:4983-"$F;@!.Qr"</f>
        <v>#VALUE!</v>
      </c>
      <c r="IT231" t="e">
        <f>'All regions'!4984:4984-"$F;@!.Qs"</f>
        <v>#VALUE!</v>
      </c>
      <c r="IU231" t="e">
        <f>'All regions'!4985:4985-"$F;@!.Qt"</f>
        <v>#VALUE!</v>
      </c>
      <c r="IV231" t="e">
        <f>'All regions'!4986:4986-"$F;@!.Qu"</f>
        <v>#VALUE!</v>
      </c>
    </row>
    <row r="232" spans="6:256" x14ac:dyDescent="0.35">
      <c r="F232" t="e">
        <f>'All regions'!4987:4987-"$F;@!.Qv"</f>
        <v>#VALUE!</v>
      </c>
      <c r="G232" t="e">
        <f>'All regions'!4988:4988-"$F;@!.Qw"</f>
        <v>#VALUE!</v>
      </c>
      <c r="H232" t="e">
        <f>'All regions'!4989:4989-"$F;@!.Qx"</f>
        <v>#VALUE!</v>
      </c>
      <c r="I232" t="e">
        <f>'All regions'!4990:4990-"$F;@!.Qy"</f>
        <v>#VALUE!</v>
      </c>
      <c r="J232" t="e">
        <f>'All regions'!4991:4991-"$F;@!.Qz"</f>
        <v>#VALUE!</v>
      </c>
      <c r="K232" t="e">
        <f>'All regions'!4992:4992-"$F;@!.Q{"</f>
        <v>#VALUE!</v>
      </c>
      <c r="L232" t="e">
        <f>'All regions'!4993:4993-"$F;@!.Q|"</f>
        <v>#VALUE!</v>
      </c>
      <c r="M232" t="e">
        <f>'All regions'!4994:4994-"$F;@!.Q}"</f>
        <v>#VALUE!</v>
      </c>
      <c r="N232" t="e">
        <f>'All regions'!4995:4995-"$F;@!.Q~"</f>
        <v>#VALUE!</v>
      </c>
      <c r="O232" t="e">
        <f>'All regions'!4996:4996-"$F;@!.R#"</f>
        <v>#VALUE!</v>
      </c>
      <c r="P232" t="e">
        <f>'All regions'!4997:4997-"$F;@!.R$"</f>
        <v>#VALUE!</v>
      </c>
      <c r="Q232" t="e">
        <f>'All regions'!4998:4998-"$F;@!.R%"</f>
        <v>#VALUE!</v>
      </c>
      <c r="R232" t="e">
        <f>'All regions'!4999:4999-"$F;@!.R&amp;"</f>
        <v>#VALUE!</v>
      </c>
      <c r="S232" t="e">
        <f>'All regions'!5000:5000-"$F;@!.R'"</f>
        <v>#VALUE!</v>
      </c>
      <c r="T232" t="e">
        <f>'All regions'!5001:5001-"$F;@!.R("</f>
        <v>#VALUE!</v>
      </c>
      <c r="U232" t="e">
        <f>'All regions'!5002:5002-"$F;@!.R)"</f>
        <v>#VALUE!</v>
      </c>
      <c r="V232" t="e">
        <f>'All regions'!5003:5003-"$F;@!.R."</f>
        <v>#VALUE!</v>
      </c>
      <c r="W232" t="e">
        <f>'All regions'!5004:5004-"$F;@!.R/"</f>
        <v>#VALUE!</v>
      </c>
      <c r="X232" t="e">
        <f>'All regions'!5005:5005-"$F;@!.R0"</f>
        <v>#VALUE!</v>
      </c>
      <c r="Y232" t="e">
        <f>'All regions'!5006:5006-"$F;@!.R1"</f>
        <v>#VALUE!</v>
      </c>
      <c r="Z232" t="e">
        <f>'All regions'!5007:5007-"$F;@!.R2"</f>
        <v>#VALUE!</v>
      </c>
      <c r="AA232" t="e">
        <f>'All regions'!5008:5008-"$F;@!.R3"</f>
        <v>#VALUE!</v>
      </c>
      <c r="AB232" t="e">
        <f>'All regions'!5009:5009-"$F;@!.R4"</f>
        <v>#VALUE!</v>
      </c>
      <c r="AC232" t="e">
        <f>'All regions'!5010:5010-"$F;@!.R5"</f>
        <v>#VALUE!</v>
      </c>
      <c r="AD232" t="e">
        <f>'All regions'!5011:5011-"$F;@!.R6"</f>
        <v>#VALUE!</v>
      </c>
      <c r="AE232" t="e">
        <f>'All regions'!5012:5012-"$F;@!.R7"</f>
        <v>#VALUE!</v>
      </c>
      <c r="AF232" t="e">
        <f>'All regions'!5013:5013-"$F;@!.R8"</f>
        <v>#VALUE!</v>
      </c>
      <c r="AG232" t="e">
        <f>'All regions'!5014:5014-"$F;@!.R9"</f>
        <v>#VALUE!</v>
      </c>
      <c r="AH232" t="e">
        <f>'All regions'!5015:5015-"$F;@!.R:"</f>
        <v>#VALUE!</v>
      </c>
      <c r="AI232" t="e">
        <f>'All regions'!5016:5016-"$F;@!.R;"</f>
        <v>#VALUE!</v>
      </c>
      <c r="AJ232" t="e">
        <f>'All regions'!5017:5017-"$F;@!.R&lt;"</f>
        <v>#VALUE!</v>
      </c>
      <c r="AK232" t="e">
        <f>'All regions'!5018:5018-"$F;@!.R="</f>
        <v>#VALUE!</v>
      </c>
      <c r="AL232" t="e">
        <f>'All regions'!5019:5019-"$F;@!.R&gt;"</f>
        <v>#VALUE!</v>
      </c>
      <c r="AM232" t="e">
        <f>'All regions'!5020:5020-"$F;@!.R?"</f>
        <v>#VALUE!</v>
      </c>
      <c r="AN232" t="e">
        <f>'All regions'!5021:5021-"$F;@!.R@"</f>
        <v>#VALUE!</v>
      </c>
      <c r="AO232" t="e">
        <f>'All regions'!5022:5022-"$F;@!.RA"</f>
        <v>#VALUE!</v>
      </c>
      <c r="AP232" t="e">
        <f>'All regions'!5023:5023-"$F;@!.RB"</f>
        <v>#VALUE!</v>
      </c>
      <c r="AQ232" t="e">
        <f>'All regions'!5024:5024-"$F;@!.RC"</f>
        <v>#VALUE!</v>
      </c>
      <c r="AR232" t="e">
        <f>'All regions'!5025:5025-"$F;@!.RD"</f>
        <v>#VALUE!</v>
      </c>
      <c r="AS232" t="e">
        <f>'All regions'!5026:5026-"$F;@!.RE"</f>
        <v>#VALUE!</v>
      </c>
      <c r="AT232" t="e">
        <f>'All regions'!5027:5027-"$F;@!.RF"</f>
        <v>#VALUE!</v>
      </c>
      <c r="AU232" t="e">
        <f>'All regions'!5028:5028-"$F;@!.RG"</f>
        <v>#VALUE!</v>
      </c>
      <c r="AV232" t="e">
        <f>'All regions'!5029:5029-"$F;@!.RH"</f>
        <v>#VALUE!</v>
      </c>
      <c r="AW232" t="e">
        <f>'All regions'!5030:5030-"$F;@!.RI"</f>
        <v>#VALUE!</v>
      </c>
      <c r="AX232" t="e">
        <f>'All regions'!5031:5031-"$F;@!.RJ"</f>
        <v>#VALUE!</v>
      </c>
      <c r="AY232" t="e">
        <f>'All regions'!5032:5032-"$F;@!.RK"</f>
        <v>#VALUE!</v>
      </c>
      <c r="AZ232" t="e">
        <f>'All regions'!5033:5033-"$F;@!.RL"</f>
        <v>#VALUE!</v>
      </c>
      <c r="BA232" t="e">
        <f>'All regions'!5034:5034-"$F;@!.RM"</f>
        <v>#VALUE!</v>
      </c>
      <c r="BB232" t="e">
        <f>'All regions'!5035:5035-"$F;@!.RN"</f>
        <v>#VALUE!</v>
      </c>
      <c r="BC232" t="e">
        <f>'All regions'!5036:5036-"$F;@!.RO"</f>
        <v>#VALUE!</v>
      </c>
      <c r="BD232" t="e">
        <f>'All regions'!5037:5037-"$F;@!.RP"</f>
        <v>#VALUE!</v>
      </c>
      <c r="BE232" t="e">
        <f>'All regions'!5038:5038-"$F;@!.RQ"</f>
        <v>#VALUE!</v>
      </c>
      <c r="BF232" t="e">
        <f>'All regions'!5039:5039-"$F;@!.RR"</f>
        <v>#VALUE!</v>
      </c>
      <c r="BG232" t="e">
        <f>'All regions'!5040:5040-"$F;@!.RS"</f>
        <v>#VALUE!</v>
      </c>
      <c r="BH232" t="e">
        <f>'All regions'!5041:5041-"$F;@!.RT"</f>
        <v>#VALUE!</v>
      </c>
      <c r="BI232" t="e">
        <f>'All regions'!5042:5042-"$F;@!.RU"</f>
        <v>#VALUE!</v>
      </c>
      <c r="BJ232" t="e">
        <f>'All regions'!5043:5043-"$F;@!.RV"</f>
        <v>#VALUE!</v>
      </c>
      <c r="BK232" t="e">
        <f>'All regions'!5044:5044-"$F;@!.RW"</f>
        <v>#VALUE!</v>
      </c>
      <c r="BL232" t="e">
        <f>'All regions'!5045:5045-"$F;@!.RX"</f>
        <v>#VALUE!</v>
      </c>
      <c r="BM232" t="e">
        <f>'All regions'!5046:5046-"$F;@!.RY"</f>
        <v>#VALUE!</v>
      </c>
      <c r="BN232" t="e">
        <f>'All regions'!5047:5047-"$F;@!.RZ"</f>
        <v>#VALUE!</v>
      </c>
      <c r="BO232" t="e">
        <f>'All regions'!5048:5048-"$F;@!.R["</f>
        <v>#VALUE!</v>
      </c>
      <c r="BP232" t="e">
        <f>'All regions'!5049:5049-"$F;@!.R\"</f>
        <v>#VALUE!</v>
      </c>
      <c r="BQ232" t="e">
        <f>'All regions'!5050:5050-"$F;@!.R]"</f>
        <v>#VALUE!</v>
      </c>
      <c r="BR232" t="e">
        <f>'All regions'!5051:5051-"$F;@!.R^"</f>
        <v>#VALUE!</v>
      </c>
      <c r="BS232" t="e">
        <f>'All regions'!5052:5052-"$F;@!.R_"</f>
        <v>#VALUE!</v>
      </c>
      <c r="BT232" t="e">
        <f>'All regions'!5053:5053-"$F;@!.R`"</f>
        <v>#VALUE!</v>
      </c>
      <c r="BU232" t="e">
        <f>'All regions'!5054:5054-"$F;@!.Ra"</f>
        <v>#VALUE!</v>
      </c>
      <c r="BV232" t="e">
        <f>'All regions'!5055:5055-"$F;@!.Rb"</f>
        <v>#VALUE!</v>
      </c>
      <c r="BW232" t="e">
        <f>'All regions'!5056:5056-"$F;@!.Rc"</f>
        <v>#VALUE!</v>
      </c>
      <c r="BX232" t="e">
        <f>'All regions'!5057:5057-"$F;@!.Rd"</f>
        <v>#VALUE!</v>
      </c>
      <c r="BY232" t="e">
        <f>'All regions'!5058:5058-"$F;@!.Re"</f>
        <v>#VALUE!</v>
      </c>
      <c r="BZ232" t="e">
        <f>'All regions'!5059:5059-"$F;@!.Rf"</f>
        <v>#VALUE!</v>
      </c>
      <c r="CA232" t="e">
        <f>'All regions'!5060:5060-"$F;@!.Rg"</f>
        <v>#VALUE!</v>
      </c>
      <c r="CB232" t="e">
        <f>'All regions'!5061:5061-"$F;@!.Rh"</f>
        <v>#VALUE!</v>
      </c>
      <c r="CC232" t="e">
        <f>'All regions'!5062:5062-"$F;@!.Ri"</f>
        <v>#VALUE!</v>
      </c>
      <c r="CD232" t="e">
        <f>'All regions'!5063:5063-"$F;@!.Rj"</f>
        <v>#VALUE!</v>
      </c>
      <c r="CE232" t="e">
        <f>'All regions'!5064:5064-"$F;@!.Rk"</f>
        <v>#VALUE!</v>
      </c>
      <c r="CF232" t="e">
        <f>'All regions'!5065:5065-"$F;@!.Rl"</f>
        <v>#VALUE!</v>
      </c>
      <c r="CG232" t="e">
        <f>'All regions'!5066:5066-"$F;@!.Rm"</f>
        <v>#VALUE!</v>
      </c>
      <c r="CH232" t="e">
        <f>'All regions'!5067:5067-"$F;@!.Rn"</f>
        <v>#VALUE!</v>
      </c>
      <c r="CI232" t="e">
        <f>'All regions'!5068:5068-"$F;@!.Ro"</f>
        <v>#VALUE!</v>
      </c>
      <c r="CJ232" t="e">
        <f>'All regions'!5069:5069-"$F;@!.Rp"</f>
        <v>#VALUE!</v>
      </c>
      <c r="CK232" t="e">
        <f>'All regions'!5070:5070-"$F;@!.Rq"</f>
        <v>#VALUE!</v>
      </c>
      <c r="CL232" t="e">
        <f>'All regions'!5071:5071-"$F;@!.Rr"</f>
        <v>#VALUE!</v>
      </c>
      <c r="CM232" t="e">
        <f>'All regions'!5072:5072-"$F;@!.Rs"</f>
        <v>#VALUE!</v>
      </c>
      <c r="CN232" t="e">
        <f>'All regions'!5073:5073-"$F;@!.Rt"</f>
        <v>#VALUE!</v>
      </c>
      <c r="CO232" t="e">
        <f>'All regions'!5074:5074-"$F;@!.Ru"</f>
        <v>#VALUE!</v>
      </c>
      <c r="CP232" t="e">
        <f>'All regions'!5075:5075-"$F;@!.Rv"</f>
        <v>#VALUE!</v>
      </c>
      <c r="CQ232" t="e">
        <f>'All regions'!5076:5076-"$F;@!.Rw"</f>
        <v>#VALUE!</v>
      </c>
      <c r="CR232" t="e">
        <f>'All regions'!5077:5077-"$F;@!.Rx"</f>
        <v>#VALUE!</v>
      </c>
      <c r="CS232" t="e">
        <f>'All regions'!5078:5078-"$F;@!.Ry"</f>
        <v>#VALUE!</v>
      </c>
      <c r="CT232" t="e">
        <f>'All regions'!5079:5079-"$F;@!.Rz"</f>
        <v>#VALUE!</v>
      </c>
      <c r="CU232" t="e">
        <f>'All regions'!5080:5080-"$F;@!.R{"</f>
        <v>#VALUE!</v>
      </c>
      <c r="CV232" t="e">
        <f>'All regions'!5081:5081-"$F;@!.R|"</f>
        <v>#VALUE!</v>
      </c>
      <c r="CW232" t="e">
        <f>'All regions'!5082:5082-"$F;@!.R}"</f>
        <v>#VALUE!</v>
      </c>
      <c r="CX232" t="e">
        <f>'All regions'!5083:5083-"$F;@!.R~"</f>
        <v>#VALUE!</v>
      </c>
      <c r="CY232" t="e">
        <f>'All regions'!5084:5084-"$F;@!.S#"</f>
        <v>#VALUE!</v>
      </c>
      <c r="CZ232" t="e">
        <f>'All regions'!5085:5085-"$F;@!.S$"</f>
        <v>#VALUE!</v>
      </c>
      <c r="DA232" t="e">
        <f>'All regions'!5086:5086-"$F;@!.S%"</f>
        <v>#VALUE!</v>
      </c>
      <c r="DB232" t="e">
        <f>'All regions'!5087:5087-"$F;@!.S&amp;"</f>
        <v>#VALUE!</v>
      </c>
      <c r="DC232" t="e">
        <f>'All regions'!5088:5088-"$F;@!.S'"</f>
        <v>#VALUE!</v>
      </c>
      <c r="DD232" t="e">
        <f>'All regions'!5089:5089-"$F;@!.S("</f>
        <v>#VALUE!</v>
      </c>
      <c r="DE232" t="e">
        <f>'All regions'!5090:5090-"$F;@!.S)"</f>
        <v>#VALUE!</v>
      </c>
      <c r="DF232" t="e">
        <f>'All regions'!5091:5091-"$F;@!.S."</f>
        <v>#VALUE!</v>
      </c>
      <c r="DG232" t="e">
        <f>'All regions'!5092:5092-"$F;@!.S/"</f>
        <v>#VALUE!</v>
      </c>
      <c r="DH232" t="e">
        <f>'All regions'!5093:5093-"$F;@!.S0"</f>
        <v>#VALUE!</v>
      </c>
      <c r="DI232" t="e">
        <f>'All regions'!5094:5094-"$F;@!.S1"</f>
        <v>#VALUE!</v>
      </c>
      <c r="DJ232" t="e">
        <f>'All regions'!5095:5095-"$F;@!.S2"</f>
        <v>#VALUE!</v>
      </c>
      <c r="DK232" t="e">
        <f>'All regions'!5096:5096-"$F;@!.S3"</f>
        <v>#VALUE!</v>
      </c>
      <c r="DL232" t="e">
        <f>'All regions'!5097:5097-"$F;@!.S4"</f>
        <v>#VALUE!</v>
      </c>
      <c r="DM232" t="e">
        <f>'All regions'!5098:5098-"$F;@!.S5"</f>
        <v>#VALUE!</v>
      </c>
      <c r="DN232" t="e">
        <f>'All regions'!5099:5099-"$F;@!.S6"</f>
        <v>#VALUE!</v>
      </c>
      <c r="DO232" t="e">
        <f>'All regions'!5100:5100-"$F;@!.S7"</f>
        <v>#VALUE!</v>
      </c>
      <c r="DP232" t="e">
        <f>'All regions'!5101:5101-"$F;@!.S8"</f>
        <v>#VALUE!</v>
      </c>
      <c r="DQ232" t="e">
        <f>'All regions'!5102:5102-"$F;@!.S9"</f>
        <v>#VALUE!</v>
      </c>
      <c r="DR232" t="e">
        <f>'All regions'!5103:5103-"$F;@!.S:"</f>
        <v>#VALUE!</v>
      </c>
      <c r="DS232" t="e">
        <f>'All regions'!5104:5104-"$F;@!.S;"</f>
        <v>#VALUE!</v>
      </c>
      <c r="DT232" t="e">
        <f>'All regions'!5105:5105-"$F;@!.S&lt;"</f>
        <v>#VALUE!</v>
      </c>
      <c r="DU232" t="e">
        <f>'All regions'!5106:5106-"$F;@!.S="</f>
        <v>#VALUE!</v>
      </c>
      <c r="DV232" t="e">
        <f>'All regions'!5107:5107-"$F;@!.S&gt;"</f>
        <v>#VALUE!</v>
      </c>
      <c r="DW232" t="e">
        <f>'All regions'!5108:5108-"$F;@!.S?"</f>
        <v>#VALUE!</v>
      </c>
      <c r="DX232" t="e">
        <f>'All regions'!5109:5109-"$F;@!.S@"</f>
        <v>#VALUE!</v>
      </c>
      <c r="DY232" t="e">
        <f>'All regions'!5110:5110-"$F;@!.SA"</f>
        <v>#VALUE!</v>
      </c>
      <c r="DZ232" t="e">
        <f>'All regions'!5111:5111-"$F;@!.SB"</f>
        <v>#VALUE!</v>
      </c>
      <c r="EA232" t="e">
        <f>'All regions'!5112:5112-"$F;@!.SC"</f>
        <v>#VALUE!</v>
      </c>
      <c r="EB232" t="e">
        <f>'All regions'!5113:5113-"$F;@!.SD"</f>
        <v>#VALUE!</v>
      </c>
      <c r="EC232" t="e">
        <f>'All regions'!5114:5114-"$F;@!.SE"</f>
        <v>#VALUE!</v>
      </c>
      <c r="ED232" t="e">
        <f>'All regions'!5115:5115-"$F;@!.SF"</f>
        <v>#VALUE!</v>
      </c>
      <c r="EE232" t="e">
        <f>'All regions'!5116:5116-"$F;@!.SG"</f>
        <v>#VALUE!</v>
      </c>
      <c r="EF232" t="e">
        <f>'All regions'!5117:5117-"$F;@!.SH"</f>
        <v>#VALUE!</v>
      </c>
      <c r="EG232" t="e">
        <f>'All regions'!5118:5118-"$F;@!.SI"</f>
        <v>#VALUE!</v>
      </c>
      <c r="EH232" t="e">
        <f>'All regions'!5119:5119-"$F;@!.SJ"</f>
        <v>#VALUE!</v>
      </c>
      <c r="EI232" t="e">
        <f>'All regions'!5120:5120-"$F;@!.SK"</f>
        <v>#VALUE!</v>
      </c>
      <c r="EJ232" t="e">
        <f>'All regions'!5121:5121-"$F;@!.SL"</f>
        <v>#VALUE!</v>
      </c>
      <c r="EK232" t="e">
        <f>'All regions'!5122:5122-"$F;@!.SM"</f>
        <v>#VALUE!</v>
      </c>
      <c r="EL232" t="e">
        <f>'All regions'!5123:5123-"$F;@!.SN"</f>
        <v>#VALUE!</v>
      </c>
      <c r="EM232" t="e">
        <f>'All regions'!5124:5124-"$F;@!.SO"</f>
        <v>#VALUE!</v>
      </c>
      <c r="EN232" t="e">
        <f>'All regions'!5125:5125-"$F;@!.SP"</f>
        <v>#VALUE!</v>
      </c>
      <c r="EO232" t="e">
        <f>'All regions'!5126:5126-"$F;@!.SQ"</f>
        <v>#VALUE!</v>
      </c>
      <c r="EP232" t="e">
        <f>'All regions'!5127:5127-"$F;@!.SR"</f>
        <v>#VALUE!</v>
      </c>
      <c r="EQ232" t="e">
        <f>'All regions'!5128:5128-"$F;@!.SS"</f>
        <v>#VALUE!</v>
      </c>
      <c r="ER232" t="e">
        <f>'All regions'!5129:5129-"$F;@!.ST"</f>
        <v>#VALUE!</v>
      </c>
      <c r="ES232" t="e">
        <f>'All regions'!5130:5130-"$F;@!.SU"</f>
        <v>#VALUE!</v>
      </c>
      <c r="ET232" t="e">
        <f>'All regions'!5131:5131-"$F;@!.SV"</f>
        <v>#VALUE!</v>
      </c>
      <c r="EU232" t="e">
        <f>'All regions'!5132:5132-"$F;@!.SW"</f>
        <v>#VALUE!</v>
      </c>
      <c r="EV232" t="e">
        <f>'All regions'!5133:5133-"$F;@!.SX"</f>
        <v>#VALUE!</v>
      </c>
      <c r="EW232" t="e">
        <f>'All regions'!5134:5134-"$F;@!.SY"</f>
        <v>#VALUE!</v>
      </c>
      <c r="EX232" t="e">
        <f>'All regions'!5135:5135-"$F;@!.SZ"</f>
        <v>#VALUE!</v>
      </c>
      <c r="EY232" t="e">
        <f>'All regions'!5136:5136-"$F;@!.S["</f>
        <v>#VALUE!</v>
      </c>
      <c r="EZ232" t="e">
        <f>'All regions'!5138:5138-"$F;@!.S\"</f>
        <v>#VALUE!</v>
      </c>
      <c r="FA232" t="e">
        <f>'All regions'!5139:5139-"$F;@!.S]"</f>
        <v>#VALUE!</v>
      </c>
      <c r="FB232" t="e">
        <f>'All regions'!5140:5140-"$F;@!.S^"</f>
        <v>#VALUE!</v>
      </c>
      <c r="FC232" t="e">
        <f>'All regions'!5141:5141-"$F;@!.S_"</f>
        <v>#VALUE!</v>
      </c>
      <c r="FD232" t="e">
        <f>'All regions'!5142:5142-"$F;@!.S`"</f>
        <v>#VALUE!</v>
      </c>
      <c r="FE232" t="e">
        <f>'All regions'!5143:5143-"$F;@!.Sa"</f>
        <v>#VALUE!</v>
      </c>
      <c r="FF232" t="e">
        <f>'All regions'!5144:5144-"$F;@!.Sb"</f>
        <v>#VALUE!</v>
      </c>
      <c r="FG232" t="e">
        <f>'All regions'!5145:5145-"$F;@!.Sc"</f>
        <v>#VALUE!</v>
      </c>
      <c r="FH232" t="e">
        <f>'All regions'!5146:5146-"$F;@!.Sd"</f>
        <v>#VALUE!</v>
      </c>
      <c r="FI232" t="e">
        <f>'All regions'!5147:5147-"$F;@!.Se"</f>
        <v>#VALUE!</v>
      </c>
      <c r="FJ232" t="e">
        <f>'All regions'!5148:5148-"$F;@!.Sf"</f>
        <v>#VALUE!</v>
      </c>
      <c r="FK232" t="e">
        <f>'All regions'!5149:5149-"$F;@!.Sg"</f>
        <v>#VALUE!</v>
      </c>
      <c r="FL232" t="e">
        <f>'All regions'!5150:5150-"$F;@!.Sh"</f>
        <v>#VALUE!</v>
      </c>
      <c r="FM232" t="e">
        <f>'All regions'!5151:5151-"$F;@!.Si"</f>
        <v>#VALUE!</v>
      </c>
      <c r="FN232" t="e">
        <f>'All regions'!5152:5152-"$F;@!.Sj"</f>
        <v>#VALUE!</v>
      </c>
      <c r="FO232" t="e">
        <f>'All regions'!5153:5153-"$F;@!.Sk"</f>
        <v>#VALUE!</v>
      </c>
      <c r="FP232" t="e">
        <f>'All regions'!5154:5154-"$F;@!.Sl"</f>
        <v>#VALUE!</v>
      </c>
      <c r="FQ232" t="e">
        <f>'All regions'!5155:5155-"$F;@!.Sm"</f>
        <v>#VALUE!</v>
      </c>
      <c r="FR232" t="e">
        <f>'All regions'!5156:5156-"$F;@!.Sn"</f>
        <v>#VALUE!</v>
      </c>
      <c r="FS232" t="e">
        <f>'All regions'!5157:5157-"$F;@!.So"</f>
        <v>#VALUE!</v>
      </c>
      <c r="FT232" t="e">
        <f>'All regions'!5158:5158-"$F;@!.Sp"</f>
        <v>#VALUE!</v>
      </c>
      <c r="FU232" t="e">
        <f>'All regions'!5159:5159-"$F;@!.Sq"</f>
        <v>#VALUE!</v>
      </c>
      <c r="FV232" t="e">
        <f>'All regions'!5160:5160-"$F;@!.Sr"</f>
        <v>#VALUE!</v>
      </c>
      <c r="FW232" t="e">
        <f>'All regions'!5161:5161-"$F;@!.Ss"</f>
        <v>#VALUE!</v>
      </c>
      <c r="FX232" t="e">
        <f>'All regions'!5162:5162-"$F;@!.St"</f>
        <v>#VALUE!</v>
      </c>
      <c r="FY232" t="e">
        <f>'All regions'!5163:5163-"$F;@!.Su"</f>
        <v>#VALUE!</v>
      </c>
      <c r="FZ232" t="e">
        <f>'All regions'!5164:5164-"$F;@!.Sv"</f>
        <v>#VALUE!</v>
      </c>
      <c r="GA232" t="e">
        <f>'All regions'!5165:5165-"$F;@!.Sw"</f>
        <v>#VALUE!</v>
      </c>
      <c r="GB232" t="e">
        <f>'All regions'!5166:5166-"$F;@!.Sx"</f>
        <v>#VALUE!</v>
      </c>
      <c r="GC232" t="e">
        <f>'All regions'!5167:5167-"$F;@!.Sy"</f>
        <v>#VALUE!</v>
      </c>
      <c r="GD232" t="e">
        <f>'All regions'!5168:5168-"$F;@!.Sz"</f>
        <v>#VALUE!</v>
      </c>
      <c r="GE232" t="e">
        <f>'All regions'!5169:5169-"$F;@!.S{"</f>
        <v>#VALUE!</v>
      </c>
      <c r="GF232" t="e">
        <f>'All regions'!5170:5170-"$F;@!.S|"</f>
        <v>#VALUE!</v>
      </c>
      <c r="GG232" t="e">
        <f>'All regions'!5171:5171-"$F;@!.S}"</f>
        <v>#VALUE!</v>
      </c>
      <c r="GH232" t="e">
        <f>'All regions'!5172:5172-"$F;@!.S~"</f>
        <v>#VALUE!</v>
      </c>
      <c r="GI232" t="e">
        <f>'All regions'!5173:5173-"$F;@!.T#"</f>
        <v>#VALUE!</v>
      </c>
      <c r="GJ232" t="e">
        <f>'All regions'!5174:5174-"$F;@!.T$"</f>
        <v>#VALUE!</v>
      </c>
      <c r="GK232" t="e">
        <f>'All regions'!5175:5175-"$F;@!.T%"</f>
        <v>#VALUE!</v>
      </c>
      <c r="GL232" t="e">
        <f>'All regions'!5176:5176-"$F;@!.T&amp;"</f>
        <v>#VALUE!</v>
      </c>
      <c r="GM232" t="e">
        <f>'All regions'!5177:5177-"$F;@!.T'"</f>
        <v>#VALUE!</v>
      </c>
      <c r="GN232" t="e">
        <f>'All regions'!5178:5178-"$F;@!.T("</f>
        <v>#VALUE!</v>
      </c>
      <c r="GO232" t="e">
        <f>'All regions'!5179:5179-"$F;@!.T)"</f>
        <v>#VALUE!</v>
      </c>
      <c r="GP232" t="e">
        <f>'All regions'!5180:5180-"$F;@!.T."</f>
        <v>#VALUE!</v>
      </c>
      <c r="GQ232" t="e">
        <f>'All regions'!5181:5181-"$F;@!.T/"</f>
        <v>#VALUE!</v>
      </c>
      <c r="GR232" t="e">
        <f>'All regions'!5182:5182-"$F;@!.T0"</f>
        <v>#VALUE!</v>
      </c>
      <c r="GS232" t="e">
        <f>'All regions'!5183:5183-"$F;@!.T1"</f>
        <v>#VALUE!</v>
      </c>
      <c r="GT232" t="e">
        <f>'All regions'!5184:5184-"$F;@!.T2"</f>
        <v>#VALUE!</v>
      </c>
      <c r="GU232" t="e">
        <f>'All regions'!5185:5185-"$F;@!.T3"</f>
        <v>#VALUE!</v>
      </c>
      <c r="GV232" t="e">
        <f>'All regions'!5186:5186-"$F;@!.T4"</f>
        <v>#VALUE!</v>
      </c>
      <c r="GW232" t="e">
        <f>'All regions'!5187:5187-"$F;@!.T5"</f>
        <v>#VALUE!</v>
      </c>
      <c r="GX232" t="e">
        <f>'All regions'!5188:5188-"$F;@!.T6"</f>
        <v>#VALUE!</v>
      </c>
      <c r="GY232" t="e">
        <f>'All regions'!5189:5189-"$F;@!.T7"</f>
        <v>#VALUE!</v>
      </c>
      <c r="GZ232" t="e">
        <f>'All regions'!5190:5190-"$F;@!.T8"</f>
        <v>#VALUE!</v>
      </c>
      <c r="HA232" t="e">
        <f>'All regions'!5191:5191-"$F;@!.T9"</f>
        <v>#VALUE!</v>
      </c>
      <c r="HB232" t="e">
        <f>'All regions'!5192:5192-"$F;@!.T:"</f>
        <v>#VALUE!</v>
      </c>
      <c r="HC232" t="e">
        <f>'All regions'!5193:5193-"$F;@!.T;"</f>
        <v>#VALUE!</v>
      </c>
      <c r="HD232" t="e">
        <f>'All regions'!5194:5194-"$F;@!.T&lt;"</f>
        <v>#VALUE!</v>
      </c>
      <c r="HE232" t="e">
        <f>'All regions'!5195:5195-"$F;@!.T="</f>
        <v>#VALUE!</v>
      </c>
      <c r="HF232" t="e">
        <f>'All regions'!5196:5196-"$F;@!.T&gt;"</f>
        <v>#VALUE!</v>
      </c>
      <c r="HG232" t="e">
        <f>'All regions'!5197:5197-"$F;@!.T?"</f>
        <v>#VALUE!</v>
      </c>
      <c r="HH232" t="e">
        <f>'All regions'!5198:5198-"$F;@!.T@"</f>
        <v>#VALUE!</v>
      </c>
      <c r="HI232" t="e">
        <f>'All regions'!5199:5199-"$F;@!.TA"</f>
        <v>#VALUE!</v>
      </c>
      <c r="HJ232" t="e">
        <f>'All regions'!5200:5200-"$F;@!.TB"</f>
        <v>#VALUE!</v>
      </c>
      <c r="HK232" t="e">
        <f>'All regions'!5201:5201-"$F;@!.TC"</f>
        <v>#VALUE!</v>
      </c>
      <c r="HL232" t="e">
        <f>'All regions'!5202:5202-"$F;@!.TD"</f>
        <v>#VALUE!</v>
      </c>
      <c r="HM232" t="e">
        <f>'All regions'!5203:5203-"$F;@!.TE"</f>
        <v>#VALUE!</v>
      </c>
      <c r="HN232" t="e">
        <f>'All regions'!5204:5204-"$F;@!.TF"</f>
        <v>#VALUE!</v>
      </c>
      <c r="HO232" t="e">
        <f>'All regions'!5205:5205-"$F;@!.TG"</f>
        <v>#VALUE!</v>
      </c>
      <c r="HP232" t="e">
        <f>'All regions'!5206:5206-"$F;@!.TH"</f>
        <v>#VALUE!</v>
      </c>
      <c r="HQ232" t="e">
        <f>'All regions'!5207:5207-"$F;@!.TI"</f>
        <v>#VALUE!</v>
      </c>
      <c r="HR232" t="e">
        <f>'All regions'!5208:5208-"$F;@!.TJ"</f>
        <v>#VALUE!</v>
      </c>
      <c r="HS232" t="e">
        <f>'All regions'!5209:5209-"$F;@!.TK"</f>
        <v>#VALUE!</v>
      </c>
      <c r="HT232" t="e">
        <f>'All regions'!5210:5210-"$F;@!.TL"</f>
        <v>#VALUE!</v>
      </c>
      <c r="HU232" t="e">
        <f>'All regions'!5211:5211-"$F;@!.TM"</f>
        <v>#VALUE!</v>
      </c>
      <c r="HV232" t="e">
        <f>'All regions'!5212:5212-"$F;@!.TN"</f>
        <v>#VALUE!</v>
      </c>
      <c r="HW232" t="e">
        <f>'All regions'!5213:5213-"$F;@!.TO"</f>
        <v>#VALUE!</v>
      </c>
      <c r="HX232" t="e">
        <f>'All regions'!5214:5214-"$F;@!.TP"</f>
        <v>#VALUE!</v>
      </c>
      <c r="HY232" t="e">
        <f>'All regions'!5215:5215-"$F;@!.TQ"</f>
        <v>#VALUE!</v>
      </c>
      <c r="HZ232" t="e">
        <f>'All regions'!5216:5216-"$F;@!.TR"</f>
        <v>#VALUE!</v>
      </c>
      <c r="IA232" t="e">
        <f>'All regions'!5217:5217-"$F;@!.TS"</f>
        <v>#VALUE!</v>
      </c>
      <c r="IB232" t="e">
        <f>'All regions'!5218:5218-"$F;@!.TT"</f>
        <v>#VALUE!</v>
      </c>
      <c r="IC232" t="e">
        <f>'All regions'!5219:5219-"$F;@!.TU"</f>
        <v>#VALUE!</v>
      </c>
      <c r="ID232" t="e">
        <f>'All regions'!5220:5220-"$F;@!.TV"</f>
        <v>#VALUE!</v>
      </c>
      <c r="IE232" t="e">
        <f>'All regions'!5221:5221-"$F;@!.TW"</f>
        <v>#VALUE!</v>
      </c>
      <c r="IF232" t="e">
        <f>'All regions'!5222:5222-"$F;@!.TX"</f>
        <v>#VALUE!</v>
      </c>
      <c r="IG232" t="e">
        <f>'All regions'!5223:5223-"$F;@!.TY"</f>
        <v>#VALUE!</v>
      </c>
      <c r="IH232" t="e">
        <f>'All regions'!5224:5224-"$F;@!.TZ"</f>
        <v>#VALUE!</v>
      </c>
      <c r="II232" t="e">
        <f>'All regions'!5225:5225-"$F;@!.T["</f>
        <v>#VALUE!</v>
      </c>
      <c r="IJ232" t="e">
        <f>'All regions'!5226:5226-"$F;@!.T\"</f>
        <v>#VALUE!</v>
      </c>
      <c r="IK232" t="e">
        <f>'All regions'!5227:5227-"$F;@!.T]"</f>
        <v>#VALUE!</v>
      </c>
      <c r="IL232" t="e">
        <f>'All regions'!5228:5228-"$F;@!.T^"</f>
        <v>#VALUE!</v>
      </c>
      <c r="IM232" t="e">
        <f>'All regions'!5229:5229-"$F;@!.T_"</f>
        <v>#VALUE!</v>
      </c>
      <c r="IN232" t="e">
        <f>'All regions'!5230:5230-"$F;@!.T`"</f>
        <v>#VALUE!</v>
      </c>
      <c r="IO232" t="e">
        <f>'All regions'!5231:5231-"$F;@!.Ta"</f>
        <v>#VALUE!</v>
      </c>
      <c r="IP232" t="e">
        <f>'All regions'!5232:5232-"$F;@!.Tb"</f>
        <v>#VALUE!</v>
      </c>
      <c r="IQ232" t="e">
        <f>'All regions'!5233:5233-"$F;@!.Tc"</f>
        <v>#VALUE!</v>
      </c>
      <c r="IR232" t="e">
        <f>'All regions'!5234:5234-"$F;@!.Td"</f>
        <v>#VALUE!</v>
      </c>
      <c r="IS232" t="e">
        <f>'All regions'!5235:5235-"$F;@!.Te"</f>
        <v>#VALUE!</v>
      </c>
      <c r="IT232" t="e">
        <f>'All regions'!5236:5236-"$F;@!.Tf"</f>
        <v>#VALUE!</v>
      </c>
      <c r="IU232" t="e">
        <f>'All regions'!5237:5237-"$F;@!.Tg"</f>
        <v>#VALUE!</v>
      </c>
      <c r="IV232" t="e">
        <f>'All regions'!5238:5238-"$F;@!.Th"</f>
        <v>#VALUE!</v>
      </c>
    </row>
    <row r="233" spans="6:256" x14ac:dyDescent="0.35">
      <c r="F233" t="e">
        <f>'All regions'!5239:5239-"$F;@!.Ti"</f>
        <v>#VALUE!</v>
      </c>
      <c r="G233" t="e">
        <f>'All regions'!5240:5240-"$F;@!.Tj"</f>
        <v>#VALUE!</v>
      </c>
      <c r="H233" t="e">
        <f>'All regions'!5241:5241-"$F;@!.Tk"</f>
        <v>#VALUE!</v>
      </c>
      <c r="I233" t="e">
        <f>'All regions'!5242:5242-"$F;@!.Tl"</f>
        <v>#VALUE!</v>
      </c>
      <c r="J233" t="e">
        <f>'All regions'!5243:5243-"$F;@!.Tm"</f>
        <v>#VALUE!</v>
      </c>
      <c r="K233" t="e">
        <f>'All regions'!5244:5244-"$F;@!.Tn"</f>
        <v>#VALUE!</v>
      </c>
      <c r="L233" t="e">
        <f>'All regions'!5245:5245-"$F;@!.To"</f>
        <v>#VALUE!</v>
      </c>
      <c r="M233" t="e">
        <f>'All regions'!5246:5246-"$F;@!.Tp"</f>
        <v>#VALUE!</v>
      </c>
      <c r="N233" t="e">
        <f>'All regions'!5247:5247-"$F;@!.Tq"</f>
        <v>#VALUE!</v>
      </c>
      <c r="O233" t="e">
        <f>'All regions'!5248:5248-"$F;@!.Tr"</f>
        <v>#VALUE!</v>
      </c>
      <c r="P233" t="e">
        <f>'All regions'!5249:5249-"$F;@!.Ts"</f>
        <v>#VALUE!</v>
      </c>
      <c r="Q233" t="e">
        <f>'All regions'!5250:5250-"$F;@!.Tt"</f>
        <v>#VALUE!</v>
      </c>
      <c r="R233" t="e">
        <f>'All regions'!5251:5251-"$F;@!.Tu"</f>
        <v>#VALUE!</v>
      </c>
      <c r="S233" t="e">
        <f>'All regions'!5252:5252-"$F;@!.Tv"</f>
        <v>#VALUE!</v>
      </c>
      <c r="T233" t="e">
        <f>'All regions'!5253:5253-"$F;@!.Tw"</f>
        <v>#VALUE!</v>
      </c>
      <c r="U233" t="e">
        <f>'All regions'!5254:5254-"$F;@!.Tx"</f>
        <v>#VALUE!</v>
      </c>
      <c r="V233" t="e">
        <f>'All regions'!5255:5255-"$F;@!.Ty"</f>
        <v>#VALUE!</v>
      </c>
      <c r="W233" t="e">
        <f>'All regions'!5256:5256-"$F;@!.Tz"</f>
        <v>#VALUE!</v>
      </c>
      <c r="X233" t="e">
        <f>'All regions'!5257:5257-"$F;@!.T{"</f>
        <v>#VALUE!</v>
      </c>
      <c r="Y233" t="e">
        <f>'All regions'!5258:5258-"$F;@!.T|"</f>
        <v>#VALUE!</v>
      </c>
      <c r="Z233" t="e">
        <f>'All regions'!5259:5259-"$F;@!.T}"</f>
        <v>#VALUE!</v>
      </c>
      <c r="AA233" t="e">
        <f>'All regions'!5260:5260-"$F;@!.T~"</f>
        <v>#VALUE!</v>
      </c>
      <c r="AB233" t="e">
        <f>'All regions'!5261:5261-"$F;@!.U#"</f>
        <v>#VALUE!</v>
      </c>
      <c r="AC233" t="e">
        <f>'All regions'!5262:5262-"$F;@!.U$"</f>
        <v>#VALUE!</v>
      </c>
      <c r="AD233" t="e">
        <f>'All regions'!5263:5263-"$F;@!.U%"</f>
        <v>#VALUE!</v>
      </c>
      <c r="AE233" t="e">
        <f>'All regions'!5264:5264-"$F;@!.U&amp;"</f>
        <v>#VALUE!</v>
      </c>
      <c r="AF233" t="e">
        <f>'All regions'!5265:5265-"$F;@!.U'"</f>
        <v>#VALUE!</v>
      </c>
      <c r="AG233" t="e">
        <f>'All regions'!5266:5266-"$F;@!.U("</f>
        <v>#VALUE!</v>
      </c>
      <c r="AH233" t="e">
        <f>'All regions'!5267:5267-"$F;@!.U)"</f>
        <v>#VALUE!</v>
      </c>
      <c r="AI233" t="e">
        <f>'All regions'!5268:5268-"$F;@!.U."</f>
        <v>#VALUE!</v>
      </c>
      <c r="AJ233" t="e">
        <f>'All regions'!5269:5269-"$F;@!.U/"</f>
        <v>#VALUE!</v>
      </c>
      <c r="AK233" t="e">
        <f>'All regions'!5270:5270-"$F;@!.U0"</f>
        <v>#VALUE!</v>
      </c>
      <c r="AL233" t="e">
        <f>'All regions'!5271:5271-"$F;@!.U1"</f>
        <v>#VALUE!</v>
      </c>
      <c r="AM233" t="e">
        <f>'All regions'!5272:5272-"$F;@!.U2"</f>
        <v>#VALUE!</v>
      </c>
      <c r="AN233" t="e">
        <f>'All regions'!5273:5273-"$F;@!.U3"</f>
        <v>#VALUE!</v>
      </c>
      <c r="AO233" t="e">
        <f>'All regions'!5274:5274-"$F;@!.U4"</f>
        <v>#VALUE!</v>
      </c>
      <c r="AP233" t="e">
        <f>'All regions'!5275:5275-"$F;@!.U5"</f>
        <v>#VALUE!</v>
      </c>
      <c r="AQ233" t="e">
        <f>'All regions'!5276:5276-"$F;@!.U6"</f>
        <v>#VALUE!</v>
      </c>
      <c r="AR233" t="e">
        <f>'All regions'!5277:5277-"$F;@!.U7"</f>
        <v>#VALUE!</v>
      </c>
      <c r="AS233" t="e">
        <f>'All regions'!5278:5278-"$F;@!.U8"</f>
        <v>#VALUE!</v>
      </c>
      <c r="AT233" t="e">
        <f>'All regions'!5279:5279-"$F;@!.U9"</f>
        <v>#VALUE!</v>
      </c>
      <c r="AU233" t="e">
        <f>'All regions'!5280:5280-"$F;@!.U:"</f>
        <v>#VALUE!</v>
      </c>
      <c r="AV233" t="e">
        <f>'All regions'!5281:5281-"$F;@!.U;"</f>
        <v>#VALUE!</v>
      </c>
      <c r="AW233" t="e">
        <f>'All regions'!5282:5282-"$F;@!.U&lt;"</f>
        <v>#VALUE!</v>
      </c>
      <c r="AX233" t="e">
        <f>'All regions'!5283:5283-"$F;@!.U="</f>
        <v>#VALUE!</v>
      </c>
      <c r="AY233" t="e">
        <f>'All regions'!5284:5284-"$F;@!.U&gt;"</f>
        <v>#VALUE!</v>
      </c>
      <c r="AZ233" t="e">
        <f>'All regions'!5285:5285-"$F;@!.U?"</f>
        <v>#VALUE!</v>
      </c>
      <c r="BA233" t="e">
        <f>'All regions'!5286:5286-"$F;@!.U@"</f>
        <v>#VALUE!</v>
      </c>
      <c r="BB233" t="e">
        <f>'All regions'!5287:5287-"$F;@!.UA"</f>
        <v>#VALUE!</v>
      </c>
      <c r="BC233" t="e">
        <f>'All regions'!5288:5288-"$F;@!.UB"</f>
        <v>#VALUE!</v>
      </c>
      <c r="BD233" t="e">
        <f>'All regions'!5289:5289-"$F;@!.UC"</f>
        <v>#VALUE!</v>
      </c>
      <c r="BE233" t="e">
        <f>'All regions'!5290:5290-"$F;@!.UD"</f>
        <v>#VALUE!</v>
      </c>
      <c r="BF233" t="e">
        <f>'All regions'!5291:5291-"$F;@!.UE"</f>
        <v>#VALUE!</v>
      </c>
      <c r="BG233" t="e">
        <f>'All regions'!5292:5292-"$F;@!.UF"</f>
        <v>#VALUE!</v>
      </c>
      <c r="BH233" t="e">
        <f>'All regions'!5293:5293-"$F;@!.UG"</f>
        <v>#VALUE!</v>
      </c>
      <c r="BI233" t="e">
        <f>'All regions'!5295:5295-"$F;@!.UH"</f>
        <v>#VALUE!</v>
      </c>
      <c r="BJ233" t="e">
        <f>'All regions'!5296:5296-"$F;@!.UI"</f>
        <v>#VALUE!</v>
      </c>
      <c r="BK233" t="e">
        <f>'All regions'!5297:5297-"$F;@!.UJ"</f>
        <v>#VALUE!</v>
      </c>
      <c r="BL233" t="e">
        <f>'All regions'!5298:5298-"$F;@!.UK"</f>
        <v>#VALUE!</v>
      </c>
      <c r="BM233" t="e">
        <f>'All regions'!5299:5299-"$F;@!.UL"</f>
        <v>#VALUE!</v>
      </c>
      <c r="BN233" t="e">
        <f>'All regions'!5300:5300-"$F;@!.UM"</f>
        <v>#VALUE!</v>
      </c>
      <c r="BO233" t="e">
        <f>'All regions'!5303:5303-"$F;@!.UN"</f>
        <v>#VALUE!</v>
      </c>
      <c r="BP233" t="e">
        <f>'All regions'!5304:5304-"$F;@!.UO"</f>
        <v>#VALUE!</v>
      </c>
      <c r="BQ233" t="e">
        <f>'All regions'!5305:5305-"$F;@!.UP"</f>
        <v>#VALUE!</v>
      </c>
      <c r="BR233" t="e">
        <f>'All regions'!5306:5306-"$F;@!.UQ"</f>
        <v>#VALUE!</v>
      </c>
      <c r="BS233" t="e">
        <f>'All regions'!5307:5307-"$F;@!.UR"</f>
        <v>#VALUE!</v>
      </c>
      <c r="BT233" t="e">
        <f>'All regions'!5308:5308-"$F;@!.US"</f>
        <v>#VALUE!</v>
      </c>
      <c r="BU233" t="e">
        <f>'All regions'!5309:5309-"$F;@!.UT"</f>
        <v>#VALUE!</v>
      </c>
      <c r="BV233" t="e">
        <f>'All regions'!5310:5310-"$F;@!.UU"</f>
        <v>#VALUE!</v>
      </c>
      <c r="BW233" t="e">
        <f>'All regions'!5311:5311-"$F;@!.UV"</f>
        <v>#VALUE!</v>
      </c>
      <c r="BX233" t="e">
        <f>'All regions'!5312:5312-"$F;@!.UW"</f>
        <v>#VALUE!</v>
      </c>
      <c r="BY233" t="e">
        <f>'All regions'!5313:5313-"$F;@!.UX"</f>
        <v>#VALUE!</v>
      </c>
      <c r="BZ233" t="e">
        <f>'All regions'!5314:5314-"$F;@!.UY"</f>
        <v>#VALUE!</v>
      </c>
      <c r="CA233" t="e">
        <f>'All regions'!5315:5315-"$F;@!.UZ"</f>
        <v>#VALUE!</v>
      </c>
      <c r="CB233" t="e">
        <f>'All regions'!5316:5316-"$F;@!.U["</f>
        <v>#VALUE!</v>
      </c>
      <c r="CC233" t="e">
        <f>'All regions'!5317:5317-"$F;@!.U\"</f>
        <v>#VALUE!</v>
      </c>
      <c r="CD233" t="e">
        <f>'All regions'!5318:5318-"$F;@!.U]"</f>
        <v>#VALUE!</v>
      </c>
      <c r="CE233" t="e">
        <f>'All regions'!5319:5319-"$F;@!.U^"</f>
        <v>#VALUE!</v>
      </c>
      <c r="CF233" t="e">
        <f>'All regions'!5320:5320-"$F;@!.U_"</f>
        <v>#VALUE!</v>
      </c>
      <c r="CG233" t="e">
        <f>'All regions'!5321:5321-"$F;@!.U`"</f>
        <v>#VALUE!</v>
      </c>
      <c r="CH233" t="e">
        <f>'All regions'!5322:5322-"$F;@!.Ua"</f>
        <v>#VALUE!</v>
      </c>
      <c r="CI233" t="e">
        <f>'All regions'!5323:5323-"$F;@!.Ub"</f>
        <v>#VALUE!</v>
      </c>
      <c r="CJ233" t="e">
        <f>'All regions'!5324:5324-"$F;@!.Uc"</f>
        <v>#VALUE!</v>
      </c>
      <c r="CK233" t="e">
        <f>'All regions'!5325:5325-"$F;@!.Ud"</f>
        <v>#VALUE!</v>
      </c>
      <c r="CL233" t="e">
        <f>'All regions'!5326:5326-"$F;@!.Ue"</f>
        <v>#VALUE!</v>
      </c>
      <c r="CM233" t="e">
        <f>'All regions'!5327:5327-"$F;@!.Uf"</f>
        <v>#VALUE!</v>
      </c>
      <c r="CN233" t="e">
        <f>'All regions'!5328:5328-"$F;@!.Ug"</f>
        <v>#VALUE!</v>
      </c>
      <c r="CO233" t="e">
        <f>'All regions'!5329:5329-"$F;@!.Uh"</f>
        <v>#VALUE!</v>
      </c>
      <c r="CP233" t="e">
        <f>'All regions'!5330:5330-"$F;@!.Ui"</f>
        <v>#VALUE!</v>
      </c>
      <c r="CQ233" t="e">
        <f>'All regions'!5331:5331-"$F;@!.Uj"</f>
        <v>#VALUE!</v>
      </c>
      <c r="CR233" t="e">
        <f>'All regions'!5332:5332-"$F;@!.Uk"</f>
        <v>#VALUE!</v>
      </c>
      <c r="CS233" t="e">
        <f>'All regions'!5333:5333-"$F;@!.Ul"</f>
        <v>#VALUE!</v>
      </c>
      <c r="CT233" t="e">
        <f>'All regions'!5334:5334-"$F;@!.Um"</f>
        <v>#VALUE!</v>
      </c>
      <c r="CU233" t="e">
        <f>'All regions'!5335:5335-"$F;@!.Un"</f>
        <v>#VALUE!</v>
      </c>
      <c r="CV233" t="e">
        <f>'All regions'!5336:5336-"$F;@!.Uo"</f>
        <v>#VALUE!</v>
      </c>
      <c r="CW233" t="e">
        <f>'All regions'!5337:5337-"$F;@!.Up"</f>
        <v>#VALUE!</v>
      </c>
      <c r="CX233" t="e">
        <f>'All regions'!5338:5338-"$F;@!.Uq"</f>
        <v>#VALUE!</v>
      </c>
      <c r="CY233" t="e">
        <f>'All regions'!5339:5339-"$F;@!.Ur"</f>
        <v>#VALUE!</v>
      </c>
      <c r="CZ233" t="e">
        <f>'All regions'!5340:5340-"$F;@!.Us"</f>
        <v>#VALUE!</v>
      </c>
      <c r="DA233" t="e">
        <f>'All regions'!5341:5341-"$F;@!.Ut"</f>
        <v>#VALUE!</v>
      </c>
      <c r="DB233" t="e">
        <f>'All regions'!5342:5342-"$F;@!.Uu"</f>
        <v>#VALUE!</v>
      </c>
      <c r="DC233" t="e">
        <f>'All regions'!5343:5343-"$F;@!.Uv"</f>
        <v>#VALUE!</v>
      </c>
      <c r="DD233" t="e">
        <f>'All regions'!5344:5344-"$F;@!.Uw"</f>
        <v>#VALUE!</v>
      </c>
      <c r="DE233" t="e">
        <f>'All regions'!5345:5345-"$F;@!.Ux"</f>
        <v>#VALUE!</v>
      </c>
      <c r="DF233" t="e">
        <f>'All regions'!5346:5346-"$F;@!.Uy"</f>
        <v>#VALUE!</v>
      </c>
      <c r="DG233" t="e">
        <f>'All regions'!5347:5347-"$F;@!.Uz"</f>
        <v>#VALUE!</v>
      </c>
      <c r="DH233" t="e">
        <f>'All regions'!5348:5348-"$F;@!.U{"</f>
        <v>#VALUE!</v>
      </c>
      <c r="DI233" t="e">
        <f>'All regions'!5349:5349-"$F;@!.U|"</f>
        <v>#VALUE!</v>
      </c>
      <c r="DJ233" t="e">
        <f>'All regions'!5350:5350-"$F;@!.U}"</f>
        <v>#VALUE!</v>
      </c>
      <c r="DK233" t="e">
        <f>'All regions'!5351:5351-"$F;@!.U~"</f>
        <v>#VALUE!</v>
      </c>
      <c r="DL233" t="e">
        <f>'All regions'!5352:5352-"$F;@!.V#"</f>
        <v>#VALUE!</v>
      </c>
      <c r="DM233" t="e">
        <f>'All regions'!5353:5353-"$F;@!.V$"</f>
        <v>#VALUE!</v>
      </c>
      <c r="DN233" t="e">
        <f>'All regions'!5354:5354-"$F;@!.V%"</f>
        <v>#VALUE!</v>
      </c>
      <c r="DO233" t="e">
        <f>'All regions'!5355:5355-"$F;@!.V&amp;"</f>
        <v>#VALUE!</v>
      </c>
      <c r="DP233" t="e">
        <f>'All regions'!5356:5356-"$F;@!.V'"</f>
        <v>#VALUE!</v>
      </c>
      <c r="DQ233" t="e">
        <f>'All regions'!5357:5357-"$F;@!.V("</f>
        <v>#VALUE!</v>
      </c>
      <c r="DR233" t="e">
        <f>'All regions'!5358:5358-"$F;@!.V)"</f>
        <v>#VALUE!</v>
      </c>
      <c r="DS233" t="e">
        <f>'All regions'!5359:5359-"$F;@!.V."</f>
        <v>#VALUE!</v>
      </c>
      <c r="DT233" t="e">
        <f>'All regions'!5360:5360-"$F;@!.V/"</f>
        <v>#VALUE!</v>
      </c>
      <c r="DU233" t="e">
        <f>'All regions'!5361:5361-"$F;@!.V0"</f>
        <v>#VALUE!</v>
      </c>
      <c r="DV233" t="e">
        <f>'All regions'!5362:5362-"$F;@!.V1"</f>
        <v>#VALUE!</v>
      </c>
      <c r="DW233" t="e">
        <f>'All regions'!5363:5363-"$F;@!.V2"</f>
        <v>#VALUE!</v>
      </c>
      <c r="DX233" t="e">
        <f>'All regions'!5364:5364-"$F;@!.V3"</f>
        <v>#VALUE!</v>
      </c>
      <c r="DY233" t="e">
        <f>'All regions'!5365:5365-"$F;@!.V4"</f>
        <v>#VALUE!</v>
      </c>
      <c r="DZ233" t="e">
        <f>'All regions'!5366:5366-"$F;@!.V5"</f>
        <v>#VALUE!</v>
      </c>
      <c r="EA233" t="e">
        <f>'All regions'!5367:5367-"$F;@!.V6"</f>
        <v>#VALUE!</v>
      </c>
      <c r="EB233" t="e">
        <f>'All regions'!5368:5368-"$F;@!.V7"</f>
        <v>#VALUE!</v>
      </c>
      <c r="EC233" t="e">
        <f>'All regions'!5369:5369-"$F;@!.V8"</f>
        <v>#VALUE!</v>
      </c>
      <c r="ED233" t="e">
        <f>'All regions'!5370:5370-"$F;@!.V9"</f>
        <v>#VALUE!</v>
      </c>
      <c r="EE233" t="e">
        <f>'All regions'!5371:5371-"$F;@!.V:"</f>
        <v>#VALUE!</v>
      </c>
      <c r="EF233" t="e">
        <f>'All regions'!5372:5372-"$F;@!.V;"</f>
        <v>#VALUE!</v>
      </c>
      <c r="EG233" t="e">
        <f>'All regions'!5373:5373-"$F;@!.V&lt;"</f>
        <v>#VALUE!</v>
      </c>
      <c r="EH233" t="e">
        <f>'All regions'!5374:5374-"$F;@!.V="</f>
        <v>#VALUE!</v>
      </c>
      <c r="EI233" t="e">
        <f>'All regions'!5375:5375-"$F;@!.V&gt;"</f>
        <v>#VALUE!</v>
      </c>
      <c r="EJ233" t="e">
        <f>'All regions'!5376:5376-"$F;@!.V?"</f>
        <v>#VALUE!</v>
      </c>
      <c r="EK233" t="e">
        <f>'All regions'!5377:5377-"$F;@!.V@"</f>
        <v>#VALUE!</v>
      </c>
      <c r="EL233" t="e">
        <f>'All regions'!5378:5378-"$F;@!.VA"</f>
        <v>#VALUE!</v>
      </c>
      <c r="EM233" t="e">
        <f>'All regions'!5379:5379-"$F;@!.VB"</f>
        <v>#VALUE!</v>
      </c>
      <c r="EN233" t="e">
        <f>'All regions'!5380:5380-"$F;@!.VC"</f>
        <v>#VALUE!</v>
      </c>
      <c r="EO233" t="e">
        <f>'All regions'!5381:5381-"$F;@!.VD"</f>
        <v>#VALUE!</v>
      </c>
      <c r="EP233" t="e">
        <f>'All regions'!5382:5382-"$F;@!.VE"</f>
        <v>#VALUE!</v>
      </c>
      <c r="EQ233" t="e">
        <f>'All regions'!5383:5383-"$F;@!.VF"</f>
        <v>#VALUE!</v>
      </c>
      <c r="ER233" t="e">
        <f>'All regions'!5384:5384-"$F;@!.VG"</f>
        <v>#VALUE!</v>
      </c>
      <c r="ES233" t="e">
        <f>'All regions'!5385:5385-"$F;@!.VH"</f>
        <v>#VALUE!</v>
      </c>
      <c r="ET233" t="e">
        <f>'All regions'!5386:5386-"$F;@!.VI"</f>
        <v>#VALUE!</v>
      </c>
      <c r="EU233" t="e">
        <f>'All regions'!5387:5387-"$F;@!.VJ"</f>
        <v>#VALUE!</v>
      </c>
      <c r="EV233" t="e">
        <f>'All regions'!5388:5388-"$F;@!.VK"</f>
        <v>#VALUE!</v>
      </c>
      <c r="EW233" t="e">
        <f>'All regions'!5389:5389-"$F;@!.VL"</f>
        <v>#VALUE!</v>
      </c>
      <c r="EX233" t="e">
        <f>'All regions'!5390:5390-"$F;@!.VM"</f>
        <v>#VALUE!</v>
      </c>
      <c r="EY233" t="e">
        <f>'All regions'!5391:5391-"$F;@!.VN"</f>
        <v>#VALUE!</v>
      </c>
      <c r="EZ233" t="e">
        <f>'All regions'!5392:5392-"$F;@!.VO"</f>
        <v>#VALUE!</v>
      </c>
      <c r="FA233" t="e">
        <f>'All regions'!5393:5393-"$F;@!.VP"</f>
        <v>#VALUE!</v>
      </c>
      <c r="FB233" t="e">
        <f>'All regions'!5394:5394-"$F;@!.VQ"</f>
        <v>#VALUE!</v>
      </c>
      <c r="FC233" t="e">
        <f>'All regions'!5395:5395-"$F;@!.VR"</f>
        <v>#VALUE!</v>
      </c>
      <c r="FD233" t="e">
        <f>'All regions'!5396:5396-"$F;@!.VS"</f>
        <v>#VALUE!</v>
      </c>
      <c r="FE233" t="e">
        <f>'All regions'!5397:5397-"$F;@!.VT"</f>
        <v>#VALUE!</v>
      </c>
      <c r="FF233" t="e">
        <f>'All regions'!5398:5398-"$F;@!.VU"</f>
        <v>#VALUE!</v>
      </c>
      <c r="FG233" t="e">
        <f>'All regions'!5399:5399-"$F;@!.VV"</f>
        <v>#VALUE!</v>
      </c>
      <c r="FH233" t="e">
        <f>'All regions'!5400:5400-"$F;@!.VW"</f>
        <v>#VALUE!</v>
      </c>
      <c r="FI233" t="e">
        <f>'All regions'!5401:5401-"$F;@!.VX"</f>
        <v>#VALUE!</v>
      </c>
      <c r="FJ233" t="e">
        <f>'All regions'!5402:5402-"$F;@!.VY"</f>
        <v>#VALUE!</v>
      </c>
      <c r="FK233" t="e">
        <f>'All regions'!5403:5403-"$F;@!.VZ"</f>
        <v>#VALUE!</v>
      </c>
      <c r="FL233" t="e">
        <f>'All regions'!5404:5404-"$F;@!.V["</f>
        <v>#VALUE!</v>
      </c>
      <c r="FM233" t="e">
        <f>'All regions'!5405:5405-"$F;@!.V\"</f>
        <v>#VALUE!</v>
      </c>
      <c r="FN233" t="e">
        <f>'All regions'!5406:5406-"$F;@!.V]"</f>
        <v>#VALUE!</v>
      </c>
      <c r="FO233" t="e">
        <f>'All regions'!5407:5407-"$F;@!.V^"</f>
        <v>#VALUE!</v>
      </c>
      <c r="FP233" t="e">
        <f>'All regions'!5408:5408-"$F;@!.V_"</f>
        <v>#VALUE!</v>
      </c>
      <c r="FQ233" t="e">
        <f>'All regions'!5409:5409-"$F;@!.V`"</f>
        <v>#VALUE!</v>
      </c>
      <c r="FR233" t="e">
        <f>'All regions'!5410:5410-"$F;@!.Va"</f>
        <v>#VALUE!</v>
      </c>
      <c r="FS233" t="e">
        <f>'All regions'!5411:5411-"$F;@!.Vb"</f>
        <v>#VALUE!</v>
      </c>
      <c r="FT233" t="e">
        <f>'All regions'!5412:5412-"$F;@!.Vc"</f>
        <v>#VALUE!</v>
      </c>
      <c r="FU233" t="e">
        <f>'All regions'!5413:5413-"$F;@!.Vd"</f>
        <v>#VALUE!</v>
      </c>
      <c r="FV233" t="e">
        <f>'All regions'!5414:5414-"$F;@!.Ve"</f>
        <v>#VALUE!</v>
      </c>
      <c r="FW233" t="e">
        <f>'All regions'!5415:5415-"$F;@!.Vf"</f>
        <v>#VALUE!</v>
      </c>
      <c r="FX233" t="e">
        <f>'All regions'!5416:5416-"$F;@!.Vg"</f>
        <v>#VALUE!</v>
      </c>
      <c r="FY233" t="e">
        <f>'All regions'!5417:5417-"$F;@!.Vh"</f>
        <v>#VALUE!</v>
      </c>
      <c r="FZ233" t="e">
        <f>'All regions'!5418:5418-"$F;@!.Vi"</f>
        <v>#VALUE!</v>
      </c>
      <c r="GA233" t="e">
        <f>'All regions'!5419:5419-"$F;@!.Vj"</f>
        <v>#VALUE!</v>
      </c>
      <c r="GB233" t="e">
        <f>'All regions'!5420:5420-"$F;@!.Vk"</f>
        <v>#VALUE!</v>
      </c>
      <c r="GC233" t="e">
        <f>'All regions'!5421:5421-"$F;@!.Vl"</f>
        <v>#VALUE!</v>
      </c>
      <c r="GD233" t="e">
        <f>'All regions'!5422:5422-"$F;@!.Vm"</f>
        <v>#VALUE!</v>
      </c>
      <c r="GE233" t="e">
        <f>'All regions'!5423:5423-"$F;@!.Vn"</f>
        <v>#VALUE!</v>
      </c>
      <c r="GF233" t="e">
        <f>'All regions'!5424:5424-"$F;@!.Vo"</f>
        <v>#VALUE!</v>
      </c>
      <c r="GG233" t="e">
        <f>'All regions'!5425:5425-"$F;@!.Vp"</f>
        <v>#VALUE!</v>
      </c>
      <c r="GH233" t="e">
        <f>'All regions'!5426:5426-"$F;@!.Vq"</f>
        <v>#VALUE!</v>
      </c>
      <c r="GI233" t="e">
        <f>'All regions'!5427:5427-"$F;@!.Vr"</f>
        <v>#VALUE!</v>
      </c>
      <c r="GJ233" t="e">
        <f>'All regions'!5428:5428-"$F;@!.Vs"</f>
        <v>#VALUE!</v>
      </c>
      <c r="GK233" t="e">
        <f>'All regions'!5429:5429-"$F;@!.Vt"</f>
        <v>#VALUE!</v>
      </c>
      <c r="GL233" t="e">
        <f>'All regions'!5430:5430-"$F;@!.Vu"</f>
        <v>#VALUE!</v>
      </c>
      <c r="GM233" t="e">
        <f>'All regions'!5431:5431-"$F;@!.Vv"</f>
        <v>#VALUE!</v>
      </c>
      <c r="GN233" t="e">
        <f>'All regions'!5432:5432-"$F;@!.Vw"</f>
        <v>#VALUE!</v>
      </c>
      <c r="GO233" t="e">
        <f>'All regions'!5433:5433-"$F;@!.Vx"</f>
        <v>#VALUE!</v>
      </c>
      <c r="GP233" t="e">
        <f>'All regions'!5434:5434-"$F;@!.Vy"</f>
        <v>#VALUE!</v>
      </c>
      <c r="GQ233" t="e">
        <f>'All regions'!5435:5435-"$F;@!.Vz"</f>
        <v>#VALUE!</v>
      </c>
      <c r="GR233" t="e">
        <f>'All regions'!5436:5436-"$F;@!.V{"</f>
        <v>#VALUE!</v>
      </c>
      <c r="GS233" t="e">
        <f>'All regions'!5437:5437-"$F;@!.V|"</f>
        <v>#VALUE!</v>
      </c>
      <c r="GT233" t="e">
        <f>'All regions'!5438:5438-"$F;@!.V}"</f>
        <v>#VALUE!</v>
      </c>
      <c r="GU233" t="e">
        <f>'All regions'!5439:5439-"$F;@!.V~"</f>
        <v>#VALUE!</v>
      </c>
      <c r="GV233" t="e">
        <f>'All regions'!5440:5440-"$F;@!.W#"</f>
        <v>#VALUE!</v>
      </c>
      <c r="GW233" t="e">
        <f>'All regions'!5441:5441-"$F;@!.W$"</f>
        <v>#VALUE!</v>
      </c>
      <c r="GX233" t="e">
        <f>'All regions'!5442:5442-"$F;@!.W%"</f>
        <v>#VALUE!</v>
      </c>
      <c r="GY233" t="e">
        <f>'All regions'!5443:5443-"$F;@!.W&amp;"</f>
        <v>#VALUE!</v>
      </c>
      <c r="GZ233" t="e">
        <f>'All regions'!5444:5444-"$F;@!.W'"</f>
        <v>#VALUE!</v>
      </c>
      <c r="HA233" t="e">
        <f>'All regions'!5445:5445-"$F;@!.W("</f>
        <v>#VALUE!</v>
      </c>
      <c r="HB233" t="e">
        <f>'All regions'!5446:5446-"$F;@!.W)"</f>
        <v>#VALUE!</v>
      </c>
      <c r="HC233" t="e">
        <f>'All regions'!5447:5447-"$F;@!.W."</f>
        <v>#VALUE!</v>
      </c>
      <c r="HD233" t="e">
        <f>'All regions'!5448:5448-"$F;@!.W/"</f>
        <v>#VALUE!</v>
      </c>
      <c r="HE233" t="e">
        <f>'All regions'!5449:5449-"$F;@!.W0"</f>
        <v>#VALUE!</v>
      </c>
      <c r="HF233" t="e">
        <f>'All regions'!5450:5450-"$F;@!.W1"</f>
        <v>#VALUE!</v>
      </c>
      <c r="HG233" t="e">
        <f>'All regions'!5451:5451-"$F;@!.W2"</f>
        <v>#VALUE!</v>
      </c>
      <c r="HH233" t="e">
        <f>'All regions'!5452:5452-"$F;@!.W3"</f>
        <v>#VALUE!</v>
      </c>
      <c r="HI233" t="e">
        <f>'All regions'!5453:5453-"$F;@!.W4"</f>
        <v>#VALUE!</v>
      </c>
      <c r="HJ233" t="e">
        <f>'All regions'!5454:5454-"$F;@!.W5"</f>
        <v>#VALUE!</v>
      </c>
      <c r="HK233" t="e">
        <f>'All regions'!5455:5455-"$F;@!.W6"</f>
        <v>#VALUE!</v>
      </c>
      <c r="HL233" t="e">
        <f>'All regions'!5456:5456-"$F;@!.W7"</f>
        <v>#VALUE!</v>
      </c>
      <c r="HM233" t="e">
        <f>'All regions'!5457:5457-"$F;@!.W8"</f>
        <v>#VALUE!</v>
      </c>
      <c r="HN233" t="e">
        <f>'All regions'!5458:5458-"$F;@!.W9"</f>
        <v>#VALUE!</v>
      </c>
      <c r="HO233" t="e">
        <f>'All regions'!5459:5459-"$F;@!.W:"</f>
        <v>#VALUE!</v>
      </c>
      <c r="HP233" t="e">
        <f>'All regions'!5460:5460-"$F;@!.W;"</f>
        <v>#VALUE!</v>
      </c>
      <c r="HQ233" t="e">
        <f>'All regions'!5461:5461-"$F;@!.W&lt;"</f>
        <v>#VALUE!</v>
      </c>
      <c r="HR233" t="e">
        <f>'All regions'!5462:5462-"$F;@!.W="</f>
        <v>#VALUE!</v>
      </c>
      <c r="HS233" t="e">
        <f>'All regions'!5463:5463-"$F;@!.W&gt;"</f>
        <v>#VALUE!</v>
      </c>
      <c r="HT233" t="e">
        <f>'All regions'!5464:5464-"$F;@!.W?"</f>
        <v>#VALUE!</v>
      </c>
      <c r="HU233" t="e">
        <f>'All regions'!5465:5465-"$F;@!.W@"</f>
        <v>#VALUE!</v>
      </c>
      <c r="HV233" t="e">
        <f>'All regions'!5466:5466-"$F;@!.WA"</f>
        <v>#VALUE!</v>
      </c>
      <c r="HW233" t="e">
        <f>'All regions'!5467:5467-"$F;@!.WB"</f>
        <v>#VALUE!</v>
      </c>
      <c r="HX233" t="e">
        <f>'All regions'!5468:5468-"$F;@!.WC"</f>
        <v>#VALUE!</v>
      </c>
      <c r="HY233" t="e">
        <f>'All regions'!5469:5469-"$F;@!.WD"</f>
        <v>#VALUE!</v>
      </c>
      <c r="HZ233" t="e">
        <f>'All regions'!5470:5470-"$F;@!.WE"</f>
        <v>#VALUE!</v>
      </c>
      <c r="IA233" t="e">
        <f>'All regions'!5471:5471-"$F;@!.WF"</f>
        <v>#VALUE!</v>
      </c>
      <c r="IB233" t="e">
        <f>'All regions'!5472:5472-"$F;@!.WG"</f>
        <v>#VALUE!</v>
      </c>
      <c r="IC233" t="e">
        <f>'All regions'!5473:5473-"$F;@!.WH"</f>
        <v>#VALUE!</v>
      </c>
      <c r="ID233" t="e">
        <f>'All regions'!5474:5474-"$F;@!.WI"</f>
        <v>#VALUE!</v>
      </c>
      <c r="IE233" t="e">
        <f>'All regions'!5475:5475-"$F;@!.WJ"</f>
        <v>#VALUE!</v>
      </c>
      <c r="IF233" t="e">
        <f>'All regions'!5476:5476-"$F;@!.WK"</f>
        <v>#VALUE!</v>
      </c>
      <c r="IG233" t="e">
        <f>'All regions'!5477:5477-"$F;@!.WL"</f>
        <v>#VALUE!</v>
      </c>
      <c r="IH233" t="e">
        <f>'All regions'!5478:5478-"$F;@!.WM"</f>
        <v>#VALUE!</v>
      </c>
      <c r="II233" t="e">
        <f>'All regions'!5479:5479-"$F;@!.WN"</f>
        <v>#VALUE!</v>
      </c>
      <c r="IJ233" t="e">
        <f>'All regions'!5480:5480-"$F;@!.WO"</f>
        <v>#VALUE!</v>
      </c>
      <c r="IK233" t="e">
        <f>'All regions'!5481:5481-"$F;@!.WP"</f>
        <v>#VALUE!</v>
      </c>
      <c r="IL233" t="e">
        <f>'All regions'!5482:5482-"$F;@!.WQ"</f>
        <v>#VALUE!</v>
      </c>
      <c r="IM233" t="e">
        <f>'All regions'!5483:5483-"$F;@!.WR"</f>
        <v>#VALUE!</v>
      </c>
      <c r="IN233" t="e">
        <f>'All regions'!5484:5484-"$F;@!.WS"</f>
        <v>#VALUE!</v>
      </c>
      <c r="IO233" t="e">
        <f>'All regions'!5485:5485-"$F;@!.WT"</f>
        <v>#VALUE!</v>
      </c>
      <c r="IP233" t="e">
        <f>'All regions'!5486:5486-"$F;@!.WU"</f>
        <v>#VALUE!</v>
      </c>
      <c r="IQ233" t="e">
        <f>'All regions'!5487:5487-"$F;@!.WV"</f>
        <v>#VALUE!</v>
      </c>
      <c r="IR233" t="e">
        <f>'All regions'!5488:5488-"$F;@!.WW"</f>
        <v>#VALUE!</v>
      </c>
      <c r="IS233" t="e">
        <f>'All regions'!5489:5489-"$F;@!.WX"</f>
        <v>#VALUE!</v>
      </c>
      <c r="IT233" t="e">
        <f>'All regions'!5490:5490-"$F;@!.WY"</f>
        <v>#VALUE!</v>
      </c>
      <c r="IU233" t="e">
        <f>'All regions'!5491:5491-"$F;@!.WZ"</f>
        <v>#VALUE!</v>
      </c>
      <c r="IV233" t="e">
        <f>'All regions'!5492:5492-"$F;@!.W["</f>
        <v>#VALUE!</v>
      </c>
    </row>
    <row r="234" spans="6:256" x14ac:dyDescent="0.35">
      <c r="F234" t="e">
        <f>'All regions'!5493:5493-"$F;@!.W\"</f>
        <v>#VALUE!</v>
      </c>
      <c r="G234" t="e">
        <f>'All regions'!5494:5494-"$F;@!.W]"</f>
        <v>#VALUE!</v>
      </c>
      <c r="H234" t="e">
        <f>'All regions'!5495:5495-"$F;@!.W^"</f>
        <v>#VALUE!</v>
      </c>
      <c r="I234" t="e">
        <f>'All regions'!5496:5496-"$F;@!.W_"</f>
        <v>#VALUE!</v>
      </c>
      <c r="J234" t="e">
        <f>'All regions'!5497:5497-"$F;@!.W`"</f>
        <v>#VALUE!</v>
      </c>
      <c r="K234" t="e">
        <f>'All regions'!5498:5498-"$F;@!.Wa"</f>
        <v>#VALUE!</v>
      </c>
      <c r="L234" t="e">
        <f>'All regions'!5499:5499-"$F;@!.Wb"</f>
        <v>#VALUE!</v>
      </c>
      <c r="M234" t="e">
        <f>'All regions'!5500:5500-"$F;@!.Wc"</f>
        <v>#VALUE!</v>
      </c>
      <c r="N234" t="e">
        <f>'All regions'!5501:5501-"$F;@!.Wd"</f>
        <v>#VALUE!</v>
      </c>
      <c r="O234" t="e">
        <f>'All regions'!5502:5502-"$F;@!.We"</f>
        <v>#VALUE!</v>
      </c>
      <c r="P234" t="e">
        <f>'All regions'!5503:5503-"$F;@!.Wf"</f>
        <v>#VALUE!</v>
      </c>
      <c r="Q234" t="e">
        <f>'All regions'!5504:5504-"$F;@!.Wg"</f>
        <v>#VALUE!</v>
      </c>
      <c r="R234" t="e">
        <f>'All regions'!5505:5505-"$F;@!.Wh"</f>
        <v>#VALUE!</v>
      </c>
      <c r="S234" t="e">
        <f>'All regions'!5506:5506-"$F;@!.Wi"</f>
        <v>#VALUE!</v>
      </c>
      <c r="T234" t="e">
        <f>'All regions'!5507:5507-"$F;@!.Wj"</f>
        <v>#VALUE!</v>
      </c>
      <c r="U234" t="e">
        <f>'All regions'!5508:5508-"$F;@!.Wk"</f>
        <v>#VALUE!</v>
      </c>
      <c r="V234" t="e">
        <f>'All regions'!5509:5509-"$F;@!.Wl"</f>
        <v>#VALUE!</v>
      </c>
      <c r="W234" t="e">
        <f>'All regions'!5510:5510-"$F;@!.Wm"</f>
        <v>#VALUE!</v>
      </c>
      <c r="X234" t="e">
        <f>'All regions'!5511:5511-"$F;@!.Wn"</f>
        <v>#VALUE!</v>
      </c>
      <c r="Y234" t="e">
        <f>'All regions'!5512:5512-"$F;@!.Wo"</f>
        <v>#VALUE!</v>
      </c>
      <c r="Z234" t="e">
        <f>'All regions'!5513:5513-"$F;@!.Wp"</f>
        <v>#VALUE!</v>
      </c>
      <c r="AA234" t="e">
        <f>'All regions'!5514:5514-"$F;@!.Wq"</f>
        <v>#VALUE!</v>
      </c>
      <c r="AB234" t="e">
        <f>'All regions'!5515:5515-"$F;@!.Wr"</f>
        <v>#VALUE!</v>
      </c>
      <c r="AC234" t="e">
        <f>'All regions'!5516:5516-"$F;@!.Ws"</f>
        <v>#VALUE!</v>
      </c>
      <c r="AD234" t="e">
        <f>'All regions'!5517:5517-"$F;@!.Wt"</f>
        <v>#VALUE!</v>
      </c>
      <c r="AE234" t="e">
        <f>'All regions'!5518:5518-"$F;@!.Wu"</f>
        <v>#VALUE!</v>
      </c>
      <c r="AF234" t="e">
        <f>'All regions'!5519:5519-"$F;@!.Wv"</f>
        <v>#VALUE!</v>
      </c>
      <c r="AG234" t="e">
        <f>'All regions'!5520:5520-"$F;@!.Ww"</f>
        <v>#VALUE!</v>
      </c>
      <c r="AH234" t="e">
        <f>'All regions'!5521:5521-"$F;@!.Wx"</f>
        <v>#VALUE!</v>
      </c>
      <c r="AI234" t="e">
        <f>'All regions'!5522:5522-"$F;@!.Wy"</f>
        <v>#VALUE!</v>
      </c>
      <c r="AJ234" t="e">
        <f>'All regions'!5523:5523-"$F;@!.Wz"</f>
        <v>#VALUE!</v>
      </c>
      <c r="AK234" t="e">
        <f>'All regions'!5524:5524-"$F;@!.W{"</f>
        <v>#VALUE!</v>
      </c>
      <c r="AL234" t="e">
        <f>'All regions'!5525:5525-"$F;@!.W|"</f>
        <v>#VALUE!</v>
      </c>
      <c r="AM234" t="e">
        <f>'All regions'!5526:5526-"$F;@!.W}"</f>
        <v>#VALUE!</v>
      </c>
      <c r="AN234" t="e">
        <f>'All regions'!5527:5527-"$F;@!.W~"</f>
        <v>#VALUE!</v>
      </c>
      <c r="AO234" t="e">
        <f>'All regions'!5528:5528-"$F;@!.X#"</f>
        <v>#VALUE!</v>
      </c>
      <c r="AP234" t="e">
        <f>'All regions'!5529:5529-"$F;@!.X$"</f>
        <v>#VALUE!</v>
      </c>
      <c r="AQ234" t="e">
        <f>'All regions'!5530:5530-"$F;@!.X%"</f>
        <v>#VALUE!</v>
      </c>
      <c r="AR234" t="e">
        <f>'All regions'!5531:5531-"$F;@!.X&amp;"</f>
        <v>#VALUE!</v>
      </c>
      <c r="AS234" t="e">
        <f>'All regions'!5532:5532-"$F;@!.X'"</f>
        <v>#VALUE!</v>
      </c>
      <c r="AT234" t="e">
        <f>'All regions'!5533:5533-"$F;@!.X("</f>
        <v>#VALUE!</v>
      </c>
      <c r="AU234" t="e">
        <f>'All regions'!5534:5534-"$F;@!.X)"</f>
        <v>#VALUE!</v>
      </c>
      <c r="AV234" t="e">
        <f>'All regions'!5535:5535-"$F;@!.X."</f>
        <v>#VALUE!</v>
      </c>
      <c r="AW234" t="e">
        <f>'All regions'!5536:5536-"$F;@!.X/"</f>
        <v>#VALUE!</v>
      </c>
      <c r="AX234" t="e">
        <f>'All regions'!5537:5537-"$F;@!.X0"</f>
        <v>#VALUE!</v>
      </c>
      <c r="AY234" t="e">
        <f>'All regions'!5538:5538-"$F;@!.X1"</f>
        <v>#VALUE!</v>
      </c>
      <c r="AZ234" t="e">
        <f>'All regions'!5539:5539-"$F;@!.X2"</f>
        <v>#VALUE!</v>
      </c>
      <c r="BA234" t="e">
        <f>'All regions'!5540:5540-"$F;@!.X3"</f>
        <v>#VALUE!</v>
      </c>
      <c r="BB234" t="e">
        <f>'All regions'!5541:5541-"$F;@!.X4"</f>
        <v>#VALUE!</v>
      </c>
      <c r="BC234" t="e">
        <f>'All regions'!5542:5542-"$F;@!.X5"</f>
        <v>#VALUE!</v>
      </c>
      <c r="BD234" t="e">
        <f>'All regions'!5543:5543-"$F;@!.X6"</f>
        <v>#VALUE!</v>
      </c>
      <c r="BE234" t="e">
        <f>'All regions'!5544:5544-"$F;@!.X7"</f>
        <v>#VALUE!</v>
      </c>
      <c r="BF234" t="e">
        <f>'All regions'!5545:5545-"$F;@!.X8"</f>
        <v>#VALUE!</v>
      </c>
      <c r="BG234" t="e">
        <f>'All regions'!5546:5546-"$F;@!.X9"</f>
        <v>#VALUE!</v>
      </c>
      <c r="BH234" t="e">
        <f>'All regions'!5547:5547-"$F;@!.X:"</f>
        <v>#VALUE!</v>
      </c>
      <c r="BI234" t="e">
        <f>'All regions'!5548:5548-"$F;@!.X;"</f>
        <v>#VALUE!</v>
      </c>
      <c r="BJ234" t="e">
        <f>'All regions'!5549:5549-"$F;@!.X&lt;"</f>
        <v>#VALUE!</v>
      </c>
      <c r="BK234" t="e">
        <f>'All regions'!5550:5550-"$F;@!.X="</f>
        <v>#VALUE!</v>
      </c>
      <c r="BL234" t="e">
        <f>'All regions'!5551:5551-"$F;@!.X&gt;"</f>
        <v>#VALUE!</v>
      </c>
      <c r="BM234" t="e">
        <f>'All regions'!5552:5552-"$F;@!.X?"</f>
        <v>#VALUE!</v>
      </c>
      <c r="BN234" t="e">
        <f>'All regions'!5553:5553-"$F;@!.X@"</f>
        <v>#VALUE!</v>
      </c>
      <c r="BO234" t="e">
        <f>'All regions'!5554:5554-"$F;@!.XA"</f>
        <v>#VALUE!</v>
      </c>
      <c r="BP234" t="e">
        <f>'All regions'!5555:5555-"$F;@!.XB"</f>
        <v>#VALUE!</v>
      </c>
      <c r="BQ234" t="e">
        <f>'All regions'!5556:5556-"$F;@!.XC"</f>
        <v>#VALUE!</v>
      </c>
      <c r="BR234" t="e">
        <f>'All regions'!5557:5557-"$F;@!.XD"</f>
        <v>#VALUE!</v>
      </c>
      <c r="BS234" t="e">
        <f>'All regions'!5558:5558-"$F;@!.XE"</f>
        <v>#VALUE!</v>
      </c>
      <c r="BT234" t="e">
        <f>'All regions'!5559:5559-"$F;@!.XF"</f>
        <v>#VALUE!</v>
      </c>
      <c r="BU234" t="e">
        <f>'All regions'!5560:5560-"$F;@!.XG"</f>
        <v>#VALUE!</v>
      </c>
      <c r="BV234" t="e">
        <f>'All regions'!5561:5561-"$F;@!.XH"</f>
        <v>#VALUE!</v>
      </c>
      <c r="BW234" t="e">
        <f>'All regions'!5562:5562-"$F;@!.XI"</f>
        <v>#VALUE!</v>
      </c>
      <c r="BX234" t="e">
        <f>'All regions'!5563:5563-"$F;@!.XJ"</f>
        <v>#VALUE!</v>
      </c>
      <c r="BY234" t="e">
        <f>'All regions'!5564:5564-"$F;@!.XK"</f>
        <v>#VALUE!</v>
      </c>
      <c r="BZ234" t="e">
        <f>'All regions'!5565:5565-"$F;@!.XL"</f>
        <v>#VALUE!</v>
      </c>
      <c r="CA234" t="e">
        <f>'All regions'!5566:5566-"$F;@!.XM"</f>
        <v>#VALUE!</v>
      </c>
      <c r="CB234" t="e">
        <f>'All regions'!5567:5567-"$F;@!.XN"</f>
        <v>#VALUE!</v>
      </c>
      <c r="CC234" t="e">
        <f>'All regions'!5568:5568-"$F;@!.XO"</f>
        <v>#VALUE!</v>
      </c>
      <c r="CD234" t="e">
        <f>'All regions'!5569:5569-"$F;@!.XP"</f>
        <v>#VALUE!</v>
      </c>
      <c r="CE234" t="e">
        <f>'All regions'!5570:5570-"$F;@!.XQ"</f>
        <v>#VALUE!</v>
      </c>
      <c r="CF234" t="e">
        <f>'All regions'!5571:5571-"$F;@!.XR"</f>
        <v>#VALUE!</v>
      </c>
      <c r="CG234" t="e">
        <f>'All regions'!5572:5572-"$F;@!.XS"</f>
        <v>#VALUE!</v>
      </c>
      <c r="CH234" t="e">
        <f>'All regions'!5573:5573-"$F;@!.XT"</f>
        <v>#VALUE!</v>
      </c>
      <c r="CI234" t="e">
        <f>'All regions'!5574:5574-"$F;@!.XU"</f>
        <v>#VALUE!</v>
      </c>
      <c r="CJ234" t="e">
        <f>'All regions'!5575:5575-"$F;@!.XV"</f>
        <v>#VALUE!</v>
      </c>
      <c r="CK234" t="e">
        <f>'All regions'!5576:5576-"$F;@!.XW"</f>
        <v>#VALUE!</v>
      </c>
      <c r="CL234" t="e">
        <f>'All regions'!5577:5577-"$F;@!.XX"</f>
        <v>#VALUE!</v>
      </c>
      <c r="CM234" t="e">
        <f>'All regions'!5578:5578-"$F;@!.XY"</f>
        <v>#VALUE!</v>
      </c>
      <c r="CN234" t="e">
        <f>'All regions'!5579:5579-"$F;@!.XZ"</f>
        <v>#VALUE!</v>
      </c>
      <c r="CO234" t="e">
        <f>'All regions'!5580:5580-"$F;@!.X["</f>
        <v>#VALUE!</v>
      </c>
      <c r="CP234" t="e">
        <f>'All regions'!5581:5581-"$F;@!.X\"</f>
        <v>#VALUE!</v>
      </c>
      <c r="CQ234" t="e">
        <f>'All regions'!5582:5582-"$F;@!.X]"</f>
        <v>#VALUE!</v>
      </c>
      <c r="CR234" t="e">
        <f>'All regions'!5583:5583-"$F;@!.X^"</f>
        <v>#VALUE!</v>
      </c>
      <c r="CS234" t="e">
        <f>'All regions'!5584:5584-"$F;@!.X_"</f>
        <v>#VALUE!</v>
      </c>
      <c r="CT234" t="e">
        <f>'All regions'!5585:5585-"$F;@!.X`"</f>
        <v>#VALUE!</v>
      </c>
      <c r="CU234" t="e">
        <f>'All regions'!5586:5586-"$F;@!.Xa"</f>
        <v>#VALUE!</v>
      </c>
      <c r="CV234" t="e">
        <f>'All regions'!5587:5587-"$F;@!.Xb"</f>
        <v>#VALUE!</v>
      </c>
      <c r="CW234" t="e">
        <f>'All regions'!5588:5588-"$F;@!.Xc"</f>
        <v>#VALUE!</v>
      </c>
      <c r="CX234" t="e">
        <f>'All regions'!5589:5589-"$F;@!.Xd"</f>
        <v>#VALUE!</v>
      </c>
      <c r="CY234" t="e">
        <f>'All regions'!5590:5590-"$F;@!.Xe"</f>
        <v>#VALUE!</v>
      </c>
      <c r="CZ234" t="e">
        <f>'All regions'!5591:5591-"$F;@!.Xf"</f>
        <v>#VALUE!</v>
      </c>
      <c r="DA234" t="e">
        <f>'All regions'!5592:5592-"$F;@!.Xg"</f>
        <v>#VALUE!</v>
      </c>
      <c r="DB234" t="e">
        <f>'All regions'!5593:5593-"$F;@!.Xh"</f>
        <v>#VALUE!</v>
      </c>
      <c r="DC234" t="e">
        <f>'All regions'!5594:5594-"$F;@!.Xi"</f>
        <v>#VALUE!</v>
      </c>
      <c r="DD234" t="e">
        <f>'All regions'!5595:5595-"$F;@!.Xj"</f>
        <v>#VALUE!</v>
      </c>
      <c r="DE234" t="e">
        <f>'All regions'!5596:5596-"$F;@!.Xk"</f>
        <v>#VALUE!</v>
      </c>
      <c r="DF234" t="e">
        <f>'All regions'!5597:5597-"$F;@!.Xl"</f>
        <v>#VALUE!</v>
      </c>
      <c r="DG234" t="e">
        <f>'All regions'!5598:5598-"$F;@!.Xm"</f>
        <v>#VALUE!</v>
      </c>
      <c r="DH234" t="e">
        <f>'All regions'!5599:5599-"$F;@!.Xn"</f>
        <v>#VALUE!</v>
      </c>
      <c r="DI234" t="e">
        <f>'All regions'!5600:5600-"$F;@!.Xo"</f>
        <v>#VALUE!</v>
      </c>
      <c r="DJ234" t="e">
        <f>'All regions'!5601:5601-"$F;@!.Xp"</f>
        <v>#VALUE!</v>
      </c>
      <c r="DK234" t="e">
        <f>'All regions'!5602:5602-"$F;@!.Xq"</f>
        <v>#VALUE!</v>
      </c>
      <c r="DL234" t="e">
        <f>'All regions'!5603:5603-"$F;@!.Xr"</f>
        <v>#VALUE!</v>
      </c>
      <c r="DM234" t="e">
        <f>'All regions'!5604:5604-"$F;@!.Xs"</f>
        <v>#VALUE!</v>
      </c>
      <c r="DN234" t="e">
        <f>'All regions'!5605:5605-"$F;@!.Xt"</f>
        <v>#VALUE!</v>
      </c>
      <c r="DO234" t="e">
        <f>'All regions'!5606:5606-"$F;@!.Xu"</f>
        <v>#VALUE!</v>
      </c>
      <c r="DP234" t="e">
        <f>'All regions'!5607:5607-"$F;@!.Xv"</f>
        <v>#VALUE!</v>
      </c>
      <c r="DQ234" t="e">
        <f>'All regions'!5608:5608-"$F;@!.Xw"</f>
        <v>#VALUE!</v>
      </c>
      <c r="DR234" t="e">
        <f>'All regions'!5609:5609-"$F;@!.Xx"</f>
        <v>#VALUE!</v>
      </c>
      <c r="DS234" t="e">
        <f>'All regions'!5610:5610-"$F;@!.Xy"</f>
        <v>#VALUE!</v>
      </c>
      <c r="DT234" t="e">
        <f>'All regions'!5611:5611-"$F;@!.Xz"</f>
        <v>#VALUE!</v>
      </c>
      <c r="DU234" t="e">
        <f>'All regions'!5612:5612-"$F;@!.X{"</f>
        <v>#VALUE!</v>
      </c>
      <c r="DV234" t="e">
        <f>'All regions'!5613:5613-"$F;@!.X|"</f>
        <v>#VALUE!</v>
      </c>
      <c r="DW234" t="e">
        <f>'All regions'!5614:5614-"$F;@!.X}"</f>
        <v>#VALUE!</v>
      </c>
      <c r="DX234" t="e">
        <f>'All regions'!5615:5615-"$F;@!.X~"</f>
        <v>#VALUE!</v>
      </c>
      <c r="DY234" t="e">
        <f>'All regions'!5616:5616-"$F;@!.Y#"</f>
        <v>#VALUE!</v>
      </c>
      <c r="DZ234" t="e">
        <f>'All regions'!5617:5617-"$F;@!.Y$"</f>
        <v>#VALUE!</v>
      </c>
      <c r="EA234" t="e">
        <f>'All regions'!5618:5618-"$F;@!.Y%"</f>
        <v>#VALUE!</v>
      </c>
      <c r="EB234" t="e">
        <f>'All regions'!5619:5619-"$F;@!.Y&amp;"</f>
        <v>#VALUE!</v>
      </c>
      <c r="EC234" t="e">
        <f>'All regions'!5620:5620-"$F;@!.Y'"</f>
        <v>#VALUE!</v>
      </c>
      <c r="ED234" t="e">
        <f>'All regions'!5621:5621-"$F;@!.Y("</f>
        <v>#VALUE!</v>
      </c>
      <c r="EE234" t="e">
        <f>'All regions'!5622:5622-"$F;@!.Y)"</f>
        <v>#VALUE!</v>
      </c>
      <c r="EF234" t="e">
        <f>'All regions'!5623:5623-"$F;@!.Y."</f>
        <v>#VALUE!</v>
      </c>
      <c r="EG234" t="e">
        <f>'All regions'!5624:5624-"$F;@!.Y/"</f>
        <v>#VALUE!</v>
      </c>
      <c r="EH234" t="e">
        <f>'All regions'!5625:5625-"$F;@!.Y0"</f>
        <v>#VALUE!</v>
      </c>
      <c r="EI234" t="e">
        <f>'All regions'!5626:5626-"$F;@!.Y1"</f>
        <v>#VALUE!</v>
      </c>
      <c r="EJ234" t="e">
        <f>'All regions'!5627:5627-"$F;@!.Y2"</f>
        <v>#VALUE!</v>
      </c>
      <c r="EK234" t="e">
        <f>'All regions'!5628:5628-"$F;@!.Y3"</f>
        <v>#VALUE!</v>
      </c>
      <c r="EL234" t="e">
        <f>'All regions'!5629:5629-"$F;@!.Y4"</f>
        <v>#VALUE!</v>
      </c>
      <c r="EM234" t="e">
        <f>'All regions'!5630:5630-"$F;@!.Y5"</f>
        <v>#VALUE!</v>
      </c>
      <c r="EN234" t="e">
        <f>'All regions'!5631:5631-"$F;@!.Y6"</f>
        <v>#VALUE!</v>
      </c>
      <c r="EO234" t="e">
        <f>'All regions'!5632:5632-"$F;@!.Y7"</f>
        <v>#VALUE!</v>
      </c>
      <c r="EP234" t="e">
        <f>'All regions'!5633:5633-"$F;@!.Y8"</f>
        <v>#VALUE!</v>
      </c>
      <c r="EQ234" t="e">
        <f>'All regions'!5634:5634-"$F;@!.Y9"</f>
        <v>#VALUE!</v>
      </c>
      <c r="ER234" t="e">
        <f>'All regions'!5635:5635-"$F;@!.Y:"</f>
        <v>#VALUE!</v>
      </c>
      <c r="ES234" t="e">
        <f>'All regions'!5636:5636-"$F;@!.Y;"</f>
        <v>#VALUE!</v>
      </c>
      <c r="ET234" t="e">
        <f>'All regions'!5637:5637-"$F;@!.Y&lt;"</f>
        <v>#VALUE!</v>
      </c>
      <c r="EU234" t="e">
        <f>'All regions'!5638:5638-"$F;@!.Y="</f>
        <v>#VALUE!</v>
      </c>
      <c r="EV234" t="e">
        <f>'All regions'!5639:5639-"$F;@!.Y&gt;"</f>
        <v>#VALUE!</v>
      </c>
      <c r="EW234" t="e">
        <f>'All regions'!5640:5640-"$F;@!.Y?"</f>
        <v>#VALUE!</v>
      </c>
      <c r="EX234" t="e">
        <f>'All regions'!5641:5641-"$F;@!.Y@"</f>
        <v>#VALUE!</v>
      </c>
      <c r="EY234" t="e">
        <f>'All regions'!5642:5642-"$F;@!.YA"</f>
        <v>#VALUE!</v>
      </c>
      <c r="EZ234" t="e">
        <f>'All regions'!5643:5643-"$F;@!.YB"</f>
        <v>#VALUE!</v>
      </c>
      <c r="FA234" t="e">
        <f>'All regions'!5644:5644-"$F;@!.YC"</f>
        <v>#VALUE!</v>
      </c>
      <c r="FB234" t="e">
        <f>'All regions'!5645:5645-"$F;@!.YD"</f>
        <v>#VALUE!</v>
      </c>
      <c r="FC234" t="e">
        <f>'All regions'!5646:5646-"$F;@!.YE"</f>
        <v>#VALUE!</v>
      </c>
      <c r="FD234" t="e">
        <f>'All regions'!5647:5647-"$F;@!.YF"</f>
        <v>#VALUE!</v>
      </c>
      <c r="FE234" t="e">
        <f>'All regions'!5648:5648-"$F;@!.YG"</f>
        <v>#VALUE!</v>
      </c>
      <c r="FF234" t="e">
        <f>'All regions'!5649:5649-"$F;@!.YH"</f>
        <v>#VALUE!</v>
      </c>
      <c r="FG234" t="e">
        <f>'All regions'!5650:5650-"$F;@!.YI"</f>
        <v>#VALUE!</v>
      </c>
      <c r="FH234" t="e">
        <f>'All regions'!5651:5651-"$F;@!.YJ"</f>
        <v>#VALUE!</v>
      </c>
      <c r="FI234" t="e">
        <f>'All regions'!5652:5652-"$F;@!.YK"</f>
        <v>#VALUE!</v>
      </c>
      <c r="FJ234" t="e">
        <f>'All regions'!5653:5653-"$F;@!.YL"</f>
        <v>#VALUE!</v>
      </c>
      <c r="FK234" t="e">
        <f>'All regions'!5654:5654-"$F;@!.YM"</f>
        <v>#VALUE!</v>
      </c>
      <c r="FL234" t="e">
        <f>'All regions'!5655:5655-"$F;@!.YN"</f>
        <v>#VALUE!</v>
      </c>
      <c r="FM234" t="e">
        <f>'All regions'!5656:5656-"$F;@!.YO"</f>
        <v>#VALUE!</v>
      </c>
      <c r="FN234" t="e">
        <f>'All regions'!5657:5657-"$F;@!.YP"</f>
        <v>#VALUE!</v>
      </c>
      <c r="FO234" t="e">
        <f>'All regions'!5658:5658-"$F;@!.YQ"</f>
        <v>#VALUE!</v>
      </c>
      <c r="FP234" t="e">
        <f>'All regions'!5659:5659-"$F;@!.YR"</f>
        <v>#VALUE!</v>
      </c>
      <c r="FQ234" t="e">
        <f>'All regions'!5660:5660-"$F;@!.YS"</f>
        <v>#VALUE!</v>
      </c>
      <c r="FR234" t="e">
        <f>'All regions'!5661:5661-"$F;@!.YT"</f>
        <v>#VALUE!</v>
      </c>
      <c r="FS234" t="e">
        <f>'All regions'!5662:5662-"$F;@!.YU"</f>
        <v>#VALUE!</v>
      </c>
      <c r="FT234" t="e">
        <f>'All regions'!5663:5663-"$F;@!.YV"</f>
        <v>#VALUE!</v>
      </c>
      <c r="FU234" t="e">
        <f>'All regions'!5664:5664-"$F;@!.YW"</f>
        <v>#VALUE!</v>
      </c>
      <c r="FV234" t="e">
        <f>'All regions'!5665:5665-"$F;@!.YX"</f>
        <v>#VALUE!</v>
      </c>
      <c r="FW234" t="e">
        <f>'All regions'!5666:5666-"$F;@!.YY"</f>
        <v>#VALUE!</v>
      </c>
      <c r="FX234" t="e">
        <f>'All regions'!5667:5667-"$F;@!.YZ"</f>
        <v>#VALUE!</v>
      </c>
      <c r="FY234" t="e">
        <f>'All regions'!5668:5668-"$F;@!.Y["</f>
        <v>#VALUE!</v>
      </c>
      <c r="FZ234" t="e">
        <f>'All regions'!5669:5669-"$F;@!.Y\"</f>
        <v>#VALUE!</v>
      </c>
      <c r="GA234" t="e">
        <f>'All regions'!5670:5670-"$F;@!.Y]"</f>
        <v>#VALUE!</v>
      </c>
      <c r="GB234" t="e">
        <f>'All regions'!5671:5671-"$F;@!.Y^"</f>
        <v>#VALUE!</v>
      </c>
      <c r="GC234" t="e">
        <f>'All regions'!5672:5672-"$F;@!.Y_"</f>
        <v>#VALUE!</v>
      </c>
      <c r="GD234" t="e">
        <f>'All regions'!5673:5673-"$F;@!.Y`"</f>
        <v>#VALUE!</v>
      </c>
      <c r="GE234" t="e">
        <f>'All regions'!5674:5674-"$F;@!.Ya"</f>
        <v>#VALUE!</v>
      </c>
      <c r="GF234" t="e">
        <f>'All regions'!5675:5675-"$F;@!.Yb"</f>
        <v>#VALUE!</v>
      </c>
      <c r="GG234" t="e">
        <f>'All regions'!5676:5676-"$F;@!.Yc"</f>
        <v>#VALUE!</v>
      </c>
      <c r="GH234" t="e">
        <f>'All regions'!5677:5677-"$F;@!.Yd"</f>
        <v>#VALUE!</v>
      </c>
      <c r="GI234" t="e">
        <f>'All regions'!5678:5678-"$F;@!.Ye"</f>
        <v>#VALUE!</v>
      </c>
      <c r="GJ234" t="e">
        <f>'All regions'!5679:5679-"$F;@!.Yf"</f>
        <v>#VALUE!</v>
      </c>
      <c r="GK234" t="e">
        <f>'All regions'!5680:5680-"$F;@!.Yg"</f>
        <v>#VALUE!</v>
      </c>
      <c r="GL234" t="e">
        <f>'All regions'!5681:5681-"$F;@!.Yh"</f>
        <v>#VALUE!</v>
      </c>
      <c r="GM234" t="e">
        <f>'All regions'!5682:5682-"$F;@!.Yi"</f>
        <v>#VALUE!</v>
      </c>
      <c r="GN234" t="e">
        <f>'All regions'!5683:5683-"$F;@!.Yj"</f>
        <v>#VALUE!</v>
      </c>
      <c r="GO234" t="e">
        <f>'All regions'!5684:5684-"$F;@!.Yk"</f>
        <v>#VALUE!</v>
      </c>
      <c r="GP234" t="e">
        <f>'All regions'!5685:5685-"$F;@!.Yl"</f>
        <v>#VALUE!</v>
      </c>
      <c r="GQ234" t="e">
        <f>'All regions'!5686:5686-"$F;@!.Ym"</f>
        <v>#VALUE!</v>
      </c>
      <c r="GR234" t="e">
        <f>'All regions'!5687:5687-"$F;@!.Yn"</f>
        <v>#VALUE!</v>
      </c>
      <c r="GS234" t="e">
        <f>'All regions'!5688:5688-"$F;@!.Yo"</f>
        <v>#VALUE!</v>
      </c>
      <c r="GT234" t="e">
        <f>'All regions'!5689:5689-"$F;@!.Yp"</f>
        <v>#VALUE!</v>
      </c>
      <c r="GU234" t="e">
        <f>'All regions'!5690:5690-"$F;@!.Yq"</f>
        <v>#VALUE!</v>
      </c>
      <c r="GV234" t="e">
        <f>'All regions'!5691:5691-"$F;@!.Yr"</f>
        <v>#VALUE!</v>
      </c>
      <c r="GW234" t="e">
        <f>'All regions'!5692:5692-"$F;@!.Ys"</f>
        <v>#VALUE!</v>
      </c>
      <c r="GX234" t="e">
        <f>'All regions'!5693:5693-"$F;@!.Yt"</f>
        <v>#VALUE!</v>
      </c>
      <c r="GY234" t="e">
        <f>'All regions'!5694:5694-"$F;@!.Yu"</f>
        <v>#VALUE!</v>
      </c>
      <c r="GZ234" t="e">
        <f>'All regions'!5695:5695-"$F;@!.Yv"</f>
        <v>#VALUE!</v>
      </c>
      <c r="HA234" t="e">
        <f>'All regions'!5696:5696-"$F;@!.Yw"</f>
        <v>#VALUE!</v>
      </c>
      <c r="HB234" t="e">
        <f>'All regions'!5697:5697-"$F;@!.Yx"</f>
        <v>#VALUE!</v>
      </c>
      <c r="HC234" t="e">
        <f>'All regions'!5698:5698-"$F;@!.Yy"</f>
        <v>#VALUE!</v>
      </c>
      <c r="HD234" t="e">
        <f>'All regions'!5699:5699-"$F;@!.Yz"</f>
        <v>#VALUE!</v>
      </c>
      <c r="HE234" t="e">
        <f>'All regions'!5700:5700-"$F;@!.Y{"</f>
        <v>#VALUE!</v>
      </c>
      <c r="HF234" t="e">
        <f>'All regions'!5701:5701-"$F;@!.Y|"</f>
        <v>#VALUE!</v>
      </c>
      <c r="HG234" t="e">
        <f>'All regions'!5702:5702-"$F;@!.Y}"</f>
        <v>#VALUE!</v>
      </c>
      <c r="HH234" t="e">
        <f>'All regions'!5703:5703-"$F;@!.Y~"</f>
        <v>#VALUE!</v>
      </c>
      <c r="HI234" t="e">
        <f>'All regions'!5704:5704-"$F;@!.Z#"</f>
        <v>#VALUE!</v>
      </c>
      <c r="HJ234" t="e">
        <f>'All regions'!5705:5705-"$F;@!.Z$"</f>
        <v>#VALUE!</v>
      </c>
      <c r="HK234" t="e">
        <f>'All regions'!5706:5706-"$F;@!.Z%"</f>
        <v>#VALUE!</v>
      </c>
      <c r="HL234" t="e">
        <f>'All regions'!5707:5707-"$F;@!.Z&amp;"</f>
        <v>#VALUE!</v>
      </c>
      <c r="HM234" t="e">
        <f>'All regions'!5708:5708-"$F;@!.Z'"</f>
        <v>#VALUE!</v>
      </c>
      <c r="HN234" t="e">
        <f>'All regions'!5709:5709-"$F;@!.Z("</f>
        <v>#VALUE!</v>
      </c>
      <c r="HO234" t="e">
        <f>'All regions'!5710:5710-"$F;@!.Z)"</f>
        <v>#VALUE!</v>
      </c>
      <c r="HP234" t="e">
        <f>'All regions'!5711:5711-"$F;@!.Z."</f>
        <v>#VALUE!</v>
      </c>
      <c r="HQ234" t="e">
        <f>'All regions'!5712:5712-"$F;@!.Z/"</f>
        <v>#VALUE!</v>
      </c>
      <c r="HR234" t="e">
        <f>'All regions'!5713:5713-"$F;@!.Z0"</f>
        <v>#VALUE!</v>
      </c>
      <c r="HS234" t="e">
        <f>'All regions'!5714:5714-"$F;@!.Z1"</f>
        <v>#VALUE!</v>
      </c>
      <c r="HT234" t="e">
        <f>'All regions'!5715:5715-"$F;@!.Z2"</f>
        <v>#VALUE!</v>
      </c>
      <c r="HU234" t="e">
        <f>'All regions'!5716:5716-"$F;@!.Z3"</f>
        <v>#VALUE!</v>
      </c>
      <c r="HV234" t="e">
        <f>'All regions'!5717:5717-"$F;@!.Z4"</f>
        <v>#VALUE!</v>
      </c>
      <c r="HW234" t="e">
        <f>'All regions'!5718:5718-"$F;@!.Z5"</f>
        <v>#VALUE!</v>
      </c>
      <c r="HX234" t="e">
        <f>'All regions'!5719:5719-"$F;@!.Z6"</f>
        <v>#VALUE!</v>
      </c>
      <c r="HY234" t="e">
        <f>'All regions'!5720:5720-"$F;@!.Z7"</f>
        <v>#VALUE!</v>
      </c>
      <c r="HZ234" t="e">
        <f>'All regions'!5721:5721-"$F;@!.Z8"</f>
        <v>#VALUE!</v>
      </c>
      <c r="IA234" t="e">
        <f>'All regions'!5722:5722-"$F;@!.Z9"</f>
        <v>#VALUE!</v>
      </c>
      <c r="IB234" t="e">
        <f>'All regions'!5723:5723-"$F;@!.Z:"</f>
        <v>#VALUE!</v>
      </c>
      <c r="IC234" t="e">
        <f>'All regions'!5724:5724-"$F;@!.Z;"</f>
        <v>#VALUE!</v>
      </c>
      <c r="ID234" t="e">
        <f>'All regions'!5725:5725-"$F;@!.Z&lt;"</f>
        <v>#VALUE!</v>
      </c>
      <c r="IE234" t="e">
        <f>'All regions'!5726:5726-"$F;@!.Z="</f>
        <v>#VALUE!</v>
      </c>
      <c r="IF234" t="e">
        <f>'All regions'!5727:5727-"$F;@!.Z&gt;"</f>
        <v>#VALUE!</v>
      </c>
      <c r="IG234" t="e">
        <f>'All regions'!5728:5728-"$F;@!.Z?"</f>
        <v>#VALUE!</v>
      </c>
      <c r="IH234" t="e">
        <f>'All regions'!5729:5729-"$F;@!.Z@"</f>
        <v>#VALUE!</v>
      </c>
      <c r="II234" t="e">
        <f>'All regions'!5730:5730-"$F;@!.ZA"</f>
        <v>#VALUE!</v>
      </c>
      <c r="IJ234" t="e">
        <f>'All regions'!5731:5731-"$F;@!.ZB"</f>
        <v>#VALUE!</v>
      </c>
      <c r="IK234" t="e">
        <f>'All regions'!5732:5732-"$F;@!.ZC"</f>
        <v>#VALUE!</v>
      </c>
      <c r="IL234" t="e">
        <f>'All regions'!5733:5733-"$F;@!.ZD"</f>
        <v>#VALUE!</v>
      </c>
      <c r="IM234" t="e">
        <f>'All regions'!5734:5734-"$F;@!.ZE"</f>
        <v>#VALUE!</v>
      </c>
      <c r="IN234" t="e">
        <f>'All regions'!5735:5735-"$F;@!.ZF"</f>
        <v>#VALUE!</v>
      </c>
      <c r="IO234" t="e">
        <f>'All regions'!5736:5736-"$F;@!.ZG"</f>
        <v>#VALUE!</v>
      </c>
      <c r="IP234" t="e">
        <f>'All regions'!5737:5737-"$F;@!.ZH"</f>
        <v>#VALUE!</v>
      </c>
      <c r="IQ234" t="e">
        <f>'All regions'!5738:5738-"$F;@!.ZI"</f>
        <v>#VALUE!</v>
      </c>
      <c r="IR234" t="e">
        <f>'All regions'!5739:5739-"$F;@!.ZJ"</f>
        <v>#VALUE!</v>
      </c>
      <c r="IS234" t="e">
        <f>'All regions'!5740:5740-"$F;@!.ZK"</f>
        <v>#VALUE!</v>
      </c>
      <c r="IT234" t="e">
        <f>'All regions'!5741:5741-"$F;@!.ZL"</f>
        <v>#VALUE!</v>
      </c>
      <c r="IU234" t="e">
        <f>'All regions'!5742:5742-"$F;@!.ZM"</f>
        <v>#VALUE!</v>
      </c>
      <c r="IV234" t="e">
        <f>'All regions'!5743:5743-"$F;@!.ZN"</f>
        <v>#VALUE!</v>
      </c>
    </row>
    <row r="235" spans="6:256" x14ac:dyDescent="0.35">
      <c r="F235" t="e">
        <f>'All regions'!5744:5744-"$F;@!.ZO"</f>
        <v>#VALUE!</v>
      </c>
      <c r="G235" t="e">
        <f>'All regions'!5745:5745-"$F;@!.ZP"</f>
        <v>#VALUE!</v>
      </c>
      <c r="H235" t="e">
        <f>'All regions'!5746:5746-"$F;@!.ZQ"</f>
        <v>#VALUE!</v>
      </c>
      <c r="I235" t="e">
        <f>'All regions'!5747:5747-"$F;@!.ZR"</f>
        <v>#VALUE!</v>
      </c>
      <c r="J235" t="e">
        <f>'All regions'!5748:5748-"$F;@!.ZS"</f>
        <v>#VALUE!</v>
      </c>
      <c r="K235" t="e">
        <f>'All regions'!5749:5749-"$F;@!.ZT"</f>
        <v>#VALUE!</v>
      </c>
      <c r="L235" t="e">
        <f>'All regions'!5750:5750-"$F;@!.ZU"</f>
        <v>#VALUE!</v>
      </c>
      <c r="M235" t="e">
        <f>'All regions'!5751:5751-"$F;@!.ZV"</f>
        <v>#VALUE!</v>
      </c>
      <c r="N235" t="e">
        <f>'All regions'!5752:5752-"$F;@!.ZW"</f>
        <v>#VALUE!</v>
      </c>
      <c r="O235" t="e">
        <f>'All regions'!5753:5753-"$F;@!.ZX"</f>
        <v>#VALUE!</v>
      </c>
      <c r="P235" t="e">
        <f>'All regions'!5754:5754-"$F;@!.ZY"</f>
        <v>#VALUE!</v>
      </c>
      <c r="Q235" t="e">
        <f>'All regions'!5755:5755-"$F;@!.ZZ"</f>
        <v>#VALUE!</v>
      </c>
      <c r="R235" t="e">
        <f>'All regions'!5756:5756-"$F;@!.Z["</f>
        <v>#VALUE!</v>
      </c>
      <c r="S235" t="e">
        <f>'All regions'!5760:5760-"$F;@!.Z\"</f>
        <v>#VALUE!</v>
      </c>
      <c r="T235" t="e">
        <f>'All regions'!5761:5761-"$F;@!.Z]"</f>
        <v>#VALUE!</v>
      </c>
      <c r="U235" t="e">
        <f>'All regions'!5762:5762-"$F;@!.Z^"</f>
        <v>#VALUE!</v>
      </c>
      <c r="V235" t="e">
        <f>'All regions'!5763:5763-"$F;@!.Z_"</f>
        <v>#VALUE!</v>
      </c>
      <c r="W235" t="e">
        <f>'All regions'!5764:5764-"$F;@!.Z`"</f>
        <v>#VALUE!</v>
      </c>
      <c r="X235" t="e">
        <f>'All regions'!5765:5765-"$F;@!.Za"</f>
        <v>#VALUE!</v>
      </c>
      <c r="Y235" t="e">
        <f>'All regions'!5766:5766-"$F;@!.Zb"</f>
        <v>#VALUE!</v>
      </c>
      <c r="Z235" t="e">
        <f>'All regions'!5767:5767-"$F;@!.Zc"</f>
        <v>#VALUE!</v>
      </c>
      <c r="AA235" t="e">
        <f>'All regions'!5768:5768-"$F;@!.Zd"</f>
        <v>#VALUE!</v>
      </c>
      <c r="AB235" t="e">
        <f>'All regions'!5769:5769-"$F;@!.Ze"</f>
        <v>#VALUE!</v>
      </c>
      <c r="AC235" t="e">
        <f>'All regions'!5770:5770-"$F;@!.Zf"</f>
        <v>#VALUE!</v>
      </c>
      <c r="AD235" t="e">
        <f>'All regions'!5771:5771-"$F;@!.Zg"</f>
        <v>#VALUE!</v>
      </c>
      <c r="AE235" t="e">
        <f>'All regions'!5772:5772-"$F;@!.Zh"</f>
        <v>#VALUE!</v>
      </c>
      <c r="AF235" t="e">
        <f>'All regions'!5773:5773-"$F;@!.Zi"</f>
        <v>#VALUE!</v>
      </c>
      <c r="AG235" t="e">
        <f>'All regions'!5774:5774-"$F;@!.Zj"</f>
        <v>#VALUE!</v>
      </c>
      <c r="AH235" t="e">
        <f>'All regions'!5775:5775-"$F;@!.Zk"</f>
        <v>#VALUE!</v>
      </c>
      <c r="AI235" t="e">
        <f>'All regions'!5777:5777-"$F;@!.Zl"</f>
        <v>#VALUE!</v>
      </c>
      <c r="AJ235" t="e">
        <f>'All regions'!5778:5778-"$F;@!.Zm"</f>
        <v>#VALUE!</v>
      </c>
      <c r="AK235" t="e">
        <f>'All regions'!5779:5779-"$F;@!.Zn"</f>
        <v>#VALUE!</v>
      </c>
      <c r="AL235" t="e">
        <f>'All regions'!5780:5780-"$F;@!.Zo"</f>
        <v>#VALUE!</v>
      </c>
      <c r="AM235" t="e">
        <f>'All regions'!5781:5781-"$F;@!.Zp"</f>
        <v>#VALUE!</v>
      </c>
      <c r="AN235" t="e">
        <f>'All regions'!5782:5782-"$F;@!.Zq"</f>
        <v>#VALUE!</v>
      </c>
      <c r="AO235" t="e">
        <f>'All regions'!5783:5783-"$F;@!.Zr"</f>
        <v>#VALUE!</v>
      </c>
      <c r="AP235" t="e">
        <f>'All regions'!5784:5784-"$F;@!.Zs"</f>
        <v>#VALUE!</v>
      </c>
      <c r="AQ235" t="e">
        <f>'All regions'!5785:5785-"$F;@!.Zt"</f>
        <v>#VALUE!</v>
      </c>
      <c r="AR235" t="e">
        <f>'All regions'!5786:5786-"$F;@!.Zu"</f>
        <v>#VALUE!</v>
      </c>
      <c r="AS235" t="e">
        <f>'All regions'!5787:5787-"$F;@!.Zv"</f>
        <v>#VALUE!</v>
      </c>
      <c r="AT235" t="e">
        <f>'All regions'!5788:5788-"$F;@!.Zw"</f>
        <v>#VALUE!</v>
      </c>
      <c r="AU235" t="e">
        <f>'All regions'!5789:5789-"$F;@!.Zx"</f>
        <v>#VALUE!</v>
      </c>
      <c r="AV235" t="e">
        <f>'All regions'!5790:5790-"$F;@!.Zy"</f>
        <v>#VALUE!</v>
      </c>
      <c r="AW235" t="e">
        <f>'All regions'!5791:5791-"$F;@!.Zz"</f>
        <v>#VALUE!</v>
      </c>
      <c r="AX235" t="e">
        <f>'All regions'!5792:5792-"$F;@!.Z{"</f>
        <v>#VALUE!</v>
      </c>
      <c r="AY235" t="e">
        <f>'All regions'!5793:5793-"$F;@!.Z|"</f>
        <v>#VALUE!</v>
      </c>
      <c r="AZ235" t="e">
        <f>'All regions'!5794:5794-"$F;@!.Z}"</f>
        <v>#VALUE!</v>
      </c>
      <c r="BA235" t="e">
        <f>'All regions'!5795:5795-"$F;@!.Z~"</f>
        <v>#VALUE!</v>
      </c>
      <c r="BB235" t="e">
        <f>'All regions'!5798:5798-"$F;@!.[#"</f>
        <v>#VALUE!</v>
      </c>
      <c r="BC235" t="e">
        <f>'All regions'!5799:5799-"$F;@!.[$"</f>
        <v>#VALUE!</v>
      </c>
      <c r="BD235" t="e">
        <f>'All regions'!5800:5800-"$F;@!.[%"</f>
        <v>#VALUE!</v>
      </c>
      <c r="BE235" t="e">
        <f>'All regions'!5801:5801-"$F;@!.[&amp;"</f>
        <v>#VALUE!</v>
      </c>
      <c r="BF235" t="e">
        <f>'All regions'!5802:5802-"$F;@!.['"</f>
        <v>#VALUE!</v>
      </c>
      <c r="BG235" t="e">
        <f>'All regions'!5803:5803-"$F;@!.[("</f>
        <v>#VALUE!</v>
      </c>
      <c r="BH235" t="e">
        <f>'All regions'!5804:5804-"$F;@!.[)"</f>
        <v>#VALUE!</v>
      </c>
      <c r="BI235" t="e">
        <f>'All regions'!5805:5805-"$F;@!.[."</f>
        <v>#VALUE!</v>
      </c>
      <c r="BJ235" t="e">
        <f>'All regions'!5806:5806-"$F;@!.[/"</f>
        <v>#VALUE!</v>
      </c>
      <c r="BK235" t="e">
        <f>'All regions'!5807:5807-"$F;@!.[0"</f>
        <v>#VALUE!</v>
      </c>
      <c r="BL235" t="e">
        <f>'All regions'!5808:5808-"$F;@!.[1"</f>
        <v>#VALUE!</v>
      </c>
      <c r="BM235" t="e">
        <f>'All regions'!5809:5809-"$F;@!.[2"</f>
        <v>#VALUE!</v>
      </c>
      <c r="BN235" t="e">
        <f>'All regions'!5810:5810-"$F;@!.[3"</f>
        <v>#VALUE!</v>
      </c>
      <c r="BO235" t="e">
        <f>'All regions'!5811:5811-"$F;@!.[4"</f>
        <v>#VALUE!</v>
      </c>
      <c r="BP235" t="e">
        <f>'All regions'!5812:5812-"$F;@!.[5"</f>
        <v>#VALUE!</v>
      </c>
      <c r="BQ235" t="e">
        <f>'All regions'!5813:5813-"$F;@!.[6"</f>
        <v>#VALUE!</v>
      </c>
      <c r="BR235" t="e">
        <f>'All regions'!5814:5814-"$F;@!.[7"</f>
        <v>#VALUE!</v>
      </c>
      <c r="BS235" t="e">
        <f>'All regions'!5815:5815-"$F;@!.[8"</f>
        <v>#VALUE!</v>
      </c>
      <c r="BT235" t="e">
        <f>'All regions'!5816:5816-"$F;@!.[9"</f>
        <v>#VALUE!</v>
      </c>
      <c r="BU235" t="e">
        <f>'All regions'!5817:5817-"$F;@!.[:"</f>
        <v>#VALUE!</v>
      </c>
      <c r="BV235" t="e">
        <f>'All regions'!5818:5818-"$F;@!.[;"</f>
        <v>#VALUE!</v>
      </c>
      <c r="BW235" t="e">
        <f>'All regions'!5819:5819-"$F;@!.[&lt;"</f>
        <v>#VALUE!</v>
      </c>
      <c r="BX235" t="e">
        <f>'All regions'!5820:5820-"$F;@!.[="</f>
        <v>#VALUE!</v>
      </c>
      <c r="BY235" t="e">
        <f>'All regions'!5824:5824-"$F;@!.[&gt;"</f>
        <v>#VALUE!</v>
      </c>
      <c r="BZ235" t="e">
        <f>'All regions'!5825:5825-"$F;@!.[?"</f>
        <v>#VALUE!</v>
      </c>
      <c r="CA235" t="e">
        <f>'All regions'!5826:5826-"$F;@!.[@"</f>
        <v>#VALUE!</v>
      </c>
      <c r="CB235" t="e">
        <f>'All regions'!5827:5827-"$F;@!.[A"</f>
        <v>#VALUE!</v>
      </c>
      <c r="CC235" t="e">
        <f>'All regions'!5828:5828-"$F;@!.[B"</f>
        <v>#VALUE!</v>
      </c>
      <c r="CD235" t="e">
        <f>'All regions'!5829:5829-"$F;@!.[C"</f>
        <v>#VALUE!</v>
      </c>
      <c r="CE235" t="e">
        <f>'All regions'!5830:5830-"$F;@!.[D"</f>
        <v>#VALUE!</v>
      </c>
      <c r="CF235" t="e">
        <f>'All regions'!5831:5831-"$F;@!.[E"</f>
        <v>#VALUE!</v>
      </c>
      <c r="CG235" t="e">
        <f>'All regions'!5832:5832-"$F;@!.[F"</f>
        <v>#VALUE!</v>
      </c>
      <c r="CH235" t="e">
        <f>'All regions'!5833:5833-"$F;@!.[G"</f>
        <v>#VALUE!</v>
      </c>
      <c r="CI235" t="e">
        <f>'All regions'!5834:5834-"$F;@!.[H"</f>
        <v>#VALUE!</v>
      </c>
      <c r="CJ235" t="e">
        <f>'All regions'!5838:5838-"$F;@!.[I"</f>
        <v>#VALUE!</v>
      </c>
      <c r="CK235" t="e">
        <f>'All regions'!5839:5839-"$F;@!.[J"</f>
        <v>#VALUE!</v>
      </c>
      <c r="CL235" t="e">
        <f>'All regions'!5840:5840-"$F;@!.[K"</f>
        <v>#VALUE!</v>
      </c>
      <c r="CM235" t="e">
        <f>'All regions'!5841:5841-"$F;@!.[L"</f>
        <v>#VALUE!</v>
      </c>
      <c r="CN235" t="e">
        <f>'All regions'!5842:5842-"$F;@!.[M"</f>
        <v>#VALUE!</v>
      </c>
      <c r="CO235" t="e">
        <f>'All regions'!5843:5843-"$F;@!.[N"</f>
        <v>#VALUE!</v>
      </c>
      <c r="CP235" t="e">
        <f>'All regions'!5844:5844-"$F;@!.[O"</f>
        <v>#VALUE!</v>
      </c>
      <c r="CQ235" t="e">
        <f>'All regions'!5845:5845-"$F;@!.[P"</f>
        <v>#VALUE!</v>
      </c>
      <c r="CR235" t="e">
        <f>'All regions'!5846:5846-"$F;@!.[Q"</f>
        <v>#VALUE!</v>
      </c>
      <c r="CS235" t="e">
        <f>'All regions'!5847:5847-"$F;@!.[R"</f>
        <v>#VALUE!</v>
      </c>
      <c r="CT235" t="e">
        <f>'All regions'!5848:5848-"$F;@!.[S"</f>
        <v>#VALUE!</v>
      </c>
      <c r="CU235" t="e">
        <f>'All regions'!5849:5849-"$F;@!.[T"</f>
        <v>#VALUE!</v>
      </c>
      <c r="CV235" t="e">
        <f>'All regions'!5850:5850-"$F;@!.[U"</f>
        <v>#VALUE!</v>
      </c>
      <c r="CW235" t="e">
        <f>'All regions'!5851:5851-"$F;@!.[V"</f>
        <v>#VALUE!</v>
      </c>
      <c r="CX235" t="e">
        <f>'All regions'!5852:5852-"$F;@!.[W"</f>
        <v>#VALUE!</v>
      </c>
      <c r="CY235" t="e">
        <f>'All regions'!5853:5853-"$F;@!.[X"</f>
        <v>#VALUE!</v>
      </c>
      <c r="CZ235" t="e">
        <f>'All regions'!5854:5854-"$F;@!.[Y"</f>
        <v>#VALUE!</v>
      </c>
      <c r="DA235" t="e">
        <f>'All regions'!5855:5855-"$F;@!.[Z"</f>
        <v>#VALUE!</v>
      </c>
      <c r="DB235" t="e">
        <f>'All regions'!5856:5856-"$F;@!.[["</f>
        <v>#VALUE!</v>
      </c>
      <c r="DC235" t="e">
        <f>'All regions'!5857:5857-"$F;@!.[\"</f>
        <v>#VALUE!</v>
      </c>
      <c r="DD235" t="e">
        <f>'All regions'!5858:5858-"$F;@!.[]"</f>
        <v>#VALUE!</v>
      </c>
      <c r="DE235" t="e">
        <f>'All regions'!5859:5859-"$F;@!.[^"</f>
        <v>#VALUE!</v>
      </c>
      <c r="DF235" t="e">
        <f>'All regions'!5860:5860-"$F;@!.[_"</f>
        <v>#VALUE!</v>
      </c>
      <c r="DG235" t="e">
        <f>'All regions'!5861:5861-"$F;@!.[`"</f>
        <v>#VALUE!</v>
      </c>
      <c r="DH235" t="e">
        <f>'All regions'!5862:5862-"$F;@!.[a"</f>
        <v>#VALUE!</v>
      </c>
      <c r="DI235" t="e">
        <f>'All regions'!5863:5863-"$F;@!.[b"</f>
        <v>#VALUE!</v>
      </c>
      <c r="DJ235" t="e">
        <f>'All regions'!5864:5864-"$F;@!.[c"</f>
        <v>#VALUE!</v>
      </c>
      <c r="DK235" t="e">
        <f>'All regions'!5865:5865-"$F;@!.[d"</f>
        <v>#VALUE!</v>
      </c>
      <c r="DL235" t="e">
        <f>'All regions'!5866:5866-"$F;@!.[e"</f>
        <v>#VALUE!</v>
      </c>
      <c r="DM235" t="e">
        <f>'All regions'!5867:5867-"$F;@!.[f"</f>
        <v>#VALUE!</v>
      </c>
      <c r="DN235" t="e">
        <f>'All regions'!5868:5868-"$F;@!.[g"</f>
        <v>#VALUE!</v>
      </c>
      <c r="DO235" t="e">
        <f>'All regions'!5869:5869-"$F;@!.[h"</f>
        <v>#VALUE!</v>
      </c>
      <c r="DP235" t="e">
        <f>'All regions'!5870:5870-"$F;@!.[i"</f>
        <v>#VALUE!</v>
      </c>
      <c r="DQ235" t="e">
        <f>'All regions'!5871:5871-"$F;@!.[j"</f>
        <v>#VALUE!</v>
      </c>
      <c r="DR235" t="e">
        <f>'All regions'!5872:5872-"$F;@!.[k"</f>
        <v>#VALUE!</v>
      </c>
      <c r="DS235" t="e">
        <f>'All regions'!5873:5873-"$F;@!.[l"</f>
        <v>#VALUE!</v>
      </c>
      <c r="DT235" t="e">
        <f>'All regions'!5874:5874-"$F;@!.[m"</f>
        <v>#VALUE!</v>
      </c>
      <c r="DU235" t="e">
        <f>'All regions'!5875:5875-"$F;@!.[n"</f>
        <v>#VALUE!</v>
      </c>
      <c r="DV235" t="e">
        <f>'All regions'!5876:5876-"$F;@!.[o"</f>
        <v>#VALUE!</v>
      </c>
      <c r="DW235" t="e">
        <f>'All regions'!5877:5877-"$F;@!.[p"</f>
        <v>#VALUE!</v>
      </c>
      <c r="DX235" t="e">
        <f>'All regions'!5884:5884-"$F;@!.[q"</f>
        <v>#VALUE!</v>
      </c>
      <c r="DY235" t="e">
        <f>'All regions'!5885:5885-"$F;@!.[r"</f>
        <v>#VALUE!</v>
      </c>
      <c r="DZ235" t="e">
        <f>'All regions'!5886:5886-"$F;@!.[s"</f>
        <v>#VALUE!</v>
      </c>
      <c r="EA235" t="e">
        <f>'All regions'!5887:5887-"$F;@!.[t"</f>
        <v>#VALUE!</v>
      </c>
      <c r="EB235" t="e">
        <f>'All regions'!5888:5888-"$F;@!.[u"</f>
        <v>#VALUE!</v>
      </c>
      <c r="EC235" t="e">
        <f>'All regions'!5889:5889-"$F;@!.[v"</f>
        <v>#VALUE!</v>
      </c>
      <c r="ED235" t="e">
        <f>'All regions'!5890:5890-"$F;@!.[w"</f>
        <v>#VALUE!</v>
      </c>
      <c r="EE235" t="e">
        <f>'All regions'!5891:5891-"$F;@!.[x"</f>
        <v>#VALUE!</v>
      </c>
      <c r="EF235" t="e">
        <f>'All regions'!5892:5892-"$F;@!.[y"</f>
        <v>#VALUE!</v>
      </c>
      <c r="EG235" t="e">
        <f>'All regions'!5893:5893-"$F;@!.[z"</f>
        <v>#VALUE!</v>
      </c>
      <c r="EH235" t="e">
        <f>'All regions'!5894:5894-"$F;@!.[{"</f>
        <v>#VALUE!</v>
      </c>
      <c r="EI235" t="e">
        <f>'All regions'!5895:5895-"$F;@!.[|"</f>
        <v>#VALUE!</v>
      </c>
      <c r="EJ235" t="e">
        <f>'All regions'!5896:5896-"$F;@!.[}"</f>
        <v>#VALUE!</v>
      </c>
      <c r="EK235" t="e">
        <f>'All regions'!5897:5897-"$F;@!.[~"</f>
        <v>#VALUE!</v>
      </c>
      <c r="EL235" t="e">
        <f>'All regions'!5898:5898-"$F;@!.\#"</f>
        <v>#VALUE!</v>
      </c>
      <c r="EM235" t="e">
        <f>'All regions'!5899:5899-"$F;@!.\$"</f>
        <v>#VALUE!</v>
      </c>
      <c r="EN235" t="e">
        <f>'All regions'!5900:5900-"$F;@!.\%"</f>
        <v>#VALUE!</v>
      </c>
      <c r="EO235" t="e">
        <f>'All regions'!5902:5902-"$F;@!.\&amp;"</f>
        <v>#VALUE!</v>
      </c>
      <c r="EP235" t="e">
        <f>'All regions'!5903:5903-"$F;@!.\'"</f>
        <v>#VALUE!</v>
      </c>
      <c r="EQ235" t="e">
        <f>'All regions'!5904:5904-"$F;@!.\("</f>
        <v>#VALUE!</v>
      </c>
      <c r="ER235" t="e">
        <f>'All regions'!5905:5905-"$F;@!.\)"</f>
        <v>#VALUE!</v>
      </c>
      <c r="ES235" t="e">
        <f>'All regions'!5906:5906-"$F;@!.\."</f>
        <v>#VALUE!</v>
      </c>
      <c r="ET235" t="e">
        <f>'All regions'!5907:5907-"$F;@!.\/"</f>
        <v>#VALUE!</v>
      </c>
      <c r="EU235" t="e">
        <f>'All regions'!5908:5908-"$F;@!.\0"</f>
        <v>#VALUE!</v>
      </c>
      <c r="EV235" t="e">
        <f>'All regions'!5909:5909-"$F;@!.\1"</f>
        <v>#VALUE!</v>
      </c>
      <c r="EW235" t="e">
        <f>'All regions'!5910:5910-"$F;@!.\2"</f>
        <v>#VALUE!</v>
      </c>
      <c r="EX235" t="e">
        <f>'All regions'!5911:5911-"$F;@!.\3"</f>
        <v>#VALUE!</v>
      </c>
      <c r="EY235" t="e">
        <f>'All regions'!5912:5912-"$F;@!.\4"</f>
        <v>#VALUE!</v>
      </c>
      <c r="EZ235" t="e">
        <f>'All regions'!5913:5913-"$F;@!.\5"</f>
        <v>#VALUE!</v>
      </c>
      <c r="FA235" t="e">
        <f>'All regions'!5914:5914-"$F;@!.\6"</f>
        <v>#VALUE!</v>
      </c>
      <c r="FB235" t="e">
        <f>'All regions'!5915:5915-"$F;@!.\7"</f>
        <v>#VALUE!</v>
      </c>
      <c r="FC235" t="e">
        <f>'All regions'!5916:5916-"$F;@!.\8"</f>
        <v>#VALUE!</v>
      </c>
      <c r="FD235" t="e">
        <f>'All regions'!5917:5917-"$F;@!.\9"</f>
        <v>#VALUE!</v>
      </c>
      <c r="FE235" t="e">
        <f>'All regions'!5918:5918-"$F;@!.\:"</f>
        <v>#VALUE!</v>
      </c>
      <c r="FF235" t="e">
        <f>'All regions'!5919:5919-"$F;@!.\;"</f>
        <v>#VALUE!</v>
      </c>
      <c r="FG235" t="e">
        <f>'All regions'!5920:5920-"$F;@!.\&lt;"</f>
        <v>#VALUE!</v>
      </c>
      <c r="FH235" t="e">
        <f>'All regions'!5921:5921-"$F;@!.\="</f>
        <v>#VALUE!</v>
      </c>
      <c r="FI235" t="e">
        <f>'All regions'!5922:5922-"$F;@!.\&gt;"</f>
        <v>#VALUE!</v>
      </c>
      <c r="FJ235" t="e">
        <f>'All regions'!5923:5923-"$F;@!.\?"</f>
        <v>#VALUE!</v>
      </c>
      <c r="FK235" t="e">
        <f>'All regions'!5924:5924-"$F;@!.\@"</f>
        <v>#VALUE!</v>
      </c>
      <c r="FL235" t="e">
        <f>'All regions'!5925:5925-"$F;@!.\A"</f>
        <v>#VALUE!</v>
      </c>
      <c r="FM235" t="e">
        <f>'All regions'!5926:5926-"$F;@!.\B"</f>
        <v>#VALUE!</v>
      </c>
      <c r="FN235" t="e">
        <f>'All regions'!5927:5927-"$F;@!.\C"</f>
        <v>#VALUE!</v>
      </c>
      <c r="FO235" t="e">
        <f>'All regions'!5928:5928-"$F;@!.\D"</f>
        <v>#VALUE!</v>
      </c>
      <c r="FP235" t="e">
        <f>'All regions'!5929:5929-"$F;@!.\E"</f>
        <v>#VALUE!</v>
      </c>
      <c r="FQ235" t="e">
        <f>'All regions'!5930:5930-"$F;@!.\F"</f>
        <v>#VALUE!</v>
      </c>
      <c r="FR235" t="e">
        <f>'All regions'!5931:5931-"$F;@!.\G"</f>
        <v>#VALUE!</v>
      </c>
      <c r="FS235" t="e">
        <f>'All regions'!5932:5932-"$F;@!.\H"</f>
        <v>#VALUE!</v>
      </c>
      <c r="FT235" t="e">
        <f>'All regions'!5933:5933-"$F;@!.\I"</f>
        <v>#VALUE!</v>
      </c>
      <c r="FU235" t="e">
        <f>'All regions'!5934:5934-"$F;@!.\J"</f>
        <v>#VALUE!</v>
      </c>
      <c r="FV235" t="e">
        <f>'All regions'!5935:5935-"$F;@!.\K"</f>
        <v>#VALUE!</v>
      </c>
      <c r="FW235" t="e">
        <f>'All regions'!5936:5936-"$F;@!.\L"</f>
        <v>#VALUE!</v>
      </c>
      <c r="FX235" t="e">
        <f>'All regions'!5937:5937-"$F;@!.\M"</f>
        <v>#VALUE!</v>
      </c>
      <c r="FY235" t="e">
        <f>'All regions'!5938:5938-"$F;@!.\N"</f>
        <v>#VALUE!</v>
      </c>
      <c r="FZ235" t="e">
        <f>'All regions'!5939:5939-"$F;@!.\O"</f>
        <v>#VALUE!</v>
      </c>
      <c r="GA235" t="e">
        <f>'All regions'!5940:5940-"$F;@!.\P"</f>
        <v>#VALUE!</v>
      </c>
      <c r="GB235" t="e">
        <f>'All regions'!5941:5941-"$F;@!.\Q"</f>
        <v>#VALUE!</v>
      </c>
      <c r="GC235" t="e">
        <f>'All regions'!5942:5942-"$F;@!.\R"</f>
        <v>#VALUE!</v>
      </c>
      <c r="GD235" t="e">
        <f>'All regions'!5943:5943-"$F;@!.\S"</f>
        <v>#VALUE!</v>
      </c>
      <c r="GE235" t="e">
        <f>'All regions'!5944:5944-"$F;@!.\T"</f>
        <v>#VALUE!</v>
      </c>
      <c r="GF235" t="e">
        <f>'All regions'!5945:5945-"$F;@!.\U"</f>
        <v>#VALUE!</v>
      </c>
      <c r="GG235" t="e">
        <f>'All regions'!5946:5946-"$F;@!.\V"</f>
        <v>#VALUE!</v>
      </c>
      <c r="GH235" t="e">
        <f>'All regions'!5947:5947-"$F;@!.\W"</f>
        <v>#VALUE!</v>
      </c>
      <c r="GI235" t="e">
        <f>'All regions'!5948:5948-"$F;@!.\X"</f>
        <v>#VALUE!</v>
      </c>
      <c r="GJ235" t="e">
        <f>'All regions'!5949:5949-"$F;@!.\Y"</f>
        <v>#VALUE!</v>
      </c>
      <c r="GK235" t="e">
        <f>'All regions'!5950:5950-"$F;@!.\Z"</f>
        <v>#VALUE!</v>
      </c>
      <c r="GL235" t="e">
        <f>'All regions'!5951:5951-"$F;@!.\["</f>
        <v>#VALUE!</v>
      </c>
      <c r="GM235" t="e">
        <f>'All regions'!5952:5952-"$F;@!.\\"</f>
        <v>#VALUE!</v>
      </c>
      <c r="GN235" t="e">
        <f>'All regions'!5953:5953-"$F;@!.\]"</f>
        <v>#VALUE!</v>
      </c>
      <c r="GO235" t="e">
        <f>'All regions'!5954:5954-"$F;@!.\^"</f>
        <v>#VALUE!</v>
      </c>
      <c r="GP235" t="e">
        <f>'All regions'!5955:5955-"$F;@!.\_"</f>
        <v>#VALUE!</v>
      </c>
      <c r="GQ235" t="e">
        <f>'All regions'!5956:5956-"$F;@!.\`"</f>
        <v>#VALUE!</v>
      </c>
      <c r="GR235" t="e">
        <f>'All regions'!5957:5957-"$F;@!.\a"</f>
        <v>#VALUE!</v>
      </c>
      <c r="GS235" t="e">
        <f>'All regions'!5958:5958-"$F;@!.\b"</f>
        <v>#VALUE!</v>
      </c>
      <c r="GT235" t="e">
        <f>'All regions'!5959:5959-"$F;@!.\c"</f>
        <v>#VALUE!</v>
      </c>
      <c r="GU235" t="e">
        <f>'All regions'!5960:5960-"$F;@!.\d"</f>
        <v>#VALUE!</v>
      </c>
      <c r="GV235" t="e">
        <f>'All regions'!5961:5961-"$F;@!.\e"</f>
        <v>#VALUE!</v>
      </c>
      <c r="GW235" t="e">
        <f>'All regions'!5962:5962-"$F;@!.\f"</f>
        <v>#VALUE!</v>
      </c>
      <c r="GX235" t="e">
        <f>'All regions'!5963:5963-"$F;@!.\g"</f>
        <v>#VALUE!</v>
      </c>
      <c r="GY235" t="e">
        <f>'All regions'!5964:5964-"$F;@!.\h"</f>
        <v>#VALUE!</v>
      </c>
      <c r="GZ235" t="e">
        <f>'All regions'!5965:5965-"$F;@!.\i"</f>
        <v>#VALUE!</v>
      </c>
      <c r="HA235" t="e">
        <f>'All regions'!5966:5966-"$F;@!.\j"</f>
        <v>#VALUE!</v>
      </c>
      <c r="HB235" t="e">
        <f>'All regions'!5967:5967-"$F;@!.\k"</f>
        <v>#VALUE!</v>
      </c>
      <c r="HC235" t="e">
        <f>'All regions'!5968:5968-"$F;@!.\l"</f>
        <v>#VALUE!</v>
      </c>
      <c r="HD235" t="e">
        <f>'All regions'!5969:5969-"$F;@!.\m"</f>
        <v>#VALUE!</v>
      </c>
      <c r="HE235" t="e">
        <f>'All regions'!5970:5970-"$F;@!.\n"</f>
        <v>#VALUE!</v>
      </c>
      <c r="HF235" t="e">
        <f>'All regions'!5971:5971-"$F;@!.\o"</f>
        <v>#VALUE!</v>
      </c>
      <c r="HG235" t="e">
        <f>'All regions'!5972:5972-"$F;@!.\p"</f>
        <v>#VALUE!</v>
      </c>
      <c r="HH235" t="e">
        <f>'All regions'!5973:5973-"$F;@!.\q"</f>
        <v>#VALUE!</v>
      </c>
      <c r="HI235" t="e">
        <f>'All regions'!5974:5974-"$F;@!.\r"</f>
        <v>#VALUE!</v>
      </c>
      <c r="HJ235" t="e">
        <f>'All regions'!5975:5975-"$F;@!.\s"</f>
        <v>#VALUE!</v>
      </c>
      <c r="HK235" t="e">
        <f>'All regions'!5976:5976-"$F;@!.\t"</f>
        <v>#VALUE!</v>
      </c>
      <c r="HL235" t="e">
        <f>'All regions'!5977:5977-"$F;@!.\u"</f>
        <v>#VALUE!</v>
      </c>
      <c r="HM235" t="e">
        <f>'All regions'!5978:5978-"$F;@!.\v"</f>
        <v>#VALUE!</v>
      </c>
      <c r="HN235" t="e">
        <f>'All regions'!5979:5979-"$F;@!.\w"</f>
        <v>#VALUE!</v>
      </c>
      <c r="HO235" t="e">
        <f>'All regions'!5980:5980-"$F;@!.\x"</f>
        <v>#VALUE!</v>
      </c>
      <c r="HP235" t="e">
        <f>'All regions'!5981:5981-"$F;@!.\y"</f>
        <v>#VALUE!</v>
      </c>
      <c r="HQ235" t="e">
        <f>'All regions'!5982:5982-"$F;@!.\z"</f>
        <v>#VALUE!</v>
      </c>
      <c r="HR235" t="e">
        <f>'All regions'!5983:5983-"$F;@!.\{"</f>
        <v>#VALUE!</v>
      </c>
      <c r="HS235" t="e">
        <f>'All regions'!5984:5984-"$F;@!.\|"</f>
        <v>#VALUE!</v>
      </c>
      <c r="HT235" t="e">
        <f>'All regions'!5985:5985-"$F;@!.\}"</f>
        <v>#VALUE!</v>
      </c>
      <c r="HU235" t="e">
        <f>'All regions'!5986:5986-"$F;@!.\~"</f>
        <v>#VALUE!</v>
      </c>
      <c r="HV235" t="e">
        <f>'All regions'!5987:5987-"$F;@!.]#"</f>
        <v>#VALUE!</v>
      </c>
      <c r="HW235" t="e">
        <f>'All regions'!5988:5988-"$F;@!.]$"</f>
        <v>#VALUE!</v>
      </c>
      <c r="HX235" t="e">
        <f>'All regions'!5989:5989-"$F;@!.]%"</f>
        <v>#VALUE!</v>
      </c>
      <c r="HY235" t="e">
        <f>'All regions'!5990:5990-"$F;@!.]&amp;"</f>
        <v>#VALUE!</v>
      </c>
      <c r="HZ235" t="e">
        <f>'All regions'!5991:5991-"$F;@!.]'"</f>
        <v>#VALUE!</v>
      </c>
      <c r="IA235" t="e">
        <f>'All regions'!5992:5992-"$F;@!.]("</f>
        <v>#VALUE!</v>
      </c>
      <c r="IB235" t="e">
        <f>'All regions'!5993:5993-"$F;@!.])"</f>
        <v>#VALUE!</v>
      </c>
      <c r="IC235" t="e">
        <f>'All regions'!5994:5994-"$F;@!.]."</f>
        <v>#VALUE!</v>
      </c>
      <c r="ID235" t="e">
        <f>'All regions'!5995:5995-"$F;@!.]/"</f>
        <v>#VALUE!</v>
      </c>
      <c r="IE235" t="e">
        <f>'All regions'!5996:5996-"$F;@!.]0"</f>
        <v>#VALUE!</v>
      </c>
      <c r="IF235" t="e">
        <f>'All regions'!5997:5997-"$F;@!.]1"</f>
        <v>#VALUE!</v>
      </c>
      <c r="IG235" t="e">
        <f>'All regions'!5998:5998-"$F;@!.]2"</f>
        <v>#VALUE!</v>
      </c>
      <c r="IH235" t="e">
        <f>'All regions'!5999:5999-"$F;@!.]3"</f>
        <v>#VALUE!</v>
      </c>
      <c r="II235" t="e">
        <f>'All regions'!6000:6000-"$F;@!.]4"</f>
        <v>#VALUE!</v>
      </c>
      <c r="IJ235" t="e">
        <f>'All regions'!6001:6001-"$F;@!.]5"</f>
        <v>#VALUE!</v>
      </c>
      <c r="IK235" t="e">
        <f>'All regions'!6002:6002-"$F;@!.]6"</f>
        <v>#VALUE!</v>
      </c>
      <c r="IL235" t="e">
        <f>'All regions'!6003:6003-"$F;@!.]7"</f>
        <v>#VALUE!</v>
      </c>
      <c r="IM235" t="e">
        <f>'All regions'!6004:6004-"$F;@!.]8"</f>
        <v>#VALUE!</v>
      </c>
      <c r="IN235" t="e">
        <f>'All regions'!6005:6005-"$F;@!.]9"</f>
        <v>#VALUE!</v>
      </c>
      <c r="IO235" t="e">
        <f>'All regions'!6006:6006-"$F;@!.]:"</f>
        <v>#VALUE!</v>
      </c>
      <c r="IP235" t="e">
        <f>'All regions'!6007:6007-"$F;@!.];"</f>
        <v>#VALUE!</v>
      </c>
      <c r="IQ235" t="e">
        <f>'All regions'!6008:6008-"$F;@!.]&lt;"</f>
        <v>#VALUE!</v>
      </c>
      <c r="IR235" t="e">
        <f>'All regions'!6009:6009-"$F;@!.]="</f>
        <v>#VALUE!</v>
      </c>
      <c r="IS235" t="e">
        <f>'All regions'!6010:6010-"$F;@!.]&gt;"</f>
        <v>#VALUE!</v>
      </c>
      <c r="IT235" t="e">
        <f>'All regions'!6011:6011-"$F;@!.]?"</f>
        <v>#VALUE!</v>
      </c>
      <c r="IU235" t="e">
        <f>'All regions'!6012:6012-"$F;@!.]@"</f>
        <v>#VALUE!</v>
      </c>
      <c r="IV235" t="e">
        <f>'All regions'!6013:6013-"$F;@!.]A"</f>
        <v>#VALUE!</v>
      </c>
    </row>
    <row r="236" spans="6:256" x14ac:dyDescent="0.35">
      <c r="F236" t="e">
        <f>'All regions'!6014:6014-"$F;@!.]B"</f>
        <v>#VALUE!</v>
      </c>
      <c r="G236" t="e">
        <f>'All regions'!6015:6015-"$F;@!.]C"</f>
        <v>#VALUE!</v>
      </c>
      <c r="H236" t="e">
        <f>'All regions'!6016:6016-"$F;@!.]D"</f>
        <v>#VALUE!</v>
      </c>
      <c r="I236" t="e">
        <f>'All regions'!6017:6017-"$F;@!.]E"</f>
        <v>#VALUE!</v>
      </c>
      <c r="J236" t="e">
        <f>'All regions'!6018:6018-"$F;@!.]F"</f>
        <v>#VALUE!</v>
      </c>
      <c r="K236" t="e">
        <f>'All regions'!6019:6019-"$F;@!.]G"</f>
        <v>#VALUE!</v>
      </c>
      <c r="L236" t="e">
        <f>'All regions'!6020:6020-"$F;@!.]H"</f>
        <v>#VALUE!</v>
      </c>
      <c r="M236" t="e">
        <f>'All regions'!6021:6021-"$F;@!.]I"</f>
        <v>#VALUE!</v>
      </c>
      <c r="N236" t="e">
        <f>'All regions'!6022:6022-"$F;@!.]J"</f>
        <v>#VALUE!</v>
      </c>
      <c r="O236" t="e">
        <f>'All regions'!6023:6023-"$F;@!.]K"</f>
        <v>#VALUE!</v>
      </c>
      <c r="P236" t="e">
        <f>'All regions'!6024:6024-"$F;@!.]L"</f>
        <v>#VALUE!</v>
      </c>
      <c r="Q236" t="e">
        <f>'All regions'!6025:6025-"$F;@!.]M"</f>
        <v>#VALUE!</v>
      </c>
      <c r="R236" t="e">
        <f>'All regions'!6026:6026-"$F;@!.]N"</f>
        <v>#VALUE!</v>
      </c>
      <c r="S236" t="e">
        <f>'All regions'!6027:6027-"$F;@!.]O"</f>
        <v>#VALUE!</v>
      </c>
      <c r="T236" t="e">
        <f>'All regions'!6028:6028-"$F;@!.]P"</f>
        <v>#VALUE!</v>
      </c>
      <c r="U236" t="e">
        <f>'All regions'!6029:6029-"$F;@!.]Q"</f>
        <v>#VALUE!</v>
      </c>
      <c r="V236" t="e">
        <f>'All regions'!6030:6030-"$F;@!.]R"</f>
        <v>#VALUE!</v>
      </c>
      <c r="W236" t="e">
        <f>'All regions'!6031:6031-"$F;@!.]S"</f>
        <v>#VALUE!</v>
      </c>
      <c r="X236" t="e">
        <f>'All regions'!6032:6032-"$F;@!.]T"</f>
        <v>#VALUE!</v>
      </c>
      <c r="Y236" t="e">
        <f>'All regions'!6033:6033-"$F;@!.]U"</f>
        <v>#VALUE!</v>
      </c>
      <c r="Z236" t="e">
        <f>'All regions'!6034:6034-"$F;@!.]V"</f>
        <v>#VALUE!</v>
      </c>
      <c r="AA236" t="e">
        <f>'All regions'!6035:6035-"$F;@!.]W"</f>
        <v>#VALUE!</v>
      </c>
      <c r="AB236" t="e">
        <f>'All regions'!6036:6036-"$F;@!.]X"</f>
        <v>#VALUE!</v>
      </c>
      <c r="AC236" t="e">
        <f>'All regions'!6037:6037-"$F;@!.]Y"</f>
        <v>#VALUE!</v>
      </c>
      <c r="AD236" t="e">
        <f>'All regions'!6038:6038-"$F;@!.]Z"</f>
        <v>#VALUE!</v>
      </c>
      <c r="AE236" t="e">
        <f>'All regions'!6039:6039-"$F;@!.]["</f>
        <v>#VALUE!</v>
      </c>
      <c r="AF236" t="e">
        <f>'All regions'!6040:6040-"$F;@!.]\"</f>
        <v>#VALUE!</v>
      </c>
      <c r="AG236" t="e">
        <f>'All regions'!6041:6041-"$F;@!.]]"</f>
        <v>#VALUE!</v>
      </c>
      <c r="AH236" t="e">
        <f>'All regions'!6042:6042-"$F;@!.]^"</f>
        <v>#VALUE!</v>
      </c>
      <c r="AI236" t="e">
        <f>'All regions'!6043:6043-"$F;@!.]_"</f>
        <v>#VALUE!</v>
      </c>
      <c r="AJ236" t="e">
        <f>'All regions'!6044:6044-"$F;@!.]`"</f>
        <v>#VALUE!</v>
      </c>
      <c r="AK236" t="e">
        <f>'All regions'!6045:6045-"$F;@!.]a"</f>
        <v>#VALUE!</v>
      </c>
      <c r="AL236" t="e">
        <f>'All regions'!6046:6046-"$F;@!.]b"</f>
        <v>#VALUE!</v>
      </c>
      <c r="AM236" t="e">
        <f>'All regions'!6047:6047-"$F;@!.]c"</f>
        <v>#VALUE!</v>
      </c>
      <c r="AN236" t="e">
        <f>'All regions'!6048:6048-"$F;@!.]d"</f>
        <v>#VALUE!</v>
      </c>
      <c r="AO236" t="e">
        <f>'All regions'!6049:6049-"$F;@!.]e"</f>
        <v>#VALUE!</v>
      </c>
      <c r="AP236" t="e">
        <f>'All regions'!6050:6050-"$F;@!.]f"</f>
        <v>#VALUE!</v>
      </c>
      <c r="AQ236" t="e">
        <f>'All regions'!6051:6051-"$F;@!.]g"</f>
        <v>#VALUE!</v>
      </c>
      <c r="AR236" t="e">
        <f>'All regions'!6052:6052-"$F;@!.]h"</f>
        <v>#VALUE!</v>
      </c>
      <c r="AS236" t="e">
        <f>'All regions'!6053:6053-"$F;@!.]i"</f>
        <v>#VALUE!</v>
      </c>
      <c r="AT236" t="e">
        <f>'All regions'!6054:6054-"$F;@!.]j"</f>
        <v>#VALUE!</v>
      </c>
      <c r="AU236" t="e">
        <f>'All regions'!6055:6055-"$F;@!.]k"</f>
        <v>#VALUE!</v>
      </c>
      <c r="AV236" t="e">
        <f>'All regions'!6056:6056-"$F;@!.]l"</f>
        <v>#VALUE!</v>
      </c>
      <c r="AW236" t="e">
        <f>'All regions'!6057:6057-"$F;@!.]m"</f>
        <v>#VALUE!</v>
      </c>
      <c r="AX236" t="e">
        <f>'All regions'!6058:6058-"$F;@!.]n"</f>
        <v>#VALUE!</v>
      </c>
      <c r="AY236" t="e">
        <f>'All regions'!6059:6059-"$F;@!.]o"</f>
        <v>#VALUE!</v>
      </c>
      <c r="AZ236" t="e">
        <f>'All regions'!6060:6060-"$F;@!.]p"</f>
        <v>#VALUE!</v>
      </c>
      <c r="BA236" t="e">
        <f>'All regions'!6061:6061-"$F;@!.]q"</f>
        <v>#VALUE!</v>
      </c>
      <c r="BB236" t="e">
        <f>'All regions'!6062:6062-"$F;@!.]r"</f>
        <v>#VALUE!</v>
      </c>
      <c r="BC236" t="e">
        <f>'All regions'!6063:6063-"$F;@!.]s"</f>
        <v>#VALUE!</v>
      </c>
      <c r="BD236" t="e">
        <f>'All regions'!6064:6064-"$F;@!.]t"</f>
        <v>#VALUE!</v>
      </c>
      <c r="BE236" t="e">
        <f>'All regions'!6065:6065-"$F;@!.]u"</f>
        <v>#VALUE!</v>
      </c>
      <c r="BF236" t="e">
        <f>'All regions'!6066:6066-"$F;@!.]v"</f>
        <v>#VALUE!</v>
      </c>
      <c r="BG236" t="e">
        <f>'All regions'!6067:6067-"$F;@!.]w"</f>
        <v>#VALUE!</v>
      </c>
      <c r="BH236" t="e">
        <f>'All regions'!6068:6068-"$F;@!.]x"</f>
        <v>#VALUE!</v>
      </c>
      <c r="BI236" t="e">
        <f>'All regions'!6069:6069-"$F;@!.]y"</f>
        <v>#VALUE!</v>
      </c>
      <c r="BJ236" t="e">
        <f>'All regions'!6070:6070-"$F;@!.]z"</f>
        <v>#VALUE!</v>
      </c>
      <c r="BK236" t="e">
        <f>'All regions'!6071:6071-"$F;@!.]{"</f>
        <v>#VALUE!</v>
      </c>
      <c r="BL236" t="e">
        <f>'All regions'!6072:6072-"$F;@!.]|"</f>
        <v>#VALUE!</v>
      </c>
      <c r="BM236" t="e">
        <f>'All regions'!6073:6073-"$F;@!.]}"</f>
        <v>#VALUE!</v>
      </c>
      <c r="BN236" t="e">
        <f>'All regions'!6074:6074-"$F;@!.]~"</f>
        <v>#VALUE!</v>
      </c>
      <c r="BO236" t="e">
        <f>'All regions'!6075:6075-"$F;@!.^#"</f>
        <v>#VALUE!</v>
      </c>
      <c r="BP236" t="e">
        <f>'All regions'!6076:6076-"$F;@!.^$"</f>
        <v>#VALUE!</v>
      </c>
      <c r="BQ236" t="e">
        <f>'All regions'!6077:6077-"$F;@!.^%"</f>
        <v>#VALUE!</v>
      </c>
      <c r="BR236" t="e">
        <f>'All regions'!6078:6078-"$F;@!.^&amp;"</f>
        <v>#VALUE!</v>
      </c>
      <c r="BS236" t="e">
        <f>'All regions'!6079:6079-"$F;@!.^'"</f>
        <v>#VALUE!</v>
      </c>
      <c r="BT236" t="e">
        <f>'All regions'!6080:6080-"$F;@!.^("</f>
        <v>#VALUE!</v>
      </c>
      <c r="BU236" t="e">
        <f>'All regions'!6081:6081-"$F;@!.^)"</f>
        <v>#VALUE!</v>
      </c>
      <c r="BV236" t="e">
        <f>'All regions'!6082:6082-"$F;@!.^."</f>
        <v>#VALUE!</v>
      </c>
      <c r="BW236" t="e">
        <f>'All regions'!6083:6083-"$F;@!.^/"</f>
        <v>#VALUE!</v>
      </c>
      <c r="BX236" t="e">
        <f>'All regions'!6084:6084-"$F;@!.^0"</f>
        <v>#VALUE!</v>
      </c>
      <c r="BY236" t="e">
        <f>'All regions'!6085:6085-"$F;@!.^1"</f>
        <v>#VALUE!</v>
      </c>
      <c r="BZ236" t="e">
        <f>'All regions'!6086:6086-"$F;@!.^2"</f>
        <v>#VALUE!</v>
      </c>
      <c r="CA236" t="e">
        <f>'All regions'!6087:6087-"$F;@!.^3"</f>
        <v>#VALUE!</v>
      </c>
      <c r="CB236" t="e">
        <f>'All regions'!6088:6088-"$F;@!.^4"</f>
        <v>#VALUE!</v>
      </c>
      <c r="CC236" t="e">
        <f>'All regions'!6089:6089-"$F;@!.^5"</f>
        <v>#VALUE!</v>
      </c>
      <c r="CD236" t="e">
        <f>'All regions'!6090:6090-"$F;@!.^6"</f>
        <v>#VALUE!</v>
      </c>
      <c r="CE236" t="e">
        <f>'All regions'!6091:6091-"$F;@!.^7"</f>
        <v>#VALUE!</v>
      </c>
      <c r="CF236" t="e">
        <f>'All regions'!6092:6092-"$F;@!.^8"</f>
        <v>#VALUE!</v>
      </c>
      <c r="CG236" t="e">
        <f>'All regions'!6093:6093-"$F;@!.^9"</f>
        <v>#VALUE!</v>
      </c>
      <c r="CH236" t="e">
        <f>'All regions'!6094:6094-"$F;@!.^:"</f>
        <v>#VALUE!</v>
      </c>
      <c r="CI236" t="e">
        <f>'All regions'!6095:6095-"$F;@!.^;"</f>
        <v>#VALUE!</v>
      </c>
      <c r="CJ236" t="e">
        <f>'All regions'!6096:6096-"$F;@!.^&lt;"</f>
        <v>#VALUE!</v>
      </c>
      <c r="CK236" t="e">
        <f>'All regions'!6097:6097-"$F;@!.^="</f>
        <v>#VALUE!</v>
      </c>
      <c r="CL236" t="e">
        <f>'All regions'!6098:6098-"$F;@!.^&gt;"</f>
        <v>#VALUE!</v>
      </c>
      <c r="CM236" t="e">
        <f>'All regions'!6099:6099-"$F;@!.^?"</f>
        <v>#VALUE!</v>
      </c>
      <c r="CN236" t="e">
        <f>'All regions'!6100:6100-"$F;@!.^@"</f>
        <v>#VALUE!</v>
      </c>
      <c r="CO236" t="e">
        <f>'All regions'!6101:6101-"$F;@!.^A"</f>
        <v>#VALUE!</v>
      </c>
      <c r="CP236" t="e">
        <f>'All regions'!6102:6102-"$F;@!.^B"</f>
        <v>#VALUE!</v>
      </c>
      <c r="CQ236" t="e">
        <f>'All regions'!6103:6103-"$F;@!.^C"</f>
        <v>#VALUE!</v>
      </c>
      <c r="CR236" t="e">
        <f>'All regions'!6104:6104-"$F;@!.^D"</f>
        <v>#VALUE!</v>
      </c>
      <c r="CS236" t="e">
        <f>Europe!A1+"$F;@!.^E"</f>
        <v>#VALUE!</v>
      </c>
      <c r="CT236" t="e">
        <f>Europe!B1+"$F;@!.^F"</f>
        <v>#VALUE!</v>
      </c>
      <c r="CU236" t="e">
        <f>Europe!C1+"$F;@!.^G"</f>
        <v>#VALUE!</v>
      </c>
      <c r="CV236" t="e">
        <f>Europe!D1+"$F;@!.^H"</f>
        <v>#VALUE!</v>
      </c>
      <c r="CW236" t="e">
        <f>Europe!E1+"$F;@!.^I"</f>
        <v>#VALUE!</v>
      </c>
      <c r="CX236" t="e">
        <f>Europe!F1+"$F;@!.^J"</f>
        <v>#VALUE!</v>
      </c>
      <c r="CY236" t="e">
        <f>Europe!G1+"$F;@!.^K"</f>
        <v>#VALUE!</v>
      </c>
      <c r="CZ236" t="e">
        <f>Europe!H1+"$F;@!.^L"</f>
        <v>#VALUE!</v>
      </c>
      <c r="DA236" t="e">
        <f>Europe!A2+"$F;@!.^M"</f>
        <v>#VALUE!</v>
      </c>
      <c r="DB236" t="e">
        <f>Europe!B2+"$F;@!.^N"</f>
        <v>#VALUE!</v>
      </c>
      <c r="DC236" t="e">
        <f>Europe!C2+"$F;@!.^O"</f>
        <v>#VALUE!</v>
      </c>
      <c r="DD236" t="e">
        <f>Europe!D2+"$F;@!.^P"</f>
        <v>#VALUE!</v>
      </c>
      <c r="DE236" t="e">
        <f>Europe!E2+"$F;@!.^Q"</f>
        <v>#VALUE!</v>
      </c>
      <c r="DF236" t="e">
        <f>Europe!F2+"$F;@!.^R"</f>
        <v>#VALUE!</v>
      </c>
      <c r="DG236" t="e">
        <f>Europe!G2+"$F;@!.^S"</f>
        <v>#VALUE!</v>
      </c>
      <c r="DH236" t="e">
        <f>Europe!H2+"$F;@!.^T"</f>
        <v>#VALUE!</v>
      </c>
      <c r="DI236" t="e">
        <f>Europe!A3+"$F;@!.^U"</f>
        <v>#VALUE!</v>
      </c>
      <c r="DJ236" t="e">
        <f>Europe!B3+"$F;@!.^V"</f>
        <v>#VALUE!</v>
      </c>
      <c r="DK236" t="e">
        <f>Europe!C3+"$F;@!.^W"</f>
        <v>#VALUE!</v>
      </c>
      <c r="DL236" t="e">
        <f>Europe!D3+"$F;@!.^X"</f>
        <v>#VALUE!</v>
      </c>
      <c r="DM236" t="e">
        <f>Europe!E3+"$F;@!.^Y"</f>
        <v>#VALUE!</v>
      </c>
      <c r="DN236" t="e">
        <f>Europe!F3+"$F;@!.^Z"</f>
        <v>#VALUE!</v>
      </c>
      <c r="DO236" t="e">
        <f>Europe!G3+"$F;@!.^["</f>
        <v>#VALUE!</v>
      </c>
      <c r="DP236" t="e">
        <f>Europe!H3+"$F;@!.^\"</f>
        <v>#VALUE!</v>
      </c>
      <c r="DQ236" t="e">
        <f>Europe!A4+"$F;@!.^]"</f>
        <v>#VALUE!</v>
      </c>
      <c r="DR236" t="e">
        <f>Europe!B4+"$F;@!.^^"</f>
        <v>#VALUE!</v>
      </c>
      <c r="DS236" t="e">
        <f>Europe!C4+"$F;@!.^_"</f>
        <v>#VALUE!</v>
      </c>
      <c r="DT236" t="e">
        <f>Europe!D4+"$F;@!.^`"</f>
        <v>#VALUE!</v>
      </c>
      <c r="DU236" t="e">
        <f>Europe!E4+"$F;@!.^a"</f>
        <v>#VALUE!</v>
      </c>
      <c r="DV236" t="e">
        <f>Europe!F4+"$F;@!.^b"</f>
        <v>#VALUE!</v>
      </c>
      <c r="DW236" t="e">
        <f>Europe!G4+"$F;@!.^c"</f>
        <v>#VALUE!</v>
      </c>
      <c r="DX236" t="e">
        <f>Europe!H4+"$F;@!.^d"</f>
        <v>#VALUE!</v>
      </c>
      <c r="DY236" t="e">
        <f>Europe!A5+"$F;@!.^e"</f>
        <v>#VALUE!</v>
      </c>
      <c r="DZ236" t="e">
        <f>Europe!B5+"$F;@!.^f"</f>
        <v>#VALUE!</v>
      </c>
      <c r="EA236" t="e">
        <f>Europe!C5+"$F;@!.^g"</f>
        <v>#VALUE!</v>
      </c>
      <c r="EB236" t="e">
        <f>Europe!D5+"$F;@!.^h"</f>
        <v>#VALUE!</v>
      </c>
      <c r="EC236" t="e">
        <f>Europe!E5+"$F;@!.^i"</f>
        <v>#VALUE!</v>
      </c>
      <c r="ED236" t="e">
        <f>Europe!F5+"$F;@!.^j"</f>
        <v>#VALUE!</v>
      </c>
      <c r="EE236" t="e">
        <f>Europe!G5+"$F;@!.^k"</f>
        <v>#VALUE!</v>
      </c>
      <c r="EF236" t="e">
        <f>Europe!H5+"$F;@!.^l"</f>
        <v>#VALUE!</v>
      </c>
      <c r="EG236" t="e">
        <f>Europe!A6+"$F;@!.^m"</f>
        <v>#VALUE!</v>
      </c>
      <c r="EH236" t="e">
        <f>Europe!B6+"$F;@!.^n"</f>
        <v>#VALUE!</v>
      </c>
      <c r="EI236" t="e">
        <f>Europe!C6+"$F;@!.^o"</f>
        <v>#VALUE!</v>
      </c>
      <c r="EJ236" t="e">
        <f>Europe!D6+"$F;@!.^p"</f>
        <v>#VALUE!</v>
      </c>
      <c r="EK236" t="e">
        <f>Europe!E6+"$F;@!.^q"</f>
        <v>#VALUE!</v>
      </c>
      <c r="EL236" t="e">
        <f>Europe!F6+"$F;@!.^r"</f>
        <v>#VALUE!</v>
      </c>
      <c r="EM236" t="e">
        <f>Europe!G6+"$F;@!.^s"</f>
        <v>#VALUE!</v>
      </c>
      <c r="EN236" t="e">
        <f>Europe!H6+"$F;@!.^t"</f>
        <v>#VALUE!</v>
      </c>
      <c r="EO236" t="e">
        <f>Europe!A7+"$F;@!.^u"</f>
        <v>#VALUE!</v>
      </c>
      <c r="EP236" t="e">
        <f>Europe!B7+"$F;@!.^v"</f>
        <v>#VALUE!</v>
      </c>
      <c r="EQ236" t="e">
        <f>Europe!C7+"$F;@!.^w"</f>
        <v>#VALUE!</v>
      </c>
      <c r="ER236" t="e">
        <f>Europe!D7+"$F;@!.^x"</f>
        <v>#VALUE!</v>
      </c>
      <c r="ES236" t="e">
        <f>Europe!E7+"$F;@!.^y"</f>
        <v>#VALUE!</v>
      </c>
      <c r="ET236" t="e">
        <f>Europe!F7+"$F;@!.^z"</f>
        <v>#VALUE!</v>
      </c>
      <c r="EU236" t="e">
        <f>Europe!G7+"$F;@!.^{"</f>
        <v>#VALUE!</v>
      </c>
      <c r="EV236" t="e">
        <f>Europe!H7+"$F;@!.^|"</f>
        <v>#VALUE!</v>
      </c>
      <c r="EW236" t="e">
        <f>Europe!A8+"$F;@!.^}"</f>
        <v>#VALUE!</v>
      </c>
      <c r="EX236" t="e">
        <f>Europe!B8+"$F;@!.^~"</f>
        <v>#VALUE!</v>
      </c>
      <c r="EY236" t="e">
        <f>Europe!C8+"$F;@!._#"</f>
        <v>#VALUE!</v>
      </c>
      <c r="EZ236" t="e">
        <f>Europe!D8+"$F;@!._$"</f>
        <v>#VALUE!</v>
      </c>
      <c r="FA236" t="e">
        <f>Europe!E8+"$F;@!._%"</f>
        <v>#VALUE!</v>
      </c>
      <c r="FB236" t="e">
        <f>Europe!F8+"$F;@!._&amp;"</f>
        <v>#VALUE!</v>
      </c>
      <c r="FC236" t="e">
        <f>Europe!G8+"$F;@!._'"</f>
        <v>#VALUE!</v>
      </c>
      <c r="FD236" t="e">
        <f>Europe!H8+"$F;@!._("</f>
        <v>#VALUE!</v>
      </c>
      <c r="FE236" t="e">
        <f>Europe!A9+"$F;@!._)"</f>
        <v>#VALUE!</v>
      </c>
      <c r="FF236" t="e">
        <f>Europe!B9+"$F;@!._."</f>
        <v>#VALUE!</v>
      </c>
      <c r="FG236" t="e">
        <f>Europe!C9+"$F;@!._/"</f>
        <v>#VALUE!</v>
      </c>
      <c r="FH236" t="e">
        <f>Europe!D9+"$F;@!._0"</f>
        <v>#VALUE!</v>
      </c>
      <c r="FI236" t="e">
        <f>Europe!E9+"$F;@!._1"</f>
        <v>#VALUE!</v>
      </c>
      <c r="FJ236" t="e">
        <f>Europe!F9+"$F;@!._2"</f>
        <v>#VALUE!</v>
      </c>
      <c r="FK236" t="e">
        <f>Europe!G9+"$F;@!._3"</f>
        <v>#VALUE!</v>
      </c>
      <c r="FL236" t="e">
        <f>Europe!H9+"$F;@!._4"</f>
        <v>#VALUE!</v>
      </c>
      <c r="FM236" t="e">
        <f>Europe!A10+"$F;@!._5"</f>
        <v>#VALUE!</v>
      </c>
      <c r="FN236" t="e">
        <f>Europe!B10+"$F;@!._6"</f>
        <v>#VALUE!</v>
      </c>
      <c r="FO236" t="e">
        <f>Europe!C10+"$F;@!._7"</f>
        <v>#VALUE!</v>
      </c>
      <c r="FP236" t="e">
        <f>Europe!D10+"$F;@!._8"</f>
        <v>#VALUE!</v>
      </c>
      <c r="FQ236" t="e">
        <f>Europe!E10+"$F;@!._9"</f>
        <v>#VALUE!</v>
      </c>
      <c r="FR236" t="e">
        <f>Europe!F10+"$F;@!._:"</f>
        <v>#VALUE!</v>
      </c>
      <c r="FS236" t="e">
        <f>Europe!G10+"$F;@!._;"</f>
        <v>#VALUE!</v>
      </c>
      <c r="FT236" t="e">
        <f>Europe!H10+"$F;@!._&lt;"</f>
        <v>#VALUE!</v>
      </c>
      <c r="FU236" t="e">
        <f>Europe!A11+"$F;@!._="</f>
        <v>#VALUE!</v>
      </c>
      <c r="FV236" t="e">
        <f>Europe!B11+"$F;@!._&gt;"</f>
        <v>#VALUE!</v>
      </c>
      <c r="FW236" t="e">
        <f>Europe!C11+"$F;@!._?"</f>
        <v>#VALUE!</v>
      </c>
      <c r="FX236" t="e">
        <f>Europe!D11+"$F;@!._@"</f>
        <v>#VALUE!</v>
      </c>
      <c r="FY236" t="e">
        <f>Europe!E11+"$F;@!._A"</f>
        <v>#VALUE!</v>
      </c>
      <c r="FZ236" t="e">
        <f>Europe!F11+"$F;@!._B"</f>
        <v>#VALUE!</v>
      </c>
      <c r="GA236" t="e">
        <f>Europe!G11+"$F;@!._C"</f>
        <v>#VALUE!</v>
      </c>
      <c r="GB236" t="e">
        <f>Europe!H11+"$F;@!._D"</f>
        <v>#VALUE!</v>
      </c>
      <c r="GC236" t="e">
        <f>Europe!A12+"$F;@!._E"</f>
        <v>#VALUE!</v>
      </c>
      <c r="GD236" t="e">
        <f>Europe!B12+"$F;@!._F"</f>
        <v>#VALUE!</v>
      </c>
      <c r="GE236" t="e">
        <f>Europe!C12+"$F;@!._G"</f>
        <v>#VALUE!</v>
      </c>
      <c r="GF236" t="e">
        <f>Europe!D12+"$F;@!._H"</f>
        <v>#VALUE!</v>
      </c>
      <c r="GG236" t="e">
        <f>Europe!E12+"$F;@!._I"</f>
        <v>#VALUE!</v>
      </c>
      <c r="GH236" t="e">
        <f>Europe!F12+"$F;@!._J"</f>
        <v>#VALUE!</v>
      </c>
      <c r="GI236" t="e">
        <f>Europe!G12+"$F;@!._K"</f>
        <v>#VALUE!</v>
      </c>
      <c r="GJ236" t="e">
        <f>Europe!H12+"$F;@!._L"</f>
        <v>#VALUE!</v>
      </c>
      <c r="GK236" t="e">
        <f>Europe!A13+"$F;@!._M"</f>
        <v>#VALUE!</v>
      </c>
      <c r="GL236" t="e">
        <f>Europe!B13+"$F;@!._N"</f>
        <v>#VALUE!</v>
      </c>
      <c r="GM236" t="e">
        <f>Europe!C13+"$F;@!._O"</f>
        <v>#VALUE!</v>
      </c>
      <c r="GN236" t="e">
        <f>Europe!D13+"$F;@!._P"</f>
        <v>#VALUE!</v>
      </c>
      <c r="GO236" t="e">
        <f>Europe!E13+"$F;@!._Q"</f>
        <v>#VALUE!</v>
      </c>
      <c r="GP236" t="e">
        <f>Europe!F13+"$F;@!._R"</f>
        <v>#VALUE!</v>
      </c>
      <c r="GQ236" t="e">
        <f>Europe!G13+"$F;@!._S"</f>
        <v>#VALUE!</v>
      </c>
      <c r="GR236" t="e">
        <f>Europe!H13+"$F;@!._T"</f>
        <v>#VALUE!</v>
      </c>
      <c r="GS236" t="e">
        <f>Europe!A14+"$F;@!._U"</f>
        <v>#VALUE!</v>
      </c>
      <c r="GT236" t="e">
        <f>Europe!B14+"$F;@!._V"</f>
        <v>#VALUE!</v>
      </c>
      <c r="GU236" t="e">
        <f>Europe!C14+"$F;@!._W"</f>
        <v>#VALUE!</v>
      </c>
      <c r="GV236" t="e">
        <f>Europe!D14+"$F;@!._X"</f>
        <v>#VALUE!</v>
      </c>
      <c r="GW236" t="e">
        <f>Europe!E14+"$F;@!._Y"</f>
        <v>#VALUE!</v>
      </c>
      <c r="GX236" t="e">
        <f>Europe!F14+"$F;@!._Z"</f>
        <v>#VALUE!</v>
      </c>
      <c r="GY236" t="e">
        <f>Europe!G14+"$F;@!._["</f>
        <v>#VALUE!</v>
      </c>
      <c r="GZ236" t="e">
        <f>Europe!H14+"$F;@!._\"</f>
        <v>#VALUE!</v>
      </c>
      <c r="HA236" t="e">
        <f>Europe!A15+"$F;@!._]"</f>
        <v>#VALUE!</v>
      </c>
      <c r="HB236" t="e">
        <f>Europe!B15+"$F;@!._^"</f>
        <v>#VALUE!</v>
      </c>
      <c r="HC236" t="e">
        <f>Europe!C15+"$F;@!.__"</f>
        <v>#VALUE!</v>
      </c>
      <c r="HD236" t="e">
        <f>Europe!D15+"$F;@!._`"</f>
        <v>#VALUE!</v>
      </c>
      <c r="HE236" t="e">
        <f>Europe!E15+"$F;@!._a"</f>
        <v>#VALUE!</v>
      </c>
      <c r="HF236" t="e">
        <f>Europe!F15+"$F;@!._b"</f>
        <v>#VALUE!</v>
      </c>
      <c r="HG236" t="e">
        <f>Europe!G15+"$F;@!._c"</f>
        <v>#VALUE!</v>
      </c>
      <c r="HH236" t="e">
        <f>Europe!H15+"$F;@!._d"</f>
        <v>#VALUE!</v>
      </c>
      <c r="HI236" t="e">
        <f>Europe!A16+"$F;@!._e"</f>
        <v>#VALUE!</v>
      </c>
      <c r="HJ236" t="e">
        <f>Europe!B16+"$F;@!._f"</f>
        <v>#VALUE!</v>
      </c>
      <c r="HK236" t="e">
        <f>Europe!C16+"$F;@!._g"</f>
        <v>#VALUE!</v>
      </c>
      <c r="HL236" t="e">
        <f>Europe!D16+"$F;@!._h"</f>
        <v>#VALUE!</v>
      </c>
      <c r="HM236" t="e">
        <f>Europe!E16+"$F;@!._i"</f>
        <v>#VALUE!</v>
      </c>
      <c r="HN236" t="e">
        <f>Europe!F16+"$F;@!._j"</f>
        <v>#VALUE!</v>
      </c>
      <c r="HO236" t="e">
        <f>Europe!G16+"$F;@!._k"</f>
        <v>#VALUE!</v>
      </c>
      <c r="HP236" t="e">
        <f>Europe!H16+"$F;@!._l"</f>
        <v>#VALUE!</v>
      </c>
      <c r="HQ236" t="e">
        <f>Europe!A17+"$F;@!._m"</f>
        <v>#VALUE!</v>
      </c>
      <c r="HR236" t="e">
        <f>Europe!B17+"$F;@!._n"</f>
        <v>#VALUE!</v>
      </c>
      <c r="HS236" t="e">
        <f>Europe!C17+"$F;@!._o"</f>
        <v>#VALUE!</v>
      </c>
      <c r="HT236" t="e">
        <f>Europe!D17+"$F;@!._p"</f>
        <v>#VALUE!</v>
      </c>
      <c r="HU236" t="e">
        <f>Europe!E17+"$F;@!._q"</f>
        <v>#VALUE!</v>
      </c>
      <c r="HV236" t="e">
        <f>Europe!F17+"$F;@!._r"</f>
        <v>#VALUE!</v>
      </c>
      <c r="HW236" t="e">
        <f>Europe!G17+"$F;@!._s"</f>
        <v>#VALUE!</v>
      </c>
      <c r="HX236" t="e">
        <f>Europe!H17+"$F;@!._t"</f>
        <v>#VALUE!</v>
      </c>
      <c r="HY236" t="e">
        <f>Europe!A18+"$F;@!._u"</f>
        <v>#VALUE!</v>
      </c>
      <c r="HZ236" t="e">
        <f>Europe!B18+"$F;@!._v"</f>
        <v>#VALUE!</v>
      </c>
      <c r="IA236" t="e">
        <f>Europe!C18+"$F;@!._w"</f>
        <v>#VALUE!</v>
      </c>
      <c r="IB236" t="e">
        <f>Europe!D18+"$F;@!._x"</f>
        <v>#VALUE!</v>
      </c>
      <c r="IC236" t="e">
        <f>Europe!F18+"$F;@!._y"</f>
        <v>#VALUE!</v>
      </c>
      <c r="ID236" t="e">
        <f>Europe!G18+"$F;@!._z"</f>
        <v>#VALUE!</v>
      </c>
      <c r="IE236" t="e">
        <f>Europe!H18+"$F;@!._{"</f>
        <v>#VALUE!</v>
      </c>
      <c r="IF236" t="e">
        <f>Europe!A19+"$F;@!._|"</f>
        <v>#VALUE!</v>
      </c>
      <c r="IG236" t="e">
        <f>Europe!B19+"$F;@!._}"</f>
        <v>#VALUE!</v>
      </c>
      <c r="IH236" t="e">
        <f>Europe!C19+"$F;@!._~"</f>
        <v>#VALUE!</v>
      </c>
      <c r="II236" t="e">
        <f>Europe!D19+"$F;@!.`#"</f>
        <v>#VALUE!</v>
      </c>
      <c r="IJ236" t="e">
        <f>Europe!E19+"$F;@!.`$"</f>
        <v>#VALUE!</v>
      </c>
      <c r="IK236" t="e">
        <f>Europe!F19+"$F;@!.`%"</f>
        <v>#VALUE!</v>
      </c>
      <c r="IL236" t="e">
        <f>Europe!G19+"$F;@!.`&amp;"</f>
        <v>#VALUE!</v>
      </c>
      <c r="IM236" t="e">
        <f>Europe!H19+"$F;@!.`'"</f>
        <v>#VALUE!</v>
      </c>
      <c r="IN236" t="e">
        <f>Europe!A20+"$F;@!.`("</f>
        <v>#VALUE!</v>
      </c>
      <c r="IO236" t="e">
        <f>Europe!B20+"$F;@!.`)"</f>
        <v>#VALUE!</v>
      </c>
      <c r="IP236" t="e">
        <f>Europe!C20+"$F;@!.`."</f>
        <v>#VALUE!</v>
      </c>
      <c r="IQ236" t="e">
        <f>Europe!D20+"$F;@!.`/"</f>
        <v>#VALUE!</v>
      </c>
      <c r="IR236" t="e">
        <f>Europe!E20+"$F;@!.`0"</f>
        <v>#VALUE!</v>
      </c>
      <c r="IS236" t="e">
        <f>Europe!F20+"$F;@!.`1"</f>
        <v>#VALUE!</v>
      </c>
      <c r="IT236" t="e">
        <f>Europe!G20+"$F;@!.`2"</f>
        <v>#VALUE!</v>
      </c>
      <c r="IU236" t="e">
        <f>Europe!H20+"$F;@!.`3"</f>
        <v>#VALUE!</v>
      </c>
      <c r="IV236" t="e">
        <f>Europe!A21+"$F;@!.`4"</f>
        <v>#VALUE!</v>
      </c>
    </row>
    <row r="237" spans="6:256" x14ac:dyDescent="0.35">
      <c r="F237" t="e">
        <f>Europe!B21+"$F;@!.`5"</f>
        <v>#VALUE!</v>
      </c>
      <c r="G237" t="e">
        <f>Europe!C21+"$F;@!.`6"</f>
        <v>#VALUE!</v>
      </c>
      <c r="H237" t="e">
        <f>Europe!D21+"$F;@!.`7"</f>
        <v>#VALUE!</v>
      </c>
      <c r="I237" t="e">
        <f>Europe!E21+"$F;@!.`8"</f>
        <v>#VALUE!</v>
      </c>
      <c r="J237" t="e">
        <f>Europe!F21+"$F;@!.`9"</f>
        <v>#VALUE!</v>
      </c>
      <c r="K237" t="e">
        <f>Europe!G21+"$F;@!.`:"</f>
        <v>#VALUE!</v>
      </c>
      <c r="L237" t="e">
        <f>Europe!H21+"$F;@!.`;"</f>
        <v>#VALUE!</v>
      </c>
      <c r="M237" t="e">
        <f>Europe!A22+"$F;@!.`&lt;"</f>
        <v>#VALUE!</v>
      </c>
      <c r="N237" t="e">
        <f>Europe!B22+"$F;@!.`="</f>
        <v>#VALUE!</v>
      </c>
      <c r="O237" t="e">
        <f>Europe!C22+"$F;@!.`&gt;"</f>
        <v>#VALUE!</v>
      </c>
      <c r="P237" t="e">
        <f>Europe!D22+"$F;@!.`?"</f>
        <v>#VALUE!</v>
      </c>
      <c r="Q237" t="e">
        <f>Europe!E22+"$F;@!.`@"</f>
        <v>#VALUE!</v>
      </c>
      <c r="R237" t="e">
        <f>Europe!F22+"$F;@!.`A"</f>
        <v>#VALUE!</v>
      </c>
      <c r="S237" t="e">
        <f>Europe!G22+"$F;@!.`B"</f>
        <v>#VALUE!</v>
      </c>
      <c r="T237" t="e">
        <f>Europe!H22+"$F;@!.`C"</f>
        <v>#VALUE!</v>
      </c>
      <c r="U237" t="e">
        <f>Europe!A23+"$F;@!.`D"</f>
        <v>#VALUE!</v>
      </c>
      <c r="V237" t="e">
        <f>Europe!B23+"$F;@!.`E"</f>
        <v>#VALUE!</v>
      </c>
      <c r="W237" t="e">
        <f>Europe!C23+"$F;@!.`F"</f>
        <v>#VALUE!</v>
      </c>
      <c r="X237" t="e">
        <f>Europe!D23+"$F;@!.`G"</f>
        <v>#VALUE!</v>
      </c>
      <c r="Y237" t="e">
        <f>Europe!E23+"$F;@!.`H"</f>
        <v>#VALUE!</v>
      </c>
      <c r="Z237" t="e">
        <f>Europe!F23+"$F;@!.`I"</f>
        <v>#VALUE!</v>
      </c>
      <c r="AA237" t="e">
        <f>Europe!G23+"$F;@!.`J"</f>
        <v>#VALUE!</v>
      </c>
      <c r="AB237" t="e">
        <f>Europe!H23+"$F;@!.`K"</f>
        <v>#VALUE!</v>
      </c>
      <c r="AC237" t="e">
        <f>Europe!A24+"$F;@!.`L"</f>
        <v>#VALUE!</v>
      </c>
      <c r="AD237" t="e">
        <f>Europe!B24+"$F;@!.`M"</f>
        <v>#VALUE!</v>
      </c>
      <c r="AE237" t="e">
        <f>Europe!C24+"$F;@!.`N"</f>
        <v>#VALUE!</v>
      </c>
      <c r="AF237" t="e">
        <f>Europe!D24+"$F;@!.`O"</f>
        <v>#VALUE!</v>
      </c>
      <c r="AG237" t="e">
        <f>Europe!E24+"$F;@!.`P"</f>
        <v>#VALUE!</v>
      </c>
      <c r="AH237" t="e">
        <f>Europe!F24+"$F;@!.`Q"</f>
        <v>#VALUE!</v>
      </c>
      <c r="AI237" t="e">
        <f>Europe!G24+"$F;@!.`R"</f>
        <v>#VALUE!</v>
      </c>
      <c r="AJ237" t="e">
        <f>Europe!H24+"$F;@!.`S"</f>
        <v>#VALUE!</v>
      </c>
      <c r="AK237" t="e">
        <f>Europe!A25+"$F;@!.`T"</f>
        <v>#VALUE!</v>
      </c>
      <c r="AL237" t="e">
        <f>Europe!B25+"$F;@!.`U"</f>
        <v>#VALUE!</v>
      </c>
      <c r="AM237" t="e">
        <f>Europe!C25+"$F;@!.`V"</f>
        <v>#VALUE!</v>
      </c>
      <c r="AN237" t="e">
        <f>Europe!D25+"$F;@!.`W"</f>
        <v>#VALUE!</v>
      </c>
      <c r="AO237" t="e">
        <f>Europe!E25+"$F;@!.`X"</f>
        <v>#VALUE!</v>
      </c>
      <c r="AP237" t="e">
        <f>Europe!F25+"$F;@!.`Y"</f>
        <v>#VALUE!</v>
      </c>
      <c r="AQ237" t="e">
        <f>Europe!G25+"$F;@!.`Z"</f>
        <v>#VALUE!</v>
      </c>
      <c r="AR237" t="e">
        <f>Europe!H25+"$F;@!.`["</f>
        <v>#VALUE!</v>
      </c>
      <c r="AS237" t="e">
        <f>Europe!A26+"$F;@!.`\"</f>
        <v>#VALUE!</v>
      </c>
      <c r="AT237" t="e">
        <f>Europe!B26+"$F;@!.`]"</f>
        <v>#VALUE!</v>
      </c>
      <c r="AU237" t="e">
        <f>Europe!C26+"$F;@!.`^"</f>
        <v>#VALUE!</v>
      </c>
      <c r="AV237" t="e">
        <f>Europe!D26+"$F;@!.`_"</f>
        <v>#VALUE!</v>
      </c>
      <c r="AW237" t="e">
        <f>Europe!E26+"$F;@!.``"</f>
        <v>#VALUE!</v>
      </c>
      <c r="AX237" t="e">
        <f>Europe!F26+"$F;@!.`a"</f>
        <v>#VALUE!</v>
      </c>
      <c r="AY237" t="e">
        <f>Europe!G26+"$F;@!.`b"</f>
        <v>#VALUE!</v>
      </c>
      <c r="AZ237" t="e">
        <f>Europe!H26+"$F;@!.`c"</f>
        <v>#VALUE!</v>
      </c>
      <c r="BA237" t="e">
        <f>Europe!A27+"$F;@!.`d"</f>
        <v>#VALUE!</v>
      </c>
      <c r="BB237" t="e">
        <f>Europe!B27+"$F;@!.`e"</f>
        <v>#VALUE!</v>
      </c>
      <c r="BC237" t="e">
        <f>Europe!C27+"$F;@!.`f"</f>
        <v>#VALUE!</v>
      </c>
      <c r="BD237" t="e">
        <f>Europe!D27+"$F;@!.`g"</f>
        <v>#VALUE!</v>
      </c>
      <c r="BE237" t="e">
        <f>Europe!E27+"$F;@!.`h"</f>
        <v>#VALUE!</v>
      </c>
      <c r="BF237" t="e">
        <f>Europe!F27+"$F;@!.`i"</f>
        <v>#VALUE!</v>
      </c>
      <c r="BG237" t="e">
        <f>Europe!G27+"$F;@!.`j"</f>
        <v>#VALUE!</v>
      </c>
      <c r="BH237" t="e">
        <f>Europe!H27+"$F;@!.`k"</f>
        <v>#VALUE!</v>
      </c>
      <c r="BI237" t="e">
        <f>Europe!A28+"$F;@!.`l"</f>
        <v>#VALUE!</v>
      </c>
      <c r="BJ237" t="e">
        <f>Europe!B28+"$F;@!.`m"</f>
        <v>#VALUE!</v>
      </c>
      <c r="BK237" t="e">
        <f>Europe!C28+"$F;@!.`n"</f>
        <v>#VALUE!</v>
      </c>
      <c r="BL237" t="e">
        <f>Europe!D28+"$F;@!.`o"</f>
        <v>#VALUE!</v>
      </c>
      <c r="BM237" t="e">
        <f>Europe!E28+"$F;@!.`p"</f>
        <v>#VALUE!</v>
      </c>
      <c r="BN237" t="e">
        <f>Europe!F28+"$F;@!.`q"</f>
        <v>#VALUE!</v>
      </c>
      <c r="BO237" t="e">
        <f>Europe!G28+"$F;@!.`r"</f>
        <v>#VALUE!</v>
      </c>
      <c r="BP237" t="e">
        <f>Europe!H28+"$F;@!.`s"</f>
        <v>#VALUE!</v>
      </c>
      <c r="BQ237" t="e">
        <f>Europe!A29+"$F;@!.`t"</f>
        <v>#VALUE!</v>
      </c>
      <c r="BR237" t="e">
        <f>Europe!B29+"$F;@!.`u"</f>
        <v>#VALUE!</v>
      </c>
      <c r="BS237" t="e">
        <f>Europe!C29+"$F;@!.`v"</f>
        <v>#VALUE!</v>
      </c>
      <c r="BT237" t="e">
        <f>Europe!D29+"$F;@!.`w"</f>
        <v>#VALUE!</v>
      </c>
      <c r="BU237" t="e">
        <f>Europe!E29+"$F;@!.`x"</f>
        <v>#VALUE!</v>
      </c>
      <c r="BV237" t="e">
        <f>Europe!F29+"$F;@!.`y"</f>
        <v>#VALUE!</v>
      </c>
      <c r="BW237" t="e">
        <f>Europe!G29+"$F;@!.`z"</f>
        <v>#VALUE!</v>
      </c>
      <c r="BX237" t="e">
        <f>Europe!H29+"$F;@!.`{"</f>
        <v>#VALUE!</v>
      </c>
      <c r="BY237" t="e">
        <f>Europe!A30+"$F;@!.`|"</f>
        <v>#VALUE!</v>
      </c>
      <c r="BZ237" t="e">
        <f>Europe!B30+"$F;@!.`}"</f>
        <v>#VALUE!</v>
      </c>
      <c r="CA237" t="e">
        <f>Europe!C30+"$F;@!.`~"</f>
        <v>#VALUE!</v>
      </c>
      <c r="CB237" t="e">
        <f>Europe!D30+"$F;@!.a#"</f>
        <v>#VALUE!</v>
      </c>
      <c r="CC237" t="e">
        <f>Europe!E30+"$F;@!.a$"</f>
        <v>#VALUE!</v>
      </c>
      <c r="CD237" t="e">
        <f>Europe!F30+"$F;@!.a%"</f>
        <v>#VALUE!</v>
      </c>
      <c r="CE237" t="e">
        <f>Europe!G30+"$F;@!.a&amp;"</f>
        <v>#VALUE!</v>
      </c>
      <c r="CF237" t="e">
        <f>Europe!H30+"$F;@!.a'"</f>
        <v>#VALUE!</v>
      </c>
      <c r="CG237" t="e">
        <f>Europe!A31+"$F;@!.a("</f>
        <v>#VALUE!</v>
      </c>
      <c r="CH237" t="e">
        <f>Europe!B31+"$F;@!.a)"</f>
        <v>#VALUE!</v>
      </c>
      <c r="CI237" t="e">
        <f>Europe!C31+"$F;@!.a."</f>
        <v>#VALUE!</v>
      </c>
      <c r="CJ237" t="e">
        <f>Europe!D31+"$F;@!.a/"</f>
        <v>#VALUE!</v>
      </c>
      <c r="CK237" t="e">
        <f>Europe!E31+"$F;@!.a0"</f>
        <v>#VALUE!</v>
      </c>
      <c r="CL237" t="e">
        <f>Europe!F31+"$F;@!.a1"</f>
        <v>#VALUE!</v>
      </c>
      <c r="CM237" t="e">
        <f>Europe!G31+"$F;@!.a2"</f>
        <v>#VALUE!</v>
      </c>
      <c r="CN237" t="e">
        <f>Europe!H31+"$F;@!.a3"</f>
        <v>#VALUE!</v>
      </c>
      <c r="CO237" t="e">
        <f>Europe!A32+"$F;@!.a4"</f>
        <v>#VALUE!</v>
      </c>
      <c r="CP237" t="e">
        <f>Europe!B32+"$F;@!.a5"</f>
        <v>#VALUE!</v>
      </c>
      <c r="CQ237" t="e">
        <f>Europe!C32+"$F;@!.a6"</f>
        <v>#VALUE!</v>
      </c>
      <c r="CR237" t="e">
        <f>Europe!D32+"$F;@!.a7"</f>
        <v>#VALUE!</v>
      </c>
      <c r="CS237" t="e">
        <f>Europe!E32+"$F;@!.a8"</f>
        <v>#VALUE!</v>
      </c>
      <c r="CT237" t="e">
        <f>Europe!F32+"$F;@!.a9"</f>
        <v>#VALUE!</v>
      </c>
      <c r="CU237" t="e">
        <f>Europe!G32+"$F;@!.a:"</f>
        <v>#VALUE!</v>
      </c>
      <c r="CV237" t="e">
        <f>Europe!H32+"$F;@!.a;"</f>
        <v>#VALUE!</v>
      </c>
      <c r="CW237" t="e">
        <f>Europe!A33+"$F;@!.a&lt;"</f>
        <v>#VALUE!</v>
      </c>
      <c r="CX237" t="e">
        <f>Europe!B33+"$F;@!.a="</f>
        <v>#VALUE!</v>
      </c>
      <c r="CY237" t="e">
        <f>Europe!C33+"$F;@!.a&gt;"</f>
        <v>#VALUE!</v>
      </c>
      <c r="CZ237" t="e">
        <f>Europe!D33+"$F;@!.a?"</f>
        <v>#VALUE!</v>
      </c>
      <c r="DA237" t="e">
        <f>Europe!E33+"$F;@!.a@"</f>
        <v>#VALUE!</v>
      </c>
      <c r="DB237" t="e">
        <f>Europe!F33+"$F;@!.aA"</f>
        <v>#VALUE!</v>
      </c>
      <c r="DC237" t="e">
        <f>Europe!G33+"$F;@!.aB"</f>
        <v>#VALUE!</v>
      </c>
      <c r="DD237" t="e">
        <f>Europe!H33+"$F;@!.aC"</f>
        <v>#VALUE!</v>
      </c>
      <c r="DE237" t="e">
        <f>Europe!A34+"$F;@!.aD"</f>
        <v>#VALUE!</v>
      </c>
      <c r="DF237" t="e">
        <f>Europe!B34+"$F;@!.aE"</f>
        <v>#VALUE!</v>
      </c>
      <c r="DG237" t="e">
        <f>Europe!C34+"$F;@!.aF"</f>
        <v>#VALUE!</v>
      </c>
      <c r="DH237" t="e">
        <f>Europe!D34+"$F;@!.aG"</f>
        <v>#VALUE!</v>
      </c>
      <c r="DI237" t="e">
        <f>Europe!E34+"$F;@!.aH"</f>
        <v>#VALUE!</v>
      </c>
      <c r="DJ237" t="e">
        <f>Europe!F34+"$F;@!.aI"</f>
        <v>#VALUE!</v>
      </c>
      <c r="DK237" t="e">
        <f>Europe!G34+"$F;@!.aJ"</f>
        <v>#VALUE!</v>
      </c>
      <c r="DL237" t="e">
        <f>Europe!H34+"$F;@!.aK"</f>
        <v>#VALUE!</v>
      </c>
      <c r="DM237" t="e">
        <f>Europe!A35+"$F;@!.aL"</f>
        <v>#VALUE!</v>
      </c>
      <c r="DN237" t="e">
        <f>Europe!B35+"$F;@!.aM"</f>
        <v>#VALUE!</v>
      </c>
      <c r="DO237" t="e">
        <f>Europe!C35+"$F;@!.aN"</f>
        <v>#VALUE!</v>
      </c>
      <c r="DP237" t="e">
        <f>Europe!D35+"$F;@!.aO"</f>
        <v>#VALUE!</v>
      </c>
      <c r="DQ237" t="e">
        <f>Europe!E35+"$F;@!.aP"</f>
        <v>#VALUE!</v>
      </c>
      <c r="DR237" t="e">
        <f>Europe!F35+"$F;@!.aQ"</f>
        <v>#VALUE!</v>
      </c>
      <c r="DS237" t="e">
        <f>Europe!G35+"$F;@!.aR"</f>
        <v>#VALUE!</v>
      </c>
      <c r="DT237" t="e">
        <f>Europe!H35+"$F;@!.aS"</f>
        <v>#VALUE!</v>
      </c>
      <c r="DU237" t="e">
        <f>Europe!A36+"$F;@!.aT"</f>
        <v>#VALUE!</v>
      </c>
      <c r="DV237" t="e">
        <f>Europe!B36+"$F;@!.aU"</f>
        <v>#VALUE!</v>
      </c>
      <c r="DW237" t="e">
        <f>Europe!C36+"$F;@!.aV"</f>
        <v>#VALUE!</v>
      </c>
      <c r="DX237" t="e">
        <f>Europe!D36+"$F;@!.aW"</f>
        <v>#VALUE!</v>
      </c>
      <c r="DY237" t="e">
        <f>Europe!E36+"$F;@!.aX"</f>
        <v>#VALUE!</v>
      </c>
      <c r="DZ237" t="e">
        <f>Europe!F36+"$F;@!.aY"</f>
        <v>#VALUE!</v>
      </c>
      <c r="EA237" t="e">
        <f>Europe!G36+"$F;@!.aZ"</f>
        <v>#VALUE!</v>
      </c>
      <c r="EB237" t="e">
        <f>Europe!H36+"$F;@!.a["</f>
        <v>#VALUE!</v>
      </c>
      <c r="EC237" t="e">
        <f>Europe!A37+"$F;@!.a\"</f>
        <v>#VALUE!</v>
      </c>
      <c r="ED237" t="e">
        <f>Europe!B37+"$F;@!.a]"</f>
        <v>#VALUE!</v>
      </c>
      <c r="EE237" t="e">
        <f>Europe!C37+"$F;@!.a^"</f>
        <v>#VALUE!</v>
      </c>
      <c r="EF237" t="e">
        <f>Europe!D37+"$F;@!.a_"</f>
        <v>#VALUE!</v>
      </c>
      <c r="EG237" t="e">
        <f>Europe!E37+"$F;@!.a`"</f>
        <v>#VALUE!</v>
      </c>
      <c r="EH237" t="e">
        <f>Europe!F37+"$F;@!.aa"</f>
        <v>#VALUE!</v>
      </c>
      <c r="EI237" t="e">
        <f>Europe!G37+"$F;@!.ab"</f>
        <v>#VALUE!</v>
      </c>
      <c r="EJ237" t="e">
        <f>Europe!H37+"$F;@!.ac"</f>
        <v>#VALUE!</v>
      </c>
      <c r="EK237" t="e">
        <f>Europe!A38+"$F;@!.ad"</f>
        <v>#VALUE!</v>
      </c>
      <c r="EL237" t="e">
        <f>Europe!B38+"$F;@!.ae"</f>
        <v>#VALUE!</v>
      </c>
      <c r="EM237" t="e">
        <f>Europe!C38+"$F;@!.af"</f>
        <v>#VALUE!</v>
      </c>
      <c r="EN237" t="e">
        <f>Europe!D38+"$F;@!.ag"</f>
        <v>#VALUE!</v>
      </c>
      <c r="EO237" t="e">
        <f>Europe!E38+"$F;@!.ah"</f>
        <v>#VALUE!</v>
      </c>
      <c r="EP237" t="e">
        <f>Europe!F38+"$F;@!.ai"</f>
        <v>#VALUE!</v>
      </c>
      <c r="EQ237" t="e">
        <f>Europe!G38+"$F;@!.aj"</f>
        <v>#VALUE!</v>
      </c>
      <c r="ER237" t="e">
        <f>Europe!H38+"$F;@!.ak"</f>
        <v>#VALUE!</v>
      </c>
      <c r="ES237" t="e">
        <f>Europe!A39+"$F;@!.al"</f>
        <v>#VALUE!</v>
      </c>
      <c r="ET237" t="e">
        <f>Europe!B39+"$F;@!.am"</f>
        <v>#VALUE!</v>
      </c>
      <c r="EU237" t="e">
        <f>Europe!C39+"$F;@!.an"</f>
        <v>#VALUE!</v>
      </c>
      <c r="EV237" t="e">
        <f>Europe!D39+"$F;@!.ao"</f>
        <v>#VALUE!</v>
      </c>
      <c r="EW237" t="e">
        <f>Europe!E39+"$F;@!.ap"</f>
        <v>#VALUE!</v>
      </c>
      <c r="EX237" t="e">
        <f>Europe!F39+"$F;@!.aq"</f>
        <v>#VALUE!</v>
      </c>
      <c r="EY237" t="e">
        <f>Europe!G39+"$F;@!.ar"</f>
        <v>#VALUE!</v>
      </c>
      <c r="EZ237" t="e">
        <f>Europe!H39+"$F;@!.as"</f>
        <v>#VALUE!</v>
      </c>
      <c r="FA237" t="e">
        <f>Europe!A40+"$F;@!.at"</f>
        <v>#VALUE!</v>
      </c>
      <c r="FB237" t="e">
        <f>Europe!B40+"$F;@!.au"</f>
        <v>#VALUE!</v>
      </c>
      <c r="FC237" t="e">
        <f>Europe!C40+"$F;@!.av"</f>
        <v>#VALUE!</v>
      </c>
      <c r="FD237" t="e">
        <f>Europe!D40+"$F;@!.aw"</f>
        <v>#VALUE!</v>
      </c>
      <c r="FE237" t="e">
        <f>Europe!E40+"$F;@!.ax"</f>
        <v>#VALUE!</v>
      </c>
      <c r="FF237" t="e">
        <f>Europe!F40+"$F;@!.ay"</f>
        <v>#VALUE!</v>
      </c>
      <c r="FG237" t="e">
        <f>Europe!G40+"$F;@!.az"</f>
        <v>#VALUE!</v>
      </c>
      <c r="FH237" t="e">
        <f>Europe!H40+"$F;@!.a{"</f>
        <v>#VALUE!</v>
      </c>
      <c r="FI237" t="e">
        <f>Europe!A41+"$F;@!.a|"</f>
        <v>#VALUE!</v>
      </c>
      <c r="FJ237" t="e">
        <f>Europe!B41+"$F;@!.a}"</f>
        <v>#VALUE!</v>
      </c>
      <c r="FK237" t="e">
        <f>Europe!C41+"$F;@!.a~"</f>
        <v>#VALUE!</v>
      </c>
      <c r="FL237" t="e">
        <f>Europe!D41+"$F;@!.b#"</f>
        <v>#VALUE!</v>
      </c>
      <c r="FM237" t="e">
        <f>Europe!E41+"$F;@!.b$"</f>
        <v>#VALUE!</v>
      </c>
      <c r="FN237" t="e">
        <f>Europe!F41+"$F;@!.b%"</f>
        <v>#VALUE!</v>
      </c>
      <c r="FO237" t="e">
        <f>Europe!G41+"$F;@!.b&amp;"</f>
        <v>#VALUE!</v>
      </c>
      <c r="FP237" t="e">
        <f>Europe!H41+"$F;@!.b'"</f>
        <v>#VALUE!</v>
      </c>
      <c r="FQ237" t="e">
        <f>Europe!A42+"$F;@!.b("</f>
        <v>#VALUE!</v>
      </c>
      <c r="FR237" t="e">
        <f>Europe!B42+"$F;@!.b)"</f>
        <v>#VALUE!</v>
      </c>
      <c r="FS237" t="e">
        <f>Europe!C42+"$F;@!.b."</f>
        <v>#VALUE!</v>
      </c>
      <c r="FT237" t="e">
        <f>Europe!D42+"$F;@!.b/"</f>
        <v>#VALUE!</v>
      </c>
      <c r="FU237" t="e">
        <f>Europe!E42+"$F;@!.b0"</f>
        <v>#VALUE!</v>
      </c>
      <c r="FV237" t="e">
        <f>Europe!F42+"$F;@!.b1"</f>
        <v>#VALUE!</v>
      </c>
      <c r="FW237" t="e">
        <f>Europe!G42+"$F;@!.b2"</f>
        <v>#VALUE!</v>
      </c>
      <c r="FX237" t="e">
        <f>Europe!H42+"$F;@!.b3"</f>
        <v>#VALUE!</v>
      </c>
      <c r="FY237" t="e">
        <f>Europe!A43+"$F;@!.b4"</f>
        <v>#VALUE!</v>
      </c>
      <c r="FZ237" t="e">
        <f>Europe!B43+"$F;@!.b5"</f>
        <v>#VALUE!</v>
      </c>
      <c r="GA237" t="e">
        <f>Europe!C43+"$F;@!.b6"</f>
        <v>#VALUE!</v>
      </c>
      <c r="GB237" t="e">
        <f>Europe!D43+"$F;@!.b7"</f>
        <v>#VALUE!</v>
      </c>
      <c r="GC237" t="e">
        <f>Europe!E43+"$F;@!.b8"</f>
        <v>#VALUE!</v>
      </c>
      <c r="GD237" t="e">
        <f>Europe!F43+"$F;@!.b9"</f>
        <v>#VALUE!</v>
      </c>
      <c r="GE237" t="e">
        <f>Europe!G43+"$F;@!.b:"</f>
        <v>#VALUE!</v>
      </c>
      <c r="GF237" t="e">
        <f>Europe!H43+"$F;@!.b;"</f>
        <v>#VALUE!</v>
      </c>
      <c r="GG237" t="e">
        <f>Europe!A44+"$F;@!.b&lt;"</f>
        <v>#VALUE!</v>
      </c>
      <c r="GH237" t="e">
        <f>Europe!B44+"$F;@!.b="</f>
        <v>#VALUE!</v>
      </c>
      <c r="GI237" t="e">
        <f>Europe!C44+"$F;@!.b&gt;"</f>
        <v>#VALUE!</v>
      </c>
      <c r="GJ237" t="e">
        <f>Europe!D44+"$F;@!.b?"</f>
        <v>#VALUE!</v>
      </c>
      <c r="GK237" t="e">
        <f>Europe!E44+"$F;@!.b@"</f>
        <v>#VALUE!</v>
      </c>
      <c r="GL237" t="e">
        <f>Europe!F44+"$F;@!.bA"</f>
        <v>#VALUE!</v>
      </c>
      <c r="GM237" t="e">
        <f>Europe!G44+"$F;@!.bB"</f>
        <v>#VALUE!</v>
      </c>
      <c r="GN237" t="e">
        <f>Europe!H44+"$F;@!.bC"</f>
        <v>#VALUE!</v>
      </c>
      <c r="GO237" t="e">
        <f>Europe!A45+"$F;@!.bD"</f>
        <v>#VALUE!</v>
      </c>
      <c r="GP237" t="e">
        <f>Europe!B45+"$F;@!.bE"</f>
        <v>#VALUE!</v>
      </c>
      <c r="GQ237" t="e">
        <f>Europe!C45+"$F;@!.bF"</f>
        <v>#VALUE!</v>
      </c>
      <c r="GR237" t="e">
        <f>Europe!D45+"$F;@!.bG"</f>
        <v>#VALUE!</v>
      </c>
      <c r="GS237" t="e">
        <f>Europe!G45+"$F;@!.bH"</f>
        <v>#VALUE!</v>
      </c>
      <c r="GT237" t="e">
        <f>Europe!H45+"$F;@!.bI"</f>
        <v>#VALUE!</v>
      </c>
      <c r="GU237" t="e">
        <f>Europe!A46+"$F;@!.bJ"</f>
        <v>#VALUE!</v>
      </c>
      <c r="GV237" t="e">
        <f>Europe!B46+"$F;@!.bK"</f>
        <v>#VALUE!</v>
      </c>
      <c r="GW237" t="e">
        <f>Europe!C46+"$F;@!.bL"</f>
        <v>#VALUE!</v>
      </c>
      <c r="GX237" t="e">
        <f>Europe!D46+"$F;@!.bM"</f>
        <v>#VALUE!</v>
      </c>
      <c r="GY237" t="e">
        <f>Europe!E46+"$F;@!.bN"</f>
        <v>#VALUE!</v>
      </c>
      <c r="GZ237" t="e">
        <f>Europe!F46+"$F;@!.bO"</f>
        <v>#VALUE!</v>
      </c>
      <c r="HA237" t="e">
        <f>Europe!G46+"$F;@!.bP"</f>
        <v>#VALUE!</v>
      </c>
      <c r="HB237" t="e">
        <f>Europe!H46+"$F;@!.bQ"</f>
        <v>#VALUE!</v>
      </c>
      <c r="HC237" t="e">
        <f>Europe!A47+"$F;@!.bR"</f>
        <v>#VALUE!</v>
      </c>
      <c r="HD237" t="e">
        <f>Europe!B47+"$F;@!.bS"</f>
        <v>#VALUE!</v>
      </c>
      <c r="HE237" t="e">
        <f>Europe!C47+"$F;@!.bT"</f>
        <v>#VALUE!</v>
      </c>
      <c r="HF237" t="e">
        <f>Europe!D47+"$F;@!.bU"</f>
        <v>#VALUE!</v>
      </c>
      <c r="HG237" t="e">
        <f>Europe!E47+"$F;@!.bV"</f>
        <v>#VALUE!</v>
      </c>
      <c r="HH237" t="e">
        <f>Europe!F47+"$F;@!.bW"</f>
        <v>#VALUE!</v>
      </c>
      <c r="HI237" t="e">
        <f>Europe!G47+"$F;@!.bX"</f>
        <v>#VALUE!</v>
      </c>
      <c r="HJ237" t="e">
        <f>Europe!H47+"$F;@!.bY"</f>
        <v>#VALUE!</v>
      </c>
      <c r="HK237" t="e">
        <f>Europe!A48+"$F;@!.bZ"</f>
        <v>#VALUE!</v>
      </c>
      <c r="HL237" t="e">
        <f>Europe!B48+"$F;@!.b["</f>
        <v>#VALUE!</v>
      </c>
      <c r="HM237" t="e">
        <f>Europe!C48+"$F;@!.b\"</f>
        <v>#VALUE!</v>
      </c>
      <c r="HN237" t="e">
        <f>Europe!D48+"$F;@!.b]"</f>
        <v>#VALUE!</v>
      </c>
      <c r="HO237" t="e">
        <f>Europe!E48+"$F;@!.b^"</f>
        <v>#VALUE!</v>
      </c>
      <c r="HP237" t="e">
        <f>Europe!F48+"$F;@!.b_"</f>
        <v>#VALUE!</v>
      </c>
      <c r="HQ237" t="e">
        <f>Europe!G48+"$F;@!.b`"</f>
        <v>#VALUE!</v>
      </c>
      <c r="HR237" t="e">
        <f>Europe!H48+"$F;@!.ba"</f>
        <v>#VALUE!</v>
      </c>
      <c r="HS237" t="e">
        <f>Europe!A49+"$F;@!.bb"</f>
        <v>#VALUE!</v>
      </c>
      <c r="HT237" t="e">
        <f>Europe!B49+"$F;@!.bc"</f>
        <v>#VALUE!</v>
      </c>
      <c r="HU237" t="e">
        <f>Europe!C49+"$F;@!.bd"</f>
        <v>#VALUE!</v>
      </c>
      <c r="HV237" t="e">
        <f>Europe!D49+"$F;@!.be"</f>
        <v>#VALUE!</v>
      </c>
      <c r="HW237" t="e">
        <f>Europe!E49+"$F;@!.bf"</f>
        <v>#VALUE!</v>
      </c>
      <c r="HX237" t="e">
        <f>Europe!F49+"$F;@!.bg"</f>
        <v>#VALUE!</v>
      </c>
      <c r="HY237" t="e">
        <f>Europe!G49+"$F;@!.bh"</f>
        <v>#VALUE!</v>
      </c>
      <c r="HZ237" t="e">
        <f>Europe!H49+"$F;@!.bi"</f>
        <v>#VALUE!</v>
      </c>
      <c r="IA237" t="e">
        <f>Europe!A50+"$F;@!.bj"</f>
        <v>#VALUE!</v>
      </c>
      <c r="IB237" t="e">
        <f>Europe!B50+"$F;@!.bk"</f>
        <v>#VALUE!</v>
      </c>
      <c r="IC237" t="e">
        <f>Europe!C50+"$F;@!.bl"</f>
        <v>#VALUE!</v>
      </c>
      <c r="ID237" t="e">
        <f>Europe!D50+"$F;@!.bm"</f>
        <v>#VALUE!</v>
      </c>
      <c r="IE237" t="e">
        <f>Europe!E50+"$F;@!.bn"</f>
        <v>#VALUE!</v>
      </c>
      <c r="IF237" t="e">
        <f>Europe!F50+"$F;@!.bo"</f>
        <v>#VALUE!</v>
      </c>
      <c r="IG237" t="e">
        <f>Europe!G50+"$F;@!.bp"</f>
        <v>#VALUE!</v>
      </c>
      <c r="IH237" t="e">
        <f>Europe!H50+"$F;@!.bq"</f>
        <v>#VALUE!</v>
      </c>
      <c r="II237" t="e">
        <f>Europe!A51+"$F;@!.br"</f>
        <v>#VALUE!</v>
      </c>
      <c r="IJ237" t="e">
        <f>Europe!B51+"$F;@!.bs"</f>
        <v>#VALUE!</v>
      </c>
      <c r="IK237" t="e">
        <f>Europe!C51+"$F;@!.bt"</f>
        <v>#VALUE!</v>
      </c>
      <c r="IL237" t="e">
        <f>Europe!D51+"$F;@!.bu"</f>
        <v>#VALUE!</v>
      </c>
      <c r="IM237" t="e">
        <f>Europe!E51+"$F;@!.bv"</f>
        <v>#VALUE!</v>
      </c>
      <c r="IN237" t="e">
        <f>Europe!F51+"$F;@!.bw"</f>
        <v>#VALUE!</v>
      </c>
      <c r="IO237" t="e">
        <f>Europe!G51+"$F;@!.bx"</f>
        <v>#VALUE!</v>
      </c>
      <c r="IP237" t="e">
        <f>Europe!H51+"$F;@!.by"</f>
        <v>#VALUE!</v>
      </c>
      <c r="IQ237" t="e">
        <f>Europe!A52+"$F;@!.bz"</f>
        <v>#VALUE!</v>
      </c>
      <c r="IR237" t="e">
        <f>Europe!B52+"$F;@!.b{"</f>
        <v>#VALUE!</v>
      </c>
      <c r="IS237" t="e">
        <f>Europe!C52+"$F;@!.b|"</f>
        <v>#VALUE!</v>
      </c>
      <c r="IT237" t="e">
        <f>Europe!D52+"$F;@!.b}"</f>
        <v>#VALUE!</v>
      </c>
      <c r="IU237" t="e">
        <f>Europe!E52+"$F;@!.b~"</f>
        <v>#VALUE!</v>
      </c>
      <c r="IV237" t="e">
        <f>Europe!F52+"$F;@!.c#"</f>
        <v>#VALUE!</v>
      </c>
    </row>
    <row r="238" spans="6:256" x14ac:dyDescent="0.35">
      <c r="F238" t="e">
        <f>Europe!G52+"$F;@!.c$"</f>
        <v>#VALUE!</v>
      </c>
      <c r="G238" t="e">
        <f>Europe!H52+"$F;@!.c%"</f>
        <v>#VALUE!</v>
      </c>
      <c r="H238" t="e">
        <f>Europe!A53+"$F;@!.c&amp;"</f>
        <v>#VALUE!</v>
      </c>
      <c r="I238" t="e">
        <f>Europe!B53+"$F;@!.c'"</f>
        <v>#VALUE!</v>
      </c>
      <c r="J238" t="e">
        <f>Europe!C53+"$F;@!.c("</f>
        <v>#VALUE!</v>
      </c>
      <c r="K238" t="e">
        <f>Europe!D53+"$F;@!.c)"</f>
        <v>#VALUE!</v>
      </c>
      <c r="L238" t="e">
        <f>Europe!E53+"$F;@!.c."</f>
        <v>#VALUE!</v>
      </c>
      <c r="M238" t="e">
        <f>Europe!F53+"$F;@!.c/"</f>
        <v>#VALUE!</v>
      </c>
      <c r="N238" t="e">
        <f>Europe!G53+"$F;@!.c0"</f>
        <v>#VALUE!</v>
      </c>
      <c r="O238" t="e">
        <f>Europe!H53+"$F;@!.c1"</f>
        <v>#VALUE!</v>
      </c>
      <c r="P238" t="e">
        <f>Europe!A54+"$F;@!.c2"</f>
        <v>#VALUE!</v>
      </c>
      <c r="Q238" t="e">
        <f>Europe!B54+"$F;@!.c3"</f>
        <v>#VALUE!</v>
      </c>
      <c r="R238" t="e">
        <f>Europe!C54+"$F;@!.c4"</f>
        <v>#VALUE!</v>
      </c>
      <c r="S238" t="e">
        <f>Europe!D54+"$F;@!.c5"</f>
        <v>#VALUE!</v>
      </c>
      <c r="T238" t="e">
        <f>Europe!E54+"$F;@!.c6"</f>
        <v>#VALUE!</v>
      </c>
      <c r="U238" t="e">
        <f>Europe!F54+"$F;@!.c7"</f>
        <v>#VALUE!</v>
      </c>
      <c r="V238" t="e">
        <f>Europe!G54+"$F;@!.c8"</f>
        <v>#VALUE!</v>
      </c>
      <c r="W238" t="e">
        <f>Europe!H54+"$F;@!.c9"</f>
        <v>#VALUE!</v>
      </c>
      <c r="X238" t="e">
        <f>Europe!A55+"$F;@!.c:"</f>
        <v>#VALUE!</v>
      </c>
      <c r="Y238" t="e">
        <f>Europe!B55+"$F;@!.c;"</f>
        <v>#VALUE!</v>
      </c>
      <c r="Z238" t="e">
        <f>Europe!C55+"$F;@!.c&lt;"</f>
        <v>#VALUE!</v>
      </c>
      <c r="AA238" t="e">
        <f>Europe!D55+"$F;@!.c="</f>
        <v>#VALUE!</v>
      </c>
      <c r="AB238" t="e">
        <f>Europe!E55+"$F;@!.c&gt;"</f>
        <v>#VALUE!</v>
      </c>
      <c r="AC238" t="e">
        <f>Europe!F55+"$F;@!.c?"</f>
        <v>#VALUE!</v>
      </c>
      <c r="AD238" t="e">
        <f>Europe!G55+"$F;@!.c@"</f>
        <v>#VALUE!</v>
      </c>
      <c r="AE238" t="e">
        <f>Europe!H55+"$F;@!.cA"</f>
        <v>#VALUE!</v>
      </c>
      <c r="AF238" t="e">
        <f>Europe!A56+"$F;@!.cB"</f>
        <v>#VALUE!</v>
      </c>
      <c r="AG238" t="e">
        <f>Europe!B56+"$F;@!.cC"</f>
        <v>#VALUE!</v>
      </c>
      <c r="AH238" t="e">
        <f>Europe!C56+"$F;@!.cD"</f>
        <v>#VALUE!</v>
      </c>
      <c r="AI238" t="e">
        <f>Europe!D56+"$F;@!.cE"</f>
        <v>#VALUE!</v>
      </c>
      <c r="AJ238" t="e">
        <f>Europe!E56+"$F;@!.cF"</f>
        <v>#VALUE!</v>
      </c>
      <c r="AK238" t="e">
        <f>Europe!F56+"$F;@!.cG"</f>
        <v>#VALUE!</v>
      </c>
      <c r="AL238" t="e">
        <f>Europe!G56+"$F;@!.cH"</f>
        <v>#VALUE!</v>
      </c>
      <c r="AM238" t="e">
        <f>Europe!H56+"$F;@!.cI"</f>
        <v>#VALUE!</v>
      </c>
      <c r="AN238" t="e">
        <f>Europe!A57+"$F;@!.cJ"</f>
        <v>#VALUE!</v>
      </c>
      <c r="AO238" t="e">
        <f>Europe!B57+"$F;@!.cK"</f>
        <v>#VALUE!</v>
      </c>
      <c r="AP238" t="e">
        <f>Europe!C57+"$F;@!.cL"</f>
        <v>#VALUE!</v>
      </c>
      <c r="AQ238" t="e">
        <f>Europe!D57+"$F;@!.cM"</f>
        <v>#VALUE!</v>
      </c>
      <c r="AR238" t="e">
        <f>Europe!E57+"$F;@!.cN"</f>
        <v>#VALUE!</v>
      </c>
      <c r="AS238" t="e">
        <f>Europe!F57+"$F;@!.cO"</f>
        <v>#VALUE!</v>
      </c>
      <c r="AT238" t="e">
        <f>Europe!G57+"$F;@!.cP"</f>
        <v>#VALUE!</v>
      </c>
      <c r="AU238" t="e">
        <f>Europe!H57+"$F;@!.cQ"</f>
        <v>#VALUE!</v>
      </c>
      <c r="AV238" t="e">
        <f>Europe!A58+"$F;@!.cR"</f>
        <v>#VALUE!</v>
      </c>
      <c r="AW238" t="e">
        <f>Europe!B58+"$F;@!.cS"</f>
        <v>#VALUE!</v>
      </c>
      <c r="AX238" t="e">
        <f>Europe!C58+"$F;@!.cT"</f>
        <v>#VALUE!</v>
      </c>
      <c r="AY238" t="e">
        <f>Europe!D58+"$F;@!.cU"</f>
        <v>#VALUE!</v>
      </c>
      <c r="AZ238" t="e">
        <f>Europe!E58+"$F;@!.cV"</f>
        <v>#VALUE!</v>
      </c>
      <c r="BA238" t="e">
        <f>Europe!F58+"$F;@!.cW"</f>
        <v>#VALUE!</v>
      </c>
      <c r="BB238" t="e">
        <f>Europe!G58+"$F;@!.cX"</f>
        <v>#VALUE!</v>
      </c>
      <c r="BC238" t="e">
        <f>Europe!H58+"$F;@!.cY"</f>
        <v>#VALUE!</v>
      </c>
      <c r="BD238" t="e">
        <f>Europe!A59+"$F;@!.cZ"</f>
        <v>#VALUE!</v>
      </c>
      <c r="BE238" t="e">
        <f>Europe!B59+"$F;@!.c["</f>
        <v>#VALUE!</v>
      </c>
      <c r="BF238" t="e">
        <f>Europe!C59+"$F;@!.c\"</f>
        <v>#VALUE!</v>
      </c>
      <c r="BG238" t="e">
        <f>Europe!D59+"$F;@!.c]"</f>
        <v>#VALUE!</v>
      </c>
      <c r="BH238" t="e">
        <f>Europe!E59+"$F;@!.c^"</f>
        <v>#VALUE!</v>
      </c>
      <c r="BI238" t="e">
        <f>Europe!F59+"$F;@!.c_"</f>
        <v>#VALUE!</v>
      </c>
      <c r="BJ238" t="e">
        <f>Europe!G59+"$F;@!.c`"</f>
        <v>#VALUE!</v>
      </c>
      <c r="BK238" t="e">
        <f>Europe!H59+"$F;@!.ca"</f>
        <v>#VALUE!</v>
      </c>
      <c r="BL238" t="e">
        <f>Europe!A60+"$F;@!.cb"</f>
        <v>#VALUE!</v>
      </c>
      <c r="BM238" t="e">
        <f>Europe!B60+"$F;@!.cc"</f>
        <v>#VALUE!</v>
      </c>
      <c r="BN238" t="e">
        <f>Europe!C60+"$F;@!.cd"</f>
        <v>#VALUE!</v>
      </c>
      <c r="BO238" t="e">
        <f>Europe!D60+"$F;@!.ce"</f>
        <v>#VALUE!</v>
      </c>
      <c r="BP238" t="e">
        <f>Europe!E60+"$F;@!.cf"</f>
        <v>#VALUE!</v>
      </c>
      <c r="BQ238" t="e">
        <f>Europe!F60+"$F;@!.cg"</f>
        <v>#VALUE!</v>
      </c>
      <c r="BR238" t="e">
        <f>Europe!G60+"$F;@!.ch"</f>
        <v>#VALUE!</v>
      </c>
      <c r="BS238" t="e">
        <f>Europe!H60+"$F;@!.ci"</f>
        <v>#VALUE!</v>
      </c>
      <c r="BT238" t="e">
        <f>Europe!A61+"$F;@!.cj"</f>
        <v>#VALUE!</v>
      </c>
      <c r="BU238" t="e">
        <f>Europe!B61+"$F;@!.ck"</f>
        <v>#VALUE!</v>
      </c>
      <c r="BV238" t="e">
        <f>Europe!C61+"$F;@!.cl"</f>
        <v>#VALUE!</v>
      </c>
      <c r="BW238" t="e">
        <f>Europe!D61+"$F;@!.cm"</f>
        <v>#VALUE!</v>
      </c>
      <c r="BX238" t="e">
        <f>Europe!E61+"$F;@!.cn"</f>
        <v>#VALUE!</v>
      </c>
      <c r="BY238" t="e">
        <f>Europe!F61+"$F;@!.co"</f>
        <v>#VALUE!</v>
      </c>
      <c r="BZ238" t="e">
        <f>Europe!G61+"$F;@!.cp"</f>
        <v>#VALUE!</v>
      </c>
      <c r="CA238" t="e">
        <f>Europe!H61+"$F;@!.cq"</f>
        <v>#VALUE!</v>
      </c>
      <c r="CB238" t="e">
        <f>Europe!A62+"$F;@!.cr"</f>
        <v>#VALUE!</v>
      </c>
      <c r="CC238" t="e">
        <f>Europe!B62+"$F;@!.cs"</f>
        <v>#VALUE!</v>
      </c>
      <c r="CD238" t="e">
        <f>Europe!C62+"$F;@!.ct"</f>
        <v>#VALUE!</v>
      </c>
      <c r="CE238" t="e">
        <f>Europe!D62+"$F;@!.cu"</f>
        <v>#VALUE!</v>
      </c>
      <c r="CF238" t="e">
        <f>Europe!E62+"$F;@!.cv"</f>
        <v>#VALUE!</v>
      </c>
      <c r="CG238" t="e">
        <f>Europe!F62+"$F;@!.cw"</f>
        <v>#VALUE!</v>
      </c>
      <c r="CH238" t="e">
        <f>Europe!G62+"$F;@!.cx"</f>
        <v>#VALUE!</v>
      </c>
      <c r="CI238" t="e">
        <f>Europe!H62+"$F;@!.cy"</f>
        <v>#VALUE!</v>
      </c>
      <c r="CJ238" t="e">
        <f>Europe!A63+"$F;@!.cz"</f>
        <v>#VALUE!</v>
      </c>
      <c r="CK238" t="e">
        <f>Europe!B63+"$F;@!.c{"</f>
        <v>#VALUE!</v>
      </c>
      <c r="CL238" t="e">
        <f>Europe!C63+"$F;@!.c|"</f>
        <v>#VALUE!</v>
      </c>
      <c r="CM238" t="e">
        <f>Europe!D63+"$F;@!.c}"</f>
        <v>#VALUE!</v>
      </c>
      <c r="CN238" t="e">
        <f>Europe!E63+"$F;@!.c~"</f>
        <v>#VALUE!</v>
      </c>
      <c r="CO238" t="e">
        <f>Europe!F63+"$F;@!.d#"</f>
        <v>#VALUE!</v>
      </c>
      <c r="CP238" t="e">
        <f>Europe!G63+"$F;@!.d$"</f>
        <v>#VALUE!</v>
      </c>
      <c r="CQ238" t="e">
        <f>Europe!H63+"$F;@!.d%"</f>
        <v>#VALUE!</v>
      </c>
      <c r="CR238" t="e">
        <f>Europe!A64+"$F;@!.d&amp;"</f>
        <v>#VALUE!</v>
      </c>
      <c r="CS238" t="e">
        <f>Europe!B64+"$F;@!.d'"</f>
        <v>#VALUE!</v>
      </c>
      <c r="CT238" t="e">
        <f>Europe!C64+"$F;@!.d("</f>
        <v>#VALUE!</v>
      </c>
      <c r="CU238" t="e">
        <f>Europe!D64+"$F;@!.d)"</f>
        <v>#VALUE!</v>
      </c>
      <c r="CV238" t="e">
        <f>Europe!E64+"$F;@!.d."</f>
        <v>#VALUE!</v>
      </c>
      <c r="CW238" t="e">
        <f>Europe!F64+"$F;@!.d/"</f>
        <v>#VALUE!</v>
      </c>
      <c r="CX238" t="e">
        <f>Europe!G64+"$F;@!.d0"</f>
        <v>#VALUE!</v>
      </c>
      <c r="CY238" t="e">
        <f>Europe!H64+"$F;@!.d1"</f>
        <v>#VALUE!</v>
      </c>
      <c r="CZ238" t="e">
        <f>Europe!A65+"$F;@!.d2"</f>
        <v>#VALUE!</v>
      </c>
      <c r="DA238" t="e">
        <f>Europe!B65+"$F;@!.d3"</f>
        <v>#VALUE!</v>
      </c>
      <c r="DB238" t="e">
        <f>Europe!C65+"$F;@!.d4"</f>
        <v>#VALUE!</v>
      </c>
      <c r="DC238" t="e">
        <f>Europe!D65+"$F;@!.d5"</f>
        <v>#VALUE!</v>
      </c>
      <c r="DD238" t="e">
        <f>Europe!E65+"$F;@!.d6"</f>
        <v>#VALUE!</v>
      </c>
      <c r="DE238" t="e">
        <f>Europe!F65+"$F;@!.d7"</f>
        <v>#VALUE!</v>
      </c>
      <c r="DF238" t="e">
        <f>Europe!G65+"$F;@!.d8"</f>
        <v>#VALUE!</v>
      </c>
      <c r="DG238" t="e">
        <f>Europe!H65+"$F;@!.d9"</f>
        <v>#VALUE!</v>
      </c>
      <c r="DH238" t="e">
        <f>Europe!A66+"$F;@!.d:"</f>
        <v>#VALUE!</v>
      </c>
      <c r="DI238" t="e">
        <f>Europe!B66+"$F;@!.d;"</f>
        <v>#VALUE!</v>
      </c>
      <c r="DJ238" t="e">
        <f>Europe!C66+"$F;@!.d&lt;"</f>
        <v>#VALUE!</v>
      </c>
      <c r="DK238" t="e">
        <f>Europe!D66+"$F;@!.d="</f>
        <v>#VALUE!</v>
      </c>
      <c r="DL238" t="e">
        <f>Europe!E66+"$F;@!.d&gt;"</f>
        <v>#VALUE!</v>
      </c>
      <c r="DM238" t="e">
        <f>Europe!F66+"$F;@!.d?"</f>
        <v>#VALUE!</v>
      </c>
      <c r="DN238" t="e">
        <f>Europe!G66+"$F;@!.d@"</f>
        <v>#VALUE!</v>
      </c>
      <c r="DO238" t="e">
        <f>Europe!H66+"$F;@!.dA"</f>
        <v>#VALUE!</v>
      </c>
      <c r="DP238" t="e">
        <f>Europe!A67+"$F;@!.dB"</f>
        <v>#VALUE!</v>
      </c>
      <c r="DQ238" t="e">
        <f>Europe!B67+"$F;@!.dC"</f>
        <v>#VALUE!</v>
      </c>
      <c r="DR238" t="e">
        <f>Europe!C67+"$F;@!.dD"</f>
        <v>#VALUE!</v>
      </c>
      <c r="DS238" t="e">
        <f>Europe!D67+"$F;@!.dE"</f>
        <v>#VALUE!</v>
      </c>
      <c r="DT238" t="e">
        <f>Europe!E67+"$F;@!.dF"</f>
        <v>#VALUE!</v>
      </c>
      <c r="DU238" t="e">
        <f>Europe!F67+"$F;@!.dG"</f>
        <v>#VALUE!</v>
      </c>
      <c r="DV238" t="e">
        <f>Europe!G67+"$F;@!.dH"</f>
        <v>#VALUE!</v>
      </c>
      <c r="DW238" t="e">
        <f>Europe!H67+"$F;@!.dI"</f>
        <v>#VALUE!</v>
      </c>
      <c r="DX238" t="e">
        <f>Europe!A68+"$F;@!.dJ"</f>
        <v>#VALUE!</v>
      </c>
      <c r="DY238" t="e">
        <f>Europe!B68+"$F;@!.dK"</f>
        <v>#VALUE!</v>
      </c>
      <c r="DZ238" t="e">
        <f>Europe!C68+"$F;@!.dL"</f>
        <v>#VALUE!</v>
      </c>
      <c r="EA238" t="e">
        <f>Europe!D68+"$F;@!.dM"</f>
        <v>#VALUE!</v>
      </c>
      <c r="EB238" t="e">
        <f>Europe!E68+"$F;@!.dN"</f>
        <v>#VALUE!</v>
      </c>
      <c r="EC238" t="e">
        <f>Europe!F68+"$F;@!.dO"</f>
        <v>#VALUE!</v>
      </c>
      <c r="ED238" t="e">
        <f>Europe!G68+"$F;@!.dP"</f>
        <v>#VALUE!</v>
      </c>
      <c r="EE238" t="e">
        <f>Europe!H68+"$F;@!.dQ"</f>
        <v>#VALUE!</v>
      </c>
      <c r="EF238" t="e">
        <f>Europe!A69+"$F;@!.dR"</f>
        <v>#VALUE!</v>
      </c>
      <c r="EG238" t="e">
        <f>Europe!B69+"$F;@!.dS"</f>
        <v>#VALUE!</v>
      </c>
      <c r="EH238" t="e">
        <f>Europe!C69+"$F;@!.dT"</f>
        <v>#VALUE!</v>
      </c>
      <c r="EI238" t="e">
        <f>Europe!D69+"$F;@!.dU"</f>
        <v>#VALUE!</v>
      </c>
      <c r="EJ238" t="e">
        <f>Europe!E69+"$F;@!.dV"</f>
        <v>#VALUE!</v>
      </c>
      <c r="EK238" t="e">
        <f>Europe!F69+"$F;@!.dW"</f>
        <v>#VALUE!</v>
      </c>
      <c r="EL238" t="e">
        <f>Europe!G69+"$F;@!.dX"</f>
        <v>#VALUE!</v>
      </c>
      <c r="EM238" t="e">
        <f>Europe!H69+"$F;@!.dY"</f>
        <v>#VALUE!</v>
      </c>
      <c r="EN238" t="e">
        <f>Europe!A70+"$F;@!.dZ"</f>
        <v>#VALUE!</v>
      </c>
      <c r="EO238" t="e">
        <f>Europe!B70+"$F;@!.d["</f>
        <v>#VALUE!</v>
      </c>
      <c r="EP238" t="e">
        <f>Europe!C70+"$F;@!.d\"</f>
        <v>#VALUE!</v>
      </c>
      <c r="EQ238" t="e">
        <f>Europe!D70+"$F;@!.d]"</f>
        <v>#VALUE!</v>
      </c>
      <c r="ER238" t="e">
        <f>Europe!E70+"$F;@!.d^"</f>
        <v>#VALUE!</v>
      </c>
      <c r="ES238" t="e">
        <f>Europe!F70+"$F;@!.d_"</f>
        <v>#VALUE!</v>
      </c>
      <c r="ET238" t="e">
        <f>Europe!G70+"$F;@!.d`"</f>
        <v>#VALUE!</v>
      </c>
      <c r="EU238" t="e">
        <f>Europe!H70+"$F;@!.da"</f>
        <v>#VALUE!</v>
      </c>
      <c r="EV238" t="e">
        <f>Europe!A71+"$F;@!.db"</f>
        <v>#VALUE!</v>
      </c>
      <c r="EW238" t="e">
        <f>Europe!B71+"$F;@!.dc"</f>
        <v>#VALUE!</v>
      </c>
      <c r="EX238" t="e">
        <f>Europe!C71+"$F;@!.dd"</f>
        <v>#VALUE!</v>
      </c>
      <c r="EY238" t="e">
        <f>Europe!D71+"$F;@!.de"</f>
        <v>#VALUE!</v>
      </c>
      <c r="EZ238" t="e">
        <f>Europe!E71+"$F;@!.df"</f>
        <v>#VALUE!</v>
      </c>
      <c r="FA238" t="e">
        <f>Europe!F71+"$F;@!.dg"</f>
        <v>#VALUE!</v>
      </c>
      <c r="FB238" t="e">
        <f>Europe!G71+"$F;@!.dh"</f>
        <v>#VALUE!</v>
      </c>
      <c r="FC238" t="e">
        <f>Europe!H71+"$F;@!.di"</f>
        <v>#VALUE!</v>
      </c>
      <c r="FD238" t="e">
        <f>Europe!A72+"$F;@!.dj"</f>
        <v>#VALUE!</v>
      </c>
      <c r="FE238" t="e">
        <f>Europe!B72+"$F;@!.dk"</f>
        <v>#VALUE!</v>
      </c>
      <c r="FF238" t="e">
        <f>Europe!C72+"$F;@!.dl"</f>
        <v>#VALUE!</v>
      </c>
      <c r="FG238" t="e">
        <f>Europe!D72+"$F;@!.dm"</f>
        <v>#VALUE!</v>
      </c>
      <c r="FH238" t="e">
        <f>Europe!E72+"$F;@!.dn"</f>
        <v>#VALUE!</v>
      </c>
      <c r="FI238" t="e">
        <f>Europe!F72+"$F;@!.do"</f>
        <v>#VALUE!</v>
      </c>
      <c r="FJ238" t="e">
        <f>Europe!G72+"$F;@!.dp"</f>
        <v>#VALUE!</v>
      </c>
      <c r="FK238" t="e">
        <f>Europe!H72+"$F;@!.dq"</f>
        <v>#VALUE!</v>
      </c>
      <c r="FL238" t="e">
        <f>Europe!A73+"$F;@!.dr"</f>
        <v>#VALUE!</v>
      </c>
      <c r="FM238" t="e">
        <f>Europe!B73+"$F;@!.ds"</f>
        <v>#VALUE!</v>
      </c>
      <c r="FN238" t="e">
        <f>Europe!C73+"$F;@!.dt"</f>
        <v>#VALUE!</v>
      </c>
      <c r="FO238" t="e">
        <f>Europe!D73+"$F;@!.du"</f>
        <v>#VALUE!</v>
      </c>
      <c r="FP238" t="e">
        <f>Europe!E73+"$F;@!.dv"</f>
        <v>#VALUE!</v>
      </c>
      <c r="FQ238" t="e">
        <f>Europe!F73+"$F;@!.dw"</f>
        <v>#VALUE!</v>
      </c>
      <c r="FR238" t="e">
        <f>Europe!G73+"$F;@!.dx"</f>
        <v>#VALUE!</v>
      </c>
      <c r="FS238" t="e">
        <f>Europe!H73+"$F;@!.dy"</f>
        <v>#VALUE!</v>
      </c>
      <c r="FT238" t="e">
        <f>Europe!A74+"$F;@!.dz"</f>
        <v>#VALUE!</v>
      </c>
      <c r="FU238" t="e">
        <f>Europe!B74+"$F;@!.d{"</f>
        <v>#VALUE!</v>
      </c>
      <c r="FV238" t="e">
        <f>Europe!C74+"$F;@!.d|"</f>
        <v>#VALUE!</v>
      </c>
      <c r="FW238" t="e">
        <f>Europe!D74+"$F;@!.d}"</f>
        <v>#VALUE!</v>
      </c>
      <c r="FX238" t="e">
        <f>Europe!E74+"$F;@!.d~"</f>
        <v>#VALUE!</v>
      </c>
      <c r="FY238" t="e">
        <f>Europe!F74+"$F;@!.e#"</f>
        <v>#VALUE!</v>
      </c>
      <c r="FZ238" t="e">
        <f>Europe!G74+"$F;@!.e$"</f>
        <v>#VALUE!</v>
      </c>
      <c r="GA238" t="e">
        <f>Europe!H74+"$F;@!.e%"</f>
        <v>#VALUE!</v>
      </c>
      <c r="GB238" t="e">
        <f>Europe!A75+"$F;@!.e&amp;"</f>
        <v>#VALUE!</v>
      </c>
      <c r="GC238" t="e">
        <f>Europe!B75+"$F;@!.e'"</f>
        <v>#VALUE!</v>
      </c>
      <c r="GD238" t="e">
        <f>Europe!C75+"$F;@!.e("</f>
        <v>#VALUE!</v>
      </c>
      <c r="GE238" t="e">
        <f>Europe!D75+"$F;@!.e)"</f>
        <v>#VALUE!</v>
      </c>
      <c r="GF238" t="e">
        <f>Europe!E75+"$F;@!.e."</f>
        <v>#VALUE!</v>
      </c>
      <c r="GG238" t="e">
        <f>Europe!F75+"$F;@!.e/"</f>
        <v>#VALUE!</v>
      </c>
      <c r="GH238" t="e">
        <f>Europe!G75+"$F;@!.e0"</f>
        <v>#VALUE!</v>
      </c>
      <c r="GI238" t="e">
        <f>Europe!H75+"$F;@!.e1"</f>
        <v>#VALUE!</v>
      </c>
      <c r="GJ238" t="e">
        <f>Europe!A76+"$F;@!.e2"</f>
        <v>#VALUE!</v>
      </c>
      <c r="GK238" t="e">
        <f>Europe!B76+"$F;@!.e3"</f>
        <v>#VALUE!</v>
      </c>
      <c r="GL238" t="e">
        <f>Europe!C76+"$F;@!.e4"</f>
        <v>#VALUE!</v>
      </c>
      <c r="GM238" t="e">
        <f>Europe!D76+"$F;@!.e5"</f>
        <v>#VALUE!</v>
      </c>
      <c r="GN238" t="e">
        <f>Europe!E76+"$F;@!.e6"</f>
        <v>#VALUE!</v>
      </c>
      <c r="GO238" t="e">
        <f>Europe!F76+"$F;@!.e7"</f>
        <v>#VALUE!</v>
      </c>
      <c r="GP238" t="e">
        <f>Europe!G76+"$F;@!.e8"</f>
        <v>#VALUE!</v>
      </c>
      <c r="GQ238" t="e">
        <f>Europe!H76+"$F;@!.e9"</f>
        <v>#VALUE!</v>
      </c>
      <c r="GR238" t="e">
        <f>Europe!A77+"$F;@!.e:"</f>
        <v>#VALUE!</v>
      </c>
      <c r="GS238" t="e">
        <f>Europe!B77+"$F;@!.e;"</f>
        <v>#VALUE!</v>
      </c>
      <c r="GT238" t="e">
        <f>Europe!C77+"$F;@!.e&lt;"</f>
        <v>#VALUE!</v>
      </c>
      <c r="GU238" t="e">
        <f>Europe!D77+"$F;@!.e="</f>
        <v>#VALUE!</v>
      </c>
      <c r="GV238" t="e">
        <f>Europe!E77+"$F;@!.e&gt;"</f>
        <v>#VALUE!</v>
      </c>
      <c r="GW238" t="e">
        <f>Europe!F77+"$F;@!.e?"</f>
        <v>#VALUE!</v>
      </c>
      <c r="GX238" t="e">
        <f>Europe!G77+"$F;@!.e@"</f>
        <v>#VALUE!</v>
      </c>
      <c r="GY238" t="e">
        <f>Europe!H77+"$F;@!.eA"</f>
        <v>#VALUE!</v>
      </c>
      <c r="GZ238" t="e">
        <f>Europe!A78+"$F;@!.eB"</f>
        <v>#VALUE!</v>
      </c>
      <c r="HA238" t="e">
        <f>Europe!B78+"$F;@!.eC"</f>
        <v>#VALUE!</v>
      </c>
      <c r="HB238" t="e">
        <f>Europe!C78+"$F;@!.eD"</f>
        <v>#VALUE!</v>
      </c>
      <c r="HC238" t="e">
        <f>Europe!D78+"$F;@!.eE"</f>
        <v>#VALUE!</v>
      </c>
      <c r="HD238" t="e">
        <f>Europe!E78+"$F;@!.eF"</f>
        <v>#VALUE!</v>
      </c>
      <c r="HE238" t="e">
        <f>Europe!F78+"$F;@!.eG"</f>
        <v>#VALUE!</v>
      </c>
      <c r="HF238" t="e">
        <f>Europe!G78+"$F;@!.eH"</f>
        <v>#VALUE!</v>
      </c>
      <c r="HG238" t="e">
        <f>Europe!H78+"$F;@!.eI"</f>
        <v>#VALUE!</v>
      </c>
      <c r="HH238" t="e">
        <f>Europe!A79+"$F;@!.eJ"</f>
        <v>#VALUE!</v>
      </c>
      <c r="HI238" t="e">
        <f>Europe!B79+"$F;@!.eK"</f>
        <v>#VALUE!</v>
      </c>
      <c r="HJ238" t="e">
        <f>Europe!C79+"$F;@!.eL"</f>
        <v>#VALUE!</v>
      </c>
      <c r="HK238" t="e">
        <f>Europe!D79+"$F;@!.eM"</f>
        <v>#VALUE!</v>
      </c>
      <c r="HL238" t="e">
        <f>Europe!E79+"$F;@!.eN"</f>
        <v>#VALUE!</v>
      </c>
      <c r="HM238" t="e">
        <f>Europe!F79+"$F;@!.eO"</f>
        <v>#VALUE!</v>
      </c>
      <c r="HN238" t="e">
        <f>Europe!G79+"$F;@!.eP"</f>
        <v>#VALUE!</v>
      </c>
      <c r="HO238" t="e">
        <f>Europe!H79+"$F;@!.eQ"</f>
        <v>#VALUE!</v>
      </c>
      <c r="HP238" t="e">
        <f>Europe!A80+"$F;@!.eR"</f>
        <v>#VALUE!</v>
      </c>
      <c r="HQ238" t="e">
        <f>Europe!B80+"$F;@!.eS"</f>
        <v>#VALUE!</v>
      </c>
      <c r="HR238" t="e">
        <f>Europe!C80+"$F;@!.eT"</f>
        <v>#VALUE!</v>
      </c>
      <c r="HS238" t="e">
        <f>Europe!D80+"$F;@!.eU"</f>
        <v>#VALUE!</v>
      </c>
      <c r="HT238" t="e">
        <f>Europe!E80+"$F;@!.eV"</f>
        <v>#VALUE!</v>
      </c>
      <c r="HU238" t="e">
        <f>Europe!F80+"$F;@!.eW"</f>
        <v>#VALUE!</v>
      </c>
      <c r="HV238" t="e">
        <f>Europe!G80+"$F;@!.eX"</f>
        <v>#VALUE!</v>
      </c>
      <c r="HW238" t="e">
        <f>Europe!H80+"$F;@!.eY"</f>
        <v>#VALUE!</v>
      </c>
      <c r="HX238" t="e">
        <f>Europe!A81+"$F;@!.eZ"</f>
        <v>#VALUE!</v>
      </c>
      <c r="HY238" t="e">
        <f>Europe!B81+"$F;@!.e["</f>
        <v>#VALUE!</v>
      </c>
      <c r="HZ238" t="e">
        <f>Europe!C81+"$F;@!.e\"</f>
        <v>#VALUE!</v>
      </c>
      <c r="IA238" t="e">
        <f>Europe!D81+"$F;@!.e]"</f>
        <v>#VALUE!</v>
      </c>
      <c r="IB238" t="e">
        <f>Europe!E81+"$F;@!.e^"</f>
        <v>#VALUE!</v>
      </c>
      <c r="IC238" t="e">
        <f>Europe!F81+"$F;@!.e_"</f>
        <v>#VALUE!</v>
      </c>
      <c r="ID238" t="e">
        <f>Europe!G81+"$F;@!.e`"</f>
        <v>#VALUE!</v>
      </c>
      <c r="IE238" t="e">
        <f>Europe!H81+"$F;@!.ea"</f>
        <v>#VALUE!</v>
      </c>
      <c r="IF238" t="e">
        <f>Europe!A82+"$F;@!.eb"</f>
        <v>#VALUE!</v>
      </c>
      <c r="IG238" t="e">
        <f>Europe!B82+"$F;@!.ec"</f>
        <v>#VALUE!</v>
      </c>
      <c r="IH238" t="e">
        <f>Europe!C82+"$F;@!.ed"</f>
        <v>#VALUE!</v>
      </c>
      <c r="II238" t="e">
        <f>Europe!D82+"$F;@!.ee"</f>
        <v>#VALUE!</v>
      </c>
      <c r="IJ238" t="e">
        <f>Europe!E82+"$F;@!.ef"</f>
        <v>#VALUE!</v>
      </c>
      <c r="IK238" t="e">
        <f>Europe!F82+"$F;@!.eg"</f>
        <v>#VALUE!</v>
      </c>
      <c r="IL238" t="e">
        <f>Europe!G82+"$F;@!.eh"</f>
        <v>#VALUE!</v>
      </c>
      <c r="IM238" t="e">
        <f>Europe!H82+"$F;@!.ei"</f>
        <v>#VALUE!</v>
      </c>
      <c r="IN238" t="e">
        <f>Europe!A83+"$F;@!.ej"</f>
        <v>#VALUE!</v>
      </c>
      <c r="IO238" t="e">
        <f>Europe!B83+"$F;@!.ek"</f>
        <v>#VALUE!</v>
      </c>
      <c r="IP238" t="e">
        <f>Europe!C83+"$F;@!.el"</f>
        <v>#VALUE!</v>
      </c>
      <c r="IQ238" t="e">
        <f>Europe!D83+"$F;@!.em"</f>
        <v>#VALUE!</v>
      </c>
      <c r="IR238" t="e">
        <f>Europe!E83+"$F;@!.en"</f>
        <v>#VALUE!</v>
      </c>
      <c r="IS238" t="e">
        <f>Europe!F83+"$F;@!.eo"</f>
        <v>#VALUE!</v>
      </c>
      <c r="IT238" t="e">
        <f>Europe!G83+"$F;@!.ep"</f>
        <v>#VALUE!</v>
      </c>
      <c r="IU238" t="e">
        <f>Europe!H83+"$F;@!.eq"</f>
        <v>#VALUE!</v>
      </c>
      <c r="IV238" t="e">
        <f>Europe!A84+"$F;@!.er"</f>
        <v>#VALUE!</v>
      </c>
    </row>
    <row r="239" spans="6:256" x14ac:dyDescent="0.35">
      <c r="F239" t="e">
        <f>Europe!B84+"$F;@!.es"</f>
        <v>#VALUE!</v>
      </c>
      <c r="G239" t="e">
        <f>Europe!C84+"$F;@!.et"</f>
        <v>#VALUE!</v>
      </c>
      <c r="H239" t="e">
        <f>Europe!D84+"$F;@!.eu"</f>
        <v>#VALUE!</v>
      </c>
      <c r="I239" t="e">
        <f>Europe!E84+"$F;@!.ev"</f>
        <v>#VALUE!</v>
      </c>
      <c r="J239" t="e">
        <f>Europe!F84+"$F;@!.ew"</f>
        <v>#VALUE!</v>
      </c>
      <c r="K239" t="e">
        <f>Europe!G84+"$F;@!.ex"</f>
        <v>#VALUE!</v>
      </c>
      <c r="L239" t="e">
        <f>Europe!H84+"$F;@!.ey"</f>
        <v>#VALUE!</v>
      </c>
      <c r="M239" t="e">
        <f>Europe!A85+"$F;@!.ez"</f>
        <v>#VALUE!</v>
      </c>
      <c r="N239" t="e">
        <f>Europe!B85+"$F;@!.e{"</f>
        <v>#VALUE!</v>
      </c>
      <c r="O239" t="e">
        <f>Europe!C85+"$F;@!.e|"</f>
        <v>#VALUE!</v>
      </c>
      <c r="P239" t="e">
        <f>Europe!D85+"$F;@!.e}"</f>
        <v>#VALUE!</v>
      </c>
      <c r="Q239" t="e">
        <f>Europe!E85+"$F;@!.e~"</f>
        <v>#VALUE!</v>
      </c>
      <c r="R239" t="e">
        <f>Europe!F85+"$F;@!.f#"</f>
        <v>#VALUE!</v>
      </c>
      <c r="S239" t="e">
        <f>Europe!G85+"$F;@!.f$"</f>
        <v>#VALUE!</v>
      </c>
      <c r="T239" t="e">
        <f>Europe!H85+"$F;@!.f%"</f>
        <v>#VALUE!</v>
      </c>
      <c r="U239" t="e">
        <f>Europe!A86+"$F;@!.f&amp;"</f>
        <v>#VALUE!</v>
      </c>
      <c r="V239" t="e">
        <f>Europe!B86+"$F;@!.f'"</f>
        <v>#VALUE!</v>
      </c>
      <c r="W239" t="e">
        <f>Europe!C86+"$F;@!.f("</f>
        <v>#VALUE!</v>
      </c>
      <c r="X239" t="e">
        <f>Europe!D86+"$F;@!.f)"</f>
        <v>#VALUE!</v>
      </c>
      <c r="Y239" t="e">
        <f>Europe!E86+"$F;@!.f."</f>
        <v>#VALUE!</v>
      </c>
      <c r="Z239" t="e">
        <f>Europe!F86+"$F;@!.f/"</f>
        <v>#VALUE!</v>
      </c>
      <c r="AA239" t="e">
        <f>Europe!G86+"$F;@!.f0"</f>
        <v>#VALUE!</v>
      </c>
      <c r="AB239" t="e">
        <f>Europe!H86+"$F;@!.f1"</f>
        <v>#VALUE!</v>
      </c>
      <c r="AC239" t="e">
        <f>Europe!A87+"$F;@!.f2"</f>
        <v>#VALUE!</v>
      </c>
      <c r="AD239" t="e">
        <f>Europe!B87+"$F;@!.f3"</f>
        <v>#VALUE!</v>
      </c>
      <c r="AE239" t="e">
        <f>Europe!C87+"$F;@!.f4"</f>
        <v>#VALUE!</v>
      </c>
      <c r="AF239" t="e">
        <f>Europe!D87+"$F;@!.f5"</f>
        <v>#VALUE!</v>
      </c>
      <c r="AG239" t="e">
        <f>Europe!E87+"$F;@!.f6"</f>
        <v>#VALUE!</v>
      </c>
      <c r="AH239" t="e">
        <f>Europe!F87+"$F;@!.f7"</f>
        <v>#VALUE!</v>
      </c>
      <c r="AI239" t="e">
        <f>Europe!G87+"$F;@!.f8"</f>
        <v>#VALUE!</v>
      </c>
      <c r="AJ239" t="e">
        <f>Europe!H87+"$F;@!.f9"</f>
        <v>#VALUE!</v>
      </c>
      <c r="AK239" t="e">
        <f>Europe!A88+"$F;@!.f:"</f>
        <v>#VALUE!</v>
      </c>
      <c r="AL239" t="e">
        <f>Europe!B88+"$F;@!.f;"</f>
        <v>#VALUE!</v>
      </c>
      <c r="AM239" t="e">
        <f>Europe!C88+"$F;@!.f&lt;"</f>
        <v>#VALUE!</v>
      </c>
      <c r="AN239" t="e">
        <f>Europe!D88+"$F;@!.f="</f>
        <v>#VALUE!</v>
      </c>
      <c r="AO239" t="e">
        <f>Europe!E88+"$F;@!.f&gt;"</f>
        <v>#VALUE!</v>
      </c>
      <c r="AP239" t="e">
        <f>Europe!F88+"$F;@!.f?"</f>
        <v>#VALUE!</v>
      </c>
      <c r="AQ239" t="e">
        <f>Europe!G88+"$F;@!.f@"</f>
        <v>#VALUE!</v>
      </c>
      <c r="AR239" t="e">
        <f>Europe!H88+"$F;@!.fA"</f>
        <v>#VALUE!</v>
      </c>
      <c r="AS239" t="e">
        <f>Europe!A89+"$F;@!.fB"</f>
        <v>#VALUE!</v>
      </c>
      <c r="AT239" t="e">
        <f>Europe!B89+"$F;@!.fC"</f>
        <v>#VALUE!</v>
      </c>
      <c r="AU239" t="e">
        <f>Europe!C89+"$F;@!.fD"</f>
        <v>#VALUE!</v>
      </c>
      <c r="AV239" t="e">
        <f>Europe!D89+"$F;@!.fE"</f>
        <v>#VALUE!</v>
      </c>
      <c r="AW239" t="e">
        <f>Europe!E89+"$F;@!.fF"</f>
        <v>#VALUE!</v>
      </c>
      <c r="AX239" t="e">
        <f>Europe!F89+"$F;@!.fG"</f>
        <v>#VALUE!</v>
      </c>
      <c r="AY239" t="e">
        <f>Europe!G89+"$F;@!.fH"</f>
        <v>#VALUE!</v>
      </c>
      <c r="AZ239" t="e">
        <f>Europe!H89+"$F;@!.fI"</f>
        <v>#VALUE!</v>
      </c>
      <c r="BA239" t="e">
        <f>Europe!A90+"$F;@!.fJ"</f>
        <v>#VALUE!</v>
      </c>
      <c r="BB239" t="e">
        <f>Europe!B90+"$F;@!.fK"</f>
        <v>#VALUE!</v>
      </c>
      <c r="BC239" t="e">
        <f>Europe!C90+"$F;@!.fL"</f>
        <v>#VALUE!</v>
      </c>
      <c r="BD239" t="e">
        <f>Europe!D90+"$F;@!.fM"</f>
        <v>#VALUE!</v>
      </c>
      <c r="BE239" t="e">
        <f>Europe!E90+"$F;@!.fN"</f>
        <v>#VALUE!</v>
      </c>
      <c r="BF239" t="e">
        <f>Europe!F90+"$F;@!.fO"</f>
        <v>#VALUE!</v>
      </c>
      <c r="BG239" t="e">
        <f>Europe!G90+"$F;@!.fP"</f>
        <v>#VALUE!</v>
      </c>
      <c r="BH239" t="e">
        <f>Europe!H90+"$F;@!.fQ"</f>
        <v>#VALUE!</v>
      </c>
      <c r="BI239" t="e">
        <f>Europe!A91+"$F;@!.fR"</f>
        <v>#VALUE!</v>
      </c>
      <c r="BJ239" t="e">
        <f>Europe!B91+"$F;@!.fS"</f>
        <v>#VALUE!</v>
      </c>
      <c r="BK239" t="e">
        <f>Europe!C91+"$F;@!.fT"</f>
        <v>#VALUE!</v>
      </c>
      <c r="BL239" t="e">
        <f>Europe!D91+"$F;@!.fU"</f>
        <v>#VALUE!</v>
      </c>
      <c r="BM239" t="e">
        <f>Europe!E91+"$F;@!.fV"</f>
        <v>#VALUE!</v>
      </c>
      <c r="BN239" t="e">
        <f>Europe!F91+"$F;@!.fW"</f>
        <v>#VALUE!</v>
      </c>
      <c r="BO239" t="e">
        <f>Europe!G91+"$F;@!.fX"</f>
        <v>#VALUE!</v>
      </c>
      <c r="BP239" t="e">
        <f>Europe!H91+"$F;@!.fY"</f>
        <v>#VALUE!</v>
      </c>
      <c r="BQ239" t="e">
        <f>Europe!A92+"$F;@!.fZ"</f>
        <v>#VALUE!</v>
      </c>
      <c r="BR239" t="e">
        <f>Europe!B92+"$F;@!.f["</f>
        <v>#VALUE!</v>
      </c>
      <c r="BS239" t="e">
        <f>Europe!C92+"$F;@!.f\"</f>
        <v>#VALUE!</v>
      </c>
      <c r="BT239" t="e">
        <f>Europe!D92+"$F;@!.f]"</f>
        <v>#VALUE!</v>
      </c>
      <c r="BU239" t="e">
        <f>Europe!E92+"$F;@!.f^"</f>
        <v>#VALUE!</v>
      </c>
      <c r="BV239" t="e">
        <f>Europe!F92+"$F;@!.f_"</f>
        <v>#VALUE!</v>
      </c>
      <c r="BW239" t="e">
        <f>Europe!G92+"$F;@!.f`"</f>
        <v>#VALUE!</v>
      </c>
      <c r="BX239" t="e">
        <f>Europe!H92+"$F;@!.fa"</f>
        <v>#VALUE!</v>
      </c>
      <c r="BY239" t="e">
        <f>Europe!A93+"$F;@!.fb"</f>
        <v>#VALUE!</v>
      </c>
      <c r="BZ239" t="e">
        <f>Europe!B93+"$F;@!.fc"</f>
        <v>#VALUE!</v>
      </c>
      <c r="CA239" t="e">
        <f>Europe!C93+"$F;@!.fd"</f>
        <v>#VALUE!</v>
      </c>
      <c r="CB239" t="e">
        <f>Europe!D93+"$F;@!.fe"</f>
        <v>#VALUE!</v>
      </c>
      <c r="CC239" t="e">
        <f>Europe!E93+"$F;@!.ff"</f>
        <v>#VALUE!</v>
      </c>
      <c r="CD239" t="e">
        <f>Europe!F93+"$F;@!.fg"</f>
        <v>#VALUE!</v>
      </c>
      <c r="CE239" t="e">
        <f>Europe!G93+"$F;@!.fh"</f>
        <v>#VALUE!</v>
      </c>
      <c r="CF239" t="e">
        <f>Europe!H93+"$F;@!.fi"</f>
        <v>#VALUE!</v>
      </c>
      <c r="CG239" t="e">
        <f>Europe!A94+"$F;@!.fj"</f>
        <v>#VALUE!</v>
      </c>
      <c r="CH239" t="e">
        <f>Europe!B94+"$F;@!.fk"</f>
        <v>#VALUE!</v>
      </c>
      <c r="CI239" t="e">
        <f>Europe!C94+"$F;@!.fl"</f>
        <v>#VALUE!</v>
      </c>
      <c r="CJ239" t="e">
        <f>Europe!D94+"$F;@!.fm"</f>
        <v>#VALUE!</v>
      </c>
      <c r="CK239" t="e">
        <f>Europe!E94+"$F;@!.fn"</f>
        <v>#VALUE!</v>
      </c>
      <c r="CL239" t="e">
        <f>Europe!F94+"$F;@!.fo"</f>
        <v>#VALUE!</v>
      </c>
      <c r="CM239" t="e">
        <f>Europe!G94+"$F;@!.fp"</f>
        <v>#VALUE!</v>
      </c>
      <c r="CN239" t="e">
        <f>Europe!H94+"$F;@!.fq"</f>
        <v>#VALUE!</v>
      </c>
      <c r="CO239" t="e">
        <f>Europe!A95+"$F;@!.fr"</f>
        <v>#VALUE!</v>
      </c>
      <c r="CP239" t="e">
        <f>Europe!B95+"$F;@!.fs"</f>
        <v>#VALUE!</v>
      </c>
      <c r="CQ239" t="e">
        <f>Europe!C95+"$F;@!.ft"</f>
        <v>#VALUE!</v>
      </c>
      <c r="CR239" t="e">
        <f>Europe!D95+"$F;@!.fu"</f>
        <v>#VALUE!</v>
      </c>
      <c r="CS239" t="e">
        <f>Europe!E95+"$F;@!.fv"</f>
        <v>#VALUE!</v>
      </c>
      <c r="CT239" t="e">
        <f>Europe!F95+"$F;@!.fw"</f>
        <v>#VALUE!</v>
      </c>
      <c r="CU239" t="e">
        <f>Europe!G95+"$F;@!.fx"</f>
        <v>#VALUE!</v>
      </c>
      <c r="CV239" t="e">
        <f>Europe!H95+"$F;@!.fy"</f>
        <v>#VALUE!</v>
      </c>
      <c r="CW239" t="e">
        <f>Europe!A96+"$F;@!.fz"</f>
        <v>#VALUE!</v>
      </c>
      <c r="CX239" t="e">
        <f>Europe!B96+"$F;@!.f{"</f>
        <v>#VALUE!</v>
      </c>
      <c r="CY239" t="e">
        <f>Europe!C96+"$F;@!.f|"</f>
        <v>#VALUE!</v>
      </c>
      <c r="CZ239" t="e">
        <f>Europe!D96+"$F;@!.f}"</f>
        <v>#VALUE!</v>
      </c>
      <c r="DA239" t="e">
        <f>Europe!E96+"$F;@!.f~"</f>
        <v>#VALUE!</v>
      </c>
      <c r="DB239" t="e">
        <f>Europe!F96+"$F;@!.g#"</f>
        <v>#VALUE!</v>
      </c>
      <c r="DC239" t="e">
        <f>Europe!G96+"$F;@!.g$"</f>
        <v>#VALUE!</v>
      </c>
      <c r="DD239" t="e">
        <f>Europe!H96+"$F;@!.g%"</f>
        <v>#VALUE!</v>
      </c>
      <c r="DE239" t="e">
        <f>Europe!A97+"$F;@!.g&amp;"</f>
        <v>#VALUE!</v>
      </c>
      <c r="DF239" t="e">
        <f>Europe!B97+"$F;@!.g'"</f>
        <v>#VALUE!</v>
      </c>
      <c r="DG239" t="e">
        <f>Europe!C97+"$F;@!.g("</f>
        <v>#VALUE!</v>
      </c>
      <c r="DH239" t="e">
        <f>Europe!D97+"$F;@!.g)"</f>
        <v>#VALUE!</v>
      </c>
      <c r="DI239" t="e">
        <f>Europe!E97+"$F;@!.g."</f>
        <v>#VALUE!</v>
      </c>
      <c r="DJ239" t="e">
        <f>Europe!F97+"$F;@!.g/"</f>
        <v>#VALUE!</v>
      </c>
      <c r="DK239" t="e">
        <f>Europe!G97+"$F;@!.g0"</f>
        <v>#VALUE!</v>
      </c>
      <c r="DL239" t="e">
        <f>Europe!H97+"$F;@!.g1"</f>
        <v>#VALUE!</v>
      </c>
      <c r="DM239" t="e">
        <f>Europe!A98+"$F;@!.g2"</f>
        <v>#VALUE!</v>
      </c>
      <c r="DN239" t="e">
        <f>Europe!B98+"$F;@!.g3"</f>
        <v>#VALUE!</v>
      </c>
      <c r="DO239" t="e">
        <f>Europe!C98+"$F;@!.g4"</f>
        <v>#VALUE!</v>
      </c>
      <c r="DP239" t="e">
        <f>Europe!D98+"$F;@!.g5"</f>
        <v>#VALUE!</v>
      </c>
      <c r="DQ239" t="e">
        <f>Europe!E98+"$F;@!.g6"</f>
        <v>#VALUE!</v>
      </c>
      <c r="DR239" t="e">
        <f>Europe!F98+"$F;@!.g7"</f>
        <v>#VALUE!</v>
      </c>
      <c r="DS239" t="e">
        <f>Europe!G98+"$F;@!.g8"</f>
        <v>#VALUE!</v>
      </c>
      <c r="DT239" t="e">
        <f>Europe!H98+"$F;@!.g9"</f>
        <v>#VALUE!</v>
      </c>
      <c r="DU239" t="e">
        <f>Europe!A99+"$F;@!.g:"</f>
        <v>#VALUE!</v>
      </c>
      <c r="DV239" t="e">
        <f>Europe!B99+"$F;@!.g;"</f>
        <v>#VALUE!</v>
      </c>
      <c r="DW239" t="e">
        <f>Europe!C99+"$F;@!.g&lt;"</f>
        <v>#VALUE!</v>
      </c>
      <c r="DX239" t="e">
        <f>Europe!D99+"$F;@!.g="</f>
        <v>#VALUE!</v>
      </c>
      <c r="DY239" t="e">
        <f>Europe!E99+"$F;@!.g&gt;"</f>
        <v>#VALUE!</v>
      </c>
      <c r="DZ239" t="e">
        <f>Europe!F99+"$F;@!.g?"</f>
        <v>#VALUE!</v>
      </c>
      <c r="EA239" t="e">
        <f>Europe!G99+"$F;@!.g@"</f>
        <v>#VALUE!</v>
      </c>
      <c r="EB239" t="e">
        <f>Europe!H99+"$F;@!.gA"</f>
        <v>#VALUE!</v>
      </c>
      <c r="EC239" t="e">
        <f>Europe!A100+"$F;@!.gB"</f>
        <v>#VALUE!</v>
      </c>
      <c r="ED239" t="e">
        <f>Europe!B100+"$F;@!.gC"</f>
        <v>#VALUE!</v>
      </c>
      <c r="EE239" t="e">
        <f>Europe!C100+"$F;@!.gD"</f>
        <v>#VALUE!</v>
      </c>
      <c r="EF239" t="e">
        <f>Europe!D100+"$F;@!.gE"</f>
        <v>#VALUE!</v>
      </c>
      <c r="EG239" t="e">
        <f>Europe!E100+"$F;@!.gF"</f>
        <v>#VALUE!</v>
      </c>
      <c r="EH239" t="e">
        <f>Europe!F100+"$F;@!.gG"</f>
        <v>#VALUE!</v>
      </c>
      <c r="EI239" t="e">
        <f>Europe!G100+"$F;@!.gH"</f>
        <v>#VALUE!</v>
      </c>
      <c r="EJ239" t="e">
        <f>Europe!H100+"$F;@!.gI"</f>
        <v>#VALUE!</v>
      </c>
      <c r="EK239" t="e">
        <f>Europe!A101+"$F;@!.gJ"</f>
        <v>#VALUE!</v>
      </c>
      <c r="EL239" t="e">
        <f>Europe!B101+"$F;@!.gK"</f>
        <v>#VALUE!</v>
      </c>
      <c r="EM239" t="e">
        <f>Europe!C101+"$F;@!.gL"</f>
        <v>#VALUE!</v>
      </c>
      <c r="EN239" t="e">
        <f>Europe!D101+"$F;@!.gM"</f>
        <v>#VALUE!</v>
      </c>
      <c r="EO239" t="e">
        <f>Europe!E101+"$F;@!.gN"</f>
        <v>#VALUE!</v>
      </c>
      <c r="EP239" t="e">
        <f>Europe!F101+"$F;@!.gO"</f>
        <v>#VALUE!</v>
      </c>
      <c r="EQ239" t="e">
        <f>Europe!G101+"$F;@!.gP"</f>
        <v>#VALUE!</v>
      </c>
      <c r="ER239" t="e">
        <f>Europe!H101+"$F;@!.gQ"</f>
        <v>#VALUE!</v>
      </c>
      <c r="ES239" t="e">
        <f>Europe!A102+"$F;@!.gR"</f>
        <v>#VALUE!</v>
      </c>
      <c r="ET239" t="e">
        <f>Europe!B102+"$F;@!.gS"</f>
        <v>#VALUE!</v>
      </c>
      <c r="EU239" t="e">
        <f>Europe!C102+"$F;@!.gT"</f>
        <v>#VALUE!</v>
      </c>
      <c r="EV239" t="e">
        <f>Europe!D102+"$F;@!.gU"</f>
        <v>#VALUE!</v>
      </c>
      <c r="EW239" t="e">
        <f>Europe!E102+"$F;@!.gV"</f>
        <v>#VALUE!</v>
      </c>
      <c r="EX239" t="e">
        <f>Europe!F102+"$F;@!.gW"</f>
        <v>#VALUE!</v>
      </c>
      <c r="EY239" t="e">
        <f>Europe!G102+"$F;@!.gX"</f>
        <v>#VALUE!</v>
      </c>
      <c r="EZ239" t="e">
        <f>Europe!H102+"$F;@!.gY"</f>
        <v>#VALUE!</v>
      </c>
      <c r="FA239" t="e">
        <f>Europe!A103+"$F;@!.gZ"</f>
        <v>#VALUE!</v>
      </c>
      <c r="FB239" t="e">
        <f>Europe!B103+"$F;@!.g["</f>
        <v>#VALUE!</v>
      </c>
      <c r="FC239" t="e">
        <f>Europe!C103+"$F;@!.g\"</f>
        <v>#VALUE!</v>
      </c>
      <c r="FD239" t="e">
        <f>Europe!D103+"$F;@!.g]"</f>
        <v>#VALUE!</v>
      </c>
      <c r="FE239" t="e">
        <f>Europe!E103+"$F;@!.g^"</f>
        <v>#VALUE!</v>
      </c>
      <c r="FF239" t="e">
        <f>Europe!F103+"$F;@!.g_"</f>
        <v>#VALUE!</v>
      </c>
      <c r="FG239" t="e">
        <f>Europe!G103+"$F;@!.g`"</f>
        <v>#VALUE!</v>
      </c>
      <c r="FH239" t="e">
        <f>Europe!H103+"$F;@!.ga"</f>
        <v>#VALUE!</v>
      </c>
      <c r="FI239" t="e">
        <f>Europe!A104+"$F;@!.gb"</f>
        <v>#VALUE!</v>
      </c>
      <c r="FJ239" t="e">
        <f>Europe!B104+"$F;@!.gc"</f>
        <v>#VALUE!</v>
      </c>
      <c r="FK239" t="e">
        <f>Europe!C104+"$F;@!.gd"</f>
        <v>#VALUE!</v>
      </c>
      <c r="FL239" t="e">
        <f>Europe!D104+"$F;@!.ge"</f>
        <v>#VALUE!</v>
      </c>
      <c r="FM239" t="e">
        <f>Europe!E104+"$F;@!.gf"</f>
        <v>#VALUE!</v>
      </c>
      <c r="FN239" t="e">
        <f>Europe!F104+"$F;@!.gg"</f>
        <v>#VALUE!</v>
      </c>
      <c r="FO239" t="e">
        <f>Europe!G104+"$F;@!.gh"</f>
        <v>#VALUE!</v>
      </c>
      <c r="FP239" t="e">
        <f>Europe!H104+"$F;@!.gi"</f>
        <v>#VALUE!</v>
      </c>
      <c r="FQ239" t="e">
        <f>Europe!A105+"$F;@!.gj"</f>
        <v>#VALUE!</v>
      </c>
      <c r="FR239" t="e">
        <f>Europe!B105+"$F;@!.gk"</f>
        <v>#VALUE!</v>
      </c>
      <c r="FS239" t="e">
        <f>Europe!C105+"$F;@!.gl"</f>
        <v>#VALUE!</v>
      </c>
      <c r="FT239" t="e">
        <f>Europe!D105+"$F;@!.gm"</f>
        <v>#VALUE!</v>
      </c>
      <c r="FU239" t="e">
        <f>Europe!E105+"$F;@!.gn"</f>
        <v>#VALUE!</v>
      </c>
      <c r="FV239" t="e">
        <f>Europe!F105+"$F;@!.go"</f>
        <v>#VALUE!</v>
      </c>
      <c r="FW239" t="e">
        <f>Europe!G105+"$F;@!.gp"</f>
        <v>#VALUE!</v>
      </c>
      <c r="FX239" t="e">
        <f>Europe!H105+"$F;@!.gq"</f>
        <v>#VALUE!</v>
      </c>
      <c r="FY239" t="e">
        <f>Europe!A106+"$F;@!.gr"</f>
        <v>#VALUE!</v>
      </c>
      <c r="FZ239" t="e">
        <f>Europe!B106+"$F;@!.gs"</f>
        <v>#VALUE!</v>
      </c>
      <c r="GA239" t="e">
        <f>Europe!C106+"$F;@!.gt"</f>
        <v>#VALUE!</v>
      </c>
      <c r="GB239" t="e">
        <f>Europe!D106+"$F;@!.gu"</f>
        <v>#VALUE!</v>
      </c>
      <c r="GC239" t="e">
        <f>Europe!E106+"$F;@!.gv"</f>
        <v>#VALUE!</v>
      </c>
      <c r="GD239" t="e">
        <f>Europe!F106+"$F;@!.gw"</f>
        <v>#VALUE!</v>
      </c>
      <c r="GE239" t="e">
        <f>Europe!G106+"$F;@!.gx"</f>
        <v>#VALUE!</v>
      </c>
      <c r="GF239" t="e">
        <f>Europe!H106+"$F;@!.gy"</f>
        <v>#VALUE!</v>
      </c>
      <c r="GG239" t="e">
        <f>Europe!A107+"$F;@!.gz"</f>
        <v>#VALUE!</v>
      </c>
      <c r="GH239" t="e">
        <f>Europe!B107+"$F;@!.g{"</f>
        <v>#VALUE!</v>
      </c>
      <c r="GI239" t="e">
        <f>Europe!C107+"$F;@!.g|"</f>
        <v>#VALUE!</v>
      </c>
      <c r="GJ239" t="e">
        <f>Europe!D107+"$F;@!.g}"</f>
        <v>#VALUE!</v>
      </c>
      <c r="GK239" t="e">
        <f>Europe!E107+"$F;@!.g~"</f>
        <v>#VALUE!</v>
      </c>
      <c r="GL239" t="e">
        <f>Europe!F107+"$F;@!.h#"</f>
        <v>#VALUE!</v>
      </c>
      <c r="GM239" t="e">
        <f>Europe!G107+"$F;@!.h$"</f>
        <v>#VALUE!</v>
      </c>
      <c r="GN239" t="e">
        <f>Europe!H107+"$F;@!.h%"</f>
        <v>#VALUE!</v>
      </c>
      <c r="GO239" t="e">
        <f>Europe!A108+"$F;@!.h&amp;"</f>
        <v>#VALUE!</v>
      </c>
      <c r="GP239" t="e">
        <f>Europe!B108+"$F;@!.h'"</f>
        <v>#VALUE!</v>
      </c>
      <c r="GQ239" t="e">
        <f>Europe!C108+"$F;@!.h("</f>
        <v>#VALUE!</v>
      </c>
      <c r="GR239" t="e">
        <f>Europe!D108+"$F;@!.h)"</f>
        <v>#VALUE!</v>
      </c>
      <c r="GS239" t="e">
        <f>Europe!E108+"$F;@!.h."</f>
        <v>#VALUE!</v>
      </c>
      <c r="GT239" t="e">
        <f>Europe!F108+"$F;@!.h/"</f>
        <v>#VALUE!</v>
      </c>
      <c r="GU239" t="e">
        <f>Europe!G108+"$F;@!.h0"</f>
        <v>#VALUE!</v>
      </c>
      <c r="GV239" t="e">
        <f>Europe!H108+"$F;@!.h1"</f>
        <v>#VALUE!</v>
      </c>
      <c r="GW239" t="e">
        <f>Europe!A109+"$F;@!.h2"</f>
        <v>#VALUE!</v>
      </c>
      <c r="GX239" t="e">
        <f>Europe!B109+"$F;@!.h3"</f>
        <v>#VALUE!</v>
      </c>
      <c r="GY239" t="e">
        <f>Europe!C109+"$F;@!.h4"</f>
        <v>#VALUE!</v>
      </c>
      <c r="GZ239" t="e">
        <f>Europe!D109+"$F;@!.h5"</f>
        <v>#VALUE!</v>
      </c>
      <c r="HA239" t="e">
        <f>Europe!E109+"$F;@!.h6"</f>
        <v>#VALUE!</v>
      </c>
      <c r="HB239" t="e">
        <f>Europe!F109+"$F;@!.h7"</f>
        <v>#VALUE!</v>
      </c>
      <c r="HC239" t="e">
        <f>Europe!G109+"$F;@!.h8"</f>
        <v>#VALUE!</v>
      </c>
      <c r="HD239" t="e">
        <f>Europe!H109+"$F;@!.h9"</f>
        <v>#VALUE!</v>
      </c>
      <c r="HE239" t="e">
        <f>Europe!A110+"$F;@!.h:"</f>
        <v>#VALUE!</v>
      </c>
      <c r="HF239" t="e">
        <f>Europe!B110+"$F;@!.h;"</f>
        <v>#VALUE!</v>
      </c>
      <c r="HG239" t="e">
        <f>Europe!C110+"$F;@!.h&lt;"</f>
        <v>#VALUE!</v>
      </c>
      <c r="HH239" t="e">
        <f>Europe!D110+"$F;@!.h="</f>
        <v>#VALUE!</v>
      </c>
      <c r="HI239" t="e">
        <f>Europe!E110+"$F;@!.h&gt;"</f>
        <v>#VALUE!</v>
      </c>
      <c r="HJ239" t="e">
        <f>Europe!F110+"$F;@!.h?"</f>
        <v>#VALUE!</v>
      </c>
      <c r="HK239" t="e">
        <f>Europe!G110+"$F;@!.h@"</f>
        <v>#VALUE!</v>
      </c>
      <c r="HL239" t="e">
        <f>Europe!H110+"$F;@!.hA"</f>
        <v>#VALUE!</v>
      </c>
      <c r="HM239" t="e">
        <f>Europe!A111+"$F;@!.hB"</f>
        <v>#VALUE!</v>
      </c>
      <c r="HN239" t="e">
        <f>Europe!B111+"$F;@!.hC"</f>
        <v>#VALUE!</v>
      </c>
      <c r="HO239" t="e">
        <f>Europe!C111+"$F;@!.hD"</f>
        <v>#VALUE!</v>
      </c>
      <c r="HP239" t="e">
        <f>Europe!D111+"$F;@!.hE"</f>
        <v>#VALUE!</v>
      </c>
      <c r="HQ239" t="e">
        <f>Europe!E111+"$F;@!.hF"</f>
        <v>#VALUE!</v>
      </c>
      <c r="HR239" t="e">
        <f>Europe!F111+"$F;@!.hG"</f>
        <v>#VALUE!</v>
      </c>
      <c r="HS239" t="e">
        <f>Europe!G111+"$F;@!.hH"</f>
        <v>#VALUE!</v>
      </c>
      <c r="HT239" t="e">
        <f>Europe!H111+"$F;@!.hI"</f>
        <v>#VALUE!</v>
      </c>
      <c r="HU239" t="e">
        <f>Europe!A112+"$F;@!.hJ"</f>
        <v>#VALUE!</v>
      </c>
      <c r="HV239" t="e">
        <f>Europe!B112+"$F;@!.hK"</f>
        <v>#VALUE!</v>
      </c>
      <c r="HW239" t="e">
        <f>Europe!C112+"$F;@!.hL"</f>
        <v>#VALUE!</v>
      </c>
      <c r="HX239" t="e">
        <f>Europe!D112+"$F;@!.hM"</f>
        <v>#VALUE!</v>
      </c>
      <c r="HY239" t="e">
        <f>Europe!E112+"$F;@!.hN"</f>
        <v>#VALUE!</v>
      </c>
      <c r="HZ239" t="e">
        <f>Europe!F112+"$F;@!.hO"</f>
        <v>#VALUE!</v>
      </c>
      <c r="IA239" t="e">
        <f>Europe!G112+"$F;@!.hP"</f>
        <v>#VALUE!</v>
      </c>
      <c r="IB239" t="e">
        <f>Europe!H112+"$F;@!.hQ"</f>
        <v>#VALUE!</v>
      </c>
      <c r="IC239" t="e">
        <f>Europe!A113+"$F;@!.hR"</f>
        <v>#VALUE!</v>
      </c>
      <c r="ID239" t="e">
        <f>Europe!B113+"$F;@!.hS"</f>
        <v>#VALUE!</v>
      </c>
      <c r="IE239" t="e">
        <f>Europe!C113+"$F;@!.hT"</f>
        <v>#VALUE!</v>
      </c>
      <c r="IF239" t="e">
        <f>Europe!D113+"$F;@!.hU"</f>
        <v>#VALUE!</v>
      </c>
      <c r="IG239" t="e">
        <f>Europe!E113+"$F;@!.hV"</f>
        <v>#VALUE!</v>
      </c>
      <c r="IH239" t="e">
        <f>Europe!F113+"$F;@!.hW"</f>
        <v>#VALUE!</v>
      </c>
      <c r="II239" t="e">
        <f>Europe!G113+"$F;@!.hX"</f>
        <v>#VALUE!</v>
      </c>
      <c r="IJ239" t="e">
        <f>Europe!H113+"$F;@!.hY"</f>
        <v>#VALUE!</v>
      </c>
      <c r="IK239" t="e">
        <f>Europe!A114+"$F;@!.hZ"</f>
        <v>#VALUE!</v>
      </c>
      <c r="IL239" t="e">
        <f>Europe!B114+"$F;@!.h["</f>
        <v>#VALUE!</v>
      </c>
      <c r="IM239" t="e">
        <f>Europe!C114+"$F;@!.h\"</f>
        <v>#VALUE!</v>
      </c>
      <c r="IN239" t="e">
        <f>Europe!D114+"$F;@!.h]"</f>
        <v>#VALUE!</v>
      </c>
      <c r="IO239" t="e">
        <f>Europe!E114+"$F;@!.h^"</f>
        <v>#VALUE!</v>
      </c>
      <c r="IP239" t="e">
        <f>Europe!F114+"$F;@!.h_"</f>
        <v>#VALUE!</v>
      </c>
      <c r="IQ239" t="e">
        <f>Europe!G114+"$F;@!.h`"</f>
        <v>#VALUE!</v>
      </c>
      <c r="IR239" t="e">
        <f>Europe!H114+"$F;@!.ha"</f>
        <v>#VALUE!</v>
      </c>
      <c r="IS239" t="e">
        <f>Europe!A115+"$F;@!.hb"</f>
        <v>#VALUE!</v>
      </c>
      <c r="IT239" t="e">
        <f>Europe!B115+"$F;@!.hc"</f>
        <v>#VALUE!</v>
      </c>
      <c r="IU239" t="e">
        <f>Europe!C115+"$F;@!.hd"</f>
        <v>#VALUE!</v>
      </c>
      <c r="IV239" t="e">
        <f>Europe!D115+"$F;@!.he"</f>
        <v>#VALUE!</v>
      </c>
    </row>
    <row r="240" spans="6:256" x14ac:dyDescent="0.35">
      <c r="F240" t="e">
        <f>Europe!E115+"$F;@!.hf"</f>
        <v>#VALUE!</v>
      </c>
      <c r="G240" t="e">
        <f>Europe!F115+"$F;@!.hg"</f>
        <v>#VALUE!</v>
      </c>
      <c r="H240" t="e">
        <f>Europe!G115+"$F;@!.hh"</f>
        <v>#VALUE!</v>
      </c>
      <c r="I240" t="e">
        <f>Europe!H115+"$F;@!.hi"</f>
        <v>#VALUE!</v>
      </c>
      <c r="J240" t="e">
        <f>Europe!A116+"$F;@!.hj"</f>
        <v>#VALUE!</v>
      </c>
      <c r="K240" t="e">
        <f>Europe!B116+"$F;@!.hk"</f>
        <v>#VALUE!</v>
      </c>
      <c r="L240" t="e">
        <f>Europe!C116+"$F;@!.hl"</f>
        <v>#VALUE!</v>
      </c>
      <c r="M240" t="e">
        <f>Europe!D116+"$F;@!.hm"</f>
        <v>#VALUE!</v>
      </c>
      <c r="N240" t="e">
        <f>Europe!E116+"$F;@!.hn"</f>
        <v>#VALUE!</v>
      </c>
      <c r="O240" t="e">
        <f>Europe!F116+"$F;@!.ho"</f>
        <v>#VALUE!</v>
      </c>
      <c r="P240" t="e">
        <f>Europe!G116+"$F;@!.hp"</f>
        <v>#VALUE!</v>
      </c>
      <c r="Q240" t="e">
        <f>Europe!H116+"$F;@!.hq"</f>
        <v>#VALUE!</v>
      </c>
      <c r="R240" t="e">
        <f>Europe!A117+"$F;@!.hr"</f>
        <v>#VALUE!</v>
      </c>
      <c r="S240" t="e">
        <f>Europe!B117+"$F;@!.hs"</f>
        <v>#VALUE!</v>
      </c>
      <c r="T240" t="e">
        <f>Europe!C117+"$F;@!.ht"</f>
        <v>#VALUE!</v>
      </c>
      <c r="U240" t="e">
        <f>Europe!D117+"$F;@!.hu"</f>
        <v>#VALUE!</v>
      </c>
      <c r="V240" t="e">
        <f>Europe!E117+"$F;@!.hv"</f>
        <v>#VALUE!</v>
      </c>
      <c r="W240" t="e">
        <f>Europe!F117+"$F;@!.hw"</f>
        <v>#VALUE!</v>
      </c>
      <c r="X240" t="e">
        <f>Europe!G117+"$F;@!.hx"</f>
        <v>#VALUE!</v>
      </c>
      <c r="Y240" t="e">
        <f>Europe!H117+"$F;@!.hy"</f>
        <v>#VALUE!</v>
      </c>
      <c r="Z240" t="e">
        <f>Europe!A118+"$F;@!.hz"</f>
        <v>#VALUE!</v>
      </c>
      <c r="AA240" t="e">
        <f>Europe!B118+"$F;@!.h{"</f>
        <v>#VALUE!</v>
      </c>
      <c r="AB240" t="e">
        <f>Europe!C118+"$F;@!.h|"</f>
        <v>#VALUE!</v>
      </c>
      <c r="AC240" t="e">
        <f>Europe!D118+"$F;@!.h}"</f>
        <v>#VALUE!</v>
      </c>
      <c r="AD240" t="e">
        <f>Europe!E118+"$F;@!.h~"</f>
        <v>#VALUE!</v>
      </c>
      <c r="AE240" t="e">
        <f>Europe!F118+"$F;@!.i#"</f>
        <v>#VALUE!</v>
      </c>
      <c r="AF240" t="e">
        <f>Europe!G118+"$F;@!.i$"</f>
        <v>#VALUE!</v>
      </c>
      <c r="AG240" t="e">
        <f>Europe!H118+"$F;@!.i%"</f>
        <v>#VALUE!</v>
      </c>
      <c r="AH240" t="e">
        <f>Europe!A119+"$F;@!.i&amp;"</f>
        <v>#VALUE!</v>
      </c>
      <c r="AI240" t="e">
        <f>Europe!B119+"$F;@!.i'"</f>
        <v>#VALUE!</v>
      </c>
      <c r="AJ240" t="e">
        <f>Europe!C119+"$F;@!.i("</f>
        <v>#VALUE!</v>
      </c>
      <c r="AK240" t="e">
        <f>Europe!D119+"$F;@!.i)"</f>
        <v>#VALUE!</v>
      </c>
      <c r="AL240" t="e">
        <f>Europe!E119+"$F;@!.i."</f>
        <v>#VALUE!</v>
      </c>
      <c r="AM240" t="e">
        <f>Europe!F119+"$F;@!.i/"</f>
        <v>#VALUE!</v>
      </c>
      <c r="AN240" t="e">
        <f>Europe!G119+"$F;@!.i0"</f>
        <v>#VALUE!</v>
      </c>
      <c r="AO240" t="e">
        <f>Europe!H119+"$F;@!.i1"</f>
        <v>#VALUE!</v>
      </c>
      <c r="AP240" t="e">
        <f>Europe!A120+"$F;@!.i2"</f>
        <v>#VALUE!</v>
      </c>
      <c r="AQ240" t="e">
        <f>Europe!B120+"$F;@!.i3"</f>
        <v>#VALUE!</v>
      </c>
      <c r="AR240" t="e">
        <f>Europe!C120+"$F;@!.i4"</f>
        <v>#VALUE!</v>
      </c>
      <c r="AS240" t="e">
        <f>Europe!D120+"$F;@!.i5"</f>
        <v>#VALUE!</v>
      </c>
      <c r="AT240" t="e">
        <f>Europe!E120+"$F;@!.i6"</f>
        <v>#VALUE!</v>
      </c>
      <c r="AU240" t="e">
        <f>Europe!F120+"$F;@!.i7"</f>
        <v>#VALUE!</v>
      </c>
      <c r="AV240" t="e">
        <f>Europe!G120+"$F;@!.i8"</f>
        <v>#VALUE!</v>
      </c>
      <c r="AW240" t="e">
        <f>Europe!H120+"$F;@!.i9"</f>
        <v>#VALUE!</v>
      </c>
      <c r="AX240" t="e">
        <f>Europe!A121+"$F;@!.i:"</f>
        <v>#VALUE!</v>
      </c>
      <c r="AY240" t="e">
        <f>Europe!B121+"$F;@!.i;"</f>
        <v>#VALUE!</v>
      </c>
      <c r="AZ240" t="e">
        <f>Europe!C121+"$F;@!.i&lt;"</f>
        <v>#VALUE!</v>
      </c>
      <c r="BA240" t="e">
        <f>Europe!D121+"$F;@!.i="</f>
        <v>#VALUE!</v>
      </c>
      <c r="BB240" t="e">
        <f>Europe!E121+"$F;@!.i&gt;"</f>
        <v>#VALUE!</v>
      </c>
      <c r="BC240" t="e">
        <f>Europe!F121+"$F;@!.i?"</f>
        <v>#VALUE!</v>
      </c>
      <c r="BD240" t="e">
        <f>Europe!G121+"$F;@!.i@"</f>
        <v>#VALUE!</v>
      </c>
      <c r="BE240" t="e">
        <f>Europe!H121+"$F;@!.iA"</f>
        <v>#VALUE!</v>
      </c>
      <c r="BF240" t="e">
        <f>Europe!A122+"$F;@!.iB"</f>
        <v>#VALUE!</v>
      </c>
      <c r="BG240" t="e">
        <f>Europe!B122+"$F;@!.iC"</f>
        <v>#VALUE!</v>
      </c>
      <c r="BH240" t="e">
        <f>Europe!C122+"$F;@!.iD"</f>
        <v>#VALUE!</v>
      </c>
      <c r="BI240" t="e">
        <f>Europe!D122+"$F;@!.iE"</f>
        <v>#VALUE!</v>
      </c>
      <c r="BJ240" t="e">
        <f>Europe!E122+"$F;@!.iF"</f>
        <v>#VALUE!</v>
      </c>
      <c r="BK240" t="e">
        <f>Europe!F122+"$F;@!.iG"</f>
        <v>#VALUE!</v>
      </c>
      <c r="BL240" t="e">
        <f>Europe!G122+"$F;@!.iH"</f>
        <v>#VALUE!</v>
      </c>
      <c r="BM240" t="e">
        <f>Europe!H122+"$F;@!.iI"</f>
        <v>#VALUE!</v>
      </c>
      <c r="BN240" t="e">
        <f>Europe!A123+"$F;@!.iJ"</f>
        <v>#VALUE!</v>
      </c>
      <c r="BO240" t="e">
        <f>Europe!B123+"$F;@!.iK"</f>
        <v>#VALUE!</v>
      </c>
      <c r="BP240" t="e">
        <f>Europe!C123+"$F;@!.iL"</f>
        <v>#VALUE!</v>
      </c>
      <c r="BQ240" t="e">
        <f>Europe!D123+"$F;@!.iM"</f>
        <v>#VALUE!</v>
      </c>
      <c r="BR240" t="e">
        <f>Europe!E123+"$F;@!.iN"</f>
        <v>#VALUE!</v>
      </c>
      <c r="BS240" t="e">
        <f>Europe!F123+"$F;@!.iO"</f>
        <v>#VALUE!</v>
      </c>
      <c r="BT240" t="e">
        <f>Europe!G123+"$F;@!.iP"</f>
        <v>#VALUE!</v>
      </c>
      <c r="BU240" t="e">
        <f>Europe!H123+"$F;@!.iQ"</f>
        <v>#VALUE!</v>
      </c>
      <c r="BV240" t="e">
        <f>Europe!A124+"$F;@!.iR"</f>
        <v>#VALUE!</v>
      </c>
      <c r="BW240" t="e">
        <f>Europe!B124+"$F;@!.iS"</f>
        <v>#VALUE!</v>
      </c>
      <c r="BX240" t="e">
        <f>Europe!C124+"$F;@!.iT"</f>
        <v>#VALUE!</v>
      </c>
      <c r="BY240" t="e">
        <f>Europe!D124+"$F;@!.iU"</f>
        <v>#VALUE!</v>
      </c>
      <c r="BZ240" t="e">
        <f>Europe!E124+"$F;@!.iV"</f>
        <v>#VALUE!</v>
      </c>
      <c r="CA240" t="e">
        <f>Europe!F124+"$F;@!.iW"</f>
        <v>#VALUE!</v>
      </c>
      <c r="CB240" t="e">
        <f>Europe!G124+"$F;@!.iX"</f>
        <v>#VALUE!</v>
      </c>
      <c r="CC240" t="e">
        <f>Europe!H124+"$F;@!.iY"</f>
        <v>#VALUE!</v>
      </c>
      <c r="CD240" t="e">
        <f>Europe!A125+"$F;@!.iZ"</f>
        <v>#VALUE!</v>
      </c>
      <c r="CE240" t="e">
        <f>Europe!B125+"$F;@!.i["</f>
        <v>#VALUE!</v>
      </c>
      <c r="CF240" t="e">
        <f>Europe!C125+"$F;@!.i\"</f>
        <v>#VALUE!</v>
      </c>
      <c r="CG240" t="e">
        <f>Europe!D125+"$F;@!.i]"</f>
        <v>#VALUE!</v>
      </c>
      <c r="CH240" t="e">
        <f>Europe!E125+"$F;@!.i^"</f>
        <v>#VALUE!</v>
      </c>
      <c r="CI240" t="e">
        <f>Europe!F125+"$F;@!.i_"</f>
        <v>#VALUE!</v>
      </c>
      <c r="CJ240" t="e">
        <f>Europe!G125+"$F;@!.i`"</f>
        <v>#VALUE!</v>
      </c>
      <c r="CK240" t="e">
        <f>Europe!H125+"$F;@!.ia"</f>
        <v>#VALUE!</v>
      </c>
      <c r="CL240" t="e">
        <f>Europe!A126+"$F;@!.ib"</f>
        <v>#VALUE!</v>
      </c>
      <c r="CM240" t="e">
        <f>Europe!B126+"$F;@!.ic"</f>
        <v>#VALUE!</v>
      </c>
      <c r="CN240" t="e">
        <f>Europe!C126+"$F;@!.id"</f>
        <v>#VALUE!</v>
      </c>
      <c r="CO240" t="e">
        <f>Europe!D126+"$F;@!.ie"</f>
        <v>#VALUE!</v>
      </c>
      <c r="CP240" t="e">
        <f>Europe!E126+"$F;@!.if"</f>
        <v>#VALUE!</v>
      </c>
      <c r="CQ240" t="e">
        <f>Europe!F126+"$F;@!.ig"</f>
        <v>#VALUE!</v>
      </c>
      <c r="CR240" t="e">
        <f>Europe!G126+"$F;@!.ih"</f>
        <v>#VALUE!</v>
      </c>
      <c r="CS240" t="e">
        <f>Europe!H126+"$F;@!.ii"</f>
        <v>#VALUE!</v>
      </c>
      <c r="CT240" t="e">
        <f>Europe!A127+"$F;@!.ij"</f>
        <v>#VALUE!</v>
      </c>
      <c r="CU240" t="e">
        <f>Europe!B127+"$F;@!.ik"</f>
        <v>#VALUE!</v>
      </c>
      <c r="CV240" t="e">
        <f>Europe!C127+"$F;@!.il"</f>
        <v>#VALUE!</v>
      </c>
      <c r="CW240" t="e">
        <f>Europe!D127+"$F;@!.im"</f>
        <v>#VALUE!</v>
      </c>
      <c r="CX240" t="e">
        <f>Europe!E127+"$F;@!.in"</f>
        <v>#VALUE!</v>
      </c>
      <c r="CY240" t="e">
        <f>Europe!F127+"$F;@!.io"</f>
        <v>#VALUE!</v>
      </c>
      <c r="CZ240" t="e">
        <f>Europe!G127+"$F;@!.ip"</f>
        <v>#VALUE!</v>
      </c>
      <c r="DA240" t="e">
        <f>Europe!H127+"$F;@!.iq"</f>
        <v>#VALUE!</v>
      </c>
      <c r="DB240" t="e">
        <f>Europe!A128+"$F;@!.ir"</f>
        <v>#VALUE!</v>
      </c>
      <c r="DC240" t="e">
        <f>Europe!B128+"$F;@!.is"</f>
        <v>#VALUE!</v>
      </c>
      <c r="DD240" t="e">
        <f>Europe!C128+"$F;@!.it"</f>
        <v>#VALUE!</v>
      </c>
      <c r="DE240" t="e">
        <f>Europe!D128+"$F;@!.iu"</f>
        <v>#VALUE!</v>
      </c>
      <c r="DF240" t="e">
        <f>Europe!E128+"$F;@!.iv"</f>
        <v>#VALUE!</v>
      </c>
      <c r="DG240" t="e">
        <f>Europe!F128+"$F;@!.iw"</f>
        <v>#VALUE!</v>
      </c>
      <c r="DH240" t="e">
        <f>Europe!G128+"$F;@!.ix"</f>
        <v>#VALUE!</v>
      </c>
      <c r="DI240" t="e">
        <f>Europe!H128+"$F;@!.iy"</f>
        <v>#VALUE!</v>
      </c>
      <c r="DJ240" t="e">
        <f>Europe!A129+"$F;@!.iz"</f>
        <v>#VALUE!</v>
      </c>
      <c r="DK240" t="e">
        <f>Europe!B129+"$F;@!.i{"</f>
        <v>#VALUE!</v>
      </c>
      <c r="DL240" t="e">
        <f>Europe!C129+"$F;@!.i|"</f>
        <v>#VALUE!</v>
      </c>
      <c r="DM240" t="e">
        <f>Europe!D129+"$F;@!.i}"</f>
        <v>#VALUE!</v>
      </c>
      <c r="DN240" t="e">
        <f>Europe!E129+"$F;@!.i~"</f>
        <v>#VALUE!</v>
      </c>
      <c r="DO240" t="e">
        <f>Europe!F129+"$F;@!.j#"</f>
        <v>#VALUE!</v>
      </c>
      <c r="DP240" t="e">
        <f>Europe!G129+"$F;@!.j$"</f>
        <v>#VALUE!</v>
      </c>
      <c r="DQ240" t="e">
        <f>Europe!H129+"$F;@!.j%"</f>
        <v>#VALUE!</v>
      </c>
      <c r="DR240" t="e">
        <f>Europe!A130+"$F;@!.j&amp;"</f>
        <v>#VALUE!</v>
      </c>
      <c r="DS240" t="e">
        <f>Europe!B130+"$F;@!.j'"</f>
        <v>#VALUE!</v>
      </c>
      <c r="DT240" t="e">
        <f>Europe!C130+"$F;@!.j("</f>
        <v>#VALUE!</v>
      </c>
      <c r="DU240" t="e">
        <f>Europe!D130+"$F;@!.j)"</f>
        <v>#VALUE!</v>
      </c>
      <c r="DV240" t="e">
        <f>Europe!E130+"$F;@!.j."</f>
        <v>#VALUE!</v>
      </c>
      <c r="DW240" t="e">
        <f>Europe!F130+"$F;@!.j/"</f>
        <v>#VALUE!</v>
      </c>
      <c r="DX240" t="e">
        <f>Europe!G130+"$F;@!.j0"</f>
        <v>#VALUE!</v>
      </c>
      <c r="DY240" t="e">
        <f>Europe!H130+"$F;@!.j1"</f>
        <v>#VALUE!</v>
      </c>
      <c r="DZ240" t="e">
        <f>Europe!A131+"$F;@!.j2"</f>
        <v>#VALUE!</v>
      </c>
      <c r="EA240" t="e">
        <f>Europe!B131+"$F;@!.j3"</f>
        <v>#VALUE!</v>
      </c>
      <c r="EB240" t="e">
        <f>Europe!C131+"$F;@!.j4"</f>
        <v>#VALUE!</v>
      </c>
      <c r="EC240" t="e">
        <f>Europe!D131+"$F;@!.j5"</f>
        <v>#VALUE!</v>
      </c>
      <c r="ED240" t="e">
        <f>Europe!E131+"$F;@!.j6"</f>
        <v>#VALUE!</v>
      </c>
      <c r="EE240" t="e">
        <f>Europe!F131+"$F;@!.j7"</f>
        <v>#VALUE!</v>
      </c>
      <c r="EF240" t="e">
        <f>Europe!G131+"$F;@!.j8"</f>
        <v>#VALUE!</v>
      </c>
      <c r="EG240" t="e">
        <f>Europe!H131+"$F;@!.j9"</f>
        <v>#VALUE!</v>
      </c>
      <c r="EH240" t="e">
        <f>Europe!A132+"$F;@!.j:"</f>
        <v>#VALUE!</v>
      </c>
      <c r="EI240" t="e">
        <f>Europe!B132+"$F;@!.j;"</f>
        <v>#VALUE!</v>
      </c>
      <c r="EJ240" t="e">
        <f>Europe!C132+"$F;@!.j&lt;"</f>
        <v>#VALUE!</v>
      </c>
      <c r="EK240" t="e">
        <f>Europe!D132+"$F;@!.j="</f>
        <v>#VALUE!</v>
      </c>
      <c r="EL240" t="e">
        <f>Europe!E132+"$F;@!.j&gt;"</f>
        <v>#VALUE!</v>
      </c>
      <c r="EM240" t="e">
        <f>Europe!F132+"$F;@!.j?"</f>
        <v>#VALUE!</v>
      </c>
      <c r="EN240" t="e">
        <f>Europe!G132+"$F;@!.j@"</f>
        <v>#VALUE!</v>
      </c>
      <c r="EO240" t="e">
        <f>Europe!H132+"$F;@!.jA"</f>
        <v>#VALUE!</v>
      </c>
      <c r="EP240" t="e">
        <f>Europe!A133+"$F;@!.jB"</f>
        <v>#VALUE!</v>
      </c>
      <c r="EQ240" t="e">
        <f>Europe!B133+"$F;@!.jC"</f>
        <v>#VALUE!</v>
      </c>
      <c r="ER240" t="e">
        <f>Europe!C133+"$F;@!.jD"</f>
        <v>#VALUE!</v>
      </c>
      <c r="ES240" t="e">
        <f>Europe!D133+"$F;@!.jE"</f>
        <v>#VALUE!</v>
      </c>
      <c r="ET240" t="e">
        <f>Europe!E133+"$F;@!.jF"</f>
        <v>#VALUE!</v>
      </c>
      <c r="EU240" t="e">
        <f>Europe!F133+"$F;@!.jG"</f>
        <v>#VALUE!</v>
      </c>
      <c r="EV240" t="e">
        <f>Europe!G133+"$F;@!.jH"</f>
        <v>#VALUE!</v>
      </c>
      <c r="EW240" t="e">
        <f>Europe!H133+"$F;@!.jI"</f>
        <v>#VALUE!</v>
      </c>
      <c r="EX240" t="e">
        <f>Europe!A134+"$F;@!.jJ"</f>
        <v>#VALUE!</v>
      </c>
      <c r="EY240" t="e">
        <f>Europe!B134+"$F;@!.jK"</f>
        <v>#VALUE!</v>
      </c>
      <c r="EZ240" t="e">
        <f>Europe!C134+"$F;@!.jL"</f>
        <v>#VALUE!</v>
      </c>
      <c r="FA240" t="e">
        <f>Europe!D134+"$F;@!.jM"</f>
        <v>#VALUE!</v>
      </c>
      <c r="FB240" t="e">
        <f>Europe!E134+"$F;@!.jN"</f>
        <v>#VALUE!</v>
      </c>
      <c r="FC240" t="e">
        <f>Europe!F134+"$F;@!.jO"</f>
        <v>#VALUE!</v>
      </c>
      <c r="FD240" t="e">
        <f>Europe!G134+"$F;@!.jP"</f>
        <v>#VALUE!</v>
      </c>
      <c r="FE240" t="e">
        <f>Europe!H134+"$F;@!.jQ"</f>
        <v>#VALUE!</v>
      </c>
      <c r="FF240" t="e">
        <f>Europe!A135+"$F;@!.jR"</f>
        <v>#VALUE!</v>
      </c>
      <c r="FG240" t="e">
        <f>Europe!B135+"$F;@!.jS"</f>
        <v>#VALUE!</v>
      </c>
      <c r="FH240" t="e">
        <f>Europe!C135+"$F;@!.jT"</f>
        <v>#VALUE!</v>
      </c>
      <c r="FI240" t="e">
        <f>Europe!D135+"$F;@!.jU"</f>
        <v>#VALUE!</v>
      </c>
      <c r="FJ240" t="e">
        <f>Europe!E135+"$F;@!.jV"</f>
        <v>#VALUE!</v>
      </c>
      <c r="FK240" t="e">
        <f>Europe!F135+"$F;@!.jW"</f>
        <v>#VALUE!</v>
      </c>
      <c r="FL240" t="e">
        <f>Europe!G135+"$F;@!.jX"</f>
        <v>#VALUE!</v>
      </c>
      <c r="FM240" t="e">
        <f>Europe!H135+"$F;@!.jY"</f>
        <v>#VALUE!</v>
      </c>
      <c r="FN240" t="e">
        <f>Europe!A136+"$F;@!.jZ"</f>
        <v>#VALUE!</v>
      </c>
      <c r="FO240" t="e">
        <f>Europe!B136+"$F;@!.j["</f>
        <v>#VALUE!</v>
      </c>
      <c r="FP240" t="e">
        <f>Europe!C136+"$F;@!.j\"</f>
        <v>#VALUE!</v>
      </c>
      <c r="FQ240" t="e">
        <f>Europe!D136+"$F;@!.j]"</f>
        <v>#VALUE!</v>
      </c>
      <c r="FR240" t="e">
        <f>Europe!E136+"$F;@!.j^"</f>
        <v>#VALUE!</v>
      </c>
      <c r="FS240" t="e">
        <f>Europe!F136+"$F;@!.j_"</f>
        <v>#VALUE!</v>
      </c>
      <c r="FT240" t="e">
        <f>Europe!G136+"$F;@!.j`"</f>
        <v>#VALUE!</v>
      </c>
      <c r="FU240" t="e">
        <f>Europe!H136+"$F;@!.ja"</f>
        <v>#VALUE!</v>
      </c>
      <c r="FV240" t="e">
        <f>Europe!A137+"$F;@!.jb"</f>
        <v>#VALUE!</v>
      </c>
      <c r="FW240" t="e">
        <f>Europe!B137+"$F;@!.jc"</f>
        <v>#VALUE!</v>
      </c>
      <c r="FX240" t="e">
        <f>Europe!C137+"$F;@!.jd"</f>
        <v>#VALUE!</v>
      </c>
      <c r="FY240" t="e">
        <f>Europe!D137+"$F;@!.je"</f>
        <v>#VALUE!</v>
      </c>
      <c r="FZ240" t="e">
        <f>Europe!E137+"$F;@!.jf"</f>
        <v>#VALUE!</v>
      </c>
      <c r="GA240" t="e">
        <f>Europe!F137+"$F;@!.jg"</f>
        <v>#VALUE!</v>
      </c>
      <c r="GB240" t="e">
        <f>Europe!G137+"$F;@!.jh"</f>
        <v>#VALUE!</v>
      </c>
      <c r="GC240" t="e">
        <f>Europe!H137+"$F;@!.ji"</f>
        <v>#VALUE!</v>
      </c>
      <c r="GD240" t="e">
        <f>Europe!A138+"$F;@!.jj"</f>
        <v>#VALUE!</v>
      </c>
      <c r="GE240" t="e">
        <f>Europe!B138+"$F;@!.jk"</f>
        <v>#VALUE!</v>
      </c>
      <c r="GF240" t="e">
        <f>Europe!C138+"$F;@!.jl"</f>
        <v>#VALUE!</v>
      </c>
      <c r="GG240" t="e">
        <f>Europe!D138+"$F;@!.jm"</f>
        <v>#VALUE!</v>
      </c>
      <c r="GH240" t="e">
        <f>Europe!E138+"$F;@!.jn"</f>
        <v>#VALUE!</v>
      </c>
      <c r="GI240" t="e">
        <f>Europe!F138+"$F;@!.jo"</f>
        <v>#VALUE!</v>
      </c>
      <c r="GJ240" t="e">
        <f>Europe!G138+"$F;@!.jp"</f>
        <v>#VALUE!</v>
      </c>
      <c r="GK240" t="e">
        <f>Europe!H138+"$F;@!.jq"</f>
        <v>#VALUE!</v>
      </c>
      <c r="GL240" t="e">
        <f>Europe!A139+"$F;@!.jr"</f>
        <v>#VALUE!</v>
      </c>
      <c r="GM240" t="e">
        <f>Europe!B139+"$F;@!.js"</f>
        <v>#VALUE!</v>
      </c>
      <c r="GN240" t="e">
        <f>Europe!C139+"$F;@!.jt"</f>
        <v>#VALUE!</v>
      </c>
      <c r="GO240" t="e">
        <f>Europe!D139+"$F;@!.ju"</f>
        <v>#VALUE!</v>
      </c>
      <c r="GP240" t="e">
        <f>Europe!E139+"$F;@!.jv"</f>
        <v>#VALUE!</v>
      </c>
      <c r="GQ240" t="e">
        <f>Europe!F139+"$F;@!.jw"</f>
        <v>#VALUE!</v>
      </c>
      <c r="GR240" t="e">
        <f>Europe!G139+"$F;@!.jx"</f>
        <v>#VALUE!</v>
      </c>
      <c r="GS240" t="e">
        <f>Europe!H139+"$F;@!.jy"</f>
        <v>#VALUE!</v>
      </c>
      <c r="GT240" t="e">
        <f>Europe!A140+"$F;@!.jz"</f>
        <v>#VALUE!</v>
      </c>
      <c r="GU240" t="e">
        <f>Europe!B140+"$F;@!.j{"</f>
        <v>#VALUE!</v>
      </c>
      <c r="GV240" t="e">
        <f>Europe!C140+"$F;@!.j|"</f>
        <v>#VALUE!</v>
      </c>
      <c r="GW240" t="e">
        <f>Europe!D140+"$F;@!.j}"</f>
        <v>#VALUE!</v>
      </c>
      <c r="GX240" t="e">
        <f>Europe!E140+"$F;@!.j~"</f>
        <v>#VALUE!</v>
      </c>
      <c r="GY240" t="e">
        <f>Europe!F140+"$F;@!.k#"</f>
        <v>#VALUE!</v>
      </c>
      <c r="GZ240" t="e">
        <f>Europe!G140+"$F;@!.k$"</f>
        <v>#VALUE!</v>
      </c>
      <c r="HA240" t="e">
        <f>Europe!H140+"$F;@!.k%"</f>
        <v>#VALUE!</v>
      </c>
      <c r="HB240" t="e">
        <f>Europe!A141+"$F;@!.k&amp;"</f>
        <v>#VALUE!</v>
      </c>
      <c r="HC240" t="e">
        <f>Europe!B141+"$F;@!.k'"</f>
        <v>#VALUE!</v>
      </c>
      <c r="HD240" t="e">
        <f>Europe!C141+"$F;@!.k("</f>
        <v>#VALUE!</v>
      </c>
      <c r="HE240" t="e">
        <f>Europe!D141+"$F;@!.k)"</f>
        <v>#VALUE!</v>
      </c>
      <c r="HF240" t="e">
        <f>Europe!E141+"$F;@!.k."</f>
        <v>#VALUE!</v>
      </c>
      <c r="HG240" t="e">
        <f>Europe!F141+"$F;@!.k/"</f>
        <v>#VALUE!</v>
      </c>
      <c r="HH240" t="e">
        <f>Europe!G141+"$F;@!.k0"</f>
        <v>#VALUE!</v>
      </c>
      <c r="HI240" t="e">
        <f>Europe!H141+"$F;@!.k1"</f>
        <v>#VALUE!</v>
      </c>
      <c r="HJ240" t="e">
        <f>Europe!A142+"$F;@!.k2"</f>
        <v>#VALUE!</v>
      </c>
      <c r="HK240" t="e">
        <f>Europe!B142+"$F;@!.k3"</f>
        <v>#VALUE!</v>
      </c>
      <c r="HL240" t="e">
        <f>Europe!C142+"$F;@!.k4"</f>
        <v>#VALUE!</v>
      </c>
      <c r="HM240" t="e">
        <f>Europe!D142+"$F;@!.k5"</f>
        <v>#VALUE!</v>
      </c>
      <c r="HN240" t="e">
        <f>Europe!E142+"$F;@!.k6"</f>
        <v>#VALUE!</v>
      </c>
      <c r="HO240" t="e">
        <f>Europe!F142+"$F;@!.k7"</f>
        <v>#VALUE!</v>
      </c>
      <c r="HP240" t="e">
        <f>Europe!G142+"$F;@!.k8"</f>
        <v>#VALUE!</v>
      </c>
      <c r="HQ240" t="e">
        <f>Europe!H142+"$F;@!.k9"</f>
        <v>#VALUE!</v>
      </c>
      <c r="HR240" t="e">
        <f>Europe!A143+"$F;@!.k:"</f>
        <v>#VALUE!</v>
      </c>
      <c r="HS240" t="e">
        <f>Europe!B143+"$F;@!.k;"</f>
        <v>#VALUE!</v>
      </c>
      <c r="HT240" t="e">
        <f>Europe!C143+"$F;@!.k&lt;"</f>
        <v>#VALUE!</v>
      </c>
      <c r="HU240" t="e">
        <f>Europe!D143+"$F;@!.k="</f>
        <v>#VALUE!</v>
      </c>
      <c r="HV240" t="e">
        <f>Europe!E143+"$F;@!.k&gt;"</f>
        <v>#VALUE!</v>
      </c>
      <c r="HW240" t="e">
        <f>Europe!F143+"$F;@!.k?"</f>
        <v>#VALUE!</v>
      </c>
      <c r="HX240" t="e">
        <f>Europe!G143+"$F;@!.k@"</f>
        <v>#VALUE!</v>
      </c>
      <c r="HY240" t="e">
        <f>Europe!H143+"$F;@!.kA"</f>
        <v>#VALUE!</v>
      </c>
      <c r="HZ240" t="e">
        <f>Europe!A144+"$F;@!.kB"</f>
        <v>#VALUE!</v>
      </c>
      <c r="IA240" t="e">
        <f>Europe!B144+"$F;@!.kC"</f>
        <v>#VALUE!</v>
      </c>
      <c r="IB240" t="e">
        <f>Europe!C144+"$F;@!.kD"</f>
        <v>#VALUE!</v>
      </c>
      <c r="IC240" t="e">
        <f>Europe!D144+"$F;@!.kE"</f>
        <v>#VALUE!</v>
      </c>
      <c r="ID240" t="e">
        <f>Europe!E144+"$F;@!.kF"</f>
        <v>#VALUE!</v>
      </c>
      <c r="IE240" t="e">
        <f>Europe!F144+"$F;@!.kG"</f>
        <v>#VALUE!</v>
      </c>
      <c r="IF240" t="e">
        <f>Europe!G144+"$F;@!.kH"</f>
        <v>#VALUE!</v>
      </c>
      <c r="IG240" t="e">
        <f>Europe!H144+"$F;@!.kI"</f>
        <v>#VALUE!</v>
      </c>
      <c r="IH240" t="e">
        <f>Europe!A145+"$F;@!.kJ"</f>
        <v>#VALUE!</v>
      </c>
      <c r="II240" t="e">
        <f>Europe!B145+"$F;@!.kK"</f>
        <v>#VALUE!</v>
      </c>
      <c r="IJ240" t="e">
        <f>Europe!C145+"$F;@!.kL"</f>
        <v>#VALUE!</v>
      </c>
      <c r="IK240" t="e">
        <f>Europe!D145+"$F;@!.kM"</f>
        <v>#VALUE!</v>
      </c>
      <c r="IL240" t="e">
        <f>Europe!E145+"$F;@!.kN"</f>
        <v>#VALUE!</v>
      </c>
      <c r="IM240" t="e">
        <f>Europe!F145+"$F;@!.kO"</f>
        <v>#VALUE!</v>
      </c>
      <c r="IN240" t="e">
        <f>Europe!G145+"$F;@!.kP"</f>
        <v>#VALUE!</v>
      </c>
      <c r="IO240" t="e">
        <f>Europe!H145+"$F;@!.kQ"</f>
        <v>#VALUE!</v>
      </c>
      <c r="IP240" t="e">
        <f>Europe!A146+"$F;@!.kR"</f>
        <v>#VALUE!</v>
      </c>
      <c r="IQ240" t="e">
        <f>Europe!B146+"$F;@!.kS"</f>
        <v>#VALUE!</v>
      </c>
      <c r="IR240" t="e">
        <f>Europe!C146+"$F;@!.kT"</f>
        <v>#VALUE!</v>
      </c>
      <c r="IS240" t="e">
        <f>Europe!D146+"$F;@!.kU"</f>
        <v>#VALUE!</v>
      </c>
      <c r="IT240" t="e">
        <f>Europe!E146+"$F;@!.kV"</f>
        <v>#VALUE!</v>
      </c>
      <c r="IU240" t="e">
        <f>Europe!F146+"$F;@!.kW"</f>
        <v>#VALUE!</v>
      </c>
      <c r="IV240" t="e">
        <f>Europe!G146+"$F;@!.kX"</f>
        <v>#VALUE!</v>
      </c>
    </row>
    <row r="241" spans="6:256" x14ac:dyDescent="0.35">
      <c r="F241" t="e">
        <f>Europe!H146+"$F;@!.kY"</f>
        <v>#VALUE!</v>
      </c>
      <c r="G241" t="e">
        <f>Europe!A147+"$F;@!.kZ"</f>
        <v>#VALUE!</v>
      </c>
      <c r="H241" t="e">
        <f>Europe!B147+"$F;@!.k["</f>
        <v>#VALUE!</v>
      </c>
      <c r="I241" t="e">
        <f>Europe!C147+"$F;@!.k\"</f>
        <v>#VALUE!</v>
      </c>
      <c r="J241" t="e">
        <f>Europe!D147+"$F;@!.k]"</f>
        <v>#VALUE!</v>
      </c>
      <c r="K241" t="e">
        <f>Europe!E147+"$F;@!.k^"</f>
        <v>#VALUE!</v>
      </c>
      <c r="L241" t="e">
        <f>Europe!F147+"$F;@!.k_"</f>
        <v>#VALUE!</v>
      </c>
      <c r="M241" t="e">
        <f>Europe!G147+"$F;@!.k`"</f>
        <v>#VALUE!</v>
      </c>
      <c r="N241" t="e">
        <f>Europe!H147+"$F;@!.ka"</f>
        <v>#VALUE!</v>
      </c>
      <c r="O241" t="e">
        <f>Europe!A148+"$F;@!.kb"</f>
        <v>#VALUE!</v>
      </c>
      <c r="P241" t="e">
        <f>Europe!B148+"$F;@!.kc"</f>
        <v>#VALUE!</v>
      </c>
      <c r="Q241" t="e">
        <f>Europe!C148+"$F;@!.kd"</f>
        <v>#VALUE!</v>
      </c>
      <c r="R241" t="e">
        <f>Europe!D148+"$F;@!.ke"</f>
        <v>#VALUE!</v>
      </c>
      <c r="S241" t="e">
        <f>Europe!E148+"$F;@!.kf"</f>
        <v>#VALUE!</v>
      </c>
      <c r="T241" t="e">
        <f>Europe!F148+"$F;@!.kg"</f>
        <v>#VALUE!</v>
      </c>
      <c r="U241" t="e">
        <f>Europe!G148+"$F;@!.kh"</f>
        <v>#VALUE!</v>
      </c>
      <c r="V241" t="e">
        <f>Europe!H148+"$F;@!.ki"</f>
        <v>#VALUE!</v>
      </c>
      <c r="W241" t="e">
        <f>Europe!A149+"$F;@!.kj"</f>
        <v>#VALUE!</v>
      </c>
      <c r="X241" t="e">
        <f>Europe!B149+"$F;@!.kk"</f>
        <v>#VALUE!</v>
      </c>
      <c r="Y241" t="e">
        <f>Europe!C149+"$F;@!.kl"</f>
        <v>#VALUE!</v>
      </c>
      <c r="Z241" t="e">
        <f>Europe!D149+"$F;@!.km"</f>
        <v>#VALUE!</v>
      </c>
      <c r="AA241" t="e">
        <f>Europe!E149+"$F;@!.kn"</f>
        <v>#VALUE!</v>
      </c>
      <c r="AB241" t="e">
        <f>Europe!F149+"$F;@!.ko"</f>
        <v>#VALUE!</v>
      </c>
      <c r="AC241" t="e">
        <f>Europe!G149+"$F;@!.kp"</f>
        <v>#VALUE!</v>
      </c>
      <c r="AD241" t="e">
        <f>Europe!H149+"$F;@!.kq"</f>
        <v>#VALUE!</v>
      </c>
      <c r="AE241" t="e">
        <f>Europe!A150+"$F;@!.kr"</f>
        <v>#VALUE!</v>
      </c>
      <c r="AF241" t="e">
        <f>Europe!B150+"$F;@!.ks"</f>
        <v>#VALUE!</v>
      </c>
      <c r="AG241" t="e">
        <f>Europe!C150+"$F;@!.kt"</f>
        <v>#VALUE!</v>
      </c>
      <c r="AH241" t="e">
        <f>Europe!D150+"$F;@!.ku"</f>
        <v>#VALUE!</v>
      </c>
      <c r="AI241" t="e">
        <f>Europe!E150+"$F;@!.kv"</f>
        <v>#VALUE!</v>
      </c>
      <c r="AJ241" t="e">
        <f>Europe!F150+"$F;@!.kw"</f>
        <v>#VALUE!</v>
      </c>
      <c r="AK241" t="e">
        <f>Europe!G150+"$F;@!.kx"</f>
        <v>#VALUE!</v>
      </c>
      <c r="AL241" t="e">
        <f>Europe!H150+"$F;@!.ky"</f>
        <v>#VALUE!</v>
      </c>
      <c r="AM241" t="e">
        <f>Europe!A151+"$F;@!.kz"</f>
        <v>#VALUE!</v>
      </c>
      <c r="AN241" t="e">
        <f>Europe!B151+"$F;@!.k{"</f>
        <v>#VALUE!</v>
      </c>
      <c r="AO241" t="e">
        <f>Europe!C151+"$F;@!.k|"</f>
        <v>#VALUE!</v>
      </c>
      <c r="AP241" t="e">
        <f>Europe!D151+"$F;@!.k}"</f>
        <v>#VALUE!</v>
      </c>
      <c r="AQ241" t="e">
        <f>Europe!E151+"$F;@!.k~"</f>
        <v>#VALUE!</v>
      </c>
      <c r="AR241" t="e">
        <f>Europe!F151+"$F;@!.l#"</f>
        <v>#VALUE!</v>
      </c>
      <c r="AS241" t="e">
        <f>Europe!G151+"$F;@!.l$"</f>
        <v>#VALUE!</v>
      </c>
      <c r="AT241" t="e">
        <f>Europe!H151+"$F;@!.l%"</f>
        <v>#VALUE!</v>
      </c>
      <c r="AU241" t="e">
        <f>Europe!A152+"$F;@!.l&amp;"</f>
        <v>#VALUE!</v>
      </c>
      <c r="AV241" t="e">
        <f>Europe!B152+"$F;@!.l'"</f>
        <v>#VALUE!</v>
      </c>
      <c r="AW241" t="e">
        <f>Europe!C152+"$F;@!.l("</f>
        <v>#VALUE!</v>
      </c>
      <c r="AX241" t="e">
        <f>Europe!D152+"$F;@!.l)"</f>
        <v>#VALUE!</v>
      </c>
      <c r="AY241" t="e">
        <f>Europe!E152+"$F;@!.l."</f>
        <v>#VALUE!</v>
      </c>
      <c r="AZ241" t="e">
        <f>Europe!F152+"$F;@!.l/"</f>
        <v>#VALUE!</v>
      </c>
      <c r="BA241" t="e">
        <f>Europe!G152+"$F;@!.l0"</f>
        <v>#VALUE!</v>
      </c>
      <c r="BB241" t="e">
        <f>Europe!H152+"$F;@!.l1"</f>
        <v>#VALUE!</v>
      </c>
      <c r="BC241" t="e">
        <f>Europe!A153+"$F;@!.l2"</f>
        <v>#VALUE!</v>
      </c>
      <c r="BD241" t="e">
        <f>Europe!B153+"$F;@!.l3"</f>
        <v>#VALUE!</v>
      </c>
      <c r="BE241" t="e">
        <f>Europe!C153+"$F;@!.l4"</f>
        <v>#VALUE!</v>
      </c>
      <c r="BF241" t="e">
        <f>Europe!D153+"$F;@!.l5"</f>
        <v>#VALUE!</v>
      </c>
      <c r="BG241" t="e">
        <f>Europe!E153+"$F;@!.l6"</f>
        <v>#VALUE!</v>
      </c>
      <c r="BH241" t="e">
        <f>Europe!F153+"$F;@!.l7"</f>
        <v>#VALUE!</v>
      </c>
      <c r="BI241" t="e">
        <f>Europe!G153+"$F;@!.l8"</f>
        <v>#VALUE!</v>
      </c>
      <c r="BJ241" t="e">
        <f>Europe!H153+"$F;@!.l9"</f>
        <v>#VALUE!</v>
      </c>
      <c r="BK241" t="e">
        <f>Europe!A154+"$F;@!.l:"</f>
        <v>#VALUE!</v>
      </c>
      <c r="BL241" t="e">
        <f>Europe!B154+"$F;@!.l;"</f>
        <v>#VALUE!</v>
      </c>
      <c r="BM241" t="e">
        <f>Europe!C154+"$F;@!.l&lt;"</f>
        <v>#VALUE!</v>
      </c>
      <c r="BN241" t="e">
        <f>Europe!D154+"$F;@!.l="</f>
        <v>#VALUE!</v>
      </c>
      <c r="BO241" t="e">
        <f>Europe!E154+"$F;@!.l&gt;"</f>
        <v>#VALUE!</v>
      </c>
      <c r="BP241" t="e">
        <f>Europe!F154+"$F;@!.l?"</f>
        <v>#VALUE!</v>
      </c>
      <c r="BQ241" t="e">
        <f>Europe!G154+"$F;@!.l@"</f>
        <v>#VALUE!</v>
      </c>
      <c r="BR241" t="e">
        <f>Europe!H154+"$F;@!.lA"</f>
        <v>#VALUE!</v>
      </c>
      <c r="BS241" t="e">
        <f>Europe!A155+"$F;@!.lB"</f>
        <v>#VALUE!</v>
      </c>
      <c r="BT241" t="e">
        <f>Europe!B155+"$F;@!.lC"</f>
        <v>#VALUE!</v>
      </c>
      <c r="BU241" t="e">
        <f>Europe!C155+"$F;@!.lD"</f>
        <v>#VALUE!</v>
      </c>
      <c r="BV241" t="e">
        <f>Europe!D155+"$F;@!.lE"</f>
        <v>#VALUE!</v>
      </c>
      <c r="BW241" t="e">
        <f>Europe!E155+"$F;@!.lF"</f>
        <v>#VALUE!</v>
      </c>
      <c r="BX241" t="e">
        <f>Europe!F155+"$F;@!.lG"</f>
        <v>#VALUE!</v>
      </c>
      <c r="BY241" t="e">
        <f>Europe!G155+"$F;@!.lH"</f>
        <v>#VALUE!</v>
      </c>
      <c r="BZ241" t="e">
        <f>Europe!H155+"$F;@!.lI"</f>
        <v>#VALUE!</v>
      </c>
      <c r="CA241" t="e">
        <f>Europe!A156+"$F;@!.lJ"</f>
        <v>#VALUE!</v>
      </c>
      <c r="CB241" t="e">
        <f>Europe!B156+"$F;@!.lK"</f>
        <v>#VALUE!</v>
      </c>
      <c r="CC241" t="e">
        <f>Europe!C156+"$F;@!.lL"</f>
        <v>#VALUE!</v>
      </c>
      <c r="CD241" t="e">
        <f>Europe!D156+"$F;@!.lM"</f>
        <v>#VALUE!</v>
      </c>
      <c r="CE241" t="e">
        <f>Europe!E156+"$F;@!.lN"</f>
        <v>#VALUE!</v>
      </c>
      <c r="CF241" t="e">
        <f>Europe!F156+"$F;@!.lO"</f>
        <v>#VALUE!</v>
      </c>
      <c r="CG241" t="e">
        <f>Europe!G156+"$F;@!.lP"</f>
        <v>#VALUE!</v>
      </c>
      <c r="CH241" t="e">
        <f>Europe!H156+"$F;@!.lQ"</f>
        <v>#VALUE!</v>
      </c>
      <c r="CI241" t="e">
        <f>Europe!A157+"$F;@!.lR"</f>
        <v>#VALUE!</v>
      </c>
      <c r="CJ241" t="e">
        <f>Europe!B157+"$F;@!.lS"</f>
        <v>#VALUE!</v>
      </c>
      <c r="CK241" t="e">
        <f>Europe!C157+"$F;@!.lT"</f>
        <v>#VALUE!</v>
      </c>
      <c r="CL241" t="e">
        <f>Europe!D157+"$F;@!.lU"</f>
        <v>#VALUE!</v>
      </c>
      <c r="CM241" t="e">
        <f>Europe!E157+"$F;@!.lV"</f>
        <v>#VALUE!</v>
      </c>
      <c r="CN241" t="e">
        <f>Europe!F157+"$F;@!.lW"</f>
        <v>#VALUE!</v>
      </c>
      <c r="CO241" t="e">
        <f>Europe!G157+"$F;@!.lX"</f>
        <v>#VALUE!</v>
      </c>
      <c r="CP241" t="e">
        <f>Europe!H157+"$F;@!.lY"</f>
        <v>#VALUE!</v>
      </c>
      <c r="CQ241" t="e">
        <f>Europe!A158+"$F;@!.lZ"</f>
        <v>#VALUE!</v>
      </c>
      <c r="CR241" t="e">
        <f>Europe!B158+"$F;@!.l["</f>
        <v>#VALUE!</v>
      </c>
      <c r="CS241" t="e">
        <f>Europe!C158+"$F;@!.l\"</f>
        <v>#VALUE!</v>
      </c>
      <c r="CT241" t="e">
        <f>Europe!D158+"$F;@!.l]"</f>
        <v>#VALUE!</v>
      </c>
      <c r="CU241" t="e">
        <f>Europe!E158+"$F;@!.l^"</f>
        <v>#VALUE!</v>
      </c>
      <c r="CV241" t="e">
        <f>Europe!F158+"$F;@!.l_"</f>
        <v>#VALUE!</v>
      </c>
      <c r="CW241" t="e">
        <f>Europe!G158+"$F;@!.l`"</f>
        <v>#VALUE!</v>
      </c>
      <c r="CX241" t="e">
        <f>Europe!H158+"$F;@!.la"</f>
        <v>#VALUE!</v>
      </c>
      <c r="CY241" t="e">
        <f>Europe!A159+"$F;@!.lb"</f>
        <v>#VALUE!</v>
      </c>
      <c r="CZ241" t="e">
        <f>Europe!B159+"$F;@!.lc"</f>
        <v>#VALUE!</v>
      </c>
      <c r="DA241" t="e">
        <f>Europe!C159+"$F;@!.ld"</f>
        <v>#VALUE!</v>
      </c>
      <c r="DB241" t="e">
        <f>Europe!D159+"$F;@!.le"</f>
        <v>#VALUE!</v>
      </c>
      <c r="DC241" t="e">
        <f>Europe!E159+"$F;@!.lf"</f>
        <v>#VALUE!</v>
      </c>
      <c r="DD241" t="e">
        <f>Europe!F159+"$F;@!.lg"</f>
        <v>#VALUE!</v>
      </c>
      <c r="DE241" t="e">
        <f>Europe!G159+"$F;@!.lh"</f>
        <v>#VALUE!</v>
      </c>
      <c r="DF241" t="e">
        <f>Europe!H159+"$F;@!.li"</f>
        <v>#VALUE!</v>
      </c>
      <c r="DG241" t="e">
        <f>Europe!A160+"$F;@!.lj"</f>
        <v>#VALUE!</v>
      </c>
      <c r="DH241" t="e">
        <f>Europe!B160+"$F;@!.lk"</f>
        <v>#VALUE!</v>
      </c>
      <c r="DI241" t="e">
        <f>Europe!C160+"$F;@!.ll"</f>
        <v>#VALUE!</v>
      </c>
      <c r="DJ241" t="e">
        <f>Europe!D160+"$F;@!.lm"</f>
        <v>#VALUE!</v>
      </c>
      <c r="DK241" t="e">
        <f>Europe!E160+"$F;@!.ln"</f>
        <v>#VALUE!</v>
      </c>
      <c r="DL241" t="e">
        <f>Europe!F160+"$F;@!.lo"</f>
        <v>#VALUE!</v>
      </c>
      <c r="DM241" t="e">
        <f>Europe!G160+"$F;@!.lp"</f>
        <v>#VALUE!</v>
      </c>
      <c r="DN241" t="e">
        <f>Europe!H160+"$F;@!.lq"</f>
        <v>#VALUE!</v>
      </c>
      <c r="DO241" t="e">
        <f>Europe!A161+"$F;@!.lr"</f>
        <v>#VALUE!</v>
      </c>
      <c r="DP241" t="e">
        <f>Europe!B161+"$F;@!.ls"</f>
        <v>#VALUE!</v>
      </c>
      <c r="DQ241" t="e">
        <f>Europe!C161+"$F;@!.lt"</f>
        <v>#VALUE!</v>
      </c>
      <c r="DR241" t="e">
        <f>Europe!D161+"$F;@!.lu"</f>
        <v>#VALUE!</v>
      </c>
      <c r="DS241" t="e">
        <f>Europe!E161+"$F;@!.lv"</f>
        <v>#VALUE!</v>
      </c>
      <c r="DT241" t="e">
        <f>Europe!F161+"$F;@!.lw"</f>
        <v>#VALUE!</v>
      </c>
      <c r="DU241" t="e">
        <f>Europe!G161+"$F;@!.lx"</f>
        <v>#VALUE!</v>
      </c>
      <c r="DV241" t="e">
        <f>Europe!H161+"$F;@!.ly"</f>
        <v>#VALUE!</v>
      </c>
      <c r="DW241" t="e">
        <f>Europe!A162+"$F;@!.lz"</f>
        <v>#VALUE!</v>
      </c>
      <c r="DX241" t="e">
        <f>Europe!B162+"$F;@!.l{"</f>
        <v>#VALUE!</v>
      </c>
      <c r="DY241" t="e">
        <f>Europe!C162+"$F;@!.l|"</f>
        <v>#VALUE!</v>
      </c>
      <c r="DZ241" t="e">
        <f>Europe!D162+"$F;@!.l}"</f>
        <v>#VALUE!</v>
      </c>
      <c r="EA241" t="e">
        <f>Europe!E162+"$F;@!.l~"</f>
        <v>#VALUE!</v>
      </c>
      <c r="EB241" t="e">
        <f>Europe!F162+"$F;@!.m#"</f>
        <v>#VALUE!</v>
      </c>
      <c r="EC241" t="e">
        <f>Europe!G162+"$F;@!.m$"</f>
        <v>#VALUE!</v>
      </c>
      <c r="ED241" t="e">
        <f>Europe!H162+"$F;@!.m%"</f>
        <v>#VALUE!</v>
      </c>
      <c r="EE241" t="e">
        <f>Europe!A163+"$F;@!.m&amp;"</f>
        <v>#VALUE!</v>
      </c>
      <c r="EF241" t="e">
        <f>Europe!B163+"$F;@!.m'"</f>
        <v>#VALUE!</v>
      </c>
      <c r="EG241" t="e">
        <f>Europe!C163+"$F;@!.m("</f>
        <v>#VALUE!</v>
      </c>
      <c r="EH241" t="e">
        <f>Europe!D163+"$F;@!.m)"</f>
        <v>#VALUE!</v>
      </c>
      <c r="EI241" t="e">
        <f>Europe!E163+"$F;@!.m."</f>
        <v>#VALUE!</v>
      </c>
      <c r="EJ241" t="e">
        <f>Europe!F163+"$F;@!.m/"</f>
        <v>#VALUE!</v>
      </c>
      <c r="EK241" t="e">
        <f>Europe!G163+"$F;@!.m0"</f>
        <v>#VALUE!</v>
      </c>
      <c r="EL241" t="e">
        <f>Europe!H163+"$F;@!.m1"</f>
        <v>#VALUE!</v>
      </c>
      <c r="EM241" t="e">
        <f>Europe!A164+"$F;@!.m2"</f>
        <v>#VALUE!</v>
      </c>
      <c r="EN241" t="e">
        <f>Europe!B164+"$F;@!.m3"</f>
        <v>#VALUE!</v>
      </c>
      <c r="EO241" t="e">
        <f>Europe!C164+"$F;@!.m4"</f>
        <v>#VALUE!</v>
      </c>
      <c r="EP241" t="e">
        <f>Europe!D164+"$F;@!.m5"</f>
        <v>#VALUE!</v>
      </c>
      <c r="EQ241" t="e">
        <f>Europe!E164+"$F;@!.m6"</f>
        <v>#VALUE!</v>
      </c>
      <c r="ER241" t="e">
        <f>Europe!F164+"$F;@!.m7"</f>
        <v>#VALUE!</v>
      </c>
      <c r="ES241" t="e">
        <f>Europe!G164+"$F;@!.m8"</f>
        <v>#VALUE!</v>
      </c>
      <c r="ET241" t="e">
        <f>Europe!H164+"$F;@!.m9"</f>
        <v>#VALUE!</v>
      </c>
      <c r="EU241" t="e">
        <f>Europe!A165+"$F;@!.m:"</f>
        <v>#VALUE!</v>
      </c>
      <c r="EV241" t="e">
        <f>Europe!B165+"$F;@!.m;"</f>
        <v>#VALUE!</v>
      </c>
      <c r="EW241" t="e">
        <f>Europe!C165+"$F;@!.m&lt;"</f>
        <v>#VALUE!</v>
      </c>
      <c r="EX241" t="e">
        <f>Europe!D165+"$F;@!.m="</f>
        <v>#VALUE!</v>
      </c>
      <c r="EY241" t="e">
        <f>Europe!E165+"$F;@!.m&gt;"</f>
        <v>#VALUE!</v>
      </c>
      <c r="EZ241" t="e">
        <f>Europe!F165+"$F;@!.m?"</f>
        <v>#VALUE!</v>
      </c>
      <c r="FA241" t="e">
        <f>Europe!G165+"$F;@!.m@"</f>
        <v>#VALUE!</v>
      </c>
      <c r="FB241" t="e">
        <f>Europe!H165+"$F;@!.mA"</f>
        <v>#VALUE!</v>
      </c>
      <c r="FC241" t="e">
        <f>Europe!A166+"$F;@!.mB"</f>
        <v>#VALUE!</v>
      </c>
      <c r="FD241" t="e">
        <f>Europe!B166+"$F;@!.mC"</f>
        <v>#VALUE!</v>
      </c>
      <c r="FE241" t="e">
        <f>Europe!C166+"$F;@!.mD"</f>
        <v>#VALUE!</v>
      </c>
      <c r="FF241" t="e">
        <f>Europe!D166+"$F;@!.mE"</f>
        <v>#VALUE!</v>
      </c>
      <c r="FG241" t="e">
        <f>Europe!E166+"$F;@!.mF"</f>
        <v>#VALUE!</v>
      </c>
      <c r="FH241" t="e">
        <f>Europe!F166+"$F;@!.mG"</f>
        <v>#VALUE!</v>
      </c>
      <c r="FI241" t="e">
        <f>Europe!G166+"$F;@!.mH"</f>
        <v>#VALUE!</v>
      </c>
      <c r="FJ241" t="e">
        <f>Europe!H166+"$F;@!.mI"</f>
        <v>#VALUE!</v>
      </c>
      <c r="FK241" t="e">
        <f>Europe!A167+"$F;@!.mJ"</f>
        <v>#VALUE!</v>
      </c>
      <c r="FL241" t="e">
        <f>Europe!B167+"$F;@!.mK"</f>
        <v>#VALUE!</v>
      </c>
      <c r="FM241" t="e">
        <f>Europe!C167+"$F;@!.mL"</f>
        <v>#VALUE!</v>
      </c>
      <c r="FN241" t="e">
        <f>Europe!D167+"$F;@!.mM"</f>
        <v>#VALUE!</v>
      </c>
      <c r="FO241" t="e">
        <f>Europe!E167+"$F;@!.mN"</f>
        <v>#VALUE!</v>
      </c>
      <c r="FP241" t="e">
        <f>Europe!F167+"$F;@!.mO"</f>
        <v>#VALUE!</v>
      </c>
      <c r="FQ241" t="e">
        <f>Europe!G167+"$F;@!.mP"</f>
        <v>#VALUE!</v>
      </c>
      <c r="FR241" t="e">
        <f>Europe!H167+"$F;@!.mQ"</f>
        <v>#VALUE!</v>
      </c>
      <c r="FS241" t="e">
        <f>Europe!A168+"$F;@!.mR"</f>
        <v>#VALUE!</v>
      </c>
      <c r="FT241" t="e">
        <f>Europe!B168+"$F;@!.mS"</f>
        <v>#VALUE!</v>
      </c>
      <c r="FU241" t="e">
        <f>Europe!C168+"$F;@!.mT"</f>
        <v>#VALUE!</v>
      </c>
      <c r="FV241" t="e">
        <f>Europe!D168+"$F;@!.mU"</f>
        <v>#VALUE!</v>
      </c>
      <c r="FW241" t="e">
        <f>Europe!E168+"$F;@!.mV"</f>
        <v>#VALUE!</v>
      </c>
      <c r="FX241" t="e">
        <f>Europe!F168+"$F;@!.mW"</f>
        <v>#VALUE!</v>
      </c>
      <c r="FY241" t="e">
        <f>Europe!G168+"$F;@!.mX"</f>
        <v>#VALUE!</v>
      </c>
      <c r="FZ241" t="e">
        <f>Europe!H168+"$F;@!.mY"</f>
        <v>#VALUE!</v>
      </c>
      <c r="GA241" t="e">
        <f>Europe!A169+"$F;@!.mZ"</f>
        <v>#VALUE!</v>
      </c>
      <c r="GB241" t="e">
        <f>Europe!B169+"$F;@!.m["</f>
        <v>#VALUE!</v>
      </c>
      <c r="GC241" t="e">
        <f>Europe!C169+"$F;@!.m\"</f>
        <v>#VALUE!</v>
      </c>
      <c r="GD241" t="e">
        <f>Europe!D169+"$F;@!.m]"</f>
        <v>#VALUE!</v>
      </c>
      <c r="GE241" t="e">
        <f>Europe!F169+"$F;@!.m^"</f>
        <v>#VALUE!</v>
      </c>
      <c r="GF241" t="e">
        <f>Europe!G169+"$F;@!.m_"</f>
        <v>#VALUE!</v>
      </c>
      <c r="GG241" t="e">
        <f>Europe!H169+"$F;@!.m`"</f>
        <v>#VALUE!</v>
      </c>
      <c r="GH241" t="e">
        <f>Europe!A170+"$F;@!.ma"</f>
        <v>#VALUE!</v>
      </c>
      <c r="GI241" t="e">
        <f>Europe!B170+"$F;@!.mb"</f>
        <v>#VALUE!</v>
      </c>
      <c r="GJ241" t="e">
        <f>Europe!C170+"$F;@!.mc"</f>
        <v>#VALUE!</v>
      </c>
      <c r="GK241" t="e">
        <f>Europe!D170+"$F;@!.md"</f>
        <v>#VALUE!</v>
      </c>
      <c r="GL241" t="e">
        <f>Europe!E170+"$F;@!.me"</f>
        <v>#VALUE!</v>
      </c>
      <c r="GM241" t="e">
        <f>Europe!F170+"$F;@!.mf"</f>
        <v>#VALUE!</v>
      </c>
      <c r="GN241" t="e">
        <f>Europe!G170+"$F;@!.mg"</f>
        <v>#VALUE!</v>
      </c>
      <c r="GO241" t="e">
        <f>Europe!H170+"$F;@!.mh"</f>
        <v>#VALUE!</v>
      </c>
      <c r="GP241" t="e">
        <f>Europe!A171+"$F;@!.mi"</f>
        <v>#VALUE!</v>
      </c>
      <c r="GQ241" t="e">
        <f>Europe!B171+"$F;@!.mj"</f>
        <v>#VALUE!</v>
      </c>
      <c r="GR241" t="e">
        <f>Europe!C171+"$F;@!.mk"</f>
        <v>#VALUE!</v>
      </c>
      <c r="GS241" t="e">
        <f>Europe!D171+"$F;@!.ml"</f>
        <v>#VALUE!</v>
      </c>
      <c r="GT241" t="e">
        <f>Europe!E171+"$F;@!.mm"</f>
        <v>#VALUE!</v>
      </c>
      <c r="GU241" t="e">
        <f>Europe!F171+"$F;@!.mn"</f>
        <v>#VALUE!</v>
      </c>
      <c r="GV241" t="e">
        <f>Europe!G171+"$F;@!.mo"</f>
        <v>#VALUE!</v>
      </c>
      <c r="GW241" t="e">
        <f>Europe!H171+"$F;@!.mp"</f>
        <v>#VALUE!</v>
      </c>
      <c r="GX241" t="e">
        <f>Europe!A172+"$F;@!.mq"</f>
        <v>#VALUE!</v>
      </c>
      <c r="GY241" t="e">
        <f>Europe!B172+"$F;@!.mr"</f>
        <v>#VALUE!</v>
      </c>
      <c r="GZ241" t="e">
        <f>Europe!C172+"$F;@!.ms"</f>
        <v>#VALUE!</v>
      </c>
      <c r="HA241" t="e">
        <f>Europe!D172+"$F;@!.mt"</f>
        <v>#VALUE!</v>
      </c>
      <c r="HB241" t="e">
        <f>Europe!E172+"$F;@!.mu"</f>
        <v>#VALUE!</v>
      </c>
      <c r="HC241" t="e">
        <f>Europe!F172+"$F;@!.mv"</f>
        <v>#VALUE!</v>
      </c>
      <c r="HD241" t="e">
        <f>Europe!G172+"$F;@!.mw"</f>
        <v>#VALUE!</v>
      </c>
      <c r="HE241" t="e">
        <f>Europe!H172+"$F;@!.mx"</f>
        <v>#VALUE!</v>
      </c>
      <c r="HF241" t="e">
        <f>Europe!A173+"$F;@!.my"</f>
        <v>#VALUE!</v>
      </c>
      <c r="HG241" t="e">
        <f>Europe!B173+"$F;@!.mz"</f>
        <v>#VALUE!</v>
      </c>
      <c r="HH241" t="e">
        <f>Europe!C173+"$F;@!.m{"</f>
        <v>#VALUE!</v>
      </c>
      <c r="HI241" t="e">
        <f>Europe!D173+"$F;@!.m|"</f>
        <v>#VALUE!</v>
      </c>
      <c r="HJ241" t="e">
        <f>Europe!E173+"$F;@!.m}"</f>
        <v>#VALUE!</v>
      </c>
      <c r="HK241" t="e">
        <f>Europe!F173+"$F;@!.m~"</f>
        <v>#VALUE!</v>
      </c>
      <c r="HL241" t="e">
        <f>Europe!G173+"$F;@!.n#"</f>
        <v>#VALUE!</v>
      </c>
      <c r="HM241" t="e">
        <f>Europe!H173+"$F;@!.n$"</f>
        <v>#VALUE!</v>
      </c>
      <c r="HN241" t="e">
        <f>Europe!A174+"$F;@!.n%"</f>
        <v>#VALUE!</v>
      </c>
      <c r="HO241" t="e">
        <f>Europe!B174+"$F;@!.n&amp;"</f>
        <v>#VALUE!</v>
      </c>
      <c r="HP241" t="e">
        <f>Europe!C174+"$F;@!.n'"</f>
        <v>#VALUE!</v>
      </c>
      <c r="HQ241" t="e">
        <f>Europe!D174+"$F;@!.n("</f>
        <v>#VALUE!</v>
      </c>
      <c r="HR241" t="e">
        <f>Europe!E174+"$F;@!.n)"</f>
        <v>#VALUE!</v>
      </c>
      <c r="HS241" t="e">
        <f>Europe!F174+"$F;@!.n."</f>
        <v>#VALUE!</v>
      </c>
      <c r="HT241" t="e">
        <f>Europe!G174+"$F;@!.n/"</f>
        <v>#VALUE!</v>
      </c>
      <c r="HU241" t="e">
        <f>Europe!H174+"$F;@!.n0"</f>
        <v>#VALUE!</v>
      </c>
      <c r="HV241" t="e">
        <f>Europe!A175+"$F;@!.n1"</f>
        <v>#VALUE!</v>
      </c>
      <c r="HW241" t="e">
        <f>Europe!B175+"$F;@!.n2"</f>
        <v>#VALUE!</v>
      </c>
      <c r="HX241" t="e">
        <f>Europe!C175+"$F;@!.n3"</f>
        <v>#VALUE!</v>
      </c>
      <c r="HY241" t="e">
        <f>Europe!D175+"$F;@!.n4"</f>
        <v>#VALUE!</v>
      </c>
      <c r="HZ241" t="e">
        <f>Europe!E175+"$F;@!.n5"</f>
        <v>#VALUE!</v>
      </c>
      <c r="IA241" t="e">
        <f>Europe!F175+"$F;@!.n6"</f>
        <v>#VALUE!</v>
      </c>
      <c r="IB241" t="e">
        <f>Europe!G175+"$F;@!.n7"</f>
        <v>#VALUE!</v>
      </c>
      <c r="IC241" t="e">
        <f>Europe!H175+"$F;@!.n8"</f>
        <v>#VALUE!</v>
      </c>
      <c r="ID241" t="e">
        <f>Europe!A176+"$F;@!.n9"</f>
        <v>#VALUE!</v>
      </c>
      <c r="IE241" t="e">
        <f>Europe!B176+"$F;@!.n:"</f>
        <v>#VALUE!</v>
      </c>
      <c r="IF241" t="e">
        <f>Europe!C176+"$F;@!.n;"</f>
        <v>#VALUE!</v>
      </c>
      <c r="IG241" t="e">
        <f>Europe!D176+"$F;@!.n&lt;"</f>
        <v>#VALUE!</v>
      </c>
      <c r="IH241" t="e">
        <f>Europe!E176+"$F;@!.n="</f>
        <v>#VALUE!</v>
      </c>
      <c r="II241" t="e">
        <f>Europe!F176+"$F;@!.n&gt;"</f>
        <v>#VALUE!</v>
      </c>
      <c r="IJ241" t="e">
        <f>Europe!G176+"$F;@!.n?"</f>
        <v>#VALUE!</v>
      </c>
      <c r="IK241" t="e">
        <f>Europe!H176+"$F;@!.n@"</f>
        <v>#VALUE!</v>
      </c>
      <c r="IL241" t="e">
        <f>Europe!A177+"$F;@!.nA"</f>
        <v>#VALUE!</v>
      </c>
      <c r="IM241" t="e">
        <f>Europe!B177+"$F;@!.nB"</f>
        <v>#VALUE!</v>
      </c>
      <c r="IN241" t="e">
        <f>Europe!C177+"$F;@!.nC"</f>
        <v>#VALUE!</v>
      </c>
      <c r="IO241" t="e">
        <f>Europe!D177+"$F;@!.nD"</f>
        <v>#VALUE!</v>
      </c>
      <c r="IP241" t="e">
        <f>Europe!E177+"$F;@!.nE"</f>
        <v>#VALUE!</v>
      </c>
      <c r="IQ241" t="e">
        <f>Europe!F177+"$F;@!.nF"</f>
        <v>#VALUE!</v>
      </c>
      <c r="IR241" t="e">
        <f>Europe!G177+"$F;@!.nG"</f>
        <v>#VALUE!</v>
      </c>
      <c r="IS241" t="e">
        <f>Europe!H177+"$F;@!.nH"</f>
        <v>#VALUE!</v>
      </c>
      <c r="IT241" t="e">
        <f>Europe!A178+"$F;@!.nI"</f>
        <v>#VALUE!</v>
      </c>
      <c r="IU241" t="e">
        <f>Europe!B178+"$F;@!.nJ"</f>
        <v>#VALUE!</v>
      </c>
      <c r="IV241" t="e">
        <f>Europe!C178+"$F;@!.nK"</f>
        <v>#VALUE!</v>
      </c>
    </row>
    <row r="242" spans="6:256" x14ac:dyDescent="0.35">
      <c r="F242" t="e">
        <f>Europe!D178+"$F;@!.nL"</f>
        <v>#VALUE!</v>
      </c>
      <c r="G242" t="e">
        <f>Europe!E178+"$F;@!.nM"</f>
        <v>#VALUE!</v>
      </c>
      <c r="H242" t="e">
        <f>Europe!F178+"$F;@!.nN"</f>
        <v>#VALUE!</v>
      </c>
      <c r="I242" t="e">
        <f>Europe!G178+"$F;@!.nO"</f>
        <v>#VALUE!</v>
      </c>
      <c r="J242" t="e">
        <f>Europe!H178+"$F;@!.nP"</f>
        <v>#VALUE!</v>
      </c>
      <c r="K242" t="e">
        <f>Europe!A179+"$F;@!.nQ"</f>
        <v>#VALUE!</v>
      </c>
      <c r="L242" t="e">
        <f>Europe!B179+"$F;@!.nR"</f>
        <v>#VALUE!</v>
      </c>
      <c r="M242" t="e">
        <f>Europe!C179+"$F;@!.nS"</f>
        <v>#VALUE!</v>
      </c>
      <c r="N242" t="e">
        <f>Europe!D179+"$F;@!.nT"</f>
        <v>#VALUE!</v>
      </c>
      <c r="O242" t="e">
        <f>Europe!E179+"$F;@!.nU"</f>
        <v>#VALUE!</v>
      </c>
      <c r="P242" t="e">
        <f>Europe!F179+"$F;@!.nV"</f>
        <v>#VALUE!</v>
      </c>
      <c r="Q242" t="e">
        <f>Europe!G179+"$F;@!.nW"</f>
        <v>#VALUE!</v>
      </c>
      <c r="R242" t="e">
        <f>Europe!H179+"$F;@!.nX"</f>
        <v>#VALUE!</v>
      </c>
      <c r="S242" t="e">
        <f>Europe!A180+"$F;@!.nY"</f>
        <v>#VALUE!</v>
      </c>
      <c r="T242" t="e">
        <f>Europe!B180+"$F;@!.nZ"</f>
        <v>#VALUE!</v>
      </c>
      <c r="U242" t="e">
        <f>Europe!C180+"$F;@!.n["</f>
        <v>#VALUE!</v>
      </c>
      <c r="V242" t="e">
        <f>Europe!D180+"$F;@!.n\"</f>
        <v>#VALUE!</v>
      </c>
      <c r="W242" t="e">
        <f>Europe!E180+"$F;@!.n]"</f>
        <v>#VALUE!</v>
      </c>
      <c r="X242" t="e">
        <f>Europe!F180+"$F;@!.n^"</f>
        <v>#VALUE!</v>
      </c>
      <c r="Y242" t="e">
        <f>Europe!G180+"$F;@!.n_"</f>
        <v>#VALUE!</v>
      </c>
      <c r="Z242" t="e">
        <f>Europe!H180+"$F;@!.n`"</f>
        <v>#VALUE!</v>
      </c>
      <c r="AA242" t="e">
        <f>Europe!A181+"$F;@!.na"</f>
        <v>#VALUE!</v>
      </c>
      <c r="AB242" t="e">
        <f>Europe!B181+"$F;@!.nb"</f>
        <v>#VALUE!</v>
      </c>
      <c r="AC242" t="e">
        <f>Europe!C181+"$F;@!.nc"</f>
        <v>#VALUE!</v>
      </c>
      <c r="AD242" t="e">
        <f>Europe!D181+"$F;@!.nd"</f>
        <v>#VALUE!</v>
      </c>
      <c r="AE242" t="e">
        <f>Europe!E181+"$F;@!.ne"</f>
        <v>#VALUE!</v>
      </c>
      <c r="AF242" t="e">
        <f>Europe!F181+"$F;@!.nf"</f>
        <v>#VALUE!</v>
      </c>
      <c r="AG242" t="e">
        <f>Europe!G181+"$F;@!.ng"</f>
        <v>#VALUE!</v>
      </c>
      <c r="AH242" t="e">
        <f>Europe!H181+"$F;@!.nh"</f>
        <v>#VALUE!</v>
      </c>
      <c r="AI242" t="e">
        <f>Europe!A182+"$F;@!.ni"</f>
        <v>#VALUE!</v>
      </c>
      <c r="AJ242" t="e">
        <f>Europe!B182+"$F;@!.nj"</f>
        <v>#VALUE!</v>
      </c>
      <c r="AK242" t="e">
        <f>Europe!C182+"$F;@!.nk"</f>
        <v>#VALUE!</v>
      </c>
      <c r="AL242" t="e">
        <f>Europe!D182+"$F;@!.nl"</f>
        <v>#VALUE!</v>
      </c>
      <c r="AM242" t="e">
        <f>Europe!E182+"$F;@!.nm"</f>
        <v>#VALUE!</v>
      </c>
      <c r="AN242" t="e">
        <f>Europe!F182+"$F;@!.nn"</f>
        <v>#VALUE!</v>
      </c>
      <c r="AO242" t="e">
        <f>Europe!G182+"$F;@!.no"</f>
        <v>#VALUE!</v>
      </c>
      <c r="AP242" t="e">
        <f>Europe!H182+"$F;@!.np"</f>
        <v>#VALUE!</v>
      </c>
      <c r="AQ242" t="e">
        <f>Europe!A183+"$F;@!.nq"</f>
        <v>#VALUE!</v>
      </c>
      <c r="AR242" t="e">
        <f>Europe!B183+"$F;@!.nr"</f>
        <v>#VALUE!</v>
      </c>
      <c r="AS242" t="e">
        <f>Europe!C183+"$F;@!.ns"</f>
        <v>#VALUE!</v>
      </c>
      <c r="AT242" t="e">
        <f>Europe!D183+"$F;@!.nt"</f>
        <v>#VALUE!</v>
      </c>
      <c r="AU242" t="e">
        <f>Europe!E183+"$F;@!.nu"</f>
        <v>#VALUE!</v>
      </c>
      <c r="AV242" t="e">
        <f>Europe!F183+"$F;@!.nv"</f>
        <v>#VALUE!</v>
      </c>
      <c r="AW242" t="e">
        <f>Europe!G183+"$F;@!.nw"</f>
        <v>#VALUE!</v>
      </c>
      <c r="AX242" t="e">
        <f>Europe!H183+"$F;@!.nx"</f>
        <v>#VALUE!</v>
      </c>
      <c r="AY242" t="e">
        <f>Europe!A184+"$F;@!.ny"</f>
        <v>#VALUE!</v>
      </c>
      <c r="AZ242" t="e">
        <f>Europe!B184+"$F;@!.nz"</f>
        <v>#VALUE!</v>
      </c>
      <c r="BA242" t="e">
        <f>Europe!C184+"$F;@!.n{"</f>
        <v>#VALUE!</v>
      </c>
      <c r="BB242" t="e">
        <f>Europe!D184+"$F;@!.n|"</f>
        <v>#VALUE!</v>
      </c>
      <c r="BC242" t="e">
        <f>Europe!E184+"$F;@!.n}"</f>
        <v>#VALUE!</v>
      </c>
      <c r="BD242" t="e">
        <f>Europe!F184+"$F;@!.n~"</f>
        <v>#VALUE!</v>
      </c>
      <c r="BE242" t="e">
        <f>Europe!G184+"$F;@!.o#"</f>
        <v>#VALUE!</v>
      </c>
      <c r="BF242" t="e">
        <f>Europe!H184+"$F;@!.o$"</f>
        <v>#VALUE!</v>
      </c>
      <c r="BG242" t="e">
        <f>Europe!A185+"$F;@!.o%"</f>
        <v>#VALUE!</v>
      </c>
      <c r="BH242" t="e">
        <f>Europe!B185+"$F;@!.o&amp;"</f>
        <v>#VALUE!</v>
      </c>
      <c r="BI242" t="e">
        <f>Europe!C185+"$F;@!.o'"</f>
        <v>#VALUE!</v>
      </c>
      <c r="BJ242" t="e">
        <f>Europe!D185+"$F;@!.o("</f>
        <v>#VALUE!</v>
      </c>
      <c r="BK242" t="e">
        <f>Europe!E185+"$F;@!.o)"</f>
        <v>#VALUE!</v>
      </c>
      <c r="BL242" t="e">
        <f>Europe!F185+"$F;@!.o."</f>
        <v>#VALUE!</v>
      </c>
      <c r="BM242" t="e">
        <f>Europe!G185+"$F;@!.o/"</f>
        <v>#VALUE!</v>
      </c>
      <c r="BN242" t="e">
        <f>Europe!H185+"$F;@!.o0"</f>
        <v>#VALUE!</v>
      </c>
      <c r="BO242" t="e">
        <f>Europe!A186+"$F;@!.o1"</f>
        <v>#VALUE!</v>
      </c>
      <c r="BP242" t="e">
        <f>Europe!B186+"$F;@!.o2"</f>
        <v>#VALUE!</v>
      </c>
      <c r="BQ242" t="e">
        <f>Europe!C186+"$F;@!.o3"</f>
        <v>#VALUE!</v>
      </c>
      <c r="BR242" t="e">
        <f>Europe!D186+"$F;@!.o4"</f>
        <v>#VALUE!</v>
      </c>
      <c r="BS242" t="e">
        <f>Europe!E186+"$F;@!.o5"</f>
        <v>#VALUE!</v>
      </c>
      <c r="BT242" t="e">
        <f>Europe!F186+"$F;@!.o6"</f>
        <v>#VALUE!</v>
      </c>
      <c r="BU242" t="e">
        <f>Europe!G186+"$F;@!.o7"</f>
        <v>#VALUE!</v>
      </c>
      <c r="BV242" t="e">
        <f>Europe!H186+"$F;@!.o8"</f>
        <v>#VALUE!</v>
      </c>
      <c r="BW242" t="e">
        <f>Europe!A187+"$F;@!.o9"</f>
        <v>#VALUE!</v>
      </c>
      <c r="BX242" t="e">
        <f>Europe!B187+"$F;@!.o:"</f>
        <v>#VALUE!</v>
      </c>
      <c r="BY242" t="e">
        <f>Europe!C187+"$F;@!.o;"</f>
        <v>#VALUE!</v>
      </c>
      <c r="BZ242" t="e">
        <f>Europe!D187+"$F;@!.o&lt;"</f>
        <v>#VALUE!</v>
      </c>
      <c r="CA242" t="e">
        <f>Europe!E187+"$F;@!.o="</f>
        <v>#VALUE!</v>
      </c>
      <c r="CB242" t="e">
        <f>Europe!F187+"$F;@!.o&gt;"</f>
        <v>#VALUE!</v>
      </c>
      <c r="CC242" t="e">
        <f>Europe!G187+"$F;@!.o?"</f>
        <v>#VALUE!</v>
      </c>
      <c r="CD242" t="e">
        <f>Europe!H187+"$F;@!.o@"</f>
        <v>#VALUE!</v>
      </c>
      <c r="CE242" t="e">
        <f>Europe!A188+"$F;@!.oA"</f>
        <v>#VALUE!</v>
      </c>
      <c r="CF242" t="e">
        <f>Europe!B188+"$F;@!.oB"</f>
        <v>#VALUE!</v>
      </c>
      <c r="CG242" t="e">
        <f>Europe!C188+"$F;@!.oC"</f>
        <v>#VALUE!</v>
      </c>
      <c r="CH242" t="e">
        <f>Europe!D188+"$F;@!.oD"</f>
        <v>#VALUE!</v>
      </c>
      <c r="CI242" t="e">
        <f>Europe!E188+"$F;@!.oE"</f>
        <v>#VALUE!</v>
      </c>
      <c r="CJ242" t="e">
        <f>Europe!F188+"$F;@!.oF"</f>
        <v>#VALUE!</v>
      </c>
      <c r="CK242" t="e">
        <f>Europe!G188+"$F;@!.oG"</f>
        <v>#VALUE!</v>
      </c>
      <c r="CL242" t="e">
        <f>Europe!H188+"$F;@!.oH"</f>
        <v>#VALUE!</v>
      </c>
      <c r="CM242" t="e">
        <f>Europe!A189+"$F;@!.oI"</f>
        <v>#VALUE!</v>
      </c>
      <c r="CN242" t="e">
        <f>Europe!B189+"$F;@!.oJ"</f>
        <v>#VALUE!</v>
      </c>
      <c r="CO242" t="e">
        <f>Europe!C189+"$F;@!.oK"</f>
        <v>#VALUE!</v>
      </c>
      <c r="CP242" t="e">
        <f>Europe!D189+"$F;@!.oL"</f>
        <v>#VALUE!</v>
      </c>
      <c r="CQ242" t="e">
        <f>Europe!E189+"$F;@!.oM"</f>
        <v>#VALUE!</v>
      </c>
      <c r="CR242" t="e">
        <f>Europe!F189+"$F;@!.oN"</f>
        <v>#VALUE!</v>
      </c>
      <c r="CS242" t="e">
        <f>Europe!G189+"$F;@!.oO"</f>
        <v>#VALUE!</v>
      </c>
      <c r="CT242" t="e">
        <f>Europe!H189+"$F;@!.oP"</f>
        <v>#VALUE!</v>
      </c>
      <c r="CU242" t="e">
        <f>Europe!A190+"$F;@!.oQ"</f>
        <v>#VALUE!</v>
      </c>
      <c r="CV242" t="e">
        <f>Europe!B190+"$F;@!.oR"</f>
        <v>#VALUE!</v>
      </c>
      <c r="CW242" t="e">
        <f>Europe!C190+"$F;@!.oS"</f>
        <v>#VALUE!</v>
      </c>
      <c r="CX242" t="e">
        <f>Europe!D190+"$F;@!.oT"</f>
        <v>#VALUE!</v>
      </c>
      <c r="CY242" t="e">
        <f>Europe!E190+"$F;@!.oU"</f>
        <v>#VALUE!</v>
      </c>
      <c r="CZ242" t="e">
        <f>Europe!F190+"$F;@!.oV"</f>
        <v>#VALUE!</v>
      </c>
      <c r="DA242" t="e">
        <f>Europe!G190+"$F;@!.oW"</f>
        <v>#VALUE!</v>
      </c>
      <c r="DB242" t="e">
        <f>Europe!H190+"$F;@!.oX"</f>
        <v>#VALUE!</v>
      </c>
      <c r="DC242" t="e">
        <f>Europe!A191+"$F;@!.oY"</f>
        <v>#VALUE!</v>
      </c>
      <c r="DD242" t="e">
        <f>Europe!B191+"$F;@!.oZ"</f>
        <v>#VALUE!</v>
      </c>
      <c r="DE242" t="e">
        <f>Europe!C191+"$F;@!.o["</f>
        <v>#VALUE!</v>
      </c>
      <c r="DF242" t="e">
        <f>Europe!D191+"$F;@!.o\"</f>
        <v>#VALUE!</v>
      </c>
      <c r="DG242" t="e">
        <f>Europe!E191+"$F;@!.o]"</f>
        <v>#VALUE!</v>
      </c>
      <c r="DH242" t="e">
        <f>Europe!F191+"$F;@!.o^"</f>
        <v>#VALUE!</v>
      </c>
      <c r="DI242" t="e">
        <f>Europe!G191+"$F;@!.o_"</f>
        <v>#VALUE!</v>
      </c>
      <c r="DJ242" t="e">
        <f>Europe!H191+"$F;@!.o`"</f>
        <v>#VALUE!</v>
      </c>
      <c r="DK242" t="e">
        <f>Europe!A192+"$F;@!.oa"</f>
        <v>#VALUE!</v>
      </c>
      <c r="DL242" t="e">
        <f>Europe!B192+"$F;@!.ob"</f>
        <v>#VALUE!</v>
      </c>
      <c r="DM242" t="e">
        <f>Europe!C192+"$F;@!.oc"</f>
        <v>#VALUE!</v>
      </c>
      <c r="DN242" t="e">
        <f>Europe!D192+"$F;@!.od"</f>
        <v>#VALUE!</v>
      </c>
      <c r="DO242" t="e">
        <f>Europe!E192+"$F;@!.oe"</f>
        <v>#VALUE!</v>
      </c>
      <c r="DP242" t="e">
        <f>Europe!F192+"$F;@!.of"</f>
        <v>#VALUE!</v>
      </c>
      <c r="DQ242" t="e">
        <f>Europe!G192+"$F;@!.og"</f>
        <v>#VALUE!</v>
      </c>
      <c r="DR242" t="e">
        <f>Europe!H192+"$F;@!.oh"</f>
        <v>#VALUE!</v>
      </c>
      <c r="DS242" t="e">
        <f>Europe!A193+"$F;@!.oi"</f>
        <v>#VALUE!</v>
      </c>
      <c r="DT242" t="e">
        <f>Europe!B193+"$F;@!.oj"</f>
        <v>#VALUE!</v>
      </c>
      <c r="DU242" t="e">
        <f>Europe!C193+"$F;@!.ok"</f>
        <v>#VALUE!</v>
      </c>
      <c r="DV242" t="e">
        <f>Europe!D193+"$F;@!.ol"</f>
        <v>#VALUE!</v>
      </c>
      <c r="DW242" t="e">
        <f>Europe!E193+"$F;@!.om"</f>
        <v>#VALUE!</v>
      </c>
      <c r="DX242" t="e">
        <f>Europe!F193+"$F;@!.on"</f>
        <v>#VALUE!</v>
      </c>
      <c r="DY242" t="e">
        <f>Europe!G193+"$F;@!.oo"</f>
        <v>#VALUE!</v>
      </c>
      <c r="DZ242" t="e">
        <f>Europe!H193+"$F;@!.op"</f>
        <v>#VALUE!</v>
      </c>
      <c r="EA242" t="e">
        <f>Europe!A194+"$F;@!.oq"</f>
        <v>#VALUE!</v>
      </c>
      <c r="EB242" t="e">
        <f>Europe!B194+"$F;@!.or"</f>
        <v>#VALUE!</v>
      </c>
      <c r="EC242" t="e">
        <f>Europe!C194+"$F;@!.os"</f>
        <v>#VALUE!</v>
      </c>
      <c r="ED242" t="e">
        <f>Europe!D194+"$F;@!.ot"</f>
        <v>#VALUE!</v>
      </c>
      <c r="EE242" t="e">
        <f>Europe!E194+"$F;@!.ou"</f>
        <v>#VALUE!</v>
      </c>
      <c r="EF242" t="e">
        <f>Europe!F194+"$F;@!.ov"</f>
        <v>#VALUE!</v>
      </c>
      <c r="EG242" t="e">
        <f>Europe!G194+"$F;@!.ow"</f>
        <v>#VALUE!</v>
      </c>
      <c r="EH242" t="e">
        <f>Europe!H194+"$F;@!.ox"</f>
        <v>#VALUE!</v>
      </c>
      <c r="EI242" t="e">
        <f>Europe!A195+"$F;@!.oy"</f>
        <v>#VALUE!</v>
      </c>
      <c r="EJ242" t="e">
        <f>Europe!B195+"$F;@!.oz"</f>
        <v>#VALUE!</v>
      </c>
      <c r="EK242" t="e">
        <f>Europe!C195+"$F;@!.o{"</f>
        <v>#VALUE!</v>
      </c>
      <c r="EL242" t="e">
        <f>Europe!D195+"$F;@!.o|"</f>
        <v>#VALUE!</v>
      </c>
      <c r="EM242" t="e">
        <f>Europe!E195+"$F;@!.o}"</f>
        <v>#VALUE!</v>
      </c>
      <c r="EN242" t="e">
        <f>Europe!F195+"$F;@!.o~"</f>
        <v>#VALUE!</v>
      </c>
      <c r="EO242" t="e">
        <f>Europe!G195+"$F;@!.p#"</f>
        <v>#VALUE!</v>
      </c>
      <c r="EP242" t="e">
        <f>Europe!H195+"$F;@!.p$"</f>
        <v>#VALUE!</v>
      </c>
      <c r="EQ242" t="e">
        <f>Europe!A196+"$F;@!.p%"</f>
        <v>#VALUE!</v>
      </c>
      <c r="ER242" t="e">
        <f>Europe!B196+"$F;@!.p&amp;"</f>
        <v>#VALUE!</v>
      </c>
      <c r="ES242" t="e">
        <f>Europe!C196+"$F;@!.p'"</f>
        <v>#VALUE!</v>
      </c>
      <c r="ET242" t="e">
        <f>Europe!D196+"$F;@!.p("</f>
        <v>#VALUE!</v>
      </c>
      <c r="EU242" t="e">
        <f>Europe!E196+"$F;@!.p)"</f>
        <v>#VALUE!</v>
      </c>
      <c r="EV242" t="e">
        <f>Europe!F196+"$F;@!.p."</f>
        <v>#VALUE!</v>
      </c>
      <c r="EW242" t="e">
        <f>Europe!G196+"$F;@!.p/"</f>
        <v>#VALUE!</v>
      </c>
      <c r="EX242" t="e">
        <f>Europe!H196+"$F;@!.p0"</f>
        <v>#VALUE!</v>
      </c>
      <c r="EY242" t="e">
        <f>Europe!A197+"$F;@!.p1"</f>
        <v>#VALUE!</v>
      </c>
      <c r="EZ242" t="e">
        <f>Europe!B197+"$F;@!.p2"</f>
        <v>#VALUE!</v>
      </c>
      <c r="FA242" t="e">
        <f>Europe!C197+"$F;@!.p3"</f>
        <v>#VALUE!</v>
      </c>
      <c r="FB242" t="e">
        <f>Europe!D197+"$F;@!.p4"</f>
        <v>#VALUE!</v>
      </c>
      <c r="FC242" t="e">
        <f>Europe!E197+"$F;@!.p5"</f>
        <v>#VALUE!</v>
      </c>
      <c r="FD242" t="e">
        <f>Europe!F197+"$F;@!.p6"</f>
        <v>#VALUE!</v>
      </c>
      <c r="FE242" t="e">
        <f>Europe!G197+"$F;@!.p7"</f>
        <v>#VALUE!</v>
      </c>
      <c r="FF242" t="e">
        <f>Europe!H197+"$F;@!.p8"</f>
        <v>#VALUE!</v>
      </c>
      <c r="FG242" t="e">
        <f>Europe!A198+"$F;@!.p9"</f>
        <v>#VALUE!</v>
      </c>
      <c r="FH242" t="e">
        <f>Europe!B198+"$F;@!.p:"</f>
        <v>#VALUE!</v>
      </c>
      <c r="FI242" t="e">
        <f>Europe!C198+"$F;@!.p;"</f>
        <v>#VALUE!</v>
      </c>
      <c r="FJ242" t="e">
        <f>Europe!D198+"$F;@!.p&lt;"</f>
        <v>#VALUE!</v>
      </c>
      <c r="FK242" t="e">
        <f>Europe!E198+"$F;@!.p="</f>
        <v>#VALUE!</v>
      </c>
      <c r="FL242" t="e">
        <f>Europe!F198+"$F;@!.p&gt;"</f>
        <v>#VALUE!</v>
      </c>
      <c r="FM242" t="e">
        <f>Europe!G198+"$F;@!.p?"</f>
        <v>#VALUE!</v>
      </c>
      <c r="FN242" t="e">
        <f>Europe!H198+"$F;@!.p@"</f>
        <v>#VALUE!</v>
      </c>
      <c r="FO242" t="e">
        <f>Europe!A199+"$F;@!.pA"</f>
        <v>#VALUE!</v>
      </c>
      <c r="FP242" t="e">
        <f>Europe!B199+"$F;@!.pB"</f>
        <v>#VALUE!</v>
      </c>
      <c r="FQ242" t="e">
        <f>Europe!C199+"$F;@!.pC"</f>
        <v>#VALUE!</v>
      </c>
      <c r="FR242" t="e">
        <f>Europe!D199+"$F;@!.pD"</f>
        <v>#VALUE!</v>
      </c>
      <c r="FS242" t="e">
        <f>Europe!E199+"$F;@!.pE"</f>
        <v>#VALUE!</v>
      </c>
      <c r="FT242" t="e">
        <f>Europe!F199+"$F;@!.pF"</f>
        <v>#VALUE!</v>
      </c>
      <c r="FU242" t="e">
        <f>Europe!G199+"$F;@!.pG"</f>
        <v>#VALUE!</v>
      </c>
      <c r="FV242" t="e">
        <f>Europe!H199+"$F;@!.pH"</f>
        <v>#VALUE!</v>
      </c>
      <c r="FW242" t="e">
        <f>Europe!A200+"$F;@!.pI"</f>
        <v>#VALUE!</v>
      </c>
      <c r="FX242" t="e">
        <f>Europe!B200+"$F;@!.pJ"</f>
        <v>#VALUE!</v>
      </c>
      <c r="FY242" t="e">
        <f>Europe!C200+"$F;@!.pK"</f>
        <v>#VALUE!</v>
      </c>
      <c r="FZ242" t="e">
        <f>Europe!D200+"$F;@!.pL"</f>
        <v>#VALUE!</v>
      </c>
      <c r="GA242" t="e">
        <f>Europe!E200+"$F;@!.pM"</f>
        <v>#VALUE!</v>
      </c>
      <c r="GB242" t="e">
        <f>Europe!F200+"$F;@!.pN"</f>
        <v>#VALUE!</v>
      </c>
      <c r="GC242" t="e">
        <f>Europe!G200+"$F;@!.pO"</f>
        <v>#VALUE!</v>
      </c>
      <c r="GD242" t="e">
        <f>Europe!H200+"$F;@!.pP"</f>
        <v>#VALUE!</v>
      </c>
      <c r="GE242" t="e">
        <f>Europe!A201+"$F;@!.pQ"</f>
        <v>#VALUE!</v>
      </c>
      <c r="GF242" t="e">
        <f>Europe!B201+"$F;@!.pR"</f>
        <v>#VALUE!</v>
      </c>
      <c r="GG242" t="e">
        <f>Europe!C201+"$F;@!.pS"</f>
        <v>#VALUE!</v>
      </c>
      <c r="GH242" t="e">
        <f>Europe!D201+"$F;@!.pT"</f>
        <v>#VALUE!</v>
      </c>
      <c r="GI242" t="e">
        <f>Europe!E201+"$F;@!.pU"</f>
        <v>#VALUE!</v>
      </c>
      <c r="GJ242" t="e">
        <f>Europe!F201+"$F;@!.pV"</f>
        <v>#VALUE!</v>
      </c>
      <c r="GK242" t="e">
        <f>Europe!G201+"$F;@!.pW"</f>
        <v>#VALUE!</v>
      </c>
      <c r="GL242" t="e">
        <f>Europe!H201+"$F;@!.pX"</f>
        <v>#VALUE!</v>
      </c>
      <c r="GM242" t="e">
        <f>Europe!A202+"$F;@!.pY"</f>
        <v>#VALUE!</v>
      </c>
      <c r="GN242" t="e">
        <f>Europe!B202+"$F;@!.pZ"</f>
        <v>#VALUE!</v>
      </c>
      <c r="GO242" t="e">
        <f>Europe!C202+"$F;@!.p["</f>
        <v>#VALUE!</v>
      </c>
      <c r="GP242" t="e">
        <f>Europe!D202+"$F;@!.p\"</f>
        <v>#VALUE!</v>
      </c>
      <c r="GQ242" t="e">
        <f>Europe!E202+"$F;@!.p]"</f>
        <v>#VALUE!</v>
      </c>
      <c r="GR242" t="e">
        <f>Europe!F202+"$F;@!.p^"</f>
        <v>#VALUE!</v>
      </c>
      <c r="GS242" t="e">
        <f>Europe!G202+"$F;@!.p_"</f>
        <v>#VALUE!</v>
      </c>
      <c r="GT242" t="e">
        <f>Europe!H202+"$F;@!.p`"</f>
        <v>#VALUE!</v>
      </c>
      <c r="GU242" t="e">
        <f>Europe!A203+"$F;@!.pa"</f>
        <v>#VALUE!</v>
      </c>
      <c r="GV242" t="e">
        <f>Europe!B203+"$F;@!.pb"</f>
        <v>#VALUE!</v>
      </c>
      <c r="GW242" t="e">
        <f>Europe!C203+"$F;@!.pc"</f>
        <v>#VALUE!</v>
      </c>
      <c r="GX242" t="e">
        <f>Europe!D203+"$F;@!.pd"</f>
        <v>#VALUE!</v>
      </c>
      <c r="GY242" t="e">
        <f>Europe!E203+"$F;@!.pe"</f>
        <v>#VALUE!</v>
      </c>
      <c r="GZ242" t="e">
        <f>Europe!F203+"$F;@!.pf"</f>
        <v>#VALUE!</v>
      </c>
      <c r="HA242" t="e">
        <f>Europe!G203+"$F;@!.pg"</f>
        <v>#VALUE!</v>
      </c>
      <c r="HB242" t="e">
        <f>Europe!H203+"$F;@!.ph"</f>
        <v>#VALUE!</v>
      </c>
      <c r="HC242" t="e">
        <f>Europe!A204+"$F;@!.pi"</f>
        <v>#VALUE!</v>
      </c>
      <c r="HD242" t="e">
        <f>Europe!B204+"$F;@!.pj"</f>
        <v>#VALUE!</v>
      </c>
      <c r="HE242" t="e">
        <f>Europe!C204+"$F;@!.pk"</f>
        <v>#VALUE!</v>
      </c>
      <c r="HF242" t="e">
        <f>Europe!D204+"$F;@!.pl"</f>
        <v>#VALUE!</v>
      </c>
      <c r="HG242" t="e">
        <f>Europe!E204+"$F;@!.pm"</f>
        <v>#VALUE!</v>
      </c>
      <c r="HH242" t="e">
        <f>Europe!F204+"$F;@!.pn"</f>
        <v>#VALUE!</v>
      </c>
      <c r="HI242" t="e">
        <f>Europe!G204+"$F;@!.po"</f>
        <v>#VALUE!</v>
      </c>
      <c r="HJ242" t="e">
        <f>Europe!H204+"$F;@!.pp"</f>
        <v>#VALUE!</v>
      </c>
      <c r="HK242" t="e">
        <f>Europe!A205+"$F;@!.pq"</f>
        <v>#VALUE!</v>
      </c>
      <c r="HL242" t="e">
        <f>Europe!B205+"$F;@!.pr"</f>
        <v>#VALUE!</v>
      </c>
      <c r="HM242" t="e">
        <f>Europe!C205+"$F;@!.ps"</f>
        <v>#VALUE!</v>
      </c>
      <c r="HN242" t="e">
        <f>Europe!D205+"$F;@!.pt"</f>
        <v>#VALUE!</v>
      </c>
      <c r="HO242" t="e">
        <f>Europe!E205+"$F;@!.pu"</f>
        <v>#VALUE!</v>
      </c>
      <c r="HP242" t="e">
        <f>Europe!F205+"$F;@!.pv"</f>
        <v>#VALUE!</v>
      </c>
      <c r="HQ242" t="e">
        <f>Europe!G205+"$F;@!.pw"</f>
        <v>#VALUE!</v>
      </c>
      <c r="HR242" t="e">
        <f>Europe!H205+"$F;@!.px"</f>
        <v>#VALUE!</v>
      </c>
      <c r="HS242" t="e">
        <f>Europe!A206+"$F;@!.py"</f>
        <v>#VALUE!</v>
      </c>
      <c r="HT242" t="e">
        <f>Europe!B206+"$F;@!.pz"</f>
        <v>#VALUE!</v>
      </c>
      <c r="HU242" t="e">
        <f>Europe!C206+"$F;@!.p{"</f>
        <v>#VALUE!</v>
      </c>
      <c r="HV242" t="e">
        <f>Europe!D206+"$F;@!.p|"</f>
        <v>#VALUE!</v>
      </c>
      <c r="HW242" t="e">
        <f>Europe!E206+"$F;@!.p}"</f>
        <v>#VALUE!</v>
      </c>
      <c r="HX242" t="e">
        <f>Europe!F206+"$F;@!.p~"</f>
        <v>#VALUE!</v>
      </c>
      <c r="HY242" t="e">
        <f>Europe!G206+"$F;@!.q#"</f>
        <v>#VALUE!</v>
      </c>
      <c r="HZ242" t="e">
        <f>Europe!H206+"$F;@!.q$"</f>
        <v>#VALUE!</v>
      </c>
      <c r="IA242" t="e">
        <f>Europe!A207+"$F;@!.q%"</f>
        <v>#VALUE!</v>
      </c>
      <c r="IB242" t="e">
        <f>Europe!B207+"$F;@!.q&amp;"</f>
        <v>#VALUE!</v>
      </c>
      <c r="IC242" t="e">
        <f>Europe!C207+"$F;@!.q'"</f>
        <v>#VALUE!</v>
      </c>
      <c r="ID242" t="e">
        <f>Europe!D207+"$F;@!.q("</f>
        <v>#VALUE!</v>
      </c>
      <c r="IE242" t="e">
        <f>Europe!E207+"$F;@!.q)"</f>
        <v>#VALUE!</v>
      </c>
      <c r="IF242" t="e">
        <f>Europe!F207+"$F;@!.q."</f>
        <v>#VALUE!</v>
      </c>
      <c r="IG242" t="e">
        <f>Europe!G207+"$F;@!.q/"</f>
        <v>#VALUE!</v>
      </c>
      <c r="IH242" t="e">
        <f>Europe!H207+"$F;@!.q0"</f>
        <v>#VALUE!</v>
      </c>
      <c r="II242" t="e">
        <f>Europe!A208+"$F;@!.q1"</f>
        <v>#VALUE!</v>
      </c>
      <c r="IJ242" t="e">
        <f>Europe!B208+"$F;@!.q2"</f>
        <v>#VALUE!</v>
      </c>
      <c r="IK242" t="e">
        <f>Europe!C208+"$F;@!.q3"</f>
        <v>#VALUE!</v>
      </c>
      <c r="IL242" t="e">
        <f>Europe!D208+"$F;@!.q4"</f>
        <v>#VALUE!</v>
      </c>
      <c r="IM242" t="e">
        <f>Europe!E208+"$F;@!.q5"</f>
        <v>#VALUE!</v>
      </c>
      <c r="IN242" t="e">
        <f>Europe!F208+"$F;@!.q6"</f>
        <v>#VALUE!</v>
      </c>
      <c r="IO242" t="e">
        <f>Europe!G208+"$F;@!.q7"</f>
        <v>#VALUE!</v>
      </c>
      <c r="IP242" t="e">
        <f>Europe!H208+"$F;@!.q8"</f>
        <v>#VALUE!</v>
      </c>
      <c r="IQ242" t="e">
        <f>Europe!A209+"$F;@!.q9"</f>
        <v>#VALUE!</v>
      </c>
      <c r="IR242" t="e">
        <f>Europe!B209+"$F;@!.q:"</f>
        <v>#VALUE!</v>
      </c>
      <c r="IS242" t="e">
        <f>Europe!C209+"$F;@!.q;"</f>
        <v>#VALUE!</v>
      </c>
      <c r="IT242" t="e">
        <f>Europe!D209+"$F;@!.q&lt;"</f>
        <v>#VALUE!</v>
      </c>
      <c r="IU242" t="e">
        <f>Europe!E209+"$F;@!.q="</f>
        <v>#VALUE!</v>
      </c>
      <c r="IV242" t="e">
        <f>Europe!F209+"$F;@!.q&gt;"</f>
        <v>#VALUE!</v>
      </c>
    </row>
    <row r="243" spans="6:256" x14ac:dyDescent="0.35">
      <c r="F243" t="e">
        <f>Europe!G209+"$F;@!.q?"</f>
        <v>#VALUE!</v>
      </c>
      <c r="G243" t="e">
        <f>Europe!H209+"$F;@!.q@"</f>
        <v>#VALUE!</v>
      </c>
      <c r="H243" t="e">
        <f>Europe!A210+"$F;@!.qA"</f>
        <v>#VALUE!</v>
      </c>
      <c r="I243" t="e">
        <f>Europe!B210+"$F;@!.qB"</f>
        <v>#VALUE!</v>
      </c>
      <c r="J243" t="e">
        <f>Europe!C210+"$F;@!.qC"</f>
        <v>#VALUE!</v>
      </c>
      <c r="K243" t="e">
        <f>Europe!D210+"$F;@!.qD"</f>
        <v>#VALUE!</v>
      </c>
      <c r="L243" t="e">
        <f>Europe!E210+"$F;@!.qE"</f>
        <v>#VALUE!</v>
      </c>
      <c r="M243" t="e">
        <f>Europe!F210+"$F;@!.qF"</f>
        <v>#VALUE!</v>
      </c>
      <c r="N243" t="e">
        <f>Europe!G210+"$F;@!.qG"</f>
        <v>#VALUE!</v>
      </c>
      <c r="O243" t="e">
        <f>Europe!H210+"$F;@!.qH"</f>
        <v>#VALUE!</v>
      </c>
      <c r="P243" t="e">
        <f>Europe!A211+"$F;@!.qI"</f>
        <v>#VALUE!</v>
      </c>
      <c r="Q243" t="e">
        <f>Europe!B211+"$F;@!.qJ"</f>
        <v>#VALUE!</v>
      </c>
      <c r="R243" t="e">
        <f>Europe!C211+"$F;@!.qK"</f>
        <v>#VALUE!</v>
      </c>
      <c r="S243" t="e">
        <f>Europe!D211+"$F;@!.qL"</f>
        <v>#VALUE!</v>
      </c>
      <c r="T243" t="e">
        <f>Europe!E211+"$F;@!.qM"</f>
        <v>#VALUE!</v>
      </c>
      <c r="U243" t="e">
        <f>Europe!F211+"$F;@!.qN"</f>
        <v>#VALUE!</v>
      </c>
      <c r="V243" t="e">
        <f>Europe!G211+"$F;@!.qO"</f>
        <v>#VALUE!</v>
      </c>
      <c r="W243" t="e">
        <f>Europe!H211+"$F;@!.qP"</f>
        <v>#VALUE!</v>
      </c>
      <c r="X243" t="e">
        <f>Europe!A212+"$F;@!.qQ"</f>
        <v>#VALUE!</v>
      </c>
      <c r="Y243" t="e">
        <f>Europe!B212+"$F;@!.qR"</f>
        <v>#VALUE!</v>
      </c>
      <c r="Z243" t="e">
        <f>Europe!C212+"$F;@!.qS"</f>
        <v>#VALUE!</v>
      </c>
      <c r="AA243" t="e">
        <f>Europe!D212+"$F;@!.qT"</f>
        <v>#VALUE!</v>
      </c>
      <c r="AB243" t="e">
        <f>Europe!E212+"$F;@!.qU"</f>
        <v>#VALUE!</v>
      </c>
      <c r="AC243" t="e">
        <f>Europe!F212+"$F;@!.qV"</f>
        <v>#VALUE!</v>
      </c>
      <c r="AD243" t="e">
        <f>Europe!G212+"$F;@!.qW"</f>
        <v>#VALUE!</v>
      </c>
      <c r="AE243" t="e">
        <f>Europe!H212+"$F;@!.qX"</f>
        <v>#VALUE!</v>
      </c>
      <c r="AF243" t="e">
        <f>Europe!A213+"$F;@!.qY"</f>
        <v>#VALUE!</v>
      </c>
      <c r="AG243" t="e">
        <f>Europe!B213+"$F;@!.qZ"</f>
        <v>#VALUE!</v>
      </c>
      <c r="AH243" t="e">
        <f>Europe!C213+"$F;@!.q["</f>
        <v>#VALUE!</v>
      </c>
      <c r="AI243" t="e">
        <f>Europe!D213+"$F;@!.q\"</f>
        <v>#VALUE!</v>
      </c>
      <c r="AJ243" t="e">
        <f>Europe!E213+"$F;@!.q]"</f>
        <v>#VALUE!</v>
      </c>
      <c r="AK243" t="e">
        <f>Europe!F213+"$F;@!.q^"</f>
        <v>#VALUE!</v>
      </c>
      <c r="AL243" t="e">
        <f>Europe!G213+"$F;@!.q_"</f>
        <v>#VALUE!</v>
      </c>
      <c r="AM243" t="e">
        <f>Europe!H213+"$F;@!.q`"</f>
        <v>#VALUE!</v>
      </c>
      <c r="AN243" t="e">
        <f>Europe!A214+"$F;@!.qa"</f>
        <v>#VALUE!</v>
      </c>
      <c r="AO243" t="e">
        <f>Europe!B214+"$F;@!.qb"</f>
        <v>#VALUE!</v>
      </c>
      <c r="AP243" t="e">
        <f>Europe!C214+"$F;@!.qc"</f>
        <v>#VALUE!</v>
      </c>
      <c r="AQ243" t="e">
        <f>Europe!D214+"$F;@!.qd"</f>
        <v>#VALUE!</v>
      </c>
      <c r="AR243" t="e">
        <f>Europe!E214+"$F;@!.qe"</f>
        <v>#VALUE!</v>
      </c>
      <c r="AS243" t="e">
        <f>Europe!F214+"$F;@!.qf"</f>
        <v>#VALUE!</v>
      </c>
      <c r="AT243" t="e">
        <f>Europe!G214+"$F;@!.qg"</f>
        <v>#VALUE!</v>
      </c>
      <c r="AU243" t="e">
        <f>Europe!H214+"$F;@!.qh"</f>
        <v>#VALUE!</v>
      </c>
      <c r="AV243" t="e">
        <f>Europe!A215+"$F;@!.qi"</f>
        <v>#VALUE!</v>
      </c>
      <c r="AW243" t="e">
        <f>Europe!B215+"$F;@!.qj"</f>
        <v>#VALUE!</v>
      </c>
      <c r="AX243" t="e">
        <f>Europe!C215+"$F;@!.qk"</f>
        <v>#VALUE!</v>
      </c>
      <c r="AY243" t="e">
        <f>Europe!D215+"$F;@!.ql"</f>
        <v>#VALUE!</v>
      </c>
      <c r="AZ243" t="e">
        <f>Europe!E215+"$F;@!.qm"</f>
        <v>#VALUE!</v>
      </c>
      <c r="BA243" t="e">
        <f>Europe!F215+"$F;@!.qn"</f>
        <v>#VALUE!</v>
      </c>
      <c r="BB243" t="e">
        <f>Europe!G215+"$F;@!.qo"</f>
        <v>#VALUE!</v>
      </c>
      <c r="BC243" t="e">
        <f>Europe!H215+"$F;@!.qp"</f>
        <v>#VALUE!</v>
      </c>
      <c r="BD243" t="e">
        <f>Europe!A216+"$F;@!.qq"</f>
        <v>#VALUE!</v>
      </c>
      <c r="BE243" t="e">
        <f>Europe!B216+"$F;@!.qr"</f>
        <v>#VALUE!</v>
      </c>
      <c r="BF243" t="e">
        <f>Europe!C216+"$F;@!.qs"</f>
        <v>#VALUE!</v>
      </c>
      <c r="BG243" t="e">
        <f>Europe!D216+"$F;@!.qt"</f>
        <v>#VALUE!</v>
      </c>
      <c r="BH243" t="e">
        <f>Europe!E216+"$F;@!.qu"</f>
        <v>#VALUE!</v>
      </c>
      <c r="BI243" t="e">
        <f>Europe!F216+"$F;@!.qv"</f>
        <v>#VALUE!</v>
      </c>
      <c r="BJ243" t="e">
        <f>Europe!G216+"$F;@!.qw"</f>
        <v>#VALUE!</v>
      </c>
      <c r="BK243" t="e">
        <f>Europe!H216+"$F;@!.qx"</f>
        <v>#VALUE!</v>
      </c>
      <c r="BL243" t="e">
        <f>Europe!A217+"$F;@!.qy"</f>
        <v>#VALUE!</v>
      </c>
      <c r="BM243" t="e">
        <f>Europe!B217+"$F;@!.qz"</f>
        <v>#VALUE!</v>
      </c>
      <c r="BN243" t="e">
        <f>Europe!C217+"$F;@!.q{"</f>
        <v>#VALUE!</v>
      </c>
      <c r="BO243" t="e">
        <f>Europe!D217+"$F;@!.q|"</f>
        <v>#VALUE!</v>
      </c>
      <c r="BP243" t="e">
        <f>Europe!E217+"$F;@!.q}"</f>
        <v>#VALUE!</v>
      </c>
      <c r="BQ243" t="e">
        <f>Europe!F217+"$F;@!.q~"</f>
        <v>#VALUE!</v>
      </c>
      <c r="BR243" t="e">
        <f>Europe!G217+"$F;@!.r#"</f>
        <v>#VALUE!</v>
      </c>
      <c r="BS243" t="e">
        <f>Europe!H217+"$F;@!.r$"</f>
        <v>#VALUE!</v>
      </c>
      <c r="BT243" t="e">
        <f>Europe!A218+"$F;@!.r%"</f>
        <v>#VALUE!</v>
      </c>
      <c r="BU243" t="e">
        <f>Europe!B218+"$F;@!.r&amp;"</f>
        <v>#VALUE!</v>
      </c>
      <c r="BV243" t="e">
        <f>Europe!C218+"$F;@!.r'"</f>
        <v>#VALUE!</v>
      </c>
      <c r="BW243" t="e">
        <f>Europe!D218+"$F;@!.r("</f>
        <v>#VALUE!</v>
      </c>
      <c r="BX243" t="e">
        <f>Europe!E218+"$F;@!.r)"</f>
        <v>#VALUE!</v>
      </c>
      <c r="BY243" t="e">
        <f>Europe!F218+"$F;@!.r."</f>
        <v>#VALUE!</v>
      </c>
      <c r="BZ243" t="e">
        <f>Europe!G218+"$F;@!.r/"</f>
        <v>#VALUE!</v>
      </c>
      <c r="CA243" t="e">
        <f>Europe!H218+"$F;@!.r0"</f>
        <v>#VALUE!</v>
      </c>
      <c r="CB243" t="e">
        <f>Europe!A219+"$F;@!.r1"</f>
        <v>#VALUE!</v>
      </c>
      <c r="CC243" t="e">
        <f>Europe!B219+"$F;@!.r2"</f>
        <v>#VALUE!</v>
      </c>
      <c r="CD243" t="e">
        <f>Europe!C219+"$F;@!.r3"</f>
        <v>#VALUE!</v>
      </c>
      <c r="CE243" t="e">
        <f>Europe!D219+"$F;@!.r4"</f>
        <v>#VALUE!</v>
      </c>
      <c r="CF243" t="e">
        <f>Europe!E219+"$F;@!.r5"</f>
        <v>#VALUE!</v>
      </c>
      <c r="CG243" t="e">
        <f>Europe!F219+"$F;@!.r6"</f>
        <v>#VALUE!</v>
      </c>
      <c r="CH243" t="e">
        <f>Europe!G219+"$F;@!.r7"</f>
        <v>#VALUE!</v>
      </c>
      <c r="CI243" t="e">
        <f>Europe!H219+"$F;@!.r8"</f>
        <v>#VALUE!</v>
      </c>
      <c r="CJ243" t="e">
        <f>Europe!A220+"$F;@!.r9"</f>
        <v>#VALUE!</v>
      </c>
      <c r="CK243" t="e">
        <f>Europe!B220+"$F;@!.r:"</f>
        <v>#VALUE!</v>
      </c>
      <c r="CL243" t="e">
        <f>Europe!C220+"$F;@!.r;"</f>
        <v>#VALUE!</v>
      </c>
      <c r="CM243" t="e">
        <f>Europe!D220+"$F;@!.r&lt;"</f>
        <v>#VALUE!</v>
      </c>
      <c r="CN243" t="e">
        <f>Europe!E220+"$F;@!.r="</f>
        <v>#VALUE!</v>
      </c>
      <c r="CO243" t="e">
        <f>Europe!F220+"$F;@!.r&gt;"</f>
        <v>#VALUE!</v>
      </c>
      <c r="CP243" t="e">
        <f>Europe!G220+"$F;@!.r?"</f>
        <v>#VALUE!</v>
      </c>
      <c r="CQ243" t="e">
        <f>Europe!H220+"$F;@!.r@"</f>
        <v>#VALUE!</v>
      </c>
      <c r="CR243" t="e">
        <f>Europe!A221+"$F;@!.rA"</f>
        <v>#VALUE!</v>
      </c>
      <c r="CS243" t="e">
        <f>Europe!B221+"$F;@!.rB"</f>
        <v>#VALUE!</v>
      </c>
      <c r="CT243" t="e">
        <f>Europe!C221+"$F;@!.rC"</f>
        <v>#VALUE!</v>
      </c>
      <c r="CU243" t="e">
        <f>Europe!D221+"$F;@!.rD"</f>
        <v>#VALUE!</v>
      </c>
      <c r="CV243" t="e">
        <f>Europe!E221+"$F;@!.rE"</f>
        <v>#VALUE!</v>
      </c>
      <c r="CW243" t="e">
        <f>Europe!F221+"$F;@!.rF"</f>
        <v>#VALUE!</v>
      </c>
      <c r="CX243" t="e">
        <f>Europe!G221+"$F;@!.rG"</f>
        <v>#VALUE!</v>
      </c>
      <c r="CY243" t="e">
        <f>Europe!H221+"$F;@!.rH"</f>
        <v>#VALUE!</v>
      </c>
      <c r="CZ243" t="e">
        <f>Europe!A222+"$F;@!.rI"</f>
        <v>#VALUE!</v>
      </c>
      <c r="DA243" t="e">
        <f>Europe!B222+"$F;@!.rJ"</f>
        <v>#VALUE!</v>
      </c>
      <c r="DB243" t="e">
        <f>Europe!C222+"$F;@!.rK"</f>
        <v>#VALUE!</v>
      </c>
      <c r="DC243" t="e">
        <f>Europe!D222+"$F;@!.rL"</f>
        <v>#VALUE!</v>
      </c>
      <c r="DD243" t="e">
        <f>Europe!E222+"$F;@!.rM"</f>
        <v>#VALUE!</v>
      </c>
      <c r="DE243" t="e">
        <f>Europe!F222+"$F;@!.rN"</f>
        <v>#VALUE!</v>
      </c>
      <c r="DF243" t="e">
        <f>Europe!G222+"$F;@!.rO"</f>
        <v>#VALUE!</v>
      </c>
      <c r="DG243" t="e">
        <f>Europe!H222+"$F;@!.rP"</f>
        <v>#VALUE!</v>
      </c>
      <c r="DH243" t="e">
        <f>Europe!A223+"$F;@!.rQ"</f>
        <v>#VALUE!</v>
      </c>
      <c r="DI243" t="e">
        <f>Europe!B223+"$F;@!.rR"</f>
        <v>#VALUE!</v>
      </c>
      <c r="DJ243" t="e">
        <f>Europe!C223+"$F;@!.rS"</f>
        <v>#VALUE!</v>
      </c>
      <c r="DK243" t="e">
        <f>Europe!D223+"$F;@!.rT"</f>
        <v>#VALUE!</v>
      </c>
      <c r="DL243" t="e">
        <f>Europe!E223+"$F;@!.rU"</f>
        <v>#VALUE!</v>
      </c>
      <c r="DM243" t="e">
        <f>Europe!F223+"$F;@!.rV"</f>
        <v>#VALUE!</v>
      </c>
      <c r="DN243" t="e">
        <f>Europe!G223+"$F;@!.rW"</f>
        <v>#VALUE!</v>
      </c>
      <c r="DO243" t="e">
        <f>Europe!H223+"$F;@!.rX"</f>
        <v>#VALUE!</v>
      </c>
      <c r="DP243" t="e">
        <f>Europe!A224+"$F;@!.rY"</f>
        <v>#VALUE!</v>
      </c>
      <c r="DQ243" t="e">
        <f>Europe!B224+"$F;@!.rZ"</f>
        <v>#VALUE!</v>
      </c>
      <c r="DR243" t="e">
        <f>Europe!C224+"$F;@!.r["</f>
        <v>#VALUE!</v>
      </c>
      <c r="DS243" t="e">
        <f>Europe!D224+"$F;@!.r\"</f>
        <v>#VALUE!</v>
      </c>
      <c r="DT243" t="e">
        <f>Europe!E224+"$F;@!.r]"</f>
        <v>#VALUE!</v>
      </c>
      <c r="DU243" t="e">
        <f>Europe!F224+"$F;@!.r^"</f>
        <v>#VALUE!</v>
      </c>
      <c r="DV243" t="e">
        <f>Europe!G224+"$F;@!.r_"</f>
        <v>#VALUE!</v>
      </c>
      <c r="DW243" t="e">
        <f>Europe!H224+"$F;@!.r`"</f>
        <v>#VALUE!</v>
      </c>
      <c r="DX243" t="e">
        <f>Europe!A225+"$F;@!.ra"</f>
        <v>#VALUE!</v>
      </c>
      <c r="DY243" t="e">
        <f>Europe!B225+"$F;@!.rb"</f>
        <v>#VALUE!</v>
      </c>
      <c r="DZ243" t="e">
        <f>Europe!C225+"$F;@!.rc"</f>
        <v>#VALUE!</v>
      </c>
      <c r="EA243" t="e">
        <f>Europe!D225+"$F;@!.rd"</f>
        <v>#VALUE!</v>
      </c>
      <c r="EB243" t="e">
        <f>Europe!E225+"$F;@!.re"</f>
        <v>#VALUE!</v>
      </c>
      <c r="EC243" t="e">
        <f>Europe!F225+"$F;@!.rf"</f>
        <v>#VALUE!</v>
      </c>
      <c r="ED243" t="e">
        <f>Europe!G225+"$F;@!.rg"</f>
        <v>#VALUE!</v>
      </c>
      <c r="EE243" t="e">
        <f>Europe!H225+"$F;@!.rh"</f>
        <v>#VALUE!</v>
      </c>
      <c r="EF243" t="e">
        <f>Europe!A226+"$F;@!.ri"</f>
        <v>#VALUE!</v>
      </c>
      <c r="EG243" t="e">
        <f>Europe!B226+"$F;@!.rj"</f>
        <v>#VALUE!</v>
      </c>
      <c r="EH243" t="e">
        <f>Europe!C226+"$F;@!.rk"</f>
        <v>#VALUE!</v>
      </c>
      <c r="EI243" t="e">
        <f>Europe!D226+"$F;@!.rl"</f>
        <v>#VALUE!</v>
      </c>
      <c r="EJ243" t="e">
        <f>Europe!E226+"$F;@!.rm"</f>
        <v>#VALUE!</v>
      </c>
      <c r="EK243" t="e">
        <f>Europe!F226+"$F;@!.rn"</f>
        <v>#VALUE!</v>
      </c>
      <c r="EL243" t="e">
        <f>Europe!G226+"$F;@!.ro"</f>
        <v>#VALUE!</v>
      </c>
      <c r="EM243" t="e">
        <f>Europe!H226+"$F;@!.rp"</f>
        <v>#VALUE!</v>
      </c>
      <c r="EN243" t="e">
        <f>Europe!A227+"$F;@!.rq"</f>
        <v>#VALUE!</v>
      </c>
      <c r="EO243" t="e">
        <f>Europe!B227+"$F;@!.rr"</f>
        <v>#VALUE!</v>
      </c>
      <c r="EP243" t="e">
        <f>Europe!C227+"$F;@!.rs"</f>
        <v>#VALUE!</v>
      </c>
      <c r="EQ243" t="e">
        <f>Europe!D227+"$F;@!.rt"</f>
        <v>#VALUE!</v>
      </c>
      <c r="ER243" t="e">
        <f>Europe!E227+"$F;@!.ru"</f>
        <v>#VALUE!</v>
      </c>
      <c r="ES243" t="e">
        <f>Europe!F227+"$F;@!.rv"</f>
        <v>#VALUE!</v>
      </c>
      <c r="ET243" t="e">
        <f>Europe!G227+"$F;@!.rw"</f>
        <v>#VALUE!</v>
      </c>
      <c r="EU243" t="e">
        <f>Europe!H227+"$F;@!.rx"</f>
        <v>#VALUE!</v>
      </c>
      <c r="EV243" t="e">
        <f>Europe!A228+"$F;@!.ry"</f>
        <v>#VALUE!</v>
      </c>
      <c r="EW243" t="e">
        <f>Europe!B228+"$F;@!.rz"</f>
        <v>#VALUE!</v>
      </c>
      <c r="EX243" t="e">
        <f>Europe!C228+"$F;@!.r{"</f>
        <v>#VALUE!</v>
      </c>
      <c r="EY243" t="e">
        <f>Europe!D228+"$F;@!.r|"</f>
        <v>#VALUE!</v>
      </c>
      <c r="EZ243" t="e">
        <f>Europe!E228+"$F;@!.r}"</f>
        <v>#VALUE!</v>
      </c>
      <c r="FA243" t="e">
        <f>Europe!F228+"$F;@!.r~"</f>
        <v>#VALUE!</v>
      </c>
      <c r="FB243" t="e">
        <f>Europe!G228+"$F;@!.s#"</f>
        <v>#VALUE!</v>
      </c>
      <c r="FC243" t="e">
        <f>Europe!H228+"$F;@!.s$"</f>
        <v>#VALUE!</v>
      </c>
      <c r="FD243" t="e">
        <f>Europe!A229+"$F;@!.s%"</f>
        <v>#VALUE!</v>
      </c>
      <c r="FE243" t="e">
        <f>Europe!B229+"$F;@!.s&amp;"</f>
        <v>#VALUE!</v>
      </c>
      <c r="FF243" t="e">
        <f>Europe!C229+"$F;@!.s'"</f>
        <v>#VALUE!</v>
      </c>
      <c r="FG243" t="e">
        <f>Europe!D229+"$F;@!.s("</f>
        <v>#VALUE!</v>
      </c>
      <c r="FH243" t="e">
        <f>Europe!E229+"$F;@!.s)"</f>
        <v>#VALUE!</v>
      </c>
      <c r="FI243" t="e">
        <f>Europe!F229+"$F;@!.s."</f>
        <v>#VALUE!</v>
      </c>
      <c r="FJ243" t="e">
        <f>Europe!G229+"$F;@!.s/"</f>
        <v>#VALUE!</v>
      </c>
      <c r="FK243" t="e">
        <f>Europe!H229+"$F;@!.s0"</f>
        <v>#VALUE!</v>
      </c>
      <c r="FL243" t="e">
        <f>Europe!A230+"$F;@!.s1"</f>
        <v>#VALUE!</v>
      </c>
      <c r="FM243" t="e">
        <f>Europe!B230+"$F;@!.s2"</f>
        <v>#VALUE!</v>
      </c>
      <c r="FN243" t="e">
        <f>Europe!C230+"$F;@!.s3"</f>
        <v>#VALUE!</v>
      </c>
      <c r="FO243" t="e">
        <f>Europe!D230+"$F;@!.s4"</f>
        <v>#VALUE!</v>
      </c>
      <c r="FP243" t="e">
        <f>Europe!E230+"$F;@!.s5"</f>
        <v>#VALUE!</v>
      </c>
      <c r="FQ243" t="e">
        <f>Europe!F230+"$F;@!.s6"</f>
        <v>#VALUE!</v>
      </c>
      <c r="FR243" t="e">
        <f>Europe!G230+"$F;@!.s7"</f>
        <v>#VALUE!</v>
      </c>
      <c r="FS243" t="e">
        <f>Europe!H230+"$F;@!.s8"</f>
        <v>#VALUE!</v>
      </c>
      <c r="FT243" t="e">
        <f>Europe!A231+"$F;@!.s9"</f>
        <v>#VALUE!</v>
      </c>
      <c r="FU243" t="e">
        <f>Europe!B231+"$F;@!.s:"</f>
        <v>#VALUE!</v>
      </c>
      <c r="FV243" t="e">
        <f>Europe!C231+"$F;@!.s;"</f>
        <v>#VALUE!</v>
      </c>
      <c r="FW243" t="e">
        <f>Europe!D231+"$F;@!.s&lt;"</f>
        <v>#VALUE!</v>
      </c>
      <c r="FX243" t="e">
        <f>Europe!E231+"$F;@!.s="</f>
        <v>#VALUE!</v>
      </c>
      <c r="FY243" t="e">
        <f>Europe!F231+"$F;@!.s&gt;"</f>
        <v>#VALUE!</v>
      </c>
      <c r="FZ243" t="e">
        <f>Europe!G231+"$F;@!.s?"</f>
        <v>#VALUE!</v>
      </c>
      <c r="GA243" t="e">
        <f>Europe!H231+"$F;@!.s@"</f>
        <v>#VALUE!</v>
      </c>
      <c r="GB243" t="e">
        <f>Europe!A232+"$F;@!.sA"</f>
        <v>#VALUE!</v>
      </c>
      <c r="GC243" t="e">
        <f>Europe!B232+"$F;@!.sB"</f>
        <v>#VALUE!</v>
      </c>
      <c r="GD243" t="e">
        <f>Europe!C232+"$F;@!.sC"</f>
        <v>#VALUE!</v>
      </c>
      <c r="GE243" t="e">
        <f>Europe!D232+"$F;@!.sD"</f>
        <v>#VALUE!</v>
      </c>
      <c r="GF243" t="e">
        <f>Europe!E232+"$F;@!.sE"</f>
        <v>#VALUE!</v>
      </c>
      <c r="GG243" t="e">
        <f>Europe!F232+"$F;@!.sF"</f>
        <v>#VALUE!</v>
      </c>
      <c r="GH243" t="e">
        <f>Europe!G232+"$F;@!.sG"</f>
        <v>#VALUE!</v>
      </c>
      <c r="GI243" t="e">
        <f>Europe!H232+"$F;@!.sH"</f>
        <v>#VALUE!</v>
      </c>
      <c r="GJ243" t="e">
        <f>Europe!A233+"$F;@!.sI"</f>
        <v>#VALUE!</v>
      </c>
      <c r="GK243" t="e">
        <f>Europe!B233+"$F;@!.sJ"</f>
        <v>#VALUE!</v>
      </c>
      <c r="GL243" t="e">
        <f>Europe!C233+"$F;@!.sK"</f>
        <v>#VALUE!</v>
      </c>
      <c r="GM243" t="e">
        <f>Europe!D233+"$F;@!.sL"</f>
        <v>#VALUE!</v>
      </c>
      <c r="GN243" t="e">
        <f>Europe!E233+"$F;@!.sM"</f>
        <v>#VALUE!</v>
      </c>
      <c r="GO243" t="e">
        <f>Europe!F233+"$F;@!.sN"</f>
        <v>#VALUE!</v>
      </c>
      <c r="GP243" t="e">
        <f>Europe!G233+"$F;@!.sO"</f>
        <v>#VALUE!</v>
      </c>
      <c r="GQ243" t="e">
        <f>Europe!H233+"$F;@!.sP"</f>
        <v>#VALUE!</v>
      </c>
      <c r="GR243" t="e">
        <f>Europe!A234+"$F;@!.sQ"</f>
        <v>#VALUE!</v>
      </c>
      <c r="GS243" t="e">
        <f>Europe!B234+"$F;@!.sR"</f>
        <v>#VALUE!</v>
      </c>
      <c r="GT243" t="e">
        <f>Europe!C234+"$F;@!.sS"</f>
        <v>#VALUE!</v>
      </c>
      <c r="GU243" t="e">
        <f>Europe!D234+"$F;@!.sT"</f>
        <v>#VALUE!</v>
      </c>
      <c r="GV243" t="e">
        <f>Europe!E234+"$F;@!.sU"</f>
        <v>#VALUE!</v>
      </c>
      <c r="GW243" t="e">
        <f>Europe!F234+"$F;@!.sV"</f>
        <v>#VALUE!</v>
      </c>
      <c r="GX243" t="e">
        <f>Europe!G234+"$F;@!.sW"</f>
        <v>#VALUE!</v>
      </c>
      <c r="GY243" t="e">
        <f>Europe!H234+"$F;@!.sX"</f>
        <v>#VALUE!</v>
      </c>
      <c r="GZ243" t="e">
        <f>Europe!A235+"$F;@!.sY"</f>
        <v>#VALUE!</v>
      </c>
      <c r="HA243" t="e">
        <f>Europe!B235+"$F;@!.sZ"</f>
        <v>#VALUE!</v>
      </c>
      <c r="HB243" t="e">
        <f>Europe!C235+"$F;@!.s["</f>
        <v>#VALUE!</v>
      </c>
      <c r="HC243" t="e">
        <f>Europe!D235+"$F;@!.s\"</f>
        <v>#VALUE!</v>
      </c>
      <c r="HD243" t="e">
        <f>Europe!E235+"$F;@!.s]"</f>
        <v>#VALUE!</v>
      </c>
      <c r="HE243" t="e">
        <f>Europe!F235+"$F;@!.s^"</f>
        <v>#VALUE!</v>
      </c>
      <c r="HF243" t="e">
        <f>Europe!G235+"$F;@!.s_"</f>
        <v>#VALUE!</v>
      </c>
      <c r="HG243" t="e">
        <f>Europe!H235+"$F;@!.s`"</f>
        <v>#VALUE!</v>
      </c>
      <c r="HH243" t="e">
        <f>Europe!A236+"$F;@!.sa"</f>
        <v>#VALUE!</v>
      </c>
      <c r="HI243" t="e">
        <f>Europe!B236+"$F;@!.sb"</f>
        <v>#VALUE!</v>
      </c>
      <c r="HJ243" t="e">
        <f>Europe!C236+"$F;@!.sc"</f>
        <v>#VALUE!</v>
      </c>
      <c r="HK243" t="e">
        <f>Europe!D236+"$F;@!.sd"</f>
        <v>#VALUE!</v>
      </c>
      <c r="HL243" t="e">
        <f>Europe!E236+"$F;@!.se"</f>
        <v>#VALUE!</v>
      </c>
      <c r="HM243" t="e">
        <f>Europe!F236+"$F;@!.sf"</f>
        <v>#VALUE!</v>
      </c>
      <c r="HN243" t="e">
        <f>Europe!G236+"$F;@!.sg"</f>
        <v>#VALUE!</v>
      </c>
      <c r="HO243" t="e">
        <f>Europe!H236+"$F;@!.sh"</f>
        <v>#VALUE!</v>
      </c>
      <c r="HP243" t="e">
        <f>Europe!A237+"$F;@!.si"</f>
        <v>#VALUE!</v>
      </c>
      <c r="HQ243" t="e">
        <f>Europe!B237+"$F;@!.sj"</f>
        <v>#VALUE!</v>
      </c>
      <c r="HR243" t="e">
        <f>Europe!C237+"$F;@!.sk"</f>
        <v>#VALUE!</v>
      </c>
      <c r="HS243" t="e">
        <f>Europe!D237+"$F;@!.sl"</f>
        <v>#VALUE!</v>
      </c>
      <c r="HT243" t="e">
        <f>Europe!E237+"$F;@!.sm"</f>
        <v>#VALUE!</v>
      </c>
      <c r="HU243" t="e">
        <f>Europe!F237+"$F;@!.sn"</f>
        <v>#VALUE!</v>
      </c>
      <c r="HV243" t="e">
        <f>Europe!G237+"$F;@!.so"</f>
        <v>#VALUE!</v>
      </c>
      <c r="HW243" t="e">
        <f>Europe!H237+"$F;@!.sp"</f>
        <v>#VALUE!</v>
      </c>
      <c r="HX243" t="e">
        <f>Europe!A238+"$F;@!.sq"</f>
        <v>#VALUE!</v>
      </c>
      <c r="HY243" t="e">
        <f>Europe!B238+"$F;@!.sr"</f>
        <v>#VALUE!</v>
      </c>
      <c r="HZ243" t="e">
        <f>Europe!C238+"$F;@!.ss"</f>
        <v>#VALUE!</v>
      </c>
      <c r="IA243" t="e">
        <f>Europe!D238+"$F;@!.st"</f>
        <v>#VALUE!</v>
      </c>
      <c r="IB243" t="e">
        <f>Europe!E238+"$F;@!.su"</f>
        <v>#VALUE!</v>
      </c>
      <c r="IC243" t="e">
        <f>Europe!F238+"$F;@!.sv"</f>
        <v>#VALUE!</v>
      </c>
      <c r="ID243" t="e">
        <f>Europe!G238+"$F;@!.sw"</f>
        <v>#VALUE!</v>
      </c>
      <c r="IE243" t="e">
        <f>Europe!H238+"$F;@!.sx"</f>
        <v>#VALUE!</v>
      </c>
      <c r="IF243" t="e">
        <f>Europe!A239+"$F;@!.sy"</f>
        <v>#VALUE!</v>
      </c>
      <c r="IG243" t="e">
        <f>Europe!B239+"$F;@!.sz"</f>
        <v>#VALUE!</v>
      </c>
      <c r="IH243" t="e">
        <f>Europe!C239+"$F;@!.s{"</f>
        <v>#VALUE!</v>
      </c>
      <c r="II243" t="e">
        <f>Europe!D239+"$F;@!.s|"</f>
        <v>#VALUE!</v>
      </c>
      <c r="IJ243" t="e">
        <f>Europe!E239+"$F;@!.s}"</f>
        <v>#VALUE!</v>
      </c>
      <c r="IK243" t="e">
        <f>Europe!F239+"$F;@!.s~"</f>
        <v>#VALUE!</v>
      </c>
      <c r="IL243" t="e">
        <f>Europe!G239+"$F;@!.t#"</f>
        <v>#VALUE!</v>
      </c>
      <c r="IM243" t="e">
        <f>Europe!H239+"$F;@!.t$"</f>
        <v>#VALUE!</v>
      </c>
      <c r="IN243" t="e">
        <f>Europe!A240+"$F;@!.t%"</f>
        <v>#VALUE!</v>
      </c>
      <c r="IO243" t="e">
        <f>Europe!B240+"$F;@!.t&amp;"</f>
        <v>#VALUE!</v>
      </c>
      <c r="IP243" t="e">
        <f>Europe!C240+"$F;@!.t'"</f>
        <v>#VALUE!</v>
      </c>
      <c r="IQ243" t="e">
        <f>Europe!D240+"$F;@!.t("</f>
        <v>#VALUE!</v>
      </c>
      <c r="IR243" t="e">
        <f>Europe!E240+"$F;@!.t)"</f>
        <v>#VALUE!</v>
      </c>
      <c r="IS243" t="e">
        <f>Europe!F240+"$F;@!.t."</f>
        <v>#VALUE!</v>
      </c>
      <c r="IT243" t="e">
        <f>Europe!G240+"$F;@!.t/"</f>
        <v>#VALUE!</v>
      </c>
      <c r="IU243" t="e">
        <f>Europe!H240+"$F;@!.t0"</f>
        <v>#VALUE!</v>
      </c>
      <c r="IV243" t="e">
        <f>Europe!A241+"$F;@!.t1"</f>
        <v>#VALUE!</v>
      </c>
    </row>
    <row r="244" spans="6:256" x14ac:dyDescent="0.35">
      <c r="F244" t="e">
        <f>Europe!B241+"$F;@!.t2"</f>
        <v>#VALUE!</v>
      </c>
      <c r="G244" t="e">
        <f>Europe!C241+"$F;@!.t3"</f>
        <v>#VALUE!</v>
      </c>
      <c r="H244" t="e">
        <f>Europe!D241+"$F;@!.t4"</f>
        <v>#VALUE!</v>
      </c>
      <c r="I244" t="e">
        <f>Europe!E241+"$F;@!.t5"</f>
        <v>#VALUE!</v>
      </c>
      <c r="J244" t="e">
        <f>Europe!F241+"$F;@!.t6"</f>
        <v>#VALUE!</v>
      </c>
      <c r="K244" t="e">
        <f>Europe!G241+"$F;@!.t7"</f>
        <v>#VALUE!</v>
      </c>
      <c r="L244" t="e">
        <f>Europe!H241+"$F;@!.t8"</f>
        <v>#VALUE!</v>
      </c>
      <c r="M244" t="e">
        <f>Europe!A242+"$F;@!.t9"</f>
        <v>#VALUE!</v>
      </c>
      <c r="N244" t="e">
        <f>Europe!B242+"$F;@!.t:"</f>
        <v>#VALUE!</v>
      </c>
      <c r="O244" t="e">
        <f>Europe!C242+"$F;@!.t;"</f>
        <v>#VALUE!</v>
      </c>
      <c r="P244" t="e">
        <f>Europe!D242+"$F;@!.t&lt;"</f>
        <v>#VALUE!</v>
      </c>
      <c r="Q244" t="e">
        <f>Europe!E242+"$F;@!.t="</f>
        <v>#VALUE!</v>
      </c>
      <c r="R244" t="e">
        <f>Europe!F242+"$F;@!.t&gt;"</f>
        <v>#VALUE!</v>
      </c>
      <c r="S244" t="e">
        <f>Europe!G242+"$F;@!.t?"</f>
        <v>#VALUE!</v>
      </c>
      <c r="T244" t="e">
        <f>Europe!H242+"$F;@!.t@"</f>
        <v>#VALUE!</v>
      </c>
      <c r="U244" t="e">
        <f>Europe!A243+"$F;@!.tA"</f>
        <v>#VALUE!</v>
      </c>
      <c r="V244" t="e">
        <f>Europe!B243+"$F;@!.tB"</f>
        <v>#VALUE!</v>
      </c>
      <c r="W244" t="e">
        <f>Europe!C243+"$F;@!.tC"</f>
        <v>#VALUE!</v>
      </c>
      <c r="X244" t="e">
        <f>Europe!D243+"$F;@!.tD"</f>
        <v>#VALUE!</v>
      </c>
      <c r="Y244" t="e">
        <f>Europe!E243+"$F;@!.tE"</f>
        <v>#VALUE!</v>
      </c>
      <c r="Z244" t="e">
        <f>Europe!F243+"$F;@!.tF"</f>
        <v>#VALUE!</v>
      </c>
      <c r="AA244" t="e">
        <f>Europe!G243+"$F;@!.tG"</f>
        <v>#VALUE!</v>
      </c>
      <c r="AB244" t="e">
        <f>Europe!H243+"$F;@!.tH"</f>
        <v>#VALUE!</v>
      </c>
      <c r="AC244" t="e">
        <f>Europe!A244+"$F;@!.tI"</f>
        <v>#VALUE!</v>
      </c>
      <c r="AD244" t="e">
        <f>Europe!B244+"$F;@!.tJ"</f>
        <v>#VALUE!</v>
      </c>
      <c r="AE244" t="e">
        <f>Europe!C244+"$F;@!.tK"</f>
        <v>#VALUE!</v>
      </c>
      <c r="AF244" t="e">
        <f>Europe!D244+"$F;@!.tL"</f>
        <v>#VALUE!</v>
      </c>
      <c r="AG244" t="e">
        <f>Europe!E244+"$F;@!.tM"</f>
        <v>#VALUE!</v>
      </c>
      <c r="AH244" t="e">
        <f>Europe!F244+"$F;@!.tN"</f>
        <v>#VALUE!</v>
      </c>
      <c r="AI244" t="e">
        <f>Europe!G244+"$F;@!.tO"</f>
        <v>#VALUE!</v>
      </c>
      <c r="AJ244" t="e">
        <f>Europe!H244+"$F;@!.tP"</f>
        <v>#VALUE!</v>
      </c>
      <c r="AK244" t="e">
        <f>Europe!A245+"$F;@!.tQ"</f>
        <v>#VALUE!</v>
      </c>
      <c r="AL244" t="e">
        <f>Europe!B245+"$F;@!.tR"</f>
        <v>#VALUE!</v>
      </c>
      <c r="AM244" t="e">
        <f>Europe!C245+"$F;@!.tS"</f>
        <v>#VALUE!</v>
      </c>
      <c r="AN244" t="e">
        <f>Europe!D245+"$F;@!.tT"</f>
        <v>#VALUE!</v>
      </c>
      <c r="AO244" t="e">
        <f>Europe!E245+"$F;@!.tU"</f>
        <v>#VALUE!</v>
      </c>
      <c r="AP244" t="e">
        <f>Europe!F245+"$F;@!.tV"</f>
        <v>#VALUE!</v>
      </c>
      <c r="AQ244" t="e">
        <f>Europe!G245+"$F;@!.tW"</f>
        <v>#VALUE!</v>
      </c>
      <c r="AR244" t="e">
        <f>Europe!H245+"$F;@!.tX"</f>
        <v>#VALUE!</v>
      </c>
      <c r="AS244" t="e">
        <f>Europe!A246+"$F;@!.tY"</f>
        <v>#VALUE!</v>
      </c>
      <c r="AT244" t="e">
        <f>Europe!B246+"$F;@!.tZ"</f>
        <v>#VALUE!</v>
      </c>
      <c r="AU244" t="e">
        <f>Europe!C246+"$F;@!.t["</f>
        <v>#VALUE!</v>
      </c>
      <c r="AV244" t="e">
        <f>Europe!D246+"$F;@!.t\"</f>
        <v>#VALUE!</v>
      </c>
      <c r="AW244" t="e">
        <f>Europe!E246+"$F;@!.t]"</f>
        <v>#VALUE!</v>
      </c>
      <c r="AX244" t="e">
        <f>Europe!F246+"$F;@!.t^"</f>
        <v>#VALUE!</v>
      </c>
      <c r="AY244" t="e">
        <f>Europe!G246+"$F;@!.t_"</f>
        <v>#VALUE!</v>
      </c>
      <c r="AZ244" t="e">
        <f>Europe!H246+"$F;@!.t`"</f>
        <v>#VALUE!</v>
      </c>
      <c r="BA244" t="e">
        <f>Europe!A247+"$F;@!.ta"</f>
        <v>#VALUE!</v>
      </c>
      <c r="BB244" t="e">
        <f>Europe!B247+"$F;@!.tb"</f>
        <v>#VALUE!</v>
      </c>
      <c r="BC244" t="e">
        <f>Europe!C247+"$F;@!.tc"</f>
        <v>#VALUE!</v>
      </c>
      <c r="BD244" t="e">
        <f>Europe!D247+"$F;@!.td"</f>
        <v>#VALUE!</v>
      </c>
      <c r="BE244" t="e">
        <f>Europe!E247+"$F;@!.te"</f>
        <v>#VALUE!</v>
      </c>
      <c r="BF244" t="e">
        <f>Europe!F247+"$F;@!.tf"</f>
        <v>#VALUE!</v>
      </c>
      <c r="BG244" t="e">
        <f>Europe!G247+"$F;@!.tg"</f>
        <v>#VALUE!</v>
      </c>
      <c r="BH244" t="e">
        <f>Europe!H247+"$F;@!.th"</f>
        <v>#VALUE!</v>
      </c>
      <c r="BI244" t="e">
        <f>Europe!A248+"$F;@!.ti"</f>
        <v>#VALUE!</v>
      </c>
      <c r="BJ244" t="e">
        <f>Europe!B248+"$F;@!.tj"</f>
        <v>#VALUE!</v>
      </c>
      <c r="BK244" t="e">
        <f>Europe!C248+"$F;@!.tk"</f>
        <v>#VALUE!</v>
      </c>
      <c r="BL244" t="e">
        <f>Europe!D248+"$F;@!.tl"</f>
        <v>#VALUE!</v>
      </c>
      <c r="BM244" t="e">
        <f>Europe!E248+"$F;@!.tm"</f>
        <v>#VALUE!</v>
      </c>
      <c r="BN244" t="e">
        <f>Europe!F248+"$F;@!.tn"</f>
        <v>#VALUE!</v>
      </c>
      <c r="BO244" t="e">
        <f>Europe!G248+"$F;@!.to"</f>
        <v>#VALUE!</v>
      </c>
      <c r="BP244" t="e">
        <f>Europe!H248+"$F;@!.tp"</f>
        <v>#VALUE!</v>
      </c>
      <c r="BQ244" t="e">
        <f>Europe!A249+"$F;@!.tq"</f>
        <v>#VALUE!</v>
      </c>
      <c r="BR244" t="e">
        <f>Europe!B249+"$F;@!.tr"</f>
        <v>#VALUE!</v>
      </c>
      <c r="BS244" t="e">
        <f>Europe!C249+"$F;@!.ts"</f>
        <v>#VALUE!</v>
      </c>
      <c r="BT244" t="e">
        <f>Europe!D249+"$F;@!.tt"</f>
        <v>#VALUE!</v>
      </c>
      <c r="BU244" t="e">
        <f>Europe!E249+"$F;@!.tu"</f>
        <v>#VALUE!</v>
      </c>
      <c r="BV244" t="e">
        <f>Europe!F249+"$F;@!.tv"</f>
        <v>#VALUE!</v>
      </c>
      <c r="BW244" t="e">
        <f>Europe!G249+"$F;@!.tw"</f>
        <v>#VALUE!</v>
      </c>
      <c r="BX244" t="e">
        <f>Europe!H249+"$F;@!.tx"</f>
        <v>#VALUE!</v>
      </c>
      <c r="BY244" t="e">
        <f>Europe!A250+"$F;@!.ty"</f>
        <v>#VALUE!</v>
      </c>
      <c r="BZ244" t="e">
        <f>Europe!B250+"$F;@!.tz"</f>
        <v>#VALUE!</v>
      </c>
      <c r="CA244" t="e">
        <f>Europe!C250+"$F;@!.t{"</f>
        <v>#VALUE!</v>
      </c>
      <c r="CB244" t="e">
        <f>Europe!D250+"$F;@!.t|"</f>
        <v>#VALUE!</v>
      </c>
      <c r="CC244" t="e">
        <f>Europe!E250+"$F;@!.t}"</f>
        <v>#VALUE!</v>
      </c>
      <c r="CD244" t="e">
        <f>Europe!F250+"$F;@!.t~"</f>
        <v>#VALUE!</v>
      </c>
      <c r="CE244" t="e">
        <f>Europe!G250+"$F;@!.u#"</f>
        <v>#VALUE!</v>
      </c>
      <c r="CF244" t="e">
        <f>Europe!H250+"$F;@!.u$"</f>
        <v>#VALUE!</v>
      </c>
      <c r="CG244" t="e">
        <f>Europe!A251+"$F;@!.u%"</f>
        <v>#VALUE!</v>
      </c>
      <c r="CH244" t="e">
        <f>Europe!B251+"$F;@!.u&amp;"</f>
        <v>#VALUE!</v>
      </c>
      <c r="CI244" t="e">
        <f>Europe!C251+"$F;@!.u'"</f>
        <v>#VALUE!</v>
      </c>
      <c r="CJ244" t="e">
        <f>Europe!D251+"$F;@!.u("</f>
        <v>#VALUE!</v>
      </c>
      <c r="CK244" t="e">
        <f>Europe!E251+"$F;@!.u)"</f>
        <v>#VALUE!</v>
      </c>
      <c r="CL244" t="e">
        <f>Europe!F251+"$F;@!.u."</f>
        <v>#VALUE!</v>
      </c>
      <c r="CM244" t="e">
        <f>Europe!G251+"$F;@!.u/"</f>
        <v>#VALUE!</v>
      </c>
      <c r="CN244" t="e">
        <f>Europe!H251+"$F;@!.u0"</f>
        <v>#VALUE!</v>
      </c>
      <c r="CO244" t="e">
        <f>Europe!A252+"$F;@!.u1"</f>
        <v>#VALUE!</v>
      </c>
      <c r="CP244" t="e">
        <f>Europe!B252+"$F;@!.u2"</f>
        <v>#VALUE!</v>
      </c>
      <c r="CQ244" t="e">
        <f>Europe!C252+"$F;@!.u3"</f>
        <v>#VALUE!</v>
      </c>
      <c r="CR244" t="e">
        <f>Europe!D252+"$F;@!.u4"</f>
        <v>#VALUE!</v>
      </c>
      <c r="CS244" t="e">
        <f>Europe!E252+"$F;@!.u5"</f>
        <v>#VALUE!</v>
      </c>
      <c r="CT244" t="e">
        <f>Europe!F252+"$F;@!.u6"</f>
        <v>#VALUE!</v>
      </c>
      <c r="CU244" t="e">
        <f>Europe!G252+"$F;@!.u7"</f>
        <v>#VALUE!</v>
      </c>
      <c r="CV244" t="e">
        <f>Europe!H252+"$F;@!.u8"</f>
        <v>#VALUE!</v>
      </c>
      <c r="CW244" t="e">
        <f>Europe!A253+"$F;@!.u9"</f>
        <v>#VALUE!</v>
      </c>
      <c r="CX244" t="e">
        <f>Europe!B253+"$F;@!.u:"</f>
        <v>#VALUE!</v>
      </c>
      <c r="CY244" t="e">
        <f>Europe!C253+"$F;@!.u;"</f>
        <v>#VALUE!</v>
      </c>
      <c r="CZ244" t="e">
        <f>Europe!D253+"$F;@!.u&lt;"</f>
        <v>#VALUE!</v>
      </c>
      <c r="DA244" t="e">
        <f>Europe!E253+"$F;@!.u="</f>
        <v>#VALUE!</v>
      </c>
      <c r="DB244" t="e">
        <f>Europe!F253+"$F;@!.u&gt;"</f>
        <v>#VALUE!</v>
      </c>
      <c r="DC244" t="e">
        <f>Europe!G253+"$F;@!.u?"</f>
        <v>#VALUE!</v>
      </c>
      <c r="DD244" t="e">
        <f>Europe!H253+"$F;@!.u@"</f>
        <v>#VALUE!</v>
      </c>
      <c r="DE244" t="e">
        <f>Europe!A254+"$F;@!.uA"</f>
        <v>#VALUE!</v>
      </c>
      <c r="DF244" t="e">
        <f>Europe!B254+"$F;@!.uB"</f>
        <v>#VALUE!</v>
      </c>
      <c r="DG244" t="e">
        <f>Europe!C254+"$F;@!.uC"</f>
        <v>#VALUE!</v>
      </c>
      <c r="DH244" t="e">
        <f>Europe!D254+"$F;@!.uD"</f>
        <v>#VALUE!</v>
      </c>
      <c r="DI244" t="e">
        <f>Europe!E254+"$F;@!.uE"</f>
        <v>#VALUE!</v>
      </c>
      <c r="DJ244" t="e">
        <f>Europe!F254+"$F;@!.uF"</f>
        <v>#VALUE!</v>
      </c>
      <c r="DK244" t="e">
        <f>Europe!G254+"$F;@!.uG"</f>
        <v>#VALUE!</v>
      </c>
      <c r="DL244" t="e">
        <f>Europe!H254+"$F;@!.uH"</f>
        <v>#VALUE!</v>
      </c>
      <c r="DM244" t="e">
        <f>Europe!A255+"$F;@!.uI"</f>
        <v>#VALUE!</v>
      </c>
      <c r="DN244" t="e">
        <f>Europe!B255+"$F;@!.uJ"</f>
        <v>#VALUE!</v>
      </c>
      <c r="DO244" t="e">
        <f>Europe!C255+"$F;@!.uK"</f>
        <v>#VALUE!</v>
      </c>
      <c r="DP244" t="e">
        <f>Europe!D255+"$F;@!.uL"</f>
        <v>#VALUE!</v>
      </c>
      <c r="DQ244" t="e">
        <f>Europe!E255+"$F;@!.uM"</f>
        <v>#VALUE!</v>
      </c>
      <c r="DR244" t="e">
        <f>Europe!F255+"$F;@!.uN"</f>
        <v>#VALUE!</v>
      </c>
      <c r="DS244" t="e">
        <f>Europe!G255+"$F;@!.uO"</f>
        <v>#VALUE!</v>
      </c>
      <c r="DT244" t="e">
        <f>Europe!H255+"$F;@!.uP"</f>
        <v>#VALUE!</v>
      </c>
      <c r="DU244" t="e">
        <f>Europe!A256+"$F;@!.uQ"</f>
        <v>#VALUE!</v>
      </c>
      <c r="DV244" t="e">
        <f>Europe!B256+"$F;@!.uR"</f>
        <v>#VALUE!</v>
      </c>
      <c r="DW244" t="e">
        <f>Europe!C256+"$F;@!.uS"</f>
        <v>#VALUE!</v>
      </c>
      <c r="DX244" t="e">
        <f>Europe!D256+"$F;@!.uT"</f>
        <v>#VALUE!</v>
      </c>
      <c r="DY244" t="e">
        <f>Europe!E256+"$F;@!.uU"</f>
        <v>#VALUE!</v>
      </c>
      <c r="DZ244" t="e">
        <f>Europe!F256+"$F;@!.uV"</f>
        <v>#VALUE!</v>
      </c>
      <c r="EA244" t="e">
        <f>Europe!G256+"$F;@!.uW"</f>
        <v>#VALUE!</v>
      </c>
      <c r="EB244" t="e">
        <f>Europe!H256+"$F;@!.uX"</f>
        <v>#VALUE!</v>
      </c>
      <c r="EC244" t="e">
        <f>Europe!A257+"$F;@!.uY"</f>
        <v>#VALUE!</v>
      </c>
      <c r="ED244" t="e">
        <f>Europe!B257+"$F;@!.uZ"</f>
        <v>#VALUE!</v>
      </c>
      <c r="EE244" t="e">
        <f>Europe!C257+"$F;@!.u["</f>
        <v>#VALUE!</v>
      </c>
      <c r="EF244" t="e">
        <f>Europe!D257+"$F;@!.u\"</f>
        <v>#VALUE!</v>
      </c>
      <c r="EG244" t="e">
        <f>Europe!E257+"$F;@!.u]"</f>
        <v>#VALUE!</v>
      </c>
      <c r="EH244" t="e">
        <f>Europe!F257+"$F;@!.u^"</f>
        <v>#VALUE!</v>
      </c>
      <c r="EI244" t="e">
        <f>Europe!G257+"$F;@!.u_"</f>
        <v>#VALUE!</v>
      </c>
      <c r="EJ244" t="e">
        <f>Europe!H257+"$F;@!.u`"</f>
        <v>#VALUE!</v>
      </c>
      <c r="EK244" t="e">
        <f>Europe!A258+"$F;@!.ua"</f>
        <v>#VALUE!</v>
      </c>
      <c r="EL244" t="e">
        <f>Europe!B258+"$F;@!.ub"</f>
        <v>#VALUE!</v>
      </c>
      <c r="EM244" t="e">
        <f>Europe!C258+"$F;@!.uc"</f>
        <v>#VALUE!</v>
      </c>
      <c r="EN244" t="e">
        <f>Europe!D258+"$F;@!.ud"</f>
        <v>#VALUE!</v>
      </c>
      <c r="EO244" t="e">
        <f>Europe!E258+"$F;@!.ue"</f>
        <v>#VALUE!</v>
      </c>
      <c r="EP244" t="e">
        <f>Europe!F258+"$F;@!.uf"</f>
        <v>#VALUE!</v>
      </c>
      <c r="EQ244" t="e">
        <f>Europe!G258+"$F;@!.ug"</f>
        <v>#VALUE!</v>
      </c>
      <c r="ER244" t="e">
        <f>Europe!H258+"$F;@!.uh"</f>
        <v>#VALUE!</v>
      </c>
      <c r="ES244" t="e">
        <f>Europe!A259+"$F;@!.ui"</f>
        <v>#VALUE!</v>
      </c>
      <c r="ET244" t="e">
        <f>Europe!B259+"$F;@!.uj"</f>
        <v>#VALUE!</v>
      </c>
      <c r="EU244" t="e">
        <f>Europe!C259+"$F;@!.uk"</f>
        <v>#VALUE!</v>
      </c>
      <c r="EV244" t="e">
        <f>Europe!D259+"$F;@!.ul"</f>
        <v>#VALUE!</v>
      </c>
      <c r="EW244" t="e">
        <f>Europe!E259+"$F;@!.um"</f>
        <v>#VALUE!</v>
      </c>
      <c r="EX244" t="e">
        <f>Europe!F259+"$F;@!.un"</f>
        <v>#VALUE!</v>
      </c>
      <c r="EY244" t="e">
        <f>Europe!G259+"$F;@!.uo"</f>
        <v>#VALUE!</v>
      </c>
      <c r="EZ244" t="e">
        <f>Europe!H259+"$F;@!.up"</f>
        <v>#VALUE!</v>
      </c>
      <c r="FA244" t="e">
        <f>Europe!A260+"$F;@!.uq"</f>
        <v>#VALUE!</v>
      </c>
      <c r="FB244" t="e">
        <f>Europe!B260+"$F;@!.ur"</f>
        <v>#VALUE!</v>
      </c>
      <c r="FC244" t="e">
        <f>Europe!C260+"$F;@!.us"</f>
        <v>#VALUE!</v>
      </c>
      <c r="FD244" t="e">
        <f>Europe!D260+"$F;@!.ut"</f>
        <v>#VALUE!</v>
      </c>
      <c r="FE244" t="e">
        <f>Europe!E260+"$F;@!.uu"</f>
        <v>#VALUE!</v>
      </c>
      <c r="FF244" t="e">
        <f>Europe!F260+"$F;@!.uv"</f>
        <v>#VALUE!</v>
      </c>
      <c r="FG244" t="e">
        <f>Europe!G260+"$F;@!.uw"</f>
        <v>#VALUE!</v>
      </c>
      <c r="FH244" t="e">
        <f>Europe!H260+"$F;@!.ux"</f>
        <v>#VALUE!</v>
      </c>
      <c r="FI244" t="e">
        <f>Europe!A261+"$F;@!.uy"</f>
        <v>#VALUE!</v>
      </c>
      <c r="FJ244" t="e">
        <f>Europe!B261+"$F;@!.uz"</f>
        <v>#VALUE!</v>
      </c>
      <c r="FK244" t="e">
        <f>Europe!C261+"$F;@!.u{"</f>
        <v>#VALUE!</v>
      </c>
      <c r="FL244" t="e">
        <f>Europe!D261+"$F;@!.u|"</f>
        <v>#VALUE!</v>
      </c>
      <c r="FM244" t="e">
        <f>Europe!E261+"$F;@!.u}"</f>
        <v>#VALUE!</v>
      </c>
      <c r="FN244" t="e">
        <f>Europe!F261+"$F;@!.u~"</f>
        <v>#VALUE!</v>
      </c>
      <c r="FO244" t="e">
        <f>Europe!G261+"$F;@!.v#"</f>
        <v>#VALUE!</v>
      </c>
      <c r="FP244" t="e">
        <f>Europe!H261+"$F;@!.v$"</f>
        <v>#VALUE!</v>
      </c>
      <c r="FQ244" t="e">
        <f>Europe!A262+"$F;@!.v%"</f>
        <v>#VALUE!</v>
      </c>
      <c r="FR244" t="e">
        <f>Europe!B262+"$F;@!.v&amp;"</f>
        <v>#VALUE!</v>
      </c>
      <c r="FS244" t="e">
        <f>Europe!C262+"$F;@!.v'"</f>
        <v>#VALUE!</v>
      </c>
      <c r="FT244" t="e">
        <f>Europe!D262+"$F;@!.v("</f>
        <v>#VALUE!</v>
      </c>
      <c r="FU244" t="e">
        <f>Europe!E262+"$F;@!.v)"</f>
        <v>#VALUE!</v>
      </c>
      <c r="FV244" t="e">
        <f>Europe!F262+"$F;@!.v."</f>
        <v>#VALUE!</v>
      </c>
      <c r="FW244" t="e">
        <f>Europe!G262+"$F;@!.v/"</f>
        <v>#VALUE!</v>
      </c>
      <c r="FX244" t="e">
        <f>Europe!H262+"$F;@!.v0"</f>
        <v>#VALUE!</v>
      </c>
      <c r="FY244" t="e">
        <f>Europe!A263+"$F;@!.v1"</f>
        <v>#VALUE!</v>
      </c>
      <c r="FZ244" t="e">
        <f>Europe!B263+"$F;@!.v2"</f>
        <v>#VALUE!</v>
      </c>
      <c r="GA244" t="e">
        <f>Europe!C263+"$F;@!.v3"</f>
        <v>#VALUE!</v>
      </c>
      <c r="GB244" t="e">
        <f>Europe!D263+"$F;@!.v4"</f>
        <v>#VALUE!</v>
      </c>
      <c r="GC244" t="e">
        <f>Europe!E263+"$F;@!.v5"</f>
        <v>#VALUE!</v>
      </c>
      <c r="GD244" t="e">
        <f>Europe!F263+"$F;@!.v6"</f>
        <v>#VALUE!</v>
      </c>
      <c r="GE244" t="e">
        <f>Europe!G263+"$F;@!.v7"</f>
        <v>#VALUE!</v>
      </c>
      <c r="GF244" t="e">
        <f>Europe!H263+"$F;@!.v8"</f>
        <v>#VALUE!</v>
      </c>
      <c r="GG244" t="e">
        <f>Europe!A264+"$F;@!.v9"</f>
        <v>#VALUE!</v>
      </c>
      <c r="GH244" t="e">
        <f>Europe!B264+"$F;@!.v:"</f>
        <v>#VALUE!</v>
      </c>
      <c r="GI244" t="e">
        <f>Europe!C264+"$F;@!.v;"</f>
        <v>#VALUE!</v>
      </c>
      <c r="GJ244" t="e">
        <f>Europe!D264+"$F;@!.v&lt;"</f>
        <v>#VALUE!</v>
      </c>
      <c r="GK244" t="e">
        <f>Europe!E264+"$F;@!.v="</f>
        <v>#VALUE!</v>
      </c>
      <c r="GL244" t="e">
        <f>Europe!F264+"$F;@!.v&gt;"</f>
        <v>#VALUE!</v>
      </c>
      <c r="GM244" t="e">
        <f>Europe!G264+"$F;@!.v?"</f>
        <v>#VALUE!</v>
      </c>
      <c r="GN244" t="e">
        <f>Europe!H264+"$F;@!.v@"</f>
        <v>#VALUE!</v>
      </c>
      <c r="GO244" t="e">
        <f>Europe!A265+"$F;@!.vA"</f>
        <v>#VALUE!</v>
      </c>
      <c r="GP244" t="e">
        <f>Europe!B265+"$F;@!.vB"</f>
        <v>#VALUE!</v>
      </c>
      <c r="GQ244" t="e">
        <f>Europe!C265+"$F;@!.vC"</f>
        <v>#VALUE!</v>
      </c>
      <c r="GR244" t="e">
        <f>Europe!D265+"$F;@!.vD"</f>
        <v>#VALUE!</v>
      </c>
      <c r="GS244" t="e">
        <f>Europe!E265+"$F;@!.vE"</f>
        <v>#VALUE!</v>
      </c>
      <c r="GT244" t="e">
        <f>Europe!F265+"$F;@!.vF"</f>
        <v>#VALUE!</v>
      </c>
      <c r="GU244" t="e">
        <f>Europe!G265+"$F;@!.vG"</f>
        <v>#VALUE!</v>
      </c>
      <c r="GV244" t="e">
        <f>Europe!H265+"$F;@!.vH"</f>
        <v>#VALUE!</v>
      </c>
      <c r="GW244" t="e">
        <f>Europe!A266+"$F;@!.vI"</f>
        <v>#VALUE!</v>
      </c>
      <c r="GX244" t="e">
        <f>Europe!B266+"$F;@!.vJ"</f>
        <v>#VALUE!</v>
      </c>
      <c r="GY244" t="e">
        <f>Europe!C266+"$F;@!.vK"</f>
        <v>#VALUE!</v>
      </c>
      <c r="GZ244" t="e">
        <f>Europe!D266+"$F;@!.vL"</f>
        <v>#VALUE!</v>
      </c>
      <c r="HA244" t="e">
        <f>Europe!E266+"$F;@!.vM"</f>
        <v>#VALUE!</v>
      </c>
      <c r="HB244" t="e">
        <f>Europe!F266+"$F;@!.vN"</f>
        <v>#VALUE!</v>
      </c>
      <c r="HC244" t="e">
        <f>Europe!G266+"$F;@!.vO"</f>
        <v>#VALUE!</v>
      </c>
      <c r="HD244" t="e">
        <f>Europe!H266+"$F;@!.vP"</f>
        <v>#VALUE!</v>
      </c>
      <c r="HE244" t="e">
        <f>Europe!A267+"$F;@!.vQ"</f>
        <v>#VALUE!</v>
      </c>
      <c r="HF244" t="e">
        <f>Europe!B267+"$F;@!.vR"</f>
        <v>#VALUE!</v>
      </c>
      <c r="HG244" t="e">
        <f>Europe!C267+"$F;@!.vS"</f>
        <v>#VALUE!</v>
      </c>
      <c r="HH244" t="e">
        <f>Europe!D267+"$F;@!.vT"</f>
        <v>#VALUE!</v>
      </c>
      <c r="HI244" t="e">
        <f>Europe!E267+"$F;@!.vU"</f>
        <v>#VALUE!</v>
      </c>
      <c r="HJ244" t="e">
        <f>Europe!F267+"$F;@!.vV"</f>
        <v>#VALUE!</v>
      </c>
      <c r="HK244" t="e">
        <f>Europe!G267+"$F;@!.vW"</f>
        <v>#VALUE!</v>
      </c>
      <c r="HL244" t="e">
        <f>Europe!H267+"$F;@!.vX"</f>
        <v>#VALUE!</v>
      </c>
      <c r="HM244" t="e">
        <f>Europe!A268+"$F;@!.vY"</f>
        <v>#VALUE!</v>
      </c>
      <c r="HN244" t="e">
        <f>Europe!B268+"$F;@!.vZ"</f>
        <v>#VALUE!</v>
      </c>
      <c r="HO244" t="e">
        <f>Europe!C268+"$F;@!.v["</f>
        <v>#VALUE!</v>
      </c>
      <c r="HP244" t="e">
        <f>Europe!D268+"$F;@!.v\"</f>
        <v>#VALUE!</v>
      </c>
      <c r="HQ244" t="e">
        <f>Europe!E268+"$F;@!.v]"</f>
        <v>#VALUE!</v>
      </c>
      <c r="HR244" t="e">
        <f>Europe!F268+"$F;@!.v^"</f>
        <v>#VALUE!</v>
      </c>
      <c r="HS244" t="e">
        <f>Europe!G268+"$F;@!.v_"</f>
        <v>#VALUE!</v>
      </c>
      <c r="HT244" t="e">
        <f>Europe!H268+"$F;@!.v`"</f>
        <v>#VALUE!</v>
      </c>
      <c r="HU244" t="e">
        <f>Europe!A269+"$F;@!.va"</f>
        <v>#VALUE!</v>
      </c>
      <c r="HV244" t="e">
        <f>Europe!B269+"$F;@!.vb"</f>
        <v>#VALUE!</v>
      </c>
      <c r="HW244" t="e">
        <f>Europe!C269+"$F;@!.vc"</f>
        <v>#VALUE!</v>
      </c>
      <c r="HX244" t="e">
        <f>Europe!D269+"$F;@!.vd"</f>
        <v>#VALUE!</v>
      </c>
      <c r="HY244" t="e">
        <f>Europe!E269+"$F;@!.ve"</f>
        <v>#VALUE!</v>
      </c>
      <c r="HZ244" t="e">
        <f>Europe!F269+"$F;@!.vf"</f>
        <v>#VALUE!</v>
      </c>
      <c r="IA244" t="e">
        <f>Europe!G269+"$F;@!.vg"</f>
        <v>#VALUE!</v>
      </c>
      <c r="IB244" t="e">
        <f>Europe!H269+"$F;@!.vh"</f>
        <v>#VALUE!</v>
      </c>
      <c r="IC244" t="e">
        <f>Europe!A270+"$F;@!.vi"</f>
        <v>#VALUE!</v>
      </c>
      <c r="ID244" t="e">
        <f>Europe!B270+"$F;@!.vj"</f>
        <v>#VALUE!</v>
      </c>
      <c r="IE244" t="e">
        <f>Europe!C270+"$F;@!.vk"</f>
        <v>#VALUE!</v>
      </c>
      <c r="IF244" t="e">
        <f>Europe!D270+"$F;@!.vl"</f>
        <v>#VALUE!</v>
      </c>
      <c r="IG244" t="e">
        <f>Europe!E270+"$F;@!.vm"</f>
        <v>#VALUE!</v>
      </c>
      <c r="IH244" t="e">
        <f>Europe!F270+"$F;@!.vn"</f>
        <v>#VALUE!</v>
      </c>
      <c r="II244" t="e">
        <f>Europe!G270+"$F;@!.vo"</f>
        <v>#VALUE!</v>
      </c>
      <c r="IJ244" t="e">
        <f>Europe!H270+"$F;@!.vp"</f>
        <v>#VALUE!</v>
      </c>
      <c r="IK244" t="e">
        <f>Europe!A271+"$F;@!.vq"</f>
        <v>#VALUE!</v>
      </c>
      <c r="IL244" t="e">
        <f>Europe!B271+"$F;@!.vr"</f>
        <v>#VALUE!</v>
      </c>
      <c r="IM244" t="e">
        <f>Europe!C271+"$F;@!.vs"</f>
        <v>#VALUE!</v>
      </c>
      <c r="IN244" t="e">
        <f>Europe!D271+"$F;@!.vt"</f>
        <v>#VALUE!</v>
      </c>
      <c r="IO244" t="e">
        <f>Europe!E271+"$F;@!.vu"</f>
        <v>#VALUE!</v>
      </c>
      <c r="IP244" t="e">
        <f>Europe!F271+"$F;@!.vv"</f>
        <v>#VALUE!</v>
      </c>
      <c r="IQ244" t="e">
        <f>Europe!G271+"$F;@!.vw"</f>
        <v>#VALUE!</v>
      </c>
      <c r="IR244" t="e">
        <f>Europe!H271+"$F;@!.vx"</f>
        <v>#VALUE!</v>
      </c>
      <c r="IS244" t="e">
        <f>Europe!A272+"$F;@!.vy"</f>
        <v>#VALUE!</v>
      </c>
      <c r="IT244" t="e">
        <f>Europe!B272+"$F;@!.vz"</f>
        <v>#VALUE!</v>
      </c>
      <c r="IU244" t="e">
        <f>Europe!C272+"$F;@!.v{"</f>
        <v>#VALUE!</v>
      </c>
      <c r="IV244" t="e">
        <f>Europe!D272+"$F;@!.v|"</f>
        <v>#VALUE!</v>
      </c>
    </row>
    <row r="245" spans="6:256" x14ac:dyDescent="0.35">
      <c r="F245" t="e">
        <f>Europe!E272+"$F;@!.v}"</f>
        <v>#VALUE!</v>
      </c>
      <c r="G245" t="e">
        <f>Europe!F272+"$F;@!.v~"</f>
        <v>#VALUE!</v>
      </c>
      <c r="H245" t="e">
        <f>Europe!G272+"$F;@!.w#"</f>
        <v>#VALUE!</v>
      </c>
      <c r="I245" t="e">
        <f>Europe!H272+"$F;@!.w$"</f>
        <v>#VALUE!</v>
      </c>
      <c r="J245" t="e">
        <f>Europe!A273+"$F;@!.w%"</f>
        <v>#VALUE!</v>
      </c>
      <c r="K245" t="e">
        <f>Europe!B273+"$F;@!.w&amp;"</f>
        <v>#VALUE!</v>
      </c>
      <c r="L245" t="e">
        <f>Europe!C273+"$F;@!.w'"</f>
        <v>#VALUE!</v>
      </c>
      <c r="M245" t="e">
        <f>Europe!D273+"$F;@!.w("</f>
        <v>#VALUE!</v>
      </c>
      <c r="N245" t="e">
        <f>Europe!E273+"$F;@!.w)"</f>
        <v>#VALUE!</v>
      </c>
      <c r="O245" t="e">
        <f>Europe!F273+"$F;@!.w."</f>
        <v>#VALUE!</v>
      </c>
      <c r="P245" t="e">
        <f>Europe!G273+"$F;@!.w/"</f>
        <v>#VALUE!</v>
      </c>
      <c r="Q245" t="e">
        <f>Europe!H273+"$F;@!.w0"</f>
        <v>#VALUE!</v>
      </c>
      <c r="R245" t="e">
        <f>Europe!A274+"$F;@!.w1"</f>
        <v>#VALUE!</v>
      </c>
      <c r="S245" t="e">
        <f>Europe!B274+"$F;@!.w2"</f>
        <v>#VALUE!</v>
      </c>
      <c r="T245" t="e">
        <f>Europe!C274+"$F;@!.w3"</f>
        <v>#VALUE!</v>
      </c>
      <c r="U245" t="e">
        <f>Europe!D274+"$F;@!.w4"</f>
        <v>#VALUE!</v>
      </c>
      <c r="V245" t="e">
        <f>Europe!E274+"$F;@!.w5"</f>
        <v>#VALUE!</v>
      </c>
      <c r="W245" t="e">
        <f>Europe!F274+"$F;@!.w6"</f>
        <v>#VALUE!</v>
      </c>
      <c r="X245" t="e">
        <f>Europe!G274+"$F;@!.w7"</f>
        <v>#VALUE!</v>
      </c>
      <c r="Y245" t="e">
        <f>Europe!H274+"$F;@!.w8"</f>
        <v>#VALUE!</v>
      </c>
      <c r="Z245" t="e">
        <f>Europe!A275+"$F;@!.w9"</f>
        <v>#VALUE!</v>
      </c>
      <c r="AA245" t="e">
        <f>Europe!B275+"$F;@!.w:"</f>
        <v>#VALUE!</v>
      </c>
      <c r="AB245" t="e">
        <f>Europe!C275+"$F;@!.w;"</f>
        <v>#VALUE!</v>
      </c>
      <c r="AC245" t="e">
        <f>Europe!D275+"$F;@!.w&lt;"</f>
        <v>#VALUE!</v>
      </c>
      <c r="AD245" t="e">
        <f>Europe!E275+"$F;@!.w="</f>
        <v>#VALUE!</v>
      </c>
      <c r="AE245" t="e">
        <f>Europe!F275+"$F;@!.w&gt;"</f>
        <v>#VALUE!</v>
      </c>
      <c r="AF245" t="e">
        <f>Europe!G275+"$F;@!.w?"</f>
        <v>#VALUE!</v>
      </c>
      <c r="AG245" t="e">
        <f>Europe!H275+"$F;@!.w@"</f>
        <v>#VALUE!</v>
      </c>
      <c r="AH245" t="e">
        <f>Europe!A276+"$F;@!.wA"</f>
        <v>#VALUE!</v>
      </c>
      <c r="AI245" t="e">
        <f>Europe!B276+"$F;@!.wB"</f>
        <v>#VALUE!</v>
      </c>
      <c r="AJ245" t="e">
        <f>Europe!C276+"$F;@!.wC"</f>
        <v>#VALUE!</v>
      </c>
      <c r="AK245" t="e">
        <f>Europe!D276+"$F;@!.wD"</f>
        <v>#VALUE!</v>
      </c>
      <c r="AL245" t="e">
        <f>Europe!E276+"$F;@!.wE"</f>
        <v>#VALUE!</v>
      </c>
      <c r="AM245" t="e">
        <f>Europe!F276+"$F;@!.wF"</f>
        <v>#VALUE!</v>
      </c>
      <c r="AN245" t="e">
        <f>Europe!G276+"$F;@!.wG"</f>
        <v>#VALUE!</v>
      </c>
      <c r="AO245" t="e">
        <f>Europe!H276+"$F;@!.wH"</f>
        <v>#VALUE!</v>
      </c>
      <c r="AP245" t="e">
        <f>Europe!A277+"$F;@!.wI"</f>
        <v>#VALUE!</v>
      </c>
      <c r="AQ245" t="e">
        <f>Europe!B277+"$F;@!.wJ"</f>
        <v>#VALUE!</v>
      </c>
      <c r="AR245" t="e">
        <f>Europe!C277+"$F;@!.wK"</f>
        <v>#VALUE!</v>
      </c>
      <c r="AS245" t="e">
        <f>Europe!D277+"$F;@!.wL"</f>
        <v>#VALUE!</v>
      </c>
      <c r="AT245" t="e">
        <f>Europe!E277+"$F;@!.wM"</f>
        <v>#VALUE!</v>
      </c>
      <c r="AU245" t="e">
        <f>Europe!F277+"$F;@!.wN"</f>
        <v>#VALUE!</v>
      </c>
      <c r="AV245" t="e">
        <f>Europe!G277+"$F;@!.wO"</f>
        <v>#VALUE!</v>
      </c>
      <c r="AW245" t="e">
        <f>Europe!H277+"$F;@!.wP"</f>
        <v>#VALUE!</v>
      </c>
      <c r="AX245" t="e">
        <f>Europe!A278+"$F;@!.wQ"</f>
        <v>#VALUE!</v>
      </c>
      <c r="AY245" t="e">
        <f>Europe!B278+"$F;@!.wR"</f>
        <v>#VALUE!</v>
      </c>
      <c r="AZ245" t="e">
        <f>Europe!C278+"$F;@!.wS"</f>
        <v>#VALUE!</v>
      </c>
      <c r="BA245" t="e">
        <f>Europe!D278+"$F;@!.wT"</f>
        <v>#VALUE!</v>
      </c>
      <c r="BB245" t="e">
        <f>Europe!E278+"$F;@!.wU"</f>
        <v>#VALUE!</v>
      </c>
      <c r="BC245" t="e">
        <f>Europe!F278+"$F;@!.wV"</f>
        <v>#VALUE!</v>
      </c>
      <c r="BD245" t="e">
        <f>Europe!G278+"$F;@!.wW"</f>
        <v>#VALUE!</v>
      </c>
      <c r="BE245" t="e">
        <f>Europe!H278+"$F;@!.wX"</f>
        <v>#VALUE!</v>
      </c>
      <c r="BF245" t="e">
        <f>Europe!A279+"$F;@!.wY"</f>
        <v>#VALUE!</v>
      </c>
      <c r="BG245" t="e">
        <f>Europe!B279+"$F;@!.wZ"</f>
        <v>#VALUE!</v>
      </c>
      <c r="BH245" t="e">
        <f>Europe!C279+"$F;@!.w["</f>
        <v>#VALUE!</v>
      </c>
      <c r="BI245" t="e">
        <f>Europe!D279+"$F;@!.w\"</f>
        <v>#VALUE!</v>
      </c>
      <c r="BJ245" t="e">
        <f>Europe!E279+"$F;@!.w]"</f>
        <v>#VALUE!</v>
      </c>
      <c r="BK245" t="e">
        <f>Europe!F279+"$F;@!.w^"</f>
        <v>#VALUE!</v>
      </c>
      <c r="BL245" t="e">
        <f>Europe!G279+"$F;@!.w_"</f>
        <v>#VALUE!</v>
      </c>
      <c r="BM245" t="e">
        <f>Europe!H279+"$F;@!.w`"</f>
        <v>#VALUE!</v>
      </c>
      <c r="BN245" t="e">
        <f>Europe!A280+"$F;@!.wa"</f>
        <v>#VALUE!</v>
      </c>
      <c r="BO245" t="e">
        <f>Europe!B280+"$F;@!.wb"</f>
        <v>#VALUE!</v>
      </c>
      <c r="BP245" t="e">
        <f>Europe!C280+"$F;@!.wc"</f>
        <v>#VALUE!</v>
      </c>
      <c r="BQ245" t="e">
        <f>Europe!D280+"$F;@!.wd"</f>
        <v>#VALUE!</v>
      </c>
      <c r="BR245" t="e">
        <f>Europe!E280+"$F;@!.we"</f>
        <v>#VALUE!</v>
      </c>
      <c r="BS245" t="e">
        <f>Europe!F280+"$F;@!.wf"</f>
        <v>#VALUE!</v>
      </c>
      <c r="BT245" t="e">
        <f>Europe!G280+"$F;@!.wg"</f>
        <v>#VALUE!</v>
      </c>
      <c r="BU245" t="e">
        <f>Europe!H280+"$F;@!.wh"</f>
        <v>#VALUE!</v>
      </c>
      <c r="BV245" t="e">
        <f>Europe!A281+"$F;@!.wi"</f>
        <v>#VALUE!</v>
      </c>
      <c r="BW245" t="e">
        <f>Europe!B281+"$F;@!.wj"</f>
        <v>#VALUE!</v>
      </c>
      <c r="BX245" t="e">
        <f>Europe!C281+"$F;@!.wk"</f>
        <v>#VALUE!</v>
      </c>
      <c r="BY245" t="e">
        <f>Europe!D281+"$F;@!.wl"</f>
        <v>#VALUE!</v>
      </c>
      <c r="BZ245" t="e">
        <f>Europe!E281+"$F;@!.wm"</f>
        <v>#VALUE!</v>
      </c>
      <c r="CA245" t="e">
        <f>Europe!F281+"$F;@!.wn"</f>
        <v>#VALUE!</v>
      </c>
      <c r="CB245" t="e">
        <f>Europe!G281+"$F;@!.wo"</f>
        <v>#VALUE!</v>
      </c>
      <c r="CC245" t="e">
        <f>Europe!H281+"$F;@!.wp"</f>
        <v>#VALUE!</v>
      </c>
      <c r="CD245" t="e">
        <f>Europe!A282+"$F;@!.wq"</f>
        <v>#VALUE!</v>
      </c>
      <c r="CE245" t="e">
        <f>Europe!B282+"$F;@!.wr"</f>
        <v>#VALUE!</v>
      </c>
      <c r="CF245" t="e">
        <f>Europe!C282+"$F;@!.ws"</f>
        <v>#VALUE!</v>
      </c>
      <c r="CG245" t="e">
        <f>Europe!D282+"$F;@!.wt"</f>
        <v>#VALUE!</v>
      </c>
      <c r="CH245" t="e">
        <f>Europe!E282+"$F;@!.wu"</f>
        <v>#VALUE!</v>
      </c>
      <c r="CI245" t="e">
        <f>Europe!F282+"$F;@!.wv"</f>
        <v>#VALUE!</v>
      </c>
      <c r="CJ245" t="e">
        <f>Europe!G282+"$F;@!.ww"</f>
        <v>#VALUE!</v>
      </c>
      <c r="CK245" t="e">
        <f>Europe!H282+"$F;@!.wx"</f>
        <v>#VALUE!</v>
      </c>
      <c r="CL245" t="e">
        <f>Europe!A283+"$F;@!.wy"</f>
        <v>#VALUE!</v>
      </c>
      <c r="CM245" t="e">
        <f>Europe!B283+"$F;@!.wz"</f>
        <v>#VALUE!</v>
      </c>
      <c r="CN245" t="e">
        <f>Europe!C283+"$F;@!.w{"</f>
        <v>#VALUE!</v>
      </c>
      <c r="CO245" t="e">
        <f>Europe!D283+"$F;@!.w|"</f>
        <v>#VALUE!</v>
      </c>
      <c r="CP245" t="e">
        <f>Europe!E283+"$F;@!.w}"</f>
        <v>#VALUE!</v>
      </c>
      <c r="CQ245" t="e">
        <f>Europe!F283+"$F;@!.w~"</f>
        <v>#VALUE!</v>
      </c>
      <c r="CR245" t="e">
        <f>Europe!G283+"$F;@!.x#"</f>
        <v>#VALUE!</v>
      </c>
      <c r="CS245" t="e">
        <f>Europe!H283+"$F;@!.x$"</f>
        <v>#VALUE!</v>
      </c>
      <c r="CT245" t="e">
        <f>Europe!A284+"$F;@!.x%"</f>
        <v>#VALUE!</v>
      </c>
      <c r="CU245" t="e">
        <f>Europe!B284+"$F;@!.x&amp;"</f>
        <v>#VALUE!</v>
      </c>
      <c r="CV245" t="e">
        <f>Europe!C284+"$F;@!.x'"</f>
        <v>#VALUE!</v>
      </c>
      <c r="CW245" t="e">
        <f>Europe!D284+"$F;@!.x("</f>
        <v>#VALUE!</v>
      </c>
      <c r="CX245" t="e">
        <f>Europe!E284+"$F;@!.x)"</f>
        <v>#VALUE!</v>
      </c>
      <c r="CY245" t="e">
        <f>Europe!F284+"$F;@!.x."</f>
        <v>#VALUE!</v>
      </c>
      <c r="CZ245" t="e">
        <f>Europe!G284+"$F;@!.x/"</f>
        <v>#VALUE!</v>
      </c>
      <c r="DA245" t="e">
        <f>Europe!H284+"$F;@!.x0"</f>
        <v>#VALUE!</v>
      </c>
      <c r="DB245" t="e">
        <f>Europe!A285+"$F;@!.x1"</f>
        <v>#VALUE!</v>
      </c>
      <c r="DC245" t="e">
        <f>Europe!B285+"$F;@!.x2"</f>
        <v>#VALUE!</v>
      </c>
      <c r="DD245" t="e">
        <f>Europe!C285+"$F;@!.x3"</f>
        <v>#VALUE!</v>
      </c>
      <c r="DE245" t="e">
        <f>Europe!D285+"$F;@!.x4"</f>
        <v>#VALUE!</v>
      </c>
      <c r="DF245" t="e">
        <f>Europe!E285+"$F;@!.x5"</f>
        <v>#VALUE!</v>
      </c>
      <c r="DG245" t="e">
        <f>Europe!F285+"$F;@!.x6"</f>
        <v>#VALUE!</v>
      </c>
      <c r="DH245" t="e">
        <f>Europe!G285+"$F;@!.x7"</f>
        <v>#VALUE!</v>
      </c>
      <c r="DI245" t="e">
        <f>Europe!H285+"$F;@!.x8"</f>
        <v>#VALUE!</v>
      </c>
      <c r="DJ245" t="e">
        <f>Europe!A286+"$F;@!.x9"</f>
        <v>#VALUE!</v>
      </c>
      <c r="DK245" t="e">
        <f>Europe!B286+"$F;@!.x:"</f>
        <v>#VALUE!</v>
      </c>
      <c r="DL245" t="e">
        <f>Europe!C286+"$F;@!.x;"</f>
        <v>#VALUE!</v>
      </c>
      <c r="DM245" t="e">
        <f>Europe!D286+"$F;@!.x&lt;"</f>
        <v>#VALUE!</v>
      </c>
      <c r="DN245" t="e">
        <f>Europe!E286+"$F;@!.x="</f>
        <v>#VALUE!</v>
      </c>
      <c r="DO245" t="e">
        <f>Europe!F286+"$F;@!.x&gt;"</f>
        <v>#VALUE!</v>
      </c>
      <c r="DP245" t="e">
        <f>Europe!G286+"$F;@!.x?"</f>
        <v>#VALUE!</v>
      </c>
      <c r="DQ245" t="e">
        <f>Europe!H286+"$F;@!.x@"</f>
        <v>#VALUE!</v>
      </c>
      <c r="DR245" t="e">
        <f>Europe!A287+"$F;@!.xA"</f>
        <v>#VALUE!</v>
      </c>
      <c r="DS245" t="e">
        <f>Europe!B287+"$F;@!.xB"</f>
        <v>#VALUE!</v>
      </c>
      <c r="DT245" t="e">
        <f>Europe!C287+"$F;@!.xC"</f>
        <v>#VALUE!</v>
      </c>
      <c r="DU245" t="e">
        <f>Europe!D287+"$F;@!.xD"</f>
        <v>#VALUE!</v>
      </c>
      <c r="DV245" t="e">
        <f>Europe!E287+"$F;@!.xE"</f>
        <v>#VALUE!</v>
      </c>
      <c r="DW245" t="e">
        <f>Europe!F287+"$F;@!.xF"</f>
        <v>#VALUE!</v>
      </c>
      <c r="DX245" t="e">
        <f>Europe!G287+"$F;@!.xG"</f>
        <v>#VALUE!</v>
      </c>
      <c r="DY245" t="e">
        <f>Europe!H287+"$F;@!.xH"</f>
        <v>#VALUE!</v>
      </c>
      <c r="DZ245" t="e">
        <f>Europe!A288+"$F;@!.xI"</f>
        <v>#VALUE!</v>
      </c>
      <c r="EA245" t="e">
        <f>Europe!B288+"$F;@!.xJ"</f>
        <v>#VALUE!</v>
      </c>
      <c r="EB245" t="e">
        <f>Europe!C288+"$F;@!.xK"</f>
        <v>#VALUE!</v>
      </c>
      <c r="EC245" t="e">
        <f>Europe!D288+"$F;@!.xL"</f>
        <v>#VALUE!</v>
      </c>
      <c r="ED245" t="e">
        <f>Europe!E288+"$F;@!.xM"</f>
        <v>#VALUE!</v>
      </c>
      <c r="EE245" t="e">
        <f>Europe!F288+"$F;@!.xN"</f>
        <v>#VALUE!</v>
      </c>
      <c r="EF245" t="e">
        <f>Europe!G288+"$F;@!.xO"</f>
        <v>#VALUE!</v>
      </c>
      <c r="EG245" t="e">
        <f>Europe!H288+"$F;@!.xP"</f>
        <v>#VALUE!</v>
      </c>
      <c r="EH245" t="e">
        <f>Europe!A289+"$F;@!.xQ"</f>
        <v>#VALUE!</v>
      </c>
      <c r="EI245" t="e">
        <f>Europe!B289+"$F;@!.xR"</f>
        <v>#VALUE!</v>
      </c>
      <c r="EJ245" t="e">
        <f>Europe!C289+"$F;@!.xS"</f>
        <v>#VALUE!</v>
      </c>
      <c r="EK245" t="e">
        <f>Europe!D289+"$F;@!.xT"</f>
        <v>#VALUE!</v>
      </c>
      <c r="EL245" t="e">
        <f>Europe!E289+"$F;@!.xU"</f>
        <v>#VALUE!</v>
      </c>
      <c r="EM245" t="e">
        <f>Europe!F289+"$F;@!.xV"</f>
        <v>#VALUE!</v>
      </c>
      <c r="EN245" t="e">
        <f>Europe!G289+"$F;@!.xW"</f>
        <v>#VALUE!</v>
      </c>
      <c r="EO245" t="e">
        <f>Europe!H289+"$F;@!.xX"</f>
        <v>#VALUE!</v>
      </c>
      <c r="EP245" t="e">
        <f>Europe!A290+"$F;@!.xY"</f>
        <v>#VALUE!</v>
      </c>
      <c r="EQ245" t="e">
        <f>Europe!B290+"$F;@!.xZ"</f>
        <v>#VALUE!</v>
      </c>
      <c r="ER245" t="e">
        <f>Europe!C290+"$F;@!.x["</f>
        <v>#VALUE!</v>
      </c>
      <c r="ES245" t="e">
        <f>Europe!D290+"$F;@!.x\"</f>
        <v>#VALUE!</v>
      </c>
      <c r="ET245" t="e">
        <f>Europe!E290+"$F;@!.x]"</f>
        <v>#VALUE!</v>
      </c>
      <c r="EU245" t="e">
        <f>Europe!F290+"$F;@!.x^"</f>
        <v>#VALUE!</v>
      </c>
      <c r="EV245" t="e">
        <f>Europe!G290+"$F;@!.x_"</f>
        <v>#VALUE!</v>
      </c>
      <c r="EW245" t="e">
        <f>Europe!H290+"$F;@!.x`"</f>
        <v>#VALUE!</v>
      </c>
      <c r="EX245" t="e">
        <f>Europe!A291+"$F;@!.xa"</f>
        <v>#VALUE!</v>
      </c>
      <c r="EY245" t="e">
        <f>Europe!B291+"$F;@!.xb"</f>
        <v>#VALUE!</v>
      </c>
      <c r="EZ245" t="e">
        <f>Europe!C291+"$F;@!.xc"</f>
        <v>#VALUE!</v>
      </c>
      <c r="FA245" t="e">
        <f>Europe!D291+"$F;@!.xd"</f>
        <v>#VALUE!</v>
      </c>
      <c r="FB245" t="e">
        <f>Europe!E291+"$F;@!.xe"</f>
        <v>#VALUE!</v>
      </c>
      <c r="FC245" t="e">
        <f>Europe!F291+"$F;@!.xf"</f>
        <v>#VALUE!</v>
      </c>
      <c r="FD245" t="e">
        <f>Europe!G291+"$F;@!.xg"</f>
        <v>#VALUE!</v>
      </c>
      <c r="FE245" t="e">
        <f>Europe!H291+"$F;@!.xh"</f>
        <v>#VALUE!</v>
      </c>
      <c r="FF245" t="e">
        <f>Europe!A292+"$F;@!.xi"</f>
        <v>#VALUE!</v>
      </c>
      <c r="FG245" t="e">
        <f>Europe!B292+"$F;@!.xj"</f>
        <v>#VALUE!</v>
      </c>
      <c r="FH245" t="e">
        <f>Europe!C292+"$F;@!.xk"</f>
        <v>#VALUE!</v>
      </c>
      <c r="FI245" t="e">
        <f>Europe!D292+"$F;@!.xl"</f>
        <v>#VALUE!</v>
      </c>
      <c r="FJ245" t="e">
        <f>Europe!E292+"$F;@!.xm"</f>
        <v>#VALUE!</v>
      </c>
      <c r="FK245" t="e">
        <f>Europe!F292+"$F;@!.xn"</f>
        <v>#VALUE!</v>
      </c>
      <c r="FL245" t="e">
        <f>Europe!G292+"$F;@!.xo"</f>
        <v>#VALUE!</v>
      </c>
      <c r="FM245" t="e">
        <f>Europe!H292+"$F;@!.xp"</f>
        <v>#VALUE!</v>
      </c>
      <c r="FN245" t="e">
        <f>Europe!A293+"$F;@!.xq"</f>
        <v>#VALUE!</v>
      </c>
      <c r="FO245" t="e">
        <f>Europe!B293+"$F;@!.xr"</f>
        <v>#VALUE!</v>
      </c>
      <c r="FP245" t="e">
        <f>Europe!C293+"$F;@!.xs"</f>
        <v>#VALUE!</v>
      </c>
      <c r="FQ245" t="e">
        <f>Europe!D293+"$F;@!.xt"</f>
        <v>#VALUE!</v>
      </c>
      <c r="FR245" t="e">
        <f>Europe!E293+"$F;@!.xu"</f>
        <v>#VALUE!</v>
      </c>
      <c r="FS245" t="e">
        <f>Europe!F293+"$F;@!.xv"</f>
        <v>#VALUE!</v>
      </c>
      <c r="FT245" t="e">
        <f>Europe!G293+"$F;@!.xw"</f>
        <v>#VALUE!</v>
      </c>
      <c r="FU245" t="e">
        <f>Europe!H293+"$F;@!.xx"</f>
        <v>#VALUE!</v>
      </c>
      <c r="FV245" t="e">
        <f>Europe!A294+"$F;@!.xy"</f>
        <v>#VALUE!</v>
      </c>
      <c r="FW245" t="e">
        <f>Europe!B294+"$F;@!.xz"</f>
        <v>#VALUE!</v>
      </c>
      <c r="FX245" t="e">
        <f>Europe!C294+"$F;@!.x{"</f>
        <v>#VALUE!</v>
      </c>
      <c r="FY245" t="e">
        <f>Europe!D294+"$F;@!.x|"</f>
        <v>#VALUE!</v>
      </c>
      <c r="FZ245" t="e">
        <f>Europe!E294+"$F;@!.x}"</f>
        <v>#VALUE!</v>
      </c>
      <c r="GA245" t="e">
        <f>Europe!F294+"$F;@!.x~"</f>
        <v>#VALUE!</v>
      </c>
      <c r="GB245" t="e">
        <f>Europe!G294+"$F;@!.y#"</f>
        <v>#VALUE!</v>
      </c>
      <c r="GC245" t="e">
        <f>Europe!H294+"$F;@!.y$"</f>
        <v>#VALUE!</v>
      </c>
      <c r="GD245" t="e">
        <f>Europe!A295+"$F;@!.y%"</f>
        <v>#VALUE!</v>
      </c>
      <c r="GE245" t="e">
        <f>Europe!B295+"$F;@!.y&amp;"</f>
        <v>#VALUE!</v>
      </c>
      <c r="GF245" t="e">
        <f>Europe!C295+"$F;@!.y'"</f>
        <v>#VALUE!</v>
      </c>
      <c r="GG245" t="e">
        <f>Europe!D295+"$F;@!.y("</f>
        <v>#VALUE!</v>
      </c>
      <c r="GH245" t="e">
        <f>Europe!E295+"$F;@!.y)"</f>
        <v>#VALUE!</v>
      </c>
      <c r="GI245" t="e">
        <f>Europe!F295+"$F;@!.y."</f>
        <v>#VALUE!</v>
      </c>
      <c r="GJ245" t="e">
        <f>Europe!G295+"$F;@!.y/"</f>
        <v>#VALUE!</v>
      </c>
      <c r="GK245" t="e">
        <f>Europe!H295+"$F;@!.y0"</f>
        <v>#VALUE!</v>
      </c>
      <c r="GL245" t="e">
        <f>Europe!A296+"$F;@!.y1"</f>
        <v>#VALUE!</v>
      </c>
      <c r="GM245" t="e">
        <f>Europe!B296+"$F;@!.y2"</f>
        <v>#VALUE!</v>
      </c>
      <c r="GN245" t="e">
        <f>Europe!C296+"$F;@!.y3"</f>
        <v>#VALUE!</v>
      </c>
      <c r="GO245" t="e">
        <f>Europe!D296+"$F;@!.y4"</f>
        <v>#VALUE!</v>
      </c>
      <c r="GP245" t="e">
        <f>Europe!E296+"$F;@!.y5"</f>
        <v>#VALUE!</v>
      </c>
      <c r="GQ245" t="e">
        <f>Europe!F296+"$F;@!.y6"</f>
        <v>#VALUE!</v>
      </c>
      <c r="GR245" t="e">
        <f>Europe!G296+"$F;@!.y7"</f>
        <v>#VALUE!</v>
      </c>
      <c r="GS245" t="e">
        <f>Europe!H296+"$F;@!.y8"</f>
        <v>#VALUE!</v>
      </c>
      <c r="GT245" t="e">
        <f>Europe!A297+"$F;@!.y9"</f>
        <v>#VALUE!</v>
      </c>
      <c r="GU245" t="e">
        <f>Europe!B297+"$F;@!.y:"</f>
        <v>#VALUE!</v>
      </c>
      <c r="GV245" t="e">
        <f>Europe!C297+"$F;@!.y;"</f>
        <v>#VALUE!</v>
      </c>
      <c r="GW245" t="e">
        <f>Europe!D297+"$F;@!.y&lt;"</f>
        <v>#VALUE!</v>
      </c>
      <c r="GX245" t="e">
        <f>Europe!E297+"$F;@!.y="</f>
        <v>#VALUE!</v>
      </c>
      <c r="GY245" t="e">
        <f>Europe!F297+"$F;@!.y&gt;"</f>
        <v>#VALUE!</v>
      </c>
      <c r="GZ245" t="e">
        <f>Europe!G297+"$F;@!.y?"</f>
        <v>#VALUE!</v>
      </c>
      <c r="HA245" t="e">
        <f>Europe!H297+"$F;@!.y@"</f>
        <v>#VALUE!</v>
      </c>
      <c r="HB245" t="e">
        <f>Europe!A298+"$F;@!.yA"</f>
        <v>#VALUE!</v>
      </c>
      <c r="HC245" t="e">
        <f>Europe!B298+"$F;@!.yB"</f>
        <v>#VALUE!</v>
      </c>
      <c r="HD245" t="e">
        <f>Europe!C298+"$F;@!.yC"</f>
        <v>#VALUE!</v>
      </c>
      <c r="HE245" t="e">
        <f>Europe!D298+"$F;@!.yD"</f>
        <v>#VALUE!</v>
      </c>
      <c r="HF245" t="e">
        <f>Europe!E298+"$F;@!.yE"</f>
        <v>#VALUE!</v>
      </c>
      <c r="HG245" t="e">
        <f>Europe!F298+"$F;@!.yF"</f>
        <v>#VALUE!</v>
      </c>
      <c r="HH245" t="e">
        <f>Europe!G298+"$F;@!.yG"</f>
        <v>#VALUE!</v>
      </c>
      <c r="HI245" t="e">
        <f>Europe!H298+"$F;@!.yH"</f>
        <v>#VALUE!</v>
      </c>
      <c r="HJ245" t="e">
        <f>Europe!A299+"$F;@!.yI"</f>
        <v>#VALUE!</v>
      </c>
      <c r="HK245" t="e">
        <f>Europe!B299+"$F;@!.yJ"</f>
        <v>#VALUE!</v>
      </c>
      <c r="HL245" t="e">
        <f>Europe!C299+"$F;@!.yK"</f>
        <v>#VALUE!</v>
      </c>
      <c r="HM245" t="e">
        <f>Europe!D299+"$F;@!.yL"</f>
        <v>#VALUE!</v>
      </c>
      <c r="HN245" t="e">
        <f>Europe!E299+"$F;@!.yM"</f>
        <v>#VALUE!</v>
      </c>
      <c r="HO245" t="e">
        <f>Europe!F299+"$F;@!.yN"</f>
        <v>#VALUE!</v>
      </c>
      <c r="HP245" t="e">
        <f>Europe!G299+"$F;@!.yO"</f>
        <v>#VALUE!</v>
      </c>
      <c r="HQ245" t="e">
        <f>Europe!H299+"$F;@!.yP"</f>
        <v>#VALUE!</v>
      </c>
      <c r="HR245" t="e">
        <f>Europe!A300+"$F;@!.yQ"</f>
        <v>#VALUE!</v>
      </c>
      <c r="HS245" t="e">
        <f>Europe!B300+"$F;@!.yR"</f>
        <v>#VALUE!</v>
      </c>
      <c r="HT245" t="e">
        <f>Europe!C300+"$F;@!.yS"</f>
        <v>#VALUE!</v>
      </c>
      <c r="HU245" t="e">
        <f>Europe!D300+"$F;@!.yT"</f>
        <v>#VALUE!</v>
      </c>
      <c r="HV245" t="e">
        <f>Europe!E300+"$F;@!.yU"</f>
        <v>#VALUE!</v>
      </c>
      <c r="HW245" t="e">
        <f>Europe!F300+"$F;@!.yV"</f>
        <v>#VALUE!</v>
      </c>
      <c r="HX245" t="e">
        <f>Europe!G300+"$F;@!.yW"</f>
        <v>#VALUE!</v>
      </c>
      <c r="HY245" t="e">
        <f>Europe!H300+"$F;@!.yX"</f>
        <v>#VALUE!</v>
      </c>
      <c r="HZ245" t="e">
        <f>Europe!A301+"$F;@!.yY"</f>
        <v>#VALUE!</v>
      </c>
      <c r="IA245" t="e">
        <f>Europe!B301+"$F;@!.yZ"</f>
        <v>#VALUE!</v>
      </c>
      <c r="IB245" t="e">
        <f>Europe!C301+"$F;@!.y["</f>
        <v>#VALUE!</v>
      </c>
      <c r="IC245" t="e">
        <f>Europe!D301+"$F;@!.y\"</f>
        <v>#VALUE!</v>
      </c>
      <c r="ID245" t="e">
        <f>Europe!E301+"$F;@!.y]"</f>
        <v>#VALUE!</v>
      </c>
      <c r="IE245" t="e">
        <f>Europe!F301+"$F;@!.y^"</f>
        <v>#VALUE!</v>
      </c>
      <c r="IF245" t="e">
        <f>Europe!G301+"$F;@!.y_"</f>
        <v>#VALUE!</v>
      </c>
      <c r="IG245" t="e">
        <f>Europe!H301+"$F;@!.y`"</f>
        <v>#VALUE!</v>
      </c>
      <c r="IH245" t="e">
        <f>Europe!A302+"$F;@!.ya"</f>
        <v>#VALUE!</v>
      </c>
      <c r="II245" t="e">
        <f>Europe!B302+"$F;@!.yb"</f>
        <v>#VALUE!</v>
      </c>
      <c r="IJ245" t="e">
        <f>Europe!C302+"$F;@!.yc"</f>
        <v>#VALUE!</v>
      </c>
      <c r="IK245" t="e">
        <f>Europe!D302+"$F;@!.yd"</f>
        <v>#VALUE!</v>
      </c>
      <c r="IL245" t="e">
        <f>Europe!E302+"$F;@!.ye"</f>
        <v>#VALUE!</v>
      </c>
      <c r="IM245" t="e">
        <f>Europe!F302+"$F;@!.yf"</f>
        <v>#VALUE!</v>
      </c>
      <c r="IN245" t="e">
        <f>Europe!G302+"$F;@!.yg"</f>
        <v>#VALUE!</v>
      </c>
      <c r="IO245" t="e">
        <f>Europe!H302+"$F;@!.yh"</f>
        <v>#VALUE!</v>
      </c>
      <c r="IP245" t="e">
        <f>Europe!A303+"$F;@!.yi"</f>
        <v>#VALUE!</v>
      </c>
      <c r="IQ245" t="e">
        <f>Europe!B303+"$F;@!.yj"</f>
        <v>#VALUE!</v>
      </c>
      <c r="IR245" t="e">
        <f>Europe!C303+"$F;@!.yk"</f>
        <v>#VALUE!</v>
      </c>
      <c r="IS245" t="e">
        <f>Europe!D303+"$F;@!.yl"</f>
        <v>#VALUE!</v>
      </c>
      <c r="IT245" t="e">
        <f>Europe!E303+"$F;@!.ym"</f>
        <v>#VALUE!</v>
      </c>
      <c r="IU245" t="e">
        <f>Europe!F303+"$F;@!.yn"</f>
        <v>#VALUE!</v>
      </c>
      <c r="IV245" t="e">
        <f>Europe!G303+"$F;@!.yo"</f>
        <v>#VALUE!</v>
      </c>
    </row>
    <row r="246" spans="6:256" x14ac:dyDescent="0.35">
      <c r="F246" t="e">
        <f>Europe!H303+"$F;@!.yp"</f>
        <v>#VALUE!</v>
      </c>
      <c r="G246" t="e">
        <f>Europe!A304+"$F;@!.yq"</f>
        <v>#VALUE!</v>
      </c>
      <c r="H246" t="e">
        <f>Europe!B304+"$F;@!.yr"</f>
        <v>#VALUE!</v>
      </c>
      <c r="I246" t="e">
        <f>Europe!C304+"$F;@!.ys"</f>
        <v>#VALUE!</v>
      </c>
      <c r="J246" t="e">
        <f>Europe!D304+"$F;@!.yt"</f>
        <v>#VALUE!</v>
      </c>
      <c r="K246" t="e">
        <f>Europe!E304+"$F;@!.yu"</f>
        <v>#VALUE!</v>
      </c>
      <c r="L246" t="e">
        <f>Europe!F304+"$F;@!.yv"</f>
        <v>#VALUE!</v>
      </c>
      <c r="M246" t="e">
        <f>Europe!G304+"$F;@!.yw"</f>
        <v>#VALUE!</v>
      </c>
      <c r="N246" t="e">
        <f>Europe!H304+"$F;@!.yx"</f>
        <v>#VALUE!</v>
      </c>
      <c r="O246" t="e">
        <f>Europe!A305+"$F;@!.yy"</f>
        <v>#VALUE!</v>
      </c>
      <c r="P246" t="e">
        <f>Europe!B305+"$F;@!.yz"</f>
        <v>#VALUE!</v>
      </c>
      <c r="Q246" t="e">
        <f>Europe!C305+"$F;@!.y{"</f>
        <v>#VALUE!</v>
      </c>
      <c r="R246" t="e">
        <f>Europe!D305+"$F;@!.y|"</f>
        <v>#VALUE!</v>
      </c>
      <c r="S246" t="e">
        <f>Europe!E305+"$F;@!.y}"</f>
        <v>#VALUE!</v>
      </c>
      <c r="T246" t="e">
        <f>Europe!F305+"$F;@!.y~"</f>
        <v>#VALUE!</v>
      </c>
      <c r="U246" t="e">
        <f>Europe!G305+"$F;@!.z#"</f>
        <v>#VALUE!</v>
      </c>
      <c r="V246" t="e">
        <f>Europe!H305+"$F;@!.z$"</f>
        <v>#VALUE!</v>
      </c>
      <c r="W246" t="e">
        <f>Europe!A306+"$F;@!.z%"</f>
        <v>#VALUE!</v>
      </c>
      <c r="X246" t="e">
        <f>Europe!B306+"$F;@!.z&amp;"</f>
        <v>#VALUE!</v>
      </c>
      <c r="Y246" t="e">
        <f>Europe!C306+"$F;@!.z'"</f>
        <v>#VALUE!</v>
      </c>
      <c r="Z246" t="e">
        <f>Europe!D306+"$F;@!.z("</f>
        <v>#VALUE!</v>
      </c>
      <c r="AA246" t="e">
        <f>Europe!E306+"$F;@!.z)"</f>
        <v>#VALUE!</v>
      </c>
      <c r="AB246" t="e">
        <f>Europe!F306+"$F;@!.z."</f>
        <v>#VALUE!</v>
      </c>
      <c r="AC246" t="e">
        <f>Europe!G306+"$F;@!.z/"</f>
        <v>#VALUE!</v>
      </c>
      <c r="AD246" t="e">
        <f>Europe!H306+"$F;@!.z0"</f>
        <v>#VALUE!</v>
      </c>
      <c r="AE246" t="e">
        <f>Europe!A307+"$F;@!.z1"</f>
        <v>#VALUE!</v>
      </c>
      <c r="AF246" t="e">
        <f>Europe!B307+"$F;@!.z2"</f>
        <v>#VALUE!</v>
      </c>
      <c r="AG246" t="e">
        <f>Europe!C307+"$F;@!.z3"</f>
        <v>#VALUE!</v>
      </c>
      <c r="AH246" t="e">
        <f>Europe!D307+"$F;@!.z4"</f>
        <v>#VALUE!</v>
      </c>
      <c r="AI246" t="e">
        <f>Europe!E307+"$F;@!.z5"</f>
        <v>#VALUE!</v>
      </c>
      <c r="AJ246" t="e">
        <f>Europe!F307+"$F;@!.z6"</f>
        <v>#VALUE!</v>
      </c>
      <c r="AK246" t="e">
        <f>Europe!G307+"$F;@!.z7"</f>
        <v>#VALUE!</v>
      </c>
      <c r="AL246" t="e">
        <f>Europe!H307+"$F;@!.z8"</f>
        <v>#VALUE!</v>
      </c>
      <c r="AM246" t="e">
        <f>Europe!A308+"$F;@!.z9"</f>
        <v>#VALUE!</v>
      </c>
      <c r="AN246" t="e">
        <f>Europe!B308+"$F;@!.z:"</f>
        <v>#VALUE!</v>
      </c>
      <c r="AO246" t="e">
        <f>Europe!C308+"$F;@!.z;"</f>
        <v>#VALUE!</v>
      </c>
      <c r="AP246" t="e">
        <f>Europe!D308+"$F;@!.z&lt;"</f>
        <v>#VALUE!</v>
      </c>
      <c r="AQ246" t="e">
        <f>Europe!E308+"$F;@!.z="</f>
        <v>#VALUE!</v>
      </c>
      <c r="AR246" t="e">
        <f>Europe!F308+"$F;@!.z&gt;"</f>
        <v>#VALUE!</v>
      </c>
      <c r="AS246" t="e">
        <f>Europe!G308+"$F;@!.z?"</f>
        <v>#VALUE!</v>
      </c>
      <c r="AT246" t="e">
        <f>Europe!H308+"$F;@!.z@"</f>
        <v>#VALUE!</v>
      </c>
      <c r="AU246" t="e">
        <f>Europe!A309+"$F;@!.zA"</f>
        <v>#VALUE!</v>
      </c>
      <c r="AV246" t="e">
        <f>Europe!B309+"$F;@!.zB"</f>
        <v>#VALUE!</v>
      </c>
      <c r="AW246" t="e">
        <f>Europe!C309+"$F;@!.zC"</f>
        <v>#VALUE!</v>
      </c>
      <c r="AX246" t="e">
        <f>Europe!D309+"$F;@!.zD"</f>
        <v>#VALUE!</v>
      </c>
      <c r="AY246" t="e">
        <f>Europe!E309+"$F;@!.zE"</f>
        <v>#VALUE!</v>
      </c>
      <c r="AZ246" t="e">
        <f>Europe!F309+"$F;@!.zF"</f>
        <v>#VALUE!</v>
      </c>
      <c r="BA246" t="e">
        <f>Europe!G309+"$F;@!.zG"</f>
        <v>#VALUE!</v>
      </c>
      <c r="BB246" t="e">
        <f>Europe!H309+"$F;@!.zH"</f>
        <v>#VALUE!</v>
      </c>
      <c r="BC246" t="e">
        <f>Europe!A310+"$F;@!.zI"</f>
        <v>#VALUE!</v>
      </c>
      <c r="BD246" t="e">
        <f>Europe!B310+"$F;@!.zJ"</f>
        <v>#VALUE!</v>
      </c>
      <c r="BE246" t="e">
        <f>Europe!C310+"$F;@!.zK"</f>
        <v>#VALUE!</v>
      </c>
      <c r="BF246" t="e">
        <f>Europe!D310+"$F;@!.zL"</f>
        <v>#VALUE!</v>
      </c>
      <c r="BG246" t="e">
        <f>Europe!E310+"$F;@!.zM"</f>
        <v>#VALUE!</v>
      </c>
      <c r="BH246" t="e">
        <f>Europe!F310+"$F;@!.zN"</f>
        <v>#VALUE!</v>
      </c>
      <c r="BI246" t="e">
        <f>Europe!G310+"$F;@!.zO"</f>
        <v>#VALUE!</v>
      </c>
      <c r="BJ246" t="e">
        <f>Europe!H310+"$F;@!.zP"</f>
        <v>#VALUE!</v>
      </c>
      <c r="BK246" t="e">
        <f>Europe!A311+"$F;@!.zQ"</f>
        <v>#VALUE!</v>
      </c>
      <c r="BL246" t="e">
        <f>Europe!B311+"$F;@!.zR"</f>
        <v>#VALUE!</v>
      </c>
      <c r="BM246" t="e">
        <f>Europe!C311+"$F;@!.zS"</f>
        <v>#VALUE!</v>
      </c>
      <c r="BN246" t="e">
        <f>Europe!D311+"$F;@!.zT"</f>
        <v>#VALUE!</v>
      </c>
      <c r="BO246" t="e">
        <f>Europe!E311+"$F;@!.zU"</f>
        <v>#VALUE!</v>
      </c>
      <c r="BP246" t="e">
        <f>Europe!F311+"$F;@!.zV"</f>
        <v>#VALUE!</v>
      </c>
      <c r="BQ246" t="e">
        <f>Europe!G311+"$F;@!.zW"</f>
        <v>#VALUE!</v>
      </c>
      <c r="BR246" t="e">
        <f>Europe!H311+"$F;@!.zX"</f>
        <v>#VALUE!</v>
      </c>
      <c r="BS246" t="e">
        <f>Europe!A312+"$F;@!.zY"</f>
        <v>#VALUE!</v>
      </c>
      <c r="BT246" t="e">
        <f>Europe!B312+"$F;@!.zZ"</f>
        <v>#VALUE!</v>
      </c>
      <c r="BU246" t="e">
        <f>Europe!C312+"$F;@!.z["</f>
        <v>#VALUE!</v>
      </c>
      <c r="BV246" t="e">
        <f>Europe!D312+"$F;@!.z\"</f>
        <v>#VALUE!</v>
      </c>
      <c r="BW246" t="e">
        <f>Europe!E312+"$F;@!.z]"</f>
        <v>#VALUE!</v>
      </c>
      <c r="BX246" t="e">
        <f>Europe!F312+"$F;@!.z^"</f>
        <v>#VALUE!</v>
      </c>
      <c r="BY246" t="e">
        <f>Europe!G312+"$F;@!.z_"</f>
        <v>#VALUE!</v>
      </c>
      <c r="BZ246" t="e">
        <f>Europe!H312+"$F;@!.z`"</f>
        <v>#VALUE!</v>
      </c>
      <c r="CA246" t="e">
        <f>Europe!A313+"$F;@!.za"</f>
        <v>#VALUE!</v>
      </c>
      <c r="CB246" t="e">
        <f>Europe!B313+"$F;@!.zb"</f>
        <v>#VALUE!</v>
      </c>
      <c r="CC246" t="e">
        <f>Europe!C313+"$F;@!.zc"</f>
        <v>#VALUE!</v>
      </c>
      <c r="CD246" t="e">
        <f>Europe!D313+"$F;@!.zd"</f>
        <v>#VALUE!</v>
      </c>
      <c r="CE246" t="e">
        <f>Europe!E313+"$F;@!.ze"</f>
        <v>#VALUE!</v>
      </c>
      <c r="CF246" t="e">
        <f>Europe!F313+"$F;@!.zf"</f>
        <v>#VALUE!</v>
      </c>
      <c r="CG246" t="e">
        <f>Europe!G313+"$F;@!.zg"</f>
        <v>#VALUE!</v>
      </c>
      <c r="CH246" t="e">
        <f>Europe!H313+"$F;@!.zh"</f>
        <v>#VALUE!</v>
      </c>
      <c r="CI246" t="e">
        <f>Europe!A314+"$F;@!.zi"</f>
        <v>#VALUE!</v>
      </c>
      <c r="CJ246" t="e">
        <f>Europe!B314+"$F;@!.zj"</f>
        <v>#VALUE!</v>
      </c>
      <c r="CK246" t="e">
        <f>Europe!C314+"$F;@!.zk"</f>
        <v>#VALUE!</v>
      </c>
      <c r="CL246" t="e">
        <f>Europe!D314+"$F;@!.zl"</f>
        <v>#VALUE!</v>
      </c>
      <c r="CM246" t="e">
        <f>Europe!E314+"$F;@!.zm"</f>
        <v>#VALUE!</v>
      </c>
      <c r="CN246" t="e">
        <f>Europe!F314+"$F;@!.zn"</f>
        <v>#VALUE!</v>
      </c>
      <c r="CO246" t="e">
        <f>Europe!G314+"$F;@!.zo"</f>
        <v>#VALUE!</v>
      </c>
      <c r="CP246" t="e">
        <f>Europe!H314+"$F;@!.zp"</f>
        <v>#VALUE!</v>
      </c>
      <c r="CQ246" t="e">
        <f>Europe!A315+"$F;@!.zq"</f>
        <v>#VALUE!</v>
      </c>
      <c r="CR246" t="e">
        <f>Europe!B315+"$F;@!.zr"</f>
        <v>#VALUE!</v>
      </c>
      <c r="CS246" t="e">
        <f>Europe!C315+"$F;@!.zs"</f>
        <v>#VALUE!</v>
      </c>
      <c r="CT246" t="e">
        <f>Europe!D315+"$F;@!.zt"</f>
        <v>#VALUE!</v>
      </c>
      <c r="CU246" t="e">
        <f>Europe!E315+"$F;@!.zu"</f>
        <v>#VALUE!</v>
      </c>
      <c r="CV246" t="e">
        <f>Europe!F315+"$F;@!.zv"</f>
        <v>#VALUE!</v>
      </c>
      <c r="CW246" t="e">
        <f>Europe!G315+"$F;@!.zw"</f>
        <v>#VALUE!</v>
      </c>
      <c r="CX246" t="e">
        <f>Europe!H315+"$F;@!.zx"</f>
        <v>#VALUE!</v>
      </c>
      <c r="CY246" t="e">
        <f>Europe!A316+"$F;@!.zy"</f>
        <v>#VALUE!</v>
      </c>
      <c r="CZ246" t="e">
        <f>Europe!B316+"$F;@!.zz"</f>
        <v>#VALUE!</v>
      </c>
      <c r="DA246" t="e">
        <f>Europe!C316+"$F;@!.z{"</f>
        <v>#VALUE!</v>
      </c>
      <c r="DB246" t="e">
        <f>Europe!D316+"$F;@!.z|"</f>
        <v>#VALUE!</v>
      </c>
      <c r="DC246" t="e">
        <f>Europe!E316+"$F;@!.z}"</f>
        <v>#VALUE!</v>
      </c>
      <c r="DD246" t="e">
        <f>Europe!F316+"$F;@!.z~"</f>
        <v>#VALUE!</v>
      </c>
      <c r="DE246" t="e">
        <f>Europe!G316+"$F;@!.{#"</f>
        <v>#VALUE!</v>
      </c>
      <c r="DF246" t="e">
        <f>Europe!H316+"$F;@!.{$"</f>
        <v>#VALUE!</v>
      </c>
      <c r="DG246" t="e">
        <f>Europe!A317+"$F;@!.{%"</f>
        <v>#VALUE!</v>
      </c>
      <c r="DH246" t="e">
        <f>Europe!B317+"$F;@!.{&amp;"</f>
        <v>#VALUE!</v>
      </c>
      <c r="DI246" t="e">
        <f>Europe!C317+"$F;@!.{'"</f>
        <v>#VALUE!</v>
      </c>
      <c r="DJ246" t="e">
        <f>Europe!D317+"$F;@!.{("</f>
        <v>#VALUE!</v>
      </c>
      <c r="DK246" t="e">
        <f>Europe!E317+"$F;@!.{)"</f>
        <v>#VALUE!</v>
      </c>
      <c r="DL246" t="e">
        <f>Europe!F317+"$F;@!.{."</f>
        <v>#VALUE!</v>
      </c>
      <c r="DM246" t="e">
        <f>Europe!G317+"$F;@!.{/"</f>
        <v>#VALUE!</v>
      </c>
      <c r="DN246" t="e">
        <f>Europe!H317+"$F;@!.{0"</f>
        <v>#VALUE!</v>
      </c>
      <c r="DO246" t="e">
        <f>Europe!A318+"$F;@!.{1"</f>
        <v>#VALUE!</v>
      </c>
      <c r="DP246" t="e">
        <f>Europe!B318+"$F;@!.{2"</f>
        <v>#VALUE!</v>
      </c>
      <c r="DQ246" t="e">
        <f>Europe!C318+"$F;@!.{3"</f>
        <v>#VALUE!</v>
      </c>
      <c r="DR246" t="e">
        <f>Europe!D318+"$F;@!.{4"</f>
        <v>#VALUE!</v>
      </c>
      <c r="DS246" t="e">
        <f>Europe!E318+"$F;@!.{5"</f>
        <v>#VALUE!</v>
      </c>
      <c r="DT246" t="e">
        <f>Europe!F318+"$F;@!.{6"</f>
        <v>#VALUE!</v>
      </c>
      <c r="DU246" t="e">
        <f>Europe!G318+"$F;@!.{7"</f>
        <v>#VALUE!</v>
      </c>
      <c r="DV246" t="e">
        <f>Europe!H318+"$F;@!.{8"</f>
        <v>#VALUE!</v>
      </c>
      <c r="DW246" t="e">
        <f>Europe!A319+"$F;@!.{9"</f>
        <v>#VALUE!</v>
      </c>
      <c r="DX246" t="e">
        <f>Europe!B319+"$F;@!.{:"</f>
        <v>#VALUE!</v>
      </c>
      <c r="DY246" t="e">
        <f>Europe!C319+"$F;@!.{;"</f>
        <v>#VALUE!</v>
      </c>
      <c r="DZ246" t="e">
        <f>Europe!D319+"$F;@!.{&lt;"</f>
        <v>#VALUE!</v>
      </c>
      <c r="EA246" t="e">
        <f>Europe!E319+"$F;@!.{="</f>
        <v>#VALUE!</v>
      </c>
      <c r="EB246" t="e">
        <f>Europe!F319+"$F;@!.{&gt;"</f>
        <v>#VALUE!</v>
      </c>
      <c r="EC246" t="e">
        <f>Europe!G319+"$F;@!.{?"</f>
        <v>#VALUE!</v>
      </c>
      <c r="ED246" t="e">
        <f>Europe!H319+"$F;@!.{@"</f>
        <v>#VALUE!</v>
      </c>
      <c r="EE246" t="e">
        <f>Europe!A320+"$F;@!.{A"</f>
        <v>#VALUE!</v>
      </c>
      <c r="EF246" t="e">
        <f>Europe!B320+"$F;@!.{B"</f>
        <v>#VALUE!</v>
      </c>
      <c r="EG246" t="e">
        <f>Europe!C320+"$F;@!.{C"</f>
        <v>#VALUE!</v>
      </c>
      <c r="EH246" t="e">
        <f>Europe!D320+"$F;@!.{D"</f>
        <v>#VALUE!</v>
      </c>
      <c r="EI246" t="e">
        <f>Europe!E320+"$F;@!.{E"</f>
        <v>#VALUE!</v>
      </c>
      <c r="EJ246" t="e">
        <f>Europe!F320+"$F;@!.{F"</f>
        <v>#VALUE!</v>
      </c>
      <c r="EK246" t="e">
        <f>Europe!G320+"$F;@!.{G"</f>
        <v>#VALUE!</v>
      </c>
      <c r="EL246" t="e">
        <f>Europe!H320+"$F;@!.{H"</f>
        <v>#VALUE!</v>
      </c>
      <c r="EM246" t="e">
        <f>Europe!A321+"$F;@!.{I"</f>
        <v>#VALUE!</v>
      </c>
      <c r="EN246" t="e">
        <f>Europe!B321+"$F;@!.{J"</f>
        <v>#VALUE!</v>
      </c>
      <c r="EO246" t="e">
        <f>Europe!C321+"$F;@!.{K"</f>
        <v>#VALUE!</v>
      </c>
      <c r="EP246" t="e">
        <f>Europe!D321+"$F;@!.{L"</f>
        <v>#VALUE!</v>
      </c>
      <c r="EQ246" t="e">
        <f>Europe!E321+"$F;@!.{M"</f>
        <v>#VALUE!</v>
      </c>
      <c r="ER246" t="e">
        <f>Europe!F321+"$F;@!.{N"</f>
        <v>#VALUE!</v>
      </c>
      <c r="ES246" t="e">
        <f>Europe!G321+"$F;@!.{O"</f>
        <v>#VALUE!</v>
      </c>
      <c r="ET246" t="e">
        <f>Europe!H321+"$F;@!.{P"</f>
        <v>#VALUE!</v>
      </c>
      <c r="EU246" t="e">
        <f>Europe!A322+"$F;@!.{Q"</f>
        <v>#VALUE!</v>
      </c>
      <c r="EV246" t="e">
        <f>Europe!B322+"$F;@!.{R"</f>
        <v>#VALUE!</v>
      </c>
      <c r="EW246" t="e">
        <f>Europe!C322+"$F;@!.{S"</f>
        <v>#VALUE!</v>
      </c>
      <c r="EX246" t="e">
        <f>Europe!D322+"$F;@!.{T"</f>
        <v>#VALUE!</v>
      </c>
      <c r="EY246" t="e">
        <f>Europe!E322+"$F;@!.{U"</f>
        <v>#VALUE!</v>
      </c>
      <c r="EZ246" t="e">
        <f>Europe!F322+"$F;@!.{V"</f>
        <v>#VALUE!</v>
      </c>
      <c r="FA246" t="e">
        <f>Europe!G322+"$F;@!.{W"</f>
        <v>#VALUE!</v>
      </c>
      <c r="FB246" t="e">
        <f>Europe!H322+"$F;@!.{X"</f>
        <v>#VALUE!</v>
      </c>
      <c r="FC246" t="e">
        <f>Europe!A323+"$F;@!.{Y"</f>
        <v>#VALUE!</v>
      </c>
      <c r="FD246" t="e">
        <f>Europe!B323+"$F;@!.{Z"</f>
        <v>#VALUE!</v>
      </c>
      <c r="FE246" t="e">
        <f>Europe!C323+"$F;@!.{["</f>
        <v>#VALUE!</v>
      </c>
      <c r="FF246" t="e">
        <f>Europe!D323+"$F;@!.{\"</f>
        <v>#VALUE!</v>
      </c>
      <c r="FG246" t="e">
        <f>Europe!E323+"$F;@!.{]"</f>
        <v>#VALUE!</v>
      </c>
      <c r="FH246" t="e">
        <f>Europe!F323+"$F;@!.{^"</f>
        <v>#VALUE!</v>
      </c>
      <c r="FI246" t="e">
        <f>Europe!G323+"$F;@!.{_"</f>
        <v>#VALUE!</v>
      </c>
      <c r="FJ246" t="e">
        <f>Europe!H323+"$F;@!.{`"</f>
        <v>#VALUE!</v>
      </c>
      <c r="FK246" t="e">
        <f>Europe!A324+"$F;@!.{a"</f>
        <v>#VALUE!</v>
      </c>
      <c r="FL246" t="e">
        <f>Europe!B324+"$F;@!.{b"</f>
        <v>#VALUE!</v>
      </c>
      <c r="FM246" t="e">
        <f>Europe!C324+"$F;@!.{c"</f>
        <v>#VALUE!</v>
      </c>
      <c r="FN246" t="e">
        <f>Europe!D324+"$F;@!.{d"</f>
        <v>#VALUE!</v>
      </c>
      <c r="FO246" t="e">
        <f>Europe!E324+"$F;@!.{e"</f>
        <v>#VALUE!</v>
      </c>
      <c r="FP246" t="e">
        <f>Europe!F324+"$F;@!.{f"</f>
        <v>#VALUE!</v>
      </c>
      <c r="FQ246" t="e">
        <f>Europe!G324+"$F;@!.{g"</f>
        <v>#VALUE!</v>
      </c>
      <c r="FR246" t="e">
        <f>Europe!H324+"$F;@!.{h"</f>
        <v>#VALUE!</v>
      </c>
      <c r="FS246" t="e">
        <f>Europe!A325+"$F;@!.{i"</f>
        <v>#VALUE!</v>
      </c>
      <c r="FT246" t="e">
        <f>Europe!B325+"$F;@!.{j"</f>
        <v>#VALUE!</v>
      </c>
      <c r="FU246" t="e">
        <f>Europe!C325+"$F;@!.{k"</f>
        <v>#VALUE!</v>
      </c>
      <c r="FV246" t="e">
        <f>Europe!D325+"$F;@!.{l"</f>
        <v>#VALUE!</v>
      </c>
      <c r="FW246" t="e">
        <f>Europe!E325+"$F;@!.{m"</f>
        <v>#VALUE!</v>
      </c>
      <c r="FX246" t="e">
        <f>Europe!F325+"$F;@!.{n"</f>
        <v>#VALUE!</v>
      </c>
      <c r="FY246" t="e">
        <f>Europe!G325+"$F;@!.{o"</f>
        <v>#VALUE!</v>
      </c>
      <c r="FZ246" t="e">
        <f>Europe!H325+"$F;@!.{p"</f>
        <v>#VALUE!</v>
      </c>
      <c r="GA246" t="e">
        <f>Europe!A326+"$F;@!.{q"</f>
        <v>#VALUE!</v>
      </c>
      <c r="GB246" t="e">
        <f>Europe!B326+"$F;@!.{r"</f>
        <v>#VALUE!</v>
      </c>
      <c r="GC246" t="e">
        <f>Europe!C326+"$F;@!.{s"</f>
        <v>#VALUE!</v>
      </c>
      <c r="GD246" t="e">
        <f>Europe!D326+"$F;@!.{t"</f>
        <v>#VALUE!</v>
      </c>
      <c r="GE246" t="e">
        <f>Europe!E326+"$F;@!.{u"</f>
        <v>#VALUE!</v>
      </c>
      <c r="GF246" t="e">
        <f>Europe!F326+"$F;@!.{v"</f>
        <v>#VALUE!</v>
      </c>
      <c r="GG246" t="e">
        <f>Europe!G326+"$F;@!.{w"</f>
        <v>#VALUE!</v>
      </c>
      <c r="GH246" t="e">
        <f>Europe!H326+"$F;@!.{x"</f>
        <v>#VALUE!</v>
      </c>
      <c r="GI246" t="e">
        <f>Europe!A327+"$F;@!.{y"</f>
        <v>#VALUE!</v>
      </c>
      <c r="GJ246" t="e">
        <f>Europe!B327+"$F;@!.{z"</f>
        <v>#VALUE!</v>
      </c>
      <c r="GK246" t="e">
        <f>Europe!C327+"$F;@!.{{"</f>
        <v>#VALUE!</v>
      </c>
      <c r="GL246" t="e">
        <f>Europe!D327+"$F;@!.{|"</f>
        <v>#VALUE!</v>
      </c>
      <c r="GM246" t="e">
        <f>Europe!E327+"$F;@!.{}"</f>
        <v>#VALUE!</v>
      </c>
      <c r="GN246" t="e">
        <f>Europe!F327+"$F;@!.{~"</f>
        <v>#VALUE!</v>
      </c>
      <c r="GO246" t="e">
        <f>Europe!G327+"$F;@!.|#"</f>
        <v>#VALUE!</v>
      </c>
      <c r="GP246" t="e">
        <f>Europe!H327+"$F;@!.|$"</f>
        <v>#VALUE!</v>
      </c>
      <c r="GQ246" t="e">
        <f>Europe!A328+"$F;@!.|%"</f>
        <v>#VALUE!</v>
      </c>
      <c r="GR246" t="e">
        <f>Europe!B328+"$F;@!.|&amp;"</f>
        <v>#VALUE!</v>
      </c>
      <c r="GS246" t="e">
        <f>Europe!C328+"$F;@!.|'"</f>
        <v>#VALUE!</v>
      </c>
      <c r="GT246" t="e">
        <f>Europe!D328+"$F;@!.|("</f>
        <v>#VALUE!</v>
      </c>
      <c r="GU246" t="e">
        <f>Europe!E328+"$F;@!.|)"</f>
        <v>#VALUE!</v>
      </c>
      <c r="GV246" t="e">
        <f>Europe!F328+"$F;@!.|."</f>
        <v>#VALUE!</v>
      </c>
      <c r="GW246" t="e">
        <f>Europe!G328+"$F;@!.|/"</f>
        <v>#VALUE!</v>
      </c>
      <c r="GX246" t="e">
        <f>Europe!H328+"$F;@!.|0"</f>
        <v>#VALUE!</v>
      </c>
      <c r="GY246" t="e">
        <f>Europe!A329+"$F;@!.|1"</f>
        <v>#VALUE!</v>
      </c>
      <c r="GZ246" t="e">
        <f>Europe!B329+"$F;@!.|2"</f>
        <v>#VALUE!</v>
      </c>
      <c r="HA246" t="e">
        <f>Europe!C329+"$F;@!.|3"</f>
        <v>#VALUE!</v>
      </c>
      <c r="HB246" t="e">
        <f>Europe!D329+"$F;@!.|4"</f>
        <v>#VALUE!</v>
      </c>
      <c r="HC246" t="e">
        <f>Europe!E329+"$F;@!.|5"</f>
        <v>#VALUE!</v>
      </c>
      <c r="HD246" t="e">
        <f>Europe!F329+"$F;@!.|6"</f>
        <v>#VALUE!</v>
      </c>
      <c r="HE246" t="e">
        <f>Europe!G329+"$F;@!.|7"</f>
        <v>#VALUE!</v>
      </c>
      <c r="HF246" t="e">
        <f>Europe!H329+"$F;@!.|8"</f>
        <v>#VALUE!</v>
      </c>
      <c r="HG246" t="e">
        <f>Europe!A330+"$F;@!.|9"</f>
        <v>#VALUE!</v>
      </c>
      <c r="HH246" t="e">
        <f>Europe!B330+"$F;@!.|:"</f>
        <v>#VALUE!</v>
      </c>
      <c r="HI246" t="e">
        <f>Europe!C330+"$F;@!.|;"</f>
        <v>#VALUE!</v>
      </c>
      <c r="HJ246" t="e">
        <f>Europe!D330+"$F;@!.|&lt;"</f>
        <v>#VALUE!</v>
      </c>
      <c r="HK246" t="e">
        <f>Europe!E330+"$F;@!.|="</f>
        <v>#VALUE!</v>
      </c>
      <c r="HL246" t="e">
        <f>Europe!F330+"$F;@!.|&gt;"</f>
        <v>#VALUE!</v>
      </c>
      <c r="HM246" t="e">
        <f>Europe!G330+"$F;@!.|?"</f>
        <v>#VALUE!</v>
      </c>
      <c r="HN246" t="e">
        <f>Europe!H330+"$F;@!.|@"</f>
        <v>#VALUE!</v>
      </c>
      <c r="HO246" t="e">
        <f>Europe!A331+"$F;@!.|A"</f>
        <v>#VALUE!</v>
      </c>
      <c r="HP246" t="e">
        <f>Europe!B331+"$F;@!.|B"</f>
        <v>#VALUE!</v>
      </c>
      <c r="HQ246" t="e">
        <f>Europe!C331+"$F;@!.|C"</f>
        <v>#VALUE!</v>
      </c>
      <c r="HR246" t="e">
        <f>Europe!D331+"$F;@!.|D"</f>
        <v>#VALUE!</v>
      </c>
      <c r="HS246" t="e">
        <f>Europe!E331+"$F;@!.|E"</f>
        <v>#VALUE!</v>
      </c>
      <c r="HT246" t="e">
        <f>Europe!F331+"$F;@!.|F"</f>
        <v>#VALUE!</v>
      </c>
      <c r="HU246" t="e">
        <f>Europe!G331+"$F;@!.|G"</f>
        <v>#VALUE!</v>
      </c>
      <c r="HV246" t="e">
        <f>Europe!H331+"$F;@!.|H"</f>
        <v>#VALUE!</v>
      </c>
      <c r="HW246" t="e">
        <f>Europe!A332+"$F;@!.|I"</f>
        <v>#VALUE!</v>
      </c>
      <c r="HX246" t="e">
        <f>Europe!B332+"$F;@!.|J"</f>
        <v>#VALUE!</v>
      </c>
      <c r="HY246" t="e">
        <f>Europe!C332+"$F;@!.|K"</f>
        <v>#VALUE!</v>
      </c>
      <c r="HZ246" t="e">
        <f>Europe!D332+"$F;@!.|L"</f>
        <v>#VALUE!</v>
      </c>
      <c r="IA246" t="e">
        <f>Europe!E332+"$F;@!.|M"</f>
        <v>#VALUE!</v>
      </c>
      <c r="IB246" t="e">
        <f>Europe!F332+"$F;@!.|N"</f>
        <v>#VALUE!</v>
      </c>
      <c r="IC246" t="e">
        <f>Europe!G332+"$F;@!.|O"</f>
        <v>#VALUE!</v>
      </c>
      <c r="ID246" t="e">
        <f>Europe!H332+"$F;@!.|P"</f>
        <v>#VALUE!</v>
      </c>
      <c r="IE246" t="e">
        <f>Europe!A333+"$F;@!.|Q"</f>
        <v>#VALUE!</v>
      </c>
      <c r="IF246" t="e">
        <f>Europe!B333+"$F;@!.|R"</f>
        <v>#VALUE!</v>
      </c>
      <c r="IG246" t="e">
        <f>Europe!C333+"$F;@!.|S"</f>
        <v>#VALUE!</v>
      </c>
      <c r="IH246" t="e">
        <f>Europe!D333+"$F;@!.|T"</f>
        <v>#VALUE!</v>
      </c>
      <c r="II246" t="e">
        <f>Europe!E333+"$F;@!.|U"</f>
        <v>#VALUE!</v>
      </c>
      <c r="IJ246" t="e">
        <f>Europe!F333+"$F;@!.|V"</f>
        <v>#VALUE!</v>
      </c>
      <c r="IK246" t="e">
        <f>Europe!G333+"$F;@!.|W"</f>
        <v>#VALUE!</v>
      </c>
      <c r="IL246" t="e">
        <f>Europe!H333+"$F;@!.|X"</f>
        <v>#VALUE!</v>
      </c>
      <c r="IM246" t="e">
        <f>Europe!A334+"$F;@!.|Y"</f>
        <v>#VALUE!</v>
      </c>
      <c r="IN246" t="e">
        <f>Europe!B334+"$F;@!.|Z"</f>
        <v>#VALUE!</v>
      </c>
      <c r="IO246" t="e">
        <f>Europe!C334+"$F;@!.|["</f>
        <v>#VALUE!</v>
      </c>
      <c r="IP246" t="e">
        <f>Europe!D334+"$F;@!.|\"</f>
        <v>#VALUE!</v>
      </c>
      <c r="IQ246" t="e">
        <f>Europe!E334+"$F;@!.|]"</f>
        <v>#VALUE!</v>
      </c>
      <c r="IR246" t="e">
        <f>Europe!F334+"$F;@!.|^"</f>
        <v>#VALUE!</v>
      </c>
      <c r="IS246" t="e">
        <f>Europe!G334+"$F;@!.|_"</f>
        <v>#VALUE!</v>
      </c>
      <c r="IT246" t="e">
        <f>Europe!H334+"$F;@!.|`"</f>
        <v>#VALUE!</v>
      </c>
      <c r="IU246" t="e">
        <f>Europe!A335+"$F;@!.|a"</f>
        <v>#VALUE!</v>
      </c>
      <c r="IV246" t="e">
        <f>Europe!B335+"$F;@!.|b"</f>
        <v>#VALUE!</v>
      </c>
    </row>
    <row r="247" spans="6:256" x14ac:dyDescent="0.35">
      <c r="F247" t="e">
        <f>Europe!C335+"$F;@!.|c"</f>
        <v>#VALUE!</v>
      </c>
      <c r="G247" t="e">
        <f>Europe!D335+"$F;@!.|d"</f>
        <v>#VALUE!</v>
      </c>
      <c r="H247" t="e">
        <f>Europe!E335+"$F;@!.|e"</f>
        <v>#VALUE!</v>
      </c>
      <c r="I247" t="e">
        <f>Europe!F335+"$F;@!.|f"</f>
        <v>#VALUE!</v>
      </c>
      <c r="J247" t="e">
        <f>Europe!G335+"$F;@!.|g"</f>
        <v>#VALUE!</v>
      </c>
      <c r="K247" t="e">
        <f>Europe!H335+"$F;@!.|h"</f>
        <v>#VALUE!</v>
      </c>
      <c r="L247" t="e">
        <f>Europe!A336+"$F;@!.|i"</f>
        <v>#VALUE!</v>
      </c>
      <c r="M247" t="e">
        <f>Europe!B336+"$F;@!.|j"</f>
        <v>#VALUE!</v>
      </c>
      <c r="N247" t="e">
        <f>Europe!C336+"$F;@!.|k"</f>
        <v>#VALUE!</v>
      </c>
      <c r="O247" t="e">
        <f>Europe!D336+"$F;@!.|l"</f>
        <v>#VALUE!</v>
      </c>
      <c r="P247" t="e">
        <f>Europe!E336+"$F;@!.|m"</f>
        <v>#VALUE!</v>
      </c>
      <c r="Q247" t="e">
        <f>Europe!F336+"$F;@!.|n"</f>
        <v>#VALUE!</v>
      </c>
      <c r="R247" t="e">
        <f>Europe!G336+"$F;@!.|o"</f>
        <v>#VALUE!</v>
      </c>
      <c r="S247" t="e">
        <f>Europe!H336+"$F;@!.|p"</f>
        <v>#VALUE!</v>
      </c>
      <c r="T247" t="e">
        <f>Europe!A337+"$F;@!.|q"</f>
        <v>#VALUE!</v>
      </c>
      <c r="U247" t="e">
        <f>Europe!B337+"$F;@!.|r"</f>
        <v>#VALUE!</v>
      </c>
      <c r="V247" t="e">
        <f>Europe!C337+"$F;@!.|s"</f>
        <v>#VALUE!</v>
      </c>
      <c r="W247" t="e">
        <f>Europe!D337+"$F;@!.|t"</f>
        <v>#VALUE!</v>
      </c>
      <c r="X247" t="e">
        <f>Europe!E337+"$F;@!.|u"</f>
        <v>#VALUE!</v>
      </c>
      <c r="Y247" t="e">
        <f>Europe!F337+"$F;@!.|v"</f>
        <v>#VALUE!</v>
      </c>
      <c r="Z247" t="e">
        <f>Europe!G337+"$F;@!.|w"</f>
        <v>#VALUE!</v>
      </c>
      <c r="AA247" t="e">
        <f>Europe!H337+"$F;@!.|x"</f>
        <v>#VALUE!</v>
      </c>
      <c r="AB247" t="e">
        <f>Europe!A338+"$F;@!.|y"</f>
        <v>#VALUE!</v>
      </c>
      <c r="AC247" t="e">
        <f>Europe!B338+"$F;@!.|z"</f>
        <v>#VALUE!</v>
      </c>
      <c r="AD247" t="e">
        <f>Europe!C338+"$F;@!.|{"</f>
        <v>#VALUE!</v>
      </c>
      <c r="AE247" t="e">
        <f>Europe!D338+"$F;@!.||"</f>
        <v>#VALUE!</v>
      </c>
      <c r="AF247" t="e">
        <f>Europe!E338+"$F;@!.|}"</f>
        <v>#VALUE!</v>
      </c>
      <c r="AG247" t="e">
        <f>Europe!F338+"$F;@!.|~"</f>
        <v>#VALUE!</v>
      </c>
      <c r="AH247" t="e">
        <f>Europe!G338+"$F;@!.}#"</f>
        <v>#VALUE!</v>
      </c>
      <c r="AI247" t="e">
        <f>Europe!H338+"$F;@!.}$"</f>
        <v>#VALUE!</v>
      </c>
      <c r="AJ247" t="e">
        <f>Europe!A339+"$F;@!.}%"</f>
        <v>#VALUE!</v>
      </c>
      <c r="AK247" t="e">
        <f>Europe!B339+"$F;@!.}&amp;"</f>
        <v>#VALUE!</v>
      </c>
      <c r="AL247" t="e">
        <f>Europe!C339+"$F;@!.}'"</f>
        <v>#VALUE!</v>
      </c>
      <c r="AM247" t="e">
        <f>Europe!D339+"$F;@!.}("</f>
        <v>#VALUE!</v>
      </c>
      <c r="AN247" t="e">
        <f>Europe!E339+"$F;@!.})"</f>
        <v>#VALUE!</v>
      </c>
      <c r="AO247" t="e">
        <f>Europe!F339+"$F;@!.}."</f>
        <v>#VALUE!</v>
      </c>
      <c r="AP247" t="e">
        <f>Europe!G339+"$F;@!.}/"</f>
        <v>#VALUE!</v>
      </c>
      <c r="AQ247" t="e">
        <f>Europe!H339+"$F;@!.}0"</f>
        <v>#VALUE!</v>
      </c>
      <c r="AR247" t="e">
        <f>Europe!A340+"$F;@!.}1"</f>
        <v>#VALUE!</v>
      </c>
      <c r="AS247" t="e">
        <f>Europe!B340+"$F;@!.}2"</f>
        <v>#VALUE!</v>
      </c>
      <c r="AT247" t="e">
        <f>Europe!C340+"$F;@!.}3"</f>
        <v>#VALUE!</v>
      </c>
      <c r="AU247" t="e">
        <f>Europe!D340+"$F;@!.}4"</f>
        <v>#VALUE!</v>
      </c>
      <c r="AV247" t="e">
        <f>Europe!E340+"$F;@!.}5"</f>
        <v>#VALUE!</v>
      </c>
      <c r="AW247" t="e">
        <f>Europe!F340+"$F;@!.}6"</f>
        <v>#VALUE!</v>
      </c>
      <c r="AX247" t="e">
        <f>Europe!G340+"$F;@!.}7"</f>
        <v>#VALUE!</v>
      </c>
      <c r="AY247" t="e">
        <f>Europe!H340+"$F;@!.}8"</f>
        <v>#VALUE!</v>
      </c>
      <c r="AZ247" t="e">
        <f>Europe!A341+"$F;@!.}9"</f>
        <v>#VALUE!</v>
      </c>
      <c r="BA247" t="e">
        <f>Europe!B341+"$F;@!.}:"</f>
        <v>#VALUE!</v>
      </c>
      <c r="BB247" t="e">
        <f>Europe!C341+"$F;@!.};"</f>
        <v>#VALUE!</v>
      </c>
      <c r="BC247" t="e">
        <f>Europe!D341+"$F;@!.}&lt;"</f>
        <v>#VALUE!</v>
      </c>
      <c r="BD247" t="e">
        <f>Europe!E341+"$F;@!.}="</f>
        <v>#VALUE!</v>
      </c>
      <c r="BE247" t="e">
        <f>Europe!F341+"$F;@!.}&gt;"</f>
        <v>#VALUE!</v>
      </c>
      <c r="BF247" t="e">
        <f>Europe!G341+"$F;@!.}?"</f>
        <v>#VALUE!</v>
      </c>
      <c r="BG247" t="e">
        <f>Europe!H341+"$F;@!.}@"</f>
        <v>#VALUE!</v>
      </c>
      <c r="BH247" t="e">
        <f>Europe!A342+"$F;@!.}A"</f>
        <v>#VALUE!</v>
      </c>
      <c r="BI247" t="e">
        <f>Europe!B342+"$F;@!.}B"</f>
        <v>#VALUE!</v>
      </c>
      <c r="BJ247" t="e">
        <f>Europe!C342+"$F;@!.}C"</f>
        <v>#VALUE!</v>
      </c>
      <c r="BK247" t="e">
        <f>Europe!D342+"$F;@!.}D"</f>
        <v>#VALUE!</v>
      </c>
      <c r="BL247" t="e">
        <f>Europe!E342+"$F;@!.}E"</f>
        <v>#VALUE!</v>
      </c>
      <c r="BM247" t="e">
        <f>Europe!F342+"$F;@!.}F"</f>
        <v>#VALUE!</v>
      </c>
      <c r="BN247" t="e">
        <f>Europe!G342+"$F;@!.}G"</f>
        <v>#VALUE!</v>
      </c>
      <c r="BO247" t="e">
        <f>Europe!H342+"$F;@!.}H"</f>
        <v>#VALUE!</v>
      </c>
      <c r="BP247" t="e">
        <f>Europe!A343+"$F;@!.}I"</f>
        <v>#VALUE!</v>
      </c>
      <c r="BQ247" t="e">
        <f>Europe!B343+"$F;@!.}J"</f>
        <v>#VALUE!</v>
      </c>
      <c r="BR247" t="e">
        <f>Europe!C343+"$F;@!.}K"</f>
        <v>#VALUE!</v>
      </c>
      <c r="BS247" t="e">
        <f>Europe!D343+"$F;@!.}L"</f>
        <v>#VALUE!</v>
      </c>
      <c r="BT247" t="e">
        <f>Europe!E343+"$F;@!.}M"</f>
        <v>#VALUE!</v>
      </c>
      <c r="BU247" t="e">
        <f>Europe!F343+"$F;@!.}N"</f>
        <v>#VALUE!</v>
      </c>
      <c r="BV247" t="e">
        <f>Europe!G343+"$F;@!.}O"</f>
        <v>#VALUE!</v>
      </c>
      <c r="BW247" t="e">
        <f>Europe!H343+"$F;@!.}P"</f>
        <v>#VALUE!</v>
      </c>
      <c r="BX247" t="e">
        <f>Europe!A344+"$F;@!.}Q"</f>
        <v>#VALUE!</v>
      </c>
      <c r="BY247" t="e">
        <f>Europe!B344+"$F;@!.}R"</f>
        <v>#VALUE!</v>
      </c>
      <c r="BZ247" t="e">
        <f>Europe!C344+"$F;@!.}S"</f>
        <v>#VALUE!</v>
      </c>
      <c r="CA247" t="e">
        <f>Europe!D344+"$F;@!.}T"</f>
        <v>#VALUE!</v>
      </c>
      <c r="CB247" t="e">
        <f>Europe!E344+"$F;@!.}U"</f>
        <v>#VALUE!</v>
      </c>
      <c r="CC247" t="e">
        <f>Europe!F344+"$F;@!.}V"</f>
        <v>#VALUE!</v>
      </c>
      <c r="CD247" t="e">
        <f>Europe!G344+"$F;@!.}W"</f>
        <v>#VALUE!</v>
      </c>
      <c r="CE247" t="e">
        <f>Europe!H344+"$F;@!.}X"</f>
        <v>#VALUE!</v>
      </c>
      <c r="CF247" t="e">
        <f>Europe!A345+"$F;@!.}Y"</f>
        <v>#VALUE!</v>
      </c>
      <c r="CG247" t="e">
        <f>Europe!B345+"$F;@!.}Z"</f>
        <v>#VALUE!</v>
      </c>
      <c r="CH247" t="e">
        <f>Europe!C345+"$F;@!.}["</f>
        <v>#VALUE!</v>
      </c>
      <c r="CI247" t="e">
        <f>Europe!D345+"$F;@!.}\"</f>
        <v>#VALUE!</v>
      </c>
      <c r="CJ247" t="e">
        <f>Europe!E345+"$F;@!.}]"</f>
        <v>#VALUE!</v>
      </c>
      <c r="CK247" t="e">
        <f>Europe!F345+"$F;@!.}^"</f>
        <v>#VALUE!</v>
      </c>
      <c r="CL247" t="e">
        <f>Europe!G345+"$F;@!.}_"</f>
        <v>#VALUE!</v>
      </c>
      <c r="CM247" t="e">
        <f>Europe!H345+"$F;@!.}`"</f>
        <v>#VALUE!</v>
      </c>
      <c r="CN247" t="e">
        <f>Europe!A346+"$F;@!.}a"</f>
        <v>#VALUE!</v>
      </c>
      <c r="CO247" t="e">
        <f>Europe!B346+"$F;@!.}b"</f>
        <v>#VALUE!</v>
      </c>
      <c r="CP247" t="e">
        <f>Europe!C346+"$F;@!.}c"</f>
        <v>#VALUE!</v>
      </c>
      <c r="CQ247" t="e">
        <f>Europe!D346+"$F;@!.}d"</f>
        <v>#VALUE!</v>
      </c>
      <c r="CR247" t="e">
        <f>Europe!E346+"$F;@!.}e"</f>
        <v>#VALUE!</v>
      </c>
      <c r="CS247" t="e">
        <f>Europe!F346+"$F;@!.}f"</f>
        <v>#VALUE!</v>
      </c>
      <c r="CT247" t="e">
        <f>Europe!G346+"$F;@!.}g"</f>
        <v>#VALUE!</v>
      </c>
      <c r="CU247" t="e">
        <f>Europe!H346+"$F;@!.}h"</f>
        <v>#VALUE!</v>
      </c>
      <c r="CV247" t="e">
        <f>Europe!A347+"$F;@!.}i"</f>
        <v>#VALUE!</v>
      </c>
      <c r="CW247" t="e">
        <f>Europe!B347+"$F;@!.}j"</f>
        <v>#VALUE!</v>
      </c>
      <c r="CX247" t="e">
        <f>Europe!C347+"$F;@!.}k"</f>
        <v>#VALUE!</v>
      </c>
      <c r="CY247" t="e">
        <f>Europe!D347+"$F;@!.}l"</f>
        <v>#VALUE!</v>
      </c>
      <c r="CZ247" t="e">
        <f>Europe!E347+"$F;@!.}m"</f>
        <v>#VALUE!</v>
      </c>
      <c r="DA247" t="e">
        <f>Europe!F347+"$F;@!.}n"</f>
        <v>#VALUE!</v>
      </c>
      <c r="DB247" t="e">
        <f>Europe!G347+"$F;@!.}o"</f>
        <v>#VALUE!</v>
      </c>
      <c r="DC247" t="e">
        <f>Europe!H347+"$F;@!.}p"</f>
        <v>#VALUE!</v>
      </c>
      <c r="DD247" t="e">
        <f>Europe!A348+"$F;@!.}q"</f>
        <v>#VALUE!</v>
      </c>
      <c r="DE247" t="e">
        <f>Europe!B348+"$F;@!.}r"</f>
        <v>#VALUE!</v>
      </c>
      <c r="DF247" t="e">
        <f>Europe!C348+"$F;@!.}s"</f>
        <v>#VALUE!</v>
      </c>
      <c r="DG247" t="e">
        <f>Europe!D348+"$F;@!.}t"</f>
        <v>#VALUE!</v>
      </c>
      <c r="DH247" t="e">
        <f>Europe!E348+"$F;@!.}u"</f>
        <v>#VALUE!</v>
      </c>
      <c r="DI247" t="e">
        <f>Europe!F348+"$F;@!.}v"</f>
        <v>#VALUE!</v>
      </c>
      <c r="DJ247" t="e">
        <f>Europe!G348+"$F;@!.}w"</f>
        <v>#VALUE!</v>
      </c>
      <c r="DK247" t="e">
        <f>Europe!H348+"$F;@!.}x"</f>
        <v>#VALUE!</v>
      </c>
      <c r="DL247" t="e">
        <f>Europe!A349+"$F;@!.}y"</f>
        <v>#VALUE!</v>
      </c>
      <c r="DM247" t="e">
        <f>Europe!B349+"$F;@!.}z"</f>
        <v>#VALUE!</v>
      </c>
      <c r="DN247" t="e">
        <f>Europe!C349+"$F;@!.}{"</f>
        <v>#VALUE!</v>
      </c>
      <c r="DO247" t="e">
        <f>Europe!D349+"$F;@!.}|"</f>
        <v>#VALUE!</v>
      </c>
      <c r="DP247" t="e">
        <f>Europe!E349+"$F;@!.}}"</f>
        <v>#VALUE!</v>
      </c>
      <c r="DQ247" t="e">
        <f>Europe!F349+"$F;@!.}~"</f>
        <v>#VALUE!</v>
      </c>
      <c r="DR247" t="e">
        <f>Europe!G349+"$F;@!.~#"</f>
        <v>#VALUE!</v>
      </c>
      <c r="DS247" t="e">
        <f>Europe!H349+"$F;@!.~$"</f>
        <v>#VALUE!</v>
      </c>
      <c r="DT247" t="e">
        <f>Europe!A350+"$F;@!.~%"</f>
        <v>#VALUE!</v>
      </c>
      <c r="DU247" t="e">
        <f>Europe!B350+"$F;@!.~&amp;"</f>
        <v>#VALUE!</v>
      </c>
      <c r="DV247" t="e">
        <f>Europe!C350+"$F;@!.~'"</f>
        <v>#VALUE!</v>
      </c>
      <c r="DW247" t="e">
        <f>Europe!D350+"$F;@!.~("</f>
        <v>#VALUE!</v>
      </c>
      <c r="DX247" t="e">
        <f>Europe!E350+"$F;@!.~)"</f>
        <v>#VALUE!</v>
      </c>
      <c r="DY247" t="e">
        <f>Europe!F350+"$F;@!.~."</f>
        <v>#VALUE!</v>
      </c>
      <c r="DZ247" t="e">
        <f>Europe!G350+"$F;@!.~/"</f>
        <v>#VALUE!</v>
      </c>
      <c r="EA247" t="e">
        <f>Europe!H350+"$F;@!.~0"</f>
        <v>#VALUE!</v>
      </c>
      <c r="EB247" t="e">
        <f>Europe!A351+"$F;@!.~1"</f>
        <v>#VALUE!</v>
      </c>
      <c r="EC247" t="e">
        <f>Europe!B351+"$F;@!.~2"</f>
        <v>#VALUE!</v>
      </c>
      <c r="ED247" t="e">
        <f>Europe!C351+"$F;@!.~3"</f>
        <v>#VALUE!</v>
      </c>
      <c r="EE247" t="e">
        <f>Europe!D351+"$F;@!.~4"</f>
        <v>#VALUE!</v>
      </c>
      <c r="EF247" t="e">
        <f>Europe!E351+"$F;@!.~5"</f>
        <v>#VALUE!</v>
      </c>
      <c r="EG247" t="e">
        <f>Europe!F351+"$F;@!.~6"</f>
        <v>#VALUE!</v>
      </c>
      <c r="EH247" t="e">
        <f>Europe!G351+"$F;@!.~7"</f>
        <v>#VALUE!</v>
      </c>
      <c r="EI247" t="e">
        <f>Europe!H351+"$F;@!.~8"</f>
        <v>#VALUE!</v>
      </c>
      <c r="EJ247" t="e">
        <f>Europe!A352+"$F;@!.~9"</f>
        <v>#VALUE!</v>
      </c>
      <c r="EK247" t="e">
        <f>Europe!B352+"$F;@!.~:"</f>
        <v>#VALUE!</v>
      </c>
      <c r="EL247" t="e">
        <f>Europe!C352+"$F;@!.~;"</f>
        <v>#VALUE!</v>
      </c>
      <c r="EM247" t="e">
        <f>Europe!D352+"$F;@!.~&lt;"</f>
        <v>#VALUE!</v>
      </c>
      <c r="EN247" t="e">
        <f>Europe!E352+"$F;@!.~="</f>
        <v>#VALUE!</v>
      </c>
      <c r="EO247" t="e">
        <f>Europe!F352+"$F;@!.~&gt;"</f>
        <v>#VALUE!</v>
      </c>
      <c r="EP247" t="e">
        <f>Europe!G352+"$F;@!.~?"</f>
        <v>#VALUE!</v>
      </c>
      <c r="EQ247" t="e">
        <f>Europe!H352+"$F;@!.~@"</f>
        <v>#VALUE!</v>
      </c>
      <c r="ER247" t="e">
        <f>Europe!A353+"$F;@!.~A"</f>
        <v>#VALUE!</v>
      </c>
      <c r="ES247" t="e">
        <f>Europe!B353+"$F;@!.~B"</f>
        <v>#VALUE!</v>
      </c>
      <c r="ET247" t="e">
        <f>Europe!C353+"$F;@!.~C"</f>
        <v>#VALUE!</v>
      </c>
      <c r="EU247" t="e">
        <f>Europe!D353+"$F;@!.~D"</f>
        <v>#VALUE!</v>
      </c>
      <c r="EV247" t="e">
        <f>Europe!E353+"$F;@!.~E"</f>
        <v>#VALUE!</v>
      </c>
      <c r="EW247" t="e">
        <f>Europe!F353+"$F;@!.~F"</f>
        <v>#VALUE!</v>
      </c>
      <c r="EX247" t="e">
        <f>Europe!G353+"$F;@!.~G"</f>
        <v>#VALUE!</v>
      </c>
      <c r="EY247" t="e">
        <f>Europe!H353+"$F;@!.~H"</f>
        <v>#VALUE!</v>
      </c>
      <c r="EZ247" t="e">
        <f>Europe!A354+"$F;@!.~I"</f>
        <v>#VALUE!</v>
      </c>
      <c r="FA247" t="e">
        <f>Europe!B354+"$F;@!.~J"</f>
        <v>#VALUE!</v>
      </c>
      <c r="FB247" t="e">
        <f>Europe!C354+"$F;@!.~K"</f>
        <v>#VALUE!</v>
      </c>
      <c r="FC247" t="e">
        <f>Europe!D354+"$F;@!.~L"</f>
        <v>#VALUE!</v>
      </c>
      <c r="FD247" t="e">
        <f>Europe!E354+"$F;@!.~M"</f>
        <v>#VALUE!</v>
      </c>
      <c r="FE247" t="e">
        <f>Europe!F354+"$F;@!.~N"</f>
        <v>#VALUE!</v>
      </c>
      <c r="FF247" t="e">
        <f>Europe!G354+"$F;@!.~O"</f>
        <v>#VALUE!</v>
      </c>
      <c r="FG247" t="e">
        <f>Europe!H354+"$F;@!.~P"</f>
        <v>#VALUE!</v>
      </c>
      <c r="FH247" t="e">
        <f>Europe!A355+"$F;@!.~Q"</f>
        <v>#VALUE!</v>
      </c>
      <c r="FI247" t="e">
        <f>Europe!B355+"$F;@!.~R"</f>
        <v>#VALUE!</v>
      </c>
      <c r="FJ247" t="e">
        <f>Europe!C355+"$F;@!.~S"</f>
        <v>#VALUE!</v>
      </c>
      <c r="FK247" t="e">
        <f>Europe!D355+"$F;@!.~T"</f>
        <v>#VALUE!</v>
      </c>
      <c r="FL247" t="e">
        <f>Europe!E355+"$F;@!.~U"</f>
        <v>#VALUE!</v>
      </c>
      <c r="FM247" t="e">
        <f>Europe!F355+"$F;@!.~V"</f>
        <v>#VALUE!</v>
      </c>
      <c r="FN247" t="e">
        <f>Europe!G355+"$F;@!.~W"</f>
        <v>#VALUE!</v>
      </c>
      <c r="FO247" t="e">
        <f>Europe!H355+"$F;@!.~X"</f>
        <v>#VALUE!</v>
      </c>
      <c r="FP247" t="e">
        <f>Europe!A356+"$F;@!.~Y"</f>
        <v>#VALUE!</v>
      </c>
      <c r="FQ247" t="e">
        <f>Europe!B356+"$F;@!.~Z"</f>
        <v>#VALUE!</v>
      </c>
      <c r="FR247" t="e">
        <f>Europe!C356+"$F;@!.~["</f>
        <v>#VALUE!</v>
      </c>
      <c r="FS247" t="e">
        <f>Europe!D356+"$F;@!.~\"</f>
        <v>#VALUE!</v>
      </c>
      <c r="FT247" t="e">
        <f>Europe!E356+"$F;@!.~]"</f>
        <v>#VALUE!</v>
      </c>
      <c r="FU247" t="e">
        <f>Europe!F356+"$F;@!.~^"</f>
        <v>#VALUE!</v>
      </c>
      <c r="FV247" t="e">
        <f>Europe!G356+"$F;@!.~_"</f>
        <v>#VALUE!</v>
      </c>
      <c r="FW247" t="e">
        <f>Europe!H356+"$F;@!.~`"</f>
        <v>#VALUE!</v>
      </c>
      <c r="FX247" t="e">
        <f>Europe!A357+"$F;@!.~a"</f>
        <v>#VALUE!</v>
      </c>
      <c r="FY247" t="e">
        <f>Europe!B357+"$F;@!.~b"</f>
        <v>#VALUE!</v>
      </c>
      <c r="FZ247" t="e">
        <f>Europe!C357+"$F;@!.~c"</f>
        <v>#VALUE!</v>
      </c>
      <c r="GA247" t="e">
        <f>Europe!D357+"$F;@!.~d"</f>
        <v>#VALUE!</v>
      </c>
      <c r="GB247" t="e">
        <f>Europe!E357+"$F;@!.~e"</f>
        <v>#VALUE!</v>
      </c>
      <c r="GC247" t="e">
        <f>Europe!F357+"$F;@!.~f"</f>
        <v>#VALUE!</v>
      </c>
      <c r="GD247" t="e">
        <f>Europe!G357+"$F;@!.~g"</f>
        <v>#VALUE!</v>
      </c>
      <c r="GE247" t="e">
        <f>Europe!H357+"$F;@!.~h"</f>
        <v>#VALUE!</v>
      </c>
      <c r="GF247" t="e">
        <f>Europe!A358+"$F;@!.~i"</f>
        <v>#VALUE!</v>
      </c>
      <c r="GG247" t="e">
        <f>Europe!B358+"$F;@!.~j"</f>
        <v>#VALUE!</v>
      </c>
      <c r="GH247" t="e">
        <f>Europe!C358+"$F;@!.~k"</f>
        <v>#VALUE!</v>
      </c>
      <c r="GI247" t="e">
        <f>Europe!D358+"$F;@!.~l"</f>
        <v>#VALUE!</v>
      </c>
      <c r="GJ247" t="e">
        <f>Europe!E358+"$F;@!.~m"</f>
        <v>#VALUE!</v>
      </c>
      <c r="GK247" t="e">
        <f>Europe!F358+"$F;@!.~n"</f>
        <v>#VALUE!</v>
      </c>
      <c r="GL247" t="e">
        <f>Europe!G358+"$F;@!.~o"</f>
        <v>#VALUE!</v>
      </c>
      <c r="GM247" t="e">
        <f>Europe!H358+"$F;@!.~p"</f>
        <v>#VALUE!</v>
      </c>
      <c r="GN247" t="e">
        <f>Europe!A359+"$F;@!.~q"</f>
        <v>#VALUE!</v>
      </c>
      <c r="GO247" t="e">
        <f>Europe!B359+"$F;@!.~r"</f>
        <v>#VALUE!</v>
      </c>
      <c r="GP247" t="e">
        <f>Europe!C359+"$F;@!.~s"</f>
        <v>#VALUE!</v>
      </c>
      <c r="GQ247" t="e">
        <f>Europe!D359+"$F;@!.~t"</f>
        <v>#VALUE!</v>
      </c>
      <c r="GR247" t="e">
        <f>Europe!E359+"$F;@!.~u"</f>
        <v>#VALUE!</v>
      </c>
      <c r="GS247" t="e">
        <f>Europe!F359+"$F;@!.~v"</f>
        <v>#VALUE!</v>
      </c>
      <c r="GT247" t="e">
        <f>Europe!G359+"$F;@!.~w"</f>
        <v>#VALUE!</v>
      </c>
      <c r="GU247" t="e">
        <f>Europe!H359+"$F;@!.~x"</f>
        <v>#VALUE!</v>
      </c>
      <c r="GV247" t="e">
        <f>Europe!A360+"$F;@!.~y"</f>
        <v>#VALUE!</v>
      </c>
      <c r="GW247" t="e">
        <f>Europe!B360+"$F;@!.~z"</f>
        <v>#VALUE!</v>
      </c>
      <c r="GX247" t="e">
        <f>Europe!C360+"$F;@!.~{"</f>
        <v>#VALUE!</v>
      </c>
      <c r="GY247" t="e">
        <f>Europe!D360+"$F;@!.~|"</f>
        <v>#VALUE!</v>
      </c>
      <c r="GZ247" t="e">
        <f>Europe!E360+"$F;@!.~}"</f>
        <v>#VALUE!</v>
      </c>
      <c r="HA247" t="e">
        <f>Europe!F360+"$F;@!.~~"</f>
        <v>#VALUE!</v>
      </c>
      <c r="HB247" t="e">
        <f>Europe!G360+"$F;@!/##"</f>
        <v>#VALUE!</v>
      </c>
      <c r="HC247" t="e">
        <f>Europe!H360+"$F;@!/#$"</f>
        <v>#VALUE!</v>
      </c>
      <c r="HD247" t="e">
        <f>Europe!A361+"$F;@!/#%"</f>
        <v>#VALUE!</v>
      </c>
      <c r="HE247" t="e">
        <f>Europe!B361+"$F;@!/#&amp;"</f>
        <v>#VALUE!</v>
      </c>
      <c r="HF247" t="e">
        <f>Europe!C361+"$F;@!/#'"</f>
        <v>#VALUE!</v>
      </c>
      <c r="HG247" t="e">
        <f>Europe!D361+"$F;@!/#("</f>
        <v>#VALUE!</v>
      </c>
      <c r="HH247" t="e">
        <f>Europe!E361+"$F;@!/#)"</f>
        <v>#VALUE!</v>
      </c>
      <c r="HI247" t="e">
        <f>Europe!F361+"$F;@!/#."</f>
        <v>#VALUE!</v>
      </c>
      <c r="HJ247" t="e">
        <f>Europe!G361+"$F;@!/#/"</f>
        <v>#VALUE!</v>
      </c>
      <c r="HK247" t="e">
        <f>Europe!H361+"$F;@!/#0"</f>
        <v>#VALUE!</v>
      </c>
      <c r="HL247" t="e">
        <f>Europe!A362+"$F;@!/#1"</f>
        <v>#VALUE!</v>
      </c>
      <c r="HM247" t="e">
        <f>Europe!B362+"$F;@!/#2"</f>
        <v>#VALUE!</v>
      </c>
      <c r="HN247" t="e">
        <f>Europe!C362+"$F;@!/#3"</f>
        <v>#VALUE!</v>
      </c>
      <c r="HO247" t="e">
        <f>Europe!D362+"$F;@!/#4"</f>
        <v>#VALUE!</v>
      </c>
      <c r="HP247" t="e">
        <f>Europe!E362+"$F;@!/#5"</f>
        <v>#VALUE!</v>
      </c>
      <c r="HQ247" t="e">
        <f>Europe!F362+"$F;@!/#6"</f>
        <v>#VALUE!</v>
      </c>
      <c r="HR247" t="e">
        <f>Europe!G362+"$F;@!/#7"</f>
        <v>#VALUE!</v>
      </c>
      <c r="HS247" t="e">
        <f>Europe!H362+"$F;@!/#8"</f>
        <v>#VALUE!</v>
      </c>
      <c r="HT247" t="e">
        <f>Europe!A363+"$F;@!/#9"</f>
        <v>#VALUE!</v>
      </c>
      <c r="HU247" t="e">
        <f>Europe!B363+"$F;@!/#:"</f>
        <v>#VALUE!</v>
      </c>
      <c r="HV247" t="e">
        <f>Europe!C363+"$F;@!/#;"</f>
        <v>#VALUE!</v>
      </c>
      <c r="HW247" t="e">
        <f>Europe!D363+"$F;@!/#&lt;"</f>
        <v>#VALUE!</v>
      </c>
      <c r="HX247" t="e">
        <f>Europe!E363+"$F;@!/#="</f>
        <v>#VALUE!</v>
      </c>
      <c r="HY247" t="e">
        <f>Europe!F363+"$F;@!/#&gt;"</f>
        <v>#VALUE!</v>
      </c>
      <c r="HZ247" t="e">
        <f>Europe!G363+"$F;@!/#?"</f>
        <v>#VALUE!</v>
      </c>
      <c r="IA247" t="e">
        <f>Europe!H363+"$F;@!/#@"</f>
        <v>#VALUE!</v>
      </c>
      <c r="IB247" t="e">
        <f>Europe!A364+"$F;@!/#A"</f>
        <v>#VALUE!</v>
      </c>
      <c r="IC247" t="e">
        <f>Europe!B364+"$F;@!/#B"</f>
        <v>#VALUE!</v>
      </c>
      <c r="ID247" t="e">
        <f>Europe!C364+"$F;@!/#C"</f>
        <v>#VALUE!</v>
      </c>
      <c r="IE247" t="e">
        <f>Europe!D364+"$F;@!/#D"</f>
        <v>#VALUE!</v>
      </c>
      <c r="IF247" t="e">
        <f>Europe!E364+"$F;@!/#E"</f>
        <v>#VALUE!</v>
      </c>
      <c r="IG247" t="e">
        <f>Europe!F364+"$F;@!/#F"</f>
        <v>#VALUE!</v>
      </c>
      <c r="IH247" t="e">
        <f>Europe!G364+"$F;@!/#G"</f>
        <v>#VALUE!</v>
      </c>
      <c r="II247" t="e">
        <f>Europe!H364+"$F;@!/#H"</f>
        <v>#VALUE!</v>
      </c>
      <c r="IJ247" t="e">
        <f>Europe!A365+"$F;@!/#I"</f>
        <v>#VALUE!</v>
      </c>
      <c r="IK247" t="e">
        <f>Europe!B365+"$F;@!/#J"</f>
        <v>#VALUE!</v>
      </c>
      <c r="IL247" t="e">
        <f>Europe!C365+"$F;@!/#K"</f>
        <v>#VALUE!</v>
      </c>
      <c r="IM247" t="e">
        <f>Europe!D365+"$F;@!/#L"</f>
        <v>#VALUE!</v>
      </c>
      <c r="IN247" t="e">
        <f>Europe!E365+"$F;@!/#M"</f>
        <v>#VALUE!</v>
      </c>
      <c r="IO247" t="e">
        <f>Europe!F365+"$F;@!/#N"</f>
        <v>#VALUE!</v>
      </c>
      <c r="IP247" t="e">
        <f>Europe!G365+"$F;@!/#O"</f>
        <v>#VALUE!</v>
      </c>
      <c r="IQ247" t="e">
        <f>Europe!H365+"$F;@!/#P"</f>
        <v>#VALUE!</v>
      </c>
      <c r="IR247" t="e">
        <f>Europe!A366+"$F;@!/#Q"</f>
        <v>#VALUE!</v>
      </c>
      <c r="IS247" t="e">
        <f>Europe!B366+"$F;@!/#R"</f>
        <v>#VALUE!</v>
      </c>
      <c r="IT247" t="e">
        <f>Europe!C366+"$F;@!/#S"</f>
        <v>#VALUE!</v>
      </c>
      <c r="IU247" t="e">
        <f>Europe!D366+"$F;@!/#T"</f>
        <v>#VALUE!</v>
      </c>
      <c r="IV247" t="e">
        <f>Europe!E366+"$F;@!/#U"</f>
        <v>#VALUE!</v>
      </c>
    </row>
    <row r="248" spans="6:256" x14ac:dyDescent="0.35">
      <c r="F248" t="e">
        <f>Europe!F366+"$F;@!/#V"</f>
        <v>#VALUE!</v>
      </c>
      <c r="G248" t="e">
        <f>Europe!G366+"$F;@!/#W"</f>
        <v>#VALUE!</v>
      </c>
      <c r="H248" t="e">
        <f>Europe!H366+"$F;@!/#X"</f>
        <v>#VALUE!</v>
      </c>
      <c r="I248" t="e">
        <f>Europe!A367+"$F;@!/#Y"</f>
        <v>#VALUE!</v>
      </c>
      <c r="J248" t="e">
        <f>Europe!B367+"$F;@!/#Z"</f>
        <v>#VALUE!</v>
      </c>
      <c r="K248" t="e">
        <f>Europe!C367+"$F;@!/#["</f>
        <v>#VALUE!</v>
      </c>
      <c r="L248" t="e">
        <f>Europe!D367+"$F;@!/#\"</f>
        <v>#VALUE!</v>
      </c>
      <c r="M248" t="e">
        <f>Europe!E367+"$F;@!/#]"</f>
        <v>#VALUE!</v>
      </c>
      <c r="N248" t="e">
        <f>Europe!F367+"$F;@!/#^"</f>
        <v>#VALUE!</v>
      </c>
      <c r="O248" t="e">
        <f>Europe!G367+"$F;@!/#_"</f>
        <v>#VALUE!</v>
      </c>
      <c r="P248" t="e">
        <f>Europe!H367+"$F;@!/#`"</f>
        <v>#VALUE!</v>
      </c>
      <c r="Q248" t="e">
        <f>Europe!A368+"$F;@!/#a"</f>
        <v>#VALUE!</v>
      </c>
      <c r="R248" t="e">
        <f>Europe!B368+"$F;@!/#b"</f>
        <v>#VALUE!</v>
      </c>
      <c r="S248" t="e">
        <f>Europe!C368+"$F;@!/#c"</f>
        <v>#VALUE!</v>
      </c>
      <c r="T248" t="e">
        <f>Europe!D368+"$F;@!/#d"</f>
        <v>#VALUE!</v>
      </c>
      <c r="U248" t="e">
        <f>Europe!E368+"$F;@!/#e"</f>
        <v>#VALUE!</v>
      </c>
      <c r="V248" t="e">
        <f>Europe!F368+"$F;@!/#f"</f>
        <v>#VALUE!</v>
      </c>
      <c r="W248" t="e">
        <f>Europe!G368+"$F;@!/#g"</f>
        <v>#VALUE!</v>
      </c>
      <c r="X248" t="e">
        <f>Europe!H368+"$F;@!/#h"</f>
        <v>#VALUE!</v>
      </c>
      <c r="Y248" t="e">
        <f>Europe!A369+"$F;@!/#i"</f>
        <v>#VALUE!</v>
      </c>
      <c r="Z248" t="e">
        <f>Europe!B369+"$F;@!/#j"</f>
        <v>#VALUE!</v>
      </c>
      <c r="AA248" t="e">
        <f>Europe!C369+"$F;@!/#k"</f>
        <v>#VALUE!</v>
      </c>
      <c r="AB248" t="e">
        <f>Europe!D369+"$F;@!/#l"</f>
        <v>#VALUE!</v>
      </c>
      <c r="AC248" t="e">
        <f>Europe!E369+"$F;@!/#m"</f>
        <v>#VALUE!</v>
      </c>
      <c r="AD248" t="e">
        <f>Europe!F369+"$F;@!/#n"</f>
        <v>#VALUE!</v>
      </c>
      <c r="AE248" t="e">
        <f>Europe!G369+"$F;@!/#o"</f>
        <v>#VALUE!</v>
      </c>
      <c r="AF248" t="e">
        <f>Europe!H369+"$F;@!/#p"</f>
        <v>#VALUE!</v>
      </c>
      <c r="AG248" t="e">
        <f>Europe!A370+"$F;@!/#q"</f>
        <v>#VALUE!</v>
      </c>
      <c r="AH248" t="e">
        <f>Europe!B370+"$F;@!/#r"</f>
        <v>#VALUE!</v>
      </c>
      <c r="AI248" t="e">
        <f>Europe!C370+"$F;@!/#s"</f>
        <v>#VALUE!</v>
      </c>
      <c r="AJ248" t="e">
        <f>Europe!D370+"$F;@!/#t"</f>
        <v>#VALUE!</v>
      </c>
      <c r="AK248" t="e">
        <f>Europe!E370+"$F;@!/#u"</f>
        <v>#VALUE!</v>
      </c>
      <c r="AL248" t="e">
        <f>Europe!F370+"$F;@!/#v"</f>
        <v>#VALUE!</v>
      </c>
      <c r="AM248" t="e">
        <f>Europe!G370+"$F;@!/#w"</f>
        <v>#VALUE!</v>
      </c>
      <c r="AN248" t="e">
        <f>Europe!H370+"$F;@!/#x"</f>
        <v>#VALUE!</v>
      </c>
      <c r="AO248" t="e">
        <f>Europe!A371+"$F;@!/#y"</f>
        <v>#VALUE!</v>
      </c>
      <c r="AP248" t="e">
        <f>Europe!B371+"$F;@!/#z"</f>
        <v>#VALUE!</v>
      </c>
      <c r="AQ248" t="e">
        <f>Europe!C371+"$F;@!/#{"</f>
        <v>#VALUE!</v>
      </c>
      <c r="AR248" t="e">
        <f>Europe!D371+"$F;@!/#|"</f>
        <v>#VALUE!</v>
      </c>
      <c r="AS248" t="e">
        <f>Europe!E371+"$F;@!/#}"</f>
        <v>#VALUE!</v>
      </c>
      <c r="AT248" t="e">
        <f>Europe!F371+"$F;@!/#~"</f>
        <v>#VALUE!</v>
      </c>
      <c r="AU248" t="e">
        <f>Europe!G371+"$F;@!/$#"</f>
        <v>#VALUE!</v>
      </c>
      <c r="AV248" t="e">
        <f>Europe!H371+"$F;@!/$$"</f>
        <v>#VALUE!</v>
      </c>
      <c r="AW248" t="e">
        <f>Europe!A372+"$F;@!/$%"</f>
        <v>#VALUE!</v>
      </c>
      <c r="AX248" t="e">
        <f>Europe!B372+"$F;@!/$&amp;"</f>
        <v>#VALUE!</v>
      </c>
      <c r="AY248" t="e">
        <f>Europe!C372+"$F;@!/$'"</f>
        <v>#VALUE!</v>
      </c>
      <c r="AZ248" t="e">
        <f>Europe!D372+"$F;@!/$("</f>
        <v>#VALUE!</v>
      </c>
      <c r="BA248" t="e">
        <f>Europe!E372+"$F;@!/$)"</f>
        <v>#VALUE!</v>
      </c>
      <c r="BB248" t="e">
        <f>Europe!F372+"$F;@!/$."</f>
        <v>#VALUE!</v>
      </c>
      <c r="BC248" t="e">
        <f>Europe!G372+"$F;@!/$/"</f>
        <v>#VALUE!</v>
      </c>
      <c r="BD248" t="e">
        <f>Europe!H372+"$F;@!/$0"</f>
        <v>#VALUE!</v>
      </c>
      <c r="BE248" t="e">
        <f>Europe!A373+"$F;@!/$1"</f>
        <v>#VALUE!</v>
      </c>
      <c r="BF248" t="e">
        <f>Europe!B373+"$F;@!/$2"</f>
        <v>#VALUE!</v>
      </c>
      <c r="BG248" t="e">
        <f>Europe!C373+"$F;@!/$3"</f>
        <v>#VALUE!</v>
      </c>
      <c r="BH248" t="e">
        <f>Europe!D373+"$F;@!/$4"</f>
        <v>#VALUE!</v>
      </c>
      <c r="BI248" t="e">
        <f>Europe!E373+"$F;@!/$5"</f>
        <v>#VALUE!</v>
      </c>
      <c r="BJ248" t="e">
        <f>Europe!F373+"$F;@!/$6"</f>
        <v>#VALUE!</v>
      </c>
      <c r="BK248" t="e">
        <f>Europe!G373+"$F;@!/$7"</f>
        <v>#VALUE!</v>
      </c>
      <c r="BL248" t="e">
        <f>Europe!H373+"$F;@!/$8"</f>
        <v>#VALUE!</v>
      </c>
      <c r="BM248" t="e">
        <f>Europe!A374+"$F;@!/$9"</f>
        <v>#VALUE!</v>
      </c>
      <c r="BN248" t="e">
        <f>Europe!B374+"$F;@!/$:"</f>
        <v>#VALUE!</v>
      </c>
      <c r="BO248" t="e">
        <f>Europe!C374+"$F;@!/$;"</f>
        <v>#VALUE!</v>
      </c>
      <c r="BP248" t="e">
        <f>Europe!D374+"$F;@!/$&lt;"</f>
        <v>#VALUE!</v>
      </c>
      <c r="BQ248" t="e">
        <f>Europe!E374+"$F;@!/$="</f>
        <v>#VALUE!</v>
      </c>
      <c r="BR248" t="e">
        <f>Europe!F374+"$F;@!/$&gt;"</f>
        <v>#VALUE!</v>
      </c>
      <c r="BS248" t="e">
        <f>Europe!G374+"$F;@!/$?"</f>
        <v>#VALUE!</v>
      </c>
      <c r="BT248" t="e">
        <f>Europe!H374+"$F;@!/$@"</f>
        <v>#VALUE!</v>
      </c>
      <c r="BU248" t="e">
        <f>Europe!A375+"$F;@!/$A"</f>
        <v>#VALUE!</v>
      </c>
      <c r="BV248" t="e">
        <f>Europe!B375+"$F;@!/$B"</f>
        <v>#VALUE!</v>
      </c>
      <c r="BW248" t="e">
        <f>Europe!C375+"$F;@!/$C"</f>
        <v>#VALUE!</v>
      </c>
      <c r="BX248" t="e">
        <f>Europe!D375+"$F;@!/$D"</f>
        <v>#VALUE!</v>
      </c>
      <c r="BY248" t="e">
        <f>Europe!E375+"$F;@!/$E"</f>
        <v>#VALUE!</v>
      </c>
      <c r="BZ248" t="e">
        <f>Europe!F375+"$F;@!/$F"</f>
        <v>#VALUE!</v>
      </c>
      <c r="CA248" t="e">
        <f>Europe!G375+"$F;@!/$G"</f>
        <v>#VALUE!</v>
      </c>
      <c r="CB248" t="e">
        <f>Europe!H375+"$F;@!/$H"</f>
        <v>#VALUE!</v>
      </c>
      <c r="CC248" t="e">
        <f>Europe!A376+"$F;@!/$I"</f>
        <v>#VALUE!</v>
      </c>
      <c r="CD248" t="e">
        <f>Europe!B376+"$F;@!/$J"</f>
        <v>#VALUE!</v>
      </c>
      <c r="CE248" t="e">
        <f>Europe!C376+"$F;@!/$K"</f>
        <v>#VALUE!</v>
      </c>
      <c r="CF248" t="e">
        <f>Europe!D376+"$F;@!/$L"</f>
        <v>#VALUE!</v>
      </c>
      <c r="CG248" t="e">
        <f>Europe!E376+"$F;@!/$M"</f>
        <v>#VALUE!</v>
      </c>
      <c r="CH248" t="e">
        <f>Europe!F376+"$F;@!/$N"</f>
        <v>#VALUE!</v>
      </c>
      <c r="CI248" t="e">
        <f>Europe!G376+"$F;@!/$O"</f>
        <v>#VALUE!</v>
      </c>
      <c r="CJ248" t="e">
        <f>Europe!H376+"$F;@!/$P"</f>
        <v>#VALUE!</v>
      </c>
      <c r="CK248" t="e">
        <f>Europe!A377+"$F;@!/$Q"</f>
        <v>#VALUE!</v>
      </c>
      <c r="CL248" t="e">
        <f>Europe!B377+"$F;@!/$R"</f>
        <v>#VALUE!</v>
      </c>
      <c r="CM248" t="e">
        <f>Europe!C377+"$F;@!/$S"</f>
        <v>#VALUE!</v>
      </c>
      <c r="CN248" t="e">
        <f>Europe!D377+"$F;@!/$T"</f>
        <v>#VALUE!</v>
      </c>
      <c r="CO248" t="e">
        <f>Europe!E377+"$F;@!/$U"</f>
        <v>#VALUE!</v>
      </c>
      <c r="CP248" t="e">
        <f>Europe!F377+"$F;@!/$V"</f>
        <v>#VALUE!</v>
      </c>
      <c r="CQ248" t="e">
        <f>Europe!G377+"$F;@!/$W"</f>
        <v>#VALUE!</v>
      </c>
      <c r="CR248" t="e">
        <f>Europe!H377+"$F;@!/$X"</f>
        <v>#VALUE!</v>
      </c>
      <c r="CS248" t="e">
        <f>Europe!A378+"$F;@!/$Y"</f>
        <v>#VALUE!</v>
      </c>
      <c r="CT248" t="e">
        <f>Europe!B378+"$F;@!/$Z"</f>
        <v>#VALUE!</v>
      </c>
      <c r="CU248" t="e">
        <f>Europe!C378+"$F;@!/$["</f>
        <v>#VALUE!</v>
      </c>
      <c r="CV248" t="e">
        <f>Europe!D378+"$F;@!/$\"</f>
        <v>#VALUE!</v>
      </c>
      <c r="CW248" t="e">
        <f>Europe!E378+"$F;@!/$]"</f>
        <v>#VALUE!</v>
      </c>
      <c r="CX248" t="e">
        <f>Europe!F378+"$F;@!/$^"</f>
        <v>#VALUE!</v>
      </c>
      <c r="CY248" t="e">
        <f>Europe!G378+"$F;@!/$_"</f>
        <v>#VALUE!</v>
      </c>
      <c r="CZ248" t="e">
        <f>Europe!H378+"$F;@!/$`"</f>
        <v>#VALUE!</v>
      </c>
      <c r="DA248" t="e">
        <f>Europe!A379+"$F;@!/$a"</f>
        <v>#VALUE!</v>
      </c>
      <c r="DB248" t="e">
        <f>Europe!B379+"$F;@!/$b"</f>
        <v>#VALUE!</v>
      </c>
      <c r="DC248" t="e">
        <f>Europe!C379+"$F;@!/$c"</f>
        <v>#VALUE!</v>
      </c>
      <c r="DD248" t="e">
        <f>Europe!D379+"$F;@!/$d"</f>
        <v>#VALUE!</v>
      </c>
      <c r="DE248" t="e">
        <f>Europe!E379+"$F;@!/$e"</f>
        <v>#VALUE!</v>
      </c>
      <c r="DF248" t="e">
        <f>Europe!F379+"$F;@!/$f"</f>
        <v>#VALUE!</v>
      </c>
      <c r="DG248" t="e">
        <f>Europe!G379+"$F;@!/$g"</f>
        <v>#VALUE!</v>
      </c>
      <c r="DH248" t="e">
        <f>Europe!H379+"$F;@!/$h"</f>
        <v>#VALUE!</v>
      </c>
      <c r="DI248" t="e">
        <f>Europe!A380+"$F;@!/$i"</f>
        <v>#VALUE!</v>
      </c>
      <c r="DJ248" t="e">
        <f>Europe!B380+"$F;@!/$j"</f>
        <v>#VALUE!</v>
      </c>
      <c r="DK248" t="e">
        <f>Europe!C380+"$F;@!/$k"</f>
        <v>#VALUE!</v>
      </c>
      <c r="DL248" t="e">
        <f>Europe!D380+"$F;@!/$l"</f>
        <v>#VALUE!</v>
      </c>
      <c r="DM248" t="e">
        <f>Europe!E380+"$F;@!/$m"</f>
        <v>#VALUE!</v>
      </c>
      <c r="DN248" t="e">
        <f>Europe!F380+"$F;@!/$n"</f>
        <v>#VALUE!</v>
      </c>
      <c r="DO248" t="e">
        <f>Europe!G380+"$F;@!/$o"</f>
        <v>#VALUE!</v>
      </c>
      <c r="DP248" t="e">
        <f>Europe!H380+"$F;@!/$p"</f>
        <v>#VALUE!</v>
      </c>
      <c r="DQ248" t="e">
        <f>Europe!A381+"$F;@!/$q"</f>
        <v>#VALUE!</v>
      </c>
      <c r="DR248" t="e">
        <f>Europe!B381+"$F;@!/$r"</f>
        <v>#VALUE!</v>
      </c>
      <c r="DS248" t="e">
        <f>Europe!C381+"$F;@!/$s"</f>
        <v>#VALUE!</v>
      </c>
      <c r="DT248" t="e">
        <f>Europe!D381+"$F;@!/$t"</f>
        <v>#VALUE!</v>
      </c>
      <c r="DU248" t="e">
        <f>Europe!E381+"$F;@!/$u"</f>
        <v>#VALUE!</v>
      </c>
      <c r="DV248" t="e">
        <f>Europe!F381+"$F;@!/$v"</f>
        <v>#VALUE!</v>
      </c>
      <c r="DW248" t="e">
        <f>Europe!G381+"$F;@!/$w"</f>
        <v>#VALUE!</v>
      </c>
      <c r="DX248" t="e">
        <f>Europe!H381+"$F;@!/$x"</f>
        <v>#VALUE!</v>
      </c>
      <c r="DY248" t="e">
        <f>Europe!A382+"$F;@!/$y"</f>
        <v>#VALUE!</v>
      </c>
      <c r="DZ248" t="e">
        <f>Europe!B382+"$F;@!/$z"</f>
        <v>#VALUE!</v>
      </c>
      <c r="EA248" t="e">
        <f>Europe!C382+"$F;@!/${"</f>
        <v>#VALUE!</v>
      </c>
      <c r="EB248" t="e">
        <f>Europe!D382+"$F;@!/$|"</f>
        <v>#VALUE!</v>
      </c>
      <c r="EC248" t="e">
        <f>Europe!E382+"$F;@!/$}"</f>
        <v>#VALUE!</v>
      </c>
      <c r="ED248" t="e">
        <f>Europe!F382+"$F;@!/$~"</f>
        <v>#VALUE!</v>
      </c>
      <c r="EE248" t="e">
        <f>Europe!G382+"$F;@!/%#"</f>
        <v>#VALUE!</v>
      </c>
      <c r="EF248" t="e">
        <f>Europe!H382+"$F;@!/%$"</f>
        <v>#VALUE!</v>
      </c>
      <c r="EG248" t="e">
        <f>Europe!A383+"$F;@!/%%"</f>
        <v>#VALUE!</v>
      </c>
      <c r="EH248" t="e">
        <f>Europe!B383+"$F;@!/%&amp;"</f>
        <v>#VALUE!</v>
      </c>
      <c r="EI248" t="e">
        <f>Europe!C383+"$F;@!/%'"</f>
        <v>#VALUE!</v>
      </c>
      <c r="EJ248" t="e">
        <f>Europe!D383+"$F;@!/%("</f>
        <v>#VALUE!</v>
      </c>
      <c r="EK248" t="e">
        <f>Europe!E383+"$F;@!/%)"</f>
        <v>#VALUE!</v>
      </c>
      <c r="EL248" t="e">
        <f>Europe!F383+"$F;@!/%."</f>
        <v>#VALUE!</v>
      </c>
      <c r="EM248" t="e">
        <f>Europe!G383+"$F;@!/%/"</f>
        <v>#VALUE!</v>
      </c>
      <c r="EN248" t="e">
        <f>Europe!H383+"$F;@!/%0"</f>
        <v>#VALUE!</v>
      </c>
      <c r="EO248" t="e">
        <f>Europe!A384+"$F;@!/%1"</f>
        <v>#VALUE!</v>
      </c>
      <c r="EP248" t="e">
        <f>Europe!B384+"$F;@!/%2"</f>
        <v>#VALUE!</v>
      </c>
      <c r="EQ248" t="e">
        <f>Europe!C384+"$F;@!/%3"</f>
        <v>#VALUE!</v>
      </c>
      <c r="ER248" t="e">
        <f>Europe!D384+"$F;@!/%4"</f>
        <v>#VALUE!</v>
      </c>
      <c r="ES248" t="e">
        <f>Europe!E384+"$F;@!/%5"</f>
        <v>#VALUE!</v>
      </c>
      <c r="ET248" t="e">
        <f>Europe!F384+"$F;@!/%6"</f>
        <v>#VALUE!</v>
      </c>
      <c r="EU248" t="e">
        <f>Europe!G384+"$F;@!/%7"</f>
        <v>#VALUE!</v>
      </c>
      <c r="EV248" t="e">
        <f>Europe!H384+"$F;@!/%8"</f>
        <v>#VALUE!</v>
      </c>
      <c r="EW248" t="e">
        <f>Europe!A385+"$F;@!/%9"</f>
        <v>#VALUE!</v>
      </c>
      <c r="EX248" t="e">
        <f>Europe!B385+"$F;@!/%:"</f>
        <v>#VALUE!</v>
      </c>
      <c r="EY248" t="e">
        <f>Europe!C385+"$F;@!/%;"</f>
        <v>#VALUE!</v>
      </c>
      <c r="EZ248" t="e">
        <f>Europe!D385+"$F;@!/%&lt;"</f>
        <v>#VALUE!</v>
      </c>
      <c r="FA248" t="e">
        <f>Europe!E385+"$F;@!/%="</f>
        <v>#VALUE!</v>
      </c>
      <c r="FB248" t="e">
        <f>Europe!F385+"$F;@!/%&gt;"</f>
        <v>#VALUE!</v>
      </c>
      <c r="FC248" t="e">
        <f>Europe!G385+"$F;@!/%?"</f>
        <v>#VALUE!</v>
      </c>
      <c r="FD248" t="e">
        <f>Europe!H385+"$F;@!/%@"</f>
        <v>#VALUE!</v>
      </c>
      <c r="FE248" t="e">
        <f>Europe!A386+"$F;@!/%A"</f>
        <v>#VALUE!</v>
      </c>
      <c r="FF248" t="e">
        <f>Europe!B386+"$F;@!/%B"</f>
        <v>#VALUE!</v>
      </c>
      <c r="FG248" t="e">
        <f>Europe!C386+"$F;@!/%C"</f>
        <v>#VALUE!</v>
      </c>
      <c r="FH248" t="e">
        <f>Europe!D386+"$F;@!/%D"</f>
        <v>#VALUE!</v>
      </c>
      <c r="FI248" t="e">
        <f>Europe!E386+"$F;@!/%E"</f>
        <v>#VALUE!</v>
      </c>
      <c r="FJ248" t="e">
        <f>Europe!F386+"$F;@!/%F"</f>
        <v>#VALUE!</v>
      </c>
      <c r="FK248" t="e">
        <f>Europe!G386+"$F;@!/%G"</f>
        <v>#VALUE!</v>
      </c>
      <c r="FL248" t="e">
        <f>Europe!H386+"$F;@!/%H"</f>
        <v>#VALUE!</v>
      </c>
      <c r="FM248" t="e">
        <f>Europe!A387+"$F;@!/%I"</f>
        <v>#VALUE!</v>
      </c>
      <c r="FN248" t="e">
        <f>Europe!B387+"$F;@!/%J"</f>
        <v>#VALUE!</v>
      </c>
      <c r="FO248" t="e">
        <f>Europe!C387+"$F;@!/%K"</f>
        <v>#VALUE!</v>
      </c>
      <c r="FP248" t="e">
        <f>Europe!D387+"$F;@!/%L"</f>
        <v>#VALUE!</v>
      </c>
      <c r="FQ248" t="e">
        <f>Europe!E387+"$F;@!/%M"</f>
        <v>#VALUE!</v>
      </c>
      <c r="FR248" t="e">
        <f>Europe!F387+"$F;@!/%N"</f>
        <v>#VALUE!</v>
      </c>
      <c r="FS248" t="e">
        <f>Europe!G387+"$F;@!/%O"</f>
        <v>#VALUE!</v>
      </c>
      <c r="FT248" t="e">
        <f>Europe!H387+"$F;@!/%P"</f>
        <v>#VALUE!</v>
      </c>
      <c r="FU248" t="e">
        <f>Europe!A388+"$F;@!/%Q"</f>
        <v>#VALUE!</v>
      </c>
      <c r="FV248" t="e">
        <f>Europe!B388+"$F;@!/%R"</f>
        <v>#VALUE!</v>
      </c>
      <c r="FW248" t="e">
        <f>Europe!C388+"$F;@!/%S"</f>
        <v>#VALUE!</v>
      </c>
      <c r="FX248" t="e">
        <f>Europe!D388+"$F;@!/%T"</f>
        <v>#VALUE!</v>
      </c>
      <c r="FY248" t="e">
        <f>Europe!E388+"$F;@!/%U"</f>
        <v>#VALUE!</v>
      </c>
      <c r="FZ248" t="e">
        <f>Europe!F388+"$F;@!/%V"</f>
        <v>#VALUE!</v>
      </c>
      <c r="GA248" t="e">
        <f>Europe!G388+"$F;@!/%W"</f>
        <v>#VALUE!</v>
      </c>
      <c r="GB248" t="e">
        <f>Europe!H388+"$F;@!/%X"</f>
        <v>#VALUE!</v>
      </c>
      <c r="GC248" t="e">
        <f>Europe!A389+"$F;@!/%Y"</f>
        <v>#VALUE!</v>
      </c>
      <c r="GD248" t="e">
        <f>Europe!B389+"$F;@!/%Z"</f>
        <v>#VALUE!</v>
      </c>
      <c r="GE248" t="e">
        <f>Europe!C389+"$F;@!/%["</f>
        <v>#VALUE!</v>
      </c>
      <c r="GF248" t="e">
        <f>Europe!D389+"$F;@!/%\"</f>
        <v>#VALUE!</v>
      </c>
      <c r="GG248" t="e">
        <f>Europe!E389+"$F;@!/%]"</f>
        <v>#VALUE!</v>
      </c>
      <c r="GH248" t="e">
        <f>Europe!F389+"$F;@!/%^"</f>
        <v>#VALUE!</v>
      </c>
      <c r="GI248" t="e">
        <f>Europe!G389+"$F;@!/%_"</f>
        <v>#VALUE!</v>
      </c>
      <c r="GJ248" t="e">
        <f>Europe!H389+"$F;@!/%`"</f>
        <v>#VALUE!</v>
      </c>
      <c r="GK248" t="e">
        <f>Europe!A390+"$F;@!/%a"</f>
        <v>#VALUE!</v>
      </c>
      <c r="GL248" t="e">
        <f>Europe!B390+"$F;@!/%b"</f>
        <v>#VALUE!</v>
      </c>
      <c r="GM248" t="e">
        <f>Europe!C390+"$F;@!/%c"</f>
        <v>#VALUE!</v>
      </c>
      <c r="GN248" t="e">
        <f>Europe!D390+"$F;@!/%d"</f>
        <v>#VALUE!</v>
      </c>
      <c r="GO248" t="e">
        <f>Europe!E390+"$F;@!/%e"</f>
        <v>#VALUE!</v>
      </c>
      <c r="GP248" t="e">
        <f>Europe!F390+"$F;@!/%f"</f>
        <v>#VALUE!</v>
      </c>
      <c r="GQ248" t="e">
        <f>Europe!G390+"$F;@!/%g"</f>
        <v>#VALUE!</v>
      </c>
      <c r="GR248" t="e">
        <f>Europe!H390+"$F;@!/%h"</f>
        <v>#VALUE!</v>
      </c>
      <c r="GS248" t="e">
        <f>Europe!A391+"$F;@!/%i"</f>
        <v>#VALUE!</v>
      </c>
      <c r="GT248" t="e">
        <f>Europe!B391+"$F;@!/%j"</f>
        <v>#VALUE!</v>
      </c>
      <c r="GU248" t="e">
        <f>Europe!C391+"$F;@!/%k"</f>
        <v>#VALUE!</v>
      </c>
      <c r="GV248" t="e">
        <f>Europe!D391+"$F;@!/%l"</f>
        <v>#VALUE!</v>
      </c>
      <c r="GW248" t="e">
        <f>Europe!E391+"$F;@!/%m"</f>
        <v>#VALUE!</v>
      </c>
      <c r="GX248" t="e">
        <f>Europe!F391+"$F;@!/%n"</f>
        <v>#VALUE!</v>
      </c>
      <c r="GY248" t="e">
        <f>Europe!G391+"$F;@!/%o"</f>
        <v>#VALUE!</v>
      </c>
      <c r="GZ248" t="e">
        <f>Europe!H391+"$F;@!/%p"</f>
        <v>#VALUE!</v>
      </c>
      <c r="HA248" t="e">
        <f>Europe!A392+"$F;@!/%q"</f>
        <v>#VALUE!</v>
      </c>
      <c r="HB248" t="e">
        <f>Europe!B392+"$F;@!/%r"</f>
        <v>#VALUE!</v>
      </c>
      <c r="HC248" t="e">
        <f>Europe!C392+"$F;@!/%s"</f>
        <v>#VALUE!</v>
      </c>
      <c r="HD248" t="e">
        <f>Europe!D392+"$F;@!/%t"</f>
        <v>#VALUE!</v>
      </c>
      <c r="HE248" t="e">
        <f>Europe!E392+"$F;@!/%u"</f>
        <v>#VALUE!</v>
      </c>
      <c r="HF248" t="e">
        <f>Europe!F392+"$F;@!/%v"</f>
        <v>#VALUE!</v>
      </c>
      <c r="HG248" t="e">
        <f>Europe!G392+"$F;@!/%w"</f>
        <v>#VALUE!</v>
      </c>
      <c r="HH248" t="e">
        <f>Europe!H392+"$F;@!/%x"</f>
        <v>#VALUE!</v>
      </c>
      <c r="HI248" t="e">
        <f>Europe!A393+"$F;@!/%y"</f>
        <v>#VALUE!</v>
      </c>
      <c r="HJ248" t="e">
        <f>Europe!B393+"$F;@!/%z"</f>
        <v>#VALUE!</v>
      </c>
      <c r="HK248" t="e">
        <f>Europe!C393+"$F;@!/%{"</f>
        <v>#VALUE!</v>
      </c>
      <c r="HL248" t="e">
        <f>Europe!D393+"$F;@!/%|"</f>
        <v>#VALUE!</v>
      </c>
      <c r="HM248" t="e">
        <f>Europe!E393+"$F;@!/%}"</f>
        <v>#VALUE!</v>
      </c>
      <c r="HN248" t="e">
        <f>Europe!F393+"$F;@!/%~"</f>
        <v>#VALUE!</v>
      </c>
      <c r="HO248" t="e">
        <f>Europe!G393+"$F;@!/&amp;#"</f>
        <v>#VALUE!</v>
      </c>
      <c r="HP248" t="e">
        <f>Europe!H393+"$F;@!/&amp;$"</f>
        <v>#VALUE!</v>
      </c>
      <c r="HQ248" t="e">
        <f>Europe!A394+"$F;@!/&amp;%"</f>
        <v>#VALUE!</v>
      </c>
      <c r="HR248" t="e">
        <f>Europe!B394+"$F;@!/&amp;&amp;"</f>
        <v>#VALUE!</v>
      </c>
      <c r="HS248" t="e">
        <f>Europe!C394+"$F;@!/&amp;'"</f>
        <v>#VALUE!</v>
      </c>
      <c r="HT248" t="e">
        <f>Europe!D394+"$F;@!/&amp;("</f>
        <v>#VALUE!</v>
      </c>
      <c r="HU248" t="e">
        <f>Europe!E394+"$F;@!/&amp;)"</f>
        <v>#VALUE!</v>
      </c>
      <c r="HV248" t="e">
        <f>Europe!F394+"$F;@!/&amp;."</f>
        <v>#VALUE!</v>
      </c>
      <c r="HW248" t="e">
        <f>Europe!G394+"$F;@!/&amp;/"</f>
        <v>#VALUE!</v>
      </c>
      <c r="HX248" t="e">
        <f>Europe!H394+"$F;@!/&amp;0"</f>
        <v>#VALUE!</v>
      </c>
      <c r="HY248" t="e">
        <f>Europe!A395+"$F;@!/&amp;1"</f>
        <v>#VALUE!</v>
      </c>
      <c r="HZ248" t="e">
        <f>Europe!B395+"$F;@!/&amp;2"</f>
        <v>#VALUE!</v>
      </c>
      <c r="IA248" t="e">
        <f>Europe!C395+"$F;@!/&amp;3"</f>
        <v>#VALUE!</v>
      </c>
      <c r="IB248" t="e">
        <f>Europe!D395+"$F;@!/&amp;4"</f>
        <v>#VALUE!</v>
      </c>
      <c r="IC248" t="e">
        <f>Europe!E395+"$F;@!/&amp;5"</f>
        <v>#VALUE!</v>
      </c>
      <c r="ID248" t="e">
        <f>Europe!F395+"$F;@!/&amp;6"</f>
        <v>#VALUE!</v>
      </c>
      <c r="IE248" t="e">
        <f>Europe!G395+"$F;@!/&amp;7"</f>
        <v>#VALUE!</v>
      </c>
      <c r="IF248" t="e">
        <f>Europe!H395+"$F;@!/&amp;8"</f>
        <v>#VALUE!</v>
      </c>
      <c r="IG248" t="e">
        <f>Europe!A396+"$F;@!/&amp;9"</f>
        <v>#VALUE!</v>
      </c>
      <c r="IH248" t="e">
        <f>Europe!B396+"$F;@!/&amp;:"</f>
        <v>#VALUE!</v>
      </c>
      <c r="II248" t="e">
        <f>Europe!C396+"$F;@!/&amp;;"</f>
        <v>#VALUE!</v>
      </c>
      <c r="IJ248" t="e">
        <f>Europe!D396+"$F;@!/&amp;&lt;"</f>
        <v>#VALUE!</v>
      </c>
      <c r="IK248" t="e">
        <f>Europe!E396+"$F;@!/&amp;="</f>
        <v>#VALUE!</v>
      </c>
      <c r="IL248" t="e">
        <f>Europe!F396+"$F;@!/&amp;&gt;"</f>
        <v>#VALUE!</v>
      </c>
      <c r="IM248" t="e">
        <f>Europe!G396+"$F;@!/&amp;?"</f>
        <v>#VALUE!</v>
      </c>
      <c r="IN248" t="e">
        <f>Europe!H396+"$F;@!/&amp;@"</f>
        <v>#VALUE!</v>
      </c>
      <c r="IO248" t="e">
        <f>Europe!A397+"$F;@!/&amp;A"</f>
        <v>#VALUE!</v>
      </c>
      <c r="IP248" t="e">
        <f>Europe!B397+"$F;@!/&amp;B"</f>
        <v>#VALUE!</v>
      </c>
      <c r="IQ248" t="e">
        <f>Europe!C397+"$F;@!/&amp;C"</f>
        <v>#VALUE!</v>
      </c>
      <c r="IR248" t="e">
        <f>Europe!D397+"$F;@!/&amp;D"</f>
        <v>#VALUE!</v>
      </c>
      <c r="IS248" t="e">
        <f>Europe!E397+"$F;@!/&amp;E"</f>
        <v>#VALUE!</v>
      </c>
      <c r="IT248" t="e">
        <f>Europe!F397+"$F;@!/&amp;F"</f>
        <v>#VALUE!</v>
      </c>
      <c r="IU248" t="e">
        <f>Europe!G397+"$F;@!/&amp;G"</f>
        <v>#VALUE!</v>
      </c>
      <c r="IV248" t="e">
        <f>Europe!H397+"$F;@!/&amp;H"</f>
        <v>#VALUE!</v>
      </c>
    </row>
    <row r="249" spans="6:256" x14ac:dyDescent="0.35">
      <c r="F249" t="e">
        <f>Europe!A398+"$F;@!/&amp;I"</f>
        <v>#VALUE!</v>
      </c>
      <c r="G249" t="e">
        <f>Europe!B398+"$F;@!/&amp;J"</f>
        <v>#VALUE!</v>
      </c>
      <c r="H249" t="e">
        <f>Europe!C398+"$F;@!/&amp;K"</f>
        <v>#VALUE!</v>
      </c>
      <c r="I249" t="e">
        <f>Europe!D398+"$F;@!/&amp;L"</f>
        <v>#VALUE!</v>
      </c>
      <c r="J249" t="e">
        <f>Europe!E398+"$F;@!/&amp;M"</f>
        <v>#VALUE!</v>
      </c>
      <c r="K249" t="e">
        <f>Europe!F398+"$F;@!/&amp;N"</f>
        <v>#VALUE!</v>
      </c>
      <c r="L249" t="e">
        <f>Europe!G398+"$F;@!/&amp;O"</f>
        <v>#VALUE!</v>
      </c>
      <c r="M249" t="e">
        <f>Europe!H398+"$F;@!/&amp;P"</f>
        <v>#VALUE!</v>
      </c>
      <c r="N249" t="e">
        <f>Europe!A399+"$F;@!/&amp;Q"</f>
        <v>#VALUE!</v>
      </c>
      <c r="O249" t="e">
        <f>Europe!B399+"$F;@!/&amp;R"</f>
        <v>#VALUE!</v>
      </c>
      <c r="P249" t="e">
        <f>Europe!C399+"$F;@!/&amp;S"</f>
        <v>#VALUE!</v>
      </c>
      <c r="Q249" t="e">
        <f>Europe!D399+"$F;@!/&amp;T"</f>
        <v>#VALUE!</v>
      </c>
      <c r="R249" t="e">
        <f>Europe!E399+"$F;@!/&amp;U"</f>
        <v>#VALUE!</v>
      </c>
      <c r="S249" t="e">
        <f>Europe!F399+"$F;@!/&amp;V"</f>
        <v>#VALUE!</v>
      </c>
      <c r="T249" t="e">
        <f>Europe!G399+"$F;@!/&amp;W"</f>
        <v>#VALUE!</v>
      </c>
      <c r="U249" t="e">
        <f>Europe!H399+"$F;@!/&amp;X"</f>
        <v>#VALUE!</v>
      </c>
      <c r="V249" t="e">
        <f>Europe!A400+"$F;@!/&amp;Y"</f>
        <v>#VALUE!</v>
      </c>
      <c r="W249" t="e">
        <f>Europe!B400+"$F;@!/&amp;Z"</f>
        <v>#VALUE!</v>
      </c>
      <c r="X249" t="e">
        <f>Europe!C400+"$F;@!/&amp;["</f>
        <v>#VALUE!</v>
      </c>
      <c r="Y249" t="e">
        <f>Europe!D400+"$F;@!/&amp;\"</f>
        <v>#VALUE!</v>
      </c>
      <c r="Z249" t="e">
        <f>Europe!E400+"$F;@!/&amp;]"</f>
        <v>#VALUE!</v>
      </c>
      <c r="AA249" t="e">
        <f>Europe!F400+"$F;@!/&amp;^"</f>
        <v>#VALUE!</v>
      </c>
      <c r="AB249" t="e">
        <f>Europe!G400+"$F;@!/&amp;_"</f>
        <v>#VALUE!</v>
      </c>
      <c r="AC249" t="e">
        <f>Europe!H400+"$F;@!/&amp;`"</f>
        <v>#VALUE!</v>
      </c>
      <c r="AD249" t="e">
        <f>Europe!A401+"$F;@!/&amp;a"</f>
        <v>#VALUE!</v>
      </c>
      <c r="AE249" t="e">
        <f>Europe!B401+"$F;@!/&amp;b"</f>
        <v>#VALUE!</v>
      </c>
      <c r="AF249" t="e">
        <f>Europe!C401+"$F;@!/&amp;c"</f>
        <v>#VALUE!</v>
      </c>
      <c r="AG249" t="e">
        <f>Europe!D401+"$F;@!/&amp;d"</f>
        <v>#VALUE!</v>
      </c>
      <c r="AH249" t="e">
        <f>Europe!E401+"$F;@!/&amp;e"</f>
        <v>#VALUE!</v>
      </c>
      <c r="AI249" t="e">
        <f>Europe!F401+"$F;@!/&amp;f"</f>
        <v>#VALUE!</v>
      </c>
      <c r="AJ249" t="e">
        <f>Europe!G401+"$F;@!/&amp;g"</f>
        <v>#VALUE!</v>
      </c>
      <c r="AK249" t="e">
        <f>Europe!H401+"$F;@!/&amp;h"</f>
        <v>#VALUE!</v>
      </c>
      <c r="AL249" t="e">
        <f>Europe!A402+"$F;@!/&amp;i"</f>
        <v>#VALUE!</v>
      </c>
      <c r="AM249" t="e">
        <f>Europe!B402+"$F;@!/&amp;j"</f>
        <v>#VALUE!</v>
      </c>
      <c r="AN249" t="e">
        <f>Europe!C402+"$F;@!/&amp;k"</f>
        <v>#VALUE!</v>
      </c>
      <c r="AO249" t="e">
        <f>Europe!D402+"$F;@!/&amp;l"</f>
        <v>#VALUE!</v>
      </c>
      <c r="AP249" t="e">
        <f>Europe!E402+"$F;@!/&amp;m"</f>
        <v>#VALUE!</v>
      </c>
      <c r="AQ249" t="e">
        <f>Europe!F402+"$F;@!/&amp;n"</f>
        <v>#VALUE!</v>
      </c>
      <c r="AR249" t="e">
        <f>Europe!G402+"$F;@!/&amp;o"</f>
        <v>#VALUE!</v>
      </c>
      <c r="AS249" t="e">
        <f>Europe!H402+"$F;@!/&amp;p"</f>
        <v>#VALUE!</v>
      </c>
      <c r="AT249" t="e">
        <f>Europe!A403+"$F;@!/&amp;q"</f>
        <v>#VALUE!</v>
      </c>
      <c r="AU249" t="e">
        <f>Europe!B403+"$F;@!/&amp;r"</f>
        <v>#VALUE!</v>
      </c>
      <c r="AV249" t="e">
        <f>Europe!C403+"$F;@!/&amp;s"</f>
        <v>#VALUE!</v>
      </c>
      <c r="AW249" t="e">
        <f>Europe!D403+"$F;@!/&amp;t"</f>
        <v>#VALUE!</v>
      </c>
      <c r="AX249" t="e">
        <f>Europe!E403+"$F;@!/&amp;u"</f>
        <v>#VALUE!</v>
      </c>
      <c r="AY249" t="e">
        <f>Europe!F403+"$F;@!/&amp;v"</f>
        <v>#VALUE!</v>
      </c>
      <c r="AZ249" t="e">
        <f>Europe!G403+"$F;@!/&amp;w"</f>
        <v>#VALUE!</v>
      </c>
      <c r="BA249" t="e">
        <f>Europe!H403+"$F;@!/&amp;x"</f>
        <v>#VALUE!</v>
      </c>
      <c r="BB249" t="e">
        <f>Europe!A404+"$F;@!/&amp;y"</f>
        <v>#VALUE!</v>
      </c>
      <c r="BC249" t="e">
        <f>Europe!B404+"$F;@!/&amp;z"</f>
        <v>#VALUE!</v>
      </c>
      <c r="BD249" t="e">
        <f>Europe!C404+"$F;@!/&amp;{"</f>
        <v>#VALUE!</v>
      </c>
      <c r="BE249" t="e">
        <f>Europe!D404+"$F;@!/&amp;|"</f>
        <v>#VALUE!</v>
      </c>
      <c r="BF249" t="e">
        <f>Europe!E404+"$F;@!/&amp;}"</f>
        <v>#VALUE!</v>
      </c>
      <c r="BG249" t="e">
        <f>Europe!F404+"$F;@!/&amp;~"</f>
        <v>#VALUE!</v>
      </c>
      <c r="BH249" t="e">
        <f>Europe!G404+"$F;@!/'#"</f>
        <v>#VALUE!</v>
      </c>
      <c r="BI249" t="e">
        <f>Europe!H404+"$F;@!/'$"</f>
        <v>#VALUE!</v>
      </c>
      <c r="BJ249" t="e">
        <f>Europe!A405+"$F;@!/'%"</f>
        <v>#VALUE!</v>
      </c>
      <c r="BK249" t="e">
        <f>Europe!B405+"$F;@!/'&amp;"</f>
        <v>#VALUE!</v>
      </c>
      <c r="BL249" t="e">
        <f>Europe!C405+"$F;@!/''"</f>
        <v>#VALUE!</v>
      </c>
      <c r="BM249" t="e">
        <f>Europe!D405+"$F;@!/'("</f>
        <v>#VALUE!</v>
      </c>
      <c r="BN249" t="e">
        <f>Europe!E405+"$F;@!/')"</f>
        <v>#VALUE!</v>
      </c>
      <c r="BO249" t="e">
        <f>Europe!F405+"$F;@!/'."</f>
        <v>#VALUE!</v>
      </c>
      <c r="BP249" t="e">
        <f>Europe!G405+"$F;@!/'/"</f>
        <v>#VALUE!</v>
      </c>
      <c r="BQ249" t="e">
        <f>Europe!H405+"$F;@!/'0"</f>
        <v>#VALUE!</v>
      </c>
      <c r="BR249" t="e">
        <f>Europe!A406+"$F;@!/'1"</f>
        <v>#VALUE!</v>
      </c>
      <c r="BS249" t="e">
        <f>Europe!B406+"$F;@!/'2"</f>
        <v>#VALUE!</v>
      </c>
      <c r="BT249" t="e">
        <f>Europe!C406+"$F;@!/'3"</f>
        <v>#VALUE!</v>
      </c>
      <c r="BU249" t="e">
        <f>Europe!D406+"$F;@!/'4"</f>
        <v>#VALUE!</v>
      </c>
      <c r="BV249" t="e">
        <f>Europe!E406+"$F;@!/'5"</f>
        <v>#VALUE!</v>
      </c>
      <c r="BW249" t="e">
        <f>Europe!F406+"$F;@!/'6"</f>
        <v>#VALUE!</v>
      </c>
      <c r="BX249" t="e">
        <f>Europe!G406+"$F;@!/'7"</f>
        <v>#VALUE!</v>
      </c>
      <c r="BY249" t="e">
        <f>Europe!H406+"$F;@!/'8"</f>
        <v>#VALUE!</v>
      </c>
      <c r="BZ249" t="e">
        <f>Europe!A407+"$F;@!/'9"</f>
        <v>#VALUE!</v>
      </c>
      <c r="CA249" t="e">
        <f>Europe!B407+"$F;@!/':"</f>
        <v>#VALUE!</v>
      </c>
      <c r="CB249" t="e">
        <f>Europe!C407+"$F;@!/';"</f>
        <v>#VALUE!</v>
      </c>
      <c r="CC249" t="e">
        <f>Europe!D407+"$F;@!/'&lt;"</f>
        <v>#VALUE!</v>
      </c>
      <c r="CD249" t="e">
        <f>Europe!E407+"$F;@!/'="</f>
        <v>#VALUE!</v>
      </c>
      <c r="CE249" t="e">
        <f>Europe!F407+"$F;@!/'&gt;"</f>
        <v>#VALUE!</v>
      </c>
      <c r="CF249" t="e">
        <f>Europe!G407+"$F;@!/'?"</f>
        <v>#VALUE!</v>
      </c>
      <c r="CG249" t="e">
        <f>Europe!H407+"$F;@!/'@"</f>
        <v>#VALUE!</v>
      </c>
      <c r="CH249" t="e">
        <f>Europe!A408+"$F;@!/'A"</f>
        <v>#VALUE!</v>
      </c>
      <c r="CI249" t="e">
        <f>Europe!B408+"$F;@!/'B"</f>
        <v>#VALUE!</v>
      </c>
      <c r="CJ249" t="e">
        <f>Europe!C408+"$F;@!/'C"</f>
        <v>#VALUE!</v>
      </c>
      <c r="CK249" t="e">
        <f>Europe!D408+"$F;@!/'D"</f>
        <v>#VALUE!</v>
      </c>
      <c r="CL249" t="e">
        <f>Europe!E408+"$F;@!/'E"</f>
        <v>#VALUE!</v>
      </c>
      <c r="CM249" t="e">
        <f>Europe!F408+"$F;@!/'F"</f>
        <v>#VALUE!</v>
      </c>
      <c r="CN249" t="e">
        <f>Europe!G408+"$F;@!/'G"</f>
        <v>#VALUE!</v>
      </c>
      <c r="CO249" t="e">
        <f>Europe!H408+"$F;@!/'H"</f>
        <v>#VALUE!</v>
      </c>
      <c r="CP249" t="e">
        <f>Europe!A409+"$F;@!/'I"</f>
        <v>#VALUE!</v>
      </c>
      <c r="CQ249" t="e">
        <f>Europe!B409+"$F;@!/'J"</f>
        <v>#VALUE!</v>
      </c>
      <c r="CR249" t="e">
        <f>Europe!C409+"$F;@!/'K"</f>
        <v>#VALUE!</v>
      </c>
      <c r="CS249" t="e">
        <f>Europe!D409+"$F;@!/'L"</f>
        <v>#VALUE!</v>
      </c>
      <c r="CT249" t="e">
        <f>Europe!E409+"$F;@!/'M"</f>
        <v>#VALUE!</v>
      </c>
      <c r="CU249" t="e">
        <f>Europe!F409+"$F;@!/'N"</f>
        <v>#VALUE!</v>
      </c>
      <c r="CV249" t="e">
        <f>Europe!G409+"$F;@!/'O"</f>
        <v>#VALUE!</v>
      </c>
      <c r="CW249" t="e">
        <f>Europe!H409+"$F;@!/'P"</f>
        <v>#VALUE!</v>
      </c>
      <c r="CX249" t="e">
        <f>Europe!A410+"$F;@!/'Q"</f>
        <v>#VALUE!</v>
      </c>
      <c r="CY249" t="e">
        <f>Europe!B410+"$F;@!/'R"</f>
        <v>#VALUE!</v>
      </c>
      <c r="CZ249" t="e">
        <f>Europe!C410+"$F;@!/'S"</f>
        <v>#VALUE!</v>
      </c>
      <c r="DA249" t="e">
        <f>Europe!D410+"$F;@!/'T"</f>
        <v>#VALUE!</v>
      </c>
      <c r="DB249" t="e">
        <f>Europe!E410+"$F;@!/'U"</f>
        <v>#VALUE!</v>
      </c>
      <c r="DC249" t="e">
        <f>Europe!F410+"$F;@!/'V"</f>
        <v>#VALUE!</v>
      </c>
      <c r="DD249" t="e">
        <f>Europe!G410+"$F;@!/'W"</f>
        <v>#VALUE!</v>
      </c>
      <c r="DE249" t="e">
        <f>Europe!H410+"$F;@!/'X"</f>
        <v>#VALUE!</v>
      </c>
      <c r="DF249" t="e">
        <f>Europe!A411+"$F;@!/'Y"</f>
        <v>#VALUE!</v>
      </c>
      <c r="DG249" t="e">
        <f>Europe!B411+"$F;@!/'Z"</f>
        <v>#VALUE!</v>
      </c>
      <c r="DH249" t="e">
        <f>Europe!C411+"$F;@!/'["</f>
        <v>#VALUE!</v>
      </c>
      <c r="DI249" t="e">
        <f>Europe!D411+"$F;@!/'\"</f>
        <v>#VALUE!</v>
      </c>
      <c r="DJ249" t="e">
        <f>Europe!E411+"$F;@!/']"</f>
        <v>#VALUE!</v>
      </c>
      <c r="DK249" t="e">
        <f>Europe!F411+"$F;@!/'^"</f>
        <v>#VALUE!</v>
      </c>
      <c r="DL249" t="e">
        <f>Europe!G411+"$F;@!/'_"</f>
        <v>#VALUE!</v>
      </c>
      <c r="DM249" t="e">
        <f>Europe!H411+"$F;@!/'`"</f>
        <v>#VALUE!</v>
      </c>
      <c r="DN249" t="e">
        <f>Europe!A412+"$F;@!/'a"</f>
        <v>#VALUE!</v>
      </c>
      <c r="DO249" t="e">
        <f>Europe!B412+"$F;@!/'b"</f>
        <v>#VALUE!</v>
      </c>
      <c r="DP249" t="e">
        <f>Europe!C412+"$F;@!/'c"</f>
        <v>#VALUE!</v>
      </c>
      <c r="DQ249" t="e">
        <f>Europe!D412+"$F;@!/'d"</f>
        <v>#VALUE!</v>
      </c>
      <c r="DR249" t="e">
        <f>Europe!E412+"$F;@!/'e"</f>
        <v>#VALUE!</v>
      </c>
      <c r="DS249" t="e">
        <f>Europe!F412+"$F;@!/'f"</f>
        <v>#VALUE!</v>
      </c>
      <c r="DT249" t="e">
        <f>Europe!G412+"$F;@!/'g"</f>
        <v>#VALUE!</v>
      </c>
      <c r="DU249" t="e">
        <f>Europe!H412+"$F;@!/'h"</f>
        <v>#VALUE!</v>
      </c>
      <c r="DV249" t="e">
        <f>Europe!A413+"$F;@!/'i"</f>
        <v>#VALUE!</v>
      </c>
      <c r="DW249" t="e">
        <f>Europe!B413+"$F;@!/'j"</f>
        <v>#VALUE!</v>
      </c>
      <c r="DX249" t="e">
        <f>Europe!C413+"$F;@!/'k"</f>
        <v>#VALUE!</v>
      </c>
      <c r="DY249" t="e">
        <f>Europe!D413+"$F;@!/'l"</f>
        <v>#VALUE!</v>
      </c>
      <c r="DZ249" t="e">
        <f>Europe!E413+"$F;@!/'m"</f>
        <v>#VALUE!</v>
      </c>
      <c r="EA249" t="e">
        <f>Europe!F413+"$F;@!/'n"</f>
        <v>#VALUE!</v>
      </c>
      <c r="EB249" t="e">
        <f>Europe!G413+"$F;@!/'o"</f>
        <v>#VALUE!</v>
      </c>
      <c r="EC249" t="e">
        <f>Europe!H413+"$F;@!/'p"</f>
        <v>#VALUE!</v>
      </c>
      <c r="ED249" t="e">
        <f>Europe!A414+"$F;@!/'q"</f>
        <v>#VALUE!</v>
      </c>
      <c r="EE249" t="e">
        <f>Europe!B414+"$F;@!/'r"</f>
        <v>#VALUE!</v>
      </c>
      <c r="EF249" t="e">
        <f>Europe!C414+"$F;@!/'s"</f>
        <v>#VALUE!</v>
      </c>
      <c r="EG249" t="e">
        <f>Europe!D414+"$F;@!/'t"</f>
        <v>#VALUE!</v>
      </c>
      <c r="EH249" t="e">
        <f>Europe!E414+"$F;@!/'u"</f>
        <v>#VALUE!</v>
      </c>
      <c r="EI249" t="e">
        <f>Europe!F414+"$F;@!/'v"</f>
        <v>#VALUE!</v>
      </c>
      <c r="EJ249" t="e">
        <f>Europe!G414+"$F;@!/'w"</f>
        <v>#VALUE!</v>
      </c>
      <c r="EK249" t="e">
        <f>Europe!H414+"$F;@!/'x"</f>
        <v>#VALUE!</v>
      </c>
      <c r="EL249" t="e">
        <f>Europe!A415+"$F;@!/'y"</f>
        <v>#VALUE!</v>
      </c>
      <c r="EM249" t="e">
        <f>Europe!B415+"$F;@!/'z"</f>
        <v>#VALUE!</v>
      </c>
      <c r="EN249" t="e">
        <f>Europe!C415+"$F;@!/'{"</f>
        <v>#VALUE!</v>
      </c>
      <c r="EO249" t="e">
        <f>Europe!D415+"$F;@!/'|"</f>
        <v>#VALUE!</v>
      </c>
      <c r="EP249" t="e">
        <f>Europe!E415+"$F;@!/'}"</f>
        <v>#VALUE!</v>
      </c>
      <c r="EQ249" t="e">
        <f>Europe!F415+"$F;@!/'~"</f>
        <v>#VALUE!</v>
      </c>
      <c r="ER249" t="e">
        <f>Europe!G415+"$F;@!/(#"</f>
        <v>#VALUE!</v>
      </c>
      <c r="ES249" t="e">
        <f>Europe!H415+"$F;@!/($"</f>
        <v>#VALUE!</v>
      </c>
      <c r="ET249" t="e">
        <f>Europe!A416+"$F;@!/(%"</f>
        <v>#VALUE!</v>
      </c>
      <c r="EU249" t="e">
        <f>Europe!B416+"$F;@!/(&amp;"</f>
        <v>#VALUE!</v>
      </c>
      <c r="EV249" t="e">
        <f>Europe!C416+"$F;@!/('"</f>
        <v>#VALUE!</v>
      </c>
      <c r="EW249" t="e">
        <f>Europe!D416+"$F;@!/(("</f>
        <v>#VALUE!</v>
      </c>
      <c r="EX249" t="e">
        <f>Europe!E416+"$F;@!/()"</f>
        <v>#VALUE!</v>
      </c>
      <c r="EY249" t="e">
        <f>Europe!F416+"$F;@!/(."</f>
        <v>#VALUE!</v>
      </c>
      <c r="EZ249" t="e">
        <f>Europe!G416+"$F;@!/(/"</f>
        <v>#VALUE!</v>
      </c>
      <c r="FA249" t="e">
        <f>Europe!H416+"$F;@!/(0"</f>
        <v>#VALUE!</v>
      </c>
      <c r="FB249" t="e">
        <f>Europe!A417+"$F;@!/(1"</f>
        <v>#VALUE!</v>
      </c>
      <c r="FC249" t="e">
        <f>Europe!B417+"$F;@!/(2"</f>
        <v>#VALUE!</v>
      </c>
      <c r="FD249" t="e">
        <f>Europe!C417+"$F;@!/(3"</f>
        <v>#VALUE!</v>
      </c>
      <c r="FE249" t="e">
        <f>Europe!D417+"$F;@!/(4"</f>
        <v>#VALUE!</v>
      </c>
      <c r="FF249" t="e">
        <f>Europe!E417+"$F;@!/(5"</f>
        <v>#VALUE!</v>
      </c>
      <c r="FG249" t="e">
        <f>Europe!F417+"$F;@!/(6"</f>
        <v>#VALUE!</v>
      </c>
      <c r="FH249" t="e">
        <f>Europe!G417+"$F;@!/(7"</f>
        <v>#VALUE!</v>
      </c>
      <c r="FI249" t="e">
        <f>Europe!H417+"$F;@!/(8"</f>
        <v>#VALUE!</v>
      </c>
      <c r="FJ249" t="e">
        <f>Europe!A418+"$F;@!/(9"</f>
        <v>#VALUE!</v>
      </c>
      <c r="FK249" t="e">
        <f>Europe!B418+"$F;@!/(:"</f>
        <v>#VALUE!</v>
      </c>
      <c r="FL249" t="e">
        <f>Europe!C418+"$F;@!/(;"</f>
        <v>#VALUE!</v>
      </c>
      <c r="FM249" t="e">
        <f>Europe!D418+"$F;@!/(&lt;"</f>
        <v>#VALUE!</v>
      </c>
      <c r="FN249" t="e">
        <f>Europe!E418+"$F;@!/(="</f>
        <v>#VALUE!</v>
      </c>
      <c r="FO249" t="e">
        <f>Europe!F418+"$F;@!/(&gt;"</f>
        <v>#VALUE!</v>
      </c>
      <c r="FP249" t="e">
        <f>Europe!G418+"$F;@!/(?"</f>
        <v>#VALUE!</v>
      </c>
      <c r="FQ249" t="e">
        <f>Europe!H418+"$F;@!/(@"</f>
        <v>#VALUE!</v>
      </c>
      <c r="FR249" t="e">
        <f>Europe!A419+"$F;@!/(A"</f>
        <v>#VALUE!</v>
      </c>
      <c r="FS249" t="e">
        <f>Europe!B419+"$F;@!/(B"</f>
        <v>#VALUE!</v>
      </c>
      <c r="FT249" t="e">
        <f>Europe!C419+"$F;@!/(C"</f>
        <v>#VALUE!</v>
      </c>
      <c r="FU249" t="e">
        <f>Europe!D419+"$F;@!/(D"</f>
        <v>#VALUE!</v>
      </c>
      <c r="FV249" t="e">
        <f>Europe!E419+"$F;@!/(E"</f>
        <v>#VALUE!</v>
      </c>
      <c r="FW249" t="e">
        <f>Europe!F419+"$F;@!/(F"</f>
        <v>#VALUE!</v>
      </c>
      <c r="FX249" t="e">
        <f>Europe!G419+"$F;@!/(G"</f>
        <v>#VALUE!</v>
      </c>
      <c r="FY249" t="e">
        <f>Europe!H419+"$F;@!/(H"</f>
        <v>#VALUE!</v>
      </c>
      <c r="FZ249" t="e">
        <f>Europe!A420+"$F;@!/(I"</f>
        <v>#VALUE!</v>
      </c>
      <c r="GA249" t="e">
        <f>Europe!B420+"$F;@!/(J"</f>
        <v>#VALUE!</v>
      </c>
      <c r="GB249" t="e">
        <f>Europe!C420+"$F;@!/(K"</f>
        <v>#VALUE!</v>
      </c>
      <c r="GC249" t="e">
        <f>Europe!D420+"$F;@!/(L"</f>
        <v>#VALUE!</v>
      </c>
      <c r="GD249" t="e">
        <f>Europe!E420+"$F;@!/(M"</f>
        <v>#VALUE!</v>
      </c>
      <c r="GE249" t="e">
        <f>Europe!F420+"$F;@!/(N"</f>
        <v>#VALUE!</v>
      </c>
      <c r="GF249" t="e">
        <f>Europe!G420+"$F;@!/(O"</f>
        <v>#VALUE!</v>
      </c>
      <c r="GG249" t="e">
        <f>Europe!H420+"$F;@!/(P"</f>
        <v>#VALUE!</v>
      </c>
      <c r="GH249" t="e">
        <f>Europe!A421+"$F;@!/(Q"</f>
        <v>#VALUE!</v>
      </c>
      <c r="GI249" t="e">
        <f>Europe!B421+"$F;@!/(R"</f>
        <v>#VALUE!</v>
      </c>
      <c r="GJ249" t="e">
        <f>Europe!C421+"$F;@!/(S"</f>
        <v>#VALUE!</v>
      </c>
      <c r="GK249" t="e">
        <f>Europe!D421+"$F;@!/(T"</f>
        <v>#VALUE!</v>
      </c>
      <c r="GL249" t="e">
        <f>Europe!E421+"$F;@!/(U"</f>
        <v>#VALUE!</v>
      </c>
      <c r="GM249" t="e">
        <f>Europe!F421+"$F;@!/(V"</f>
        <v>#VALUE!</v>
      </c>
      <c r="GN249" t="e">
        <f>Europe!G421+"$F;@!/(W"</f>
        <v>#VALUE!</v>
      </c>
      <c r="GO249" t="e">
        <f>Europe!H421+"$F;@!/(X"</f>
        <v>#VALUE!</v>
      </c>
      <c r="GP249" t="e">
        <f>Europe!A422+"$F;@!/(Y"</f>
        <v>#VALUE!</v>
      </c>
      <c r="GQ249" t="e">
        <f>Europe!B422+"$F;@!/(Z"</f>
        <v>#VALUE!</v>
      </c>
      <c r="GR249" t="e">
        <f>Europe!C422+"$F;@!/(["</f>
        <v>#VALUE!</v>
      </c>
      <c r="GS249" t="e">
        <f>Europe!D422+"$F;@!/(\"</f>
        <v>#VALUE!</v>
      </c>
      <c r="GT249" t="e">
        <f>Europe!E422+"$F;@!/(]"</f>
        <v>#VALUE!</v>
      </c>
      <c r="GU249" t="e">
        <f>Europe!F422+"$F;@!/(^"</f>
        <v>#VALUE!</v>
      </c>
      <c r="GV249" t="e">
        <f>Europe!G422+"$F;@!/(_"</f>
        <v>#VALUE!</v>
      </c>
      <c r="GW249" t="e">
        <f>Europe!H422+"$F;@!/(`"</f>
        <v>#VALUE!</v>
      </c>
      <c r="GX249" t="e">
        <f>Europe!A423+"$F;@!/(a"</f>
        <v>#VALUE!</v>
      </c>
      <c r="GY249" t="e">
        <f>Europe!B423+"$F;@!/(b"</f>
        <v>#VALUE!</v>
      </c>
      <c r="GZ249" t="e">
        <f>Europe!C423+"$F;@!/(c"</f>
        <v>#VALUE!</v>
      </c>
      <c r="HA249" t="e">
        <f>Europe!D423+"$F;@!/(d"</f>
        <v>#VALUE!</v>
      </c>
      <c r="HB249" t="e">
        <f>Europe!E423+"$F;@!/(e"</f>
        <v>#VALUE!</v>
      </c>
      <c r="HC249" t="e">
        <f>Europe!F423+"$F;@!/(f"</f>
        <v>#VALUE!</v>
      </c>
      <c r="HD249" t="e">
        <f>Europe!G423+"$F;@!/(g"</f>
        <v>#VALUE!</v>
      </c>
      <c r="HE249" t="e">
        <f>Europe!H423+"$F;@!/(h"</f>
        <v>#VALUE!</v>
      </c>
      <c r="HF249" t="e">
        <f>Europe!A424+"$F;@!/(i"</f>
        <v>#VALUE!</v>
      </c>
      <c r="HG249" t="e">
        <f>Europe!B424+"$F;@!/(j"</f>
        <v>#VALUE!</v>
      </c>
      <c r="HH249" t="e">
        <f>Europe!C424+"$F;@!/(k"</f>
        <v>#VALUE!</v>
      </c>
      <c r="HI249" t="e">
        <f>Europe!D424+"$F;@!/(l"</f>
        <v>#VALUE!</v>
      </c>
      <c r="HJ249" t="e">
        <f>Europe!E424+"$F;@!/(m"</f>
        <v>#VALUE!</v>
      </c>
      <c r="HK249" t="e">
        <f>Europe!F424+"$F;@!/(n"</f>
        <v>#VALUE!</v>
      </c>
      <c r="HL249" t="e">
        <f>Europe!G424+"$F;@!/(o"</f>
        <v>#VALUE!</v>
      </c>
      <c r="HM249" t="e">
        <f>Europe!H424+"$F;@!/(p"</f>
        <v>#VALUE!</v>
      </c>
      <c r="HN249" t="e">
        <f>Europe!A425+"$F;@!/(q"</f>
        <v>#VALUE!</v>
      </c>
      <c r="HO249" t="e">
        <f>Europe!B425+"$F;@!/(r"</f>
        <v>#VALUE!</v>
      </c>
      <c r="HP249" t="e">
        <f>Europe!C425+"$F;@!/(s"</f>
        <v>#VALUE!</v>
      </c>
      <c r="HQ249" t="e">
        <f>Europe!D425+"$F;@!/(t"</f>
        <v>#VALUE!</v>
      </c>
      <c r="HR249" t="e">
        <f>Europe!E425+"$F;@!/(u"</f>
        <v>#VALUE!</v>
      </c>
      <c r="HS249" t="e">
        <f>Europe!F425+"$F;@!/(v"</f>
        <v>#VALUE!</v>
      </c>
      <c r="HT249" t="e">
        <f>Europe!G425+"$F;@!/(w"</f>
        <v>#VALUE!</v>
      </c>
      <c r="HU249" t="e">
        <f>Europe!H425+"$F;@!/(x"</f>
        <v>#VALUE!</v>
      </c>
      <c r="HV249" t="e">
        <f>Europe!A426+"$F;@!/(y"</f>
        <v>#VALUE!</v>
      </c>
      <c r="HW249" t="e">
        <f>Europe!B426+"$F;@!/(z"</f>
        <v>#VALUE!</v>
      </c>
      <c r="HX249" t="e">
        <f>Europe!C426+"$F;@!/({"</f>
        <v>#VALUE!</v>
      </c>
      <c r="HY249" t="e">
        <f>Europe!D426+"$F;@!/(|"</f>
        <v>#VALUE!</v>
      </c>
      <c r="HZ249" t="e">
        <f>Europe!E426+"$F;@!/(}"</f>
        <v>#VALUE!</v>
      </c>
      <c r="IA249" t="e">
        <f>Europe!F426+"$F;@!/(~"</f>
        <v>#VALUE!</v>
      </c>
      <c r="IB249" t="e">
        <f>Europe!G426+"$F;@!/)#"</f>
        <v>#VALUE!</v>
      </c>
      <c r="IC249" t="e">
        <f>Europe!H426+"$F;@!/)$"</f>
        <v>#VALUE!</v>
      </c>
      <c r="ID249" t="e">
        <f>Europe!A427+"$F;@!/)%"</f>
        <v>#VALUE!</v>
      </c>
      <c r="IE249" t="e">
        <f>Europe!B427+"$F;@!/)&amp;"</f>
        <v>#VALUE!</v>
      </c>
      <c r="IF249" t="e">
        <f>Europe!C427+"$F;@!/)'"</f>
        <v>#VALUE!</v>
      </c>
      <c r="IG249" t="e">
        <f>Europe!D427+"$F;@!/)("</f>
        <v>#VALUE!</v>
      </c>
      <c r="IH249" t="e">
        <f>Europe!E427+"$F;@!/))"</f>
        <v>#VALUE!</v>
      </c>
      <c r="II249" t="e">
        <f>Europe!F427+"$F;@!/)."</f>
        <v>#VALUE!</v>
      </c>
      <c r="IJ249" t="e">
        <f>Europe!G427+"$F;@!/)/"</f>
        <v>#VALUE!</v>
      </c>
      <c r="IK249" t="e">
        <f>Europe!H427+"$F;@!/)0"</f>
        <v>#VALUE!</v>
      </c>
      <c r="IL249" t="e">
        <f>Europe!A428+"$F;@!/)1"</f>
        <v>#VALUE!</v>
      </c>
      <c r="IM249" t="e">
        <f>Europe!B428+"$F;@!/)2"</f>
        <v>#VALUE!</v>
      </c>
      <c r="IN249" t="e">
        <f>Europe!C428+"$F;@!/)3"</f>
        <v>#VALUE!</v>
      </c>
      <c r="IO249" t="e">
        <f>Europe!D428+"$F;@!/)4"</f>
        <v>#VALUE!</v>
      </c>
      <c r="IP249" t="e">
        <f>Europe!E428+"$F;@!/)5"</f>
        <v>#VALUE!</v>
      </c>
      <c r="IQ249" t="e">
        <f>Europe!F428+"$F;@!/)6"</f>
        <v>#VALUE!</v>
      </c>
      <c r="IR249" t="e">
        <f>Europe!G428+"$F;@!/)7"</f>
        <v>#VALUE!</v>
      </c>
      <c r="IS249" t="e">
        <f>Europe!H428+"$F;@!/)8"</f>
        <v>#VALUE!</v>
      </c>
      <c r="IT249" t="e">
        <f>Europe!A429+"$F;@!/)9"</f>
        <v>#VALUE!</v>
      </c>
      <c r="IU249" t="e">
        <f>Europe!B429+"$F;@!/):"</f>
        <v>#VALUE!</v>
      </c>
      <c r="IV249" t="e">
        <f>Europe!C429+"$F;@!/);"</f>
        <v>#VALUE!</v>
      </c>
    </row>
    <row r="250" spans="6:256" x14ac:dyDescent="0.35">
      <c r="F250" t="e">
        <f>Europe!D429+"$F;@!/)&lt;"</f>
        <v>#VALUE!</v>
      </c>
      <c r="G250" t="e">
        <f>Europe!E429+"$F;@!/)="</f>
        <v>#VALUE!</v>
      </c>
      <c r="H250" t="e">
        <f>Europe!F429+"$F;@!/)&gt;"</f>
        <v>#VALUE!</v>
      </c>
      <c r="I250" t="e">
        <f>Europe!G429+"$F;@!/)?"</f>
        <v>#VALUE!</v>
      </c>
      <c r="J250" t="e">
        <f>Europe!H429+"$F;@!/)@"</f>
        <v>#VALUE!</v>
      </c>
      <c r="K250" t="e">
        <f>Europe!A430+"$F;@!/)A"</f>
        <v>#VALUE!</v>
      </c>
      <c r="L250" t="e">
        <f>Europe!B430+"$F;@!/)B"</f>
        <v>#VALUE!</v>
      </c>
      <c r="M250" t="e">
        <f>Europe!C430+"$F;@!/)C"</f>
        <v>#VALUE!</v>
      </c>
      <c r="N250" t="e">
        <f>Europe!D430+"$F;@!/)D"</f>
        <v>#VALUE!</v>
      </c>
      <c r="O250" t="e">
        <f>Europe!E430+"$F;@!/)E"</f>
        <v>#VALUE!</v>
      </c>
      <c r="P250" t="e">
        <f>Europe!F430+"$F;@!/)F"</f>
        <v>#VALUE!</v>
      </c>
      <c r="Q250" t="e">
        <f>Europe!G430+"$F;@!/)G"</f>
        <v>#VALUE!</v>
      </c>
      <c r="R250" t="e">
        <f>Europe!H430+"$F;@!/)H"</f>
        <v>#VALUE!</v>
      </c>
      <c r="S250" t="e">
        <f>Europe!A431+"$F;@!/)I"</f>
        <v>#VALUE!</v>
      </c>
      <c r="T250" t="e">
        <f>Europe!B431+"$F;@!/)J"</f>
        <v>#VALUE!</v>
      </c>
      <c r="U250" t="e">
        <f>Europe!C431+"$F;@!/)K"</f>
        <v>#VALUE!</v>
      </c>
      <c r="V250" t="e">
        <f>Europe!D431+"$F;@!/)L"</f>
        <v>#VALUE!</v>
      </c>
      <c r="W250" t="e">
        <f>Europe!E431+"$F;@!/)M"</f>
        <v>#VALUE!</v>
      </c>
      <c r="X250" t="e">
        <f>Europe!F431+"$F;@!/)N"</f>
        <v>#VALUE!</v>
      </c>
      <c r="Y250" t="e">
        <f>Europe!G431+"$F;@!/)O"</f>
        <v>#VALUE!</v>
      </c>
      <c r="Z250" t="e">
        <f>Europe!H431+"$F;@!/)P"</f>
        <v>#VALUE!</v>
      </c>
      <c r="AA250" t="e">
        <f>Europe!A432+"$F;@!/)Q"</f>
        <v>#VALUE!</v>
      </c>
      <c r="AB250" t="e">
        <f>Europe!B432+"$F;@!/)R"</f>
        <v>#VALUE!</v>
      </c>
      <c r="AC250" t="e">
        <f>Europe!C432+"$F;@!/)S"</f>
        <v>#VALUE!</v>
      </c>
      <c r="AD250" t="e">
        <f>Europe!D432+"$F;@!/)T"</f>
        <v>#VALUE!</v>
      </c>
      <c r="AE250" t="e">
        <f>Europe!E432+"$F;@!/)U"</f>
        <v>#VALUE!</v>
      </c>
      <c r="AF250" t="e">
        <f>Europe!F432+"$F;@!/)V"</f>
        <v>#VALUE!</v>
      </c>
      <c r="AG250" t="e">
        <f>Europe!G432+"$F;@!/)W"</f>
        <v>#VALUE!</v>
      </c>
      <c r="AH250" t="e">
        <f>Europe!H432+"$F;@!/)X"</f>
        <v>#VALUE!</v>
      </c>
      <c r="AI250" t="e">
        <f>Europe!A433+"$F;@!/)Y"</f>
        <v>#VALUE!</v>
      </c>
      <c r="AJ250" t="e">
        <f>Europe!B433+"$F;@!/)Z"</f>
        <v>#VALUE!</v>
      </c>
      <c r="AK250" t="e">
        <f>Europe!C433+"$F;@!/)["</f>
        <v>#VALUE!</v>
      </c>
      <c r="AL250" t="e">
        <f>Europe!D433+"$F;@!/)\"</f>
        <v>#VALUE!</v>
      </c>
      <c r="AM250" t="e">
        <f>Europe!E433+"$F;@!/)]"</f>
        <v>#VALUE!</v>
      </c>
      <c r="AN250" t="e">
        <f>Europe!F433+"$F;@!/)^"</f>
        <v>#VALUE!</v>
      </c>
      <c r="AO250" t="e">
        <f>Europe!G433+"$F;@!/)_"</f>
        <v>#VALUE!</v>
      </c>
      <c r="AP250" t="e">
        <f>Europe!H433+"$F;@!/)`"</f>
        <v>#VALUE!</v>
      </c>
      <c r="AQ250" t="e">
        <f>Europe!A434+"$F;@!/)a"</f>
        <v>#VALUE!</v>
      </c>
      <c r="AR250" t="e">
        <f>Europe!B434+"$F;@!/)b"</f>
        <v>#VALUE!</v>
      </c>
      <c r="AS250" t="e">
        <f>Europe!C434+"$F;@!/)c"</f>
        <v>#VALUE!</v>
      </c>
      <c r="AT250" t="e">
        <f>Europe!D434+"$F;@!/)d"</f>
        <v>#VALUE!</v>
      </c>
      <c r="AU250" t="e">
        <f>Europe!E434+"$F;@!/)e"</f>
        <v>#VALUE!</v>
      </c>
      <c r="AV250" t="e">
        <f>Europe!F434+"$F;@!/)f"</f>
        <v>#VALUE!</v>
      </c>
      <c r="AW250" t="e">
        <f>Europe!G434+"$F;@!/)g"</f>
        <v>#VALUE!</v>
      </c>
      <c r="AX250" t="e">
        <f>Europe!H434+"$F;@!/)h"</f>
        <v>#VALUE!</v>
      </c>
      <c r="AY250" t="e">
        <f>Europe!A435+"$F;@!/)i"</f>
        <v>#VALUE!</v>
      </c>
      <c r="AZ250" t="e">
        <f>Europe!B435+"$F;@!/)j"</f>
        <v>#VALUE!</v>
      </c>
      <c r="BA250" t="e">
        <f>Europe!C435+"$F;@!/)k"</f>
        <v>#VALUE!</v>
      </c>
      <c r="BB250" t="e">
        <f>Europe!D435+"$F;@!/)l"</f>
        <v>#VALUE!</v>
      </c>
      <c r="BC250" t="e">
        <f>Europe!E435+"$F;@!/)m"</f>
        <v>#VALUE!</v>
      </c>
      <c r="BD250" t="e">
        <f>Europe!F435+"$F;@!/)n"</f>
        <v>#VALUE!</v>
      </c>
      <c r="BE250" t="e">
        <f>Europe!G435+"$F;@!/)o"</f>
        <v>#VALUE!</v>
      </c>
      <c r="BF250" t="e">
        <f>Europe!H435+"$F;@!/)p"</f>
        <v>#VALUE!</v>
      </c>
      <c r="BG250" t="e">
        <f>Europe!A436+"$F;@!/)q"</f>
        <v>#VALUE!</v>
      </c>
      <c r="BH250" t="e">
        <f>Europe!B436+"$F;@!/)r"</f>
        <v>#VALUE!</v>
      </c>
      <c r="BI250" t="e">
        <f>Europe!C436+"$F;@!/)s"</f>
        <v>#VALUE!</v>
      </c>
      <c r="BJ250" t="e">
        <f>Europe!D436+"$F;@!/)t"</f>
        <v>#VALUE!</v>
      </c>
      <c r="BK250" t="e">
        <f>Europe!E436+"$F;@!/)u"</f>
        <v>#VALUE!</v>
      </c>
      <c r="BL250" t="e">
        <f>Europe!F436+"$F;@!/)v"</f>
        <v>#VALUE!</v>
      </c>
      <c r="BM250" t="e">
        <f>Europe!G436+"$F;@!/)w"</f>
        <v>#VALUE!</v>
      </c>
      <c r="BN250" t="e">
        <f>Europe!H436+"$F;@!/)x"</f>
        <v>#VALUE!</v>
      </c>
      <c r="BO250" t="e">
        <f>Europe!A437+"$F;@!/)y"</f>
        <v>#VALUE!</v>
      </c>
      <c r="BP250" t="e">
        <f>Europe!B437+"$F;@!/)z"</f>
        <v>#VALUE!</v>
      </c>
      <c r="BQ250" t="e">
        <f>Europe!C437+"$F;@!/){"</f>
        <v>#VALUE!</v>
      </c>
      <c r="BR250" t="e">
        <f>Europe!D437+"$F;@!/)|"</f>
        <v>#VALUE!</v>
      </c>
      <c r="BS250" t="e">
        <f>Europe!E437+"$F;@!/)}"</f>
        <v>#VALUE!</v>
      </c>
      <c r="BT250" t="e">
        <f>Europe!F437+"$F;@!/)~"</f>
        <v>#VALUE!</v>
      </c>
      <c r="BU250" t="e">
        <f>Europe!G437+"$F;@!/.#"</f>
        <v>#VALUE!</v>
      </c>
      <c r="BV250" t="e">
        <f>Europe!H437+"$F;@!/.$"</f>
        <v>#VALUE!</v>
      </c>
      <c r="BW250" t="e">
        <f>Europe!A438+"$F;@!/.%"</f>
        <v>#VALUE!</v>
      </c>
      <c r="BX250" t="e">
        <f>Europe!B438+"$F;@!/.&amp;"</f>
        <v>#VALUE!</v>
      </c>
      <c r="BY250" t="e">
        <f>Europe!C438+"$F;@!/.'"</f>
        <v>#VALUE!</v>
      </c>
      <c r="BZ250" t="e">
        <f>Europe!D438+"$F;@!/.("</f>
        <v>#VALUE!</v>
      </c>
      <c r="CA250" t="e">
        <f>Europe!E438+"$F;@!/.)"</f>
        <v>#VALUE!</v>
      </c>
      <c r="CB250" t="e">
        <f>Europe!F438+"$F;@!/.."</f>
        <v>#VALUE!</v>
      </c>
      <c r="CC250" t="e">
        <f>Europe!G438+"$F;@!/./"</f>
        <v>#VALUE!</v>
      </c>
      <c r="CD250" t="e">
        <f>Europe!H438+"$F;@!/.0"</f>
        <v>#VALUE!</v>
      </c>
      <c r="CE250" t="e">
        <f>Europe!A439+"$F;@!/.1"</f>
        <v>#VALUE!</v>
      </c>
      <c r="CF250" t="e">
        <f>Europe!B439+"$F;@!/.2"</f>
        <v>#VALUE!</v>
      </c>
      <c r="CG250" t="e">
        <f>Europe!C439+"$F;@!/.3"</f>
        <v>#VALUE!</v>
      </c>
      <c r="CH250" t="e">
        <f>Europe!D439+"$F;@!/.4"</f>
        <v>#VALUE!</v>
      </c>
      <c r="CI250" t="e">
        <f>Europe!E439+"$F;@!/.5"</f>
        <v>#VALUE!</v>
      </c>
      <c r="CJ250" t="e">
        <f>Europe!F439+"$F;@!/.6"</f>
        <v>#VALUE!</v>
      </c>
      <c r="CK250" t="e">
        <f>Europe!G439+"$F;@!/.7"</f>
        <v>#VALUE!</v>
      </c>
      <c r="CL250" t="e">
        <f>Europe!H439+"$F;@!/.8"</f>
        <v>#VALUE!</v>
      </c>
      <c r="CM250" t="e">
        <f>Europe!A440+"$F;@!/.9"</f>
        <v>#VALUE!</v>
      </c>
      <c r="CN250" t="e">
        <f>Europe!B440+"$F;@!/.:"</f>
        <v>#VALUE!</v>
      </c>
      <c r="CO250" t="e">
        <f>Europe!C440+"$F;@!/.;"</f>
        <v>#VALUE!</v>
      </c>
      <c r="CP250" t="e">
        <f>Europe!D440+"$F;@!/.&lt;"</f>
        <v>#VALUE!</v>
      </c>
      <c r="CQ250" t="e">
        <f>Europe!E440+"$F;@!/.="</f>
        <v>#VALUE!</v>
      </c>
      <c r="CR250" t="e">
        <f>Europe!F440+"$F;@!/.&gt;"</f>
        <v>#VALUE!</v>
      </c>
      <c r="CS250" t="e">
        <f>Europe!G440+"$F;@!/.?"</f>
        <v>#VALUE!</v>
      </c>
      <c r="CT250" t="e">
        <f>Europe!H440+"$F;@!/.@"</f>
        <v>#VALUE!</v>
      </c>
      <c r="CU250" t="e">
        <f>Europe!A441+"$F;@!/.A"</f>
        <v>#VALUE!</v>
      </c>
      <c r="CV250" t="e">
        <f>Europe!B441+"$F;@!/.B"</f>
        <v>#VALUE!</v>
      </c>
      <c r="CW250" t="e">
        <f>Europe!C441+"$F;@!/.C"</f>
        <v>#VALUE!</v>
      </c>
      <c r="CX250" t="e">
        <f>Europe!D441+"$F;@!/.D"</f>
        <v>#VALUE!</v>
      </c>
      <c r="CY250" t="e">
        <f>Europe!E441+"$F;@!/.E"</f>
        <v>#VALUE!</v>
      </c>
      <c r="CZ250" t="e">
        <f>Europe!F441+"$F;@!/.F"</f>
        <v>#VALUE!</v>
      </c>
      <c r="DA250" t="e">
        <f>Europe!G441+"$F;@!/.G"</f>
        <v>#VALUE!</v>
      </c>
      <c r="DB250" t="e">
        <f>Europe!H441+"$F;@!/.H"</f>
        <v>#VALUE!</v>
      </c>
      <c r="DC250" t="e">
        <f>Europe!A442+"$F;@!/.I"</f>
        <v>#VALUE!</v>
      </c>
      <c r="DD250" t="e">
        <f>Europe!B442+"$F;@!/.J"</f>
        <v>#VALUE!</v>
      </c>
      <c r="DE250" t="e">
        <f>Europe!C442+"$F;@!/.K"</f>
        <v>#VALUE!</v>
      </c>
      <c r="DF250" t="e">
        <f>Europe!D442+"$F;@!/.L"</f>
        <v>#VALUE!</v>
      </c>
      <c r="DG250" t="e">
        <f>Europe!E442+"$F;@!/.M"</f>
        <v>#VALUE!</v>
      </c>
      <c r="DH250" t="e">
        <f>Europe!F442+"$F;@!/.N"</f>
        <v>#VALUE!</v>
      </c>
      <c r="DI250" t="e">
        <f>Europe!G442+"$F;@!/.O"</f>
        <v>#VALUE!</v>
      </c>
      <c r="DJ250" t="e">
        <f>Europe!H442+"$F;@!/.P"</f>
        <v>#VALUE!</v>
      </c>
      <c r="DK250" t="e">
        <f>Europe!A443+"$F;@!/.Q"</f>
        <v>#VALUE!</v>
      </c>
      <c r="DL250" t="e">
        <f>Europe!B443+"$F;@!/.R"</f>
        <v>#VALUE!</v>
      </c>
      <c r="DM250" t="e">
        <f>Europe!C443+"$F;@!/.S"</f>
        <v>#VALUE!</v>
      </c>
      <c r="DN250" t="e">
        <f>Europe!D443+"$F;@!/.T"</f>
        <v>#VALUE!</v>
      </c>
      <c r="DO250" t="e">
        <f>Europe!E443+"$F;@!/.U"</f>
        <v>#VALUE!</v>
      </c>
      <c r="DP250" t="e">
        <f>Europe!F443+"$F;@!/.V"</f>
        <v>#VALUE!</v>
      </c>
      <c r="DQ250" t="e">
        <f>Europe!G443+"$F;@!/.W"</f>
        <v>#VALUE!</v>
      </c>
      <c r="DR250" t="e">
        <f>Europe!H443+"$F;@!/.X"</f>
        <v>#VALUE!</v>
      </c>
      <c r="DS250" t="e">
        <f>Europe!A444+"$F;@!/.Y"</f>
        <v>#VALUE!</v>
      </c>
      <c r="DT250" t="e">
        <f>Europe!B444+"$F;@!/.Z"</f>
        <v>#VALUE!</v>
      </c>
      <c r="DU250" t="e">
        <f>Europe!C444+"$F;@!/.["</f>
        <v>#VALUE!</v>
      </c>
      <c r="DV250" t="e">
        <f>Europe!D444+"$F;@!/.\"</f>
        <v>#VALUE!</v>
      </c>
      <c r="DW250" t="e">
        <f>Europe!E444+"$F;@!/.]"</f>
        <v>#VALUE!</v>
      </c>
      <c r="DX250" t="e">
        <f>Europe!F444+"$F;@!/.^"</f>
        <v>#VALUE!</v>
      </c>
      <c r="DY250" t="e">
        <f>Europe!G444+"$F;@!/._"</f>
        <v>#VALUE!</v>
      </c>
      <c r="DZ250" t="e">
        <f>Europe!H444+"$F;@!/.`"</f>
        <v>#VALUE!</v>
      </c>
      <c r="EA250" t="e">
        <f>Europe!A445+"$F;@!/.a"</f>
        <v>#VALUE!</v>
      </c>
      <c r="EB250" t="e">
        <f>Europe!B445+"$F;@!/.b"</f>
        <v>#VALUE!</v>
      </c>
      <c r="EC250" t="e">
        <f>Europe!C445+"$F;@!/.c"</f>
        <v>#VALUE!</v>
      </c>
      <c r="ED250" t="e">
        <f>Europe!D445+"$F;@!/.d"</f>
        <v>#VALUE!</v>
      </c>
      <c r="EE250" t="e">
        <f>Europe!E445+"$F;@!/.e"</f>
        <v>#VALUE!</v>
      </c>
      <c r="EF250" t="e">
        <f>Europe!F445+"$F;@!/.f"</f>
        <v>#VALUE!</v>
      </c>
      <c r="EG250" t="e">
        <f>Europe!G445+"$F;@!/.g"</f>
        <v>#VALUE!</v>
      </c>
      <c r="EH250" t="e">
        <f>Europe!H445+"$F;@!/.h"</f>
        <v>#VALUE!</v>
      </c>
      <c r="EI250" t="e">
        <f>Europe!A446+"$F;@!/.i"</f>
        <v>#VALUE!</v>
      </c>
      <c r="EJ250" t="e">
        <f>Europe!B446+"$F;@!/.j"</f>
        <v>#VALUE!</v>
      </c>
      <c r="EK250" t="e">
        <f>Europe!C446+"$F;@!/.k"</f>
        <v>#VALUE!</v>
      </c>
      <c r="EL250" t="e">
        <f>Europe!D446+"$F;@!/.l"</f>
        <v>#VALUE!</v>
      </c>
      <c r="EM250" t="e">
        <f>Europe!E446+"$F;@!/.m"</f>
        <v>#VALUE!</v>
      </c>
      <c r="EN250" t="e">
        <f>Europe!F446+"$F;@!/.n"</f>
        <v>#VALUE!</v>
      </c>
      <c r="EO250" t="e">
        <f>Europe!G446+"$F;@!/.o"</f>
        <v>#VALUE!</v>
      </c>
      <c r="EP250" t="e">
        <f>Europe!H446+"$F;@!/.p"</f>
        <v>#VALUE!</v>
      </c>
      <c r="EQ250" t="e">
        <f>Europe!A447+"$F;@!/.q"</f>
        <v>#VALUE!</v>
      </c>
      <c r="ER250" t="e">
        <f>Europe!B447+"$F;@!/.r"</f>
        <v>#VALUE!</v>
      </c>
      <c r="ES250" t="e">
        <f>Europe!C447+"$F;@!/.s"</f>
        <v>#VALUE!</v>
      </c>
      <c r="ET250" t="e">
        <f>Europe!D447+"$F;@!/.t"</f>
        <v>#VALUE!</v>
      </c>
      <c r="EU250" t="e">
        <f>Europe!E447+"$F;@!/.u"</f>
        <v>#VALUE!</v>
      </c>
      <c r="EV250" t="e">
        <f>Europe!F447+"$F;@!/.v"</f>
        <v>#VALUE!</v>
      </c>
      <c r="EW250" t="e">
        <f>Europe!G447+"$F;@!/.w"</f>
        <v>#VALUE!</v>
      </c>
      <c r="EX250" t="e">
        <f>Europe!H447+"$F;@!/.x"</f>
        <v>#VALUE!</v>
      </c>
      <c r="EY250" t="e">
        <f>Europe!A448+"$F;@!/.y"</f>
        <v>#VALUE!</v>
      </c>
      <c r="EZ250" t="e">
        <f>Europe!B448+"$F;@!/.z"</f>
        <v>#VALUE!</v>
      </c>
      <c r="FA250" t="e">
        <f>Europe!C448+"$F;@!/.{"</f>
        <v>#VALUE!</v>
      </c>
      <c r="FB250" t="e">
        <f>Europe!D448+"$F;@!/.|"</f>
        <v>#VALUE!</v>
      </c>
      <c r="FC250" t="e">
        <f>Europe!E448+"$F;@!/.}"</f>
        <v>#VALUE!</v>
      </c>
      <c r="FD250" t="e">
        <f>Europe!F448+"$F;@!/.~"</f>
        <v>#VALUE!</v>
      </c>
      <c r="FE250" t="e">
        <f>Europe!G448+"$F;@!//#"</f>
        <v>#VALUE!</v>
      </c>
      <c r="FF250" t="e">
        <f>Europe!H448+"$F;@!//$"</f>
        <v>#VALUE!</v>
      </c>
      <c r="FG250" t="e">
        <f>Europe!A449+"$F;@!//%"</f>
        <v>#VALUE!</v>
      </c>
      <c r="FH250" t="e">
        <f>Europe!B449+"$F;@!//&amp;"</f>
        <v>#VALUE!</v>
      </c>
      <c r="FI250" t="e">
        <f>Europe!C449+"$F;@!//'"</f>
        <v>#VALUE!</v>
      </c>
      <c r="FJ250" t="e">
        <f>Europe!D449+"$F;@!//("</f>
        <v>#VALUE!</v>
      </c>
      <c r="FK250" t="e">
        <f>Europe!E449+"$F;@!//)"</f>
        <v>#VALUE!</v>
      </c>
      <c r="FL250" t="e">
        <f>Europe!F449+"$F;@!//."</f>
        <v>#VALUE!</v>
      </c>
      <c r="FM250" t="e">
        <f>Europe!G449+"$F;@!///"</f>
        <v>#VALUE!</v>
      </c>
      <c r="FN250" t="e">
        <f>Europe!H449+"$F;@!//0"</f>
        <v>#VALUE!</v>
      </c>
      <c r="FO250" t="e">
        <f>Europe!A450+"$F;@!//1"</f>
        <v>#VALUE!</v>
      </c>
      <c r="FP250" t="e">
        <f>Europe!B450+"$F;@!//2"</f>
        <v>#VALUE!</v>
      </c>
      <c r="FQ250" t="e">
        <f>Europe!C450+"$F;@!//3"</f>
        <v>#VALUE!</v>
      </c>
      <c r="FR250" t="e">
        <f>Europe!D450+"$F;@!//4"</f>
        <v>#VALUE!</v>
      </c>
      <c r="FS250" t="e">
        <f>Europe!E450+"$F;@!//5"</f>
        <v>#VALUE!</v>
      </c>
      <c r="FT250" t="e">
        <f>Europe!F450+"$F;@!//6"</f>
        <v>#VALUE!</v>
      </c>
      <c r="FU250" t="e">
        <f>Europe!G450+"$F;@!//7"</f>
        <v>#VALUE!</v>
      </c>
      <c r="FV250" t="e">
        <f>Europe!H450+"$F;@!//8"</f>
        <v>#VALUE!</v>
      </c>
      <c r="FW250" t="e">
        <f>Europe!A451+"$F;@!//9"</f>
        <v>#VALUE!</v>
      </c>
      <c r="FX250" t="e">
        <f>Europe!B451+"$F;@!//:"</f>
        <v>#VALUE!</v>
      </c>
      <c r="FY250" t="e">
        <f>Europe!C451+"$F;@!//;"</f>
        <v>#VALUE!</v>
      </c>
      <c r="FZ250" t="e">
        <f>Europe!D451+"$F;@!//&lt;"</f>
        <v>#VALUE!</v>
      </c>
      <c r="GA250" t="e">
        <f>Europe!E451+"$F;@!//="</f>
        <v>#VALUE!</v>
      </c>
      <c r="GB250" t="e">
        <f>Europe!F451+"$F;@!//&gt;"</f>
        <v>#VALUE!</v>
      </c>
      <c r="GC250" t="e">
        <f>Europe!G451+"$F;@!//?"</f>
        <v>#VALUE!</v>
      </c>
      <c r="GD250" t="e">
        <f>Europe!H451+"$F;@!//@"</f>
        <v>#VALUE!</v>
      </c>
      <c r="GE250" t="e">
        <f>Europe!A452+"$F;@!//A"</f>
        <v>#VALUE!</v>
      </c>
      <c r="GF250" t="e">
        <f>Europe!B452+"$F;@!//B"</f>
        <v>#VALUE!</v>
      </c>
      <c r="GG250" t="e">
        <f>Europe!C452+"$F;@!//C"</f>
        <v>#VALUE!</v>
      </c>
      <c r="GH250" t="e">
        <f>Europe!D452+"$F;@!//D"</f>
        <v>#VALUE!</v>
      </c>
      <c r="GI250" t="e">
        <f>Europe!E452+"$F;@!//E"</f>
        <v>#VALUE!</v>
      </c>
      <c r="GJ250" t="e">
        <f>Europe!F452+"$F;@!//F"</f>
        <v>#VALUE!</v>
      </c>
      <c r="GK250" t="e">
        <f>Europe!G452+"$F;@!//G"</f>
        <v>#VALUE!</v>
      </c>
      <c r="GL250" t="e">
        <f>Europe!H452+"$F;@!//H"</f>
        <v>#VALUE!</v>
      </c>
      <c r="GM250" t="e">
        <f>Europe!A453+"$F;@!//I"</f>
        <v>#VALUE!</v>
      </c>
      <c r="GN250" t="e">
        <f>Europe!B453+"$F;@!//J"</f>
        <v>#VALUE!</v>
      </c>
      <c r="GO250" t="e">
        <f>Europe!C453+"$F;@!//K"</f>
        <v>#VALUE!</v>
      </c>
      <c r="GP250" t="e">
        <f>Europe!D453+"$F;@!//L"</f>
        <v>#VALUE!</v>
      </c>
      <c r="GQ250" t="e">
        <f>Europe!E453+"$F;@!//M"</f>
        <v>#VALUE!</v>
      </c>
      <c r="GR250" t="e">
        <f>Europe!F453+"$F;@!//N"</f>
        <v>#VALUE!</v>
      </c>
      <c r="GS250" t="e">
        <f>Europe!G453+"$F;@!//O"</f>
        <v>#VALUE!</v>
      </c>
      <c r="GT250" t="e">
        <f>Europe!H453+"$F;@!//P"</f>
        <v>#VALUE!</v>
      </c>
      <c r="GU250" t="e">
        <f>Europe!A454+"$F;@!//Q"</f>
        <v>#VALUE!</v>
      </c>
      <c r="GV250" t="e">
        <f>Europe!B454+"$F;@!//R"</f>
        <v>#VALUE!</v>
      </c>
      <c r="GW250" t="e">
        <f>Europe!C454+"$F;@!//S"</f>
        <v>#VALUE!</v>
      </c>
      <c r="GX250" t="e">
        <f>Europe!D454+"$F;@!//T"</f>
        <v>#VALUE!</v>
      </c>
      <c r="GY250" t="e">
        <f>Europe!E454+"$F;@!//U"</f>
        <v>#VALUE!</v>
      </c>
      <c r="GZ250" t="e">
        <f>Europe!F454+"$F;@!//V"</f>
        <v>#VALUE!</v>
      </c>
      <c r="HA250" t="e">
        <f>Europe!G454+"$F;@!//W"</f>
        <v>#VALUE!</v>
      </c>
      <c r="HB250" t="e">
        <f>Europe!H454+"$F;@!//X"</f>
        <v>#VALUE!</v>
      </c>
      <c r="HC250" t="e">
        <f>Europe!A455+"$F;@!//Y"</f>
        <v>#VALUE!</v>
      </c>
      <c r="HD250" t="e">
        <f>Europe!B455+"$F;@!//Z"</f>
        <v>#VALUE!</v>
      </c>
      <c r="HE250" t="e">
        <f>Europe!C455+"$F;@!//["</f>
        <v>#VALUE!</v>
      </c>
      <c r="HF250" t="e">
        <f>Europe!D455+"$F;@!//\"</f>
        <v>#VALUE!</v>
      </c>
      <c r="HG250" t="e">
        <f>Europe!E455+"$F;@!//]"</f>
        <v>#VALUE!</v>
      </c>
      <c r="HH250" t="e">
        <f>Europe!F455+"$F;@!//^"</f>
        <v>#VALUE!</v>
      </c>
      <c r="HI250" t="e">
        <f>Europe!G455+"$F;@!//_"</f>
        <v>#VALUE!</v>
      </c>
      <c r="HJ250" t="e">
        <f>Europe!H455+"$F;@!//`"</f>
        <v>#VALUE!</v>
      </c>
      <c r="HK250" t="e">
        <f>Europe!A456+"$F;@!//a"</f>
        <v>#VALUE!</v>
      </c>
      <c r="HL250" t="e">
        <f>Europe!B456+"$F;@!//b"</f>
        <v>#VALUE!</v>
      </c>
      <c r="HM250" t="e">
        <f>Europe!C456+"$F;@!//c"</f>
        <v>#VALUE!</v>
      </c>
      <c r="HN250" t="e">
        <f>Europe!D456+"$F;@!//d"</f>
        <v>#VALUE!</v>
      </c>
      <c r="HO250" t="e">
        <f>Europe!E456+"$F;@!//e"</f>
        <v>#VALUE!</v>
      </c>
      <c r="HP250" t="e">
        <f>Europe!F456+"$F;@!//f"</f>
        <v>#VALUE!</v>
      </c>
      <c r="HQ250" t="e">
        <f>Europe!G456+"$F;@!//g"</f>
        <v>#VALUE!</v>
      </c>
      <c r="HR250" t="e">
        <f>Europe!H456+"$F;@!//h"</f>
        <v>#VALUE!</v>
      </c>
      <c r="HS250" t="e">
        <f>Europe!A457+"$F;@!//i"</f>
        <v>#VALUE!</v>
      </c>
      <c r="HT250" t="e">
        <f>Europe!B457+"$F;@!//j"</f>
        <v>#VALUE!</v>
      </c>
      <c r="HU250" t="e">
        <f>Europe!C457+"$F;@!//k"</f>
        <v>#VALUE!</v>
      </c>
      <c r="HV250" t="e">
        <f>Europe!D457+"$F;@!//l"</f>
        <v>#VALUE!</v>
      </c>
      <c r="HW250" t="e">
        <f>Europe!E457+"$F;@!//m"</f>
        <v>#VALUE!</v>
      </c>
      <c r="HX250" t="e">
        <f>Europe!F457+"$F;@!//n"</f>
        <v>#VALUE!</v>
      </c>
      <c r="HY250" t="e">
        <f>Europe!G457+"$F;@!//o"</f>
        <v>#VALUE!</v>
      </c>
      <c r="HZ250" t="e">
        <f>Europe!H457+"$F;@!//p"</f>
        <v>#VALUE!</v>
      </c>
      <c r="IA250" t="e">
        <f>Europe!A458+"$F;@!//q"</f>
        <v>#VALUE!</v>
      </c>
      <c r="IB250" t="e">
        <f>Europe!B458+"$F;@!//r"</f>
        <v>#VALUE!</v>
      </c>
      <c r="IC250" t="e">
        <f>Europe!C458+"$F;@!//s"</f>
        <v>#VALUE!</v>
      </c>
      <c r="ID250" t="e">
        <f>Europe!D458+"$F;@!//t"</f>
        <v>#VALUE!</v>
      </c>
      <c r="IE250" t="e">
        <f>Europe!E458+"$F;@!//u"</f>
        <v>#VALUE!</v>
      </c>
      <c r="IF250" t="e">
        <f>Europe!F458+"$F;@!//v"</f>
        <v>#VALUE!</v>
      </c>
      <c r="IG250" t="e">
        <f>Europe!G458+"$F;@!//w"</f>
        <v>#VALUE!</v>
      </c>
      <c r="IH250" t="e">
        <f>Europe!H458+"$F;@!//x"</f>
        <v>#VALUE!</v>
      </c>
      <c r="II250" t="e">
        <f>Europe!A459+"$F;@!//y"</f>
        <v>#VALUE!</v>
      </c>
      <c r="IJ250" t="e">
        <f>Europe!B459+"$F;@!//z"</f>
        <v>#VALUE!</v>
      </c>
      <c r="IK250" t="e">
        <f>Europe!C459+"$F;@!//{"</f>
        <v>#VALUE!</v>
      </c>
      <c r="IL250" t="e">
        <f>Europe!D459+"$F;@!//|"</f>
        <v>#VALUE!</v>
      </c>
      <c r="IM250" t="e">
        <f>Europe!E459+"$F;@!//}"</f>
        <v>#VALUE!</v>
      </c>
      <c r="IN250" t="e">
        <f>Europe!F459+"$F;@!//~"</f>
        <v>#VALUE!</v>
      </c>
      <c r="IO250" t="e">
        <f>Europe!G459+"$F;@!/0#"</f>
        <v>#VALUE!</v>
      </c>
      <c r="IP250" t="e">
        <f>Europe!H459+"$F;@!/0$"</f>
        <v>#VALUE!</v>
      </c>
      <c r="IQ250" t="e">
        <f>Europe!A460+"$F;@!/0%"</f>
        <v>#VALUE!</v>
      </c>
      <c r="IR250" t="e">
        <f>Europe!B460+"$F;@!/0&amp;"</f>
        <v>#VALUE!</v>
      </c>
      <c r="IS250" t="e">
        <f>Europe!C460+"$F;@!/0'"</f>
        <v>#VALUE!</v>
      </c>
      <c r="IT250" t="e">
        <f>Europe!D460+"$F;@!/0("</f>
        <v>#VALUE!</v>
      </c>
      <c r="IU250" t="e">
        <f>Europe!E460+"$F;@!/0)"</f>
        <v>#VALUE!</v>
      </c>
      <c r="IV250" t="e">
        <f>Europe!F460+"$F;@!/0."</f>
        <v>#VALUE!</v>
      </c>
    </row>
    <row r="251" spans="6:256" x14ac:dyDescent="0.35">
      <c r="F251" t="e">
        <f>Europe!G460+"$F;@!/0/"</f>
        <v>#VALUE!</v>
      </c>
      <c r="G251" t="e">
        <f>Europe!H460+"$F;@!/00"</f>
        <v>#VALUE!</v>
      </c>
      <c r="H251" t="e">
        <f>Europe!A461+"$F;@!/01"</f>
        <v>#VALUE!</v>
      </c>
      <c r="I251" t="e">
        <f>Europe!B461+"$F;@!/02"</f>
        <v>#VALUE!</v>
      </c>
      <c r="J251" t="e">
        <f>Europe!C461+"$F;@!/03"</f>
        <v>#VALUE!</v>
      </c>
      <c r="K251" t="e">
        <f>Europe!D461+"$F;@!/04"</f>
        <v>#VALUE!</v>
      </c>
      <c r="L251" t="e">
        <f>Europe!E461+"$F;@!/05"</f>
        <v>#VALUE!</v>
      </c>
      <c r="M251" t="e">
        <f>Europe!F461+"$F;@!/06"</f>
        <v>#VALUE!</v>
      </c>
      <c r="N251" t="e">
        <f>Europe!G461+"$F;@!/07"</f>
        <v>#VALUE!</v>
      </c>
      <c r="O251" t="e">
        <f>Europe!H461+"$F;@!/08"</f>
        <v>#VALUE!</v>
      </c>
      <c r="P251" t="e">
        <f>Europe!A462+"$F;@!/09"</f>
        <v>#VALUE!</v>
      </c>
      <c r="Q251" t="e">
        <f>Europe!B462+"$F;@!/0:"</f>
        <v>#VALUE!</v>
      </c>
      <c r="R251" t="e">
        <f>Europe!C462+"$F;@!/0;"</f>
        <v>#VALUE!</v>
      </c>
      <c r="S251" t="e">
        <f>Europe!D462+"$F;@!/0&lt;"</f>
        <v>#VALUE!</v>
      </c>
      <c r="T251" t="e">
        <f>Europe!E462+"$F;@!/0="</f>
        <v>#VALUE!</v>
      </c>
      <c r="U251" t="e">
        <f>Europe!F462+"$F;@!/0&gt;"</f>
        <v>#VALUE!</v>
      </c>
      <c r="V251" t="e">
        <f>Europe!G462+"$F;@!/0?"</f>
        <v>#VALUE!</v>
      </c>
      <c r="W251" t="e">
        <f>Europe!H462+"$F;@!/0@"</f>
        <v>#VALUE!</v>
      </c>
      <c r="X251" t="e">
        <f>Europe!A463+"$F;@!/0A"</f>
        <v>#VALUE!</v>
      </c>
      <c r="Y251" t="e">
        <f>Europe!B463+"$F;@!/0B"</f>
        <v>#VALUE!</v>
      </c>
      <c r="Z251" t="e">
        <f>Europe!C463+"$F;@!/0C"</f>
        <v>#VALUE!</v>
      </c>
      <c r="AA251" t="e">
        <f>Europe!D463+"$F;@!/0D"</f>
        <v>#VALUE!</v>
      </c>
      <c r="AB251" t="e">
        <f>Europe!E463+"$F;@!/0E"</f>
        <v>#VALUE!</v>
      </c>
      <c r="AC251" t="e">
        <f>Europe!F463+"$F;@!/0F"</f>
        <v>#VALUE!</v>
      </c>
      <c r="AD251" t="e">
        <f>Europe!G463+"$F;@!/0G"</f>
        <v>#VALUE!</v>
      </c>
      <c r="AE251" t="e">
        <f>Europe!H463+"$F;@!/0H"</f>
        <v>#VALUE!</v>
      </c>
      <c r="AF251" t="e">
        <f>Europe!A464+"$F;@!/0I"</f>
        <v>#VALUE!</v>
      </c>
      <c r="AG251" t="e">
        <f>Europe!B464+"$F;@!/0J"</f>
        <v>#VALUE!</v>
      </c>
      <c r="AH251" t="e">
        <f>Europe!C464+"$F;@!/0K"</f>
        <v>#VALUE!</v>
      </c>
      <c r="AI251" t="e">
        <f>Europe!D464+"$F;@!/0L"</f>
        <v>#VALUE!</v>
      </c>
      <c r="AJ251" t="e">
        <f>Europe!E464+"$F;@!/0M"</f>
        <v>#VALUE!</v>
      </c>
      <c r="AK251" t="e">
        <f>Europe!F464+"$F;@!/0N"</f>
        <v>#VALUE!</v>
      </c>
      <c r="AL251" t="e">
        <f>Europe!G464+"$F;@!/0O"</f>
        <v>#VALUE!</v>
      </c>
      <c r="AM251" t="e">
        <f>Europe!H464+"$F;@!/0P"</f>
        <v>#VALUE!</v>
      </c>
      <c r="AN251" t="e">
        <f>Europe!A465+"$F;@!/0Q"</f>
        <v>#VALUE!</v>
      </c>
      <c r="AO251" t="e">
        <f>Europe!B465+"$F;@!/0R"</f>
        <v>#VALUE!</v>
      </c>
      <c r="AP251" t="e">
        <f>Europe!C465+"$F;@!/0S"</f>
        <v>#VALUE!</v>
      </c>
      <c r="AQ251" t="e">
        <f>Europe!D465+"$F;@!/0T"</f>
        <v>#VALUE!</v>
      </c>
      <c r="AR251" t="e">
        <f>Europe!E465+"$F;@!/0U"</f>
        <v>#VALUE!</v>
      </c>
      <c r="AS251" t="e">
        <f>Europe!F465+"$F;@!/0V"</f>
        <v>#VALUE!</v>
      </c>
      <c r="AT251" t="e">
        <f>Europe!G465+"$F;@!/0W"</f>
        <v>#VALUE!</v>
      </c>
      <c r="AU251" t="e">
        <f>Europe!H465+"$F;@!/0X"</f>
        <v>#VALUE!</v>
      </c>
      <c r="AV251" t="e">
        <f>Europe!A466+"$F;@!/0Y"</f>
        <v>#VALUE!</v>
      </c>
      <c r="AW251" t="e">
        <f>Europe!B466+"$F;@!/0Z"</f>
        <v>#VALUE!</v>
      </c>
      <c r="AX251" t="e">
        <f>Europe!C466+"$F;@!/0["</f>
        <v>#VALUE!</v>
      </c>
      <c r="AY251" t="e">
        <f>Europe!D466+"$F;@!/0\"</f>
        <v>#VALUE!</v>
      </c>
      <c r="AZ251" t="e">
        <f>Europe!E466+"$F;@!/0]"</f>
        <v>#VALUE!</v>
      </c>
      <c r="BA251" t="e">
        <f>Europe!F466+"$F;@!/0^"</f>
        <v>#VALUE!</v>
      </c>
      <c r="BB251" t="e">
        <f>Europe!G466+"$F;@!/0_"</f>
        <v>#VALUE!</v>
      </c>
      <c r="BC251" t="e">
        <f>Europe!H466+"$F;@!/0`"</f>
        <v>#VALUE!</v>
      </c>
      <c r="BD251" t="e">
        <f>Europe!A467+"$F;@!/0a"</f>
        <v>#VALUE!</v>
      </c>
      <c r="BE251" t="e">
        <f>Europe!B467+"$F;@!/0b"</f>
        <v>#VALUE!</v>
      </c>
      <c r="BF251" t="e">
        <f>Europe!C467+"$F;@!/0c"</f>
        <v>#VALUE!</v>
      </c>
      <c r="BG251" t="e">
        <f>Europe!D467+"$F;@!/0d"</f>
        <v>#VALUE!</v>
      </c>
      <c r="BH251" t="e">
        <f>Europe!E467+"$F;@!/0e"</f>
        <v>#VALUE!</v>
      </c>
      <c r="BI251" t="e">
        <f>Europe!F467+"$F;@!/0f"</f>
        <v>#VALUE!</v>
      </c>
      <c r="BJ251" t="e">
        <f>Europe!G467+"$F;@!/0g"</f>
        <v>#VALUE!</v>
      </c>
      <c r="BK251" t="e">
        <f>Europe!H467+"$F;@!/0h"</f>
        <v>#VALUE!</v>
      </c>
      <c r="BL251" t="e">
        <f>Europe!A468+"$F;@!/0i"</f>
        <v>#VALUE!</v>
      </c>
      <c r="BM251" t="e">
        <f>Europe!B468+"$F;@!/0j"</f>
        <v>#VALUE!</v>
      </c>
      <c r="BN251" t="e">
        <f>Europe!C468+"$F;@!/0k"</f>
        <v>#VALUE!</v>
      </c>
      <c r="BO251" t="e">
        <f>Europe!D468+"$F;@!/0l"</f>
        <v>#VALUE!</v>
      </c>
      <c r="BP251" t="e">
        <f>Europe!E468+"$F;@!/0m"</f>
        <v>#VALUE!</v>
      </c>
      <c r="BQ251" t="e">
        <f>Europe!F468+"$F;@!/0n"</f>
        <v>#VALUE!</v>
      </c>
      <c r="BR251" t="e">
        <f>Europe!G468+"$F;@!/0o"</f>
        <v>#VALUE!</v>
      </c>
      <c r="BS251" t="e">
        <f>Europe!H468+"$F;@!/0p"</f>
        <v>#VALUE!</v>
      </c>
      <c r="BT251" t="e">
        <f>Europe!A469+"$F;@!/0q"</f>
        <v>#VALUE!</v>
      </c>
      <c r="BU251" t="e">
        <f>Europe!B469+"$F;@!/0r"</f>
        <v>#VALUE!</v>
      </c>
      <c r="BV251" t="e">
        <f>Europe!C469+"$F;@!/0s"</f>
        <v>#VALUE!</v>
      </c>
      <c r="BW251" t="e">
        <f>Europe!D469+"$F;@!/0t"</f>
        <v>#VALUE!</v>
      </c>
      <c r="BX251" t="e">
        <f>Europe!E469+"$F;@!/0u"</f>
        <v>#VALUE!</v>
      </c>
      <c r="BY251" t="e">
        <f>Europe!F469+"$F;@!/0v"</f>
        <v>#VALUE!</v>
      </c>
      <c r="BZ251" t="e">
        <f>Europe!G469+"$F;@!/0w"</f>
        <v>#VALUE!</v>
      </c>
      <c r="CA251" t="e">
        <f>Europe!H469+"$F;@!/0x"</f>
        <v>#VALUE!</v>
      </c>
      <c r="CB251" t="e">
        <f>Europe!A470+"$F;@!/0y"</f>
        <v>#VALUE!</v>
      </c>
      <c r="CC251" t="e">
        <f>Europe!B470+"$F;@!/0z"</f>
        <v>#VALUE!</v>
      </c>
      <c r="CD251" t="e">
        <f>Europe!C470+"$F;@!/0{"</f>
        <v>#VALUE!</v>
      </c>
      <c r="CE251" t="e">
        <f>Europe!D470+"$F;@!/0|"</f>
        <v>#VALUE!</v>
      </c>
      <c r="CF251" t="e">
        <f>Europe!E470+"$F;@!/0}"</f>
        <v>#VALUE!</v>
      </c>
      <c r="CG251" t="e">
        <f>Europe!F470+"$F;@!/0~"</f>
        <v>#VALUE!</v>
      </c>
      <c r="CH251" t="e">
        <f>Europe!G470+"$F;@!/1#"</f>
        <v>#VALUE!</v>
      </c>
      <c r="CI251" t="e">
        <f>Europe!H470+"$F;@!/1$"</f>
        <v>#VALUE!</v>
      </c>
      <c r="CJ251" t="e">
        <f>Europe!A471+"$F;@!/1%"</f>
        <v>#VALUE!</v>
      </c>
      <c r="CK251" t="e">
        <f>Europe!B471+"$F;@!/1&amp;"</f>
        <v>#VALUE!</v>
      </c>
      <c r="CL251" t="e">
        <f>Europe!C471+"$F;@!/1'"</f>
        <v>#VALUE!</v>
      </c>
      <c r="CM251" t="e">
        <f>Europe!D471+"$F;@!/1("</f>
        <v>#VALUE!</v>
      </c>
      <c r="CN251" t="e">
        <f>Europe!E471+"$F;@!/1)"</f>
        <v>#VALUE!</v>
      </c>
      <c r="CO251" t="e">
        <f>Europe!F471+"$F;@!/1."</f>
        <v>#VALUE!</v>
      </c>
      <c r="CP251" t="e">
        <f>Europe!G471+"$F;@!/1/"</f>
        <v>#VALUE!</v>
      </c>
      <c r="CQ251" t="e">
        <f>Europe!H471+"$F;@!/10"</f>
        <v>#VALUE!</v>
      </c>
      <c r="CR251" t="e">
        <f>Europe!A472+"$F;@!/11"</f>
        <v>#VALUE!</v>
      </c>
      <c r="CS251" t="e">
        <f>Europe!B472+"$F;@!/12"</f>
        <v>#VALUE!</v>
      </c>
      <c r="CT251" t="e">
        <f>Europe!C472+"$F;@!/13"</f>
        <v>#VALUE!</v>
      </c>
      <c r="CU251" t="e">
        <f>Europe!D472+"$F;@!/14"</f>
        <v>#VALUE!</v>
      </c>
      <c r="CV251" t="e">
        <f>Europe!E472+"$F;@!/15"</f>
        <v>#VALUE!</v>
      </c>
      <c r="CW251" t="e">
        <f>Europe!F472+"$F;@!/16"</f>
        <v>#VALUE!</v>
      </c>
      <c r="CX251" t="e">
        <f>Europe!G472+"$F;@!/17"</f>
        <v>#VALUE!</v>
      </c>
      <c r="CY251" t="e">
        <f>Europe!H472+"$F;@!/18"</f>
        <v>#VALUE!</v>
      </c>
      <c r="CZ251" t="e">
        <f>Europe!A473+"$F;@!/19"</f>
        <v>#VALUE!</v>
      </c>
      <c r="DA251" t="e">
        <f>Europe!B473+"$F;@!/1:"</f>
        <v>#VALUE!</v>
      </c>
      <c r="DB251" t="e">
        <f>Europe!C473+"$F;@!/1;"</f>
        <v>#VALUE!</v>
      </c>
      <c r="DC251" t="e">
        <f>Europe!D473+"$F;@!/1&lt;"</f>
        <v>#VALUE!</v>
      </c>
      <c r="DD251" t="e">
        <f>Europe!E473+"$F;@!/1="</f>
        <v>#VALUE!</v>
      </c>
      <c r="DE251" t="e">
        <f>Europe!F473+"$F;@!/1&gt;"</f>
        <v>#VALUE!</v>
      </c>
      <c r="DF251" t="e">
        <f>Europe!G473+"$F;@!/1?"</f>
        <v>#VALUE!</v>
      </c>
      <c r="DG251" t="e">
        <f>Europe!H473+"$F;@!/1@"</f>
        <v>#VALUE!</v>
      </c>
      <c r="DH251" t="e">
        <f>Europe!A474+"$F;@!/1A"</f>
        <v>#VALUE!</v>
      </c>
      <c r="DI251" t="e">
        <f>Europe!B474+"$F;@!/1B"</f>
        <v>#VALUE!</v>
      </c>
      <c r="DJ251" t="e">
        <f>Europe!C474+"$F;@!/1C"</f>
        <v>#VALUE!</v>
      </c>
      <c r="DK251" t="e">
        <f>Europe!D474+"$F;@!/1D"</f>
        <v>#VALUE!</v>
      </c>
      <c r="DL251" t="e">
        <f>Europe!E474+"$F;@!/1E"</f>
        <v>#VALUE!</v>
      </c>
      <c r="DM251" t="e">
        <f>Europe!F474+"$F;@!/1F"</f>
        <v>#VALUE!</v>
      </c>
      <c r="DN251" t="e">
        <f>Europe!G474+"$F;@!/1G"</f>
        <v>#VALUE!</v>
      </c>
      <c r="DO251" t="e">
        <f>Europe!H474+"$F;@!/1H"</f>
        <v>#VALUE!</v>
      </c>
      <c r="DP251" t="e">
        <f>Europe!A475+"$F;@!/1I"</f>
        <v>#VALUE!</v>
      </c>
      <c r="DQ251" t="e">
        <f>Europe!B475+"$F;@!/1J"</f>
        <v>#VALUE!</v>
      </c>
      <c r="DR251" t="e">
        <f>Europe!C475+"$F;@!/1K"</f>
        <v>#VALUE!</v>
      </c>
      <c r="DS251" t="e">
        <f>Europe!D475+"$F;@!/1L"</f>
        <v>#VALUE!</v>
      </c>
      <c r="DT251" t="e">
        <f>Europe!E475+"$F;@!/1M"</f>
        <v>#VALUE!</v>
      </c>
      <c r="DU251" t="e">
        <f>Europe!F475+"$F;@!/1N"</f>
        <v>#VALUE!</v>
      </c>
      <c r="DV251" t="e">
        <f>Europe!G475+"$F;@!/1O"</f>
        <v>#VALUE!</v>
      </c>
      <c r="DW251" t="e">
        <f>Europe!H475+"$F;@!/1P"</f>
        <v>#VALUE!</v>
      </c>
      <c r="DX251" t="e">
        <f>Europe!A476+"$F;@!/1Q"</f>
        <v>#VALUE!</v>
      </c>
      <c r="DY251" t="e">
        <f>Europe!B476+"$F;@!/1R"</f>
        <v>#VALUE!</v>
      </c>
      <c r="DZ251" t="e">
        <f>Europe!C476+"$F;@!/1S"</f>
        <v>#VALUE!</v>
      </c>
      <c r="EA251" t="e">
        <f>Europe!D476+"$F;@!/1T"</f>
        <v>#VALUE!</v>
      </c>
      <c r="EB251" t="e">
        <f>Europe!E476+"$F;@!/1U"</f>
        <v>#VALUE!</v>
      </c>
      <c r="EC251" t="e">
        <f>Europe!F476+"$F;@!/1V"</f>
        <v>#VALUE!</v>
      </c>
      <c r="ED251" t="e">
        <f>Europe!G476+"$F;@!/1W"</f>
        <v>#VALUE!</v>
      </c>
      <c r="EE251" t="e">
        <f>Europe!H476+"$F;@!/1X"</f>
        <v>#VALUE!</v>
      </c>
      <c r="EF251" t="e">
        <f>Europe!A477+"$F;@!/1Y"</f>
        <v>#VALUE!</v>
      </c>
      <c r="EG251" t="e">
        <f>Europe!B477+"$F;@!/1Z"</f>
        <v>#VALUE!</v>
      </c>
      <c r="EH251" t="e">
        <f>Europe!C477+"$F;@!/1["</f>
        <v>#VALUE!</v>
      </c>
      <c r="EI251" t="e">
        <f>Europe!D477+"$F;@!/1\"</f>
        <v>#VALUE!</v>
      </c>
      <c r="EJ251" t="e">
        <f>Europe!E477+"$F;@!/1]"</f>
        <v>#VALUE!</v>
      </c>
      <c r="EK251" t="e">
        <f>Europe!F477+"$F;@!/1^"</f>
        <v>#VALUE!</v>
      </c>
      <c r="EL251" t="e">
        <f>Europe!G477+"$F;@!/1_"</f>
        <v>#VALUE!</v>
      </c>
      <c r="EM251" t="e">
        <f>Europe!H477+"$F;@!/1`"</f>
        <v>#VALUE!</v>
      </c>
      <c r="EN251" t="e">
        <f>Europe!A478+"$F;@!/1a"</f>
        <v>#VALUE!</v>
      </c>
      <c r="EO251" t="e">
        <f>Europe!B478+"$F;@!/1b"</f>
        <v>#VALUE!</v>
      </c>
      <c r="EP251" t="e">
        <f>Europe!C478+"$F;@!/1c"</f>
        <v>#VALUE!</v>
      </c>
      <c r="EQ251" t="e">
        <f>Europe!D478+"$F;@!/1d"</f>
        <v>#VALUE!</v>
      </c>
      <c r="ER251" t="e">
        <f>Europe!E478+"$F;@!/1e"</f>
        <v>#VALUE!</v>
      </c>
      <c r="ES251" t="e">
        <f>Europe!F478+"$F;@!/1f"</f>
        <v>#VALUE!</v>
      </c>
      <c r="ET251" t="e">
        <f>Europe!G478+"$F;@!/1g"</f>
        <v>#VALUE!</v>
      </c>
      <c r="EU251" t="e">
        <f>Europe!H478+"$F;@!/1h"</f>
        <v>#VALUE!</v>
      </c>
      <c r="EV251" t="e">
        <f>Europe!A479+"$F;@!/1i"</f>
        <v>#VALUE!</v>
      </c>
      <c r="EW251" t="e">
        <f>Europe!B479+"$F;@!/1j"</f>
        <v>#VALUE!</v>
      </c>
      <c r="EX251" t="e">
        <f>Europe!C479+"$F;@!/1k"</f>
        <v>#VALUE!</v>
      </c>
      <c r="EY251" t="e">
        <f>Europe!D479+"$F;@!/1l"</f>
        <v>#VALUE!</v>
      </c>
      <c r="EZ251" t="e">
        <f>Europe!E479+"$F;@!/1m"</f>
        <v>#VALUE!</v>
      </c>
      <c r="FA251" t="e">
        <f>Europe!F479+"$F;@!/1n"</f>
        <v>#VALUE!</v>
      </c>
      <c r="FB251" t="e">
        <f>Europe!G479+"$F;@!/1o"</f>
        <v>#VALUE!</v>
      </c>
      <c r="FC251" t="e">
        <f>Europe!H479+"$F;@!/1p"</f>
        <v>#VALUE!</v>
      </c>
      <c r="FD251" t="e">
        <f>Europe!A480+"$F;@!/1q"</f>
        <v>#VALUE!</v>
      </c>
      <c r="FE251" t="e">
        <f>Europe!B480+"$F;@!/1r"</f>
        <v>#VALUE!</v>
      </c>
      <c r="FF251" t="e">
        <f>Europe!C480+"$F;@!/1s"</f>
        <v>#VALUE!</v>
      </c>
      <c r="FG251" t="e">
        <f>Europe!D480+"$F;@!/1t"</f>
        <v>#VALUE!</v>
      </c>
      <c r="FH251" t="e">
        <f>Europe!E480+"$F;@!/1u"</f>
        <v>#VALUE!</v>
      </c>
      <c r="FI251" t="e">
        <f>Europe!F480+"$F;@!/1v"</f>
        <v>#VALUE!</v>
      </c>
      <c r="FJ251" t="e">
        <f>Europe!G480+"$F;@!/1w"</f>
        <v>#VALUE!</v>
      </c>
      <c r="FK251" t="e">
        <f>Europe!H480+"$F;@!/1x"</f>
        <v>#VALUE!</v>
      </c>
      <c r="FL251" t="e">
        <f>Europe!A481+"$F;@!/1y"</f>
        <v>#VALUE!</v>
      </c>
      <c r="FM251" t="e">
        <f>Europe!B481+"$F;@!/1z"</f>
        <v>#VALUE!</v>
      </c>
      <c r="FN251" t="e">
        <f>Europe!C481+"$F;@!/1{"</f>
        <v>#VALUE!</v>
      </c>
      <c r="FO251" t="e">
        <f>Europe!D481+"$F;@!/1|"</f>
        <v>#VALUE!</v>
      </c>
      <c r="FP251" t="e">
        <f>Europe!E481+"$F;@!/1}"</f>
        <v>#VALUE!</v>
      </c>
      <c r="FQ251" t="e">
        <f>Europe!F481+"$F;@!/1~"</f>
        <v>#VALUE!</v>
      </c>
      <c r="FR251" t="e">
        <f>Europe!G481+"$F;@!/2#"</f>
        <v>#VALUE!</v>
      </c>
      <c r="FS251" t="e">
        <f>Europe!H481+"$F;@!/2$"</f>
        <v>#VALUE!</v>
      </c>
      <c r="FT251" t="e">
        <f>Europe!A482+"$F;@!/2%"</f>
        <v>#VALUE!</v>
      </c>
      <c r="FU251" t="e">
        <f>Europe!B482+"$F;@!/2&amp;"</f>
        <v>#VALUE!</v>
      </c>
      <c r="FV251" t="e">
        <f>Europe!C482+"$F;@!/2'"</f>
        <v>#VALUE!</v>
      </c>
      <c r="FW251" t="e">
        <f>Europe!D482+"$F;@!/2("</f>
        <v>#VALUE!</v>
      </c>
      <c r="FX251" t="e">
        <f>Europe!E482+"$F;@!/2)"</f>
        <v>#VALUE!</v>
      </c>
      <c r="FY251" t="e">
        <f>Europe!F482+"$F;@!/2."</f>
        <v>#VALUE!</v>
      </c>
      <c r="FZ251" t="e">
        <f>Europe!G482+"$F;@!/2/"</f>
        <v>#VALUE!</v>
      </c>
      <c r="GA251" t="e">
        <f>Europe!H482+"$F;@!/20"</f>
        <v>#VALUE!</v>
      </c>
      <c r="GB251" t="e">
        <f>Europe!A483+"$F;@!/21"</f>
        <v>#VALUE!</v>
      </c>
      <c r="GC251" t="e">
        <f>Europe!B483+"$F;@!/22"</f>
        <v>#VALUE!</v>
      </c>
      <c r="GD251" t="e">
        <f>Europe!C483+"$F;@!/23"</f>
        <v>#VALUE!</v>
      </c>
      <c r="GE251" t="e">
        <f>Europe!D483+"$F;@!/24"</f>
        <v>#VALUE!</v>
      </c>
      <c r="GF251" t="e">
        <f>Europe!E483+"$F;@!/25"</f>
        <v>#VALUE!</v>
      </c>
      <c r="GG251" t="e">
        <f>Europe!F483+"$F;@!/26"</f>
        <v>#VALUE!</v>
      </c>
      <c r="GH251" t="e">
        <f>Europe!G483+"$F;@!/27"</f>
        <v>#VALUE!</v>
      </c>
      <c r="GI251" t="e">
        <f>Europe!H483+"$F;@!/28"</f>
        <v>#VALUE!</v>
      </c>
      <c r="GJ251" t="e">
        <f>Europe!A484+"$F;@!/29"</f>
        <v>#VALUE!</v>
      </c>
      <c r="GK251" t="e">
        <f>Europe!B484+"$F;@!/2:"</f>
        <v>#VALUE!</v>
      </c>
      <c r="GL251" t="e">
        <f>Europe!C484+"$F;@!/2;"</f>
        <v>#VALUE!</v>
      </c>
      <c r="GM251" t="e">
        <f>Europe!D484+"$F;@!/2&lt;"</f>
        <v>#VALUE!</v>
      </c>
      <c r="GN251" t="e">
        <f>Europe!E484+"$F;@!/2="</f>
        <v>#VALUE!</v>
      </c>
      <c r="GO251" t="e">
        <f>Europe!F484+"$F;@!/2&gt;"</f>
        <v>#VALUE!</v>
      </c>
      <c r="GP251" t="e">
        <f>Europe!G484+"$F;@!/2?"</f>
        <v>#VALUE!</v>
      </c>
      <c r="GQ251" t="e">
        <f>Europe!H484+"$F;@!/2@"</f>
        <v>#VALUE!</v>
      </c>
      <c r="GR251" t="e">
        <f>Europe!A485+"$F;@!/2A"</f>
        <v>#VALUE!</v>
      </c>
      <c r="GS251" t="e">
        <f>Europe!B485+"$F;@!/2B"</f>
        <v>#VALUE!</v>
      </c>
      <c r="GT251" t="e">
        <f>Europe!C485+"$F;@!/2C"</f>
        <v>#VALUE!</v>
      </c>
      <c r="GU251" t="e">
        <f>Europe!D485+"$F;@!/2D"</f>
        <v>#VALUE!</v>
      </c>
      <c r="GV251" t="e">
        <f>Europe!E485+"$F;@!/2E"</f>
        <v>#VALUE!</v>
      </c>
      <c r="GW251" t="e">
        <f>Europe!F485+"$F;@!/2F"</f>
        <v>#VALUE!</v>
      </c>
      <c r="GX251" t="e">
        <f>Europe!G485+"$F;@!/2G"</f>
        <v>#VALUE!</v>
      </c>
      <c r="GY251" t="e">
        <f>Europe!H485+"$F;@!/2H"</f>
        <v>#VALUE!</v>
      </c>
      <c r="GZ251" t="e">
        <f>Europe!A486+"$F;@!/2I"</f>
        <v>#VALUE!</v>
      </c>
      <c r="HA251" t="e">
        <f>Europe!B486+"$F;@!/2J"</f>
        <v>#VALUE!</v>
      </c>
      <c r="HB251" t="e">
        <f>Europe!C486+"$F;@!/2K"</f>
        <v>#VALUE!</v>
      </c>
      <c r="HC251" t="e">
        <f>Europe!D486+"$F;@!/2L"</f>
        <v>#VALUE!</v>
      </c>
      <c r="HD251" t="e">
        <f>Europe!E486+"$F;@!/2M"</f>
        <v>#VALUE!</v>
      </c>
      <c r="HE251" t="e">
        <f>Europe!F486+"$F;@!/2N"</f>
        <v>#VALUE!</v>
      </c>
      <c r="HF251" t="e">
        <f>Europe!G486+"$F;@!/2O"</f>
        <v>#VALUE!</v>
      </c>
      <c r="HG251" t="e">
        <f>Europe!H486+"$F;@!/2P"</f>
        <v>#VALUE!</v>
      </c>
      <c r="HH251" t="e">
        <f>Europe!A487+"$F;@!/2Q"</f>
        <v>#VALUE!</v>
      </c>
      <c r="HI251" t="e">
        <f>Europe!B487+"$F;@!/2R"</f>
        <v>#VALUE!</v>
      </c>
      <c r="HJ251" t="e">
        <f>Europe!C487+"$F;@!/2S"</f>
        <v>#VALUE!</v>
      </c>
      <c r="HK251" t="e">
        <f>Europe!D487+"$F;@!/2T"</f>
        <v>#VALUE!</v>
      </c>
      <c r="HL251" t="e">
        <f>Europe!E487+"$F;@!/2U"</f>
        <v>#VALUE!</v>
      </c>
      <c r="HM251" t="e">
        <f>Europe!F487+"$F;@!/2V"</f>
        <v>#VALUE!</v>
      </c>
      <c r="HN251" t="e">
        <f>Europe!G487+"$F;@!/2W"</f>
        <v>#VALUE!</v>
      </c>
      <c r="HO251" t="e">
        <f>Europe!H487+"$F;@!/2X"</f>
        <v>#VALUE!</v>
      </c>
      <c r="HP251" t="e">
        <f>Europe!A488+"$F;@!/2Y"</f>
        <v>#VALUE!</v>
      </c>
      <c r="HQ251" t="e">
        <f>Europe!B488+"$F;@!/2Z"</f>
        <v>#VALUE!</v>
      </c>
      <c r="HR251" t="e">
        <f>Europe!C488+"$F;@!/2["</f>
        <v>#VALUE!</v>
      </c>
      <c r="HS251" t="e">
        <f>Europe!D488+"$F;@!/2\"</f>
        <v>#VALUE!</v>
      </c>
      <c r="HT251" t="e">
        <f>Europe!E488+"$F;@!/2]"</f>
        <v>#VALUE!</v>
      </c>
      <c r="HU251" t="e">
        <f>Europe!F488+"$F;@!/2^"</f>
        <v>#VALUE!</v>
      </c>
      <c r="HV251" t="e">
        <f>Europe!G488+"$F;@!/2_"</f>
        <v>#VALUE!</v>
      </c>
      <c r="HW251" t="e">
        <f>Europe!H488+"$F;@!/2`"</f>
        <v>#VALUE!</v>
      </c>
      <c r="HX251" t="e">
        <f>Europe!A489+"$F;@!/2a"</f>
        <v>#VALUE!</v>
      </c>
      <c r="HY251" t="e">
        <f>Europe!B489+"$F;@!/2b"</f>
        <v>#VALUE!</v>
      </c>
      <c r="HZ251" t="e">
        <f>Europe!C489+"$F;@!/2c"</f>
        <v>#VALUE!</v>
      </c>
      <c r="IA251" t="e">
        <f>Europe!D489+"$F;@!/2d"</f>
        <v>#VALUE!</v>
      </c>
      <c r="IB251" t="e">
        <f>Europe!E489+"$F;@!/2e"</f>
        <v>#VALUE!</v>
      </c>
      <c r="IC251" t="e">
        <f>Europe!F489+"$F;@!/2f"</f>
        <v>#VALUE!</v>
      </c>
      <c r="ID251" t="e">
        <f>Europe!G489+"$F;@!/2g"</f>
        <v>#VALUE!</v>
      </c>
      <c r="IE251" t="e">
        <f>Europe!H489+"$F;@!/2h"</f>
        <v>#VALUE!</v>
      </c>
      <c r="IF251" t="e">
        <f>Europe!A490+"$F;@!/2i"</f>
        <v>#VALUE!</v>
      </c>
      <c r="IG251" t="e">
        <f>Europe!B490+"$F;@!/2j"</f>
        <v>#VALUE!</v>
      </c>
      <c r="IH251" t="e">
        <f>Europe!C490+"$F;@!/2k"</f>
        <v>#VALUE!</v>
      </c>
      <c r="II251" t="e">
        <f>Europe!D490+"$F;@!/2l"</f>
        <v>#VALUE!</v>
      </c>
      <c r="IJ251" t="e">
        <f>Europe!E490+"$F;@!/2m"</f>
        <v>#VALUE!</v>
      </c>
      <c r="IK251" t="e">
        <f>Europe!F490+"$F;@!/2n"</f>
        <v>#VALUE!</v>
      </c>
      <c r="IL251" t="e">
        <f>Europe!G490+"$F;@!/2o"</f>
        <v>#VALUE!</v>
      </c>
      <c r="IM251" t="e">
        <f>Europe!H490+"$F;@!/2p"</f>
        <v>#VALUE!</v>
      </c>
      <c r="IN251" t="e">
        <f>Europe!A491+"$F;@!/2q"</f>
        <v>#VALUE!</v>
      </c>
      <c r="IO251" t="e">
        <f>Europe!B491+"$F;@!/2r"</f>
        <v>#VALUE!</v>
      </c>
      <c r="IP251" t="e">
        <f>Europe!C491+"$F;@!/2s"</f>
        <v>#VALUE!</v>
      </c>
      <c r="IQ251" t="e">
        <f>Europe!D491+"$F;@!/2t"</f>
        <v>#VALUE!</v>
      </c>
      <c r="IR251" t="e">
        <f>Europe!E491+"$F;@!/2u"</f>
        <v>#VALUE!</v>
      </c>
      <c r="IS251" t="e">
        <f>Europe!F491+"$F;@!/2v"</f>
        <v>#VALUE!</v>
      </c>
      <c r="IT251" t="e">
        <f>Europe!G491+"$F;@!/2w"</f>
        <v>#VALUE!</v>
      </c>
      <c r="IU251" t="e">
        <f>Europe!H491+"$F;@!/2x"</f>
        <v>#VALUE!</v>
      </c>
      <c r="IV251" t="e">
        <f>Europe!A492+"$F;@!/2y"</f>
        <v>#VALUE!</v>
      </c>
    </row>
    <row r="252" spans="6:256" x14ac:dyDescent="0.35">
      <c r="F252" t="e">
        <f>Europe!B492+"$F;@!/2z"</f>
        <v>#VALUE!</v>
      </c>
      <c r="G252" t="e">
        <f>Europe!C492+"$F;@!/2{"</f>
        <v>#VALUE!</v>
      </c>
      <c r="H252" t="e">
        <f>Europe!D492+"$F;@!/2|"</f>
        <v>#VALUE!</v>
      </c>
      <c r="I252" t="e">
        <f>Europe!E492+"$F;@!/2}"</f>
        <v>#VALUE!</v>
      </c>
      <c r="J252" t="e">
        <f>Europe!F492+"$F;@!/2~"</f>
        <v>#VALUE!</v>
      </c>
      <c r="K252" t="e">
        <f>Europe!G492+"$F;@!/3#"</f>
        <v>#VALUE!</v>
      </c>
      <c r="L252" t="e">
        <f>Europe!H492+"$F;@!/3$"</f>
        <v>#VALUE!</v>
      </c>
      <c r="M252" t="e">
        <f>Europe!A493+"$F;@!/3%"</f>
        <v>#VALUE!</v>
      </c>
      <c r="N252" t="e">
        <f>Europe!B493+"$F;@!/3&amp;"</f>
        <v>#VALUE!</v>
      </c>
      <c r="O252" t="e">
        <f>Europe!C493+"$F;@!/3'"</f>
        <v>#VALUE!</v>
      </c>
      <c r="P252" t="e">
        <f>Europe!D493+"$F;@!/3("</f>
        <v>#VALUE!</v>
      </c>
      <c r="Q252" t="e">
        <f>Europe!E493+"$F;@!/3)"</f>
        <v>#VALUE!</v>
      </c>
      <c r="R252" t="e">
        <f>Europe!F493+"$F;@!/3."</f>
        <v>#VALUE!</v>
      </c>
      <c r="S252" t="e">
        <f>Europe!G493+"$F;@!/3/"</f>
        <v>#VALUE!</v>
      </c>
      <c r="T252" t="e">
        <f>Europe!H493+"$F;@!/30"</f>
        <v>#VALUE!</v>
      </c>
      <c r="U252" t="e">
        <f>Europe!A494+"$F;@!/31"</f>
        <v>#VALUE!</v>
      </c>
      <c r="V252" t="e">
        <f>Europe!B494+"$F;@!/32"</f>
        <v>#VALUE!</v>
      </c>
      <c r="W252" t="e">
        <f>Europe!C494+"$F;@!/33"</f>
        <v>#VALUE!</v>
      </c>
      <c r="X252" t="e">
        <f>Europe!D494+"$F;@!/34"</f>
        <v>#VALUE!</v>
      </c>
      <c r="Y252" t="e">
        <f>Europe!E494+"$F;@!/35"</f>
        <v>#VALUE!</v>
      </c>
      <c r="Z252" t="e">
        <f>Europe!F494+"$F;@!/36"</f>
        <v>#VALUE!</v>
      </c>
      <c r="AA252" t="e">
        <f>Europe!G494+"$F;@!/37"</f>
        <v>#VALUE!</v>
      </c>
      <c r="AB252" t="e">
        <f>Europe!H494+"$F;@!/38"</f>
        <v>#VALUE!</v>
      </c>
      <c r="AC252" t="e">
        <f>Europe!A495+"$F;@!/39"</f>
        <v>#VALUE!</v>
      </c>
      <c r="AD252" t="e">
        <f>Europe!B495+"$F;@!/3:"</f>
        <v>#VALUE!</v>
      </c>
      <c r="AE252" t="e">
        <f>Europe!C495+"$F;@!/3;"</f>
        <v>#VALUE!</v>
      </c>
      <c r="AF252" t="e">
        <f>Europe!D495+"$F;@!/3&lt;"</f>
        <v>#VALUE!</v>
      </c>
      <c r="AG252" t="e">
        <f>Europe!E495+"$F;@!/3="</f>
        <v>#VALUE!</v>
      </c>
      <c r="AH252" t="e">
        <f>Europe!F495+"$F;@!/3&gt;"</f>
        <v>#VALUE!</v>
      </c>
      <c r="AI252" t="e">
        <f>Europe!G495+"$F;@!/3?"</f>
        <v>#VALUE!</v>
      </c>
      <c r="AJ252" t="e">
        <f>Europe!H495+"$F;@!/3@"</f>
        <v>#VALUE!</v>
      </c>
      <c r="AK252" t="e">
        <f>Europe!A496+"$F;@!/3A"</f>
        <v>#VALUE!</v>
      </c>
      <c r="AL252" t="e">
        <f>Europe!B496+"$F;@!/3B"</f>
        <v>#VALUE!</v>
      </c>
      <c r="AM252" t="e">
        <f>Europe!C496+"$F;@!/3C"</f>
        <v>#VALUE!</v>
      </c>
      <c r="AN252" t="e">
        <f>Europe!D496+"$F;@!/3D"</f>
        <v>#VALUE!</v>
      </c>
      <c r="AO252" t="e">
        <f>Europe!E496+"$F;@!/3E"</f>
        <v>#VALUE!</v>
      </c>
      <c r="AP252" t="e">
        <f>Europe!F496+"$F;@!/3F"</f>
        <v>#VALUE!</v>
      </c>
      <c r="AQ252" t="e">
        <f>Europe!G496+"$F;@!/3G"</f>
        <v>#VALUE!</v>
      </c>
      <c r="AR252" t="e">
        <f>Europe!H496+"$F;@!/3H"</f>
        <v>#VALUE!</v>
      </c>
      <c r="AS252" t="e">
        <f>Europe!A497+"$F;@!/3I"</f>
        <v>#VALUE!</v>
      </c>
      <c r="AT252" t="e">
        <f>Europe!B497+"$F;@!/3J"</f>
        <v>#VALUE!</v>
      </c>
      <c r="AU252" t="e">
        <f>Europe!C497+"$F;@!/3K"</f>
        <v>#VALUE!</v>
      </c>
      <c r="AV252" t="e">
        <f>Europe!D497+"$F;@!/3L"</f>
        <v>#VALUE!</v>
      </c>
      <c r="AW252" t="e">
        <f>Europe!E497+"$F;@!/3M"</f>
        <v>#VALUE!</v>
      </c>
      <c r="AX252" t="e">
        <f>Europe!F497+"$F;@!/3N"</f>
        <v>#VALUE!</v>
      </c>
      <c r="AY252" t="e">
        <f>Europe!G497+"$F;@!/3O"</f>
        <v>#VALUE!</v>
      </c>
      <c r="AZ252" t="e">
        <f>Europe!H497+"$F;@!/3P"</f>
        <v>#VALUE!</v>
      </c>
      <c r="BA252" t="e">
        <f>Europe!A498+"$F;@!/3Q"</f>
        <v>#VALUE!</v>
      </c>
      <c r="BB252" t="e">
        <f>Europe!B498+"$F;@!/3R"</f>
        <v>#VALUE!</v>
      </c>
      <c r="BC252" t="e">
        <f>Europe!C498+"$F;@!/3S"</f>
        <v>#VALUE!</v>
      </c>
      <c r="BD252" t="e">
        <f>Europe!D498+"$F;@!/3T"</f>
        <v>#VALUE!</v>
      </c>
      <c r="BE252" t="e">
        <f>Europe!E498+"$F;@!/3U"</f>
        <v>#VALUE!</v>
      </c>
      <c r="BF252" t="e">
        <f>Europe!F498+"$F;@!/3V"</f>
        <v>#VALUE!</v>
      </c>
      <c r="BG252" t="e">
        <f>Europe!G498+"$F;@!/3W"</f>
        <v>#VALUE!</v>
      </c>
      <c r="BH252" t="e">
        <f>Europe!H498+"$F;@!/3X"</f>
        <v>#VALUE!</v>
      </c>
      <c r="BI252" t="e">
        <f>Europe!A499+"$F;@!/3Y"</f>
        <v>#VALUE!</v>
      </c>
      <c r="BJ252" t="e">
        <f>Europe!B499+"$F;@!/3Z"</f>
        <v>#VALUE!</v>
      </c>
      <c r="BK252" t="e">
        <f>Europe!C499+"$F;@!/3["</f>
        <v>#VALUE!</v>
      </c>
      <c r="BL252" t="e">
        <f>Europe!D499+"$F;@!/3\"</f>
        <v>#VALUE!</v>
      </c>
      <c r="BM252" t="e">
        <f>Europe!E499+"$F;@!/3]"</f>
        <v>#VALUE!</v>
      </c>
      <c r="BN252" t="e">
        <f>Europe!F499+"$F;@!/3^"</f>
        <v>#VALUE!</v>
      </c>
      <c r="BO252" t="e">
        <f>Europe!G499+"$F;@!/3_"</f>
        <v>#VALUE!</v>
      </c>
      <c r="BP252" t="e">
        <f>Europe!H499+"$F;@!/3`"</f>
        <v>#VALUE!</v>
      </c>
      <c r="BQ252" t="e">
        <f>Europe!A500+"$F;@!/3a"</f>
        <v>#VALUE!</v>
      </c>
      <c r="BR252" t="e">
        <f>Europe!B500+"$F;@!/3b"</f>
        <v>#VALUE!</v>
      </c>
      <c r="BS252" t="e">
        <f>Europe!C500+"$F;@!/3c"</f>
        <v>#VALUE!</v>
      </c>
      <c r="BT252" t="e">
        <f>Europe!D500+"$F;@!/3d"</f>
        <v>#VALUE!</v>
      </c>
      <c r="BU252" t="e">
        <f>Europe!E500+"$F;@!/3e"</f>
        <v>#VALUE!</v>
      </c>
      <c r="BV252" t="e">
        <f>Europe!F500+"$F;@!/3f"</f>
        <v>#VALUE!</v>
      </c>
      <c r="BW252" t="e">
        <f>Europe!G500+"$F;@!/3g"</f>
        <v>#VALUE!</v>
      </c>
      <c r="BX252" t="e">
        <f>Europe!H500+"$F;@!/3h"</f>
        <v>#VALUE!</v>
      </c>
      <c r="BY252" t="e">
        <f>Europe!A501+"$F;@!/3i"</f>
        <v>#VALUE!</v>
      </c>
      <c r="BZ252" t="e">
        <f>Europe!B501+"$F;@!/3j"</f>
        <v>#VALUE!</v>
      </c>
      <c r="CA252" t="e">
        <f>Europe!C501+"$F;@!/3k"</f>
        <v>#VALUE!</v>
      </c>
      <c r="CB252" t="e">
        <f>Europe!D501+"$F;@!/3l"</f>
        <v>#VALUE!</v>
      </c>
      <c r="CC252" t="e">
        <f>Europe!E501+"$F;@!/3m"</f>
        <v>#VALUE!</v>
      </c>
      <c r="CD252" t="e">
        <f>Europe!F501+"$F;@!/3n"</f>
        <v>#VALUE!</v>
      </c>
      <c r="CE252" t="e">
        <f>Europe!G501+"$F;@!/3o"</f>
        <v>#VALUE!</v>
      </c>
      <c r="CF252" t="e">
        <f>Europe!H501+"$F;@!/3p"</f>
        <v>#VALUE!</v>
      </c>
      <c r="CG252" t="e">
        <f>Europe!A502+"$F;@!/3q"</f>
        <v>#VALUE!</v>
      </c>
      <c r="CH252" t="e">
        <f>Europe!B502+"$F;@!/3r"</f>
        <v>#VALUE!</v>
      </c>
      <c r="CI252" t="e">
        <f>Europe!C502+"$F;@!/3s"</f>
        <v>#VALUE!</v>
      </c>
      <c r="CJ252" t="e">
        <f>Europe!D502+"$F;@!/3t"</f>
        <v>#VALUE!</v>
      </c>
      <c r="CK252" t="e">
        <f>Europe!E502+"$F;@!/3u"</f>
        <v>#VALUE!</v>
      </c>
      <c r="CL252" t="e">
        <f>Europe!F502+"$F;@!/3v"</f>
        <v>#VALUE!</v>
      </c>
      <c r="CM252" t="e">
        <f>Europe!G502+"$F;@!/3w"</f>
        <v>#VALUE!</v>
      </c>
      <c r="CN252" t="e">
        <f>Europe!H502+"$F;@!/3x"</f>
        <v>#VALUE!</v>
      </c>
      <c r="CO252" t="e">
        <f>Europe!A503+"$F;@!/3y"</f>
        <v>#VALUE!</v>
      </c>
      <c r="CP252" t="e">
        <f>Europe!B503+"$F;@!/3z"</f>
        <v>#VALUE!</v>
      </c>
      <c r="CQ252" t="e">
        <f>Europe!C503+"$F;@!/3{"</f>
        <v>#VALUE!</v>
      </c>
      <c r="CR252" t="e">
        <f>Europe!D503+"$F;@!/3|"</f>
        <v>#VALUE!</v>
      </c>
      <c r="CS252" t="e">
        <f>Europe!E503+"$F;@!/3}"</f>
        <v>#VALUE!</v>
      </c>
      <c r="CT252" t="e">
        <f>Europe!F503+"$F;@!/3~"</f>
        <v>#VALUE!</v>
      </c>
      <c r="CU252" t="e">
        <f>Europe!G503+"$F;@!/4#"</f>
        <v>#VALUE!</v>
      </c>
      <c r="CV252" t="e">
        <f>Europe!H503+"$F;@!/4$"</f>
        <v>#VALUE!</v>
      </c>
      <c r="CW252" t="e">
        <f>Europe!A504+"$F;@!/4%"</f>
        <v>#VALUE!</v>
      </c>
      <c r="CX252" t="e">
        <f>Europe!B504+"$F;@!/4&amp;"</f>
        <v>#VALUE!</v>
      </c>
      <c r="CY252" t="e">
        <f>Europe!C504+"$F;@!/4'"</f>
        <v>#VALUE!</v>
      </c>
      <c r="CZ252" t="e">
        <f>Europe!D504+"$F;@!/4("</f>
        <v>#VALUE!</v>
      </c>
      <c r="DA252" t="e">
        <f>Europe!E504+"$F;@!/4)"</f>
        <v>#VALUE!</v>
      </c>
      <c r="DB252" t="e">
        <f>Europe!F504+"$F;@!/4."</f>
        <v>#VALUE!</v>
      </c>
      <c r="DC252" t="e">
        <f>Europe!G504+"$F;@!/4/"</f>
        <v>#VALUE!</v>
      </c>
      <c r="DD252" t="e">
        <f>Europe!H504+"$F;@!/40"</f>
        <v>#VALUE!</v>
      </c>
      <c r="DE252" t="e">
        <f>Europe!A505+"$F;@!/41"</f>
        <v>#VALUE!</v>
      </c>
      <c r="DF252" t="e">
        <f>Europe!B505+"$F;@!/42"</f>
        <v>#VALUE!</v>
      </c>
      <c r="DG252" t="e">
        <f>Europe!C505+"$F;@!/43"</f>
        <v>#VALUE!</v>
      </c>
      <c r="DH252" t="e">
        <f>Europe!D505+"$F;@!/44"</f>
        <v>#VALUE!</v>
      </c>
      <c r="DI252" t="e">
        <f>Europe!E505+"$F;@!/45"</f>
        <v>#VALUE!</v>
      </c>
      <c r="DJ252" t="e">
        <f>Europe!F505+"$F;@!/46"</f>
        <v>#VALUE!</v>
      </c>
      <c r="DK252" t="e">
        <f>Europe!G505+"$F;@!/47"</f>
        <v>#VALUE!</v>
      </c>
      <c r="DL252" t="e">
        <f>Europe!H505+"$F;@!/48"</f>
        <v>#VALUE!</v>
      </c>
      <c r="DM252" t="e">
        <f>Europe!A506+"$F;@!/49"</f>
        <v>#VALUE!</v>
      </c>
      <c r="DN252" t="e">
        <f>Europe!B506+"$F;@!/4:"</f>
        <v>#VALUE!</v>
      </c>
      <c r="DO252" t="e">
        <f>Europe!C506+"$F;@!/4;"</f>
        <v>#VALUE!</v>
      </c>
      <c r="DP252" t="e">
        <f>Europe!D506+"$F;@!/4&lt;"</f>
        <v>#VALUE!</v>
      </c>
      <c r="DQ252" t="e">
        <f>Europe!E506+"$F;@!/4="</f>
        <v>#VALUE!</v>
      </c>
      <c r="DR252" t="e">
        <f>Europe!F506+"$F;@!/4&gt;"</f>
        <v>#VALUE!</v>
      </c>
      <c r="DS252" t="e">
        <f>Europe!G506+"$F;@!/4?"</f>
        <v>#VALUE!</v>
      </c>
      <c r="DT252" t="e">
        <f>Europe!H506+"$F;@!/4@"</f>
        <v>#VALUE!</v>
      </c>
      <c r="DU252" t="e">
        <f>Europe!A507+"$F;@!/4A"</f>
        <v>#VALUE!</v>
      </c>
      <c r="DV252" t="e">
        <f>Europe!B507+"$F;@!/4B"</f>
        <v>#VALUE!</v>
      </c>
      <c r="DW252" t="e">
        <f>Europe!C507+"$F;@!/4C"</f>
        <v>#VALUE!</v>
      </c>
      <c r="DX252" t="e">
        <f>Europe!D507+"$F;@!/4D"</f>
        <v>#VALUE!</v>
      </c>
      <c r="DY252" t="e">
        <f>Europe!E507+"$F;@!/4E"</f>
        <v>#VALUE!</v>
      </c>
      <c r="DZ252" t="e">
        <f>Europe!F507+"$F;@!/4F"</f>
        <v>#VALUE!</v>
      </c>
      <c r="EA252" t="e">
        <f>Europe!G507+"$F;@!/4G"</f>
        <v>#VALUE!</v>
      </c>
      <c r="EB252" t="e">
        <f>Europe!H507+"$F;@!/4H"</f>
        <v>#VALUE!</v>
      </c>
      <c r="EC252" t="e">
        <f>Europe!A508+"$F;@!/4I"</f>
        <v>#VALUE!</v>
      </c>
      <c r="ED252" t="e">
        <f>Europe!B508+"$F;@!/4J"</f>
        <v>#VALUE!</v>
      </c>
      <c r="EE252" t="e">
        <f>Europe!C508+"$F;@!/4K"</f>
        <v>#VALUE!</v>
      </c>
      <c r="EF252" t="e">
        <f>Europe!D508+"$F;@!/4L"</f>
        <v>#VALUE!</v>
      </c>
      <c r="EG252" t="e">
        <f>Europe!E508+"$F;@!/4M"</f>
        <v>#VALUE!</v>
      </c>
      <c r="EH252" t="e">
        <f>Europe!F508+"$F;@!/4N"</f>
        <v>#VALUE!</v>
      </c>
      <c r="EI252" t="e">
        <f>Europe!G508+"$F;@!/4O"</f>
        <v>#VALUE!</v>
      </c>
      <c r="EJ252" t="e">
        <f>Europe!H508+"$F;@!/4P"</f>
        <v>#VALUE!</v>
      </c>
      <c r="EK252" t="e">
        <f>Europe!A509+"$F;@!/4Q"</f>
        <v>#VALUE!</v>
      </c>
      <c r="EL252" t="e">
        <f>Europe!B509+"$F;@!/4R"</f>
        <v>#VALUE!</v>
      </c>
      <c r="EM252" t="e">
        <f>Europe!C509+"$F;@!/4S"</f>
        <v>#VALUE!</v>
      </c>
      <c r="EN252" t="e">
        <f>Europe!D509+"$F;@!/4T"</f>
        <v>#VALUE!</v>
      </c>
      <c r="EO252" t="e">
        <f>Europe!E509+"$F;@!/4U"</f>
        <v>#VALUE!</v>
      </c>
      <c r="EP252" t="e">
        <f>Europe!F509+"$F;@!/4V"</f>
        <v>#VALUE!</v>
      </c>
      <c r="EQ252" t="e">
        <f>Europe!G509+"$F;@!/4W"</f>
        <v>#VALUE!</v>
      </c>
      <c r="ER252" t="e">
        <f>Europe!H509+"$F;@!/4X"</f>
        <v>#VALUE!</v>
      </c>
      <c r="ES252" t="e">
        <f>Europe!A510+"$F;@!/4Y"</f>
        <v>#VALUE!</v>
      </c>
      <c r="ET252" t="e">
        <f>Europe!B510+"$F;@!/4Z"</f>
        <v>#VALUE!</v>
      </c>
      <c r="EU252" t="e">
        <f>Europe!C510+"$F;@!/4["</f>
        <v>#VALUE!</v>
      </c>
      <c r="EV252" t="e">
        <f>Europe!D510+"$F;@!/4\"</f>
        <v>#VALUE!</v>
      </c>
      <c r="EW252" t="e">
        <f>Europe!E510+"$F;@!/4]"</f>
        <v>#VALUE!</v>
      </c>
      <c r="EX252" t="e">
        <f>Europe!F510+"$F;@!/4^"</f>
        <v>#VALUE!</v>
      </c>
      <c r="EY252" t="e">
        <f>Europe!G510+"$F;@!/4_"</f>
        <v>#VALUE!</v>
      </c>
      <c r="EZ252" t="e">
        <f>Europe!H510+"$F;@!/4`"</f>
        <v>#VALUE!</v>
      </c>
      <c r="FA252" t="e">
        <f>Europe!A511+"$F;@!/4a"</f>
        <v>#VALUE!</v>
      </c>
      <c r="FB252" t="e">
        <f>Europe!B511+"$F;@!/4b"</f>
        <v>#VALUE!</v>
      </c>
      <c r="FC252" t="e">
        <f>Europe!C511+"$F;@!/4c"</f>
        <v>#VALUE!</v>
      </c>
      <c r="FD252" t="e">
        <f>Europe!D511+"$F;@!/4d"</f>
        <v>#VALUE!</v>
      </c>
      <c r="FE252" t="e">
        <f>Europe!E511+"$F;@!/4e"</f>
        <v>#VALUE!</v>
      </c>
      <c r="FF252" t="e">
        <f>Europe!F511+"$F;@!/4f"</f>
        <v>#VALUE!</v>
      </c>
      <c r="FG252" t="e">
        <f>Europe!G511+"$F;@!/4g"</f>
        <v>#VALUE!</v>
      </c>
      <c r="FH252" t="e">
        <f>Europe!H511+"$F;@!/4h"</f>
        <v>#VALUE!</v>
      </c>
      <c r="FI252" t="e">
        <f>Europe!A512+"$F;@!/4i"</f>
        <v>#VALUE!</v>
      </c>
      <c r="FJ252" t="e">
        <f>Europe!B512+"$F;@!/4j"</f>
        <v>#VALUE!</v>
      </c>
      <c r="FK252" t="e">
        <f>Europe!C512+"$F;@!/4k"</f>
        <v>#VALUE!</v>
      </c>
      <c r="FL252" t="e">
        <f>Europe!D512+"$F;@!/4l"</f>
        <v>#VALUE!</v>
      </c>
      <c r="FM252" t="e">
        <f>Europe!E512+"$F;@!/4m"</f>
        <v>#VALUE!</v>
      </c>
      <c r="FN252" t="e">
        <f>Europe!F512+"$F;@!/4n"</f>
        <v>#VALUE!</v>
      </c>
      <c r="FO252" t="e">
        <f>Europe!G512+"$F;@!/4o"</f>
        <v>#VALUE!</v>
      </c>
      <c r="FP252" t="e">
        <f>Europe!H512+"$F;@!/4p"</f>
        <v>#VALUE!</v>
      </c>
      <c r="FQ252" t="e">
        <f>Europe!A513+"$F;@!/4q"</f>
        <v>#VALUE!</v>
      </c>
      <c r="FR252" t="e">
        <f>Europe!B513+"$F;@!/4r"</f>
        <v>#VALUE!</v>
      </c>
      <c r="FS252" t="e">
        <f>Europe!C513+"$F;@!/4s"</f>
        <v>#VALUE!</v>
      </c>
      <c r="FT252" t="e">
        <f>Europe!D513+"$F;@!/4t"</f>
        <v>#VALUE!</v>
      </c>
      <c r="FU252" t="e">
        <f>Europe!E513+"$F;@!/4u"</f>
        <v>#VALUE!</v>
      </c>
      <c r="FV252" t="e">
        <f>Europe!F513+"$F;@!/4v"</f>
        <v>#VALUE!</v>
      </c>
      <c r="FW252" t="e">
        <f>Europe!G513+"$F;@!/4w"</f>
        <v>#VALUE!</v>
      </c>
      <c r="FX252" t="e">
        <f>Europe!H513+"$F;@!/4x"</f>
        <v>#VALUE!</v>
      </c>
      <c r="FY252" t="e">
        <f>Europe!A514+"$F;@!/4y"</f>
        <v>#VALUE!</v>
      </c>
      <c r="FZ252" t="e">
        <f>Europe!B514+"$F;@!/4z"</f>
        <v>#VALUE!</v>
      </c>
      <c r="GA252" t="e">
        <f>Europe!C514+"$F;@!/4{"</f>
        <v>#VALUE!</v>
      </c>
      <c r="GB252" t="e">
        <f>Europe!D514+"$F;@!/4|"</f>
        <v>#VALUE!</v>
      </c>
      <c r="GC252" t="e">
        <f>Europe!E514+"$F;@!/4}"</f>
        <v>#VALUE!</v>
      </c>
      <c r="GD252" t="e">
        <f>Europe!F514+"$F;@!/4~"</f>
        <v>#VALUE!</v>
      </c>
      <c r="GE252" t="e">
        <f>Europe!G514+"$F;@!/5#"</f>
        <v>#VALUE!</v>
      </c>
      <c r="GF252" t="e">
        <f>Europe!H514+"$F;@!/5$"</f>
        <v>#VALUE!</v>
      </c>
      <c r="GG252" t="e">
        <f>Europe!A515+"$F;@!/5%"</f>
        <v>#VALUE!</v>
      </c>
      <c r="GH252" t="e">
        <f>Europe!B515+"$F;@!/5&amp;"</f>
        <v>#VALUE!</v>
      </c>
      <c r="GI252" t="e">
        <f>Europe!C515+"$F;@!/5'"</f>
        <v>#VALUE!</v>
      </c>
      <c r="GJ252" t="e">
        <f>Europe!D515+"$F;@!/5("</f>
        <v>#VALUE!</v>
      </c>
      <c r="GK252" t="e">
        <f>Europe!E515+"$F;@!/5)"</f>
        <v>#VALUE!</v>
      </c>
      <c r="GL252" t="e">
        <f>Europe!F515+"$F;@!/5."</f>
        <v>#VALUE!</v>
      </c>
      <c r="GM252" t="e">
        <f>Europe!G515+"$F;@!/5/"</f>
        <v>#VALUE!</v>
      </c>
      <c r="GN252" t="e">
        <f>Europe!H515+"$F;@!/50"</f>
        <v>#VALUE!</v>
      </c>
      <c r="GO252" t="e">
        <f>Europe!A516+"$F;@!/51"</f>
        <v>#VALUE!</v>
      </c>
      <c r="GP252" t="e">
        <f>Europe!B516+"$F;@!/52"</f>
        <v>#VALUE!</v>
      </c>
      <c r="GQ252" t="e">
        <f>Europe!C516+"$F;@!/53"</f>
        <v>#VALUE!</v>
      </c>
      <c r="GR252" t="e">
        <f>Europe!D516+"$F;@!/54"</f>
        <v>#VALUE!</v>
      </c>
      <c r="GS252" t="e">
        <f>Europe!E516+"$F;@!/55"</f>
        <v>#VALUE!</v>
      </c>
      <c r="GT252" t="e">
        <f>Europe!F516+"$F;@!/56"</f>
        <v>#VALUE!</v>
      </c>
      <c r="GU252" t="e">
        <f>Europe!G516+"$F;@!/57"</f>
        <v>#VALUE!</v>
      </c>
      <c r="GV252" t="e">
        <f>Europe!H516+"$F;@!/58"</f>
        <v>#VALUE!</v>
      </c>
      <c r="GW252" t="e">
        <f>Europe!A517+"$F;@!/59"</f>
        <v>#VALUE!</v>
      </c>
      <c r="GX252" t="e">
        <f>Europe!B517+"$F;@!/5:"</f>
        <v>#VALUE!</v>
      </c>
      <c r="GY252" t="e">
        <f>Europe!C517+"$F;@!/5;"</f>
        <v>#VALUE!</v>
      </c>
      <c r="GZ252" t="e">
        <f>Europe!D517+"$F;@!/5&lt;"</f>
        <v>#VALUE!</v>
      </c>
      <c r="HA252" t="e">
        <f>Europe!E517+"$F;@!/5="</f>
        <v>#VALUE!</v>
      </c>
      <c r="HB252" t="e">
        <f>Europe!F517+"$F;@!/5&gt;"</f>
        <v>#VALUE!</v>
      </c>
      <c r="HC252" t="e">
        <f>Europe!G517+"$F;@!/5?"</f>
        <v>#VALUE!</v>
      </c>
      <c r="HD252" t="e">
        <f>Europe!H517+"$F;@!/5@"</f>
        <v>#VALUE!</v>
      </c>
      <c r="HE252" t="e">
        <f>Europe!A518+"$F;@!/5A"</f>
        <v>#VALUE!</v>
      </c>
      <c r="HF252" t="e">
        <f>Europe!B518+"$F;@!/5B"</f>
        <v>#VALUE!</v>
      </c>
      <c r="HG252" t="e">
        <f>Europe!C518+"$F;@!/5C"</f>
        <v>#VALUE!</v>
      </c>
      <c r="HH252" t="e">
        <f>Europe!D518+"$F;@!/5D"</f>
        <v>#VALUE!</v>
      </c>
      <c r="HI252" t="e">
        <f>Europe!E518+"$F;@!/5E"</f>
        <v>#VALUE!</v>
      </c>
      <c r="HJ252" t="e">
        <f>Europe!F518+"$F;@!/5F"</f>
        <v>#VALUE!</v>
      </c>
      <c r="HK252" t="e">
        <f>Europe!G518+"$F;@!/5G"</f>
        <v>#VALUE!</v>
      </c>
      <c r="HL252" t="e">
        <f>Europe!H518+"$F;@!/5H"</f>
        <v>#VALUE!</v>
      </c>
      <c r="HM252" t="e">
        <f>Europe!A519+"$F;@!/5I"</f>
        <v>#VALUE!</v>
      </c>
      <c r="HN252" t="e">
        <f>Europe!B519+"$F;@!/5J"</f>
        <v>#VALUE!</v>
      </c>
      <c r="HO252" t="e">
        <f>Europe!C519+"$F;@!/5K"</f>
        <v>#VALUE!</v>
      </c>
      <c r="HP252" t="e">
        <f>Europe!D519+"$F;@!/5L"</f>
        <v>#VALUE!</v>
      </c>
      <c r="HQ252" t="e">
        <f>Europe!E519+"$F;@!/5M"</f>
        <v>#VALUE!</v>
      </c>
      <c r="HR252" t="e">
        <f>Europe!F519+"$F;@!/5N"</f>
        <v>#VALUE!</v>
      </c>
      <c r="HS252" t="e">
        <f>Europe!G519+"$F;@!/5O"</f>
        <v>#VALUE!</v>
      </c>
      <c r="HT252" t="e">
        <f>Europe!H519+"$F;@!/5P"</f>
        <v>#VALUE!</v>
      </c>
      <c r="HU252" t="e">
        <f>Europe!A520+"$F;@!/5Q"</f>
        <v>#VALUE!</v>
      </c>
      <c r="HV252" t="e">
        <f>Europe!B520+"$F;@!/5R"</f>
        <v>#VALUE!</v>
      </c>
      <c r="HW252" t="e">
        <f>Europe!C520+"$F;@!/5S"</f>
        <v>#VALUE!</v>
      </c>
      <c r="HX252" t="e">
        <f>Europe!D520+"$F;@!/5T"</f>
        <v>#VALUE!</v>
      </c>
      <c r="HY252" t="e">
        <f>Europe!E520+"$F;@!/5U"</f>
        <v>#VALUE!</v>
      </c>
      <c r="HZ252" t="e">
        <f>Europe!F520+"$F;@!/5V"</f>
        <v>#VALUE!</v>
      </c>
      <c r="IA252" t="e">
        <f>Europe!G520+"$F;@!/5W"</f>
        <v>#VALUE!</v>
      </c>
      <c r="IB252" t="e">
        <f>Europe!H520+"$F;@!/5X"</f>
        <v>#VALUE!</v>
      </c>
      <c r="IC252" t="e">
        <f>Europe!A521+"$F;@!/5Y"</f>
        <v>#VALUE!</v>
      </c>
      <c r="ID252" t="e">
        <f>Europe!B521+"$F;@!/5Z"</f>
        <v>#VALUE!</v>
      </c>
      <c r="IE252" t="e">
        <f>Europe!C521+"$F;@!/5["</f>
        <v>#VALUE!</v>
      </c>
      <c r="IF252" t="e">
        <f>Europe!D521+"$F;@!/5\"</f>
        <v>#VALUE!</v>
      </c>
      <c r="IG252" t="e">
        <f>Europe!E521+"$F;@!/5]"</f>
        <v>#VALUE!</v>
      </c>
      <c r="IH252" t="e">
        <f>Europe!F521+"$F;@!/5^"</f>
        <v>#VALUE!</v>
      </c>
      <c r="II252" t="e">
        <f>Europe!G521+"$F;@!/5_"</f>
        <v>#VALUE!</v>
      </c>
      <c r="IJ252" t="e">
        <f>Europe!H521+"$F;@!/5`"</f>
        <v>#VALUE!</v>
      </c>
      <c r="IK252" t="e">
        <f>Europe!A522+"$F;@!/5a"</f>
        <v>#VALUE!</v>
      </c>
      <c r="IL252" t="e">
        <f>Europe!B522+"$F;@!/5b"</f>
        <v>#VALUE!</v>
      </c>
      <c r="IM252" t="e">
        <f>Europe!C522+"$F;@!/5c"</f>
        <v>#VALUE!</v>
      </c>
      <c r="IN252" t="e">
        <f>Europe!D522+"$F;@!/5d"</f>
        <v>#VALUE!</v>
      </c>
      <c r="IO252" t="e">
        <f>Europe!E522+"$F;@!/5e"</f>
        <v>#VALUE!</v>
      </c>
      <c r="IP252" t="e">
        <f>Europe!F522+"$F;@!/5f"</f>
        <v>#VALUE!</v>
      </c>
      <c r="IQ252" t="e">
        <f>Europe!G522+"$F;@!/5g"</f>
        <v>#VALUE!</v>
      </c>
      <c r="IR252" t="e">
        <f>Europe!H522+"$F;@!/5h"</f>
        <v>#VALUE!</v>
      </c>
      <c r="IS252" t="e">
        <f>Europe!A523+"$F;@!/5i"</f>
        <v>#VALUE!</v>
      </c>
      <c r="IT252" t="e">
        <f>Europe!B523+"$F;@!/5j"</f>
        <v>#VALUE!</v>
      </c>
      <c r="IU252" t="e">
        <f>Europe!C523+"$F;@!/5k"</f>
        <v>#VALUE!</v>
      </c>
      <c r="IV252" t="e">
        <f>Europe!D523+"$F;@!/5l"</f>
        <v>#VALUE!</v>
      </c>
    </row>
    <row r="253" spans="6:256" x14ac:dyDescent="0.35">
      <c r="F253" t="e">
        <f>Europe!E523+"$F;@!/5m"</f>
        <v>#VALUE!</v>
      </c>
      <c r="G253" t="e">
        <f>Europe!F523+"$F;@!/5n"</f>
        <v>#VALUE!</v>
      </c>
      <c r="H253" t="e">
        <f>Europe!G523+"$F;@!/5o"</f>
        <v>#VALUE!</v>
      </c>
      <c r="I253" t="e">
        <f>Europe!H523+"$F;@!/5p"</f>
        <v>#VALUE!</v>
      </c>
      <c r="J253" t="e">
        <f>Europe!A524+"$F;@!/5q"</f>
        <v>#VALUE!</v>
      </c>
      <c r="K253" t="e">
        <f>Europe!B524+"$F;@!/5r"</f>
        <v>#VALUE!</v>
      </c>
      <c r="L253" t="e">
        <f>Europe!C524+"$F;@!/5s"</f>
        <v>#VALUE!</v>
      </c>
      <c r="M253" t="e">
        <f>Europe!D524+"$F;@!/5t"</f>
        <v>#VALUE!</v>
      </c>
      <c r="N253" t="e">
        <f>Europe!E524+"$F;@!/5u"</f>
        <v>#VALUE!</v>
      </c>
      <c r="O253" t="e">
        <f>Europe!F524+"$F;@!/5v"</f>
        <v>#VALUE!</v>
      </c>
      <c r="P253" t="e">
        <f>Europe!G524+"$F;@!/5w"</f>
        <v>#VALUE!</v>
      </c>
      <c r="Q253" t="e">
        <f>Europe!H524+"$F;@!/5x"</f>
        <v>#VALUE!</v>
      </c>
      <c r="R253" t="e">
        <f>Europe!A525+"$F;@!/5y"</f>
        <v>#VALUE!</v>
      </c>
      <c r="S253" t="e">
        <f>Europe!B525+"$F;@!/5z"</f>
        <v>#VALUE!</v>
      </c>
      <c r="T253" t="e">
        <f>Europe!C525+"$F;@!/5{"</f>
        <v>#VALUE!</v>
      </c>
      <c r="U253" t="e">
        <f>Europe!D525+"$F;@!/5|"</f>
        <v>#VALUE!</v>
      </c>
      <c r="V253" t="e">
        <f>Europe!E525+"$F;@!/5}"</f>
        <v>#VALUE!</v>
      </c>
      <c r="W253" t="e">
        <f>Europe!F525+"$F;@!/5~"</f>
        <v>#VALUE!</v>
      </c>
      <c r="X253" t="e">
        <f>Europe!G525+"$F;@!/6#"</f>
        <v>#VALUE!</v>
      </c>
      <c r="Y253" t="e">
        <f>Europe!H525+"$F;@!/6$"</f>
        <v>#VALUE!</v>
      </c>
      <c r="Z253" t="e">
        <f>Europe!A526+"$F;@!/6%"</f>
        <v>#VALUE!</v>
      </c>
      <c r="AA253" t="e">
        <f>Europe!B526+"$F;@!/6&amp;"</f>
        <v>#VALUE!</v>
      </c>
      <c r="AB253" t="e">
        <f>Europe!C526+"$F;@!/6'"</f>
        <v>#VALUE!</v>
      </c>
      <c r="AC253" t="e">
        <f>Europe!D526+"$F;@!/6("</f>
        <v>#VALUE!</v>
      </c>
      <c r="AD253" t="e">
        <f>Europe!E526+"$F;@!/6)"</f>
        <v>#VALUE!</v>
      </c>
      <c r="AE253" t="e">
        <f>Europe!F526+"$F;@!/6."</f>
        <v>#VALUE!</v>
      </c>
      <c r="AF253" t="e">
        <f>Europe!G526+"$F;@!/6/"</f>
        <v>#VALUE!</v>
      </c>
      <c r="AG253" t="e">
        <f>Europe!H526+"$F;@!/60"</f>
        <v>#VALUE!</v>
      </c>
      <c r="AH253" t="e">
        <f>Europe!A527+"$F;@!/61"</f>
        <v>#VALUE!</v>
      </c>
      <c r="AI253" t="e">
        <f>Europe!B527+"$F;@!/62"</f>
        <v>#VALUE!</v>
      </c>
      <c r="AJ253" t="e">
        <f>Europe!C527+"$F;@!/63"</f>
        <v>#VALUE!</v>
      </c>
      <c r="AK253" t="e">
        <f>Europe!D527+"$F;@!/64"</f>
        <v>#VALUE!</v>
      </c>
      <c r="AL253" t="e">
        <f>Europe!E527+"$F;@!/65"</f>
        <v>#VALUE!</v>
      </c>
      <c r="AM253" t="e">
        <f>Europe!F527+"$F;@!/66"</f>
        <v>#VALUE!</v>
      </c>
      <c r="AN253" t="e">
        <f>Europe!G527+"$F;@!/67"</f>
        <v>#VALUE!</v>
      </c>
      <c r="AO253" t="e">
        <f>Europe!H527+"$F;@!/68"</f>
        <v>#VALUE!</v>
      </c>
      <c r="AP253" t="e">
        <f>Europe!A528+"$F;@!/69"</f>
        <v>#VALUE!</v>
      </c>
      <c r="AQ253" t="e">
        <f>Europe!B528+"$F;@!/6:"</f>
        <v>#VALUE!</v>
      </c>
      <c r="AR253" t="e">
        <f>Europe!C528+"$F;@!/6;"</f>
        <v>#VALUE!</v>
      </c>
      <c r="AS253" t="e">
        <f>Europe!D528+"$F;@!/6&lt;"</f>
        <v>#VALUE!</v>
      </c>
      <c r="AT253" t="e">
        <f>Europe!E528+"$F;@!/6="</f>
        <v>#VALUE!</v>
      </c>
      <c r="AU253" t="e">
        <f>Europe!F528+"$F;@!/6&gt;"</f>
        <v>#VALUE!</v>
      </c>
      <c r="AV253" t="e">
        <f>Europe!G528+"$F;@!/6?"</f>
        <v>#VALUE!</v>
      </c>
      <c r="AW253" t="e">
        <f>Europe!H528+"$F;@!/6@"</f>
        <v>#VALUE!</v>
      </c>
      <c r="AX253" t="e">
        <f>Europe!A529+"$F;@!/6A"</f>
        <v>#VALUE!</v>
      </c>
      <c r="AY253" t="e">
        <f>Europe!B529+"$F;@!/6B"</f>
        <v>#VALUE!</v>
      </c>
      <c r="AZ253" t="e">
        <f>Europe!C529+"$F;@!/6C"</f>
        <v>#VALUE!</v>
      </c>
      <c r="BA253" t="e">
        <f>Europe!D529+"$F;@!/6D"</f>
        <v>#VALUE!</v>
      </c>
      <c r="BB253" t="e">
        <f>Europe!E529+"$F;@!/6E"</f>
        <v>#VALUE!</v>
      </c>
      <c r="BC253" t="e">
        <f>Europe!F529+"$F;@!/6F"</f>
        <v>#VALUE!</v>
      </c>
      <c r="BD253" t="e">
        <f>Europe!G529+"$F;@!/6G"</f>
        <v>#VALUE!</v>
      </c>
      <c r="BE253" t="e">
        <f>Europe!H529+"$F;@!/6H"</f>
        <v>#VALUE!</v>
      </c>
      <c r="BF253" t="e">
        <f>Europe!A530+"$F;@!/6I"</f>
        <v>#VALUE!</v>
      </c>
      <c r="BG253" t="e">
        <f>Europe!B530+"$F;@!/6J"</f>
        <v>#VALUE!</v>
      </c>
      <c r="BH253" t="e">
        <f>Europe!C530+"$F;@!/6K"</f>
        <v>#VALUE!</v>
      </c>
      <c r="BI253" t="e">
        <f>Europe!D530+"$F;@!/6L"</f>
        <v>#VALUE!</v>
      </c>
      <c r="BJ253" t="e">
        <f>Europe!E530+"$F;@!/6M"</f>
        <v>#VALUE!</v>
      </c>
      <c r="BK253" t="e">
        <f>Europe!F530+"$F;@!/6N"</f>
        <v>#VALUE!</v>
      </c>
      <c r="BL253" t="e">
        <f>Europe!G530+"$F;@!/6O"</f>
        <v>#VALUE!</v>
      </c>
      <c r="BM253" t="e">
        <f>Europe!H530+"$F;@!/6P"</f>
        <v>#VALUE!</v>
      </c>
      <c r="BN253" t="e">
        <f>Europe!A531+"$F;@!/6Q"</f>
        <v>#VALUE!</v>
      </c>
      <c r="BO253" t="e">
        <f>Europe!B531+"$F;@!/6R"</f>
        <v>#VALUE!</v>
      </c>
      <c r="BP253" t="e">
        <f>Europe!C531+"$F;@!/6S"</f>
        <v>#VALUE!</v>
      </c>
      <c r="BQ253" t="e">
        <f>Europe!D531+"$F;@!/6T"</f>
        <v>#VALUE!</v>
      </c>
      <c r="BR253" t="e">
        <f>Europe!E531+"$F;@!/6U"</f>
        <v>#VALUE!</v>
      </c>
      <c r="BS253" t="e">
        <f>Europe!F531+"$F;@!/6V"</f>
        <v>#VALUE!</v>
      </c>
      <c r="BT253" t="e">
        <f>Europe!G531+"$F;@!/6W"</f>
        <v>#VALUE!</v>
      </c>
      <c r="BU253" t="e">
        <f>Europe!H531+"$F;@!/6X"</f>
        <v>#VALUE!</v>
      </c>
      <c r="BV253" t="e">
        <f>Europe!A532+"$F;@!/6Y"</f>
        <v>#VALUE!</v>
      </c>
      <c r="BW253" t="e">
        <f>Europe!B532+"$F;@!/6Z"</f>
        <v>#VALUE!</v>
      </c>
      <c r="BX253" t="e">
        <f>Europe!C532+"$F;@!/6["</f>
        <v>#VALUE!</v>
      </c>
      <c r="BY253" t="e">
        <f>Europe!D532+"$F;@!/6\"</f>
        <v>#VALUE!</v>
      </c>
      <c r="BZ253" t="e">
        <f>Europe!E532+"$F;@!/6]"</f>
        <v>#VALUE!</v>
      </c>
      <c r="CA253" t="e">
        <f>Europe!F532+"$F;@!/6^"</f>
        <v>#VALUE!</v>
      </c>
      <c r="CB253" t="e">
        <f>Europe!G532+"$F;@!/6_"</f>
        <v>#VALUE!</v>
      </c>
      <c r="CC253" t="e">
        <f>Europe!H532+"$F;@!/6`"</f>
        <v>#VALUE!</v>
      </c>
      <c r="CD253" t="e">
        <f>Europe!A533+"$F;@!/6a"</f>
        <v>#VALUE!</v>
      </c>
      <c r="CE253" t="e">
        <f>Europe!B533+"$F;@!/6b"</f>
        <v>#VALUE!</v>
      </c>
      <c r="CF253" t="e">
        <f>Europe!C533+"$F;@!/6c"</f>
        <v>#VALUE!</v>
      </c>
      <c r="CG253" t="e">
        <f>Europe!D533+"$F;@!/6d"</f>
        <v>#VALUE!</v>
      </c>
      <c r="CH253" t="e">
        <f>Europe!E533+"$F;@!/6e"</f>
        <v>#VALUE!</v>
      </c>
      <c r="CI253" t="e">
        <f>Europe!F533+"$F;@!/6f"</f>
        <v>#VALUE!</v>
      </c>
      <c r="CJ253" t="e">
        <f>Europe!G533+"$F;@!/6g"</f>
        <v>#VALUE!</v>
      </c>
      <c r="CK253" t="e">
        <f>Europe!H533+"$F;@!/6h"</f>
        <v>#VALUE!</v>
      </c>
      <c r="CL253" t="e">
        <f>Europe!A534+"$F;@!/6i"</f>
        <v>#VALUE!</v>
      </c>
      <c r="CM253" t="e">
        <f>Europe!B534+"$F;@!/6j"</f>
        <v>#VALUE!</v>
      </c>
      <c r="CN253" t="e">
        <f>Europe!C534+"$F;@!/6k"</f>
        <v>#VALUE!</v>
      </c>
      <c r="CO253" t="e">
        <f>Europe!D534+"$F;@!/6l"</f>
        <v>#VALUE!</v>
      </c>
      <c r="CP253" t="e">
        <f>Europe!E534+"$F;@!/6m"</f>
        <v>#VALUE!</v>
      </c>
      <c r="CQ253" t="e">
        <f>Europe!F534+"$F;@!/6n"</f>
        <v>#VALUE!</v>
      </c>
      <c r="CR253" t="e">
        <f>Europe!G534+"$F;@!/6o"</f>
        <v>#VALUE!</v>
      </c>
      <c r="CS253" t="e">
        <f>Europe!H534+"$F;@!/6p"</f>
        <v>#VALUE!</v>
      </c>
      <c r="CT253" t="e">
        <f>Europe!A535+"$F;@!/6q"</f>
        <v>#VALUE!</v>
      </c>
      <c r="CU253" t="e">
        <f>Europe!B535+"$F;@!/6r"</f>
        <v>#VALUE!</v>
      </c>
      <c r="CV253" t="e">
        <f>Europe!C535+"$F;@!/6s"</f>
        <v>#VALUE!</v>
      </c>
      <c r="CW253" t="e">
        <f>Europe!D535+"$F;@!/6t"</f>
        <v>#VALUE!</v>
      </c>
      <c r="CX253" t="e">
        <f>Europe!E535+"$F;@!/6u"</f>
        <v>#VALUE!</v>
      </c>
      <c r="CY253" t="e">
        <f>Europe!F535+"$F;@!/6v"</f>
        <v>#VALUE!</v>
      </c>
      <c r="CZ253" t="e">
        <f>Europe!G535+"$F;@!/6w"</f>
        <v>#VALUE!</v>
      </c>
      <c r="DA253" t="e">
        <f>Europe!H535+"$F;@!/6x"</f>
        <v>#VALUE!</v>
      </c>
      <c r="DB253" t="e">
        <f>Europe!A536+"$F;@!/6y"</f>
        <v>#VALUE!</v>
      </c>
      <c r="DC253" t="e">
        <f>Europe!B536+"$F;@!/6z"</f>
        <v>#VALUE!</v>
      </c>
      <c r="DD253" t="e">
        <f>Europe!C536+"$F;@!/6{"</f>
        <v>#VALUE!</v>
      </c>
      <c r="DE253" t="e">
        <f>Europe!D536+"$F;@!/6|"</f>
        <v>#VALUE!</v>
      </c>
      <c r="DF253" t="e">
        <f>Europe!E536+"$F;@!/6}"</f>
        <v>#VALUE!</v>
      </c>
      <c r="DG253" t="e">
        <f>Europe!F536+"$F;@!/6~"</f>
        <v>#VALUE!</v>
      </c>
      <c r="DH253" t="e">
        <f>Europe!G536+"$F;@!/7#"</f>
        <v>#VALUE!</v>
      </c>
      <c r="DI253" t="e">
        <f>Europe!H536+"$F;@!/7$"</f>
        <v>#VALUE!</v>
      </c>
      <c r="DJ253" t="e">
        <f>Europe!A537+"$F;@!/7%"</f>
        <v>#VALUE!</v>
      </c>
      <c r="DK253" t="e">
        <f>Europe!B537+"$F;@!/7&amp;"</f>
        <v>#VALUE!</v>
      </c>
      <c r="DL253" t="e">
        <f>Europe!C537+"$F;@!/7'"</f>
        <v>#VALUE!</v>
      </c>
      <c r="DM253" t="e">
        <f>Europe!D537+"$F;@!/7("</f>
        <v>#VALUE!</v>
      </c>
      <c r="DN253" t="e">
        <f>Europe!E537+"$F;@!/7)"</f>
        <v>#VALUE!</v>
      </c>
      <c r="DO253" t="e">
        <f>Europe!F537+"$F;@!/7."</f>
        <v>#VALUE!</v>
      </c>
      <c r="DP253" t="e">
        <f>Europe!G537+"$F;@!/7/"</f>
        <v>#VALUE!</v>
      </c>
      <c r="DQ253" t="e">
        <f>Europe!H537+"$F;@!/70"</f>
        <v>#VALUE!</v>
      </c>
      <c r="DR253" t="e">
        <f>Europe!A538+"$F;@!/71"</f>
        <v>#VALUE!</v>
      </c>
      <c r="DS253" t="e">
        <f>Europe!B538+"$F;@!/72"</f>
        <v>#VALUE!</v>
      </c>
      <c r="DT253" t="e">
        <f>Europe!C538+"$F;@!/73"</f>
        <v>#VALUE!</v>
      </c>
      <c r="DU253" t="e">
        <f>Europe!D538+"$F;@!/74"</f>
        <v>#VALUE!</v>
      </c>
      <c r="DV253" t="e">
        <f>Europe!E538+"$F;@!/75"</f>
        <v>#VALUE!</v>
      </c>
      <c r="DW253" t="e">
        <f>Europe!F538+"$F;@!/76"</f>
        <v>#VALUE!</v>
      </c>
      <c r="DX253" t="e">
        <f>Europe!G538+"$F;@!/77"</f>
        <v>#VALUE!</v>
      </c>
      <c r="DY253" t="e">
        <f>Europe!H538+"$F;@!/78"</f>
        <v>#VALUE!</v>
      </c>
      <c r="DZ253" t="e">
        <f>Europe!A539+"$F;@!/79"</f>
        <v>#VALUE!</v>
      </c>
      <c r="EA253" t="e">
        <f>Europe!B539+"$F;@!/7:"</f>
        <v>#VALUE!</v>
      </c>
      <c r="EB253" t="e">
        <f>Europe!C539+"$F;@!/7;"</f>
        <v>#VALUE!</v>
      </c>
      <c r="EC253" t="e">
        <f>Europe!D539+"$F;@!/7&lt;"</f>
        <v>#VALUE!</v>
      </c>
      <c r="ED253" t="e">
        <f>Europe!E539+"$F;@!/7="</f>
        <v>#VALUE!</v>
      </c>
      <c r="EE253" t="e">
        <f>Europe!F539+"$F;@!/7&gt;"</f>
        <v>#VALUE!</v>
      </c>
      <c r="EF253" t="e">
        <f>Europe!G539+"$F;@!/7?"</f>
        <v>#VALUE!</v>
      </c>
      <c r="EG253" t="e">
        <f>Europe!H539+"$F;@!/7@"</f>
        <v>#VALUE!</v>
      </c>
      <c r="EH253" t="e">
        <f>Europe!A540+"$F;@!/7A"</f>
        <v>#VALUE!</v>
      </c>
      <c r="EI253" t="e">
        <f>Europe!B540+"$F;@!/7B"</f>
        <v>#VALUE!</v>
      </c>
      <c r="EJ253" t="e">
        <f>Europe!C540+"$F;@!/7C"</f>
        <v>#VALUE!</v>
      </c>
      <c r="EK253" t="e">
        <f>Europe!D540+"$F;@!/7D"</f>
        <v>#VALUE!</v>
      </c>
      <c r="EL253" t="e">
        <f>Europe!E540+"$F;@!/7E"</f>
        <v>#VALUE!</v>
      </c>
      <c r="EM253" t="e">
        <f>Europe!F540+"$F;@!/7F"</f>
        <v>#VALUE!</v>
      </c>
      <c r="EN253" t="e">
        <f>Europe!G540+"$F;@!/7G"</f>
        <v>#VALUE!</v>
      </c>
      <c r="EO253" t="e">
        <f>Europe!H540+"$F;@!/7H"</f>
        <v>#VALUE!</v>
      </c>
      <c r="EP253" t="e">
        <f>Europe!A541+"$F;@!/7I"</f>
        <v>#VALUE!</v>
      </c>
      <c r="EQ253" t="e">
        <f>Europe!B541+"$F;@!/7J"</f>
        <v>#VALUE!</v>
      </c>
      <c r="ER253" t="e">
        <f>Europe!C541+"$F;@!/7K"</f>
        <v>#VALUE!</v>
      </c>
      <c r="ES253" t="e">
        <f>Europe!D541+"$F;@!/7L"</f>
        <v>#VALUE!</v>
      </c>
      <c r="ET253" t="e">
        <f>Europe!E541+"$F;@!/7M"</f>
        <v>#VALUE!</v>
      </c>
      <c r="EU253" t="e">
        <f>Europe!F541+"$F;@!/7N"</f>
        <v>#VALUE!</v>
      </c>
      <c r="EV253" t="e">
        <f>Europe!G541+"$F;@!/7O"</f>
        <v>#VALUE!</v>
      </c>
      <c r="EW253" t="e">
        <f>Europe!H541+"$F;@!/7P"</f>
        <v>#VALUE!</v>
      </c>
      <c r="EX253" t="e">
        <f>Europe!A542+"$F;@!/7Q"</f>
        <v>#VALUE!</v>
      </c>
      <c r="EY253" t="e">
        <f>Europe!B542+"$F;@!/7R"</f>
        <v>#VALUE!</v>
      </c>
      <c r="EZ253" t="e">
        <f>Europe!C542+"$F;@!/7S"</f>
        <v>#VALUE!</v>
      </c>
      <c r="FA253" t="e">
        <f>Europe!D542+"$F;@!/7T"</f>
        <v>#VALUE!</v>
      </c>
      <c r="FB253" t="e">
        <f>Europe!E542+"$F;@!/7U"</f>
        <v>#VALUE!</v>
      </c>
      <c r="FC253" t="e">
        <f>Europe!F542+"$F;@!/7V"</f>
        <v>#VALUE!</v>
      </c>
      <c r="FD253" t="e">
        <f>Europe!G542+"$F;@!/7W"</f>
        <v>#VALUE!</v>
      </c>
      <c r="FE253" t="e">
        <f>Europe!H542+"$F;@!/7X"</f>
        <v>#VALUE!</v>
      </c>
      <c r="FF253" t="e">
        <f>Europe!A543+"$F;@!/7Y"</f>
        <v>#VALUE!</v>
      </c>
      <c r="FG253" t="e">
        <f>Europe!B543+"$F;@!/7Z"</f>
        <v>#VALUE!</v>
      </c>
      <c r="FH253" t="e">
        <f>Europe!C543+"$F;@!/7["</f>
        <v>#VALUE!</v>
      </c>
      <c r="FI253" t="e">
        <f>Europe!D543+"$F;@!/7\"</f>
        <v>#VALUE!</v>
      </c>
      <c r="FJ253" t="e">
        <f>Europe!E543+"$F;@!/7]"</f>
        <v>#VALUE!</v>
      </c>
      <c r="FK253" t="e">
        <f>Europe!F543+"$F;@!/7^"</f>
        <v>#VALUE!</v>
      </c>
      <c r="FL253" t="e">
        <f>Europe!G543+"$F;@!/7_"</f>
        <v>#VALUE!</v>
      </c>
      <c r="FM253" t="e">
        <f>Europe!H543+"$F;@!/7`"</f>
        <v>#VALUE!</v>
      </c>
      <c r="FN253" t="e">
        <f>Europe!A544+"$F;@!/7a"</f>
        <v>#VALUE!</v>
      </c>
      <c r="FO253" t="e">
        <f>Europe!B544+"$F;@!/7b"</f>
        <v>#VALUE!</v>
      </c>
      <c r="FP253" t="e">
        <f>Europe!C544+"$F;@!/7c"</f>
        <v>#VALUE!</v>
      </c>
      <c r="FQ253" t="e">
        <f>Europe!D544+"$F;@!/7d"</f>
        <v>#VALUE!</v>
      </c>
      <c r="FR253" t="e">
        <f>Europe!E544+"$F;@!/7e"</f>
        <v>#VALUE!</v>
      </c>
      <c r="FS253" t="e">
        <f>Europe!F544+"$F;@!/7f"</f>
        <v>#VALUE!</v>
      </c>
      <c r="FT253" t="e">
        <f>Europe!G544+"$F;@!/7g"</f>
        <v>#VALUE!</v>
      </c>
      <c r="FU253" t="e">
        <f>Europe!H544+"$F;@!/7h"</f>
        <v>#VALUE!</v>
      </c>
      <c r="FV253" t="e">
        <f>Europe!A545+"$F;@!/7i"</f>
        <v>#VALUE!</v>
      </c>
      <c r="FW253" t="e">
        <f>Europe!B545+"$F;@!/7j"</f>
        <v>#VALUE!</v>
      </c>
      <c r="FX253" t="e">
        <f>Europe!C545+"$F;@!/7k"</f>
        <v>#VALUE!</v>
      </c>
      <c r="FY253" t="e">
        <f>Europe!D545+"$F;@!/7l"</f>
        <v>#VALUE!</v>
      </c>
      <c r="FZ253" t="e">
        <f>Europe!E545+"$F;@!/7m"</f>
        <v>#VALUE!</v>
      </c>
      <c r="GA253" t="e">
        <f>Europe!F545+"$F;@!/7n"</f>
        <v>#VALUE!</v>
      </c>
      <c r="GB253" t="e">
        <f>Europe!G545+"$F;@!/7o"</f>
        <v>#VALUE!</v>
      </c>
      <c r="GC253" t="e">
        <f>Europe!H545+"$F;@!/7p"</f>
        <v>#VALUE!</v>
      </c>
      <c r="GD253" t="e">
        <f>Europe!A546+"$F;@!/7q"</f>
        <v>#VALUE!</v>
      </c>
      <c r="GE253" t="e">
        <f>Europe!B546+"$F;@!/7r"</f>
        <v>#VALUE!</v>
      </c>
      <c r="GF253" t="e">
        <f>Europe!C546+"$F;@!/7s"</f>
        <v>#VALUE!</v>
      </c>
      <c r="GG253" t="e">
        <f>Europe!D546+"$F;@!/7t"</f>
        <v>#VALUE!</v>
      </c>
      <c r="GH253" t="e">
        <f>Europe!E546+"$F;@!/7u"</f>
        <v>#VALUE!</v>
      </c>
      <c r="GI253" t="e">
        <f>Europe!F546+"$F;@!/7v"</f>
        <v>#VALUE!</v>
      </c>
      <c r="GJ253" t="e">
        <f>Europe!G546+"$F;@!/7w"</f>
        <v>#VALUE!</v>
      </c>
      <c r="GK253" t="e">
        <f>Europe!H546+"$F;@!/7x"</f>
        <v>#VALUE!</v>
      </c>
      <c r="GL253" t="e">
        <f>Europe!A547+"$F;@!/7y"</f>
        <v>#VALUE!</v>
      </c>
      <c r="GM253" t="e">
        <f>Europe!B547+"$F;@!/7z"</f>
        <v>#VALUE!</v>
      </c>
      <c r="GN253" t="e">
        <f>Europe!C547+"$F;@!/7{"</f>
        <v>#VALUE!</v>
      </c>
      <c r="GO253" t="e">
        <f>Europe!D547+"$F;@!/7|"</f>
        <v>#VALUE!</v>
      </c>
      <c r="GP253" t="e">
        <f>Europe!E547+"$F;@!/7}"</f>
        <v>#VALUE!</v>
      </c>
      <c r="GQ253" t="e">
        <f>Europe!F547+"$F;@!/7~"</f>
        <v>#VALUE!</v>
      </c>
      <c r="GR253" t="e">
        <f>Europe!G547+"$F;@!/8#"</f>
        <v>#VALUE!</v>
      </c>
      <c r="GS253" t="e">
        <f>Europe!H547+"$F;@!/8$"</f>
        <v>#VALUE!</v>
      </c>
      <c r="GT253" t="e">
        <f>Europe!A548+"$F;@!/8%"</f>
        <v>#VALUE!</v>
      </c>
      <c r="GU253" t="e">
        <f>Europe!B548+"$F;@!/8&amp;"</f>
        <v>#VALUE!</v>
      </c>
      <c r="GV253" t="e">
        <f>Europe!C548+"$F;@!/8'"</f>
        <v>#VALUE!</v>
      </c>
      <c r="GW253" t="e">
        <f>Europe!D548+"$F;@!/8("</f>
        <v>#VALUE!</v>
      </c>
      <c r="GX253" t="e">
        <f>Europe!E548+"$F;@!/8)"</f>
        <v>#VALUE!</v>
      </c>
      <c r="GY253" t="e">
        <f>Europe!F548+"$F;@!/8."</f>
        <v>#VALUE!</v>
      </c>
      <c r="GZ253" t="e">
        <f>Europe!G548+"$F;@!/8/"</f>
        <v>#VALUE!</v>
      </c>
      <c r="HA253" t="e">
        <f>Europe!H548+"$F;@!/80"</f>
        <v>#VALUE!</v>
      </c>
      <c r="HB253" t="e">
        <f>Europe!A549+"$F;@!/81"</f>
        <v>#VALUE!</v>
      </c>
      <c r="HC253" t="e">
        <f>Europe!B549+"$F;@!/82"</f>
        <v>#VALUE!</v>
      </c>
      <c r="HD253" t="e">
        <f>Europe!C549+"$F;@!/83"</f>
        <v>#VALUE!</v>
      </c>
      <c r="HE253" t="e">
        <f>Europe!D549+"$F;@!/84"</f>
        <v>#VALUE!</v>
      </c>
      <c r="HF253" t="e">
        <f>Europe!E549+"$F;@!/85"</f>
        <v>#VALUE!</v>
      </c>
      <c r="HG253" t="e">
        <f>Europe!F549+"$F;@!/86"</f>
        <v>#VALUE!</v>
      </c>
      <c r="HH253" t="e">
        <f>Europe!G549+"$F;@!/87"</f>
        <v>#VALUE!</v>
      </c>
      <c r="HI253" t="e">
        <f>Europe!H549+"$F;@!/88"</f>
        <v>#VALUE!</v>
      </c>
      <c r="HJ253" t="e">
        <f>Europe!A550+"$F;@!/89"</f>
        <v>#VALUE!</v>
      </c>
      <c r="HK253" t="e">
        <f>Europe!B550+"$F;@!/8:"</f>
        <v>#VALUE!</v>
      </c>
      <c r="HL253" t="e">
        <f>Europe!C550+"$F;@!/8;"</f>
        <v>#VALUE!</v>
      </c>
      <c r="HM253" t="e">
        <f>Europe!D550+"$F;@!/8&lt;"</f>
        <v>#VALUE!</v>
      </c>
      <c r="HN253" t="e">
        <f>Europe!E550+"$F;@!/8="</f>
        <v>#VALUE!</v>
      </c>
      <c r="HO253" t="e">
        <f>Europe!F550+"$F;@!/8&gt;"</f>
        <v>#VALUE!</v>
      </c>
      <c r="HP253" t="e">
        <f>Europe!G550+"$F;@!/8?"</f>
        <v>#VALUE!</v>
      </c>
      <c r="HQ253" t="e">
        <f>Europe!H550+"$F;@!/8@"</f>
        <v>#VALUE!</v>
      </c>
      <c r="HR253" t="e">
        <f>Europe!A551+"$F;@!/8A"</f>
        <v>#VALUE!</v>
      </c>
      <c r="HS253" t="e">
        <f>Europe!B551+"$F;@!/8B"</f>
        <v>#VALUE!</v>
      </c>
      <c r="HT253" t="e">
        <f>Europe!C551+"$F;@!/8C"</f>
        <v>#VALUE!</v>
      </c>
      <c r="HU253" t="e">
        <f>Europe!D551+"$F;@!/8D"</f>
        <v>#VALUE!</v>
      </c>
      <c r="HV253" t="e">
        <f>Europe!E551+"$F;@!/8E"</f>
        <v>#VALUE!</v>
      </c>
      <c r="HW253" t="e">
        <f>Europe!F551+"$F;@!/8F"</f>
        <v>#VALUE!</v>
      </c>
      <c r="HX253" t="e">
        <f>Europe!G551+"$F;@!/8G"</f>
        <v>#VALUE!</v>
      </c>
      <c r="HY253" t="e">
        <f>Europe!H551+"$F;@!/8H"</f>
        <v>#VALUE!</v>
      </c>
      <c r="HZ253" t="e">
        <f>Europe!A552+"$F;@!/8I"</f>
        <v>#VALUE!</v>
      </c>
      <c r="IA253" t="e">
        <f>Europe!B552+"$F;@!/8J"</f>
        <v>#VALUE!</v>
      </c>
      <c r="IB253" t="e">
        <f>Europe!C552+"$F;@!/8K"</f>
        <v>#VALUE!</v>
      </c>
      <c r="IC253" t="e">
        <f>Europe!D552+"$F;@!/8L"</f>
        <v>#VALUE!</v>
      </c>
      <c r="ID253" t="e">
        <f>Europe!E552+"$F;@!/8M"</f>
        <v>#VALUE!</v>
      </c>
      <c r="IE253" t="e">
        <f>Europe!F552+"$F;@!/8N"</f>
        <v>#VALUE!</v>
      </c>
      <c r="IF253" t="e">
        <f>Europe!G552+"$F;@!/8O"</f>
        <v>#VALUE!</v>
      </c>
      <c r="IG253" t="e">
        <f>Europe!H552+"$F;@!/8P"</f>
        <v>#VALUE!</v>
      </c>
      <c r="IH253" t="e">
        <f>Europe!A553+"$F;@!/8Q"</f>
        <v>#VALUE!</v>
      </c>
      <c r="II253" t="e">
        <f>Europe!B553+"$F;@!/8R"</f>
        <v>#VALUE!</v>
      </c>
      <c r="IJ253" t="e">
        <f>Europe!C553+"$F;@!/8S"</f>
        <v>#VALUE!</v>
      </c>
      <c r="IK253" t="e">
        <f>Europe!D553+"$F;@!/8T"</f>
        <v>#VALUE!</v>
      </c>
      <c r="IL253" t="e">
        <f>Europe!E553+"$F;@!/8U"</f>
        <v>#VALUE!</v>
      </c>
      <c r="IM253" t="e">
        <f>Europe!F553+"$F;@!/8V"</f>
        <v>#VALUE!</v>
      </c>
      <c r="IN253" t="e">
        <f>Europe!G553+"$F;@!/8W"</f>
        <v>#VALUE!</v>
      </c>
      <c r="IO253" t="e">
        <f>Europe!H553+"$F;@!/8X"</f>
        <v>#VALUE!</v>
      </c>
      <c r="IP253" t="e">
        <f>Europe!A554+"$F;@!/8Y"</f>
        <v>#VALUE!</v>
      </c>
      <c r="IQ253" t="e">
        <f>Europe!B554+"$F;@!/8Z"</f>
        <v>#VALUE!</v>
      </c>
      <c r="IR253" t="e">
        <f>Europe!C554+"$F;@!/8["</f>
        <v>#VALUE!</v>
      </c>
      <c r="IS253" t="e">
        <f>Europe!D554+"$F;@!/8\"</f>
        <v>#VALUE!</v>
      </c>
      <c r="IT253" t="e">
        <f>Europe!E554+"$F;@!/8]"</f>
        <v>#VALUE!</v>
      </c>
      <c r="IU253" t="e">
        <f>Europe!F554+"$F;@!/8^"</f>
        <v>#VALUE!</v>
      </c>
      <c r="IV253" t="e">
        <f>Europe!G554+"$F;@!/8_"</f>
        <v>#VALUE!</v>
      </c>
    </row>
    <row r="254" spans="6:256" x14ac:dyDescent="0.35">
      <c r="F254" t="e">
        <f>Europe!H554+"$F;@!/8`"</f>
        <v>#VALUE!</v>
      </c>
      <c r="G254" t="e">
        <f>Europe!A555+"$F;@!/8a"</f>
        <v>#VALUE!</v>
      </c>
      <c r="H254" t="e">
        <f>Europe!B555+"$F;@!/8b"</f>
        <v>#VALUE!</v>
      </c>
      <c r="I254" t="e">
        <f>Europe!C555+"$F;@!/8c"</f>
        <v>#VALUE!</v>
      </c>
      <c r="J254" t="e">
        <f>Europe!D555+"$F;@!/8d"</f>
        <v>#VALUE!</v>
      </c>
      <c r="K254" t="e">
        <f>Europe!E555+"$F;@!/8e"</f>
        <v>#VALUE!</v>
      </c>
      <c r="L254" t="e">
        <f>Europe!F555+"$F;@!/8f"</f>
        <v>#VALUE!</v>
      </c>
      <c r="M254" t="e">
        <f>Europe!G555+"$F;@!/8g"</f>
        <v>#VALUE!</v>
      </c>
      <c r="N254" t="e">
        <f>Europe!H555+"$F;@!/8h"</f>
        <v>#VALUE!</v>
      </c>
      <c r="O254" t="e">
        <f>Europe!A556+"$F;@!/8i"</f>
        <v>#VALUE!</v>
      </c>
      <c r="P254" t="e">
        <f>Europe!B556+"$F;@!/8j"</f>
        <v>#VALUE!</v>
      </c>
      <c r="Q254" t="e">
        <f>Europe!C556+"$F;@!/8k"</f>
        <v>#VALUE!</v>
      </c>
      <c r="R254" t="e">
        <f>Europe!D556+"$F;@!/8l"</f>
        <v>#VALUE!</v>
      </c>
      <c r="S254" t="e">
        <f>Europe!E556+"$F;@!/8m"</f>
        <v>#VALUE!</v>
      </c>
      <c r="T254" t="e">
        <f>Europe!F556+"$F;@!/8n"</f>
        <v>#VALUE!</v>
      </c>
      <c r="U254" t="e">
        <f>Europe!G556+"$F;@!/8o"</f>
        <v>#VALUE!</v>
      </c>
      <c r="V254" t="e">
        <f>Europe!H556+"$F;@!/8p"</f>
        <v>#VALUE!</v>
      </c>
      <c r="W254" t="e">
        <f>Europe!A557+"$F;@!/8q"</f>
        <v>#VALUE!</v>
      </c>
      <c r="X254" t="e">
        <f>Europe!B557+"$F;@!/8r"</f>
        <v>#VALUE!</v>
      </c>
      <c r="Y254" t="e">
        <f>Europe!C557+"$F;@!/8s"</f>
        <v>#VALUE!</v>
      </c>
      <c r="Z254" t="e">
        <f>Europe!D557+"$F;@!/8t"</f>
        <v>#VALUE!</v>
      </c>
      <c r="AA254" t="e">
        <f>Europe!E557+"$F;@!/8u"</f>
        <v>#VALUE!</v>
      </c>
      <c r="AB254" t="e">
        <f>Europe!F557+"$F;@!/8v"</f>
        <v>#VALUE!</v>
      </c>
      <c r="AC254" t="e">
        <f>Europe!G557+"$F;@!/8w"</f>
        <v>#VALUE!</v>
      </c>
      <c r="AD254" t="e">
        <f>Europe!H557+"$F;@!/8x"</f>
        <v>#VALUE!</v>
      </c>
      <c r="AE254" t="e">
        <f>Europe!A558+"$F;@!/8y"</f>
        <v>#VALUE!</v>
      </c>
      <c r="AF254" t="e">
        <f>Europe!B558+"$F;@!/8z"</f>
        <v>#VALUE!</v>
      </c>
      <c r="AG254" t="e">
        <f>Europe!C558+"$F;@!/8{"</f>
        <v>#VALUE!</v>
      </c>
      <c r="AH254" t="e">
        <f>Europe!D558+"$F;@!/8|"</f>
        <v>#VALUE!</v>
      </c>
      <c r="AI254" t="e">
        <f>Europe!E558+"$F;@!/8}"</f>
        <v>#VALUE!</v>
      </c>
      <c r="AJ254" t="e">
        <f>Europe!F558+"$F;@!/8~"</f>
        <v>#VALUE!</v>
      </c>
      <c r="AK254" t="e">
        <f>Europe!G558+"$F;@!/9#"</f>
        <v>#VALUE!</v>
      </c>
      <c r="AL254" t="e">
        <f>Europe!H558+"$F;@!/9$"</f>
        <v>#VALUE!</v>
      </c>
      <c r="AM254" t="e">
        <f>Europe!A559+"$F;@!/9%"</f>
        <v>#VALUE!</v>
      </c>
      <c r="AN254" t="e">
        <f>Europe!B559+"$F;@!/9&amp;"</f>
        <v>#VALUE!</v>
      </c>
      <c r="AO254" t="e">
        <f>Europe!C559+"$F;@!/9'"</f>
        <v>#VALUE!</v>
      </c>
      <c r="AP254" t="e">
        <f>Europe!D559+"$F;@!/9("</f>
        <v>#VALUE!</v>
      </c>
      <c r="AQ254" t="e">
        <f>Europe!E559+"$F;@!/9)"</f>
        <v>#VALUE!</v>
      </c>
      <c r="AR254" t="e">
        <f>Europe!F559+"$F;@!/9."</f>
        <v>#VALUE!</v>
      </c>
      <c r="AS254" t="e">
        <f>Europe!G559+"$F;@!/9/"</f>
        <v>#VALUE!</v>
      </c>
      <c r="AT254" t="e">
        <f>Europe!H559+"$F;@!/90"</f>
        <v>#VALUE!</v>
      </c>
      <c r="AU254" t="e">
        <f>Europe!A560+"$F;@!/91"</f>
        <v>#VALUE!</v>
      </c>
      <c r="AV254" t="e">
        <f>Europe!B560+"$F;@!/92"</f>
        <v>#VALUE!</v>
      </c>
      <c r="AW254" t="e">
        <f>Europe!C560+"$F;@!/93"</f>
        <v>#VALUE!</v>
      </c>
      <c r="AX254" t="e">
        <f>Europe!D560+"$F;@!/94"</f>
        <v>#VALUE!</v>
      </c>
      <c r="AY254" t="e">
        <f>Europe!E560+"$F;@!/95"</f>
        <v>#VALUE!</v>
      </c>
      <c r="AZ254" t="e">
        <f>Europe!F560+"$F;@!/96"</f>
        <v>#VALUE!</v>
      </c>
      <c r="BA254" t="e">
        <f>Europe!G560+"$F;@!/97"</f>
        <v>#VALUE!</v>
      </c>
      <c r="BB254" t="e">
        <f>Europe!H560+"$F;@!/98"</f>
        <v>#VALUE!</v>
      </c>
      <c r="BC254" t="e">
        <f>Europe!A561+"$F;@!/99"</f>
        <v>#VALUE!</v>
      </c>
      <c r="BD254" t="e">
        <f>Europe!B561+"$F;@!/9:"</f>
        <v>#VALUE!</v>
      </c>
      <c r="BE254" t="e">
        <f>Europe!C561+"$F;@!/9;"</f>
        <v>#VALUE!</v>
      </c>
      <c r="BF254" t="e">
        <f>Europe!D561+"$F;@!/9&lt;"</f>
        <v>#VALUE!</v>
      </c>
      <c r="BG254" t="e">
        <f>Europe!E561+"$F;@!/9="</f>
        <v>#VALUE!</v>
      </c>
      <c r="BH254" t="e">
        <f>Europe!F561+"$F;@!/9&gt;"</f>
        <v>#VALUE!</v>
      </c>
      <c r="BI254" t="e">
        <f>Europe!G561+"$F;@!/9?"</f>
        <v>#VALUE!</v>
      </c>
      <c r="BJ254" t="e">
        <f>Europe!H561+"$F;@!/9@"</f>
        <v>#VALUE!</v>
      </c>
      <c r="BK254" t="e">
        <f>Europe!A562+"$F;@!/9A"</f>
        <v>#VALUE!</v>
      </c>
      <c r="BL254" t="e">
        <f>Europe!B562+"$F;@!/9B"</f>
        <v>#VALUE!</v>
      </c>
      <c r="BM254" t="e">
        <f>Europe!C562+"$F;@!/9C"</f>
        <v>#VALUE!</v>
      </c>
      <c r="BN254" t="e">
        <f>Europe!D562+"$F;@!/9D"</f>
        <v>#VALUE!</v>
      </c>
      <c r="BO254" t="e">
        <f>Europe!E562+"$F;@!/9E"</f>
        <v>#VALUE!</v>
      </c>
      <c r="BP254" t="e">
        <f>Europe!F562+"$F;@!/9F"</f>
        <v>#VALUE!</v>
      </c>
      <c r="BQ254" t="e">
        <f>Europe!G562+"$F;@!/9G"</f>
        <v>#VALUE!</v>
      </c>
      <c r="BR254" t="e">
        <f>Europe!H562+"$F;@!/9H"</f>
        <v>#VALUE!</v>
      </c>
      <c r="BS254" t="e">
        <f>Europe!A563+"$F;@!/9I"</f>
        <v>#VALUE!</v>
      </c>
      <c r="BT254" t="e">
        <f>Europe!B563+"$F;@!/9J"</f>
        <v>#VALUE!</v>
      </c>
      <c r="BU254" t="e">
        <f>Europe!C563+"$F;@!/9K"</f>
        <v>#VALUE!</v>
      </c>
      <c r="BV254" t="e">
        <f>Europe!D563+"$F;@!/9L"</f>
        <v>#VALUE!</v>
      </c>
      <c r="BW254" t="e">
        <f>Europe!E563+"$F;@!/9M"</f>
        <v>#VALUE!</v>
      </c>
      <c r="BX254" t="e">
        <f>Europe!F563+"$F;@!/9N"</f>
        <v>#VALUE!</v>
      </c>
      <c r="BY254" t="e">
        <f>Europe!G563+"$F;@!/9O"</f>
        <v>#VALUE!</v>
      </c>
      <c r="BZ254" t="e">
        <f>Europe!H563+"$F;@!/9P"</f>
        <v>#VALUE!</v>
      </c>
      <c r="CA254" t="e">
        <f>Europe!A564+"$F;@!/9Q"</f>
        <v>#VALUE!</v>
      </c>
      <c r="CB254" t="e">
        <f>Europe!B564+"$F;@!/9R"</f>
        <v>#VALUE!</v>
      </c>
      <c r="CC254" t="e">
        <f>Europe!C564+"$F;@!/9S"</f>
        <v>#VALUE!</v>
      </c>
      <c r="CD254" t="e">
        <f>Europe!D564+"$F;@!/9T"</f>
        <v>#VALUE!</v>
      </c>
      <c r="CE254" t="e">
        <f>Europe!E564+"$F;@!/9U"</f>
        <v>#VALUE!</v>
      </c>
      <c r="CF254" t="e">
        <f>Europe!F564+"$F;@!/9V"</f>
        <v>#VALUE!</v>
      </c>
      <c r="CG254" t="e">
        <f>Europe!G564+"$F;@!/9W"</f>
        <v>#VALUE!</v>
      </c>
      <c r="CH254" t="e">
        <f>Europe!H564+"$F;@!/9X"</f>
        <v>#VALUE!</v>
      </c>
      <c r="CI254" t="e">
        <f>Europe!A565+"$F;@!/9Y"</f>
        <v>#VALUE!</v>
      </c>
      <c r="CJ254" t="e">
        <f>Europe!B565+"$F;@!/9Z"</f>
        <v>#VALUE!</v>
      </c>
      <c r="CK254" t="e">
        <f>Europe!C565+"$F;@!/9["</f>
        <v>#VALUE!</v>
      </c>
      <c r="CL254" t="e">
        <f>Europe!D565+"$F;@!/9\"</f>
        <v>#VALUE!</v>
      </c>
      <c r="CM254" t="e">
        <f>Europe!E565+"$F;@!/9]"</f>
        <v>#VALUE!</v>
      </c>
      <c r="CN254" t="e">
        <f>Europe!F565+"$F;@!/9^"</f>
        <v>#VALUE!</v>
      </c>
      <c r="CO254" t="e">
        <f>Europe!G565+"$F;@!/9_"</f>
        <v>#VALUE!</v>
      </c>
      <c r="CP254" t="e">
        <f>Europe!H565+"$F;@!/9`"</f>
        <v>#VALUE!</v>
      </c>
      <c r="CQ254" t="e">
        <f>Europe!A566+"$F;@!/9a"</f>
        <v>#VALUE!</v>
      </c>
      <c r="CR254" t="e">
        <f>Europe!B566+"$F;@!/9b"</f>
        <v>#VALUE!</v>
      </c>
      <c r="CS254" t="e">
        <f>Europe!C566+"$F;@!/9c"</f>
        <v>#VALUE!</v>
      </c>
      <c r="CT254" t="e">
        <f>Europe!D566+"$F;@!/9d"</f>
        <v>#VALUE!</v>
      </c>
      <c r="CU254" t="e">
        <f>Europe!E566+"$F;@!/9e"</f>
        <v>#VALUE!</v>
      </c>
      <c r="CV254" t="e">
        <f>Europe!F566+"$F;@!/9f"</f>
        <v>#VALUE!</v>
      </c>
      <c r="CW254" t="e">
        <f>Europe!G566+"$F;@!/9g"</f>
        <v>#VALUE!</v>
      </c>
      <c r="CX254" t="e">
        <f>Europe!H566+"$F;@!/9h"</f>
        <v>#VALUE!</v>
      </c>
      <c r="CY254" t="e">
        <f>Europe!A567+"$F;@!/9i"</f>
        <v>#VALUE!</v>
      </c>
      <c r="CZ254" t="e">
        <f>Europe!B567+"$F;@!/9j"</f>
        <v>#VALUE!</v>
      </c>
      <c r="DA254" t="e">
        <f>Europe!C567+"$F;@!/9k"</f>
        <v>#VALUE!</v>
      </c>
      <c r="DB254" t="e">
        <f>Europe!D567+"$F;@!/9l"</f>
        <v>#VALUE!</v>
      </c>
      <c r="DC254" t="e">
        <f>Europe!E567+"$F;@!/9m"</f>
        <v>#VALUE!</v>
      </c>
      <c r="DD254" t="e">
        <f>Europe!F567+"$F;@!/9n"</f>
        <v>#VALUE!</v>
      </c>
      <c r="DE254" t="e">
        <f>Europe!G567+"$F;@!/9o"</f>
        <v>#VALUE!</v>
      </c>
      <c r="DF254" t="e">
        <f>Europe!H567+"$F;@!/9p"</f>
        <v>#VALUE!</v>
      </c>
      <c r="DG254" t="e">
        <f>Europe!A568+"$F;@!/9q"</f>
        <v>#VALUE!</v>
      </c>
      <c r="DH254" t="e">
        <f>Europe!B568+"$F;@!/9r"</f>
        <v>#VALUE!</v>
      </c>
      <c r="DI254" t="e">
        <f>Europe!C568+"$F;@!/9s"</f>
        <v>#VALUE!</v>
      </c>
      <c r="DJ254" t="e">
        <f>Europe!D568+"$F;@!/9t"</f>
        <v>#VALUE!</v>
      </c>
      <c r="DK254" t="e">
        <f>Europe!E568+"$F;@!/9u"</f>
        <v>#VALUE!</v>
      </c>
      <c r="DL254" t="e">
        <f>Europe!F568+"$F;@!/9v"</f>
        <v>#VALUE!</v>
      </c>
      <c r="DM254" t="e">
        <f>Europe!G568+"$F;@!/9w"</f>
        <v>#VALUE!</v>
      </c>
      <c r="DN254" t="e">
        <f>Europe!H568+"$F;@!/9x"</f>
        <v>#VALUE!</v>
      </c>
      <c r="DO254" t="e">
        <f>Europe!A569+"$F;@!/9y"</f>
        <v>#VALUE!</v>
      </c>
      <c r="DP254" t="e">
        <f>Europe!B569+"$F;@!/9z"</f>
        <v>#VALUE!</v>
      </c>
      <c r="DQ254" t="e">
        <f>Europe!C569+"$F;@!/9{"</f>
        <v>#VALUE!</v>
      </c>
      <c r="DR254" t="e">
        <f>Europe!D569+"$F;@!/9|"</f>
        <v>#VALUE!</v>
      </c>
      <c r="DS254" t="e">
        <f>Europe!E569+"$F;@!/9}"</f>
        <v>#VALUE!</v>
      </c>
      <c r="DT254" t="e">
        <f>Europe!F569+"$F;@!/9~"</f>
        <v>#VALUE!</v>
      </c>
      <c r="DU254" t="e">
        <f>Europe!G569+"$F;@!/:#"</f>
        <v>#VALUE!</v>
      </c>
      <c r="DV254" t="e">
        <f>Europe!H569+"$F;@!/:$"</f>
        <v>#VALUE!</v>
      </c>
      <c r="DW254" t="e">
        <f>Europe!A570+"$F;@!/:%"</f>
        <v>#VALUE!</v>
      </c>
      <c r="DX254" t="e">
        <f>Europe!B570+"$F;@!/:&amp;"</f>
        <v>#VALUE!</v>
      </c>
      <c r="DY254" t="e">
        <f>Europe!C570+"$F;@!/:'"</f>
        <v>#VALUE!</v>
      </c>
      <c r="DZ254" t="e">
        <f>Europe!D570+"$F;@!/:("</f>
        <v>#VALUE!</v>
      </c>
      <c r="EA254" t="e">
        <f>Europe!E570+"$F;@!/:)"</f>
        <v>#VALUE!</v>
      </c>
      <c r="EB254" t="e">
        <f>Europe!F570+"$F;@!/:."</f>
        <v>#VALUE!</v>
      </c>
      <c r="EC254" t="e">
        <f>Europe!G570+"$F;@!/:/"</f>
        <v>#VALUE!</v>
      </c>
      <c r="ED254" t="e">
        <f>Europe!H570+"$F;@!/:0"</f>
        <v>#VALUE!</v>
      </c>
      <c r="EE254" t="e">
        <f>Europe!A571+"$F;@!/:1"</f>
        <v>#VALUE!</v>
      </c>
      <c r="EF254" t="e">
        <f>Europe!B571+"$F;@!/:2"</f>
        <v>#VALUE!</v>
      </c>
      <c r="EG254" t="e">
        <f>Europe!C571+"$F;@!/:3"</f>
        <v>#VALUE!</v>
      </c>
      <c r="EH254" t="e">
        <f>Europe!D571+"$F;@!/:4"</f>
        <v>#VALUE!</v>
      </c>
      <c r="EI254" t="e">
        <f>Europe!E571+"$F;@!/:5"</f>
        <v>#VALUE!</v>
      </c>
      <c r="EJ254" t="e">
        <f>Europe!F571+"$F;@!/:6"</f>
        <v>#VALUE!</v>
      </c>
      <c r="EK254" t="e">
        <f>Europe!G571+"$F;@!/:7"</f>
        <v>#VALUE!</v>
      </c>
      <c r="EL254" t="e">
        <f>Europe!H571+"$F;@!/:8"</f>
        <v>#VALUE!</v>
      </c>
      <c r="EM254" t="e">
        <f>Europe!A572+"$F;@!/:9"</f>
        <v>#VALUE!</v>
      </c>
      <c r="EN254" t="e">
        <f>Europe!B572+"$F;@!/::"</f>
        <v>#VALUE!</v>
      </c>
      <c r="EO254" t="e">
        <f>Europe!C572+"$F;@!/:;"</f>
        <v>#VALUE!</v>
      </c>
      <c r="EP254" t="e">
        <f>Europe!D572+"$F;@!/:&lt;"</f>
        <v>#VALUE!</v>
      </c>
      <c r="EQ254" t="e">
        <f>Europe!E572+"$F;@!/:="</f>
        <v>#VALUE!</v>
      </c>
      <c r="ER254" t="e">
        <f>Europe!F572+"$F;@!/:&gt;"</f>
        <v>#VALUE!</v>
      </c>
      <c r="ES254" t="e">
        <f>Europe!G572+"$F;@!/:?"</f>
        <v>#VALUE!</v>
      </c>
      <c r="ET254" t="e">
        <f>Europe!H572+"$F;@!/:@"</f>
        <v>#VALUE!</v>
      </c>
      <c r="EU254" t="e">
        <f>Europe!A573+"$F;@!/:A"</f>
        <v>#VALUE!</v>
      </c>
      <c r="EV254" t="e">
        <f>Europe!B573+"$F;@!/:B"</f>
        <v>#VALUE!</v>
      </c>
      <c r="EW254" t="e">
        <f>Europe!C573+"$F;@!/:C"</f>
        <v>#VALUE!</v>
      </c>
      <c r="EX254" t="e">
        <f>Europe!D573+"$F;@!/:D"</f>
        <v>#VALUE!</v>
      </c>
      <c r="EY254" t="e">
        <f>Europe!E573+"$F;@!/:E"</f>
        <v>#VALUE!</v>
      </c>
      <c r="EZ254" t="e">
        <f>Europe!F573+"$F;@!/:F"</f>
        <v>#VALUE!</v>
      </c>
      <c r="FA254" t="e">
        <f>Europe!G573+"$F;@!/:G"</f>
        <v>#VALUE!</v>
      </c>
      <c r="FB254" t="e">
        <f>Europe!H573+"$F;@!/:H"</f>
        <v>#VALUE!</v>
      </c>
      <c r="FC254" t="e">
        <f>Europe!A574+"$F;@!/:I"</f>
        <v>#VALUE!</v>
      </c>
      <c r="FD254" t="e">
        <f>Europe!B574+"$F;@!/:J"</f>
        <v>#VALUE!</v>
      </c>
      <c r="FE254" t="e">
        <f>Europe!C574+"$F;@!/:K"</f>
        <v>#VALUE!</v>
      </c>
      <c r="FF254" t="e">
        <f>Europe!D574+"$F;@!/:L"</f>
        <v>#VALUE!</v>
      </c>
      <c r="FG254" t="e">
        <f>Europe!E574+"$F;@!/:M"</f>
        <v>#VALUE!</v>
      </c>
      <c r="FH254" t="e">
        <f>Europe!F574+"$F;@!/:N"</f>
        <v>#VALUE!</v>
      </c>
      <c r="FI254" t="e">
        <f>Europe!G574+"$F;@!/:O"</f>
        <v>#VALUE!</v>
      </c>
      <c r="FJ254" t="e">
        <f>Europe!H574+"$F;@!/:P"</f>
        <v>#VALUE!</v>
      </c>
      <c r="FK254" t="e">
        <f>Europe!A575+"$F;@!/:Q"</f>
        <v>#VALUE!</v>
      </c>
      <c r="FL254" t="e">
        <f>Europe!B575+"$F;@!/:R"</f>
        <v>#VALUE!</v>
      </c>
      <c r="FM254" t="e">
        <f>Europe!C575+"$F;@!/:S"</f>
        <v>#VALUE!</v>
      </c>
      <c r="FN254" t="e">
        <f>Europe!D575+"$F;@!/:T"</f>
        <v>#VALUE!</v>
      </c>
      <c r="FO254" t="e">
        <f>Europe!E575+"$F;@!/:U"</f>
        <v>#VALUE!</v>
      </c>
      <c r="FP254" t="e">
        <f>Europe!F575+"$F;@!/:V"</f>
        <v>#VALUE!</v>
      </c>
      <c r="FQ254" t="e">
        <f>Europe!G575+"$F;@!/:W"</f>
        <v>#VALUE!</v>
      </c>
      <c r="FR254" t="e">
        <f>Europe!H575+"$F;@!/:X"</f>
        <v>#VALUE!</v>
      </c>
      <c r="FS254" t="e">
        <f>Europe!A576+"$F;@!/:Y"</f>
        <v>#VALUE!</v>
      </c>
      <c r="FT254" t="e">
        <f>Europe!B576+"$F;@!/:Z"</f>
        <v>#VALUE!</v>
      </c>
      <c r="FU254" t="e">
        <f>Europe!C576+"$F;@!/:["</f>
        <v>#VALUE!</v>
      </c>
      <c r="FV254" t="e">
        <f>Europe!D576+"$F;@!/:\"</f>
        <v>#VALUE!</v>
      </c>
      <c r="FW254" t="e">
        <f>Europe!E576+"$F;@!/:]"</f>
        <v>#VALUE!</v>
      </c>
      <c r="FX254" t="e">
        <f>Europe!F576+"$F;@!/:^"</f>
        <v>#VALUE!</v>
      </c>
      <c r="FY254" t="e">
        <f>Europe!G576+"$F;@!/:_"</f>
        <v>#VALUE!</v>
      </c>
      <c r="FZ254" t="e">
        <f>Europe!H576+"$F;@!/:`"</f>
        <v>#VALUE!</v>
      </c>
      <c r="GA254" t="e">
        <f>Europe!A577+"$F;@!/:a"</f>
        <v>#VALUE!</v>
      </c>
      <c r="GB254" t="e">
        <f>Europe!B577+"$F;@!/:b"</f>
        <v>#VALUE!</v>
      </c>
      <c r="GC254" t="e">
        <f>Europe!C577+"$F;@!/:c"</f>
        <v>#VALUE!</v>
      </c>
      <c r="GD254" t="e">
        <f>Europe!D577+"$F;@!/:d"</f>
        <v>#VALUE!</v>
      </c>
      <c r="GE254" t="e">
        <f>Europe!E577+"$F;@!/:e"</f>
        <v>#VALUE!</v>
      </c>
      <c r="GF254" t="e">
        <f>Europe!F577+"$F;@!/:f"</f>
        <v>#VALUE!</v>
      </c>
      <c r="GG254" t="e">
        <f>Europe!G577+"$F;@!/:g"</f>
        <v>#VALUE!</v>
      </c>
      <c r="GH254" t="e">
        <f>Europe!H577+"$F;@!/:h"</f>
        <v>#VALUE!</v>
      </c>
      <c r="GI254" t="e">
        <f>Europe!A578+"$F;@!/:i"</f>
        <v>#VALUE!</v>
      </c>
      <c r="GJ254" t="e">
        <f>Europe!B578+"$F;@!/:j"</f>
        <v>#VALUE!</v>
      </c>
      <c r="GK254" t="e">
        <f>Europe!C578+"$F;@!/:k"</f>
        <v>#VALUE!</v>
      </c>
      <c r="GL254" t="e">
        <f>Europe!D578+"$F;@!/:l"</f>
        <v>#VALUE!</v>
      </c>
      <c r="GM254" t="e">
        <f>Europe!E578+"$F;@!/:m"</f>
        <v>#VALUE!</v>
      </c>
      <c r="GN254" t="e">
        <f>Europe!F578+"$F;@!/:n"</f>
        <v>#VALUE!</v>
      </c>
      <c r="GO254" t="e">
        <f>Europe!G578+"$F;@!/:o"</f>
        <v>#VALUE!</v>
      </c>
      <c r="GP254" t="e">
        <f>Europe!H578+"$F;@!/:p"</f>
        <v>#VALUE!</v>
      </c>
      <c r="GQ254" t="e">
        <f>Europe!A579+"$F;@!/:q"</f>
        <v>#VALUE!</v>
      </c>
      <c r="GR254" t="e">
        <f>Europe!B579+"$F;@!/:r"</f>
        <v>#VALUE!</v>
      </c>
      <c r="GS254" t="e">
        <f>Europe!C579+"$F;@!/:s"</f>
        <v>#VALUE!</v>
      </c>
      <c r="GT254" t="e">
        <f>Europe!D579+"$F;@!/:t"</f>
        <v>#VALUE!</v>
      </c>
      <c r="GU254" t="e">
        <f>Europe!E579+"$F;@!/:u"</f>
        <v>#VALUE!</v>
      </c>
      <c r="GV254" t="e">
        <f>Europe!F579+"$F;@!/:v"</f>
        <v>#VALUE!</v>
      </c>
      <c r="GW254" t="e">
        <f>Europe!G579+"$F;@!/:w"</f>
        <v>#VALUE!</v>
      </c>
      <c r="GX254" t="e">
        <f>Europe!H579+"$F;@!/:x"</f>
        <v>#VALUE!</v>
      </c>
      <c r="GY254" t="e">
        <f>Europe!A580+"$F;@!/:y"</f>
        <v>#VALUE!</v>
      </c>
      <c r="GZ254" t="e">
        <f>Europe!B580+"$F;@!/:z"</f>
        <v>#VALUE!</v>
      </c>
      <c r="HA254" t="e">
        <f>Europe!C580+"$F;@!/:{"</f>
        <v>#VALUE!</v>
      </c>
      <c r="HB254" t="e">
        <f>Europe!D580+"$F;@!/:|"</f>
        <v>#VALUE!</v>
      </c>
      <c r="HC254" t="e">
        <f>Europe!E580+"$F;@!/:}"</f>
        <v>#VALUE!</v>
      </c>
      <c r="HD254" t="e">
        <f>Europe!F580+"$F;@!/:~"</f>
        <v>#VALUE!</v>
      </c>
      <c r="HE254" t="e">
        <f>Europe!G580+"$F;@!/;#"</f>
        <v>#VALUE!</v>
      </c>
      <c r="HF254" t="e">
        <f>Europe!H580+"$F;@!/;$"</f>
        <v>#VALUE!</v>
      </c>
      <c r="HG254" t="e">
        <f>Europe!A581+"$F;@!/;%"</f>
        <v>#VALUE!</v>
      </c>
      <c r="HH254" t="e">
        <f>Europe!B581+"$F;@!/;&amp;"</f>
        <v>#VALUE!</v>
      </c>
      <c r="HI254" t="e">
        <f>Europe!C581+"$F;@!/;'"</f>
        <v>#VALUE!</v>
      </c>
      <c r="HJ254" t="e">
        <f>Europe!D581+"$F;@!/;("</f>
        <v>#VALUE!</v>
      </c>
      <c r="HK254" t="e">
        <f>Europe!E581+"$F;@!/;)"</f>
        <v>#VALUE!</v>
      </c>
      <c r="HL254" t="e">
        <f>Europe!F581+"$F;@!/;."</f>
        <v>#VALUE!</v>
      </c>
      <c r="HM254" t="e">
        <f>Europe!G581+"$F;@!/;/"</f>
        <v>#VALUE!</v>
      </c>
      <c r="HN254" t="e">
        <f>Europe!H581+"$F;@!/;0"</f>
        <v>#VALUE!</v>
      </c>
      <c r="HO254" t="e">
        <f>Europe!A582+"$F;@!/;1"</f>
        <v>#VALUE!</v>
      </c>
      <c r="HP254" t="e">
        <f>Europe!B582+"$F;@!/;2"</f>
        <v>#VALUE!</v>
      </c>
      <c r="HQ254" t="e">
        <f>Europe!C582+"$F;@!/;3"</f>
        <v>#VALUE!</v>
      </c>
      <c r="HR254" t="e">
        <f>Europe!D582+"$F;@!/;4"</f>
        <v>#VALUE!</v>
      </c>
      <c r="HS254" t="e">
        <f>Europe!E582+"$F;@!/;5"</f>
        <v>#VALUE!</v>
      </c>
      <c r="HT254" t="e">
        <f>Europe!F582+"$F;@!/;6"</f>
        <v>#VALUE!</v>
      </c>
      <c r="HU254" t="e">
        <f>Europe!G582+"$F;@!/;7"</f>
        <v>#VALUE!</v>
      </c>
      <c r="HV254" t="e">
        <f>Europe!H582+"$F;@!/;8"</f>
        <v>#VALUE!</v>
      </c>
      <c r="HW254" t="e">
        <f>Europe!A583+"$F;@!/;9"</f>
        <v>#VALUE!</v>
      </c>
      <c r="HX254" t="e">
        <f>Europe!B583+"$F;@!/;:"</f>
        <v>#VALUE!</v>
      </c>
      <c r="HY254" t="e">
        <f>Europe!C583+"$F;@!/;;"</f>
        <v>#VALUE!</v>
      </c>
      <c r="HZ254" t="e">
        <f>Europe!D583+"$F;@!/;&lt;"</f>
        <v>#VALUE!</v>
      </c>
      <c r="IA254" t="e">
        <f>Europe!E583+"$F;@!/;="</f>
        <v>#VALUE!</v>
      </c>
      <c r="IB254" t="e">
        <f>Europe!F583+"$F;@!/;&gt;"</f>
        <v>#VALUE!</v>
      </c>
      <c r="IC254" t="e">
        <f>Europe!G583+"$F;@!/;?"</f>
        <v>#VALUE!</v>
      </c>
      <c r="ID254" t="e">
        <f>Europe!H583+"$F;@!/;@"</f>
        <v>#VALUE!</v>
      </c>
      <c r="IE254" t="e">
        <f>Europe!A584+"$F;@!/;A"</f>
        <v>#VALUE!</v>
      </c>
      <c r="IF254" t="e">
        <f>Europe!B584+"$F;@!/;B"</f>
        <v>#VALUE!</v>
      </c>
      <c r="IG254" t="e">
        <f>Europe!C584+"$F;@!/;C"</f>
        <v>#VALUE!</v>
      </c>
      <c r="IH254" t="e">
        <f>Europe!D584+"$F;@!/;D"</f>
        <v>#VALUE!</v>
      </c>
      <c r="II254" t="e">
        <f>Europe!E584+"$F;@!/;E"</f>
        <v>#VALUE!</v>
      </c>
      <c r="IJ254" t="e">
        <f>Europe!F584+"$F;@!/;F"</f>
        <v>#VALUE!</v>
      </c>
      <c r="IK254" t="e">
        <f>Europe!G584+"$F;@!/;G"</f>
        <v>#VALUE!</v>
      </c>
      <c r="IL254" t="e">
        <f>Europe!H584+"$F;@!/;H"</f>
        <v>#VALUE!</v>
      </c>
      <c r="IM254" t="e">
        <f>Europe!A585+"$F;@!/;I"</f>
        <v>#VALUE!</v>
      </c>
      <c r="IN254" t="e">
        <f>Europe!B585+"$F;@!/;J"</f>
        <v>#VALUE!</v>
      </c>
      <c r="IO254" t="e">
        <f>Europe!C585+"$F;@!/;K"</f>
        <v>#VALUE!</v>
      </c>
      <c r="IP254" t="e">
        <f>Europe!D585+"$F;@!/;L"</f>
        <v>#VALUE!</v>
      </c>
      <c r="IQ254" t="e">
        <f>Europe!E585+"$F;@!/;M"</f>
        <v>#VALUE!</v>
      </c>
      <c r="IR254" t="e">
        <f>Europe!F585+"$F;@!/;N"</f>
        <v>#VALUE!</v>
      </c>
      <c r="IS254" t="e">
        <f>Europe!G585+"$F;@!/;O"</f>
        <v>#VALUE!</v>
      </c>
      <c r="IT254" t="e">
        <f>Europe!H585+"$F;@!/;P"</f>
        <v>#VALUE!</v>
      </c>
      <c r="IU254" t="e">
        <f>Europe!A586+"$F;@!/;Q"</f>
        <v>#VALUE!</v>
      </c>
      <c r="IV254" t="e">
        <f>Europe!B586+"$F;@!/;R"</f>
        <v>#VALUE!</v>
      </c>
    </row>
    <row r="255" spans="6:256" x14ac:dyDescent="0.35">
      <c r="F255" t="e">
        <f>Europe!C586+"$F;@!/;S"</f>
        <v>#VALUE!</v>
      </c>
      <c r="G255" t="e">
        <f>Europe!D586+"$F;@!/;T"</f>
        <v>#VALUE!</v>
      </c>
      <c r="H255" t="e">
        <f>Europe!E586+"$F;@!/;U"</f>
        <v>#VALUE!</v>
      </c>
      <c r="I255" t="e">
        <f>Europe!F586+"$F;@!/;V"</f>
        <v>#VALUE!</v>
      </c>
      <c r="J255" t="e">
        <f>Europe!G586+"$F;@!/;W"</f>
        <v>#VALUE!</v>
      </c>
      <c r="K255" t="e">
        <f>Europe!H586+"$F;@!/;X"</f>
        <v>#VALUE!</v>
      </c>
      <c r="L255" t="e">
        <f>Europe!A587+"$F;@!/;Y"</f>
        <v>#VALUE!</v>
      </c>
      <c r="M255" t="e">
        <f>Europe!B587+"$F;@!/;Z"</f>
        <v>#VALUE!</v>
      </c>
      <c r="N255" t="e">
        <f>Europe!C587+"$F;@!/;["</f>
        <v>#VALUE!</v>
      </c>
      <c r="O255" t="e">
        <f>Europe!D587+"$F;@!/;\"</f>
        <v>#VALUE!</v>
      </c>
      <c r="P255" t="e">
        <f>Europe!E587+"$F;@!/;]"</f>
        <v>#VALUE!</v>
      </c>
      <c r="Q255" t="e">
        <f>Europe!F587+"$F;@!/;^"</f>
        <v>#VALUE!</v>
      </c>
      <c r="R255" t="e">
        <f>Europe!G587+"$F;@!/;_"</f>
        <v>#VALUE!</v>
      </c>
      <c r="S255" t="e">
        <f>Europe!H587+"$F;@!/;`"</f>
        <v>#VALUE!</v>
      </c>
      <c r="T255" t="e">
        <f>Europe!A588+"$F;@!/;a"</f>
        <v>#VALUE!</v>
      </c>
      <c r="U255" t="e">
        <f>Europe!B588+"$F;@!/;b"</f>
        <v>#VALUE!</v>
      </c>
      <c r="V255" t="e">
        <f>Europe!C588+"$F;@!/;c"</f>
        <v>#VALUE!</v>
      </c>
      <c r="W255" t="e">
        <f>Europe!D588+"$F;@!/;d"</f>
        <v>#VALUE!</v>
      </c>
      <c r="X255" t="e">
        <f>Europe!E588+"$F;@!/;e"</f>
        <v>#VALUE!</v>
      </c>
      <c r="Y255" t="e">
        <f>Europe!F588+"$F;@!/;f"</f>
        <v>#VALUE!</v>
      </c>
      <c r="Z255" t="e">
        <f>Europe!G588+"$F;@!/;g"</f>
        <v>#VALUE!</v>
      </c>
      <c r="AA255" t="e">
        <f>Europe!H588+"$F;@!/;h"</f>
        <v>#VALUE!</v>
      </c>
      <c r="AB255" t="e">
        <f>Europe!A589+"$F;@!/;i"</f>
        <v>#VALUE!</v>
      </c>
      <c r="AC255" t="e">
        <f>Europe!B589+"$F;@!/;j"</f>
        <v>#VALUE!</v>
      </c>
      <c r="AD255" t="e">
        <f>Europe!C589+"$F;@!/;k"</f>
        <v>#VALUE!</v>
      </c>
      <c r="AE255" t="e">
        <f>Europe!D589+"$F;@!/;l"</f>
        <v>#VALUE!</v>
      </c>
      <c r="AF255" t="e">
        <f>Europe!E589+"$F;@!/;m"</f>
        <v>#VALUE!</v>
      </c>
      <c r="AG255" t="e">
        <f>Europe!F589+"$F;@!/;n"</f>
        <v>#VALUE!</v>
      </c>
      <c r="AH255" t="e">
        <f>Europe!G589+"$F;@!/;o"</f>
        <v>#VALUE!</v>
      </c>
      <c r="AI255" t="e">
        <f>Europe!H589+"$F;@!/;p"</f>
        <v>#VALUE!</v>
      </c>
      <c r="AJ255" t="e">
        <f>Europe!A590+"$F;@!/;q"</f>
        <v>#VALUE!</v>
      </c>
      <c r="AK255" t="e">
        <f>Europe!B590+"$F;@!/;r"</f>
        <v>#VALUE!</v>
      </c>
      <c r="AL255" t="e">
        <f>Europe!C590+"$F;@!/;s"</f>
        <v>#VALUE!</v>
      </c>
      <c r="AM255" t="e">
        <f>Europe!D590+"$F;@!/;t"</f>
        <v>#VALUE!</v>
      </c>
      <c r="AN255" t="e">
        <f>Europe!E590+"$F;@!/;u"</f>
        <v>#VALUE!</v>
      </c>
      <c r="AO255" t="e">
        <f>Europe!F590+"$F;@!/;v"</f>
        <v>#VALUE!</v>
      </c>
      <c r="AP255" t="e">
        <f>Europe!G590+"$F;@!/;w"</f>
        <v>#VALUE!</v>
      </c>
      <c r="AQ255" t="e">
        <f>Europe!H590+"$F;@!/;x"</f>
        <v>#VALUE!</v>
      </c>
      <c r="AR255" t="e">
        <f>Europe!A591+"$F;@!/;y"</f>
        <v>#VALUE!</v>
      </c>
      <c r="AS255" t="e">
        <f>Europe!B591+"$F;@!/;z"</f>
        <v>#VALUE!</v>
      </c>
      <c r="AT255" t="e">
        <f>Europe!C591+"$F;@!/;{"</f>
        <v>#VALUE!</v>
      </c>
      <c r="AU255" t="e">
        <f>Europe!D591+"$F;@!/;|"</f>
        <v>#VALUE!</v>
      </c>
      <c r="AV255" t="e">
        <f>Europe!E591+"$F;@!/;}"</f>
        <v>#VALUE!</v>
      </c>
      <c r="AW255" t="e">
        <f>Europe!F591+"$F;@!/;~"</f>
        <v>#VALUE!</v>
      </c>
      <c r="AX255" t="e">
        <f>Europe!G591+"$F;@!/&lt;#"</f>
        <v>#VALUE!</v>
      </c>
      <c r="AY255" t="e">
        <f>Europe!H591+"$F;@!/&lt;$"</f>
        <v>#VALUE!</v>
      </c>
      <c r="AZ255" t="e">
        <f>Europe!A592+"$F;@!/&lt;%"</f>
        <v>#VALUE!</v>
      </c>
      <c r="BA255" t="e">
        <f>Europe!B592+"$F;@!/&lt;&amp;"</f>
        <v>#VALUE!</v>
      </c>
      <c r="BB255" t="e">
        <f>Europe!C592+"$F;@!/&lt;'"</f>
        <v>#VALUE!</v>
      </c>
      <c r="BC255" t="e">
        <f>Europe!D592+"$F;@!/&lt;("</f>
        <v>#VALUE!</v>
      </c>
      <c r="BD255" t="e">
        <f>Europe!E592+"$F;@!/&lt;)"</f>
        <v>#VALUE!</v>
      </c>
      <c r="BE255" t="e">
        <f>Europe!F592+"$F;@!/&lt;."</f>
        <v>#VALUE!</v>
      </c>
      <c r="BF255" t="e">
        <f>Europe!G592+"$F;@!/&lt;/"</f>
        <v>#VALUE!</v>
      </c>
      <c r="BG255" t="e">
        <f>Europe!H592+"$F;@!/&lt;0"</f>
        <v>#VALUE!</v>
      </c>
      <c r="BH255" t="e">
        <f>Europe!A593+"$F;@!/&lt;1"</f>
        <v>#VALUE!</v>
      </c>
      <c r="BI255" t="e">
        <f>Europe!B593+"$F;@!/&lt;2"</f>
        <v>#VALUE!</v>
      </c>
      <c r="BJ255" t="e">
        <f>Europe!C593+"$F;@!/&lt;3"</f>
        <v>#VALUE!</v>
      </c>
      <c r="BK255" t="e">
        <f>Europe!D593+"$F;@!/&lt;4"</f>
        <v>#VALUE!</v>
      </c>
      <c r="BL255" t="e">
        <f>Europe!E593+"$F;@!/&lt;5"</f>
        <v>#VALUE!</v>
      </c>
      <c r="BM255" t="e">
        <f>Europe!F593+"$F;@!/&lt;6"</f>
        <v>#VALUE!</v>
      </c>
      <c r="BN255" t="e">
        <f>Europe!G593+"$F;@!/&lt;7"</f>
        <v>#VALUE!</v>
      </c>
      <c r="BO255" t="e">
        <f>Europe!H593+"$F;@!/&lt;8"</f>
        <v>#VALUE!</v>
      </c>
      <c r="BP255" t="e">
        <f>Europe!A594+"$F;@!/&lt;9"</f>
        <v>#VALUE!</v>
      </c>
      <c r="BQ255" t="e">
        <f>Europe!B594+"$F;@!/&lt;:"</f>
        <v>#VALUE!</v>
      </c>
      <c r="BR255" t="e">
        <f>Europe!C594+"$F;@!/&lt;;"</f>
        <v>#VALUE!</v>
      </c>
      <c r="BS255" t="e">
        <f>Europe!D594+"$F;@!/&lt;&lt;"</f>
        <v>#VALUE!</v>
      </c>
      <c r="BT255" t="e">
        <f>Europe!E594+"$F;@!/&lt;="</f>
        <v>#VALUE!</v>
      </c>
      <c r="BU255" t="e">
        <f>Europe!F594+"$F;@!/&lt;&gt;"</f>
        <v>#VALUE!</v>
      </c>
      <c r="BV255" t="e">
        <f>Europe!G594+"$F;@!/&lt;?"</f>
        <v>#VALUE!</v>
      </c>
      <c r="BW255" t="e">
        <f>Europe!H594+"$F;@!/&lt;@"</f>
        <v>#VALUE!</v>
      </c>
      <c r="BX255" t="e">
        <f>Europe!A595+"$F;@!/&lt;A"</f>
        <v>#VALUE!</v>
      </c>
      <c r="BY255" t="e">
        <f>Europe!B595+"$F;@!/&lt;B"</f>
        <v>#VALUE!</v>
      </c>
      <c r="BZ255" t="e">
        <f>Europe!C595+"$F;@!/&lt;C"</f>
        <v>#VALUE!</v>
      </c>
      <c r="CA255" t="e">
        <f>Europe!D595+"$F;@!/&lt;D"</f>
        <v>#VALUE!</v>
      </c>
      <c r="CB255" t="e">
        <f>Europe!E595+"$F;@!/&lt;E"</f>
        <v>#VALUE!</v>
      </c>
      <c r="CC255" t="e">
        <f>Europe!F595+"$F;@!/&lt;F"</f>
        <v>#VALUE!</v>
      </c>
      <c r="CD255" t="e">
        <f>Europe!G595+"$F;@!/&lt;G"</f>
        <v>#VALUE!</v>
      </c>
      <c r="CE255" t="e">
        <f>Europe!H595+"$F;@!/&lt;H"</f>
        <v>#VALUE!</v>
      </c>
      <c r="CF255" t="e">
        <f>Europe!A596+"$F;@!/&lt;I"</f>
        <v>#VALUE!</v>
      </c>
      <c r="CG255" t="e">
        <f>Europe!B596+"$F;@!/&lt;J"</f>
        <v>#VALUE!</v>
      </c>
      <c r="CH255" t="e">
        <f>Europe!C596+"$F;@!/&lt;K"</f>
        <v>#VALUE!</v>
      </c>
      <c r="CI255" t="e">
        <f>Europe!D596+"$F;@!/&lt;L"</f>
        <v>#VALUE!</v>
      </c>
      <c r="CJ255" t="e">
        <f>Europe!E596+"$F;@!/&lt;M"</f>
        <v>#VALUE!</v>
      </c>
      <c r="CK255" t="e">
        <f>Europe!F596+"$F;@!/&lt;N"</f>
        <v>#VALUE!</v>
      </c>
      <c r="CL255" t="e">
        <f>Europe!G596+"$F;@!/&lt;O"</f>
        <v>#VALUE!</v>
      </c>
      <c r="CM255" t="e">
        <f>Europe!H596+"$F;@!/&lt;P"</f>
        <v>#VALUE!</v>
      </c>
      <c r="CN255" t="e">
        <f>Europe!A597+"$F;@!/&lt;Q"</f>
        <v>#VALUE!</v>
      </c>
      <c r="CO255" t="e">
        <f>Europe!B597+"$F;@!/&lt;R"</f>
        <v>#VALUE!</v>
      </c>
      <c r="CP255" t="e">
        <f>Europe!C597+"$F;@!/&lt;S"</f>
        <v>#VALUE!</v>
      </c>
      <c r="CQ255" t="e">
        <f>Europe!D597+"$F;@!/&lt;T"</f>
        <v>#VALUE!</v>
      </c>
      <c r="CR255" t="e">
        <f>Europe!E597+"$F;@!/&lt;U"</f>
        <v>#VALUE!</v>
      </c>
      <c r="CS255" t="e">
        <f>Europe!F597+"$F;@!/&lt;V"</f>
        <v>#VALUE!</v>
      </c>
      <c r="CT255" t="e">
        <f>Europe!G597+"$F;@!/&lt;W"</f>
        <v>#VALUE!</v>
      </c>
      <c r="CU255" t="e">
        <f>Europe!H597+"$F;@!/&lt;X"</f>
        <v>#VALUE!</v>
      </c>
      <c r="CV255" t="e">
        <f>Europe!A598+"$F;@!/&lt;Y"</f>
        <v>#VALUE!</v>
      </c>
      <c r="CW255" t="e">
        <f>Europe!B598+"$F;@!/&lt;Z"</f>
        <v>#VALUE!</v>
      </c>
      <c r="CX255" t="e">
        <f>Europe!C598+"$F;@!/&lt;["</f>
        <v>#VALUE!</v>
      </c>
      <c r="CY255" t="e">
        <f>Europe!D598+"$F;@!/&lt;\"</f>
        <v>#VALUE!</v>
      </c>
      <c r="CZ255" t="e">
        <f>Europe!E598+"$F;@!/&lt;]"</f>
        <v>#VALUE!</v>
      </c>
      <c r="DA255" t="e">
        <f>Europe!F598+"$F;@!/&lt;^"</f>
        <v>#VALUE!</v>
      </c>
      <c r="DB255" t="e">
        <f>Europe!G598+"$F;@!/&lt;_"</f>
        <v>#VALUE!</v>
      </c>
      <c r="DC255" t="e">
        <f>Europe!H598+"$F;@!/&lt;`"</f>
        <v>#VALUE!</v>
      </c>
      <c r="DD255" t="e">
        <f>Europe!A599+"$F;@!/&lt;a"</f>
        <v>#VALUE!</v>
      </c>
      <c r="DE255" t="e">
        <f>Europe!B599+"$F;@!/&lt;b"</f>
        <v>#VALUE!</v>
      </c>
      <c r="DF255" t="e">
        <f>Europe!C599+"$F;@!/&lt;c"</f>
        <v>#VALUE!</v>
      </c>
      <c r="DG255" t="e">
        <f>Europe!D599+"$F;@!/&lt;d"</f>
        <v>#VALUE!</v>
      </c>
      <c r="DH255" t="e">
        <f>Europe!E599+"$F;@!/&lt;e"</f>
        <v>#VALUE!</v>
      </c>
      <c r="DI255" t="e">
        <f>Europe!F599+"$F;@!/&lt;f"</f>
        <v>#VALUE!</v>
      </c>
      <c r="DJ255" t="e">
        <f>Europe!G599+"$F;@!/&lt;g"</f>
        <v>#VALUE!</v>
      </c>
      <c r="DK255" t="e">
        <f>Europe!H599+"$F;@!/&lt;h"</f>
        <v>#VALUE!</v>
      </c>
      <c r="DL255" t="e">
        <f>Europe!A600+"$F;@!/&lt;i"</f>
        <v>#VALUE!</v>
      </c>
      <c r="DM255" t="e">
        <f>Europe!B600+"$F;@!/&lt;j"</f>
        <v>#VALUE!</v>
      </c>
      <c r="DN255" t="e">
        <f>Europe!C600+"$F;@!/&lt;k"</f>
        <v>#VALUE!</v>
      </c>
      <c r="DO255" t="e">
        <f>Europe!D600+"$F;@!/&lt;l"</f>
        <v>#VALUE!</v>
      </c>
      <c r="DP255" t="e">
        <f>Europe!E600+"$F;@!/&lt;m"</f>
        <v>#VALUE!</v>
      </c>
      <c r="DQ255" t="e">
        <f>Europe!F600+"$F;@!/&lt;n"</f>
        <v>#VALUE!</v>
      </c>
      <c r="DR255" t="e">
        <f>Europe!G600+"$F;@!/&lt;o"</f>
        <v>#VALUE!</v>
      </c>
      <c r="DS255" t="e">
        <f>Europe!H600+"$F;@!/&lt;p"</f>
        <v>#VALUE!</v>
      </c>
      <c r="DT255" t="e">
        <f>Europe!A601+"$F;@!/&lt;q"</f>
        <v>#VALUE!</v>
      </c>
      <c r="DU255" t="e">
        <f>Europe!B601+"$F;@!/&lt;r"</f>
        <v>#VALUE!</v>
      </c>
      <c r="DV255" t="e">
        <f>Europe!C601+"$F;@!/&lt;s"</f>
        <v>#VALUE!</v>
      </c>
      <c r="DW255" t="e">
        <f>Europe!D601+"$F;@!/&lt;t"</f>
        <v>#VALUE!</v>
      </c>
      <c r="DX255" t="e">
        <f>Europe!E601+"$F;@!/&lt;u"</f>
        <v>#VALUE!</v>
      </c>
      <c r="DY255" t="e">
        <f>Europe!F601+"$F;@!/&lt;v"</f>
        <v>#VALUE!</v>
      </c>
      <c r="DZ255" t="e">
        <f>Europe!G601+"$F;@!/&lt;w"</f>
        <v>#VALUE!</v>
      </c>
      <c r="EA255" t="e">
        <f>Europe!H601+"$F;@!/&lt;x"</f>
        <v>#VALUE!</v>
      </c>
      <c r="EB255" t="e">
        <f>Europe!A602+"$F;@!/&lt;y"</f>
        <v>#VALUE!</v>
      </c>
      <c r="EC255" t="e">
        <f>Europe!B602+"$F;@!/&lt;z"</f>
        <v>#VALUE!</v>
      </c>
      <c r="ED255" t="e">
        <f>Europe!C602+"$F;@!/&lt;{"</f>
        <v>#VALUE!</v>
      </c>
      <c r="EE255" t="e">
        <f>Europe!D602+"$F;@!/&lt;|"</f>
        <v>#VALUE!</v>
      </c>
      <c r="EF255" t="e">
        <f>Europe!E602+"$F;@!/&lt;}"</f>
        <v>#VALUE!</v>
      </c>
      <c r="EG255" t="e">
        <f>Europe!F602+"$F;@!/&lt;~"</f>
        <v>#VALUE!</v>
      </c>
      <c r="EH255" t="e">
        <f>Europe!G602+"$F;@!/=#"</f>
        <v>#VALUE!</v>
      </c>
      <c r="EI255" t="e">
        <f>Europe!H602+"$F;@!/=$"</f>
        <v>#VALUE!</v>
      </c>
      <c r="EJ255" t="e">
        <f>Europe!A603+"$F;@!/=%"</f>
        <v>#VALUE!</v>
      </c>
      <c r="EK255" t="e">
        <f>Europe!B603+"$F;@!/=&amp;"</f>
        <v>#VALUE!</v>
      </c>
      <c r="EL255" t="e">
        <f>Europe!C603+"$F;@!/='"</f>
        <v>#VALUE!</v>
      </c>
      <c r="EM255" t="e">
        <f>Europe!D603+"$F;@!/=("</f>
        <v>#VALUE!</v>
      </c>
      <c r="EN255" t="e">
        <f>Europe!E603+"$F;@!/=)"</f>
        <v>#VALUE!</v>
      </c>
      <c r="EO255" t="e">
        <f>Europe!F603+"$F;@!/=."</f>
        <v>#VALUE!</v>
      </c>
      <c r="EP255" t="e">
        <f>Europe!G603+"$F;@!/=/"</f>
        <v>#VALUE!</v>
      </c>
      <c r="EQ255" t="e">
        <f>Europe!H603+"$F;@!/=0"</f>
        <v>#VALUE!</v>
      </c>
      <c r="ER255" t="e">
        <f>Europe!A604+"$F;@!/=1"</f>
        <v>#VALUE!</v>
      </c>
      <c r="ES255" t="e">
        <f>Europe!B604+"$F;@!/=2"</f>
        <v>#VALUE!</v>
      </c>
      <c r="ET255" t="e">
        <f>Europe!C604+"$F;@!/=3"</f>
        <v>#VALUE!</v>
      </c>
      <c r="EU255" t="e">
        <f>Europe!D604+"$F;@!/=4"</f>
        <v>#VALUE!</v>
      </c>
      <c r="EV255" t="e">
        <f>Europe!E604+"$F;@!/=5"</f>
        <v>#VALUE!</v>
      </c>
      <c r="EW255" t="e">
        <f>Europe!F604+"$F;@!/=6"</f>
        <v>#VALUE!</v>
      </c>
      <c r="EX255" t="e">
        <f>Europe!G604+"$F;@!/=7"</f>
        <v>#VALUE!</v>
      </c>
      <c r="EY255" t="e">
        <f>Europe!H604+"$F;@!/=8"</f>
        <v>#VALUE!</v>
      </c>
      <c r="EZ255" t="e">
        <f>Europe!A605+"$F;@!/=9"</f>
        <v>#VALUE!</v>
      </c>
      <c r="FA255" t="e">
        <f>Europe!B605+"$F;@!/=:"</f>
        <v>#VALUE!</v>
      </c>
      <c r="FB255" t="e">
        <f>Europe!C605+"$F;@!/=;"</f>
        <v>#VALUE!</v>
      </c>
      <c r="FC255" t="e">
        <f>Europe!D605+"$F;@!/=&lt;"</f>
        <v>#VALUE!</v>
      </c>
      <c r="FD255" t="e">
        <f>Europe!E605+"$F;@!/=="</f>
        <v>#VALUE!</v>
      </c>
      <c r="FE255" t="e">
        <f>Europe!F605+"$F;@!/=&gt;"</f>
        <v>#VALUE!</v>
      </c>
      <c r="FF255" t="e">
        <f>Europe!G605+"$F;@!/=?"</f>
        <v>#VALUE!</v>
      </c>
      <c r="FG255" t="e">
        <f>Europe!H605+"$F;@!/=@"</f>
        <v>#VALUE!</v>
      </c>
      <c r="FH255" t="e">
        <f>Europe!A606+"$F;@!/=A"</f>
        <v>#VALUE!</v>
      </c>
      <c r="FI255" t="e">
        <f>Europe!B606+"$F;@!/=B"</f>
        <v>#VALUE!</v>
      </c>
      <c r="FJ255" t="e">
        <f>Europe!C606+"$F;@!/=C"</f>
        <v>#VALUE!</v>
      </c>
      <c r="FK255" t="e">
        <f>Europe!D606+"$F;@!/=D"</f>
        <v>#VALUE!</v>
      </c>
      <c r="FL255" t="e">
        <f>Europe!E606+"$F;@!/=E"</f>
        <v>#VALUE!</v>
      </c>
      <c r="FM255" t="e">
        <f>Europe!F606+"$F;@!/=F"</f>
        <v>#VALUE!</v>
      </c>
      <c r="FN255" t="e">
        <f>Europe!G606+"$F;@!/=G"</f>
        <v>#VALUE!</v>
      </c>
      <c r="FO255" t="e">
        <f>Europe!H606+"$F;@!/=H"</f>
        <v>#VALUE!</v>
      </c>
      <c r="FP255" t="e">
        <f>Europe!A607+"$F;@!/=I"</f>
        <v>#VALUE!</v>
      </c>
      <c r="FQ255" t="e">
        <f>Europe!B607+"$F;@!/=J"</f>
        <v>#VALUE!</v>
      </c>
      <c r="FR255" t="e">
        <f>Europe!C607+"$F;@!/=K"</f>
        <v>#VALUE!</v>
      </c>
      <c r="FS255" t="e">
        <f>Europe!D607+"$F;@!/=L"</f>
        <v>#VALUE!</v>
      </c>
      <c r="FT255" t="e">
        <f>Europe!E607+"$F;@!/=M"</f>
        <v>#VALUE!</v>
      </c>
      <c r="FU255" t="e">
        <f>Europe!F607+"$F;@!/=N"</f>
        <v>#VALUE!</v>
      </c>
      <c r="FV255" t="e">
        <f>Europe!G607+"$F;@!/=O"</f>
        <v>#VALUE!</v>
      </c>
      <c r="FW255" t="e">
        <f>Europe!H607+"$F;@!/=P"</f>
        <v>#VALUE!</v>
      </c>
      <c r="FX255" t="e">
        <f>Europe!A608+"$F;@!/=Q"</f>
        <v>#VALUE!</v>
      </c>
      <c r="FY255" t="e">
        <f>Europe!B608+"$F;@!/=R"</f>
        <v>#VALUE!</v>
      </c>
      <c r="FZ255" t="e">
        <f>Europe!C608+"$F;@!/=S"</f>
        <v>#VALUE!</v>
      </c>
      <c r="GA255" t="e">
        <f>Europe!D608+"$F;@!/=T"</f>
        <v>#VALUE!</v>
      </c>
      <c r="GB255" t="e">
        <f>Europe!E608+"$F;@!/=U"</f>
        <v>#VALUE!</v>
      </c>
      <c r="GC255" t="e">
        <f>Europe!F608+"$F;@!/=V"</f>
        <v>#VALUE!</v>
      </c>
      <c r="GD255" t="e">
        <f>Europe!G608+"$F;@!/=W"</f>
        <v>#VALUE!</v>
      </c>
      <c r="GE255" t="e">
        <f>Europe!H608+"$F;@!/=X"</f>
        <v>#VALUE!</v>
      </c>
      <c r="GF255" t="e">
        <f>Europe!A609+"$F;@!/=Y"</f>
        <v>#VALUE!</v>
      </c>
      <c r="GG255" t="e">
        <f>Europe!B609+"$F;@!/=Z"</f>
        <v>#VALUE!</v>
      </c>
      <c r="GH255" t="e">
        <f>Europe!C609+"$F;@!/=["</f>
        <v>#VALUE!</v>
      </c>
      <c r="GI255" t="e">
        <f>Europe!D609+"$F;@!/=\"</f>
        <v>#VALUE!</v>
      </c>
      <c r="GJ255" t="e">
        <f>Europe!E609+"$F;@!/=]"</f>
        <v>#VALUE!</v>
      </c>
      <c r="GK255" t="e">
        <f>Europe!F609+"$F;@!/=^"</f>
        <v>#VALUE!</v>
      </c>
      <c r="GL255" t="e">
        <f>Europe!G609+"$F;@!/=_"</f>
        <v>#VALUE!</v>
      </c>
      <c r="GM255" t="e">
        <f>Europe!H609+"$F;@!/=`"</f>
        <v>#VALUE!</v>
      </c>
      <c r="GN255" t="e">
        <f>Europe!A610+"$F;@!/=a"</f>
        <v>#VALUE!</v>
      </c>
      <c r="GO255" t="e">
        <f>Europe!B610+"$F;@!/=b"</f>
        <v>#VALUE!</v>
      </c>
      <c r="GP255" t="e">
        <f>Europe!C610+"$F;@!/=c"</f>
        <v>#VALUE!</v>
      </c>
      <c r="GQ255" t="e">
        <f>Europe!D610+"$F;@!/=d"</f>
        <v>#VALUE!</v>
      </c>
      <c r="GR255" t="e">
        <f>Europe!E610+"$F;@!/=e"</f>
        <v>#VALUE!</v>
      </c>
      <c r="GS255" t="e">
        <f>Europe!F610+"$F;@!/=f"</f>
        <v>#VALUE!</v>
      </c>
      <c r="GT255" t="e">
        <f>Europe!G610+"$F;@!/=g"</f>
        <v>#VALUE!</v>
      </c>
      <c r="GU255" t="e">
        <f>Europe!H610+"$F;@!/=h"</f>
        <v>#VALUE!</v>
      </c>
      <c r="GV255" t="e">
        <f>Europe!A611+"$F;@!/=i"</f>
        <v>#VALUE!</v>
      </c>
      <c r="GW255" t="e">
        <f>Europe!B611+"$F;@!/=j"</f>
        <v>#VALUE!</v>
      </c>
      <c r="GX255" t="e">
        <f>Europe!C611+"$F;@!/=k"</f>
        <v>#VALUE!</v>
      </c>
      <c r="GY255" t="e">
        <f>Europe!D611+"$F;@!/=l"</f>
        <v>#VALUE!</v>
      </c>
      <c r="GZ255" t="e">
        <f>Europe!E611+"$F;@!/=m"</f>
        <v>#VALUE!</v>
      </c>
      <c r="HA255" t="e">
        <f>Europe!F611+"$F;@!/=n"</f>
        <v>#VALUE!</v>
      </c>
      <c r="HB255" t="e">
        <f>Europe!G611+"$F;@!/=o"</f>
        <v>#VALUE!</v>
      </c>
      <c r="HC255" t="e">
        <f>Europe!H611+"$F;@!/=p"</f>
        <v>#VALUE!</v>
      </c>
      <c r="HD255" t="e">
        <f>Europe!A612+"$F;@!/=q"</f>
        <v>#VALUE!</v>
      </c>
      <c r="HE255" t="e">
        <f>Europe!B612+"$F;@!/=r"</f>
        <v>#VALUE!</v>
      </c>
      <c r="HF255" t="e">
        <f>Europe!C612+"$F;@!/=s"</f>
        <v>#VALUE!</v>
      </c>
      <c r="HG255" t="e">
        <f>Europe!D612+"$F;@!/=t"</f>
        <v>#VALUE!</v>
      </c>
      <c r="HH255" t="e">
        <f>Europe!E612+"$F;@!/=u"</f>
        <v>#VALUE!</v>
      </c>
      <c r="HI255" t="e">
        <f>Europe!F612+"$F;@!/=v"</f>
        <v>#VALUE!</v>
      </c>
      <c r="HJ255" t="e">
        <f>Europe!G612+"$F;@!/=w"</f>
        <v>#VALUE!</v>
      </c>
      <c r="HK255" t="e">
        <f>Europe!H612+"$F;@!/=x"</f>
        <v>#VALUE!</v>
      </c>
      <c r="HL255" t="e">
        <f>Europe!A613+"$F;@!/=y"</f>
        <v>#VALUE!</v>
      </c>
      <c r="HM255" t="e">
        <f>Europe!B613+"$F;@!/=z"</f>
        <v>#VALUE!</v>
      </c>
      <c r="HN255" t="e">
        <f>Europe!C613+"$F;@!/={"</f>
        <v>#VALUE!</v>
      </c>
      <c r="HO255" t="e">
        <f>Europe!D613+"$F;@!/=|"</f>
        <v>#VALUE!</v>
      </c>
      <c r="HP255" t="e">
        <f>Europe!E613+"$F;@!/=}"</f>
        <v>#VALUE!</v>
      </c>
      <c r="HQ255" t="e">
        <f>Europe!F613+"$F;@!/=~"</f>
        <v>#VALUE!</v>
      </c>
      <c r="HR255" t="e">
        <f>Europe!G613+"$F;@!/&gt;#"</f>
        <v>#VALUE!</v>
      </c>
      <c r="HS255" t="e">
        <f>Europe!H613+"$F;@!/&gt;$"</f>
        <v>#VALUE!</v>
      </c>
      <c r="HT255" t="e">
        <f>Europe!A614+"$F;@!/&gt;%"</f>
        <v>#VALUE!</v>
      </c>
      <c r="HU255" t="e">
        <f>Europe!B614+"$F;@!/&gt;&amp;"</f>
        <v>#VALUE!</v>
      </c>
      <c r="HV255" t="e">
        <f>Europe!C614+"$F;@!/&gt;'"</f>
        <v>#VALUE!</v>
      </c>
      <c r="HW255" t="e">
        <f>Europe!D614+"$F;@!/&gt;("</f>
        <v>#VALUE!</v>
      </c>
      <c r="HX255" t="e">
        <f>Europe!E614+"$F;@!/&gt;)"</f>
        <v>#VALUE!</v>
      </c>
      <c r="HY255" t="e">
        <f>Europe!F614+"$F;@!/&gt;."</f>
        <v>#VALUE!</v>
      </c>
      <c r="HZ255" t="e">
        <f>Europe!G614+"$F;@!/&gt;/"</f>
        <v>#VALUE!</v>
      </c>
      <c r="IA255" t="e">
        <f>Europe!H614+"$F;@!/&gt;0"</f>
        <v>#VALUE!</v>
      </c>
      <c r="IB255" t="e">
        <f>Europe!A615+"$F;@!/&gt;1"</f>
        <v>#VALUE!</v>
      </c>
      <c r="IC255" t="e">
        <f>Europe!B615+"$F;@!/&gt;2"</f>
        <v>#VALUE!</v>
      </c>
      <c r="ID255" t="e">
        <f>Europe!C615+"$F;@!/&gt;3"</f>
        <v>#VALUE!</v>
      </c>
      <c r="IE255" t="e">
        <f>Europe!D615+"$F;@!/&gt;4"</f>
        <v>#VALUE!</v>
      </c>
      <c r="IF255" t="e">
        <f>Europe!E615+"$F;@!/&gt;5"</f>
        <v>#VALUE!</v>
      </c>
      <c r="IG255" t="e">
        <f>Europe!F615+"$F;@!/&gt;6"</f>
        <v>#VALUE!</v>
      </c>
      <c r="IH255" t="e">
        <f>Europe!G615+"$F;@!/&gt;7"</f>
        <v>#VALUE!</v>
      </c>
      <c r="II255" t="e">
        <f>Europe!H615+"$F;@!/&gt;8"</f>
        <v>#VALUE!</v>
      </c>
      <c r="IJ255" t="e">
        <f>Europe!A616+"$F;@!/&gt;9"</f>
        <v>#VALUE!</v>
      </c>
      <c r="IK255" t="e">
        <f>Europe!B616+"$F;@!/&gt;:"</f>
        <v>#VALUE!</v>
      </c>
      <c r="IL255" t="e">
        <f>Europe!C616+"$F;@!/&gt;;"</f>
        <v>#VALUE!</v>
      </c>
      <c r="IM255" t="e">
        <f>Europe!D616+"$F;@!/&gt;&lt;"</f>
        <v>#VALUE!</v>
      </c>
      <c r="IN255" t="e">
        <f>Europe!E616+"$F;@!/&gt;="</f>
        <v>#VALUE!</v>
      </c>
      <c r="IO255" t="e">
        <f>Europe!F616+"$F;@!/&gt;&gt;"</f>
        <v>#VALUE!</v>
      </c>
      <c r="IP255" t="e">
        <f>Europe!G616+"$F;@!/&gt;?"</f>
        <v>#VALUE!</v>
      </c>
      <c r="IQ255" t="e">
        <f>Europe!H616+"$F;@!/&gt;@"</f>
        <v>#VALUE!</v>
      </c>
      <c r="IR255" t="e">
        <f>Europe!A617+"$F;@!/&gt;A"</f>
        <v>#VALUE!</v>
      </c>
      <c r="IS255" t="e">
        <f>Europe!B617+"$F;@!/&gt;B"</f>
        <v>#VALUE!</v>
      </c>
      <c r="IT255" t="e">
        <f>Europe!C617+"$F;@!/&gt;C"</f>
        <v>#VALUE!</v>
      </c>
      <c r="IU255" t="e">
        <f>Europe!D617+"$F;@!/&gt;D"</f>
        <v>#VALUE!</v>
      </c>
      <c r="IV255" t="e">
        <f>Europe!E617+"$F;@!/&gt;E"</f>
        <v>#VALUE!</v>
      </c>
    </row>
    <row r="256" spans="6:256" x14ac:dyDescent="0.35">
      <c r="F256" t="e">
        <f>Europe!F617+"$F;@!/&gt;F"</f>
        <v>#VALUE!</v>
      </c>
      <c r="G256" t="e">
        <f>Europe!G617+"$F;@!/&gt;G"</f>
        <v>#VALUE!</v>
      </c>
      <c r="H256" t="e">
        <f>Europe!H617+"$F;@!/&gt;H"</f>
        <v>#VALUE!</v>
      </c>
      <c r="I256" t="e">
        <f>Europe!A618+"$F;@!/&gt;I"</f>
        <v>#VALUE!</v>
      </c>
      <c r="J256" t="e">
        <f>Europe!B618+"$F;@!/&gt;J"</f>
        <v>#VALUE!</v>
      </c>
      <c r="K256" t="e">
        <f>Europe!C618+"$F;@!/&gt;K"</f>
        <v>#VALUE!</v>
      </c>
      <c r="L256" t="e">
        <f>Europe!D618+"$F;@!/&gt;L"</f>
        <v>#VALUE!</v>
      </c>
      <c r="M256" t="e">
        <f>Europe!E618+"$F;@!/&gt;M"</f>
        <v>#VALUE!</v>
      </c>
      <c r="N256" t="e">
        <f>Europe!F618+"$F;@!/&gt;N"</f>
        <v>#VALUE!</v>
      </c>
      <c r="O256" t="e">
        <f>Europe!G618+"$F;@!/&gt;O"</f>
        <v>#VALUE!</v>
      </c>
      <c r="P256" t="e">
        <f>Europe!H618+"$F;@!/&gt;P"</f>
        <v>#VALUE!</v>
      </c>
      <c r="Q256" t="e">
        <f>Europe!A619+"$F;@!/&gt;Q"</f>
        <v>#VALUE!</v>
      </c>
      <c r="R256" t="e">
        <f>Europe!B619+"$F;@!/&gt;R"</f>
        <v>#VALUE!</v>
      </c>
      <c r="S256" t="e">
        <f>Europe!C619+"$F;@!/&gt;S"</f>
        <v>#VALUE!</v>
      </c>
      <c r="T256" t="e">
        <f>Europe!D619+"$F;@!/&gt;T"</f>
        <v>#VALUE!</v>
      </c>
      <c r="U256" t="e">
        <f>Europe!E619+"$F;@!/&gt;U"</f>
        <v>#VALUE!</v>
      </c>
      <c r="V256" t="e">
        <f>Europe!F619+"$F;@!/&gt;V"</f>
        <v>#VALUE!</v>
      </c>
      <c r="W256" t="e">
        <f>Europe!G619+"$F;@!/&gt;W"</f>
        <v>#VALUE!</v>
      </c>
      <c r="X256" t="e">
        <f>Europe!H619+"$F;@!/&gt;X"</f>
        <v>#VALUE!</v>
      </c>
      <c r="Y256" t="e">
        <f>Europe!A620+"$F;@!/&gt;Y"</f>
        <v>#VALUE!</v>
      </c>
      <c r="Z256" t="e">
        <f>Europe!B620+"$F;@!/&gt;Z"</f>
        <v>#VALUE!</v>
      </c>
      <c r="AA256" t="e">
        <f>Europe!C620+"$F;@!/&gt;["</f>
        <v>#VALUE!</v>
      </c>
      <c r="AB256" t="e">
        <f>Europe!D620+"$F;@!/&gt;\"</f>
        <v>#VALUE!</v>
      </c>
      <c r="AC256" t="e">
        <f>Europe!E620+"$F;@!/&gt;]"</f>
        <v>#VALUE!</v>
      </c>
      <c r="AD256" t="e">
        <f>Europe!F620+"$F;@!/&gt;^"</f>
        <v>#VALUE!</v>
      </c>
      <c r="AE256" t="e">
        <f>Europe!G620+"$F;@!/&gt;_"</f>
        <v>#VALUE!</v>
      </c>
      <c r="AF256" t="e">
        <f>Europe!H620+"$F;@!/&gt;`"</f>
        <v>#VALUE!</v>
      </c>
      <c r="AG256" t="e">
        <f>Europe!A621+"$F;@!/&gt;a"</f>
        <v>#VALUE!</v>
      </c>
      <c r="AH256" t="e">
        <f>Europe!B621+"$F;@!/&gt;b"</f>
        <v>#VALUE!</v>
      </c>
      <c r="AI256" t="e">
        <f>Europe!C621+"$F;@!/&gt;c"</f>
        <v>#VALUE!</v>
      </c>
      <c r="AJ256" t="e">
        <f>Europe!D621+"$F;@!/&gt;d"</f>
        <v>#VALUE!</v>
      </c>
      <c r="AK256" t="e">
        <f>Europe!E621+"$F;@!/&gt;e"</f>
        <v>#VALUE!</v>
      </c>
      <c r="AL256" t="e">
        <f>Europe!F621+"$F;@!/&gt;f"</f>
        <v>#VALUE!</v>
      </c>
      <c r="AM256" t="e">
        <f>Europe!G621+"$F;@!/&gt;g"</f>
        <v>#VALUE!</v>
      </c>
      <c r="AN256" t="e">
        <f>Europe!H621+"$F;@!/&gt;h"</f>
        <v>#VALUE!</v>
      </c>
      <c r="AO256" t="e">
        <f>Europe!A622+"$F;@!/&gt;i"</f>
        <v>#VALUE!</v>
      </c>
      <c r="AP256" t="e">
        <f>Europe!B622+"$F;@!/&gt;j"</f>
        <v>#VALUE!</v>
      </c>
      <c r="AQ256" t="e">
        <f>Europe!C622+"$F;@!/&gt;k"</f>
        <v>#VALUE!</v>
      </c>
      <c r="AR256" t="e">
        <f>Europe!D622+"$F;@!/&gt;l"</f>
        <v>#VALUE!</v>
      </c>
      <c r="AS256" t="e">
        <f>Europe!E622+"$F;@!/&gt;m"</f>
        <v>#VALUE!</v>
      </c>
      <c r="AT256" t="e">
        <f>Europe!F622+"$F;@!/&gt;n"</f>
        <v>#VALUE!</v>
      </c>
      <c r="AU256" t="e">
        <f>Europe!G622+"$F;@!/&gt;o"</f>
        <v>#VALUE!</v>
      </c>
      <c r="AV256" t="e">
        <f>Europe!H622+"$F;@!/&gt;p"</f>
        <v>#VALUE!</v>
      </c>
      <c r="AW256" t="e">
        <f>Europe!A623+"$F;@!/&gt;q"</f>
        <v>#VALUE!</v>
      </c>
      <c r="AX256" t="e">
        <f>Europe!B623+"$F;@!/&gt;r"</f>
        <v>#VALUE!</v>
      </c>
      <c r="AY256" t="e">
        <f>Europe!C623+"$F;@!/&gt;s"</f>
        <v>#VALUE!</v>
      </c>
      <c r="AZ256" t="e">
        <f>Europe!D623+"$F;@!/&gt;t"</f>
        <v>#VALUE!</v>
      </c>
      <c r="BA256" t="e">
        <f>Europe!E623+"$F;@!/&gt;u"</f>
        <v>#VALUE!</v>
      </c>
      <c r="BB256" t="e">
        <f>Europe!F623+"$F;@!/&gt;v"</f>
        <v>#VALUE!</v>
      </c>
      <c r="BC256" t="e">
        <f>Europe!G623+"$F;@!/&gt;w"</f>
        <v>#VALUE!</v>
      </c>
      <c r="BD256" t="e">
        <f>Europe!H623+"$F;@!/&gt;x"</f>
        <v>#VALUE!</v>
      </c>
      <c r="BE256" t="e">
        <f>Europe!A624+"$F;@!/&gt;y"</f>
        <v>#VALUE!</v>
      </c>
      <c r="BF256" t="e">
        <f>Europe!B624+"$F;@!/&gt;z"</f>
        <v>#VALUE!</v>
      </c>
      <c r="BG256" t="e">
        <f>Europe!C624+"$F;@!/&gt;{"</f>
        <v>#VALUE!</v>
      </c>
      <c r="BH256" t="e">
        <f>Europe!D624+"$F;@!/&gt;|"</f>
        <v>#VALUE!</v>
      </c>
      <c r="BI256" t="e">
        <f>Europe!E624+"$F;@!/&gt;}"</f>
        <v>#VALUE!</v>
      </c>
      <c r="BJ256" t="e">
        <f>Europe!F624+"$F;@!/&gt;~"</f>
        <v>#VALUE!</v>
      </c>
      <c r="BK256" t="e">
        <f>Europe!G624+"$F;@!/?#"</f>
        <v>#VALUE!</v>
      </c>
      <c r="BL256" t="e">
        <f>Europe!H624+"$F;@!/?$"</f>
        <v>#VALUE!</v>
      </c>
      <c r="BM256" t="e">
        <f>Europe!A625+"$F;@!/?%"</f>
        <v>#VALUE!</v>
      </c>
      <c r="BN256" t="e">
        <f>Europe!B625+"$F;@!/?&amp;"</f>
        <v>#VALUE!</v>
      </c>
      <c r="BO256" t="e">
        <f>Europe!C625+"$F;@!/?'"</f>
        <v>#VALUE!</v>
      </c>
      <c r="BP256" t="e">
        <f>Europe!D625+"$F;@!/?("</f>
        <v>#VALUE!</v>
      </c>
      <c r="BQ256" t="e">
        <f>Europe!E625+"$F;@!/?)"</f>
        <v>#VALUE!</v>
      </c>
      <c r="BR256" t="e">
        <f>Europe!F625+"$F;@!/?."</f>
        <v>#VALUE!</v>
      </c>
      <c r="BS256" t="e">
        <f>Europe!G625+"$F;@!/?/"</f>
        <v>#VALUE!</v>
      </c>
      <c r="BT256" t="e">
        <f>Europe!H625+"$F;@!/?0"</f>
        <v>#VALUE!</v>
      </c>
      <c r="BU256" t="e">
        <f>Europe!A626+"$F;@!/?1"</f>
        <v>#VALUE!</v>
      </c>
      <c r="BV256" t="e">
        <f>Europe!B626+"$F;@!/?2"</f>
        <v>#VALUE!</v>
      </c>
      <c r="BW256" t="e">
        <f>Europe!C626+"$F;@!/?3"</f>
        <v>#VALUE!</v>
      </c>
      <c r="BX256" t="e">
        <f>Europe!D626+"$F;@!/?4"</f>
        <v>#VALUE!</v>
      </c>
      <c r="BY256" t="e">
        <f>Europe!E626+"$F;@!/?5"</f>
        <v>#VALUE!</v>
      </c>
      <c r="BZ256" t="e">
        <f>Europe!F626+"$F;@!/?6"</f>
        <v>#VALUE!</v>
      </c>
      <c r="CA256" t="e">
        <f>Europe!G626+"$F;@!/?7"</f>
        <v>#VALUE!</v>
      </c>
      <c r="CB256" t="e">
        <f>Europe!H626+"$F;@!/?8"</f>
        <v>#VALUE!</v>
      </c>
      <c r="CC256" t="e">
        <f>Europe!A627+"$F;@!/?9"</f>
        <v>#VALUE!</v>
      </c>
      <c r="CD256" t="e">
        <f>Europe!B627+"$F;@!/?:"</f>
        <v>#VALUE!</v>
      </c>
      <c r="CE256" t="e">
        <f>Europe!C627+"$F;@!/?;"</f>
        <v>#VALUE!</v>
      </c>
      <c r="CF256" t="e">
        <f>Europe!D627+"$F;@!/?&lt;"</f>
        <v>#VALUE!</v>
      </c>
      <c r="CG256" t="e">
        <f>Europe!E627+"$F;@!/?="</f>
        <v>#VALUE!</v>
      </c>
      <c r="CH256" t="e">
        <f>Europe!F627+"$F;@!/?&gt;"</f>
        <v>#VALUE!</v>
      </c>
      <c r="CI256" t="e">
        <f>Europe!G627+"$F;@!/??"</f>
        <v>#VALUE!</v>
      </c>
      <c r="CJ256" t="e">
        <f>Europe!H627+"$F;@!/?@"</f>
        <v>#VALUE!</v>
      </c>
      <c r="CK256" t="e">
        <f>Europe!A628+"$F;@!/?A"</f>
        <v>#VALUE!</v>
      </c>
      <c r="CL256" t="e">
        <f>Europe!B628+"$F;@!/?B"</f>
        <v>#VALUE!</v>
      </c>
      <c r="CM256" t="e">
        <f>Europe!C628+"$F;@!/?C"</f>
        <v>#VALUE!</v>
      </c>
      <c r="CN256" t="e">
        <f>Europe!D628+"$F;@!/?D"</f>
        <v>#VALUE!</v>
      </c>
      <c r="CO256" t="e">
        <f>Europe!E628+"$F;@!/?E"</f>
        <v>#VALUE!</v>
      </c>
      <c r="CP256" t="e">
        <f>Europe!F628+"$F;@!/?F"</f>
        <v>#VALUE!</v>
      </c>
      <c r="CQ256" t="e">
        <f>Europe!G628+"$F;@!/?G"</f>
        <v>#VALUE!</v>
      </c>
      <c r="CR256" t="e">
        <f>Europe!H628+"$F;@!/?H"</f>
        <v>#VALUE!</v>
      </c>
      <c r="CS256" t="e">
        <f>Europe!A629+"$F;@!/?I"</f>
        <v>#VALUE!</v>
      </c>
      <c r="CT256" t="e">
        <f>Europe!B629+"$F;@!/?J"</f>
        <v>#VALUE!</v>
      </c>
      <c r="CU256" t="e">
        <f>Europe!C629+"$F;@!/?K"</f>
        <v>#VALUE!</v>
      </c>
      <c r="CV256" t="e">
        <f>Europe!D629+"$F;@!/?L"</f>
        <v>#VALUE!</v>
      </c>
      <c r="CW256" t="e">
        <f>Europe!E629+"$F;@!/?M"</f>
        <v>#VALUE!</v>
      </c>
      <c r="CX256" t="e">
        <f>Europe!F629+"$F;@!/?N"</f>
        <v>#VALUE!</v>
      </c>
      <c r="CY256" t="e">
        <f>Europe!G629+"$F;@!/?O"</f>
        <v>#VALUE!</v>
      </c>
      <c r="CZ256" t="e">
        <f>Europe!H629+"$F;@!/?P"</f>
        <v>#VALUE!</v>
      </c>
      <c r="DA256" t="e">
        <f>Europe!A630+"$F;@!/?Q"</f>
        <v>#VALUE!</v>
      </c>
      <c r="DB256" t="e">
        <f>Europe!B630+"$F;@!/?R"</f>
        <v>#VALUE!</v>
      </c>
      <c r="DC256" t="e">
        <f>Europe!C630+"$F;@!/?S"</f>
        <v>#VALUE!</v>
      </c>
      <c r="DD256" t="e">
        <f>Europe!D630+"$F;@!/?T"</f>
        <v>#VALUE!</v>
      </c>
      <c r="DE256" t="e">
        <f>Europe!E630+"$F;@!/?U"</f>
        <v>#VALUE!</v>
      </c>
      <c r="DF256" t="e">
        <f>Europe!F630+"$F;@!/?V"</f>
        <v>#VALUE!</v>
      </c>
      <c r="DG256" t="e">
        <f>Europe!G630+"$F;@!/?W"</f>
        <v>#VALUE!</v>
      </c>
      <c r="DH256" t="e">
        <f>Europe!H630+"$F;@!/?X"</f>
        <v>#VALUE!</v>
      </c>
      <c r="DI256" t="e">
        <f>Europe!A631+"$F;@!/?Y"</f>
        <v>#VALUE!</v>
      </c>
      <c r="DJ256" t="e">
        <f>Europe!B631+"$F;@!/?Z"</f>
        <v>#VALUE!</v>
      </c>
      <c r="DK256" t="e">
        <f>Europe!C631+"$F;@!/?["</f>
        <v>#VALUE!</v>
      </c>
      <c r="DL256" t="e">
        <f>Europe!D631+"$F;@!/?\"</f>
        <v>#VALUE!</v>
      </c>
      <c r="DM256" t="e">
        <f>Europe!E631+"$F;@!/?]"</f>
        <v>#VALUE!</v>
      </c>
      <c r="DN256" t="e">
        <f>Europe!F631+"$F;@!/?^"</f>
        <v>#VALUE!</v>
      </c>
      <c r="DO256" t="e">
        <f>Europe!G631+"$F;@!/?_"</f>
        <v>#VALUE!</v>
      </c>
      <c r="DP256" t="e">
        <f>Europe!H631+"$F;@!/?`"</f>
        <v>#VALUE!</v>
      </c>
      <c r="DQ256" t="e">
        <f>Europe!A632+"$F;@!/?a"</f>
        <v>#VALUE!</v>
      </c>
      <c r="DR256" t="e">
        <f>Europe!B632+"$F;@!/?b"</f>
        <v>#VALUE!</v>
      </c>
      <c r="DS256" t="e">
        <f>Europe!C632+"$F;@!/?c"</f>
        <v>#VALUE!</v>
      </c>
      <c r="DT256" t="e">
        <f>Europe!D632+"$F;@!/?d"</f>
        <v>#VALUE!</v>
      </c>
      <c r="DU256" t="e">
        <f>Europe!E632+"$F;@!/?e"</f>
        <v>#VALUE!</v>
      </c>
      <c r="DV256" t="e">
        <f>Europe!F632+"$F;@!/?f"</f>
        <v>#VALUE!</v>
      </c>
      <c r="DW256" t="e">
        <f>Europe!G632+"$F;@!/?g"</f>
        <v>#VALUE!</v>
      </c>
      <c r="DX256" t="e">
        <f>Europe!H632+"$F;@!/?h"</f>
        <v>#VALUE!</v>
      </c>
      <c r="DY256" t="e">
        <f>Europe!A633+"$F;@!/?i"</f>
        <v>#VALUE!</v>
      </c>
      <c r="DZ256" t="e">
        <f>Europe!B633+"$F;@!/?j"</f>
        <v>#VALUE!</v>
      </c>
      <c r="EA256" t="e">
        <f>Europe!C633+"$F;@!/?k"</f>
        <v>#VALUE!</v>
      </c>
      <c r="EB256" t="e">
        <f>Europe!D633+"$F;@!/?l"</f>
        <v>#VALUE!</v>
      </c>
      <c r="EC256" t="e">
        <f>Europe!E633+"$F;@!/?m"</f>
        <v>#VALUE!</v>
      </c>
      <c r="ED256" t="e">
        <f>Europe!F633+"$F;@!/?n"</f>
        <v>#VALUE!</v>
      </c>
      <c r="EE256" t="e">
        <f>Europe!G633+"$F;@!/?o"</f>
        <v>#VALUE!</v>
      </c>
      <c r="EF256" t="e">
        <f>Europe!H633+"$F;@!/?p"</f>
        <v>#VALUE!</v>
      </c>
      <c r="EG256" t="e">
        <f>Europe!A634+"$F;@!/?q"</f>
        <v>#VALUE!</v>
      </c>
      <c r="EH256" t="e">
        <f>Europe!B634+"$F;@!/?r"</f>
        <v>#VALUE!</v>
      </c>
      <c r="EI256" t="e">
        <f>Europe!C634+"$F;@!/?s"</f>
        <v>#VALUE!</v>
      </c>
      <c r="EJ256" t="e">
        <f>Europe!D634+"$F;@!/?t"</f>
        <v>#VALUE!</v>
      </c>
      <c r="EK256" t="e">
        <f>Europe!E634+"$F;@!/?u"</f>
        <v>#VALUE!</v>
      </c>
      <c r="EL256" t="e">
        <f>Europe!F634+"$F;@!/?v"</f>
        <v>#VALUE!</v>
      </c>
      <c r="EM256" t="e">
        <f>Europe!G634+"$F;@!/?w"</f>
        <v>#VALUE!</v>
      </c>
      <c r="EN256" t="e">
        <f>Europe!H634+"$F;@!/?x"</f>
        <v>#VALUE!</v>
      </c>
      <c r="EO256" t="e">
        <f>Europe!A635+"$F;@!/?y"</f>
        <v>#VALUE!</v>
      </c>
      <c r="EP256" t="e">
        <f>Europe!B635+"$F;@!/?z"</f>
        <v>#VALUE!</v>
      </c>
      <c r="EQ256" t="e">
        <f>Europe!C635+"$F;@!/?{"</f>
        <v>#VALUE!</v>
      </c>
      <c r="ER256" t="e">
        <f>Europe!D635+"$F;@!/?|"</f>
        <v>#VALUE!</v>
      </c>
      <c r="ES256" t="e">
        <f>Europe!E635+"$F;@!/?}"</f>
        <v>#VALUE!</v>
      </c>
      <c r="ET256" t="e">
        <f>Europe!F635+"$F;@!/?~"</f>
        <v>#VALUE!</v>
      </c>
      <c r="EU256" t="e">
        <f>Europe!G635+"$F;@!/@#"</f>
        <v>#VALUE!</v>
      </c>
      <c r="EV256" t="e">
        <f>Europe!H635+"$F;@!/@$"</f>
        <v>#VALUE!</v>
      </c>
      <c r="EW256" t="e">
        <f>Europe!A636+"$F;@!/@%"</f>
        <v>#VALUE!</v>
      </c>
      <c r="EX256" t="e">
        <f>Europe!B636+"$F;@!/@&amp;"</f>
        <v>#VALUE!</v>
      </c>
      <c r="EY256" t="e">
        <f>Europe!C636+"$F;@!/@'"</f>
        <v>#VALUE!</v>
      </c>
      <c r="EZ256" t="e">
        <f>Europe!D636+"$F;@!/@("</f>
        <v>#VALUE!</v>
      </c>
      <c r="FA256" t="e">
        <f>Europe!E636+"$F;@!/@)"</f>
        <v>#VALUE!</v>
      </c>
      <c r="FB256" t="e">
        <f>Europe!F636+"$F;@!/@."</f>
        <v>#VALUE!</v>
      </c>
      <c r="FC256" t="e">
        <f>Europe!G636+"$F;@!/@/"</f>
        <v>#VALUE!</v>
      </c>
      <c r="FD256" t="e">
        <f>Europe!H636+"$F;@!/@0"</f>
        <v>#VALUE!</v>
      </c>
      <c r="FE256" t="e">
        <f>Europe!A637+"$F;@!/@1"</f>
        <v>#VALUE!</v>
      </c>
      <c r="FF256" t="e">
        <f>Europe!B637+"$F;@!/@2"</f>
        <v>#VALUE!</v>
      </c>
      <c r="FG256" t="e">
        <f>Europe!C637+"$F;@!/@3"</f>
        <v>#VALUE!</v>
      </c>
      <c r="FH256" t="e">
        <f>Europe!D637+"$F;@!/@4"</f>
        <v>#VALUE!</v>
      </c>
      <c r="FI256" t="e">
        <f>Europe!E637+"$F;@!/@5"</f>
        <v>#VALUE!</v>
      </c>
      <c r="FJ256" t="e">
        <f>Europe!F637+"$F;@!/@6"</f>
        <v>#VALUE!</v>
      </c>
      <c r="FK256" t="e">
        <f>Europe!G637+"$F;@!/@7"</f>
        <v>#VALUE!</v>
      </c>
      <c r="FL256" t="e">
        <f>Europe!H637+"$F;@!/@8"</f>
        <v>#VALUE!</v>
      </c>
      <c r="FM256" t="e">
        <f>Europe!A638+"$F;@!/@9"</f>
        <v>#VALUE!</v>
      </c>
      <c r="FN256" t="e">
        <f>Europe!B638+"$F;@!/@:"</f>
        <v>#VALUE!</v>
      </c>
      <c r="FO256" t="e">
        <f>Europe!C638+"$F;@!/@;"</f>
        <v>#VALUE!</v>
      </c>
      <c r="FP256" t="e">
        <f>Europe!D638+"$F;@!/@&lt;"</f>
        <v>#VALUE!</v>
      </c>
      <c r="FQ256" t="e">
        <f>Europe!E638+"$F;@!/@="</f>
        <v>#VALUE!</v>
      </c>
      <c r="FR256" t="e">
        <f>Europe!F638+"$F;@!/@&gt;"</f>
        <v>#VALUE!</v>
      </c>
      <c r="FS256" t="e">
        <f>Europe!G638+"$F;@!/@?"</f>
        <v>#VALUE!</v>
      </c>
      <c r="FT256" t="e">
        <f>Europe!H638+"$F;@!/@@"</f>
        <v>#VALUE!</v>
      </c>
      <c r="FU256" t="e">
        <f>Europe!A639+"$F;@!/@A"</f>
        <v>#VALUE!</v>
      </c>
      <c r="FV256" t="e">
        <f>Europe!B639+"$F;@!/@B"</f>
        <v>#VALUE!</v>
      </c>
      <c r="FW256" t="e">
        <f>Europe!C639+"$F;@!/@C"</f>
        <v>#VALUE!</v>
      </c>
      <c r="FX256" t="e">
        <f>Europe!D639+"$F;@!/@D"</f>
        <v>#VALUE!</v>
      </c>
      <c r="FY256" t="e">
        <f>Europe!E639+"$F;@!/@E"</f>
        <v>#VALUE!</v>
      </c>
      <c r="FZ256" t="e">
        <f>Europe!F639+"$F;@!/@F"</f>
        <v>#VALUE!</v>
      </c>
      <c r="GA256" t="e">
        <f>Europe!G639+"$F;@!/@G"</f>
        <v>#VALUE!</v>
      </c>
      <c r="GB256" t="e">
        <f>Europe!H639+"$F;@!/@H"</f>
        <v>#VALUE!</v>
      </c>
      <c r="GC256" t="e">
        <f>Europe!A640+"$F;@!/@I"</f>
        <v>#VALUE!</v>
      </c>
      <c r="GD256" t="e">
        <f>Europe!B640+"$F;@!/@J"</f>
        <v>#VALUE!</v>
      </c>
      <c r="GE256" t="e">
        <f>Europe!C640+"$F;@!/@K"</f>
        <v>#VALUE!</v>
      </c>
      <c r="GF256" t="e">
        <f>Europe!D640+"$F;@!/@L"</f>
        <v>#VALUE!</v>
      </c>
      <c r="GG256" t="e">
        <f>Europe!E640+"$F;@!/@M"</f>
        <v>#VALUE!</v>
      </c>
      <c r="GH256" t="e">
        <f>Europe!F640+"$F;@!/@N"</f>
        <v>#VALUE!</v>
      </c>
      <c r="GI256" t="e">
        <f>Europe!G640+"$F;@!/@O"</f>
        <v>#VALUE!</v>
      </c>
      <c r="GJ256" t="e">
        <f>Europe!H640+"$F;@!/@P"</f>
        <v>#VALUE!</v>
      </c>
      <c r="GK256" t="e">
        <f>Europe!A641+"$F;@!/@Q"</f>
        <v>#VALUE!</v>
      </c>
      <c r="GL256" t="e">
        <f>Europe!B641+"$F;@!/@R"</f>
        <v>#VALUE!</v>
      </c>
      <c r="GM256" t="e">
        <f>Europe!C641+"$F;@!/@S"</f>
        <v>#VALUE!</v>
      </c>
      <c r="GN256" t="e">
        <f>Europe!D641+"$F;@!/@T"</f>
        <v>#VALUE!</v>
      </c>
      <c r="GO256" t="e">
        <f>Europe!E641+"$F;@!/@U"</f>
        <v>#VALUE!</v>
      </c>
      <c r="GP256" t="e">
        <f>Europe!F641+"$F;@!/@V"</f>
        <v>#VALUE!</v>
      </c>
      <c r="GQ256" t="e">
        <f>Europe!G641+"$F;@!/@W"</f>
        <v>#VALUE!</v>
      </c>
      <c r="GR256" t="e">
        <f>Europe!H641+"$F;@!/@X"</f>
        <v>#VALUE!</v>
      </c>
      <c r="GS256" t="e">
        <f>Europe!A642+"$F;@!/@Y"</f>
        <v>#VALUE!</v>
      </c>
      <c r="GT256" t="e">
        <f>Europe!B642+"$F;@!/@Z"</f>
        <v>#VALUE!</v>
      </c>
      <c r="GU256" t="e">
        <f>Europe!C642+"$F;@!/@["</f>
        <v>#VALUE!</v>
      </c>
      <c r="GV256" t="e">
        <f>Europe!D642+"$F;@!/@\"</f>
        <v>#VALUE!</v>
      </c>
      <c r="GW256" t="e">
        <f>Europe!E642+"$F;@!/@]"</f>
        <v>#VALUE!</v>
      </c>
      <c r="GX256" t="e">
        <f>Europe!F642+"$F;@!/@^"</f>
        <v>#VALUE!</v>
      </c>
      <c r="GY256" t="e">
        <f>Europe!G642+"$F;@!/@_"</f>
        <v>#VALUE!</v>
      </c>
      <c r="GZ256" t="e">
        <f>Europe!H642+"$F;@!/@`"</f>
        <v>#VALUE!</v>
      </c>
      <c r="HA256" t="e">
        <f>Europe!A643+"$F;@!/@a"</f>
        <v>#VALUE!</v>
      </c>
      <c r="HB256" t="e">
        <f>Europe!B643+"$F;@!/@b"</f>
        <v>#VALUE!</v>
      </c>
      <c r="HC256" t="e">
        <f>Europe!C643+"$F;@!/@c"</f>
        <v>#VALUE!</v>
      </c>
      <c r="HD256" t="e">
        <f>Europe!D643+"$F;@!/@d"</f>
        <v>#VALUE!</v>
      </c>
      <c r="HE256" t="e">
        <f>Europe!E643+"$F;@!/@e"</f>
        <v>#VALUE!</v>
      </c>
      <c r="HF256" t="e">
        <f>Europe!F643+"$F;@!/@f"</f>
        <v>#VALUE!</v>
      </c>
      <c r="HG256" t="e">
        <f>Europe!G643+"$F;@!/@g"</f>
        <v>#VALUE!</v>
      </c>
      <c r="HH256" t="e">
        <f>Europe!H643+"$F;@!/@h"</f>
        <v>#VALUE!</v>
      </c>
      <c r="HI256" t="e">
        <f>Europe!A644+"$F;@!/@i"</f>
        <v>#VALUE!</v>
      </c>
      <c r="HJ256" t="e">
        <f>Europe!B644+"$F;@!/@j"</f>
        <v>#VALUE!</v>
      </c>
      <c r="HK256" t="e">
        <f>Europe!C644+"$F;@!/@k"</f>
        <v>#VALUE!</v>
      </c>
      <c r="HL256" t="e">
        <f>Europe!D644+"$F;@!/@l"</f>
        <v>#VALUE!</v>
      </c>
      <c r="HM256" t="e">
        <f>Europe!E644+"$F;@!/@m"</f>
        <v>#VALUE!</v>
      </c>
      <c r="HN256" t="e">
        <f>Europe!F644+"$F;@!/@n"</f>
        <v>#VALUE!</v>
      </c>
      <c r="HO256" t="e">
        <f>Europe!G644+"$F;@!/@o"</f>
        <v>#VALUE!</v>
      </c>
      <c r="HP256" t="e">
        <f>Europe!H644+"$F;@!/@p"</f>
        <v>#VALUE!</v>
      </c>
      <c r="HQ256" t="e">
        <f>Europe!A645+"$F;@!/@q"</f>
        <v>#VALUE!</v>
      </c>
      <c r="HR256" t="e">
        <f>Europe!B645+"$F;@!/@r"</f>
        <v>#VALUE!</v>
      </c>
      <c r="HS256" t="e">
        <f>Europe!C645+"$F;@!/@s"</f>
        <v>#VALUE!</v>
      </c>
      <c r="HT256" t="e">
        <f>Europe!D645+"$F;@!/@t"</f>
        <v>#VALUE!</v>
      </c>
      <c r="HU256" t="e">
        <f>Europe!E645+"$F;@!/@u"</f>
        <v>#VALUE!</v>
      </c>
      <c r="HV256" t="e">
        <f>Europe!F645+"$F;@!/@v"</f>
        <v>#VALUE!</v>
      </c>
      <c r="HW256" t="e">
        <f>Europe!G645+"$F;@!/@w"</f>
        <v>#VALUE!</v>
      </c>
      <c r="HX256" t="e">
        <f>Europe!H645+"$F;@!/@x"</f>
        <v>#VALUE!</v>
      </c>
      <c r="HY256" t="e">
        <f>Europe!A646+"$F;@!/@y"</f>
        <v>#VALUE!</v>
      </c>
      <c r="HZ256" t="e">
        <f>Europe!B646+"$F;@!/@z"</f>
        <v>#VALUE!</v>
      </c>
      <c r="IA256" t="e">
        <f>Europe!C646+"$F;@!/@{"</f>
        <v>#VALUE!</v>
      </c>
      <c r="IB256" t="e">
        <f>Europe!D646+"$F;@!/@|"</f>
        <v>#VALUE!</v>
      </c>
      <c r="IC256" t="e">
        <f>Europe!E646+"$F;@!/@}"</f>
        <v>#VALUE!</v>
      </c>
      <c r="ID256" t="e">
        <f>Europe!F646+"$F;@!/@~"</f>
        <v>#VALUE!</v>
      </c>
      <c r="IE256" t="e">
        <f>Europe!G646+"$F;@!/A#"</f>
        <v>#VALUE!</v>
      </c>
      <c r="IF256" t="e">
        <f>Europe!H646+"$F;@!/A$"</f>
        <v>#VALUE!</v>
      </c>
      <c r="IG256" t="e">
        <f>Europe!A647+"$F;@!/A%"</f>
        <v>#VALUE!</v>
      </c>
      <c r="IH256" t="e">
        <f>Europe!B647+"$F;@!/A&amp;"</f>
        <v>#VALUE!</v>
      </c>
      <c r="II256" t="e">
        <f>Europe!C647+"$F;@!/A'"</f>
        <v>#VALUE!</v>
      </c>
      <c r="IJ256" t="e">
        <f>Europe!D647+"$F;@!/A("</f>
        <v>#VALUE!</v>
      </c>
      <c r="IK256" t="e">
        <f>Europe!E647+"$F;@!/A)"</f>
        <v>#VALUE!</v>
      </c>
      <c r="IL256" t="e">
        <f>Europe!F647+"$F;@!/A."</f>
        <v>#VALUE!</v>
      </c>
      <c r="IM256" t="e">
        <f>Europe!G647+"$F;@!/A/"</f>
        <v>#VALUE!</v>
      </c>
      <c r="IN256" t="e">
        <f>Europe!H647+"$F;@!/A0"</f>
        <v>#VALUE!</v>
      </c>
      <c r="IO256" t="e">
        <f>Europe!A648+"$F;@!/A1"</f>
        <v>#VALUE!</v>
      </c>
      <c r="IP256" t="e">
        <f>Europe!B648+"$F;@!/A2"</f>
        <v>#VALUE!</v>
      </c>
      <c r="IQ256" t="e">
        <f>Europe!C648+"$F;@!/A3"</f>
        <v>#VALUE!</v>
      </c>
      <c r="IR256" t="e">
        <f>Europe!D648+"$F;@!/A4"</f>
        <v>#VALUE!</v>
      </c>
      <c r="IS256" t="e">
        <f>Europe!E648+"$F;@!/A5"</f>
        <v>#VALUE!</v>
      </c>
      <c r="IT256" t="e">
        <f>Europe!F648+"$F;@!/A6"</f>
        <v>#VALUE!</v>
      </c>
      <c r="IU256" t="e">
        <f>Europe!G648+"$F;@!/A7"</f>
        <v>#VALUE!</v>
      </c>
      <c r="IV256" t="e">
        <f>Europe!H648+"$F;@!/A8"</f>
        <v>#VALUE!</v>
      </c>
    </row>
    <row r="257" spans="6:256" x14ac:dyDescent="0.35">
      <c r="F257" t="e">
        <f>Europe!A649+"$F;@!/A9"</f>
        <v>#VALUE!</v>
      </c>
      <c r="G257" t="e">
        <f>Europe!B649+"$F;@!/A:"</f>
        <v>#VALUE!</v>
      </c>
      <c r="H257" t="e">
        <f>Europe!C649+"$F;@!/A;"</f>
        <v>#VALUE!</v>
      </c>
      <c r="I257" t="e">
        <f>Europe!D649+"$F;@!/A&lt;"</f>
        <v>#VALUE!</v>
      </c>
      <c r="J257" t="e">
        <f>Europe!E649+"$F;@!/A="</f>
        <v>#VALUE!</v>
      </c>
      <c r="K257" t="e">
        <f>Europe!F649+"$F;@!/A&gt;"</f>
        <v>#VALUE!</v>
      </c>
      <c r="L257" t="e">
        <f>Europe!G649+"$F;@!/A?"</f>
        <v>#VALUE!</v>
      </c>
      <c r="M257" t="e">
        <f>Europe!H649+"$F;@!/A@"</f>
        <v>#VALUE!</v>
      </c>
      <c r="N257" t="e">
        <f>Europe!A650+"$F;@!/AA"</f>
        <v>#VALUE!</v>
      </c>
      <c r="O257" t="e">
        <f>Europe!B650+"$F;@!/AB"</f>
        <v>#VALUE!</v>
      </c>
      <c r="P257" t="e">
        <f>Europe!C650+"$F;@!/AC"</f>
        <v>#VALUE!</v>
      </c>
      <c r="Q257" t="e">
        <f>Europe!D650+"$F;@!/AD"</f>
        <v>#VALUE!</v>
      </c>
      <c r="R257" t="e">
        <f>Europe!E650+"$F;@!/AE"</f>
        <v>#VALUE!</v>
      </c>
      <c r="S257" t="e">
        <f>Europe!F650+"$F;@!/AF"</f>
        <v>#VALUE!</v>
      </c>
      <c r="T257" t="e">
        <f>Europe!G650+"$F;@!/AG"</f>
        <v>#VALUE!</v>
      </c>
      <c r="U257" t="e">
        <f>Europe!H650+"$F;@!/AH"</f>
        <v>#VALUE!</v>
      </c>
      <c r="V257" t="e">
        <f>Europe!A651+"$F;@!/AI"</f>
        <v>#VALUE!</v>
      </c>
      <c r="W257" t="e">
        <f>Europe!B651+"$F;@!/AJ"</f>
        <v>#VALUE!</v>
      </c>
      <c r="X257" t="e">
        <f>Europe!C651+"$F;@!/AK"</f>
        <v>#VALUE!</v>
      </c>
      <c r="Y257" t="e">
        <f>Europe!D651+"$F;@!/AL"</f>
        <v>#VALUE!</v>
      </c>
      <c r="Z257" t="e">
        <f>Europe!E651+"$F;@!/AM"</f>
        <v>#VALUE!</v>
      </c>
      <c r="AA257" t="e">
        <f>Europe!F651+"$F;@!/AN"</f>
        <v>#VALUE!</v>
      </c>
      <c r="AB257" t="e">
        <f>Europe!G651+"$F;@!/AO"</f>
        <v>#VALUE!</v>
      </c>
      <c r="AC257" t="e">
        <f>Europe!H651+"$F;@!/AP"</f>
        <v>#VALUE!</v>
      </c>
      <c r="AD257" t="e">
        <f>Europe!A652+"$F;@!/AQ"</f>
        <v>#VALUE!</v>
      </c>
      <c r="AE257" t="e">
        <f>Europe!B652+"$F;@!/AR"</f>
        <v>#VALUE!</v>
      </c>
      <c r="AF257" t="e">
        <f>Europe!C652+"$F;@!/AS"</f>
        <v>#VALUE!</v>
      </c>
      <c r="AG257" t="e">
        <f>Europe!D652+"$F;@!/AT"</f>
        <v>#VALUE!</v>
      </c>
      <c r="AH257" t="e">
        <f>Europe!E652+"$F;@!/AU"</f>
        <v>#VALUE!</v>
      </c>
      <c r="AI257" t="e">
        <f>Europe!F652+"$F;@!/AV"</f>
        <v>#VALUE!</v>
      </c>
      <c r="AJ257" t="e">
        <f>Europe!G652+"$F;@!/AW"</f>
        <v>#VALUE!</v>
      </c>
      <c r="AK257" t="e">
        <f>Europe!H652+"$F;@!/AX"</f>
        <v>#VALUE!</v>
      </c>
      <c r="AL257" t="e">
        <f>Europe!A653+"$F;@!/AY"</f>
        <v>#VALUE!</v>
      </c>
      <c r="AM257" t="e">
        <f>Europe!B653+"$F;@!/AZ"</f>
        <v>#VALUE!</v>
      </c>
      <c r="AN257" t="e">
        <f>Europe!C653+"$F;@!/A["</f>
        <v>#VALUE!</v>
      </c>
      <c r="AO257" t="e">
        <f>Europe!D653+"$F;@!/A\"</f>
        <v>#VALUE!</v>
      </c>
      <c r="AP257" t="e">
        <f>Europe!E653+"$F;@!/A]"</f>
        <v>#VALUE!</v>
      </c>
      <c r="AQ257" t="e">
        <f>Europe!F653+"$F;@!/A^"</f>
        <v>#VALUE!</v>
      </c>
      <c r="AR257" t="e">
        <f>Europe!G653+"$F;@!/A_"</f>
        <v>#VALUE!</v>
      </c>
      <c r="AS257" t="e">
        <f>Europe!H653+"$F;@!/A`"</f>
        <v>#VALUE!</v>
      </c>
      <c r="AT257" t="e">
        <f>Europe!A654+"$F;@!/Aa"</f>
        <v>#VALUE!</v>
      </c>
      <c r="AU257" t="e">
        <f>Europe!B654+"$F;@!/Ab"</f>
        <v>#VALUE!</v>
      </c>
      <c r="AV257" t="e">
        <f>Europe!C654+"$F;@!/Ac"</f>
        <v>#VALUE!</v>
      </c>
      <c r="AW257" t="e">
        <f>Europe!D654+"$F;@!/Ad"</f>
        <v>#VALUE!</v>
      </c>
      <c r="AX257" t="e">
        <f>Europe!E654+"$F;@!/Ae"</f>
        <v>#VALUE!</v>
      </c>
      <c r="AY257" t="e">
        <f>Europe!F654+"$F;@!/Af"</f>
        <v>#VALUE!</v>
      </c>
      <c r="AZ257" t="e">
        <f>Europe!G654+"$F;@!/Ag"</f>
        <v>#VALUE!</v>
      </c>
      <c r="BA257" t="e">
        <f>Europe!H654+"$F;@!/Ah"</f>
        <v>#VALUE!</v>
      </c>
      <c r="BB257" t="e">
        <f>Europe!A655+"$F;@!/Ai"</f>
        <v>#VALUE!</v>
      </c>
      <c r="BC257" t="e">
        <f>Europe!B655+"$F;@!/Aj"</f>
        <v>#VALUE!</v>
      </c>
      <c r="BD257" t="e">
        <f>Europe!C655+"$F;@!/Ak"</f>
        <v>#VALUE!</v>
      </c>
      <c r="BE257" t="e">
        <f>Europe!D655+"$F;@!/Al"</f>
        <v>#VALUE!</v>
      </c>
      <c r="BF257" t="e">
        <f>Europe!E655+"$F;@!/Am"</f>
        <v>#VALUE!</v>
      </c>
      <c r="BG257" t="e">
        <f>Europe!F655+"$F;@!/An"</f>
        <v>#VALUE!</v>
      </c>
      <c r="BH257" t="e">
        <f>Europe!G655+"$F;@!/Ao"</f>
        <v>#VALUE!</v>
      </c>
      <c r="BI257" t="e">
        <f>Europe!H655+"$F;@!/Ap"</f>
        <v>#VALUE!</v>
      </c>
      <c r="BJ257" t="e">
        <f>Europe!A656+"$F;@!/Aq"</f>
        <v>#VALUE!</v>
      </c>
      <c r="BK257" t="e">
        <f>Europe!B656+"$F;@!/Ar"</f>
        <v>#VALUE!</v>
      </c>
      <c r="BL257" t="e">
        <f>Europe!C656+"$F;@!/As"</f>
        <v>#VALUE!</v>
      </c>
      <c r="BM257" t="e">
        <f>Europe!D656+"$F;@!/At"</f>
        <v>#VALUE!</v>
      </c>
      <c r="BN257" t="e">
        <f>Europe!E656+"$F;@!/Au"</f>
        <v>#VALUE!</v>
      </c>
      <c r="BO257" t="e">
        <f>Europe!F656+"$F;@!/Av"</f>
        <v>#VALUE!</v>
      </c>
      <c r="BP257" t="e">
        <f>Europe!G656+"$F;@!/Aw"</f>
        <v>#VALUE!</v>
      </c>
      <c r="BQ257" t="e">
        <f>Europe!H656+"$F;@!/Ax"</f>
        <v>#VALUE!</v>
      </c>
      <c r="BR257" t="e">
        <f>Europe!A657+"$F;@!/Ay"</f>
        <v>#VALUE!</v>
      </c>
      <c r="BS257" t="e">
        <f>Europe!B657+"$F;@!/Az"</f>
        <v>#VALUE!</v>
      </c>
      <c r="BT257" t="e">
        <f>Europe!C657+"$F;@!/A{"</f>
        <v>#VALUE!</v>
      </c>
      <c r="BU257" t="e">
        <f>Europe!D657+"$F;@!/A|"</f>
        <v>#VALUE!</v>
      </c>
      <c r="BV257" t="e">
        <f>Europe!E657+"$F;@!/A}"</f>
        <v>#VALUE!</v>
      </c>
      <c r="BW257" t="e">
        <f>Europe!F657+"$F;@!/A~"</f>
        <v>#VALUE!</v>
      </c>
      <c r="BX257" t="e">
        <f>Europe!G657+"$F;@!/B#"</f>
        <v>#VALUE!</v>
      </c>
      <c r="BY257" t="e">
        <f>Europe!H657+"$F;@!/B$"</f>
        <v>#VALUE!</v>
      </c>
      <c r="BZ257" t="e">
        <f>Europe!A658+"$F;@!/B%"</f>
        <v>#VALUE!</v>
      </c>
      <c r="CA257" t="e">
        <f>Europe!B658+"$F;@!/B&amp;"</f>
        <v>#VALUE!</v>
      </c>
      <c r="CB257" t="e">
        <f>Europe!C658+"$F;@!/B'"</f>
        <v>#VALUE!</v>
      </c>
      <c r="CC257" t="e">
        <f>Europe!D658+"$F;@!/B("</f>
        <v>#VALUE!</v>
      </c>
      <c r="CD257" t="e">
        <f>Europe!E658+"$F;@!/B)"</f>
        <v>#VALUE!</v>
      </c>
      <c r="CE257" t="e">
        <f>Europe!F658+"$F;@!/B."</f>
        <v>#VALUE!</v>
      </c>
      <c r="CF257" t="e">
        <f>Europe!G658+"$F;@!/B/"</f>
        <v>#VALUE!</v>
      </c>
      <c r="CG257" t="e">
        <f>Europe!H658+"$F;@!/B0"</f>
        <v>#VALUE!</v>
      </c>
      <c r="CH257" t="e">
        <f>Europe!A659+"$F;@!/B1"</f>
        <v>#VALUE!</v>
      </c>
      <c r="CI257" t="e">
        <f>Europe!B659+"$F;@!/B2"</f>
        <v>#VALUE!</v>
      </c>
      <c r="CJ257" t="e">
        <f>Europe!C659+"$F;@!/B3"</f>
        <v>#VALUE!</v>
      </c>
      <c r="CK257" t="e">
        <f>Europe!D659+"$F;@!/B4"</f>
        <v>#VALUE!</v>
      </c>
      <c r="CL257" t="e">
        <f>Europe!E659+"$F;@!/B5"</f>
        <v>#VALUE!</v>
      </c>
      <c r="CM257" t="e">
        <f>Europe!F659+"$F;@!/B6"</f>
        <v>#VALUE!</v>
      </c>
      <c r="CN257" t="e">
        <f>Europe!G659+"$F;@!/B7"</f>
        <v>#VALUE!</v>
      </c>
      <c r="CO257" t="e">
        <f>Europe!H659+"$F;@!/B8"</f>
        <v>#VALUE!</v>
      </c>
      <c r="CP257" t="e">
        <f>Europe!A660+"$F;@!/B9"</f>
        <v>#VALUE!</v>
      </c>
      <c r="CQ257" t="e">
        <f>Europe!B660+"$F;@!/B:"</f>
        <v>#VALUE!</v>
      </c>
      <c r="CR257" t="e">
        <f>Europe!C660+"$F;@!/B;"</f>
        <v>#VALUE!</v>
      </c>
      <c r="CS257" t="e">
        <f>Europe!D660+"$F;@!/B&lt;"</f>
        <v>#VALUE!</v>
      </c>
      <c r="CT257" t="e">
        <f>Europe!E660+"$F;@!/B="</f>
        <v>#VALUE!</v>
      </c>
      <c r="CU257" t="e">
        <f>Europe!F660+"$F;@!/B&gt;"</f>
        <v>#VALUE!</v>
      </c>
      <c r="CV257" t="e">
        <f>Europe!G660+"$F;@!/B?"</f>
        <v>#VALUE!</v>
      </c>
      <c r="CW257" t="e">
        <f>Europe!H660+"$F;@!/B@"</f>
        <v>#VALUE!</v>
      </c>
      <c r="CX257" t="e">
        <f>Europe!A661+"$F;@!/BA"</f>
        <v>#VALUE!</v>
      </c>
      <c r="CY257" t="e">
        <f>Europe!B661+"$F;@!/BB"</f>
        <v>#VALUE!</v>
      </c>
      <c r="CZ257" t="e">
        <f>Europe!C661+"$F;@!/BC"</f>
        <v>#VALUE!</v>
      </c>
      <c r="DA257" t="e">
        <f>Europe!D661+"$F;@!/BD"</f>
        <v>#VALUE!</v>
      </c>
      <c r="DB257" t="e">
        <f>Europe!E661+"$F;@!/BE"</f>
        <v>#VALUE!</v>
      </c>
      <c r="DC257" t="e">
        <f>Europe!F661+"$F;@!/BF"</f>
        <v>#VALUE!</v>
      </c>
      <c r="DD257" t="e">
        <f>Europe!G661+"$F;@!/BG"</f>
        <v>#VALUE!</v>
      </c>
      <c r="DE257" t="e">
        <f>Europe!H661+"$F;@!/BH"</f>
        <v>#VALUE!</v>
      </c>
      <c r="DF257" t="e">
        <f>Europe!A662+"$F;@!/BI"</f>
        <v>#VALUE!</v>
      </c>
      <c r="DG257" t="e">
        <f>Europe!B662+"$F;@!/BJ"</f>
        <v>#VALUE!</v>
      </c>
      <c r="DH257" t="e">
        <f>Europe!C662+"$F;@!/BK"</f>
        <v>#VALUE!</v>
      </c>
      <c r="DI257" t="e">
        <f>Europe!D662+"$F;@!/BL"</f>
        <v>#VALUE!</v>
      </c>
      <c r="DJ257" t="e">
        <f>Europe!E662+"$F;@!/BM"</f>
        <v>#VALUE!</v>
      </c>
      <c r="DK257" t="e">
        <f>Europe!F662+"$F;@!/BN"</f>
        <v>#VALUE!</v>
      </c>
      <c r="DL257" t="e">
        <f>Europe!G662+"$F;@!/BO"</f>
        <v>#VALUE!</v>
      </c>
      <c r="DM257" t="e">
        <f>Europe!H662+"$F;@!/BP"</f>
        <v>#VALUE!</v>
      </c>
      <c r="DN257" t="e">
        <f>Europe!A663+"$F;@!/BQ"</f>
        <v>#VALUE!</v>
      </c>
      <c r="DO257" t="e">
        <f>Europe!B663+"$F;@!/BR"</f>
        <v>#VALUE!</v>
      </c>
      <c r="DP257" t="e">
        <f>Europe!C663+"$F;@!/BS"</f>
        <v>#VALUE!</v>
      </c>
      <c r="DQ257" t="e">
        <f>Europe!D663+"$F;@!/BT"</f>
        <v>#VALUE!</v>
      </c>
      <c r="DR257" t="e">
        <f>Europe!E663+"$F;@!/BU"</f>
        <v>#VALUE!</v>
      </c>
      <c r="DS257" t="e">
        <f>Europe!F663+"$F;@!/BV"</f>
        <v>#VALUE!</v>
      </c>
      <c r="DT257" t="e">
        <f>Europe!G663+"$F;@!/BW"</f>
        <v>#VALUE!</v>
      </c>
      <c r="DU257" t="e">
        <f>Europe!H663+"$F;@!/BX"</f>
        <v>#VALUE!</v>
      </c>
      <c r="DV257" t="e">
        <f>Europe!A664+"$F;@!/BY"</f>
        <v>#VALUE!</v>
      </c>
      <c r="DW257" t="e">
        <f>Europe!B664+"$F;@!/BZ"</f>
        <v>#VALUE!</v>
      </c>
      <c r="DX257" t="e">
        <f>Europe!C664+"$F;@!/B["</f>
        <v>#VALUE!</v>
      </c>
      <c r="DY257" t="e">
        <f>Europe!D664+"$F;@!/B\"</f>
        <v>#VALUE!</v>
      </c>
      <c r="DZ257" t="e">
        <f>Europe!E664+"$F;@!/B]"</f>
        <v>#VALUE!</v>
      </c>
      <c r="EA257" t="e">
        <f>Europe!F664+"$F;@!/B^"</f>
        <v>#VALUE!</v>
      </c>
      <c r="EB257" t="e">
        <f>Europe!G664+"$F;@!/B_"</f>
        <v>#VALUE!</v>
      </c>
      <c r="EC257" t="e">
        <f>Europe!H664+"$F;@!/B`"</f>
        <v>#VALUE!</v>
      </c>
      <c r="ED257" t="e">
        <f>Europe!A665+"$F;@!/Ba"</f>
        <v>#VALUE!</v>
      </c>
      <c r="EE257" t="e">
        <f>Europe!B665+"$F;@!/Bb"</f>
        <v>#VALUE!</v>
      </c>
      <c r="EF257" t="e">
        <f>Europe!C665+"$F;@!/Bc"</f>
        <v>#VALUE!</v>
      </c>
      <c r="EG257" t="e">
        <f>Europe!D665+"$F;@!/Bd"</f>
        <v>#VALUE!</v>
      </c>
      <c r="EH257" t="e">
        <f>Europe!E665+"$F;@!/Be"</f>
        <v>#VALUE!</v>
      </c>
      <c r="EI257" t="e">
        <f>Europe!F665+"$F;@!/Bf"</f>
        <v>#VALUE!</v>
      </c>
      <c r="EJ257" t="e">
        <f>Europe!G665+"$F;@!/Bg"</f>
        <v>#VALUE!</v>
      </c>
      <c r="EK257" t="e">
        <f>Europe!H665+"$F;@!/Bh"</f>
        <v>#VALUE!</v>
      </c>
      <c r="EL257" t="e">
        <f>Europe!A666+"$F;@!/Bi"</f>
        <v>#VALUE!</v>
      </c>
      <c r="EM257" t="e">
        <f>Europe!B666+"$F;@!/Bj"</f>
        <v>#VALUE!</v>
      </c>
      <c r="EN257" t="e">
        <f>Europe!C666+"$F;@!/Bk"</f>
        <v>#VALUE!</v>
      </c>
      <c r="EO257" t="e">
        <f>Europe!D666+"$F;@!/Bl"</f>
        <v>#VALUE!</v>
      </c>
      <c r="EP257" t="e">
        <f>Europe!E666+"$F;@!/Bm"</f>
        <v>#VALUE!</v>
      </c>
      <c r="EQ257" t="e">
        <f>Europe!F666+"$F;@!/Bn"</f>
        <v>#VALUE!</v>
      </c>
      <c r="ER257" t="e">
        <f>Europe!G666+"$F;@!/Bo"</f>
        <v>#VALUE!</v>
      </c>
      <c r="ES257" t="e">
        <f>Europe!H666+"$F;@!/Bp"</f>
        <v>#VALUE!</v>
      </c>
      <c r="ET257" t="e">
        <f>Europe!A667+"$F;@!/Bq"</f>
        <v>#VALUE!</v>
      </c>
      <c r="EU257" t="e">
        <f>Europe!B667+"$F;@!/Br"</f>
        <v>#VALUE!</v>
      </c>
      <c r="EV257" t="e">
        <f>Europe!C667+"$F;@!/Bs"</f>
        <v>#VALUE!</v>
      </c>
      <c r="EW257" t="e">
        <f>Europe!D667+"$F;@!/Bt"</f>
        <v>#VALUE!</v>
      </c>
      <c r="EX257" t="e">
        <f>Europe!E667+"$F;@!/Bu"</f>
        <v>#VALUE!</v>
      </c>
      <c r="EY257" t="e">
        <f>Europe!F667+"$F;@!/Bv"</f>
        <v>#VALUE!</v>
      </c>
      <c r="EZ257" t="e">
        <f>Europe!G667+"$F;@!/Bw"</f>
        <v>#VALUE!</v>
      </c>
      <c r="FA257" t="e">
        <f>Europe!H667+"$F;@!/Bx"</f>
        <v>#VALUE!</v>
      </c>
      <c r="FB257" t="e">
        <f>Europe!A668+"$F;@!/By"</f>
        <v>#VALUE!</v>
      </c>
      <c r="FC257" t="e">
        <f>Europe!B668+"$F;@!/Bz"</f>
        <v>#VALUE!</v>
      </c>
      <c r="FD257" t="e">
        <f>Europe!C668+"$F;@!/B{"</f>
        <v>#VALUE!</v>
      </c>
      <c r="FE257" t="e">
        <f>Europe!D668+"$F;@!/B|"</f>
        <v>#VALUE!</v>
      </c>
      <c r="FF257" t="e">
        <f>Europe!E668+"$F;@!/B}"</f>
        <v>#VALUE!</v>
      </c>
      <c r="FG257" t="e">
        <f>Europe!F668+"$F;@!/B~"</f>
        <v>#VALUE!</v>
      </c>
      <c r="FH257" t="e">
        <f>Europe!G668+"$F;@!/C#"</f>
        <v>#VALUE!</v>
      </c>
      <c r="FI257" t="e">
        <f>Europe!H668+"$F;@!/C$"</f>
        <v>#VALUE!</v>
      </c>
      <c r="FJ257" t="e">
        <f>Europe!A669+"$F;@!/C%"</f>
        <v>#VALUE!</v>
      </c>
      <c r="FK257" t="e">
        <f>Europe!B669+"$F;@!/C&amp;"</f>
        <v>#VALUE!</v>
      </c>
      <c r="FL257" t="e">
        <f>Europe!C669+"$F;@!/C'"</f>
        <v>#VALUE!</v>
      </c>
      <c r="FM257" t="e">
        <f>Europe!D669+"$F;@!/C("</f>
        <v>#VALUE!</v>
      </c>
      <c r="FN257" t="e">
        <f>Europe!E669+"$F;@!/C)"</f>
        <v>#VALUE!</v>
      </c>
      <c r="FO257" t="e">
        <f>Europe!F669+"$F;@!/C."</f>
        <v>#VALUE!</v>
      </c>
      <c r="FP257" t="e">
        <f>Europe!G669+"$F;@!/C/"</f>
        <v>#VALUE!</v>
      </c>
      <c r="FQ257" t="e">
        <f>Europe!H669+"$F;@!/C0"</f>
        <v>#VALUE!</v>
      </c>
      <c r="FR257" t="e">
        <f>Europe!A670+"$F;@!/C1"</f>
        <v>#VALUE!</v>
      </c>
      <c r="FS257" t="e">
        <f>Europe!B670+"$F;@!/C2"</f>
        <v>#VALUE!</v>
      </c>
      <c r="FT257" t="e">
        <f>Europe!C670+"$F;@!/C3"</f>
        <v>#VALUE!</v>
      </c>
      <c r="FU257" t="e">
        <f>Europe!D670+"$F;@!/C4"</f>
        <v>#VALUE!</v>
      </c>
      <c r="FV257" t="e">
        <f>Europe!E670+"$F;@!/C5"</f>
        <v>#VALUE!</v>
      </c>
      <c r="FW257" t="e">
        <f>Europe!F670+"$F;@!/C6"</f>
        <v>#VALUE!</v>
      </c>
      <c r="FX257" t="e">
        <f>Europe!G670+"$F;@!/C7"</f>
        <v>#VALUE!</v>
      </c>
      <c r="FY257" t="e">
        <f>Europe!H670+"$F;@!/C8"</f>
        <v>#VALUE!</v>
      </c>
      <c r="FZ257" t="e">
        <f>Europe!A671+"$F;@!/C9"</f>
        <v>#VALUE!</v>
      </c>
      <c r="GA257" t="e">
        <f>Europe!B671+"$F;@!/C:"</f>
        <v>#VALUE!</v>
      </c>
      <c r="GB257" t="e">
        <f>Europe!C671+"$F;@!/C;"</f>
        <v>#VALUE!</v>
      </c>
      <c r="GC257" t="e">
        <f>Europe!D671+"$F;@!/C&lt;"</f>
        <v>#VALUE!</v>
      </c>
      <c r="GD257" t="e">
        <f>Europe!E671+"$F;@!/C="</f>
        <v>#VALUE!</v>
      </c>
      <c r="GE257" t="e">
        <f>Europe!F671+"$F;@!/C&gt;"</f>
        <v>#VALUE!</v>
      </c>
      <c r="GF257" t="e">
        <f>Europe!G671+"$F;@!/C?"</f>
        <v>#VALUE!</v>
      </c>
      <c r="GG257" t="e">
        <f>Europe!H671+"$F;@!/C@"</f>
        <v>#VALUE!</v>
      </c>
      <c r="GH257" t="e">
        <f>Europe!A672+"$F;@!/CA"</f>
        <v>#VALUE!</v>
      </c>
      <c r="GI257" t="e">
        <f>Europe!B672+"$F;@!/CB"</f>
        <v>#VALUE!</v>
      </c>
      <c r="GJ257" t="e">
        <f>Europe!C672+"$F;@!/CC"</f>
        <v>#VALUE!</v>
      </c>
      <c r="GK257" t="e">
        <f>Europe!D672+"$F;@!/CD"</f>
        <v>#VALUE!</v>
      </c>
      <c r="GL257" t="e">
        <f>Europe!E672+"$F;@!/CE"</f>
        <v>#VALUE!</v>
      </c>
      <c r="GM257" t="e">
        <f>Europe!F672+"$F;@!/CF"</f>
        <v>#VALUE!</v>
      </c>
      <c r="GN257" t="e">
        <f>Europe!G672+"$F;@!/CG"</f>
        <v>#VALUE!</v>
      </c>
      <c r="GO257" t="e">
        <f>Europe!H672+"$F;@!/CH"</f>
        <v>#VALUE!</v>
      </c>
      <c r="GP257" t="e">
        <f>Europe!A673+"$F;@!/CI"</f>
        <v>#VALUE!</v>
      </c>
      <c r="GQ257" t="e">
        <f>Europe!B673+"$F;@!/CJ"</f>
        <v>#VALUE!</v>
      </c>
      <c r="GR257" t="e">
        <f>Europe!C673+"$F;@!/CK"</f>
        <v>#VALUE!</v>
      </c>
      <c r="GS257" t="e">
        <f>Europe!D673+"$F;@!/CL"</f>
        <v>#VALUE!</v>
      </c>
      <c r="GT257" t="e">
        <f>Europe!E673+"$F;@!/CM"</f>
        <v>#VALUE!</v>
      </c>
      <c r="GU257" t="e">
        <f>Europe!F673+"$F;@!/CN"</f>
        <v>#VALUE!</v>
      </c>
      <c r="GV257" t="e">
        <f>Europe!G673+"$F;@!/CO"</f>
        <v>#VALUE!</v>
      </c>
      <c r="GW257" t="e">
        <f>Europe!H673+"$F;@!/CP"</f>
        <v>#VALUE!</v>
      </c>
      <c r="GX257" t="e">
        <f>Europe!A674+"$F;@!/CQ"</f>
        <v>#VALUE!</v>
      </c>
      <c r="GY257" t="e">
        <f>Europe!B674+"$F;@!/CR"</f>
        <v>#VALUE!</v>
      </c>
      <c r="GZ257" t="e">
        <f>Europe!C674+"$F;@!/CS"</f>
        <v>#VALUE!</v>
      </c>
      <c r="HA257" t="e">
        <f>Europe!D674+"$F;@!/CT"</f>
        <v>#VALUE!</v>
      </c>
      <c r="HB257" t="e">
        <f>Europe!E674+"$F;@!/CU"</f>
        <v>#VALUE!</v>
      </c>
      <c r="HC257" t="e">
        <f>Europe!F674+"$F;@!/CV"</f>
        <v>#VALUE!</v>
      </c>
      <c r="HD257" t="e">
        <f>Europe!G674+"$F;@!/CW"</f>
        <v>#VALUE!</v>
      </c>
      <c r="HE257" t="e">
        <f>Europe!H674+"$F;@!/CX"</f>
        <v>#VALUE!</v>
      </c>
      <c r="HF257" t="e">
        <f>Europe!A675+"$F;@!/CY"</f>
        <v>#VALUE!</v>
      </c>
      <c r="HG257" t="e">
        <f>Europe!B675+"$F;@!/CZ"</f>
        <v>#VALUE!</v>
      </c>
      <c r="HH257" t="e">
        <f>Europe!C675+"$F;@!/C["</f>
        <v>#VALUE!</v>
      </c>
      <c r="HI257" t="e">
        <f>Europe!D675+"$F;@!/C\"</f>
        <v>#VALUE!</v>
      </c>
      <c r="HJ257" t="e">
        <f>Europe!E675+"$F;@!/C]"</f>
        <v>#VALUE!</v>
      </c>
      <c r="HK257" t="e">
        <f>Europe!F675+"$F;@!/C^"</f>
        <v>#VALUE!</v>
      </c>
      <c r="HL257" t="e">
        <f>Europe!G675+"$F;@!/C_"</f>
        <v>#VALUE!</v>
      </c>
      <c r="HM257" t="e">
        <f>Europe!H675+"$F;@!/C`"</f>
        <v>#VALUE!</v>
      </c>
      <c r="HN257" t="e">
        <f>Europe!A676+"$F;@!/Ca"</f>
        <v>#VALUE!</v>
      </c>
      <c r="HO257" t="e">
        <f>Europe!B676+"$F;@!/Cb"</f>
        <v>#VALUE!</v>
      </c>
      <c r="HP257" t="e">
        <f>Europe!C676+"$F;@!/Cc"</f>
        <v>#VALUE!</v>
      </c>
      <c r="HQ257" t="e">
        <f>Europe!D676+"$F;@!/Cd"</f>
        <v>#VALUE!</v>
      </c>
      <c r="HR257" t="e">
        <f>Europe!E676+"$F;@!/Ce"</f>
        <v>#VALUE!</v>
      </c>
      <c r="HS257" t="e">
        <f>Europe!F676+"$F;@!/Cf"</f>
        <v>#VALUE!</v>
      </c>
      <c r="HT257" t="e">
        <f>Europe!G676+"$F;@!/Cg"</f>
        <v>#VALUE!</v>
      </c>
      <c r="HU257" t="e">
        <f>Europe!H676+"$F;@!/Ch"</f>
        <v>#VALUE!</v>
      </c>
      <c r="HV257" t="e">
        <f>Europe!A677+"$F;@!/Ci"</f>
        <v>#VALUE!</v>
      </c>
      <c r="HW257" t="e">
        <f>Europe!B677+"$F;@!/Cj"</f>
        <v>#VALUE!</v>
      </c>
      <c r="HX257" t="e">
        <f>Europe!C677+"$F;@!/Ck"</f>
        <v>#VALUE!</v>
      </c>
      <c r="HY257" t="e">
        <f>Europe!D677+"$F;@!/Cl"</f>
        <v>#VALUE!</v>
      </c>
      <c r="HZ257" t="e">
        <f>Europe!E677+"$F;@!/Cm"</f>
        <v>#VALUE!</v>
      </c>
      <c r="IA257" t="e">
        <f>Europe!F677+"$F;@!/Cn"</f>
        <v>#VALUE!</v>
      </c>
      <c r="IB257" t="e">
        <f>Europe!G677+"$F;@!/Co"</f>
        <v>#VALUE!</v>
      </c>
      <c r="IC257" t="e">
        <f>Europe!H677+"$F;@!/Cp"</f>
        <v>#VALUE!</v>
      </c>
      <c r="ID257" t="e">
        <f>Europe!A678+"$F;@!/Cq"</f>
        <v>#VALUE!</v>
      </c>
      <c r="IE257" t="e">
        <f>Europe!B678+"$F;@!/Cr"</f>
        <v>#VALUE!</v>
      </c>
      <c r="IF257" t="e">
        <f>Europe!C678+"$F;@!/Cs"</f>
        <v>#VALUE!</v>
      </c>
      <c r="IG257" t="e">
        <f>Europe!D678+"$F;@!/Ct"</f>
        <v>#VALUE!</v>
      </c>
      <c r="IH257" t="e">
        <f>Europe!E678+"$F;@!/Cu"</f>
        <v>#VALUE!</v>
      </c>
      <c r="II257" t="e">
        <f>Europe!F678+"$F;@!/Cv"</f>
        <v>#VALUE!</v>
      </c>
      <c r="IJ257" t="e">
        <f>Europe!G678+"$F;@!/Cw"</f>
        <v>#VALUE!</v>
      </c>
      <c r="IK257" t="e">
        <f>Europe!H678+"$F;@!/Cx"</f>
        <v>#VALUE!</v>
      </c>
      <c r="IL257" t="e">
        <f>Europe!A679+"$F;@!/Cy"</f>
        <v>#VALUE!</v>
      </c>
      <c r="IM257" t="e">
        <f>Europe!B679+"$F;@!/Cz"</f>
        <v>#VALUE!</v>
      </c>
      <c r="IN257" t="e">
        <f>Europe!C679+"$F;@!/C{"</f>
        <v>#VALUE!</v>
      </c>
      <c r="IO257" t="e">
        <f>Europe!D679+"$F;@!/C|"</f>
        <v>#VALUE!</v>
      </c>
      <c r="IP257" t="e">
        <f>Europe!E679+"$F;@!/C}"</f>
        <v>#VALUE!</v>
      </c>
      <c r="IQ257" t="e">
        <f>Europe!F679+"$F;@!/C~"</f>
        <v>#VALUE!</v>
      </c>
      <c r="IR257" t="e">
        <f>Europe!G679+"$F;@!/D#"</f>
        <v>#VALUE!</v>
      </c>
      <c r="IS257" t="e">
        <f>Europe!H679+"$F;@!/D$"</f>
        <v>#VALUE!</v>
      </c>
      <c r="IT257" t="e">
        <f>Europe!A680+"$F;@!/D%"</f>
        <v>#VALUE!</v>
      </c>
      <c r="IU257" t="e">
        <f>Europe!B680+"$F;@!/D&amp;"</f>
        <v>#VALUE!</v>
      </c>
      <c r="IV257" t="e">
        <f>Europe!C680+"$F;@!/D'"</f>
        <v>#VALUE!</v>
      </c>
    </row>
    <row r="258" spans="6:256" x14ac:dyDescent="0.35">
      <c r="F258" t="e">
        <f>Europe!D680+"$F;@!/D("</f>
        <v>#VALUE!</v>
      </c>
      <c r="G258" t="e">
        <f>Europe!E680+"$F;@!/D)"</f>
        <v>#VALUE!</v>
      </c>
      <c r="H258" t="e">
        <f>Europe!F680+"$F;@!/D."</f>
        <v>#VALUE!</v>
      </c>
      <c r="I258" t="e">
        <f>Europe!G680+"$F;@!/D/"</f>
        <v>#VALUE!</v>
      </c>
      <c r="J258" t="e">
        <f>Europe!H680+"$F;@!/D0"</f>
        <v>#VALUE!</v>
      </c>
      <c r="K258" t="e">
        <f>Europe!A681+"$F;@!/D1"</f>
        <v>#VALUE!</v>
      </c>
      <c r="L258" t="e">
        <f>Europe!B681+"$F;@!/D2"</f>
        <v>#VALUE!</v>
      </c>
      <c r="M258" t="e">
        <f>Europe!C681+"$F;@!/D3"</f>
        <v>#VALUE!</v>
      </c>
      <c r="N258" t="e">
        <f>Europe!D681+"$F;@!/D4"</f>
        <v>#VALUE!</v>
      </c>
      <c r="O258" t="e">
        <f>Europe!E681+"$F;@!/D5"</f>
        <v>#VALUE!</v>
      </c>
      <c r="P258" t="e">
        <f>Europe!F681+"$F;@!/D6"</f>
        <v>#VALUE!</v>
      </c>
      <c r="Q258" t="e">
        <f>Europe!G681+"$F;@!/D7"</f>
        <v>#VALUE!</v>
      </c>
      <c r="R258" t="e">
        <f>Europe!H681+"$F;@!/D8"</f>
        <v>#VALUE!</v>
      </c>
      <c r="S258" t="e">
        <f>Europe!A682+"$F;@!/D9"</f>
        <v>#VALUE!</v>
      </c>
      <c r="T258" t="e">
        <f>Europe!B682+"$F;@!/D:"</f>
        <v>#VALUE!</v>
      </c>
      <c r="U258" t="e">
        <f>Europe!C682+"$F;@!/D;"</f>
        <v>#VALUE!</v>
      </c>
      <c r="V258" t="e">
        <f>Europe!D682+"$F;@!/D&lt;"</f>
        <v>#VALUE!</v>
      </c>
      <c r="W258" t="e">
        <f>Europe!E682+"$F;@!/D="</f>
        <v>#VALUE!</v>
      </c>
      <c r="X258" t="e">
        <f>Europe!F682+"$F;@!/D&gt;"</f>
        <v>#VALUE!</v>
      </c>
      <c r="Y258" t="e">
        <f>Europe!G682+"$F;@!/D?"</f>
        <v>#VALUE!</v>
      </c>
      <c r="Z258" t="e">
        <f>Europe!H682+"$F;@!/D@"</f>
        <v>#VALUE!</v>
      </c>
      <c r="AA258" t="e">
        <f>Europe!A683+"$F;@!/DA"</f>
        <v>#VALUE!</v>
      </c>
      <c r="AB258" t="e">
        <f>Europe!B683+"$F;@!/DB"</f>
        <v>#VALUE!</v>
      </c>
      <c r="AC258" t="e">
        <f>Europe!C683+"$F;@!/DC"</f>
        <v>#VALUE!</v>
      </c>
      <c r="AD258" t="e">
        <f>Europe!D683+"$F;@!/DD"</f>
        <v>#VALUE!</v>
      </c>
      <c r="AE258" t="e">
        <f>Europe!E683+"$F;@!/DE"</f>
        <v>#VALUE!</v>
      </c>
      <c r="AF258" t="e">
        <f>Europe!F683+"$F;@!/DF"</f>
        <v>#VALUE!</v>
      </c>
      <c r="AG258" t="e">
        <f>Europe!G683+"$F;@!/DG"</f>
        <v>#VALUE!</v>
      </c>
      <c r="AH258" t="e">
        <f>Europe!H683+"$F;@!/DH"</f>
        <v>#VALUE!</v>
      </c>
      <c r="AI258" t="e">
        <f>Europe!A684+"$F;@!/DI"</f>
        <v>#VALUE!</v>
      </c>
      <c r="AJ258" t="e">
        <f>Europe!B684+"$F;@!/DJ"</f>
        <v>#VALUE!</v>
      </c>
      <c r="AK258" t="e">
        <f>Europe!C684+"$F;@!/DK"</f>
        <v>#VALUE!</v>
      </c>
      <c r="AL258" t="e">
        <f>Europe!D684+"$F;@!/DL"</f>
        <v>#VALUE!</v>
      </c>
      <c r="AM258" t="e">
        <f>Europe!E684+"$F;@!/DM"</f>
        <v>#VALUE!</v>
      </c>
      <c r="AN258" t="e">
        <f>Europe!F684+"$F;@!/DN"</f>
        <v>#VALUE!</v>
      </c>
      <c r="AO258" t="e">
        <f>Europe!G684+"$F;@!/DO"</f>
        <v>#VALUE!</v>
      </c>
      <c r="AP258" t="e">
        <f>Europe!H684+"$F;@!/DP"</f>
        <v>#VALUE!</v>
      </c>
      <c r="AQ258" t="e">
        <f>Europe!A685+"$F;@!/DQ"</f>
        <v>#VALUE!</v>
      </c>
      <c r="AR258" t="e">
        <f>Europe!B685+"$F;@!/DR"</f>
        <v>#VALUE!</v>
      </c>
      <c r="AS258" t="e">
        <f>Europe!C685+"$F;@!/DS"</f>
        <v>#VALUE!</v>
      </c>
      <c r="AT258" t="e">
        <f>Europe!D685+"$F;@!/DT"</f>
        <v>#VALUE!</v>
      </c>
      <c r="AU258" t="e">
        <f>Europe!E685+"$F;@!/DU"</f>
        <v>#VALUE!</v>
      </c>
      <c r="AV258" t="e">
        <f>Europe!F685+"$F;@!/DV"</f>
        <v>#VALUE!</v>
      </c>
      <c r="AW258" t="e">
        <f>Europe!G685+"$F;@!/DW"</f>
        <v>#VALUE!</v>
      </c>
      <c r="AX258" t="e">
        <f>Europe!H685+"$F;@!/DX"</f>
        <v>#VALUE!</v>
      </c>
      <c r="AY258" t="e">
        <f>Europe!A686+"$F;@!/DY"</f>
        <v>#VALUE!</v>
      </c>
      <c r="AZ258" t="e">
        <f>Europe!B686+"$F;@!/DZ"</f>
        <v>#VALUE!</v>
      </c>
      <c r="BA258" t="e">
        <f>Europe!C686+"$F;@!/D["</f>
        <v>#VALUE!</v>
      </c>
      <c r="BB258" t="e">
        <f>Europe!D686+"$F;@!/D\"</f>
        <v>#VALUE!</v>
      </c>
      <c r="BC258" t="e">
        <f>Europe!E686+"$F;@!/D]"</f>
        <v>#VALUE!</v>
      </c>
      <c r="BD258" t="e">
        <f>Europe!F686+"$F;@!/D^"</f>
        <v>#VALUE!</v>
      </c>
      <c r="BE258" t="e">
        <f>Europe!G686+"$F;@!/D_"</f>
        <v>#VALUE!</v>
      </c>
      <c r="BF258" t="e">
        <f>Europe!H686+"$F;@!/D`"</f>
        <v>#VALUE!</v>
      </c>
      <c r="BG258" t="e">
        <f>Europe!A687+"$F;@!/Da"</f>
        <v>#VALUE!</v>
      </c>
      <c r="BH258" t="e">
        <f>Europe!B687+"$F;@!/Db"</f>
        <v>#VALUE!</v>
      </c>
      <c r="BI258" t="e">
        <f>Europe!C687+"$F;@!/Dc"</f>
        <v>#VALUE!</v>
      </c>
      <c r="BJ258" t="e">
        <f>Europe!D687+"$F;@!/Dd"</f>
        <v>#VALUE!</v>
      </c>
      <c r="BK258" t="e">
        <f>Europe!E687+"$F;@!/De"</f>
        <v>#VALUE!</v>
      </c>
      <c r="BL258" t="e">
        <f>Europe!F687+"$F;@!/Df"</f>
        <v>#VALUE!</v>
      </c>
      <c r="BM258" t="e">
        <f>Europe!G687+"$F;@!/Dg"</f>
        <v>#VALUE!</v>
      </c>
      <c r="BN258" t="e">
        <f>Europe!H687+"$F;@!/Dh"</f>
        <v>#VALUE!</v>
      </c>
      <c r="BO258" t="e">
        <f>Europe!A688+"$F;@!/Di"</f>
        <v>#VALUE!</v>
      </c>
      <c r="BP258" t="e">
        <f>Europe!B688+"$F;@!/Dj"</f>
        <v>#VALUE!</v>
      </c>
      <c r="BQ258" t="e">
        <f>Europe!C688+"$F;@!/Dk"</f>
        <v>#VALUE!</v>
      </c>
      <c r="BR258" t="e">
        <f>Europe!D688+"$F;@!/Dl"</f>
        <v>#VALUE!</v>
      </c>
      <c r="BS258" t="e">
        <f>Europe!E688+"$F;@!/Dm"</f>
        <v>#VALUE!</v>
      </c>
      <c r="BT258" t="e">
        <f>Europe!F688+"$F;@!/Dn"</f>
        <v>#VALUE!</v>
      </c>
      <c r="BU258" t="e">
        <f>Europe!G688+"$F;@!/Do"</f>
        <v>#VALUE!</v>
      </c>
      <c r="BV258" t="e">
        <f>Europe!H688+"$F;@!/Dp"</f>
        <v>#VALUE!</v>
      </c>
      <c r="BW258" t="e">
        <f>Europe!A689+"$F;@!/Dq"</f>
        <v>#VALUE!</v>
      </c>
      <c r="BX258" t="e">
        <f>Europe!B689+"$F;@!/Dr"</f>
        <v>#VALUE!</v>
      </c>
      <c r="BY258" t="e">
        <f>Europe!C689+"$F;@!/Ds"</f>
        <v>#VALUE!</v>
      </c>
      <c r="BZ258" t="e">
        <f>Europe!D689+"$F;@!/Dt"</f>
        <v>#VALUE!</v>
      </c>
      <c r="CA258" t="e">
        <f>Europe!E689+"$F;@!/Du"</f>
        <v>#VALUE!</v>
      </c>
      <c r="CB258" t="e">
        <f>Europe!F689+"$F;@!/Dv"</f>
        <v>#VALUE!</v>
      </c>
      <c r="CC258" t="e">
        <f>Europe!G689+"$F;@!/Dw"</f>
        <v>#VALUE!</v>
      </c>
      <c r="CD258" t="e">
        <f>Europe!H689+"$F;@!/Dx"</f>
        <v>#VALUE!</v>
      </c>
      <c r="CE258" t="e">
        <f>Europe!A690+"$F;@!/Dy"</f>
        <v>#VALUE!</v>
      </c>
      <c r="CF258" t="e">
        <f>Europe!B690+"$F;@!/Dz"</f>
        <v>#VALUE!</v>
      </c>
      <c r="CG258" t="e">
        <f>Europe!C690+"$F;@!/D{"</f>
        <v>#VALUE!</v>
      </c>
      <c r="CH258" t="e">
        <f>Europe!D690+"$F;@!/D|"</f>
        <v>#VALUE!</v>
      </c>
      <c r="CI258" t="e">
        <f>Europe!E690+"$F;@!/D}"</f>
        <v>#VALUE!</v>
      </c>
      <c r="CJ258" t="e">
        <f>Europe!F690+"$F;@!/D~"</f>
        <v>#VALUE!</v>
      </c>
      <c r="CK258" t="e">
        <f>Europe!G690+"$F;@!/E#"</f>
        <v>#VALUE!</v>
      </c>
      <c r="CL258" t="e">
        <f>Europe!H690+"$F;@!/E$"</f>
        <v>#VALUE!</v>
      </c>
      <c r="CM258" t="e">
        <f>Europe!A691+"$F;@!/E%"</f>
        <v>#VALUE!</v>
      </c>
      <c r="CN258" t="e">
        <f>Europe!B691+"$F;@!/E&amp;"</f>
        <v>#VALUE!</v>
      </c>
      <c r="CO258" t="e">
        <f>Europe!C691+"$F;@!/E'"</f>
        <v>#VALUE!</v>
      </c>
      <c r="CP258" t="e">
        <f>Europe!D691+"$F;@!/E("</f>
        <v>#VALUE!</v>
      </c>
      <c r="CQ258" t="e">
        <f>Europe!E691+"$F;@!/E)"</f>
        <v>#VALUE!</v>
      </c>
      <c r="CR258" t="e">
        <f>Europe!F691+"$F;@!/E."</f>
        <v>#VALUE!</v>
      </c>
      <c r="CS258" t="e">
        <f>Europe!G691+"$F;@!/E/"</f>
        <v>#VALUE!</v>
      </c>
      <c r="CT258" t="e">
        <f>Europe!H691+"$F;@!/E0"</f>
        <v>#VALUE!</v>
      </c>
      <c r="CU258" t="e">
        <f>Europe!A692+"$F;@!/E1"</f>
        <v>#VALUE!</v>
      </c>
      <c r="CV258" t="e">
        <f>Europe!B692+"$F;@!/E2"</f>
        <v>#VALUE!</v>
      </c>
      <c r="CW258" t="e">
        <f>Europe!C692+"$F;@!/E3"</f>
        <v>#VALUE!</v>
      </c>
      <c r="CX258" t="e">
        <f>Europe!D692+"$F;@!/E4"</f>
        <v>#VALUE!</v>
      </c>
      <c r="CY258" t="e">
        <f>Europe!E692+"$F;@!/E5"</f>
        <v>#VALUE!</v>
      </c>
      <c r="CZ258" t="e">
        <f>Europe!F692+"$F;@!/E6"</f>
        <v>#VALUE!</v>
      </c>
      <c r="DA258" t="e">
        <f>Europe!G692+"$F;@!/E7"</f>
        <v>#VALUE!</v>
      </c>
      <c r="DB258" t="e">
        <f>Europe!H692+"$F;@!/E8"</f>
        <v>#VALUE!</v>
      </c>
      <c r="DC258" t="e">
        <f>Europe!A693+"$F;@!/E9"</f>
        <v>#VALUE!</v>
      </c>
      <c r="DD258" t="e">
        <f>Europe!B693+"$F;@!/E:"</f>
        <v>#VALUE!</v>
      </c>
      <c r="DE258" t="e">
        <f>Europe!C693+"$F;@!/E;"</f>
        <v>#VALUE!</v>
      </c>
      <c r="DF258" t="e">
        <f>Europe!D693+"$F;@!/E&lt;"</f>
        <v>#VALUE!</v>
      </c>
      <c r="DG258" t="e">
        <f>Europe!E693+"$F;@!/E="</f>
        <v>#VALUE!</v>
      </c>
      <c r="DH258" t="e">
        <f>Europe!F693+"$F;@!/E&gt;"</f>
        <v>#VALUE!</v>
      </c>
      <c r="DI258" t="e">
        <f>Europe!G693+"$F;@!/E?"</f>
        <v>#VALUE!</v>
      </c>
      <c r="DJ258" t="e">
        <f>Europe!H693+"$F;@!/E@"</f>
        <v>#VALUE!</v>
      </c>
      <c r="DK258" t="e">
        <f>Europe!A694+"$F;@!/EA"</f>
        <v>#VALUE!</v>
      </c>
      <c r="DL258" t="e">
        <f>Europe!B694+"$F;@!/EB"</f>
        <v>#VALUE!</v>
      </c>
      <c r="DM258" t="e">
        <f>Europe!C694+"$F;@!/EC"</f>
        <v>#VALUE!</v>
      </c>
      <c r="DN258" t="e">
        <f>Europe!D694+"$F;@!/ED"</f>
        <v>#VALUE!</v>
      </c>
      <c r="DO258" t="e">
        <f>Europe!E694+"$F;@!/EE"</f>
        <v>#VALUE!</v>
      </c>
      <c r="DP258" t="e">
        <f>Europe!F694+"$F;@!/EF"</f>
        <v>#VALUE!</v>
      </c>
      <c r="DQ258" t="e">
        <f>Europe!G694+"$F;@!/EG"</f>
        <v>#VALUE!</v>
      </c>
      <c r="DR258" t="e">
        <f>Europe!H694+"$F;@!/EH"</f>
        <v>#VALUE!</v>
      </c>
      <c r="DS258" t="e">
        <f>Europe!A695+"$F;@!/EI"</f>
        <v>#VALUE!</v>
      </c>
      <c r="DT258" t="e">
        <f>Europe!B695+"$F;@!/EJ"</f>
        <v>#VALUE!</v>
      </c>
      <c r="DU258" t="e">
        <f>Europe!C695+"$F;@!/EK"</f>
        <v>#VALUE!</v>
      </c>
      <c r="DV258" t="e">
        <f>Europe!D695+"$F;@!/EL"</f>
        <v>#VALUE!</v>
      </c>
      <c r="DW258" t="e">
        <f>Europe!E695+"$F;@!/EM"</f>
        <v>#VALUE!</v>
      </c>
      <c r="DX258" t="e">
        <f>Europe!F695+"$F;@!/EN"</f>
        <v>#VALUE!</v>
      </c>
      <c r="DY258" t="e">
        <f>Europe!G695+"$F;@!/EO"</f>
        <v>#VALUE!</v>
      </c>
      <c r="DZ258" t="e">
        <f>Europe!H695+"$F;@!/EP"</f>
        <v>#VALUE!</v>
      </c>
      <c r="EA258" t="e">
        <f>Europe!A696+"$F;@!/EQ"</f>
        <v>#VALUE!</v>
      </c>
      <c r="EB258" t="e">
        <f>Europe!B696+"$F;@!/ER"</f>
        <v>#VALUE!</v>
      </c>
      <c r="EC258" t="e">
        <f>Europe!C696+"$F;@!/ES"</f>
        <v>#VALUE!</v>
      </c>
      <c r="ED258" t="e">
        <f>Europe!D696+"$F;@!/ET"</f>
        <v>#VALUE!</v>
      </c>
      <c r="EE258" t="e">
        <f>Europe!E696+"$F;@!/EU"</f>
        <v>#VALUE!</v>
      </c>
      <c r="EF258" t="e">
        <f>Europe!F696+"$F;@!/EV"</f>
        <v>#VALUE!</v>
      </c>
      <c r="EG258" t="e">
        <f>Europe!G696+"$F;@!/EW"</f>
        <v>#VALUE!</v>
      </c>
      <c r="EH258" t="e">
        <f>Europe!H696+"$F;@!/EX"</f>
        <v>#VALUE!</v>
      </c>
      <c r="EI258" t="e">
        <f>Europe!A697+"$F;@!/EY"</f>
        <v>#VALUE!</v>
      </c>
      <c r="EJ258" t="e">
        <f>Europe!B697+"$F;@!/EZ"</f>
        <v>#VALUE!</v>
      </c>
      <c r="EK258" t="e">
        <f>Europe!C697+"$F;@!/E["</f>
        <v>#VALUE!</v>
      </c>
      <c r="EL258" t="e">
        <f>Europe!D697+"$F;@!/E\"</f>
        <v>#VALUE!</v>
      </c>
      <c r="EM258" t="e">
        <f>Europe!E697+"$F;@!/E]"</f>
        <v>#VALUE!</v>
      </c>
      <c r="EN258" t="e">
        <f>Europe!F697+"$F;@!/E^"</f>
        <v>#VALUE!</v>
      </c>
      <c r="EO258" t="e">
        <f>Europe!G697+"$F;@!/E_"</f>
        <v>#VALUE!</v>
      </c>
      <c r="EP258" t="e">
        <f>Europe!H697+"$F;@!/E`"</f>
        <v>#VALUE!</v>
      </c>
      <c r="EQ258" t="e">
        <f>Europe!A698+"$F;@!/Ea"</f>
        <v>#VALUE!</v>
      </c>
      <c r="ER258" t="e">
        <f>Europe!B698+"$F;@!/Eb"</f>
        <v>#VALUE!</v>
      </c>
      <c r="ES258" t="e">
        <f>Europe!C698+"$F;@!/Ec"</f>
        <v>#VALUE!</v>
      </c>
      <c r="ET258" t="e">
        <f>Europe!D698+"$F;@!/Ed"</f>
        <v>#VALUE!</v>
      </c>
      <c r="EU258" t="e">
        <f>Europe!E698+"$F;@!/Ee"</f>
        <v>#VALUE!</v>
      </c>
      <c r="EV258" t="e">
        <f>Europe!F698+"$F;@!/Ef"</f>
        <v>#VALUE!</v>
      </c>
      <c r="EW258" t="e">
        <f>Europe!G698+"$F;@!/Eg"</f>
        <v>#VALUE!</v>
      </c>
      <c r="EX258" t="e">
        <f>Europe!H698+"$F;@!/Eh"</f>
        <v>#VALUE!</v>
      </c>
      <c r="EY258" t="e">
        <f>Europe!A699+"$F;@!/Ei"</f>
        <v>#VALUE!</v>
      </c>
      <c r="EZ258" t="e">
        <f>Europe!B699+"$F;@!/Ej"</f>
        <v>#VALUE!</v>
      </c>
      <c r="FA258" t="e">
        <f>Europe!C699+"$F;@!/Ek"</f>
        <v>#VALUE!</v>
      </c>
      <c r="FB258" t="e">
        <f>Europe!D699+"$F;@!/El"</f>
        <v>#VALUE!</v>
      </c>
      <c r="FC258" t="e">
        <f>Europe!E699+"$F;@!/Em"</f>
        <v>#VALUE!</v>
      </c>
      <c r="FD258" t="e">
        <f>Europe!F699+"$F;@!/En"</f>
        <v>#VALUE!</v>
      </c>
      <c r="FE258" t="e">
        <f>Europe!G699+"$F;@!/Eo"</f>
        <v>#VALUE!</v>
      </c>
      <c r="FF258" t="e">
        <f>Europe!H699+"$F;@!/Ep"</f>
        <v>#VALUE!</v>
      </c>
      <c r="FG258" t="e">
        <f>Europe!A700+"$F;@!/Eq"</f>
        <v>#VALUE!</v>
      </c>
      <c r="FH258" t="e">
        <f>Europe!B700+"$F;@!/Er"</f>
        <v>#VALUE!</v>
      </c>
      <c r="FI258" t="e">
        <f>Europe!C700+"$F;@!/Es"</f>
        <v>#VALUE!</v>
      </c>
      <c r="FJ258" t="e">
        <f>Europe!D700+"$F;@!/Et"</f>
        <v>#VALUE!</v>
      </c>
      <c r="FK258" t="e">
        <f>Europe!E700+"$F;@!/Eu"</f>
        <v>#VALUE!</v>
      </c>
      <c r="FL258" t="e">
        <f>Europe!F700+"$F;@!/Ev"</f>
        <v>#VALUE!</v>
      </c>
      <c r="FM258" t="e">
        <f>Europe!G700+"$F;@!/Ew"</f>
        <v>#VALUE!</v>
      </c>
      <c r="FN258" t="e">
        <f>Europe!H700+"$F;@!/Ex"</f>
        <v>#VALUE!</v>
      </c>
      <c r="FO258" t="e">
        <f>Europe!A701+"$F;@!/Ey"</f>
        <v>#VALUE!</v>
      </c>
      <c r="FP258" t="e">
        <f>Europe!B701+"$F;@!/Ez"</f>
        <v>#VALUE!</v>
      </c>
      <c r="FQ258" t="e">
        <f>Europe!C701+"$F;@!/E{"</f>
        <v>#VALUE!</v>
      </c>
      <c r="FR258" t="e">
        <f>Europe!D701+"$F;@!/E|"</f>
        <v>#VALUE!</v>
      </c>
      <c r="FS258" t="e">
        <f>Europe!E701+"$F;@!/E}"</f>
        <v>#VALUE!</v>
      </c>
      <c r="FT258" t="e">
        <f>Europe!F701+"$F;@!/E~"</f>
        <v>#VALUE!</v>
      </c>
      <c r="FU258" t="e">
        <f>Europe!G701+"$F;@!/F#"</f>
        <v>#VALUE!</v>
      </c>
      <c r="FV258" t="e">
        <f>Europe!H701+"$F;@!/F$"</f>
        <v>#VALUE!</v>
      </c>
      <c r="FW258" t="e">
        <f>Europe!A702+"$F;@!/F%"</f>
        <v>#VALUE!</v>
      </c>
      <c r="FX258" t="e">
        <f>Europe!B702+"$F;@!/F&amp;"</f>
        <v>#VALUE!</v>
      </c>
      <c r="FY258" t="e">
        <f>Europe!C702+"$F;@!/F'"</f>
        <v>#VALUE!</v>
      </c>
      <c r="FZ258" t="e">
        <f>Europe!D702+"$F;@!/F("</f>
        <v>#VALUE!</v>
      </c>
      <c r="GA258" t="e">
        <f>Europe!E702+"$F;@!/F)"</f>
        <v>#VALUE!</v>
      </c>
      <c r="GB258" t="e">
        <f>Europe!F702+"$F;@!/F."</f>
        <v>#VALUE!</v>
      </c>
      <c r="GC258" t="e">
        <f>Europe!G702+"$F;@!/F/"</f>
        <v>#VALUE!</v>
      </c>
      <c r="GD258" t="e">
        <f>Europe!H702+"$F;@!/F0"</f>
        <v>#VALUE!</v>
      </c>
      <c r="GE258" t="e">
        <f>Europe!A703+"$F;@!/F1"</f>
        <v>#VALUE!</v>
      </c>
      <c r="GF258" t="e">
        <f>Europe!B703+"$F;@!/F2"</f>
        <v>#VALUE!</v>
      </c>
      <c r="GG258" t="e">
        <f>Europe!C703+"$F;@!/F3"</f>
        <v>#VALUE!</v>
      </c>
      <c r="GH258" t="e">
        <f>Europe!D703+"$F;@!/F4"</f>
        <v>#VALUE!</v>
      </c>
      <c r="GI258" t="e">
        <f>Europe!E703+"$F;@!/F5"</f>
        <v>#VALUE!</v>
      </c>
      <c r="GJ258" t="e">
        <f>Europe!F703+"$F;@!/F6"</f>
        <v>#VALUE!</v>
      </c>
      <c r="GK258" t="e">
        <f>Europe!G703+"$F;@!/F7"</f>
        <v>#VALUE!</v>
      </c>
      <c r="GL258" t="e">
        <f>Europe!H703+"$F;@!/F8"</f>
        <v>#VALUE!</v>
      </c>
      <c r="GM258" t="e">
        <f>Europe!A704+"$F;@!/F9"</f>
        <v>#VALUE!</v>
      </c>
      <c r="GN258" t="e">
        <f>Europe!B704+"$F;@!/F:"</f>
        <v>#VALUE!</v>
      </c>
      <c r="GO258" t="e">
        <f>Europe!C704+"$F;@!/F;"</f>
        <v>#VALUE!</v>
      </c>
      <c r="GP258" t="e">
        <f>Europe!D704+"$F;@!/F&lt;"</f>
        <v>#VALUE!</v>
      </c>
      <c r="GQ258" t="e">
        <f>Europe!E704+"$F;@!/F="</f>
        <v>#VALUE!</v>
      </c>
      <c r="GR258" t="e">
        <f>Europe!F704+"$F;@!/F&gt;"</f>
        <v>#VALUE!</v>
      </c>
      <c r="GS258" t="e">
        <f>Europe!G704+"$F;@!/F?"</f>
        <v>#VALUE!</v>
      </c>
      <c r="GT258" t="e">
        <f>Europe!H704+"$F;@!/F@"</f>
        <v>#VALUE!</v>
      </c>
      <c r="GU258" t="e">
        <f>Europe!A705+"$F;@!/FA"</f>
        <v>#VALUE!</v>
      </c>
      <c r="GV258" t="e">
        <f>Europe!B705+"$F;@!/FB"</f>
        <v>#VALUE!</v>
      </c>
      <c r="GW258" t="e">
        <f>Europe!C705+"$F;@!/FC"</f>
        <v>#VALUE!</v>
      </c>
      <c r="GX258" t="e">
        <f>Europe!D705+"$F;@!/FD"</f>
        <v>#VALUE!</v>
      </c>
      <c r="GY258" t="e">
        <f>Europe!E705+"$F;@!/FE"</f>
        <v>#VALUE!</v>
      </c>
      <c r="GZ258" t="e">
        <f>Europe!F705+"$F;@!/FF"</f>
        <v>#VALUE!</v>
      </c>
      <c r="HA258" t="e">
        <f>Europe!G705+"$F;@!/FG"</f>
        <v>#VALUE!</v>
      </c>
      <c r="HB258" t="e">
        <f>Europe!H705+"$F;@!/FH"</f>
        <v>#VALUE!</v>
      </c>
      <c r="HC258" t="e">
        <f>Europe!A706+"$F;@!/FI"</f>
        <v>#VALUE!</v>
      </c>
      <c r="HD258" t="e">
        <f>Europe!B706+"$F;@!/FJ"</f>
        <v>#VALUE!</v>
      </c>
      <c r="HE258" t="e">
        <f>Europe!C706+"$F;@!/FK"</f>
        <v>#VALUE!</v>
      </c>
      <c r="HF258" t="e">
        <f>Europe!D706+"$F;@!/FL"</f>
        <v>#VALUE!</v>
      </c>
      <c r="HG258" t="e">
        <f>Europe!E706+"$F;@!/FM"</f>
        <v>#VALUE!</v>
      </c>
      <c r="HH258" t="e">
        <f>Europe!F706+"$F;@!/FN"</f>
        <v>#VALUE!</v>
      </c>
      <c r="HI258" t="e">
        <f>Europe!G706+"$F;@!/FO"</f>
        <v>#VALUE!</v>
      </c>
      <c r="HJ258" t="e">
        <f>Europe!H706+"$F;@!/FP"</f>
        <v>#VALUE!</v>
      </c>
      <c r="HK258" t="e">
        <f>Europe!A707+"$F;@!/FQ"</f>
        <v>#VALUE!</v>
      </c>
      <c r="HL258" t="e">
        <f>Europe!B707+"$F;@!/FR"</f>
        <v>#VALUE!</v>
      </c>
      <c r="HM258" t="e">
        <f>Europe!C707+"$F;@!/FS"</f>
        <v>#VALUE!</v>
      </c>
      <c r="HN258" t="e">
        <f>Europe!D707+"$F;@!/FT"</f>
        <v>#VALUE!</v>
      </c>
      <c r="HO258" t="e">
        <f>Europe!E707+"$F;@!/FU"</f>
        <v>#VALUE!</v>
      </c>
      <c r="HP258" t="e">
        <f>Europe!F707+"$F;@!/FV"</f>
        <v>#VALUE!</v>
      </c>
      <c r="HQ258" t="e">
        <f>Europe!G707+"$F;@!/FW"</f>
        <v>#VALUE!</v>
      </c>
      <c r="HR258" t="e">
        <f>Europe!H707+"$F;@!/FX"</f>
        <v>#VALUE!</v>
      </c>
      <c r="HS258" t="e">
        <f>Europe!A708+"$F;@!/FY"</f>
        <v>#VALUE!</v>
      </c>
      <c r="HT258" t="e">
        <f>Europe!B708+"$F;@!/FZ"</f>
        <v>#VALUE!</v>
      </c>
      <c r="HU258" t="e">
        <f>Europe!C708+"$F;@!/F["</f>
        <v>#VALUE!</v>
      </c>
      <c r="HV258" t="e">
        <f>Europe!D708+"$F;@!/F\"</f>
        <v>#VALUE!</v>
      </c>
      <c r="HW258" t="e">
        <f>Europe!E708+"$F;@!/F]"</f>
        <v>#VALUE!</v>
      </c>
      <c r="HX258" t="e">
        <f>Europe!F708+"$F;@!/F^"</f>
        <v>#VALUE!</v>
      </c>
      <c r="HY258" t="e">
        <f>Europe!G708+"$F;@!/F_"</f>
        <v>#VALUE!</v>
      </c>
      <c r="HZ258" t="e">
        <f>Europe!H708+"$F;@!/F`"</f>
        <v>#VALUE!</v>
      </c>
      <c r="IA258" t="e">
        <f>Europe!A709+"$F;@!/Fa"</f>
        <v>#VALUE!</v>
      </c>
      <c r="IB258" t="e">
        <f>Europe!B709+"$F;@!/Fb"</f>
        <v>#VALUE!</v>
      </c>
      <c r="IC258" t="e">
        <f>Europe!C709+"$F;@!/Fc"</f>
        <v>#VALUE!</v>
      </c>
      <c r="ID258" t="e">
        <f>Europe!D709+"$F;@!/Fd"</f>
        <v>#VALUE!</v>
      </c>
      <c r="IE258" t="e">
        <f>Europe!E709+"$F;@!/Fe"</f>
        <v>#VALUE!</v>
      </c>
      <c r="IF258" t="e">
        <f>Europe!F709+"$F;@!/Ff"</f>
        <v>#VALUE!</v>
      </c>
      <c r="IG258" t="e">
        <f>Europe!G709+"$F;@!/Fg"</f>
        <v>#VALUE!</v>
      </c>
      <c r="IH258" t="e">
        <f>Europe!H709+"$F;@!/Fh"</f>
        <v>#VALUE!</v>
      </c>
      <c r="II258" t="e">
        <f>Europe!A710+"$F;@!/Fi"</f>
        <v>#VALUE!</v>
      </c>
      <c r="IJ258" t="e">
        <f>Europe!B710+"$F;@!/Fj"</f>
        <v>#VALUE!</v>
      </c>
      <c r="IK258" t="e">
        <f>Europe!C710+"$F;@!/Fk"</f>
        <v>#VALUE!</v>
      </c>
      <c r="IL258" t="e">
        <f>Europe!D710+"$F;@!/Fl"</f>
        <v>#VALUE!</v>
      </c>
      <c r="IM258" t="e">
        <f>Europe!E710+"$F;@!/Fm"</f>
        <v>#VALUE!</v>
      </c>
      <c r="IN258" t="e">
        <f>Europe!F710+"$F;@!/Fn"</f>
        <v>#VALUE!</v>
      </c>
      <c r="IO258" t="e">
        <f>Europe!G710+"$F;@!/Fo"</f>
        <v>#VALUE!</v>
      </c>
      <c r="IP258" t="e">
        <f>Europe!H710+"$F;@!/Fp"</f>
        <v>#VALUE!</v>
      </c>
      <c r="IQ258" t="e">
        <f>Europe!A711+"$F;@!/Fq"</f>
        <v>#VALUE!</v>
      </c>
      <c r="IR258" t="e">
        <f>Europe!B711+"$F;@!/Fr"</f>
        <v>#VALUE!</v>
      </c>
      <c r="IS258" t="e">
        <f>Europe!C711+"$F;@!/Fs"</f>
        <v>#VALUE!</v>
      </c>
      <c r="IT258" t="e">
        <f>Europe!D711+"$F;@!/Ft"</f>
        <v>#VALUE!</v>
      </c>
      <c r="IU258" t="e">
        <f>Europe!E711+"$F;@!/Fu"</f>
        <v>#VALUE!</v>
      </c>
      <c r="IV258" t="e">
        <f>Europe!F711+"$F;@!/Fv"</f>
        <v>#VALUE!</v>
      </c>
    </row>
    <row r="259" spans="6:256" x14ac:dyDescent="0.35">
      <c r="F259" t="e">
        <f>Europe!G711+"$F;@!/Fw"</f>
        <v>#VALUE!</v>
      </c>
      <c r="G259" t="e">
        <f>Europe!H711+"$F;@!/Fx"</f>
        <v>#VALUE!</v>
      </c>
      <c r="H259" t="e">
        <f>Europe!A712+"$F;@!/Fy"</f>
        <v>#VALUE!</v>
      </c>
      <c r="I259" t="e">
        <f>Europe!B712+"$F;@!/Fz"</f>
        <v>#VALUE!</v>
      </c>
      <c r="J259" t="e">
        <f>Europe!C712+"$F;@!/F{"</f>
        <v>#VALUE!</v>
      </c>
      <c r="K259" t="e">
        <f>Europe!D712+"$F;@!/F|"</f>
        <v>#VALUE!</v>
      </c>
      <c r="L259" t="e">
        <f>Europe!E712+"$F;@!/F}"</f>
        <v>#VALUE!</v>
      </c>
      <c r="M259" t="e">
        <f>Europe!F712+"$F;@!/F~"</f>
        <v>#VALUE!</v>
      </c>
      <c r="N259" t="e">
        <f>Europe!G712+"$F;@!/G#"</f>
        <v>#VALUE!</v>
      </c>
      <c r="O259" t="e">
        <f>Europe!H712+"$F;@!/G$"</f>
        <v>#VALUE!</v>
      </c>
      <c r="P259" t="e">
        <f>Europe!A713+"$F;@!/G%"</f>
        <v>#VALUE!</v>
      </c>
      <c r="Q259" t="e">
        <f>Europe!B713+"$F;@!/G&amp;"</f>
        <v>#VALUE!</v>
      </c>
      <c r="R259" t="e">
        <f>Europe!C713+"$F;@!/G'"</f>
        <v>#VALUE!</v>
      </c>
      <c r="S259" t="e">
        <f>Europe!D713+"$F;@!/G("</f>
        <v>#VALUE!</v>
      </c>
      <c r="T259" t="e">
        <f>Europe!E713+"$F;@!/G)"</f>
        <v>#VALUE!</v>
      </c>
      <c r="U259" t="e">
        <f>Europe!F713+"$F;@!/G."</f>
        <v>#VALUE!</v>
      </c>
      <c r="V259" t="e">
        <f>Europe!G713+"$F;@!/G/"</f>
        <v>#VALUE!</v>
      </c>
      <c r="W259" t="e">
        <f>Europe!H713+"$F;@!/G0"</f>
        <v>#VALUE!</v>
      </c>
      <c r="X259" t="e">
        <f>Europe!A714+"$F;@!/G1"</f>
        <v>#VALUE!</v>
      </c>
      <c r="Y259" t="e">
        <f>Europe!B714+"$F;@!/G2"</f>
        <v>#VALUE!</v>
      </c>
      <c r="Z259" t="e">
        <f>Europe!C714+"$F;@!/G3"</f>
        <v>#VALUE!</v>
      </c>
      <c r="AA259" t="e">
        <f>Europe!D714+"$F;@!/G4"</f>
        <v>#VALUE!</v>
      </c>
      <c r="AB259" t="e">
        <f>Europe!E714+"$F;@!/G5"</f>
        <v>#VALUE!</v>
      </c>
      <c r="AC259" t="e">
        <f>Europe!F714+"$F;@!/G6"</f>
        <v>#VALUE!</v>
      </c>
      <c r="AD259" t="e">
        <f>Europe!G714+"$F;@!/G7"</f>
        <v>#VALUE!</v>
      </c>
      <c r="AE259" t="e">
        <f>Europe!H714+"$F;@!/G8"</f>
        <v>#VALUE!</v>
      </c>
      <c r="AF259" t="e">
        <f>Europe!A715+"$F;@!/G9"</f>
        <v>#VALUE!</v>
      </c>
      <c r="AG259" t="e">
        <f>Europe!B715+"$F;@!/G:"</f>
        <v>#VALUE!</v>
      </c>
      <c r="AH259" t="e">
        <f>Europe!C715+"$F;@!/G;"</f>
        <v>#VALUE!</v>
      </c>
      <c r="AI259" t="e">
        <f>Europe!D715+"$F;@!/G&lt;"</f>
        <v>#VALUE!</v>
      </c>
      <c r="AJ259" t="e">
        <f>Europe!E715+"$F;@!/G="</f>
        <v>#VALUE!</v>
      </c>
      <c r="AK259" t="e">
        <f>Europe!F715+"$F;@!/G&gt;"</f>
        <v>#VALUE!</v>
      </c>
      <c r="AL259" t="e">
        <f>Europe!G715+"$F;@!/G?"</f>
        <v>#VALUE!</v>
      </c>
      <c r="AM259" t="e">
        <f>Europe!H715+"$F;@!/G@"</f>
        <v>#VALUE!</v>
      </c>
      <c r="AN259" t="e">
        <f>Europe!A716+"$F;@!/GA"</f>
        <v>#VALUE!</v>
      </c>
      <c r="AO259" t="e">
        <f>Europe!B716+"$F;@!/GB"</f>
        <v>#VALUE!</v>
      </c>
      <c r="AP259" t="e">
        <f>Europe!C716+"$F;@!/GC"</f>
        <v>#VALUE!</v>
      </c>
      <c r="AQ259" t="e">
        <f>Europe!D716+"$F;@!/GD"</f>
        <v>#VALUE!</v>
      </c>
      <c r="AR259" t="e">
        <f>Europe!E716+"$F;@!/GE"</f>
        <v>#VALUE!</v>
      </c>
      <c r="AS259" t="e">
        <f>Europe!F716+"$F;@!/GF"</f>
        <v>#VALUE!</v>
      </c>
      <c r="AT259" t="e">
        <f>Europe!G716+"$F;@!/GG"</f>
        <v>#VALUE!</v>
      </c>
      <c r="AU259" t="e">
        <f>Europe!H716+"$F;@!/GH"</f>
        <v>#VALUE!</v>
      </c>
      <c r="AV259" t="e">
        <f>Europe!A717+"$F;@!/GI"</f>
        <v>#VALUE!</v>
      </c>
      <c r="AW259" t="e">
        <f>Europe!B717+"$F;@!/GJ"</f>
        <v>#VALUE!</v>
      </c>
      <c r="AX259" t="e">
        <f>Europe!C717+"$F;@!/GK"</f>
        <v>#VALUE!</v>
      </c>
      <c r="AY259" t="e">
        <f>Europe!D717+"$F;@!/GL"</f>
        <v>#VALUE!</v>
      </c>
      <c r="AZ259" t="e">
        <f>Europe!E717+"$F;@!/GM"</f>
        <v>#VALUE!</v>
      </c>
      <c r="BA259" t="e">
        <f>Europe!F717+"$F;@!/GN"</f>
        <v>#VALUE!</v>
      </c>
      <c r="BB259" t="e">
        <f>Europe!G717+"$F;@!/GO"</f>
        <v>#VALUE!</v>
      </c>
      <c r="BC259" t="e">
        <f>Europe!H717+"$F;@!/GP"</f>
        <v>#VALUE!</v>
      </c>
      <c r="BD259" t="e">
        <f>Europe!A718+"$F;@!/GQ"</f>
        <v>#VALUE!</v>
      </c>
      <c r="BE259" t="e">
        <f>Europe!B718+"$F;@!/GR"</f>
        <v>#VALUE!</v>
      </c>
      <c r="BF259" t="e">
        <f>Europe!C718+"$F;@!/GS"</f>
        <v>#VALUE!</v>
      </c>
      <c r="BG259" t="e">
        <f>Europe!D718+"$F;@!/GT"</f>
        <v>#VALUE!</v>
      </c>
      <c r="BH259" t="e">
        <f>Europe!E718+"$F;@!/GU"</f>
        <v>#VALUE!</v>
      </c>
      <c r="BI259" t="e">
        <f>Europe!F718+"$F;@!/GV"</f>
        <v>#VALUE!</v>
      </c>
      <c r="BJ259" t="e">
        <f>Europe!G718+"$F;@!/GW"</f>
        <v>#VALUE!</v>
      </c>
      <c r="BK259" t="e">
        <f>Europe!H718+"$F;@!/GX"</f>
        <v>#VALUE!</v>
      </c>
      <c r="BL259" t="e">
        <f>Europe!A719+"$F;@!/GY"</f>
        <v>#VALUE!</v>
      </c>
      <c r="BM259" t="e">
        <f>Europe!B719+"$F;@!/GZ"</f>
        <v>#VALUE!</v>
      </c>
      <c r="BN259" t="e">
        <f>Europe!C719+"$F;@!/G["</f>
        <v>#VALUE!</v>
      </c>
      <c r="BO259" t="e">
        <f>Europe!D719+"$F;@!/G\"</f>
        <v>#VALUE!</v>
      </c>
      <c r="BP259" t="e">
        <f>Europe!E719+"$F;@!/G]"</f>
        <v>#VALUE!</v>
      </c>
      <c r="BQ259" t="e">
        <f>Europe!F719+"$F;@!/G^"</f>
        <v>#VALUE!</v>
      </c>
      <c r="BR259" t="e">
        <f>Europe!G719+"$F;@!/G_"</f>
        <v>#VALUE!</v>
      </c>
      <c r="BS259" t="e">
        <f>Europe!H719+"$F;@!/G`"</f>
        <v>#VALUE!</v>
      </c>
      <c r="BT259" t="e">
        <f>Europe!A720+"$F;@!/Ga"</f>
        <v>#VALUE!</v>
      </c>
      <c r="BU259" t="e">
        <f>Europe!B720+"$F;@!/Gb"</f>
        <v>#VALUE!</v>
      </c>
      <c r="BV259" t="e">
        <f>Europe!C720+"$F;@!/Gc"</f>
        <v>#VALUE!</v>
      </c>
      <c r="BW259" t="e">
        <f>Europe!D720+"$F;@!/Gd"</f>
        <v>#VALUE!</v>
      </c>
      <c r="BX259" t="e">
        <f>Europe!E720+"$F;@!/Ge"</f>
        <v>#VALUE!</v>
      </c>
      <c r="BY259" t="e">
        <f>Europe!F720+"$F;@!/Gf"</f>
        <v>#VALUE!</v>
      </c>
      <c r="BZ259" t="e">
        <f>Europe!G720+"$F;@!/Gg"</f>
        <v>#VALUE!</v>
      </c>
      <c r="CA259" t="e">
        <f>Europe!H720+"$F;@!/Gh"</f>
        <v>#VALUE!</v>
      </c>
      <c r="CB259" t="e">
        <f>Europe!A721+"$F;@!/Gi"</f>
        <v>#VALUE!</v>
      </c>
      <c r="CC259" t="e">
        <f>Europe!B721+"$F;@!/Gj"</f>
        <v>#VALUE!</v>
      </c>
      <c r="CD259" t="e">
        <f>Europe!C721+"$F;@!/Gk"</f>
        <v>#VALUE!</v>
      </c>
      <c r="CE259" t="e">
        <f>Europe!D721+"$F;@!/Gl"</f>
        <v>#VALUE!</v>
      </c>
      <c r="CF259" t="e">
        <f>Europe!E721+"$F;@!/Gm"</f>
        <v>#VALUE!</v>
      </c>
      <c r="CG259" t="e">
        <f>Europe!F721+"$F;@!/Gn"</f>
        <v>#VALUE!</v>
      </c>
      <c r="CH259" t="e">
        <f>Europe!G721+"$F;@!/Go"</f>
        <v>#VALUE!</v>
      </c>
      <c r="CI259" t="e">
        <f>Europe!H721+"$F;@!/Gp"</f>
        <v>#VALUE!</v>
      </c>
      <c r="CJ259" t="e">
        <f>Europe!A722+"$F;@!/Gq"</f>
        <v>#VALUE!</v>
      </c>
      <c r="CK259" t="e">
        <f>Europe!B722+"$F;@!/Gr"</f>
        <v>#VALUE!</v>
      </c>
      <c r="CL259" t="e">
        <f>Europe!C722+"$F;@!/Gs"</f>
        <v>#VALUE!</v>
      </c>
      <c r="CM259" t="e">
        <f>Europe!D722+"$F;@!/Gt"</f>
        <v>#VALUE!</v>
      </c>
      <c r="CN259" t="e">
        <f>Europe!E722+"$F;@!/Gu"</f>
        <v>#VALUE!</v>
      </c>
      <c r="CO259" t="e">
        <f>Europe!F722+"$F;@!/Gv"</f>
        <v>#VALUE!</v>
      </c>
      <c r="CP259" t="e">
        <f>Europe!G722+"$F;@!/Gw"</f>
        <v>#VALUE!</v>
      </c>
      <c r="CQ259" t="e">
        <f>Europe!H722+"$F;@!/Gx"</f>
        <v>#VALUE!</v>
      </c>
      <c r="CR259" t="e">
        <f>Europe!A723+"$F;@!/Gy"</f>
        <v>#VALUE!</v>
      </c>
      <c r="CS259" t="e">
        <f>Europe!B723+"$F;@!/Gz"</f>
        <v>#VALUE!</v>
      </c>
      <c r="CT259" t="e">
        <f>Europe!C723+"$F;@!/G{"</f>
        <v>#VALUE!</v>
      </c>
      <c r="CU259" t="e">
        <f>Europe!D723+"$F;@!/G|"</f>
        <v>#VALUE!</v>
      </c>
      <c r="CV259" t="e">
        <f>Europe!E723+"$F;@!/G}"</f>
        <v>#VALUE!</v>
      </c>
      <c r="CW259" t="e">
        <f>Europe!F723+"$F;@!/G~"</f>
        <v>#VALUE!</v>
      </c>
      <c r="CX259" t="e">
        <f>Europe!G723+"$F;@!/H#"</f>
        <v>#VALUE!</v>
      </c>
      <c r="CY259" t="e">
        <f>Europe!H723+"$F;@!/H$"</f>
        <v>#VALUE!</v>
      </c>
      <c r="CZ259" t="e">
        <f>Europe!A724+"$F;@!/H%"</f>
        <v>#VALUE!</v>
      </c>
      <c r="DA259" t="e">
        <f>Europe!B724+"$F;@!/H&amp;"</f>
        <v>#VALUE!</v>
      </c>
      <c r="DB259" t="e">
        <f>Europe!C724+"$F;@!/H'"</f>
        <v>#VALUE!</v>
      </c>
      <c r="DC259" t="e">
        <f>Europe!D724+"$F;@!/H("</f>
        <v>#VALUE!</v>
      </c>
      <c r="DD259" t="e">
        <f>Europe!E724+"$F;@!/H)"</f>
        <v>#VALUE!</v>
      </c>
      <c r="DE259" t="e">
        <f>Europe!F724+"$F;@!/H."</f>
        <v>#VALUE!</v>
      </c>
      <c r="DF259" t="e">
        <f>Europe!G724+"$F;@!/H/"</f>
        <v>#VALUE!</v>
      </c>
      <c r="DG259" t="e">
        <f>Europe!H724+"$F;@!/H0"</f>
        <v>#VALUE!</v>
      </c>
      <c r="DH259" t="e">
        <f>Europe!A725+"$F;@!/H1"</f>
        <v>#VALUE!</v>
      </c>
      <c r="DI259" t="e">
        <f>Europe!B725+"$F;@!/H2"</f>
        <v>#VALUE!</v>
      </c>
      <c r="DJ259" t="e">
        <f>Europe!C725+"$F;@!/H3"</f>
        <v>#VALUE!</v>
      </c>
      <c r="DK259" t="e">
        <f>Europe!D725+"$F;@!/H4"</f>
        <v>#VALUE!</v>
      </c>
      <c r="DL259" t="e">
        <f>Europe!E725+"$F;@!/H5"</f>
        <v>#VALUE!</v>
      </c>
      <c r="DM259" t="e">
        <f>Europe!F725+"$F;@!/H6"</f>
        <v>#VALUE!</v>
      </c>
      <c r="DN259" t="e">
        <f>Europe!G725+"$F;@!/H7"</f>
        <v>#VALUE!</v>
      </c>
      <c r="DO259" t="e">
        <f>Europe!H725+"$F;@!/H8"</f>
        <v>#VALUE!</v>
      </c>
      <c r="DP259" t="e">
        <f>Europe!A726+"$F;@!/H9"</f>
        <v>#VALUE!</v>
      </c>
      <c r="DQ259" t="e">
        <f>Europe!B726+"$F;@!/H:"</f>
        <v>#VALUE!</v>
      </c>
      <c r="DR259" t="e">
        <f>Europe!C726+"$F;@!/H;"</f>
        <v>#VALUE!</v>
      </c>
      <c r="DS259" t="e">
        <f>Europe!D726+"$F;@!/H&lt;"</f>
        <v>#VALUE!</v>
      </c>
      <c r="DT259" t="e">
        <f>Europe!E726+"$F;@!/H="</f>
        <v>#VALUE!</v>
      </c>
      <c r="DU259" t="e">
        <f>Europe!F726+"$F;@!/H&gt;"</f>
        <v>#VALUE!</v>
      </c>
      <c r="DV259" t="e">
        <f>Europe!G726+"$F;@!/H?"</f>
        <v>#VALUE!</v>
      </c>
      <c r="DW259" t="e">
        <f>Europe!H726+"$F;@!/H@"</f>
        <v>#VALUE!</v>
      </c>
      <c r="DX259" t="e">
        <f>Europe!A727+"$F;@!/HA"</f>
        <v>#VALUE!</v>
      </c>
      <c r="DY259" t="e">
        <f>Europe!B727+"$F;@!/HB"</f>
        <v>#VALUE!</v>
      </c>
      <c r="DZ259" t="e">
        <f>Europe!C727+"$F;@!/HC"</f>
        <v>#VALUE!</v>
      </c>
      <c r="EA259" t="e">
        <f>Europe!D727+"$F;@!/HD"</f>
        <v>#VALUE!</v>
      </c>
      <c r="EB259" t="e">
        <f>Europe!E727+"$F;@!/HE"</f>
        <v>#VALUE!</v>
      </c>
      <c r="EC259" t="e">
        <f>Europe!F727+"$F;@!/HF"</f>
        <v>#VALUE!</v>
      </c>
      <c r="ED259" t="e">
        <f>Europe!G727+"$F;@!/HG"</f>
        <v>#VALUE!</v>
      </c>
      <c r="EE259" t="e">
        <f>Europe!H727+"$F;@!/HH"</f>
        <v>#VALUE!</v>
      </c>
      <c r="EF259" t="e">
        <f>Europe!A728+"$F;@!/HI"</f>
        <v>#VALUE!</v>
      </c>
      <c r="EG259" t="e">
        <f>Europe!B728+"$F;@!/HJ"</f>
        <v>#VALUE!</v>
      </c>
      <c r="EH259" t="e">
        <f>Europe!C728+"$F;@!/HK"</f>
        <v>#VALUE!</v>
      </c>
      <c r="EI259" t="e">
        <f>Europe!D728+"$F;@!/HL"</f>
        <v>#VALUE!</v>
      </c>
      <c r="EJ259" t="e">
        <f>Europe!E728+"$F;@!/HM"</f>
        <v>#VALUE!</v>
      </c>
      <c r="EK259" t="e">
        <f>Europe!F728+"$F;@!/HN"</f>
        <v>#VALUE!</v>
      </c>
      <c r="EL259" t="e">
        <f>Europe!G728+"$F;@!/HO"</f>
        <v>#VALUE!</v>
      </c>
      <c r="EM259" t="e">
        <f>Europe!H728+"$F;@!/HP"</f>
        <v>#VALUE!</v>
      </c>
      <c r="EN259" t="e">
        <f>Europe!A729+"$F;@!/HQ"</f>
        <v>#VALUE!</v>
      </c>
      <c r="EO259" t="e">
        <f>Europe!B729+"$F;@!/HR"</f>
        <v>#VALUE!</v>
      </c>
      <c r="EP259" t="e">
        <f>Europe!C729+"$F;@!/HS"</f>
        <v>#VALUE!</v>
      </c>
      <c r="EQ259" t="e">
        <f>Europe!D729+"$F;@!/HT"</f>
        <v>#VALUE!</v>
      </c>
      <c r="ER259" t="e">
        <f>Europe!E729+"$F;@!/HU"</f>
        <v>#VALUE!</v>
      </c>
      <c r="ES259" t="e">
        <f>Europe!F729+"$F;@!/HV"</f>
        <v>#VALUE!</v>
      </c>
      <c r="ET259" t="e">
        <f>Europe!G729+"$F;@!/HW"</f>
        <v>#VALUE!</v>
      </c>
      <c r="EU259" t="e">
        <f>Europe!H729+"$F;@!/HX"</f>
        <v>#VALUE!</v>
      </c>
      <c r="EV259" t="e">
        <f>Europe!A730+"$F;@!/HY"</f>
        <v>#VALUE!</v>
      </c>
      <c r="EW259" t="e">
        <f>Europe!B730+"$F;@!/HZ"</f>
        <v>#VALUE!</v>
      </c>
      <c r="EX259" t="e">
        <f>Europe!C730+"$F;@!/H["</f>
        <v>#VALUE!</v>
      </c>
      <c r="EY259" t="e">
        <f>Europe!D730+"$F;@!/H\"</f>
        <v>#VALUE!</v>
      </c>
      <c r="EZ259" t="e">
        <f>Europe!E730+"$F;@!/H]"</f>
        <v>#VALUE!</v>
      </c>
      <c r="FA259" t="e">
        <f>Europe!F730+"$F;@!/H^"</f>
        <v>#VALUE!</v>
      </c>
      <c r="FB259" t="e">
        <f>Europe!G730+"$F;@!/H_"</f>
        <v>#VALUE!</v>
      </c>
      <c r="FC259" t="e">
        <f>Europe!H730+"$F;@!/H`"</f>
        <v>#VALUE!</v>
      </c>
      <c r="FD259" t="e">
        <f>Europe!A731+"$F;@!/Ha"</f>
        <v>#VALUE!</v>
      </c>
      <c r="FE259" t="e">
        <f>Europe!B731+"$F;@!/Hb"</f>
        <v>#VALUE!</v>
      </c>
      <c r="FF259" t="e">
        <f>Europe!C731+"$F;@!/Hc"</f>
        <v>#VALUE!</v>
      </c>
      <c r="FG259" t="e">
        <f>Europe!D731+"$F;@!/Hd"</f>
        <v>#VALUE!</v>
      </c>
      <c r="FH259" t="e">
        <f>Europe!E731+"$F;@!/He"</f>
        <v>#VALUE!</v>
      </c>
      <c r="FI259" t="e">
        <f>Europe!F731+"$F;@!/Hf"</f>
        <v>#VALUE!</v>
      </c>
      <c r="FJ259" t="e">
        <f>Europe!G731+"$F;@!/Hg"</f>
        <v>#VALUE!</v>
      </c>
      <c r="FK259" t="e">
        <f>Europe!H731+"$F;@!/Hh"</f>
        <v>#VALUE!</v>
      </c>
      <c r="FL259" t="e">
        <f>Europe!A732+"$F;@!/Hi"</f>
        <v>#VALUE!</v>
      </c>
      <c r="FM259" t="e">
        <f>Europe!B732+"$F;@!/Hj"</f>
        <v>#VALUE!</v>
      </c>
      <c r="FN259" t="e">
        <f>Europe!C732+"$F;@!/Hk"</f>
        <v>#VALUE!</v>
      </c>
      <c r="FO259" t="e">
        <f>Europe!D732+"$F;@!/Hl"</f>
        <v>#VALUE!</v>
      </c>
      <c r="FP259" t="e">
        <f>Europe!E732+"$F;@!/Hm"</f>
        <v>#VALUE!</v>
      </c>
      <c r="FQ259" t="e">
        <f>Europe!F732+"$F;@!/Hn"</f>
        <v>#VALUE!</v>
      </c>
      <c r="FR259" t="e">
        <f>Europe!G732+"$F;@!/Ho"</f>
        <v>#VALUE!</v>
      </c>
      <c r="FS259" t="e">
        <f>Europe!H732+"$F;@!/Hp"</f>
        <v>#VALUE!</v>
      </c>
      <c r="FT259" t="e">
        <f>Europe!A733+"$F;@!/Hq"</f>
        <v>#VALUE!</v>
      </c>
      <c r="FU259" t="e">
        <f>Europe!B733+"$F;@!/Hr"</f>
        <v>#VALUE!</v>
      </c>
      <c r="FV259" t="e">
        <f>Europe!C733+"$F;@!/Hs"</f>
        <v>#VALUE!</v>
      </c>
      <c r="FW259" t="e">
        <f>Europe!D733+"$F;@!/Ht"</f>
        <v>#VALUE!</v>
      </c>
      <c r="FX259" t="e">
        <f>Europe!E733+"$F;@!/Hu"</f>
        <v>#VALUE!</v>
      </c>
      <c r="FY259" t="e">
        <f>Europe!F733+"$F;@!/Hv"</f>
        <v>#VALUE!</v>
      </c>
      <c r="FZ259" t="e">
        <f>Europe!G733+"$F;@!/Hw"</f>
        <v>#VALUE!</v>
      </c>
      <c r="GA259" t="e">
        <f>Europe!H733+"$F;@!/Hx"</f>
        <v>#VALUE!</v>
      </c>
      <c r="GB259" t="e">
        <f>Europe!A734+"$F;@!/Hy"</f>
        <v>#VALUE!</v>
      </c>
      <c r="GC259" t="e">
        <f>Europe!B734+"$F;@!/Hz"</f>
        <v>#VALUE!</v>
      </c>
      <c r="GD259" t="e">
        <f>Europe!C734+"$F;@!/H{"</f>
        <v>#VALUE!</v>
      </c>
      <c r="GE259" t="e">
        <f>Europe!D734+"$F;@!/H|"</f>
        <v>#VALUE!</v>
      </c>
      <c r="GF259" t="e">
        <f>Europe!E734+"$F;@!/H}"</f>
        <v>#VALUE!</v>
      </c>
      <c r="GG259" t="e">
        <f>Europe!F734+"$F;@!/H~"</f>
        <v>#VALUE!</v>
      </c>
      <c r="GH259" t="e">
        <f>Europe!G734+"$F;@!/I#"</f>
        <v>#VALUE!</v>
      </c>
      <c r="GI259" t="e">
        <f>Europe!H734+"$F;@!/I$"</f>
        <v>#VALUE!</v>
      </c>
      <c r="GJ259" t="e">
        <f>Europe!A735+"$F;@!/I%"</f>
        <v>#VALUE!</v>
      </c>
      <c r="GK259" t="e">
        <f>Europe!B735+"$F;@!/I&amp;"</f>
        <v>#VALUE!</v>
      </c>
      <c r="GL259" t="e">
        <f>Europe!C735+"$F;@!/I'"</f>
        <v>#VALUE!</v>
      </c>
      <c r="GM259" t="e">
        <f>Europe!D735+"$F;@!/I("</f>
        <v>#VALUE!</v>
      </c>
      <c r="GN259" t="e">
        <f>Europe!E735+"$F;@!/I)"</f>
        <v>#VALUE!</v>
      </c>
      <c r="GO259" t="e">
        <f>Europe!F735+"$F;@!/I."</f>
        <v>#VALUE!</v>
      </c>
      <c r="GP259" t="e">
        <f>Europe!G735+"$F;@!/I/"</f>
        <v>#VALUE!</v>
      </c>
      <c r="GQ259" t="e">
        <f>Europe!H735+"$F;@!/I0"</f>
        <v>#VALUE!</v>
      </c>
      <c r="GR259" t="e">
        <f>Europe!A736+"$F;@!/I1"</f>
        <v>#VALUE!</v>
      </c>
      <c r="GS259" t="e">
        <f>Europe!B736+"$F;@!/I2"</f>
        <v>#VALUE!</v>
      </c>
      <c r="GT259" t="e">
        <f>Europe!C736+"$F;@!/I3"</f>
        <v>#VALUE!</v>
      </c>
      <c r="GU259" t="e">
        <f>Europe!D736+"$F;@!/I4"</f>
        <v>#VALUE!</v>
      </c>
      <c r="GV259" t="e">
        <f>Europe!E736+"$F;@!/I5"</f>
        <v>#VALUE!</v>
      </c>
      <c r="GW259" t="e">
        <f>Europe!F736+"$F;@!/I6"</f>
        <v>#VALUE!</v>
      </c>
      <c r="GX259" t="e">
        <f>Europe!G736+"$F;@!/I7"</f>
        <v>#VALUE!</v>
      </c>
      <c r="GY259" t="e">
        <f>Europe!H736+"$F;@!/I8"</f>
        <v>#VALUE!</v>
      </c>
      <c r="GZ259" t="e">
        <f>Europe!A737+"$F;@!/I9"</f>
        <v>#VALUE!</v>
      </c>
      <c r="HA259" t="e">
        <f>Europe!B737+"$F;@!/I:"</f>
        <v>#VALUE!</v>
      </c>
      <c r="HB259" t="e">
        <f>Europe!C737+"$F;@!/I;"</f>
        <v>#VALUE!</v>
      </c>
      <c r="HC259" t="e">
        <f>Europe!D737+"$F;@!/I&lt;"</f>
        <v>#VALUE!</v>
      </c>
      <c r="HD259" t="e">
        <f>Europe!E737+"$F;@!/I="</f>
        <v>#VALUE!</v>
      </c>
      <c r="HE259" t="e">
        <f>Europe!F737+"$F;@!/I&gt;"</f>
        <v>#VALUE!</v>
      </c>
      <c r="HF259" t="e">
        <f>Europe!G737+"$F;@!/I?"</f>
        <v>#VALUE!</v>
      </c>
      <c r="HG259" t="e">
        <f>Europe!H737+"$F;@!/I@"</f>
        <v>#VALUE!</v>
      </c>
      <c r="HH259" t="e">
        <f>Europe!A738+"$F;@!/IA"</f>
        <v>#VALUE!</v>
      </c>
      <c r="HI259" t="e">
        <f>Europe!B738+"$F;@!/IB"</f>
        <v>#VALUE!</v>
      </c>
      <c r="HJ259" t="e">
        <f>Europe!C738+"$F;@!/IC"</f>
        <v>#VALUE!</v>
      </c>
      <c r="HK259" t="e">
        <f>Europe!D738+"$F;@!/ID"</f>
        <v>#VALUE!</v>
      </c>
      <c r="HL259" t="e">
        <f>Europe!E738+"$F;@!/IE"</f>
        <v>#VALUE!</v>
      </c>
      <c r="HM259" t="e">
        <f>Europe!F738+"$F;@!/IF"</f>
        <v>#VALUE!</v>
      </c>
      <c r="HN259" t="e">
        <f>Europe!G738+"$F;@!/IG"</f>
        <v>#VALUE!</v>
      </c>
      <c r="HO259" t="e">
        <f>Europe!H738+"$F;@!/IH"</f>
        <v>#VALUE!</v>
      </c>
      <c r="HP259" t="e">
        <f>Europe!A739+"$F;@!/II"</f>
        <v>#VALUE!</v>
      </c>
      <c r="HQ259" t="e">
        <f>Europe!B739+"$F;@!/IJ"</f>
        <v>#VALUE!</v>
      </c>
      <c r="HR259" t="e">
        <f>Europe!C739+"$F;@!/IK"</f>
        <v>#VALUE!</v>
      </c>
      <c r="HS259" t="e">
        <f>Europe!D739+"$F;@!/IL"</f>
        <v>#VALUE!</v>
      </c>
      <c r="HT259" t="e">
        <f>Europe!E739+"$F;@!/IM"</f>
        <v>#VALUE!</v>
      </c>
      <c r="HU259" t="e">
        <f>Europe!F739+"$F;@!/IN"</f>
        <v>#VALUE!</v>
      </c>
      <c r="HV259" t="e">
        <f>Europe!G739+"$F;@!/IO"</f>
        <v>#VALUE!</v>
      </c>
      <c r="HW259" t="e">
        <f>Europe!H739+"$F;@!/IP"</f>
        <v>#VALUE!</v>
      </c>
      <c r="HX259" t="e">
        <f>Europe!A740+"$F;@!/IQ"</f>
        <v>#VALUE!</v>
      </c>
      <c r="HY259" t="e">
        <f>Europe!B740+"$F;@!/IR"</f>
        <v>#VALUE!</v>
      </c>
      <c r="HZ259" t="e">
        <f>Europe!C740+"$F;@!/IS"</f>
        <v>#VALUE!</v>
      </c>
      <c r="IA259" t="e">
        <f>Europe!D740+"$F;@!/IT"</f>
        <v>#VALUE!</v>
      </c>
      <c r="IB259" t="e">
        <f>Europe!E740+"$F;@!/IU"</f>
        <v>#VALUE!</v>
      </c>
      <c r="IC259" t="e">
        <f>Europe!F740+"$F;@!/IV"</f>
        <v>#VALUE!</v>
      </c>
      <c r="ID259" t="e">
        <f>Europe!G740+"$F;@!/IW"</f>
        <v>#VALUE!</v>
      </c>
      <c r="IE259" t="e">
        <f>Europe!H740+"$F;@!/IX"</f>
        <v>#VALUE!</v>
      </c>
      <c r="IF259" t="e">
        <f>Europe!A741+"$F;@!/IY"</f>
        <v>#VALUE!</v>
      </c>
      <c r="IG259" t="e">
        <f>Europe!B741+"$F;@!/IZ"</f>
        <v>#VALUE!</v>
      </c>
      <c r="IH259" t="e">
        <f>Europe!C741+"$F;@!/I["</f>
        <v>#VALUE!</v>
      </c>
      <c r="II259" t="e">
        <f>Europe!D741+"$F;@!/I\"</f>
        <v>#VALUE!</v>
      </c>
      <c r="IJ259" t="e">
        <f>Europe!E741+"$F;@!/I]"</f>
        <v>#VALUE!</v>
      </c>
      <c r="IK259" t="e">
        <f>Europe!F741+"$F;@!/I^"</f>
        <v>#VALUE!</v>
      </c>
      <c r="IL259" t="e">
        <f>Europe!G741+"$F;@!/I_"</f>
        <v>#VALUE!</v>
      </c>
      <c r="IM259" t="e">
        <f>Europe!H741+"$F;@!/I`"</f>
        <v>#VALUE!</v>
      </c>
      <c r="IN259" t="e">
        <f>Europe!A742+"$F;@!/Ia"</f>
        <v>#VALUE!</v>
      </c>
      <c r="IO259" t="e">
        <f>Europe!B742+"$F;@!/Ib"</f>
        <v>#VALUE!</v>
      </c>
      <c r="IP259" t="e">
        <f>Europe!C742+"$F;@!/Ic"</f>
        <v>#VALUE!</v>
      </c>
      <c r="IQ259" t="e">
        <f>Europe!D742+"$F;@!/Id"</f>
        <v>#VALUE!</v>
      </c>
      <c r="IR259" t="e">
        <f>Europe!E742+"$F;@!/Ie"</f>
        <v>#VALUE!</v>
      </c>
      <c r="IS259" t="e">
        <f>Europe!F742+"$F;@!/If"</f>
        <v>#VALUE!</v>
      </c>
      <c r="IT259" t="e">
        <f>Europe!G742+"$F;@!/Ig"</f>
        <v>#VALUE!</v>
      </c>
      <c r="IU259" t="e">
        <f>Europe!H742+"$F;@!/Ih"</f>
        <v>#VALUE!</v>
      </c>
      <c r="IV259" t="e">
        <f>Europe!A743+"$F;@!/Ii"</f>
        <v>#VALUE!</v>
      </c>
    </row>
    <row r="260" spans="6:256" x14ac:dyDescent="0.35">
      <c r="F260" t="e">
        <f>Europe!B743+"$F;@!/Ij"</f>
        <v>#VALUE!</v>
      </c>
      <c r="G260" t="e">
        <f>Europe!C743+"$F;@!/Ik"</f>
        <v>#VALUE!</v>
      </c>
      <c r="H260" t="e">
        <f>Europe!D743+"$F;@!/Il"</f>
        <v>#VALUE!</v>
      </c>
      <c r="I260" t="e">
        <f>Europe!E743+"$F;@!/Im"</f>
        <v>#VALUE!</v>
      </c>
      <c r="J260" t="e">
        <f>Europe!F743+"$F;@!/In"</f>
        <v>#VALUE!</v>
      </c>
      <c r="K260" t="e">
        <f>Europe!G743+"$F;@!/Io"</f>
        <v>#VALUE!</v>
      </c>
      <c r="L260" t="e">
        <f>Europe!H743+"$F;@!/Ip"</f>
        <v>#VALUE!</v>
      </c>
      <c r="M260" t="e">
        <f>Europe!A744+"$F;@!/Iq"</f>
        <v>#VALUE!</v>
      </c>
      <c r="N260" t="e">
        <f>Europe!B744+"$F;@!/Ir"</f>
        <v>#VALUE!</v>
      </c>
      <c r="O260" t="e">
        <f>Europe!C744+"$F;@!/Is"</f>
        <v>#VALUE!</v>
      </c>
      <c r="P260" t="e">
        <f>Europe!D744+"$F;@!/It"</f>
        <v>#VALUE!</v>
      </c>
      <c r="Q260" t="e">
        <f>Europe!E744+"$F;@!/Iu"</f>
        <v>#VALUE!</v>
      </c>
      <c r="R260" t="e">
        <f>Europe!F744+"$F;@!/Iv"</f>
        <v>#VALUE!</v>
      </c>
      <c r="S260" t="e">
        <f>Europe!G744+"$F;@!/Iw"</f>
        <v>#VALUE!</v>
      </c>
      <c r="T260" t="e">
        <f>Europe!H744+"$F;@!/Ix"</f>
        <v>#VALUE!</v>
      </c>
      <c r="U260" t="e">
        <f>Europe!A745+"$F;@!/Iy"</f>
        <v>#VALUE!</v>
      </c>
      <c r="V260" t="e">
        <f>Europe!B745+"$F;@!/Iz"</f>
        <v>#VALUE!</v>
      </c>
      <c r="W260" t="e">
        <f>Europe!C745+"$F;@!/I{"</f>
        <v>#VALUE!</v>
      </c>
      <c r="X260" t="e">
        <f>Europe!D745+"$F;@!/I|"</f>
        <v>#VALUE!</v>
      </c>
      <c r="Y260" t="e">
        <f>Europe!E745+"$F;@!/I}"</f>
        <v>#VALUE!</v>
      </c>
      <c r="Z260" t="e">
        <f>Europe!F745+"$F;@!/I~"</f>
        <v>#VALUE!</v>
      </c>
      <c r="AA260" t="e">
        <f>Europe!G745+"$F;@!/J#"</f>
        <v>#VALUE!</v>
      </c>
      <c r="AB260" t="e">
        <f>Europe!H745+"$F;@!/J$"</f>
        <v>#VALUE!</v>
      </c>
      <c r="AC260" t="e">
        <f>Europe!A746+"$F;@!/J%"</f>
        <v>#VALUE!</v>
      </c>
      <c r="AD260" t="e">
        <f>Europe!B746+"$F;@!/J&amp;"</f>
        <v>#VALUE!</v>
      </c>
      <c r="AE260" t="e">
        <f>Europe!C746+"$F;@!/J'"</f>
        <v>#VALUE!</v>
      </c>
      <c r="AF260" t="e">
        <f>Europe!D746+"$F;@!/J("</f>
        <v>#VALUE!</v>
      </c>
      <c r="AG260" t="e">
        <f>Europe!E746+"$F;@!/J)"</f>
        <v>#VALUE!</v>
      </c>
      <c r="AH260" t="e">
        <f>Europe!F746+"$F;@!/J."</f>
        <v>#VALUE!</v>
      </c>
      <c r="AI260" t="e">
        <f>Europe!G746+"$F;@!/J/"</f>
        <v>#VALUE!</v>
      </c>
      <c r="AJ260" t="e">
        <f>Europe!H746+"$F;@!/J0"</f>
        <v>#VALUE!</v>
      </c>
      <c r="AK260" t="e">
        <f>Europe!A747+"$F;@!/J1"</f>
        <v>#VALUE!</v>
      </c>
      <c r="AL260" t="e">
        <f>Europe!B747+"$F;@!/J2"</f>
        <v>#VALUE!</v>
      </c>
      <c r="AM260" t="e">
        <f>Europe!C747+"$F;@!/J3"</f>
        <v>#VALUE!</v>
      </c>
      <c r="AN260" t="e">
        <f>Europe!D747+"$F;@!/J4"</f>
        <v>#VALUE!</v>
      </c>
      <c r="AO260" t="e">
        <f>Europe!E747+"$F;@!/J5"</f>
        <v>#VALUE!</v>
      </c>
      <c r="AP260" t="e">
        <f>Europe!F747+"$F;@!/J6"</f>
        <v>#VALUE!</v>
      </c>
      <c r="AQ260" t="e">
        <f>Europe!G747+"$F;@!/J7"</f>
        <v>#VALUE!</v>
      </c>
      <c r="AR260" t="e">
        <f>Europe!H747+"$F;@!/J8"</f>
        <v>#VALUE!</v>
      </c>
      <c r="AS260" t="e">
        <f>Europe!A748+"$F;@!/J9"</f>
        <v>#VALUE!</v>
      </c>
      <c r="AT260" t="e">
        <f>Europe!B748+"$F;@!/J:"</f>
        <v>#VALUE!</v>
      </c>
      <c r="AU260" t="e">
        <f>Europe!C748+"$F;@!/J;"</f>
        <v>#VALUE!</v>
      </c>
      <c r="AV260" t="e">
        <f>Europe!D748+"$F;@!/J&lt;"</f>
        <v>#VALUE!</v>
      </c>
      <c r="AW260" t="e">
        <f>Europe!E748+"$F;@!/J="</f>
        <v>#VALUE!</v>
      </c>
      <c r="AX260" t="e">
        <f>Europe!F748+"$F;@!/J&gt;"</f>
        <v>#VALUE!</v>
      </c>
      <c r="AY260" t="e">
        <f>Europe!G748+"$F;@!/J?"</f>
        <v>#VALUE!</v>
      </c>
      <c r="AZ260" t="e">
        <f>Europe!H748+"$F;@!/J@"</f>
        <v>#VALUE!</v>
      </c>
      <c r="BA260" t="e">
        <f>Europe!A749+"$F;@!/JA"</f>
        <v>#VALUE!</v>
      </c>
      <c r="BB260" t="e">
        <f>Europe!B749+"$F;@!/JB"</f>
        <v>#VALUE!</v>
      </c>
      <c r="BC260" t="e">
        <f>Europe!C749+"$F;@!/JC"</f>
        <v>#VALUE!</v>
      </c>
      <c r="BD260" t="e">
        <f>Europe!D749+"$F;@!/JD"</f>
        <v>#VALUE!</v>
      </c>
      <c r="BE260" t="e">
        <f>Europe!E749+"$F;@!/JE"</f>
        <v>#VALUE!</v>
      </c>
      <c r="BF260" t="e">
        <f>Europe!F749+"$F;@!/JF"</f>
        <v>#VALUE!</v>
      </c>
      <c r="BG260" t="e">
        <f>Europe!G749+"$F;@!/JG"</f>
        <v>#VALUE!</v>
      </c>
      <c r="BH260" t="e">
        <f>Europe!H749+"$F;@!/JH"</f>
        <v>#VALUE!</v>
      </c>
      <c r="BI260" t="e">
        <f>Europe!A750+"$F;@!/JI"</f>
        <v>#VALUE!</v>
      </c>
      <c r="BJ260" t="e">
        <f>Europe!B750+"$F;@!/JJ"</f>
        <v>#VALUE!</v>
      </c>
      <c r="BK260" t="e">
        <f>Europe!C750+"$F;@!/JK"</f>
        <v>#VALUE!</v>
      </c>
      <c r="BL260" t="e">
        <f>Europe!D750+"$F;@!/JL"</f>
        <v>#VALUE!</v>
      </c>
      <c r="BM260" t="e">
        <f>Europe!E750+"$F;@!/JM"</f>
        <v>#VALUE!</v>
      </c>
      <c r="BN260" t="e">
        <f>Europe!F750+"$F;@!/JN"</f>
        <v>#VALUE!</v>
      </c>
      <c r="BO260" t="e">
        <f>Europe!G750+"$F;@!/JO"</f>
        <v>#VALUE!</v>
      </c>
      <c r="BP260" t="e">
        <f>Europe!H750+"$F;@!/JP"</f>
        <v>#VALUE!</v>
      </c>
      <c r="BQ260" t="e">
        <f>Europe!A751+"$F;@!/JQ"</f>
        <v>#VALUE!</v>
      </c>
      <c r="BR260" t="e">
        <f>Europe!B751+"$F;@!/JR"</f>
        <v>#VALUE!</v>
      </c>
      <c r="BS260" t="e">
        <f>Europe!C751+"$F;@!/JS"</f>
        <v>#VALUE!</v>
      </c>
      <c r="BT260" t="e">
        <f>Europe!D751+"$F;@!/JT"</f>
        <v>#VALUE!</v>
      </c>
      <c r="BU260" t="e">
        <f>Europe!E751+"$F;@!/JU"</f>
        <v>#VALUE!</v>
      </c>
      <c r="BV260" t="e">
        <f>Europe!F751+"$F;@!/JV"</f>
        <v>#VALUE!</v>
      </c>
      <c r="BW260" t="e">
        <f>Europe!G751+"$F;@!/JW"</f>
        <v>#VALUE!</v>
      </c>
      <c r="BX260" t="e">
        <f>Europe!H751+"$F;@!/JX"</f>
        <v>#VALUE!</v>
      </c>
      <c r="BY260" t="e">
        <f>Europe!A752+"$F;@!/JY"</f>
        <v>#VALUE!</v>
      </c>
      <c r="BZ260" t="e">
        <f>Europe!B752+"$F;@!/JZ"</f>
        <v>#VALUE!</v>
      </c>
      <c r="CA260" t="e">
        <f>Europe!C752+"$F;@!/J["</f>
        <v>#VALUE!</v>
      </c>
      <c r="CB260" t="e">
        <f>Europe!D752+"$F;@!/J\"</f>
        <v>#VALUE!</v>
      </c>
      <c r="CC260" t="e">
        <f>Europe!E752+"$F;@!/J]"</f>
        <v>#VALUE!</v>
      </c>
      <c r="CD260" t="e">
        <f>Europe!F752+"$F;@!/J^"</f>
        <v>#VALUE!</v>
      </c>
      <c r="CE260" t="e">
        <f>Europe!G752+"$F;@!/J_"</f>
        <v>#VALUE!</v>
      </c>
      <c r="CF260" t="e">
        <f>Europe!H752+"$F;@!/J`"</f>
        <v>#VALUE!</v>
      </c>
      <c r="CG260" t="e">
        <f>Europe!A753+"$F;@!/Ja"</f>
        <v>#VALUE!</v>
      </c>
      <c r="CH260" t="e">
        <f>Europe!B753+"$F;@!/Jb"</f>
        <v>#VALUE!</v>
      </c>
      <c r="CI260" t="e">
        <f>Europe!C753+"$F;@!/Jc"</f>
        <v>#VALUE!</v>
      </c>
      <c r="CJ260" t="e">
        <f>Europe!D753+"$F;@!/Jd"</f>
        <v>#VALUE!</v>
      </c>
      <c r="CK260" t="e">
        <f>Europe!E753+"$F;@!/Je"</f>
        <v>#VALUE!</v>
      </c>
      <c r="CL260" t="e">
        <f>Europe!F753+"$F;@!/Jf"</f>
        <v>#VALUE!</v>
      </c>
      <c r="CM260" t="e">
        <f>Europe!G753+"$F;@!/Jg"</f>
        <v>#VALUE!</v>
      </c>
      <c r="CN260" t="e">
        <f>Europe!H753+"$F;@!/Jh"</f>
        <v>#VALUE!</v>
      </c>
      <c r="CO260" t="e">
        <f>Europe!A754+"$F;@!/Ji"</f>
        <v>#VALUE!</v>
      </c>
      <c r="CP260" t="e">
        <f>Europe!B754+"$F;@!/Jj"</f>
        <v>#VALUE!</v>
      </c>
      <c r="CQ260" t="e">
        <f>Europe!C754+"$F;@!/Jk"</f>
        <v>#VALUE!</v>
      </c>
      <c r="CR260" t="e">
        <f>Europe!D754+"$F;@!/Jl"</f>
        <v>#VALUE!</v>
      </c>
      <c r="CS260" t="e">
        <f>Europe!E754+"$F;@!/Jm"</f>
        <v>#VALUE!</v>
      </c>
      <c r="CT260" t="e">
        <f>Europe!F754+"$F;@!/Jn"</f>
        <v>#VALUE!</v>
      </c>
      <c r="CU260" t="e">
        <f>Europe!G754+"$F;@!/Jo"</f>
        <v>#VALUE!</v>
      </c>
      <c r="CV260" t="e">
        <f>Europe!H754+"$F;@!/Jp"</f>
        <v>#VALUE!</v>
      </c>
      <c r="CW260" t="e">
        <f>Europe!A755+"$F;@!/Jq"</f>
        <v>#VALUE!</v>
      </c>
      <c r="CX260" t="e">
        <f>Europe!B755+"$F;@!/Jr"</f>
        <v>#VALUE!</v>
      </c>
      <c r="CY260" t="e">
        <f>Europe!C755+"$F;@!/Js"</f>
        <v>#VALUE!</v>
      </c>
      <c r="CZ260" t="e">
        <f>Europe!D755+"$F;@!/Jt"</f>
        <v>#VALUE!</v>
      </c>
      <c r="DA260" t="e">
        <f>Europe!E755+"$F;@!/Ju"</f>
        <v>#VALUE!</v>
      </c>
      <c r="DB260" t="e">
        <f>Europe!F755+"$F;@!/Jv"</f>
        <v>#VALUE!</v>
      </c>
      <c r="DC260" t="e">
        <f>Europe!G755+"$F;@!/Jw"</f>
        <v>#VALUE!</v>
      </c>
      <c r="DD260" t="e">
        <f>Europe!H755+"$F;@!/Jx"</f>
        <v>#VALUE!</v>
      </c>
      <c r="DE260" t="e">
        <f>Europe!A756+"$F;@!/Jy"</f>
        <v>#VALUE!</v>
      </c>
      <c r="DF260" t="e">
        <f>Europe!B756+"$F;@!/Jz"</f>
        <v>#VALUE!</v>
      </c>
      <c r="DG260" t="e">
        <f>Europe!C756+"$F;@!/J{"</f>
        <v>#VALUE!</v>
      </c>
      <c r="DH260" t="e">
        <f>Europe!D756+"$F;@!/J|"</f>
        <v>#VALUE!</v>
      </c>
      <c r="DI260" t="e">
        <f>Europe!E756+"$F;@!/J}"</f>
        <v>#VALUE!</v>
      </c>
      <c r="DJ260" t="e">
        <f>Europe!F756+"$F;@!/J~"</f>
        <v>#VALUE!</v>
      </c>
      <c r="DK260" t="e">
        <f>Europe!G756+"$F;@!/K#"</f>
        <v>#VALUE!</v>
      </c>
      <c r="DL260" t="e">
        <f>Europe!H756+"$F;@!/K$"</f>
        <v>#VALUE!</v>
      </c>
      <c r="DM260" t="e">
        <f>Europe!A757+"$F;@!/K%"</f>
        <v>#VALUE!</v>
      </c>
      <c r="DN260" t="e">
        <f>Europe!B757+"$F;@!/K&amp;"</f>
        <v>#VALUE!</v>
      </c>
      <c r="DO260" t="e">
        <f>Europe!C757+"$F;@!/K'"</f>
        <v>#VALUE!</v>
      </c>
      <c r="DP260" t="e">
        <f>Europe!D757+"$F;@!/K("</f>
        <v>#VALUE!</v>
      </c>
      <c r="DQ260" t="e">
        <f>Europe!E757+"$F;@!/K)"</f>
        <v>#VALUE!</v>
      </c>
      <c r="DR260" t="e">
        <f>Europe!F757+"$F;@!/K."</f>
        <v>#VALUE!</v>
      </c>
      <c r="DS260" t="e">
        <f>Europe!G757+"$F;@!/K/"</f>
        <v>#VALUE!</v>
      </c>
      <c r="DT260" t="e">
        <f>Europe!H757+"$F;@!/K0"</f>
        <v>#VALUE!</v>
      </c>
      <c r="DU260" t="e">
        <f>Europe!A758+"$F;@!/K1"</f>
        <v>#VALUE!</v>
      </c>
      <c r="DV260" t="e">
        <f>Europe!B758+"$F;@!/K2"</f>
        <v>#VALUE!</v>
      </c>
      <c r="DW260" t="e">
        <f>Europe!C758+"$F;@!/K3"</f>
        <v>#VALUE!</v>
      </c>
      <c r="DX260" t="e">
        <f>Europe!D758+"$F;@!/K4"</f>
        <v>#VALUE!</v>
      </c>
      <c r="DY260" t="e">
        <f>Europe!E758+"$F;@!/K5"</f>
        <v>#VALUE!</v>
      </c>
      <c r="DZ260" t="e">
        <f>Europe!F758+"$F;@!/K6"</f>
        <v>#VALUE!</v>
      </c>
      <c r="EA260" t="e">
        <f>Europe!G758+"$F;@!/K7"</f>
        <v>#VALUE!</v>
      </c>
      <c r="EB260" t="e">
        <f>Europe!H758+"$F;@!/K8"</f>
        <v>#VALUE!</v>
      </c>
      <c r="EC260" t="e">
        <f>Europe!A759+"$F;@!/K9"</f>
        <v>#VALUE!</v>
      </c>
      <c r="ED260" t="e">
        <f>Europe!B759+"$F;@!/K:"</f>
        <v>#VALUE!</v>
      </c>
      <c r="EE260" t="e">
        <f>Europe!C759+"$F;@!/K;"</f>
        <v>#VALUE!</v>
      </c>
      <c r="EF260" t="e">
        <f>Europe!D759+"$F;@!/K&lt;"</f>
        <v>#VALUE!</v>
      </c>
      <c r="EG260" t="e">
        <f>Europe!E759+"$F;@!/K="</f>
        <v>#VALUE!</v>
      </c>
      <c r="EH260" t="e">
        <f>Europe!F759+"$F;@!/K&gt;"</f>
        <v>#VALUE!</v>
      </c>
      <c r="EI260" t="e">
        <f>Europe!G759+"$F;@!/K?"</f>
        <v>#VALUE!</v>
      </c>
      <c r="EJ260" t="e">
        <f>Europe!H759+"$F;@!/K@"</f>
        <v>#VALUE!</v>
      </c>
      <c r="EK260" t="e">
        <f>Europe!A760+"$F;@!/KA"</f>
        <v>#VALUE!</v>
      </c>
      <c r="EL260" t="e">
        <f>Europe!B760+"$F;@!/KB"</f>
        <v>#VALUE!</v>
      </c>
      <c r="EM260" t="e">
        <f>Europe!C760+"$F;@!/KC"</f>
        <v>#VALUE!</v>
      </c>
      <c r="EN260" t="e">
        <f>Europe!D760+"$F;@!/KD"</f>
        <v>#VALUE!</v>
      </c>
      <c r="EO260" t="e">
        <f>Europe!E760+"$F;@!/KE"</f>
        <v>#VALUE!</v>
      </c>
      <c r="EP260" t="e">
        <f>Europe!F760+"$F;@!/KF"</f>
        <v>#VALUE!</v>
      </c>
      <c r="EQ260" t="e">
        <f>Europe!G760+"$F;@!/KG"</f>
        <v>#VALUE!</v>
      </c>
      <c r="ER260" t="e">
        <f>Europe!H760+"$F;@!/KH"</f>
        <v>#VALUE!</v>
      </c>
      <c r="ES260" t="e">
        <f>Europe!A761+"$F;@!/KI"</f>
        <v>#VALUE!</v>
      </c>
      <c r="ET260" t="e">
        <f>Europe!B761+"$F;@!/KJ"</f>
        <v>#VALUE!</v>
      </c>
      <c r="EU260" t="e">
        <f>Europe!C761+"$F;@!/KK"</f>
        <v>#VALUE!</v>
      </c>
      <c r="EV260" t="e">
        <f>Europe!D761+"$F;@!/KL"</f>
        <v>#VALUE!</v>
      </c>
      <c r="EW260" t="e">
        <f>Europe!E761+"$F;@!/KM"</f>
        <v>#VALUE!</v>
      </c>
      <c r="EX260" t="e">
        <f>Europe!F761+"$F;@!/KN"</f>
        <v>#VALUE!</v>
      </c>
      <c r="EY260" t="e">
        <f>Europe!G761+"$F;@!/KO"</f>
        <v>#VALUE!</v>
      </c>
      <c r="EZ260" t="e">
        <f>Europe!H761+"$F;@!/KP"</f>
        <v>#VALUE!</v>
      </c>
      <c r="FA260" t="e">
        <f>Europe!A762+"$F;@!/KQ"</f>
        <v>#VALUE!</v>
      </c>
      <c r="FB260" t="e">
        <f>Europe!B762+"$F;@!/KR"</f>
        <v>#VALUE!</v>
      </c>
      <c r="FC260" t="e">
        <f>Europe!C762+"$F;@!/KS"</f>
        <v>#VALUE!</v>
      </c>
      <c r="FD260" t="e">
        <f>Europe!D762+"$F;@!/KT"</f>
        <v>#VALUE!</v>
      </c>
      <c r="FE260" t="e">
        <f>Europe!E762+"$F;@!/KU"</f>
        <v>#VALUE!</v>
      </c>
      <c r="FF260" t="e">
        <f>Europe!F762+"$F;@!/KV"</f>
        <v>#VALUE!</v>
      </c>
      <c r="FG260" t="e">
        <f>Europe!G762+"$F;@!/KW"</f>
        <v>#VALUE!</v>
      </c>
      <c r="FH260" t="e">
        <f>Europe!H762+"$F;@!/KX"</f>
        <v>#VALUE!</v>
      </c>
      <c r="FI260" t="e">
        <f>Europe!A763+"$F;@!/KY"</f>
        <v>#VALUE!</v>
      </c>
      <c r="FJ260" t="e">
        <f>Europe!B763+"$F;@!/KZ"</f>
        <v>#VALUE!</v>
      </c>
      <c r="FK260" t="e">
        <f>Europe!C763+"$F;@!/K["</f>
        <v>#VALUE!</v>
      </c>
      <c r="FL260" t="e">
        <f>Europe!D763+"$F;@!/K\"</f>
        <v>#VALUE!</v>
      </c>
      <c r="FM260" t="e">
        <f>Europe!E763+"$F;@!/K]"</f>
        <v>#VALUE!</v>
      </c>
      <c r="FN260" t="e">
        <f>Europe!F763+"$F;@!/K^"</f>
        <v>#VALUE!</v>
      </c>
      <c r="FO260" t="e">
        <f>Europe!G763+"$F;@!/K_"</f>
        <v>#VALUE!</v>
      </c>
      <c r="FP260" t="e">
        <f>Europe!H763+"$F;@!/K`"</f>
        <v>#VALUE!</v>
      </c>
      <c r="FQ260" t="e">
        <f>Europe!A764+"$F;@!/Ka"</f>
        <v>#VALUE!</v>
      </c>
      <c r="FR260" t="e">
        <f>Europe!B764+"$F;@!/Kb"</f>
        <v>#VALUE!</v>
      </c>
      <c r="FS260" t="e">
        <f>Europe!C764+"$F;@!/Kc"</f>
        <v>#VALUE!</v>
      </c>
      <c r="FT260" t="e">
        <f>Europe!D764+"$F;@!/Kd"</f>
        <v>#VALUE!</v>
      </c>
      <c r="FU260" t="e">
        <f>Europe!E764+"$F;@!/Ke"</f>
        <v>#VALUE!</v>
      </c>
      <c r="FV260" t="e">
        <f>Europe!F764+"$F;@!/Kf"</f>
        <v>#VALUE!</v>
      </c>
      <c r="FW260" t="e">
        <f>Europe!G764+"$F;@!/Kg"</f>
        <v>#VALUE!</v>
      </c>
      <c r="FX260" t="e">
        <f>Europe!H764+"$F;@!/Kh"</f>
        <v>#VALUE!</v>
      </c>
      <c r="FY260" t="e">
        <f>Europe!A765+"$F;@!/Ki"</f>
        <v>#VALUE!</v>
      </c>
      <c r="FZ260" t="e">
        <f>Europe!B765+"$F;@!/Kj"</f>
        <v>#VALUE!</v>
      </c>
      <c r="GA260" t="e">
        <f>Europe!C765+"$F;@!/Kk"</f>
        <v>#VALUE!</v>
      </c>
      <c r="GB260" t="e">
        <f>Europe!D765+"$F;@!/Kl"</f>
        <v>#VALUE!</v>
      </c>
      <c r="GC260" t="e">
        <f>Europe!E765+"$F;@!/Km"</f>
        <v>#VALUE!</v>
      </c>
      <c r="GD260" t="e">
        <f>Europe!F765+"$F;@!/Kn"</f>
        <v>#VALUE!</v>
      </c>
      <c r="GE260" t="e">
        <f>Europe!G765+"$F;@!/Ko"</f>
        <v>#VALUE!</v>
      </c>
      <c r="GF260" t="e">
        <f>Europe!H765+"$F;@!/Kp"</f>
        <v>#VALUE!</v>
      </c>
      <c r="GG260" t="e">
        <f>Europe!A766+"$F;@!/Kq"</f>
        <v>#VALUE!</v>
      </c>
      <c r="GH260" t="e">
        <f>Europe!B766+"$F;@!/Kr"</f>
        <v>#VALUE!</v>
      </c>
      <c r="GI260" t="e">
        <f>Europe!C766+"$F;@!/Ks"</f>
        <v>#VALUE!</v>
      </c>
      <c r="GJ260" t="e">
        <f>Europe!D766+"$F;@!/Kt"</f>
        <v>#VALUE!</v>
      </c>
      <c r="GK260" t="e">
        <f>Europe!E766+"$F;@!/Ku"</f>
        <v>#VALUE!</v>
      </c>
      <c r="GL260" t="e">
        <f>Europe!F766+"$F;@!/Kv"</f>
        <v>#VALUE!</v>
      </c>
      <c r="GM260" t="e">
        <f>Europe!G766+"$F;@!/Kw"</f>
        <v>#VALUE!</v>
      </c>
      <c r="GN260" t="e">
        <f>Europe!H766+"$F;@!/Kx"</f>
        <v>#VALUE!</v>
      </c>
      <c r="GO260" t="e">
        <f>Europe!A767+"$F;@!/Ky"</f>
        <v>#VALUE!</v>
      </c>
      <c r="GP260" t="e">
        <f>Europe!B767+"$F;@!/Kz"</f>
        <v>#VALUE!</v>
      </c>
      <c r="GQ260" t="e">
        <f>Europe!C767+"$F;@!/K{"</f>
        <v>#VALUE!</v>
      </c>
      <c r="GR260" t="e">
        <f>Europe!D767+"$F;@!/K|"</f>
        <v>#VALUE!</v>
      </c>
      <c r="GS260" t="e">
        <f>Europe!E767+"$F;@!/K}"</f>
        <v>#VALUE!</v>
      </c>
      <c r="GT260" t="e">
        <f>Europe!F767+"$F;@!/K~"</f>
        <v>#VALUE!</v>
      </c>
      <c r="GU260" t="e">
        <f>Europe!G767+"$F;@!/L#"</f>
        <v>#VALUE!</v>
      </c>
      <c r="GV260" t="e">
        <f>Europe!H767+"$F;@!/L$"</f>
        <v>#VALUE!</v>
      </c>
      <c r="GW260" t="e">
        <f>Europe!A768+"$F;@!/L%"</f>
        <v>#VALUE!</v>
      </c>
      <c r="GX260" t="e">
        <f>Europe!B768+"$F;@!/L&amp;"</f>
        <v>#VALUE!</v>
      </c>
      <c r="GY260" t="e">
        <f>Europe!C768+"$F;@!/L'"</f>
        <v>#VALUE!</v>
      </c>
      <c r="GZ260" t="e">
        <f>Europe!D768+"$F;@!/L("</f>
        <v>#VALUE!</v>
      </c>
      <c r="HA260" t="e">
        <f>Europe!F768+"$F;@!/L)"</f>
        <v>#VALUE!</v>
      </c>
      <c r="HB260" t="e">
        <f>Europe!G768+"$F;@!/L."</f>
        <v>#VALUE!</v>
      </c>
      <c r="HC260" t="e">
        <f>Europe!H768+"$F;@!/L/"</f>
        <v>#VALUE!</v>
      </c>
      <c r="HD260" t="e">
        <f>Europe!A769+"$F;@!/L0"</f>
        <v>#VALUE!</v>
      </c>
      <c r="HE260" t="e">
        <f>Europe!B769+"$F;@!/L1"</f>
        <v>#VALUE!</v>
      </c>
      <c r="HF260" t="e">
        <f>Europe!C769+"$F;@!/L2"</f>
        <v>#VALUE!</v>
      </c>
      <c r="HG260" t="e">
        <f>Europe!D769+"$F;@!/L3"</f>
        <v>#VALUE!</v>
      </c>
      <c r="HH260" t="e">
        <f>Europe!F769+"$F;@!/L4"</f>
        <v>#VALUE!</v>
      </c>
      <c r="HI260" t="e">
        <f>Europe!G769+"$F;@!/L5"</f>
        <v>#VALUE!</v>
      </c>
      <c r="HJ260" t="e">
        <f>Europe!H769+"$F;@!/L6"</f>
        <v>#VALUE!</v>
      </c>
      <c r="HK260" t="e">
        <f>Europe!A770+"$F;@!/L7"</f>
        <v>#VALUE!</v>
      </c>
      <c r="HL260" t="e">
        <f>Europe!B770+"$F;@!/L8"</f>
        <v>#VALUE!</v>
      </c>
      <c r="HM260" t="e">
        <f>Europe!C770+"$F;@!/L9"</f>
        <v>#VALUE!</v>
      </c>
      <c r="HN260" t="e">
        <f>Europe!D770+"$F;@!/L:"</f>
        <v>#VALUE!</v>
      </c>
      <c r="HO260" t="e">
        <f>Europe!F770+"$F;@!/L;"</f>
        <v>#VALUE!</v>
      </c>
      <c r="HP260" t="e">
        <f>Europe!G770+"$F;@!/L&lt;"</f>
        <v>#VALUE!</v>
      </c>
      <c r="HQ260" t="e">
        <f>Europe!H770+"$F;@!/L="</f>
        <v>#VALUE!</v>
      </c>
      <c r="HR260" t="e">
        <f>Europe!A771+"$F;@!/L&gt;"</f>
        <v>#VALUE!</v>
      </c>
      <c r="HS260" t="e">
        <f>Europe!B771+"$F;@!/L?"</f>
        <v>#VALUE!</v>
      </c>
      <c r="HT260" t="e">
        <f>Europe!C771+"$F;@!/L@"</f>
        <v>#VALUE!</v>
      </c>
      <c r="HU260" t="e">
        <f>Europe!D771+"$F;@!/LA"</f>
        <v>#VALUE!</v>
      </c>
      <c r="HV260" t="e">
        <f>Europe!F771+"$F;@!/LB"</f>
        <v>#VALUE!</v>
      </c>
      <c r="HW260" t="e">
        <f>Europe!G771+"$F;@!/LC"</f>
        <v>#VALUE!</v>
      </c>
      <c r="HX260" t="e">
        <f>Europe!H771+"$F;@!/LD"</f>
        <v>#VALUE!</v>
      </c>
      <c r="HY260" t="e">
        <f>Europe!A772+"$F;@!/LE"</f>
        <v>#VALUE!</v>
      </c>
      <c r="HZ260" t="e">
        <f>Europe!B772+"$F;@!/LF"</f>
        <v>#VALUE!</v>
      </c>
      <c r="IA260" t="e">
        <f>Europe!C772+"$F;@!/LG"</f>
        <v>#VALUE!</v>
      </c>
      <c r="IB260" t="e">
        <f>Europe!D772+"$F;@!/LH"</f>
        <v>#VALUE!</v>
      </c>
      <c r="IC260" t="e">
        <f>Europe!E772+"$F;@!/LI"</f>
        <v>#VALUE!</v>
      </c>
      <c r="ID260" t="e">
        <f>Europe!F772+"$F;@!/LJ"</f>
        <v>#VALUE!</v>
      </c>
      <c r="IE260" t="e">
        <f>Europe!G772+"$F;@!/LK"</f>
        <v>#VALUE!</v>
      </c>
      <c r="IF260" t="e">
        <f>Europe!H772+"$F;@!/LL"</f>
        <v>#VALUE!</v>
      </c>
      <c r="IG260" t="e">
        <f>Europe!A773+"$F;@!/LM"</f>
        <v>#VALUE!</v>
      </c>
      <c r="IH260" t="e">
        <f>Europe!B773+"$F;@!/LN"</f>
        <v>#VALUE!</v>
      </c>
      <c r="II260" t="e">
        <f>Europe!C773+"$F;@!/LO"</f>
        <v>#VALUE!</v>
      </c>
      <c r="IJ260" t="e">
        <f>Europe!D773+"$F;@!/LP"</f>
        <v>#VALUE!</v>
      </c>
      <c r="IK260" t="e">
        <f>Europe!E773+"$F;@!/LQ"</f>
        <v>#VALUE!</v>
      </c>
      <c r="IL260" t="e">
        <f>Europe!F773+"$F;@!/LR"</f>
        <v>#VALUE!</v>
      </c>
      <c r="IM260" t="e">
        <f>Europe!G773+"$F;@!/LS"</f>
        <v>#VALUE!</v>
      </c>
      <c r="IN260" t="e">
        <f>Europe!H773+"$F;@!/LT"</f>
        <v>#VALUE!</v>
      </c>
      <c r="IO260" t="e">
        <f>Europe!A774+"$F;@!/LU"</f>
        <v>#VALUE!</v>
      </c>
      <c r="IP260" t="e">
        <f>Europe!B774+"$F;@!/LV"</f>
        <v>#VALUE!</v>
      </c>
      <c r="IQ260" t="e">
        <f>Europe!C774+"$F;@!/LW"</f>
        <v>#VALUE!</v>
      </c>
      <c r="IR260" t="e">
        <f>Europe!D774+"$F;@!/LX"</f>
        <v>#VALUE!</v>
      </c>
      <c r="IS260" t="e">
        <f>Europe!E774+"$F;@!/LY"</f>
        <v>#VALUE!</v>
      </c>
      <c r="IT260" t="e">
        <f>Europe!F774+"$F;@!/LZ"</f>
        <v>#VALUE!</v>
      </c>
      <c r="IU260" t="e">
        <f>Europe!G774+"$F;@!/L["</f>
        <v>#VALUE!</v>
      </c>
      <c r="IV260" t="e">
        <f>Europe!H774+"$F;@!/L\"</f>
        <v>#VALUE!</v>
      </c>
    </row>
    <row r="261" spans="6:256" x14ac:dyDescent="0.35">
      <c r="F261" t="e">
        <f>Europe!A775+"$F;@!/L]"</f>
        <v>#VALUE!</v>
      </c>
      <c r="G261" t="e">
        <f>Europe!B775+"$F;@!/L^"</f>
        <v>#VALUE!</v>
      </c>
      <c r="H261" t="e">
        <f>Europe!C775+"$F;@!/L_"</f>
        <v>#VALUE!</v>
      </c>
      <c r="I261" t="e">
        <f>Europe!D775+"$F;@!/L`"</f>
        <v>#VALUE!</v>
      </c>
      <c r="J261" t="e">
        <f>Europe!E775+"$F;@!/La"</f>
        <v>#VALUE!</v>
      </c>
      <c r="K261" t="e">
        <f>Europe!F775+"$F;@!/Lb"</f>
        <v>#VALUE!</v>
      </c>
      <c r="L261" t="e">
        <f>Europe!G775+"$F;@!/Lc"</f>
        <v>#VALUE!</v>
      </c>
      <c r="M261" t="e">
        <f>Europe!H775+"$F;@!/Ld"</f>
        <v>#VALUE!</v>
      </c>
      <c r="N261" t="e">
        <f>Europe!A776+"$F;@!/Le"</f>
        <v>#VALUE!</v>
      </c>
      <c r="O261" t="e">
        <f>Europe!B776+"$F;@!/Lf"</f>
        <v>#VALUE!</v>
      </c>
      <c r="P261" t="e">
        <f>Europe!C776+"$F;@!/Lg"</f>
        <v>#VALUE!</v>
      </c>
      <c r="Q261" t="e">
        <f>Europe!D776+"$F;@!/Lh"</f>
        <v>#VALUE!</v>
      </c>
      <c r="R261" t="e">
        <f>Europe!E776+"$F;@!/Li"</f>
        <v>#VALUE!</v>
      </c>
      <c r="S261" t="e">
        <f>Europe!F776+"$F;@!/Lj"</f>
        <v>#VALUE!</v>
      </c>
      <c r="T261" t="e">
        <f>Europe!G776+"$F;@!/Lk"</f>
        <v>#VALUE!</v>
      </c>
      <c r="U261" t="e">
        <f>Europe!H776+"$F;@!/Ll"</f>
        <v>#VALUE!</v>
      </c>
      <c r="V261" t="e">
        <f>Europe!A777+"$F;@!/Lm"</f>
        <v>#VALUE!</v>
      </c>
      <c r="W261" t="e">
        <f>Europe!B777+"$F;@!/Ln"</f>
        <v>#VALUE!</v>
      </c>
      <c r="X261" t="e">
        <f>Europe!C777+"$F;@!/Lo"</f>
        <v>#VALUE!</v>
      </c>
      <c r="Y261" t="e">
        <f>Europe!D777+"$F;@!/Lp"</f>
        <v>#VALUE!</v>
      </c>
      <c r="Z261" t="e">
        <f>Europe!E777+"$F;@!/Lq"</f>
        <v>#VALUE!</v>
      </c>
      <c r="AA261" t="e">
        <f>Europe!F777+"$F;@!/Lr"</f>
        <v>#VALUE!</v>
      </c>
      <c r="AB261" t="e">
        <f>Europe!G777+"$F;@!/Ls"</f>
        <v>#VALUE!</v>
      </c>
      <c r="AC261" t="e">
        <f>Europe!H777+"$F;@!/Lt"</f>
        <v>#VALUE!</v>
      </c>
      <c r="AD261" t="e">
        <f>Europe!A778+"$F;@!/Lu"</f>
        <v>#VALUE!</v>
      </c>
      <c r="AE261" t="e">
        <f>Europe!B778+"$F;@!/Lv"</f>
        <v>#VALUE!</v>
      </c>
      <c r="AF261" t="e">
        <f>Europe!C778+"$F;@!/Lw"</f>
        <v>#VALUE!</v>
      </c>
      <c r="AG261" t="e">
        <f>Europe!D778+"$F;@!/Lx"</f>
        <v>#VALUE!</v>
      </c>
      <c r="AH261" t="e">
        <f>Europe!E778+"$F;@!/Ly"</f>
        <v>#VALUE!</v>
      </c>
      <c r="AI261" t="e">
        <f>Europe!F778+"$F;@!/Lz"</f>
        <v>#VALUE!</v>
      </c>
      <c r="AJ261" t="e">
        <f>Europe!G778+"$F;@!/L{"</f>
        <v>#VALUE!</v>
      </c>
      <c r="AK261" t="e">
        <f>Europe!H778+"$F;@!/L|"</f>
        <v>#VALUE!</v>
      </c>
      <c r="AL261" t="e">
        <f>Europe!A779+"$F;@!/L}"</f>
        <v>#VALUE!</v>
      </c>
      <c r="AM261" t="e">
        <f>Europe!B779+"$F;@!/L~"</f>
        <v>#VALUE!</v>
      </c>
      <c r="AN261" t="e">
        <f>Europe!C779+"$F;@!/M#"</f>
        <v>#VALUE!</v>
      </c>
      <c r="AO261" t="e">
        <f>Europe!D779+"$F;@!/M$"</f>
        <v>#VALUE!</v>
      </c>
      <c r="AP261" t="e">
        <f>Europe!E779+"$F;@!/M%"</f>
        <v>#VALUE!</v>
      </c>
      <c r="AQ261" t="e">
        <f>Europe!F779+"$F;@!/M&amp;"</f>
        <v>#VALUE!</v>
      </c>
      <c r="AR261" t="e">
        <f>Europe!G779+"$F;@!/M'"</f>
        <v>#VALUE!</v>
      </c>
      <c r="AS261" t="e">
        <f>Europe!H779+"$F;@!/M("</f>
        <v>#VALUE!</v>
      </c>
      <c r="AT261" t="e">
        <f>Europe!A780+"$F;@!/M)"</f>
        <v>#VALUE!</v>
      </c>
      <c r="AU261" t="e">
        <f>Europe!B780+"$F;@!/M."</f>
        <v>#VALUE!</v>
      </c>
      <c r="AV261" t="e">
        <f>Europe!C780+"$F;@!/M/"</f>
        <v>#VALUE!</v>
      </c>
      <c r="AW261" t="e">
        <f>Europe!D780+"$F;@!/M0"</f>
        <v>#VALUE!</v>
      </c>
      <c r="AX261" t="e">
        <f>Europe!E780+"$F;@!/M1"</f>
        <v>#VALUE!</v>
      </c>
      <c r="AY261" t="e">
        <f>Europe!F780+"$F;@!/M2"</f>
        <v>#VALUE!</v>
      </c>
      <c r="AZ261" t="e">
        <f>Europe!G780+"$F;@!/M3"</f>
        <v>#VALUE!</v>
      </c>
      <c r="BA261" t="e">
        <f>Europe!H780+"$F;@!/M4"</f>
        <v>#VALUE!</v>
      </c>
      <c r="BB261" t="e">
        <f>Europe!A781+"$F;@!/M5"</f>
        <v>#VALUE!</v>
      </c>
      <c r="BC261" t="e">
        <f>Europe!B781+"$F;@!/M6"</f>
        <v>#VALUE!</v>
      </c>
      <c r="BD261" t="e">
        <f>Europe!C781+"$F;@!/M7"</f>
        <v>#VALUE!</v>
      </c>
      <c r="BE261" t="e">
        <f>Europe!D781+"$F;@!/M8"</f>
        <v>#VALUE!</v>
      </c>
      <c r="BF261" t="e">
        <f>Europe!E781+"$F;@!/M9"</f>
        <v>#VALUE!</v>
      </c>
      <c r="BG261" t="e">
        <f>Europe!F781+"$F;@!/M:"</f>
        <v>#VALUE!</v>
      </c>
      <c r="BH261" t="e">
        <f>Europe!G781+"$F;@!/M;"</f>
        <v>#VALUE!</v>
      </c>
      <c r="BI261" t="e">
        <f>Europe!H781+"$F;@!/M&lt;"</f>
        <v>#VALUE!</v>
      </c>
      <c r="BJ261" t="e">
        <f>Europe!A782+"$F;@!/M="</f>
        <v>#VALUE!</v>
      </c>
      <c r="BK261" t="e">
        <f>Europe!B782+"$F;@!/M&gt;"</f>
        <v>#VALUE!</v>
      </c>
      <c r="BL261" t="e">
        <f>Europe!C782+"$F;@!/M?"</f>
        <v>#VALUE!</v>
      </c>
      <c r="BM261" t="e">
        <f>Europe!D782+"$F;@!/M@"</f>
        <v>#VALUE!</v>
      </c>
      <c r="BN261" t="e">
        <f>Europe!E782+"$F;@!/MA"</f>
        <v>#VALUE!</v>
      </c>
      <c r="BO261" t="e">
        <f>Europe!F782+"$F;@!/MB"</f>
        <v>#VALUE!</v>
      </c>
      <c r="BP261" t="e">
        <f>Europe!G782+"$F;@!/MC"</f>
        <v>#VALUE!</v>
      </c>
      <c r="BQ261" t="e">
        <f>Europe!H782+"$F;@!/MD"</f>
        <v>#VALUE!</v>
      </c>
      <c r="BR261" t="e">
        <f>Europe!A783+"$F;@!/ME"</f>
        <v>#VALUE!</v>
      </c>
      <c r="BS261" t="e">
        <f>Europe!B783+"$F;@!/MF"</f>
        <v>#VALUE!</v>
      </c>
      <c r="BT261" t="e">
        <f>Europe!C783+"$F;@!/MG"</f>
        <v>#VALUE!</v>
      </c>
      <c r="BU261" t="e">
        <f>Europe!D783+"$F;@!/MH"</f>
        <v>#VALUE!</v>
      </c>
      <c r="BV261" t="e">
        <f>Europe!E783+"$F;@!/MI"</f>
        <v>#VALUE!</v>
      </c>
      <c r="BW261" t="e">
        <f>Europe!F783+"$F;@!/MJ"</f>
        <v>#VALUE!</v>
      </c>
      <c r="BX261" t="e">
        <f>Europe!G783+"$F;@!/MK"</f>
        <v>#VALUE!</v>
      </c>
      <c r="BY261" t="e">
        <f>Europe!H783+"$F;@!/ML"</f>
        <v>#VALUE!</v>
      </c>
      <c r="BZ261" t="e">
        <f>Europe!A784+"$F;@!/MM"</f>
        <v>#VALUE!</v>
      </c>
      <c r="CA261" t="e">
        <f>Europe!B784+"$F;@!/MN"</f>
        <v>#VALUE!</v>
      </c>
      <c r="CB261" t="e">
        <f>Europe!C784+"$F;@!/MO"</f>
        <v>#VALUE!</v>
      </c>
      <c r="CC261" t="e">
        <f>Europe!D784+"$F;@!/MP"</f>
        <v>#VALUE!</v>
      </c>
      <c r="CD261" t="e">
        <f>Europe!F784+"$F;@!/MQ"</f>
        <v>#VALUE!</v>
      </c>
      <c r="CE261" t="e">
        <f>Europe!G784+"$F;@!/MR"</f>
        <v>#VALUE!</v>
      </c>
      <c r="CF261" t="e">
        <f>Europe!H784+"$F;@!/MS"</f>
        <v>#VALUE!</v>
      </c>
      <c r="CG261" t="e">
        <f>Europe!A785+"$F;@!/MT"</f>
        <v>#VALUE!</v>
      </c>
      <c r="CH261" t="e">
        <f>Europe!B785+"$F;@!/MU"</f>
        <v>#VALUE!</v>
      </c>
      <c r="CI261" t="e">
        <f>Europe!C785+"$F;@!/MV"</f>
        <v>#VALUE!</v>
      </c>
      <c r="CJ261" t="e">
        <f>Europe!D785+"$F;@!/MW"</f>
        <v>#VALUE!</v>
      </c>
      <c r="CK261" t="e">
        <f>Europe!F785+"$F;@!/MX"</f>
        <v>#VALUE!</v>
      </c>
      <c r="CL261" t="e">
        <f>Europe!G785+"$F;@!/MY"</f>
        <v>#VALUE!</v>
      </c>
      <c r="CM261" t="e">
        <f>Europe!H785+"$F;@!/MZ"</f>
        <v>#VALUE!</v>
      </c>
      <c r="CN261" t="e">
        <f>Europe!A786+"$F;@!/M["</f>
        <v>#VALUE!</v>
      </c>
      <c r="CO261" t="e">
        <f>Europe!B786+"$F;@!/M\"</f>
        <v>#VALUE!</v>
      </c>
      <c r="CP261" t="e">
        <f>Europe!C786+"$F;@!/M]"</f>
        <v>#VALUE!</v>
      </c>
      <c r="CQ261" t="e">
        <f>Europe!D786+"$F;@!/M^"</f>
        <v>#VALUE!</v>
      </c>
      <c r="CR261" t="e">
        <f>Europe!E786+"$F;@!/M_"</f>
        <v>#VALUE!</v>
      </c>
      <c r="CS261" t="e">
        <f>Europe!F786+"$F;@!/M`"</f>
        <v>#VALUE!</v>
      </c>
      <c r="CT261" t="e">
        <f>Europe!G786+"$F;@!/Ma"</f>
        <v>#VALUE!</v>
      </c>
      <c r="CU261" t="e">
        <f>Europe!H786+"$F;@!/Mb"</f>
        <v>#VALUE!</v>
      </c>
      <c r="CV261" t="e">
        <f>Europe!A787+"$F;@!/Mc"</f>
        <v>#VALUE!</v>
      </c>
      <c r="CW261" t="e">
        <f>Europe!B787+"$F;@!/Md"</f>
        <v>#VALUE!</v>
      </c>
      <c r="CX261" t="e">
        <f>Europe!C787+"$F;@!/Me"</f>
        <v>#VALUE!</v>
      </c>
      <c r="CY261" t="e">
        <f>Europe!D787+"$F;@!/Mf"</f>
        <v>#VALUE!</v>
      </c>
      <c r="CZ261" t="e">
        <f>Europe!E787+"$F;@!/Mg"</f>
        <v>#VALUE!</v>
      </c>
      <c r="DA261" t="e">
        <f>Europe!F787+"$F;@!/Mh"</f>
        <v>#VALUE!</v>
      </c>
      <c r="DB261" t="e">
        <f>Europe!G787+"$F;@!/Mi"</f>
        <v>#VALUE!</v>
      </c>
      <c r="DC261" t="e">
        <f>Europe!H787+"$F;@!/Mj"</f>
        <v>#VALUE!</v>
      </c>
      <c r="DD261" t="e">
        <f>Europe!A788+"$F;@!/Mk"</f>
        <v>#VALUE!</v>
      </c>
      <c r="DE261" t="e">
        <f>Europe!B788+"$F;@!/Ml"</f>
        <v>#VALUE!</v>
      </c>
      <c r="DF261" t="e">
        <f>Europe!C788+"$F;@!/Mm"</f>
        <v>#VALUE!</v>
      </c>
      <c r="DG261" t="e">
        <f>Europe!D788+"$F;@!/Mn"</f>
        <v>#VALUE!</v>
      </c>
      <c r="DH261" t="e">
        <f>Europe!E788+"$F;@!/Mo"</f>
        <v>#VALUE!</v>
      </c>
      <c r="DI261" t="e">
        <f>Europe!F788+"$F;@!/Mp"</f>
        <v>#VALUE!</v>
      </c>
      <c r="DJ261" t="e">
        <f>Europe!G788+"$F;@!/Mq"</f>
        <v>#VALUE!</v>
      </c>
      <c r="DK261" t="e">
        <f>Europe!H788+"$F;@!/Mr"</f>
        <v>#VALUE!</v>
      </c>
      <c r="DL261" t="e">
        <f>Europe!A789+"$F;@!/Ms"</f>
        <v>#VALUE!</v>
      </c>
      <c r="DM261" t="e">
        <f>Europe!B789+"$F;@!/Mt"</f>
        <v>#VALUE!</v>
      </c>
      <c r="DN261" t="e">
        <f>Europe!C789+"$F;@!/Mu"</f>
        <v>#VALUE!</v>
      </c>
      <c r="DO261" t="e">
        <f>Europe!D789+"$F;@!/Mv"</f>
        <v>#VALUE!</v>
      </c>
      <c r="DP261" t="e">
        <f>Europe!E789+"$F;@!/Mw"</f>
        <v>#VALUE!</v>
      </c>
      <c r="DQ261" t="e">
        <f>Europe!F789+"$F;@!/Mx"</f>
        <v>#VALUE!</v>
      </c>
      <c r="DR261" t="e">
        <f>Europe!G789+"$F;@!/My"</f>
        <v>#VALUE!</v>
      </c>
      <c r="DS261" t="e">
        <f>Europe!H789+"$F;@!/Mz"</f>
        <v>#VALUE!</v>
      </c>
      <c r="DT261" t="e">
        <f>Europe!A790+"$F;@!/M{"</f>
        <v>#VALUE!</v>
      </c>
      <c r="DU261" t="e">
        <f>Europe!B790+"$F;@!/M|"</f>
        <v>#VALUE!</v>
      </c>
      <c r="DV261" t="e">
        <f>Europe!C790+"$F;@!/M}"</f>
        <v>#VALUE!</v>
      </c>
      <c r="DW261" t="e">
        <f>Europe!D790+"$F;@!/M~"</f>
        <v>#VALUE!</v>
      </c>
      <c r="DX261" t="e">
        <f>Europe!E790+"$F;@!/N#"</f>
        <v>#VALUE!</v>
      </c>
      <c r="DY261" t="e">
        <f>Europe!F790+"$F;@!/N$"</f>
        <v>#VALUE!</v>
      </c>
      <c r="DZ261" t="e">
        <f>Europe!G790+"$F;@!/N%"</f>
        <v>#VALUE!</v>
      </c>
      <c r="EA261" t="e">
        <f>Europe!H790+"$F;@!/N&amp;"</f>
        <v>#VALUE!</v>
      </c>
      <c r="EB261" t="e">
        <f>Europe!A791+"$F;@!/N'"</f>
        <v>#VALUE!</v>
      </c>
      <c r="EC261" t="e">
        <f>Europe!B791+"$F;@!/N("</f>
        <v>#VALUE!</v>
      </c>
      <c r="ED261" t="e">
        <f>Europe!C791+"$F;@!/N)"</f>
        <v>#VALUE!</v>
      </c>
      <c r="EE261" t="e">
        <f>Europe!D791+"$F;@!/N."</f>
        <v>#VALUE!</v>
      </c>
      <c r="EF261" t="e">
        <f>Europe!E791+"$F;@!/N/"</f>
        <v>#VALUE!</v>
      </c>
      <c r="EG261" t="e">
        <f>Europe!F791+"$F;@!/N0"</f>
        <v>#VALUE!</v>
      </c>
      <c r="EH261" t="e">
        <f>Europe!G791+"$F;@!/N1"</f>
        <v>#VALUE!</v>
      </c>
      <c r="EI261" t="e">
        <f>Europe!H791+"$F;@!/N2"</f>
        <v>#VALUE!</v>
      </c>
      <c r="EJ261" t="e">
        <f>Europe!A792+"$F;@!/N3"</f>
        <v>#VALUE!</v>
      </c>
      <c r="EK261" t="e">
        <f>Europe!B792+"$F;@!/N4"</f>
        <v>#VALUE!</v>
      </c>
      <c r="EL261" t="e">
        <f>Europe!C792+"$F;@!/N5"</f>
        <v>#VALUE!</v>
      </c>
      <c r="EM261" t="e">
        <f>Europe!D792+"$F;@!/N6"</f>
        <v>#VALUE!</v>
      </c>
      <c r="EN261" t="e">
        <f>Europe!E792+"$F;@!/N7"</f>
        <v>#VALUE!</v>
      </c>
      <c r="EO261" t="e">
        <f>Europe!F792+"$F;@!/N8"</f>
        <v>#VALUE!</v>
      </c>
      <c r="EP261" t="e">
        <f>Europe!G792+"$F;@!/N9"</f>
        <v>#VALUE!</v>
      </c>
      <c r="EQ261" t="e">
        <f>Europe!H792+"$F;@!/N:"</f>
        <v>#VALUE!</v>
      </c>
      <c r="ER261" t="e">
        <f>Europe!A793+"$F;@!/N;"</f>
        <v>#VALUE!</v>
      </c>
      <c r="ES261" t="e">
        <f>Europe!B793+"$F;@!/N&lt;"</f>
        <v>#VALUE!</v>
      </c>
      <c r="ET261" t="e">
        <f>Europe!C793+"$F;@!/N="</f>
        <v>#VALUE!</v>
      </c>
      <c r="EU261" t="e">
        <f>Europe!D793+"$F;@!/N&gt;"</f>
        <v>#VALUE!</v>
      </c>
      <c r="EV261" t="e">
        <f>Europe!E793+"$F;@!/N?"</f>
        <v>#VALUE!</v>
      </c>
      <c r="EW261" t="e">
        <f>Europe!F793+"$F;@!/N@"</f>
        <v>#VALUE!</v>
      </c>
      <c r="EX261" t="e">
        <f>Europe!G793+"$F;@!/NA"</f>
        <v>#VALUE!</v>
      </c>
      <c r="EY261" t="e">
        <f>Europe!H793+"$F;@!/NB"</f>
        <v>#VALUE!</v>
      </c>
      <c r="EZ261" t="e">
        <f>Europe!A794+"$F;@!/NC"</f>
        <v>#VALUE!</v>
      </c>
      <c r="FA261" t="e">
        <f>Europe!B794+"$F;@!/ND"</f>
        <v>#VALUE!</v>
      </c>
      <c r="FB261" t="e">
        <f>Europe!C794+"$F;@!/NE"</f>
        <v>#VALUE!</v>
      </c>
      <c r="FC261" t="e">
        <f>Europe!D794+"$F;@!/NF"</f>
        <v>#VALUE!</v>
      </c>
      <c r="FD261" t="e">
        <f>Europe!E794+"$F;@!/NG"</f>
        <v>#VALUE!</v>
      </c>
      <c r="FE261" t="e">
        <f>Europe!F794+"$F;@!/NH"</f>
        <v>#VALUE!</v>
      </c>
      <c r="FF261" t="e">
        <f>Europe!G794+"$F;@!/NI"</f>
        <v>#VALUE!</v>
      </c>
      <c r="FG261" t="e">
        <f>Europe!H794+"$F;@!/NJ"</f>
        <v>#VALUE!</v>
      </c>
      <c r="FH261" t="e">
        <f>Europe!A795+"$F;@!/NK"</f>
        <v>#VALUE!</v>
      </c>
      <c r="FI261" t="e">
        <f>Europe!B795+"$F;@!/NL"</f>
        <v>#VALUE!</v>
      </c>
      <c r="FJ261" t="e">
        <f>Europe!C795+"$F;@!/NM"</f>
        <v>#VALUE!</v>
      </c>
      <c r="FK261" t="e">
        <f>Europe!D795+"$F;@!/NN"</f>
        <v>#VALUE!</v>
      </c>
      <c r="FL261" t="e">
        <f>Europe!E795+"$F;@!/NO"</f>
        <v>#VALUE!</v>
      </c>
      <c r="FM261" t="e">
        <f>Europe!F795+"$F;@!/NP"</f>
        <v>#VALUE!</v>
      </c>
      <c r="FN261" t="e">
        <f>Europe!G795+"$F;@!/NQ"</f>
        <v>#VALUE!</v>
      </c>
      <c r="FO261" t="e">
        <f>Europe!H795+"$F;@!/NR"</f>
        <v>#VALUE!</v>
      </c>
      <c r="FP261" t="e">
        <f>Europe!A796+"$F;@!/NS"</f>
        <v>#VALUE!</v>
      </c>
      <c r="FQ261" t="e">
        <f>Europe!B796+"$F;@!/NT"</f>
        <v>#VALUE!</v>
      </c>
      <c r="FR261" t="e">
        <f>Europe!C796+"$F;@!/NU"</f>
        <v>#VALUE!</v>
      </c>
      <c r="FS261" t="e">
        <f>Europe!D796+"$F;@!/NV"</f>
        <v>#VALUE!</v>
      </c>
      <c r="FT261" t="e">
        <f>Europe!E796+"$F;@!/NW"</f>
        <v>#VALUE!</v>
      </c>
      <c r="FU261" t="e">
        <f>Europe!F796+"$F;@!/NX"</f>
        <v>#VALUE!</v>
      </c>
      <c r="FV261" t="e">
        <f>Europe!G796+"$F;@!/NY"</f>
        <v>#VALUE!</v>
      </c>
      <c r="FW261" t="e">
        <f>Europe!H796+"$F;@!/NZ"</f>
        <v>#VALUE!</v>
      </c>
      <c r="FX261" t="e">
        <f>Europe!A797+"$F;@!/N["</f>
        <v>#VALUE!</v>
      </c>
      <c r="FY261" t="e">
        <f>Europe!B797+"$F;@!/N\"</f>
        <v>#VALUE!</v>
      </c>
      <c r="FZ261" t="e">
        <f>Europe!C797+"$F;@!/N]"</f>
        <v>#VALUE!</v>
      </c>
      <c r="GA261" t="e">
        <f>Europe!D797+"$F;@!/N^"</f>
        <v>#VALUE!</v>
      </c>
      <c r="GB261" t="e">
        <f>Europe!E797+"$F;@!/N_"</f>
        <v>#VALUE!</v>
      </c>
      <c r="GC261" t="e">
        <f>Europe!F797+"$F;@!/N`"</f>
        <v>#VALUE!</v>
      </c>
      <c r="GD261" t="e">
        <f>Europe!G797+"$F;@!/Na"</f>
        <v>#VALUE!</v>
      </c>
      <c r="GE261" t="e">
        <f>Europe!H797+"$F;@!/Nb"</f>
        <v>#VALUE!</v>
      </c>
      <c r="GF261" t="e">
        <f>Europe!A798+"$F;@!/Nc"</f>
        <v>#VALUE!</v>
      </c>
      <c r="GG261" t="e">
        <f>Europe!B798+"$F;@!/Nd"</f>
        <v>#VALUE!</v>
      </c>
      <c r="GH261" t="e">
        <f>Europe!C798+"$F;@!/Ne"</f>
        <v>#VALUE!</v>
      </c>
      <c r="GI261" t="e">
        <f>Europe!D798+"$F;@!/Nf"</f>
        <v>#VALUE!</v>
      </c>
      <c r="GJ261" t="e">
        <f>Europe!E798+"$F;@!/Ng"</f>
        <v>#VALUE!</v>
      </c>
      <c r="GK261" t="e">
        <f>Europe!F798+"$F;@!/Nh"</f>
        <v>#VALUE!</v>
      </c>
      <c r="GL261" t="e">
        <f>Europe!G798+"$F;@!/Ni"</f>
        <v>#VALUE!</v>
      </c>
      <c r="GM261" t="e">
        <f>Europe!H798+"$F;@!/Nj"</f>
        <v>#VALUE!</v>
      </c>
      <c r="GN261" t="e">
        <f>Europe!A799+"$F;@!/Nk"</f>
        <v>#VALUE!</v>
      </c>
      <c r="GO261" t="e">
        <f>Europe!B799+"$F;@!/Nl"</f>
        <v>#VALUE!</v>
      </c>
      <c r="GP261" t="e">
        <f>Europe!C799+"$F;@!/Nm"</f>
        <v>#VALUE!</v>
      </c>
      <c r="GQ261" t="e">
        <f>Europe!D799+"$F;@!/Nn"</f>
        <v>#VALUE!</v>
      </c>
      <c r="GR261" t="e">
        <f>Europe!E799+"$F;@!/No"</f>
        <v>#VALUE!</v>
      </c>
      <c r="GS261" t="e">
        <f>Europe!F799+"$F;@!/Np"</f>
        <v>#VALUE!</v>
      </c>
      <c r="GT261" t="e">
        <f>Europe!G799+"$F;@!/Nq"</f>
        <v>#VALUE!</v>
      </c>
      <c r="GU261" t="e">
        <f>Europe!H799+"$F;@!/Nr"</f>
        <v>#VALUE!</v>
      </c>
      <c r="GV261" t="e">
        <f>Europe!A800+"$F;@!/Ns"</f>
        <v>#VALUE!</v>
      </c>
      <c r="GW261" t="e">
        <f>Europe!B800+"$F;@!/Nt"</f>
        <v>#VALUE!</v>
      </c>
      <c r="GX261" t="e">
        <f>Europe!C800+"$F;@!/Nu"</f>
        <v>#VALUE!</v>
      </c>
      <c r="GY261" t="e">
        <f>Europe!D800+"$F;@!/Nv"</f>
        <v>#VALUE!</v>
      </c>
      <c r="GZ261" t="e">
        <f>Europe!E800+"$F;@!/Nw"</f>
        <v>#VALUE!</v>
      </c>
      <c r="HA261" t="e">
        <f>Europe!F800+"$F;@!/Nx"</f>
        <v>#VALUE!</v>
      </c>
      <c r="HB261" t="e">
        <f>Europe!G800+"$F;@!/Ny"</f>
        <v>#VALUE!</v>
      </c>
      <c r="HC261" t="e">
        <f>Europe!H800+"$F;@!/Nz"</f>
        <v>#VALUE!</v>
      </c>
      <c r="HD261" t="e">
        <f>Europe!A801+"$F;@!/N{"</f>
        <v>#VALUE!</v>
      </c>
      <c r="HE261" t="e">
        <f>Europe!B801+"$F;@!/N|"</f>
        <v>#VALUE!</v>
      </c>
      <c r="HF261" t="e">
        <f>Europe!C801+"$F;@!/N}"</f>
        <v>#VALUE!</v>
      </c>
      <c r="HG261" t="e">
        <f>Europe!D801+"$F;@!/N~"</f>
        <v>#VALUE!</v>
      </c>
      <c r="HH261" t="e">
        <f>Europe!E801+"$F;@!/O#"</f>
        <v>#VALUE!</v>
      </c>
      <c r="HI261" t="e">
        <f>Europe!F801+"$F;@!/O$"</f>
        <v>#VALUE!</v>
      </c>
      <c r="HJ261" t="e">
        <f>Europe!G801+"$F;@!/O%"</f>
        <v>#VALUE!</v>
      </c>
      <c r="HK261" t="e">
        <f>Europe!H801+"$F;@!/O&amp;"</f>
        <v>#VALUE!</v>
      </c>
      <c r="HL261" t="e">
        <f>Europe!A802+"$F;@!/O'"</f>
        <v>#VALUE!</v>
      </c>
      <c r="HM261" t="e">
        <f>Europe!B802+"$F;@!/O("</f>
        <v>#VALUE!</v>
      </c>
      <c r="HN261" t="e">
        <f>Europe!C802+"$F;@!/O)"</f>
        <v>#VALUE!</v>
      </c>
      <c r="HO261" t="e">
        <f>Europe!D802+"$F;@!/O."</f>
        <v>#VALUE!</v>
      </c>
      <c r="HP261" t="e">
        <f>Europe!E802+"$F;@!/O/"</f>
        <v>#VALUE!</v>
      </c>
      <c r="HQ261" t="e">
        <f>Europe!F802+"$F;@!/O0"</f>
        <v>#VALUE!</v>
      </c>
      <c r="HR261" t="e">
        <f>Europe!G802+"$F;@!/O1"</f>
        <v>#VALUE!</v>
      </c>
      <c r="HS261" t="e">
        <f>Europe!H802+"$F;@!/O2"</f>
        <v>#VALUE!</v>
      </c>
      <c r="HT261" t="e">
        <f>Europe!A803+"$F;@!/O3"</f>
        <v>#VALUE!</v>
      </c>
      <c r="HU261" t="e">
        <f>Europe!B803+"$F;@!/O4"</f>
        <v>#VALUE!</v>
      </c>
      <c r="HV261" t="e">
        <f>Europe!C803+"$F;@!/O5"</f>
        <v>#VALUE!</v>
      </c>
      <c r="HW261" t="e">
        <f>Europe!D803+"$F;@!/O6"</f>
        <v>#VALUE!</v>
      </c>
      <c r="HX261" t="e">
        <f>Europe!E803+"$F;@!/O7"</f>
        <v>#VALUE!</v>
      </c>
      <c r="HY261" t="e">
        <f>Europe!F803+"$F;@!/O8"</f>
        <v>#VALUE!</v>
      </c>
      <c r="HZ261" t="e">
        <f>Europe!G803+"$F;@!/O9"</f>
        <v>#VALUE!</v>
      </c>
      <c r="IA261" t="e">
        <f>Europe!H803+"$F;@!/O:"</f>
        <v>#VALUE!</v>
      </c>
      <c r="IB261" t="e">
        <f>Europe!A804+"$F;@!/O;"</f>
        <v>#VALUE!</v>
      </c>
      <c r="IC261" t="e">
        <f>Europe!B804+"$F;@!/O&lt;"</f>
        <v>#VALUE!</v>
      </c>
      <c r="ID261" t="e">
        <f>Europe!C804+"$F;@!/O="</f>
        <v>#VALUE!</v>
      </c>
      <c r="IE261" t="e">
        <f>Europe!D804+"$F;@!/O&gt;"</f>
        <v>#VALUE!</v>
      </c>
      <c r="IF261" t="e">
        <f>Europe!E804+"$F;@!/O?"</f>
        <v>#VALUE!</v>
      </c>
      <c r="IG261" t="e">
        <f>Europe!F804+"$F;@!/O@"</f>
        <v>#VALUE!</v>
      </c>
      <c r="IH261" t="e">
        <f>Europe!G804+"$F;@!/OA"</f>
        <v>#VALUE!</v>
      </c>
      <c r="II261" t="e">
        <f>Europe!H804+"$F;@!/OB"</f>
        <v>#VALUE!</v>
      </c>
      <c r="IJ261" t="e">
        <f>Europe!A805+"$F;@!/OC"</f>
        <v>#VALUE!</v>
      </c>
      <c r="IK261" t="e">
        <f>Europe!B805+"$F;@!/OD"</f>
        <v>#VALUE!</v>
      </c>
      <c r="IL261" t="e">
        <f>Europe!C805+"$F;@!/OE"</f>
        <v>#VALUE!</v>
      </c>
      <c r="IM261" t="e">
        <f>Europe!D805+"$F;@!/OF"</f>
        <v>#VALUE!</v>
      </c>
      <c r="IN261" t="e">
        <f>Europe!E805+"$F;@!/OG"</f>
        <v>#VALUE!</v>
      </c>
      <c r="IO261" t="e">
        <f>Europe!F805+"$F;@!/OH"</f>
        <v>#VALUE!</v>
      </c>
      <c r="IP261" t="e">
        <f>Europe!G805+"$F;@!/OI"</f>
        <v>#VALUE!</v>
      </c>
      <c r="IQ261" t="e">
        <f>Europe!H805+"$F;@!/OJ"</f>
        <v>#VALUE!</v>
      </c>
      <c r="IR261" t="e">
        <f>Europe!A806+"$F;@!/OK"</f>
        <v>#VALUE!</v>
      </c>
      <c r="IS261" t="e">
        <f>Europe!B806+"$F;@!/OL"</f>
        <v>#VALUE!</v>
      </c>
      <c r="IT261" t="e">
        <f>Europe!C806+"$F;@!/OM"</f>
        <v>#VALUE!</v>
      </c>
      <c r="IU261" t="e">
        <f>Europe!D806+"$F;@!/ON"</f>
        <v>#VALUE!</v>
      </c>
      <c r="IV261" t="e">
        <f>Europe!E806+"$F;@!/OO"</f>
        <v>#VALUE!</v>
      </c>
    </row>
    <row r="262" spans="6:256" x14ac:dyDescent="0.35">
      <c r="F262" t="e">
        <f>Europe!F806+"$F;@!/OP"</f>
        <v>#VALUE!</v>
      </c>
      <c r="G262" t="e">
        <f>Europe!G806+"$F;@!/OQ"</f>
        <v>#VALUE!</v>
      </c>
      <c r="H262" t="e">
        <f>Europe!H806+"$F;@!/OR"</f>
        <v>#VALUE!</v>
      </c>
      <c r="I262" t="e">
        <f>Europe!A807+"$F;@!/OS"</f>
        <v>#VALUE!</v>
      </c>
      <c r="J262" t="e">
        <f>Europe!B807+"$F;@!/OT"</f>
        <v>#VALUE!</v>
      </c>
      <c r="K262" t="e">
        <f>Europe!C807+"$F;@!/OU"</f>
        <v>#VALUE!</v>
      </c>
      <c r="L262" t="e">
        <f>Europe!D807+"$F;@!/OV"</f>
        <v>#VALUE!</v>
      </c>
      <c r="M262" t="e">
        <f>Europe!E807+"$F;@!/OW"</f>
        <v>#VALUE!</v>
      </c>
      <c r="N262" t="e">
        <f>Europe!F807+"$F;@!/OX"</f>
        <v>#VALUE!</v>
      </c>
      <c r="O262" t="e">
        <f>Europe!G807+"$F;@!/OY"</f>
        <v>#VALUE!</v>
      </c>
      <c r="P262" t="e">
        <f>Europe!H807+"$F;@!/OZ"</f>
        <v>#VALUE!</v>
      </c>
      <c r="Q262" t="e">
        <f>Europe!A808+"$F;@!/O["</f>
        <v>#VALUE!</v>
      </c>
      <c r="R262" t="e">
        <f>Europe!B808+"$F;@!/O\"</f>
        <v>#VALUE!</v>
      </c>
      <c r="S262" t="e">
        <f>Europe!C808+"$F;@!/O]"</f>
        <v>#VALUE!</v>
      </c>
      <c r="T262" t="e">
        <f>Europe!D808+"$F;@!/O^"</f>
        <v>#VALUE!</v>
      </c>
      <c r="U262" t="e">
        <f>Europe!E808+"$F;@!/O_"</f>
        <v>#VALUE!</v>
      </c>
      <c r="V262" t="e">
        <f>Europe!F808+"$F;@!/O`"</f>
        <v>#VALUE!</v>
      </c>
      <c r="W262" t="e">
        <f>Europe!G808+"$F;@!/Oa"</f>
        <v>#VALUE!</v>
      </c>
      <c r="X262" t="e">
        <f>Europe!H808+"$F;@!/Ob"</f>
        <v>#VALUE!</v>
      </c>
      <c r="Y262" t="e">
        <f>Europe!A809+"$F;@!/Oc"</f>
        <v>#VALUE!</v>
      </c>
      <c r="Z262" t="e">
        <f>Europe!B809+"$F;@!/Od"</f>
        <v>#VALUE!</v>
      </c>
      <c r="AA262" t="e">
        <f>Europe!C809+"$F;@!/Oe"</f>
        <v>#VALUE!</v>
      </c>
      <c r="AB262" t="e">
        <f>Europe!D809+"$F;@!/Of"</f>
        <v>#VALUE!</v>
      </c>
      <c r="AC262" t="e">
        <f>Europe!E809+"$F;@!/Og"</f>
        <v>#VALUE!</v>
      </c>
      <c r="AD262" t="e">
        <f>Europe!F809+"$F;@!/Oh"</f>
        <v>#VALUE!</v>
      </c>
      <c r="AE262" t="e">
        <f>Europe!G809+"$F;@!/Oi"</f>
        <v>#VALUE!</v>
      </c>
      <c r="AF262" t="e">
        <f>Europe!H809+"$F;@!/Oj"</f>
        <v>#VALUE!</v>
      </c>
      <c r="AG262" t="e">
        <f>Europe!A810+"$F;@!/Ok"</f>
        <v>#VALUE!</v>
      </c>
      <c r="AH262" t="e">
        <f>Europe!B810+"$F;@!/Ol"</f>
        <v>#VALUE!</v>
      </c>
      <c r="AI262" t="e">
        <f>Europe!C810+"$F;@!/Om"</f>
        <v>#VALUE!</v>
      </c>
      <c r="AJ262" t="e">
        <f>Europe!D810+"$F;@!/On"</f>
        <v>#VALUE!</v>
      </c>
      <c r="AK262" t="e">
        <f>Europe!E810+"$F;@!/Oo"</f>
        <v>#VALUE!</v>
      </c>
      <c r="AL262" t="e">
        <f>Europe!F810+"$F;@!/Op"</f>
        <v>#VALUE!</v>
      </c>
      <c r="AM262" t="e">
        <f>Europe!G810+"$F;@!/Oq"</f>
        <v>#VALUE!</v>
      </c>
      <c r="AN262" t="e">
        <f>Europe!H810+"$F;@!/Or"</f>
        <v>#VALUE!</v>
      </c>
      <c r="AO262" t="e">
        <f>Europe!A811+"$F;@!/Os"</f>
        <v>#VALUE!</v>
      </c>
      <c r="AP262" t="e">
        <f>Europe!B811+"$F;@!/Ot"</f>
        <v>#VALUE!</v>
      </c>
      <c r="AQ262" t="e">
        <f>Europe!C811+"$F;@!/Ou"</f>
        <v>#VALUE!</v>
      </c>
      <c r="AR262" t="e">
        <f>Europe!D811+"$F;@!/Ov"</f>
        <v>#VALUE!</v>
      </c>
      <c r="AS262" t="e">
        <f>Europe!E811+"$F;@!/Ow"</f>
        <v>#VALUE!</v>
      </c>
      <c r="AT262" t="e">
        <f>Europe!F811+"$F;@!/Ox"</f>
        <v>#VALUE!</v>
      </c>
      <c r="AU262" t="e">
        <f>Europe!G811+"$F;@!/Oy"</f>
        <v>#VALUE!</v>
      </c>
      <c r="AV262" t="e">
        <f>Europe!H811+"$F;@!/Oz"</f>
        <v>#VALUE!</v>
      </c>
      <c r="AW262" t="e">
        <f>Europe!A812+"$F;@!/O{"</f>
        <v>#VALUE!</v>
      </c>
      <c r="AX262" t="e">
        <f>Europe!B812+"$F;@!/O|"</f>
        <v>#VALUE!</v>
      </c>
      <c r="AY262" t="e">
        <f>Europe!C812+"$F;@!/O}"</f>
        <v>#VALUE!</v>
      </c>
      <c r="AZ262" t="e">
        <f>Europe!D812+"$F;@!/O~"</f>
        <v>#VALUE!</v>
      </c>
      <c r="BA262" t="e">
        <f>Europe!E812+"$F;@!/P#"</f>
        <v>#VALUE!</v>
      </c>
      <c r="BB262" t="e">
        <f>Europe!F812+"$F;@!/P$"</f>
        <v>#VALUE!</v>
      </c>
      <c r="BC262" t="e">
        <f>Europe!G812+"$F;@!/P%"</f>
        <v>#VALUE!</v>
      </c>
      <c r="BD262" t="e">
        <f>Europe!H812+"$F;@!/P&amp;"</f>
        <v>#VALUE!</v>
      </c>
      <c r="BE262" t="e">
        <f>Europe!A813+"$F;@!/P'"</f>
        <v>#VALUE!</v>
      </c>
      <c r="BF262" t="e">
        <f>Europe!B813+"$F;@!/P("</f>
        <v>#VALUE!</v>
      </c>
      <c r="BG262" t="e">
        <f>Europe!C813+"$F;@!/P)"</f>
        <v>#VALUE!</v>
      </c>
      <c r="BH262" t="e">
        <f>Europe!D813+"$F;@!/P."</f>
        <v>#VALUE!</v>
      </c>
      <c r="BI262" t="e">
        <f>Europe!E813+"$F;@!/P/"</f>
        <v>#VALUE!</v>
      </c>
      <c r="BJ262" t="e">
        <f>Europe!F813+"$F;@!/P0"</f>
        <v>#VALUE!</v>
      </c>
      <c r="BK262" t="e">
        <f>Europe!G813+"$F;@!/P1"</f>
        <v>#VALUE!</v>
      </c>
      <c r="BL262" t="e">
        <f>Europe!H813+"$F;@!/P2"</f>
        <v>#VALUE!</v>
      </c>
      <c r="BM262" t="e">
        <f>Europe!A814+"$F;@!/P3"</f>
        <v>#VALUE!</v>
      </c>
      <c r="BN262" t="e">
        <f>Europe!B814+"$F;@!/P4"</f>
        <v>#VALUE!</v>
      </c>
      <c r="BO262" t="e">
        <f>Europe!C814+"$F;@!/P5"</f>
        <v>#VALUE!</v>
      </c>
      <c r="BP262" t="e">
        <f>Europe!D814+"$F;@!/P6"</f>
        <v>#VALUE!</v>
      </c>
      <c r="BQ262" t="e">
        <f>Europe!E814+"$F;@!/P7"</f>
        <v>#VALUE!</v>
      </c>
      <c r="BR262" t="e">
        <f>Europe!F814+"$F;@!/P8"</f>
        <v>#VALUE!</v>
      </c>
      <c r="BS262" t="e">
        <f>Europe!G814+"$F;@!/P9"</f>
        <v>#VALUE!</v>
      </c>
      <c r="BT262" t="e">
        <f>Europe!H814+"$F;@!/P:"</f>
        <v>#VALUE!</v>
      </c>
      <c r="BU262" t="e">
        <f>Europe!A815+"$F;@!/P;"</f>
        <v>#VALUE!</v>
      </c>
      <c r="BV262" t="e">
        <f>Europe!B815+"$F;@!/P&lt;"</f>
        <v>#VALUE!</v>
      </c>
      <c r="BW262" t="e">
        <f>Europe!C815+"$F;@!/P="</f>
        <v>#VALUE!</v>
      </c>
      <c r="BX262" t="e">
        <f>Europe!D815+"$F;@!/P&gt;"</f>
        <v>#VALUE!</v>
      </c>
      <c r="BY262" t="e">
        <f>Europe!E815+"$F;@!/P?"</f>
        <v>#VALUE!</v>
      </c>
      <c r="BZ262" t="e">
        <f>Europe!F815+"$F;@!/P@"</f>
        <v>#VALUE!</v>
      </c>
      <c r="CA262" t="e">
        <f>Europe!G815+"$F;@!/PA"</f>
        <v>#VALUE!</v>
      </c>
      <c r="CB262" t="e">
        <f>Europe!H815+"$F;@!/PB"</f>
        <v>#VALUE!</v>
      </c>
      <c r="CC262" t="e">
        <f>Europe!A816+"$F;@!/PC"</f>
        <v>#VALUE!</v>
      </c>
      <c r="CD262" t="e">
        <f>Europe!B816+"$F;@!/PD"</f>
        <v>#VALUE!</v>
      </c>
      <c r="CE262" t="e">
        <f>Europe!C816+"$F;@!/PE"</f>
        <v>#VALUE!</v>
      </c>
      <c r="CF262" t="e">
        <f>Europe!D816+"$F;@!/PF"</f>
        <v>#VALUE!</v>
      </c>
      <c r="CG262" t="e">
        <f>Europe!E816+"$F;@!/PG"</f>
        <v>#VALUE!</v>
      </c>
      <c r="CH262" t="e">
        <f>Europe!F816+"$F;@!/PH"</f>
        <v>#VALUE!</v>
      </c>
      <c r="CI262" t="e">
        <f>Europe!G816+"$F;@!/PI"</f>
        <v>#VALUE!</v>
      </c>
      <c r="CJ262" t="e">
        <f>Europe!H816+"$F;@!/PJ"</f>
        <v>#VALUE!</v>
      </c>
      <c r="CK262" t="e">
        <f>Europe!A817+"$F;@!/PK"</f>
        <v>#VALUE!</v>
      </c>
      <c r="CL262" t="e">
        <f>Europe!B817+"$F;@!/PL"</f>
        <v>#VALUE!</v>
      </c>
      <c r="CM262" t="e">
        <f>Europe!C817+"$F;@!/PM"</f>
        <v>#VALUE!</v>
      </c>
      <c r="CN262" t="e">
        <f>Europe!D817+"$F;@!/PN"</f>
        <v>#VALUE!</v>
      </c>
      <c r="CO262" t="e">
        <f>Europe!E817+"$F;@!/PO"</f>
        <v>#VALUE!</v>
      </c>
      <c r="CP262" t="e">
        <f>Europe!F817+"$F;@!/PP"</f>
        <v>#VALUE!</v>
      </c>
      <c r="CQ262" t="e">
        <f>Europe!G817+"$F;@!/PQ"</f>
        <v>#VALUE!</v>
      </c>
      <c r="CR262" t="e">
        <f>Europe!H817+"$F;@!/PR"</f>
        <v>#VALUE!</v>
      </c>
      <c r="CS262" t="e">
        <f>Europe!A818+"$F;@!/PS"</f>
        <v>#VALUE!</v>
      </c>
      <c r="CT262" t="e">
        <f>Europe!B818+"$F;@!/PT"</f>
        <v>#VALUE!</v>
      </c>
      <c r="CU262" t="e">
        <f>Europe!C818+"$F;@!/PU"</f>
        <v>#VALUE!</v>
      </c>
      <c r="CV262" t="e">
        <f>Europe!D818+"$F;@!/PV"</f>
        <v>#VALUE!</v>
      </c>
      <c r="CW262" t="e">
        <f>Europe!E818+"$F;@!/PW"</f>
        <v>#VALUE!</v>
      </c>
      <c r="CX262" t="e">
        <f>Europe!F818+"$F;@!/PX"</f>
        <v>#VALUE!</v>
      </c>
      <c r="CY262" t="e">
        <f>Europe!G818+"$F;@!/PY"</f>
        <v>#VALUE!</v>
      </c>
      <c r="CZ262" t="e">
        <f>Europe!H818+"$F;@!/PZ"</f>
        <v>#VALUE!</v>
      </c>
      <c r="DA262" t="e">
        <f>Europe!A819+"$F;@!/P["</f>
        <v>#VALUE!</v>
      </c>
      <c r="DB262" t="e">
        <f>Europe!B819+"$F;@!/P\"</f>
        <v>#VALUE!</v>
      </c>
      <c r="DC262" t="e">
        <f>Europe!C819+"$F;@!/P]"</f>
        <v>#VALUE!</v>
      </c>
      <c r="DD262" t="e">
        <f>Europe!D819+"$F;@!/P^"</f>
        <v>#VALUE!</v>
      </c>
      <c r="DE262" t="e">
        <f>Europe!E819+"$F;@!/P_"</f>
        <v>#VALUE!</v>
      </c>
      <c r="DF262" t="e">
        <f>Europe!F819+"$F;@!/P`"</f>
        <v>#VALUE!</v>
      </c>
      <c r="DG262" t="e">
        <f>Europe!G819+"$F;@!/Pa"</f>
        <v>#VALUE!</v>
      </c>
      <c r="DH262" t="e">
        <f>Europe!H819+"$F;@!/Pb"</f>
        <v>#VALUE!</v>
      </c>
      <c r="DI262" t="e">
        <f>Europe!A820+"$F;@!/Pc"</f>
        <v>#VALUE!</v>
      </c>
      <c r="DJ262" t="e">
        <f>Europe!B820+"$F;@!/Pd"</f>
        <v>#VALUE!</v>
      </c>
      <c r="DK262" t="e">
        <f>Europe!C820+"$F;@!/Pe"</f>
        <v>#VALUE!</v>
      </c>
      <c r="DL262" t="e">
        <f>Europe!D820+"$F;@!/Pf"</f>
        <v>#VALUE!</v>
      </c>
      <c r="DM262" t="e">
        <f>Europe!E820+"$F;@!/Pg"</f>
        <v>#VALUE!</v>
      </c>
      <c r="DN262" t="e">
        <f>Europe!F820+"$F;@!/Ph"</f>
        <v>#VALUE!</v>
      </c>
      <c r="DO262" t="e">
        <f>Europe!G820+"$F;@!/Pi"</f>
        <v>#VALUE!</v>
      </c>
      <c r="DP262" t="e">
        <f>Europe!H820+"$F;@!/Pj"</f>
        <v>#VALUE!</v>
      </c>
      <c r="DQ262" t="e">
        <f>Europe!A821+"$F;@!/Pk"</f>
        <v>#VALUE!</v>
      </c>
      <c r="DR262" t="e">
        <f>Europe!B821+"$F;@!/Pl"</f>
        <v>#VALUE!</v>
      </c>
      <c r="DS262" t="e">
        <f>Europe!C821+"$F;@!/Pm"</f>
        <v>#VALUE!</v>
      </c>
      <c r="DT262" t="e">
        <f>Europe!D821+"$F;@!/Pn"</f>
        <v>#VALUE!</v>
      </c>
      <c r="DU262" t="e">
        <f>Europe!E821+"$F;@!/Po"</f>
        <v>#VALUE!</v>
      </c>
      <c r="DV262" t="e">
        <f>Europe!F821+"$F;@!/Pp"</f>
        <v>#VALUE!</v>
      </c>
      <c r="DW262" t="e">
        <f>Europe!G821+"$F;@!/Pq"</f>
        <v>#VALUE!</v>
      </c>
      <c r="DX262" t="e">
        <f>Europe!H821+"$F;@!/Pr"</f>
        <v>#VALUE!</v>
      </c>
      <c r="DY262" t="e">
        <f>Europe!A822+"$F;@!/Ps"</f>
        <v>#VALUE!</v>
      </c>
      <c r="DZ262" t="e">
        <f>Europe!B822+"$F;@!/Pt"</f>
        <v>#VALUE!</v>
      </c>
      <c r="EA262" t="e">
        <f>Europe!C822+"$F;@!/Pu"</f>
        <v>#VALUE!</v>
      </c>
      <c r="EB262" t="e">
        <f>Europe!D822+"$F;@!/Pv"</f>
        <v>#VALUE!</v>
      </c>
      <c r="EC262" t="e">
        <f>Europe!E822+"$F;@!/Pw"</f>
        <v>#VALUE!</v>
      </c>
      <c r="ED262" t="e">
        <f>Europe!F822+"$F;@!/Px"</f>
        <v>#VALUE!</v>
      </c>
      <c r="EE262" t="e">
        <f>Europe!G822+"$F;@!/Py"</f>
        <v>#VALUE!</v>
      </c>
      <c r="EF262" t="e">
        <f>Europe!H822+"$F;@!/Pz"</f>
        <v>#VALUE!</v>
      </c>
      <c r="EG262" t="e">
        <f>Europe!A823+"$F;@!/P{"</f>
        <v>#VALUE!</v>
      </c>
      <c r="EH262" t="e">
        <f>Europe!B823+"$F;@!/P|"</f>
        <v>#VALUE!</v>
      </c>
      <c r="EI262" t="e">
        <f>Europe!C823+"$F;@!/P}"</f>
        <v>#VALUE!</v>
      </c>
      <c r="EJ262" t="e">
        <f>Europe!D823+"$F;@!/P~"</f>
        <v>#VALUE!</v>
      </c>
      <c r="EK262" t="e">
        <f>Europe!E823+"$F;@!/Q#"</f>
        <v>#VALUE!</v>
      </c>
      <c r="EL262" t="e">
        <f>Europe!F823+"$F;@!/Q$"</f>
        <v>#VALUE!</v>
      </c>
      <c r="EM262" t="e">
        <f>Europe!G823+"$F;@!/Q%"</f>
        <v>#VALUE!</v>
      </c>
      <c r="EN262" t="e">
        <f>Europe!H823+"$F;@!/Q&amp;"</f>
        <v>#VALUE!</v>
      </c>
      <c r="EO262" t="e">
        <f>Europe!A824+"$F;@!/Q'"</f>
        <v>#VALUE!</v>
      </c>
      <c r="EP262" t="e">
        <f>Europe!B824+"$F;@!/Q("</f>
        <v>#VALUE!</v>
      </c>
      <c r="EQ262" t="e">
        <f>Europe!C824+"$F;@!/Q)"</f>
        <v>#VALUE!</v>
      </c>
      <c r="ER262" t="e">
        <f>Europe!D824+"$F;@!/Q."</f>
        <v>#VALUE!</v>
      </c>
      <c r="ES262" t="e">
        <f>Europe!E824+"$F;@!/Q/"</f>
        <v>#VALUE!</v>
      </c>
      <c r="ET262" t="e">
        <f>Europe!F824+"$F;@!/Q0"</f>
        <v>#VALUE!</v>
      </c>
      <c r="EU262" t="e">
        <f>Europe!G824+"$F;@!/Q1"</f>
        <v>#VALUE!</v>
      </c>
      <c r="EV262" t="e">
        <f>Europe!H824+"$F;@!/Q2"</f>
        <v>#VALUE!</v>
      </c>
      <c r="EW262" t="e">
        <f>Europe!A825+"$F;@!/Q3"</f>
        <v>#VALUE!</v>
      </c>
      <c r="EX262" t="e">
        <f>Europe!B825+"$F;@!/Q4"</f>
        <v>#VALUE!</v>
      </c>
      <c r="EY262" t="e">
        <f>Europe!C825+"$F;@!/Q5"</f>
        <v>#VALUE!</v>
      </c>
      <c r="EZ262" t="e">
        <f>Europe!D825+"$F;@!/Q6"</f>
        <v>#VALUE!</v>
      </c>
      <c r="FA262" t="e">
        <f>Europe!E825+"$F;@!/Q7"</f>
        <v>#VALUE!</v>
      </c>
      <c r="FB262" t="e">
        <f>Europe!F825+"$F;@!/Q8"</f>
        <v>#VALUE!</v>
      </c>
      <c r="FC262" t="e">
        <f>Europe!G825+"$F;@!/Q9"</f>
        <v>#VALUE!</v>
      </c>
      <c r="FD262" t="e">
        <f>Europe!H825+"$F;@!/Q:"</f>
        <v>#VALUE!</v>
      </c>
      <c r="FE262" t="e">
        <f>Europe!A826+"$F;@!/Q;"</f>
        <v>#VALUE!</v>
      </c>
      <c r="FF262" t="e">
        <f>Europe!B826+"$F;@!/Q&lt;"</f>
        <v>#VALUE!</v>
      </c>
      <c r="FG262" t="e">
        <f>Europe!C826+"$F;@!/Q="</f>
        <v>#VALUE!</v>
      </c>
      <c r="FH262" t="e">
        <f>Europe!D826+"$F;@!/Q&gt;"</f>
        <v>#VALUE!</v>
      </c>
      <c r="FI262" t="e">
        <f>Europe!E826+"$F;@!/Q?"</f>
        <v>#VALUE!</v>
      </c>
      <c r="FJ262" t="e">
        <f>Europe!F826+"$F;@!/Q@"</f>
        <v>#VALUE!</v>
      </c>
      <c r="FK262" t="e">
        <f>Europe!G826+"$F;@!/QA"</f>
        <v>#VALUE!</v>
      </c>
      <c r="FL262" t="e">
        <f>Europe!H826+"$F;@!/QB"</f>
        <v>#VALUE!</v>
      </c>
      <c r="FM262" t="e">
        <f>Europe!A827+"$F;@!/QC"</f>
        <v>#VALUE!</v>
      </c>
      <c r="FN262" t="e">
        <f>Europe!B827+"$F;@!/QD"</f>
        <v>#VALUE!</v>
      </c>
      <c r="FO262" t="e">
        <f>Europe!C827+"$F;@!/QE"</f>
        <v>#VALUE!</v>
      </c>
      <c r="FP262" t="e">
        <f>Europe!D827+"$F;@!/QF"</f>
        <v>#VALUE!</v>
      </c>
      <c r="FQ262" t="e">
        <f>Europe!E827+"$F;@!/QG"</f>
        <v>#VALUE!</v>
      </c>
      <c r="FR262" t="e">
        <f>Europe!F827+"$F;@!/QH"</f>
        <v>#VALUE!</v>
      </c>
      <c r="FS262" t="e">
        <f>Europe!G827+"$F;@!/QI"</f>
        <v>#VALUE!</v>
      </c>
      <c r="FT262" t="e">
        <f>Europe!H827+"$F;@!/QJ"</f>
        <v>#VALUE!</v>
      </c>
      <c r="FU262" t="e">
        <f>Europe!A828+"$F;@!/QK"</f>
        <v>#VALUE!</v>
      </c>
      <c r="FV262" t="e">
        <f>Europe!B828+"$F;@!/QL"</f>
        <v>#VALUE!</v>
      </c>
      <c r="FW262" t="e">
        <f>Europe!C828+"$F;@!/QM"</f>
        <v>#VALUE!</v>
      </c>
      <c r="FX262" t="e">
        <f>Europe!D828+"$F;@!/QN"</f>
        <v>#VALUE!</v>
      </c>
      <c r="FY262" t="e">
        <f>Europe!E828+"$F;@!/QO"</f>
        <v>#VALUE!</v>
      </c>
      <c r="FZ262" t="e">
        <f>Europe!F828+"$F;@!/QP"</f>
        <v>#VALUE!</v>
      </c>
      <c r="GA262" t="e">
        <f>Europe!G828+"$F;@!/QQ"</f>
        <v>#VALUE!</v>
      </c>
      <c r="GB262" t="e">
        <f>Europe!H828+"$F;@!/QR"</f>
        <v>#VALUE!</v>
      </c>
      <c r="GC262" t="e">
        <f>Europe!A829+"$F;@!/QS"</f>
        <v>#VALUE!</v>
      </c>
      <c r="GD262" t="e">
        <f>Europe!B829+"$F;@!/QT"</f>
        <v>#VALUE!</v>
      </c>
      <c r="GE262" t="e">
        <f>Europe!C829+"$F;@!/QU"</f>
        <v>#VALUE!</v>
      </c>
      <c r="GF262" t="e">
        <f>Europe!D829+"$F;@!/QV"</f>
        <v>#VALUE!</v>
      </c>
      <c r="GG262" t="e">
        <f>Europe!E829+"$F;@!/QW"</f>
        <v>#VALUE!</v>
      </c>
      <c r="GH262" t="e">
        <f>Europe!F829+"$F;@!/QX"</f>
        <v>#VALUE!</v>
      </c>
      <c r="GI262" t="e">
        <f>Europe!G829+"$F;@!/QY"</f>
        <v>#VALUE!</v>
      </c>
      <c r="GJ262" t="e">
        <f>Europe!H829+"$F;@!/QZ"</f>
        <v>#VALUE!</v>
      </c>
      <c r="GK262" t="e">
        <f>Europe!A830+"$F;@!/Q["</f>
        <v>#VALUE!</v>
      </c>
      <c r="GL262" t="e">
        <f>Europe!B830+"$F;@!/Q\"</f>
        <v>#VALUE!</v>
      </c>
      <c r="GM262" t="e">
        <f>Europe!C830+"$F;@!/Q]"</f>
        <v>#VALUE!</v>
      </c>
      <c r="GN262" t="e">
        <f>Europe!D830+"$F;@!/Q^"</f>
        <v>#VALUE!</v>
      </c>
      <c r="GO262" t="e">
        <f>Europe!E830+"$F;@!/Q_"</f>
        <v>#VALUE!</v>
      </c>
      <c r="GP262" t="e">
        <f>Europe!F830+"$F;@!/Q`"</f>
        <v>#VALUE!</v>
      </c>
      <c r="GQ262" t="e">
        <f>Europe!G830+"$F;@!/Qa"</f>
        <v>#VALUE!</v>
      </c>
      <c r="GR262" t="e">
        <f>Europe!H830+"$F;@!/Qb"</f>
        <v>#VALUE!</v>
      </c>
      <c r="GS262" t="e">
        <f>Europe!A831+"$F;@!/Qc"</f>
        <v>#VALUE!</v>
      </c>
      <c r="GT262" t="e">
        <f>Europe!B831+"$F;@!/Qd"</f>
        <v>#VALUE!</v>
      </c>
      <c r="GU262" t="e">
        <f>Europe!C831+"$F;@!/Qe"</f>
        <v>#VALUE!</v>
      </c>
      <c r="GV262" t="e">
        <f>Europe!D831+"$F;@!/Qf"</f>
        <v>#VALUE!</v>
      </c>
      <c r="GW262" t="e">
        <f>Europe!E831+"$F;@!/Qg"</f>
        <v>#VALUE!</v>
      </c>
      <c r="GX262" t="e">
        <f>Europe!F831+"$F;@!/Qh"</f>
        <v>#VALUE!</v>
      </c>
      <c r="GY262" t="e">
        <f>Europe!G831+"$F;@!/Qi"</f>
        <v>#VALUE!</v>
      </c>
      <c r="GZ262" t="e">
        <f>Europe!H831+"$F;@!/Qj"</f>
        <v>#VALUE!</v>
      </c>
      <c r="HA262" t="e">
        <f>Europe!A832+"$F;@!/Qk"</f>
        <v>#VALUE!</v>
      </c>
      <c r="HB262" t="e">
        <f>Europe!B832+"$F;@!/Ql"</f>
        <v>#VALUE!</v>
      </c>
      <c r="HC262" t="e">
        <f>Europe!C832+"$F;@!/Qm"</f>
        <v>#VALUE!</v>
      </c>
      <c r="HD262" t="e">
        <f>Europe!D832+"$F;@!/Qn"</f>
        <v>#VALUE!</v>
      </c>
      <c r="HE262" t="e">
        <f>Europe!E832+"$F;@!/Qo"</f>
        <v>#VALUE!</v>
      </c>
      <c r="HF262" t="e">
        <f>Europe!F832+"$F;@!/Qp"</f>
        <v>#VALUE!</v>
      </c>
      <c r="HG262" t="e">
        <f>Europe!G832+"$F;@!/Qq"</f>
        <v>#VALUE!</v>
      </c>
      <c r="HH262" t="e">
        <f>Europe!H832+"$F;@!/Qr"</f>
        <v>#VALUE!</v>
      </c>
      <c r="HI262" t="e">
        <f>Europe!A833+"$F;@!/Qs"</f>
        <v>#VALUE!</v>
      </c>
      <c r="HJ262" t="e">
        <f>Europe!B833+"$F;@!/Qt"</f>
        <v>#VALUE!</v>
      </c>
      <c r="HK262" t="e">
        <f>Europe!C833+"$F;@!/Qu"</f>
        <v>#VALUE!</v>
      </c>
      <c r="HL262" t="e">
        <f>Europe!D833+"$F;@!/Qv"</f>
        <v>#VALUE!</v>
      </c>
      <c r="HM262" t="e">
        <f>Europe!E833+"$F;@!/Qw"</f>
        <v>#VALUE!</v>
      </c>
      <c r="HN262" t="e">
        <f>Europe!F833+"$F;@!/Qx"</f>
        <v>#VALUE!</v>
      </c>
      <c r="HO262" t="e">
        <f>Europe!G833+"$F;@!/Qy"</f>
        <v>#VALUE!</v>
      </c>
      <c r="HP262" t="e">
        <f>Europe!H833+"$F;@!/Qz"</f>
        <v>#VALUE!</v>
      </c>
      <c r="HQ262" t="e">
        <f>Europe!A834+"$F;@!/Q{"</f>
        <v>#VALUE!</v>
      </c>
      <c r="HR262" t="e">
        <f>Europe!B834+"$F;@!/Q|"</f>
        <v>#VALUE!</v>
      </c>
      <c r="HS262" t="e">
        <f>Europe!C834+"$F;@!/Q}"</f>
        <v>#VALUE!</v>
      </c>
      <c r="HT262" t="e">
        <f>Europe!D834+"$F;@!/Q~"</f>
        <v>#VALUE!</v>
      </c>
      <c r="HU262" t="e">
        <f>Europe!E834+"$F;@!/R#"</f>
        <v>#VALUE!</v>
      </c>
      <c r="HV262" t="e">
        <f>Europe!F834+"$F;@!/R$"</f>
        <v>#VALUE!</v>
      </c>
      <c r="HW262" t="e">
        <f>Europe!G834+"$F;@!/R%"</f>
        <v>#VALUE!</v>
      </c>
      <c r="HX262" t="e">
        <f>Europe!H834+"$F;@!/R&amp;"</f>
        <v>#VALUE!</v>
      </c>
      <c r="HY262" t="e">
        <f>Europe!A835+"$F;@!/R'"</f>
        <v>#VALUE!</v>
      </c>
      <c r="HZ262" t="e">
        <f>Europe!B835+"$F;@!/R("</f>
        <v>#VALUE!</v>
      </c>
      <c r="IA262" t="e">
        <f>Europe!C835+"$F;@!/R)"</f>
        <v>#VALUE!</v>
      </c>
      <c r="IB262" t="e">
        <f>Europe!D835+"$F;@!/R."</f>
        <v>#VALUE!</v>
      </c>
      <c r="IC262" t="e">
        <f>Europe!E835+"$F;@!/R/"</f>
        <v>#VALUE!</v>
      </c>
      <c r="ID262" t="e">
        <f>Europe!F835+"$F;@!/R0"</f>
        <v>#VALUE!</v>
      </c>
      <c r="IE262" t="e">
        <f>Europe!G835+"$F;@!/R1"</f>
        <v>#VALUE!</v>
      </c>
      <c r="IF262" t="e">
        <f>Europe!H835+"$F;@!/R2"</f>
        <v>#VALUE!</v>
      </c>
      <c r="IG262" t="e">
        <f>Europe!A836+"$F;@!/R3"</f>
        <v>#VALUE!</v>
      </c>
      <c r="IH262" t="e">
        <f>Europe!B836+"$F;@!/R4"</f>
        <v>#VALUE!</v>
      </c>
      <c r="II262" t="e">
        <f>Europe!C836+"$F;@!/R5"</f>
        <v>#VALUE!</v>
      </c>
      <c r="IJ262" t="e">
        <f>Europe!D836+"$F;@!/R6"</f>
        <v>#VALUE!</v>
      </c>
      <c r="IK262" t="e">
        <f>Europe!E836+"$F;@!/R7"</f>
        <v>#VALUE!</v>
      </c>
      <c r="IL262" t="e">
        <f>Europe!F836+"$F;@!/R8"</f>
        <v>#VALUE!</v>
      </c>
      <c r="IM262" t="e">
        <f>Europe!G836+"$F;@!/R9"</f>
        <v>#VALUE!</v>
      </c>
      <c r="IN262" t="e">
        <f>Europe!H836+"$F;@!/R:"</f>
        <v>#VALUE!</v>
      </c>
      <c r="IO262" t="e">
        <f>Europe!A837+"$F;@!/R;"</f>
        <v>#VALUE!</v>
      </c>
      <c r="IP262" t="e">
        <f>Europe!B837+"$F;@!/R&lt;"</f>
        <v>#VALUE!</v>
      </c>
      <c r="IQ262" t="e">
        <f>Europe!C837+"$F;@!/R="</f>
        <v>#VALUE!</v>
      </c>
      <c r="IR262" t="e">
        <f>Europe!D837+"$F;@!/R&gt;"</f>
        <v>#VALUE!</v>
      </c>
      <c r="IS262" t="e">
        <f>Europe!E837+"$F;@!/R?"</f>
        <v>#VALUE!</v>
      </c>
      <c r="IT262" t="e">
        <f>Europe!F837+"$F;@!/R@"</f>
        <v>#VALUE!</v>
      </c>
      <c r="IU262" t="e">
        <f>Europe!G837+"$F;@!/RA"</f>
        <v>#VALUE!</v>
      </c>
      <c r="IV262" t="e">
        <f>Europe!H837+"$F;@!/RB"</f>
        <v>#VALUE!</v>
      </c>
    </row>
    <row r="263" spans="6:256" x14ac:dyDescent="0.35">
      <c r="F263" t="e">
        <f>Europe!A838+"$F;@!/RC"</f>
        <v>#VALUE!</v>
      </c>
      <c r="G263" t="e">
        <f>Europe!B838+"$F;@!/RD"</f>
        <v>#VALUE!</v>
      </c>
      <c r="H263" t="e">
        <f>Europe!C838+"$F;@!/RE"</f>
        <v>#VALUE!</v>
      </c>
      <c r="I263" t="e">
        <f>Europe!D838+"$F;@!/RF"</f>
        <v>#VALUE!</v>
      </c>
      <c r="J263" t="e">
        <f>Europe!E838+"$F;@!/RG"</f>
        <v>#VALUE!</v>
      </c>
      <c r="K263" t="e">
        <f>Europe!F838+"$F;@!/RH"</f>
        <v>#VALUE!</v>
      </c>
      <c r="L263" t="e">
        <f>Europe!G838+"$F;@!/RI"</f>
        <v>#VALUE!</v>
      </c>
      <c r="M263" t="e">
        <f>Europe!H838+"$F;@!/RJ"</f>
        <v>#VALUE!</v>
      </c>
      <c r="N263" t="e">
        <f>Europe!A839+"$F;@!/RK"</f>
        <v>#VALUE!</v>
      </c>
      <c r="O263" t="e">
        <f>Europe!B839+"$F;@!/RL"</f>
        <v>#VALUE!</v>
      </c>
      <c r="P263" t="e">
        <f>Europe!C839+"$F;@!/RM"</f>
        <v>#VALUE!</v>
      </c>
      <c r="Q263" t="e">
        <f>Europe!D839+"$F;@!/RN"</f>
        <v>#VALUE!</v>
      </c>
      <c r="R263" t="e">
        <f>Europe!E839+"$F;@!/RO"</f>
        <v>#VALUE!</v>
      </c>
      <c r="S263" t="e">
        <f>Europe!F839+"$F;@!/RP"</f>
        <v>#VALUE!</v>
      </c>
      <c r="T263" t="e">
        <f>Europe!G839+"$F;@!/RQ"</f>
        <v>#VALUE!</v>
      </c>
      <c r="U263" t="e">
        <f>Europe!H839+"$F;@!/RR"</f>
        <v>#VALUE!</v>
      </c>
      <c r="V263" t="e">
        <f>Europe!A840+"$F;@!/RS"</f>
        <v>#VALUE!</v>
      </c>
      <c r="W263" t="e">
        <f>Europe!B840+"$F;@!/RT"</f>
        <v>#VALUE!</v>
      </c>
      <c r="X263" t="e">
        <f>Europe!C840+"$F;@!/RU"</f>
        <v>#VALUE!</v>
      </c>
      <c r="Y263" t="e">
        <f>Europe!D840+"$F;@!/RV"</f>
        <v>#VALUE!</v>
      </c>
      <c r="Z263" t="e">
        <f>Europe!E840+"$F;@!/RW"</f>
        <v>#VALUE!</v>
      </c>
      <c r="AA263" t="e">
        <f>Europe!F840+"$F;@!/RX"</f>
        <v>#VALUE!</v>
      </c>
      <c r="AB263" t="e">
        <f>Europe!G840+"$F;@!/RY"</f>
        <v>#VALUE!</v>
      </c>
      <c r="AC263" t="e">
        <f>Europe!H840+"$F;@!/RZ"</f>
        <v>#VALUE!</v>
      </c>
      <c r="AD263" t="e">
        <f>Europe!A841+"$F;@!/R["</f>
        <v>#VALUE!</v>
      </c>
      <c r="AE263" t="e">
        <f>Europe!B841+"$F;@!/R\"</f>
        <v>#VALUE!</v>
      </c>
      <c r="AF263" t="e">
        <f>Europe!C841+"$F;@!/R]"</f>
        <v>#VALUE!</v>
      </c>
      <c r="AG263" t="e">
        <f>Europe!D841+"$F;@!/R^"</f>
        <v>#VALUE!</v>
      </c>
      <c r="AH263" t="e">
        <f>Europe!E841+"$F;@!/R_"</f>
        <v>#VALUE!</v>
      </c>
      <c r="AI263" t="e">
        <f>Europe!F841+"$F;@!/R`"</f>
        <v>#VALUE!</v>
      </c>
      <c r="AJ263" t="e">
        <f>Europe!G841+"$F;@!/Ra"</f>
        <v>#VALUE!</v>
      </c>
      <c r="AK263" t="e">
        <f>Europe!H841+"$F;@!/Rb"</f>
        <v>#VALUE!</v>
      </c>
      <c r="AL263" t="e">
        <f>Europe!A842+"$F;@!/Rc"</f>
        <v>#VALUE!</v>
      </c>
      <c r="AM263" t="e">
        <f>Europe!B842+"$F;@!/Rd"</f>
        <v>#VALUE!</v>
      </c>
      <c r="AN263" t="e">
        <f>Europe!C842+"$F;@!/Re"</f>
        <v>#VALUE!</v>
      </c>
      <c r="AO263" t="e">
        <f>Europe!D842+"$F;@!/Rf"</f>
        <v>#VALUE!</v>
      </c>
      <c r="AP263" t="e">
        <f>Europe!E842+"$F;@!/Rg"</f>
        <v>#VALUE!</v>
      </c>
      <c r="AQ263" t="e">
        <f>Europe!F842+"$F;@!/Rh"</f>
        <v>#VALUE!</v>
      </c>
      <c r="AR263" t="e">
        <f>Europe!G842+"$F;@!/Ri"</f>
        <v>#VALUE!</v>
      </c>
      <c r="AS263" t="e">
        <f>Europe!H842+"$F;@!/Rj"</f>
        <v>#VALUE!</v>
      </c>
      <c r="AT263" t="e">
        <f>Europe!A843+"$F;@!/Rk"</f>
        <v>#VALUE!</v>
      </c>
      <c r="AU263" t="e">
        <f>Europe!B843+"$F;@!/Rl"</f>
        <v>#VALUE!</v>
      </c>
      <c r="AV263" t="e">
        <f>Europe!C843+"$F;@!/Rm"</f>
        <v>#VALUE!</v>
      </c>
      <c r="AW263" t="e">
        <f>Europe!D843+"$F;@!/Rn"</f>
        <v>#VALUE!</v>
      </c>
      <c r="AX263" t="e">
        <f>Europe!E843+"$F;@!/Ro"</f>
        <v>#VALUE!</v>
      </c>
      <c r="AY263" t="e">
        <f>Europe!F843+"$F;@!/Rp"</f>
        <v>#VALUE!</v>
      </c>
      <c r="AZ263" t="e">
        <f>Europe!G843+"$F;@!/Rq"</f>
        <v>#VALUE!</v>
      </c>
      <c r="BA263" t="e">
        <f>Europe!H843+"$F;@!/Rr"</f>
        <v>#VALUE!</v>
      </c>
      <c r="BB263" t="e">
        <f>Europe!A844+"$F;@!/Rs"</f>
        <v>#VALUE!</v>
      </c>
      <c r="BC263" t="e">
        <f>Europe!B844+"$F;@!/Rt"</f>
        <v>#VALUE!</v>
      </c>
      <c r="BD263" t="e">
        <f>Europe!C844+"$F;@!/Ru"</f>
        <v>#VALUE!</v>
      </c>
      <c r="BE263" t="e">
        <f>Europe!D844+"$F;@!/Rv"</f>
        <v>#VALUE!</v>
      </c>
      <c r="BF263" t="e">
        <f>Europe!E844+"$F;@!/Rw"</f>
        <v>#VALUE!</v>
      </c>
      <c r="BG263" t="e">
        <f>Europe!F844+"$F;@!/Rx"</f>
        <v>#VALUE!</v>
      </c>
      <c r="BH263" t="e">
        <f>Europe!G844+"$F;@!/Ry"</f>
        <v>#VALUE!</v>
      </c>
      <c r="BI263" t="e">
        <f>Europe!H844+"$F;@!/Rz"</f>
        <v>#VALUE!</v>
      </c>
      <c r="BJ263" t="e">
        <f>Europe!A845+"$F;@!/R{"</f>
        <v>#VALUE!</v>
      </c>
      <c r="BK263" t="e">
        <f>Europe!B845+"$F;@!/R|"</f>
        <v>#VALUE!</v>
      </c>
      <c r="BL263" t="e">
        <f>Europe!C845+"$F;@!/R}"</f>
        <v>#VALUE!</v>
      </c>
      <c r="BM263" t="e">
        <f>Europe!D845+"$F;@!/R~"</f>
        <v>#VALUE!</v>
      </c>
      <c r="BN263" t="e">
        <f>Europe!E845+"$F;@!/S#"</f>
        <v>#VALUE!</v>
      </c>
      <c r="BO263" t="e">
        <f>Europe!F845+"$F;@!/S$"</f>
        <v>#VALUE!</v>
      </c>
      <c r="BP263" t="e">
        <f>Europe!G845+"$F;@!/S%"</f>
        <v>#VALUE!</v>
      </c>
      <c r="BQ263" t="e">
        <f>Europe!H845+"$F;@!/S&amp;"</f>
        <v>#VALUE!</v>
      </c>
      <c r="BR263" t="e">
        <f>Europe!A846+"$F;@!/S'"</f>
        <v>#VALUE!</v>
      </c>
      <c r="BS263" t="e">
        <f>Europe!B846+"$F;@!/S("</f>
        <v>#VALUE!</v>
      </c>
      <c r="BT263" t="e">
        <f>Europe!C846+"$F;@!/S)"</f>
        <v>#VALUE!</v>
      </c>
      <c r="BU263" t="e">
        <f>Europe!D846+"$F;@!/S."</f>
        <v>#VALUE!</v>
      </c>
      <c r="BV263" t="e">
        <f>Europe!E846+"$F;@!/S/"</f>
        <v>#VALUE!</v>
      </c>
      <c r="BW263" t="e">
        <f>Europe!F846+"$F;@!/S0"</f>
        <v>#VALUE!</v>
      </c>
      <c r="BX263" t="e">
        <f>Europe!G846+"$F;@!/S1"</f>
        <v>#VALUE!</v>
      </c>
      <c r="BY263" t="e">
        <f>Europe!H846+"$F;@!/S2"</f>
        <v>#VALUE!</v>
      </c>
      <c r="BZ263" t="e">
        <f>Europe!A847+"$F;@!/S3"</f>
        <v>#VALUE!</v>
      </c>
      <c r="CA263" t="e">
        <f>Europe!B847+"$F;@!/S4"</f>
        <v>#VALUE!</v>
      </c>
      <c r="CB263" t="e">
        <f>Europe!C847+"$F;@!/S5"</f>
        <v>#VALUE!</v>
      </c>
      <c r="CC263" t="e">
        <f>Europe!D847+"$F;@!/S6"</f>
        <v>#VALUE!</v>
      </c>
      <c r="CD263" t="e">
        <f>Europe!E847+"$F;@!/S7"</f>
        <v>#VALUE!</v>
      </c>
      <c r="CE263" t="e">
        <f>Europe!F847+"$F;@!/S8"</f>
        <v>#VALUE!</v>
      </c>
      <c r="CF263" t="e">
        <f>Europe!G847+"$F;@!/S9"</f>
        <v>#VALUE!</v>
      </c>
      <c r="CG263" t="e">
        <f>Europe!H847+"$F;@!/S:"</f>
        <v>#VALUE!</v>
      </c>
      <c r="CH263" t="e">
        <f>Europe!A848+"$F;@!/S;"</f>
        <v>#VALUE!</v>
      </c>
      <c r="CI263" t="e">
        <f>Europe!B848+"$F;@!/S&lt;"</f>
        <v>#VALUE!</v>
      </c>
      <c r="CJ263" t="e">
        <f>Europe!C848+"$F;@!/S="</f>
        <v>#VALUE!</v>
      </c>
      <c r="CK263" t="e">
        <f>Europe!D848+"$F;@!/S&gt;"</f>
        <v>#VALUE!</v>
      </c>
      <c r="CL263" t="e">
        <f>Europe!E848+"$F;@!/S?"</f>
        <v>#VALUE!</v>
      </c>
      <c r="CM263" t="e">
        <f>Europe!F848+"$F;@!/S@"</f>
        <v>#VALUE!</v>
      </c>
      <c r="CN263" t="e">
        <f>Europe!G848+"$F;@!/SA"</f>
        <v>#VALUE!</v>
      </c>
      <c r="CO263" t="e">
        <f>Europe!H848+"$F;@!/SB"</f>
        <v>#VALUE!</v>
      </c>
      <c r="CP263" t="e">
        <f>Europe!A849+"$F;@!/SC"</f>
        <v>#VALUE!</v>
      </c>
      <c r="CQ263" t="e">
        <f>Europe!B849+"$F;@!/SD"</f>
        <v>#VALUE!</v>
      </c>
      <c r="CR263" t="e">
        <f>Europe!C849+"$F;@!/SE"</f>
        <v>#VALUE!</v>
      </c>
      <c r="CS263" t="e">
        <f>Europe!D849+"$F;@!/SF"</f>
        <v>#VALUE!</v>
      </c>
      <c r="CT263" t="e">
        <f>Europe!E849+"$F;@!/SG"</f>
        <v>#VALUE!</v>
      </c>
      <c r="CU263" t="e">
        <f>Europe!F849+"$F;@!/SH"</f>
        <v>#VALUE!</v>
      </c>
      <c r="CV263" t="e">
        <f>Europe!G849+"$F;@!/SI"</f>
        <v>#VALUE!</v>
      </c>
      <c r="CW263" t="e">
        <f>Europe!H849+"$F;@!/SJ"</f>
        <v>#VALUE!</v>
      </c>
      <c r="CX263" t="e">
        <f>Europe!A850+"$F;@!/SK"</f>
        <v>#VALUE!</v>
      </c>
      <c r="CY263" t="e">
        <f>Europe!B850+"$F;@!/SL"</f>
        <v>#VALUE!</v>
      </c>
      <c r="CZ263" t="e">
        <f>Europe!C850+"$F;@!/SM"</f>
        <v>#VALUE!</v>
      </c>
      <c r="DA263" t="e">
        <f>Europe!D850+"$F;@!/SN"</f>
        <v>#VALUE!</v>
      </c>
      <c r="DB263" t="e">
        <f>Europe!E850+"$F;@!/SO"</f>
        <v>#VALUE!</v>
      </c>
      <c r="DC263" t="e">
        <f>Europe!F850+"$F;@!/SP"</f>
        <v>#VALUE!</v>
      </c>
      <c r="DD263" t="e">
        <f>Europe!G850+"$F;@!/SQ"</f>
        <v>#VALUE!</v>
      </c>
      <c r="DE263" t="e">
        <f>Europe!H850+"$F;@!/SR"</f>
        <v>#VALUE!</v>
      </c>
      <c r="DF263" t="e">
        <f>Europe!A851+"$F;@!/SS"</f>
        <v>#VALUE!</v>
      </c>
      <c r="DG263" t="e">
        <f>Europe!B851+"$F;@!/ST"</f>
        <v>#VALUE!</v>
      </c>
      <c r="DH263" t="e">
        <f>Europe!C851+"$F;@!/SU"</f>
        <v>#VALUE!</v>
      </c>
      <c r="DI263" t="e">
        <f>Europe!D851+"$F;@!/SV"</f>
        <v>#VALUE!</v>
      </c>
      <c r="DJ263" t="e">
        <f>Europe!E851+"$F;@!/SW"</f>
        <v>#VALUE!</v>
      </c>
      <c r="DK263" t="e">
        <f>Europe!F851+"$F;@!/SX"</f>
        <v>#VALUE!</v>
      </c>
      <c r="DL263" t="e">
        <f>Europe!G851+"$F;@!/SY"</f>
        <v>#VALUE!</v>
      </c>
      <c r="DM263" t="e">
        <f>Europe!H851+"$F;@!/SZ"</f>
        <v>#VALUE!</v>
      </c>
      <c r="DN263" t="e">
        <f>Europe!A852+"$F;@!/S["</f>
        <v>#VALUE!</v>
      </c>
      <c r="DO263" t="e">
        <f>Europe!B852+"$F;@!/S\"</f>
        <v>#VALUE!</v>
      </c>
      <c r="DP263" t="e">
        <f>Europe!C852+"$F;@!/S]"</f>
        <v>#VALUE!</v>
      </c>
      <c r="DQ263" t="e">
        <f>Europe!D852+"$F;@!/S^"</f>
        <v>#VALUE!</v>
      </c>
      <c r="DR263" t="e">
        <f>Europe!E852+"$F;@!/S_"</f>
        <v>#VALUE!</v>
      </c>
      <c r="DS263" t="e">
        <f>Europe!F852+"$F;@!/S`"</f>
        <v>#VALUE!</v>
      </c>
      <c r="DT263" t="e">
        <f>Europe!G852+"$F;@!/Sa"</f>
        <v>#VALUE!</v>
      </c>
      <c r="DU263" t="e">
        <f>Europe!H852+"$F;@!/Sb"</f>
        <v>#VALUE!</v>
      </c>
      <c r="DV263" t="e">
        <f>Europe!A853+"$F;@!/Sc"</f>
        <v>#VALUE!</v>
      </c>
      <c r="DW263" t="e">
        <f>Europe!B853+"$F;@!/Sd"</f>
        <v>#VALUE!</v>
      </c>
      <c r="DX263" t="e">
        <f>Europe!C853+"$F;@!/Se"</f>
        <v>#VALUE!</v>
      </c>
      <c r="DY263" t="e">
        <f>Europe!D853+"$F;@!/Sf"</f>
        <v>#VALUE!</v>
      </c>
      <c r="DZ263" t="e">
        <f>Europe!E853+"$F;@!/Sg"</f>
        <v>#VALUE!</v>
      </c>
      <c r="EA263" t="e">
        <f>Europe!F853+"$F;@!/Sh"</f>
        <v>#VALUE!</v>
      </c>
      <c r="EB263" t="e">
        <f>Europe!G853+"$F;@!/Si"</f>
        <v>#VALUE!</v>
      </c>
      <c r="EC263" t="e">
        <f>Europe!H853+"$F;@!/Sj"</f>
        <v>#VALUE!</v>
      </c>
      <c r="ED263" t="e">
        <f>Europe!A854+"$F;@!/Sk"</f>
        <v>#VALUE!</v>
      </c>
      <c r="EE263" t="e">
        <f>Europe!B854+"$F;@!/Sl"</f>
        <v>#VALUE!</v>
      </c>
      <c r="EF263" t="e">
        <f>Europe!C854+"$F;@!/Sm"</f>
        <v>#VALUE!</v>
      </c>
      <c r="EG263" t="e">
        <f>Europe!D854+"$F;@!/Sn"</f>
        <v>#VALUE!</v>
      </c>
      <c r="EH263" t="e">
        <f>Europe!E854+"$F;@!/So"</f>
        <v>#VALUE!</v>
      </c>
      <c r="EI263" t="e">
        <f>Europe!F854+"$F;@!/Sp"</f>
        <v>#VALUE!</v>
      </c>
      <c r="EJ263" t="e">
        <f>Europe!G854+"$F;@!/Sq"</f>
        <v>#VALUE!</v>
      </c>
      <c r="EK263" t="e">
        <f>Europe!H854+"$F;@!/Sr"</f>
        <v>#VALUE!</v>
      </c>
      <c r="EL263" t="e">
        <f>Europe!A855+"$F;@!/Ss"</f>
        <v>#VALUE!</v>
      </c>
      <c r="EM263" t="e">
        <f>Europe!B855+"$F;@!/St"</f>
        <v>#VALUE!</v>
      </c>
      <c r="EN263" t="e">
        <f>Europe!C855+"$F;@!/Su"</f>
        <v>#VALUE!</v>
      </c>
      <c r="EO263" t="e">
        <f>Europe!D855+"$F;@!/Sv"</f>
        <v>#VALUE!</v>
      </c>
      <c r="EP263" t="e">
        <f>Europe!E855+"$F;@!/Sw"</f>
        <v>#VALUE!</v>
      </c>
      <c r="EQ263" t="e">
        <f>Europe!F855+"$F;@!/Sx"</f>
        <v>#VALUE!</v>
      </c>
      <c r="ER263" t="e">
        <f>Europe!G855+"$F;@!/Sy"</f>
        <v>#VALUE!</v>
      </c>
      <c r="ES263" t="e">
        <f>Europe!H855+"$F;@!/Sz"</f>
        <v>#VALUE!</v>
      </c>
      <c r="ET263" t="e">
        <f>Europe!A856+"$F;@!/S{"</f>
        <v>#VALUE!</v>
      </c>
      <c r="EU263" t="e">
        <f>Europe!B856+"$F;@!/S|"</f>
        <v>#VALUE!</v>
      </c>
      <c r="EV263" t="e">
        <f>Europe!C856+"$F;@!/S}"</f>
        <v>#VALUE!</v>
      </c>
      <c r="EW263" t="e">
        <f>Europe!D856+"$F;@!/S~"</f>
        <v>#VALUE!</v>
      </c>
      <c r="EX263" t="e">
        <f>Europe!E856+"$F;@!/T#"</f>
        <v>#VALUE!</v>
      </c>
      <c r="EY263" t="e">
        <f>Europe!F856+"$F;@!/T$"</f>
        <v>#VALUE!</v>
      </c>
      <c r="EZ263" t="e">
        <f>Europe!G856+"$F;@!/T%"</f>
        <v>#VALUE!</v>
      </c>
      <c r="FA263" t="e">
        <f>Europe!H856+"$F;@!/T&amp;"</f>
        <v>#VALUE!</v>
      </c>
      <c r="FB263" t="e">
        <f>Europe!A857+"$F;@!/T'"</f>
        <v>#VALUE!</v>
      </c>
      <c r="FC263" t="e">
        <f>Europe!B857+"$F;@!/T("</f>
        <v>#VALUE!</v>
      </c>
      <c r="FD263" t="e">
        <f>Europe!C857+"$F;@!/T)"</f>
        <v>#VALUE!</v>
      </c>
      <c r="FE263" t="e">
        <f>Europe!D857+"$F;@!/T."</f>
        <v>#VALUE!</v>
      </c>
      <c r="FF263" t="e">
        <f>Europe!E857+"$F;@!/T/"</f>
        <v>#VALUE!</v>
      </c>
      <c r="FG263" t="e">
        <f>Europe!F857+"$F;@!/T0"</f>
        <v>#VALUE!</v>
      </c>
      <c r="FH263" t="e">
        <f>Europe!G857+"$F;@!/T1"</f>
        <v>#VALUE!</v>
      </c>
      <c r="FI263" t="e">
        <f>Europe!H857+"$F;@!/T2"</f>
        <v>#VALUE!</v>
      </c>
      <c r="FJ263" t="e">
        <f>Europe!A858+"$F;@!/T3"</f>
        <v>#VALUE!</v>
      </c>
      <c r="FK263" t="e">
        <f>Europe!B858+"$F;@!/T4"</f>
        <v>#VALUE!</v>
      </c>
      <c r="FL263" t="e">
        <f>Europe!C858+"$F;@!/T5"</f>
        <v>#VALUE!</v>
      </c>
      <c r="FM263" t="e">
        <f>Europe!D858+"$F;@!/T6"</f>
        <v>#VALUE!</v>
      </c>
      <c r="FN263" t="e">
        <f>Europe!E858+"$F;@!/T7"</f>
        <v>#VALUE!</v>
      </c>
      <c r="FO263" t="e">
        <f>Europe!F858+"$F;@!/T8"</f>
        <v>#VALUE!</v>
      </c>
      <c r="FP263" t="e">
        <f>Europe!G858+"$F;@!/T9"</f>
        <v>#VALUE!</v>
      </c>
      <c r="FQ263" t="e">
        <f>Europe!H858+"$F;@!/T:"</f>
        <v>#VALUE!</v>
      </c>
      <c r="FR263" t="e">
        <f>Europe!A859+"$F;@!/T;"</f>
        <v>#VALUE!</v>
      </c>
      <c r="FS263" t="e">
        <f>Europe!B859+"$F;@!/T&lt;"</f>
        <v>#VALUE!</v>
      </c>
      <c r="FT263" t="e">
        <f>Europe!C859+"$F;@!/T="</f>
        <v>#VALUE!</v>
      </c>
      <c r="FU263" t="e">
        <f>Europe!D859+"$F;@!/T&gt;"</f>
        <v>#VALUE!</v>
      </c>
      <c r="FV263" t="e">
        <f>Europe!E859+"$F;@!/T?"</f>
        <v>#VALUE!</v>
      </c>
      <c r="FW263" t="e">
        <f>Europe!F859+"$F;@!/T@"</f>
        <v>#VALUE!</v>
      </c>
      <c r="FX263" t="e">
        <f>Europe!G859+"$F;@!/TA"</f>
        <v>#VALUE!</v>
      </c>
      <c r="FY263" t="e">
        <f>Europe!H859+"$F;@!/TB"</f>
        <v>#VALUE!</v>
      </c>
      <c r="FZ263" t="e">
        <f>Europe!A860+"$F;@!/TC"</f>
        <v>#VALUE!</v>
      </c>
      <c r="GA263" t="e">
        <f>Europe!B860+"$F;@!/TD"</f>
        <v>#VALUE!</v>
      </c>
      <c r="GB263" t="e">
        <f>Europe!C860+"$F;@!/TE"</f>
        <v>#VALUE!</v>
      </c>
      <c r="GC263" t="e">
        <f>Europe!D860+"$F;@!/TF"</f>
        <v>#VALUE!</v>
      </c>
      <c r="GD263" t="e">
        <f>Europe!E860+"$F;@!/TG"</f>
        <v>#VALUE!</v>
      </c>
      <c r="GE263" t="e">
        <f>Europe!F860+"$F;@!/TH"</f>
        <v>#VALUE!</v>
      </c>
      <c r="GF263" t="e">
        <f>Europe!G860+"$F;@!/TI"</f>
        <v>#VALUE!</v>
      </c>
      <c r="GG263" t="e">
        <f>Europe!H860+"$F;@!/TJ"</f>
        <v>#VALUE!</v>
      </c>
      <c r="GH263" t="e">
        <f>Europe!A861+"$F;@!/TK"</f>
        <v>#VALUE!</v>
      </c>
      <c r="GI263" t="e">
        <f>Europe!B861+"$F;@!/TL"</f>
        <v>#VALUE!</v>
      </c>
      <c r="GJ263" t="e">
        <f>Europe!C861+"$F;@!/TM"</f>
        <v>#VALUE!</v>
      </c>
      <c r="GK263" t="e">
        <f>Europe!D861+"$F;@!/TN"</f>
        <v>#VALUE!</v>
      </c>
      <c r="GL263" t="e">
        <f>Europe!E861+"$F;@!/TO"</f>
        <v>#VALUE!</v>
      </c>
      <c r="GM263" t="e">
        <f>Europe!F861+"$F;@!/TP"</f>
        <v>#VALUE!</v>
      </c>
      <c r="GN263" t="e">
        <f>Europe!G861+"$F;@!/TQ"</f>
        <v>#VALUE!</v>
      </c>
      <c r="GO263" t="e">
        <f>Europe!H861+"$F;@!/TR"</f>
        <v>#VALUE!</v>
      </c>
      <c r="GP263" t="e">
        <f>Europe!A862+"$F;@!/TS"</f>
        <v>#VALUE!</v>
      </c>
      <c r="GQ263" t="e">
        <f>Europe!B862+"$F;@!/TT"</f>
        <v>#VALUE!</v>
      </c>
      <c r="GR263" t="e">
        <f>Europe!C862+"$F;@!/TU"</f>
        <v>#VALUE!</v>
      </c>
      <c r="GS263" t="e">
        <f>Europe!D862+"$F;@!/TV"</f>
        <v>#VALUE!</v>
      </c>
      <c r="GT263" t="e">
        <f>Europe!E862+"$F;@!/TW"</f>
        <v>#VALUE!</v>
      </c>
      <c r="GU263" t="e">
        <f>Europe!F862+"$F;@!/TX"</f>
        <v>#VALUE!</v>
      </c>
      <c r="GV263" t="e">
        <f>Europe!G862+"$F;@!/TY"</f>
        <v>#VALUE!</v>
      </c>
      <c r="GW263" t="e">
        <f>Europe!H862+"$F;@!/TZ"</f>
        <v>#VALUE!</v>
      </c>
      <c r="GX263" t="e">
        <f>Europe!A863+"$F;@!/T["</f>
        <v>#VALUE!</v>
      </c>
      <c r="GY263" t="e">
        <f>Europe!B863+"$F;@!/T\"</f>
        <v>#VALUE!</v>
      </c>
      <c r="GZ263" t="e">
        <f>Europe!C863+"$F;@!/T]"</f>
        <v>#VALUE!</v>
      </c>
      <c r="HA263" t="e">
        <f>Europe!D863+"$F;@!/T^"</f>
        <v>#VALUE!</v>
      </c>
      <c r="HB263" t="e">
        <f>Europe!E863+"$F;@!/T_"</f>
        <v>#VALUE!</v>
      </c>
      <c r="HC263" t="e">
        <f>Europe!F863+"$F;@!/T`"</f>
        <v>#VALUE!</v>
      </c>
      <c r="HD263" t="e">
        <f>Europe!G863+"$F;@!/Ta"</f>
        <v>#VALUE!</v>
      </c>
      <c r="HE263" t="e">
        <f>Europe!H863+"$F;@!/Tb"</f>
        <v>#VALUE!</v>
      </c>
      <c r="HF263" t="e">
        <f>Europe!A864+"$F;@!/Tc"</f>
        <v>#VALUE!</v>
      </c>
      <c r="HG263" t="e">
        <f>Europe!B864+"$F;@!/Td"</f>
        <v>#VALUE!</v>
      </c>
      <c r="HH263" t="e">
        <f>Europe!C864+"$F;@!/Te"</f>
        <v>#VALUE!</v>
      </c>
      <c r="HI263" t="e">
        <f>Europe!D864+"$F;@!/Tf"</f>
        <v>#VALUE!</v>
      </c>
      <c r="HJ263" t="e">
        <f>Europe!E864+"$F;@!/Tg"</f>
        <v>#VALUE!</v>
      </c>
      <c r="HK263" t="e">
        <f>Europe!F864+"$F;@!/Th"</f>
        <v>#VALUE!</v>
      </c>
      <c r="HL263" t="e">
        <f>Europe!G864+"$F;@!/Ti"</f>
        <v>#VALUE!</v>
      </c>
      <c r="HM263" t="e">
        <f>Europe!H864+"$F;@!/Tj"</f>
        <v>#VALUE!</v>
      </c>
      <c r="HN263" t="e">
        <f>Europe!A865+"$F;@!/Tk"</f>
        <v>#VALUE!</v>
      </c>
      <c r="HO263" t="e">
        <f>Europe!B865+"$F;@!/Tl"</f>
        <v>#VALUE!</v>
      </c>
      <c r="HP263" t="e">
        <f>Europe!C865+"$F;@!/Tm"</f>
        <v>#VALUE!</v>
      </c>
      <c r="HQ263" t="e">
        <f>Europe!D865+"$F;@!/Tn"</f>
        <v>#VALUE!</v>
      </c>
      <c r="HR263" t="e">
        <f>Europe!E865+"$F;@!/To"</f>
        <v>#VALUE!</v>
      </c>
      <c r="HS263" t="e">
        <f>Europe!F865+"$F;@!/Tp"</f>
        <v>#VALUE!</v>
      </c>
      <c r="HT263" t="e">
        <f>Europe!G865+"$F;@!/Tq"</f>
        <v>#VALUE!</v>
      </c>
      <c r="HU263" t="e">
        <f>Europe!H865+"$F;@!/Tr"</f>
        <v>#VALUE!</v>
      </c>
      <c r="HV263" t="e">
        <f>Europe!A866+"$F;@!/Ts"</f>
        <v>#VALUE!</v>
      </c>
      <c r="HW263" t="e">
        <f>Europe!B866+"$F;@!/Tt"</f>
        <v>#VALUE!</v>
      </c>
      <c r="HX263" t="e">
        <f>Europe!C866+"$F;@!/Tu"</f>
        <v>#VALUE!</v>
      </c>
      <c r="HY263" t="e">
        <f>Europe!D866+"$F;@!/Tv"</f>
        <v>#VALUE!</v>
      </c>
      <c r="HZ263" t="e">
        <f>Europe!E866+"$F;@!/Tw"</f>
        <v>#VALUE!</v>
      </c>
      <c r="IA263" t="e">
        <f>Europe!F866+"$F;@!/Tx"</f>
        <v>#VALUE!</v>
      </c>
      <c r="IB263" t="e">
        <f>Europe!G866+"$F;@!/Ty"</f>
        <v>#VALUE!</v>
      </c>
      <c r="IC263" t="e">
        <f>Europe!H866+"$F;@!/Tz"</f>
        <v>#VALUE!</v>
      </c>
      <c r="ID263" t="e">
        <f>Europe!A867+"$F;@!/T{"</f>
        <v>#VALUE!</v>
      </c>
      <c r="IE263" t="e">
        <f>Europe!B867+"$F;@!/T|"</f>
        <v>#VALUE!</v>
      </c>
      <c r="IF263" t="e">
        <f>Europe!C867+"$F;@!/T}"</f>
        <v>#VALUE!</v>
      </c>
      <c r="IG263" t="e">
        <f>Europe!D867+"$F;@!/T~"</f>
        <v>#VALUE!</v>
      </c>
      <c r="IH263" t="e">
        <f>Europe!E867+"$F;@!/U#"</f>
        <v>#VALUE!</v>
      </c>
      <c r="II263" t="e">
        <f>Europe!F867+"$F;@!/U$"</f>
        <v>#VALUE!</v>
      </c>
      <c r="IJ263" t="e">
        <f>Europe!G867+"$F;@!/U%"</f>
        <v>#VALUE!</v>
      </c>
      <c r="IK263" t="e">
        <f>Europe!H867+"$F;@!/U&amp;"</f>
        <v>#VALUE!</v>
      </c>
      <c r="IL263" t="e">
        <f>Europe!A868+"$F;@!/U'"</f>
        <v>#VALUE!</v>
      </c>
      <c r="IM263" t="e">
        <f>Europe!B868+"$F;@!/U("</f>
        <v>#VALUE!</v>
      </c>
      <c r="IN263" t="e">
        <f>Europe!C868+"$F;@!/U)"</f>
        <v>#VALUE!</v>
      </c>
      <c r="IO263" t="e">
        <f>Europe!D868+"$F;@!/U."</f>
        <v>#VALUE!</v>
      </c>
      <c r="IP263" t="e">
        <f>Europe!E868+"$F;@!/U/"</f>
        <v>#VALUE!</v>
      </c>
      <c r="IQ263" t="e">
        <f>Europe!F868+"$F;@!/U0"</f>
        <v>#VALUE!</v>
      </c>
      <c r="IR263" t="e">
        <f>Europe!G868+"$F;@!/U1"</f>
        <v>#VALUE!</v>
      </c>
      <c r="IS263" t="e">
        <f>Europe!H868+"$F;@!/U2"</f>
        <v>#VALUE!</v>
      </c>
      <c r="IT263" t="e">
        <f>Europe!A869+"$F;@!/U3"</f>
        <v>#VALUE!</v>
      </c>
      <c r="IU263" t="e">
        <f>Europe!B869+"$F;@!/U4"</f>
        <v>#VALUE!</v>
      </c>
      <c r="IV263" t="e">
        <f>Europe!C869+"$F;@!/U5"</f>
        <v>#VALUE!</v>
      </c>
    </row>
    <row r="264" spans="6:256" x14ac:dyDescent="0.35">
      <c r="F264" t="e">
        <f>Europe!D869+"$F;@!/U6"</f>
        <v>#VALUE!</v>
      </c>
      <c r="G264" t="e">
        <f>Europe!E869+"$F;@!/U7"</f>
        <v>#VALUE!</v>
      </c>
      <c r="H264" t="e">
        <f>Europe!F869+"$F;@!/U8"</f>
        <v>#VALUE!</v>
      </c>
      <c r="I264" t="e">
        <f>Europe!G869+"$F;@!/U9"</f>
        <v>#VALUE!</v>
      </c>
      <c r="J264" t="e">
        <f>Europe!H869+"$F;@!/U:"</f>
        <v>#VALUE!</v>
      </c>
      <c r="K264" t="e">
        <f>Europe!A870+"$F;@!/U;"</f>
        <v>#VALUE!</v>
      </c>
      <c r="L264" t="e">
        <f>Europe!B870+"$F;@!/U&lt;"</f>
        <v>#VALUE!</v>
      </c>
      <c r="M264" t="e">
        <f>Europe!C870+"$F;@!/U="</f>
        <v>#VALUE!</v>
      </c>
      <c r="N264" t="e">
        <f>Europe!D870+"$F;@!/U&gt;"</f>
        <v>#VALUE!</v>
      </c>
      <c r="O264" t="e">
        <f>Europe!E870+"$F;@!/U?"</f>
        <v>#VALUE!</v>
      </c>
      <c r="P264" t="e">
        <f>Europe!F870+"$F;@!/U@"</f>
        <v>#VALUE!</v>
      </c>
      <c r="Q264" t="e">
        <f>Europe!G870+"$F;@!/UA"</f>
        <v>#VALUE!</v>
      </c>
      <c r="R264" t="e">
        <f>Europe!H870+"$F;@!/UB"</f>
        <v>#VALUE!</v>
      </c>
      <c r="S264" t="e">
        <f>Europe!A871+"$F;@!/UC"</f>
        <v>#VALUE!</v>
      </c>
      <c r="T264" t="e">
        <f>Europe!B871+"$F;@!/UD"</f>
        <v>#VALUE!</v>
      </c>
      <c r="U264" t="e">
        <f>Europe!C871+"$F;@!/UE"</f>
        <v>#VALUE!</v>
      </c>
      <c r="V264" t="e">
        <f>Europe!D871+"$F;@!/UF"</f>
        <v>#VALUE!</v>
      </c>
      <c r="W264" t="e">
        <f>Europe!E871+"$F;@!/UG"</f>
        <v>#VALUE!</v>
      </c>
      <c r="X264" t="e">
        <f>Europe!F871+"$F;@!/UH"</f>
        <v>#VALUE!</v>
      </c>
      <c r="Y264" t="e">
        <f>Europe!G871+"$F;@!/UI"</f>
        <v>#VALUE!</v>
      </c>
      <c r="Z264" t="e">
        <f>Europe!H871+"$F;@!/UJ"</f>
        <v>#VALUE!</v>
      </c>
      <c r="AA264" t="e">
        <f>Europe!A872+"$F;@!/UK"</f>
        <v>#VALUE!</v>
      </c>
      <c r="AB264" t="e">
        <f>Europe!B872+"$F;@!/UL"</f>
        <v>#VALUE!</v>
      </c>
      <c r="AC264" t="e">
        <f>Europe!C872+"$F;@!/UM"</f>
        <v>#VALUE!</v>
      </c>
      <c r="AD264" t="e">
        <f>Europe!D872+"$F;@!/UN"</f>
        <v>#VALUE!</v>
      </c>
      <c r="AE264" t="e">
        <f>Europe!E872+"$F;@!/UO"</f>
        <v>#VALUE!</v>
      </c>
      <c r="AF264" t="e">
        <f>Europe!F872+"$F;@!/UP"</f>
        <v>#VALUE!</v>
      </c>
      <c r="AG264" t="e">
        <f>Europe!G872+"$F;@!/UQ"</f>
        <v>#VALUE!</v>
      </c>
      <c r="AH264" t="e">
        <f>Europe!H872+"$F;@!/UR"</f>
        <v>#VALUE!</v>
      </c>
      <c r="AI264" t="e">
        <f>Europe!A873+"$F;@!/US"</f>
        <v>#VALUE!</v>
      </c>
      <c r="AJ264" t="e">
        <f>Europe!B873+"$F;@!/UT"</f>
        <v>#VALUE!</v>
      </c>
      <c r="AK264" t="e">
        <f>Europe!C873+"$F;@!/UU"</f>
        <v>#VALUE!</v>
      </c>
      <c r="AL264" t="e">
        <f>Europe!D873+"$F;@!/UV"</f>
        <v>#VALUE!</v>
      </c>
      <c r="AM264" t="e">
        <f>Europe!E873+"$F;@!/UW"</f>
        <v>#VALUE!</v>
      </c>
      <c r="AN264" t="e">
        <f>Europe!F873+"$F;@!/UX"</f>
        <v>#VALUE!</v>
      </c>
      <c r="AO264" t="e">
        <f>Europe!G873+"$F;@!/UY"</f>
        <v>#VALUE!</v>
      </c>
      <c r="AP264" t="e">
        <f>Europe!H873+"$F;@!/UZ"</f>
        <v>#VALUE!</v>
      </c>
      <c r="AQ264" t="e">
        <f>Europe!A874+"$F;@!/U["</f>
        <v>#VALUE!</v>
      </c>
      <c r="AR264" t="e">
        <f>Europe!B874+"$F;@!/U\"</f>
        <v>#VALUE!</v>
      </c>
      <c r="AS264" t="e">
        <f>Europe!C874+"$F;@!/U]"</f>
        <v>#VALUE!</v>
      </c>
      <c r="AT264" t="e">
        <f>Europe!D874+"$F;@!/U^"</f>
        <v>#VALUE!</v>
      </c>
      <c r="AU264" t="e">
        <f>Europe!E874+"$F;@!/U_"</f>
        <v>#VALUE!</v>
      </c>
      <c r="AV264" t="e">
        <f>Europe!F874+"$F;@!/U`"</f>
        <v>#VALUE!</v>
      </c>
      <c r="AW264" t="e">
        <f>Europe!G874+"$F;@!/Ua"</f>
        <v>#VALUE!</v>
      </c>
      <c r="AX264" t="e">
        <f>Europe!H874+"$F;@!/Ub"</f>
        <v>#VALUE!</v>
      </c>
      <c r="AY264" t="e">
        <f>Europe!A875+"$F;@!/Uc"</f>
        <v>#VALUE!</v>
      </c>
      <c r="AZ264" t="e">
        <f>Europe!B875+"$F;@!/Ud"</f>
        <v>#VALUE!</v>
      </c>
      <c r="BA264" t="e">
        <f>Europe!C875+"$F;@!/Ue"</f>
        <v>#VALUE!</v>
      </c>
      <c r="BB264" t="e">
        <f>Europe!D875+"$F;@!/Uf"</f>
        <v>#VALUE!</v>
      </c>
      <c r="BC264" t="e">
        <f>Europe!E875+"$F;@!/Ug"</f>
        <v>#VALUE!</v>
      </c>
      <c r="BD264" t="e">
        <f>Europe!F875+"$F;@!/Uh"</f>
        <v>#VALUE!</v>
      </c>
      <c r="BE264" t="e">
        <f>Europe!G875+"$F;@!/Ui"</f>
        <v>#VALUE!</v>
      </c>
      <c r="BF264" t="e">
        <f>Europe!H875+"$F;@!/Uj"</f>
        <v>#VALUE!</v>
      </c>
      <c r="BG264" t="e">
        <f>Europe!A876+"$F;@!/Uk"</f>
        <v>#VALUE!</v>
      </c>
      <c r="BH264" t="e">
        <f>Europe!B876+"$F;@!/Ul"</f>
        <v>#VALUE!</v>
      </c>
      <c r="BI264" t="e">
        <f>Europe!C876+"$F;@!/Um"</f>
        <v>#VALUE!</v>
      </c>
      <c r="BJ264" t="e">
        <f>Europe!D876+"$F;@!/Un"</f>
        <v>#VALUE!</v>
      </c>
      <c r="BK264" t="e">
        <f>Europe!E876+"$F;@!/Uo"</f>
        <v>#VALUE!</v>
      </c>
      <c r="BL264" t="e">
        <f>Europe!F876+"$F;@!/Up"</f>
        <v>#VALUE!</v>
      </c>
      <c r="BM264" t="e">
        <f>Europe!G876+"$F;@!/Uq"</f>
        <v>#VALUE!</v>
      </c>
      <c r="BN264" t="e">
        <f>Europe!H876+"$F;@!/Ur"</f>
        <v>#VALUE!</v>
      </c>
      <c r="BO264" t="e">
        <f>Europe!A877+"$F;@!/Us"</f>
        <v>#VALUE!</v>
      </c>
      <c r="BP264" t="e">
        <f>Europe!B877+"$F;@!/Ut"</f>
        <v>#VALUE!</v>
      </c>
      <c r="BQ264" t="e">
        <f>Europe!C877+"$F;@!/Uu"</f>
        <v>#VALUE!</v>
      </c>
      <c r="BR264" t="e">
        <f>Europe!D877+"$F;@!/Uv"</f>
        <v>#VALUE!</v>
      </c>
      <c r="BS264" t="e">
        <f>Europe!E877+"$F;@!/Uw"</f>
        <v>#VALUE!</v>
      </c>
      <c r="BT264" t="e">
        <f>Europe!F877+"$F;@!/Ux"</f>
        <v>#VALUE!</v>
      </c>
      <c r="BU264" t="e">
        <f>Europe!G877+"$F;@!/Uy"</f>
        <v>#VALUE!</v>
      </c>
      <c r="BV264" t="e">
        <f>Europe!H877+"$F;@!/Uz"</f>
        <v>#VALUE!</v>
      </c>
      <c r="BW264" t="e">
        <f>Europe!A878+"$F;@!/U{"</f>
        <v>#VALUE!</v>
      </c>
      <c r="BX264" t="e">
        <f>Europe!B878+"$F;@!/U|"</f>
        <v>#VALUE!</v>
      </c>
      <c r="BY264" t="e">
        <f>Europe!C878+"$F;@!/U}"</f>
        <v>#VALUE!</v>
      </c>
      <c r="BZ264" t="e">
        <f>Europe!D878+"$F;@!/U~"</f>
        <v>#VALUE!</v>
      </c>
      <c r="CA264" t="e">
        <f>Europe!E878+"$F;@!/V#"</f>
        <v>#VALUE!</v>
      </c>
      <c r="CB264" t="e">
        <f>Europe!F878+"$F;@!/V$"</f>
        <v>#VALUE!</v>
      </c>
      <c r="CC264" t="e">
        <f>Europe!G878+"$F;@!/V%"</f>
        <v>#VALUE!</v>
      </c>
      <c r="CD264" t="e">
        <f>Europe!H878+"$F;@!/V&amp;"</f>
        <v>#VALUE!</v>
      </c>
      <c r="CE264" t="e">
        <f>Europe!A879+"$F;@!/V'"</f>
        <v>#VALUE!</v>
      </c>
      <c r="CF264" t="e">
        <f>Europe!B879+"$F;@!/V("</f>
        <v>#VALUE!</v>
      </c>
      <c r="CG264" t="e">
        <f>Europe!C879+"$F;@!/V)"</f>
        <v>#VALUE!</v>
      </c>
      <c r="CH264" t="e">
        <f>Europe!D879+"$F;@!/V."</f>
        <v>#VALUE!</v>
      </c>
      <c r="CI264" t="e">
        <f>Europe!E879+"$F;@!/V/"</f>
        <v>#VALUE!</v>
      </c>
      <c r="CJ264" t="e">
        <f>Europe!F879+"$F;@!/V0"</f>
        <v>#VALUE!</v>
      </c>
      <c r="CK264" t="e">
        <f>Europe!G879+"$F;@!/V1"</f>
        <v>#VALUE!</v>
      </c>
      <c r="CL264" t="e">
        <f>Europe!H879+"$F;@!/V2"</f>
        <v>#VALUE!</v>
      </c>
      <c r="CM264" t="e">
        <f>Europe!A880+"$F;@!/V3"</f>
        <v>#VALUE!</v>
      </c>
      <c r="CN264" t="e">
        <f>Europe!B880+"$F;@!/V4"</f>
        <v>#VALUE!</v>
      </c>
      <c r="CO264" t="e">
        <f>Europe!C880+"$F;@!/V5"</f>
        <v>#VALUE!</v>
      </c>
      <c r="CP264" t="e">
        <f>Europe!D880+"$F;@!/V6"</f>
        <v>#VALUE!</v>
      </c>
      <c r="CQ264" t="e">
        <f>Europe!E880+"$F;@!/V7"</f>
        <v>#VALUE!</v>
      </c>
      <c r="CR264" t="e">
        <f>Europe!F880+"$F;@!/V8"</f>
        <v>#VALUE!</v>
      </c>
      <c r="CS264" t="e">
        <f>Europe!G880+"$F;@!/V9"</f>
        <v>#VALUE!</v>
      </c>
      <c r="CT264" t="e">
        <f>Europe!H880+"$F;@!/V:"</f>
        <v>#VALUE!</v>
      </c>
      <c r="CU264" t="e">
        <f>Europe!A881+"$F;@!/V;"</f>
        <v>#VALUE!</v>
      </c>
      <c r="CV264" t="e">
        <f>Europe!B881+"$F;@!/V&lt;"</f>
        <v>#VALUE!</v>
      </c>
      <c r="CW264" t="e">
        <f>Europe!C881+"$F;@!/V="</f>
        <v>#VALUE!</v>
      </c>
      <c r="CX264" t="e">
        <f>Europe!D881+"$F;@!/V&gt;"</f>
        <v>#VALUE!</v>
      </c>
      <c r="CY264" t="e">
        <f>Europe!E881+"$F;@!/V?"</f>
        <v>#VALUE!</v>
      </c>
      <c r="CZ264" t="e">
        <f>Europe!F881+"$F;@!/V@"</f>
        <v>#VALUE!</v>
      </c>
      <c r="DA264" t="e">
        <f>Europe!G881+"$F;@!/VA"</f>
        <v>#VALUE!</v>
      </c>
      <c r="DB264" t="e">
        <f>Europe!H881+"$F;@!/VB"</f>
        <v>#VALUE!</v>
      </c>
      <c r="DC264" t="e">
        <f>Europe!A882+"$F;@!/VC"</f>
        <v>#VALUE!</v>
      </c>
      <c r="DD264" t="e">
        <f>Europe!B882+"$F;@!/VD"</f>
        <v>#VALUE!</v>
      </c>
      <c r="DE264" t="e">
        <f>Europe!C882+"$F;@!/VE"</f>
        <v>#VALUE!</v>
      </c>
      <c r="DF264" t="e">
        <f>Europe!D882+"$F;@!/VF"</f>
        <v>#VALUE!</v>
      </c>
      <c r="DG264" t="e">
        <f>Europe!E882+"$F;@!/VG"</f>
        <v>#VALUE!</v>
      </c>
      <c r="DH264" t="e">
        <f>Europe!F882+"$F;@!/VH"</f>
        <v>#VALUE!</v>
      </c>
      <c r="DI264" t="e">
        <f>Europe!G882+"$F;@!/VI"</f>
        <v>#VALUE!</v>
      </c>
      <c r="DJ264" t="e">
        <f>Europe!H882+"$F;@!/VJ"</f>
        <v>#VALUE!</v>
      </c>
      <c r="DK264" t="e">
        <f>Europe!A883+"$F;@!/VK"</f>
        <v>#VALUE!</v>
      </c>
      <c r="DL264" t="e">
        <f>Europe!B883+"$F;@!/VL"</f>
        <v>#VALUE!</v>
      </c>
      <c r="DM264" t="e">
        <f>Europe!C883+"$F;@!/VM"</f>
        <v>#VALUE!</v>
      </c>
      <c r="DN264" t="e">
        <f>Europe!D883+"$F;@!/VN"</f>
        <v>#VALUE!</v>
      </c>
      <c r="DO264" t="e">
        <f>Europe!E883+"$F;@!/VO"</f>
        <v>#VALUE!</v>
      </c>
      <c r="DP264" t="e">
        <f>Europe!F883+"$F;@!/VP"</f>
        <v>#VALUE!</v>
      </c>
      <c r="DQ264" t="e">
        <f>Europe!G883+"$F;@!/VQ"</f>
        <v>#VALUE!</v>
      </c>
      <c r="DR264" t="e">
        <f>Europe!H883+"$F;@!/VR"</f>
        <v>#VALUE!</v>
      </c>
      <c r="DS264" t="e">
        <f>Europe!A884+"$F;@!/VS"</f>
        <v>#VALUE!</v>
      </c>
      <c r="DT264" t="e">
        <f>Europe!B884+"$F;@!/VT"</f>
        <v>#VALUE!</v>
      </c>
      <c r="DU264" t="e">
        <f>Europe!C884+"$F;@!/VU"</f>
        <v>#VALUE!</v>
      </c>
      <c r="DV264" t="e">
        <f>Europe!D884+"$F;@!/VV"</f>
        <v>#VALUE!</v>
      </c>
      <c r="DW264" t="e">
        <f>Europe!E884+"$F;@!/VW"</f>
        <v>#VALUE!</v>
      </c>
      <c r="DX264" t="e">
        <f>Europe!F884+"$F;@!/VX"</f>
        <v>#VALUE!</v>
      </c>
      <c r="DY264" t="e">
        <f>Europe!G884+"$F;@!/VY"</f>
        <v>#VALUE!</v>
      </c>
      <c r="DZ264" t="e">
        <f>Europe!H884+"$F;@!/VZ"</f>
        <v>#VALUE!</v>
      </c>
      <c r="EA264" t="e">
        <f>Europe!A885+"$F;@!/V["</f>
        <v>#VALUE!</v>
      </c>
      <c r="EB264" t="e">
        <f>Europe!B885+"$F;@!/V\"</f>
        <v>#VALUE!</v>
      </c>
      <c r="EC264" t="e">
        <f>Europe!C885+"$F;@!/V]"</f>
        <v>#VALUE!</v>
      </c>
      <c r="ED264" t="e">
        <f>Europe!D885+"$F;@!/V^"</f>
        <v>#VALUE!</v>
      </c>
      <c r="EE264" t="e">
        <f>Europe!E885+"$F;@!/V_"</f>
        <v>#VALUE!</v>
      </c>
      <c r="EF264" t="e">
        <f>Europe!F885+"$F;@!/V`"</f>
        <v>#VALUE!</v>
      </c>
      <c r="EG264" t="e">
        <f>Europe!G885+"$F;@!/Va"</f>
        <v>#VALUE!</v>
      </c>
      <c r="EH264" t="e">
        <f>Europe!H885+"$F;@!/Vb"</f>
        <v>#VALUE!</v>
      </c>
      <c r="EI264" t="e">
        <f>Europe!A886+"$F;@!/Vc"</f>
        <v>#VALUE!</v>
      </c>
      <c r="EJ264" t="e">
        <f>Europe!B886+"$F;@!/Vd"</f>
        <v>#VALUE!</v>
      </c>
      <c r="EK264" t="e">
        <f>Europe!C886+"$F;@!/Ve"</f>
        <v>#VALUE!</v>
      </c>
      <c r="EL264" t="e">
        <f>Europe!D886+"$F;@!/Vf"</f>
        <v>#VALUE!</v>
      </c>
      <c r="EM264" t="e">
        <f>Europe!E886+"$F;@!/Vg"</f>
        <v>#VALUE!</v>
      </c>
      <c r="EN264" t="e">
        <f>Europe!F886+"$F;@!/Vh"</f>
        <v>#VALUE!</v>
      </c>
      <c r="EO264" t="e">
        <f>Europe!G886+"$F;@!/Vi"</f>
        <v>#VALUE!</v>
      </c>
      <c r="EP264" t="e">
        <f>Europe!H886+"$F;@!/Vj"</f>
        <v>#VALUE!</v>
      </c>
      <c r="EQ264" t="e">
        <f>Europe!A887+"$F;@!/Vk"</f>
        <v>#VALUE!</v>
      </c>
      <c r="ER264" t="e">
        <f>Europe!B887+"$F;@!/Vl"</f>
        <v>#VALUE!</v>
      </c>
      <c r="ES264" t="e">
        <f>Europe!C887+"$F;@!/Vm"</f>
        <v>#VALUE!</v>
      </c>
      <c r="ET264" t="e">
        <f>Europe!D887+"$F;@!/Vn"</f>
        <v>#VALUE!</v>
      </c>
      <c r="EU264" t="e">
        <f>Europe!E887+"$F;@!/Vo"</f>
        <v>#VALUE!</v>
      </c>
      <c r="EV264" t="e">
        <f>Europe!F887+"$F;@!/Vp"</f>
        <v>#VALUE!</v>
      </c>
      <c r="EW264" t="e">
        <f>Europe!G887+"$F;@!/Vq"</f>
        <v>#VALUE!</v>
      </c>
      <c r="EX264" t="e">
        <f>Europe!H887+"$F;@!/Vr"</f>
        <v>#VALUE!</v>
      </c>
      <c r="EY264" t="e">
        <f>Europe!A888+"$F;@!/Vs"</f>
        <v>#VALUE!</v>
      </c>
      <c r="EZ264" t="e">
        <f>Europe!B888+"$F;@!/Vt"</f>
        <v>#VALUE!</v>
      </c>
      <c r="FA264" t="e">
        <f>Europe!C888+"$F;@!/Vu"</f>
        <v>#VALUE!</v>
      </c>
      <c r="FB264" t="e">
        <f>Europe!D888+"$F;@!/Vv"</f>
        <v>#VALUE!</v>
      </c>
      <c r="FC264" t="e">
        <f>Europe!E888+"$F;@!/Vw"</f>
        <v>#VALUE!</v>
      </c>
      <c r="FD264" t="e">
        <f>Europe!F888+"$F;@!/Vx"</f>
        <v>#VALUE!</v>
      </c>
      <c r="FE264" t="e">
        <f>Europe!G888+"$F;@!/Vy"</f>
        <v>#VALUE!</v>
      </c>
      <c r="FF264" t="e">
        <f>Europe!H888+"$F;@!/Vz"</f>
        <v>#VALUE!</v>
      </c>
      <c r="FG264" t="e">
        <f>Europe!A889+"$F;@!/V{"</f>
        <v>#VALUE!</v>
      </c>
      <c r="FH264" t="e">
        <f>Europe!B889+"$F;@!/V|"</f>
        <v>#VALUE!</v>
      </c>
      <c r="FI264" t="e">
        <f>Europe!C889+"$F;@!/V}"</f>
        <v>#VALUE!</v>
      </c>
      <c r="FJ264" t="e">
        <f>Europe!D889+"$F;@!/V~"</f>
        <v>#VALUE!</v>
      </c>
      <c r="FK264" t="e">
        <f>Europe!E889+"$F;@!/W#"</f>
        <v>#VALUE!</v>
      </c>
      <c r="FL264" t="e">
        <f>Europe!F889+"$F;@!/W$"</f>
        <v>#VALUE!</v>
      </c>
      <c r="FM264" t="e">
        <f>Europe!G889+"$F;@!/W%"</f>
        <v>#VALUE!</v>
      </c>
      <c r="FN264" t="e">
        <f>Europe!H889+"$F;@!/W&amp;"</f>
        <v>#VALUE!</v>
      </c>
      <c r="FO264" t="e">
        <f>Europe!A890+"$F;@!/W'"</f>
        <v>#VALUE!</v>
      </c>
      <c r="FP264" t="e">
        <f>Europe!B890+"$F;@!/W("</f>
        <v>#VALUE!</v>
      </c>
      <c r="FQ264" t="e">
        <f>Europe!C890+"$F;@!/W)"</f>
        <v>#VALUE!</v>
      </c>
      <c r="FR264" t="e">
        <f>Europe!D890+"$F;@!/W."</f>
        <v>#VALUE!</v>
      </c>
      <c r="FS264" t="e">
        <f>Europe!E890+"$F;@!/W/"</f>
        <v>#VALUE!</v>
      </c>
      <c r="FT264" t="e">
        <f>Europe!F890+"$F;@!/W0"</f>
        <v>#VALUE!</v>
      </c>
      <c r="FU264" t="e">
        <f>Europe!G890+"$F;@!/W1"</f>
        <v>#VALUE!</v>
      </c>
      <c r="FV264" t="e">
        <f>Europe!H890+"$F;@!/W2"</f>
        <v>#VALUE!</v>
      </c>
      <c r="FW264" t="e">
        <f>Europe!A891+"$F;@!/W3"</f>
        <v>#VALUE!</v>
      </c>
      <c r="FX264" t="e">
        <f>Europe!B891+"$F;@!/W4"</f>
        <v>#VALUE!</v>
      </c>
      <c r="FY264" t="e">
        <f>Europe!C891+"$F;@!/W5"</f>
        <v>#VALUE!</v>
      </c>
      <c r="FZ264" t="e">
        <f>Europe!D891+"$F;@!/W6"</f>
        <v>#VALUE!</v>
      </c>
      <c r="GA264" t="e">
        <f>Europe!E891+"$F;@!/W7"</f>
        <v>#VALUE!</v>
      </c>
      <c r="GB264" t="e">
        <f>Europe!F891+"$F;@!/W8"</f>
        <v>#VALUE!</v>
      </c>
      <c r="GC264" t="e">
        <f>Europe!G891+"$F;@!/W9"</f>
        <v>#VALUE!</v>
      </c>
      <c r="GD264" t="e">
        <f>Europe!H891+"$F;@!/W:"</f>
        <v>#VALUE!</v>
      </c>
      <c r="GE264" t="e">
        <f>Europe!A892+"$F;@!/W;"</f>
        <v>#VALUE!</v>
      </c>
      <c r="GF264" t="e">
        <f>Europe!B892+"$F;@!/W&lt;"</f>
        <v>#VALUE!</v>
      </c>
      <c r="GG264" t="e">
        <f>Europe!C892+"$F;@!/W="</f>
        <v>#VALUE!</v>
      </c>
      <c r="GH264" t="e">
        <f>Europe!D892+"$F;@!/W&gt;"</f>
        <v>#VALUE!</v>
      </c>
      <c r="GI264" t="e">
        <f>Europe!E892+"$F;@!/W?"</f>
        <v>#VALUE!</v>
      </c>
      <c r="GJ264" t="e">
        <f>Europe!F892+"$F;@!/W@"</f>
        <v>#VALUE!</v>
      </c>
      <c r="GK264" t="e">
        <f>Europe!G892+"$F;@!/WA"</f>
        <v>#VALUE!</v>
      </c>
      <c r="GL264" t="e">
        <f>Europe!H892+"$F;@!/WB"</f>
        <v>#VALUE!</v>
      </c>
      <c r="GM264" t="e">
        <f>Europe!A893+"$F;@!/WC"</f>
        <v>#VALUE!</v>
      </c>
      <c r="GN264" t="e">
        <f>Europe!B893+"$F;@!/WD"</f>
        <v>#VALUE!</v>
      </c>
      <c r="GO264" t="e">
        <f>Europe!C893+"$F;@!/WE"</f>
        <v>#VALUE!</v>
      </c>
      <c r="GP264" t="e">
        <f>Europe!D893+"$F;@!/WF"</f>
        <v>#VALUE!</v>
      </c>
      <c r="GQ264" t="e">
        <f>Europe!E893+"$F;@!/WG"</f>
        <v>#VALUE!</v>
      </c>
      <c r="GR264" t="e">
        <f>Europe!F893+"$F;@!/WH"</f>
        <v>#VALUE!</v>
      </c>
      <c r="GS264" t="e">
        <f>Europe!G893+"$F;@!/WI"</f>
        <v>#VALUE!</v>
      </c>
      <c r="GT264" t="e">
        <f>Europe!H893+"$F;@!/WJ"</f>
        <v>#VALUE!</v>
      </c>
      <c r="GU264" t="e">
        <f>Europe!A894+"$F;@!/WK"</f>
        <v>#VALUE!</v>
      </c>
      <c r="GV264" t="e">
        <f>Europe!B894+"$F;@!/WL"</f>
        <v>#VALUE!</v>
      </c>
      <c r="GW264" t="e">
        <f>Europe!C894+"$F;@!/WM"</f>
        <v>#VALUE!</v>
      </c>
      <c r="GX264" t="e">
        <f>Europe!D894+"$F;@!/WN"</f>
        <v>#VALUE!</v>
      </c>
      <c r="GY264" t="e">
        <f>Europe!E894+"$F;@!/WO"</f>
        <v>#VALUE!</v>
      </c>
      <c r="GZ264" t="e">
        <f>Europe!F894+"$F;@!/WP"</f>
        <v>#VALUE!</v>
      </c>
      <c r="HA264" t="e">
        <f>Europe!G894+"$F;@!/WQ"</f>
        <v>#VALUE!</v>
      </c>
      <c r="HB264" t="e">
        <f>Europe!H894+"$F;@!/WR"</f>
        <v>#VALUE!</v>
      </c>
      <c r="HC264" t="e">
        <f>Europe!A895+"$F;@!/WS"</f>
        <v>#VALUE!</v>
      </c>
      <c r="HD264" t="e">
        <f>Europe!B895+"$F;@!/WT"</f>
        <v>#VALUE!</v>
      </c>
      <c r="HE264" t="e">
        <f>Europe!C895+"$F;@!/WU"</f>
        <v>#VALUE!</v>
      </c>
      <c r="HF264" t="e">
        <f>Europe!D895+"$F;@!/WV"</f>
        <v>#VALUE!</v>
      </c>
      <c r="HG264" t="e">
        <f>Europe!E895+"$F;@!/WW"</f>
        <v>#VALUE!</v>
      </c>
      <c r="HH264" t="e">
        <f>Europe!F895+"$F;@!/WX"</f>
        <v>#VALUE!</v>
      </c>
      <c r="HI264" t="e">
        <f>Europe!G895+"$F;@!/WY"</f>
        <v>#VALUE!</v>
      </c>
      <c r="HJ264" t="e">
        <f>Europe!H895+"$F;@!/WZ"</f>
        <v>#VALUE!</v>
      </c>
      <c r="HK264" t="e">
        <f>Europe!A896+"$F;@!/W["</f>
        <v>#VALUE!</v>
      </c>
      <c r="HL264" t="e">
        <f>Europe!B896+"$F;@!/W\"</f>
        <v>#VALUE!</v>
      </c>
      <c r="HM264" t="e">
        <f>Europe!C896+"$F;@!/W]"</f>
        <v>#VALUE!</v>
      </c>
      <c r="HN264" t="e">
        <f>Europe!D896+"$F;@!/W^"</f>
        <v>#VALUE!</v>
      </c>
      <c r="HO264" t="e">
        <f>Europe!E896+"$F;@!/W_"</f>
        <v>#VALUE!</v>
      </c>
      <c r="HP264" t="e">
        <f>Europe!F896+"$F;@!/W`"</f>
        <v>#VALUE!</v>
      </c>
      <c r="HQ264" t="e">
        <f>Europe!G896+"$F;@!/Wa"</f>
        <v>#VALUE!</v>
      </c>
      <c r="HR264" t="e">
        <f>Europe!H896+"$F;@!/Wb"</f>
        <v>#VALUE!</v>
      </c>
      <c r="HS264" t="e">
        <f>Europe!A897+"$F;@!/Wc"</f>
        <v>#VALUE!</v>
      </c>
      <c r="HT264" t="e">
        <f>Europe!B897+"$F;@!/Wd"</f>
        <v>#VALUE!</v>
      </c>
      <c r="HU264" t="e">
        <f>Europe!C897+"$F;@!/We"</f>
        <v>#VALUE!</v>
      </c>
      <c r="HV264" t="e">
        <f>Europe!D897+"$F;@!/Wf"</f>
        <v>#VALUE!</v>
      </c>
      <c r="HW264" t="e">
        <f>Europe!E897+"$F;@!/Wg"</f>
        <v>#VALUE!</v>
      </c>
      <c r="HX264" t="e">
        <f>Europe!F897+"$F;@!/Wh"</f>
        <v>#VALUE!</v>
      </c>
      <c r="HY264" t="e">
        <f>Europe!G897+"$F;@!/Wi"</f>
        <v>#VALUE!</v>
      </c>
      <c r="HZ264" t="e">
        <f>Europe!H897+"$F;@!/Wj"</f>
        <v>#VALUE!</v>
      </c>
      <c r="IA264" t="e">
        <f>Europe!A898+"$F;@!/Wk"</f>
        <v>#VALUE!</v>
      </c>
      <c r="IB264" t="e">
        <f>Europe!B898+"$F;@!/Wl"</f>
        <v>#VALUE!</v>
      </c>
      <c r="IC264" t="e">
        <f>Europe!C898+"$F;@!/Wm"</f>
        <v>#VALUE!</v>
      </c>
      <c r="ID264" t="e">
        <f>Europe!D898+"$F;@!/Wn"</f>
        <v>#VALUE!</v>
      </c>
      <c r="IE264" t="e">
        <f>Europe!E898+"$F;@!/Wo"</f>
        <v>#VALUE!</v>
      </c>
      <c r="IF264" t="e">
        <f>Europe!F898+"$F;@!/Wp"</f>
        <v>#VALUE!</v>
      </c>
      <c r="IG264" t="e">
        <f>Europe!G898+"$F;@!/Wq"</f>
        <v>#VALUE!</v>
      </c>
      <c r="IH264" t="e">
        <f>Europe!H898+"$F;@!/Wr"</f>
        <v>#VALUE!</v>
      </c>
      <c r="II264" t="e">
        <f>Europe!A899+"$F;@!/Ws"</f>
        <v>#VALUE!</v>
      </c>
      <c r="IJ264" t="e">
        <f>Europe!B899+"$F;@!/Wt"</f>
        <v>#VALUE!</v>
      </c>
      <c r="IK264" t="e">
        <f>Europe!C899+"$F;@!/Wu"</f>
        <v>#VALUE!</v>
      </c>
      <c r="IL264" t="e">
        <f>Europe!D899+"$F;@!/Wv"</f>
        <v>#VALUE!</v>
      </c>
      <c r="IM264" t="e">
        <f>Europe!E899+"$F;@!/Ww"</f>
        <v>#VALUE!</v>
      </c>
      <c r="IN264" t="e">
        <f>Europe!F899+"$F;@!/Wx"</f>
        <v>#VALUE!</v>
      </c>
      <c r="IO264" t="e">
        <f>Europe!G899+"$F;@!/Wy"</f>
        <v>#VALUE!</v>
      </c>
      <c r="IP264" t="e">
        <f>Europe!H899+"$F;@!/Wz"</f>
        <v>#VALUE!</v>
      </c>
      <c r="IQ264" t="e">
        <f>Europe!A900+"$F;@!/W{"</f>
        <v>#VALUE!</v>
      </c>
      <c r="IR264" t="e">
        <f>Europe!B900+"$F;@!/W|"</f>
        <v>#VALUE!</v>
      </c>
      <c r="IS264" t="e">
        <f>Europe!C900+"$F;@!/W}"</f>
        <v>#VALUE!</v>
      </c>
      <c r="IT264" t="e">
        <f>Europe!D900+"$F;@!/W~"</f>
        <v>#VALUE!</v>
      </c>
      <c r="IU264" t="e">
        <f>Europe!E900+"$F;@!/X#"</f>
        <v>#VALUE!</v>
      </c>
      <c r="IV264" t="e">
        <f>Europe!F900+"$F;@!/X$"</f>
        <v>#VALUE!</v>
      </c>
    </row>
    <row r="265" spans="6:256" x14ac:dyDescent="0.35">
      <c r="F265" t="e">
        <f>Europe!G900+"$F;@!/X%"</f>
        <v>#VALUE!</v>
      </c>
      <c r="G265" t="e">
        <f>Europe!H900+"$F;@!/X&amp;"</f>
        <v>#VALUE!</v>
      </c>
      <c r="H265" t="e">
        <f>Europe!A901+"$F;@!/X'"</f>
        <v>#VALUE!</v>
      </c>
      <c r="I265" t="e">
        <f>Europe!B901+"$F;@!/X("</f>
        <v>#VALUE!</v>
      </c>
      <c r="J265" t="e">
        <f>Europe!C901+"$F;@!/X)"</f>
        <v>#VALUE!</v>
      </c>
      <c r="K265" t="e">
        <f>Europe!D901+"$F;@!/X."</f>
        <v>#VALUE!</v>
      </c>
      <c r="L265" t="e">
        <f>Europe!E901+"$F;@!/X/"</f>
        <v>#VALUE!</v>
      </c>
      <c r="M265" t="e">
        <f>Europe!F901+"$F;@!/X0"</f>
        <v>#VALUE!</v>
      </c>
      <c r="N265" t="e">
        <f>Europe!G901+"$F;@!/X1"</f>
        <v>#VALUE!</v>
      </c>
      <c r="O265" t="e">
        <f>Europe!H901+"$F;@!/X2"</f>
        <v>#VALUE!</v>
      </c>
      <c r="P265" t="e">
        <f>Europe!A902+"$F;@!/X3"</f>
        <v>#VALUE!</v>
      </c>
      <c r="Q265" t="e">
        <f>Europe!B902+"$F;@!/X4"</f>
        <v>#VALUE!</v>
      </c>
      <c r="R265" t="e">
        <f>Europe!C902+"$F;@!/X5"</f>
        <v>#VALUE!</v>
      </c>
      <c r="S265" t="e">
        <f>Europe!D902+"$F;@!/X6"</f>
        <v>#VALUE!</v>
      </c>
      <c r="T265" t="e">
        <f>Europe!E902+"$F;@!/X7"</f>
        <v>#VALUE!</v>
      </c>
      <c r="U265" t="e">
        <f>Europe!F902+"$F;@!/X8"</f>
        <v>#VALUE!</v>
      </c>
      <c r="V265" t="e">
        <f>Europe!G902+"$F;@!/X9"</f>
        <v>#VALUE!</v>
      </c>
      <c r="W265" t="e">
        <f>Europe!H902+"$F;@!/X:"</f>
        <v>#VALUE!</v>
      </c>
      <c r="X265" t="e">
        <f>Europe!A903+"$F;@!/X;"</f>
        <v>#VALUE!</v>
      </c>
      <c r="Y265" t="e">
        <f>Europe!B903+"$F;@!/X&lt;"</f>
        <v>#VALUE!</v>
      </c>
      <c r="Z265" t="e">
        <f>Europe!C903+"$F;@!/X="</f>
        <v>#VALUE!</v>
      </c>
      <c r="AA265" t="e">
        <f>Europe!D903+"$F;@!/X&gt;"</f>
        <v>#VALUE!</v>
      </c>
      <c r="AB265" t="e">
        <f>Europe!E903+"$F;@!/X?"</f>
        <v>#VALUE!</v>
      </c>
      <c r="AC265" t="e">
        <f>Europe!F903+"$F;@!/X@"</f>
        <v>#VALUE!</v>
      </c>
      <c r="AD265" t="e">
        <f>Europe!G903+"$F;@!/XA"</f>
        <v>#VALUE!</v>
      </c>
      <c r="AE265" t="e">
        <f>Europe!H903+"$F;@!/XB"</f>
        <v>#VALUE!</v>
      </c>
      <c r="AF265" t="e">
        <f>Europe!A904+"$F;@!/XC"</f>
        <v>#VALUE!</v>
      </c>
      <c r="AG265" t="e">
        <f>Europe!B904+"$F;@!/XD"</f>
        <v>#VALUE!</v>
      </c>
      <c r="AH265" t="e">
        <f>Europe!C904+"$F;@!/XE"</f>
        <v>#VALUE!</v>
      </c>
      <c r="AI265" t="e">
        <f>Europe!D904+"$F;@!/XF"</f>
        <v>#VALUE!</v>
      </c>
      <c r="AJ265" t="e">
        <f>Europe!E904+"$F;@!/XG"</f>
        <v>#VALUE!</v>
      </c>
      <c r="AK265" t="e">
        <f>Europe!F904+"$F;@!/XH"</f>
        <v>#VALUE!</v>
      </c>
      <c r="AL265" t="e">
        <f>Europe!G904+"$F;@!/XI"</f>
        <v>#VALUE!</v>
      </c>
      <c r="AM265" t="e">
        <f>Europe!H904+"$F;@!/XJ"</f>
        <v>#VALUE!</v>
      </c>
      <c r="AN265" t="e">
        <f>Europe!A905+"$F;@!/XK"</f>
        <v>#VALUE!</v>
      </c>
      <c r="AO265" t="e">
        <f>Europe!B905+"$F;@!/XL"</f>
        <v>#VALUE!</v>
      </c>
      <c r="AP265" t="e">
        <f>Europe!C905+"$F;@!/XM"</f>
        <v>#VALUE!</v>
      </c>
      <c r="AQ265" t="e">
        <f>Europe!D905+"$F;@!/XN"</f>
        <v>#VALUE!</v>
      </c>
      <c r="AR265" t="e">
        <f>Europe!E905+"$F;@!/XO"</f>
        <v>#VALUE!</v>
      </c>
      <c r="AS265" t="e">
        <f>Europe!F905+"$F;@!/XP"</f>
        <v>#VALUE!</v>
      </c>
      <c r="AT265" t="e">
        <f>Europe!G905+"$F;@!/XQ"</f>
        <v>#VALUE!</v>
      </c>
      <c r="AU265" t="e">
        <f>Europe!H905+"$F;@!/XR"</f>
        <v>#VALUE!</v>
      </c>
      <c r="AV265" t="e">
        <f>Europe!A906+"$F;@!/XS"</f>
        <v>#VALUE!</v>
      </c>
      <c r="AW265" t="e">
        <f>Europe!B906+"$F;@!/XT"</f>
        <v>#VALUE!</v>
      </c>
      <c r="AX265" t="e">
        <f>Europe!C906+"$F;@!/XU"</f>
        <v>#VALUE!</v>
      </c>
      <c r="AY265" t="e">
        <f>Europe!D906+"$F;@!/XV"</f>
        <v>#VALUE!</v>
      </c>
      <c r="AZ265" t="e">
        <f>Europe!E906+"$F;@!/XW"</f>
        <v>#VALUE!</v>
      </c>
      <c r="BA265" t="e">
        <f>Europe!F906+"$F;@!/XX"</f>
        <v>#VALUE!</v>
      </c>
      <c r="BB265" t="e">
        <f>Europe!G906+"$F;@!/XY"</f>
        <v>#VALUE!</v>
      </c>
      <c r="BC265" t="e">
        <f>Europe!H906+"$F;@!/XZ"</f>
        <v>#VALUE!</v>
      </c>
      <c r="BD265" t="e">
        <f>Europe!A907+"$F;@!/X["</f>
        <v>#VALUE!</v>
      </c>
      <c r="BE265" t="e">
        <f>Europe!B907+"$F;@!/X\"</f>
        <v>#VALUE!</v>
      </c>
      <c r="BF265" t="e">
        <f>Europe!C907+"$F;@!/X]"</f>
        <v>#VALUE!</v>
      </c>
      <c r="BG265" t="e">
        <f>Europe!D907+"$F;@!/X^"</f>
        <v>#VALUE!</v>
      </c>
      <c r="BH265" t="e">
        <f>Europe!E907+"$F;@!/X_"</f>
        <v>#VALUE!</v>
      </c>
      <c r="BI265" t="e">
        <f>Europe!F907+"$F;@!/X`"</f>
        <v>#VALUE!</v>
      </c>
      <c r="BJ265" t="e">
        <f>Europe!G907+"$F;@!/Xa"</f>
        <v>#VALUE!</v>
      </c>
      <c r="BK265" t="e">
        <f>Europe!H907+"$F;@!/Xb"</f>
        <v>#VALUE!</v>
      </c>
      <c r="BL265" t="e">
        <f>Europe!A908+"$F;@!/Xc"</f>
        <v>#VALUE!</v>
      </c>
      <c r="BM265" t="e">
        <f>Europe!B908+"$F;@!/Xd"</f>
        <v>#VALUE!</v>
      </c>
      <c r="BN265" t="e">
        <f>Europe!C908+"$F;@!/Xe"</f>
        <v>#VALUE!</v>
      </c>
      <c r="BO265" t="e">
        <f>Europe!D908+"$F;@!/Xf"</f>
        <v>#VALUE!</v>
      </c>
      <c r="BP265" t="e">
        <f>Europe!E908+"$F;@!/Xg"</f>
        <v>#VALUE!</v>
      </c>
      <c r="BQ265" t="e">
        <f>Europe!F908+"$F;@!/Xh"</f>
        <v>#VALUE!</v>
      </c>
      <c r="BR265" t="e">
        <f>Europe!G908+"$F;@!/Xi"</f>
        <v>#VALUE!</v>
      </c>
      <c r="BS265" t="e">
        <f>Europe!H908+"$F;@!/Xj"</f>
        <v>#VALUE!</v>
      </c>
      <c r="BT265" t="e">
        <f>Europe!A909+"$F;@!/Xk"</f>
        <v>#VALUE!</v>
      </c>
      <c r="BU265" t="e">
        <f>Europe!B909+"$F;@!/Xl"</f>
        <v>#VALUE!</v>
      </c>
      <c r="BV265" t="e">
        <f>Europe!C909+"$F;@!/Xm"</f>
        <v>#VALUE!</v>
      </c>
      <c r="BW265" t="e">
        <f>Europe!D909+"$F;@!/Xn"</f>
        <v>#VALUE!</v>
      </c>
      <c r="BX265" t="e">
        <f>Europe!E909+"$F;@!/Xo"</f>
        <v>#VALUE!</v>
      </c>
      <c r="BY265" t="e">
        <f>Europe!F909+"$F;@!/Xp"</f>
        <v>#VALUE!</v>
      </c>
      <c r="BZ265" t="e">
        <f>Europe!G909+"$F;@!/Xq"</f>
        <v>#VALUE!</v>
      </c>
      <c r="CA265" t="e">
        <f>Europe!H909+"$F;@!/Xr"</f>
        <v>#VALUE!</v>
      </c>
      <c r="CB265" t="e">
        <f>Europe!A910+"$F;@!/Xs"</f>
        <v>#VALUE!</v>
      </c>
      <c r="CC265" t="e">
        <f>Europe!B910+"$F;@!/Xt"</f>
        <v>#VALUE!</v>
      </c>
      <c r="CD265" t="e">
        <f>Europe!C910+"$F;@!/Xu"</f>
        <v>#VALUE!</v>
      </c>
      <c r="CE265" t="e">
        <f>Europe!D910+"$F;@!/Xv"</f>
        <v>#VALUE!</v>
      </c>
      <c r="CF265" t="e">
        <f>Europe!E910+"$F;@!/Xw"</f>
        <v>#VALUE!</v>
      </c>
      <c r="CG265" t="e">
        <f>Europe!F910+"$F;@!/Xx"</f>
        <v>#VALUE!</v>
      </c>
      <c r="CH265" t="e">
        <f>Europe!G910+"$F;@!/Xy"</f>
        <v>#VALUE!</v>
      </c>
      <c r="CI265" t="e">
        <f>Europe!H910+"$F;@!/Xz"</f>
        <v>#VALUE!</v>
      </c>
      <c r="CJ265" t="e">
        <f>Europe!A911+"$F;@!/X{"</f>
        <v>#VALUE!</v>
      </c>
      <c r="CK265" t="e">
        <f>Europe!B911+"$F;@!/X|"</f>
        <v>#VALUE!</v>
      </c>
      <c r="CL265" t="e">
        <f>Europe!C911+"$F;@!/X}"</f>
        <v>#VALUE!</v>
      </c>
      <c r="CM265" t="e">
        <f>Europe!D911+"$F;@!/X~"</f>
        <v>#VALUE!</v>
      </c>
      <c r="CN265" t="e">
        <f>Europe!E911+"$F;@!/Y#"</f>
        <v>#VALUE!</v>
      </c>
      <c r="CO265" t="e">
        <f>Europe!F911+"$F;@!/Y$"</f>
        <v>#VALUE!</v>
      </c>
      <c r="CP265" t="e">
        <f>Europe!G911+"$F;@!/Y%"</f>
        <v>#VALUE!</v>
      </c>
      <c r="CQ265" t="e">
        <f>Europe!H911+"$F;@!/Y&amp;"</f>
        <v>#VALUE!</v>
      </c>
      <c r="CR265" t="e">
        <f>Europe!A912+"$F;@!/Y'"</f>
        <v>#VALUE!</v>
      </c>
      <c r="CS265" t="e">
        <f>Europe!B912+"$F;@!/Y("</f>
        <v>#VALUE!</v>
      </c>
      <c r="CT265" t="e">
        <f>Europe!C912+"$F;@!/Y)"</f>
        <v>#VALUE!</v>
      </c>
      <c r="CU265" t="e">
        <f>Europe!D912+"$F;@!/Y."</f>
        <v>#VALUE!</v>
      </c>
      <c r="CV265" t="e">
        <f>Europe!E912+"$F;@!/Y/"</f>
        <v>#VALUE!</v>
      </c>
      <c r="CW265" t="e">
        <f>Europe!F912+"$F;@!/Y0"</f>
        <v>#VALUE!</v>
      </c>
      <c r="CX265" t="e">
        <f>Europe!G912+"$F;@!/Y1"</f>
        <v>#VALUE!</v>
      </c>
      <c r="CY265" t="e">
        <f>Europe!H912+"$F;@!/Y2"</f>
        <v>#VALUE!</v>
      </c>
      <c r="CZ265" t="e">
        <f>Europe!A913+"$F;@!/Y3"</f>
        <v>#VALUE!</v>
      </c>
      <c r="DA265" t="e">
        <f>Europe!B913+"$F;@!/Y4"</f>
        <v>#VALUE!</v>
      </c>
      <c r="DB265" t="e">
        <f>Europe!C913+"$F;@!/Y5"</f>
        <v>#VALUE!</v>
      </c>
      <c r="DC265" t="e">
        <f>Europe!D913+"$F;@!/Y6"</f>
        <v>#VALUE!</v>
      </c>
      <c r="DD265" t="e">
        <f>Europe!E913+"$F;@!/Y7"</f>
        <v>#VALUE!</v>
      </c>
      <c r="DE265" t="e">
        <f>Europe!F913+"$F;@!/Y8"</f>
        <v>#VALUE!</v>
      </c>
      <c r="DF265" t="e">
        <f>Europe!G913+"$F;@!/Y9"</f>
        <v>#VALUE!</v>
      </c>
      <c r="DG265" t="e">
        <f>Europe!H913+"$F;@!/Y:"</f>
        <v>#VALUE!</v>
      </c>
      <c r="DH265" t="e">
        <f>Europe!A914+"$F;@!/Y;"</f>
        <v>#VALUE!</v>
      </c>
      <c r="DI265" t="e">
        <f>Europe!B914+"$F;@!/Y&lt;"</f>
        <v>#VALUE!</v>
      </c>
      <c r="DJ265" t="e">
        <f>Europe!C914+"$F;@!/Y="</f>
        <v>#VALUE!</v>
      </c>
      <c r="DK265" t="e">
        <f>Europe!D914+"$F;@!/Y&gt;"</f>
        <v>#VALUE!</v>
      </c>
      <c r="DL265" t="e">
        <f>Europe!E914+"$F;@!/Y?"</f>
        <v>#VALUE!</v>
      </c>
      <c r="DM265" t="e">
        <f>Europe!F914+"$F;@!/Y@"</f>
        <v>#VALUE!</v>
      </c>
      <c r="DN265" t="e">
        <f>Europe!G914+"$F;@!/YA"</f>
        <v>#VALUE!</v>
      </c>
      <c r="DO265" t="e">
        <f>Europe!H914+"$F;@!/YB"</f>
        <v>#VALUE!</v>
      </c>
      <c r="DP265" t="e">
        <f>Europe!A915+"$F;@!/YC"</f>
        <v>#VALUE!</v>
      </c>
      <c r="DQ265" t="e">
        <f>Europe!B915+"$F;@!/YD"</f>
        <v>#VALUE!</v>
      </c>
      <c r="DR265" t="e">
        <f>Europe!C915+"$F;@!/YE"</f>
        <v>#VALUE!</v>
      </c>
      <c r="DS265" t="e">
        <f>Europe!D915+"$F;@!/YF"</f>
        <v>#VALUE!</v>
      </c>
      <c r="DT265" t="e">
        <f>Europe!E915+"$F;@!/YG"</f>
        <v>#VALUE!</v>
      </c>
      <c r="DU265" t="e">
        <f>Europe!F915+"$F;@!/YH"</f>
        <v>#VALUE!</v>
      </c>
      <c r="DV265" t="e">
        <f>Europe!G915+"$F;@!/YI"</f>
        <v>#VALUE!</v>
      </c>
      <c r="DW265" t="e">
        <f>Europe!H915+"$F;@!/YJ"</f>
        <v>#VALUE!</v>
      </c>
      <c r="DX265" t="e">
        <f>Europe!A916+"$F;@!/YK"</f>
        <v>#VALUE!</v>
      </c>
      <c r="DY265" t="e">
        <f>Europe!B916+"$F;@!/YL"</f>
        <v>#VALUE!</v>
      </c>
      <c r="DZ265" t="e">
        <f>Europe!C916+"$F;@!/YM"</f>
        <v>#VALUE!</v>
      </c>
      <c r="EA265" t="e">
        <f>Europe!D916+"$F;@!/YN"</f>
        <v>#VALUE!</v>
      </c>
      <c r="EB265" t="e">
        <f>Europe!E916+"$F;@!/YO"</f>
        <v>#VALUE!</v>
      </c>
      <c r="EC265" t="e">
        <f>Europe!F916+"$F;@!/YP"</f>
        <v>#VALUE!</v>
      </c>
      <c r="ED265" t="e">
        <f>Europe!G916+"$F;@!/YQ"</f>
        <v>#VALUE!</v>
      </c>
      <c r="EE265" t="e">
        <f>Europe!H916+"$F;@!/YR"</f>
        <v>#VALUE!</v>
      </c>
      <c r="EF265" t="e">
        <f>Europe!A917+"$F;@!/YS"</f>
        <v>#VALUE!</v>
      </c>
      <c r="EG265" t="e">
        <f>Europe!B917+"$F;@!/YT"</f>
        <v>#VALUE!</v>
      </c>
      <c r="EH265" t="e">
        <f>Europe!C917+"$F;@!/YU"</f>
        <v>#VALUE!</v>
      </c>
      <c r="EI265" t="e">
        <f>Europe!D917+"$F;@!/YV"</f>
        <v>#VALUE!</v>
      </c>
      <c r="EJ265" t="e">
        <f>Europe!E917+"$F;@!/YW"</f>
        <v>#VALUE!</v>
      </c>
      <c r="EK265" t="e">
        <f>Europe!F917+"$F;@!/YX"</f>
        <v>#VALUE!</v>
      </c>
      <c r="EL265" t="e">
        <f>Europe!G917+"$F;@!/YY"</f>
        <v>#VALUE!</v>
      </c>
      <c r="EM265" t="e">
        <f>Europe!H917+"$F;@!/YZ"</f>
        <v>#VALUE!</v>
      </c>
      <c r="EN265" t="e">
        <f>Europe!A918+"$F;@!/Y["</f>
        <v>#VALUE!</v>
      </c>
      <c r="EO265" t="e">
        <f>Europe!B918+"$F;@!/Y\"</f>
        <v>#VALUE!</v>
      </c>
      <c r="EP265" t="e">
        <f>Europe!C918+"$F;@!/Y]"</f>
        <v>#VALUE!</v>
      </c>
      <c r="EQ265" t="e">
        <f>Europe!D918+"$F;@!/Y^"</f>
        <v>#VALUE!</v>
      </c>
      <c r="ER265" t="e">
        <f>Europe!E918+"$F;@!/Y_"</f>
        <v>#VALUE!</v>
      </c>
      <c r="ES265" t="e">
        <f>Europe!F918+"$F;@!/Y`"</f>
        <v>#VALUE!</v>
      </c>
      <c r="ET265" t="e">
        <f>Europe!G918+"$F;@!/Ya"</f>
        <v>#VALUE!</v>
      </c>
      <c r="EU265" t="e">
        <f>Europe!H918+"$F;@!/Yb"</f>
        <v>#VALUE!</v>
      </c>
      <c r="EV265" t="e">
        <f>Europe!A919+"$F;@!/Yc"</f>
        <v>#VALUE!</v>
      </c>
      <c r="EW265" t="e">
        <f>Europe!B919+"$F;@!/Yd"</f>
        <v>#VALUE!</v>
      </c>
      <c r="EX265" t="e">
        <f>Europe!C919+"$F;@!/Ye"</f>
        <v>#VALUE!</v>
      </c>
      <c r="EY265" t="e">
        <f>Europe!D919+"$F;@!/Yf"</f>
        <v>#VALUE!</v>
      </c>
      <c r="EZ265" t="e">
        <f>Europe!E919+"$F;@!/Yg"</f>
        <v>#VALUE!</v>
      </c>
      <c r="FA265" t="e">
        <f>Europe!F919+"$F;@!/Yh"</f>
        <v>#VALUE!</v>
      </c>
      <c r="FB265" t="e">
        <f>Europe!G919+"$F;@!/Yi"</f>
        <v>#VALUE!</v>
      </c>
      <c r="FC265" t="e">
        <f>Europe!H919+"$F;@!/Yj"</f>
        <v>#VALUE!</v>
      </c>
      <c r="FD265" t="e">
        <f>Europe!A920+"$F;@!/Yk"</f>
        <v>#VALUE!</v>
      </c>
      <c r="FE265" t="e">
        <f>Europe!B920+"$F;@!/Yl"</f>
        <v>#VALUE!</v>
      </c>
      <c r="FF265" t="e">
        <f>Europe!C920+"$F;@!/Ym"</f>
        <v>#VALUE!</v>
      </c>
      <c r="FG265" t="e">
        <f>Europe!D920+"$F;@!/Yn"</f>
        <v>#VALUE!</v>
      </c>
      <c r="FH265" t="e">
        <f>Europe!E920+"$F;@!/Yo"</f>
        <v>#VALUE!</v>
      </c>
      <c r="FI265" t="e">
        <f>Europe!F920+"$F;@!/Yp"</f>
        <v>#VALUE!</v>
      </c>
      <c r="FJ265" t="e">
        <f>Europe!G920+"$F;@!/Yq"</f>
        <v>#VALUE!</v>
      </c>
      <c r="FK265" t="e">
        <f>Europe!H920+"$F;@!/Yr"</f>
        <v>#VALUE!</v>
      </c>
      <c r="FL265" t="e">
        <f>Europe!A921+"$F;@!/Ys"</f>
        <v>#VALUE!</v>
      </c>
      <c r="FM265" t="e">
        <f>Europe!B921+"$F;@!/Yt"</f>
        <v>#VALUE!</v>
      </c>
      <c r="FN265" t="e">
        <f>Europe!C921+"$F;@!/Yu"</f>
        <v>#VALUE!</v>
      </c>
      <c r="FO265" t="e">
        <f>Europe!D921+"$F;@!/Yv"</f>
        <v>#VALUE!</v>
      </c>
      <c r="FP265" t="e">
        <f>Europe!E921+"$F;@!/Yw"</f>
        <v>#VALUE!</v>
      </c>
      <c r="FQ265" t="e">
        <f>Europe!F921+"$F;@!/Yx"</f>
        <v>#VALUE!</v>
      </c>
      <c r="FR265" t="e">
        <f>Europe!G921+"$F;@!/Yy"</f>
        <v>#VALUE!</v>
      </c>
      <c r="FS265" t="e">
        <f>Europe!H921+"$F;@!/Yz"</f>
        <v>#VALUE!</v>
      </c>
      <c r="FT265" t="e">
        <f>Europe!A922+"$F;@!/Y{"</f>
        <v>#VALUE!</v>
      </c>
      <c r="FU265" t="e">
        <f>Europe!B922+"$F;@!/Y|"</f>
        <v>#VALUE!</v>
      </c>
      <c r="FV265" t="e">
        <f>Europe!C922+"$F;@!/Y}"</f>
        <v>#VALUE!</v>
      </c>
      <c r="FW265" t="e">
        <f>Europe!D922+"$F;@!/Y~"</f>
        <v>#VALUE!</v>
      </c>
      <c r="FX265" t="e">
        <f>Europe!E922+"$F;@!/Z#"</f>
        <v>#VALUE!</v>
      </c>
      <c r="FY265" t="e">
        <f>Europe!F922+"$F;@!/Z$"</f>
        <v>#VALUE!</v>
      </c>
      <c r="FZ265" t="e">
        <f>Europe!G922+"$F;@!/Z%"</f>
        <v>#VALUE!</v>
      </c>
      <c r="GA265" t="e">
        <f>Europe!H922+"$F;@!/Z&amp;"</f>
        <v>#VALUE!</v>
      </c>
      <c r="GB265" t="e">
        <f>Europe!A923+"$F;@!/Z'"</f>
        <v>#VALUE!</v>
      </c>
      <c r="GC265" t="e">
        <f>Europe!B923+"$F;@!/Z("</f>
        <v>#VALUE!</v>
      </c>
      <c r="GD265" t="e">
        <f>Europe!C923+"$F;@!/Z)"</f>
        <v>#VALUE!</v>
      </c>
      <c r="GE265" t="e">
        <f>Europe!D923+"$F;@!/Z."</f>
        <v>#VALUE!</v>
      </c>
      <c r="GF265" t="e">
        <f>Europe!E923+"$F;@!/Z/"</f>
        <v>#VALUE!</v>
      </c>
      <c r="GG265" t="e">
        <f>Europe!F923+"$F;@!/Z0"</f>
        <v>#VALUE!</v>
      </c>
      <c r="GH265" t="e">
        <f>Europe!G923+"$F;@!/Z1"</f>
        <v>#VALUE!</v>
      </c>
      <c r="GI265" t="e">
        <f>Europe!H923+"$F;@!/Z2"</f>
        <v>#VALUE!</v>
      </c>
      <c r="GJ265" t="e">
        <f>Europe!A924+"$F;@!/Z3"</f>
        <v>#VALUE!</v>
      </c>
      <c r="GK265" t="e">
        <f>Europe!B924+"$F;@!/Z4"</f>
        <v>#VALUE!</v>
      </c>
      <c r="GL265" t="e">
        <f>Europe!C924+"$F;@!/Z5"</f>
        <v>#VALUE!</v>
      </c>
      <c r="GM265" t="e">
        <f>Europe!D924+"$F;@!/Z6"</f>
        <v>#VALUE!</v>
      </c>
      <c r="GN265" t="e">
        <f>Europe!E924+"$F;@!/Z7"</f>
        <v>#VALUE!</v>
      </c>
      <c r="GO265" t="e">
        <f>Europe!F924+"$F;@!/Z8"</f>
        <v>#VALUE!</v>
      </c>
      <c r="GP265" t="e">
        <f>Europe!G924+"$F;@!/Z9"</f>
        <v>#VALUE!</v>
      </c>
      <c r="GQ265" t="e">
        <f>Europe!H924+"$F;@!/Z:"</f>
        <v>#VALUE!</v>
      </c>
      <c r="GR265" t="e">
        <f>Europe!A925+"$F;@!/Z;"</f>
        <v>#VALUE!</v>
      </c>
      <c r="GS265" t="e">
        <f>Europe!B925+"$F;@!/Z&lt;"</f>
        <v>#VALUE!</v>
      </c>
      <c r="GT265" t="e">
        <f>Europe!C925+"$F;@!/Z="</f>
        <v>#VALUE!</v>
      </c>
      <c r="GU265" t="e">
        <f>Europe!D925+"$F;@!/Z&gt;"</f>
        <v>#VALUE!</v>
      </c>
      <c r="GV265" t="e">
        <f>Europe!E925+"$F;@!/Z?"</f>
        <v>#VALUE!</v>
      </c>
      <c r="GW265" t="e">
        <f>Europe!F925+"$F;@!/Z@"</f>
        <v>#VALUE!</v>
      </c>
      <c r="GX265" t="e">
        <f>Europe!G925+"$F;@!/ZA"</f>
        <v>#VALUE!</v>
      </c>
      <c r="GY265" t="e">
        <f>Europe!H925+"$F;@!/ZB"</f>
        <v>#VALUE!</v>
      </c>
      <c r="GZ265" t="e">
        <f>Europe!A926+"$F;@!/ZC"</f>
        <v>#VALUE!</v>
      </c>
      <c r="HA265" t="e">
        <f>Europe!B926+"$F;@!/ZD"</f>
        <v>#VALUE!</v>
      </c>
      <c r="HB265" t="e">
        <f>Europe!C926+"$F;@!/ZE"</f>
        <v>#VALUE!</v>
      </c>
      <c r="HC265" t="e">
        <f>Europe!D926+"$F;@!/ZF"</f>
        <v>#VALUE!</v>
      </c>
      <c r="HD265" t="e">
        <f>Europe!E926+"$F;@!/ZG"</f>
        <v>#VALUE!</v>
      </c>
      <c r="HE265" t="e">
        <f>Europe!F926+"$F;@!/ZH"</f>
        <v>#VALUE!</v>
      </c>
      <c r="HF265" t="e">
        <f>Europe!G926+"$F;@!/ZI"</f>
        <v>#VALUE!</v>
      </c>
      <c r="HG265" t="e">
        <f>Europe!H926+"$F;@!/ZJ"</f>
        <v>#VALUE!</v>
      </c>
      <c r="HH265" t="e">
        <f>Europe!A927+"$F;@!/ZK"</f>
        <v>#VALUE!</v>
      </c>
      <c r="HI265" t="e">
        <f>Europe!B927+"$F;@!/ZL"</f>
        <v>#VALUE!</v>
      </c>
      <c r="HJ265" t="e">
        <f>Europe!C927+"$F;@!/ZM"</f>
        <v>#VALUE!</v>
      </c>
      <c r="HK265" t="e">
        <f>Europe!D927+"$F;@!/ZN"</f>
        <v>#VALUE!</v>
      </c>
      <c r="HL265" t="e">
        <f>Europe!E927+"$F;@!/ZO"</f>
        <v>#VALUE!</v>
      </c>
      <c r="HM265" t="e">
        <f>Europe!F927+"$F;@!/ZP"</f>
        <v>#VALUE!</v>
      </c>
      <c r="HN265" t="e">
        <f>Europe!G927+"$F;@!/ZQ"</f>
        <v>#VALUE!</v>
      </c>
      <c r="HO265" t="e">
        <f>Europe!H927+"$F;@!/ZR"</f>
        <v>#VALUE!</v>
      </c>
      <c r="HP265" t="e">
        <f>Europe!A928+"$F;@!/ZS"</f>
        <v>#VALUE!</v>
      </c>
      <c r="HQ265" t="e">
        <f>Europe!B928+"$F;@!/ZT"</f>
        <v>#VALUE!</v>
      </c>
      <c r="HR265" t="e">
        <f>Europe!C928+"$F;@!/ZU"</f>
        <v>#VALUE!</v>
      </c>
      <c r="HS265" t="e">
        <f>Europe!D928+"$F;@!/ZV"</f>
        <v>#VALUE!</v>
      </c>
      <c r="HT265" t="e">
        <f>Europe!E928+"$F;@!/ZW"</f>
        <v>#VALUE!</v>
      </c>
      <c r="HU265" t="e">
        <f>Europe!F928+"$F;@!/ZX"</f>
        <v>#VALUE!</v>
      </c>
      <c r="HV265" t="e">
        <f>Europe!G928+"$F;@!/ZY"</f>
        <v>#VALUE!</v>
      </c>
      <c r="HW265" t="e">
        <f>Europe!H928+"$F;@!/ZZ"</f>
        <v>#VALUE!</v>
      </c>
      <c r="HX265" t="e">
        <f>Europe!A929+"$F;@!/Z["</f>
        <v>#VALUE!</v>
      </c>
      <c r="HY265" t="e">
        <f>Europe!B929+"$F;@!/Z\"</f>
        <v>#VALUE!</v>
      </c>
      <c r="HZ265" t="e">
        <f>Europe!C929+"$F;@!/Z]"</f>
        <v>#VALUE!</v>
      </c>
      <c r="IA265" t="e">
        <f>Europe!D929+"$F;@!/Z^"</f>
        <v>#VALUE!</v>
      </c>
      <c r="IB265" t="e">
        <f>Europe!E929+"$F;@!/Z_"</f>
        <v>#VALUE!</v>
      </c>
      <c r="IC265" t="e">
        <f>Europe!F929+"$F;@!/Z`"</f>
        <v>#VALUE!</v>
      </c>
      <c r="ID265" t="e">
        <f>Europe!G929+"$F;@!/Za"</f>
        <v>#VALUE!</v>
      </c>
      <c r="IE265" t="e">
        <f>Europe!H929+"$F;@!/Zb"</f>
        <v>#VALUE!</v>
      </c>
      <c r="IF265" t="e">
        <f>Europe!A930+"$F;@!/Zc"</f>
        <v>#VALUE!</v>
      </c>
      <c r="IG265" t="e">
        <f>Europe!B930+"$F;@!/Zd"</f>
        <v>#VALUE!</v>
      </c>
      <c r="IH265" t="e">
        <f>Europe!C930+"$F;@!/Ze"</f>
        <v>#VALUE!</v>
      </c>
      <c r="II265" t="e">
        <f>Europe!D930+"$F;@!/Zf"</f>
        <v>#VALUE!</v>
      </c>
      <c r="IJ265" t="e">
        <f>Europe!E930+"$F;@!/Zg"</f>
        <v>#VALUE!</v>
      </c>
      <c r="IK265" t="e">
        <f>Europe!F930+"$F;@!/Zh"</f>
        <v>#VALUE!</v>
      </c>
      <c r="IL265" t="e">
        <f>Europe!G930+"$F;@!/Zi"</f>
        <v>#VALUE!</v>
      </c>
      <c r="IM265" t="e">
        <f>Europe!H930+"$F;@!/Zj"</f>
        <v>#VALUE!</v>
      </c>
      <c r="IN265" t="e">
        <f>Europe!A931+"$F;@!/Zk"</f>
        <v>#VALUE!</v>
      </c>
      <c r="IO265" t="e">
        <f>Europe!B931+"$F;@!/Zl"</f>
        <v>#VALUE!</v>
      </c>
      <c r="IP265" t="e">
        <f>Europe!C931+"$F;@!/Zm"</f>
        <v>#VALUE!</v>
      </c>
      <c r="IQ265" t="e">
        <f>Europe!D931+"$F;@!/Zn"</f>
        <v>#VALUE!</v>
      </c>
      <c r="IR265" t="e">
        <f>Europe!E931+"$F;@!/Zo"</f>
        <v>#VALUE!</v>
      </c>
      <c r="IS265" t="e">
        <f>Europe!F931+"$F;@!/Zp"</f>
        <v>#VALUE!</v>
      </c>
      <c r="IT265" t="e">
        <f>Europe!G931+"$F;@!/Zq"</f>
        <v>#VALUE!</v>
      </c>
      <c r="IU265" t="e">
        <f>Europe!H931+"$F;@!/Zr"</f>
        <v>#VALUE!</v>
      </c>
      <c r="IV265" t="e">
        <f>Europe!A932+"$F;@!/Zs"</f>
        <v>#VALUE!</v>
      </c>
    </row>
    <row r="266" spans="6:256" x14ac:dyDescent="0.35">
      <c r="F266" t="e">
        <f>Europe!B932+"$F;@!/Zt"</f>
        <v>#VALUE!</v>
      </c>
      <c r="G266" t="e">
        <f>Europe!C932+"$F;@!/Zu"</f>
        <v>#VALUE!</v>
      </c>
      <c r="H266" t="e">
        <f>Europe!D932+"$F;@!/Zv"</f>
        <v>#VALUE!</v>
      </c>
      <c r="I266" t="e">
        <f>Europe!E932+"$F;@!/Zw"</f>
        <v>#VALUE!</v>
      </c>
      <c r="J266" t="e">
        <f>Europe!F932+"$F;@!/Zx"</f>
        <v>#VALUE!</v>
      </c>
      <c r="K266" t="e">
        <f>Europe!G932+"$F;@!/Zy"</f>
        <v>#VALUE!</v>
      </c>
      <c r="L266" t="e">
        <f>Europe!H932+"$F;@!/Zz"</f>
        <v>#VALUE!</v>
      </c>
      <c r="M266" t="e">
        <f>Europe!A933+"$F;@!/Z{"</f>
        <v>#VALUE!</v>
      </c>
      <c r="N266" t="e">
        <f>Europe!B933+"$F;@!/Z|"</f>
        <v>#VALUE!</v>
      </c>
      <c r="O266" t="e">
        <f>Europe!C933+"$F;@!/Z}"</f>
        <v>#VALUE!</v>
      </c>
      <c r="P266" t="e">
        <f>Europe!D933+"$F;@!/Z~"</f>
        <v>#VALUE!</v>
      </c>
      <c r="Q266" t="e">
        <f>Europe!E933+"$F;@!/[#"</f>
        <v>#VALUE!</v>
      </c>
      <c r="R266" t="e">
        <f>Europe!F933+"$F;@!/[$"</f>
        <v>#VALUE!</v>
      </c>
      <c r="S266" t="e">
        <f>Europe!G933+"$F;@!/[%"</f>
        <v>#VALUE!</v>
      </c>
      <c r="T266" t="e">
        <f>Europe!H933+"$F;@!/[&amp;"</f>
        <v>#VALUE!</v>
      </c>
      <c r="U266" t="e">
        <f>Europe!A934+"$F;@!/['"</f>
        <v>#VALUE!</v>
      </c>
      <c r="V266" t="e">
        <f>Europe!B934+"$F;@!/[("</f>
        <v>#VALUE!</v>
      </c>
      <c r="W266" t="e">
        <f>Europe!C934+"$F;@!/[)"</f>
        <v>#VALUE!</v>
      </c>
      <c r="X266" t="e">
        <f>Europe!D934+"$F;@!/[."</f>
        <v>#VALUE!</v>
      </c>
      <c r="Y266" t="e">
        <f>Europe!E934+"$F;@!/[/"</f>
        <v>#VALUE!</v>
      </c>
      <c r="Z266" t="e">
        <f>Europe!F934+"$F;@!/[0"</f>
        <v>#VALUE!</v>
      </c>
      <c r="AA266" t="e">
        <f>Europe!G934+"$F;@!/[1"</f>
        <v>#VALUE!</v>
      </c>
      <c r="AB266" t="e">
        <f>Europe!H934+"$F;@!/[2"</f>
        <v>#VALUE!</v>
      </c>
      <c r="AC266" t="e">
        <f>Europe!A935+"$F;@!/[3"</f>
        <v>#VALUE!</v>
      </c>
      <c r="AD266" t="e">
        <f>Europe!B935+"$F;@!/[4"</f>
        <v>#VALUE!</v>
      </c>
      <c r="AE266" t="e">
        <f>Europe!C935+"$F;@!/[5"</f>
        <v>#VALUE!</v>
      </c>
      <c r="AF266" t="e">
        <f>Europe!D935+"$F;@!/[6"</f>
        <v>#VALUE!</v>
      </c>
      <c r="AG266" t="e">
        <f>Europe!E935+"$F;@!/[7"</f>
        <v>#VALUE!</v>
      </c>
      <c r="AH266" t="e">
        <f>Europe!F935+"$F;@!/[8"</f>
        <v>#VALUE!</v>
      </c>
      <c r="AI266" t="e">
        <f>Europe!G935+"$F;@!/[9"</f>
        <v>#VALUE!</v>
      </c>
      <c r="AJ266" t="e">
        <f>Europe!H935+"$F;@!/[:"</f>
        <v>#VALUE!</v>
      </c>
      <c r="AK266" t="e">
        <f>Europe!A936+"$F;@!/[;"</f>
        <v>#VALUE!</v>
      </c>
      <c r="AL266" t="e">
        <f>Europe!B936+"$F;@!/[&lt;"</f>
        <v>#VALUE!</v>
      </c>
      <c r="AM266" t="e">
        <f>Europe!C936+"$F;@!/[="</f>
        <v>#VALUE!</v>
      </c>
      <c r="AN266" t="e">
        <f>Europe!D936+"$F;@!/[&gt;"</f>
        <v>#VALUE!</v>
      </c>
      <c r="AO266" t="e">
        <f>Europe!E936+"$F;@!/[?"</f>
        <v>#VALUE!</v>
      </c>
      <c r="AP266" t="e">
        <f>Europe!F936+"$F;@!/[@"</f>
        <v>#VALUE!</v>
      </c>
      <c r="AQ266" t="e">
        <f>Europe!G936+"$F;@!/[A"</f>
        <v>#VALUE!</v>
      </c>
      <c r="AR266" t="e">
        <f>Europe!H936+"$F;@!/[B"</f>
        <v>#VALUE!</v>
      </c>
      <c r="AS266" t="e">
        <f>Europe!A937+"$F;@!/[C"</f>
        <v>#VALUE!</v>
      </c>
      <c r="AT266" t="e">
        <f>Europe!B937+"$F;@!/[D"</f>
        <v>#VALUE!</v>
      </c>
      <c r="AU266" t="e">
        <f>Europe!C937+"$F;@!/[E"</f>
        <v>#VALUE!</v>
      </c>
      <c r="AV266" t="e">
        <f>Europe!D937+"$F;@!/[F"</f>
        <v>#VALUE!</v>
      </c>
      <c r="AW266" t="e">
        <f>Europe!E937+"$F;@!/[G"</f>
        <v>#VALUE!</v>
      </c>
      <c r="AX266" t="e">
        <f>Europe!F937+"$F;@!/[H"</f>
        <v>#VALUE!</v>
      </c>
      <c r="AY266" t="e">
        <f>Europe!G937+"$F;@!/[I"</f>
        <v>#VALUE!</v>
      </c>
      <c r="AZ266" t="e">
        <f>Europe!H937+"$F;@!/[J"</f>
        <v>#VALUE!</v>
      </c>
      <c r="BA266" t="e">
        <f>Europe!A938+"$F;@!/[K"</f>
        <v>#VALUE!</v>
      </c>
      <c r="BB266" t="e">
        <f>Europe!B938+"$F;@!/[L"</f>
        <v>#VALUE!</v>
      </c>
      <c r="BC266" t="e">
        <f>Europe!C938+"$F;@!/[M"</f>
        <v>#VALUE!</v>
      </c>
      <c r="BD266" t="e">
        <f>Europe!D938+"$F;@!/[N"</f>
        <v>#VALUE!</v>
      </c>
      <c r="BE266" t="e">
        <f>Europe!E938+"$F;@!/[O"</f>
        <v>#VALUE!</v>
      </c>
      <c r="BF266" t="e">
        <f>Europe!F938+"$F;@!/[P"</f>
        <v>#VALUE!</v>
      </c>
      <c r="BG266" t="e">
        <f>Europe!G938+"$F;@!/[Q"</f>
        <v>#VALUE!</v>
      </c>
      <c r="BH266" t="e">
        <f>Europe!H938+"$F;@!/[R"</f>
        <v>#VALUE!</v>
      </c>
      <c r="BI266" t="e">
        <f>Europe!A939+"$F;@!/[S"</f>
        <v>#VALUE!</v>
      </c>
      <c r="BJ266" t="e">
        <f>Europe!B939+"$F;@!/[T"</f>
        <v>#VALUE!</v>
      </c>
      <c r="BK266" t="e">
        <f>Europe!C939+"$F;@!/[U"</f>
        <v>#VALUE!</v>
      </c>
      <c r="BL266" t="e">
        <f>Europe!D939+"$F;@!/[V"</f>
        <v>#VALUE!</v>
      </c>
      <c r="BM266" t="e">
        <f>Europe!E939+"$F;@!/[W"</f>
        <v>#VALUE!</v>
      </c>
      <c r="BN266" t="e">
        <f>Europe!F939+"$F;@!/[X"</f>
        <v>#VALUE!</v>
      </c>
      <c r="BO266" t="e">
        <f>Europe!G939+"$F;@!/[Y"</f>
        <v>#VALUE!</v>
      </c>
      <c r="BP266" t="e">
        <f>Europe!H939+"$F;@!/[Z"</f>
        <v>#VALUE!</v>
      </c>
      <c r="BQ266" t="e">
        <f>Europe!A940+"$F;@!/[["</f>
        <v>#VALUE!</v>
      </c>
      <c r="BR266" t="e">
        <f>Europe!B940+"$F;@!/[\"</f>
        <v>#VALUE!</v>
      </c>
      <c r="BS266" t="e">
        <f>Europe!C940+"$F;@!/[]"</f>
        <v>#VALUE!</v>
      </c>
      <c r="BT266" t="e">
        <f>Europe!D940+"$F;@!/[^"</f>
        <v>#VALUE!</v>
      </c>
      <c r="BU266" t="e">
        <f>Europe!E940+"$F;@!/[_"</f>
        <v>#VALUE!</v>
      </c>
      <c r="BV266" t="e">
        <f>Europe!F940+"$F;@!/[`"</f>
        <v>#VALUE!</v>
      </c>
      <c r="BW266" t="e">
        <f>Europe!G940+"$F;@!/[a"</f>
        <v>#VALUE!</v>
      </c>
      <c r="BX266" t="e">
        <f>Europe!H940+"$F;@!/[b"</f>
        <v>#VALUE!</v>
      </c>
      <c r="BY266" t="e">
        <f>Europe!A941+"$F;@!/[c"</f>
        <v>#VALUE!</v>
      </c>
      <c r="BZ266" t="e">
        <f>Europe!B941+"$F;@!/[d"</f>
        <v>#VALUE!</v>
      </c>
      <c r="CA266" t="e">
        <f>Europe!C941+"$F;@!/[e"</f>
        <v>#VALUE!</v>
      </c>
      <c r="CB266" t="e">
        <f>Europe!D941+"$F;@!/[f"</f>
        <v>#VALUE!</v>
      </c>
      <c r="CC266" t="e">
        <f>Europe!E941+"$F;@!/[g"</f>
        <v>#VALUE!</v>
      </c>
      <c r="CD266" t="e">
        <f>Europe!F941+"$F;@!/[h"</f>
        <v>#VALUE!</v>
      </c>
      <c r="CE266" t="e">
        <f>Europe!G941+"$F;@!/[i"</f>
        <v>#VALUE!</v>
      </c>
      <c r="CF266" t="e">
        <f>Europe!H941+"$F;@!/[j"</f>
        <v>#VALUE!</v>
      </c>
      <c r="CG266" t="e">
        <f>Europe!A942+"$F;@!/[k"</f>
        <v>#VALUE!</v>
      </c>
      <c r="CH266" t="e">
        <f>Europe!B942+"$F;@!/[l"</f>
        <v>#VALUE!</v>
      </c>
      <c r="CI266" t="e">
        <f>Europe!C942+"$F;@!/[m"</f>
        <v>#VALUE!</v>
      </c>
      <c r="CJ266" t="e">
        <f>Europe!D942+"$F;@!/[n"</f>
        <v>#VALUE!</v>
      </c>
      <c r="CK266" t="e">
        <f>Europe!E942+"$F;@!/[o"</f>
        <v>#VALUE!</v>
      </c>
      <c r="CL266" t="e">
        <f>Europe!F942+"$F;@!/[p"</f>
        <v>#VALUE!</v>
      </c>
      <c r="CM266" t="e">
        <f>Europe!G942+"$F;@!/[q"</f>
        <v>#VALUE!</v>
      </c>
      <c r="CN266" t="e">
        <f>Europe!H942+"$F;@!/[r"</f>
        <v>#VALUE!</v>
      </c>
      <c r="CO266" t="e">
        <f>Europe!A943+"$F;@!/[s"</f>
        <v>#VALUE!</v>
      </c>
      <c r="CP266" t="e">
        <f>Europe!B943+"$F;@!/[t"</f>
        <v>#VALUE!</v>
      </c>
      <c r="CQ266" t="e">
        <f>Europe!C943+"$F;@!/[u"</f>
        <v>#VALUE!</v>
      </c>
      <c r="CR266" t="e">
        <f>Europe!D943+"$F;@!/[v"</f>
        <v>#VALUE!</v>
      </c>
      <c r="CS266" t="e">
        <f>Europe!E943+"$F;@!/[w"</f>
        <v>#VALUE!</v>
      </c>
      <c r="CT266" t="e">
        <f>Europe!F943+"$F;@!/[x"</f>
        <v>#VALUE!</v>
      </c>
      <c r="CU266" t="e">
        <f>Europe!G943+"$F;@!/[y"</f>
        <v>#VALUE!</v>
      </c>
      <c r="CV266" t="e">
        <f>Europe!H943+"$F;@!/[z"</f>
        <v>#VALUE!</v>
      </c>
      <c r="CW266" t="e">
        <f>Europe!A944+"$F;@!/[{"</f>
        <v>#VALUE!</v>
      </c>
      <c r="CX266" t="e">
        <f>Europe!B944+"$F;@!/[|"</f>
        <v>#VALUE!</v>
      </c>
      <c r="CY266" t="e">
        <f>Europe!C944+"$F;@!/[}"</f>
        <v>#VALUE!</v>
      </c>
      <c r="CZ266" t="e">
        <f>Europe!D944+"$F;@!/[~"</f>
        <v>#VALUE!</v>
      </c>
      <c r="DA266" t="e">
        <f>Europe!E944+"$F;@!/\#"</f>
        <v>#VALUE!</v>
      </c>
      <c r="DB266" t="e">
        <f>Europe!F944+"$F;@!/\$"</f>
        <v>#VALUE!</v>
      </c>
      <c r="DC266" t="e">
        <f>Europe!G944+"$F;@!/\%"</f>
        <v>#VALUE!</v>
      </c>
      <c r="DD266" t="e">
        <f>Europe!H944+"$F;@!/\&amp;"</f>
        <v>#VALUE!</v>
      </c>
      <c r="DE266" t="e">
        <f>Europe!A945+"$F;@!/\'"</f>
        <v>#VALUE!</v>
      </c>
      <c r="DF266" t="e">
        <f>Europe!B945+"$F;@!/\("</f>
        <v>#VALUE!</v>
      </c>
      <c r="DG266" t="e">
        <f>Europe!C945+"$F;@!/\)"</f>
        <v>#VALUE!</v>
      </c>
      <c r="DH266" t="e">
        <f>Europe!D945+"$F;@!/\."</f>
        <v>#VALUE!</v>
      </c>
      <c r="DI266" t="e">
        <f>Europe!E945+"$F;@!/\/"</f>
        <v>#VALUE!</v>
      </c>
      <c r="DJ266" t="e">
        <f>Europe!F945+"$F;@!/\0"</f>
        <v>#VALUE!</v>
      </c>
      <c r="DK266" t="e">
        <f>Europe!G945+"$F;@!/\1"</f>
        <v>#VALUE!</v>
      </c>
      <c r="DL266" t="e">
        <f>Europe!H945+"$F;@!/\2"</f>
        <v>#VALUE!</v>
      </c>
      <c r="DM266" t="e">
        <f>Europe!A946+"$F;@!/\3"</f>
        <v>#VALUE!</v>
      </c>
      <c r="DN266" t="e">
        <f>Europe!B946+"$F;@!/\4"</f>
        <v>#VALUE!</v>
      </c>
      <c r="DO266" t="e">
        <f>Europe!C946+"$F;@!/\5"</f>
        <v>#VALUE!</v>
      </c>
      <c r="DP266" t="e">
        <f>Europe!D946+"$F;@!/\6"</f>
        <v>#VALUE!</v>
      </c>
      <c r="DQ266" t="e">
        <f>Europe!E946+"$F;@!/\7"</f>
        <v>#VALUE!</v>
      </c>
      <c r="DR266" t="e">
        <f>Europe!F946+"$F;@!/\8"</f>
        <v>#VALUE!</v>
      </c>
      <c r="DS266" t="e">
        <f>Europe!G946+"$F;@!/\9"</f>
        <v>#VALUE!</v>
      </c>
      <c r="DT266" t="e">
        <f>Europe!H946+"$F;@!/\:"</f>
        <v>#VALUE!</v>
      </c>
      <c r="DU266" t="e">
        <f>Europe!A947+"$F;@!/\;"</f>
        <v>#VALUE!</v>
      </c>
      <c r="DV266" t="e">
        <f>Europe!B947+"$F;@!/\&lt;"</f>
        <v>#VALUE!</v>
      </c>
      <c r="DW266" t="e">
        <f>Europe!C947+"$F;@!/\="</f>
        <v>#VALUE!</v>
      </c>
      <c r="DX266" t="e">
        <f>Europe!D947+"$F;@!/\&gt;"</f>
        <v>#VALUE!</v>
      </c>
      <c r="DY266" t="e">
        <f>Europe!E947+"$F;@!/\?"</f>
        <v>#VALUE!</v>
      </c>
      <c r="DZ266" t="e">
        <f>Europe!F947+"$F;@!/\@"</f>
        <v>#VALUE!</v>
      </c>
      <c r="EA266" t="e">
        <f>Europe!G947+"$F;@!/\A"</f>
        <v>#VALUE!</v>
      </c>
      <c r="EB266" t="e">
        <f>Europe!H947+"$F;@!/\B"</f>
        <v>#VALUE!</v>
      </c>
      <c r="EC266" t="e">
        <f>Europe!A948+"$F;@!/\C"</f>
        <v>#VALUE!</v>
      </c>
      <c r="ED266" t="e">
        <f>Europe!B948+"$F;@!/\D"</f>
        <v>#VALUE!</v>
      </c>
      <c r="EE266" t="e">
        <f>Europe!C948+"$F;@!/\E"</f>
        <v>#VALUE!</v>
      </c>
      <c r="EF266" t="e">
        <f>Europe!D948+"$F;@!/\F"</f>
        <v>#VALUE!</v>
      </c>
      <c r="EG266" t="e">
        <f>Europe!E948+"$F;@!/\G"</f>
        <v>#VALUE!</v>
      </c>
      <c r="EH266" t="e">
        <f>Europe!F948+"$F;@!/\H"</f>
        <v>#VALUE!</v>
      </c>
      <c r="EI266" t="e">
        <f>Europe!G948+"$F;@!/\I"</f>
        <v>#VALUE!</v>
      </c>
      <c r="EJ266" t="e">
        <f>Europe!H948+"$F;@!/\J"</f>
        <v>#VALUE!</v>
      </c>
      <c r="EK266" t="e">
        <f>Europe!A949+"$F;@!/\K"</f>
        <v>#VALUE!</v>
      </c>
      <c r="EL266" t="e">
        <f>Europe!B949+"$F;@!/\L"</f>
        <v>#VALUE!</v>
      </c>
      <c r="EM266" t="e">
        <f>Europe!C949+"$F;@!/\M"</f>
        <v>#VALUE!</v>
      </c>
      <c r="EN266" t="e">
        <f>Europe!D949+"$F;@!/\N"</f>
        <v>#VALUE!</v>
      </c>
      <c r="EO266" t="e">
        <f>Europe!E949+"$F;@!/\O"</f>
        <v>#VALUE!</v>
      </c>
      <c r="EP266" t="e">
        <f>Europe!F949+"$F;@!/\P"</f>
        <v>#VALUE!</v>
      </c>
      <c r="EQ266" t="e">
        <f>Europe!G949+"$F;@!/\Q"</f>
        <v>#VALUE!</v>
      </c>
      <c r="ER266" t="e">
        <f>Europe!H949+"$F;@!/\R"</f>
        <v>#VALUE!</v>
      </c>
      <c r="ES266" t="e">
        <f>Europe!A950+"$F;@!/\S"</f>
        <v>#VALUE!</v>
      </c>
      <c r="ET266" t="e">
        <f>Europe!B950+"$F;@!/\T"</f>
        <v>#VALUE!</v>
      </c>
      <c r="EU266" t="e">
        <f>Europe!C950+"$F;@!/\U"</f>
        <v>#VALUE!</v>
      </c>
      <c r="EV266" t="e">
        <f>Europe!D950+"$F;@!/\V"</f>
        <v>#VALUE!</v>
      </c>
      <c r="EW266" t="e">
        <f>Europe!E950+"$F;@!/\W"</f>
        <v>#VALUE!</v>
      </c>
      <c r="EX266" t="e">
        <f>Europe!F950+"$F;@!/\X"</f>
        <v>#VALUE!</v>
      </c>
      <c r="EY266" t="e">
        <f>Europe!G950+"$F;@!/\Y"</f>
        <v>#VALUE!</v>
      </c>
      <c r="EZ266" t="e">
        <f>Europe!H950+"$F;@!/\Z"</f>
        <v>#VALUE!</v>
      </c>
      <c r="FA266" t="e">
        <f>Europe!A951+"$F;@!/\["</f>
        <v>#VALUE!</v>
      </c>
      <c r="FB266" t="e">
        <f>Europe!B951+"$F;@!/\\"</f>
        <v>#VALUE!</v>
      </c>
      <c r="FC266" t="e">
        <f>Europe!C951+"$F;@!/\]"</f>
        <v>#VALUE!</v>
      </c>
      <c r="FD266" t="e">
        <f>Europe!D951+"$F;@!/\^"</f>
        <v>#VALUE!</v>
      </c>
      <c r="FE266" t="e">
        <f>Europe!E951+"$F;@!/\_"</f>
        <v>#VALUE!</v>
      </c>
      <c r="FF266" t="e">
        <f>Europe!F951+"$F;@!/\`"</f>
        <v>#VALUE!</v>
      </c>
      <c r="FG266" t="e">
        <f>Europe!G951+"$F;@!/\a"</f>
        <v>#VALUE!</v>
      </c>
      <c r="FH266" t="e">
        <f>Europe!H951+"$F;@!/\b"</f>
        <v>#VALUE!</v>
      </c>
      <c r="FI266" t="e">
        <f>Europe!A952+"$F;@!/\c"</f>
        <v>#VALUE!</v>
      </c>
      <c r="FJ266" t="e">
        <f>Europe!B952+"$F;@!/\d"</f>
        <v>#VALUE!</v>
      </c>
      <c r="FK266" t="e">
        <f>Europe!C952+"$F;@!/\e"</f>
        <v>#VALUE!</v>
      </c>
      <c r="FL266" t="e">
        <f>Europe!D952+"$F;@!/\f"</f>
        <v>#VALUE!</v>
      </c>
      <c r="FM266" t="e">
        <f>Europe!E952+"$F;@!/\g"</f>
        <v>#VALUE!</v>
      </c>
      <c r="FN266" t="e">
        <f>Europe!F952+"$F;@!/\h"</f>
        <v>#VALUE!</v>
      </c>
      <c r="FO266" t="e">
        <f>Europe!G952+"$F;@!/\i"</f>
        <v>#VALUE!</v>
      </c>
      <c r="FP266" t="e">
        <f>Europe!H952+"$F;@!/\j"</f>
        <v>#VALUE!</v>
      </c>
      <c r="FQ266" t="e">
        <f>Europe!A953+"$F;@!/\k"</f>
        <v>#VALUE!</v>
      </c>
      <c r="FR266" t="e">
        <f>Europe!B953+"$F;@!/\l"</f>
        <v>#VALUE!</v>
      </c>
      <c r="FS266" t="e">
        <f>Europe!C953+"$F;@!/\m"</f>
        <v>#VALUE!</v>
      </c>
      <c r="FT266" t="e">
        <f>Europe!D953+"$F;@!/\n"</f>
        <v>#VALUE!</v>
      </c>
      <c r="FU266" t="e">
        <f>Europe!E953+"$F;@!/\o"</f>
        <v>#VALUE!</v>
      </c>
      <c r="FV266" t="e">
        <f>Europe!F953+"$F;@!/\p"</f>
        <v>#VALUE!</v>
      </c>
      <c r="FW266" t="e">
        <f>Europe!G953+"$F;@!/\q"</f>
        <v>#VALUE!</v>
      </c>
      <c r="FX266" t="e">
        <f>Europe!H953+"$F;@!/\r"</f>
        <v>#VALUE!</v>
      </c>
      <c r="FY266" t="e">
        <f>Europe!A954+"$F;@!/\s"</f>
        <v>#VALUE!</v>
      </c>
      <c r="FZ266" t="e">
        <f>Europe!B954+"$F;@!/\t"</f>
        <v>#VALUE!</v>
      </c>
      <c r="GA266" t="e">
        <f>Europe!C954+"$F;@!/\u"</f>
        <v>#VALUE!</v>
      </c>
      <c r="GB266" t="e">
        <f>Europe!D954+"$F;@!/\v"</f>
        <v>#VALUE!</v>
      </c>
      <c r="GC266" t="e">
        <f>Europe!E954+"$F;@!/\w"</f>
        <v>#VALUE!</v>
      </c>
      <c r="GD266" t="e">
        <f>Europe!F954+"$F;@!/\x"</f>
        <v>#VALUE!</v>
      </c>
      <c r="GE266" t="e">
        <f>Europe!G954+"$F;@!/\y"</f>
        <v>#VALUE!</v>
      </c>
      <c r="GF266" t="e">
        <f>Europe!H954+"$F;@!/\z"</f>
        <v>#VALUE!</v>
      </c>
      <c r="GG266" t="e">
        <f>Europe!A955+"$F;@!/\{"</f>
        <v>#VALUE!</v>
      </c>
      <c r="GH266" t="e">
        <f>Europe!B955+"$F;@!/\|"</f>
        <v>#VALUE!</v>
      </c>
      <c r="GI266" t="e">
        <f>Europe!C955+"$F;@!/\}"</f>
        <v>#VALUE!</v>
      </c>
      <c r="GJ266" t="e">
        <f>Europe!D955+"$F;@!/\~"</f>
        <v>#VALUE!</v>
      </c>
      <c r="GK266" t="e">
        <f>Europe!E955+"$F;@!/]#"</f>
        <v>#VALUE!</v>
      </c>
      <c r="GL266" t="e">
        <f>Europe!F955+"$F;@!/]$"</f>
        <v>#VALUE!</v>
      </c>
      <c r="GM266" t="e">
        <f>Europe!G955+"$F;@!/]%"</f>
        <v>#VALUE!</v>
      </c>
      <c r="GN266" t="e">
        <f>Europe!H955+"$F;@!/]&amp;"</f>
        <v>#VALUE!</v>
      </c>
      <c r="GO266" t="e">
        <f>Europe!A956+"$F;@!/]'"</f>
        <v>#VALUE!</v>
      </c>
      <c r="GP266" t="e">
        <f>Europe!B956+"$F;@!/]("</f>
        <v>#VALUE!</v>
      </c>
      <c r="GQ266" t="e">
        <f>Europe!C956+"$F;@!/])"</f>
        <v>#VALUE!</v>
      </c>
      <c r="GR266" t="e">
        <f>Europe!D956+"$F;@!/]."</f>
        <v>#VALUE!</v>
      </c>
      <c r="GS266" t="e">
        <f>Europe!E956+"$F;@!/]/"</f>
        <v>#VALUE!</v>
      </c>
      <c r="GT266" t="e">
        <f>Europe!F956+"$F;@!/]0"</f>
        <v>#VALUE!</v>
      </c>
      <c r="GU266" t="e">
        <f>Europe!G956+"$F;@!/]1"</f>
        <v>#VALUE!</v>
      </c>
      <c r="GV266" t="e">
        <f>Europe!H956+"$F;@!/]2"</f>
        <v>#VALUE!</v>
      </c>
      <c r="GW266" t="e">
        <f>Europe!A957+"$F;@!/]3"</f>
        <v>#VALUE!</v>
      </c>
      <c r="GX266" t="e">
        <f>Europe!B957+"$F;@!/]4"</f>
        <v>#VALUE!</v>
      </c>
      <c r="GY266" t="e">
        <f>Europe!C957+"$F;@!/]5"</f>
        <v>#VALUE!</v>
      </c>
      <c r="GZ266" t="e">
        <f>Europe!D957+"$F;@!/]6"</f>
        <v>#VALUE!</v>
      </c>
      <c r="HA266" t="e">
        <f>Europe!E957+"$F;@!/]7"</f>
        <v>#VALUE!</v>
      </c>
      <c r="HB266" t="e">
        <f>Europe!F957+"$F;@!/]8"</f>
        <v>#VALUE!</v>
      </c>
      <c r="HC266" t="e">
        <f>Europe!G957+"$F;@!/]9"</f>
        <v>#VALUE!</v>
      </c>
      <c r="HD266" t="e">
        <f>Europe!H957+"$F;@!/]:"</f>
        <v>#VALUE!</v>
      </c>
      <c r="HE266" t="e">
        <f>Europe!A958+"$F;@!/];"</f>
        <v>#VALUE!</v>
      </c>
      <c r="HF266" t="e">
        <f>Europe!B958+"$F;@!/]&lt;"</f>
        <v>#VALUE!</v>
      </c>
      <c r="HG266" t="e">
        <f>Europe!C958+"$F;@!/]="</f>
        <v>#VALUE!</v>
      </c>
      <c r="HH266" t="e">
        <f>Europe!D958+"$F;@!/]&gt;"</f>
        <v>#VALUE!</v>
      </c>
      <c r="HI266" t="e">
        <f>Europe!E958+"$F;@!/]?"</f>
        <v>#VALUE!</v>
      </c>
      <c r="HJ266" t="e">
        <f>Europe!F958+"$F;@!/]@"</f>
        <v>#VALUE!</v>
      </c>
      <c r="HK266" t="e">
        <f>Europe!G958+"$F;@!/]A"</f>
        <v>#VALUE!</v>
      </c>
      <c r="HL266" t="e">
        <f>Europe!H958+"$F;@!/]B"</f>
        <v>#VALUE!</v>
      </c>
      <c r="HM266" t="e">
        <f>Europe!A959+"$F;@!/]C"</f>
        <v>#VALUE!</v>
      </c>
      <c r="HN266" t="e">
        <f>Europe!B959+"$F;@!/]D"</f>
        <v>#VALUE!</v>
      </c>
      <c r="HO266" t="e">
        <f>Europe!C959+"$F;@!/]E"</f>
        <v>#VALUE!</v>
      </c>
      <c r="HP266" t="e">
        <f>Europe!D959+"$F;@!/]F"</f>
        <v>#VALUE!</v>
      </c>
      <c r="HQ266" t="e">
        <f>Europe!E959+"$F;@!/]G"</f>
        <v>#VALUE!</v>
      </c>
      <c r="HR266" t="e">
        <f>Europe!F959+"$F;@!/]H"</f>
        <v>#VALUE!</v>
      </c>
      <c r="HS266" t="e">
        <f>Europe!G959+"$F;@!/]I"</f>
        <v>#VALUE!</v>
      </c>
      <c r="HT266" t="e">
        <f>Europe!H959+"$F;@!/]J"</f>
        <v>#VALUE!</v>
      </c>
      <c r="HU266" t="e">
        <f>Europe!A960+"$F;@!/]K"</f>
        <v>#VALUE!</v>
      </c>
      <c r="HV266" t="e">
        <f>Europe!B960+"$F;@!/]L"</f>
        <v>#VALUE!</v>
      </c>
      <c r="HW266" t="e">
        <f>Europe!C960+"$F;@!/]M"</f>
        <v>#VALUE!</v>
      </c>
      <c r="HX266" t="e">
        <f>Europe!D960+"$F;@!/]N"</f>
        <v>#VALUE!</v>
      </c>
      <c r="HY266" t="e">
        <f>Europe!E960+"$F;@!/]O"</f>
        <v>#VALUE!</v>
      </c>
      <c r="HZ266" t="e">
        <f>Europe!F960+"$F;@!/]P"</f>
        <v>#VALUE!</v>
      </c>
      <c r="IA266" t="e">
        <f>Europe!G960+"$F;@!/]Q"</f>
        <v>#VALUE!</v>
      </c>
      <c r="IB266" t="e">
        <f>Europe!H960+"$F;@!/]R"</f>
        <v>#VALUE!</v>
      </c>
      <c r="IC266" t="e">
        <f>Europe!A961+"$F;@!/]S"</f>
        <v>#VALUE!</v>
      </c>
      <c r="ID266" t="e">
        <f>Europe!B961+"$F;@!/]T"</f>
        <v>#VALUE!</v>
      </c>
      <c r="IE266" t="e">
        <f>Europe!C961+"$F;@!/]U"</f>
        <v>#VALUE!</v>
      </c>
      <c r="IF266" t="e">
        <f>Europe!D961+"$F;@!/]V"</f>
        <v>#VALUE!</v>
      </c>
      <c r="IG266" t="e">
        <f>Europe!E961+"$F;@!/]W"</f>
        <v>#VALUE!</v>
      </c>
      <c r="IH266" t="e">
        <f>Europe!F961+"$F;@!/]X"</f>
        <v>#VALUE!</v>
      </c>
      <c r="II266" t="e">
        <f>Europe!G961+"$F;@!/]Y"</f>
        <v>#VALUE!</v>
      </c>
      <c r="IJ266" t="e">
        <f>Europe!H961+"$F;@!/]Z"</f>
        <v>#VALUE!</v>
      </c>
      <c r="IK266" t="e">
        <f>Europe!A962+"$F;@!/]["</f>
        <v>#VALUE!</v>
      </c>
      <c r="IL266" t="e">
        <f>Europe!B962+"$F;@!/]\"</f>
        <v>#VALUE!</v>
      </c>
      <c r="IM266" t="e">
        <f>Europe!C962+"$F;@!/]]"</f>
        <v>#VALUE!</v>
      </c>
      <c r="IN266" t="e">
        <f>Europe!D962+"$F;@!/]^"</f>
        <v>#VALUE!</v>
      </c>
      <c r="IO266" t="e">
        <f>Europe!E962+"$F;@!/]_"</f>
        <v>#VALUE!</v>
      </c>
      <c r="IP266" t="e">
        <f>Europe!F962+"$F;@!/]`"</f>
        <v>#VALUE!</v>
      </c>
      <c r="IQ266" t="e">
        <f>Europe!G962+"$F;@!/]a"</f>
        <v>#VALUE!</v>
      </c>
      <c r="IR266" t="e">
        <f>Europe!H962+"$F;@!/]b"</f>
        <v>#VALUE!</v>
      </c>
      <c r="IS266" t="e">
        <f>Europe!A963+"$F;@!/]c"</f>
        <v>#VALUE!</v>
      </c>
      <c r="IT266" t="e">
        <f>Europe!B963+"$F;@!/]d"</f>
        <v>#VALUE!</v>
      </c>
      <c r="IU266" t="e">
        <f>Europe!C963+"$F;@!/]e"</f>
        <v>#VALUE!</v>
      </c>
      <c r="IV266" t="e">
        <f>Europe!D963+"$F;@!/]f"</f>
        <v>#VALUE!</v>
      </c>
    </row>
    <row r="267" spans="6:256" x14ac:dyDescent="0.35">
      <c r="F267" t="e">
        <f>Europe!E963+"$F;@!/]g"</f>
        <v>#VALUE!</v>
      </c>
      <c r="G267" t="e">
        <f>Europe!F963+"$F;@!/]h"</f>
        <v>#VALUE!</v>
      </c>
      <c r="H267" t="e">
        <f>Europe!G963+"$F;@!/]i"</f>
        <v>#VALUE!</v>
      </c>
      <c r="I267" t="e">
        <f>Europe!H963+"$F;@!/]j"</f>
        <v>#VALUE!</v>
      </c>
      <c r="J267" t="e">
        <f>Europe!A964+"$F;@!/]k"</f>
        <v>#VALUE!</v>
      </c>
      <c r="K267" t="e">
        <f>Europe!B964+"$F;@!/]l"</f>
        <v>#VALUE!</v>
      </c>
      <c r="L267" t="e">
        <f>Europe!C964+"$F;@!/]m"</f>
        <v>#VALUE!</v>
      </c>
      <c r="M267" t="e">
        <f>Europe!D964+"$F;@!/]n"</f>
        <v>#VALUE!</v>
      </c>
      <c r="N267" t="e">
        <f>Europe!E964+"$F;@!/]o"</f>
        <v>#VALUE!</v>
      </c>
      <c r="O267" t="e">
        <f>Europe!F964+"$F;@!/]p"</f>
        <v>#VALUE!</v>
      </c>
      <c r="P267" t="e">
        <f>Europe!G964+"$F;@!/]q"</f>
        <v>#VALUE!</v>
      </c>
      <c r="Q267" t="e">
        <f>Europe!H964+"$F;@!/]r"</f>
        <v>#VALUE!</v>
      </c>
      <c r="R267" t="e">
        <f>Europe!A965+"$F;@!/]s"</f>
        <v>#VALUE!</v>
      </c>
      <c r="S267" t="e">
        <f>Europe!B965+"$F;@!/]t"</f>
        <v>#VALUE!</v>
      </c>
      <c r="T267" t="e">
        <f>Europe!C965+"$F;@!/]u"</f>
        <v>#VALUE!</v>
      </c>
      <c r="U267" t="e">
        <f>Europe!D965+"$F;@!/]v"</f>
        <v>#VALUE!</v>
      </c>
      <c r="V267" t="e">
        <f>Europe!E965+"$F;@!/]w"</f>
        <v>#VALUE!</v>
      </c>
      <c r="W267" t="e">
        <f>Europe!F965+"$F;@!/]x"</f>
        <v>#VALUE!</v>
      </c>
      <c r="X267" t="e">
        <f>Europe!G965+"$F;@!/]y"</f>
        <v>#VALUE!</v>
      </c>
      <c r="Y267" t="e">
        <f>Europe!H965+"$F;@!/]z"</f>
        <v>#VALUE!</v>
      </c>
      <c r="Z267" t="e">
        <f>Europe!A966+"$F;@!/]{"</f>
        <v>#VALUE!</v>
      </c>
      <c r="AA267" t="e">
        <f>Europe!B966+"$F;@!/]|"</f>
        <v>#VALUE!</v>
      </c>
      <c r="AB267" t="e">
        <f>Europe!C966+"$F;@!/]}"</f>
        <v>#VALUE!</v>
      </c>
      <c r="AC267" t="e">
        <f>Europe!D966+"$F;@!/]~"</f>
        <v>#VALUE!</v>
      </c>
      <c r="AD267" t="e">
        <f>Europe!E966+"$F;@!/^#"</f>
        <v>#VALUE!</v>
      </c>
      <c r="AE267" t="e">
        <f>Europe!F966+"$F;@!/^$"</f>
        <v>#VALUE!</v>
      </c>
      <c r="AF267" t="e">
        <f>Europe!G966+"$F;@!/^%"</f>
        <v>#VALUE!</v>
      </c>
      <c r="AG267" t="e">
        <f>Europe!H966+"$F;@!/^&amp;"</f>
        <v>#VALUE!</v>
      </c>
      <c r="AH267" t="e">
        <f>Europe!A967+"$F;@!/^'"</f>
        <v>#VALUE!</v>
      </c>
      <c r="AI267" t="e">
        <f>Europe!B967+"$F;@!/^("</f>
        <v>#VALUE!</v>
      </c>
      <c r="AJ267" t="e">
        <f>Europe!C967+"$F;@!/^)"</f>
        <v>#VALUE!</v>
      </c>
      <c r="AK267" t="e">
        <f>Europe!D967+"$F;@!/^."</f>
        <v>#VALUE!</v>
      </c>
      <c r="AL267" t="e">
        <f>Europe!E967+"$F;@!/^/"</f>
        <v>#VALUE!</v>
      </c>
      <c r="AM267" t="e">
        <f>Europe!F967+"$F;@!/^0"</f>
        <v>#VALUE!</v>
      </c>
      <c r="AN267" t="e">
        <f>Europe!G967+"$F;@!/^1"</f>
        <v>#VALUE!</v>
      </c>
      <c r="AO267" t="e">
        <f>Europe!H967+"$F;@!/^2"</f>
        <v>#VALUE!</v>
      </c>
      <c r="AP267" t="e">
        <f>Europe!A968+"$F;@!/^3"</f>
        <v>#VALUE!</v>
      </c>
      <c r="AQ267" t="e">
        <f>Europe!B968+"$F;@!/^4"</f>
        <v>#VALUE!</v>
      </c>
      <c r="AR267" t="e">
        <f>Europe!C968+"$F;@!/^5"</f>
        <v>#VALUE!</v>
      </c>
      <c r="AS267" t="e">
        <f>Europe!D968+"$F;@!/^6"</f>
        <v>#VALUE!</v>
      </c>
      <c r="AT267" t="e">
        <f>Europe!E968+"$F;@!/^7"</f>
        <v>#VALUE!</v>
      </c>
      <c r="AU267" t="e">
        <f>Europe!F968+"$F;@!/^8"</f>
        <v>#VALUE!</v>
      </c>
      <c r="AV267" t="e">
        <f>Europe!G968+"$F;@!/^9"</f>
        <v>#VALUE!</v>
      </c>
      <c r="AW267" t="e">
        <f>Europe!H968+"$F;@!/^:"</f>
        <v>#VALUE!</v>
      </c>
      <c r="AX267" t="e">
        <f>Europe!A969+"$F;@!/^;"</f>
        <v>#VALUE!</v>
      </c>
      <c r="AY267" t="e">
        <f>Europe!B969+"$F;@!/^&lt;"</f>
        <v>#VALUE!</v>
      </c>
      <c r="AZ267" t="e">
        <f>Europe!C969+"$F;@!/^="</f>
        <v>#VALUE!</v>
      </c>
      <c r="BA267" t="e">
        <f>Europe!D969+"$F;@!/^&gt;"</f>
        <v>#VALUE!</v>
      </c>
      <c r="BB267" t="e">
        <f>Europe!E969+"$F;@!/^?"</f>
        <v>#VALUE!</v>
      </c>
      <c r="BC267" t="e">
        <f>Europe!F969+"$F;@!/^@"</f>
        <v>#VALUE!</v>
      </c>
      <c r="BD267" t="e">
        <f>Europe!G969+"$F;@!/^A"</f>
        <v>#VALUE!</v>
      </c>
      <c r="BE267" t="e">
        <f>Europe!H969+"$F;@!/^B"</f>
        <v>#VALUE!</v>
      </c>
      <c r="BF267" t="e">
        <f>Europe!A970+"$F;@!/^C"</f>
        <v>#VALUE!</v>
      </c>
      <c r="BG267" t="e">
        <f>Europe!B970+"$F;@!/^D"</f>
        <v>#VALUE!</v>
      </c>
      <c r="BH267" t="e">
        <f>Europe!C970+"$F;@!/^E"</f>
        <v>#VALUE!</v>
      </c>
      <c r="BI267" t="e">
        <f>Europe!D970+"$F;@!/^F"</f>
        <v>#VALUE!</v>
      </c>
      <c r="BJ267" t="e">
        <f>Europe!E970+"$F;@!/^G"</f>
        <v>#VALUE!</v>
      </c>
      <c r="BK267" t="e">
        <f>Europe!F970+"$F;@!/^H"</f>
        <v>#VALUE!</v>
      </c>
      <c r="BL267" t="e">
        <f>Europe!G970+"$F;@!/^I"</f>
        <v>#VALUE!</v>
      </c>
      <c r="BM267" t="e">
        <f>Europe!H970+"$F;@!/^J"</f>
        <v>#VALUE!</v>
      </c>
      <c r="BN267" t="e">
        <f>Europe!A971+"$F;@!/^K"</f>
        <v>#VALUE!</v>
      </c>
      <c r="BO267" t="e">
        <f>Europe!B971+"$F;@!/^L"</f>
        <v>#VALUE!</v>
      </c>
      <c r="BP267" t="e">
        <f>Europe!C971+"$F;@!/^M"</f>
        <v>#VALUE!</v>
      </c>
      <c r="BQ267" t="e">
        <f>Europe!D971+"$F;@!/^N"</f>
        <v>#VALUE!</v>
      </c>
      <c r="BR267" t="e">
        <f>Europe!E971+"$F;@!/^O"</f>
        <v>#VALUE!</v>
      </c>
      <c r="BS267" t="e">
        <f>Europe!F971+"$F;@!/^P"</f>
        <v>#VALUE!</v>
      </c>
      <c r="BT267" t="e">
        <f>Europe!G971+"$F;@!/^Q"</f>
        <v>#VALUE!</v>
      </c>
      <c r="BU267" t="e">
        <f>Europe!H971+"$F;@!/^R"</f>
        <v>#VALUE!</v>
      </c>
      <c r="BV267" t="e">
        <f>Europe!A972+"$F;@!/^S"</f>
        <v>#VALUE!</v>
      </c>
      <c r="BW267" t="e">
        <f>Europe!B972+"$F;@!/^T"</f>
        <v>#VALUE!</v>
      </c>
      <c r="BX267" t="e">
        <f>Europe!C972+"$F;@!/^U"</f>
        <v>#VALUE!</v>
      </c>
      <c r="BY267" t="e">
        <f>Europe!D972+"$F;@!/^V"</f>
        <v>#VALUE!</v>
      </c>
      <c r="BZ267" t="e">
        <f>Europe!E972+"$F;@!/^W"</f>
        <v>#VALUE!</v>
      </c>
      <c r="CA267" t="e">
        <f>Europe!F972+"$F;@!/^X"</f>
        <v>#VALUE!</v>
      </c>
      <c r="CB267" t="e">
        <f>Europe!G972+"$F;@!/^Y"</f>
        <v>#VALUE!</v>
      </c>
      <c r="CC267" t="e">
        <f>Europe!H972+"$F;@!/^Z"</f>
        <v>#VALUE!</v>
      </c>
      <c r="CD267" t="e">
        <f>Europe!A973+"$F;@!/^["</f>
        <v>#VALUE!</v>
      </c>
      <c r="CE267" t="e">
        <f>Europe!B973+"$F;@!/^\"</f>
        <v>#VALUE!</v>
      </c>
      <c r="CF267" t="e">
        <f>Europe!C973+"$F;@!/^]"</f>
        <v>#VALUE!</v>
      </c>
      <c r="CG267" t="e">
        <f>Europe!D973+"$F;@!/^^"</f>
        <v>#VALUE!</v>
      </c>
      <c r="CH267" t="e">
        <f>Europe!E973+"$F;@!/^_"</f>
        <v>#VALUE!</v>
      </c>
      <c r="CI267" t="e">
        <f>Europe!F973+"$F;@!/^`"</f>
        <v>#VALUE!</v>
      </c>
      <c r="CJ267" t="e">
        <f>Europe!G973+"$F;@!/^a"</f>
        <v>#VALUE!</v>
      </c>
      <c r="CK267" t="e">
        <f>Europe!H973+"$F;@!/^b"</f>
        <v>#VALUE!</v>
      </c>
      <c r="CL267" t="e">
        <f>Europe!A974+"$F;@!/^c"</f>
        <v>#VALUE!</v>
      </c>
      <c r="CM267" t="e">
        <f>Europe!B974+"$F;@!/^d"</f>
        <v>#VALUE!</v>
      </c>
      <c r="CN267" t="e">
        <f>Europe!C974+"$F;@!/^e"</f>
        <v>#VALUE!</v>
      </c>
      <c r="CO267" t="e">
        <f>Europe!D974+"$F;@!/^f"</f>
        <v>#VALUE!</v>
      </c>
      <c r="CP267" t="e">
        <f>Europe!E974+"$F;@!/^g"</f>
        <v>#VALUE!</v>
      </c>
      <c r="CQ267" t="e">
        <f>Europe!F974+"$F;@!/^h"</f>
        <v>#VALUE!</v>
      </c>
      <c r="CR267" t="e">
        <f>Europe!G974+"$F;@!/^i"</f>
        <v>#VALUE!</v>
      </c>
      <c r="CS267" t="e">
        <f>Europe!H974+"$F;@!/^j"</f>
        <v>#VALUE!</v>
      </c>
      <c r="CT267" t="e">
        <f>Europe!A975+"$F;@!/^k"</f>
        <v>#VALUE!</v>
      </c>
      <c r="CU267" t="e">
        <f>Europe!B975+"$F;@!/^l"</f>
        <v>#VALUE!</v>
      </c>
      <c r="CV267" t="e">
        <f>Europe!C975+"$F;@!/^m"</f>
        <v>#VALUE!</v>
      </c>
      <c r="CW267" t="e">
        <f>Europe!D975+"$F;@!/^n"</f>
        <v>#VALUE!</v>
      </c>
      <c r="CX267" t="e">
        <f>Europe!E975+"$F;@!/^o"</f>
        <v>#VALUE!</v>
      </c>
      <c r="CY267" t="e">
        <f>Europe!F975+"$F;@!/^p"</f>
        <v>#VALUE!</v>
      </c>
      <c r="CZ267" t="e">
        <f>Europe!G975+"$F;@!/^q"</f>
        <v>#VALUE!</v>
      </c>
      <c r="DA267" t="e">
        <f>Europe!H975+"$F;@!/^r"</f>
        <v>#VALUE!</v>
      </c>
      <c r="DB267" t="e">
        <f>Europe!A976+"$F;@!/^s"</f>
        <v>#VALUE!</v>
      </c>
      <c r="DC267" t="e">
        <f>Europe!B976+"$F;@!/^t"</f>
        <v>#VALUE!</v>
      </c>
      <c r="DD267" t="e">
        <f>Europe!C976+"$F;@!/^u"</f>
        <v>#VALUE!</v>
      </c>
      <c r="DE267" t="e">
        <f>Europe!D976+"$F;@!/^v"</f>
        <v>#VALUE!</v>
      </c>
      <c r="DF267" t="e">
        <f>Europe!E976+"$F;@!/^w"</f>
        <v>#VALUE!</v>
      </c>
      <c r="DG267" t="e">
        <f>Europe!F976+"$F;@!/^x"</f>
        <v>#VALUE!</v>
      </c>
      <c r="DH267" t="e">
        <f>Europe!G976+"$F;@!/^y"</f>
        <v>#VALUE!</v>
      </c>
      <c r="DI267" t="e">
        <f>Europe!H976+"$F;@!/^z"</f>
        <v>#VALUE!</v>
      </c>
      <c r="DJ267" t="e">
        <f>Europe!A977+"$F;@!/^{"</f>
        <v>#VALUE!</v>
      </c>
      <c r="DK267" t="e">
        <f>Europe!B977+"$F;@!/^|"</f>
        <v>#VALUE!</v>
      </c>
      <c r="DL267" t="e">
        <f>Europe!C977+"$F;@!/^}"</f>
        <v>#VALUE!</v>
      </c>
      <c r="DM267" t="e">
        <f>Europe!D977+"$F;@!/^~"</f>
        <v>#VALUE!</v>
      </c>
      <c r="DN267" t="e">
        <f>Europe!E977+"$F;@!/_#"</f>
        <v>#VALUE!</v>
      </c>
      <c r="DO267" t="e">
        <f>Europe!F977+"$F;@!/_$"</f>
        <v>#VALUE!</v>
      </c>
      <c r="DP267" t="e">
        <f>Europe!G977+"$F;@!/_%"</f>
        <v>#VALUE!</v>
      </c>
      <c r="DQ267" t="e">
        <f>Europe!H977+"$F;@!/_&amp;"</f>
        <v>#VALUE!</v>
      </c>
      <c r="DR267" t="e">
        <f>Europe!A978+"$F;@!/_'"</f>
        <v>#VALUE!</v>
      </c>
      <c r="DS267" t="e">
        <f>Europe!B978+"$F;@!/_("</f>
        <v>#VALUE!</v>
      </c>
      <c r="DT267" t="e">
        <f>Europe!C978+"$F;@!/_)"</f>
        <v>#VALUE!</v>
      </c>
      <c r="DU267" t="e">
        <f>Europe!D978+"$F;@!/_."</f>
        <v>#VALUE!</v>
      </c>
      <c r="DV267" t="e">
        <f>Europe!E978+"$F;@!/_/"</f>
        <v>#VALUE!</v>
      </c>
      <c r="DW267" t="e">
        <f>Europe!F978+"$F;@!/_0"</f>
        <v>#VALUE!</v>
      </c>
      <c r="DX267" t="e">
        <f>Europe!G978+"$F;@!/_1"</f>
        <v>#VALUE!</v>
      </c>
      <c r="DY267" t="e">
        <f>Europe!H978+"$F;@!/_2"</f>
        <v>#VALUE!</v>
      </c>
      <c r="DZ267" t="e">
        <f>Europe!A979+"$F;@!/_3"</f>
        <v>#VALUE!</v>
      </c>
      <c r="EA267" t="e">
        <f>Europe!B979+"$F;@!/_4"</f>
        <v>#VALUE!</v>
      </c>
      <c r="EB267" t="e">
        <f>Europe!C979+"$F;@!/_5"</f>
        <v>#VALUE!</v>
      </c>
      <c r="EC267" t="e">
        <f>Europe!D979+"$F;@!/_6"</f>
        <v>#VALUE!</v>
      </c>
      <c r="ED267" t="e">
        <f>Europe!E979+"$F;@!/_7"</f>
        <v>#VALUE!</v>
      </c>
      <c r="EE267" t="e">
        <f>Europe!F979+"$F;@!/_8"</f>
        <v>#VALUE!</v>
      </c>
      <c r="EF267" t="e">
        <f>Europe!G979+"$F;@!/_9"</f>
        <v>#VALUE!</v>
      </c>
      <c r="EG267" t="e">
        <f>Europe!H979+"$F;@!/_:"</f>
        <v>#VALUE!</v>
      </c>
      <c r="EH267" t="e">
        <f>Europe!A980+"$F;@!/_;"</f>
        <v>#VALUE!</v>
      </c>
      <c r="EI267" t="e">
        <f>Europe!B980+"$F;@!/_&lt;"</f>
        <v>#VALUE!</v>
      </c>
      <c r="EJ267" t="e">
        <f>Europe!C980+"$F;@!/_="</f>
        <v>#VALUE!</v>
      </c>
      <c r="EK267" t="e">
        <f>Europe!D980+"$F;@!/_&gt;"</f>
        <v>#VALUE!</v>
      </c>
      <c r="EL267" t="e">
        <f>Europe!E980+"$F;@!/_?"</f>
        <v>#VALUE!</v>
      </c>
      <c r="EM267" t="e">
        <f>Europe!F980+"$F;@!/_@"</f>
        <v>#VALUE!</v>
      </c>
      <c r="EN267" t="e">
        <f>Europe!G980+"$F;@!/_A"</f>
        <v>#VALUE!</v>
      </c>
      <c r="EO267" t="e">
        <f>Europe!H980+"$F;@!/_B"</f>
        <v>#VALUE!</v>
      </c>
      <c r="EP267" t="e">
        <f>Europe!A981+"$F;@!/_C"</f>
        <v>#VALUE!</v>
      </c>
      <c r="EQ267" t="e">
        <f>Europe!B981+"$F;@!/_D"</f>
        <v>#VALUE!</v>
      </c>
      <c r="ER267" t="e">
        <f>Europe!C981+"$F;@!/_E"</f>
        <v>#VALUE!</v>
      </c>
      <c r="ES267" t="e">
        <f>Europe!D981+"$F;@!/_F"</f>
        <v>#VALUE!</v>
      </c>
      <c r="ET267" t="e">
        <f>Europe!E981+"$F;@!/_G"</f>
        <v>#VALUE!</v>
      </c>
      <c r="EU267" t="e">
        <f>Europe!F981+"$F;@!/_H"</f>
        <v>#VALUE!</v>
      </c>
      <c r="EV267" t="e">
        <f>Europe!G981+"$F;@!/_I"</f>
        <v>#VALUE!</v>
      </c>
      <c r="EW267" t="e">
        <f>Europe!H981+"$F;@!/_J"</f>
        <v>#VALUE!</v>
      </c>
      <c r="EX267" t="e">
        <f>Europe!A982+"$F;@!/_K"</f>
        <v>#VALUE!</v>
      </c>
      <c r="EY267" t="e">
        <f>Europe!B982+"$F;@!/_L"</f>
        <v>#VALUE!</v>
      </c>
      <c r="EZ267" t="e">
        <f>Europe!C982+"$F;@!/_M"</f>
        <v>#VALUE!</v>
      </c>
      <c r="FA267" t="e">
        <f>Europe!D982+"$F;@!/_N"</f>
        <v>#VALUE!</v>
      </c>
      <c r="FB267" t="e">
        <f>Europe!E982+"$F;@!/_O"</f>
        <v>#VALUE!</v>
      </c>
      <c r="FC267" t="e">
        <f>Europe!F982+"$F;@!/_P"</f>
        <v>#VALUE!</v>
      </c>
      <c r="FD267" t="e">
        <f>Europe!G982+"$F;@!/_Q"</f>
        <v>#VALUE!</v>
      </c>
      <c r="FE267" t="e">
        <f>Europe!H982+"$F;@!/_R"</f>
        <v>#VALUE!</v>
      </c>
      <c r="FF267" t="e">
        <f>Europe!A983+"$F;@!/_S"</f>
        <v>#VALUE!</v>
      </c>
      <c r="FG267" t="e">
        <f>Europe!B983+"$F;@!/_T"</f>
        <v>#VALUE!</v>
      </c>
      <c r="FH267" t="e">
        <f>Europe!C983+"$F;@!/_U"</f>
        <v>#VALUE!</v>
      </c>
      <c r="FI267" t="e">
        <f>Europe!D983+"$F;@!/_V"</f>
        <v>#VALUE!</v>
      </c>
      <c r="FJ267" t="e">
        <f>Europe!E983+"$F;@!/_W"</f>
        <v>#VALUE!</v>
      </c>
      <c r="FK267" t="e">
        <f>Europe!F983+"$F;@!/_X"</f>
        <v>#VALUE!</v>
      </c>
      <c r="FL267" t="e">
        <f>Europe!G983+"$F;@!/_Y"</f>
        <v>#VALUE!</v>
      </c>
      <c r="FM267" t="e">
        <f>Europe!H983+"$F;@!/_Z"</f>
        <v>#VALUE!</v>
      </c>
      <c r="FN267" t="e">
        <f>Europe!A984+"$F;@!/_["</f>
        <v>#VALUE!</v>
      </c>
      <c r="FO267" t="e">
        <f>Europe!B984+"$F;@!/_\"</f>
        <v>#VALUE!</v>
      </c>
      <c r="FP267" t="e">
        <f>Europe!C984+"$F;@!/_]"</f>
        <v>#VALUE!</v>
      </c>
      <c r="FQ267" t="e">
        <f>Europe!D984+"$F;@!/_^"</f>
        <v>#VALUE!</v>
      </c>
      <c r="FR267" t="e">
        <f>Europe!E984+"$F;@!/__"</f>
        <v>#VALUE!</v>
      </c>
      <c r="FS267" t="e">
        <f>Europe!F984+"$F;@!/_`"</f>
        <v>#VALUE!</v>
      </c>
      <c r="FT267" t="e">
        <f>Europe!G984+"$F;@!/_a"</f>
        <v>#VALUE!</v>
      </c>
      <c r="FU267" t="e">
        <f>Europe!H984+"$F;@!/_b"</f>
        <v>#VALUE!</v>
      </c>
      <c r="FV267" t="e">
        <f>Europe!A985+"$F;@!/_c"</f>
        <v>#VALUE!</v>
      </c>
      <c r="FW267" t="e">
        <f>Europe!B985+"$F;@!/_d"</f>
        <v>#VALUE!</v>
      </c>
      <c r="FX267" t="e">
        <f>Europe!C985+"$F;@!/_e"</f>
        <v>#VALUE!</v>
      </c>
      <c r="FY267" t="e">
        <f>Europe!D985+"$F;@!/_f"</f>
        <v>#VALUE!</v>
      </c>
      <c r="FZ267" t="e">
        <f>Europe!E985+"$F;@!/_g"</f>
        <v>#VALUE!</v>
      </c>
      <c r="GA267" t="e">
        <f>Europe!F985+"$F;@!/_h"</f>
        <v>#VALUE!</v>
      </c>
      <c r="GB267" t="e">
        <f>Europe!G985+"$F;@!/_i"</f>
        <v>#VALUE!</v>
      </c>
      <c r="GC267" t="e">
        <f>Europe!H985+"$F;@!/_j"</f>
        <v>#VALUE!</v>
      </c>
      <c r="GD267" t="e">
        <f>Europe!A986+"$F;@!/_k"</f>
        <v>#VALUE!</v>
      </c>
      <c r="GE267" t="e">
        <f>Europe!B986+"$F;@!/_l"</f>
        <v>#VALUE!</v>
      </c>
      <c r="GF267" t="e">
        <f>Europe!C986+"$F;@!/_m"</f>
        <v>#VALUE!</v>
      </c>
      <c r="GG267" t="e">
        <f>Europe!D986+"$F;@!/_n"</f>
        <v>#VALUE!</v>
      </c>
      <c r="GH267" t="e">
        <f>Europe!E986+"$F;@!/_o"</f>
        <v>#VALUE!</v>
      </c>
      <c r="GI267" t="e">
        <f>Europe!F986+"$F;@!/_p"</f>
        <v>#VALUE!</v>
      </c>
      <c r="GJ267" t="e">
        <f>Europe!G986+"$F;@!/_q"</f>
        <v>#VALUE!</v>
      </c>
      <c r="GK267" t="e">
        <f>Europe!H986+"$F;@!/_r"</f>
        <v>#VALUE!</v>
      </c>
      <c r="GL267" t="e">
        <f>Europe!A987+"$F;@!/_s"</f>
        <v>#VALUE!</v>
      </c>
      <c r="GM267" t="e">
        <f>Europe!B987+"$F;@!/_t"</f>
        <v>#VALUE!</v>
      </c>
      <c r="GN267" t="e">
        <f>Europe!C987+"$F;@!/_u"</f>
        <v>#VALUE!</v>
      </c>
      <c r="GO267" t="e">
        <f>Europe!D987+"$F;@!/_v"</f>
        <v>#VALUE!</v>
      </c>
      <c r="GP267" t="e">
        <f>Europe!E987+"$F;@!/_w"</f>
        <v>#VALUE!</v>
      </c>
      <c r="GQ267" t="e">
        <f>Europe!F987+"$F;@!/_x"</f>
        <v>#VALUE!</v>
      </c>
      <c r="GR267" t="e">
        <f>Europe!G987+"$F;@!/_y"</f>
        <v>#VALUE!</v>
      </c>
      <c r="GS267" t="e">
        <f>Europe!H987+"$F;@!/_z"</f>
        <v>#VALUE!</v>
      </c>
      <c r="GT267" t="e">
        <f>Europe!A988+"$F;@!/_{"</f>
        <v>#VALUE!</v>
      </c>
      <c r="GU267" t="e">
        <f>Europe!B988+"$F;@!/_|"</f>
        <v>#VALUE!</v>
      </c>
      <c r="GV267" t="e">
        <f>Europe!C988+"$F;@!/_}"</f>
        <v>#VALUE!</v>
      </c>
      <c r="GW267" t="e">
        <f>Europe!D988+"$F;@!/_~"</f>
        <v>#VALUE!</v>
      </c>
      <c r="GX267" t="e">
        <f>Europe!E988+"$F;@!/`#"</f>
        <v>#VALUE!</v>
      </c>
      <c r="GY267" t="e">
        <f>Europe!F988+"$F;@!/`$"</f>
        <v>#VALUE!</v>
      </c>
      <c r="GZ267" t="e">
        <f>Europe!G988+"$F;@!/`%"</f>
        <v>#VALUE!</v>
      </c>
      <c r="HA267" t="e">
        <f>Europe!H988+"$F;@!/`&amp;"</f>
        <v>#VALUE!</v>
      </c>
      <c r="HB267" t="e">
        <f>Europe!A989+"$F;@!/`'"</f>
        <v>#VALUE!</v>
      </c>
      <c r="HC267" t="e">
        <f>Europe!B989+"$F;@!/`("</f>
        <v>#VALUE!</v>
      </c>
      <c r="HD267" t="e">
        <f>Europe!C989+"$F;@!/`)"</f>
        <v>#VALUE!</v>
      </c>
      <c r="HE267" t="e">
        <f>Europe!D989+"$F;@!/`."</f>
        <v>#VALUE!</v>
      </c>
      <c r="HF267" t="e">
        <f>Europe!E989+"$F;@!/`/"</f>
        <v>#VALUE!</v>
      </c>
      <c r="HG267" t="e">
        <f>Europe!F989+"$F;@!/`0"</f>
        <v>#VALUE!</v>
      </c>
      <c r="HH267" t="e">
        <f>Europe!G989+"$F;@!/`1"</f>
        <v>#VALUE!</v>
      </c>
      <c r="HI267" t="e">
        <f>Europe!H989+"$F;@!/`2"</f>
        <v>#VALUE!</v>
      </c>
      <c r="HJ267" t="e">
        <f>Europe!A990+"$F;@!/`3"</f>
        <v>#VALUE!</v>
      </c>
      <c r="HK267" t="e">
        <f>Europe!B990+"$F;@!/`4"</f>
        <v>#VALUE!</v>
      </c>
      <c r="HL267" t="e">
        <f>Europe!C990+"$F;@!/`5"</f>
        <v>#VALUE!</v>
      </c>
      <c r="HM267" t="e">
        <f>Europe!D990+"$F;@!/`6"</f>
        <v>#VALUE!</v>
      </c>
      <c r="HN267" t="e">
        <f>Europe!E990+"$F;@!/`7"</f>
        <v>#VALUE!</v>
      </c>
      <c r="HO267" t="e">
        <f>Europe!F990+"$F;@!/`8"</f>
        <v>#VALUE!</v>
      </c>
      <c r="HP267" t="e">
        <f>Europe!G990+"$F;@!/`9"</f>
        <v>#VALUE!</v>
      </c>
      <c r="HQ267" t="e">
        <f>Europe!H990+"$F;@!/`:"</f>
        <v>#VALUE!</v>
      </c>
      <c r="HR267" t="e">
        <f>Europe!A991+"$F;@!/`;"</f>
        <v>#VALUE!</v>
      </c>
      <c r="HS267" t="e">
        <f>Europe!B991+"$F;@!/`&lt;"</f>
        <v>#VALUE!</v>
      </c>
      <c r="HT267" t="e">
        <f>Europe!C991+"$F;@!/`="</f>
        <v>#VALUE!</v>
      </c>
      <c r="HU267" t="e">
        <f>Europe!D991+"$F;@!/`&gt;"</f>
        <v>#VALUE!</v>
      </c>
      <c r="HV267" t="e">
        <f>Europe!E991+"$F;@!/`?"</f>
        <v>#VALUE!</v>
      </c>
      <c r="HW267" t="e">
        <f>Europe!F991+"$F;@!/`@"</f>
        <v>#VALUE!</v>
      </c>
      <c r="HX267" t="e">
        <f>Europe!G991+"$F;@!/`A"</f>
        <v>#VALUE!</v>
      </c>
      <c r="HY267" t="e">
        <f>Europe!H991+"$F;@!/`B"</f>
        <v>#VALUE!</v>
      </c>
      <c r="HZ267" t="e">
        <f>Europe!A992+"$F;@!/`C"</f>
        <v>#VALUE!</v>
      </c>
      <c r="IA267" t="e">
        <f>Europe!B992+"$F;@!/`D"</f>
        <v>#VALUE!</v>
      </c>
      <c r="IB267" t="e">
        <f>Europe!C992+"$F;@!/`E"</f>
        <v>#VALUE!</v>
      </c>
      <c r="IC267" t="e">
        <f>Europe!D992+"$F;@!/`F"</f>
        <v>#VALUE!</v>
      </c>
      <c r="ID267" t="e">
        <f>Europe!E992+"$F;@!/`G"</f>
        <v>#VALUE!</v>
      </c>
      <c r="IE267" t="e">
        <f>Europe!F992+"$F;@!/`H"</f>
        <v>#VALUE!</v>
      </c>
      <c r="IF267" t="e">
        <f>Europe!G992+"$F;@!/`I"</f>
        <v>#VALUE!</v>
      </c>
      <c r="IG267" t="e">
        <f>Europe!H992+"$F;@!/`J"</f>
        <v>#VALUE!</v>
      </c>
      <c r="IH267" t="e">
        <f>Europe!A993+"$F;@!/`K"</f>
        <v>#VALUE!</v>
      </c>
      <c r="II267" t="e">
        <f>Europe!B993+"$F;@!/`L"</f>
        <v>#VALUE!</v>
      </c>
      <c r="IJ267" t="e">
        <f>Europe!C993+"$F;@!/`M"</f>
        <v>#VALUE!</v>
      </c>
      <c r="IK267" t="e">
        <f>Europe!D993+"$F;@!/`N"</f>
        <v>#VALUE!</v>
      </c>
      <c r="IL267" t="e">
        <f>Europe!E993+"$F;@!/`O"</f>
        <v>#VALUE!</v>
      </c>
      <c r="IM267" t="e">
        <f>Europe!F993+"$F;@!/`P"</f>
        <v>#VALUE!</v>
      </c>
      <c r="IN267" t="e">
        <f>Europe!G993+"$F;@!/`Q"</f>
        <v>#VALUE!</v>
      </c>
      <c r="IO267" t="e">
        <f>Europe!H993+"$F;@!/`R"</f>
        <v>#VALUE!</v>
      </c>
      <c r="IP267" t="e">
        <f>Europe!A994+"$F;@!/`S"</f>
        <v>#VALUE!</v>
      </c>
      <c r="IQ267" t="e">
        <f>Europe!B994+"$F;@!/`T"</f>
        <v>#VALUE!</v>
      </c>
      <c r="IR267" t="e">
        <f>Europe!C994+"$F;@!/`U"</f>
        <v>#VALUE!</v>
      </c>
      <c r="IS267" t="e">
        <f>Europe!D994+"$F;@!/`V"</f>
        <v>#VALUE!</v>
      </c>
      <c r="IT267" t="e">
        <f>Europe!E994+"$F;@!/`W"</f>
        <v>#VALUE!</v>
      </c>
      <c r="IU267" t="e">
        <f>Europe!F994+"$F;@!/`X"</f>
        <v>#VALUE!</v>
      </c>
      <c r="IV267" t="e">
        <f>Europe!G994+"$F;@!/`Y"</f>
        <v>#VALUE!</v>
      </c>
    </row>
    <row r="268" spans="6:256" x14ac:dyDescent="0.35">
      <c r="F268" t="e">
        <f>Europe!H994+"$F;@!/`Z"</f>
        <v>#VALUE!</v>
      </c>
      <c r="G268" t="e">
        <f>Europe!A995+"$F;@!/`["</f>
        <v>#VALUE!</v>
      </c>
      <c r="H268" t="e">
        <f>Europe!B995+"$F;@!/`\"</f>
        <v>#VALUE!</v>
      </c>
      <c r="I268" t="e">
        <f>Europe!C995+"$F;@!/`]"</f>
        <v>#VALUE!</v>
      </c>
      <c r="J268" t="e">
        <f>Europe!D995+"$F;@!/`^"</f>
        <v>#VALUE!</v>
      </c>
      <c r="K268" t="e">
        <f>Europe!E995+"$F;@!/`_"</f>
        <v>#VALUE!</v>
      </c>
      <c r="L268" t="e">
        <f>Europe!F995+"$F;@!/``"</f>
        <v>#VALUE!</v>
      </c>
      <c r="M268" t="e">
        <f>Europe!G995+"$F;@!/`a"</f>
        <v>#VALUE!</v>
      </c>
      <c r="N268" t="e">
        <f>Europe!H995+"$F;@!/`b"</f>
        <v>#VALUE!</v>
      </c>
      <c r="O268" t="e">
        <f>Europe!A996+"$F;@!/`c"</f>
        <v>#VALUE!</v>
      </c>
      <c r="P268" t="e">
        <f>Europe!B996+"$F;@!/`d"</f>
        <v>#VALUE!</v>
      </c>
      <c r="Q268" t="e">
        <f>Europe!C996+"$F;@!/`e"</f>
        <v>#VALUE!</v>
      </c>
      <c r="R268" t="e">
        <f>Europe!D996+"$F;@!/`f"</f>
        <v>#VALUE!</v>
      </c>
      <c r="S268" t="e">
        <f>Europe!E996+"$F;@!/`g"</f>
        <v>#VALUE!</v>
      </c>
      <c r="T268" t="e">
        <f>Europe!F996+"$F;@!/`h"</f>
        <v>#VALUE!</v>
      </c>
      <c r="U268" t="e">
        <f>Europe!G996+"$F;@!/`i"</f>
        <v>#VALUE!</v>
      </c>
      <c r="V268" t="e">
        <f>Europe!H996+"$F;@!/`j"</f>
        <v>#VALUE!</v>
      </c>
      <c r="W268" t="e">
        <f>Europe!A997+"$F;@!/`k"</f>
        <v>#VALUE!</v>
      </c>
      <c r="X268" t="e">
        <f>Europe!B997+"$F;@!/`l"</f>
        <v>#VALUE!</v>
      </c>
      <c r="Y268" t="e">
        <f>Europe!C997+"$F;@!/`m"</f>
        <v>#VALUE!</v>
      </c>
      <c r="Z268" t="e">
        <f>Europe!D997+"$F;@!/`n"</f>
        <v>#VALUE!</v>
      </c>
      <c r="AA268" t="e">
        <f>Europe!E997+"$F;@!/`o"</f>
        <v>#VALUE!</v>
      </c>
      <c r="AB268" t="e">
        <f>Europe!F997+"$F;@!/`p"</f>
        <v>#VALUE!</v>
      </c>
      <c r="AC268" t="e">
        <f>Europe!G997+"$F;@!/`q"</f>
        <v>#VALUE!</v>
      </c>
      <c r="AD268" t="e">
        <f>Europe!H997+"$F;@!/`r"</f>
        <v>#VALUE!</v>
      </c>
      <c r="AE268" t="e">
        <f>Europe!A998+"$F;@!/`s"</f>
        <v>#VALUE!</v>
      </c>
      <c r="AF268" t="e">
        <f>Europe!B998+"$F;@!/`t"</f>
        <v>#VALUE!</v>
      </c>
      <c r="AG268" t="e">
        <f>Europe!C998+"$F;@!/`u"</f>
        <v>#VALUE!</v>
      </c>
      <c r="AH268" t="e">
        <f>Europe!D998+"$F;@!/`v"</f>
        <v>#VALUE!</v>
      </c>
      <c r="AI268" t="e">
        <f>Europe!E998+"$F;@!/`w"</f>
        <v>#VALUE!</v>
      </c>
      <c r="AJ268" t="e">
        <f>Europe!F998+"$F;@!/`x"</f>
        <v>#VALUE!</v>
      </c>
      <c r="AK268" t="e">
        <f>Europe!G998+"$F;@!/`y"</f>
        <v>#VALUE!</v>
      </c>
      <c r="AL268" t="e">
        <f>Europe!H998+"$F;@!/`z"</f>
        <v>#VALUE!</v>
      </c>
      <c r="AM268" t="e">
        <f>Europe!A999+"$F;@!/`{"</f>
        <v>#VALUE!</v>
      </c>
      <c r="AN268" t="e">
        <f>Europe!B999+"$F;@!/`|"</f>
        <v>#VALUE!</v>
      </c>
      <c r="AO268" t="e">
        <f>Europe!C999+"$F;@!/`}"</f>
        <v>#VALUE!</v>
      </c>
      <c r="AP268" t="e">
        <f>Europe!D999+"$F;@!/`~"</f>
        <v>#VALUE!</v>
      </c>
      <c r="AQ268" t="e">
        <f>Europe!E999+"$F;@!/a#"</f>
        <v>#VALUE!</v>
      </c>
      <c r="AR268" t="e">
        <f>Europe!F999+"$F;@!/a$"</f>
        <v>#VALUE!</v>
      </c>
      <c r="AS268" t="e">
        <f>Europe!G999+"$F;@!/a%"</f>
        <v>#VALUE!</v>
      </c>
      <c r="AT268" t="e">
        <f>Europe!H999+"$F;@!/a&amp;"</f>
        <v>#VALUE!</v>
      </c>
      <c r="AU268" t="e">
        <f>Europe!A1000+"$F;@!/a'"</f>
        <v>#VALUE!</v>
      </c>
      <c r="AV268" t="e">
        <f>Europe!B1000+"$F;@!/a("</f>
        <v>#VALUE!</v>
      </c>
      <c r="AW268" t="e">
        <f>Europe!C1000+"$F;@!/a)"</f>
        <v>#VALUE!</v>
      </c>
      <c r="AX268" t="e">
        <f>Europe!D1000+"$F;@!/a."</f>
        <v>#VALUE!</v>
      </c>
      <c r="AY268" t="e">
        <f>Europe!E1000+"$F;@!/a/"</f>
        <v>#VALUE!</v>
      </c>
      <c r="AZ268" t="e">
        <f>Europe!F1000+"$F;@!/a0"</f>
        <v>#VALUE!</v>
      </c>
      <c r="BA268" t="e">
        <f>Europe!G1000+"$F;@!/a1"</f>
        <v>#VALUE!</v>
      </c>
      <c r="BB268" t="e">
        <f>Europe!H1000+"$F;@!/a2"</f>
        <v>#VALUE!</v>
      </c>
      <c r="BC268" t="e">
        <f>Europe!A1001+"$F;@!/a3"</f>
        <v>#VALUE!</v>
      </c>
      <c r="BD268" t="e">
        <f>Europe!B1001+"$F;@!/a4"</f>
        <v>#VALUE!</v>
      </c>
      <c r="BE268" t="e">
        <f>Europe!C1001+"$F;@!/a5"</f>
        <v>#VALUE!</v>
      </c>
      <c r="BF268" t="e">
        <f>Europe!D1001+"$F;@!/a6"</f>
        <v>#VALUE!</v>
      </c>
      <c r="BG268" t="e">
        <f>Europe!E1001+"$F;@!/a7"</f>
        <v>#VALUE!</v>
      </c>
      <c r="BH268" t="e">
        <f>Europe!F1001+"$F;@!/a8"</f>
        <v>#VALUE!</v>
      </c>
      <c r="BI268" t="e">
        <f>Europe!G1001+"$F;@!/a9"</f>
        <v>#VALUE!</v>
      </c>
      <c r="BJ268" t="e">
        <f>Europe!H1001+"$F;@!/a:"</f>
        <v>#VALUE!</v>
      </c>
      <c r="BK268" t="e">
        <f>Europe!A1002+"$F;@!/a;"</f>
        <v>#VALUE!</v>
      </c>
      <c r="BL268" t="e">
        <f>Europe!B1002+"$F;@!/a&lt;"</f>
        <v>#VALUE!</v>
      </c>
      <c r="BM268" t="e">
        <f>Europe!C1002+"$F;@!/a="</f>
        <v>#VALUE!</v>
      </c>
      <c r="BN268" t="e">
        <f>Europe!D1002+"$F;@!/a&gt;"</f>
        <v>#VALUE!</v>
      </c>
      <c r="BO268" t="e">
        <f>Europe!E1002+"$F;@!/a?"</f>
        <v>#VALUE!</v>
      </c>
      <c r="BP268" t="e">
        <f>Europe!F1002+"$F;@!/a@"</f>
        <v>#VALUE!</v>
      </c>
      <c r="BQ268" t="e">
        <f>Europe!G1002+"$F;@!/aA"</f>
        <v>#VALUE!</v>
      </c>
      <c r="BR268" t="e">
        <f>Europe!H1002+"$F;@!/aB"</f>
        <v>#VALUE!</v>
      </c>
      <c r="BS268" t="e">
        <f>Europe!A1003+"$F;@!/aC"</f>
        <v>#VALUE!</v>
      </c>
      <c r="BT268" t="e">
        <f>Europe!B1003+"$F;@!/aD"</f>
        <v>#VALUE!</v>
      </c>
      <c r="BU268" t="e">
        <f>Europe!C1003+"$F;@!/aE"</f>
        <v>#VALUE!</v>
      </c>
      <c r="BV268" t="e">
        <f>Europe!D1003+"$F;@!/aF"</f>
        <v>#VALUE!</v>
      </c>
      <c r="BW268" t="e">
        <f>Europe!E1003+"$F;@!/aG"</f>
        <v>#VALUE!</v>
      </c>
      <c r="BX268" t="e">
        <f>Europe!F1003+"$F;@!/aH"</f>
        <v>#VALUE!</v>
      </c>
      <c r="BY268" t="e">
        <f>Europe!G1003+"$F;@!/aI"</f>
        <v>#VALUE!</v>
      </c>
      <c r="BZ268" t="e">
        <f>Europe!H1003+"$F;@!/aJ"</f>
        <v>#VALUE!</v>
      </c>
      <c r="CA268" t="e">
        <f>Europe!A1004+"$F;@!/aK"</f>
        <v>#VALUE!</v>
      </c>
      <c r="CB268" t="e">
        <f>Europe!B1004+"$F;@!/aL"</f>
        <v>#VALUE!</v>
      </c>
      <c r="CC268" t="e">
        <f>Europe!C1004+"$F;@!/aM"</f>
        <v>#VALUE!</v>
      </c>
      <c r="CD268" t="e">
        <f>Europe!D1004+"$F;@!/aN"</f>
        <v>#VALUE!</v>
      </c>
      <c r="CE268" t="e">
        <f>Europe!E1004+"$F;@!/aO"</f>
        <v>#VALUE!</v>
      </c>
      <c r="CF268" t="e">
        <f>Europe!F1004+"$F;@!/aP"</f>
        <v>#VALUE!</v>
      </c>
      <c r="CG268" t="e">
        <f>Europe!G1004+"$F;@!/aQ"</f>
        <v>#VALUE!</v>
      </c>
      <c r="CH268" t="e">
        <f>Europe!H1004+"$F;@!/aR"</f>
        <v>#VALUE!</v>
      </c>
      <c r="CI268" t="e">
        <f>Europe!A1005+"$F;@!/aS"</f>
        <v>#VALUE!</v>
      </c>
      <c r="CJ268" t="e">
        <f>Europe!B1005+"$F;@!/aT"</f>
        <v>#VALUE!</v>
      </c>
      <c r="CK268" t="e">
        <f>Europe!C1005+"$F;@!/aU"</f>
        <v>#VALUE!</v>
      </c>
      <c r="CL268" t="e">
        <f>Europe!D1005+"$F;@!/aV"</f>
        <v>#VALUE!</v>
      </c>
      <c r="CM268" t="e">
        <f>Europe!E1005+"$F;@!/aW"</f>
        <v>#VALUE!</v>
      </c>
      <c r="CN268" t="e">
        <f>Europe!F1005+"$F;@!/aX"</f>
        <v>#VALUE!</v>
      </c>
      <c r="CO268" t="e">
        <f>Europe!G1005+"$F;@!/aY"</f>
        <v>#VALUE!</v>
      </c>
      <c r="CP268" t="e">
        <f>Europe!H1005+"$F;@!/aZ"</f>
        <v>#VALUE!</v>
      </c>
      <c r="CQ268" t="e">
        <f>Europe!A1006+"$F;@!/a["</f>
        <v>#VALUE!</v>
      </c>
      <c r="CR268" t="e">
        <f>Europe!B1006+"$F;@!/a\"</f>
        <v>#VALUE!</v>
      </c>
      <c r="CS268" t="e">
        <f>Europe!C1006+"$F;@!/a]"</f>
        <v>#VALUE!</v>
      </c>
      <c r="CT268" t="e">
        <f>Europe!D1006+"$F;@!/a^"</f>
        <v>#VALUE!</v>
      </c>
      <c r="CU268" t="e">
        <f>Europe!E1006+"$F;@!/a_"</f>
        <v>#VALUE!</v>
      </c>
      <c r="CV268" t="e">
        <f>Europe!F1006+"$F;@!/a`"</f>
        <v>#VALUE!</v>
      </c>
      <c r="CW268" t="e">
        <f>Europe!G1006+"$F;@!/aa"</f>
        <v>#VALUE!</v>
      </c>
      <c r="CX268" t="e">
        <f>Europe!H1006+"$F;@!/ab"</f>
        <v>#VALUE!</v>
      </c>
      <c r="CY268" t="e">
        <f>Europe!A1007+"$F;@!/ac"</f>
        <v>#VALUE!</v>
      </c>
      <c r="CZ268" t="e">
        <f>Europe!B1007+"$F;@!/ad"</f>
        <v>#VALUE!</v>
      </c>
      <c r="DA268" t="e">
        <f>Europe!C1007+"$F;@!/ae"</f>
        <v>#VALUE!</v>
      </c>
      <c r="DB268" t="e">
        <f>Europe!D1007+"$F;@!/af"</f>
        <v>#VALUE!</v>
      </c>
      <c r="DC268" t="e">
        <f>Europe!E1007+"$F;@!/ag"</f>
        <v>#VALUE!</v>
      </c>
      <c r="DD268" t="e">
        <f>Europe!F1007+"$F;@!/ah"</f>
        <v>#VALUE!</v>
      </c>
      <c r="DE268" t="e">
        <f>Europe!G1007+"$F;@!/ai"</f>
        <v>#VALUE!</v>
      </c>
      <c r="DF268" t="e">
        <f>Europe!H1007+"$F;@!/aj"</f>
        <v>#VALUE!</v>
      </c>
      <c r="DG268" t="e">
        <f>Europe!A1008+"$F;@!/ak"</f>
        <v>#VALUE!</v>
      </c>
      <c r="DH268" t="e">
        <f>Europe!B1008+"$F;@!/al"</f>
        <v>#VALUE!</v>
      </c>
      <c r="DI268" t="e">
        <f>Europe!C1008+"$F;@!/am"</f>
        <v>#VALUE!</v>
      </c>
      <c r="DJ268" t="e">
        <f>Europe!D1008+"$F;@!/an"</f>
        <v>#VALUE!</v>
      </c>
      <c r="DK268" t="e">
        <f>Europe!E1008+"$F;@!/ao"</f>
        <v>#VALUE!</v>
      </c>
      <c r="DL268" t="e">
        <f>Europe!F1008+"$F;@!/ap"</f>
        <v>#VALUE!</v>
      </c>
      <c r="DM268" t="e">
        <f>Europe!G1008+"$F;@!/aq"</f>
        <v>#VALUE!</v>
      </c>
      <c r="DN268" t="e">
        <f>Europe!H1008+"$F;@!/ar"</f>
        <v>#VALUE!</v>
      </c>
      <c r="DO268" t="e">
        <f>Europe!A1009+"$F;@!/as"</f>
        <v>#VALUE!</v>
      </c>
      <c r="DP268" t="e">
        <f>Europe!B1009+"$F;@!/at"</f>
        <v>#VALUE!</v>
      </c>
      <c r="DQ268" t="e">
        <f>Europe!C1009+"$F;@!/au"</f>
        <v>#VALUE!</v>
      </c>
      <c r="DR268" t="e">
        <f>Europe!D1009+"$F;@!/av"</f>
        <v>#VALUE!</v>
      </c>
      <c r="DS268" t="e">
        <f>Europe!E1009+"$F;@!/aw"</f>
        <v>#VALUE!</v>
      </c>
      <c r="DT268" t="e">
        <f>Europe!F1009+"$F;@!/ax"</f>
        <v>#VALUE!</v>
      </c>
      <c r="DU268" t="e">
        <f>Europe!G1009+"$F;@!/ay"</f>
        <v>#VALUE!</v>
      </c>
      <c r="DV268" t="e">
        <f>Europe!H1009+"$F;@!/az"</f>
        <v>#VALUE!</v>
      </c>
      <c r="DW268" t="e">
        <f>Europe!A1010+"$F;@!/a{"</f>
        <v>#VALUE!</v>
      </c>
      <c r="DX268" t="e">
        <f>Europe!B1010+"$F;@!/a|"</f>
        <v>#VALUE!</v>
      </c>
      <c r="DY268" t="e">
        <f>Europe!C1010+"$F;@!/a}"</f>
        <v>#VALUE!</v>
      </c>
      <c r="DZ268" t="e">
        <f>Europe!D1010+"$F;@!/a~"</f>
        <v>#VALUE!</v>
      </c>
      <c r="EA268" t="e">
        <f>Europe!E1010+"$F;@!/b#"</f>
        <v>#VALUE!</v>
      </c>
      <c r="EB268" t="e">
        <f>Europe!F1010+"$F;@!/b$"</f>
        <v>#VALUE!</v>
      </c>
      <c r="EC268" t="e">
        <f>Europe!G1010+"$F;@!/b%"</f>
        <v>#VALUE!</v>
      </c>
      <c r="ED268" t="e">
        <f>Europe!H1010+"$F;@!/b&amp;"</f>
        <v>#VALUE!</v>
      </c>
      <c r="EE268" t="e">
        <f>Europe!A1011+"$F;@!/b'"</f>
        <v>#VALUE!</v>
      </c>
      <c r="EF268" t="e">
        <f>Europe!B1011+"$F;@!/b("</f>
        <v>#VALUE!</v>
      </c>
      <c r="EG268" t="e">
        <f>Europe!C1011+"$F;@!/b)"</f>
        <v>#VALUE!</v>
      </c>
      <c r="EH268" t="e">
        <f>Europe!D1011+"$F;@!/b."</f>
        <v>#VALUE!</v>
      </c>
      <c r="EI268" t="e">
        <f>Europe!E1011+"$F;@!/b/"</f>
        <v>#VALUE!</v>
      </c>
      <c r="EJ268" t="e">
        <f>Europe!F1011+"$F;@!/b0"</f>
        <v>#VALUE!</v>
      </c>
      <c r="EK268" t="e">
        <f>Europe!G1011+"$F;@!/b1"</f>
        <v>#VALUE!</v>
      </c>
      <c r="EL268" t="e">
        <f>Europe!H1011+"$F;@!/b2"</f>
        <v>#VALUE!</v>
      </c>
      <c r="EM268" t="e">
        <f>Europe!A1012+"$F;@!/b3"</f>
        <v>#VALUE!</v>
      </c>
      <c r="EN268" t="e">
        <f>Europe!B1012+"$F;@!/b4"</f>
        <v>#VALUE!</v>
      </c>
      <c r="EO268" t="e">
        <f>Europe!C1012+"$F;@!/b5"</f>
        <v>#VALUE!</v>
      </c>
      <c r="EP268" t="e">
        <f>Europe!D1012+"$F;@!/b6"</f>
        <v>#VALUE!</v>
      </c>
      <c r="EQ268" t="e">
        <f>Europe!E1012+"$F;@!/b7"</f>
        <v>#VALUE!</v>
      </c>
      <c r="ER268" t="e">
        <f>Europe!F1012+"$F;@!/b8"</f>
        <v>#VALUE!</v>
      </c>
      <c r="ES268" t="e">
        <f>Europe!G1012+"$F;@!/b9"</f>
        <v>#VALUE!</v>
      </c>
      <c r="ET268" t="e">
        <f>Europe!H1012+"$F;@!/b:"</f>
        <v>#VALUE!</v>
      </c>
      <c r="EU268" t="e">
        <f>Europe!A1013+"$F;@!/b;"</f>
        <v>#VALUE!</v>
      </c>
      <c r="EV268" t="e">
        <f>Europe!B1013+"$F;@!/b&lt;"</f>
        <v>#VALUE!</v>
      </c>
      <c r="EW268" t="e">
        <f>Europe!C1013+"$F;@!/b="</f>
        <v>#VALUE!</v>
      </c>
      <c r="EX268" t="e">
        <f>Europe!D1013+"$F;@!/b&gt;"</f>
        <v>#VALUE!</v>
      </c>
      <c r="EY268" t="e">
        <f>Europe!E1013+"$F;@!/b?"</f>
        <v>#VALUE!</v>
      </c>
      <c r="EZ268" t="e">
        <f>Europe!F1013+"$F;@!/b@"</f>
        <v>#VALUE!</v>
      </c>
      <c r="FA268" t="e">
        <f>Europe!G1013+"$F;@!/bA"</f>
        <v>#VALUE!</v>
      </c>
      <c r="FB268" t="e">
        <f>Europe!H1013+"$F;@!/bB"</f>
        <v>#VALUE!</v>
      </c>
      <c r="FC268" t="e">
        <f>Europe!A1014+"$F;@!/bC"</f>
        <v>#VALUE!</v>
      </c>
      <c r="FD268" t="e">
        <f>Europe!B1014+"$F;@!/bD"</f>
        <v>#VALUE!</v>
      </c>
      <c r="FE268" t="e">
        <f>Europe!C1014+"$F;@!/bE"</f>
        <v>#VALUE!</v>
      </c>
      <c r="FF268" t="e">
        <f>Europe!D1014+"$F;@!/bF"</f>
        <v>#VALUE!</v>
      </c>
      <c r="FG268" t="e">
        <f>Europe!E1014+"$F;@!/bG"</f>
        <v>#VALUE!</v>
      </c>
      <c r="FH268" t="e">
        <f>Europe!F1014+"$F;@!/bH"</f>
        <v>#VALUE!</v>
      </c>
      <c r="FI268" t="e">
        <f>Europe!G1014+"$F;@!/bI"</f>
        <v>#VALUE!</v>
      </c>
      <c r="FJ268" t="e">
        <f>Europe!H1014+"$F;@!/bJ"</f>
        <v>#VALUE!</v>
      </c>
      <c r="FK268" t="e">
        <f>Europe!A1015+"$F;@!/bK"</f>
        <v>#VALUE!</v>
      </c>
      <c r="FL268" t="e">
        <f>Europe!B1015+"$F;@!/bL"</f>
        <v>#VALUE!</v>
      </c>
      <c r="FM268" t="e">
        <f>Europe!C1015+"$F;@!/bM"</f>
        <v>#VALUE!</v>
      </c>
      <c r="FN268" t="e">
        <f>Europe!D1015+"$F;@!/bN"</f>
        <v>#VALUE!</v>
      </c>
      <c r="FO268" t="e">
        <f>Europe!E1015+"$F;@!/bO"</f>
        <v>#VALUE!</v>
      </c>
      <c r="FP268" t="e">
        <f>Europe!F1015+"$F;@!/bP"</f>
        <v>#VALUE!</v>
      </c>
      <c r="FQ268" t="e">
        <f>Europe!G1015+"$F;@!/bQ"</f>
        <v>#VALUE!</v>
      </c>
      <c r="FR268" t="e">
        <f>Europe!H1015+"$F;@!/bR"</f>
        <v>#VALUE!</v>
      </c>
      <c r="FS268" t="e">
        <f>Europe!A1016+"$F;@!/bS"</f>
        <v>#VALUE!</v>
      </c>
      <c r="FT268" t="e">
        <f>Europe!B1016+"$F;@!/bT"</f>
        <v>#VALUE!</v>
      </c>
      <c r="FU268" t="e">
        <f>Europe!C1016+"$F;@!/bU"</f>
        <v>#VALUE!</v>
      </c>
      <c r="FV268" t="e">
        <f>Europe!D1016+"$F;@!/bV"</f>
        <v>#VALUE!</v>
      </c>
      <c r="FW268" t="e">
        <f>Europe!E1016+"$F;@!/bW"</f>
        <v>#VALUE!</v>
      </c>
      <c r="FX268" t="e">
        <f>Europe!F1016+"$F;@!/bX"</f>
        <v>#VALUE!</v>
      </c>
      <c r="FY268" t="e">
        <f>Europe!G1016+"$F;@!/bY"</f>
        <v>#VALUE!</v>
      </c>
      <c r="FZ268" t="e">
        <f>Europe!H1016+"$F;@!/bZ"</f>
        <v>#VALUE!</v>
      </c>
      <c r="GA268" t="e">
        <f>Europe!A1017+"$F;@!/b["</f>
        <v>#VALUE!</v>
      </c>
      <c r="GB268" t="e">
        <f>Europe!B1017+"$F;@!/b\"</f>
        <v>#VALUE!</v>
      </c>
      <c r="GC268" t="e">
        <f>Europe!C1017+"$F;@!/b]"</f>
        <v>#VALUE!</v>
      </c>
      <c r="GD268" t="e">
        <f>Europe!D1017+"$F;@!/b^"</f>
        <v>#VALUE!</v>
      </c>
      <c r="GE268" t="e">
        <f>Europe!E1017+"$F;@!/b_"</f>
        <v>#VALUE!</v>
      </c>
      <c r="GF268" t="e">
        <f>Europe!F1017+"$F;@!/b`"</f>
        <v>#VALUE!</v>
      </c>
      <c r="GG268" t="e">
        <f>Europe!G1017+"$F;@!/ba"</f>
        <v>#VALUE!</v>
      </c>
      <c r="GH268" t="e">
        <f>Europe!H1017+"$F;@!/bb"</f>
        <v>#VALUE!</v>
      </c>
      <c r="GI268" t="e">
        <f>Europe!A1018+"$F;@!/bc"</f>
        <v>#VALUE!</v>
      </c>
      <c r="GJ268" t="e">
        <f>Europe!B1018+"$F;@!/bd"</f>
        <v>#VALUE!</v>
      </c>
      <c r="GK268" t="e">
        <f>Europe!C1018+"$F;@!/be"</f>
        <v>#VALUE!</v>
      </c>
      <c r="GL268" t="e">
        <f>Europe!D1018+"$F;@!/bf"</f>
        <v>#VALUE!</v>
      </c>
      <c r="GM268" t="e">
        <f>Europe!E1018+"$F;@!/bg"</f>
        <v>#VALUE!</v>
      </c>
      <c r="GN268" t="e">
        <f>Europe!F1018+"$F;@!/bh"</f>
        <v>#VALUE!</v>
      </c>
      <c r="GO268" t="e">
        <f>Europe!G1018+"$F;@!/bi"</f>
        <v>#VALUE!</v>
      </c>
      <c r="GP268" t="e">
        <f>Europe!H1018+"$F;@!/bj"</f>
        <v>#VALUE!</v>
      </c>
      <c r="GQ268" t="e">
        <f>Europe!A1019+"$F;@!/bk"</f>
        <v>#VALUE!</v>
      </c>
      <c r="GR268" t="e">
        <f>Europe!B1019+"$F;@!/bl"</f>
        <v>#VALUE!</v>
      </c>
      <c r="GS268" t="e">
        <f>Europe!C1019+"$F;@!/bm"</f>
        <v>#VALUE!</v>
      </c>
      <c r="GT268" t="e">
        <f>Europe!D1019+"$F;@!/bn"</f>
        <v>#VALUE!</v>
      </c>
      <c r="GU268" t="e">
        <f>Europe!E1019+"$F;@!/bo"</f>
        <v>#VALUE!</v>
      </c>
      <c r="GV268" t="e">
        <f>Europe!F1019+"$F;@!/bp"</f>
        <v>#VALUE!</v>
      </c>
      <c r="GW268" t="e">
        <f>Europe!G1019+"$F;@!/bq"</f>
        <v>#VALUE!</v>
      </c>
      <c r="GX268" t="e">
        <f>Europe!H1019+"$F;@!/br"</f>
        <v>#VALUE!</v>
      </c>
      <c r="GY268" t="e">
        <f>Europe!A1020+"$F;@!/bs"</f>
        <v>#VALUE!</v>
      </c>
      <c r="GZ268" t="e">
        <f>Europe!B1020+"$F;@!/bt"</f>
        <v>#VALUE!</v>
      </c>
      <c r="HA268" t="e">
        <f>Europe!C1020+"$F;@!/bu"</f>
        <v>#VALUE!</v>
      </c>
      <c r="HB268" t="e">
        <f>Europe!D1020+"$F;@!/bv"</f>
        <v>#VALUE!</v>
      </c>
      <c r="HC268" t="e">
        <f>Europe!E1020+"$F;@!/bw"</f>
        <v>#VALUE!</v>
      </c>
      <c r="HD268" t="e">
        <f>Europe!F1020+"$F;@!/bx"</f>
        <v>#VALUE!</v>
      </c>
      <c r="HE268" t="e">
        <f>Europe!G1020+"$F;@!/by"</f>
        <v>#VALUE!</v>
      </c>
      <c r="HF268" t="e">
        <f>Europe!H1020+"$F;@!/bz"</f>
        <v>#VALUE!</v>
      </c>
      <c r="HG268" t="e">
        <f>Europe!A1021+"$F;@!/b{"</f>
        <v>#VALUE!</v>
      </c>
      <c r="HH268" t="e">
        <f>Europe!B1021+"$F;@!/b|"</f>
        <v>#VALUE!</v>
      </c>
      <c r="HI268" t="e">
        <f>Europe!C1021+"$F;@!/b}"</f>
        <v>#VALUE!</v>
      </c>
      <c r="HJ268" t="e">
        <f>Europe!D1021+"$F;@!/b~"</f>
        <v>#VALUE!</v>
      </c>
      <c r="HK268" t="e">
        <f>Europe!E1021+"$F;@!/c#"</f>
        <v>#VALUE!</v>
      </c>
      <c r="HL268" t="e">
        <f>Europe!F1021+"$F;@!/c$"</f>
        <v>#VALUE!</v>
      </c>
      <c r="HM268" t="e">
        <f>Europe!G1021+"$F;@!/c%"</f>
        <v>#VALUE!</v>
      </c>
      <c r="HN268" t="e">
        <f>Europe!H1021+"$F;@!/c&amp;"</f>
        <v>#VALUE!</v>
      </c>
      <c r="HO268" t="e">
        <f>Europe!A1022+"$F;@!/c'"</f>
        <v>#VALUE!</v>
      </c>
      <c r="HP268" t="e">
        <f>Europe!B1022+"$F;@!/c("</f>
        <v>#VALUE!</v>
      </c>
      <c r="HQ268" t="e">
        <f>Europe!C1022+"$F;@!/c)"</f>
        <v>#VALUE!</v>
      </c>
      <c r="HR268" t="e">
        <f>Europe!D1022+"$F;@!/c."</f>
        <v>#VALUE!</v>
      </c>
      <c r="HS268" t="e">
        <f>Europe!E1022+"$F;@!/c/"</f>
        <v>#VALUE!</v>
      </c>
      <c r="HT268" t="e">
        <f>Europe!F1022+"$F;@!/c0"</f>
        <v>#VALUE!</v>
      </c>
      <c r="HU268" t="e">
        <f>Europe!G1022+"$F;@!/c1"</f>
        <v>#VALUE!</v>
      </c>
      <c r="HV268" t="e">
        <f>Europe!H1022+"$F;@!/c2"</f>
        <v>#VALUE!</v>
      </c>
      <c r="HW268" t="e">
        <f>Europe!A1023+"$F;@!/c3"</f>
        <v>#VALUE!</v>
      </c>
      <c r="HX268" t="e">
        <f>Europe!B1023+"$F;@!/c4"</f>
        <v>#VALUE!</v>
      </c>
      <c r="HY268" t="e">
        <f>Europe!C1023+"$F;@!/c5"</f>
        <v>#VALUE!</v>
      </c>
      <c r="HZ268" t="e">
        <f>Europe!D1023+"$F;@!/c6"</f>
        <v>#VALUE!</v>
      </c>
      <c r="IA268" t="e">
        <f>Europe!E1023+"$F;@!/c7"</f>
        <v>#VALUE!</v>
      </c>
      <c r="IB268" t="e">
        <f>Europe!F1023+"$F;@!/c8"</f>
        <v>#VALUE!</v>
      </c>
      <c r="IC268" t="e">
        <f>Europe!G1023+"$F;@!/c9"</f>
        <v>#VALUE!</v>
      </c>
      <c r="ID268" t="e">
        <f>Europe!H1023+"$F;@!/c:"</f>
        <v>#VALUE!</v>
      </c>
      <c r="IE268" t="e">
        <f>Europe!A1024+"$F;@!/c;"</f>
        <v>#VALUE!</v>
      </c>
      <c r="IF268" t="e">
        <f>Europe!B1024+"$F;@!/c&lt;"</f>
        <v>#VALUE!</v>
      </c>
      <c r="IG268" t="e">
        <f>Europe!C1024+"$F;@!/c="</f>
        <v>#VALUE!</v>
      </c>
      <c r="IH268" t="e">
        <f>Europe!D1024+"$F;@!/c&gt;"</f>
        <v>#VALUE!</v>
      </c>
      <c r="II268" t="e">
        <f>Europe!E1024+"$F;@!/c?"</f>
        <v>#VALUE!</v>
      </c>
      <c r="IJ268" t="e">
        <f>Europe!F1024+"$F;@!/c@"</f>
        <v>#VALUE!</v>
      </c>
      <c r="IK268" t="e">
        <f>Europe!G1024+"$F;@!/cA"</f>
        <v>#VALUE!</v>
      </c>
      <c r="IL268" t="e">
        <f>Europe!H1024+"$F;@!/cB"</f>
        <v>#VALUE!</v>
      </c>
      <c r="IM268" t="e">
        <f>Europe!A1025+"$F;@!/cC"</f>
        <v>#VALUE!</v>
      </c>
      <c r="IN268" t="e">
        <f>Europe!B1025+"$F;@!/cD"</f>
        <v>#VALUE!</v>
      </c>
      <c r="IO268" t="e">
        <f>Europe!C1025+"$F;@!/cE"</f>
        <v>#VALUE!</v>
      </c>
      <c r="IP268" t="e">
        <f>Europe!D1025+"$F;@!/cF"</f>
        <v>#VALUE!</v>
      </c>
      <c r="IQ268" t="e">
        <f>Europe!E1025+"$F;@!/cG"</f>
        <v>#VALUE!</v>
      </c>
      <c r="IR268" t="e">
        <f>Europe!F1025+"$F;@!/cH"</f>
        <v>#VALUE!</v>
      </c>
      <c r="IS268" t="e">
        <f>Europe!G1025+"$F;@!/cI"</f>
        <v>#VALUE!</v>
      </c>
      <c r="IT268" t="e">
        <f>Europe!H1025+"$F;@!/cJ"</f>
        <v>#VALUE!</v>
      </c>
      <c r="IU268" t="e">
        <f>Europe!A1026+"$F;@!/cK"</f>
        <v>#VALUE!</v>
      </c>
      <c r="IV268" t="e">
        <f>Europe!B1026+"$F;@!/cL"</f>
        <v>#VALUE!</v>
      </c>
    </row>
    <row r="269" spans="6:256" x14ac:dyDescent="0.35">
      <c r="F269" t="e">
        <f>Europe!C1026+"$F;@!/cM"</f>
        <v>#VALUE!</v>
      </c>
      <c r="G269" t="e">
        <f>Europe!D1026+"$F;@!/cN"</f>
        <v>#VALUE!</v>
      </c>
      <c r="H269" t="e">
        <f>Europe!E1026+"$F;@!/cO"</f>
        <v>#VALUE!</v>
      </c>
      <c r="I269" t="e">
        <f>Europe!F1026+"$F;@!/cP"</f>
        <v>#VALUE!</v>
      </c>
      <c r="J269" t="e">
        <f>Europe!G1026+"$F;@!/cQ"</f>
        <v>#VALUE!</v>
      </c>
      <c r="K269" t="e">
        <f>Europe!H1026+"$F;@!/cR"</f>
        <v>#VALUE!</v>
      </c>
      <c r="L269" t="e">
        <f>Europe!A1027+"$F;@!/cS"</f>
        <v>#VALUE!</v>
      </c>
      <c r="M269" t="e">
        <f>Europe!B1027+"$F;@!/cT"</f>
        <v>#VALUE!</v>
      </c>
      <c r="N269" t="e">
        <f>Europe!C1027+"$F;@!/cU"</f>
        <v>#VALUE!</v>
      </c>
      <c r="O269" t="e">
        <f>Europe!D1027+"$F;@!/cV"</f>
        <v>#VALUE!</v>
      </c>
      <c r="P269" t="e">
        <f>Europe!E1027+"$F;@!/cW"</f>
        <v>#VALUE!</v>
      </c>
      <c r="Q269" t="e">
        <f>Europe!F1027+"$F;@!/cX"</f>
        <v>#VALUE!</v>
      </c>
      <c r="R269" t="e">
        <f>Europe!G1027+"$F;@!/cY"</f>
        <v>#VALUE!</v>
      </c>
      <c r="S269" t="e">
        <f>Europe!H1027+"$F;@!/cZ"</f>
        <v>#VALUE!</v>
      </c>
      <c r="T269" t="e">
        <f>Europe!A1028+"$F;@!/c["</f>
        <v>#VALUE!</v>
      </c>
      <c r="U269" t="e">
        <f>Europe!B1028+"$F;@!/c\"</f>
        <v>#VALUE!</v>
      </c>
      <c r="V269" t="e">
        <f>Europe!C1028+"$F;@!/c]"</f>
        <v>#VALUE!</v>
      </c>
      <c r="W269" t="e">
        <f>Europe!D1028+"$F;@!/c^"</f>
        <v>#VALUE!</v>
      </c>
      <c r="X269" t="e">
        <f>Europe!E1028+"$F;@!/c_"</f>
        <v>#VALUE!</v>
      </c>
      <c r="Y269" t="e">
        <f>Europe!F1028+"$F;@!/c`"</f>
        <v>#VALUE!</v>
      </c>
      <c r="Z269" t="e">
        <f>Europe!G1028+"$F;@!/ca"</f>
        <v>#VALUE!</v>
      </c>
      <c r="AA269" t="e">
        <f>Europe!H1028+"$F;@!/cb"</f>
        <v>#VALUE!</v>
      </c>
      <c r="AB269" t="e">
        <f>Europe!A1029+"$F;@!/cc"</f>
        <v>#VALUE!</v>
      </c>
      <c r="AC269" t="e">
        <f>Europe!B1029+"$F;@!/cd"</f>
        <v>#VALUE!</v>
      </c>
      <c r="AD269" t="e">
        <f>Europe!C1029+"$F;@!/ce"</f>
        <v>#VALUE!</v>
      </c>
      <c r="AE269" t="e">
        <f>Europe!D1029+"$F;@!/cf"</f>
        <v>#VALUE!</v>
      </c>
      <c r="AF269" t="e">
        <f>Europe!E1029+"$F;@!/cg"</f>
        <v>#VALUE!</v>
      </c>
      <c r="AG269" t="e">
        <f>Europe!F1029+"$F;@!/ch"</f>
        <v>#VALUE!</v>
      </c>
      <c r="AH269" t="e">
        <f>Europe!G1029+"$F;@!/ci"</f>
        <v>#VALUE!</v>
      </c>
      <c r="AI269" t="e">
        <f>Europe!H1029+"$F;@!/cj"</f>
        <v>#VALUE!</v>
      </c>
      <c r="AJ269" t="e">
        <f>Europe!A1030+"$F;@!/ck"</f>
        <v>#VALUE!</v>
      </c>
      <c r="AK269" t="e">
        <f>Europe!B1030+"$F;@!/cl"</f>
        <v>#VALUE!</v>
      </c>
      <c r="AL269" t="e">
        <f>Europe!C1030+"$F;@!/cm"</f>
        <v>#VALUE!</v>
      </c>
      <c r="AM269" t="e">
        <f>Europe!D1030+"$F;@!/cn"</f>
        <v>#VALUE!</v>
      </c>
      <c r="AN269" t="e">
        <f>Europe!E1030+"$F;@!/co"</f>
        <v>#VALUE!</v>
      </c>
      <c r="AO269" t="e">
        <f>Europe!F1030+"$F;@!/cp"</f>
        <v>#VALUE!</v>
      </c>
      <c r="AP269" t="e">
        <f>Europe!G1030+"$F;@!/cq"</f>
        <v>#VALUE!</v>
      </c>
      <c r="AQ269" t="e">
        <f>Europe!H1030+"$F;@!/cr"</f>
        <v>#VALUE!</v>
      </c>
      <c r="AR269" t="e">
        <f>Europe!A1031+"$F;@!/cs"</f>
        <v>#VALUE!</v>
      </c>
      <c r="AS269" t="e">
        <f>Europe!B1031+"$F;@!/ct"</f>
        <v>#VALUE!</v>
      </c>
      <c r="AT269" t="e">
        <f>Europe!C1031+"$F;@!/cu"</f>
        <v>#VALUE!</v>
      </c>
      <c r="AU269" t="e">
        <f>Europe!D1031+"$F;@!/cv"</f>
        <v>#VALUE!</v>
      </c>
      <c r="AV269" t="e">
        <f>Europe!E1031+"$F;@!/cw"</f>
        <v>#VALUE!</v>
      </c>
      <c r="AW269" t="e">
        <f>Europe!F1031+"$F;@!/cx"</f>
        <v>#VALUE!</v>
      </c>
      <c r="AX269" t="e">
        <f>Europe!G1031+"$F;@!/cy"</f>
        <v>#VALUE!</v>
      </c>
      <c r="AY269" t="e">
        <f>Europe!H1031+"$F;@!/cz"</f>
        <v>#VALUE!</v>
      </c>
      <c r="AZ269" t="e">
        <f>Europe!A1032+"$F;@!/c{"</f>
        <v>#VALUE!</v>
      </c>
      <c r="BA269" t="e">
        <f>Europe!B1032+"$F;@!/c|"</f>
        <v>#VALUE!</v>
      </c>
      <c r="BB269" t="e">
        <f>Europe!C1032+"$F;@!/c}"</f>
        <v>#VALUE!</v>
      </c>
      <c r="BC269" t="e">
        <f>Europe!D1032+"$F;@!/c~"</f>
        <v>#VALUE!</v>
      </c>
      <c r="BD269" t="e">
        <f>Europe!E1032+"$F;@!/d#"</f>
        <v>#VALUE!</v>
      </c>
      <c r="BE269" t="e">
        <f>Europe!F1032+"$F;@!/d$"</f>
        <v>#VALUE!</v>
      </c>
      <c r="BF269" t="e">
        <f>Europe!G1032+"$F;@!/d%"</f>
        <v>#VALUE!</v>
      </c>
      <c r="BG269" t="e">
        <f>Europe!H1032+"$F;@!/d&amp;"</f>
        <v>#VALUE!</v>
      </c>
      <c r="BH269" t="e">
        <f>Europe!A1033+"$F;@!/d'"</f>
        <v>#VALUE!</v>
      </c>
      <c r="BI269" t="e">
        <f>Europe!B1033+"$F;@!/d("</f>
        <v>#VALUE!</v>
      </c>
      <c r="BJ269" t="e">
        <f>Europe!C1033+"$F;@!/d)"</f>
        <v>#VALUE!</v>
      </c>
      <c r="BK269" t="e">
        <f>Europe!D1033+"$F;@!/d."</f>
        <v>#VALUE!</v>
      </c>
      <c r="BL269" t="e">
        <f>Europe!E1033+"$F;@!/d/"</f>
        <v>#VALUE!</v>
      </c>
      <c r="BM269" t="e">
        <f>Europe!F1033+"$F;@!/d0"</f>
        <v>#VALUE!</v>
      </c>
      <c r="BN269" t="e">
        <f>Europe!G1033+"$F;@!/d1"</f>
        <v>#VALUE!</v>
      </c>
      <c r="BO269" t="e">
        <f>Europe!H1033+"$F;@!/d2"</f>
        <v>#VALUE!</v>
      </c>
      <c r="BP269" t="e">
        <f>Europe!A1034+"$F;@!/d3"</f>
        <v>#VALUE!</v>
      </c>
      <c r="BQ269" t="e">
        <f>Europe!B1034+"$F;@!/d4"</f>
        <v>#VALUE!</v>
      </c>
      <c r="BR269" t="e">
        <f>Europe!C1034+"$F;@!/d5"</f>
        <v>#VALUE!</v>
      </c>
      <c r="BS269" t="e">
        <f>Europe!D1034+"$F;@!/d6"</f>
        <v>#VALUE!</v>
      </c>
      <c r="BT269" t="e">
        <f>Europe!E1034+"$F;@!/d7"</f>
        <v>#VALUE!</v>
      </c>
      <c r="BU269" t="e">
        <f>Europe!F1034+"$F;@!/d8"</f>
        <v>#VALUE!</v>
      </c>
      <c r="BV269" t="e">
        <f>Europe!G1034+"$F;@!/d9"</f>
        <v>#VALUE!</v>
      </c>
      <c r="BW269" t="e">
        <f>Europe!H1034+"$F;@!/d:"</f>
        <v>#VALUE!</v>
      </c>
      <c r="BX269" t="e">
        <f>Europe!A1035+"$F;@!/d;"</f>
        <v>#VALUE!</v>
      </c>
      <c r="BY269" t="e">
        <f>Europe!B1035+"$F;@!/d&lt;"</f>
        <v>#VALUE!</v>
      </c>
      <c r="BZ269" t="e">
        <f>Europe!C1035+"$F;@!/d="</f>
        <v>#VALUE!</v>
      </c>
      <c r="CA269" t="e">
        <f>Europe!D1035+"$F;@!/d&gt;"</f>
        <v>#VALUE!</v>
      </c>
      <c r="CB269" t="e">
        <f>Europe!E1035+"$F;@!/d?"</f>
        <v>#VALUE!</v>
      </c>
      <c r="CC269" t="e">
        <f>Europe!F1035+"$F;@!/d@"</f>
        <v>#VALUE!</v>
      </c>
      <c r="CD269" t="e">
        <f>Europe!G1035+"$F;@!/dA"</f>
        <v>#VALUE!</v>
      </c>
      <c r="CE269" t="e">
        <f>Europe!H1035+"$F;@!/dB"</f>
        <v>#VALUE!</v>
      </c>
      <c r="CF269" t="e">
        <f>Europe!A1036+"$F;@!/dC"</f>
        <v>#VALUE!</v>
      </c>
      <c r="CG269" t="e">
        <f>Europe!B1036+"$F;@!/dD"</f>
        <v>#VALUE!</v>
      </c>
      <c r="CH269" t="e">
        <f>Europe!C1036+"$F;@!/dE"</f>
        <v>#VALUE!</v>
      </c>
      <c r="CI269" t="e">
        <f>Europe!D1036+"$F;@!/dF"</f>
        <v>#VALUE!</v>
      </c>
      <c r="CJ269" t="e">
        <f>Europe!E1036+"$F;@!/dG"</f>
        <v>#VALUE!</v>
      </c>
      <c r="CK269" t="e">
        <f>Europe!F1036+"$F;@!/dH"</f>
        <v>#VALUE!</v>
      </c>
      <c r="CL269" t="e">
        <f>Europe!G1036+"$F;@!/dI"</f>
        <v>#VALUE!</v>
      </c>
      <c r="CM269" t="e">
        <f>Europe!H1036+"$F;@!/dJ"</f>
        <v>#VALUE!</v>
      </c>
      <c r="CN269" t="e">
        <f>Europe!A1037+"$F;@!/dK"</f>
        <v>#VALUE!</v>
      </c>
      <c r="CO269" t="e">
        <f>Europe!B1037+"$F;@!/dL"</f>
        <v>#VALUE!</v>
      </c>
      <c r="CP269" t="e">
        <f>Europe!C1037+"$F;@!/dM"</f>
        <v>#VALUE!</v>
      </c>
      <c r="CQ269" t="e">
        <f>Europe!D1037+"$F;@!/dN"</f>
        <v>#VALUE!</v>
      </c>
      <c r="CR269" t="e">
        <f>Europe!E1037+"$F;@!/dO"</f>
        <v>#VALUE!</v>
      </c>
      <c r="CS269" t="e">
        <f>Europe!F1037+"$F;@!/dP"</f>
        <v>#VALUE!</v>
      </c>
      <c r="CT269" t="e">
        <f>Europe!G1037+"$F;@!/dQ"</f>
        <v>#VALUE!</v>
      </c>
      <c r="CU269" t="e">
        <f>Europe!H1037+"$F;@!/dR"</f>
        <v>#VALUE!</v>
      </c>
      <c r="CV269" t="e">
        <f>Europe!A1038+"$F;@!/dS"</f>
        <v>#VALUE!</v>
      </c>
      <c r="CW269" t="e">
        <f>Europe!B1038+"$F;@!/dT"</f>
        <v>#VALUE!</v>
      </c>
      <c r="CX269" t="e">
        <f>Europe!C1038+"$F;@!/dU"</f>
        <v>#VALUE!</v>
      </c>
      <c r="CY269" t="e">
        <f>Europe!D1038+"$F;@!/dV"</f>
        <v>#VALUE!</v>
      </c>
      <c r="CZ269" t="e">
        <f>Europe!E1038+"$F;@!/dW"</f>
        <v>#VALUE!</v>
      </c>
      <c r="DA269" t="e">
        <f>Europe!F1038+"$F;@!/dX"</f>
        <v>#VALUE!</v>
      </c>
      <c r="DB269" t="e">
        <f>Europe!G1038+"$F;@!/dY"</f>
        <v>#VALUE!</v>
      </c>
      <c r="DC269" t="e">
        <f>Europe!H1038+"$F;@!/dZ"</f>
        <v>#VALUE!</v>
      </c>
      <c r="DD269" t="e">
        <f>Europe!A1039+"$F;@!/d["</f>
        <v>#VALUE!</v>
      </c>
      <c r="DE269" t="e">
        <f>Europe!B1039+"$F;@!/d\"</f>
        <v>#VALUE!</v>
      </c>
      <c r="DF269" t="e">
        <f>Europe!C1039+"$F;@!/d]"</f>
        <v>#VALUE!</v>
      </c>
      <c r="DG269" t="e">
        <f>Europe!D1039+"$F;@!/d^"</f>
        <v>#VALUE!</v>
      </c>
      <c r="DH269" t="e">
        <f>Europe!E1039+"$F;@!/d_"</f>
        <v>#VALUE!</v>
      </c>
      <c r="DI269" t="e">
        <f>Europe!F1039+"$F;@!/d`"</f>
        <v>#VALUE!</v>
      </c>
      <c r="DJ269" t="e">
        <f>Europe!G1039+"$F;@!/da"</f>
        <v>#VALUE!</v>
      </c>
      <c r="DK269" t="e">
        <f>Europe!H1039+"$F;@!/db"</f>
        <v>#VALUE!</v>
      </c>
      <c r="DL269" t="e">
        <f>Europe!A1040+"$F;@!/dc"</f>
        <v>#VALUE!</v>
      </c>
      <c r="DM269" t="e">
        <f>Europe!B1040+"$F;@!/dd"</f>
        <v>#VALUE!</v>
      </c>
      <c r="DN269" t="e">
        <f>Europe!C1040+"$F;@!/de"</f>
        <v>#VALUE!</v>
      </c>
      <c r="DO269" t="e">
        <f>Europe!D1040+"$F;@!/df"</f>
        <v>#VALUE!</v>
      </c>
      <c r="DP269" t="e">
        <f>Europe!E1040+"$F;@!/dg"</f>
        <v>#VALUE!</v>
      </c>
      <c r="DQ269" t="e">
        <f>Europe!F1040+"$F;@!/dh"</f>
        <v>#VALUE!</v>
      </c>
      <c r="DR269" t="e">
        <f>Europe!G1040+"$F;@!/di"</f>
        <v>#VALUE!</v>
      </c>
      <c r="DS269" t="e">
        <f>Europe!H1040+"$F;@!/dj"</f>
        <v>#VALUE!</v>
      </c>
      <c r="DT269" t="e">
        <f>Europe!A1041+"$F;@!/dk"</f>
        <v>#VALUE!</v>
      </c>
      <c r="DU269" t="e">
        <f>Europe!B1041+"$F;@!/dl"</f>
        <v>#VALUE!</v>
      </c>
      <c r="DV269" t="e">
        <f>Europe!C1041+"$F;@!/dm"</f>
        <v>#VALUE!</v>
      </c>
      <c r="DW269" t="e">
        <f>Europe!D1041+"$F;@!/dn"</f>
        <v>#VALUE!</v>
      </c>
      <c r="DX269" t="e">
        <f>Europe!E1041+"$F;@!/do"</f>
        <v>#VALUE!</v>
      </c>
      <c r="DY269" t="e">
        <f>Europe!F1041+"$F;@!/dp"</f>
        <v>#VALUE!</v>
      </c>
      <c r="DZ269" t="e">
        <f>Europe!G1041+"$F;@!/dq"</f>
        <v>#VALUE!</v>
      </c>
      <c r="EA269" t="e">
        <f>Europe!H1041+"$F;@!/dr"</f>
        <v>#VALUE!</v>
      </c>
      <c r="EB269" t="e">
        <f>Europe!A1042+"$F;@!/ds"</f>
        <v>#VALUE!</v>
      </c>
      <c r="EC269" t="e">
        <f>Europe!B1042+"$F;@!/dt"</f>
        <v>#VALUE!</v>
      </c>
      <c r="ED269" t="e">
        <f>Europe!C1042+"$F;@!/du"</f>
        <v>#VALUE!</v>
      </c>
      <c r="EE269" t="e">
        <f>Europe!D1042+"$F;@!/dv"</f>
        <v>#VALUE!</v>
      </c>
      <c r="EF269" t="e">
        <f>Europe!E1042+"$F;@!/dw"</f>
        <v>#VALUE!</v>
      </c>
      <c r="EG269" t="e">
        <f>Europe!F1042+"$F;@!/dx"</f>
        <v>#VALUE!</v>
      </c>
      <c r="EH269" t="e">
        <f>Europe!G1042+"$F;@!/dy"</f>
        <v>#VALUE!</v>
      </c>
      <c r="EI269" t="e">
        <f>Europe!H1042+"$F;@!/dz"</f>
        <v>#VALUE!</v>
      </c>
      <c r="EJ269" t="e">
        <f>Europe!A1043+"$F;@!/d{"</f>
        <v>#VALUE!</v>
      </c>
      <c r="EK269" t="e">
        <f>Europe!B1043+"$F;@!/d|"</f>
        <v>#VALUE!</v>
      </c>
      <c r="EL269" t="e">
        <f>Europe!C1043+"$F;@!/d}"</f>
        <v>#VALUE!</v>
      </c>
      <c r="EM269" t="e">
        <f>Europe!D1043+"$F;@!/d~"</f>
        <v>#VALUE!</v>
      </c>
      <c r="EN269" t="e">
        <f>Europe!E1043+"$F;@!/e#"</f>
        <v>#VALUE!</v>
      </c>
      <c r="EO269" t="e">
        <f>Europe!F1043+"$F;@!/e$"</f>
        <v>#VALUE!</v>
      </c>
      <c r="EP269" t="e">
        <f>Europe!G1043+"$F;@!/e%"</f>
        <v>#VALUE!</v>
      </c>
      <c r="EQ269" t="e">
        <f>Europe!H1043+"$F;@!/e&amp;"</f>
        <v>#VALUE!</v>
      </c>
      <c r="ER269" t="e">
        <f>Europe!A1044+"$F;@!/e'"</f>
        <v>#VALUE!</v>
      </c>
      <c r="ES269" t="e">
        <f>Europe!B1044+"$F;@!/e("</f>
        <v>#VALUE!</v>
      </c>
      <c r="ET269" t="e">
        <f>Europe!C1044+"$F;@!/e)"</f>
        <v>#VALUE!</v>
      </c>
      <c r="EU269" t="e">
        <f>Europe!D1044+"$F;@!/e."</f>
        <v>#VALUE!</v>
      </c>
      <c r="EV269" t="e">
        <f>Europe!E1044+"$F;@!/e/"</f>
        <v>#VALUE!</v>
      </c>
      <c r="EW269" t="e">
        <f>Europe!F1044+"$F;@!/e0"</f>
        <v>#VALUE!</v>
      </c>
      <c r="EX269" t="e">
        <f>Europe!G1044+"$F;@!/e1"</f>
        <v>#VALUE!</v>
      </c>
      <c r="EY269" t="e">
        <f>Europe!H1044+"$F;@!/e2"</f>
        <v>#VALUE!</v>
      </c>
      <c r="EZ269" t="e">
        <f>Europe!A1045+"$F;@!/e3"</f>
        <v>#VALUE!</v>
      </c>
      <c r="FA269" t="e">
        <f>Europe!B1045+"$F;@!/e4"</f>
        <v>#VALUE!</v>
      </c>
      <c r="FB269" t="e">
        <f>Europe!C1045+"$F;@!/e5"</f>
        <v>#VALUE!</v>
      </c>
      <c r="FC269" t="e">
        <f>Europe!D1045+"$F;@!/e6"</f>
        <v>#VALUE!</v>
      </c>
      <c r="FD269" t="e">
        <f>Europe!E1045+"$F;@!/e7"</f>
        <v>#VALUE!</v>
      </c>
      <c r="FE269" t="e">
        <f>Europe!F1045+"$F;@!/e8"</f>
        <v>#VALUE!</v>
      </c>
      <c r="FF269" t="e">
        <f>Europe!G1045+"$F;@!/e9"</f>
        <v>#VALUE!</v>
      </c>
      <c r="FG269" t="e">
        <f>Europe!H1045+"$F;@!/e:"</f>
        <v>#VALUE!</v>
      </c>
      <c r="FH269" t="e">
        <f>Europe!A1046+"$F;@!/e;"</f>
        <v>#VALUE!</v>
      </c>
      <c r="FI269" t="e">
        <f>Europe!B1046+"$F;@!/e&lt;"</f>
        <v>#VALUE!</v>
      </c>
      <c r="FJ269" t="e">
        <f>Europe!C1046+"$F;@!/e="</f>
        <v>#VALUE!</v>
      </c>
      <c r="FK269" t="e">
        <f>Europe!D1046+"$F;@!/e&gt;"</f>
        <v>#VALUE!</v>
      </c>
      <c r="FL269" t="e">
        <f>Europe!E1046+"$F;@!/e?"</f>
        <v>#VALUE!</v>
      </c>
      <c r="FM269" t="e">
        <f>Europe!F1046+"$F;@!/e@"</f>
        <v>#VALUE!</v>
      </c>
      <c r="FN269" t="e">
        <f>Europe!G1046+"$F;@!/eA"</f>
        <v>#VALUE!</v>
      </c>
      <c r="FO269" t="e">
        <f>Europe!H1046+"$F;@!/eB"</f>
        <v>#VALUE!</v>
      </c>
      <c r="FP269" t="e">
        <f>Europe!A1047+"$F;@!/eC"</f>
        <v>#VALUE!</v>
      </c>
      <c r="FQ269" t="e">
        <f>Europe!B1047+"$F;@!/eD"</f>
        <v>#VALUE!</v>
      </c>
      <c r="FR269" t="e">
        <f>Europe!C1047+"$F;@!/eE"</f>
        <v>#VALUE!</v>
      </c>
      <c r="FS269" t="e">
        <f>Europe!D1047+"$F;@!/eF"</f>
        <v>#VALUE!</v>
      </c>
      <c r="FT269" t="e">
        <f>Europe!E1047+"$F;@!/eG"</f>
        <v>#VALUE!</v>
      </c>
      <c r="FU269" t="e">
        <f>Europe!F1047+"$F;@!/eH"</f>
        <v>#VALUE!</v>
      </c>
      <c r="FV269" t="e">
        <f>Europe!G1047+"$F;@!/eI"</f>
        <v>#VALUE!</v>
      </c>
      <c r="FW269" t="e">
        <f>Europe!H1047+"$F;@!/eJ"</f>
        <v>#VALUE!</v>
      </c>
      <c r="FX269" t="e">
        <f>Europe!A1048+"$F;@!/eK"</f>
        <v>#VALUE!</v>
      </c>
      <c r="FY269" t="e">
        <f>Europe!B1048+"$F;@!/eL"</f>
        <v>#VALUE!</v>
      </c>
      <c r="FZ269" t="e">
        <f>Europe!C1048+"$F;@!/eM"</f>
        <v>#VALUE!</v>
      </c>
      <c r="GA269" t="e">
        <f>Europe!D1048+"$F;@!/eN"</f>
        <v>#VALUE!</v>
      </c>
      <c r="GB269" t="e">
        <f>Europe!E1048+"$F;@!/eO"</f>
        <v>#VALUE!</v>
      </c>
      <c r="GC269" t="e">
        <f>Europe!F1048+"$F;@!/eP"</f>
        <v>#VALUE!</v>
      </c>
      <c r="GD269" t="e">
        <f>Europe!G1048+"$F;@!/eQ"</f>
        <v>#VALUE!</v>
      </c>
      <c r="GE269" t="e">
        <f>Europe!H1048+"$F;@!/eR"</f>
        <v>#VALUE!</v>
      </c>
      <c r="GF269" t="e">
        <f>Europe!A1049+"$F;@!/eS"</f>
        <v>#VALUE!</v>
      </c>
      <c r="GG269" t="e">
        <f>Europe!B1049+"$F;@!/eT"</f>
        <v>#VALUE!</v>
      </c>
      <c r="GH269" t="e">
        <f>Europe!C1049+"$F;@!/eU"</f>
        <v>#VALUE!</v>
      </c>
      <c r="GI269" t="e">
        <f>Europe!D1049+"$F;@!/eV"</f>
        <v>#VALUE!</v>
      </c>
      <c r="GJ269" t="e">
        <f>Europe!E1049+"$F;@!/eW"</f>
        <v>#VALUE!</v>
      </c>
      <c r="GK269" t="e">
        <f>Europe!F1049+"$F;@!/eX"</f>
        <v>#VALUE!</v>
      </c>
      <c r="GL269" t="e">
        <f>Europe!G1049+"$F;@!/eY"</f>
        <v>#VALUE!</v>
      </c>
      <c r="GM269" t="e">
        <f>Europe!H1049+"$F;@!/eZ"</f>
        <v>#VALUE!</v>
      </c>
      <c r="GN269" t="e">
        <f>Europe!A1050+"$F;@!/e["</f>
        <v>#VALUE!</v>
      </c>
      <c r="GO269" t="e">
        <f>Europe!B1050+"$F;@!/e\"</f>
        <v>#VALUE!</v>
      </c>
      <c r="GP269" t="e">
        <f>Europe!C1050+"$F;@!/e]"</f>
        <v>#VALUE!</v>
      </c>
      <c r="GQ269" t="e">
        <f>Europe!D1050+"$F;@!/e^"</f>
        <v>#VALUE!</v>
      </c>
      <c r="GR269" t="e">
        <f>Europe!E1050+"$F;@!/e_"</f>
        <v>#VALUE!</v>
      </c>
      <c r="GS269" t="e">
        <f>Europe!F1050+"$F;@!/e`"</f>
        <v>#VALUE!</v>
      </c>
      <c r="GT269" t="e">
        <f>Europe!G1050+"$F;@!/ea"</f>
        <v>#VALUE!</v>
      </c>
      <c r="GU269" t="e">
        <f>Europe!H1050+"$F;@!/eb"</f>
        <v>#VALUE!</v>
      </c>
      <c r="GV269" t="e">
        <f>Europe!A1051+"$F;@!/ec"</f>
        <v>#VALUE!</v>
      </c>
      <c r="GW269" t="e">
        <f>Europe!B1051+"$F;@!/ed"</f>
        <v>#VALUE!</v>
      </c>
      <c r="GX269" t="e">
        <f>Europe!C1051+"$F;@!/ee"</f>
        <v>#VALUE!</v>
      </c>
      <c r="GY269" t="e">
        <f>Europe!D1051+"$F;@!/ef"</f>
        <v>#VALUE!</v>
      </c>
      <c r="GZ269" t="e">
        <f>Europe!E1051+"$F;@!/eg"</f>
        <v>#VALUE!</v>
      </c>
      <c r="HA269" t="e">
        <f>Europe!F1051+"$F;@!/eh"</f>
        <v>#VALUE!</v>
      </c>
      <c r="HB269" t="e">
        <f>Europe!G1051+"$F;@!/ei"</f>
        <v>#VALUE!</v>
      </c>
      <c r="HC269" t="e">
        <f>Europe!H1051+"$F;@!/ej"</f>
        <v>#VALUE!</v>
      </c>
      <c r="HD269" t="e">
        <f>Europe!A1052+"$F;@!/ek"</f>
        <v>#VALUE!</v>
      </c>
      <c r="HE269" t="e">
        <f>Europe!B1052+"$F;@!/el"</f>
        <v>#VALUE!</v>
      </c>
      <c r="HF269" t="e">
        <f>Europe!C1052+"$F;@!/em"</f>
        <v>#VALUE!</v>
      </c>
      <c r="HG269" t="e">
        <f>Europe!D1052+"$F;@!/en"</f>
        <v>#VALUE!</v>
      </c>
      <c r="HH269" t="e">
        <f>Europe!E1052+"$F;@!/eo"</f>
        <v>#VALUE!</v>
      </c>
      <c r="HI269" t="e">
        <f>Europe!F1052+"$F;@!/ep"</f>
        <v>#VALUE!</v>
      </c>
      <c r="HJ269" t="e">
        <f>Europe!G1052+"$F;@!/eq"</f>
        <v>#VALUE!</v>
      </c>
      <c r="HK269" t="e">
        <f>Europe!H1052+"$F;@!/er"</f>
        <v>#VALUE!</v>
      </c>
      <c r="HL269" t="e">
        <f>Europe!A1053+"$F;@!/es"</f>
        <v>#VALUE!</v>
      </c>
      <c r="HM269" t="e">
        <f>Europe!B1053+"$F;@!/et"</f>
        <v>#VALUE!</v>
      </c>
      <c r="HN269" t="e">
        <f>Europe!C1053+"$F;@!/eu"</f>
        <v>#VALUE!</v>
      </c>
      <c r="HO269" t="e">
        <f>Europe!D1053+"$F;@!/ev"</f>
        <v>#VALUE!</v>
      </c>
      <c r="HP269" t="e">
        <f>Europe!E1053+"$F;@!/ew"</f>
        <v>#VALUE!</v>
      </c>
      <c r="HQ269" t="e">
        <f>Europe!F1053+"$F;@!/ex"</f>
        <v>#VALUE!</v>
      </c>
      <c r="HR269" t="e">
        <f>Europe!G1053+"$F;@!/ey"</f>
        <v>#VALUE!</v>
      </c>
      <c r="HS269" t="e">
        <f>Europe!H1053+"$F;@!/ez"</f>
        <v>#VALUE!</v>
      </c>
      <c r="HT269" t="e">
        <f>Europe!A1054+"$F;@!/e{"</f>
        <v>#VALUE!</v>
      </c>
      <c r="HU269" t="e">
        <f>Europe!B1054+"$F;@!/e|"</f>
        <v>#VALUE!</v>
      </c>
      <c r="HV269" t="e">
        <f>Europe!C1054+"$F;@!/e}"</f>
        <v>#VALUE!</v>
      </c>
      <c r="HW269" t="e">
        <f>Europe!D1054+"$F;@!/e~"</f>
        <v>#VALUE!</v>
      </c>
      <c r="HX269" t="e">
        <f>Europe!E1054+"$F;@!/f#"</f>
        <v>#VALUE!</v>
      </c>
      <c r="HY269" t="e">
        <f>Europe!F1054+"$F;@!/f$"</f>
        <v>#VALUE!</v>
      </c>
      <c r="HZ269" t="e">
        <f>Europe!G1054+"$F;@!/f%"</f>
        <v>#VALUE!</v>
      </c>
      <c r="IA269" t="e">
        <f>Europe!H1054+"$F;@!/f&amp;"</f>
        <v>#VALUE!</v>
      </c>
      <c r="IB269" t="e">
        <f>Europe!A1055+"$F;@!/f'"</f>
        <v>#VALUE!</v>
      </c>
      <c r="IC269" t="e">
        <f>Europe!B1055+"$F;@!/f("</f>
        <v>#VALUE!</v>
      </c>
      <c r="ID269" t="e">
        <f>Europe!C1055+"$F;@!/f)"</f>
        <v>#VALUE!</v>
      </c>
      <c r="IE269" t="e">
        <f>Europe!D1055+"$F;@!/f."</f>
        <v>#VALUE!</v>
      </c>
      <c r="IF269" t="e">
        <f>Europe!E1055+"$F;@!/f/"</f>
        <v>#VALUE!</v>
      </c>
      <c r="IG269" t="e">
        <f>Europe!F1055+"$F;@!/f0"</f>
        <v>#VALUE!</v>
      </c>
      <c r="IH269" t="e">
        <f>Europe!G1055+"$F;@!/f1"</f>
        <v>#VALUE!</v>
      </c>
      <c r="II269" t="e">
        <f>Europe!H1055+"$F;@!/f2"</f>
        <v>#VALUE!</v>
      </c>
      <c r="IJ269" t="e">
        <f>Europe!A1056+"$F;@!/f3"</f>
        <v>#VALUE!</v>
      </c>
      <c r="IK269" t="e">
        <f>Europe!B1056+"$F;@!/f4"</f>
        <v>#VALUE!</v>
      </c>
      <c r="IL269" t="e">
        <f>Europe!C1056+"$F;@!/f5"</f>
        <v>#VALUE!</v>
      </c>
      <c r="IM269" t="e">
        <f>Europe!D1056+"$F;@!/f6"</f>
        <v>#VALUE!</v>
      </c>
      <c r="IN269" t="e">
        <f>Europe!E1056+"$F;@!/f7"</f>
        <v>#VALUE!</v>
      </c>
      <c r="IO269" t="e">
        <f>Europe!F1056+"$F;@!/f8"</f>
        <v>#VALUE!</v>
      </c>
      <c r="IP269" t="e">
        <f>Europe!G1056+"$F;@!/f9"</f>
        <v>#VALUE!</v>
      </c>
      <c r="IQ269" t="e">
        <f>Europe!H1056+"$F;@!/f:"</f>
        <v>#VALUE!</v>
      </c>
      <c r="IR269" t="e">
        <f>Europe!A1057+"$F;@!/f;"</f>
        <v>#VALUE!</v>
      </c>
      <c r="IS269" t="e">
        <f>Europe!B1057+"$F;@!/f&lt;"</f>
        <v>#VALUE!</v>
      </c>
      <c r="IT269" t="e">
        <f>Europe!C1057+"$F;@!/f="</f>
        <v>#VALUE!</v>
      </c>
      <c r="IU269" t="e">
        <f>Europe!D1057+"$F;@!/f&gt;"</f>
        <v>#VALUE!</v>
      </c>
      <c r="IV269" t="e">
        <f>Europe!E1057+"$F;@!/f?"</f>
        <v>#VALUE!</v>
      </c>
    </row>
    <row r="270" spans="6:256" x14ac:dyDescent="0.35">
      <c r="F270" t="e">
        <f>Europe!F1057+"$F;@!/f@"</f>
        <v>#VALUE!</v>
      </c>
      <c r="G270" t="e">
        <f>Europe!G1057+"$F;@!/fA"</f>
        <v>#VALUE!</v>
      </c>
      <c r="H270" t="e">
        <f>Europe!H1057+"$F;@!/fB"</f>
        <v>#VALUE!</v>
      </c>
      <c r="I270" t="e">
        <f>Europe!A1058+"$F;@!/fC"</f>
        <v>#VALUE!</v>
      </c>
      <c r="J270" t="e">
        <f>Europe!B1058+"$F;@!/fD"</f>
        <v>#VALUE!</v>
      </c>
      <c r="K270" t="e">
        <f>Europe!C1058+"$F;@!/fE"</f>
        <v>#VALUE!</v>
      </c>
      <c r="L270" t="e">
        <f>Europe!D1058+"$F;@!/fF"</f>
        <v>#VALUE!</v>
      </c>
      <c r="M270" t="e">
        <f>Europe!E1058+"$F;@!/fG"</f>
        <v>#VALUE!</v>
      </c>
      <c r="N270" t="e">
        <f>Europe!F1058+"$F;@!/fH"</f>
        <v>#VALUE!</v>
      </c>
      <c r="O270" t="e">
        <f>Europe!G1058+"$F;@!/fI"</f>
        <v>#VALUE!</v>
      </c>
      <c r="P270" t="e">
        <f>Europe!H1058+"$F;@!/fJ"</f>
        <v>#VALUE!</v>
      </c>
      <c r="Q270" t="e">
        <f>Europe!A1059+"$F;@!/fK"</f>
        <v>#VALUE!</v>
      </c>
      <c r="R270" t="e">
        <f>Europe!B1059+"$F;@!/fL"</f>
        <v>#VALUE!</v>
      </c>
      <c r="S270" t="e">
        <f>Europe!C1059+"$F;@!/fM"</f>
        <v>#VALUE!</v>
      </c>
      <c r="T270" t="e">
        <f>Europe!D1059+"$F;@!/fN"</f>
        <v>#VALUE!</v>
      </c>
      <c r="U270" t="e">
        <f>Europe!E1059+"$F;@!/fO"</f>
        <v>#VALUE!</v>
      </c>
      <c r="V270" t="e">
        <f>Europe!F1059+"$F;@!/fP"</f>
        <v>#VALUE!</v>
      </c>
      <c r="W270" t="e">
        <f>Europe!G1059+"$F;@!/fQ"</f>
        <v>#VALUE!</v>
      </c>
      <c r="X270" t="e">
        <f>Europe!H1059+"$F;@!/fR"</f>
        <v>#VALUE!</v>
      </c>
      <c r="Y270" t="e">
        <f>Europe!A1060+"$F;@!/fS"</f>
        <v>#VALUE!</v>
      </c>
      <c r="Z270" t="e">
        <f>Europe!B1060+"$F;@!/fT"</f>
        <v>#VALUE!</v>
      </c>
      <c r="AA270" t="e">
        <f>Europe!C1060+"$F;@!/fU"</f>
        <v>#VALUE!</v>
      </c>
      <c r="AB270" t="e">
        <f>Europe!D1060+"$F;@!/fV"</f>
        <v>#VALUE!</v>
      </c>
      <c r="AC270" t="e">
        <f>Europe!E1060+"$F;@!/fW"</f>
        <v>#VALUE!</v>
      </c>
      <c r="AD270" t="e">
        <f>Europe!F1060+"$F;@!/fX"</f>
        <v>#VALUE!</v>
      </c>
      <c r="AE270" t="e">
        <f>Europe!G1060+"$F;@!/fY"</f>
        <v>#VALUE!</v>
      </c>
      <c r="AF270" t="e">
        <f>Europe!H1060+"$F;@!/fZ"</f>
        <v>#VALUE!</v>
      </c>
      <c r="AG270" t="e">
        <f>Europe!A1061+"$F;@!/f["</f>
        <v>#VALUE!</v>
      </c>
      <c r="AH270" t="e">
        <f>Europe!B1061+"$F;@!/f\"</f>
        <v>#VALUE!</v>
      </c>
      <c r="AI270" t="e">
        <f>Europe!C1061+"$F;@!/f]"</f>
        <v>#VALUE!</v>
      </c>
      <c r="AJ270" t="e">
        <f>Europe!D1061+"$F;@!/f^"</f>
        <v>#VALUE!</v>
      </c>
      <c r="AK270" t="e">
        <f>Europe!E1061+"$F;@!/f_"</f>
        <v>#VALUE!</v>
      </c>
      <c r="AL270" t="e">
        <f>Europe!F1061+"$F;@!/f`"</f>
        <v>#VALUE!</v>
      </c>
      <c r="AM270" t="e">
        <f>Europe!G1061+"$F;@!/fa"</f>
        <v>#VALUE!</v>
      </c>
      <c r="AN270" t="e">
        <f>Europe!H1061+"$F;@!/fb"</f>
        <v>#VALUE!</v>
      </c>
      <c r="AO270" t="e">
        <f>Europe!A1062+"$F;@!/fc"</f>
        <v>#VALUE!</v>
      </c>
      <c r="AP270" t="e">
        <f>Europe!B1062+"$F;@!/fd"</f>
        <v>#VALUE!</v>
      </c>
      <c r="AQ270" t="e">
        <f>Europe!C1062+"$F;@!/fe"</f>
        <v>#VALUE!</v>
      </c>
      <c r="AR270" t="e">
        <f>Europe!D1062+"$F;@!/ff"</f>
        <v>#VALUE!</v>
      </c>
      <c r="AS270" t="e">
        <f>Europe!E1062+"$F;@!/fg"</f>
        <v>#VALUE!</v>
      </c>
      <c r="AT270" t="e">
        <f>Europe!F1062+"$F;@!/fh"</f>
        <v>#VALUE!</v>
      </c>
      <c r="AU270" t="e">
        <f>Europe!G1062+"$F;@!/fi"</f>
        <v>#VALUE!</v>
      </c>
      <c r="AV270" t="e">
        <f>Europe!H1062+"$F;@!/fj"</f>
        <v>#VALUE!</v>
      </c>
      <c r="AW270" t="e">
        <f>Europe!A1063+"$F;@!/fk"</f>
        <v>#VALUE!</v>
      </c>
      <c r="AX270" t="e">
        <f>Europe!B1063+"$F;@!/fl"</f>
        <v>#VALUE!</v>
      </c>
      <c r="AY270" t="e">
        <f>Europe!C1063+"$F;@!/fm"</f>
        <v>#VALUE!</v>
      </c>
      <c r="AZ270" t="e">
        <f>Europe!D1063+"$F;@!/fn"</f>
        <v>#VALUE!</v>
      </c>
      <c r="BA270" t="e">
        <f>Europe!E1063+"$F;@!/fo"</f>
        <v>#VALUE!</v>
      </c>
      <c r="BB270" t="e">
        <f>Europe!F1063+"$F;@!/fp"</f>
        <v>#VALUE!</v>
      </c>
      <c r="BC270" t="e">
        <f>Europe!G1063+"$F;@!/fq"</f>
        <v>#VALUE!</v>
      </c>
      <c r="BD270" t="e">
        <f>Europe!H1063+"$F;@!/fr"</f>
        <v>#VALUE!</v>
      </c>
      <c r="BE270" t="e">
        <f>Europe!A1064+"$F;@!/fs"</f>
        <v>#VALUE!</v>
      </c>
      <c r="BF270" t="e">
        <f>Europe!B1064+"$F;@!/ft"</f>
        <v>#VALUE!</v>
      </c>
      <c r="BG270" t="e">
        <f>Europe!C1064+"$F;@!/fu"</f>
        <v>#VALUE!</v>
      </c>
      <c r="BH270" t="e">
        <f>Europe!D1064+"$F;@!/fv"</f>
        <v>#VALUE!</v>
      </c>
      <c r="BI270" t="e">
        <f>Europe!E1064+"$F;@!/fw"</f>
        <v>#VALUE!</v>
      </c>
      <c r="BJ270" t="e">
        <f>Europe!F1064+"$F;@!/fx"</f>
        <v>#VALUE!</v>
      </c>
      <c r="BK270" t="e">
        <f>Europe!G1064+"$F;@!/fy"</f>
        <v>#VALUE!</v>
      </c>
      <c r="BL270" t="e">
        <f>Europe!H1064+"$F;@!/fz"</f>
        <v>#VALUE!</v>
      </c>
      <c r="BM270" t="e">
        <f>Europe!A1065+"$F;@!/f{"</f>
        <v>#VALUE!</v>
      </c>
      <c r="BN270" t="e">
        <f>Europe!B1065+"$F;@!/f|"</f>
        <v>#VALUE!</v>
      </c>
      <c r="BO270" t="e">
        <f>Europe!C1065+"$F;@!/f}"</f>
        <v>#VALUE!</v>
      </c>
      <c r="BP270" t="e">
        <f>Europe!D1065+"$F;@!/f~"</f>
        <v>#VALUE!</v>
      </c>
      <c r="BQ270" t="e">
        <f>Europe!E1065+"$F;@!/g#"</f>
        <v>#VALUE!</v>
      </c>
      <c r="BR270" t="e">
        <f>Europe!F1065+"$F;@!/g$"</f>
        <v>#VALUE!</v>
      </c>
      <c r="BS270" t="e">
        <f>Europe!G1065+"$F;@!/g%"</f>
        <v>#VALUE!</v>
      </c>
      <c r="BT270" t="e">
        <f>Europe!H1065+"$F;@!/g&amp;"</f>
        <v>#VALUE!</v>
      </c>
      <c r="BU270" t="e">
        <f>Europe!A1066+"$F;@!/g'"</f>
        <v>#VALUE!</v>
      </c>
      <c r="BV270" t="e">
        <f>Europe!B1066+"$F;@!/g("</f>
        <v>#VALUE!</v>
      </c>
      <c r="BW270" t="e">
        <f>Europe!C1066+"$F;@!/g)"</f>
        <v>#VALUE!</v>
      </c>
      <c r="BX270" t="e">
        <f>Europe!D1066+"$F;@!/g."</f>
        <v>#VALUE!</v>
      </c>
      <c r="BY270" t="e">
        <f>Europe!E1066+"$F;@!/g/"</f>
        <v>#VALUE!</v>
      </c>
      <c r="BZ270" t="e">
        <f>Europe!F1066+"$F;@!/g0"</f>
        <v>#VALUE!</v>
      </c>
      <c r="CA270" t="e">
        <f>Europe!G1066+"$F;@!/g1"</f>
        <v>#VALUE!</v>
      </c>
      <c r="CB270" t="e">
        <f>Europe!H1066+"$F;@!/g2"</f>
        <v>#VALUE!</v>
      </c>
      <c r="CC270" t="e">
        <f>Europe!A1067+"$F;@!/g3"</f>
        <v>#VALUE!</v>
      </c>
      <c r="CD270" t="e">
        <f>Europe!B1067+"$F;@!/g4"</f>
        <v>#VALUE!</v>
      </c>
      <c r="CE270" t="e">
        <f>Europe!C1067+"$F;@!/g5"</f>
        <v>#VALUE!</v>
      </c>
      <c r="CF270" t="e">
        <f>Europe!D1067+"$F;@!/g6"</f>
        <v>#VALUE!</v>
      </c>
      <c r="CG270" t="e">
        <f>Europe!E1067+"$F;@!/g7"</f>
        <v>#VALUE!</v>
      </c>
      <c r="CH270" t="e">
        <f>Europe!F1067+"$F;@!/g8"</f>
        <v>#VALUE!</v>
      </c>
      <c r="CI270" t="e">
        <f>Europe!G1067+"$F;@!/g9"</f>
        <v>#VALUE!</v>
      </c>
      <c r="CJ270" t="e">
        <f>Europe!H1067+"$F;@!/g:"</f>
        <v>#VALUE!</v>
      </c>
      <c r="CK270" t="e">
        <f>Europe!A1068+"$F;@!/g;"</f>
        <v>#VALUE!</v>
      </c>
      <c r="CL270" t="e">
        <f>Europe!B1068+"$F;@!/g&lt;"</f>
        <v>#VALUE!</v>
      </c>
      <c r="CM270" t="e">
        <f>Europe!C1068+"$F;@!/g="</f>
        <v>#VALUE!</v>
      </c>
      <c r="CN270" t="e">
        <f>Europe!D1068+"$F;@!/g&gt;"</f>
        <v>#VALUE!</v>
      </c>
      <c r="CO270" t="e">
        <f>Europe!E1068+"$F;@!/g?"</f>
        <v>#VALUE!</v>
      </c>
      <c r="CP270" t="e">
        <f>Europe!F1068+"$F;@!/g@"</f>
        <v>#VALUE!</v>
      </c>
      <c r="CQ270" t="e">
        <f>Europe!G1068+"$F;@!/gA"</f>
        <v>#VALUE!</v>
      </c>
      <c r="CR270" t="e">
        <f>Europe!H1068+"$F;@!/gB"</f>
        <v>#VALUE!</v>
      </c>
      <c r="CS270" t="e">
        <f>Europe!A1069+"$F;@!/gC"</f>
        <v>#VALUE!</v>
      </c>
      <c r="CT270" t="e">
        <f>Europe!B1069+"$F;@!/gD"</f>
        <v>#VALUE!</v>
      </c>
      <c r="CU270" t="e">
        <f>Europe!C1069+"$F;@!/gE"</f>
        <v>#VALUE!</v>
      </c>
      <c r="CV270" t="e">
        <f>Europe!D1069+"$F;@!/gF"</f>
        <v>#VALUE!</v>
      </c>
      <c r="CW270" t="e">
        <f>Europe!E1069+"$F;@!/gG"</f>
        <v>#VALUE!</v>
      </c>
      <c r="CX270" t="e">
        <f>Europe!F1069+"$F;@!/gH"</f>
        <v>#VALUE!</v>
      </c>
      <c r="CY270" t="e">
        <f>Europe!G1069+"$F;@!/gI"</f>
        <v>#VALUE!</v>
      </c>
      <c r="CZ270" t="e">
        <f>Europe!H1069+"$F;@!/gJ"</f>
        <v>#VALUE!</v>
      </c>
      <c r="DA270" t="e">
        <f>Europe!A1070+"$F;@!/gK"</f>
        <v>#VALUE!</v>
      </c>
      <c r="DB270" t="e">
        <f>Europe!B1070+"$F;@!/gL"</f>
        <v>#VALUE!</v>
      </c>
      <c r="DC270" t="e">
        <f>Europe!C1070+"$F;@!/gM"</f>
        <v>#VALUE!</v>
      </c>
      <c r="DD270" t="e">
        <f>Europe!D1070+"$F;@!/gN"</f>
        <v>#VALUE!</v>
      </c>
      <c r="DE270" t="e">
        <f>Europe!E1070+"$F;@!/gO"</f>
        <v>#VALUE!</v>
      </c>
      <c r="DF270" t="e">
        <f>Europe!F1070+"$F;@!/gP"</f>
        <v>#VALUE!</v>
      </c>
      <c r="DG270" t="e">
        <f>Europe!G1070+"$F;@!/gQ"</f>
        <v>#VALUE!</v>
      </c>
      <c r="DH270" t="e">
        <f>Europe!H1070+"$F;@!/gR"</f>
        <v>#VALUE!</v>
      </c>
      <c r="DI270" t="e">
        <f>Europe!A1071+"$F;@!/gS"</f>
        <v>#VALUE!</v>
      </c>
      <c r="DJ270" t="e">
        <f>Europe!B1071+"$F;@!/gT"</f>
        <v>#VALUE!</v>
      </c>
      <c r="DK270" t="e">
        <f>Europe!C1071+"$F;@!/gU"</f>
        <v>#VALUE!</v>
      </c>
      <c r="DL270" t="e">
        <f>Europe!D1071+"$F;@!/gV"</f>
        <v>#VALUE!</v>
      </c>
      <c r="DM270" t="e">
        <f>Europe!E1071+"$F;@!/gW"</f>
        <v>#VALUE!</v>
      </c>
      <c r="DN270" t="e">
        <f>Europe!F1071+"$F;@!/gX"</f>
        <v>#VALUE!</v>
      </c>
      <c r="DO270" t="e">
        <f>Europe!G1071+"$F;@!/gY"</f>
        <v>#VALUE!</v>
      </c>
      <c r="DP270" t="e">
        <f>Europe!H1071+"$F;@!/gZ"</f>
        <v>#VALUE!</v>
      </c>
      <c r="DQ270" t="e">
        <f>Europe!A1072+"$F;@!/g["</f>
        <v>#VALUE!</v>
      </c>
      <c r="DR270" t="e">
        <f>Europe!B1072+"$F;@!/g\"</f>
        <v>#VALUE!</v>
      </c>
      <c r="DS270" t="e">
        <f>Europe!C1072+"$F;@!/g]"</f>
        <v>#VALUE!</v>
      </c>
      <c r="DT270" t="e">
        <f>Europe!D1072+"$F;@!/g^"</f>
        <v>#VALUE!</v>
      </c>
      <c r="DU270" t="e">
        <f>Europe!E1072+"$F;@!/g_"</f>
        <v>#VALUE!</v>
      </c>
      <c r="DV270" t="e">
        <f>Europe!F1072+"$F;@!/g`"</f>
        <v>#VALUE!</v>
      </c>
      <c r="DW270" t="e">
        <f>Europe!G1072+"$F;@!/ga"</f>
        <v>#VALUE!</v>
      </c>
      <c r="DX270" t="e">
        <f>Europe!H1072+"$F;@!/gb"</f>
        <v>#VALUE!</v>
      </c>
      <c r="DY270" t="e">
        <f>Europe!A1073+"$F;@!/gc"</f>
        <v>#VALUE!</v>
      </c>
      <c r="DZ270" t="e">
        <f>Europe!B1073+"$F;@!/gd"</f>
        <v>#VALUE!</v>
      </c>
      <c r="EA270" t="e">
        <f>Europe!C1073+"$F;@!/ge"</f>
        <v>#VALUE!</v>
      </c>
      <c r="EB270" t="e">
        <f>Europe!D1073+"$F;@!/gf"</f>
        <v>#VALUE!</v>
      </c>
      <c r="EC270" t="e">
        <f>Europe!E1073+"$F;@!/gg"</f>
        <v>#VALUE!</v>
      </c>
      <c r="ED270" t="e">
        <f>Europe!F1073+"$F;@!/gh"</f>
        <v>#VALUE!</v>
      </c>
      <c r="EE270" t="e">
        <f>Europe!G1073+"$F;@!/gi"</f>
        <v>#VALUE!</v>
      </c>
      <c r="EF270" t="e">
        <f>Europe!H1073+"$F;@!/gj"</f>
        <v>#VALUE!</v>
      </c>
      <c r="EG270" t="e">
        <f>Europe!A1074+"$F;@!/gk"</f>
        <v>#VALUE!</v>
      </c>
      <c r="EH270" t="e">
        <f>Europe!B1074+"$F;@!/gl"</f>
        <v>#VALUE!</v>
      </c>
      <c r="EI270" t="e">
        <f>Europe!C1074+"$F;@!/gm"</f>
        <v>#VALUE!</v>
      </c>
      <c r="EJ270" t="e">
        <f>Europe!D1074+"$F;@!/gn"</f>
        <v>#VALUE!</v>
      </c>
      <c r="EK270" t="e">
        <f>Europe!E1074+"$F;@!/go"</f>
        <v>#VALUE!</v>
      </c>
      <c r="EL270" t="e">
        <f>Europe!F1074+"$F;@!/gp"</f>
        <v>#VALUE!</v>
      </c>
      <c r="EM270" t="e">
        <f>Europe!G1074+"$F;@!/gq"</f>
        <v>#VALUE!</v>
      </c>
      <c r="EN270" t="e">
        <f>Europe!H1074+"$F;@!/gr"</f>
        <v>#VALUE!</v>
      </c>
      <c r="EO270" t="e">
        <f>Europe!A1075+"$F;@!/gs"</f>
        <v>#VALUE!</v>
      </c>
      <c r="EP270" t="e">
        <f>Europe!B1075+"$F;@!/gt"</f>
        <v>#VALUE!</v>
      </c>
      <c r="EQ270" t="e">
        <f>Europe!C1075+"$F;@!/gu"</f>
        <v>#VALUE!</v>
      </c>
      <c r="ER270" t="e">
        <f>Europe!D1075+"$F;@!/gv"</f>
        <v>#VALUE!</v>
      </c>
      <c r="ES270" t="e">
        <f>Europe!E1075+"$F;@!/gw"</f>
        <v>#VALUE!</v>
      </c>
      <c r="ET270" t="e">
        <f>Europe!F1075+"$F;@!/gx"</f>
        <v>#VALUE!</v>
      </c>
      <c r="EU270" t="e">
        <f>Europe!G1075+"$F;@!/gy"</f>
        <v>#VALUE!</v>
      </c>
      <c r="EV270" t="e">
        <f>Europe!H1075+"$F;@!/gz"</f>
        <v>#VALUE!</v>
      </c>
      <c r="EW270" t="e">
        <f>Europe!A1076+"$F;@!/g{"</f>
        <v>#VALUE!</v>
      </c>
      <c r="EX270" t="e">
        <f>Europe!B1076+"$F;@!/g|"</f>
        <v>#VALUE!</v>
      </c>
      <c r="EY270" t="e">
        <f>Europe!C1076+"$F;@!/g}"</f>
        <v>#VALUE!</v>
      </c>
      <c r="EZ270" t="e">
        <f>Europe!D1076+"$F;@!/g~"</f>
        <v>#VALUE!</v>
      </c>
      <c r="FA270" t="e">
        <f>Europe!E1076+"$F;@!/h#"</f>
        <v>#VALUE!</v>
      </c>
      <c r="FB270" t="e">
        <f>Europe!F1076+"$F;@!/h$"</f>
        <v>#VALUE!</v>
      </c>
      <c r="FC270" t="e">
        <f>Europe!G1076+"$F;@!/h%"</f>
        <v>#VALUE!</v>
      </c>
      <c r="FD270" t="e">
        <f>Europe!H1076+"$F;@!/h&amp;"</f>
        <v>#VALUE!</v>
      </c>
      <c r="FE270" t="e">
        <f>Europe!A1077+"$F;@!/h'"</f>
        <v>#VALUE!</v>
      </c>
      <c r="FF270" t="e">
        <f>Europe!B1077+"$F;@!/h("</f>
        <v>#VALUE!</v>
      </c>
      <c r="FG270" t="e">
        <f>Europe!C1077+"$F;@!/h)"</f>
        <v>#VALUE!</v>
      </c>
      <c r="FH270" t="e">
        <f>Europe!D1077+"$F;@!/h."</f>
        <v>#VALUE!</v>
      </c>
      <c r="FI270" t="e">
        <f>Europe!E1077+"$F;@!/h/"</f>
        <v>#VALUE!</v>
      </c>
      <c r="FJ270" t="e">
        <f>Europe!F1077+"$F;@!/h0"</f>
        <v>#VALUE!</v>
      </c>
      <c r="FK270" t="e">
        <f>Europe!G1077+"$F;@!/h1"</f>
        <v>#VALUE!</v>
      </c>
      <c r="FL270" t="e">
        <f>Europe!H1077+"$F;@!/h2"</f>
        <v>#VALUE!</v>
      </c>
      <c r="FM270" t="e">
        <f>Europe!A1078+"$F;@!/h3"</f>
        <v>#VALUE!</v>
      </c>
      <c r="FN270" t="e">
        <f>Europe!B1078+"$F;@!/h4"</f>
        <v>#VALUE!</v>
      </c>
      <c r="FO270" t="e">
        <f>Europe!C1078+"$F;@!/h5"</f>
        <v>#VALUE!</v>
      </c>
      <c r="FP270" t="e">
        <f>Europe!D1078+"$F;@!/h6"</f>
        <v>#VALUE!</v>
      </c>
      <c r="FQ270" t="e">
        <f>Europe!E1078+"$F;@!/h7"</f>
        <v>#VALUE!</v>
      </c>
      <c r="FR270" t="e">
        <f>Europe!F1078+"$F;@!/h8"</f>
        <v>#VALUE!</v>
      </c>
      <c r="FS270" t="e">
        <f>Europe!G1078+"$F;@!/h9"</f>
        <v>#VALUE!</v>
      </c>
      <c r="FT270" t="e">
        <f>Europe!H1078+"$F;@!/h:"</f>
        <v>#VALUE!</v>
      </c>
      <c r="FU270" t="e">
        <f>Europe!A1079+"$F;@!/h;"</f>
        <v>#VALUE!</v>
      </c>
      <c r="FV270" t="e">
        <f>Europe!B1079+"$F;@!/h&lt;"</f>
        <v>#VALUE!</v>
      </c>
      <c r="FW270" t="e">
        <f>Europe!C1079+"$F;@!/h="</f>
        <v>#VALUE!</v>
      </c>
      <c r="FX270" t="e">
        <f>Europe!D1079+"$F;@!/h&gt;"</f>
        <v>#VALUE!</v>
      </c>
      <c r="FY270" t="e">
        <f>Europe!E1079+"$F;@!/h?"</f>
        <v>#VALUE!</v>
      </c>
      <c r="FZ270" t="e">
        <f>Europe!F1079+"$F;@!/h@"</f>
        <v>#VALUE!</v>
      </c>
      <c r="GA270" t="e">
        <f>Europe!G1079+"$F;@!/hA"</f>
        <v>#VALUE!</v>
      </c>
      <c r="GB270" t="e">
        <f>Europe!H1079+"$F;@!/hB"</f>
        <v>#VALUE!</v>
      </c>
      <c r="GC270" t="e">
        <f>Europe!A1080+"$F;@!/hC"</f>
        <v>#VALUE!</v>
      </c>
      <c r="GD270" t="e">
        <f>Europe!B1080+"$F;@!/hD"</f>
        <v>#VALUE!</v>
      </c>
      <c r="GE270" t="e">
        <f>Europe!C1080+"$F;@!/hE"</f>
        <v>#VALUE!</v>
      </c>
      <c r="GF270" t="e">
        <f>Europe!D1080+"$F;@!/hF"</f>
        <v>#VALUE!</v>
      </c>
      <c r="GG270" t="e">
        <f>Europe!E1080+"$F;@!/hG"</f>
        <v>#VALUE!</v>
      </c>
      <c r="GH270" t="e">
        <f>Europe!F1080+"$F;@!/hH"</f>
        <v>#VALUE!</v>
      </c>
      <c r="GI270" t="e">
        <f>Europe!G1080+"$F;@!/hI"</f>
        <v>#VALUE!</v>
      </c>
      <c r="GJ270" t="e">
        <f>Europe!H1080+"$F;@!/hJ"</f>
        <v>#VALUE!</v>
      </c>
      <c r="GK270" t="e">
        <f>Europe!A1081+"$F;@!/hK"</f>
        <v>#VALUE!</v>
      </c>
      <c r="GL270" t="e">
        <f>Europe!B1081+"$F;@!/hL"</f>
        <v>#VALUE!</v>
      </c>
      <c r="GM270" t="e">
        <f>Europe!C1081+"$F;@!/hM"</f>
        <v>#VALUE!</v>
      </c>
      <c r="GN270" t="e">
        <f>Europe!D1081+"$F;@!/hN"</f>
        <v>#VALUE!</v>
      </c>
      <c r="GO270" t="e">
        <f>Europe!E1081+"$F;@!/hO"</f>
        <v>#VALUE!</v>
      </c>
      <c r="GP270" t="e">
        <f>Europe!F1081+"$F;@!/hP"</f>
        <v>#VALUE!</v>
      </c>
      <c r="GQ270" t="e">
        <f>Europe!G1081+"$F;@!/hQ"</f>
        <v>#VALUE!</v>
      </c>
      <c r="GR270" t="e">
        <f>Europe!H1081+"$F;@!/hR"</f>
        <v>#VALUE!</v>
      </c>
      <c r="GS270" t="e">
        <f>Europe!A1082+"$F;@!/hS"</f>
        <v>#VALUE!</v>
      </c>
      <c r="GT270" t="e">
        <f>Europe!B1082+"$F;@!/hT"</f>
        <v>#VALUE!</v>
      </c>
      <c r="GU270" t="e">
        <f>Europe!C1082+"$F;@!/hU"</f>
        <v>#VALUE!</v>
      </c>
      <c r="GV270" t="e">
        <f>Europe!D1082+"$F;@!/hV"</f>
        <v>#VALUE!</v>
      </c>
      <c r="GW270" t="e">
        <f>Europe!E1082+"$F;@!/hW"</f>
        <v>#VALUE!</v>
      </c>
      <c r="GX270" t="e">
        <f>Europe!F1082+"$F;@!/hX"</f>
        <v>#VALUE!</v>
      </c>
      <c r="GY270" t="e">
        <f>Europe!G1082+"$F;@!/hY"</f>
        <v>#VALUE!</v>
      </c>
      <c r="GZ270" t="e">
        <f>Europe!H1082+"$F;@!/hZ"</f>
        <v>#VALUE!</v>
      </c>
      <c r="HA270" t="e">
        <f>Europe!A1083+"$F;@!/h["</f>
        <v>#VALUE!</v>
      </c>
      <c r="HB270" t="e">
        <f>Europe!B1083+"$F;@!/h\"</f>
        <v>#VALUE!</v>
      </c>
      <c r="HC270" t="e">
        <f>Europe!C1083+"$F;@!/h]"</f>
        <v>#VALUE!</v>
      </c>
      <c r="HD270" t="e">
        <f>Europe!D1083+"$F;@!/h^"</f>
        <v>#VALUE!</v>
      </c>
      <c r="HE270" t="e">
        <f>Europe!E1083+"$F;@!/h_"</f>
        <v>#VALUE!</v>
      </c>
      <c r="HF270" t="e">
        <f>Europe!F1083+"$F;@!/h`"</f>
        <v>#VALUE!</v>
      </c>
      <c r="HG270" t="e">
        <f>Europe!G1083+"$F;@!/ha"</f>
        <v>#VALUE!</v>
      </c>
      <c r="HH270" t="e">
        <f>Europe!H1083+"$F;@!/hb"</f>
        <v>#VALUE!</v>
      </c>
      <c r="HI270" t="e">
        <f>Europe!A1084+"$F;@!/hc"</f>
        <v>#VALUE!</v>
      </c>
      <c r="HJ270" t="e">
        <f>Europe!B1084+"$F;@!/hd"</f>
        <v>#VALUE!</v>
      </c>
      <c r="HK270" t="e">
        <f>Europe!C1084+"$F;@!/he"</f>
        <v>#VALUE!</v>
      </c>
      <c r="HL270" t="e">
        <f>Europe!D1084+"$F;@!/hf"</f>
        <v>#VALUE!</v>
      </c>
      <c r="HM270" t="e">
        <f>Europe!E1084+"$F;@!/hg"</f>
        <v>#VALUE!</v>
      </c>
      <c r="HN270" t="e">
        <f>Europe!F1084+"$F;@!/hh"</f>
        <v>#VALUE!</v>
      </c>
      <c r="HO270" t="e">
        <f>Europe!G1084+"$F;@!/hi"</f>
        <v>#VALUE!</v>
      </c>
      <c r="HP270" t="e">
        <f>Europe!H1084+"$F;@!/hj"</f>
        <v>#VALUE!</v>
      </c>
      <c r="HQ270" t="e">
        <f>Europe!A1085+"$F;@!/hk"</f>
        <v>#VALUE!</v>
      </c>
      <c r="HR270" t="e">
        <f>Europe!B1085+"$F;@!/hl"</f>
        <v>#VALUE!</v>
      </c>
      <c r="HS270" t="e">
        <f>Europe!C1085+"$F;@!/hm"</f>
        <v>#VALUE!</v>
      </c>
      <c r="HT270" t="e">
        <f>Europe!D1085+"$F;@!/hn"</f>
        <v>#VALUE!</v>
      </c>
      <c r="HU270" t="e">
        <f>Europe!E1085+"$F;@!/ho"</f>
        <v>#VALUE!</v>
      </c>
      <c r="HV270" t="e">
        <f>Europe!F1085+"$F;@!/hp"</f>
        <v>#VALUE!</v>
      </c>
      <c r="HW270" t="e">
        <f>Europe!G1085+"$F;@!/hq"</f>
        <v>#VALUE!</v>
      </c>
      <c r="HX270" t="e">
        <f>Europe!H1085+"$F;@!/hr"</f>
        <v>#VALUE!</v>
      </c>
      <c r="HY270" t="e">
        <f>Europe!A1086+"$F;@!/hs"</f>
        <v>#VALUE!</v>
      </c>
      <c r="HZ270" t="e">
        <f>Europe!B1086+"$F;@!/ht"</f>
        <v>#VALUE!</v>
      </c>
      <c r="IA270" t="e">
        <f>Europe!C1086+"$F;@!/hu"</f>
        <v>#VALUE!</v>
      </c>
      <c r="IB270" t="e">
        <f>Europe!D1086+"$F;@!/hv"</f>
        <v>#VALUE!</v>
      </c>
      <c r="IC270" t="e">
        <f>Europe!E1086+"$F;@!/hw"</f>
        <v>#VALUE!</v>
      </c>
      <c r="ID270" t="e">
        <f>Europe!F1086+"$F;@!/hx"</f>
        <v>#VALUE!</v>
      </c>
      <c r="IE270" t="e">
        <f>Europe!G1086+"$F;@!/hy"</f>
        <v>#VALUE!</v>
      </c>
      <c r="IF270" t="e">
        <f>Europe!H1086+"$F;@!/hz"</f>
        <v>#VALUE!</v>
      </c>
      <c r="IG270" t="e">
        <f>Europe!A1087+"$F;@!/h{"</f>
        <v>#VALUE!</v>
      </c>
      <c r="IH270" t="e">
        <f>Europe!B1087+"$F;@!/h|"</f>
        <v>#VALUE!</v>
      </c>
      <c r="II270" t="e">
        <f>Europe!C1087+"$F;@!/h}"</f>
        <v>#VALUE!</v>
      </c>
      <c r="IJ270" t="e">
        <f>Europe!D1087+"$F;@!/h~"</f>
        <v>#VALUE!</v>
      </c>
      <c r="IK270" t="e">
        <f>Europe!E1087+"$F;@!/i#"</f>
        <v>#VALUE!</v>
      </c>
      <c r="IL270" t="e">
        <f>Europe!F1087+"$F;@!/i$"</f>
        <v>#VALUE!</v>
      </c>
      <c r="IM270" t="e">
        <f>Europe!G1087+"$F;@!/i%"</f>
        <v>#VALUE!</v>
      </c>
      <c r="IN270" t="e">
        <f>Europe!H1087+"$F;@!/i&amp;"</f>
        <v>#VALUE!</v>
      </c>
      <c r="IO270" t="e">
        <f>Europe!A1088+"$F;@!/i'"</f>
        <v>#VALUE!</v>
      </c>
      <c r="IP270" t="e">
        <f>Europe!B1088+"$F;@!/i("</f>
        <v>#VALUE!</v>
      </c>
      <c r="IQ270" t="e">
        <f>Europe!C1088+"$F;@!/i)"</f>
        <v>#VALUE!</v>
      </c>
      <c r="IR270" t="e">
        <f>Europe!D1088+"$F;@!/i."</f>
        <v>#VALUE!</v>
      </c>
      <c r="IS270" t="e">
        <f>Europe!E1088+"$F;@!/i/"</f>
        <v>#VALUE!</v>
      </c>
      <c r="IT270" t="e">
        <f>Europe!F1088+"$F;@!/i0"</f>
        <v>#VALUE!</v>
      </c>
      <c r="IU270" t="e">
        <f>Europe!G1088+"$F;@!/i1"</f>
        <v>#VALUE!</v>
      </c>
      <c r="IV270" t="e">
        <f>Europe!H1088+"$F;@!/i2"</f>
        <v>#VALUE!</v>
      </c>
    </row>
    <row r="271" spans="6:256" x14ac:dyDescent="0.35">
      <c r="F271" t="e">
        <f>Europe!A1089+"$F;@!/i3"</f>
        <v>#VALUE!</v>
      </c>
      <c r="G271" t="e">
        <f>Europe!B1089+"$F;@!/i4"</f>
        <v>#VALUE!</v>
      </c>
      <c r="H271" t="e">
        <f>Europe!C1089+"$F;@!/i5"</f>
        <v>#VALUE!</v>
      </c>
      <c r="I271" t="e">
        <f>Europe!D1089+"$F;@!/i6"</f>
        <v>#VALUE!</v>
      </c>
      <c r="J271" t="e">
        <f>Europe!E1089+"$F;@!/i7"</f>
        <v>#VALUE!</v>
      </c>
      <c r="K271" t="e">
        <f>Europe!F1089+"$F;@!/i8"</f>
        <v>#VALUE!</v>
      </c>
      <c r="L271" t="e">
        <f>Europe!G1089+"$F;@!/i9"</f>
        <v>#VALUE!</v>
      </c>
      <c r="M271" t="e">
        <f>Europe!H1089+"$F;@!/i:"</f>
        <v>#VALUE!</v>
      </c>
      <c r="N271" t="e">
        <f>Europe!A1090+"$F;@!/i;"</f>
        <v>#VALUE!</v>
      </c>
      <c r="O271" t="e">
        <f>Europe!B1090+"$F;@!/i&lt;"</f>
        <v>#VALUE!</v>
      </c>
      <c r="P271" t="e">
        <f>Europe!C1090+"$F;@!/i="</f>
        <v>#VALUE!</v>
      </c>
      <c r="Q271" t="e">
        <f>Europe!D1090+"$F;@!/i&gt;"</f>
        <v>#VALUE!</v>
      </c>
      <c r="R271" t="e">
        <f>Europe!E1090+"$F;@!/i?"</f>
        <v>#VALUE!</v>
      </c>
      <c r="S271" t="e">
        <f>Europe!F1090+"$F;@!/i@"</f>
        <v>#VALUE!</v>
      </c>
      <c r="T271" t="e">
        <f>Europe!G1090+"$F;@!/iA"</f>
        <v>#VALUE!</v>
      </c>
      <c r="U271" t="e">
        <f>Europe!H1090+"$F;@!/iB"</f>
        <v>#VALUE!</v>
      </c>
      <c r="V271" t="e">
        <f>Europe!A1091+"$F;@!/iC"</f>
        <v>#VALUE!</v>
      </c>
      <c r="W271" t="e">
        <f>Europe!B1091+"$F;@!/iD"</f>
        <v>#VALUE!</v>
      </c>
      <c r="X271" t="e">
        <f>Europe!C1091+"$F;@!/iE"</f>
        <v>#VALUE!</v>
      </c>
      <c r="Y271" t="e">
        <f>Europe!D1091+"$F;@!/iF"</f>
        <v>#VALUE!</v>
      </c>
      <c r="Z271" t="e">
        <f>Europe!E1091+"$F;@!/iG"</f>
        <v>#VALUE!</v>
      </c>
      <c r="AA271" t="e">
        <f>Europe!F1091+"$F;@!/iH"</f>
        <v>#VALUE!</v>
      </c>
      <c r="AB271" t="e">
        <f>Europe!G1091+"$F;@!/iI"</f>
        <v>#VALUE!</v>
      </c>
      <c r="AC271" t="e">
        <f>Europe!H1091+"$F;@!/iJ"</f>
        <v>#VALUE!</v>
      </c>
      <c r="AD271" t="e">
        <f>Europe!A1092+"$F;@!/iK"</f>
        <v>#VALUE!</v>
      </c>
      <c r="AE271" t="e">
        <f>Europe!B1092+"$F;@!/iL"</f>
        <v>#VALUE!</v>
      </c>
      <c r="AF271" t="e">
        <f>Europe!C1092+"$F;@!/iM"</f>
        <v>#VALUE!</v>
      </c>
      <c r="AG271" t="e">
        <f>Europe!D1092+"$F;@!/iN"</f>
        <v>#VALUE!</v>
      </c>
      <c r="AH271" t="e">
        <f>Europe!E1092+"$F;@!/iO"</f>
        <v>#VALUE!</v>
      </c>
      <c r="AI271" t="e">
        <f>Europe!F1092+"$F;@!/iP"</f>
        <v>#VALUE!</v>
      </c>
      <c r="AJ271" t="e">
        <f>Europe!G1092+"$F;@!/iQ"</f>
        <v>#VALUE!</v>
      </c>
      <c r="AK271" t="e">
        <f>Europe!H1092+"$F;@!/iR"</f>
        <v>#VALUE!</v>
      </c>
      <c r="AL271" t="e">
        <f>Europe!A1093+"$F;@!/iS"</f>
        <v>#VALUE!</v>
      </c>
      <c r="AM271" t="e">
        <f>Europe!B1093+"$F;@!/iT"</f>
        <v>#VALUE!</v>
      </c>
      <c r="AN271" t="e">
        <f>Europe!C1093+"$F;@!/iU"</f>
        <v>#VALUE!</v>
      </c>
      <c r="AO271" t="e">
        <f>Europe!D1093+"$F;@!/iV"</f>
        <v>#VALUE!</v>
      </c>
      <c r="AP271" t="e">
        <f>Europe!E1093+"$F;@!/iW"</f>
        <v>#VALUE!</v>
      </c>
      <c r="AQ271" t="e">
        <f>Europe!F1093+"$F;@!/iX"</f>
        <v>#VALUE!</v>
      </c>
      <c r="AR271" t="e">
        <f>Europe!G1093+"$F;@!/iY"</f>
        <v>#VALUE!</v>
      </c>
      <c r="AS271" t="e">
        <f>Europe!H1093+"$F;@!/iZ"</f>
        <v>#VALUE!</v>
      </c>
      <c r="AT271" t="e">
        <f>Europe!A1094+"$F;@!/i["</f>
        <v>#VALUE!</v>
      </c>
      <c r="AU271" t="e">
        <f>Europe!B1094+"$F;@!/i\"</f>
        <v>#VALUE!</v>
      </c>
      <c r="AV271" t="e">
        <f>Europe!C1094+"$F;@!/i]"</f>
        <v>#VALUE!</v>
      </c>
      <c r="AW271" t="e">
        <f>Europe!D1094+"$F;@!/i^"</f>
        <v>#VALUE!</v>
      </c>
      <c r="AX271" t="e">
        <f>Europe!E1094+"$F;@!/i_"</f>
        <v>#VALUE!</v>
      </c>
      <c r="AY271" t="e">
        <f>Europe!F1094+"$F;@!/i`"</f>
        <v>#VALUE!</v>
      </c>
      <c r="AZ271" t="e">
        <f>Europe!G1094+"$F;@!/ia"</f>
        <v>#VALUE!</v>
      </c>
      <c r="BA271" t="e">
        <f>Europe!H1094+"$F;@!/ib"</f>
        <v>#VALUE!</v>
      </c>
      <c r="BB271" t="e">
        <f>Europe!A1095+"$F;@!/ic"</f>
        <v>#VALUE!</v>
      </c>
      <c r="BC271" t="e">
        <f>Europe!B1095+"$F;@!/id"</f>
        <v>#VALUE!</v>
      </c>
      <c r="BD271" t="e">
        <f>Europe!C1095+"$F;@!/ie"</f>
        <v>#VALUE!</v>
      </c>
      <c r="BE271" t="e">
        <f>Europe!D1095+"$F;@!/if"</f>
        <v>#VALUE!</v>
      </c>
      <c r="BF271" t="e">
        <f>Europe!E1095+"$F;@!/ig"</f>
        <v>#VALUE!</v>
      </c>
      <c r="BG271" t="e">
        <f>Europe!F1095+"$F;@!/ih"</f>
        <v>#VALUE!</v>
      </c>
      <c r="BH271" t="e">
        <f>Europe!G1095+"$F;@!/ii"</f>
        <v>#VALUE!</v>
      </c>
      <c r="BI271" t="e">
        <f>Europe!H1095+"$F;@!/ij"</f>
        <v>#VALUE!</v>
      </c>
      <c r="BJ271" t="e">
        <f>Europe!A1096+"$F;@!/ik"</f>
        <v>#VALUE!</v>
      </c>
      <c r="BK271" t="e">
        <f>Europe!B1096+"$F;@!/il"</f>
        <v>#VALUE!</v>
      </c>
      <c r="BL271" t="e">
        <f>Europe!C1096+"$F;@!/im"</f>
        <v>#VALUE!</v>
      </c>
      <c r="BM271" t="e">
        <f>Europe!D1096+"$F;@!/in"</f>
        <v>#VALUE!</v>
      </c>
      <c r="BN271" t="e">
        <f>Europe!E1096+"$F;@!/io"</f>
        <v>#VALUE!</v>
      </c>
      <c r="BO271" t="e">
        <f>Europe!F1096+"$F;@!/ip"</f>
        <v>#VALUE!</v>
      </c>
      <c r="BP271" t="e">
        <f>Europe!G1096+"$F;@!/iq"</f>
        <v>#VALUE!</v>
      </c>
      <c r="BQ271" t="e">
        <f>Europe!H1096+"$F;@!/ir"</f>
        <v>#VALUE!</v>
      </c>
      <c r="BR271" t="e">
        <f>Europe!A1097+"$F;@!/is"</f>
        <v>#VALUE!</v>
      </c>
      <c r="BS271" t="e">
        <f>Europe!B1097+"$F;@!/it"</f>
        <v>#VALUE!</v>
      </c>
      <c r="BT271" t="e">
        <f>Europe!C1097+"$F;@!/iu"</f>
        <v>#VALUE!</v>
      </c>
      <c r="BU271" t="e">
        <f>Europe!D1097+"$F;@!/iv"</f>
        <v>#VALUE!</v>
      </c>
      <c r="BV271" t="e">
        <f>Europe!E1097+"$F;@!/iw"</f>
        <v>#VALUE!</v>
      </c>
      <c r="BW271" t="e">
        <f>Europe!F1097+"$F;@!/ix"</f>
        <v>#VALUE!</v>
      </c>
      <c r="BX271" t="e">
        <f>Europe!G1097+"$F;@!/iy"</f>
        <v>#VALUE!</v>
      </c>
      <c r="BY271" t="e">
        <f>Europe!H1097+"$F;@!/iz"</f>
        <v>#VALUE!</v>
      </c>
      <c r="BZ271" t="e">
        <f>Europe!A1098+"$F;@!/i{"</f>
        <v>#VALUE!</v>
      </c>
      <c r="CA271" t="e">
        <f>Europe!B1098+"$F;@!/i|"</f>
        <v>#VALUE!</v>
      </c>
      <c r="CB271" t="e">
        <f>Europe!C1098+"$F;@!/i}"</f>
        <v>#VALUE!</v>
      </c>
      <c r="CC271" t="e">
        <f>Europe!D1098+"$F;@!/i~"</f>
        <v>#VALUE!</v>
      </c>
      <c r="CD271" t="e">
        <f>Europe!E1098+"$F;@!/j#"</f>
        <v>#VALUE!</v>
      </c>
      <c r="CE271" t="e">
        <f>Europe!F1098+"$F;@!/j$"</f>
        <v>#VALUE!</v>
      </c>
      <c r="CF271" t="e">
        <f>Europe!G1098+"$F;@!/j%"</f>
        <v>#VALUE!</v>
      </c>
      <c r="CG271" t="e">
        <f>Europe!H1098+"$F;@!/j&amp;"</f>
        <v>#VALUE!</v>
      </c>
      <c r="CH271" t="e">
        <f>Europe!A1099+"$F;@!/j'"</f>
        <v>#VALUE!</v>
      </c>
      <c r="CI271" t="e">
        <f>Europe!B1099+"$F;@!/j("</f>
        <v>#VALUE!</v>
      </c>
      <c r="CJ271" t="e">
        <f>Europe!C1099+"$F;@!/j)"</f>
        <v>#VALUE!</v>
      </c>
      <c r="CK271" t="e">
        <f>Europe!D1099+"$F;@!/j."</f>
        <v>#VALUE!</v>
      </c>
      <c r="CL271" t="e">
        <f>Europe!E1099+"$F;@!/j/"</f>
        <v>#VALUE!</v>
      </c>
      <c r="CM271" t="e">
        <f>Europe!F1099+"$F;@!/j0"</f>
        <v>#VALUE!</v>
      </c>
      <c r="CN271" t="e">
        <f>Europe!G1099+"$F;@!/j1"</f>
        <v>#VALUE!</v>
      </c>
      <c r="CO271" t="e">
        <f>Europe!H1099+"$F;@!/j2"</f>
        <v>#VALUE!</v>
      </c>
      <c r="CP271" t="e">
        <f>Europe!A1100+"$F;@!/j3"</f>
        <v>#VALUE!</v>
      </c>
      <c r="CQ271" t="e">
        <f>Europe!B1100+"$F;@!/j4"</f>
        <v>#VALUE!</v>
      </c>
      <c r="CR271" t="e">
        <f>Europe!C1100+"$F;@!/j5"</f>
        <v>#VALUE!</v>
      </c>
      <c r="CS271" t="e">
        <f>Europe!D1100+"$F;@!/j6"</f>
        <v>#VALUE!</v>
      </c>
      <c r="CT271" t="e">
        <f>Europe!E1100+"$F;@!/j7"</f>
        <v>#VALUE!</v>
      </c>
      <c r="CU271" t="e">
        <f>Europe!F1100+"$F;@!/j8"</f>
        <v>#VALUE!</v>
      </c>
      <c r="CV271" t="e">
        <f>Europe!G1100+"$F;@!/j9"</f>
        <v>#VALUE!</v>
      </c>
      <c r="CW271" t="e">
        <f>Europe!H1100+"$F;@!/j:"</f>
        <v>#VALUE!</v>
      </c>
      <c r="CX271" t="e">
        <f>Europe!A1101+"$F;@!/j;"</f>
        <v>#VALUE!</v>
      </c>
      <c r="CY271" t="e">
        <f>Europe!B1101+"$F;@!/j&lt;"</f>
        <v>#VALUE!</v>
      </c>
      <c r="CZ271" t="e">
        <f>Europe!C1101+"$F;@!/j="</f>
        <v>#VALUE!</v>
      </c>
      <c r="DA271" t="e">
        <f>Europe!D1101+"$F;@!/j&gt;"</f>
        <v>#VALUE!</v>
      </c>
      <c r="DB271" t="e">
        <f>Europe!E1101+"$F;@!/j?"</f>
        <v>#VALUE!</v>
      </c>
      <c r="DC271" t="e">
        <f>Europe!F1101+"$F;@!/j@"</f>
        <v>#VALUE!</v>
      </c>
      <c r="DD271" t="e">
        <f>Europe!G1101+"$F;@!/jA"</f>
        <v>#VALUE!</v>
      </c>
      <c r="DE271" t="e">
        <f>Europe!H1101+"$F;@!/jB"</f>
        <v>#VALUE!</v>
      </c>
      <c r="DF271" t="e">
        <f>Europe!A1102+"$F;@!/jC"</f>
        <v>#VALUE!</v>
      </c>
      <c r="DG271" t="e">
        <f>Europe!B1102+"$F;@!/jD"</f>
        <v>#VALUE!</v>
      </c>
      <c r="DH271" t="e">
        <f>Europe!C1102+"$F;@!/jE"</f>
        <v>#VALUE!</v>
      </c>
      <c r="DI271" t="e">
        <f>Europe!D1102+"$F;@!/jF"</f>
        <v>#VALUE!</v>
      </c>
      <c r="DJ271" t="e">
        <f>Europe!E1102+"$F;@!/jG"</f>
        <v>#VALUE!</v>
      </c>
      <c r="DK271" t="e">
        <f>Europe!F1102+"$F;@!/jH"</f>
        <v>#VALUE!</v>
      </c>
      <c r="DL271" t="e">
        <f>Europe!G1102+"$F;@!/jI"</f>
        <v>#VALUE!</v>
      </c>
      <c r="DM271" t="e">
        <f>Europe!H1102+"$F;@!/jJ"</f>
        <v>#VALUE!</v>
      </c>
      <c r="DN271" t="e">
        <f>Europe!A1103+"$F;@!/jK"</f>
        <v>#VALUE!</v>
      </c>
      <c r="DO271" t="e">
        <f>Europe!B1103+"$F;@!/jL"</f>
        <v>#VALUE!</v>
      </c>
      <c r="DP271" t="e">
        <f>Europe!C1103+"$F;@!/jM"</f>
        <v>#VALUE!</v>
      </c>
      <c r="DQ271" t="e">
        <f>Europe!D1103+"$F;@!/jN"</f>
        <v>#VALUE!</v>
      </c>
      <c r="DR271" t="e">
        <f>Europe!E1103+"$F;@!/jO"</f>
        <v>#VALUE!</v>
      </c>
      <c r="DS271" t="e">
        <f>Europe!F1103+"$F;@!/jP"</f>
        <v>#VALUE!</v>
      </c>
      <c r="DT271" t="e">
        <f>Europe!G1103+"$F;@!/jQ"</f>
        <v>#VALUE!</v>
      </c>
      <c r="DU271" t="e">
        <f>Europe!H1103+"$F;@!/jR"</f>
        <v>#VALUE!</v>
      </c>
      <c r="DV271" t="e">
        <f>Europe!A1104+"$F;@!/jS"</f>
        <v>#VALUE!</v>
      </c>
      <c r="DW271" t="e">
        <f>Europe!B1104+"$F;@!/jT"</f>
        <v>#VALUE!</v>
      </c>
      <c r="DX271" t="e">
        <f>Europe!C1104+"$F;@!/jU"</f>
        <v>#VALUE!</v>
      </c>
      <c r="DY271" t="e">
        <f>Europe!D1104+"$F;@!/jV"</f>
        <v>#VALUE!</v>
      </c>
      <c r="DZ271" t="e">
        <f>Europe!E1104+"$F;@!/jW"</f>
        <v>#VALUE!</v>
      </c>
      <c r="EA271" t="e">
        <f>Europe!F1104+"$F;@!/jX"</f>
        <v>#VALUE!</v>
      </c>
      <c r="EB271" t="e">
        <f>Europe!G1104+"$F;@!/jY"</f>
        <v>#VALUE!</v>
      </c>
      <c r="EC271" t="e">
        <f>Europe!H1104+"$F;@!/jZ"</f>
        <v>#VALUE!</v>
      </c>
      <c r="ED271" t="e">
        <f>Europe!A1105+"$F;@!/j["</f>
        <v>#VALUE!</v>
      </c>
      <c r="EE271" t="e">
        <f>Europe!B1105+"$F;@!/j\"</f>
        <v>#VALUE!</v>
      </c>
      <c r="EF271" t="e">
        <f>Europe!C1105+"$F;@!/j]"</f>
        <v>#VALUE!</v>
      </c>
      <c r="EG271" t="e">
        <f>Europe!D1105+"$F;@!/j^"</f>
        <v>#VALUE!</v>
      </c>
      <c r="EH271" t="e">
        <f>Europe!E1105+"$F;@!/j_"</f>
        <v>#VALUE!</v>
      </c>
      <c r="EI271" t="e">
        <f>Europe!F1105+"$F;@!/j`"</f>
        <v>#VALUE!</v>
      </c>
      <c r="EJ271" t="e">
        <f>Europe!G1105+"$F;@!/ja"</f>
        <v>#VALUE!</v>
      </c>
      <c r="EK271" t="e">
        <f>Europe!H1105+"$F;@!/jb"</f>
        <v>#VALUE!</v>
      </c>
      <c r="EL271" t="e">
        <f>Europe!A1106+"$F;@!/jc"</f>
        <v>#VALUE!</v>
      </c>
      <c r="EM271" t="e">
        <f>Europe!B1106+"$F;@!/jd"</f>
        <v>#VALUE!</v>
      </c>
      <c r="EN271" t="e">
        <f>Europe!C1106+"$F;@!/je"</f>
        <v>#VALUE!</v>
      </c>
      <c r="EO271" t="e">
        <f>Europe!D1106+"$F;@!/jf"</f>
        <v>#VALUE!</v>
      </c>
      <c r="EP271" t="e">
        <f>Europe!E1106+"$F;@!/jg"</f>
        <v>#VALUE!</v>
      </c>
      <c r="EQ271" t="e">
        <f>Europe!F1106+"$F;@!/jh"</f>
        <v>#VALUE!</v>
      </c>
      <c r="ER271" t="e">
        <f>Europe!G1106+"$F;@!/ji"</f>
        <v>#VALUE!</v>
      </c>
      <c r="ES271" t="e">
        <f>Europe!H1106+"$F;@!/jj"</f>
        <v>#VALUE!</v>
      </c>
      <c r="ET271" t="e">
        <f>Europe!A1107+"$F;@!/jk"</f>
        <v>#VALUE!</v>
      </c>
      <c r="EU271" t="e">
        <f>Europe!B1107+"$F;@!/jl"</f>
        <v>#VALUE!</v>
      </c>
      <c r="EV271" t="e">
        <f>Europe!C1107+"$F;@!/jm"</f>
        <v>#VALUE!</v>
      </c>
      <c r="EW271" t="e">
        <f>Europe!D1107+"$F;@!/jn"</f>
        <v>#VALUE!</v>
      </c>
      <c r="EX271" t="e">
        <f>Europe!E1107+"$F;@!/jo"</f>
        <v>#VALUE!</v>
      </c>
      <c r="EY271" t="e">
        <f>Europe!F1107+"$F;@!/jp"</f>
        <v>#VALUE!</v>
      </c>
      <c r="EZ271" t="e">
        <f>Europe!G1107+"$F;@!/jq"</f>
        <v>#VALUE!</v>
      </c>
      <c r="FA271" t="e">
        <f>Europe!H1107+"$F;@!/jr"</f>
        <v>#VALUE!</v>
      </c>
      <c r="FB271" t="e">
        <f>Europe!A1108+"$F;@!/js"</f>
        <v>#VALUE!</v>
      </c>
      <c r="FC271" t="e">
        <f>Europe!B1108+"$F;@!/jt"</f>
        <v>#VALUE!</v>
      </c>
      <c r="FD271" t="e">
        <f>Europe!C1108+"$F;@!/ju"</f>
        <v>#VALUE!</v>
      </c>
      <c r="FE271" t="e">
        <f>Europe!D1108+"$F;@!/jv"</f>
        <v>#VALUE!</v>
      </c>
      <c r="FF271" t="e">
        <f>Europe!E1108+"$F;@!/jw"</f>
        <v>#VALUE!</v>
      </c>
      <c r="FG271" t="e">
        <f>Europe!F1108+"$F;@!/jx"</f>
        <v>#VALUE!</v>
      </c>
      <c r="FH271" t="e">
        <f>Europe!G1108+"$F;@!/jy"</f>
        <v>#VALUE!</v>
      </c>
      <c r="FI271" t="e">
        <f>Europe!H1108+"$F;@!/jz"</f>
        <v>#VALUE!</v>
      </c>
      <c r="FJ271" t="e">
        <f>Europe!A1109+"$F;@!/j{"</f>
        <v>#VALUE!</v>
      </c>
      <c r="FK271" t="e">
        <f>Europe!B1109+"$F;@!/j|"</f>
        <v>#VALUE!</v>
      </c>
      <c r="FL271" t="e">
        <f>Europe!C1109+"$F;@!/j}"</f>
        <v>#VALUE!</v>
      </c>
      <c r="FM271" t="e">
        <f>Europe!D1109+"$F;@!/j~"</f>
        <v>#VALUE!</v>
      </c>
      <c r="FN271" t="e">
        <f>Europe!E1109+"$F;@!/k#"</f>
        <v>#VALUE!</v>
      </c>
      <c r="FO271" t="e">
        <f>Europe!F1109+"$F;@!/k$"</f>
        <v>#VALUE!</v>
      </c>
      <c r="FP271" t="e">
        <f>Europe!G1109+"$F;@!/k%"</f>
        <v>#VALUE!</v>
      </c>
      <c r="FQ271" t="e">
        <f>Europe!H1109+"$F;@!/k&amp;"</f>
        <v>#VALUE!</v>
      </c>
      <c r="FR271" t="e">
        <f>Europe!A1110+"$F;@!/k'"</f>
        <v>#VALUE!</v>
      </c>
      <c r="FS271" t="e">
        <f>Europe!B1110+"$F;@!/k("</f>
        <v>#VALUE!</v>
      </c>
      <c r="FT271" t="e">
        <f>Europe!C1110+"$F;@!/k)"</f>
        <v>#VALUE!</v>
      </c>
      <c r="FU271" t="e">
        <f>Europe!D1110+"$F;@!/k."</f>
        <v>#VALUE!</v>
      </c>
      <c r="FV271" t="e">
        <f>Europe!E1110+"$F;@!/k/"</f>
        <v>#VALUE!</v>
      </c>
      <c r="FW271" t="e">
        <f>Europe!F1110+"$F;@!/k0"</f>
        <v>#VALUE!</v>
      </c>
      <c r="FX271" t="e">
        <f>Europe!G1110+"$F;@!/k1"</f>
        <v>#VALUE!</v>
      </c>
      <c r="FY271" t="e">
        <f>Europe!H1110+"$F;@!/k2"</f>
        <v>#VALUE!</v>
      </c>
      <c r="FZ271" t="e">
        <f>Europe!A1111+"$F;@!/k3"</f>
        <v>#VALUE!</v>
      </c>
      <c r="GA271" t="e">
        <f>Europe!B1111+"$F;@!/k4"</f>
        <v>#VALUE!</v>
      </c>
      <c r="GB271" t="e">
        <f>Europe!C1111+"$F;@!/k5"</f>
        <v>#VALUE!</v>
      </c>
      <c r="GC271" t="e">
        <f>Europe!D1111+"$F;@!/k6"</f>
        <v>#VALUE!</v>
      </c>
      <c r="GD271" t="e">
        <f>Europe!E1111+"$F;@!/k7"</f>
        <v>#VALUE!</v>
      </c>
      <c r="GE271" t="e">
        <f>Europe!F1111+"$F;@!/k8"</f>
        <v>#VALUE!</v>
      </c>
      <c r="GF271" t="e">
        <f>Europe!G1111+"$F;@!/k9"</f>
        <v>#VALUE!</v>
      </c>
      <c r="GG271" t="e">
        <f>Europe!H1111+"$F;@!/k:"</f>
        <v>#VALUE!</v>
      </c>
      <c r="GH271" t="e">
        <f>Europe!A1112+"$F;@!/k;"</f>
        <v>#VALUE!</v>
      </c>
      <c r="GI271" t="e">
        <f>Europe!B1112+"$F;@!/k&lt;"</f>
        <v>#VALUE!</v>
      </c>
      <c r="GJ271" t="e">
        <f>Europe!C1112+"$F;@!/k="</f>
        <v>#VALUE!</v>
      </c>
      <c r="GK271" t="e">
        <f>Europe!D1112+"$F;@!/k&gt;"</f>
        <v>#VALUE!</v>
      </c>
      <c r="GL271" t="e">
        <f>Europe!E1112+"$F;@!/k?"</f>
        <v>#VALUE!</v>
      </c>
      <c r="GM271" t="e">
        <f>Europe!F1112+"$F;@!/k@"</f>
        <v>#VALUE!</v>
      </c>
      <c r="GN271" t="e">
        <f>Europe!G1112+"$F;@!/kA"</f>
        <v>#VALUE!</v>
      </c>
      <c r="GO271" t="e">
        <f>Europe!H1112+"$F;@!/kB"</f>
        <v>#VALUE!</v>
      </c>
      <c r="GP271" t="e">
        <f>Europe!A1113+"$F;@!/kC"</f>
        <v>#VALUE!</v>
      </c>
      <c r="GQ271" t="e">
        <f>Europe!B1113+"$F;@!/kD"</f>
        <v>#VALUE!</v>
      </c>
      <c r="GR271" t="e">
        <f>Europe!C1113+"$F;@!/kE"</f>
        <v>#VALUE!</v>
      </c>
      <c r="GS271" t="e">
        <f>Europe!D1113+"$F;@!/kF"</f>
        <v>#VALUE!</v>
      </c>
      <c r="GT271" t="e">
        <f>Europe!E1113+"$F;@!/kG"</f>
        <v>#VALUE!</v>
      </c>
      <c r="GU271" t="e">
        <f>Europe!F1113+"$F;@!/kH"</f>
        <v>#VALUE!</v>
      </c>
      <c r="GV271" t="e">
        <f>Europe!G1113+"$F;@!/kI"</f>
        <v>#VALUE!</v>
      </c>
      <c r="GW271" t="e">
        <f>Europe!H1113+"$F;@!/kJ"</f>
        <v>#VALUE!</v>
      </c>
      <c r="GX271" t="e">
        <f>Europe!A1114+"$F;@!/kK"</f>
        <v>#VALUE!</v>
      </c>
      <c r="GY271" t="e">
        <f>Europe!B1114+"$F;@!/kL"</f>
        <v>#VALUE!</v>
      </c>
      <c r="GZ271" t="e">
        <f>Europe!C1114+"$F;@!/kM"</f>
        <v>#VALUE!</v>
      </c>
      <c r="HA271" t="e">
        <f>Europe!D1114+"$F;@!/kN"</f>
        <v>#VALUE!</v>
      </c>
      <c r="HB271" t="e">
        <f>Europe!E1114+"$F;@!/kO"</f>
        <v>#VALUE!</v>
      </c>
      <c r="HC271" t="e">
        <f>Europe!F1114+"$F;@!/kP"</f>
        <v>#VALUE!</v>
      </c>
      <c r="HD271" t="e">
        <f>Europe!G1114+"$F;@!/kQ"</f>
        <v>#VALUE!</v>
      </c>
      <c r="HE271" t="e">
        <f>Europe!H1114+"$F;@!/kR"</f>
        <v>#VALUE!</v>
      </c>
      <c r="HF271" t="e">
        <f>Europe!A1115+"$F;@!/kS"</f>
        <v>#VALUE!</v>
      </c>
      <c r="HG271" t="e">
        <f>Europe!B1115+"$F;@!/kT"</f>
        <v>#VALUE!</v>
      </c>
      <c r="HH271" t="e">
        <f>Europe!C1115+"$F;@!/kU"</f>
        <v>#VALUE!</v>
      </c>
      <c r="HI271" t="e">
        <f>Europe!D1115+"$F;@!/kV"</f>
        <v>#VALUE!</v>
      </c>
      <c r="HJ271" t="e">
        <f>Europe!E1115+"$F;@!/kW"</f>
        <v>#VALUE!</v>
      </c>
      <c r="HK271" t="e">
        <f>Europe!F1115+"$F;@!/kX"</f>
        <v>#VALUE!</v>
      </c>
      <c r="HL271" t="e">
        <f>Europe!G1115+"$F;@!/kY"</f>
        <v>#VALUE!</v>
      </c>
      <c r="HM271" t="e">
        <f>Europe!H1115+"$F;@!/kZ"</f>
        <v>#VALUE!</v>
      </c>
      <c r="HN271" t="e">
        <f>Europe!A1116+"$F;@!/k["</f>
        <v>#VALUE!</v>
      </c>
      <c r="HO271" t="e">
        <f>Europe!B1116+"$F;@!/k\"</f>
        <v>#VALUE!</v>
      </c>
      <c r="HP271" t="e">
        <f>Europe!C1116+"$F;@!/k]"</f>
        <v>#VALUE!</v>
      </c>
      <c r="HQ271" t="e">
        <f>Europe!D1116+"$F;@!/k^"</f>
        <v>#VALUE!</v>
      </c>
      <c r="HR271" t="e">
        <f>Europe!E1116+"$F;@!/k_"</f>
        <v>#VALUE!</v>
      </c>
      <c r="HS271" t="e">
        <f>Europe!F1116+"$F;@!/k`"</f>
        <v>#VALUE!</v>
      </c>
      <c r="HT271" t="e">
        <f>Europe!G1116+"$F;@!/ka"</f>
        <v>#VALUE!</v>
      </c>
      <c r="HU271" t="e">
        <f>Europe!H1116+"$F;@!/kb"</f>
        <v>#VALUE!</v>
      </c>
      <c r="HV271" t="e">
        <f>Europe!A1117+"$F;@!/kc"</f>
        <v>#VALUE!</v>
      </c>
      <c r="HW271" t="e">
        <f>Europe!B1117+"$F;@!/kd"</f>
        <v>#VALUE!</v>
      </c>
      <c r="HX271" t="e">
        <f>Europe!C1117+"$F;@!/ke"</f>
        <v>#VALUE!</v>
      </c>
      <c r="HY271" t="e">
        <f>Europe!D1117+"$F;@!/kf"</f>
        <v>#VALUE!</v>
      </c>
      <c r="HZ271" t="e">
        <f>Europe!E1117+"$F;@!/kg"</f>
        <v>#VALUE!</v>
      </c>
      <c r="IA271" t="e">
        <f>Europe!F1117+"$F;@!/kh"</f>
        <v>#VALUE!</v>
      </c>
      <c r="IB271" t="e">
        <f>Europe!G1117+"$F;@!/ki"</f>
        <v>#VALUE!</v>
      </c>
      <c r="IC271" t="e">
        <f>Europe!H1117+"$F;@!/kj"</f>
        <v>#VALUE!</v>
      </c>
      <c r="ID271" t="e">
        <f>Europe!A1118+"$F;@!/kk"</f>
        <v>#VALUE!</v>
      </c>
      <c r="IE271" t="e">
        <f>Europe!B1118+"$F;@!/kl"</f>
        <v>#VALUE!</v>
      </c>
      <c r="IF271" t="e">
        <f>Europe!C1118+"$F;@!/km"</f>
        <v>#VALUE!</v>
      </c>
      <c r="IG271" t="e">
        <f>Europe!D1118+"$F;@!/kn"</f>
        <v>#VALUE!</v>
      </c>
      <c r="IH271" t="e">
        <f>Europe!E1118+"$F;@!/ko"</f>
        <v>#VALUE!</v>
      </c>
      <c r="II271" t="e">
        <f>Europe!F1118+"$F;@!/kp"</f>
        <v>#VALUE!</v>
      </c>
      <c r="IJ271" t="e">
        <f>Europe!G1118+"$F;@!/kq"</f>
        <v>#VALUE!</v>
      </c>
      <c r="IK271" t="e">
        <f>Europe!H1118+"$F;@!/kr"</f>
        <v>#VALUE!</v>
      </c>
      <c r="IL271" t="e">
        <f>Europe!A1119+"$F;@!/ks"</f>
        <v>#VALUE!</v>
      </c>
      <c r="IM271" t="e">
        <f>Europe!B1119+"$F;@!/kt"</f>
        <v>#VALUE!</v>
      </c>
      <c r="IN271" t="e">
        <f>Europe!C1119+"$F;@!/ku"</f>
        <v>#VALUE!</v>
      </c>
      <c r="IO271" t="e">
        <f>Europe!D1119+"$F;@!/kv"</f>
        <v>#VALUE!</v>
      </c>
      <c r="IP271" t="e">
        <f>Europe!E1119+"$F;@!/kw"</f>
        <v>#VALUE!</v>
      </c>
      <c r="IQ271" t="e">
        <f>Europe!F1119+"$F;@!/kx"</f>
        <v>#VALUE!</v>
      </c>
      <c r="IR271" t="e">
        <f>Europe!G1119+"$F;@!/ky"</f>
        <v>#VALUE!</v>
      </c>
      <c r="IS271" t="e">
        <f>Europe!H1119+"$F;@!/kz"</f>
        <v>#VALUE!</v>
      </c>
      <c r="IT271" t="e">
        <f>Europe!A1120+"$F;@!/k{"</f>
        <v>#VALUE!</v>
      </c>
      <c r="IU271" t="e">
        <f>Europe!B1120+"$F;@!/k|"</f>
        <v>#VALUE!</v>
      </c>
      <c r="IV271" t="e">
        <f>Europe!C1120+"$F;@!/k}"</f>
        <v>#VALUE!</v>
      </c>
    </row>
    <row r="272" spans="6:256" x14ac:dyDescent="0.35">
      <c r="F272" t="e">
        <f>Europe!D1120+"$F;@!/k~"</f>
        <v>#VALUE!</v>
      </c>
      <c r="G272" t="e">
        <f>Europe!E1120+"$F;@!/l#"</f>
        <v>#VALUE!</v>
      </c>
      <c r="H272" t="e">
        <f>Europe!F1120+"$F;@!/l$"</f>
        <v>#VALUE!</v>
      </c>
      <c r="I272" t="e">
        <f>Europe!G1120+"$F;@!/l%"</f>
        <v>#VALUE!</v>
      </c>
      <c r="J272" t="e">
        <f>Europe!H1120+"$F;@!/l&amp;"</f>
        <v>#VALUE!</v>
      </c>
      <c r="K272" t="e">
        <f>Europe!A1121+"$F;@!/l'"</f>
        <v>#VALUE!</v>
      </c>
      <c r="L272" t="e">
        <f>Europe!B1121+"$F;@!/l("</f>
        <v>#VALUE!</v>
      </c>
      <c r="M272" t="e">
        <f>Europe!C1121+"$F;@!/l)"</f>
        <v>#VALUE!</v>
      </c>
      <c r="N272" t="e">
        <f>Europe!D1121+"$F;@!/l."</f>
        <v>#VALUE!</v>
      </c>
      <c r="O272" t="e">
        <f>Europe!E1121+"$F;@!/l/"</f>
        <v>#VALUE!</v>
      </c>
      <c r="P272" t="e">
        <f>Europe!F1121+"$F;@!/l0"</f>
        <v>#VALUE!</v>
      </c>
      <c r="Q272" t="e">
        <f>Europe!G1121+"$F;@!/l1"</f>
        <v>#VALUE!</v>
      </c>
      <c r="R272" t="e">
        <f>Europe!H1121+"$F;@!/l2"</f>
        <v>#VALUE!</v>
      </c>
      <c r="S272" t="e">
        <f>Europe!A1122+"$F;@!/l3"</f>
        <v>#VALUE!</v>
      </c>
      <c r="T272" t="e">
        <f>Europe!B1122+"$F;@!/l4"</f>
        <v>#VALUE!</v>
      </c>
      <c r="U272" t="e">
        <f>Europe!C1122+"$F;@!/l5"</f>
        <v>#VALUE!</v>
      </c>
      <c r="V272" t="e">
        <f>Europe!D1122+"$F;@!/l6"</f>
        <v>#VALUE!</v>
      </c>
      <c r="W272" t="e">
        <f>Europe!E1122+"$F;@!/l7"</f>
        <v>#VALUE!</v>
      </c>
      <c r="X272" t="e">
        <f>Europe!F1122+"$F;@!/l8"</f>
        <v>#VALUE!</v>
      </c>
      <c r="Y272" t="e">
        <f>Europe!G1122+"$F;@!/l9"</f>
        <v>#VALUE!</v>
      </c>
      <c r="Z272" t="e">
        <f>Europe!H1122+"$F;@!/l:"</f>
        <v>#VALUE!</v>
      </c>
      <c r="AA272" t="e">
        <f>Europe!A1123+"$F;@!/l;"</f>
        <v>#VALUE!</v>
      </c>
      <c r="AB272" t="e">
        <f>Europe!B1123+"$F;@!/l&lt;"</f>
        <v>#VALUE!</v>
      </c>
      <c r="AC272" t="e">
        <f>Europe!C1123+"$F;@!/l="</f>
        <v>#VALUE!</v>
      </c>
      <c r="AD272" t="e">
        <f>Europe!D1123+"$F;@!/l&gt;"</f>
        <v>#VALUE!</v>
      </c>
      <c r="AE272" t="e">
        <f>Europe!E1123+"$F;@!/l?"</f>
        <v>#VALUE!</v>
      </c>
      <c r="AF272" t="e">
        <f>Europe!F1123+"$F;@!/l@"</f>
        <v>#VALUE!</v>
      </c>
      <c r="AG272" t="e">
        <f>Europe!G1123+"$F;@!/lA"</f>
        <v>#VALUE!</v>
      </c>
      <c r="AH272" t="e">
        <f>Europe!H1123+"$F;@!/lB"</f>
        <v>#VALUE!</v>
      </c>
      <c r="AI272" t="e">
        <f>Europe!A1124+"$F;@!/lC"</f>
        <v>#VALUE!</v>
      </c>
      <c r="AJ272" t="e">
        <f>Europe!B1124+"$F;@!/lD"</f>
        <v>#VALUE!</v>
      </c>
      <c r="AK272" t="e">
        <f>Europe!C1124+"$F;@!/lE"</f>
        <v>#VALUE!</v>
      </c>
      <c r="AL272" t="e">
        <f>Europe!D1124+"$F;@!/lF"</f>
        <v>#VALUE!</v>
      </c>
      <c r="AM272" t="e">
        <f>Europe!E1124+"$F;@!/lG"</f>
        <v>#VALUE!</v>
      </c>
      <c r="AN272" t="e">
        <f>Europe!F1124+"$F;@!/lH"</f>
        <v>#VALUE!</v>
      </c>
      <c r="AO272" t="e">
        <f>Europe!G1124+"$F;@!/lI"</f>
        <v>#VALUE!</v>
      </c>
      <c r="AP272" t="e">
        <f>Europe!H1124+"$F;@!/lJ"</f>
        <v>#VALUE!</v>
      </c>
      <c r="AQ272" t="e">
        <f>Europe!A1125+"$F;@!/lK"</f>
        <v>#VALUE!</v>
      </c>
      <c r="AR272" t="e">
        <f>Europe!B1125+"$F;@!/lL"</f>
        <v>#VALUE!</v>
      </c>
      <c r="AS272" t="e">
        <f>Europe!C1125+"$F;@!/lM"</f>
        <v>#VALUE!</v>
      </c>
      <c r="AT272" t="e">
        <f>Europe!D1125+"$F;@!/lN"</f>
        <v>#VALUE!</v>
      </c>
      <c r="AU272" t="e">
        <f>Europe!E1125+"$F;@!/lO"</f>
        <v>#VALUE!</v>
      </c>
      <c r="AV272" t="e">
        <f>Europe!F1125+"$F;@!/lP"</f>
        <v>#VALUE!</v>
      </c>
      <c r="AW272" t="e">
        <f>Europe!G1125+"$F;@!/lQ"</f>
        <v>#VALUE!</v>
      </c>
      <c r="AX272" t="e">
        <f>Europe!H1125+"$F;@!/lR"</f>
        <v>#VALUE!</v>
      </c>
      <c r="AY272" t="e">
        <f>Europe!A1126+"$F;@!/lS"</f>
        <v>#VALUE!</v>
      </c>
      <c r="AZ272" t="e">
        <f>Europe!B1126+"$F;@!/lT"</f>
        <v>#VALUE!</v>
      </c>
      <c r="BA272" t="e">
        <f>Europe!C1126+"$F;@!/lU"</f>
        <v>#VALUE!</v>
      </c>
      <c r="BB272" t="e">
        <f>Europe!D1126+"$F;@!/lV"</f>
        <v>#VALUE!</v>
      </c>
      <c r="BC272" t="e">
        <f>Europe!E1126+"$F;@!/lW"</f>
        <v>#VALUE!</v>
      </c>
      <c r="BD272" t="e">
        <f>Europe!F1126+"$F;@!/lX"</f>
        <v>#VALUE!</v>
      </c>
      <c r="BE272" t="e">
        <f>Europe!G1126+"$F;@!/lY"</f>
        <v>#VALUE!</v>
      </c>
      <c r="BF272" t="e">
        <f>Europe!H1126+"$F;@!/lZ"</f>
        <v>#VALUE!</v>
      </c>
      <c r="BG272" t="e">
        <f>Europe!A1127+"$F;@!/l["</f>
        <v>#VALUE!</v>
      </c>
      <c r="BH272" t="e">
        <f>Europe!B1127+"$F;@!/l\"</f>
        <v>#VALUE!</v>
      </c>
      <c r="BI272" t="e">
        <f>Europe!C1127+"$F;@!/l]"</f>
        <v>#VALUE!</v>
      </c>
      <c r="BJ272" t="e">
        <f>Europe!D1127+"$F;@!/l^"</f>
        <v>#VALUE!</v>
      </c>
      <c r="BK272" t="e">
        <f>Europe!E1127+"$F;@!/l_"</f>
        <v>#VALUE!</v>
      </c>
      <c r="BL272" t="e">
        <f>Europe!F1127+"$F;@!/l`"</f>
        <v>#VALUE!</v>
      </c>
      <c r="BM272" t="e">
        <f>Europe!G1127+"$F;@!/la"</f>
        <v>#VALUE!</v>
      </c>
      <c r="BN272" t="e">
        <f>Europe!H1127+"$F;@!/lb"</f>
        <v>#VALUE!</v>
      </c>
      <c r="BO272" t="e">
        <f>Europe!A1128+"$F;@!/lc"</f>
        <v>#VALUE!</v>
      </c>
      <c r="BP272" t="e">
        <f>Europe!B1128+"$F;@!/ld"</f>
        <v>#VALUE!</v>
      </c>
      <c r="BQ272" t="e">
        <f>Europe!C1128+"$F;@!/le"</f>
        <v>#VALUE!</v>
      </c>
      <c r="BR272" t="e">
        <f>Europe!D1128+"$F;@!/lf"</f>
        <v>#VALUE!</v>
      </c>
      <c r="BS272" t="e">
        <f>Europe!E1128+"$F;@!/lg"</f>
        <v>#VALUE!</v>
      </c>
      <c r="BT272" t="e">
        <f>Europe!F1128+"$F;@!/lh"</f>
        <v>#VALUE!</v>
      </c>
      <c r="BU272" t="e">
        <f>Europe!G1128+"$F;@!/li"</f>
        <v>#VALUE!</v>
      </c>
      <c r="BV272" t="e">
        <f>Europe!H1128+"$F;@!/lj"</f>
        <v>#VALUE!</v>
      </c>
      <c r="BW272" t="e">
        <f>Europe!A1129+"$F;@!/lk"</f>
        <v>#VALUE!</v>
      </c>
      <c r="BX272" t="e">
        <f>Europe!B1129+"$F;@!/ll"</f>
        <v>#VALUE!</v>
      </c>
      <c r="BY272" t="e">
        <f>Europe!C1129+"$F;@!/lm"</f>
        <v>#VALUE!</v>
      </c>
      <c r="BZ272" t="e">
        <f>Europe!D1129+"$F;@!/ln"</f>
        <v>#VALUE!</v>
      </c>
      <c r="CA272" t="e">
        <f>Europe!E1129+"$F;@!/lo"</f>
        <v>#VALUE!</v>
      </c>
      <c r="CB272" t="e">
        <f>Europe!F1129+"$F;@!/lp"</f>
        <v>#VALUE!</v>
      </c>
      <c r="CC272" t="e">
        <f>Europe!G1129+"$F;@!/lq"</f>
        <v>#VALUE!</v>
      </c>
      <c r="CD272" t="e">
        <f>Europe!H1129+"$F;@!/lr"</f>
        <v>#VALUE!</v>
      </c>
      <c r="CE272" t="e">
        <f>Europe!A1130+"$F;@!/ls"</f>
        <v>#VALUE!</v>
      </c>
      <c r="CF272" t="e">
        <f>Europe!B1130+"$F;@!/lt"</f>
        <v>#VALUE!</v>
      </c>
      <c r="CG272" t="e">
        <f>Europe!C1130+"$F;@!/lu"</f>
        <v>#VALUE!</v>
      </c>
      <c r="CH272" t="e">
        <f>Europe!D1130+"$F;@!/lv"</f>
        <v>#VALUE!</v>
      </c>
      <c r="CI272" t="e">
        <f>Europe!E1130+"$F;@!/lw"</f>
        <v>#VALUE!</v>
      </c>
      <c r="CJ272" t="e">
        <f>Europe!F1130+"$F;@!/lx"</f>
        <v>#VALUE!</v>
      </c>
      <c r="CK272" t="e">
        <f>Europe!G1130+"$F;@!/ly"</f>
        <v>#VALUE!</v>
      </c>
      <c r="CL272" t="e">
        <f>Europe!H1130+"$F;@!/lz"</f>
        <v>#VALUE!</v>
      </c>
      <c r="CM272" t="e">
        <f>Europe!A1131+"$F;@!/l{"</f>
        <v>#VALUE!</v>
      </c>
      <c r="CN272" t="e">
        <f>Europe!B1131+"$F;@!/l|"</f>
        <v>#VALUE!</v>
      </c>
      <c r="CO272" t="e">
        <f>Europe!C1131+"$F;@!/l}"</f>
        <v>#VALUE!</v>
      </c>
      <c r="CP272" t="e">
        <f>Europe!D1131+"$F;@!/l~"</f>
        <v>#VALUE!</v>
      </c>
      <c r="CQ272" t="e">
        <f>Europe!E1131+"$F;@!/m#"</f>
        <v>#VALUE!</v>
      </c>
      <c r="CR272" t="e">
        <f>Europe!F1131+"$F;@!/m$"</f>
        <v>#VALUE!</v>
      </c>
      <c r="CS272" t="e">
        <f>Europe!G1131+"$F;@!/m%"</f>
        <v>#VALUE!</v>
      </c>
      <c r="CT272" t="e">
        <f>Europe!H1131+"$F;@!/m&amp;"</f>
        <v>#VALUE!</v>
      </c>
      <c r="CU272" t="e">
        <f>Europe!A1132+"$F;@!/m'"</f>
        <v>#VALUE!</v>
      </c>
      <c r="CV272" t="e">
        <f>Europe!B1132+"$F;@!/m("</f>
        <v>#VALUE!</v>
      </c>
      <c r="CW272" t="e">
        <f>Europe!C1132+"$F;@!/m)"</f>
        <v>#VALUE!</v>
      </c>
      <c r="CX272" t="e">
        <f>Europe!D1132+"$F;@!/m."</f>
        <v>#VALUE!</v>
      </c>
      <c r="CY272" t="e">
        <f>Europe!E1132+"$F;@!/m/"</f>
        <v>#VALUE!</v>
      </c>
      <c r="CZ272" t="e">
        <f>Europe!F1132+"$F;@!/m0"</f>
        <v>#VALUE!</v>
      </c>
      <c r="DA272" t="e">
        <f>Europe!G1132+"$F;@!/m1"</f>
        <v>#VALUE!</v>
      </c>
      <c r="DB272" t="e">
        <f>Europe!H1132+"$F;@!/m2"</f>
        <v>#VALUE!</v>
      </c>
      <c r="DC272" t="e">
        <f>Europe!A1133+"$F;@!/m3"</f>
        <v>#VALUE!</v>
      </c>
      <c r="DD272" t="e">
        <f>Europe!B1133+"$F;@!/m4"</f>
        <v>#VALUE!</v>
      </c>
      <c r="DE272" t="e">
        <f>Europe!C1133+"$F;@!/m5"</f>
        <v>#VALUE!</v>
      </c>
      <c r="DF272" t="e">
        <f>Europe!D1133+"$F;@!/m6"</f>
        <v>#VALUE!</v>
      </c>
      <c r="DG272" t="e">
        <f>Europe!E1133+"$F;@!/m7"</f>
        <v>#VALUE!</v>
      </c>
      <c r="DH272" t="e">
        <f>Europe!F1133+"$F;@!/m8"</f>
        <v>#VALUE!</v>
      </c>
      <c r="DI272" t="e">
        <f>Europe!G1133+"$F;@!/m9"</f>
        <v>#VALUE!</v>
      </c>
      <c r="DJ272" t="e">
        <f>Europe!H1133+"$F;@!/m:"</f>
        <v>#VALUE!</v>
      </c>
      <c r="DK272" t="e">
        <f>Europe!A1134+"$F;@!/m;"</f>
        <v>#VALUE!</v>
      </c>
      <c r="DL272" t="e">
        <f>Europe!B1134+"$F;@!/m&lt;"</f>
        <v>#VALUE!</v>
      </c>
      <c r="DM272" t="e">
        <f>Europe!C1134+"$F;@!/m="</f>
        <v>#VALUE!</v>
      </c>
      <c r="DN272" t="e">
        <f>Europe!D1134+"$F;@!/m&gt;"</f>
        <v>#VALUE!</v>
      </c>
      <c r="DO272" t="e">
        <f>Europe!E1134+"$F;@!/m?"</f>
        <v>#VALUE!</v>
      </c>
      <c r="DP272" t="e">
        <f>Europe!F1134+"$F;@!/m@"</f>
        <v>#VALUE!</v>
      </c>
      <c r="DQ272" t="e">
        <f>Europe!G1134+"$F;@!/mA"</f>
        <v>#VALUE!</v>
      </c>
      <c r="DR272" t="e">
        <f>Europe!H1134+"$F;@!/mB"</f>
        <v>#VALUE!</v>
      </c>
      <c r="DS272" t="e">
        <f>Europe!A1135+"$F;@!/mC"</f>
        <v>#VALUE!</v>
      </c>
      <c r="DT272" t="e">
        <f>Europe!B1135+"$F;@!/mD"</f>
        <v>#VALUE!</v>
      </c>
      <c r="DU272" t="e">
        <f>Europe!C1135+"$F;@!/mE"</f>
        <v>#VALUE!</v>
      </c>
      <c r="DV272" t="e">
        <f>Europe!D1135+"$F;@!/mF"</f>
        <v>#VALUE!</v>
      </c>
      <c r="DW272" t="e">
        <f>Europe!E1135+"$F;@!/mG"</f>
        <v>#VALUE!</v>
      </c>
      <c r="DX272" t="e">
        <f>Europe!F1135+"$F;@!/mH"</f>
        <v>#VALUE!</v>
      </c>
      <c r="DY272" t="e">
        <f>Europe!G1135+"$F;@!/mI"</f>
        <v>#VALUE!</v>
      </c>
      <c r="DZ272" t="e">
        <f>Europe!H1135+"$F;@!/mJ"</f>
        <v>#VALUE!</v>
      </c>
      <c r="EA272" t="e">
        <f>Europe!A1136+"$F;@!/mK"</f>
        <v>#VALUE!</v>
      </c>
      <c r="EB272" t="e">
        <f>Europe!B1136+"$F;@!/mL"</f>
        <v>#VALUE!</v>
      </c>
      <c r="EC272" t="e">
        <f>Europe!C1136+"$F;@!/mM"</f>
        <v>#VALUE!</v>
      </c>
      <c r="ED272" t="e">
        <f>Europe!D1136+"$F;@!/mN"</f>
        <v>#VALUE!</v>
      </c>
      <c r="EE272" t="e">
        <f>Europe!E1136+"$F;@!/mO"</f>
        <v>#VALUE!</v>
      </c>
      <c r="EF272" t="e">
        <f>Europe!F1136+"$F;@!/mP"</f>
        <v>#VALUE!</v>
      </c>
      <c r="EG272" t="e">
        <f>Europe!G1136+"$F;@!/mQ"</f>
        <v>#VALUE!</v>
      </c>
      <c r="EH272" t="e">
        <f>Europe!H1136+"$F;@!/mR"</f>
        <v>#VALUE!</v>
      </c>
      <c r="EI272" t="e">
        <f>Europe!A1137+"$F;@!/mS"</f>
        <v>#VALUE!</v>
      </c>
      <c r="EJ272" t="e">
        <f>Europe!B1137+"$F;@!/mT"</f>
        <v>#VALUE!</v>
      </c>
      <c r="EK272" t="e">
        <f>Europe!C1137+"$F;@!/mU"</f>
        <v>#VALUE!</v>
      </c>
      <c r="EL272" t="e">
        <f>Europe!D1137+"$F;@!/mV"</f>
        <v>#VALUE!</v>
      </c>
      <c r="EM272" t="e">
        <f>Europe!E1137+"$F;@!/mW"</f>
        <v>#VALUE!</v>
      </c>
      <c r="EN272" t="e">
        <f>Europe!F1137+"$F;@!/mX"</f>
        <v>#VALUE!</v>
      </c>
      <c r="EO272" t="e">
        <f>Europe!G1137+"$F;@!/mY"</f>
        <v>#VALUE!</v>
      </c>
      <c r="EP272" t="e">
        <f>Europe!H1137+"$F;@!/mZ"</f>
        <v>#VALUE!</v>
      </c>
      <c r="EQ272" t="e">
        <f>Europe!A1138+"$F;@!/m["</f>
        <v>#VALUE!</v>
      </c>
      <c r="ER272" t="e">
        <f>Europe!B1138+"$F;@!/m\"</f>
        <v>#VALUE!</v>
      </c>
      <c r="ES272" t="e">
        <f>Europe!C1138+"$F;@!/m]"</f>
        <v>#VALUE!</v>
      </c>
      <c r="ET272" t="e">
        <f>Europe!D1138+"$F;@!/m^"</f>
        <v>#VALUE!</v>
      </c>
      <c r="EU272" t="e">
        <f>Europe!E1138+"$F;@!/m_"</f>
        <v>#VALUE!</v>
      </c>
      <c r="EV272" t="e">
        <f>Europe!F1138+"$F;@!/m`"</f>
        <v>#VALUE!</v>
      </c>
      <c r="EW272" t="e">
        <f>Europe!G1138+"$F;@!/ma"</f>
        <v>#VALUE!</v>
      </c>
      <c r="EX272" t="e">
        <f>Europe!H1138+"$F;@!/mb"</f>
        <v>#VALUE!</v>
      </c>
      <c r="EY272" t="e">
        <f>Europe!A1139+"$F;@!/mc"</f>
        <v>#VALUE!</v>
      </c>
      <c r="EZ272" t="e">
        <f>Europe!B1139+"$F;@!/md"</f>
        <v>#VALUE!</v>
      </c>
      <c r="FA272" t="e">
        <f>Europe!C1139+"$F;@!/me"</f>
        <v>#VALUE!</v>
      </c>
      <c r="FB272" t="e">
        <f>Europe!D1139+"$F;@!/mf"</f>
        <v>#VALUE!</v>
      </c>
      <c r="FC272" t="e">
        <f>Europe!E1139+"$F;@!/mg"</f>
        <v>#VALUE!</v>
      </c>
      <c r="FD272" t="e">
        <f>Europe!F1139+"$F;@!/mh"</f>
        <v>#VALUE!</v>
      </c>
      <c r="FE272" t="e">
        <f>Europe!G1139+"$F;@!/mi"</f>
        <v>#VALUE!</v>
      </c>
      <c r="FF272" t="e">
        <f>Europe!H1139+"$F;@!/mj"</f>
        <v>#VALUE!</v>
      </c>
      <c r="FG272" t="e">
        <f>Europe!A1140+"$F;@!/mk"</f>
        <v>#VALUE!</v>
      </c>
      <c r="FH272" t="e">
        <f>Europe!B1140+"$F;@!/ml"</f>
        <v>#VALUE!</v>
      </c>
      <c r="FI272" t="e">
        <f>Europe!C1140+"$F;@!/mm"</f>
        <v>#VALUE!</v>
      </c>
      <c r="FJ272" t="e">
        <f>Europe!D1140+"$F;@!/mn"</f>
        <v>#VALUE!</v>
      </c>
      <c r="FK272" t="e">
        <f>Europe!E1140+"$F;@!/mo"</f>
        <v>#VALUE!</v>
      </c>
      <c r="FL272" t="e">
        <f>Europe!F1140+"$F;@!/mp"</f>
        <v>#VALUE!</v>
      </c>
      <c r="FM272" t="e">
        <f>Europe!G1140+"$F;@!/mq"</f>
        <v>#VALUE!</v>
      </c>
      <c r="FN272" t="e">
        <f>Europe!H1140+"$F;@!/mr"</f>
        <v>#VALUE!</v>
      </c>
      <c r="FO272" t="e">
        <f>Europe!A1141+"$F;@!/ms"</f>
        <v>#VALUE!</v>
      </c>
      <c r="FP272" t="e">
        <f>Europe!B1141+"$F;@!/mt"</f>
        <v>#VALUE!</v>
      </c>
      <c r="FQ272" t="e">
        <f>Europe!C1141+"$F;@!/mu"</f>
        <v>#VALUE!</v>
      </c>
      <c r="FR272" t="e">
        <f>Europe!D1141+"$F;@!/mv"</f>
        <v>#VALUE!</v>
      </c>
      <c r="FS272" t="e">
        <f>Europe!E1141+"$F;@!/mw"</f>
        <v>#VALUE!</v>
      </c>
      <c r="FT272" t="e">
        <f>Europe!F1141+"$F;@!/mx"</f>
        <v>#VALUE!</v>
      </c>
      <c r="FU272" t="e">
        <f>Europe!G1141+"$F;@!/my"</f>
        <v>#VALUE!</v>
      </c>
      <c r="FV272" t="e">
        <f>Europe!H1141+"$F;@!/mz"</f>
        <v>#VALUE!</v>
      </c>
      <c r="FW272" t="e">
        <f>Europe!A1142+"$F;@!/m{"</f>
        <v>#VALUE!</v>
      </c>
      <c r="FX272" t="e">
        <f>Europe!B1142+"$F;@!/m|"</f>
        <v>#VALUE!</v>
      </c>
      <c r="FY272" t="e">
        <f>Europe!C1142+"$F;@!/m}"</f>
        <v>#VALUE!</v>
      </c>
      <c r="FZ272" t="e">
        <f>Europe!D1142+"$F;@!/m~"</f>
        <v>#VALUE!</v>
      </c>
      <c r="GA272" t="e">
        <f>Europe!E1142+"$F;@!/n#"</f>
        <v>#VALUE!</v>
      </c>
      <c r="GB272" t="e">
        <f>Europe!F1142+"$F;@!/n$"</f>
        <v>#VALUE!</v>
      </c>
      <c r="GC272" t="e">
        <f>Europe!G1142+"$F;@!/n%"</f>
        <v>#VALUE!</v>
      </c>
      <c r="GD272" t="e">
        <f>Europe!H1142+"$F;@!/n&amp;"</f>
        <v>#VALUE!</v>
      </c>
      <c r="GE272" t="e">
        <f>Europe!A1143+"$F;@!/n'"</f>
        <v>#VALUE!</v>
      </c>
      <c r="GF272" t="e">
        <f>Europe!B1143+"$F;@!/n("</f>
        <v>#VALUE!</v>
      </c>
      <c r="GG272" t="e">
        <f>Europe!C1143+"$F;@!/n)"</f>
        <v>#VALUE!</v>
      </c>
      <c r="GH272" t="e">
        <f>Europe!D1143+"$F;@!/n."</f>
        <v>#VALUE!</v>
      </c>
      <c r="GI272" t="e">
        <f>Europe!E1143+"$F;@!/n/"</f>
        <v>#VALUE!</v>
      </c>
      <c r="GJ272" t="e">
        <f>Europe!F1143+"$F;@!/n0"</f>
        <v>#VALUE!</v>
      </c>
      <c r="GK272" t="e">
        <f>Europe!G1143+"$F;@!/n1"</f>
        <v>#VALUE!</v>
      </c>
      <c r="GL272" t="e">
        <f>Europe!H1143+"$F;@!/n2"</f>
        <v>#VALUE!</v>
      </c>
      <c r="GM272" t="e">
        <f>Europe!A1144+"$F;@!/n3"</f>
        <v>#VALUE!</v>
      </c>
      <c r="GN272" t="e">
        <f>Europe!B1144+"$F;@!/n4"</f>
        <v>#VALUE!</v>
      </c>
      <c r="GO272" t="e">
        <f>Europe!C1144+"$F;@!/n5"</f>
        <v>#VALUE!</v>
      </c>
      <c r="GP272" t="e">
        <f>Europe!D1144+"$F;@!/n6"</f>
        <v>#VALUE!</v>
      </c>
      <c r="GQ272" t="e">
        <f>Europe!E1144+"$F;@!/n7"</f>
        <v>#VALUE!</v>
      </c>
      <c r="GR272" t="e">
        <f>Europe!F1144+"$F;@!/n8"</f>
        <v>#VALUE!</v>
      </c>
      <c r="GS272" t="e">
        <f>Europe!G1144+"$F;@!/n9"</f>
        <v>#VALUE!</v>
      </c>
      <c r="GT272" t="e">
        <f>Europe!H1144+"$F;@!/n:"</f>
        <v>#VALUE!</v>
      </c>
      <c r="GU272" t="e">
        <f>Europe!A1145+"$F;@!/n;"</f>
        <v>#VALUE!</v>
      </c>
      <c r="GV272" t="e">
        <f>Europe!B1145+"$F;@!/n&lt;"</f>
        <v>#VALUE!</v>
      </c>
      <c r="GW272" t="e">
        <f>Europe!C1145+"$F;@!/n="</f>
        <v>#VALUE!</v>
      </c>
      <c r="GX272" t="e">
        <f>Europe!D1145+"$F;@!/n&gt;"</f>
        <v>#VALUE!</v>
      </c>
      <c r="GY272" t="e">
        <f>Europe!E1145+"$F;@!/n?"</f>
        <v>#VALUE!</v>
      </c>
      <c r="GZ272" t="e">
        <f>Europe!F1145+"$F;@!/n@"</f>
        <v>#VALUE!</v>
      </c>
      <c r="HA272" t="e">
        <f>Europe!G1145+"$F;@!/nA"</f>
        <v>#VALUE!</v>
      </c>
      <c r="HB272" t="e">
        <f>Europe!H1145+"$F;@!/nB"</f>
        <v>#VALUE!</v>
      </c>
      <c r="HC272" t="e">
        <f>Europe!A1146+"$F;@!/nC"</f>
        <v>#VALUE!</v>
      </c>
      <c r="HD272" t="e">
        <f>Europe!B1146+"$F;@!/nD"</f>
        <v>#VALUE!</v>
      </c>
      <c r="HE272" t="e">
        <f>Europe!C1146+"$F;@!/nE"</f>
        <v>#VALUE!</v>
      </c>
      <c r="HF272" t="e">
        <f>Europe!D1146+"$F;@!/nF"</f>
        <v>#VALUE!</v>
      </c>
      <c r="HG272" t="e">
        <f>Europe!E1146+"$F;@!/nG"</f>
        <v>#VALUE!</v>
      </c>
      <c r="HH272" t="e">
        <f>Europe!F1146+"$F;@!/nH"</f>
        <v>#VALUE!</v>
      </c>
      <c r="HI272" t="e">
        <f>Europe!G1146+"$F;@!/nI"</f>
        <v>#VALUE!</v>
      </c>
      <c r="HJ272" t="e">
        <f>Europe!H1146+"$F;@!/nJ"</f>
        <v>#VALUE!</v>
      </c>
      <c r="HK272" t="e">
        <f>Europe!A1147+"$F;@!/nK"</f>
        <v>#VALUE!</v>
      </c>
      <c r="HL272" t="e">
        <f>Europe!B1147+"$F;@!/nL"</f>
        <v>#VALUE!</v>
      </c>
      <c r="HM272" t="e">
        <f>Europe!C1147+"$F;@!/nM"</f>
        <v>#VALUE!</v>
      </c>
      <c r="HN272" t="e">
        <f>Europe!D1147+"$F;@!/nN"</f>
        <v>#VALUE!</v>
      </c>
      <c r="HO272" t="e">
        <f>Europe!E1147+"$F;@!/nO"</f>
        <v>#VALUE!</v>
      </c>
      <c r="HP272" t="e">
        <f>Europe!F1147+"$F;@!/nP"</f>
        <v>#VALUE!</v>
      </c>
      <c r="HQ272" t="e">
        <f>Europe!G1147+"$F;@!/nQ"</f>
        <v>#VALUE!</v>
      </c>
      <c r="HR272" t="e">
        <f>Europe!H1147+"$F;@!/nR"</f>
        <v>#VALUE!</v>
      </c>
      <c r="HS272" t="e">
        <f>Europe!A1148+"$F;@!/nS"</f>
        <v>#VALUE!</v>
      </c>
      <c r="HT272" t="e">
        <f>Europe!B1148+"$F;@!/nT"</f>
        <v>#VALUE!</v>
      </c>
      <c r="HU272" t="e">
        <f>Europe!C1148+"$F;@!/nU"</f>
        <v>#VALUE!</v>
      </c>
      <c r="HV272" t="e">
        <f>Europe!D1148+"$F;@!/nV"</f>
        <v>#VALUE!</v>
      </c>
      <c r="HW272" t="e">
        <f>Europe!E1148+"$F;@!/nW"</f>
        <v>#VALUE!</v>
      </c>
      <c r="HX272" t="e">
        <f>Europe!F1148+"$F;@!/nX"</f>
        <v>#VALUE!</v>
      </c>
      <c r="HY272" t="e">
        <f>Europe!G1148+"$F;@!/nY"</f>
        <v>#VALUE!</v>
      </c>
      <c r="HZ272" t="e">
        <f>Europe!H1148+"$F;@!/nZ"</f>
        <v>#VALUE!</v>
      </c>
      <c r="IA272" t="e">
        <f>Europe!A1149+"$F;@!/n["</f>
        <v>#VALUE!</v>
      </c>
      <c r="IB272" t="e">
        <f>Europe!B1149+"$F;@!/n\"</f>
        <v>#VALUE!</v>
      </c>
      <c r="IC272" t="e">
        <f>Europe!C1149+"$F;@!/n]"</f>
        <v>#VALUE!</v>
      </c>
      <c r="ID272" t="e">
        <f>Europe!D1149+"$F;@!/n^"</f>
        <v>#VALUE!</v>
      </c>
      <c r="IE272" t="e">
        <f>Europe!E1149+"$F;@!/n_"</f>
        <v>#VALUE!</v>
      </c>
      <c r="IF272" t="e">
        <f>Europe!F1149+"$F;@!/n`"</f>
        <v>#VALUE!</v>
      </c>
      <c r="IG272" t="e">
        <f>Europe!G1149+"$F;@!/na"</f>
        <v>#VALUE!</v>
      </c>
      <c r="IH272" t="e">
        <f>Europe!H1149+"$F;@!/nb"</f>
        <v>#VALUE!</v>
      </c>
      <c r="II272" t="e">
        <f>Europe!A1150+"$F;@!/nc"</f>
        <v>#VALUE!</v>
      </c>
      <c r="IJ272" t="e">
        <f>Europe!B1150+"$F;@!/nd"</f>
        <v>#VALUE!</v>
      </c>
      <c r="IK272" t="e">
        <f>Europe!C1150+"$F;@!/ne"</f>
        <v>#VALUE!</v>
      </c>
      <c r="IL272" t="e">
        <f>Europe!D1150+"$F;@!/nf"</f>
        <v>#VALUE!</v>
      </c>
      <c r="IM272" t="e">
        <f>Europe!E1150+"$F;@!/ng"</f>
        <v>#VALUE!</v>
      </c>
      <c r="IN272" t="e">
        <f>Europe!F1150+"$F;@!/nh"</f>
        <v>#VALUE!</v>
      </c>
      <c r="IO272" t="e">
        <f>Europe!G1150+"$F;@!/ni"</f>
        <v>#VALUE!</v>
      </c>
      <c r="IP272" t="e">
        <f>Europe!H1150+"$F;@!/nj"</f>
        <v>#VALUE!</v>
      </c>
      <c r="IQ272" t="e">
        <f>Europe!A1151+"$F;@!/nk"</f>
        <v>#VALUE!</v>
      </c>
      <c r="IR272" t="e">
        <f>Europe!B1151+"$F;@!/nl"</f>
        <v>#VALUE!</v>
      </c>
      <c r="IS272" t="e">
        <f>Europe!C1151+"$F;@!/nm"</f>
        <v>#VALUE!</v>
      </c>
      <c r="IT272" t="e">
        <f>Europe!D1151+"$F;@!/nn"</f>
        <v>#VALUE!</v>
      </c>
      <c r="IU272" t="e">
        <f>Europe!E1151+"$F;@!/no"</f>
        <v>#VALUE!</v>
      </c>
      <c r="IV272" t="e">
        <f>Europe!F1151+"$F;@!/np"</f>
        <v>#VALUE!</v>
      </c>
    </row>
    <row r="273" spans="6:256" x14ac:dyDescent="0.35">
      <c r="F273" t="e">
        <f>Europe!G1151+"$F;@!/nq"</f>
        <v>#VALUE!</v>
      </c>
      <c r="G273" t="e">
        <f>Europe!H1151+"$F;@!/nr"</f>
        <v>#VALUE!</v>
      </c>
      <c r="H273" t="e">
        <f>Europe!A1152+"$F;@!/ns"</f>
        <v>#VALUE!</v>
      </c>
      <c r="I273" t="e">
        <f>Europe!B1152+"$F;@!/nt"</f>
        <v>#VALUE!</v>
      </c>
      <c r="J273" t="e">
        <f>Europe!C1152+"$F;@!/nu"</f>
        <v>#VALUE!</v>
      </c>
      <c r="K273" t="e">
        <f>Europe!D1152+"$F;@!/nv"</f>
        <v>#VALUE!</v>
      </c>
      <c r="L273" t="e">
        <f>Europe!E1152+"$F;@!/nw"</f>
        <v>#VALUE!</v>
      </c>
      <c r="M273" t="e">
        <f>Europe!F1152+"$F;@!/nx"</f>
        <v>#VALUE!</v>
      </c>
      <c r="N273" t="e">
        <f>Europe!G1152+"$F;@!/ny"</f>
        <v>#VALUE!</v>
      </c>
      <c r="O273" t="e">
        <f>Europe!H1152+"$F;@!/nz"</f>
        <v>#VALUE!</v>
      </c>
      <c r="P273" t="e">
        <f>Europe!A1153+"$F;@!/n{"</f>
        <v>#VALUE!</v>
      </c>
      <c r="Q273" t="e">
        <f>Europe!B1153+"$F;@!/n|"</f>
        <v>#VALUE!</v>
      </c>
      <c r="R273" t="e">
        <f>Europe!C1153+"$F;@!/n}"</f>
        <v>#VALUE!</v>
      </c>
      <c r="S273" t="e">
        <f>Europe!D1153+"$F;@!/n~"</f>
        <v>#VALUE!</v>
      </c>
      <c r="T273" t="e">
        <f>Europe!E1153+"$F;@!/o#"</f>
        <v>#VALUE!</v>
      </c>
      <c r="U273" t="e">
        <f>Europe!F1153+"$F;@!/o$"</f>
        <v>#VALUE!</v>
      </c>
      <c r="V273" t="e">
        <f>Europe!G1153+"$F;@!/o%"</f>
        <v>#VALUE!</v>
      </c>
      <c r="W273" t="e">
        <f>Europe!H1153+"$F;@!/o&amp;"</f>
        <v>#VALUE!</v>
      </c>
      <c r="X273" t="e">
        <f>Europe!A1154+"$F;@!/o'"</f>
        <v>#VALUE!</v>
      </c>
      <c r="Y273" t="e">
        <f>Europe!B1154+"$F;@!/o("</f>
        <v>#VALUE!</v>
      </c>
      <c r="Z273" t="e">
        <f>Europe!C1154+"$F;@!/o)"</f>
        <v>#VALUE!</v>
      </c>
      <c r="AA273" t="e">
        <f>Europe!D1154+"$F;@!/o."</f>
        <v>#VALUE!</v>
      </c>
      <c r="AB273" t="e">
        <f>Europe!E1154+"$F;@!/o/"</f>
        <v>#VALUE!</v>
      </c>
      <c r="AC273" t="e">
        <f>Europe!F1154+"$F;@!/o0"</f>
        <v>#VALUE!</v>
      </c>
      <c r="AD273" t="e">
        <f>Europe!G1154+"$F;@!/o1"</f>
        <v>#VALUE!</v>
      </c>
      <c r="AE273" t="e">
        <f>Europe!H1154+"$F;@!/o2"</f>
        <v>#VALUE!</v>
      </c>
      <c r="AF273" t="e">
        <f>Europe!A1155+"$F;@!/o3"</f>
        <v>#VALUE!</v>
      </c>
      <c r="AG273" t="e">
        <f>Europe!B1155+"$F;@!/o4"</f>
        <v>#VALUE!</v>
      </c>
      <c r="AH273" t="e">
        <f>Europe!C1155+"$F;@!/o5"</f>
        <v>#VALUE!</v>
      </c>
      <c r="AI273" t="e">
        <f>Europe!D1155+"$F;@!/o6"</f>
        <v>#VALUE!</v>
      </c>
      <c r="AJ273" t="e">
        <f>Europe!E1155+"$F;@!/o7"</f>
        <v>#VALUE!</v>
      </c>
      <c r="AK273" t="e">
        <f>Europe!F1155+"$F;@!/o8"</f>
        <v>#VALUE!</v>
      </c>
      <c r="AL273" t="e">
        <f>Europe!G1155+"$F;@!/o9"</f>
        <v>#VALUE!</v>
      </c>
      <c r="AM273" t="e">
        <f>Europe!H1155+"$F;@!/o:"</f>
        <v>#VALUE!</v>
      </c>
      <c r="AN273" t="e">
        <f>Europe!A1156+"$F;@!/o;"</f>
        <v>#VALUE!</v>
      </c>
      <c r="AO273" t="e">
        <f>Europe!B1156+"$F;@!/o&lt;"</f>
        <v>#VALUE!</v>
      </c>
      <c r="AP273" t="e">
        <f>Europe!C1156+"$F;@!/o="</f>
        <v>#VALUE!</v>
      </c>
      <c r="AQ273" t="e">
        <f>Europe!D1156+"$F;@!/o&gt;"</f>
        <v>#VALUE!</v>
      </c>
      <c r="AR273" t="e">
        <f>Europe!E1156+"$F;@!/o?"</f>
        <v>#VALUE!</v>
      </c>
      <c r="AS273" t="e">
        <f>Europe!F1156+"$F;@!/o@"</f>
        <v>#VALUE!</v>
      </c>
      <c r="AT273" t="e">
        <f>Europe!G1156+"$F;@!/oA"</f>
        <v>#VALUE!</v>
      </c>
      <c r="AU273" t="e">
        <f>Europe!H1156+"$F;@!/oB"</f>
        <v>#VALUE!</v>
      </c>
      <c r="AV273" t="e">
        <f>Europe!A1157+"$F;@!/oC"</f>
        <v>#VALUE!</v>
      </c>
      <c r="AW273" t="e">
        <f>Europe!B1157+"$F;@!/oD"</f>
        <v>#VALUE!</v>
      </c>
      <c r="AX273" t="e">
        <f>Europe!C1157+"$F;@!/oE"</f>
        <v>#VALUE!</v>
      </c>
      <c r="AY273" t="e">
        <f>Europe!D1157+"$F;@!/oF"</f>
        <v>#VALUE!</v>
      </c>
      <c r="AZ273" t="e">
        <f>Europe!E1157+"$F;@!/oG"</f>
        <v>#VALUE!</v>
      </c>
      <c r="BA273" t="e">
        <f>Europe!F1157+"$F;@!/oH"</f>
        <v>#VALUE!</v>
      </c>
      <c r="BB273" t="e">
        <f>Europe!G1157+"$F;@!/oI"</f>
        <v>#VALUE!</v>
      </c>
      <c r="BC273" t="e">
        <f>Europe!H1157+"$F;@!/oJ"</f>
        <v>#VALUE!</v>
      </c>
      <c r="BD273" t="e">
        <f>Europe!A1158+"$F;@!/oK"</f>
        <v>#VALUE!</v>
      </c>
      <c r="BE273" t="e">
        <f>Europe!B1158+"$F;@!/oL"</f>
        <v>#VALUE!</v>
      </c>
      <c r="BF273" t="e">
        <f>Europe!C1158+"$F;@!/oM"</f>
        <v>#VALUE!</v>
      </c>
      <c r="BG273" t="e">
        <f>Europe!D1158+"$F;@!/oN"</f>
        <v>#VALUE!</v>
      </c>
      <c r="BH273" t="e">
        <f>Europe!E1158+"$F;@!/oO"</f>
        <v>#VALUE!</v>
      </c>
      <c r="BI273" t="e">
        <f>Europe!F1158+"$F;@!/oP"</f>
        <v>#VALUE!</v>
      </c>
      <c r="BJ273" t="e">
        <f>Europe!G1158+"$F;@!/oQ"</f>
        <v>#VALUE!</v>
      </c>
      <c r="BK273" t="e">
        <f>Europe!H1158+"$F;@!/oR"</f>
        <v>#VALUE!</v>
      </c>
      <c r="BL273" t="e">
        <f>Europe!A1159+"$F;@!/oS"</f>
        <v>#VALUE!</v>
      </c>
      <c r="BM273" t="e">
        <f>Europe!B1159+"$F;@!/oT"</f>
        <v>#VALUE!</v>
      </c>
      <c r="BN273" t="e">
        <f>Europe!C1159+"$F;@!/oU"</f>
        <v>#VALUE!</v>
      </c>
      <c r="BO273" t="e">
        <f>Europe!D1159+"$F;@!/oV"</f>
        <v>#VALUE!</v>
      </c>
      <c r="BP273" t="e">
        <f>Europe!E1159+"$F;@!/oW"</f>
        <v>#VALUE!</v>
      </c>
      <c r="BQ273" t="e">
        <f>Europe!F1159+"$F;@!/oX"</f>
        <v>#VALUE!</v>
      </c>
      <c r="BR273" t="e">
        <f>Europe!G1159+"$F;@!/oY"</f>
        <v>#VALUE!</v>
      </c>
      <c r="BS273" t="e">
        <f>Europe!H1159+"$F;@!/oZ"</f>
        <v>#VALUE!</v>
      </c>
      <c r="BT273" t="e">
        <f>Europe!A1160+"$F;@!/o["</f>
        <v>#VALUE!</v>
      </c>
      <c r="BU273" t="e">
        <f>Europe!B1160+"$F;@!/o\"</f>
        <v>#VALUE!</v>
      </c>
      <c r="BV273" t="e">
        <f>Europe!C1160+"$F;@!/o]"</f>
        <v>#VALUE!</v>
      </c>
      <c r="BW273" t="e">
        <f>Europe!D1160+"$F;@!/o^"</f>
        <v>#VALUE!</v>
      </c>
      <c r="BX273" t="e">
        <f>Europe!E1160+"$F;@!/o_"</f>
        <v>#VALUE!</v>
      </c>
      <c r="BY273" t="e">
        <f>Europe!F1160+"$F;@!/o`"</f>
        <v>#VALUE!</v>
      </c>
      <c r="BZ273" t="e">
        <f>Europe!G1160+"$F;@!/oa"</f>
        <v>#VALUE!</v>
      </c>
      <c r="CA273" t="e">
        <f>Europe!H1160+"$F;@!/ob"</f>
        <v>#VALUE!</v>
      </c>
      <c r="CB273" t="e">
        <f>Europe!A1161+"$F;@!/oc"</f>
        <v>#VALUE!</v>
      </c>
      <c r="CC273" t="e">
        <f>Europe!B1161+"$F;@!/od"</f>
        <v>#VALUE!</v>
      </c>
      <c r="CD273" t="e">
        <f>Europe!C1161+"$F;@!/oe"</f>
        <v>#VALUE!</v>
      </c>
      <c r="CE273" t="e">
        <f>Europe!D1161+"$F;@!/of"</f>
        <v>#VALUE!</v>
      </c>
      <c r="CF273" t="e">
        <f>Europe!E1161+"$F;@!/og"</f>
        <v>#VALUE!</v>
      </c>
      <c r="CG273" t="e">
        <f>Europe!F1161+"$F;@!/oh"</f>
        <v>#VALUE!</v>
      </c>
      <c r="CH273" t="e">
        <f>Europe!G1161+"$F;@!/oi"</f>
        <v>#VALUE!</v>
      </c>
      <c r="CI273" t="e">
        <f>Europe!H1161+"$F;@!/oj"</f>
        <v>#VALUE!</v>
      </c>
      <c r="CJ273" t="e">
        <f>Europe!A1162+"$F;@!/ok"</f>
        <v>#VALUE!</v>
      </c>
      <c r="CK273" t="e">
        <f>Europe!B1162+"$F;@!/ol"</f>
        <v>#VALUE!</v>
      </c>
      <c r="CL273" t="e">
        <f>Europe!C1162+"$F;@!/om"</f>
        <v>#VALUE!</v>
      </c>
      <c r="CM273" t="e">
        <f>Europe!D1162+"$F;@!/on"</f>
        <v>#VALUE!</v>
      </c>
      <c r="CN273" t="e">
        <f>Europe!E1162+"$F;@!/oo"</f>
        <v>#VALUE!</v>
      </c>
      <c r="CO273" t="e">
        <f>Europe!F1162+"$F;@!/op"</f>
        <v>#VALUE!</v>
      </c>
      <c r="CP273" t="e">
        <f>Europe!G1162+"$F;@!/oq"</f>
        <v>#VALUE!</v>
      </c>
      <c r="CQ273" t="e">
        <f>Europe!H1162+"$F;@!/or"</f>
        <v>#VALUE!</v>
      </c>
      <c r="CR273" t="e">
        <f>Europe!A1163+"$F;@!/os"</f>
        <v>#VALUE!</v>
      </c>
      <c r="CS273" t="e">
        <f>Europe!B1163+"$F;@!/ot"</f>
        <v>#VALUE!</v>
      </c>
      <c r="CT273" t="e">
        <f>Europe!C1163+"$F;@!/ou"</f>
        <v>#VALUE!</v>
      </c>
      <c r="CU273" t="e">
        <f>Europe!D1163+"$F;@!/ov"</f>
        <v>#VALUE!</v>
      </c>
      <c r="CV273" t="e">
        <f>Europe!E1163+"$F;@!/ow"</f>
        <v>#VALUE!</v>
      </c>
      <c r="CW273" t="e">
        <f>Europe!F1163+"$F;@!/ox"</f>
        <v>#VALUE!</v>
      </c>
      <c r="CX273" t="e">
        <f>Europe!G1163+"$F;@!/oy"</f>
        <v>#VALUE!</v>
      </c>
      <c r="CY273" t="e">
        <f>Europe!H1163+"$F;@!/oz"</f>
        <v>#VALUE!</v>
      </c>
      <c r="CZ273" t="e">
        <f>Europe!A1164+"$F;@!/o{"</f>
        <v>#VALUE!</v>
      </c>
      <c r="DA273" t="e">
        <f>Europe!B1164+"$F;@!/o|"</f>
        <v>#VALUE!</v>
      </c>
      <c r="DB273" t="e">
        <f>Europe!C1164+"$F;@!/o}"</f>
        <v>#VALUE!</v>
      </c>
      <c r="DC273" t="e">
        <f>Europe!D1164+"$F;@!/o~"</f>
        <v>#VALUE!</v>
      </c>
      <c r="DD273" t="e">
        <f>Europe!E1164+"$F;@!/p#"</f>
        <v>#VALUE!</v>
      </c>
      <c r="DE273" t="e">
        <f>Europe!F1164+"$F;@!/p$"</f>
        <v>#VALUE!</v>
      </c>
      <c r="DF273" t="e">
        <f>Europe!G1164+"$F;@!/p%"</f>
        <v>#VALUE!</v>
      </c>
      <c r="DG273" t="e">
        <f>Europe!H1164+"$F;@!/p&amp;"</f>
        <v>#VALUE!</v>
      </c>
      <c r="DH273" t="e">
        <f>Europe!A1165+"$F;@!/p'"</f>
        <v>#VALUE!</v>
      </c>
      <c r="DI273" t="e">
        <f>Europe!B1165+"$F;@!/p("</f>
        <v>#VALUE!</v>
      </c>
      <c r="DJ273" t="e">
        <f>Europe!C1165+"$F;@!/p)"</f>
        <v>#VALUE!</v>
      </c>
      <c r="DK273" t="e">
        <f>Europe!D1165+"$F;@!/p."</f>
        <v>#VALUE!</v>
      </c>
      <c r="DL273" t="e">
        <f>Europe!E1165+"$F;@!/p/"</f>
        <v>#VALUE!</v>
      </c>
      <c r="DM273" t="e">
        <f>Europe!F1165+"$F;@!/p0"</f>
        <v>#VALUE!</v>
      </c>
      <c r="DN273" t="e">
        <f>Europe!G1165+"$F;@!/p1"</f>
        <v>#VALUE!</v>
      </c>
      <c r="DO273" t="e">
        <f>Europe!H1165+"$F;@!/p2"</f>
        <v>#VALUE!</v>
      </c>
      <c r="DP273" t="e">
        <f>Europe!A1166+"$F;@!/p3"</f>
        <v>#VALUE!</v>
      </c>
      <c r="DQ273" t="e">
        <f>Europe!B1166+"$F;@!/p4"</f>
        <v>#VALUE!</v>
      </c>
      <c r="DR273" t="e">
        <f>Europe!C1166+"$F;@!/p5"</f>
        <v>#VALUE!</v>
      </c>
      <c r="DS273" t="e">
        <f>Europe!D1166+"$F;@!/p6"</f>
        <v>#VALUE!</v>
      </c>
      <c r="DT273" t="e">
        <f>Europe!E1166+"$F;@!/p7"</f>
        <v>#VALUE!</v>
      </c>
      <c r="DU273" t="e">
        <f>Europe!F1166+"$F;@!/p8"</f>
        <v>#VALUE!</v>
      </c>
      <c r="DV273" t="e">
        <f>Europe!G1166+"$F;@!/p9"</f>
        <v>#VALUE!</v>
      </c>
      <c r="DW273" t="e">
        <f>Europe!H1166+"$F;@!/p:"</f>
        <v>#VALUE!</v>
      </c>
      <c r="DX273" t="e">
        <f>Europe!A1167+"$F;@!/p;"</f>
        <v>#VALUE!</v>
      </c>
      <c r="DY273" t="e">
        <f>Europe!B1167+"$F;@!/p&lt;"</f>
        <v>#VALUE!</v>
      </c>
      <c r="DZ273" t="e">
        <f>Europe!C1167+"$F;@!/p="</f>
        <v>#VALUE!</v>
      </c>
      <c r="EA273" t="e">
        <f>Europe!D1167+"$F;@!/p&gt;"</f>
        <v>#VALUE!</v>
      </c>
      <c r="EB273" t="e">
        <f>Europe!E1167+"$F;@!/p?"</f>
        <v>#VALUE!</v>
      </c>
      <c r="EC273" t="e">
        <f>Europe!F1167+"$F;@!/p@"</f>
        <v>#VALUE!</v>
      </c>
      <c r="ED273" t="e">
        <f>Europe!G1167+"$F;@!/pA"</f>
        <v>#VALUE!</v>
      </c>
      <c r="EE273" t="e">
        <f>Europe!H1167+"$F;@!/pB"</f>
        <v>#VALUE!</v>
      </c>
      <c r="EF273" t="e">
        <f>Europe!A1168+"$F;@!/pC"</f>
        <v>#VALUE!</v>
      </c>
      <c r="EG273" t="e">
        <f>Europe!B1168+"$F;@!/pD"</f>
        <v>#VALUE!</v>
      </c>
      <c r="EH273" t="e">
        <f>Europe!C1168+"$F;@!/pE"</f>
        <v>#VALUE!</v>
      </c>
      <c r="EI273" t="e">
        <f>Europe!D1168+"$F;@!/pF"</f>
        <v>#VALUE!</v>
      </c>
      <c r="EJ273" t="e">
        <f>Europe!E1168+"$F;@!/pG"</f>
        <v>#VALUE!</v>
      </c>
      <c r="EK273" t="e">
        <f>Europe!F1168+"$F;@!/pH"</f>
        <v>#VALUE!</v>
      </c>
      <c r="EL273" t="e">
        <f>Europe!G1168+"$F;@!/pI"</f>
        <v>#VALUE!</v>
      </c>
      <c r="EM273" t="e">
        <f>Europe!H1168+"$F;@!/pJ"</f>
        <v>#VALUE!</v>
      </c>
      <c r="EN273" t="e">
        <f>Europe!A1169+"$F;@!/pK"</f>
        <v>#VALUE!</v>
      </c>
      <c r="EO273" t="e">
        <f>Europe!B1169+"$F;@!/pL"</f>
        <v>#VALUE!</v>
      </c>
      <c r="EP273" t="e">
        <f>Europe!C1169+"$F;@!/pM"</f>
        <v>#VALUE!</v>
      </c>
      <c r="EQ273" t="e">
        <f>Europe!D1169+"$F;@!/pN"</f>
        <v>#VALUE!</v>
      </c>
      <c r="ER273" t="e">
        <f>Europe!E1169+"$F;@!/pO"</f>
        <v>#VALUE!</v>
      </c>
      <c r="ES273" t="e">
        <f>Europe!F1169+"$F;@!/pP"</f>
        <v>#VALUE!</v>
      </c>
      <c r="ET273" t="e">
        <f>Europe!G1169+"$F;@!/pQ"</f>
        <v>#VALUE!</v>
      </c>
      <c r="EU273" t="e">
        <f>Europe!H1169+"$F;@!/pR"</f>
        <v>#VALUE!</v>
      </c>
      <c r="EV273" t="e">
        <f>Europe!A1170+"$F;@!/pS"</f>
        <v>#VALUE!</v>
      </c>
      <c r="EW273" t="e">
        <f>Europe!B1170+"$F;@!/pT"</f>
        <v>#VALUE!</v>
      </c>
      <c r="EX273" t="e">
        <f>Europe!C1170+"$F;@!/pU"</f>
        <v>#VALUE!</v>
      </c>
      <c r="EY273" t="e">
        <f>Europe!D1170+"$F;@!/pV"</f>
        <v>#VALUE!</v>
      </c>
      <c r="EZ273" t="e">
        <f>Europe!E1170+"$F;@!/pW"</f>
        <v>#VALUE!</v>
      </c>
      <c r="FA273" t="e">
        <f>Europe!F1170+"$F;@!/pX"</f>
        <v>#VALUE!</v>
      </c>
      <c r="FB273" t="e">
        <f>Europe!G1170+"$F;@!/pY"</f>
        <v>#VALUE!</v>
      </c>
      <c r="FC273" t="e">
        <f>Europe!H1170+"$F;@!/pZ"</f>
        <v>#VALUE!</v>
      </c>
      <c r="FD273" t="e">
        <f>Europe!A1171+"$F;@!/p["</f>
        <v>#VALUE!</v>
      </c>
      <c r="FE273" t="e">
        <f>Europe!B1171+"$F;@!/p\"</f>
        <v>#VALUE!</v>
      </c>
      <c r="FF273" t="e">
        <f>Europe!C1171+"$F;@!/p]"</f>
        <v>#VALUE!</v>
      </c>
      <c r="FG273" t="e">
        <f>Europe!D1171+"$F;@!/p^"</f>
        <v>#VALUE!</v>
      </c>
      <c r="FH273" t="e">
        <f>Europe!E1171+"$F;@!/p_"</f>
        <v>#VALUE!</v>
      </c>
      <c r="FI273" t="e">
        <f>Europe!F1171+"$F;@!/p`"</f>
        <v>#VALUE!</v>
      </c>
      <c r="FJ273" t="e">
        <f>Europe!G1171+"$F;@!/pa"</f>
        <v>#VALUE!</v>
      </c>
      <c r="FK273" t="e">
        <f>Europe!H1171+"$F;@!/pb"</f>
        <v>#VALUE!</v>
      </c>
      <c r="FL273" t="e">
        <f>Europe!A1172+"$F;@!/pc"</f>
        <v>#VALUE!</v>
      </c>
      <c r="FM273" t="e">
        <f>Europe!B1172+"$F;@!/pd"</f>
        <v>#VALUE!</v>
      </c>
      <c r="FN273" t="e">
        <f>Europe!C1172+"$F;@!/pe"</f>
        <v>#VALUE!</v>
      </c>
      <c r="FO273" t="e">
        <f>Europe!D1172+"$F;@!/pf"</f>
        <v>#VALUE!</v>
      </c>
      <c r="FP273" t="e">
        <f>Europe!E1172+"$F;@!/pg"</f>
        <v>#VALUE!</v>
      </c>
      <c r="FQ273" t="e">
        <f>Europe!F1172+"$F;@!/ph"</f>
        <v>#VALUE!</v>
      </c>
      <c r="FR273" t="e">
        <f>Europe!G1172+"$F;@!/pi"</f>
        <v>#VALUE!</v>
      </c>
      <c r="FS273" t="e">
        <f>Europe!H1172+"$F;@!/pj"</f>
        <v>#VALUE!</v>
      </c>
      <c r="FT273" t="e">
        <f>Europe!A1173+"$F;@!/pk"</f>
        <v>#VALUE!</v>
      </c>
      <c r="FU273" t="e">
        <f>Europe!B1173+"$F;@!/pl"</f>
        <v>#VALUE!</v>
      </c>
      <c r="FV273" t="e">
        <f>Europe!C1173+"$F;@!/pm"</f>
        <v>#VALUE!</v>
      </c>
      <c r="FW273" t="e">
        <f>Europe!D1173+"$F;@!/pn"</f>
        <v>#VALUE!</v>
      </c>
      <c r="FX273" t="e">
        <f>Europe!E1173+"$F;@!/po"</f>
        <v>#VALUE!</v>
      </c>
      <c r="FY273" t="e">
        <f>Europe!F1173+"$F;@!/pp"</f>
        <v>#VALUE!</v>
      </c>
      <c r="FZ273" t="e">
        <f>Europe!G1173+"$F;@!/pq"</f>
        <v>#VALUE!</v>
      </c>
      <c r="GA273" t="e">
        <f>Europe!H1173+"$F;@!/pr"</f>
        <v>#VALUE!</v>
      </c>
      <c r="GB273" t="e">
        <f>Europe!A1174+"$F;@!/ps"</f>
        <v>#VALUE!</v>
      </c>
      <c r="GC273" t="e">
        <f>Europe!B1174+"$F;@!/pt"</f>
        <v>#VALUE!</v>
      </c>
      <c r="GD273" t="e">
        <f>Europe!C1174+"$F;@!/pu"</f>
        <v>#VALUE!</v>
      </c>
      <c r="GE273" t="e">
        <f>Europe!D1174+"$F;@!/pv"</f>
        <v>#VALUE!</v>
      </c>
      <c r="GF273" t="e">
        <f>Europe!E1174+"$F;@!/pw"</f>
        <v>#VALUE!</v>
      </c>
      <c r="GG273" t="e">
        <f>Europe!F1174+"$F;@!/px"</f>
        <v>#VALUE!</v>
      </c>
      <c r="GH273" t="e">
        <f>Europe!G1174+"$F;@!/py"</f>
        <v>#VALUE!</v>
      </c>
      <c r="GI273" t="e">
        <f>Europe!H1174+"$F;@!/pz"</f>
        <v>#VALUE!</v>
      </c>
      <c r="GJ273" t="e">
        <f>Europe!A1175+"$F;@!/p{"</f>
        <v>#VALUE!</v>
      </c>
      <c r="GK273" t="e">
        <f>Europe!B1175+"$F;@!/p|"</f>
        <v>#VALUE!</v>
      </c>
      <c r="GL273" t="e">
        <f>Europe!C1175+"$F;@!/p}"</f>
        <v>#VALUE!</v>
      </c>
      <c r="GM273" t="e">
        <f>Europe!D1175+"$F;@!/p~"</f>
        <v>#VALUE!</v>
      </c>
      <c r="GN273" t="e">
        <f>Europe!E1175+"$F;@!/q#"</f>
        <v>#VALUE!</v>
      </c>
      <c r="GO273" t="e">
        <f>Europe!F1175+"$F;@!/q$"</f>
        <v>#VALUE!</v>
      </c>
      <c r="GP273" t="e">
        <f>Europe!G1175+"$F;@!/q%"</f>
        <v>#VALUE!</v>
      </c>
      <c r="GQ273" t="e">
        <f>Europe!H1175+"$F;@!/q&amp;"</f>
        <v>#VALUE!</v>
      </c>
      <c r="GR273" t="e">
        <f>Europe!A1176+"$F;@!/q'"</f>
        <v>#VALUE!</v>
      </c>
      <c r="GS273" t="e">
        <f>Europe!B1176+"$F;@!/q("</f>
        <v>#VALUE!</v>
      </c>
      <c r="GT273" t="e">
        <f>Europe!C1176+"$F;@!/q)"</f>
        <v>#VALUE!</v>
      </c>
      <c r="GU273" t="e">
        <f>Europe!D1176+"$F;@!/q."</f>
        <v>#VALUE!</v>
      </c>
      <c r="GV273" t="e">
        <f>Europe!E1176+"$F;@!/q/"</f>
        <v>#VALUE!</v>
      </c>
      <c r="GW273" t="e">
        <f>Europe!F1176+"$F;@!/q0"</f>
        <v>#VALUE!</v>
      </c>
      <c r="GX273" t="e">
        <f>Europe!G1176+"$F;@!/q1"</f>
        <v>#VALUE!</v>
      </c>
      <c r="GY273" t="e">
        <f>Europe!H1176+"$F;@!/q2"</f>
        <v>#VALUE!</v>
      </c>
      <c r="GZ273" t="e">
        <f>Europe!A1177+"$F;@!/q3"</f>
        <v>#VALUE!</v>
      </c>
      <c r="HA273" t="e">
        <f>Europe!B1177+"$F;@!/q4"</f>
        <v>#VALUE!</v>
      </c>
      <c r="HB273" t="e">
        <f>Europe!C1177+"$F;@!/q5"</f>
        <v>#VALUE!</v>
      </c>
      <c r="HC273" t="e">
        <f>Europe!D1177+"$F;@!/q6"</f>
        <v>#VALUE!</v>
      </c>
      <c r="HD273" t="e">
        <f>Europe!E1177+"$F;@!/q7"</f>
        <v>#VALUE!</v>
      </c>
      <c r="HE273" t="e">
        <f>Europe!F1177+"$F;@!/q8"</f>
        <v>#VALUE!</v>
      </c>
      <c r="HF273" t="e">
        <f>Europe!G1177+"$F;@!/q9"</f>
        <v>#VALUE!</v>
      </c>
      <c r="HG273" t="e">
        <f>Europe!H1177+"$F;@!/q:"</f>
        <v>#VALUE!</v>
      </c>
      <c r="HH273" t="e">
        <f>Europe!A1178+"$F;@!/q;"</f>
        <v>#VALUE!</v>
      </c>
      <c r="HI273" t="e">
        <f>Europe!B1178+"$F;@!/q&lt;"</f>
        <v>#VALUE!</v>
      </c>
      <c r="HJ273" t="e">
        <f>Europe!C1178+"$F;@!/q="</f>
        <v>#VALUE!</v>
      </c>
      <c r="HK273" t="e">
        <f>Europe!D1178+"$F;@!/q&gt;"</f>
        <v>#VALUE!</v>
      </c>
      <c r="HL273" t="e">
        <f>Europe!E1178+"$F;@!/q?"</f>
        <v>#VALUE!</v>
      </c>
      <c r="HM273" t="e">
        <f>Europe!F1178+"$F;@!/q@"</f>
        <v>#VALUE!</v>
      </c>
      <c r="HN273" t="e">
        <f>Europe!G1178+"$F;@!/qA"</f>
        <v>#VALUE!</v>
      </c>
      <c r="HO273" t="e">
        <f>Europe!H1178+"$F;@!/qB"</f>
        <v>#VALUE!</v>
      </c>
      <c r="HP273" t="e">
        <f>Europe!A1179+"$F;@!/qC"</f>
        <v>#VALUE!</v>
      </c>
      <c r="HQ273" t="e">
        <f>Europe!B1179+"$F;@!/qD"</f>
        <v>#VALUE!</v>
      </c>
      <c r="HR273" t="e">
        <f>Europe!C1179+"$F;@!/qE"</f>
        <v>#VALUE!</v>
      </c>
      <c r="HS273" t="e">
        <f>Europe!D1179+"$F;@!/qF"</f>
        <v>#VALUE!</v>
      </c>
      <c r="HT273" t="e">
        <f>Europe!E1179+"$F;@!/qG"</f>
        <v>#VALUE!</v>
      </c>
      <c r="HU273" t="e">
        <f>Europe!F1179+"$F;@!/qH"</f>
        <v>#VALUE!</v>
      </c>
      <c r="HV273" t="e">
        <f>Europe!G1179+"$F;@!/qI"</f>
        <v>#VALUE!</v>
      </c>
      <c r="HW273" t="e">
        <f>Europe!H1179+"$F;@!/qJ"</f>
        <v>#VALUE!</v>
      </c>
      <c r="HX273" t="e">
        <f>Europe!A1180+"$F;@!/qK"</f>
        <v>#VALUE!</v>
      </c>
      <c r="HY273" t="e">
        <f>Europe!B1180+"$F;@!/qL"</f>
        <v>#VALUE!</v>
      </c>
      <c r="HZ273" t="e">
        <f>Europe!C1180+"$F;@!/qM"</f>
        <v>#VALUE!</v>
      </c>
      <c r="IA273" t="e">
        <f>Europe!D1180+"$F;@!/qN"</f>
        <v>#VALUE!</v>
      </c>
      <c r="IB273" t="e">
        <f>Europe!E1180+"$F;@!/qO"</f>
        <v>#VALUE!</v>
      </c>
      <c r="IC273" t="e">
        <f>Europe!F1180+"$F;@!/qP"</f>
        <v>#VALUE!</v>
      </c>
      <c r="ID273" t="e">
        <f>Europe!G1180+"$F;@!/qQ"</f>
        <v>#VALUE!</v>
      </c>
      <c r="IE273" t="e">
        <f>Europe!H1180+"$F;@!/qR"</f>
        <v>#VALUE!</v>
      </c>
      <c r="IF273" t="e">
        <f>Europe!A1181+"$F;@!/qS"</f>
        <v>#VALUE!</v>
      </c>
      <c r="IG273" t="e">
        <f>Europe!B1181+"$F;@!/qT"</f>
        <v>#VALUE!</v>
      </c>
      <c r="IH273" t="e">
        <f>Europe!C1181+"$F;@!/qU"</f>
        <v>#VALUE!</v>
      </c>
      <c r="II273" t="e">
        <f>Europe!D1181+"$F;@!/qV"</f>
        <v>#VALUE!</v>
      </c>
      <c r="IJ273" t="e">
        <f>Europe!E1181+"$F;@!/qW"</f>
        <v>#VALUE!</v>
      </c>
      <c r="IK273" t="e">
        <f>Europe!F1181+"$F;@!/qX"</f>
        <v>#VALUE!</v>
      </c>
      <c r="IL273" t="e">
        <f>Europe!G1181+"$F;@!/qY"</f>
        <v>#VALUE!</v>
      </c>
      <c r="IM273" t="e">
        <f>Europe!H1181+"$F;@!/qZ"</f>
        <v>#VALUE!</v>
      </c>
      <c r="IN273" t="e">
        <f>Europe!A1182+"$F;@!/q["</f>
        <v>#VALUE!</v>
      </c>
      <c r="IO273" t="e">
        <f>Europe!B1182+"$F;@!/q\"</f>
        <v>#VALUE!</v>
      </c>
      <c r="IP273" t="e">
        <f>Europe!C1182+"$F;@!/q]"</f>
        <v>#VALUE!</v>
      </c>
      <c r="IQ273" t="e">
        <f>Europe!D1182+"$F;@!/q^"</f>
        <v>#VALUE!</v>
      </c>
      <c r="IR273" t="e">
        <f>Europe!E1182+"$F;@!/q_"</f>
        <v>#VALUE!</v>
      </c>
      <c r="IS273" t="e">
        <f>Europe!F1182+"$F;@!/q`"</f>
        <v>#VALUE!</v>
      </c>
      <c r="IT273" t="e">
        <f>Europe!G1182+"$F;@!/qa"</f>
        <v>#VALUE!</v>
      </c>
      <c r="IU273" t="e">
        <f>Europe!H1182+"$F;@!/qb"</f>
        <v>#VALUE!</v>
      </c>
      <c r="IV273" t="e">
        <f>Europe!A1183+"$F;@!/qc"</f>
        <v>#VALUE!</v>
      </c>
    </row>
    <row r="274" spans="6:256" x14ac:dyDescent="0.35">
      <c r="F274" t="e">
        <f>Europe!B1183+"$F;@!/qd"</f>
        <v>#VALUE!</v>
      </c>
      <c r="G274" t="e">
        <f>Europe!C1183+"$F;@!/qe"</f>
        <v>#VALUE!</v>
      </c>
      <c r="H274" t="e">
        <f>Europe!D1183+"$F;@!/qf"</f>
        <v>#VALUE!</v>
      </c>
      <c r="I274" t="e">
        <f>Europe!E1183+"$F;@!/qg"</f>
        <v>#VALUE!</v>
      </c>
      <c r="J274" t="e">
        <f>Europe!F1183+"$F;@!/qh"</f>
        <v>#VALUE!</v>
      </c>
      <c r="K274" t="e">
        <f>Europe!G1183+"$F;@!/qi"</f>
        <v>#VALUE!</v>
      </c>
      <c r="L274" t="e">
        <f>Europe!H1183+"$F;@!/qj"</f>
        <v>#VALUE!</v>
      </c>
      <c r="M274" t="e">
        <f>Europe!A1184+"$F;@!/qk"</f>
        <v>#VALUE!</v>
      </c>
      <c r="N274" t="e">
        <f>Europe!B1184+"$F;@!/ql"</f>
        <v>#VALUE!</v>
      </c>
      <c r="O274" t="e">
        <f>Europe!C1184+"$F;@!/qm"</f>
        <v>#VALUE!</v>
      </c>
      <c r="P274" t="e">
        <f>Europe!D1184+"$F;@!/qn"</f>
        <v>#VALUE!</v>
      </c>
      <c r="Q274" t="e">
        <f>Europe!E1184+"$F;@!/qo"</f>
        <v>#VALUE!</v>
      </c>
      <c r="R274" t="e">
        <f>Europe!F1184+"$F;@!/qp"</f>
        <v>#VALUE!</v>
      </c>
      <c r="S274" t="e">
        <f>Europe!G1184+"$F;@!/qq"</f>
        <v>#VALUE!</v>
      </c>
      <c r="T274" t="e">
        <f>Europe!H1184+"$F;@!/qr"</f>
        <v>#VALUE!</v>
      </c>
      <c r="U274" t="e">
        <f>Europe!A1185+"$F;@!/qs"</f>
        <v>#VALUE!</v>
      </c>
      <c r="V274" t="e">
        <f>Europe!B1185+"$F;@!/qt"</f>
        <v>#VALUE!</v>
      </c>
      <c r="W274" t="e">
        <f>Europe!C1185+"$F;@!/qu"</f>
        <v>#VALUE!</v>
      </c>
      <c r="X274" t="e">
        <f>Europe!D1185+"$F;@!/qv"</f>
        <v>#VALUE!</v>
      </c>
      <c r="Y274" t="e">
        <f>Europe!E1185+"$F;@!/qw"</f>
        <v>#VALUE!</v>
      </c>
      <c r="Z274" t="e">
        <f>Europe!F1185+"$F;@!/qx"</f>
        <v>#VALUE!</v>
      </c>
      <c r="AA274" t="e">
        <f>Europe!G1185+"$F;@!/qy"</f>
        <v>#VALUE!</v>
      </c>
      <c r="AB274" t="e">
        <f>Europe!H1185+"$F;@!/qz"</f>
        <v>#VALUE!</v>
      </c>
      <c r="AC274" t="e">
        <f>Europe!A1186+"$F;@!/q{"</f>
        <v>#VALUE!</v>
      </c>
      <c r="AD274" t="e">
        <f>Europe!B1186+"$F;@!/q|"</f>
        <v>#VALUE!</v>
      </c>
      <c r="AE274" t="e">
        <f>Europe!C1186+"$F;@!/q}"</f>
        <v>#VALUE!</v>
      </c>
      <c r="AF274" t="e">
        <f>Europe!D1186+"$F;@!/q~"</f>
        <v>#VALUE!</v>
      </c>
      <c r="AG274" t="e">
        <f>Europe!E1186+"$F;@!/r#"</f>
        <v>#VALUE!</v>
      </c>
      <c r="AH274" t="e">
        <f>Europe!F1186+"$F;@!/r$"</f>
        <v>#VALUE!</v>
      </c>
      <c r="AI274" t="e">
        <f>Europe!G1186+"$F;@!/r%"</f>
        <v>#VALUE!</v>
      </c>
      <c r="AJ274" t="e">
        <f>Europe!H1186+"$F;@!/r&amp;"</f>
        <v>#VALUE!</v>
      </c>
      <c r="AK274" t="e">
        <f>Europe!A1187+"$F;@!/r'"</f>
        <v>#VALUE!</v>
      </c>
      <c r="AL274" t="e">
        <f>Europe!B1187+"$F;@!/r("</f>
        <v>#VALUE!</v>
      </c>
      <c r="AM274" t="e">
        <f>Europe!C1187+"$F;@!/r)"</f>
        <v>#VALUE!</v>
      </c>
      <c r="AN274" t="e">
        <f>Europe!D1187+"$F;@!/r."</f>
        <v>#VALUE!</v>
      </c>
      <c r="AO274" t="e">
        <f>Europe!E1187+"$F;@!/r/"</f>
        <v>#VALUE!</v>
      </c>
      <c r="AP274" t="e">
        <f>Europe!F1187+"$F;@!/r0"</f>
        <v>#VALUE!</v>
      </c>
      <c r="AQ274" t="e">
        <f>Europe!G1187+"$F;@!/r1"</f>
        <v>#VALUE!</v>
      </c>
      <c r="AR274" t="e">
        <f>Europe!H1187+"$F;@!/r2"</f>
        <v>#VALUE!</v>
      </c>
      <c r="AS274" t="e">
        <f>Europe!A1188+"$F;@!/r3"</f>
        <v>#VALUE!</v>
      </c>
      <c r="AT274" t="e">
        <f>Europe!B1188+"$F;@!/r4"</f>
        <v>#VALUE!</v>
      </c>
      <c r="AU274" t="e">
        <f>Europe!C1188+"$F;@!/r5"</f>
        <v>#VALUE!</v>
      </c>
      <c r="AV274" t="e">
        <f>Europe!D1188+"$F;@!/r6"</f>
        <v>#VALUE!</v>
      </c>
      <c r="AW274" t="e">
        <f>Europe!E1188+"$F;@!/r7"</f>
        <v>#VALUE!</v>
      </c>
      <c r="AX274" t="e">
        <f>Europe!F1188+"$F;@!/r8"</f>
        <v>#VALUE!</v>
      </c>
      <c r="AY274" t="e">
        <f>Europe!G1188+"$F;@!/r9"</f>
        <v>#VALUE!</v>
      </c>
      <c r="AZ274" t="e">
        <f>Europe!H1188+"$F;@!/r:"</f>
        <v>#VALUE!</v>
      </c>
      <c r="BA274" t="e">
        <f>Europe!A1189+"$F;@!/r;"</f>
        <v>#VALUE!</v>
      </c>
      <c r="BB274" t="e">
        <f>Europe!B1189+"$F;@!/r&lt;"</f>
        <v>#VALUE!</v>
      </c>
      <c r="BC274" t="e">
        <f>Europe!C1189+"$F;@!/r="</f>
        <v>#VALUE!</v>
      </c>
      <c r="BD274" t="e">
        <f>Europe!D1189+"$F;@!/r&gt;"</f>
        <v>#VALUE!</v>
      </c>
      <c r="BE274" t="e">
        <f>Europe!E1189+"$F;@!/r?"</f>
        <v>#VALUE!</v>
      </c>
      <c r="BF274" t="e">
        <f>Europe!F1189+"$F;@!/r@"</f>
        <v>#VALUE!</v>
      </c>
      <c r="BG274" t="e">
        <f>Europe!G1189+"$F;@!/rA"</f>
        <v>#VALUE!</v>
      </c>
      <c r="BH274" t="e">
        <f>Europe!H1189+"$F;@!/rB"</f>
        <v>#VALUE!</v>
      </c>
      <c r="BI274" t="e">
        <f>Europe!A1190+"$F;@!/rC"</f>
        <v>#VALUE!</v>
      </c>
      <c r="BJ274" t="e">
        <f>Europe!B1190+"$F;@!/rD"</f>
        <v>#VALUE!</v>
      </c>
      <c r="BK274" t="e">
        <f>Europe!C1190+"$F;@!/rE"</f>
        <v>#VALUE!</v>
      </c>
      <c r="BL274" t="e">
        <f>Europe!D1190+"$F;@!/rF"</f>
        <v>#VALUE!</v>
      </c>
      <c r="BM274" t="e">
        <f>Europe!E1190+"$F;@!/rG"</f>
        <v>#VALUE!</v>
      </c>
      <c r="BN274" t="e">
        <f>Europe!F1190+"$F;@!/rH"</f>
        <v>#VALUE!</v>
      </c>
      <c r="BO274" t="e">
        <f>Europe!G1190+"$F;@!/rI"</f>
        <v>#VALUE!</v>
      </c>
      <c r="BP274" t="e">
        <f>Europe!H1190+"$F;@!/rJ"</f>
        <v>#VALUE!</v>
      </c>
      <c r="BQ274" t="e">
        <f>Europe!A1191+"$F;@!/rK"</f>
        <v>#VALUE!</v>
      </c>
      <c r="BR274" t="e">
        <f>Europe!B1191+"$F;@!/rL"</f>
        <v>#VALUE!</v>
      </c>
      <c r="BS274" t="e">
        <f>Europe!C1191+"$F;@!/rM"</f>
        <v>#VALUE!</v>
      </c>
      <c r="BT274" t="e">
        <f>Europe!D1191+"$F;@!/rN"</f>
        <v>#VALUE!</v>
      </c>
      <c r="BU274" t="e">
        <f>Europe!E1191+"$F;@!/rO"</f>
        <v>#VALUE!</v>
      </c>
      <c r="BV274" t="e">
        <f>Europe!F1191+"$F;@!/rP"</f>
        <v>#VALUE!</v>
      </c>
      <c r="BW274" t="e">
        <f>Europe!G1191+"$F;@!/rQ"</f>
        <v>#VALUE!</v>
      </c>
      <c r="BX274" t="e">
        <f>Europe!H1191+"$F;@!/rR"</f>
        <v>#VALUE!</v>
      </c>
      <c r="BY274" t="e">
        <f>Europe!A1192+"$F;@!/rS"</f>
        <v>#VALUE!</v>
      </c>
      <c r="BZ274" t="e">
        <f>Europe!B1192+"$F;@!/rT"</f>
        <v>#VALUE!</v>
      </c>
      <c r="CA274" t="e">
        <f>Europe!C1192+"$F;@!/rU"</f>
        <v>#VALUE!</v>
      </c>
      <c r="CB274" t="e">
        <f>Europe!D1192+"$F;@!/rV"</f>
        <v>#VALUE!</v>
      </c>
      <c r="CC274" t="e">
        <f>Europe!E1192+"$F;@!/rW"</f>
        <v>#VALUE!</v>
      </c>
      <c r="CD274" t="e">
        <f>Europe!F1192+"$F;@!/rX"</f>
        <v>#VALUE!</v>
      </c>
      <c r="CE274" t="e">
        <f>Europe!G1192+"$F;@!/rY"</f>
        <v>#VALUE!</v>
      </c>
      <c r="CF274" t="e">
        <f>Europe!H1192+"$F;@!/rZ"</f>
        <v>#VALUE!</v>
      </c>
      <c r="CG274" t="e">
        <f>Europe!A1193+"$F;@!/r["</f>
        <v>#VALUE!</v>
      </c>
      <c r="CH274" t="e">
        <f>Europe!B1193+"$F;@!/r\"</f>
        <v>#VALUE!</v>
      </c>
      <c r="CI274" t="e">
        <f>Europe!C1193+"$F;@!/r]"</f>
        <v>#VALUE!</v>
      </c>
      <c r="CJ274" t="e">
        <f>Europe!D1193+"$F;@!/r^"</f>
        <v>#VALUE!</v>
      </c>
      <c r="CK274" t="e">
        <f>Europe!E1193+"$F;@!/r_"</f>
        <v>#VALUE!</v>
      </c>
      <c r="CL274" t="e">
        <f>Europe!F1193+"$F;@!/r`"</f>
        <v>#VALUE!</v>
      </c>
      <c r="CM274" t="e">
        <f>Europe!G1193+"$F;@!/ra"</f>
        <v>#VALUE!</v>
      </c>
      <c r="CN274" t="e">
        <f>Europe!H1193+"$F;@!/rb"</f>
        <v>#VALUE!</v>
      </c>
      <c r="CO274" t="e">
        <f>Europe!A1194+"$F;@!/rc"</f>
        <v>#VALUE!</v>
      </c>
      <c r="CP274" t="e">
        <f>Europe!B1194+"$F;@!/rd"</f>
        <v>#VALUE!</v>
      </c>
      <c r="CQ274" t="e">
        <f>Europe!C1194+"$F;@!/re"</f>
        <v>#VALUE!</v>
      </c>
      <c r="CR274" t="e">
        <f>Europe!D1194+"$F;@!/rf"</f>
        <v>#VALUE!</v>
      </c>
      <c r="CS274" t="e">
        <f>Europe!E1194+"$F;@!/rg"</f>
        <v>#VALUE!</v>
      </c>
      <c r="CT274" t="e">
        <f>Europe!F1194+"$F;@!/rh"</f>
        <v>#VALUE!</v>
      </c>
      <c r="CU274" t="e">
        <f>Europe!G1194+"$F;@!/ri"</f>
        <v>#VALUE!</v>
      </c>
      <c r="CV274" t="e">
        <f>Europe!H1194+"$F;@!/rj"</f>
        <v>#VALUE!</v>
      </c>
      <c r="CW274" t="e">
        <f>Europe!A1195+"$F;@!/rk"</f>
        <v>#VALUE!</v>
      </c>
      <c r="CX274" t="e">
        <f>Europe!B1195+"$F;@!/rl"</f>
        <v>#VALUE!</v>
      </c>
      <c r="CY274" t="e">
        <f>Europe!C1195+"$F;@!/rm"</f>
        <v>#VALUE!</v>
      </c>
      <c r="CZ274" t="e">
        <f>Europe!D1195+"$F;@!/rn"</f>
        <v>#VALUE!</v>
      </c>
      <c r="DA274" t="e">
        <f>Europe!E1195+"$F;@!/ro"</f>
        <v>#VALUE!</v>
      </c>
      <c r="DB274" t="e">
        <f>Europe!F1195+"$F;@!/rp"</f>
        <v>#VALUE!</v>
      </c>
      <c r="DC274" t="e">
        <f>Europe!G1195+"$F;@!/rq"</f>
        <v>#VALUE!</v>
      </c>
      <c r="DD274" t="e">
        <f>Europe!H1195+"$F;@!/rr"</f>
        <v>#VALUE!</v>
      </c>
      <c r="DE274" t="e">
        <f>Europe!A1196+"$F;@!/rs"</f>
        <v>#VALUE!</v>
      </c>
      <c r="DF274" t="e">
        <f>Europe!B1196+"$F;@!/rt"</f>
        <v>#VALUE!</v>
      </c>
      <c r="DG274" t="e">
        <f>Europe!C1196+"$F;@!/ru"</f>
        <v>#VALUE!</v>
      </c>
      <c r="DH274" t="e">
        <f>Europe!D1196+"$F;@!/rv"</f>
        <v>#VALUE!</v>
      </c>
      <c r="DI274" t="e">
        <f>Europe!E1196+"$F;@!/rw"</f>
        <v>#VALUE!</v>
      </c>
      <c r="DJ274" t="e">
        <f>Europe!F1196+"$F;@!/rx"</f>
        <v>#VALUE!</v>
      </c>
      <c r="DK274" t="e">
        <f>Europe!G1196+"$F;@!/ry"</f>
        <v>#VALUE!</v>
      </c>
      <c r="DL274" t="e">
        <f>Europe!H1196+"$F;@!/rz"</f>
        <v>#VALUE!</v>
      </c>
      <c r="DM274" t="e">
        <f>Europe!A1197+"$F;@!/r{"</f>
        <v>#VALUE!</v>
      </c>
      <c r="DN274" t="e">
        <f>Europe!B1197+"$F;@!/r|"</f>
        <v>#VALUE!</v>
      </c>
      <c r="DO274" t="e">
        <f>Europe!C1197+"$F;@!/r}"</f>
        <v>#VALUE!</v>
      </c>
      <c r="DP274" t="e">
        <f>Europe!D1197+"$F;@!/r~"</f>
        <v>#VALUE!</v>
      </c>
      <c r="DQ274" t="e">
        <f>Europe!E1197+"$F;@!/s#"</f>
        <v>#VALUE!</v>
      </c>
      <c r="DR274" t="e">
        <f>Europe!F1197+"$F;@!/s$"</f>
        <v>#VALUE!</v>
      </c>
      <c r="DS274" t="e">
        <f>Europe!G1197+"$F;@!/s%"</f>
        <v>#VALUE!</v>
      </c>
      <c r="DT274" t="e">
        <f>Europe!H1197+"$F;@!/s&amp;"</f>
        <v>#VALUE!</v>
      </c>
      <c r="DU274" t="e">
        <f>Europe!A1198+"$F;@!/s'"</f>
        <v>#VALUE!</v>
      </c>
      <c r="DV274" t="e">
        <f>Europe!B1198+"$F;@!/s("</f>
        <v>#VALUE!</v>
      </c>
      <c r="DW274" t="e">
        <f>Europe!C1198+"$F;@!/s)"</f>
        <v>#VALUE!</v>
      </c>
      <c r="DX274" t="e">
        <f>Europe!D1198+"$F;@!/s."</f>
        <v>#VALUE!</v>
      </c>
      <c r="DY274" t="e">
        <f>Europe!E1198+"$F;@!/s/"</f>
        <v>#VALUE!</v>
      </c>
      <c r="DZ274" t="e">
        <f>Europe!F1198+"$F;@!/s0"</f>
        <v>#VALUE!</v>
      </c>
      <c r="EA274" t="e">
        <f>Europe!G1198+"$F;@!/s1"</f>
        <v>#VALUE!</v>
      </c>
      <c r="EB274" t="e">
        <f>Europe!H1198+"$F;@!/s2"</f>
        <v>#VALUE!</v>
      </c>
      <c r="EC274" t="e">
        <f>Europe!A1199+"$F;@!/s3"</f>
        <v>#VALUE!</v>
      </c>
      <c r="ED274" t="e">
        <f>Europe!B1199+"$F;@!/s4"</f>
        <v>#VALUE!</v>
      </c>
      <c r="EE274" t="e">
        <f>Europe!C1199+"$F;@!/s5"</f>
        <v>#VALUE!</v>
      </c>
      <c r="EF274" t="e">
        <f>Europe!D1199+"$F;@!/s6"</f>
        <v>#VALUE!</v>
      </c>
      <c r="EG274" t="e">
        <f>Europe!E1199+"$F;@!/s7"</f>
        <v>#VALUE!</v>
      </c>
      <c r="EH274" t="e">
        <f>Europe!F1199+"$F;@!/s8"</f>
        <v>#VALUE!</v>
      </c>
      <c r="EI274" t="e">
        <f>Europe!G1199+"$F;@!/s9"</f>
        <v>#VALUE!</v>
      </c>
      <c r="EJ274" t="e">
        <f>Europe!H1199+"$F;@!/s:"</f>
        <v>#VALUE!</v>
      </c>
      <c r="EK274" t="e">
        <f>Europe!A1200+"$F;@!/s;"</f>
        <v>#VALUE!</v>
      </c>
      <c r="EL274" t="e">
        <f>Europe!B1200+"$F;@!/s&lt;"</f>
        <v>#VALUE!</v>
      </c>
      <c r="EM274" t="e">
        <f>Europe!C1200+"$F;@!/s="</f>
        <v>#VALUE!</v>
      </c>
      <c r="EN274" t="e">
        <f>Europe!D1200+"$F;@!/s&gt;"</f>
        <v>#VALUE!</v>
      </c>
      <c r="EO274" t="e">
        <f>Europe!E1200+"$F;@!/s?"</f>
        <v>#VALUE!</v>
      </c>
      <c r="EP274" t="e">
        <f>Europe!F1200+"$F;@!/s@"</f>
        <v>#VALUE!</v>
      </c>
      <c r="EQ274" t="e">
        <f>Europe!G1200+"$F;@!/sA"</f>
        <v>#VALUE!</v>
      </c>
      <c r="ER274" t="e">
        <f>Europe!H1200+"$F;@!/sB"</f>
        <v>#VALUE!</v>
      </c>
      <c r="ES274" t="e">
        <f>Europe!A1201+"$F;@!/sC"</f>
        <v>#VALUE!</v>
      </c>
      <c r="ET274" t="e">
        <f>Europe!B1201+"$F;@!/sD"</f>
        <v>#VALUE!</v>
      </c>
      <c r="EU274" t="e">
        <f>Europe!C1201+"$F;@!/sE"</f>
        <v>#VALUE!</v>
      </c>
      <c r="EV274" t="e">
        <f>Europe!D1201+"$F;@!/sF"</f>
        <v>#VALUE!</v>
      </c>
      <c r="EW274" t="e">
        <f>Europe!E1201+"$F;@!/sG"</f>
        <v>#VALUE!</v>
      </c>
      <c r="EX274" t="e">
        <f>Europe!F1201+"$F;@!/sH"</f>
        <v>#VALUE!</v>
      </c>
      <c r="EY274" t="e">
        <f>Europe!G1201+"$F;@!/sI"</f>
        <v>#VALUE!</v>
      </c>
      <c r="EZ274" t="e">
        <f>Europe!H1201+"$F;@!/sJ"</f>
        <v>#VALUE!</v>
      </c>
      <c r="FA274" t="e">
        <f>Europe!A1202+"$F;@!/sK"</f>
        <v>#VALUE!</v>
      </c>
      <c r="FB274" t="e">
        <f>Europe!B1202+"$F;@!/sL"</f>
        <v>#VALUE!</v>
      </c>
      <c r="FC274" t="e">
        <f>Europe!C1202+"$F;@!/sM"</f>
        <v>#VALUE!</v>
      </c>
      <c r="FD274" t="e">
        <f>Europe!D1202+"$F;@!/sN"</f>
        <v>#VALUE!</v>
      </c>
      <c r="FE274" t="e">
        <f>Europe!E1202+"$F;@!/sO"</f>
        <v>#VALUE!</v>
      </c>
      <c r="FF274" t="e">
        <f>Europe!F1202+"$F;@!/sP"</f>
        <v>#VALUE!</v>
      </c>
      <c r="FG274" t="e">
        <f>Europe!G1202+"$F;@!/sQ"</f>
        <v>#VALUE!</v>
      </c>
      <c r="FH274" t="e">
        <f>Europe!H1202+"$F;@!/sR"</f>
        <v>#VALUE!</v>
      </c>
      <c r="FI274" t="e">
        <f>Europe!A1203+"$F;@!/sS"</f>
        <v>#VALUE!</v>
      </c>
      <c r="FJ274" t="e">
        <f>Europe!B1203+"$F;@!/sT"</f>
        <v>#VALUE!</v>
      </c>
      <c r="FK274" t="e">
        <f>Europe!C1203+"$F;@!/sU"</f>
        <v>#VALUE!</v>
      </c>
      <c r="FL274" t="e">
        <f>Europe!D1203+"$F;@!/sV"</f>
        <v>#VALUE!</v>
      </c>
      <c r="FM274" t="e">
        <f>Europe!E1203+"$F;@!/sW"</f>
        <v>#VALUE!</v>
      </c>
      <c r="FN274" t="e">
        <f>Europe!F1203+"$F;@!/sX"</f>
        <v>#VALUE!</v>
      </c>
      <c r="FO274" t="e">
        <f>Europe!G1203+"$F;@!/sY"</f>
        <v>#VALUE!</v>
      </c>
      <c r="FP274" t="e">
        <f>Europe!H1203+"$F;@!/sZ"</f>
        <v>#VALUE!</v>
      </c>
      <c r="FQ274" t="e">
        <f>Europe!A1204+"$F;@!/s["</f>
        <v>#VALUE!</v>
      </c>
      <c r="FR274" t="e">
        <f>Europe!B1204+"$F;@!/s\"</f>
        <v>#VALUE!</v>
      </c>
      <c r="FS274" t="e">
        <f>Europe!C1204+"$F;@!/s]"</f>
        <v>#VALUE!</v>
      </c>
      <c r="FT274" t="e">
        <f>Europe!D1204+"$F;@!/s^"</f>
        <v>#VALUE!</v>
      </c>
      <c r="FU274" t="e">
        <f>Europe!E1204+"$F;@!/s_"</f>
        <v>#VALUE!</v>
      </c>
      <c r="FV274" t="e">
        <f>Europe!F1204+"$F;@!/s`"</f>
        <v>#VALUE!</v>
      </c>
      <c r="FW274" t="e">
        <f>Europe!G1204+"$F;@!/sa"</f>
        <v>#VALUE!</v>
      </c>
      <c r="FX274" t="e">
        <f>Europe!H1204+"$F;@!/sb"</f>
        <v>#VALUE!</v>
      </c>
      <c r="FY274" t="e">
        <f>Europe!A1205+"$F;@!/sc"</f>
        <v>#VALUE!</v>
      </c>
      <c r="FZ274" t="e">
        <f>Europe!B1205+"$F;@!/sd"</f>
        <v>#VALUE!</v>
      </c>
      <c r="GA274" t="e">
        <f>Europe!C1205+"$F;@!/se"</f>
        <v>#VALUE!</v>
      </c>
      <c r="GB274" t="e">
        <f>Europe!D1205+"$F;@!/sf"</f>
        <v>#VALUE!</v>
      </c>
      <c r="GC274" t="e">
        <f>Europe!E1205+"$F;@!/sg"</f>
        <v>#VALUE!</v>
      </c>
      <c r="GD274" t="e">
        <f>Europe!F1205+"$F;@!/sh"</f>
        <v>#VALUE!</v>
      </c>
      <c r="GE274" t="e">
        <f>Europe!G1205+"$F;@!/si"</f>
        <v>#VALUE!</v>
      </c>
      <c r="GF274" t="e">
        <f>Europe!H1205+"$F;@!/sj"</f>
        <v>#VALUE!</v>
      </c>
      <c r="GG274" t="e">
        <f>Europe!A1206+"$F;@!/sk"</f>
        <v>#VALUE!</v>
      </c>
      <c r="GH274" t="e">
        <f>Europe!B1206+"$F;@!/sl"</f>
        <v>#VALUE!</v>
      </c>
      <c r="GI274" t="e">
        <f>Europe!C1206+"$F;@!/sm"</f>
        <v>#VALUE!</v>
      </c>
      <c r="GJ274" t="e">
        <f>Europe!D1206+"$F;@!/sn"</f>
        <v>#VALUE!</v>
      </c>
      <c r="GK274" t="e">
        <f>Europe!E1206+"$F;@!/so"</f>
        <v>#VALUE!</v>
      </c>
      <c r="GL274" t="e">
        <f>Europe!F1206+"$F;@!/sp"</f>
        <v>#VALUE!</v>
      </c>
      <c r="GM274" t="e">
        <f>Europe!G1206+"$F;@!/sq"</f>
        <v>#VALUE!</v>
      </c>
      <c r="GN274" t="e">
        <f>Europe!H1206+"$F;@!/sr"</f>
        <v>#VALUE!</v>
      </c>
      <c r="GO274" t="e">
        <f>Europe!A1207+"$F;@!/ss"</f>
        <v>#VALUE!</v>
      </c>
      <c r="GP274" t="e">
        <f>Europe!B1207+"$F;@!/st"</f>
        <v>#VALUE!</v>
      </c>
      <c r="GQ274" t="e">
        <f>Europe!C1207+"$F;@!/su"</f>
        <v>#VALUE!</v>
      </c>
      <c r="GR274" t="e">
        <f>Europe!D1207+"$F;@!/sv"</f>
        <v>#VALUE!</v>
      </c>
      <c r="GS274" t="e">
        <f>Europe!E1207+"$F;@!/sw"</f>
        <v>#VALUE!</v>
      </c>
      <c r="GT274" t="e">
        <f>Europe!F1207+"$F;@!/sx"</f>
        <v>#VALUE!</v>
      </c>
      <c r="GU274" t="e">
        <f>Europe!G1207+"$F;@!/sy"</f>
        <v>#VALUE!</v>
      </c>
      <c r="GV274" t="e">
        <f>Europe!H1207+"$F;@!/sz"</f>
        <v>#VALUE!</v>
      </c>
      <c r="GW274" t="e">
        <f>Europe!A1208+"$F;@!/s{"</f>
        <v>#VALUE!</v>
      </c>
      <c r="GX274" t="e">
        <f>Europe!B1208+"$F;@!/s|"</f>
        <v>#VALUE!</v>
      </c>
      <c r="GY274" t="e">
        <f>Europe!C1208+"$F;@!/s}"</f>
        <v>#VALUE!</v>
      </c>
      <c r="GZ274" t="e">
        <f>Europe!D1208+"$F;@!/s~"</f>
        <v>#VALUE!</v>
      </c>
      <c r="HA274" t="e">
        <f>Europe!E1208+"$F;@!/t#"</f>
        <v>#VALUE!</v>
      </c>
      <c r="HB274" t="e">
        <f>Europe!F1208+"$F;@!/t$"</f>
        <v>#VALUE!</v>
      </c>
      <c r="HC274" t="e">
        <f>Europe!G1208+"$F;@!/t%"</f>
        <v>#VALUE!</v>
      </c>
      <c r="HD274" t="e">
        <f>Europe!H1208+"$F;@!/t&amp;"</f>
        <v>#VALUE!</v>
      </c>
      <c r="HE274" t="e">
        <f>Europe!A1209+"$F;@!/t'"</f>
        <v>#VALUE!</v>
      </c>
      <c r="HF274" t="e">
        <f>Europe!B1209+"$F;@!/t("</f>
        <v>#VALUE!</v>
      </c>
      <c r="HG274" t="e">
        <f>Europe!C1209+"$F;@!/t)"</f>
        <v>#VALUE!</v>
      </c>
      <c r="HH274" t="e">
        <f>Europe!D1209+"$F;@!/t."</f>
        <v>#VALUE!</v>
      </c>
      <c r="HI274" t="e">
        <f>Europe!E1209+"$F;@!/t/"</f>
        <v>#VALUE!</v>
      </c>
      <c r="HJ274" t="e">
        <f>Europe!F1209+"$F;@!/t0"</f>
        <v>#VALUE!</v>
      </c>
      <c r="HK274" t="e">
        <f>Europe!G1209+"$F;@!/t1"</f>
        <v>#VALUE!</v>
      </c>
      <c r="HL274" t="e">
        <f>Europe!H1209+"$F;@!/t2"</f>
        <v>#VALUE!</v>
      </c>
      <c r="HM274" t="e">
        <f>Europe!A1210+"$F;@!/t3"</f>
        <v>#VALUE!</v>
      </c>
      <c r="HN274" t="e">
        <f>Europe!B1210+"$F;@!/t4"</f>
        <v>#VALUE!</v>
      </c>
      <c r="HO274" t="e">
        <f>Europe!C1210+"$F;@!/t5"</f>
        <v>#VALUE!</v>
      </c>
      <c r="HP274" t="e">
        <f>Europe!D1210+"$F;@!/t6"</f>
        <v>#VALUE!</v>
      </c>
      <c r="HQ274" t="e">
        <f>Europe!E1210+"$F;@!/t7"</f>
        <v>#VALUE!</v>
      </c>
      <c r="HR274" t="e">
        <f>Europe!F1210+"$F;@!/t8"</f>
        <v>#VALUE!</v>
      </c>
      <c r="HS274" t="e">
        <f>Europe!G1210+"$F;@!/t9"</f>
        <v>#VALUE!</v>
      </c>
      <c r="HT274" t="e">
        <f>Europe!H1210+"$F;@!/t:"</f>
        <v>#VALUE!</v>
      </c>
      <c r="HU274" t="e">
        <f>Europe!A1211+"$F;@!/t;"</f>
        <v>#VALUE!</v>
      </c>
      <c r="HV274" t="e">
        <f>Europe!B1211+"$F;@!/t&lt;"</f>
        <v>#VALUE!</v>
      </c>
      <c r="HW274" t="e">
        <f>Europe!C1211+"$F;@!/t="</f>
        <v>#VALUE!</v>
      </c>
      <c r="HX274" t="e">
        <f>Europe!D1211+"$F;@!/t&gt;"</f>
        <v>#VALUE!</v>
      </c>
      <c r="HY274" t="e">
        <f>Europe!E1211+"$F;@!/t?"</f>
        <v>#VALUE!</v>
      </c>
      <c r="HZ274" t="e">
        <f>Europe!F1211+"$F;@!/t@"</f>
        <v>#VALUE!</v>
      </c>
      <c r="IA274" t="e">
        <f>Europe!G1211+"$F;@!/tA"</f>
        <v>#VALUE!</v>
      </c>
      <c r="IB274" t="e">
        <f>Europe!H1211+"$F;@!/tB"</f>
        <v>#VALUE!</v>
      </c>
      <c r="IC274" t="e">
        <f>Europe!A1212+"$F;@!/tC"</f>
        <v>#VALUE!</v>
      </c>
      <c r="ID274" t="e">
        <f>Europe!B1212+"$F;@!/tD"</f>
        <v>#VALUE!</v>
      </c>
      <c r="IE274" t="e">
        <f>Europe!C1212+"$F;@!/tE"</f>
        <v>#VALUE!</v>
      </c>
      <c r="IF274" t="e">
        <f>Europe!D1212+"$F;@!/tF"</f>
        <v>#VALUE!</v>
      </c>
      <c r="IG274" t="e">
        <f>Europe!E1212+"$F;@!/tG"</f>
        <v>#VALUE!</v>
      </c>
      <c r="IH274" t="e">
        <f>Europe!F1212+"$F;@!/tH"</f>
        <v>#VALUE!</v>
      </c>
      <c r="II274" t="e">
        <f>Europe!G1212+"$F;@!/tI"</f>
        <v>#VALUE!</v>
      </c>
      <c r="IJ274" t="e">
        <f>Europe!H1212+"$F;@!/tJ"</f>
        <v>#VALUE!</v>
      </c>
      <c r="IK274" t="e">
        <f>Europe!A1213+"$F;@!/tK"</f>
        <v>#VALUE!</v>
      </c>
      <c r="IL274" t="e">
        <f>Europe!B1213+"$F;@!/tL"</f>
        <v>#VALUE!</v>
      </c>
      <c r="IM274" t="e">
        <f>Europe!C1213+"$F;@!/tM"</f>
        <v>#VALUE!</v>
      </c>
      <c r="IN274" t="e">
        <f>Europe!D1213+"$F;@!/tN"</f>
        <v>#VALUE!</v>
      </c>
      <c r="IO274" t="e">
        <f>Europe!E1213+"$F;@!/tO"</f>
        <v>#VALUE!</v>
      </c>
      <c r="IP274" t="e">
        <f>Europe!F1213+"$F;@!/tP"</f>
        <v>#VALUE!</v>
      </c>
      <c r="IQ274" t="e">
        <f>Europe!G1213+"$F;@!/tQ"</f>
        <v>#VALUE!</v>
      </c>
      <c r="IR274" t="e">
        <f>Europe!H1213+"$F;@!/tR"</f>
        <v>#VALUE!</v>
      </c>
      <c r="IS274" t="e">
        <f>Europe!A1214+"$F;@!/tS"</f>
        <v>#VALUE!</v>
      </c>
      <c r="IT274" t="e">
        <f>Europe!B1214+"$F;@!/tT"</f>
        <v>#VALUE!</v>
      </c>
      <c r="IU274" t="e">
        <f>Europe!C1214+"$F;@!/tU"</f>
        <v>#VALUE!</v>
      </c>
      <c r="IV274" t="e">
        <f>Europe!D1214+"$F;@!/tV"</f>
        <v>#VALUE!</v>
      </c>
    </row>
    <row r="275" spans="6:256" x14ac:dyDescent="0.35">
      <c r="F275" t="e">
        <f>Europe!E1214+"$F;@!/tW"</f>
        <v>#VALUE!</v>
      </c>
      <c r="G275" t="e">
        <f>Europe!F1214+"$F;@!/tX"</f>
        <v>#VALUE!</v>
      </c>
      <c r="H275" t="e">
        <f>Europe!G1214+"$F;@!/tY"</f>
        <v>#VALUE!</v>
      </c>
      <c r="I275" t="e">
        <f>Europe!H1214+"$F;@!/tZ"</f>
        <v>#VALUE!</v>
      </c>
      <c r="J275" t="e">
        <f>Europe!A1215+"$F;@!/t["</f>
        <v>#VALUE!</v>
      </c>
      <c r="K275" t="e">
        <f>Europe!B1215+"$F;@!/t\"</f>
        <v>#VALUE!</v>
      </c>
      <c r="L275" t="e">
        <f>Europe!C1215+"$F;@!/t]"</f>
        <v>#VALUE!</v>
      </c>
      <c r="M275" t="e">
        <f>Europe!D1215+"$F;@!/t^"</f>
        <v>#VALUE!</v>
      </c>
      <c r="N275" t="e">
        <f>Europe!E1215+"$F;@!/t_"</f>
        <v>#VALUE!</v>
      </c>
      <c r="O275" t="e">
        <f>Europe!F1215+"$F;@!/t`"</f>
        <v>#VALUE!</v>
      </c>
      <c r="P275" t="e">
        <f>Europe!G1215+"$F;@!/ta"</f>
        <v>#VALUE!</v>
      </c>
      <c r="Q275" t="e">
        <f>Europe!H1215+"$F;@!/tb"</f>
        <v>#VALUE!</v>
      </c>
      <c r="R275" t="e">
        <f>Europe!A1216+"$F;@!/tc"</f>
        <v>#VALUE!</v>
      </c>
      <c r="S275" t="e">
        <f>Europe!B1216+"$F;@!/td"</f>
        <v>#VALUE!</v>
      </c>
      <c r="T275" t="e">
        <f>Europe!C1216+"$F;@!/te"</f>
        <v>#VALUE!</v>
      </c>
      <c r="U275" t="e">
        <f>Europe!D1216+"$F;@!/tf"</f>
        <v>#VALUE!</v>
      </c>
      <c r="V275" t="e">
        <f>Europe!E1216+"$F;@!/tg"</f>
        <v>#VALUE!</v>
      </c>
      <c r="W275" t="e">
        <f>Europe!F1216+"$F;@!/th"</f>
        <v>#VALUE!</v>
      </c>
      <c r="X275" t="e">
        <f>Europe!G1216+"$F;@!/ti"</f>
        <v>#VALUE!</v>
      </c>
      <c r="Y275" t="e">
        <f>Europe!H1216+"$F;@!/tj"</f>
        <v>#VALUE!</v>
      </c>
      <c r="Z275" t="e">
        <f>Europe!A1217+"$F;@!/tk"</f>
        <v>#VALUE!</v>
      </c>
      <c r="AA275" t="e">
        <f>Europe!B1217+"$F;@!/tl"</f>
        <v>#VALUE!</v>
      </c>
      <c r="AB275" t="e">
        <f>Europe!C1217+"$F;@!/tm"</f>
        <v>#VALUE!</v>
      </c>
      <c r="AC275" t="e">
        <f>Europe!D1217+"$F;@!/tn"</f>
        <v>#VALUE!</v>
      </c>
      <c r="AD275" t="e">
        <f>Europe!E1217+"$F;@!/to"</f>
        <v>#VALUE!</v>
      </c>
      <c r="AE275" t="e">
        <f>Europe!F1217+"$F;@!/tp"</f>
        <v>#VALUE!</v>
      </c>
      <c r="AF275" t="e">
        <f>Europe!G1217+"$F;@!/tq"</f>
        <v>#VALUE!</v>
      </c>
      <c r="AG275" t="e">
        <f>Europe!H1217+"$F;@!/tr"</f>
        <v>#VALUE!</v>
      </c>
      <c r="AH275" t="e">
        <f>Europe!A1218+"$F;@!/ts"</f>
        <v>#VALUE!</v>
      </c>
      <c r="AI275" t="e">
        <f>Europe!B1218+"$F;@!/tt"</f>
        <v>#VALUE!</v>
      </c>
      <c r="AJ275" t="e">
        <f>Europe!C1218+"$F;@!/tu"</f>
        <v>#VALUE!</v>
      </c>
      <c r="AK275" t="e">
        <f>Europe!D1218+"$F;@!/tv"</f>
        <v>#VALUE!</v>
      </c>
      <c r="AL275" t="e">
        <f>Europe!E1218+"$F;@!/tw"</f>
        <v>#VALUE!</v>
      </c>
      <c r="AM275" t="e">
        <f>Europe!F1218+"$F;@!/tx"</f>
        <v>#VALUE!</v>
      </c>
      <c r="AN275" t="e">
        <f>Europe!G1218+"$F;@!/ty"</f>
        <v>#VALUE!</v>
      </c>
      <c r="AO275" t="e">
        <f>Europe!H1218+"$F;@!/tz"</f>
        <v>#VALUE!</v>
      </c>
      <c r="AP275" t="e">
        <f>Europe!A1219+"$F;@!/t{"</f>
        <v>#VALUE!</v>
      </c>
      <c r="AQ275" t="e">
        <f>Europe!B1219+"$F;@!/t|"</f>
        <v>#VALUE!</v>
      </c>
      <c r="AR275" t="e">
        <f>Europe!C1219+"$F;@!/t}"</f>
        <v>#VALUE!</v>
      </c>
      <c r="AS275" t="e">
        <f>Europe!D1219+"$F;@!/t~"</f>
        <v>#VALUE!</v>
      </c>
      <c r="AT275" t="e">
        <f>Europe!E1219+"$F;@!/u#"</f>
        <v>#VALUE!</v>
      </c>
      <c r="AU275" t="e">
        <f>Europe!F1219+"$F;@!/u$"</f>
        <v>#VALUE!</v>
      </c>
      <c r="AV275" t="e">
        <f>Europe!G1219+"$F;@!/u%"</f>
        <v>#VALUE!</v>
      </c>
      <c r="AW275" t="e">
        <f>Europe!H1219+"$F;@!/u&amp;"</f>
        <v>#VALUE!</v>
      </c>
      <c r="AX275" t="e">
        <f>Europe!A1220+"$F;@!/u'"</f>
        <v>#VALUE!</v>
      </c>
      <c r="AY275" t="e">
        <f>Europe!B1220+"$F;@!/u("</f>
        <v>#VALUE!</v>
      </c>
      <c r="AZ275" t="e">
        <f>Europe!C1220+"$F;@!/u)"</f>
        <v>#VALUE!</v>
      </c>
      <c r="BA275" t="e">
        <f>Europe!D1220+"$F;@!/u."</f>
        <v>#VALUE!</v>
      </c>
      <c r="BB275" t="e">
        <f>Europe!E1220+"$F;@!/u/"</f>
        <v>#VALUE!</v>
      </c>
      <c r="BC275" t="e">
        <f>Europe!F1220+"$F;@!/u0"</f>
        <v>#VALUE!</v>
      </c>
      <c r="BD275" t="e">
        <f>Europe!G1220+"$F;@!/u1"</f>
        <v>#VALUE!</v>
      </c>
      <c r="BE275" t="e">
        <f>Europe!H1220+"$F;@!/u2"</f>
        <v>#VALUE!</v>
      </c>
      <c r="BF275" t="e">
        <f>Europe!A1221+"$F;@!/u3"</f>
        <v>#VALUE!</v>
      </c>
      <c r="BG275" t="e">
        <f>Europe!B1221+"$F;@!/u4"</f>
        <v>#VALUE!</v>
      </c>
      <c r="BH275" t="e">
        <f>Europe!C1221+"$F;@!/u5"</f>
        <v>#VALUE!</v>
      </c>
      <c r="BI275" t="e">
        <f>Europe!D1221+"$F;@!/u6"</f>
        <v>#VALUE!</v>
      </c>
      <c r="BJ275" t="e">
        <f>Europe!E1221+"$F;@!/u7"</f>
        <v>#VALUE!</v>
      </c>
      <c r="BK275" t="e">
        <f>Europe!F1221+"$F;@!/u8"</f>
        <v>#VALUE!</v>
      </c>
      <c r="BL275" t="e">
        <f>Europe!G1221+"$F;@!/u9"</f>
        <v>#VALUE!</v>
      </c>
      <c r="BM275" t="e">
        <f>Europe!H1221+"$F;@!/u:"</f>
        <v>#VALUE!</v>
      </c>
      <c r="BN275" t="e">
        <f>Europe!A1222+"$F;@!/u;"</f>
        <v>#VALUE!</v>
      </c>
      <c r="BO275" t="e">
        <f>Europe!B1222+"$F;@!/u&lt;"</f>
        <v>#VALUE!</v>
      </c>
      <c r="BP275" t="e">
        <f>Europe!C1222+"$F;@!/u="</f>
        <v>#VALUE!</v>
      </c>
      <c r="BQ275" t="e">
        <f>Europe!D1222+"$F;@!/u&gt;"</f>
        <v>#VALUE!</v>
      </c>
      <c r="BR275" t="e">
        <f>Europe!E1222+"$F;@!/u?"</f>
        <v>#VALUE!</v>
      </c>
      <c r="BS275" t="e">
        <f>Europe!F1222+"$F;@!/u@"</f>
        <v>#VALUE!</v>
      </c>
      <c r="BT275" t="e">
        <f>Europe!G1222+"$F;@!/uA"</f>
        <v>#VALUE!</v>
      </c>
      <c r="BU275" t="e">
        <f>Europe!H1222+"$F;@!/uB"</f>
        <v>#VALUE!</v>
      </c>
      <c r="BV275" t="e">
        <f>Europe!A1223+"$F;@!/uC"</f>
        <v>#VALUE!</v>
      </c>
      <c r="BW275" t="e">
        <f>Europe!B1223+"$F;@!/uD"</f>
        <v>#VALUE!</v>
      </c>
      <c r="BX275" t="e">
        <f>Europe!C1223+"$F;@!/uE"</f>
        <v>#VALUE!</v>
      </c>
      <c r="BY275" t="e">
        <f>Europe!D1223+"$F;@!/uF"</f>
        <v>#VALUE!</v>
      </c>
      <c r="BZ275" t="e">
        <f>Europe!E1223+"$F;@!/uG"</f>
        <v>#VALUE!</v>
      </c>
      <c r="CA275" t="e">
        <f>Europe!F1223+"$F;@!/uH"</f>
        <v>#VALUE!</v>
      </c>
      <c r="CB275" t="e">
        <f>Europe!G1223+"$F;@!/uI"</f>
        <v>#VALUE!</v>
      </c>
      <c r="CC275" t="e">
        <f>Europe!H1223+"$F;@!/uJ"</f>
        <v>#VALUE!</v>
      </c>
      <c r="CD275" t="e">
        <f>Europe!A1224+"$F;@!/uK"</f>
        <v>#VALUE!</v>
      </c>
      <c r="CE275" t="e">
        <f>Europe!B1224+"$F;@!/uL"</f>
        <v>#VALUE!</v>
      </c>
      <c r="CF275" t="e">
        <f>Europe!C1224+"$F;@!/uM"</f>
        <v>#VALUE!</v>
      </c>
      <c r="CG275" t="e">
        <f>Europe!D1224+"$F;@!/uN"</f>
        <v>#VALUE!</v>
      </c>
      <c r="CH275" t="e">
        <f>Europe!E1224+"$F;@!/uO"</f>
        <v>#VALUE!</v>
      </c>
      <c r="CI275" t="e">
        <f>Europe!F1224+"$F;@!/uP"</f>
        <v>#VALUE!</v>
      </c>
      <c r="CJ275" t="e">
        <f>Europe!G1224+"$F;@!/uQ"</f>
        <v>#VALUE!</v>
      </c>
      <c r="CK275" t="e">
        <f>Europe!H1224+"$F;@!/uR"</f>
        <v>#VALUE!</v>
      </c>
      <c r="CL275" t="e">
        <f>Europe!A1225+"$F;@!/uS"</f>
        <v>#VALUE!</v>
      </c>
      <c r="CM275" t="e">
        <f>Europe!B1225+"$F;@!/uT"</f>
        <v>#VALUE!</v>
      </c>
      <c r="CN275" t="e">
        <f>Europe!C1225+"$F;@!/uU"</f>
        <v>#VALUE!</v>
      </c>
      <c r="CO275" t="e">
        <f>Europe!D1225+"$F;@!/uV"</f>
        <v>#VALUE!</v>
      </c>
      <c r="CP275" t="e">
        <f>Europe!E1225+"$F;@!/uW"</f>
        <v>#VALUE!</v>
      </c>
      <c r="CQ275" t="e">
        <f>Europe!F1225+"$F;@!/uX"</f>
        <v>#VALUE!</v>
      </c>
      <c r="CR275" t="e">
        <f>Europe!G1225+"$F;@!/uY"</f>
        <v>#VALUE!</v>
      </c>
      <c r="CS275" t="e">
        <f>Europe!H1225+"$F;@!/uZ"</f>
        <v>#VALUE!</v>
      </c>
      <c r="CT275" t="e">
        <f>Europe!A1226+"$F;@!/u["</f>
        <v>#VALUE!</v>
      </c>
      <c r="CU275" t="e">
        <f>Europe!B1226+"$F;@!/u\"</f>
        <v>#VALUE!</v>
      </c>
      <c r="CV275" t="e">
        <f>Europe!C1226+"$F;@!/u]"</f>
        <v>#VALUE!</v>
      </c>
      <c r="CW275" t="e">
        <f>Europe!D1226+"$F;@!/u^"</f>
        <v>#VALUE!</v>
      </c>
      <c r="CX275" t="e">
        <f>Europe!E1226+"$F;@!/u_"</f>
        <v>#VALUE!</v>
      </c>
      <c r="CY275" t="e">
        <f>Europe!F1226+"$F;@!/u`"</f>
        <v>#VALUE!</v>
      </c>
      <c r="CZ275" t="e">
        <f>Europe!G1226+"$F;@!/ua"</f>
        <v>#VALUE!</v>
      </c>
      <c r="DA275" t="e">
        <f>Europe!H1226+"$F;@!/ub"</f>
        <v>#VALUE!</v>
      </c>
      <c r="DB275" t="e">
        <f>Europe!A1227+"$F;@!/uc"</f>
        <v>#VALUE!</v>
      </c>
      <c r="DC275" t="e">
        <f>Europe!B1227+"$F;@!/ud"</f>
        <v>#VALUE!</v>
      </c>
      <c r="DD275" t="e">
        <f>Europe!C1227+"$F;@!/ue"</f>
        <v>#VALUE!</v>
      </c>
      <c r="DE275" t="e">
        <f>Europe!D1227+"$F;@!/uf"</f>
        <v>#VALUE!</v>
      </c>
      <c r="DF275" t="e">
        <f>Europe!E1227+"$F;@!/ug"</f>
        <v>#VALUE!</v>
      </c>
      <c r="DG275" t="e">
        <f>Europe!F1227+"$F;@!/uh"</f>
        <v>#VALUE!</v>
      </c>
      <c r="DH275" t="e">
        <f>Europe!G1227+"$F;@!/ui"</f>
        <v>#VALUE!</v>
      </c>
      <c r="DI275" t="e">
        <f>Europe!H1227+"$F;@!/uj"</f>
        <v>#VALUE!</v>
      </c>
      <c r="DJ275" t="e">
        <f>Europe!A1228+"$F;@!/uk"</f>
        <v>#VALUE!</v>
      </c>
      <c r="DK275" t="e">
        <f>Europe!B1228+"$F;@!/ul"</f>
        <v>#VALUE!</v>
      </c>
      <c r="DL275" t="e">
        <f>Europe!C1228+"$F;@!/um"</f>
        <v>#VALUE!</v>
      </c>
      <c r="DM275" t="e">
        <f>Europe!D1228+"$F;@!/un"</f>
        <v>#VALUE!</v>
      </c>
      <c r="DN275" t="e">
        <f>Europe!E1228+"$F;@!/uo"</f>
        <v>#VALUE!</v>
      </c>
      <c r="DO275" t="e">
        <f>Europe!F1228+"$F;@!/up"</f>
        <v>#VALUE!</v>
      </c>
      <c r="DP275" t="e">
        <f>Europe!G1228+"$F;@!/uq"</f>
        <v>#VALUE!</v>
      </c>
      <c r="DQ275" t="e">
        <f>Europe!H1228+"$F;@!/ur"</f>
        <v>#VALUE!</v>
      </c>
      <c r="DR275" t="e">
        <f>Europe!A1229+"$F;@!/us"</f>
        <v>#VALUE!</v>
      </c>
      <c r="DS275" t="e">
        <f>Europe!B1229+"$F;@!/ut"</f>
        <v>#VALUE!</v>
      </c>
      <c r="DT275" t="e">
        <f>Europe!C1229+"$F;@!/uu"</f>
        <v>#VALUE!</v>
      </c>
      <c r="DU275" t="e">
        <f>Europe!D1229+"$F;@!/uv"</f>
        <v>#VALUE!</v>
      </c>
      <c r="DV275" t="e">
        <f>Europe!E1229+"$F;@!/uw"</f>
        <v>#VALUE!</v>
      </c>
      <c r="DW275" t="e">
        <f>Europe!F1229+"$F;@!/ux"</f>
        <v>#VALUE!</v>
      </c>
      <c r="DX275" t="e">
        <f>Europe!G1229+"$F;@!/uy"</f>
        <v>#VALUE!</v>
      </c>
      <c r="DY275" t="e">
        <f>Europe!H1229+"$F;@!/uz"</f>
        <v>#VALUE!</v>
      </c>
      <c r="DZ275" t="e">
        <f>Europe!A1230+"$F;@!/u{"</f>
        <v>#VALUE!</v>
      </c>
      <c r="EA275" t="e">
        <f>Europe!B1230+"$F;@!/u|"</f>
        <v>#VALUE!</v>
      </c>
      <c r="EB275" t="e">
        <f>Europe!C1230+"$F;@!/u}"</f>
        <v>#VALUE!</v>
      </c>
      <c r="EC275" t="e">
        <f>Europe!D1230+"$F;@!/u~"</f>
        <v>#VALUE!</v>
      </c>
      <c r="ED275" t="e">
        <f>Europe!E1230+"$F;@!/v#"</f>
        <v>#VALUE!</v>
      </c>
      <c r="EE275" t="e">
        <f>Europe!F1230+"$F;@!/v$"</f>
        <v>#VALUE!</v>
      </c>
      <c r="EF275" t="e">
        <f>Europe!G1230+"$F;@!/v%"</f>
        <v>#VALUE!</v>
      </c>
      <c r="EG275" t="e">
        <f>Europe!H1230+"$F;@!/v&amp;"</f>
        <v>#VALUE!</v>
      </c>
      <c r="EH275" t="e">
        <f>Europe!A1231+"$F;@!/v'"</f>
        <v>#VALUE!</v>
      </c>
      <c r="EI275" t="e">
        <f>Europe!B1231+"$F;@!/v("</f>
        <v>#VALUE!</v>
      </c>
      <c r="EJ275" t="e">
        <f>Europe!C1231+"$F;@!/v)"</f>
        <v>#VALUE!</v>
      </c>
      <c r="EK275" t="e">
        <f>Europe!D1231+"$F;@!/v."</f>
        <v>#VALUE!</v>
      </c>
      <c r="EL275" t="e">
        <f>Europe!E1231+"$F;@!/v/"</f>
        <v>#VALUE!</v>
      </c>
      <c r="EM275" t="e">
        <f>Europe!F1231+"$F;@!/v0"</f>
        <v>#VALUE!</v>
      </c>
      <c r="EN275" t="e">
        <f>Europe!G1231+"$F;@!/v1"</f>
        <v>#VALUE!</v>
      </c>
      <c r="EO275" t="e">
        <f>Europe!H1231+"$F;@!/v2"</f>
        <v>#VALUE!</v>
      </c>
      <c r="EP275" t="e">
        <f>Europe!A1232+"$F;@!/v3"</f>
        <v>#VALUE!</v>
      </c>
      <c r="EQ275" t="e">
        <f>Europe!B1232+"$F;@!/v4"</f>
        <v>#VALUE!</v>
      </c>
      <c r="ER275" t="e">
        <f>Europe!C1232+"$F;@!/v5"</f>
        <v>#VALUE!</v>
      </c>
      <c r="ES275" t="e">
        <f>Europe!D1232+"$F;@!/v6"</f>
        <v>#VALUE!</v>
      </c>
      <c r="ET275" t="e">
        <f>Europe!E1232+"$F;@!/v7"</f>
        <v>#VALUE!</v>
      </c>
      <c r="EU275" t="e">
        <f>Europe!F1232+"$F;@!/v8"</f>
        <v>#VALUE!</v>
      </c>
      <c r="EV275" t="e">
        <f>Europe!G1232+"$F;@!/v9"</f>
        <v>#VALUE!</v>
      </c>
      <c r="EW275" t="e">
        <f>Europe!H1232+"$F;@!/v:"</f>
        <v>#VALUE!</v>
      </c>
      <c r="EX275" t="e">
        <f>Europe!A1233+"$F;@!/v;"</f>
        <v>#VALUE!</v>
      </c>
      <c r="EY275" t="e">
        <f>Europe!B1233+"$F;@!/v&lt;"</f>
        <v>#VALUE!</v>
      </c>
      <c r="EZ275" t="e">
        <f>Europe!C1233+"$F;@!/v="</f>
        <v>#VALUE!</v>
      </c>
      <c r="FA275" t="e">
        <f>Europe!D1233+"$F;@!/v&gt;"</f>
        <v>#VALUE!</v>
      </c>
      <c r="FB275" t="e">
        <f>Europe!E1233+"$F;@!/v?"</f>
        <v>#VALUE!</v>
      </c>
      <c r="FC275" t="e">
        <f>Europe!F1233+"$F;@!/v@"</f>
        <v>#VALUE!</v>
      </c>
      <c r="FD275" t="e">
        <f>Europe!G1233+"$F;@!/vA"</f>
        <v>#VALUE!</v>
      </c>
      <c r="FE275" t="e">
        <f>Europe!H1233+"$F;@!/vB"</f>
        <v>#VALUE!</v>
      </c>
      <c r="FF275" t="e">
        <f>Europe!A1234+"$F;@!/vC"</f>
        <v>#VALUE!</v>
      </c>
      <c r="FG275" t="e">
        <f>Europe!B1234+"$F;@!/vD"</f>
        <v>#VALUE!</v>
      </c>
      <c r="FH275" t="e">
        <f>Europe!C1234+"$F;@!/vE"</f>
        <v>#VALUE!</v>
      </c>
      <c r="FI275" t="e">
        <f>Europe!D1234+"$F;@!/vF"</f>
        <v>#VALUE!</v>
      </c>
      <c r="FJ275" t="e">
        <f>Europe!E1234+"$F;@!/vG"</f>
        <v>#VALUE!</v>
      </c>
      <c r="FK275" t="e">
        <f>Europe!F1234+"$F;@!/vH"</f>
        <v>#VALUE!</v>
      </c>
      <c r="FL275" t="e">
        <f>Europe!G1234+"$F;@!/vI"</f>
        <v>#VALUE!</v>
      </c>
      <c r="FM275" t="e">
        <f>Europe!H1234+"$F;@!/vJ"</f>
        <v>#VALUE!</v>
      </c>
      <c r="FN275" t="e">
        <f>Europe!A1235+"$F;@!/vK"</f>
        <v>#VALUE!</v>
      </c>
      <c r="FO275" t="e">
        <f>Europe!B1235+"$F;@!/vL"</f>
        <v>#VALUE!</v>
      </c>
      <c r="FP275" t="e">
        <f>Europe!C1235+"$F;@!/vM"</f>
        <v>#VALUE!</v>
      </c>
      <c r="FQ275" t="e">
        <f>Europe!D1235+"$F;@!/vN"</f>
        <v>#VALUE!</v>
      </c>
      <c r="FR275" t="e">
        <f>Europe!E1235+"$F;@!/vO"</f>
        <v>#VALUE!</v>
      </c>
      <c r="FS275" t="e">
        <f>Europe!F1235+"$F;@!/vP"</f>
        <v>#VALUE!</v>
      </c>
      <c r="FT275" t="e">
        <f>Europe!G1235+"$F;@!/vQ"</f>
        <v>#VALUE!</v>
      </c>
      <c r="FU275" t="e">
        <f>Europe!H1235+"$F;@!/vR"</f>
        <v>#VALUE!</v>
      </c>
      <c r="FV275" t="e">
        <f>Europe!A1236+"$F;@!/vS"</f>
        <v>#VALUE!</v>
      </c>
      <c r="FW275" t="e">
        <f>Europe!B1236+"$F;@!/vT"</f>
        <v>#VALUE!</v>
      </c>
      <c r="FX275" t="e">
        <f>Europe!C1236+"$F;@!/vU"</f>
        <v>#VALUE!</v>
      </c>
      <c r="FY275" t="e">
        <f>Europe!D1236+"$F;@!/vV"</f>
        <v>#VALUE!</v>
      </c>
      <c r="FZ275" t="e">
        <f>Europe!E1236+"$F;@!/vW"</f>
        <v>#VALUE!</v>
      </c>
      <c r="GA275" t="e">
        <f>Europe!F1236+"$F;@!/vX"</f>
        <v>#VALUE!</v>
      </c>
      <c r="GB275" t="e">
        <f>Europe!G1236+"$F;@!/vY"</f>
        <v>#VALUE!</v>
      </c>
      <c r="GC275" t="e">
        <f>Europe!H1236+"$F;@!/vZ"</f>
        <v>#VALUE!</v>
      </c>
      <c r="GD275" t="e">
        <f>Europe!A1237+"$F;@!/v["</f>
        <v>#VALUE!</v>
      </c>
      <c r="GE275" t="e">
        <f>Europe!B1237+"$F;@!/v\"</f>
        <v>#VALUE!</v>
      </c>
      <c r="GF275" t="e">
        <f>Europe!C1237+"$F;@!/v]"</f>
        <v>#VALUE!</v>
      </c>
      <c r="GG275" t="e">
        <f>Europe!D1237+"$F;@!/v^"</f>
        <v>#VALUE!</v>
      </c>
      <c r="GH275" t="e">
        <f>Europe!E1237+"$F;@!/v_"</f>
        <v>#VALUE!</v>
      </c>
      <c r="GI275" t="e">
        <f>Europe!F1237+"$F;@!/v`"</f>
        <v>#VALUE!</v>
      </c>
      <c r="GJ275" t="e">
        <f>Europe!G1237+"$F;@!/va"</f>
        <v>#VALUE!</v>
      </c>
      <c r="GK275" t="e">
        <f>Europe!H1237+"$F;@!/vb"</f>
        <v>#VALUE!</v>
      </c>
      <c r="GL275" t="e">
        <f>Europe!A1238+"$F;@!/vc"</f>
        <v>#VALUE!</v>
      </c>
      <c r="GM275" t="e">
        <f>Europe!B1238+"$F;@!/vd"</f>
        <v>#VALUE!</v>
      </c>
      <c r="GN275" t="e">
        <f>Europe!C1238+"$F;@!/ve"</f>
        <v>#VALUE!</v>
      </c>
      <c r="GO275" t="e">
        <f>Europe!D1238+"$F;@!/vf"</f>
        <v>#VALUE!</v>
      </c>
      <c r="GP275" t="e">
        <f>Europe!E1238+"$F;@!/vg"</f>
        <v>#VALUE!</v>
      </c>
      <c r="GQ275" t="e">
        <f>Europe!F1238+"$F;@!/vh"</f>
        <v>#VALUE!</v>
      </c>
      <c r="GR275" t="e">
        <f>Europe!G1238+"$F;@!/vi"</f>
        <v>#VALUE!</v>
      </c>
      <c r="GS275" t="e">
        <f>Europe!H1238+"$F;@!/vj"</f>
        <v>#VALUE!</v>
      </c>
      <c r="GT275" t="e">
        <f>Europe!A1239+"$F;@!/vk"</f>
        <v>#VALUE!</v>
      </c>
      <c r="GU275" t="e">
        <f>Europe!B1239+"$F;@!/vl"</f>
        <v>#VALUE!</v>
      </c>
      <c r="GV275" t="e">
        <f>Europe!C1239+"$F;@!/vm"</f>
        <v>#VALUE!</v>
      </c>
      <c r="GW275" t="e">
        <f>Europe!D1239+"$F;@!/vn"</f>
        <v>#VALUE!</v>
      </c>
      <c r="GX275" t="e">
        <f>Europe!E1239+"$F;@!/vo"</f>
        <v>#VALUE!</v>
      </c>
      <c r="GY275" t="e">
        <f>Europe!F1239+"$F;@!/vp"</f>
        <v>#VALUE!</v>
      </c>
      <c r="GZ275" t="e">
        <f>Europe!G1239+"$F;@!/vq"</f>
        <v>#VALUE!</v>
      </c>
      <c r="HA275" t="e">
        <f>Europe!H1239+"$F;@!/vr"</f>
        <v>#VALUE!</v>
      </c>
      <c r="HB275" t="e">
        <f>Europe!A1240+"$F;@!/vs"</f>
        <v>#VALUE!</v>
      </c>
      <c r="HC275" t="e">
        <f>Europe!B1240+"$F;@!/vt"</f>
        <v>#VALUE!</v>
      </c>
      <c r="HD275" t="e">
        <f>Europe!C1240+"$F;@!/vu"</f>
        <v>#VALUE!</v>
      </c>
      <c r="HE275" t="e">
        <f>Europe!D1240+"$F;@!/vv"</f>
        <v>#VALUE!</v>
      </c>
      <c r="HF275" t="e">
        <f>Europe!E1240+"$F;@!/vw"</f>
        <v>#VALUE!</v>
      </c>
      <c r="HG275" t="e">
        <f>Europe!F1240+"$F;@!/vx"</f>
        <v>#VALUE!</v>
      </c>
      <c r="HH275" t="e">
        <f>Europe!G1240+"$F;@!/vy"</f>
        <v>#VALUE!</v>
      </c>
      <c r="HI275" t="e">
        <f>Europe!H1240+"$F;@!/vz"</f>
        <v>#VALUE!</v>
      </c>
      <c r="HJ275" t="e">
        <f>Europe!A1241+"$F;@!/v{"</f>
        <v>#VALUE!</v>
      </c>
      <c r="HK275" t="e">
        <f>Europe!B1241+"$F;@!/v|"</f>
        <v>#VALUE!</v>
      </c>
      <c r="HL275" t="e">
        <f>Europe!C1241+"$F;@!/v}"</f>
        <v>#VALUE!</v>
      </c>
      <c r="HM275" t="e">
        <f>Europe!D1241+"$F;@!/v~"</f>
        <v>#VALUE!</v>
      </c>
      <c r="HN275" t="e">
        <f>Europe!E1241+"$F;@!/w#"</f>
        <v>#VALUE!</v>
      </c>
      <c r="HO275" t="e">
        <f>Europe!F1241+"$F;@!/w$"</f>
        <v>#VALUE!</v>
      </c>
      <c r="HP275" t="e">
        <f>Europe!G1241+"$F;@!/w%"</f>
        <v>#VALUE!</v>
      </c>
      <c r="HQ275" t="e">
        <f>Europe!H1241+"$F;@!/w&amp;"</f>
        <v>#VALUE!</v>
      </c>
      <c r="HR275" t="e">
        <f>Europe!A1242+"$F;@!/w'"</f>
        <v>#VALUE!</v>
      </c>
      <c r="HS275" t="e">
        <f>Europe!B1242+"$F;@!/w("</f>
        <v>#VALUE!</v>
      </c>
      <c r="HT275" t="e">
        <f>Europe!C1242+"$F;@!/w)"</f>
        <v>#VALUE!</v>
      </c>
      <c r="HU275" t="e">
        <f>Europe!D1242+"$F;@!/w."</f>
        <v>#VALUE!</v>
      </c>
      <c r="HV275" t="e">
        <f>Europe!E1242+"$F;@!/w/"</f>
        <v>#VALUE!</v>
      </c>
      <c r="HW275" t="e">
        <f>Europe!F1242+"$F;@!/w0"</f>
        <v>#VALUE!</v>
      </c>
      <c r="HX275" t="e">
        <f>Europe!G1242+"$F;@!/w1"</f>
        <v>#VALUE!</v>
      </c>
      <c r="HY275" t="e">
        <f>Europe!H1242+"$F;@!/w2"</f>
        <v>#VALUE!</v>
      </c>
      <c r="HZ275" t="e">
        <f>Europe!A1243+"$F;@!/w3"</f>
        <v>#VALUE!</v>
      </c>
      <c r="IA275" t="e">
        <f>Europe!B1243+"$F;@!/w4"</f>
        <v>#VALUE!</v>
      </c>
      <c r="IB275" t="e">
        <f>Europe!C1243+"$F;@!/w5"</f>
        <v>#VALUE!</v>
      </c>
      <c r="IC275" t="e">
        <f>Europe!D1243+"$F;@!/w6"</f>
        <v>#VALUE!</v>
      </c>
      <c r="ID275" t="e">
        <f>Europe!E1243+"$F;@!/w7"</f>
        <v>#VALUE!</v>
      </c>
      <c r="IE275" t="e">
        <f>Europe!F1243+"$F;@!/w8"</f>
        <v>#VALUE!</v>
      </c>
      <c r="IF275" t="e">
        <f>Europe!G1243+"$F;@!/w9"</f>
        <v>#VALUE!</v>
      </c>
      <c r="IG275" t="e">
        <f>Europe!H1243+"$F;@!/w:"</f>
        <v>#VALUE!</v>
      </c>
      <c r="IH275" t="e">
        <f>Europe!A1244+"$F;@!/w;"</f>
        <v>#VALUE!</v>
      </c>
      <c r="II275" t="e">
        <f>Europe!B1244+"$F;@!/w&lt;"</f>
        <v>#VALUE!</v>
      </c>
      <c r="IJ275" t="e">
        <f>Europe!C1244+"$F;@!/w="</f>
        <v>#VALUE!</v>
      </c>
      <c r="IK275" t="e">
        <f>Europe!D1244+"$F;@!/w&gt;"</f>
        <v>#VALUE!</v>
      </c>
      <c r="IL275" t="e">
        <f>Europe!E1244+"$F;@!/w?"</f>
        <v>#VALUE!</v>
      </c>
      <c r="IM275" t="e">
        <f>Europe!F1244+"$F;@!/w@"</f>
        <v>#VALUE!</v>
      </c>
      <c r="IN275" t="e">
        <f>Europe!G1244+"$F;@!/wA"</f>
        <v>#VALUE!</v>
      </c>
      <c r="IO275" t="e">
        <f>Europe!H1244+"$F;@!/wB"</f>
        <v>#VALUE!</v>
      </c>
      <c r="IP275" t="e">
        <f>Europe!A1245+"$F;@!/wC"</f>
        <v>#VALUE!</v>
      </c>
      <c r="IQ275" t="e">
        <f>Europe!B1245+"$F;@!/wD"</f>
        <v>#VALUE!</v>
      </c>
      <c r="IR275" t="e">
        <f>Europe!C1245+"$F;@!/wE"</f>
        <v>#VALUE!</v>
      </c>
      <c r="IS275" t="e">
        <f>Europe!D1245+"$F;@!/wF"</f>
        <v>#VALUE!</v>
      </c>
      <c r="IT275" t="e">
        <f>Europe!E1245+"$F;@!/wG"</f>
        <v>#VALUE!</v>
      </c>
      <c r="IU275" t="e">
        <f>Europe!F1245+"$F;@!/wH"</f>
        <v>#VALUE!</v>
      </c>
      <c r="IV275" t="e">
        <f>Europe!G1245+"$F;@!/wI"</f>
        <v>#VALUE!</v>
      </c>
    </row>
    <row r="276" spans="6:256" x14ac:dyDescent="0.35">
      <c r="F276" t="e">
        <f>Europe!H1245+"$F;@!/wJ"</f>
        <v>#VALUE!</v>
      </c>
      <c r="G276" t="e">
        <f>Europe!A1246+"$F;@!/wK"</f>
        <v>#VALUE!</v>
      </c>
      <c r="H276" t="e">
        <f>Europe!B1246+"$F;@!/wL"</f>
        <v>#VALUE!</v>
      </c>
      <c r="I276" t="e">
        <f>Europe!C1246+"$F;@!/wM"</f>
        <v>#VALUE!</v>
      </c>
      <c r="J276" t="e">
        <f>Europe!D1246+"$F;@!/wN"</f>
        <v>#VALUE!</v>
      </c>
      <c r="K276" t="e">
        <f>Europe!E1246+"$F;@!/wO"</f>
        <v>#VALUE!</v>
      </c>
      <c r="L276" t="e">
        <f>Europe!F1246+"$F;@!/wP"</f>
        <v>#VALUE!</v>
      </c>
      <c r="M276" t="e">
        <f>Europe!G1246+"$F;@!/wQ"</f>
        <v>#VALUE!</v>
      </c>
      <c r="N276" t="e">
        <f>Europe!H1246+"$F;@!/wR"</f>
        <v>#VALUE!</v>
      </c>
      <c r="O276" t="e">
        <f>Europe!A1247+"$F;@!/wS"</f>
        <v>#VALUE!</v>
      </c>
      <c r="P276" t="e">
        <f>Europe!B1247+"$F;@!/wT"</f>
        <v>#VALUE!</v>
      </c>
      <c r="Q276" t="e">
        <f>Europe!C1247+"$F;@!/wU"</f>
        <v>#VALUE!</v>
      </c>
      <c r="R276" t="e">
        <f>Europe!D1247+"$F;@!/wV"</f>
        <v>#VALUE!</v>
      </c>
      <c r="S276" t="e">
        <f>Europe!E1247+"$F;@!/wW"</f>
        <v>#VALUE!</v>
      </c>
      <c r="T276" t="e">
        <f>Europe!F1247+"$F;@!/wX"</f>
        <v>#VALUE!</v>
      </c>
      <c r="U276" t="e">
        <f>Europe!G1247+"$F;@!/wY"</f>
        <v>#VALUE!</v>
      </c>
      <c r="V276" t="e">
        <f>Europe!H1247+"$F;@!/wZ"</f>
        <v>#VALUE!</v>
      </c>
      <c r="W276" t="e">
        <f>Europe!A1248+"$F;@!/w["</f>
        <v>#VALUE!</v>
      </c>
      <c r="X276" t="e">
        <f>Europe!B1248+"$F;@!/w\"</f>
        <v>#VALUE!</v>
      </c>
      <c r="Y276" t="e">
        <f>Europe!C1248+"$F;@!/w]"</f>
        <v>#VALUE!</v>
      </c>
      <c r="Z276" t="e">
        <f>Europe!D1248+"$F;@!/w^"</f>
        <v>#VALUE!</v>
      </c>
      <c r="AA276" t="e">
        <f>Europe!E1248+"$F;@!/w_"</f>
        <v>#VALUE!</v>
      </c>
      <c r="AB276" t="e">
        <f>Europe!F1248+"$F;@!/w`"</f>
        <v>#VALUE!</v>
      </c>
      <c r="AC276" t="e">
        <f>Europe!G1248+"$F;@!/wa"</f>
        <v>#VALUE!</v>
      </c>
      <c r="AD276" t="e">
        <f>Europe!H1248+"$F;@!/wb"</f>
        <v>#VALUE!</v>
      </c>
      <c r="AE276" t="e">
        <f>Europe!A1249+"$F;@!/wc"</f>
        <v>#VALUE!</v>
      </c>
      <c r="AF276" t="e">
        <f>Europe!B1249+"$F;@!/wd"</f>
        <v>#VALUE!</v>
      </c>
      <c r="AG276" t="e">
        <f>Europe!C1249+"$F;@!/we"</f>
        <v>#VALUE!</v>
      </c>
      <c r="AH276" t="e">
        <f>Europe!D1249+"$F;@!/wf"</f>
        <v>#VALUE!</v>
      </c>
      <c r="AI276" t="e">
        <f>Europe!E1249+"$F;@!/wg"</f>
        <v>#VALUE!</v>
      </c>
      <c r="AJ276" t="e">
        <f>Europe!F1249+"$F;@!/wh"</f>
        <v>#VALUE!</v>
      </c>
      <c r="AK276" t="e">
        <f>Europe!G1249+"$F;@!/wi"</f>
        <v>#VALUE!</v>
      </c>
      <c r="AL276" t="e">
        <f>Europe!H1249+"$F;@!/wj"</f>
        <v>#VALUE!</v>
      </c>
      <c r="AM276" t="e">
        <f>Europe!A1250+"$F;@!/wk"</f>
        <v>#VALUE!</v>
      </c>
      <c r="AN276" t="e">
        <f>Europe!B1250+"$F;@!/wl"</f>
        <v>#VALUE!</v>
      </c>
      <c r="AO276" t="e">
        <f>Europe!C1250+"$F;@!/wm"</f>
        <v>#VALUE!</v>
      </c>
      <c r="AP276" t="e">
        <f>Europe!D1250+"$F;@!/wn"</f>
        <v>#VALUE!</v>
      </c>
      <c r="AQ276" t="e">
        <f>Europe!E1250+"$F;@!/wo"</f>
        <v>#VALUE!</v>
      </c>
      <c r="AR276" t="e">
        <f>Europe!F1250+"$F;@!/wp"</f>
        <v>#VALUE!</v>
      </c>
      <c r="AS276" t="e">
        <f>Europe!G1250+"$F;@!/wq"</f>
        <v>#VALUE!</v>
      </c>
      <c r="AT276" t="e">
        <f>Europe!H1250+"$F;@!/wr"</f>
        <v>#VALUE!</v>
      </c>
      <c r="AU276" t="e">
        <f>Europe!A1251+"$F;@!/ws"</f>
        <v>#VALUE!</v>
      </c>
      <c r="AV276" t="e">
        <f>Europe!B1251+"$F;@!/wt"</f>
        <v>#VALUE!</v>
      </c>
      <c r="AW276" t="e">
        <f>Europe!C1251+"$F;@!/wu"</f>
        <v>#VALUE!</v>
      </c>
      <c r="AX276" t="e">
        <f>Europe!D1251+"$F;@!/wv"</f>
        <v>#VALUE!</v>
      </c>
      <c r="AY276" t="e">
        <f>Europe!E1251+"$F;@!/ww"</f>
        <v>#VALUE!</v>
      </c>
      <c r="AZ276" t="e">
        <f>Europe!F1251+"$F;@!/wx"</f>
        <v>#VALUE!</v>
      </c>
      <c r="BA276" t="e">
        <f>Europe!G1251+"$F;@!/wy"</f>
        <v>#VALUE!</v>
      </c>
      <c r="BB276" t="e">
        <f>Europe!H1251+"$F;@!/wz"</f>
        <v>#VALUE!</v>
      </c>
      <c r="BC276" t="e">
        <f>Europe!A1252+"$F;@!/w{"</f>
        <v>#VALUE!</v>
      </c>
      <c r="BD276" t="e">
        <f>Europe!B1252+"$F;@!/w|"</f>
        <v>#VALUE!</v>
      </c>
      <c r="BE276" t="e">
        <f>Europe!C1252+"$F;@!/w}"</f>
        <v>#VALUE!</v>
      </c>
      <c r="BF276" t="e">
        <f>Europe!D1252+"$F;@!/w~"</f>
        <v>#VALUE!</v>
      </c>
      <c r="BG276" t="e">
        <f>Europe!E1252+"$F;@!/x#"</f>
        <v>#VALUE!</v>
      </c>
      <c r="BH276" t="e">
        <f>Europe!F1252+"$F;@!/x$"</f>
        <v>#VALUE!</v>
      </c>
      <c r="BI276" t="e">
        <f>Europe!G1252+"$F;@!/x%"</f>
        <v>#VALUE!</v>
      </c>
      <c r="BJ276" t="e">
        <f>Europe!H1252+"$F;@!/x&amp;"</f>
        <v>#VALUE!</v>
      </c>
      <c r="BK276" t="e">
        <f>Europe!A1253+"$F;@!/x'"</f>
        <v>#VALUE!</v>
      </c>
      <c r="BL276" t="e">
        <f>Europe!B1253+"$F;@!/x("</f>
        <v>#VALUE!</v>
      </c>
      <c r="BM276" t="e">
        <f>Europe!C1253+"$F;@!/x)"</f>
        <v>#VALUE!</v>
      </c>
      <c r="BN276" t="e">
        <f>Europe!D1253+"$F;@!/x."</f>
        <v>#VALUE!</v>
      </c>
      <c r="BO276" t="e">
        <f>Europe!E1253+"$F;@!/x/"</f>
        <v>#VALUE!</v>
      </c>
      <c r="BP276" t="e">
        <f>Europe!F1253+"$F;@!/x0"</f>
        <v>#VALUE!</v>
      </c>
      <c r="BQ276" t="e">
        <f>Europe!G1253+"$F;@!/x1"</f>
        <v>#VALUE!</v>
      </c>
      <c r="BR276" t="e">
        <f>Europe!H1253+"$F;@!/x2"</f>
        <v>#VALUE!</v>
      </c>
      <c r="BS276" t="e">
        <f>Europe!A1254+"$F;@!/x3"</f>
        <v>#VALUE!</v>
      </c>
      <c r="BT276" t="e">
        <f>Europe!B1254+"$F;@!/x4"</f>
        <v>#VALUE!</v>
      </c>
      <c r="BU276" t="e">
        <f>Europe!C1254+"$F;@!/x5"</f>
        <v>#VALUE!</v>
      </c>
      <c r="BV276" t="e">
        <f>Europe!D1254+"$F;@!/x6"</f>
        <v>#VALUE!</v>
      </c>
      <c r="BW276" t="e">
        <f>Europe!E1254+"$F;@!/x7"</f>
        <v>#VALUE!</v>
      </c>
      <c r="BX276" t="e">
        <f>Europe!F1254+"$F;@!/x8"</f>
        <v>#VALUE!</v>
      </c>
      <c r="BY276" t="e">
        <f>Europe!G1254+"$F;@!/x9"</f>
        <v>#VALUE!</v>
      </c>
      <c r="BZ276" t="e">
        <f>Europe!H1254+"$F;@!/x:"</f>
        <v>#VALUE!</v>
      </c>
      <c r="CA276" t="e">
        <f>Europe!A1255+"$F;@!/x;"</f>
        <v>#VALUE!</v>
      </c>
      <c r="CB276" t="e">
        <f>Europe!B1255+"$F;@!/x&lt;"</f>
        <v>#VALUE!</v>
      </c>
      <c r="CC276" t="e">
        <f>Europe!C1255+"$F;@!/x="</f>
        <v>#VALUE!</v>
      </c>
      <c r="CD276" t="e">
        <f>Europe!D1255+"$F;@!/x&gt;"</f>
        <v>#VALUE!</v>
      </c>
      <c r="CE276" t="e">
        <f>Europe!E1255+"$F;@!/x?"</f>
        <v>#VALUE!</v>
      </c>
      <c r="CF276" t="e">
        <f>Europe!F1255+"$F;@!/x@"</f>
        <v>#VALUE!</v>
      </c>
      <c r="CG276" t="e">
        <f>Europe!G1255+"$F;@!/xA"</f>
        <v>#VALUE!</v>
      </c>
      <c r="CH276" t="e">
        <f>Europe!H1255+"$F;@!/xB"</f>
        <v>#VALUE!</v>
      </c>
      <c r="CI276" t="e">
        <f>Europe!A1256+"$F;@!/xC"</f>
        <v>#VALUE!</v>
      </c>
      <c r="CJ276" t="e">
        <f>Europe!B1256+"$F;@!/xD"</f>
        <v>#VALUE!</v>
      </c>
      <c r="CK276" t="e">
        <f>Europe!C1256+"$F;@!/xE"</f>
        <v>#VALUE!</v>
      </c>
      <c r="CL276" t="e">
        <f>Europe!D1256+"$F;@!/xF"</f>
        <v>#VALUE!</v>
      </c>
      <c r="CM276" t="e">
        <f>Europe!E1256+"$F;@!/xG"</f>
        <v>#VALUE!</v>
      </c>
      <c r="CN276" t="e">
        <f>Europe!F1256+"$F;@!/xH"</f>
        <v>#VALUE!</v>
      </c>
      <c r="CO276" t="e">
        <f>Europe!G1256+"$F;@!/xI"</f>
        <v>#VALUE!</v>
      </c>
      <c r="CP276" t="e">
        <f>Europe!H1256+"$F;@!/xJ"</f>
        <v>#VALUE!</v>
      </c>
      <c r="CQ276" t="e">
        <f>Europe!A1257+"$F;@!/xK"</f>
        <v>#VALUE!</v>
      </c>
      <c r="CR276" t="e">
        <f>Europe!B1257+"$F;@!/xL"</f>
        <v>#VALUE!</v>
      </c>
      <c r="CS276" t="e">
        <f>Europe!C1257+"$F;@!/xM"</f>
        <v>#VALUE!</v>
      </c>
      <c r="CT276" t="e">
        <f>Europe!D1257+"$F;@!/xN"</f>
        <v>#VALUE!</v>
      </c>
      <c r="CU276" t="e">
        <f>Europe!E1257+"$F;@!/xO"</f>
        <v>#VALUE!</v>
      </c>
      <c r="CV276" t="e">
        <f>Europe!F1257+"$F;@!/xP"</f>
        <v>#VALUE!</v>
      </c>
      <c r="CW276" t="e">
        <f>Europe!G1257+"$F;@!/xQ"</f>
        <v>#VALUE!</v>
      </c>
      <c r="CX276" t="e">
        <f>Europe!H1257+"$F;@!/xR"</f>
        <v>#VALUE!</v>
      </c>
      <c r="CY276" t="e">
        <f>Europe!A1258+"$F;@!/xS"</f>
        <v>#VALUE!</v>
      </c>
      <c r="CZ276" t="e">
        <f>Europe!B1258+"$F;@!/xT"</f>
        <v>#VALUE!</v>
      </c>
      <c r="DA276" t="e">
        <f>Europe!C1258+"$F;@!/xU"</f>
        <v>#VALUE!</v>
      </c>
      <c r="DB276" t="e">
        <f>Europe!D1258+"$F;@!/xV"</f>
        <v>#VALUE!</v>
      </c>
      <c r="DC276" t="e">
        <f>Europe!E1258+"$F;@!/xW"</f>
        <v>#VALUE!</v>
      </c>
      <c r="DD276" t="e">
        <f>Europe!F1258+"$F;@!/xX"</f>
        <v>#VALUE!</v>
      </c>
      <c r="DE276" t="e">
        <f>Europe!G1258+"$F;@!/xY"</f>
        <v>#VALUE!</v>
      </c>
      <c r="DF276" t="e">
        <f>Europe!H1258+"$F;@!/xZ"</f>
        <v>#VALUE!</v>
      </c>
      <c r="DG276" t="e">
        <f>Europe!A1259+"$F;@!/x["</f>
        <v>#VALUE!</v>
      </c>
      <c r="DH276" t="e">
        <f>Europe!B1259+"$F;@!/x\"</f>
        <v>#VALUE!</v>
      </c>
      <c r="DI276" t="e">
        <f>Europe!C1259+"$F;@!/x]"</f>
        <v>#VALUE!</v>
      </c>
      <c r="DJ276" t="e">
        <f>Europe!D1259+"$F;@!/x^"</f>
        <v>#VALUE!</v>
      </c>
      <c r="DK276" t="e">
        <f>Europe!E1259+"$F;@!/x_"</f>
        <v>#VALUE!</v>
      </c>
      <c r="DL276" t="e">
        <f>Europe!F1259+"$F;@!/x`"</f>
        <v>#VALUE!</v>
      </c>
      <c r="DM276" t="e">
        <f>Europe!G1259+"$F;@!/xa"</f>
        <v>#VALUE!</v>
      </c>
      <c r="DN276" t="e">
        <f>Europe!H1259+"$F;@!/xb"</f>
        <v>#VALUE!</v>
      </c>
      <c r="DO276" t="e">
        <f>Europe!A1260+"$F;@!/xc"</f>
        <v>#VALUE!</v>
      </c>
      <c r="DP276" t="e">
        <f>Europe!B1260+"$F;@!/xd"</f>
        <v>#VALUE!</v>
      </c>
      <c r="DQ276" t="e">
        <f>Europe!C1260+"$F;@!/xe"</f>
        <v>#VALUE!</v>
      </c>
      <c r="DR276" t="e">
        <f>Europe!D1260+"$F;@!/xf"</f>
        <v>#VALUE!</v>
      </c>
      <c r="DS276" t="e">
        <f>Europe!E1260+"$F;@!/xg"</f>
        <v>#VALUE!</v>
      </c>
      <c r="DT276" t="e">
        <f>Europe!F1260+"$F;@!/xh"</f>
        <v>#VALUE!</v>
      </c>
      <c r="DU276" t="e">
        <f>Europe!G1260+"$F;@!/xi"</f>
        <v>#VALUE!</v>
      </c>
      <c r="DV276" t="e">
        <f>Europe!H1260+"$F;@!/xj"</f>
        <v>#VALUE!</v>
      </c>
      <c r="DW276" t="e">
        <f>Europe!A1261+"$F;@!/xk"</f>
        <v>#VALUE!</v>
      </c>
      <c r="DX276" t="e">
        <f>Europe!B1261+"$F;@!/xl"</f>
        <v>#VALUE!</v>
      </c>
      <c r="DY276" t="e">
        <f>Europe!C1261+"$F;@!/xm"</f>
        <v>#VALUE!</v>
      </c>
      <c r="DZ276" t="e">
        <f>Europe!D1261+"$F;@!/xn"</f>
        <v>#VALUE!</v>
      </c>
      <c r="EA276" t="e">
        <f>Europe!E1261+"$F;@!/xo"</f>
        <v>#VALUE!</v>
      </c>
      <c r="EB276" t="e">
        <f>Europe!F1261+"$F;@!/xp"</f>
        <v>#VALUE!</v>
      </c>
      <c r="EC276" t="e">
        <f>Europe!G1261+"$F;@!/xq"</f>
        <v>#VALUE!</v>
      </c>
      <c r="ED276" t="e">
        <f>Europe!H1261+"$F;@!/xr"</f>
        <v>#VALUE!</v>
      </c>
      <c r="EE276" t="e">
        <f>Europe!A1262+"$F;@!/xs"</f>
        <v>#VALUE!</v>
      </c>
      <c r="EF276" t="e">
        <f>Europe!B1262+"$F;@!/xt"</f>
        <v>#VALUE!</v>
      </c>
      <c r="EG276" t="e">
        <f>Europe!C1262+"$F;@!/xu"</f>
        <v>#VALUE!</v>
      </c>
      <c r="EH276" t="e">
        <f>Europe!D1262+"$F;@!/xv"</f>
        <v>#VALUE!</v>
      </c>
      <c r="EI276" t="e">
        <f>Europe!E1262+"$F;@!/xw"</f>
        <v>#VALUE!</v>
      </c>
      <c r="EJ276" t="e">
        <f>Europe!F1262+"$F;@!/xx"</f>
        <v>#VALUE!</v>
      </c>
      <c r="EK276" t="e">
        <f>Europe!G1262+"$F;@!/xy"</f>
        <v>#VALUE!</v>
      </c>
      <c r="EL276" t="e">
        <f>Europe!H1262+"$F;@!/xz"</f>
        <v>#VALUE!</v>
      </c>
      <c r="EM276" t="e">
        <f>Europe!A1263+"$F;@!/x{"</f>
        <v>#VALUE!</v>
      </c>
      <c r="EN276" t="e">
        <f>Europe!B1263+"$F;@!/x|"</f>
        <v>#VALUE!</v>
      </c>
      <c r="EO276" t="e">
        <f>Europe!C1263+"$F;@!/x}"</f>
        <v>#VALUE!</v>
      </c>
      <c r="EP276" t="e">
        <f>Europe!D1263+"$F;@!/x~"</f>
        <v>#VALUE!</v>
      </c>
      <c r="EQ276" t="e">
        <f>Europe!E1263+"$F;@!/y#"</f>
        <v>#VALUE!</v>
      </c>
      <c r="ER276" t="e">
        <f>Europe!F1263+"$F;@!/y$"</f>
        <v>#VALUE!</v>
      </c>
      <c r="ES276" t="e">
        <f>Europe!G1263+"$F;@!/y%"</f>
        <v>#VALUE!</v>
      </c>
      <c r="ET276" t="e">
        <f>Europe!H1263+"$F;@!/y&amp;"</f>
        <v>#VALUE!</v>
      </c>
      <c r="EU276" t="e">
        <f>Europe!A1264+"$F;@!/y'"</f>
        <v>#VALUE!</v>
      </c>
      <c r="EV276" t="e">
        <f>Europe!B1264+"$F;@!/y("</f>
        <v>#VALUE!</v>
      </c>
      <c r="EW276" t="e">
        <f>Europe!C1264+"$F;@!/y)"</f>
        <v>#VALUE!</v>
      </c>
      <c r="EX276" t="e">
        <f>Europe!D1264+"$F;@!/y."</f>
        <v>#VALUE!</v>
      </c>
      <c r="EY276" t="e">
        <f>Europe!E1264+"$F;@!/y/"</f>
        <v>#VALUE!</v>
      </c>
      <c r="EZ276" t="e">
        <f>Europe!F1264+"$F;@!/y0"</f>
        <v>#VALUE!</v>
      </c>
      <c r="FA276" t="e">
        <f>Europe!G1264+"$F;@!/y1"</f>
        <v>#VALUE!</v>
      </c>
      <c r="FB276" t="e">
        <f>Europe!H1264+"$F;@!/y2"</f>
        <v>#VALUE!</v>
      </c>
      <c r="FC276" t="e">
        <f>Europe!A1265+"$F;@!/y3"</f>
        <v>#VALUE!</v>
      </c>
      <c r="FD276" t="e">
        <f>Europe!B1265+"$F;@!/y4"</f>
        <v>#VALUE!</v>
      </c>
      <c r="FE276" t="e">
        <f>Europe!C1265+"$F;@!/y5"</f>
        <v>#VALUE!</v>
      </c>
      <c r="FF276" t="e">
        <f>Europe!D1265+"$F;@!/y6"</f>
        <v>#VALUE!</v>
      </c>
      <c r="FG276" t="e">
        <f>Europe!E1265+"$F;@!/y7"</f>
        <v>#VALUE!</v>
      </c>
      <c r="FH276" t="e">
        <f>Europe!F1265+"$F;@!/y8"</f>
        <v>#VALUE!</v>
      </c>
      <c r="FI276" t="e">
        <f>Europe!G1265+"$F;@!/y9"</f>
        <v>#VALUE!</v>
      </c>
      <c r="FJ276" t="e">
        <f>Europe!H1265+"$F;@!/y:"</f>
        <v>#VALUE!</v>
      </c>
      <c r="FK276" t="e">
        <f>Europe!A1266+"$F;@!/y;"</f>
        <v>#VALUE!</v>
      </c>
      <c r="FL276" t="e">
        <f>Europe!B1266+"$F;@!/y&lt;"</f>
        <v>#VALUE!</v>
      </c>
      <c r="FM276" t="e">
        <f>Europe!C1266+"$F;@!/y="</f>
        <v>#VALUE!</v>
      </c>
      <c r="FN276" t="e">
        <f>Europe!D1266+"$F;@!/y&gt;"</f>
        <v>#VALUE!</v>
      </c>
      <c r="FO276" t="e">
        <f>Europe!E1266+"$F;@!/y?"</f>
        <v>#VALUE!</v>
      </c>
      <c r="FP276" t="e">
        <f>Europe!F1266+"$F;@!/y@"</f>
        <v>#VALUE!</v>
      </c>
      <c r="FQ276" t="e">
        <f>Europe!G1266+"$F;@!/yA"</f>
        <v>#VALUE!</v>
      </c>
      <c r="FR276" t="e">
        <f>Europe!H1266+"$F;@!/yB"</f>
        <v>#VALUE!</v>
      </c>
      <c r="FS276" t="e">
        <f>Europe!A1267+"$F;@!/yC"</f>
        <v>#VALUE!</v>
      </c>
      <c r="FT276" t="e">
        <f>Europe!B1267+"$F;@!/yD"</f>
        <v>#VALUE!</v>
      </c>
      <c r="FU276" t="e">
        <f>Europe!C1267+"$F;@!/yE"</f>
        <v>#VALUE!</v>
      </c>
      <c r="FV276" t="e">
        <f>Europe!D1267+"$F;@!/yF"</f>
        <v>#VALUE!</v>
      </c>
      <c r="FW276" t="e">
        <f>Europe!E1267+"$F;@!/yG"</f>
        <v>#VALUE!</v>
      </c>
      <c r="FX276" t="e">
        <f>Europe!F1267+"$F;@!/yH"</f>
        <v>#VALUE!</v>
      </c>
      <c r="FY276" t="e">
        <f>Europe!G1267+"$F;@!/yI"</f>
        <v>#VALUE!</v>
      </c>
      <c r="FZ276" t="e">
        <f>Europe!H1267+"$F;@!/yJ"</f>
        <v>#VALUE!</v>
      </c>
      <c r="GA276" t="e">
        <f>Europe!A1268+"$F;@!/yK"</f>
        <v>#VALUE!</v>
      </c>
      <c r="GB276" t="e">
        <f>Europe!B1268+"$F;@!/yL"</f>
        <v>#VALUE!</v>
      </c>
      <c r="GC276" t="e">
        <f>Europe!C1268+"$F;@!/yM"</f>
        <v>#VALUE!</v>
      </c>
      <c r="GD276" t="e">
        <f>Europe!D1268+"$F;@!/yN"</f>
        <v>#VALUE!</v>
      </c>
      <c r="GE276" t="e">
        <f>Europe!E1268+"$F;@!/yO"</f>
        <v>#VALUE!</v>
      </c>
      <c r="GF276" t="e">
        <f>Europe!F1268+"$F;@!/yP"</f>
        <v>#VALUE!</v>
      </c>
      <c r="GG276" t="e">
        <f>Europe!G1268+"$F;@!/yQ"</f>
        <v>#VALUE!</v>
      </c>
      <c r="GH276" t="e">
        <f>Europe!H1268+"$F;@!/yR"</f>
        <v>#VALUE!</v>
      </c>
      <c r="GI276" t="e">
        <f>Europe!A1269+"$F;@!/yS"</f>
        <v>#VALUE!</v>
      </c>
      <c r="GJ276" t="e">
        <f>Europe!B1269+"$F;@!/yT"</f>
        <v>#VALUE!</v>
      </c>
      <c r="GK276" t="e">
        <f>Europe!C1269+"$F;@!/yU"</f>
        <v>#VALUE!</v>
      </c>
      <c r="GL276" t="e">
        <f>Europe!D1269+"$F;@!/yV"</f>
        <v>#VALUE!</v>
      </c>
      <c r="GM276" t="e">
        <f>Europe!E1269+"$F;@!/yW"</f>
        <v>#VALUE!</v>
      </c>
      <c r="GN276" t="e">
        <f>Europe!F1269+"$F;@!/yX"</f>
        <v>#VALUE!</v>
      </c>
      <c r="GO276" t="e">
        <f>Europe!G1269+"$F;@!/yY"</f>
        <v>#VALUE!</v>
      </c>
      <c r="GP276" t="e">
        <f>Europe!H1269+"$F;@!/yZ"</f>
        <v>#VALUE!</v>
      </c>
      <c r="GQ276" t="e">
        <f>Europe!A1270+"$F;@!/y["</f>
        <v>#VALUE!</v>
      </c>
      <c r="GR276" t="e">
        <f>Europe!B1270+"$F;@!/y\"</f>
        <v>#VALUE!</v>
      </c>
      <c r="GS276" t="e">
        <f>Europe!C1270+"$F;@!/y]"</f>
        <v>#VALUE!</v>
      </c>
      <c r="GT276" t="e">
        <f>Europe!D1270+"$F;@!/y^"</f>
        <v>#VALUE!</v>
      </c>
      <c r="GU276" t="e">
        <f>Europe!E1270+"$F;@!/y_"</f>
        <v>#VALUE!</v>
      </c>
      <c r="GV276" t="e">
        <f>Europe!F1270+"$F;@!/y`"</f>
        <v>#VALUE!</v>
      </c>
      <c r="GW276" t="e">
        <f>Europe!G1270+"$F;@!/ya"</f>
        <v>#VALUE!</v>
      </c>
      <c r="GX276" t="e">
        <f>Europe!H1270+"$F;@!/yb"</f>
        <v>#VALUE!</v>
      </c>
      <c r="GY276" t="e">
        <f>Europe!A1271+"$F;@!/yc"</f>
        <v>#VALUE!</v>
      </c>
      <c r="GZ276" t="e">
        <f>Europe!B1271+"$F;@!/yd"</f>
        <v>#VALUE!</v>
      </c>
      <c r="HA276" t="e">
        <f>Europe!C1271+"$F;@!/ye"</f>
        <v>#VALUE!</v>
      </c>
      <c r="HB276" t="e">
        <f>Europe!D1271+"$F;@!/yf"</f>
        <v>#VALUE!</v>
      </c>
      <c r="HC276" t="e">
        <f>Europe!E1271+"$F;@!/yg"</f>
        <v>#VALUE!</v>
      </c>
      <c r="HD276" t="e">
        <f>Europe!F1271+"$F;@!/yh"</f>
        <v>#VALUE!</v>
      </c>
      <c r="HE276" t="e">
        <f>Europe!G1271+"$F;@!/yi"</f>
        <v>#VALUE!</v>
      </c>
      <c r="HF276" t="e">
        <f>Europe!H1271+"$F;@!/yj"</f>
        <v>#VALUE!</v>
      </c>
      <c r="HG276" t="e">
        <f>Europe!A1272+"$F;@!/yk"</f>
        <v>#VALUE!</v>
      </c>
      <c r="HH276" t="e">
        <f>Europe!B1272+"$F;@!/yl"</f>
        <v>#VALUE!</v>
      </c>
      <c r="HI276" t="e">
        <f>Europe!C1272+"$F;@!/ym"</f>
        <v>#VALUE!</v>
      </c>
      <c r="HJ276" t="e">
        <f>Europe!D1272+"$F;@!/yn"</f>
        <v>#VALUE!</v>
      </c>
      <c r="HK276" t="e">
        <f>Europe!E1272+"$F;@!/yo"</f>
        <v>#VALUE!</v>
      </c>
      <c r="HL276" t="e">
        <f>Europe!F1272+"$F;@!/yp"</f>
        <v>#VALUE!</v>
      </c>
      <c r="HM276" t="e">
        <f>Europe!G1272+"$F;@!/yq"</f>
        <v>#VALUE!</v>
      </c>
      <c r="HN276" t="e">
        <f>Europe!H1272+"$F;@!/yr"</f>
        <v>#VALUE!</v>
      </c>
      <c r="HO276" t="e">
        <f>Europe!A1273+"$F;@!/ys"</f>
        <v>#VALUE!</v>
      </c>
      <c r="HP276" t="e">
        <f>Europe!B1273+"$F;@!/yt"</f>
        <v>#VALUE!</v>
      </c>
      <c r="HQ276" t="e">
        <f>Europe!C1273+"$F;@!/yu"</f>
        <v>#VALUE!</v>
      </c>
      <c r="HR276" t="e">
        <f>Europe!D1273+"$F;@!/yv"</f>
        <v>#VALUE!</v>
      </c>
      <c r="HS276" t="e">
        <f>Europe!E1273+"$F;@!/yw"</f>
        <v>#VALUE!</v>
      </c>
      <c r="HT276" t="e">
        <f>Europe!F1273+"$F;@!/yx"</f>
        <v>#VALUE!</v>
      </c>
      <c r="HU276" t="e">
        <f>Europe!G1273+"$F;@!/yy"</f>
        <v>#VALUE!</v>
      </c>
      <c r="HV276" t="e">
        <f>Europe!H1273+"$F;@!/yz"</f>
        <v>#VALUE!</v>
      </c>
      <c r="HW276" t="e">
        <f>Europe!A1274+"$F;@!/y{"</f>
        <v>#VALUE!</v>
      </c>
      <c r="HX276" t="e">
        <f>Europe!B1274+"$F;@!/y|"</f>
        <v>#VALUE!</v>
      </c>
      <c r="HY276" t="e">
        <f>Europe!C1274+"$F;@!/y}"</f>
        <v>#VALUE!</v>
      </c>
      <c r="HZ276" t="e">
        <f>Europe!D1274+"$F;@!/y~"</f>
        <v>#VALUE!</v>
      </c>
      <c r="IA276" t="e">
        <f>Europe!E1274+"$F;@!/z#"</f>
        <v>#VALUE!</v>
      </c>
      <c r="IB276" t="e">
        <f>Europe!F1274+"$F;@!/z$"</f>
        <v>#VALUE!</v>
      </c>
      <c r="IC276" t="e">
        <f>Europe!G1274+"$F;@!/z%"</f>
        <v>#VALUE!</v>
      </c>
      <c r="ID276" t="e">
        <f>Europe!H1274+"$F;@!/z&amp;"</f>
        <v>#VALUE!</v>
      </c>
      <c r="IE276" t="e">
        <f>Europe!A1275+"$F;@!/z'"</f>
        <v>#VALUE!</v>
      </c>
      <c r="IF276" t="e">
        <f>Europe!B1275+"$F;@!/z("</f>
        <v>#VALUE!</v>
      </c>
      <c r="IG276" t="e">
        <f>Europe!C1275+"$F;@!/z)"</f>
        <v>#VALUE!</v>
      </c>
      <c r="IH276" t="e">
        <f>Europe!D1275+"$F;@!/z."</f>
        <v>#VALUE!</v>
      </c>
      <c r="II276" t="e">
        <f>Europe!E1275+"$F;@!/z/"</f>
        <v>#VALUE!</v>
      </c>
      <c r="IJ276" t="e">
        <f>Europe!F1275+"$F;@!/z0"</f>
        <v>#VALUE!</v>
      </c>
      <c r="IK276" t="e">
        <f>Europe!G1275+"$F;@!/z1"</f>
        <v>#VALUE!</v>
      </c>
      <c r="IL276" t="e">
        <f>Europe!H1275+"$F;@!/z2"</f>
        <v>#VALUE!</v>
      </c>
      <c r="IM276" t="e">
        <f>Europe!A1276+"$F;@!/z3"</f>
        <v>#VALUE!</v>
      </c>
      <c r="IN276" t="e">
        <f>Europe!B1276+"$F;@!/z4"</f>
        <v>#VALUE!</v>
      </c>
      <c r="IO276" t="e">
        <f>Europe!C1276+"$F;@!/z5"</f>
        <v>#VALUE!</v>
      </c>
      <c r="IP276" t="e">
        <f>Europe!D1276+"$F;@!/z6"</f>
        <v>#VALUE!</v>
      </c>
      <c r="IQ276" t="e">
        <f>Europe!E1276+"$F;@!/z7"</f>
        <v>#VALUE!</v>
      </c>
      <c r="IR276" t="e">
        <f>Europe!F1276+"$F;@!/z8"</f>
        <v>#VALUE!</v>
      </c>
      <c r="IS276" t="e">
        <f>Europe!G1276+"$F;@!/z9"</f>
        <v>#VALUE!</v>
      </c>
      <c r="IT276" t="e">
        <f>Europe!H1276+"$F;@!/z:"</f>
        <v>#VALUE!</v>
      </c>
      <c r="IU276" t="e">
        <f>Europe!A1277+"$F;@!/z;"</f>
        <v>#VALUE!</v>
      </c>
      <c r="IV276" t="e">
        <f>Europe!B1277+"$F;@!/z&lt;"</f>
        <v>#VALUE!</v>
      </c>
    </row>
    <row r="277" spans="6:256" x14ac:dyDescent="0.35">
      <c r="F277" t="e">
        <f>Europe!C1277+"$F;@!/z="</f>
        <v>#VALUE!</v>
      </c>
      <c r="G277" t="e">
        <f>Europe!D1277+"$F;@!/z&gt;"</f>
        <v>#VALUE!</v>
      </c>
      <c r="H277" t="e">
        <f>Europe!E1277+"$F;@!/z?"</f>
        <v>#VALUE!</v>
      </c>
      <c r="I277" t="e">
        <f>Europe!F1277+"$F;@!/z@"</f>
        <v>#VALUE!</v>
      </c>
      <c r="J277" t="e">
        <f>Europe!G1277+"$F;@!/zA"</f>
        <v>#VALUE!</v>
      </c>
      <c r="K277" t="e">
        <f>Europe!H1277+"$F;@!/zB"</f>
        <v>#VALUE!</v>
      </c>
      <c r="L277" t="e">
        <f>Europe!A1278+"$F;@!/zC"</f>
        <v>#VALUE!</v>
      </c>
      <c r="M277" t="e">
        <f>Europe!B1278+"$F;@!/zD"</f>
        <v>#VALUE!</v>
      </c>
      <c r="N277" t="e">
        <f>Europe!C1278+"$F;@!/zE"</f>
        <v>#VALUE!</v>
      </c>
      <c r="O277" t="e">
        <f>Europe!D1278+"$F;@!/zF"</f>
        <v>#VALUE!</v>
      </c>
      <c r="P277" t="e">
        <f>Europe!E1278+"$F;@!/zG"</f>
        <v>#VALUE!</v>
      </c>
      <c r="Q277" t="e">
        <f>Europe!F1278+"$F;@!/zH"</f>
        <v>#VALUE!</v>
      </c>
      <c r="R277" t="e">
        <f>Europe!G1278+"$F;@!/zI"</f>
        <v>#VALUE!</v>
      </c>
      <c r="S277" t="e">
        <f>Europe!H1278+"$F;@!/zJ"</f>
        <v>#VALUE!</v>
      </c>
      <c r="T277" t="e">
        <f>Europe!A1279+"$F;@!/zK"</f>
        <v>#VALUE!</v>
      </c>
      <c r="U277" t="e">
        <f>Europe!B1279+"$F;@!/zL"</f>
        <v>#VALUE!</v>
      </c>
      <c r="V277" t="e">
        <f>Europe!C1279+"$F;@!/zM"</f>
        <v>#VALUE!</v>
      </c>
      <c r="W277" t="e">
        <f>Europe!D1279+"$F;@!/zN"</f>
        <v>#VALUE!</v>
      </c>
      <c r="X277" t="e">
        <f>Europe!E1279+"$F;@!/zO"</f>
        <v>#VALUE!</v>
      </c>
      <c r="Y277" t="e">
        <f>Europe!F1279+"$F;@!/zP"</f>
        <v>#VALUE!</v>
      </c>
      <c r="Z277" t="e">
        <f>Europe!G1279+"$F;@!/zQ"</f>
        <v>#VALUE!</v>
      </c>
      <c r="AA277" t="e">
        <f>Europe!H1279+"$F;@!/zR"</f>
        <v>#VALUE!</v>
      </c>
      <c r="AB277" t="e">
        <f>Europe!A1280+"$F;@!/zS"</f>
        <v>#VALUE!</v>
      </c>
      <c r="AC277" t="e">
        <f>Europe!B1280+"$F;@!/zT"</f>
        <v>#VALUE!</v>
      </c>
      <c r="AD277" t="e">
        <f>Europe!C1280+"$F;@!/zU"</f>
        <v>#VALUE!</v>
      </c>
      <c r="AE277" t="e">
        <f>Europe!D1280+"$F;@!/zV"</f>
        <v>#VALUE!</v>
      </c>
      <c r="AF277" t="e">
        <f>Europe!E1280+"$F;@!/zW"</f>
        <v>#VALUE!</v>
      </c>
      <c r="AG277" t="e">
        <f>Europe!F1280+"$F;@!/zX"</f>
        <v>#VALUE!</v>
      </c>
      <c r="AH277" t="e">
        <f>Europe!G1280+"$F;@!/zY"</f>
        <v>#VALUE!</v>
      </c>
      <c r="AI277" t="e">
        <f>Europe!H1280+"$F;@!/zZ"</f>
        <v>#VALUE!</v>
      </c>
      <c r="AJ277" t="e">
        <f>Europe!A1281+"$F;@!/z["</f>
        <v>#VALUE!</v>
      </c>
      <c r="AK277" t="e">
        <f>Europe!B1281+"$F;@!/z\"</f>
        <v>#VALUE!</v>
      </c>
      <c r="AL277" t="e">
        <f>Europe!C1281+"$F;@!/z]"</f>
        <v>#VALUE!</v>
      </c>
      <c r="AM277" t="e">
        <f>Europe!D1281+"$F;@!/z^"</f>
        <v>#VALUE!</v>
      </c>
      <c r="AN277" t="e">
        <f>Europe!E1281+"$F;@!/z_"</f>
        <v>#VALUE!</v>
      </c>
      <c r="AO277" t="e">
        <f>Europe!F1281+"$F;@!/z`"</f>
        <v>#VALUE!</v>
      </c>
      <c r="AP277" t="e">
        <f>Europe!G1281+"$F;@!/za"</f>
        <v>#VALUE!</v>
      </c>
      <c r="AQ277" t="e">
        <f>Europe!H1281+"$F;@!/zb"</f>
        <v>#VALUE!</v>
      </c>
      <c r="AR277" t="e">
        <f>Europe!A1282+"$F;@!/zc"</f>
        <v>#VALUE!</v>
      </c>
      <c r="AS277" t="e">
        <f>Europe!B1282+"$F;@!/zd"</f>
        <v>#VALUE!</v>
      </c>
      <c r="AT277" t="e">
        <f>Europe!C1282+"$F;@!/ze"</f>
        <v>#VALUE!</v>
      </c>
      <c r="AU277" t="e">
        <f>Europe!D1282+"$F;@!/zf"</f>
        <v>#VALUE!</v>
      </c>
      <c r="AV277" t="e">
        <f>Europe!E1282+"$F;@!/zg"</f>
        <v>#VALUE!</v>
      </c>
      <c r="AW277" t="e">
        <f>Europe!F1282+"$F;@!/zh"</f>
        <v>#VALUE!</v>
      </c>
      <c r="AX277" t="e">
        <f>Europe!G1282+"$F;@!/zi"</f>
        <v>#VALUE!</v>
      </c>
      <c r="AY277" t="e">
        <f>Europe!H1282+"$F;@!/zj"</f>
        <v>#VALUE!</v>
      </c>
      <c r="AZ277" t="e">
        <f>Europe!A1283+"$F;@!/zk"</f>
        <v>#VALUE!</v>
      </c>
      <c r="BA277" t="e">
        <f>Europe!B1283+"$F;@!/zl"</f>
        <v>#VALUE!</v>
      </c>
      <c r="BB277" t="e">
        <f>Europe!C1283+"$F;@!/zm"</f>
        <v>#VALUE!</v>
      </c>
      <c r="BC277" t="e">
        <f>Europe!D1283+"$F;@!/zn"</f>
        <v>#VALUE!</v>
      </c>
      <c r="BD277" t="e">
        <f>Europe!E1283+"$F;@!/zo"</f>
        <v>#VALUE!</v>
      </c>
      <c r="BE277" t="e">
        <f>Europe!F1283+"$F;@!/zp"</f>
        <v>#VALUE!</v>
      </c>
      <c r="BF277" t="e">
        <f>Europe!G1283+"$F;@!/zq"</f>
        <v>#VALUE!</v>
      </c>
      <c r="BG277" t="e">
        <f>Europe!H1283+"$F;@!/zr"</f>
        <v>#VALUE!</v>
      </c>
      <c r="BH277" t="e">
        <f>Europe!A1284+"$F;@!/zs"</f>
        <v>#VALUE!</v>
      </c>
      <c r="BI277" t="e">
        <f>Europe!B1284+"$F;@!/zt"</f>
        <v>#VALUE!</v>
      </c>
      <c r="BJ277" t="e">
        <f>Europe!C1284+"$F;@!/zu"</f>
        <v>#VALUE!</v>
      </c>
      <c r="BK277" t="e">
        <f>Europe!D1284+"$F;@!/zv"</f>
        <v>#VALUE!</v>
      </c>
      <c r="BL277" t="e">
        <f>Europe!E1284+"$F;@!/zw"</f>
        <v>#VALUE!</v>
      </c>
      <c r="BM277" t="e">
        <f>Europe!F1284+"$F;@!/zx"</f>
        <v>#VALUE!</v>
      </c>
      <c r="BN277" t="e">
        <f>Europe!G1284+"$F;@!/zy"</f>
        <v>#VALUE!</v>
      </c>
      <c r="BO277" t="e">
        <f>Europe!H1284+"$F;@!/zz"</f>
        <v>#VALUE!</v>
      </c>
      <c r="BP277" t="e">
        <f>Europe!A1285+"$F;@!/z{"</f>
        <v>#VALUE!</v>
      </c>
      <c r="BQ277" t="e">
        <f>Europe!B1285+"$F;@!/z|"</f>
        <v>#VALUE!</v>
      </c>
      <c r="BR277" t="e">
        <f>Europe!C1285+"$F;@!/z}"</f>
        <v>#VALUE!</v>
      </c>
      <c r="BS277" t="e">
        <f>Europe!D1285+"$F;@!/z~"</f>
        <v>#VALUE!</v>
      </c>
      <c r="BT277" t="e">
        <f>Europe!E1285+"$F;@!/{#"</f>
        <v>#VALUE!</v>
      </c>
      <c r="BU277" t="e">
        <f>Europe!F1285+"$F;@!/{$"</f>
        <v>#VALUE!</v>
      </c>
      <c r="BV277" t="e">
        <f>Europe!G1285+"$F;@!/{%"</f>
        <v>#VALUE!</v>
      </c>
      <c r="BW277" t="e">
        <f>Europe!H1285+"$F;@!/{&amp;"</f>
        <v>#VALUE!</v>
      </c>
      <c r="BX277" t="e">
        <f>Europe!A1286+"$F;@!/{'"</f>
        <v>#VALUE!</v>
      </c>
      <c r="BY277" t="e">
        <f>Europe!B1286+"$F;@!/{("</f>
        <v>#VALUE!</v>
      </c>
      <c r="BZ277" t="e">
        <f>Europe!C1286+"$F;@!/{)"</f>
        <v>#VALUE!</v>
      </c>
      <c r="CA277" t="e">
        <f>Europe!D1286+"$F;@!/{."</f>
        <v>#VALUE!</v>
      </c>
      <c r="CB277" t="e">
        <f>Europe!E1286+"$F;@!/{/"</f>
        <v>#VALUE!</v>
      </c>
      <c r="CC277" t="e">
        <f>Europe!F1286+"$F;@!/{0"</f>
        <v>#VALUE!</v>
      </c>
      <c r="CD277" t="e">
        <f>Europe!G1286+"$F;@!/{1"</f>
        <v>#VALUE!</v>
      </c>
      <c r="CE277" t="e">
        <f>Europe!H1286+"$F;@!/{2"</f>
        <v>#VALUE!</v>
      </c>
      <c r="CF277" t="e">
        <f>Europe!A1287+"$F;@!/{3"</f>
        <v>#VALUE!</v>
      </c>
      <c r="CG277" t="e">
        <f>Europe!B1287+"$F;@!/{4"</f>
        <v>#VALUE!</v>
      </c>
      <c r="CH277" t="e">
        <f>Europe!C1287+"$F;@!/{5"</f>
        <v>#VALUE!</v>
      </c>
      <c r="CI277" t="e">
        <f>Europe!D1287+"$F;@!/{6"</f>
        <v>#VALUE!</v>
      </c>
      <c r="CJ277" t="e">
        <f>Europe!E1287+"$F;@!/{7"</f>
        <v>#VALUE!</v>
      </c>
      <c r="CK277" t="e">
        <f>Europe!F1287+"$F;@!/{8"</f>
        <v>#VALUE!</v>
      </c>
      <c r="CL277" t="e">
        <f>Europe!G1287+"$F;@!/{9"</f>
        <v>#VALUE!</v>
      </c>
      <c r="CM277" t="e">
        <f>Europe!H1287+"$F;@!/{:"</f>
        <v>#VALUE!</v>
      </c>
      <c r="CN277" t="e">
        <f>Europe!A1288+"$F;@!/{;"</f>
        <v>#VALUE!</v>
      </c>
      <c r="CO277" t="e">
        <f>Europe!B1288+"$F;@!/{&lt;"</f>
        <v>#VALUE!</v>
      </c>
      <c r="CP277" t="e">
        <f>Europe!C1288+"$F;@!/{="</f>
        <v>#VALUE!</v>
      </c>
      <c r="CQ277" t="e">
        <f>Europe!D1288+"$F;@!/{&gt;"</f>
        <v>#VALUE!</v>
      </c>
      <c r="CR277" t="e">
        <f>Europe!E1288+"$F;@!/{?"</f>
        <v>#VALUE!</v>
      </c>
      <c r="CS277" t="e">
        <f>Europe!F1288+"$F;@!/{@"</f>
        <v>#VALUE!</v>
      </c>
      <c r="CT277" t="e">
        <f>Europe!G1288+"$F;@!/{A"</f>
        <v>#VALUE!</v>
      </c>
      <c r="CU277" t="e">
        <f>Europe!H1288+"$F;@!/{B"</f>
        <v>#VALUE!</v>
      </c>
      <c r="CV277" t="e">
        <f>Europe!A1289+"$F;@!/{C"</f>
        <v>#VALUE!</v>
      </c>
      <c r="CW277" t="e">
        <f>Europe!B1289+"$F;@!/{D"</f>
        <v>#VALUE!</v>
      </c>
      <c r="CX277" t="e">
        <f>Europe!C1289+"$F;@!/{E"</f>
        <v>#VALUE!</v>
      </c>
      <c r="CY277" t="e">
        <f>Europe!D1289+"$F;@!/{F"</f>
        <v>#VALUE!</v>
      </c>
      <c r="CZ277" t="e">
        <f>Europe!E1289+"$F;@!/{G"</f>
        <v>#VALUE!</v>
      </c>
      <c r="DA277" t="e">
        <f>Europe!F1289+"$F;@!/{H"</f>
        <v>#VALUE!</v>
      </c>
      <c r="DB277" t="e">
        <f>Europe!G1289+"$F;@!/{I"</f>
        <v>#VALUE!</v>
      </c>
      <c r="DC277" t="e">
        <f>Europe!H1289+"$F;@!/{J"</f>
        <v>#VALUE!</v>
      </c>
      <c r="DD277" t="e">
        <f>Europe!A1290+"$F;@!/{K"</f>
        <v>#VALUE!</v>
      </c>
      <c r="DE277" t="e">
        <f>Europe!B1290+"$F;@!/{L"</f>
        <v>#VALUE!</v>
      </c>
      <c r="DF277" t="e">
        <f>Europe!C1290+"$F;@!/{M"</f>
        <v>#VALUE!</v>
      </c>
      <c r="DG277" t="e">
        <f>Europe!D1290+"$F;@!/{N"</f>
        <v>#VALUE!</v>
      </c>
      <c r="DH277" t="e">
        <f>Europe!E1290+"$F;@!/{O"</f>
        <v>#VALUE!</v>
      </c>
      <c r="DI277" t="e">
        <f>Europe!F1290+"$F;@!/{P"</f>
        <v>#VALUE!</v>
      </c>
      <c r="DJ277" t="e">
        <f>Europe!G1290+"$F;@!/{Q"</f>
        <v>#VALUE!</v>
      </c>
      <c r="DK277" t="e">
        <f>Europe!H1290+"$F;@!/{R"</f>
        <v>#VALUE!</v>
      </c>
      <c r="DL277" t="e">
        <f>Europe!A1291+"$F;@!/{S"</f>
        <v>#VALUE!</v>
      </c>
      <c r="DM277" t="e">
        <f>Europe!B1291+"$F;@!/{T"</f>
        <v>#VALUE!</v>
      </c>
      <c r="DN277" t="e">
        <f>Europe!C1291+"$F;@!/{U"</f>
        <v>#VALUE!</v>
      </c>
      <c r="DO277" t="e">
        <f>Europe!D1291+"$F;@!/{V"</f>
        <v>#VALUE!</v>
      </c>
      <c r="DP277" t="e">
        <f>Europe!E1291+"$F;@!/{W"</f>
        <v>#VALUE!</v>
      </c>
      <c r="DQ277" t="e">
        <f>Europe!F1291+"$F;@!/{X"</f>
        <v>#VALUE!</v>
      </c>
      <c r="DR277" t="e">
        <f>Europe!G1291+"$F;@!/{Y"</f>
        <v>#VALUE!</v>
      </c>
      <c r="DS277" t="e">
        <f>Europe!H1291+"$F;@!/{Z"</f>
        <v>#VALUE!</v>
      </c>
      <c r="DT277" t="e">
        <f>Europe!A1292+"$F;@!/{["</f>
        <v>#VALUE!</v>
      </c>
      <c r="DU277" t="e">
        <f>Europe!B1292+"$F;@!/{\"</f>
        <v>#VALUE!</v>
      </c>
      <c r="DV277" t="e">
        <f>Europe!C1292+"$F;@!/{]"</f>
        <v>#VALUE!</v>
      </c>
      <c r="DW277" t="e">
        <f>Europe!D1292+"$F;@!/{^"</f>
        <v>#VALUE!</v>
      </c>
      <c r="DX277" t="e">
        <f>Europe!E1292+"$F;@!/{_"</f>
        <v>#VALUE!</v>
      </c>
      <c r="DY277" t="e">
        <f>Europe!F1292+"$F;@!/{`"</f>
        <v>#VALUE!</v>
      </c>
      <c r="DZ277" t="e">
        <f>Europe!G1292+"$F;@!/{a"</f>
        <v>#VALUE!</v>
      </c>
      <c r="EA277" t="e">
        <f>Europe!H1292+"$F;@!/{b"</f>
        <v>#VALUE!</v>
      </c>
      <c r="EB277" t="e">
        <f>Europe!A1293+"$F;@!/{c"</f>
        <v>#VALUE!</v>
      </c>
      <c r="EC277" t="e">
        <f>Europe!B1293+"$F;@!/{d"</f>
        <v>#VALUE!</v>
      </c>
      <c r="ED277" t="e">
        <f>Europe!C1293+"$F;@!/{e"</f>
        <v>#VALUE!</v>
      </c>
      <c r="EE277" t="e">
        <f>Europe!D1293+"$F;@!/{f"</f>
        <v>#VALUE!</v>
      </c>
      <c r="EF277" t="e">
        <f>Europe!E1293+"$F;@!/{g"</f>
        <v>#VALUE!</v>
      </c>
      <c r="EG277" t="e">
        <f>Europe!F1293+"$F;@!/{h"</f>
        <v>#VALUE!</v>
      </c>
      <c r="EH277" t="e">
        <f>Europe!G1293+"$F;@!/{i"</f>
        <v>#VALUE!</v>
      </c>
      <c r="EI277" t="e">
        <f>Europe!H1293+"$F;@!/{j"</f>
        <v>#VALUE!</v>
      </c>
      <c r="EJ277" t="e">
        <f>Europe!A1294+"$F;@!/{k"</f>
        <v>#VALUE!</v>
      </c>
      <c r="EK277" t="e">
        <f>Europe!B1294+"$F;@!/{l"</f>
        <v>#VALUE!</v>
      </c>
      <c r="EL277" t="e">
        <f>Europe!C1294+"$F;@!/{m"</f>
        <v>#VALUE!</v>
      </c>
      <c r="EM277" t="e">
        <f>Europe!D1294+"$F;@!/{n"</f>
        <v>#VALUE!</v>
      </c>
      <c r="EN277" t="e">
        <f>Europe!E1294+"$F;@!/{o"</f>
        <v>#VALUE!</v>
      </c>
      <c r="EO277" t="e">
        <f>Europe!F1294+"$F;@!/{p"</f>
        <v>#VALUE!</v>
      </c>
      <c r="EP277" t="e">
        <f>Europe!G1294+"$F;@!/{q"</f>
        <v>#VALUE!</v>
      </c>
      <c r="EQ277" t="e">
        <f>Europe!H1294+"$F;@!/{r"</f>
        <v>#VALUE!</v>
      </c>
      <c r="ER277" t="e">
        <f>Europe!A1295+"$F;@!/{s"</f>
        <v>#VALUE!</v>
      </c>
      <c r="ES277" t="e">
        <f>Europe!B1295+"$F;@!/{t"</f>
        <v>#VALUE!</v>
      </c>
      <c r="ET277" t="e">
        <f>Europe!C1295+"$F;@!/{u"</f>
        <v>#VALUE!</v>
      </c>
      <c r="EU277" t="e">
        <f>Europe!D1295+"$F;@!/{v"</f>
        <v>#VALUE!</v>
      </c>
      <c r="EV277" t="e">
        <f>Europe!E1295+"$F;@!/{w"</f>
        <v>#VALUE!</v>
      </c>
      <c r="EW277" t="e">
        <f>Europe!F1295+"$F;@!/{x"</f>
        <v>#VALUE!</v>
      </c>
      <c r="EX277" t="e">
        <f>Europe!G1295+"$F;@!/{y"</f>
        <v>#VALUE!</v>
      </c>
      <c r="EY277" t="e">
        <f>Europe!H1295+"$F;@!/{z"</f>
        <v>#VALUE!</v>
      </c>
      <c r="EZ277" t="e">
        <f>Europe!A1296+"$F;@!/{{"</f>
        <v>#VALUE!</v>
      </c>
      <c r="FA277" t="e">
        <f>Europe!B1296+"$F;@!/{|"</f>
        <v>#VALUE!</v>
      </c>
      <c r="FB277" t="e">
        <f>Europe!C1296+"$F;@!/{}"</f>
        <v>#VALUE!</v>
      </c>
      <c r="FC277" t="e">
        <f>Europe!D1296+"$F;@!/{~"</f>
        <v>#VALUE!</v>
      </c>
      <c r="FD277" t="e">
        <f>Europe!E1296+"$F;@!/|#"</f>
        <v>#VALUE!</v>
      </c>
      <c r="FE277" t="e">
        <f>Europe!F1296+"$F;@!/|$"</f>
        <v>#VALUE!</v>
      </c>
      <c r="FF277" t="e">
        <f>Europe!G1296+"$F;@!/|%"</f>
        <v>#VALUE!</v>
      </c>
      <c r="FG277" t="e">
        <f>Europe!H1296+"$F;@!/|&amp;"</f>
        <v>#VALUE!</v>
      </c>
      <c r="FH277" t="e">
        <f>Europe!A1297+"$F;@!/|'"</f>
        <v>#VALUE!</v>
      </c>
      <c r="FI277" t="e">
        <f>Europe!B1297+"$F;@!/|("</f>
        <v>#VALUE!</v>
      </c>
      <c r="FJ277" t="e">
        <f>Europe!C1297+"$F;@!/|)"</f>
        <v>#VALUE!</v>
      </c>
      <c r="FK277" t="e">
        <f>Europe!D1297+"$F;@!/|."</f>
        <v>#VALUE!</v>
      </c>
      <c r="FL277" t="e">
        <f>Europe!E1297+"$F;@!/|/"</f>
        <v>#VALUE!</v>
      </c>
      <c r="FM277" t="e">
        <f>Europe!F1297+"$F;@!/|0"</f>
        <v>#VALUE!</v>
      </c>
      <c r="FN277" t="e">
        <f>Europe!G1297+"$F;@!/|1"</f>
        <v>#VALUE!</v>
      </c>
      <c r="FO277" t="e">
        <f>Europe!H1297+"$F;@!/|2"</f>
        <v>#VALUE!</v>
      </c>
      <c r="FP277" t="e">
        <f>Europe!A1298+"$F;@!/|3"</f>
        <v>#VALUE!</v>
      </c>
      <c r="FQ277" t="e">
        <f>Europe!B1298+"$F;@!/|4"</f>
        <v>#VALUE!</v>
      </c>
      <c r="FR277" t="e">
        <f>Europe!C1298+"$F;@!/|5"</f>
        <v>#VALUE!</v>
      </c>
      <c r="FS277" t="e">
        <f>Europe!D1298+"$F;@!/|6"</f>
        <v>#VALUE!</v>
      </c>
      <c r="FT277" t="e">
        <f>Europe!E1298+"$F;@!/|7"</f>
        <v>#VALUE!</v>
      </c>
      <c r="FU277" t="e">
        <f>Europe!F1298+"$F;@!/|8"</f>
        <v>#VALUE!</v>
      </c>
      <c r="FV277" t="e">
        <f>Europe!G1298+"$F;@!/|9"</f>
        <v>#VALUE!</v>
      </c>
      <c r="FW277" t="e">
        <f>Europe!H1298+"$F;@!/|:"</f>
        <v>#VALUE!</v>
      </c>
      <c r="FX277" t="e">
        <f>Europe!A1299+"$F;@!/|;"</f>
        <v>#VALUE!</v>
      </c>
      <c r="FY277" t="e">
        <f>Europe!B1299+"$F;@!/|&lt;"</f>
        <v>#VALUE!</v>
      </c>
      <c r="FZ277" t="e">
        <f>Europe!C1299+"$F;@!/|="</f>
        <v>#VALUE!</v>
      </c>
      <c r="GA277" t="e">
        <f>Europe!D1299+"$F;@!/|&gt;"</f>
        <v>#VALUE!</v>
      </c>
      <c r="GB277" t="e">
        <f>Europe!E1299+"$F;@!/|?"</f>
        <v>#VALUE!</v>
      </c>
      <c r="GC277" t="e">
        <f>Europe!F1299+"$F;@!/|@"</f>
        <v>#VALUE!</v>
      </c>
      <c r="GD277" t="e">
        <f>Europe!G1299+"$F;@!/|A"</f>
        <v>#VALUE!</v>
      </c>
      <c r="GE277" t="e">
        <f>Europe!H1299+"$F;@!/|B"</f>
        <v>#VALUE!</v>
      </c>
      <c r="GF277" t="e">
        <f>Europe!A1300+"$F;@!/|C"</f>
        <v>#VALUE!</v>
      </c>
      <c r="GG277" t="e">
        <f>Europe!B1300+"$F;@!/|D"</f>
        <v>#VALUE!</v>
      </c>
      <c r="GH277" t="e">
        <f>Europe!C1300+"$F;@!/|E"</f>
        <v>#VALUE!</v>
      </c>
      <c r="GI277" t="e">
        <f>Europe!D1300+"$F;@!/|F"</f>
        <v>#VALUE!</v>
      </c>
      <c r="GJ277" t="e">
        <f>Europe!E1300+"$F;@!/|G"</f>
        <v>#VALUE!</v>
      </c>
      <c r="GK277" t="e">
        <f>Europe!F1300+"$F;@!/|H"</f>
        <v>#VALUE!</v>
      </c>
      <c r="GL277" t="e">
        <f>Europe!G1300+"$F;@!/|I"</f>
        <v>#VALUE!</v>
      </c>
      <c r="GM277" t="e">
        <f>Europe!H1300+"$F;@!/|J"</f>
        <v>#VALUE!</v>
      </c>
      <c r="GN277" t="e">
        <f>Europe!A1301+"$F;@!/|K"</f>
        <v>#VALUE!</v>
      </c>
      <c r="GO277" t="e">
        <f>Europe!B1301+"$F;@!/|L"</f>
        <v>#VALUE!</v>
      </c>
      <c r="GP277" t="e">
        <f>Europe!C1301+"$F;@!/|M"</f>
        <v>#VALUE!</v>
      </c>
      <c r="GQ277" t="e">
        <f>Europe!D1301+"$F;@!/|N"</f>
        <v>#VALUE!</v>
      </c>
      <c r="GR277" t="e">
        <f>Europe!E1301+"$F;@!/|O"</f>
        <v>#VALUE!</v>
      </c>
      <c r="GS277" t="e">
        <f>Europe!F1301+"$F;@!/|P"</f>
        <v>#VALUE!</v>
      </c>
      <c r="GT277" t="e">
        <f>Europe!G1301+"$F;@!/|Q"</f>
        <v>#VALUE!</v>
      </c>
      <c r="GU277" t="e">
        <f>Europe!H1301+"$F;@!/|R"</f>
        <v>#VALUE!</v>
      </c>
      <c r="GV277" t="e">
        <f>Europe!A1302+"$F;@!/|S"</f>
        <v>#VALUE!</v>
      </c>
      <c r="GW277" t="e">
        <f>Europe!B1302+"$F;@!/|T"</f>
        <v>#VALUE!</v>
      </c>
      <c r="GX277" t="e">
        <f>Europe!C1302+"$F;@!/|U"</f>
        <v>#VALUE!</v>
      </c>
      <c r="GY277" t="e">
        <f>Europe!D1302+"$F;@!/|V"</f>
        <v>#VALUE!</v>
      </c>
      <c r="GZ277" t="e">
        <f>Europe!E1302+"$F;@!/|W"</f>
        <v>#VALUE!</v>
      </c>
      <c r="HA277" t="e">
        <f>Europe!F1302+"$F;@!/|X"</f>
        <v>#VALUE!</v>
      </c>
      <c r="HB277" t="e">
        <f>Europe!G1302+"$F;@!/|Y"</f>
        <v>#VALUE!</v>
      </c>
      <c r="HC277" t="e">
        <f>Europe!H1302+"$F;@!/|Z"</f>
        <v>#VALUE!</v>
      </c>
      <c r="HD277" t="e">
        <f>Europe!A1303+"$F;@!/|["</f>
        <v>#VALUE!</v>
      </c>
      <c r="HE277" t="e">
        <f>Europe!B1303+"$F;@!/|\"</f>
        <v>#VALUE!</v>
      </c>
      <c r="HF277" t="e">
        <f>Europe!C1303+"$F;@!/|]"</f>
        <v>#VALUE!</v>
      </c>
      <c r="HG277" t="e">
        <f>Europe!D1303+"$F;@!/|^"</f>
        <v>#VALUE!</v>
      </c>
      <c r="HH277" t="e">
        <f>Europe!E1303+"$F;@!/|_"</f>
        <v>#VALUE!</v>
      </c>
      <c r="HI277" t="e">
        <f>Europe!F1303+"$F;@!/|`"</f>
        <v>#VALUE!</v>
      </c>
      <c r="HJ277" t="e">
        <f>Europe!G1303+"$F;@!/|a"</f>
        <v>#VALUE!</v>
      </c>
      <c r="HK277" t="e">
        <f>Europe!H1303+"$F;@!/|b"</f>
        <v>#VALUE!</v>
      </c>
      <c r="HL277" t="e">
        <f>Europe!A1304+"$F;@!/|c"</f>
        <v>#VALUE!</v>
      </c>
      <c r="HM277" t="e">
        <f>Europe!B1304+"$F;@!/|d"</f>
        <v>#VALUE!</v>
      </c>
      <c r="HN277" t="e">
        <f>Europe!C1304+"$F;@!/|e"</f>
        <v>#VALUE!</v>
      </c>
      <c r="HO277" t="e">
        <f>Europe!D1304+"$F;@!/|f"</f>
        <v>#VALUE!</v>
      </c>
      <c r="HP277" t="e">
        <f>Europe!E1304+"$F;@!/|g"</f>
        <v>#VALUE!</v>
      </c>
      <c r="HQ277" t="e">
        <f>Europe!F1304+"$F;@!/|h"</f>
        <v>#VALUE!</v>
      </c>
      <c r="HR277" t="e">
        <f>Europe!G1304+"$F;@!/|i"</f>
        <v>#VALUE!</v>
      </c>
      <c r="HS277" t="e">
        <f>Europe!H1304+"$F;@!/|j"</f>
        <v>#VALUE!</v>
      </c>
      <c r="HT277" t="e">
        <f>Europe!A1305+"$F;@!/|k"</f>
        <v>#VALUE!</v>
      </c>
      <c r="HU277" t="e">
        <f>Europe!B1305+"$F;@!/|l"</f>
        <v>#VALUE!</v>
      </c>
      <c r="HV277" t="e">
        <f>Europe!C1305+"$F;@!/|m"</f>
        <v>#VALUE!</v>
      </c>
      <c r="HW277" t="e">
        <f>Europe!D1305+"$F;@!/|n"</f>
        <v>#VALUE!</v>
      </c>
      <c r="HX277" t="e">
        <f>Europe!E1305+"$F;@!/|o"</f>
        <v>#VALUE!</v>
      </c>
      <c r="HY277" t="e">
        <f>Europe!F1305+"$F;@!/|p"</f>
        <v>#VALUE!</v>
      </c>
      <c r="HZ277" t="e">
        <f>Europe!G1305+"$F;@!/|q"</f>
        <v>#VALUE!</v>
      </c>
      <c r="IA277" t="e">
        <f>Europe!H1305+"$F;@!/|r"</f>
        <v>#VALUE!</v>
      </c>
      <c r="IB277" t="e">
        <f>Europe!A1306+"$F;@!/|s"</f>
        <v>#VALUE!</v>
      </c>
      <c r="IC277" t="e">
        <f>Europe!B1306+"$F;@!/|t"</f>
        <v>#VALUE!</v>
      </c>
      <c r="ID277" t="e">
        <f>Europe!C1306+"$F;@!/|u"</f>
        <v>#VALUE!</v>
      </c>
      <c r="IE277" t="e">
        <f>Europe!D1306+"$F;@!/|v"</f>
        <v>#VALUE!</v>
      </c>
      <c r="IF277" t="e">
        <f>Europe!E1306+"$F;@!/|w"</f>
        <v>#VALUE!</v>
      </c>
      <c r="IG277" t="e">
        <f>Europe!F1306+"$F;@!/|x"</f>
        <v>#VALUE!</v>
      </c>
      <c r="IH277" t="e">
        <f>Europe!G1306+"$F;@!/|y"</f>
        <v>#VALUE!</v>
      </c>
      <c r="II277" t="e">
        <f>Europe!H1306+"$F;@!/|z"</f>
        <v>#VALUE!</v>
      </c>
      <c r="IJ277" t="e">
        <f>Europe!A1307+"$F;@!/|{"</f>
        <v>#VALUE!</v>
      </c>
      <c r="IK277" t="e">
        <f>Europe!B1307+"$F;@!/||"</f>
        <v>#VALUE!</v>
      </c>
      <c r="IL277" t="e">
        <f>Europe!C1307+"$F;@!/|}"</f>
        <v>#VALUE!</v>
      </c>
      <c r="IM277" t="e">
        <f>Europe!D1307+"$F;@!/|~"</f>
        <v>#VALUE!</v>
      </c>
      <c r="IN277" t="e">
        <f>Europe!E1307+"$F;@!/}#"</f>
        <v>#VALUE!</v>
      </c>
      <c r="IO277" t="e">
        <f>Europe!F1307+"$F;@!/}$"</f>
        <v>#VALUE!</v>
      </c>
      <c r="IP277" t="e">
        <f>Europe!G1307+"$F;@!/}%"</f>
        <v>#VALUE!</v>
      </c>
      <c r="IQ277" t="e">
        <f>Europe!H1307+"$F;@!/}&amp;"</f>
        <v>#VALUE!</v>
      </c>
      <c r="IR277" t="e">
        <f>Europe!A1308+"$F;@!/}'"</f>
        <v>#VALUE!</v>
      </c>
      <c r="IS277" t="e">
        <f>Europe!B1308+"$F;@!/}("</f>
        <v>#VALUE!</v>
      </c>
      <c r="IT277" t="e">
        <f>Europe!C1308+"$F;@!/})"</f>
        <v>#VALUE!</v>
      </c>
      <c r="IU277" t="e">
        <f>Europe!D1308+"$F;@!/}."</f>
        <v>#VALUE!</v>
      </c>
      <c r="IV277" t="e">
        <f>Europe!E1308+"$F;@!/}/"</f>
        <v>#VALUE!</v>
      </c>
    </row>
    <row r="278" spans="6:256" x14ac:dyDescent="0.35">
      <c r="F278" t="e">
        <f>Europe!F1308+"$F;@!/}0"</f>
        <v>#VALUE!</v>
      </c>
      <c r="G278" t="e">
        <f>Europe!G1308+"$F;@!/}1"</f>
        <v>#VALUE!</v>
      </c>
      <c r="H278" t="e">
        <f>Europe!H1308+"$F;@!/}2"</f>
        <v>#VALUE!</v>
      </c>
      <c r="I278" t="e">
        <f>Europe!A1309+"$F;@!/}3"</f>
        <v>#VALUE!</v>
      </c>
      <c r="J278" t="e">
        <f>Europe!B1309+"$F;@!/}4"</f>
        <v>#VALUE!</v>
      </c>
      <c r="K278" t="e">
        <f>Europe!C1309+"$F;@!/}5"</f>
        <v>#VALUE!</v>
      </c>
      <c r="L278" t="e">
        <f>Europe!D1309+"$F;@!/}6"</f>
        <v>#VALUE!</v>
      </c>
      <c r="M278" t="e">
        <f>Europe!E1309+"$F;@!/}7"</f>
        <v>#VALUE!</v>
      </c>
      <c r="N278" t="e">
        <f>Europe!F1309+"$F;@!/}8"</f>
        <v>#VALUE!</v>
      </c>
      <c r="O278" t="e">
        <f>Europe!G1309+"$F;@!/}9"</f>
        <v>#VALUE!</v>
      </c>
      <c r="P278" t="e">
        <f>Europe!H1309+"$F;@!/}:"</f>
        <v>#VALUE!</v>
      </c>
      <c r="Q278" t="e">
        <f>Europe!A1310+"$F;@!/};"</f>
        <v>#VALUE!</v>
      </c>
      <c r="R278" t="e">
        <f>Europe!B1310+"$F;@!/}&lt;"</f>
        <v>#VALUE!</v>
      </c>
      <c r="S278" t="e">
        <f>Europe!C1310+"$F;@!/}="</f>
        <v>#VALUE!</v>
      </c>
      <c r="T278" t="e">
        <f>Europe!D1310+"$F;@!/}&gt;"</f>
        <v>#VALUE!</v>
      </c>
      <c r="U278" t="e">
        <f>Europe!E1310+"$F;@!/}?"</f>
        <v>#VALUE!</v>
      </c>
      <c r="V278" t="e">
        <f>Europe!F1310+"$F;@!/}@"</f>
        <v>#VALUE!</v>
      </c>
      <c r="W278" t="e">
        <f>Europe!G1310+"$F;@!/}A"</f>
        <v>#VALUE!</v>
      </c>
      <c r="X278" t="e">
        <f>Europe!H1310+"$F;@!/}B"</f>
        <v>#VALUE!</v>
      </c>
      <c r="Y278" t="e">
        <f>Europe!A1311+"$F;@!/}C"</f>
        <v>#VALUE!</v>
      </c>
      <c r="Z278" t="e">
        <f>Europe!B1311+"$F;@!/}D"</f>
        <v>#VALUE!</v>
      </c>
      <c r="AA278" t="e">
        <f>Europe!C1311+"$F;@!/}E"</f>
        <v>#VALUE!</v>
      </c>
      <c r="AB278" t="e">
        <f>Europe!D1311+"$F;@!/}F"</f>
        <v>#VALUE!</v>
      </c>
      <c r="AC278" t="e">
        <f>Europe!E1311+"$F;@!/}G"</f>
        <v>#VALUE!</v>
      </c>
      <c r="AD278" t="e">
        <f>Europe!F1311+"$F;@!/}H"</f>
        <v>#VALUE!</v>
      </c>
      <c r="AE278" t="e">
        <f>Europe!G1311+"$F;@!/}I"</f>
        <v>#VALUE!</v>
      </c>
      <c r="AF278" t="e">
        <f>Europe!H1311+"$F;@!/}J"</f>
        <v>#VALUE!</v>
      </c>
      <c r="AG278" t="e">
        <f>Europe!A1312+"$F;@!/}K"</f>
        <v>#VALUE!</v>
      </c>
      <c r="AH278" t="e">
        <f>Europe!B1312+"$F;@!/}L"</f>
        <v>#VALUE!</v>
      </c>
      <c r="AI278" t="e">
        <f>Europe!C1312+"$F;@!/}M"</f>
        <v>#VALUE!</v>
      </c>
      <c r="AJ278" t="e">
        <f>Europe!D1312+"$F;@!/}N"</f>
        <v>#VALUE!</v>
      </c>
      <c r="AK278" t="e">
        <f>Europe!E1312+"$F;@!/}O"</f>
        <v>#VALUE!</v>
      </c>
      <c r="AL278" t="e">
        <f>Europe!F1312+"$F;@!/}P"</f>
        <v>#VALUE!</v>
      </c>
      <c r="AM278" t="e">
        <f>Europe!G1312+"$F;@!/}Q"</f>
        <v>#VALUE!</v>
      </c>
      <c r="AN278" t="e">
        <f>Europe!H1312+"$F;@!/}R"</f>
        <v>#VALUE!</v>
      </c>
      <c r="AO278" t="e">
        <f>Europe!A1313+"$F;@!/}S"</f>
        <v>#VALUE!</v>
      </c>
      <c r="AP278" t="e">
        <f>Europe!B1313+"$F;@!/}T"</f>
        <v>#VALUE!</v>
      </c>
      <c r="AQ278" t="e">
        <f>Europe!C1313+"$F;@!/}U"</f>
        <v>#VALUE!</v>
      </c>
      <c r="AR278" t="e">
        <f>Europe!D1313+"$F;@!/}V"</f>
        <v>#VALUE!</v>
      </c>
      <c r="AS278" t="e">
        <f>Europe!E1313+"$F;@!/}W"</f>
        <v>#VALUE!</v>
      </c>
      <c r="AT278" t="e">
        <f>Europe!F1313+"$F;@!/}X"</f>
        <v>#VALUE!</v>
      </c>
      <c r="AU278" t="e">
        <f>Europe!G1313+"$F;@!/}Y"</f>
        <v>#VALUE!</v>
      </c>
      <c r="AV278" t="e">
        <f>Europe!H1313+"$F;@!/}Z"</f>
        <v>#VALUE!</v>
      </c>
      <c r="AW278" t="e">
        <f>Europe!A1314+"$F;@!/}["</f>
        <v>#VALUE!</v>
      </c>
      <c r="AX278" t="e">
        <f>Europe!B1314+"$F;@!/}\"</f>
        <v>#VALUE!</v>
      </c>
      <c r="AY278" t="e">
        <f>Europe!C1314+"$F;@!/}]"</f>
        <v>#VALUE!</v>
      </c>
      <c r="AZ278" t="e">
        <f>Europe!D1314+"$F;@!/}^"</f>
        <v>#VALUE!</v>
      </c>
      <c r="BA278" t="e">
        <f>Europe!E1314+"$F;@!/}_"</f>
        <v>#VALUE!</v>
      </c>
      <c r="BB278" t="e">
        <f>Europe!F1314+"$F;@!/}`"</f>
        <v>#VALUE!</v>
      </c>
      <c r="BC278" t="e">
        <f>Europe!G1314+"$F;@!/}a"</f>
        <v>#VALUE!</v>
      </c>
      <c r="BD278" t="e">
        <f>Europe!H1314+"$F;@!/}b"</f>
        <v>#VALUE!</v>
      </c>
      <c r="BE278" t="e">
        <f>Europe!A1315+"$F;@!/}c"</f>
        <v>#VALUE!</v>
      </c>
      <c r="BF278" t="e">
        <f>Europe!B1315+"$F;@!/}d"</f>
        <v>#VALUE!</v>
      </c>
      <c r="BG278" t="e">
        <f>Europe!C1315+"$F;@!/}e"</f>
        <v>#VALUE!</v>
      </c>
      <c r="BH278" t="e">
        <f>Europe!D1315+"$F;@!/}f"</f>
        <v>#VALUE!</v>
      </c>
      <c r="BI278" t="e">
        <f>Europe!E1315+"$F;@!/}g"</f>
        <v>#VALUE!</v>
      </c>
      <c r="BJ278" t="e">
        <f>Europe!F1315+"$F;@!/}h"</f>
        <v>#VALUE!</v>
      </c>
      <c r="BK278" t="e">
        <f>Europe!G1315+"$F;@!/}i"</f>
        <v>#VALUE!</v>
      </c>
      <c r="BL278" t="e">
        <f>Europe!H1315+"$F;@!/}j"</f>
        <v>#VALUE!</v>
      </c>
      <c r="BM278" t="e">
        <f>Europe!A1316+"$F;@!/}k"</f>
        <v>#VALUE!</v>
      </c>
      <c r="BN278" t="e">
        <f>Europe!B1316+"$F;@!/}l"</f>
        <v>#VALUE!</v>
      </c>
      <c r="BO278" t="e">
        <f>Europe!C1316+"$F;@!/}m"</f>
        <v>#VALUE!</v>
      </c>
      <c r="BP278" t="e">
        <f>Europe!D1316+"$F;@!/}n"</f>
        <v>#VALUE!</v>
      </c>
      <c r="BQ278" t="e">
        <f>Europe!E1316+"$F;@!/}o"</f>
        <v>#VALUE!</v>
      </c>
      <c r="BR278" t="e">
        <f>Europe!F1316+"$F;@!/}p"</f>
        <v>#VALUE!</v>
      </c>
      <c r="BS278" t="e">
        <f>Europe!G1316+"$F;@!/}q"</f>
        <v>#VALUE!</v>
      </c>
      <c r="BT278" t="e">
        <f>Europe!H1316+"$F;@!/}r"</f>
        <v>#VALUE!</v>
      </c>
      <c r="BU278" t="e">
        <f>Europe!A1317+"$F;@!/}s"</f>
        <v>#VALUE!</v>
      </c>
      <c r="BV278" t="e">
        <f>Europe!B1317+"$F;@!/}t"</f>
        <v>#VALUE!</v>
      </c>
      <c r="BW278" t="e">
        <f>Europe!C1317+"$F;@!/}u"</f>
        <v>#VALUE!</v>
      </c>
      <c r="BX278" t="e">
        <f>Europe!D1317+"$F;@!/}v"</f>
        <v>#VALUE!</v>
      </c>
      <c r="BY278" t="e">
        <f>Europe!E1317+"$F;@!/}w"</f>
        <v>#VALUE!</v>
      </c>
      <c r="BZ278" t="e">
        <f>Europe!F1317+"$F;@!/}x"</f>
        <v>#VALUE!</v>
      </c>
      <c r="CA278" t="e">
        <f>Europe!G1317+"$F;@!/}y"</f>
        <v>#VALUE!</v>
      </c>
      <c r="CB278" t="e">
        <f>Europe!H1317+"$F;@!/}z"</f>
        <v>#VALUE!</v>
      </c>
      <c r="CC278" t="e">
        <f>Europe!A1318+"$F;@!/}{"</f>
        <v>#VALUE!</v>
      </c>
      <c r="CD278" t="e">
        <f>Europe!B1318+"$F;@!/}|"</f>
        <v>#VALUE!</v>
      </c>
      <c r="CE278" t="e">
        <f>Europe!C1318+"$F;@!/}}"</f>
        <v>#VALUE!</v>
      </c>
      <c r="CF278" t="e">
        <f>Europe!D1318+"$F;@!/}~"</f>
        <v>#VALUE!</v>
      </c>
      <c r="CG278" t="e">
        <f>Europe!E1318+"$F;@!/~#"</f>
        <v>#VALUE!</v>
      </c>
      <c r="CH278" t="e">
        <f>Europe!F1318+"$F;@!/~$"</f>
        <v>#VALUE!</v>
      </c>
      <c r="CI278" t="e">
        <f>Europe!G1318+"$F;@!/~%"</f>
        <v>#VALUE!</v>
      </c>
      <c r="CJ278" t="e">
        <f>Europe!H1318+"$F;@!/~&amp;"</f>
        <v>#VALUE!</v>
      </c>
      <c r="CK278" t="e">
        <f>Europe!A1319+"$F;@!/~'"</f>
        <v>#VALUE!</v>
      </c>
      <c r="CL278" t="e">
        <f>Europe!B1319+"$F;@!/~("</f>
        <v>#VALUE!</v>
      </c>
      <c r="CM278" t="e">
        <f>Europe!C1319+"$F;@!/~)"</f>
        <v>#VALUE!</v>
      </c>
      <c r="CN278" t="e">
        <f>Europe!D1319+"$F;@!/~."</f>
        <v>#VALUE!</v>
      </c>
      <c r="CO278" t="e">
        <f>Europe!E1319+"$F;@!/~/"</f>
        <v>#VALUE!</v>
      </c>
      <c r="CP278" t="e">
        <f>Europe!F1319+"$F;@!/~0"</f>
        <v>#VALUE!</v>
      </c>
      <c r="CQ278" t="e">
        <f>Europe!G1319+"$F;@!/~1"</f>
        <v>#VALUE!</v>
      </c>
      <c r="CR278" t="e">
        <f>Europe!H1319+"$F;@!/~2"</f>
        <v>#VALUE!</v>
      </c>
      <c r="CS278" t="e">
        <f>Europe!A1320+"$F;@!/~3"</f>
        <v>#VALUE!</v>
      </c>
      <c r="CT278" t="e">
        <f>Europe!B1320+"$F;@!/~4"</f>
        <v>#VALUE!</v>
      </c>
      <c r="CU278" t="e">
        <f>Europe!C1320+"$F;@!/~5"</f>
        <v>#VALUE!</v>
      </c>
      <c r="CV278" t="e">
        <f>Europe!D1320+"$F;@!/~6"</f>
        <v>#VALUE!</v>
      </c>
      <c r="CW278" t="e">
        <f>Europe!E1320+"$F;@!/~7"</f>
        <v>#VALUE!</v>
      </c>
      <c r="CX278" t="e">
        <f>Europe!F1320+"$F;@!/~8"</f>
        <v>#VALUE!</v>
      </c>
      <c r="CY278" t="e">
        <f>Europe!G1320+"$F;@!/~9"</f>
        <v>#VALUE!</v>
      </c>
      <c r="CZ278" t="e">
        <f>Europe!H1320+"$F;@!/~:"</f>
        <v>#VALUE!</v>
      </c>
      <c r="DA278" t="e">
        <f>Europe!A1321+"$F;@!/~;"</f>
        <v>#VALUE!</v>
      </c>
      <c r="DB278" t="e">
        <f>Europe!B1321+"$F;@!/~&lt;"</f>
        <v>#VALUE!</v>
      </c>
      <c r="DC278" t="e">
        <f>Europe!C1321+"$F;@!/~="</f>
        <v>#VALUE!</v>
      </c>
      <c r="DD278" t="e">
        <f>Europe!D1321+"$F;@!/~&gt;"</f>
        <v>#VALUE!</v>
      </c>
      <c r="DE278" t="e">
        <f>Europe!E1321+"$F;@!/~?"</f>
        <v>#VALUE!</v>
      </c>
      <c r="DF278" t="e">
        <f>Europe!F1321+"$F;@!/~@"</f>
        <v>#VALUE!</v>
      </c>
      <c r="DG278" t="e">
        <f>Europe!G1321+"$F;@!/~A"</f>
        <v>#VALUE!</v>
      </c>
      <c r="DH278" t="e">
        <f>Europe!H1321+"$F;@!/~B"</f>
        <v>#VALUE!</v>
      </c>
      <c r="DI278" t="e">
        <f>Europe!A1322+"$F;@!/~C"</f>
        <v>#VALUE!</v>
      </c>
      <c r="DJ278" t="e">
        <f>Europe!B1322+"$F;@!/~D"</f>
        <v>#VALUE!</v>
      </c>
      <c r="DK278" t="e">
        <f>Europe!C1322+"$F;@!/~E"</f>
        <v>#VALUE!</v>
      </c>
      <c r="DL278" t="e">
        <f>Europe!D1322+"$F;@!/~F"</f>
        <v>#VALUE!</v>
      </c>
      <c r="DM278" t="e">
        <f>Europe!E1322+"$F;@!/~G"</f>
        <v>#VALUE!</v>
      </c>
      <c r="DN278" t="e">
        <f>Europe!F1322+"$F;@!/~H"</f>
        <v>#VALUE!</v>
      </c>
      <c r="DO278" t="e">
        <f>Europe!G1322+"$F;@!/~I"</f>
        <v>#VALUE!</v>
      </c>
      <c r="DP278" t="e">
        <f>Europe!H1322+"$F;@!/~J"</f>
        <v>#VALUE!</v>
      </c>
      <c r="DQ278" t="e">
        <f>Europe!A1323+"$F;@!/~K"</f>
        <v>#VALUE!</v>
      </c>
      <c r="DR278" t="e">
        <f>Europe!B1323+"$F;@!/~L"</f>
        <v>#VALUE!</v>
      </c>
      <c r="DS278" t="e">
        <f>Europe!C1323+"$F;@!/~M"</f>
        <v>#VALUE!</v>
      </c>
      <c r="DT278" t="e">
        <f>Europe!D1323+"$F;@!/~N"</f>
        <v>#VALUE!</v>
      </c>
      <c r="DU278" t="e">
        <f>Europe!E1323+"$F;@!/~O"</f>
        <v>#VALUE!</v>
      </c>
      <c r="DV278" t="e">
        <f>Europe!F1323+"$F;@!/~P"</f>
        <v>#VALUE!</v>
      </c>
      <c r="DW278" t="e">
        <f>Europe!G1323+"$F;@!/~Q"</f>
        <v>#VALUE!</v>
      </c>
      <c r="DX278" t="e">
        <f>Europe!H1323+"$F;@!/~R"</f>
        <v>#VALUE!</v>
      </c>
      <c r="DY278" t="e">
        <f>Europe!A1324+"$F;@!/~S"</f>
        <v>#VALUE!</v>
      </c>
      <c r="DZ278" t="e">
        <f>Europe!B1324+"$F;@!/~T"</f>
        <v>#VALUE!</v>
      </c>
      <c r="EA278" t="e">
        <f>Europe!C1324+"$F;@!/~U"</f>
        <v>#VALUE!</v>
      </c>
      <c r="EB278" t="e">
        <f>Europe!D1324+"$F;@!/~V"</f>
        <v>#VALUE!</v>
      </c>
      <c r="EC278" t="e">
        <f>Europe!E1324+"$F;@!/~W"</f>
        <v>#VALUE!</v>
      </c>
      <c r="ED278" t="e">
        <f>Europe!F1324+"$F;@!/~X"</f>
        <v>#VALUE!</v>
      </c>
      <c r="EE278" t="e">
        <f>Europe!G1324+"$F;@!/~Y"</f>
        <v>#VALUE!</v>
      </c>
      <c r="EF278" t="e">
        <f>Europe!H1324+"$F;@!/~Z"</f>
        <v>#VALUE!</v>
      </c>
      <c r="EG278" t="e">
        <f>Europe!A1325+"$F;@!/~["</f>
        <v>#VALUE!</v>
      </c>
      <c r="EH278" t="e">
        <f>Europe!B1325+"$F;@!/~\"</f>
        <v>#VALUE!</v>
      </c>
      <c r="EI278" t="e">
        <f>Europe!C1325+"$F;@!/~]"</f>
        <v>#VALUE!</v>
      </c>
      <c r="EJ278" t="e">
        <f>Europe!D1325+"$F;@!/~^"</f>
        <v>#VALUE!</v>
      </c>
      <c r="EK278" t="e">
        <f>Europe!E1325+"$F;@!/~_"</f>
        <v>#VALUE!</v>
      </c>
      <c r="EL278" t="e">
        <f>Europe!F1325+"$F;@!/~`"</f>
        <v>#VALUE!</v>
      </c>
      <c r="EM278" t="e">
        <f>Europe!G1325+"$F;@!/~a"</f>
        <v>#VALUE!</v>
      </c>
      <c r="EN278" t="e">
        <f>Europe!H1325+"$F;@!/~b"</f>
        <v>#VALUE!</v>
      </c>
      <c r="EO278" t="e">
        <f>Europe!A1326+"$F;@!/~c"</f>
        <v>#VALUE!</v>
      </c>
      <c r="EP278" t="e">
        <f>Europe!B1326+"$F;@!/~d"</f>
        <v>#VALUE!</v>
      </c>
      <c r="EQ278" t="e">
        <f>Europe!C1326+"$F;@!/~e"</f>
        <v>#VALUE!</v>
      </c>
      <c r="ER278" t="e">
        <f>Europe!D1326+"$F;@!/~f"</f>
        <v>#VALUE!</v>
      </c>
      <c r="ES278" t="e">
        <f>Europe!E1326+"$F;@!/~g"</f>
        <v>#VALUE!</v>
      </c>
      <c r="ET278" t="e">
        <f>Europe!F1326+"$F;@!/~h"</f>
        <v>#VALUE!</v>
      </c>
      <c r="EU278" t="e">
        <f>Europe!G1326+"$F;@!/~i"</f>
        <v>#VALUE!</v>
      </c>
      <c r="EV278" t="e">
        <f>Europe!H1326+"$F;@!/~j"</f>
        <v>#VALUE!</v>
      </c>
      <c r="EW278" t="e">
        <f>Europe!A1327+"$F;@!/~k"</f>
        <v>#VALUE!</v>
      </c>
      <c r="EX278" t="e">
        <f>Europe!B1327+"$F;@!/~l"</f>
        <v>#VALUE!</v>
      </c>
      <c r="EY278" t="e">
        <f>Europe!C1327+"$F;@!/~m"</f>
        <v>#VALUE!</v>
      </c>
      <c r="EZ278" t="e">
        <f>Europe!D1327+"$F;@!/~n"</f>
        <v>#VALUE!</v>
      </c>
      <c r="FA278" t="e">
        <f>Europe!E1327+"$F;@!/~o"</f>
        <v>#VALUE!</v>
      </c>
      <c r="FB278" t="e">
        <f>Europe!F1327+"$F;@!/~p"</f>
        <v>#VALUE!</v>
      </c>
      <c r="FC278" t="e">
        <f>Europe!G1327+"$F;@!/~q"</f>
        <v>#VALUE!</v>
      </c>
      <c r="FD278" t="e">
        <f>Europe!H1327+"$F;@!/~r"</f>
        <v>#VALUE!</v>
      </c>
      <c r="FE278" t="e">
        <f>Europe!A1328+"$F;@!/~s"</f>
        <v>#VALUE!</v>
      </c>
      <c r="FF278" t="e">
        <f>Europe!B1328+"$F;@!/~t"</f>
        <v>#VALUE!</v>
      </c>
      <c r="FG278" t="e">
        <f>Europe!C1328+"$F;@!/~u"</f>
        <v>#VALUE!</v>
      </c>
      <c r="FH278" t="e">
        <f>Europe!D1328+"$F;@!/~v"</f>
        <v>#VALUE!</v>
      </c>
      <c r="FI278" t="e">
        <f>Europe!E1328+"$F;@!/~w"</f>
        <v>#VALUE!</v>
      </c>
      <c r="FJ278" t="e">
        <f>Europe!F1328+"$F;@!/~x"</f>
        <v>#VALUE!</v>
      </c>
      <c r="FK278" t="e">
        <f>Europe!G1328+"$F;@!/~y"</f>
        <v>#VALUE!</v>
      </c>
      <c r="FL278" t="e">
        <f>Europe!H1328+"$F;@!/~z"</f>
        <v>#VALUE!</v>
      </c>
      <c r="FM278" t="e">
        <f>Europe!A1329+"$F;@!/~{"</f>
        <v>#VALUE!</v>
      </c>
      <c r="FN278" t="e">
        <f>Europe!B1329+"$F;@!/~|"</f>
        <v>#VALUE!</v>
      </c>
      <c r="FO278" t="e">
        <f>Europe!C1329+"$F;@!/~}"</f>
        <v>#VALUE!</v>
      </c>
      <c r="FP278" t="e">
        <f>Europe!D1329+"$F;@!/~~"</f>
        <v>#VALUE!</v>
      </c>
      <c r="FQ278" t="e">
        <f>Europe!E1329+"$F;@!0##"</f>
        <v>#VALUE!</v>
      </c>
      <c r="FR278" t="e">
        <f>Europe!F1329+"$F;@!0#$"</f>
        <v>#VALUE!</v>
      </c>
      <c r="FS278" t="e">
        <f>Europe!G1329+"$F;@!0#%"</f>
        <v>#VALUE!</v>
      </c>
      <c r="FT278" t="e">
        <f>Europe!H1329+"$F;@!0#&amp;"</f>
        <v>#VALUE!</v>
      </c>
      <c r="FU278" t="e">
        <f>Europe!A1330+"$F;@!0#'"</f>
        <v>#VALUE!</v>
      </c>
      <c r="FV278" t="e">
        <f>Europe!B1330+"$F;@!0#("</f>
        <v>#VALUE!</v>
      </c>
      <c r="FW278" t="e">
        <f>Europe!C1330+"$F;@!0#)"</f>
        <v>#VALUE!</v>
      </c>
      <c r="FX278" t="e">
        <f>Europe!D1330+"$F;@!0#."</f>
        <v>#VALUE!</v>
      </c>
      <c r="FY278" t="e">
        <f>Europe!E1330+"$F;@!0#/"</f>
        <v>#VALUE!</v>
      </c>
      <c r="FZ278" t="e">
        <f>Europe!F1330+"$F;@!0#0"</f>
        <v>#VALUE!</v>
      </c>
      <c r="GA278" t="e">
        <f>Europe!G1330+"$F;@!0#1"</f>
        <v>#VALUE!</v>
      </c>
      <c r="GB278" t="e">
        <f>Europe!H1330+"$F;@!0#2"</f>
        <v>#VALUE!</v>
      </c>
      <c r="GC278" t="e">
        <f>Europe!A1331+"$F;@!0#3"</f>
        <v>#VALUE!</v>
      </c>
      <c r="GD278" t="e">
        <f>Europe!B1331+"$F;@!0#4"</f>
        <v>#VALUE!</v>
      </c>
      <c r="GE278" t="e">
        <f>Europe!C1331+"$F;@!0#5"</f>
        <v>#VALUE!</v>
      </c>
      <c r="GF278" t="e">
        <f>Europe!D1331+"$F;@!0#6"</f>
        <v>#VALUE!</v>
      </c>
      <c r="GG278" t="e">
        <f>Europe!E1331+"$F;@!0#7"</f>
        <v>#VALUE!</v>
      </c>
      <c r="GH278" t="e">
        <f>Europe!F1331+"$F;@!0#8"</f>
        <v>#VALUE!</v>
      </c>
      <c r="GI278" t="e">
        <f>Europe!G1331+"$F;@!0#9"</f>
        <v>#VALUE!</v>
      </c>
      <c r="GJ278" t="e">
        <f>Europe!H1331+"$F;@!0#:"</f>
        <v>#VALUE!</v>
      </c>
      <c r="GK278" t="e">
        <f>Europe!A1332+"$F;@!0#;"</f>
        <v>#VALUE!</v>
      </c>
      <c r="GL278" t="e">
        <f>Europe!B1332+"$F;@!0#&lt;"</f>
        <v>#VALUE!</v>
      </c>
      <c r="GM278" t="e">
        <f>Europe!C1332+"$F;@!0#="</f>
        <v>#VALUE!</v>
      </c>
      <c r="GN278" t="e">
        <f>Europe!D1332+"$F;@!0#&gt;"</f>
        <v>#VALUE!</v>
      </c>
      <c r="GO278" t="e">
        <f>Europe!E1332+"$F;@!0#?"</f>
        <v>#VALUE!</v>
      </c>
      <c r="GP278" t="e">
        <f>Europe!F1332+"$F;@!0#@"</f>
        <v>#VALUE!</v>
      </c>
      <c r="GQ278" t="e">
        <f>Europe!G1332+"$F;@!0#A"</f>
        <v>#VALUE!</v>
      </c>
      <c r="GR278" t="e">
        <f>Europe!H1332+"$F;@!0#B"</f>
        <v>#VALUE!</v>
      </c>
      <c r="GS278" t="e">
        <f>Europe!A1333+"$F;@!0#C"</f>
        <v>#VALUE!</v>
      </c>
      <c r="GT278" t="e">
        <f>Europe!B1333+"$F;@!0#D"</f>
        <v>#VALUE!</v>
      </c>
      <c r="GU278" t="e">
        <f>Europe!C1333+"$F;@!0#E"</f>
        <v>#VALUE!</v>
      </c>
      <c r="GV278" t="e">
        <f>Europe!D1333+"$F;@!0#F"</f>
        <v>#VALUE!</v>
      </c>
      <c r="GW278" t="e">
        <f>Europe!E1333+"$F;@!0#G"</f>
        <v>#VALUE!</v>
      </c>
      <c r="GX278" t="e">
        <f>Europe!F1333+"$F;@!0#H"</f>
        <v>#VALUE!</v>
      </c>
      <c r="GY278" t="e">
        <f>Europe!G1333+"$F;@!0#I"</f>
        <v>#VALUE!</v>
      </c>
      <c r="GZ278" t="e">
        <f>Europe!H1333+"$F;@!0#J"</f>
        <v>#VALUE!</v>
      </c>
      <c r="HA278" t="e">
        <f>Europe!A1334+"$F;@!0#K"</f>
        <v>#VALUE!</v>
      </c>
      <c r="HB278" t="e">
        <f>Europe!B1334+"$F;@!0#L"</f>
        <v>#VALUE!</v>
      </c>
      <c r="HC278" t="e">
        <f>Europe!C1334+"$F;@!0#M"</f>
        <v>#VALUE!</v>
      </c>
      <c r="HD278" t="e">
        <f>Europe!D1334+"$F;@!0#N"</f>
        <v>#VALUE!</v>
      </c>
      <c r="HE278" t="e">
        <f>Europe!E1334+"$F;@!0#O"</f>
        <v>#VALUE!</v>
      </c>
      <c r="HF278" t="e">
        <f>Europe!F1334+"$F;@!0#P"</f>
        <v>#VALUE!</v>
      </c>
      <c r="HG278" t="e">
        <f>Europe!G1334+"$F;@!0#Q"</f>
        <v>#VALUE!</v>
      </c>
      <c r="HH278" t="e">
        <f>Europe!H1334+"$F;@!0#R"</f>
        <v>#VALUE!</v>
      </c>
      <c r="HI278" t="e">
        <f>Europe!A1335+"$F;@!0#S"</f>
        <v>#VALUE!</v>
      </c>
      <c r="HJ278" t="e">
        <f>Europe!B1335+"$F;@!0#T"</f>
        <v>#VALUE!</v>
      </c>
      <c r="HK278" t="e">
        <f>Europe!C1335+"$F;@!0#U"</f>
        <v>#VALUE!</v>
      </c>
      <c r="HL278" t="e">
        <f>Europe!D1335+"$F;@!0#V"</f>
        <v>#VALUE!</v>
      </c>
      <c r="HM278" t="e">
        <f>Europe!E1335+"$F;@!0#W"</f>
        <v>#VALUE!</v>
      </c>
      <c r="HN278" t="e">
        <f>Europe!F1335+"$F;@!0#X"</f>
        <v>#VALUE!</v>
      </c>
      <c r="HO278" t="e">
        <f>Europe!G1335+"$F;@!0#Y"</f>
        <v>#VALUE!</v>
      </c>
      <c r="HP278" t="e">
        <f>Europe!H1335+"$F;@!0#Z"</f>
        <v>#VALUE!</v>
      </c>
      <c r="HQ278" t="e">
        <f>Europe!A1336+"$F;@!0#["</f>
        <v>#VALUE!</v>
      </c>
      <c r="HR278" t="e">
        <f>Europe!B1336+"$F;@!0#\"</f>
        <v>#VALUE!</v>
      </c>
      <c r="HS278" t="e">
        <f>Europe!C1336+"$F;@!0#]"</f>
        <v>#VALUE!</v>
      </c>
      <c r="HT278" t="e">
        <f>Europe!D1336+"$F;@!0#^"</f>
        <v>#VALUE!</v>
      </c>
      <c r="HU278" t="e">
        <f>Europe!E1336+"$F;@!0#_"</f>
        <v>#VALUE!</v>
      </c>
      <c r="HV278" t="e">
        <f>Europe!F1336+"$F;@!0#`"</f>
        <v>#VALUE!</v>
      </c>
      <c r="HW278" t="e">
        <f>Europe!G1336+"$F;@!0#a"</f>
        <v>#VALUE!</v>
      </c>
      <c r="HX278" t="e">
        <f>Europe!H1336+"$F;@!0#b"</f>
        <v>#VALUE!</v>
      </c>
      <c r="HY278" t="e">
        <f>Europe!A1337+"$F;@!0#c"</f>
        <v>#VALUE!</v>
      </c>
      <c r="HZ278" t="e">
        <f>Europe!B1337+"$F;@!0#d"</f>
        <v>#VALUE!</v>
      </c>
      <c r="IA278" t="e">
        <f>Europe!C1337+"$F;@!0#e"</f>
        <v>#VALUE!</v>
      </c>
      <c r="IB278" t="e">
        <f>Europe!D1337+"$F;@!0#f"</f>
        <v>#VALUE!</v>
      </c>
      <c r="IC278" t="e">
        <f>Europe!E1337+"$F;@!0#g"</f>
        <v>#VALUE!</v>
      </c>
      <c r="ID278" t="e">
        <f>Europe!F1337+"$F;@!0#h"</f>
        <v>#VALUE!</v>
      </c>
      <c r="IE278" t="e">
        <f>Europe!G1337+"$F;@!0#i"</f>
        <v>#VALUE!</v>
      </c>
      <c r="IF278" t="e">
        <f>Europe!H1337+"$F;@!0#j"</f>
        <v>#VALUE!</v>
      </c>
      <c r="IG278" t="e">
        <f>Europe!A1338+"$F;@!0#k"</f>
        <v>#VALUE!</v>
      </c>
      <c r="IH278" t="e">
        <f>Europe!B1338+"$F;@!0#l"</f>
        <v>#VALUE!</v>
      </c>
      <c r="II278" t="e">
        <f>Europe!C1338+"$F;@!0#m"</f>
        <v>#VALUE!</v>
      </c>
      <c r="IJ278" t="e">
        <f>Europe!D1338+"$F;@!0#n"</f>
        <v>#VALUE!</v>
      </c>
      <c r="IK278" t="e">
        <f>Europe!E1338+"$F;@!0#o"</f>
        <v>#VALUE!</v>
      </c>
      <c r="IL278" t="e">
        <f>Europe!F1338+"$F;@!0#p"</f>
        <v>#VALUE!</v>
      </c>
      <c r="IM278" t="e">
        <f>Europe!G1338+"$F;@!0#q"</f>
        <v>#VALUE!</v>
      </c>
      <c r="IN278" t="e">
        <f>Europe!H1338+"$F;@!0#r"</f>
        <v>#VALUE!</v>
      </c>
      <c r="IO278" t="e">
        <f>Europe!A1339+"$F;@!0#s"</f>
        <v>#VALUE!</v>
      </c>
      <c r="IP278" t="e">
        <f>Europe!B1339+"$F;@!0#t"</f>
        <v>#VALUE!</v>
      </c>
      <c r="IQ278" t="e">
        <f>Europe!C1339+"$F;@!0#u"</f>
        <v>#VALUE!</v>
      </c>
      <c r="IR278" t="e">
        <f>Europe!D1339+"$F;@!0#v"</f>
        <v>#VALUE!</v>
      </c>
      <c r="IS278" t="e">
        <f>Europe!E1339+"$F;@!0#w"</f>
        <v>#VALUE!</v>
      </c>
      <c r="IT278" t="e">
        <f>Europe!F1339+"$F;@!0#x"</f>
        <v>#VALUE!</v>
      </c>
      <c r="IU278" t="e">
        <f>Europe!G1339+"$F;@!0#y"</f>
        <v>#VALUE!</v>
      </c>
      <c r="IV278" t="e">
        <f>Europe!H1339+"$F;@!0#z"</f>
        <v>#VALUE!</v>
      </c>
    </row>
    <row r="279" spans="6:256" x14ac:dyDescent="0.35">
      <c r="F279" t="e">
        <f>Europe!A1340+"$F;@!0#{"</f>
        <v>#VALUE!</v>
      </c>
      <c r="G279" t="e">
        <f>Europe!B1340+"$F;@!0#|"</f>
        <v>#VALUE!</v>
      </c>
      <c r="H279" t="e">
        <f>Europe!C1340+"$F;@!0#}"</f>
        <v>#VALUE!</v>
      </c>
      <c r="I279" t="e">
        <f>Europe!D1340+"$F;@!0#~"</f>
        <v>#VALUE!</v>
      </c>
      <c r="J279" t="e">
        <f>Europe!E1340+"$F;@!0$#"</f>
        <v>#VALUE!</v>
      </c>
      <c r="K279" t="e">
        <f>Europe!F1340+"$F;@!0$$"</f>
        <v>#VALUE!</v>
      </c>
      <c r="L279" t="e">
        <f>Europe!G1340+"$F;@!0$%"</f>
        <v>#VALUE!</v>
      </c>
      <c r="M279" t="e">
        <f>Europe!H1340+"$F;@!0$&amp;"</f>
        <v>#VALUE!</v>
      </c>
      <c r="N279" t="e">
        <f>Europe!A1341+"$F;@!0$'"</f>
        <v>#VALUE!</v>
      </c>
      <c r="O279" t="e">
        <f>Europe!B1341+"$F;@!0$("</f>
        <v>#VALUE!</v>
      </c>
      <c r="P279" t="e">
        <f>Europe!C1341+"$F;@!0$)"</f>
        <v>#VALUE!</v>
      </c>
      <c r="Q279" t="e">
        <f>Europe!D1341+"$F;@!0$."</f>
        <v>#VALUE!</v>
      </c>
      <c r="R279" t="e">
        <f>Europe!E1341+"$F;@!0$/"</f>
        <v>#VALUE!</v>
      </c>
      <c r="S279" t="e">
        <f>Europe!F1341+"$F;@!0$0"</f>
        <v>#VALUE!</v>
      </c>
      <c r="T279" t="e">
        <f>Europe!G1341+"$F;@!0$1"</f>
        <v>#VALUE!</v>
      </c>
      <c r="U279" t="e">
        <f>Europe!H1341+"$F;@!0$2"</f>
        <v>#VALUE!</v>
      </c>
      <c r="V279" t="e">
        <f>Europe!A1342+"$F;@!0$3"</f>
        <v>#VALUE!</v>
      </c>
      <c r="W279" t="e">
        <f>Europe!B1342+"$F;@!0$4"</f>
        <v>#VALUE!</v>
      </c>
      <c r="X279" t="e">
        <f>Europe!C1342+"$F;@!0$5"</f>
        <v>#VALUE!</v>
      </c>
      <c r="Y279" t="e">
        <f>Europe!D1342+"$F;@!0$6"</f>
        <v>#VALUE!</v>
      </c>
      <c r="Z279" t="e">
        <f>Europe!E1342+"$F;@!0$7"</f>
        <v>#VALUE!</v>
      </c>
      <c r="AA279" t="e">
        <f>Europe!F1342+"$F;@!0$8"</f>
        <v>#VALUE!</v>
      </c>
      <c r="AB279" t="e">
        <f>Europe!G1342+"$F;@!0$9"</f>
        <v>#VALUE!</v>
      </c>
      <c r="AC279" t="e">
        <f>Europe!H1342+"$F;@!0$:"</f>
        <v>#VALUE!</v>
      </c>
      <c r="AD279" t="e">
        <f>Europe!A1343+"$F;@!0$;"</f>
        <v>#VALUE!</v>
      </c>
      <c r="AE279" t="e">
        <f>Europe!B1343+"$F;@!0$&lt;"</f>
        <v>#VALUE!</v>
      </c>
      <c r="AF279" t="e">
        <f>Europe!C1343+"$F;@!0$="</f>
        <v>#VALUE!</v>
      </c>
      <c r="AG279" t="e">
        <f>Europe!D1343+"$F;@!0$&gt;"</f>
        <v>#VALUE!</v>
      </c>
      <c r="AH279" t="e">
        <f>Europe!E1343+"$F;@!0$?"</f>
        <v>#VALUE!</v>
      </c>
      <c r="AI279" t="e">
        <f>Europe!F1343+"$F;@!0$@"</f>
        <v>#VALUE!</v>
      </c>
      <c r="AJ279" t="e">
        <f>Europe!G1343+"$F;@!0$A"</f>
        <v>#VALUE!</v>
      </c>
      <c r="AK279" t="e">
        <f>Europe!H1343+"$F;@!0$B"</f>
        <v>#VALUE!</v>
      </c>
      <c r="AL279" t="e">
        <f>Europe!A1344+"$F;@!0$C"</f>
        <v>#VALUE!</v>
      </c>
      <c r="AM279" t="e">
        <f>Europe!B1344+"$F;@!0$D"</f>
        <v>#VALUE!</v>
      </c>
      <c r="AN279" t="e">
        <f>Europe!C1344+"$F;@!0$E"</f>
        <v>#VALUE!</v>
      </c>
      <c r="AO279" t="e">
        <f>Europe!D1344+"$F;@!0$F"</f>
        <v>#VALUE!</v>
      </c>
      <c r="AP279" t="e">
        <f>Europe!E1344+"$F;@!0$G"</f>
        <v>#VALUE!</v>
      </c>
      <c r="AQ279" t="e">
        <f>Europe!F1344+"$F;@!0$H"</f>
        <v>#VALUE!</v>
      </c>
      <c r="AR279" t="e">
        <f>Europe!G1344+"$F;@!0$I"</f>
        <v>#VALUE!</v>
      </c>
      <c r="AS279" t="e">
        <f>Europe!H1344+"$F;@!0$J"</f>
        <v>#VALUE!</v>
      </c>
      <c r="AT279" t="e">
        <f>Europe!A1345+"$F;@!0$K"</f>
        <v>#VALUE!</v>
      </c>
      <c r="AU279" t="e">
        <f>Europe!B1345+"$F;@!0$L"</f>
        <v>#VALUE!</v>
      </c>
      <c r="AV279" t="e">
        <f>Europe!C1345+"$F;@!0$M"</f>
        <v>#VALUE!</v>
      </c>
      <c r="AW279" t="e">
        <f>Europe!D1345+"$F;@!0$N"</f>
        <v>#VALUE!</v>
      </c>
      <c r="AX279" t="e">
        <f>Europe!E1345+"$F;@!0$O"</f>
        <v>#VALUE!</v>
      </c>
      <c r="AY279" t="e">
        <f>Europe!F1345+"$F;@!0$P"</f>
        <v>#VALUE!</v>
      </c>
      <c r="AZ279" t="e">
        <f>Europe!G1345+"$F;@!0$Q"</f>
        <v>#VALUE!</v>
      </c>
      <c r="BA279" t="e">
        <f>Europe!H1345+"$F;@!0$R"</f>
        <v>#VALUE!</v>
      </c>
      <c r="BB279" t="e">
        <f>Europe!A1346+"$F;@!0$S"</f>
        <v>#VALUE!</v>
      </c>
      <c r="BC279" t="e">
        <f>Europe!B1346+"$F;@!0$T"</f>
        <v>#VALUE!</v>
      </c>
      <c r="BD279" t="e">
        <f>Europe!C1346+"$F;@!0$U"</f>
        <v>#VALUE!</v>
      </c>
      <c r="BE279" t="e">
        <f>Europe!D1346+"$F;@!0$V"</f>
        <v>#VALUE!</v>
      </c>
      <c r="BF279" t="e">
        <f>Europe!E1346+"$F;@!0$W"</f>
        <v>#VALUE!</v>
      </c>
      <c r="BG279" t="e">
        <f>Europe!F1346+"$F;@!0$X"</f>
        <v>#VALUE!</v>
      </c>
      <c r="BH279" t="e">
        <f>Europe!G1346+"$F;@!0$Y"</f>
        <v>#VALUE!</v>
      </c>
      <c r="BI279" t="e">
        <f>Europe!H1346+"$F;@!0$Z"</f>
        <v>#VALUE!</v>
      </c>
      <c r="BJ279" t="e">
        <f>Europe!A1347+"$F;@!0$["</f>
        <v>#VALUE!</v>
      </c>
      <c r="BK279" t="e">
        <f>Europe!B1347+"$F;@!0$\"</f>
        <v>#VALUE!</v>
      </c>
      <c r="BL279" t="e">
        <f>Europe!C1347+"$F;@!0$]"</f>
        <v>#VALUE!</v>
      </c>
      <c r="BM279" t="e">
        <f>Europe!D1347+"$F;@!0$^"</f>
        <v>#VALUE!</v>
      </c>
      <c r="BN279" t="e">
        <f>Europe!E1347+"$F;@!0$_"</f>
        <v>#VALUE!</v>
      </c>
      <c r="BO279" t="e">
        <f>Europe!F1347+"$F;@!0$`"</f>
        <v>#VALUE!</v>
      </c>
      <c r="BP279" t="e">
        <f>Europe!G1347+"$F;@!0$a"</f>
        <v>#VALUE!</v>
      </c>
      <c r="BQ279" t="e">
        <f>Europe!H1347+"$F;@!0$b"</f>
        <v>#VALUE!</v>
      </c>
      <c r="BR279" t="e">
        <f>Europe!A1348+"$F;@!0$c"</f>
        <v>#VALUE!</v>
      </c>
      <c r="BS279" t="e">
        <f>Europe!B1348+"$F;@!0$d"</f>
        <v>#VALUE!</v>
      </c>
      <c r="BT279" t="e">
        <f>Europe!C1348+"$F;@!0$e"</f>
        <v>#VALUE!</v>
      </c>
      <c r="BU279" t="e">
        <f>Europe!D1348+"$F;@!0$f"</f>
        <v>#VALUE!</v>
      </c>
      <c r="BV279" t="e">
        <f>Europe!E1348+"$F;@!0$g"</f>
        <v>#VALUE!</v>
      </c>
      <c r="BW279" t="e">
        <f>Europe!F1348+"$F;@!0$h"</f>
        <v>#VALUE!</v>
      </c>
      <c r="BX279" t="e">
        <f>Europe!G1348+"$F;@!0$i"</f>
        <v>#VALUE!</v>
      </c>
      <c r="BY279" t="e">
        <f>Europe!H1348+"$F;@!0$j"</f>
        <v>#VALUE!</v>
      </c>
      <c r="BZ279" t="e">
        <f>Europe!A1349+"$F;@!0$k"</f>
        <v>#VALUE!</v>
      </c>
      <c r="CA279" t="e">
        <f>Europe!B1349+"$F;@!0$l"</f>
        <v>#VALUE!</v>
      </c>
      <c r="CB279" t="e">
        <f>Europe!C1349+"$F;@!0$m"</f>
        <v>#VALUE!</v>
      </c>
      <c r="CC279" t="e">
        <f>Europe!D1349+"$F;@!0$n"</f>
        <v>#VALUE!</v>
      </c>
      <c r="CD279" t="e">
        <f>Europe!E1349+"$F;@!0$o"</f>
        <v>#VALUE!</v>
      </c>
      <c r="CE279" t="e">
        <f>Europe!F1349+"$F;@!0$p"</f>
        <v>#VALUE!</v>
      </c>
      <c r="CF279" t="e">
        <f>Europe!G1349+"$F;@!0$q"</f>
        <v>#VALUE!</v>
      </c>
      <c r="CG279" t="e">
        <f>Europe!H1349+"$F;@!0$r"</f>
        <v>#VALUE!</v>
      </c>
      <c r="CH279" t="e">
        <f>Europe!A1350+"$F;@!0$s"</f>
        <v>#VALUE!</v>
      </c>
      <c r="CI279" t="e">
        <f>Europe!B1350+"$F;@!0$t"</f>
        <v>#VALUE!</v>
      </c>
      <c r="CJ279" t="e">
        <f>Europe!C1350+"$F;@!0$u"</f>
        <v>#VALUE!</v>
      </c>
      <c r="CK279" t="e">
        <f>Europe!D1350+"$F;@!0$v"</f>
        <v>#VALUE!</v>
      </c>
      <c r="CL279" t="e">
        <f>Europe!E1350+"$F;@!0$w"</f>
        <v>#VALUE!</v>
      </c>
      <c r="CM279" t="e">
        <f>Europe!F1350+"$F;@!0$x"</f>
        <v>#VALUE!</v>
      </c>
      <c r="CN279" t="e">
        <f>Europe!G1350+"$F;@!0$y"</f>
        <v>#VALUE!</v>
      </c>
      <c r="CO279" t="e">
        <f>Europe!H1350+"$F;@!0$z"</f>
        <v>#VALUE!</v>
      </c>
      <c r="CP279" t="e">
        <f>Europe!A1351+"$F;@!0${"</f>
        <v>#VALUE!</v>
      </c>
      <c r="CQ279" t="e">
        <f>Europe!B1351+"$F;@!0$|"</f>
        <v>#VALUE!</v>
      </c>
      <c r="CR279" t="e">
        <f>Europe!C1351+"$F;@!0$}"</f>
        <v>#VALUE!</v>
      </c>
      <c r="CS279" t="e">
        <f>Europe!D1351+"$F;@!0$~"</f>
        <v>#VALUE!</v>
      </c>
      <c r="CT279" t="e">
        <f>Europe!E1351+"$F;@!0%#"</f>
        <v>#VALUE!</v>
      </c>
      <c r="CU279" t="e">
        <f>Europe!F1351+"$F;@!0%$"</f>
        <v>#VALUE!</v>
      </c>
      <c r="CV279" t="e">
        <f>Europe!G1351+"$F;@!0%%"</f>
        <v>#VALUE!</v>
      </c>
      <c r="CW279" t="e">
        <f>Europe!H1351+"$F;@!0%&amp;"</f>
        <v>#VALUE!</v>
      </c>
      <c r="CX279" t="e">
        <f>Europe!A1352+"$F;@!0%'"</f>
        <v>#VALUE!</v>
      </c>
      <c r="CY279" t="e">
        <f>Europe!B1352+"$F;@!0%("</f>
        <v>#VALUE!</v>
      </c>
      <c r="CZ279" t="e">
        <f>Europe!C1352+"$F;@!0%)"</f>
        <v>#VALUE!</v>
      </c>
      <c r="DA279" t="e">
        <f>Europe!D1352+"$F;@!0%."</f>
        <v>#VALUE!</v>
      </c>
      <c r="DB279" t="e">
        <f>Europe!E1352+"$F;@!0%/"</f>
        <v>#VALUE!</v>
      </c>
      <c r="DC279" t="e">
        <f>Europe!F1352+"$F;@!0%0"</f>
        <v>#VALUE!</v>
      </c>
      <c r="DD279" t="e">
        <f>Europe!G1352+"$F;@!0%1"</f>
        <v>#VALUE!</v>
      </c>
      <c r="DE279" t="e">
        <f>Europe!H1352+"$F;@!0%2"</f>
        <v>#VALUE!</v>
      </c>
      <c r="DF279" t="e">
        <f>Europe!A1353+"$F;@!0%3"</f>
        <v>#VALUE!</v>
      </c>
      <c r="DG279" t="e">
        <f>Europe!B1353+"$F;@!0%4"</f>
        <v>#VALUE!</v>
      </c>
      <c r="DH279" t="e">
        <f>Europe!C1353+"$F;@!0%5"</f>
        <v>#VALUE!</v>
      </c>
      <c r="DI279" t="e">
        <f>Europe!D1353+"$F;@!0%6"</f>
        <v>#VALUE!</v>
      </c>
      <c r="DJ279" t="e">
        <f>Europe!E1353+"$F;@!0%7"</f>
        <v>#VALUE!</v>
      </c>
      <c r="DK279" t="e">
        <f>Europe!F1353+"$F;@!0%8"</f>
        <v>#VALUE!</v>
      </c>
      <c r="DL279" t="e">
        <f>Europe!G1353+"$F;@!0%9"</f>
        <v>#VALUE!</v>
      </c>
      <c r="DM279" t="e">
        <f>Europe!H1353+"$F;@!0%:"</f>
        <v>#VALUE!</v>
      </c>
      <c r="DN279" t="e">
        <f>Europe!A1354+"$F;@!0%;"</f>
        <v>#VALUE!</v>
      </c>
      <c r="DO279" t="e">
        <f>Europe!B1354+"$F;@!0%&lt;"</f>
        <v>#VALUE!</v>
      </c>
      <c r="DP279" t="e">
        <f>Europe!C1354+"$F;@!0%="</f>
        <v>#VALUE!</v>
      </c>
      <c r="DQ279" t="e">
        <f>Europe!D1354+"$F;@!0%&gt;"</f>
        <v>#VALUE!</v>
      </c>
      <c r="DR279" t="e">
        <f>Europe!E1354+"$F;@!0%?"</f>
        <v>#VALUE!</v>
      </c>
      <c r="DS279" t="e">
        <f>Europe!F1354+"$F;@!0%@"</f>
        <v>#VALUE!</v>
      </c>
      <c r="DT279" t="e">
        <f>Europe!G1354+"$F;@!0%A"</f>
        <v>#VALUE!</v>
      </c>
      <c r="DU279" t="e">
        <f>Europe!H1354+"$F;@!0%B"</f>
        <v>#VALUE!</v>
      </c>
      <c r="DV279" t="e">
        <f>Europe!A1355+"$F;@!0%C"</f>
        <v>#VALUE!</v>
      </c>
      <c r="DW279" t="e">
        <f>Europe!B1355+"$F;@!0%D"</f>
        <v>#VALUE!</v>
      </c>
      <c r="DX279" t="e">
        <f>Europe!C1355+"$F;@!0%E"</f>
        <v>#VALUE!</v>
      </c>
      <c r="DY279" t="e">
        <f>Europe!D1355+"$F;@!0%F"</f>
        <v>#VALUE!</v>
      </c>
      <c r="DZ279" t="e">
        <f>Europe!E1355+"$F;@!0%G"</f>
        <v>#VALUE!</v>
      </c>
      <c r="EA279" t="e">
        <f>Europe!F1355+"$F;@!0%H"</f>
        <v>#VALUE!</v>
      </c>
      <c r="EB279" t="e">
        <f>Europe!G1355+"$F;@!0%I"</f>
        <v>#VALUE!</v>
      </c>
      <c r="EC279" t="e">
        <f>Europe!H1355+"$F;@!0%J"</f>
        <v>#VALUE!</v>
      </c>
      <c r="ED279" t="e">
        <f>Europe!A1356+"$F;@!0%K"</f>
        <v>#VALUE!</v>
      </c>
      <c r="EE279" t="e">
        <f>Europe!B1356+"$F;@!0%L"</f>
        <v>#VALUE!</v>
      </c>
      <c r="EF279" t="e">
        <f>Europe!C1356+"$F;@!0%M"</f>
        <v>#VALUE!</v>
      </c>
      <c r="EG279" t="e">
        <f>Europe!D1356+"$F;@!0%N"</f>
        <v>#VALUE!</v>
      </c>
      <c r="EH279" t="e">
        <f>Europe!E1356+"$F;@!0%O"</f>
        <v>#VALUE!</v>
      </c>
      <c r="EI279" t="e">
        <f>Europe!F1356+"$F;@!0%P"</f>
        <v>#VALUE!</v>
      </c>
      <c r="EJ279" t="e">
        <f>Europe!G1356+"$F;@!0%Q"</f>
        <v>#VALUE!</v>
      </c>
      <c r="EK279" t="e">
        <f>Europe!H1356+"$F;@!0%R"</f>
        <v>#VALUE!</v>
      </c>
      <c r="EL279" t="e">
        <f>Europe!A1357+"$F;@!0%S"</f>
        <v>#VALUE!</v>
      </c>
      <c r="EM279" t="e">
        <f>Europe!B1357+"$F;@!0%T"</f>
        <v>#VALUE!</v>
      </c>
      <c r="EN279" t="e">
        <f>Europe!C1357+"$F;@!0%U"</f>
        <v>#VALUE!</v>
      </c>
      <c r="EO279" t="e">
        <f>Europe!D1357+"$F;@!0%V"</f>
        <v>#VALUE!</v>
      </c>
      <c r="EP279" t="e">
        <f>Europe!E1357+"$F;@!0%W"</f>
        <v>#VALUE!</v>
      </c>
      <c r="EQ279" t="e">
        <f>Europe!F1357+"$F;@!0%X"</f>
        <v>#VALUE!</v>
      </c>
      <c r="ER279" t="e">
        <f>Europe!G1357+"$F;@!0%Y"</f>
        <v>#VALUE!</v>
      </c>
      <c r="ES279" t="e">
        <f>Europe!H1357+"$F;@!0%Z"</f>
        <v>#VALUE!</v>
      </c>
      <c r="ET279" t="e">
        <f>Europe!A1358+"$F;@!0%["</f>
        <v>#VALUE!</v>
      </c>
      <c r="EU279" t="e">
        <f>Europe!B1358+"$F;@!0%\"</f>
        <v>#VALUE!</v>
      </c>
      <c r="EV279" t="e">
        <f>Europe!C1358+"$F;@!0%]"</f>
        <v>#VALUE!</v>
      </c>
      <c r="EW279" t="e">
        <f>Europe!D1358+"$F;@!0%^"</f>
        <v>#VALUE!</v>
      </c>
      <c r="EX279" t="e">
        <f>Europe!E1358+"$F;@!0%_"</f>
        <v>#VALUE!</v>
      </c>
      <c r="EY279" t="e">
        <f>Europe!F1358+"$F;@!0%`"</f>
        <v>#VALUE!</v>
      </c>
      <c r="EZ279" t="e">
        <f>Europe!G1358+"$F;@!0%a"</f>
        <v>#VALUE!</v>
      </c>
      <c r="FA279" t="e">
        <f>Europe!H1358+"$F;@!0%b"</f>
        <v>#VALUE!</v>
      </c>
      <c r="FB279" t="e">
        <f>Europe!A1359+"$F;@!0%c"</f>
        <v>#VALUE!</v>
      </c>
      <c r="FC279" t="e">
        <f>Europe!B1359+"$F;@!0%d"</f>
        <v>#VALUE!</v>
      </c>
      <c r="FD279" t="e">
        <f>Europe!C1359+"$F;@!0%e"</f>
        <v>#VALUE!</v>
      </c>
      <c r="FE279" t="e">
        <f>Europe!D1359+"$F;@!0%f"</f>
        <v>#VALUE!</v>
      </c>
      <c r="FF279" t="e">
        <f>Europe!E1359+"$F;@!0%g"</f>
        <v>#VALUE!</v>
      </c>
      <c r="FG279" t="e">
        <f>Europe!F1359+"$F;@!0%h"</f>
        <v>#VALUE!</v>
      </c>
      <c r="FH279" t="e">
        <f>Europe!G1359+"$F;@!0%i"</f>
        <v>#VALUE!</v>
      </c>
      <c r="FI279" t="e">
        <f>Europe!H1359+"$F;@!0%j"</f>
        <v>#VALUE!</v>
      </c>
      <c r="FJ279" t="e">
        <f>Europe!A1360+"$F;@!0%k"</f>
        <v>#VALUE!</v>
      </c>
      <c r="FK279" t="e">
        <f>Europe!B1360+"$F;@!0%l"</f>
        <v>#VALUE!</v>
      </c>
      <c r="FL279" t="e">
        <f>Europe!C1360+"$F;@!0%m"</f>
        <v>#VALUE!</v>
      </c>
      <c r="FM279" t="e">
        <f>Europe!D1360+"$F;@!0%n"</f>
        <v>#VALUE!</v>
      </c>
      <c r="FN279" t="e">
        <f>Europe!E1360+"$F;@!0%o"</f>
        <v>#VALUE!</v>
      </c>
      <c r="FO279" t="e">
        <f>Europe!F1360+"$F;@!0%p"</f>
        <v>#VALUE!</v>
      </c>
      <c r="FP279" t="e">
        <f>Europe!G1360+"$F;@!0%q"</f>
        <v>#VALUE!</v>
      </c>
      <c r="FQ279" t="e">
        <f>Europe!H1360+"$F;@!0%r"</f>
        <v>#VALUE!</v>
      </c>
      <c r="FR279" t="e">
        <f>Europe!A1361+"$F;@!0%s"</f>
        <v>#VALUE!</v>
      </c>
      <c r="FS279" t="e">
        <f>Europe!B1361+"$F;@!0%t"</f>
        <v>#VALUE!</v>
      </c>
      <c r="FT279" t="e">
        <f>Europe!C1361+"$F;@!0%u"</f>
        <v>#VALUE!</v>
      </c>
      <c r="FU279" t="e">
        <f>Europe!D1361+"$F;@!0%v"</f>
        <v>#VALUE!</v>
      </c>
      <c r="FV279" t="e">
        <f>Europe!E1361+"$F;@!0%w"</f>
        <v>#VALUE!</v>
      </c>
      <c r="FW279" t="e">
        <f>Europe!F1361+"$F;@!0%x"</f>
        <v>#VALUE!</v>
      </c>
      <c r="FX279" t="e">
        <f>Europe!G1361+"$F;@!0%y"</f>
        <v>#VALUE!</v>
      </c>
      <c r="FY279" t="e">
        <f>Europe!H1361+"$F;@!0%z"</f>
        <v>#VALUE!</v>
      </c>
      <c r="FZ279" t="e">
        <f>Europe!A1362+"$F;@!0%{"</f>
        <v>#VALUE!</v>
      </c>
      <c r="GA279" t="e">
        <f>Europe!B1362+"$F;@!0%|"</f>
        <v>#VALUE!</v>
      </c>
      <c r="GB279" t="e">
        <f>Europe!C1362+"$F;@!0%}"</f>
        <v>#VALUE!</v>
      </c>
      <c r="GC279" t="e">
        <f>Europe!D1362+"$F;@!0%~"</f>
        <v>#VALUE!</v>
      </c>
      <c r="GD279" t="e">
        <f>Europe!E1362+"$F;@!0&amp;#"</f>
        <v>#VALUE!</v>
      </c>
      <c r="GE279" t="e">
        <f>Europe!F1362+"$F;@!0&amp;$"</f>
        <v>#VALUE!</v>
      </c>
      <c r="GF279" t="e">
        <f>Europe!G1362+"$F;@!0&amp;%"</f>
        <v>#VALUE!</v>
      </c>
      <c r="GG279" t="e">
        <f>Europe!H1362+"$F;@!0&amp;&amp;"</f>
        <v>#VALUE!</v>
      </c>
      <c r="GH279" t="e">
        <f>Europe!A1363+"$F;@!0&amp;'"</f>
        <v>#VALUE!</v>
      </c>
      <c r="GI279" t="e">
        <f>Europe!B1363+"$F;@!0&amp;("</f>
        <v>#VALUE!</v>
      </c>
      <c r="GJ279" t="e">
        <f>Europe!C1363+"$F;@!0&amp;)"</f>
        <v>#VALUE!</v>
      </c>
      <c r="GK279" t="e">
        <f>Europe!D1363+"$F;@!0&amp;."</f>
        <v>#VALUE!</v>
      </c>
      <c r="GL279" t="e">
        <f>Europe!E1363+"$F;@!0&amp;/"</f>
        <v>#VALUE!</v>
      </c>
      <c r="GM279" t="e">
        <f>Europe!F1363+"$F;@!0&amp;0"</f>
        <v>#VALUE!</v>
      </c>
      <c r="GN279" t="e">
        <f>Europe!G1363+"$F;@!0&amp;1"</f>
        <v>#VALUE!</v>
      </c>
      <c r="GO279" t="e">
        <f>Europe!H1363+"$F;@!0&amp;2"</f>
        <v>#VALUE!</v>
      </c>
      <c r="GP279" t="e">
        <f>Europe!A1364+"$F;@!0&amp;3"</f>
        <v>#VALUE!</v>
      </c>
      <c r="GQ279" t="e">
        <f>Europe!B1364+"$F;@!0&amp;4"</f>
        <v>#VALUE!</v>
      </c>
      <c r="GR279" t="e">
        <f>Europe!C1364+"$F;@!0&amp;5"</f>
        <v>#VALUE!</v>
      </c>
      <c r="GS279" t="e">
        <f>Europe!D1364+"$F;@!0&amp;6"</f>
        <v>#VALUE!</v>
      </c>
      <c r="GT279" t="e">
        <f>Europe!E1364+"$F;@!0&amp;7"</f>
        <v>#VALUE!</v>
      </c>
      <c r="GU279" t="e">
        <f>Europe!F1364+"$F;@!0&amp;8"</f>
        <v>#VALUE!</v>
      </c>
      <c r="GV279" t="e">
        <f>Europe!G1364+"$F;@!0&amp;9"</f>
        <v>#VALUE!</v>
      </c>
      <c r="GW279" t="e">
        <f>Europe!H1364+"$F;@!0&amp;:"</f>
        <v>#VALUE!</v>
      </c>
      <c r="GX279" t="e">
        <f>Europe!A1365+"$F;@!0&amp;;"</f>
        <v>#VALUE!</v>
      </c>
      <c r="GY279" t="e">
        <f>Europe!B1365+"$F;@!0&amp;&lt;"</f>
        <v>#VALUE!</v>
      </c>
      <c r="GZ279" t="e">
        <f>Europe!C1365+"$F;@!0&amp;="</f>
        <v>#VALUE!</v>
      </c>
      <c r="HA279" t="e">
        <f>Europe!D1365+"$F;@!0&amp;&gt;"</f>
        <v>#VALUE!</v>
      </c>
      <c r="HB279" t="e">
        <f>Europe!E1365+"$F;@!0&amp;?"</f>
        <v>#VALUE!</v>
      </c>
      <c r="HC279" t="e">
        <f>Europe!F1365+"$F;@!0&amp;@"</f>
        <v>#VALUE!</v>
      </c>
      <c r="HD279" t="e">
        <f>Europe!G1365+"$F;@!0&amp;A"</f>
        <v>#VALUE!</v>
      </c>
      <c r="HE279" t="e">
        <f>Europe!H1365+"$F;@!0&amp;B"</f>
        <v>#VALUE!</v>
      </c>
      <c r="HF279" t="e">
        <f>Europe!A1366+"$F;@!0&amp;C"</f>
        <v>#VALUE!</v>
      </c>
      <c r="HG279" t="e">
        <f>Europe!B1366+"$F;@!0&amp;D"</f>
        <v>#VALUE!</v>
      </c>
      <c r="HH279" t="e">
        <f>Europe!C1366+"$F;@!0&amp;E"</f>
        <v>#VALUE!</v>
      </c>
      <c r="HI279" t="e">
        <f>Europe!D1366+"$F;@!0&amp;F"</f>
        <v>#VALUE!</v>
      </c>
      <c r="HJ279" t="e">
        <f>Europe!E1366+"$F;@!0&amp;G"</f>
        <v>#VALUE!</v>
      </c>
      <c r="HK279" t="e">
        <f>Europe!F1366+"$F;@!0&amp;H"</f>
        <v>#VALUE!</v>
      </c>
      <c r="HL279" t="e">
        <f>Europe!G1366+"$F;@!0&amp;I"</f>
        <v>#VALUE!</v>
      </c>
      <c r="HM279" t="e">
        <f>Europe!H1366+"$F;@!0&amp;J"</f>
        <v>#VALUE!</v>
      </c>
      <c r="HN279" t="e">
        <f>Europe!A1367+"$F;@!0&amp;K"</f>
        <v>#VALUE!</v>
      </c>
      <c r="HO279" t="e">
        <f>Europe!B1367+"$F;@!0&amp;L"</f>
        <v>#VALUE!</v>
      </c>
      <c r="HP279" t="e">
        <f>Europe!C1367+"$F;@!0&amp;M"</f>
        <v>#VALUE!</v>
      </c>
      <c r="HQ279" t="e">
        <f>Europe!D1367+"$F;@!0&amp;N"</f>
        <v>#VALUE!</v>
      </c>
      <c r="HR279" t="e">
        <f>Europe!E1367+"$F;@!0&amp;O"</f>
        <v>#VALUE!</v>
      </c>
      <c r="HS279" t="e">
        <f>Europe!F1367+"$F;@!0&amp;P"</f>
        <v>#VALUE!</v>
      </c>
      <c r="HT279" t="e">
        <f>Europe!G1367+"$F;@!0&amp;Q"</f>
        <v>#VALUE!</v>
      </c>
      <c r="HU279" t="e">
        <f>Europe!H1367+"$F;@!0&amp;R"</f>
        <v>#VALUE!</v>
      </c>
      <c r="HV279" t="e">
        <f>Europe!A1368+"$F;@!0&amp;S"</f>
        <v>#VALUE!</v>
      </c>
      <c r="HW279" t="e">
        <f>Europe!B1368+"$F;@!0&amp;T"</f>
        <v>#VALUE!</v>
      </c>
      <c r="HX279" t="e">
        <f>Europe!C1368+"$F;@!0&amp;U"</f>
        <v>#VALUE!</v>
      </c>
      <c r="HY279" t="e">
        <f>Europe!D1368+"$F;@!0&amp;V"</f>
        <v>#VALUE!</v>
      </c>
      <c r="HZ279" t="e">
        <f>Europe!E1368+"$F;@!0&amp;W"</f>
        <v>#VALUE!</v>
      </c>
      <c r="IA279" t="e">
        <f>Europe!F1368+"$F;@!0&amp;X"</f>
        <v>#VALUE!</v>
      </c>
      <c r="IB279" t="e">
        <f>Europe!G1368+"$F;@!0&amp;Y"</f>
        <v>#VALUE!</v>
      </c>
      <c r="IC279" t="e">
        <f>Europe!H1368+"$F;@!0&amp;Z"</f>
        <v>#VALUE!</v>
      </c>
      <c r="ID279" t="e">
        <f>Europe!A1369+"$F;@!0&amp;["</f>
        <v>#VALUE!</v>
      </c>
      <c r="IE279" t="e">
        <f>Europe!B1369+"$F;@!0&amp;\"</f>
        <v>#VALUE!</v>
      </c>
      <c r="IF279" t="e">
        <f>Europe!C1369+"$F;@!0&amp;]"</f>
        <v>#VALUE!</v>
      </c>
      <c r="IG279" t="e">
        <f>Europe!D1369+"$F;@!0&amp;^"</f>
        <v>#VALUE!</v>
      </c>
      <c r="IH279" t="e">
        <f>Europe!E1369+"$F;@!0&amp;_"</f>
        <v>#VALUE!</v>
      </c>
      <c r="II279" t="e">
        <f>Europe!F1369+"$F;@!0&amp;`"</f>
        <v>#VALUE!</v>
      </c>
      <c r="IJ279" t="e">
        <f>Europe!G1369+"$F;@!0&amp;a"</f>
        <v>#VALUE!</v>
      </c>
      <c r="IK279" t="e">
        <f>Europe!H1369+"$F;@!0&amp;b"</f>
        <v>#VALUE!</v>
      </c>
      <c r="IL279" t="e">
        <f>Europe!A1370+"$F;@!0&amp;c"</f>
        <v>#VALUE!</v>
      </c>
      <c r="IM279" t="e">
        <f>Europe!B1370+"$F;@!0&amp;d"</f>
        <v>#VALUE!</v>
      </c>
      <c r="IN279" t="e">
        <f>Europe!C1370+"$F;@!0&amp;e"</f>
        <v>#VALUE!</v>
      </c>
      <c r="IO279" t="e">
        <f>Europe!D1370+"$F;@!0&amp;f"</f>
        <v>#VALUE!</v>
      </c>
      <c r="IP279" t="e">
        <f>Europe!E1370+"$F;@!0&amp;g"</f>
        <v>#VALUE!</v>
      </c>
      <c r="IQ279" t="e">
        <f>Europe!F1370+"$F;@!0&amp;h"</f>
        <v>#VALUE!</v>
      </c>
      <c r="IR279" t="e">
        <f>Europe!G1370+"$F;@!0&amp;i"</f>
        <v>#VALUE!</v>
      </c>
      <c r="IS279" t="e">
        <f>Europe!H1370+"$F;@!0&amp;j"</f>
        <v>#VALUE!</v>
      </c>
      <c r="IT279" t="e">
        <f>Europe!A1371+"$F;@!0&amp;k"</f>
        <v>#VALUE!</v>
      </c>
      <c r="IU279" t="e">
        <f>Europe!B1371+"$F;@!0&amp;l"</f>
        <v>#VALUE!</v>
      </c>
      <c r="IV279" t="e">
        <f>Europe!C1371+"$F;@!0&amp;m"</f>
        <v>#VALUE!</v>
      </c>
    </row>
    <row r="280" spans="6:256" x14ac:dyDescent="0.35">
      <c r="F280" t="e">
        <f>Europe!D1371+"$F;@!0&amp;n"</f>
        <v>#VALUE!</v>
      </c>
      <c r="G280" t="e">
        <f>Europe!E1371+"$F;@!0&amp;o"</f>
        <v>#VALUE!</v>
      </c>
      <c r="H280" t="e">
        <f>Europe!F1371+"$F;@!0&amp;p"</f>
        <v>#VALUE!</v>
      </c>
      <c r="I280" t="e">
        <f>Europe!G1371+"$F;@!0&amp;q"</f>
        <v>#VALUE!</v>
      </c>
      <c r="J280" t="e">
        <f>Europe!H1371+"$F;@!0&amp;r"</f>
        <v>#VALUE!</v>
      </c>
      <c r="K280" t="e">
        <f>Europe!A1372+"$F;@!0&amp;s"</f>
        <v>#VALUE!</v>
      </c>
      <c r="L280" t="e">
        <f>Europe!B1372+"$F;@!0&amp;t"</f>
        <v>#VALUE!</v>
      </c>
      <c r="M280" t="e">
        <f>Europe!C1372+"$F;@!0&amp;u"</f>
        <v>#VALUE!</v>
      </c>
      <c r="N280" t="e">
        <f>Europe!D1372+"$F;@!0&amp;v"</f>
        <v>#VALUE!</v>
      </c>
      <c r="O280" t="e">
        <f>Europe!E1372+"$F;@!0&amp;w"</f>
        <v>#VALUE!</v>
      </c>
      <c r="P280" t="e">
        <f>Europe!F1372+"$F;@!0&amp;x"</f>
        <v>#VALUE!</v>
      </c>
      <c r="Q280" t="e">
        <f>Europe!G1372+"$F;@!0&amp;y"</f>
        <v>#VALUE!</v>
      </c>
      <c r="R280" t="e">
        <f>Europe!H1372+"$F;@!0&amp;z"</f>
        <v>#VALUE!</v>
      </c>
      <c r="S280" t="e">
        <f>Europe!A1373+"$F;@!0&amp;{"</f>
        <v>#VALUE!</v>
      </c>
      <c r="T280" t="e">
        <f>Europe!B1373+"$F;@!0&amp;|"</f>
        <v>#VALUE!</v>
      </c>
      <c r="U280" t="e">
        <f>Europe!C1373+"$F;@!0&amp;}"</f>
        <v>#VALUE!</v>
      </c>
      <c r="V280" t="e">
        <f>Europe!D1373+"$F;@!0&amp;~"</f>
        <v>#VALUE!</v>
      </c>
      <c r="W280" t="e">
        <f>Europe!E1373+"$F;@!0'#"</f>
        <v>#VALUE!</v>
      </c>
      <c r="X280" t="e">
        <f>Europe!F1373+"$F;@!0'$"</f>
        <v>#VALUE!</v>
      </c>
      <c r="Y280" t="e">
        <f>Europe!G1373+"$F;@!0'%"</f>
        <v>#VALUE!</v>
      </c>
      <c r="Z280" t="e">
        <f>Europe!H1373+"$F;@!0'&amp;"</f>
        <v>#VALUE!</v>
      </c>
      <c r="AA280" t="e">
        <f>Europe!A1374+"$F;@!0''"</f>
        <v>#VALUE!</v>
      </c>
      <c r="AB280" t="e">
        <f>Europe!B1374+"$F;@!0'("</f>
        <v>#VALUE!</v>
      </c>
      <c r="AC280" t="e">
        <f>Europe!C1374+"$F;@!0')"</f>
        <v>#VALUE!</v>
      </c>
      <c r="AD280" t="e">
        <f>Europe!D1374+"$F;@!0'."</f>
        <v>#VALUE!</v>
      </c>
      <c r="AE280" t="e">
        <f>Europe!E1374+"$F;@!0'/"</f>
        <v>#VALUE!</v>
      </c>
      <c r="AF280" t="e">
        <f>Europe!F1374+"$F;@!0'0"</f>
        <v>#VALUE!</v>
      </c>
      <c r="AG280" t="e">
        <f>Europe!G1374+"$F;@!0'1"</f>
        <v>#VALUE!</v>
      </c>
      <c r="AH280" t="e">
        <f>Europe!H1374+"$F;@!0'2"</f>
        <v>#VALUE!</v>
      </c>
      <c r="AI280" t="e">
        <f>Europe!A1375+"$F;@!0'3"</f>
        <v>#VALUE!</v>
      </c>
      <c r="AJ280" t="e">
        <f>Europe!B1375+"$F;@!0'4"</f>
        <v>#VALUE!</v>
      </c>
      <c r="AK280" t="e">
        <f>Europe!C1375+"$F;@!0'5"</f>
        <v>#VALUE!</v>
      </c>
      <c r="AL280" t="e">
        <f>Europe!D1375+"$F;@!0'6"</f>
        <v>#VALUE!</v>
      </c>
      <c r="AM280" t="e">
        <f>Europe!E1375+"$F;@!0'7"</f>
        <v>#VALUE!</v>
      </c>
      <c r="AN280" t="e">
        <f>Europe!F1375+"$F;@!0'8"</f>
        <v>#VALUE!</v>
      </c>
      <c r="AO280" t="e">
        <f>Europe!G1375+"$F;@!0'9"</f>
        <v>#VALUE!</v>
      </c>
      <c r="AP280" t="e">
        <f>Europe!H1375+"$F;@!0':"</f>
        <v>#VALUE!</v>
      </c>
      <c r="AQ280" t="e">
        <f>Europe!A1376+"$F;@!0';"</f>
        <v>#VALUE!</v>
      </c>
      <c r="AR280" t="e">
        <f>Europe!B1376+"$F;@!0'&lt;"</f>
        <v>#VALUE!</v>
      </c>
      <c r="AS280" t="e">
        <f>Europe!C1376+"$F;@!0'="</f>
        <v>#VALUE!</v>
      </c>
      <c r="AT280" t="e">
        <f>Europe!D1376+"$F;@!0'&gt;"</f>
        <v>#VALUE!</v>
      </c>
      <c r="AU280" t="e">
        <f>Europe!E1376+"$F;@!0'?"</f>
        <v>#VALUE!</v>
      </c>
      <c r="AV280" t="e">
        <f>Europe!F1376+"$F;@!0'@"</f>
        <v>#VALUE!</v>
      </c>
      <c r="AW280" t="e">
        <f>Europe!G1376+"$F;@!0'A"</f>
        <v>#VALUE!</v>
      </c>
      <c r="AX280" t="e">
        <f>Europe!H1376+"$F;@!0'B"</f>
        <v>#VALUE!</v>
      </c>
      <c r="AY280" t="e">
        <f>Europe!A1377+"$F;@!0'C"</f>
        <v>#VALUE!</v>
      </c>
      <c r="AZ280" t="e">
        <f>Europe!B1377+"$F;@!0'D"</f>
        <v>#VALUE!</v>
      </c>
      <c r="BA280" t="e">
        <f>Europe!C1377+"$F;@!0'E"</f>
        <v>#VALUE!</v>
      </c>
      <c r="BB280" t="e">
        <f>Europe!D1377+"$F;@!0'F"</f>
        <v>#VALUE!</v>
      </c>
      <c r="BC280" t="e">
        <f>Europe!E1377+"$F;@!0'G"</f>
        <v>#VALUE!</v>
      </c>
      <c r="BD280" t="e">
        <f>Europe!F1377+"$F;@!0'H"</f>
        <v>#VALUE!</v>
      </c>
      <c r="BE280" t="e">
        <f>Europe!G1377+"$F;@!0'I"</f>
        <v>#VALUE!</v>
      </c>
      <c r="BF280" t="e">
        <f>Europe!H1377+"$F;@!0'J"</f>
        <v>#VALUE!</v>
      </c>
      <c r="BG280" t="e">
        <f>Europe!A1378+"$F;@!0'K"</f>
        <v>#VALUE!</v>
      </c>
      <c r="BH280" t="e">
        <f>Europe!B1378+"$F;@!0'L"</f>
        <v>#VALUE!</v>
      </c>
      <c r="BI280" t="e">
        <f>Europe!C1378+"$F;@!0'M"</f>
        <v>#VALUE!</v>
      </c>
      <c r="BJ280" t="e">
        <f>Europe!D1378+"$F;@!0'N"</f>
        <v>#VALUE!</v>
      </c>
      <c r="BK280" t="e">
        <f>Europe!E1378+"$F;@!0'O"</f>
        <v>#VALUE!</v>
      </c>
      <c r="BL280" t="e">
        <f>Europe!F1378+"$F;@!0'P"</f>
        <v>#VALUE!</v>
      </c>
      <c r="BM280" t="e">
        <f>Europe!G1378+"$F;@!0'Q"</f>
        <v>#VALUE!</v>
      </c>
      <c r="BN280" t="e">
        <f>Europe!H1378+"$F;@!0'R"</f>
        <v>#VALUE!</v>
      </c>
      <c r="BO280" t="e">
        <f>Europe!A1379+"$F;@!0'S"</f>
        <v>#VALUE!</v>
      </c>
      <c r="BP280" t="e">
        <f>Europe!B1379+"$F;@!0'T"</f>
        <v>#VALUE!</v>
      </c>
      <c r="BQ280" t="e">
        <f>Europe!C1379+"$F;@!0'U"</f>
        <v>#VALUE!</v>
      </c>
      <c r="BR280" t="e">
        <f>Europe!D1379+"$F;@!0'V"</f>
        <v>#VALUE!</v>
      </c>
      <c r="BS280" t="e">
        <f>Europe!E1379+"$F;@!0'W"</f>
        <v>#VALUE!</v>
      </c>
      <c r="BT280" t="e">
        <f>Europe!F1379+"$F;@!0'X"</f>
        <v>#VALUE!</v>
      </c>
      <c r="BU280" t="e">
        <f>Europe!G1379+"$F;@!0'Y"</f>
        <v>#VALUE!</v>
      </c>
      <c r="BV280" t="e">
        <f>Europe!H1379+"$F;@!0'Z"</f>
        <v>#VALUE!</v>
      </c>
      <c r="BW280" t="e">
        <f>Europe!A1380+"$F;@!0'["</f>
        <v>#VALUE!</v>
      </c>
      <c r="BX280" t="e">
        <f>Europe!B1380+"$F;@!0'\"</f>
        <v>#VALUE!</v>
      </c>
      <c r="BY280" t="e">
        <f>Europe!C1380+"$F;@!0']"</f>
        <v>#VALUE!</v>
      </c>
      <c r="BZ280" t="e">
        <f>Europe!D1380+"$F;@!0'^"</f>
        <v>#VALUE!</v>
      </c>
      <c r="CA280" t="e">
        <f>Europe!E1380+"$F;@!0'_"</f>
        <v>#VALUE!</v>
      </c>
      <c r="CB280" t="e">
        <f>Europe!F1380+"$F;@!0'`"</f>
        <v>#VALUE!</v>
      </c>
      <c r="CC280" t="e">
        <f>Europe!G1380+"$F;@!0'a"</f>
        <v>#VALUE!</v>
      </c>
      <c r="CD280" t="e">
        <f>Europe!H1380+"$F;@!0'b"</f>
        <v>#VALUE!</v>
      </c>
      <c r="CE280" t="e">
        <f>Europe!A1381+"$F;@!0'c"</f>
        <v>#VALUE!</v>
      </c>
      <c r="CF280" t="e">
        <f>Europe!B1381+"$F;@!0'd"</f>
        <v>#VALUE!</v>
      </c>
      <c r="CG280" t="e">
        <f>Europe!C1381+"$F;@!0'e"</f>
        <v>#VALUE!</v>
      </c>
      <c r="CH280" t="e">
        <f>Europe!D1381+"$F;@!0'f"</f>
        <v>#VALUE!</v>
      </c>
      <c r="CI280" t="e">
        <f>Europe!E1381+"$F;@!0'g"</f>
        <v>#VALUE!</v>
      </c>
      <c r="CJ280" t="e">
        <f>Europe!F1381+"$F;@!0'h"</f>
        <v>#VALUE!</v>
      </c>
      <c r="CK280" t="e">
        <f>Europe!G1381+"$F;@!0'i"</f>
        <v>#VALUE!</v>
      </c>
      <c r="CL280" t="e">
        <f>Europe!H1381+"$F;@!0'j"</f>
        <v>#VALUE!</v>
      </c>
      <c r="CM280" t="e">
        <f>Europe!A1382+"$F;@!0'k"</f>
        <v>#VALUE!</v>
      </c>
      <c r="CN280" t="e">
        <f>Europe!B1382+"$F;@!0'l"</f>
        <v>#VALUE!</v>
      </c>
      <c r="CO280" t="e">
        <f>Europe!C1382+"$F;@!0'm"</f>
        <v>#VALUE!</v>
      </c>
      <c r="CP280" t="e">
        <f>Europe!D1382+"$F;@!0'n"</f>
        <v>#VALUE!</v>
      </c>
      <c r="CQ280" t="e">
        <f>Europe!E1382+"$F;@!0'o"</f>
        <v>#VALUE!</v>
      </c>
      <c r="CR280" t="e">
        <f>Europe!F1382+"$F;@!0'p"</f>
        <v>#VALUE!</v>
      </c>
      <c r="CS280" t="e">
        <f>Europe!G1382+"$F;@!0'q"</f>
        <v>#VALUE!</v>
      </c>
      <c r="CT280" t="e">
        <f>Europe!H1382+"$F;@!0'r"</f>
        <v>#VALUE!</v>
      </c>
      <c r="CU280" t="e">
        <f>Europe!A1383+"$F;@!0's"</f>
        <v>#VALUE!</v>
      </c>
      <c r="CV280" t="e">
        <f>Europe!B1383+"$F;@!0't"</f>
        <v>#VALUE!</v>
      </c>
      <c r="CW280" t="e">
        <f>Europe!C1383+"$F;@!0'u"</f>
        <v>#VALUE!</v>
      </c>
      <c r="CX280" t="e">
        <f>Europe!D1383+"$F;@!0'v"</f>
        <v>#VALUE!</v>
      </c>
      <c r="CY280" t="e">
        <f>Europe!E1383+"$F;@!0'w"</f>
        <v>#VALUE!</v>
      </c>
      <c r="CZ280" t="e">
        <f>Europe!F1383+"$F;@!0'x"</f>
        <v>#VALUE!</v>
      </c>
      <c r="DA280" t="e">
        <f>Europe!G1383+"$F;@!0'y"</f>
        <v>#VALUE!</v>
      </c>
      <c r="DB280" t="e">
        <f>Europe!H1383+"$F;@!0'z"</f>
        <v>#VALUE!</v>
      </c>
      <c r="DC280" t="e">
        <f>Europe!A1384+"$F;@!0'{"</f>
        <v>#VALUE!</v>
      </c>
      <c r="DD280" t="e">
        <f>Europe!B1384+"$F;@!0'|"</f>
        <v>#VALUE!</v>
      </c>
      <c r="DE280" t="e">
        <f>Europe!C1384+"$F;@!0'}"</f>
        <v>#VALUE!</v>
      </c>
      <c r="DF280" t="e">
        <f>Europe!D1384+"$F;@!0'~"</f>
        <v>#VALUE!</v>
      </c>
      <c r="DG280" t="e">
        <f>Europe!E1384+"$F;@!0(#"</f>
        <v>#VALUE!</v>
      </c>
      <c r="DH280" t="e">
        <f>Europe!F1384+"$F;@!0($"</f>
        <v>#VALUE!</v>
      </c>
      <c r="DI280" t="e">
        <f>Europe!G1384+"$F;@!0(%"</f>
        <v>#VALUE!</v>
      </c>
      <c r="DJ280" t="e">
        <f>Europe!H1384+"$F;@!0(&amp;"</f>
        <v>#VALUE!</v>
      </c>
      <c r="DK280" t="e">
        <f>Europe!A1385+"$F;@!0('"</f>
        <v>#VALUE!</v>
      </c>
      <c r="DL280" t="e">
        <f>Europe!B1385+"$F;@!0(("</f>
        <v>#VALUE!</v>
      </c>
      <c r="DM280" t="e">
        <f>Europe!C1385+"$F;@!0()"</f>
        <v>#VALUE!</v>
      </c>
      <c r="DN280" t="e">
        <f>Europe!D1385+"$F;@!0(."</f>
        <v>#VALUE!</v>
      </c>
      <c r="DO280" t="e">
        <f>Europe!E1385+"$F;@!0(/"</f>
        <v>#VALUE!</v>
      </c>
      <c r="DP280" t="e">
        <f>Europe!F1385+"$F;@!0(0"</f>
        <v>#VALUE!</v>
      </c>
      <c r="DQ280" t="e">
        <f>Europe!G1385+"$F;@!0(1"</f>
        <v>#VALUE!</v>
      </c>
      <c r="DR280" t="e">
        <f>Europe!H1385+"$F;@!0(2"</f>
        <v>#VALUE!</v>
      </c>
      <c r="DS280" t="e">
        <f>Europe!A1386+"$F;@!0(3"</f>
        <v>#VALUE!</v>
      </c>
      <c r="DT280" t="e">
        <f>Europe!B1386+"$F;@!0(4"</f>
        <v>#VALUE!</v>
      </c>
      <c r="DU280" t="e">
        <f>Europe!C1386+"$F;@!0(5"</f>
        <v>#VALUE!</v>
      </c>
      <c r="DV280" t="e">
        <f>Europe!D1386+"$F;@!0(6"</f>
        <v>#VALUE!</v>
      </c>
      <c r="DW280" t="e">
        <f>Europe!E1386+"$F;@!0(7"</f>
        <v>#VALUE!</v>
      </c>
      <c r="DX280" t="e">
        <f>Europe!F1386+"$F;@!0(8"</f>
        <v>#VALUE!</v>
      </c>
      <c r="DY280" t="e">
        <f>Europe!G1386+"$F;@!0(9"</f>
        <v>#VALUE!</v>
      </c>
      <c r="DZ280" t="e">
        <f>Europe!H1386+"$F;@!0(:"</f>
        <v>#VALUE!</v>
      </c>
      <c r="EA280" t="e">
        <f>Europe!A1387+"$F;@!0(;"</f>
        <v>#VALUE!</v>
      </c>
      <c r="EB280" t="e">
        <f>Europe!B1387+"$F;@!0(&lt;"</f>
        <v>#VALUE!</v>
      </c>
      <c r="EC280" t="e">
        <f>Europe!C1387+"$F;@!0(="</f>
        <v>#VALUE!</v>
      </c>
      <c r="ED280" t="e">
        <f>Europe!D1387+"$F;@!0(&gt;"</f>
        <v>#VALUE!</v>
      </c>
      <c r="EE280" t="e">
        <f>Europe!E1387+"$F;@!0(?"</f>
        <v>#VALUE!</v>
      </c>
      <c r="EF280" t="e">
        <f>Europe!F1387+"$F;@!0(@"</f>
        <v>#VALUE!</v>
      </c>
      <c r="EG280" t="e">
        <f>Europe!G1387+"$F;@!0(A"</f>
        <v>#VALUE!</v>
      </c>
      <c r="EH280" t="e">
        <f>Europe!H1387+"$F;@!0(B"</f>
        <v>#VALUE!</v>
      </c>
      <c r="EI280" t="e">
        <f>Europe!A1388+"$F;@!0(C"</f>
        <v>#VALUE!</v>
      </c>
      <c r="EJ280" t="e">
        <f>Europe!B1388+"$F;@!0(D"</f>
        <v>#VALUE!</v>
      </c>
      <c r="EK280" t="e">
        <f>Europe!C1388+"$F;@!0(E"</f>
        <v>#VALUE!</v>
      </c>
      <c r="EL280" t="e">
        <f>Europe!D1388+"$F;@!0(F"</f>
        <v>#VALUE!</v>
      </c>
      <c r="EM280" t="e">
        <f>Europe!E1388+"$F;@!0(G"</f>
        <v>#VALUE!</v>
      </c>
      <c r="EN280" t="e">
        <f>Europe!F1388+"$F;@!0(H"</f>
        <v>#VALUE!</v>
      </c>
      <c r="EO280" t="e">
        <f>Europe!G1388+"$F;@!0(I"</f>
        <v>#VALUE!</v>
      </c>
      <c r="EP280" t="e">
        <f>Europe!H1388+"$F;@!0(J"</f>
        <v>#VALUE!</v>
      </c>
      <c r="EQ280" t="e">
        <f>Europe!A1389+"$F;@!0(K"</f>
        <v>#VALUE!</v>
      </c>
      <c r="ER280" t="e">
        <f>Europe!B1389+"$F;@!0(L"</f>
        <v>#VALUE!</v>
      </c>
      <c r="ES280" t="e">
        <f>Europe!C1389+"$F;@!0(M"</f>
        <v>#VALUE!</v>
      </c>
      <c r="ET280" t="e">
        <f>Europe!D1389+"$F;@!0(N"</f>
        <v>#VALUE!</v>
      </c>
      <c r="EU280" t="e">
        <f>Europe!E1389+"$F;@!0(O"</f>
        <v>#VALUE!</v>
      </c>
      <c r="EV280" t="e">
        <f>Europe!F1389+"$F;@!0(P"</f>
        <v>#VALUE!</v>
      </c>
      <c r="EW280" t="e">
        <f>Europe!G1389+"$F;@!0(Q"</f>
        <v>#VALUE!</v>
      </c>
      <c r="EX280" t="e">
        <f>Europe!H1389+"$F;@!0(R"</f>
        <v>#VALUE!</v>
      </c>
      <c r="EY280" t="e">
        <f>Europe!A1390+"$F;@!0(S"</f>
        <v>#VALUE!</v>
      </c>
      <c r="EZ280" t="e">
        <f>Europe!B1390+"$F;@!0(T"</f>
        <v>#VALUE!</v>
      </c>
      <c r="FA280" t="e">
        <f>Europe!C1390+"$F;@!0(U"</f>
        <v>#VALUE!</v>
      </c>
      <c r="FB280" t="e">
        <f>Europe!D1390+"$F;@!0(V"</f>
        <v>#VALUE!</v>
      </c>
      <c r="FC280" t="e">
        <f>Europe!E1390+"$F;@!0(W"</f>
        <v>#VALUE!</v>
      </c>
      <c r="FD280" t="e">
        <f>Europe!F1390+"$F;@!0(X"</f>
        <v>#VALUE!</v>
      </c>
      <c r="FE280" t="e">
        <f>Europe!G1390+"$F;@!0(Y"</f>
        <v>#VALUE!</v>
      </c>
      <c r="FF280" t="e">
        <f>Europe!H1390+"$F;@!0(Z"</f>
        <v>#VALUE!</v>
      </c>
      <c r="FG280" t="e">
        <f>Europe!A1391+"$F;@!0(["</f>
        <v>#VALUE!</v>
      </c>
      <c r="FH280" t="e">
        <f>Europe!B1391+"$F;@!0(\"</f>
        <v>#VALUE!</v>
      </c>
      <c r="FI280" t="e">
        <f>Europe!C1391+"$F;@!0(]"</f>
        <v>#VALUE!</v>
      </c>
      <c r="FJ280" t="e">
        <f>Europe!D1391+"$F;@!0(^"</f>
        <v>#VALUE!</v>
      </c>
      <c r="FK280" t="e">
        <f>Europe!E1391+"$F;@!0(_"</f>
        <v>#VALUE!</v>
      </c>
      <c r="FL280" t="e">
        <f>Europe!F1391+"$F;@!0(`"</f>
        <v>#VALUE!</v>
      </c>
      <c r="FM280" t="e">
        <f>Europe!G1391+"$F;@!0(a"</f>
        <v>#VALUE!</v>
      </c>
      <c r="FN280" t="e">
        <f>Europe!H1391+"$F;@!0(b"</f>
        <v>#VALUE!</v>
      </c>
      <c r="FO280" t="e">
        <f>Europe!A1392+"$F;@!0(c"</f>
        <v>#VALUE!</v>
      </c>
      <c r="FP280" t="e">
        <f>Europe!B1392+"$F;@!0(d"</f>
        <v>#VALUE!</v>
      </c>
      <c r="FQ280" t="e">
        <f>Europe!C1392+"$F;@!0(e"</f>
        <v>#VALUE!</v>
      </c>
      <c r="FR280" t="e">
        <f>Europe!D1392+"$F;@!0(f"</f>
        <v>#VALUE!</v>
      </c>
      <c r="FS280" t="e">
        <f>Europe!E1392+"$F;@!0(g"</f>
        <v>#VALUE!</v>
      </c>
      <c r="FT280" t="e">
        <f>Europe!F1392+"$F;@!0(h"</f>
        <v>#VALUE!</v>
      </c>
      <c r="FU280" t="e">
        <f>Europe!G1392+"$F;@!0(i"</f>
        <v>#VALUE!</v>
      </c>
      <c r="FV280" t="e">
        <f>Europe!H1392+"$F;@!0(j"</f>
        <v>#VALUE!</v>
      </c>
      <c r="FW280" t="e">
        <f>Europe!A1393+"$F;@!0(k"</f>
        <v>#VALUE!</v>
      </c>
      <c r="FX280" t="e">
        <f>Europe!B1393+"$F;@!0(l"</f>
        <v>#VALUE!</v>
      </c>
      <c r="FY280" t="e">
        <f>Europe!C1393+"$F;@!0(m"</f>
        <v>#VALUE!</v>
      </c>
      <c r="FZ280" t="e">
        <f>Europe!D1393+"$F;@!0(n"</f>
        <v>#VALUE!</v>
      </c>
      <c r="GA280" t="e">
        <f>Europe!E1393+"$F;@!0(o"</f>
        <v>#VALUE!</v>
      </c>
      <c r="GB280" t="e">
        <f>Europe!F1393+"$F;@!0(p"</f>
        <v>#VALUE!</v>
      </c>
      <c r="GC280" t="e">
        <f>Europe!G1393+"$F;@!0(q"</f>
        <v>#VALUE!</v>
      </c>
      <c r="GD280" t="e">
        <f>Europe!H1393+"$F;@!0(r"</f>
        <v>#VALUE!</v>
      </c>
      <c r="GE280" t="e">
        <f>Europe!A1394+"$F;@!0(s"</f>
        <v>#VALUE!</v>
      </c>
      <c r="GF280" t="e">
        <f>Europe!B1394+"$F;@!0(t"</f>
        <v>#VALUE!</v>
      </c>
      <c r="GG280" t="e">
        <f>Europe!C1394+"$F;@!0(u"</f>
        <v>#VALUE!</v>
      </c>
      <c r="GH280" t="e">
        <f>Europe!D1394+"$F;@!0(v"</f>
        <v>#VALUE!</v>
      </c>
      <c r="GI280" t="e">
        <f>Europe!E1394+"$F;@!0(w"</f>
        <v>#VALUE!</v>
      </c>
      <c r="GJ280" t="e">
        <f>Europe!F1394+"$F;@!0(x"</f>
        <v>#VALUE!</v>
      </c>
      <c r="GK280" t="e">
        <f>Europe!G1394+"$F;@!0(y"</f>
        <v>#VALUE!</v>
      </c>
      <c r="GL280" t="e">
        <f>Europe!H1394+"$F;@!0(z"</f>
        <v>#VALUE!</v>
      </c>
      <c r="GM280" t="e">
        <f>Europe!A1395+"$F;@!0({"</f>
        <v>#VALUE!</v>
      </c>
      <c r="GN280" t="e">
        <f>Europe!B1395+"$F;@!0(|"</f>
        <v>#VALUE!</v>
      </c>
      <c r="GO280" t="e">
        <f>Europe!C1395+"$F;@!0(}"</f>
        <v>#VALUE!</v>
      </c>
      <c r="GP280" t="e">
        <f>Europe!D1395+"$F;@!0(~"</f>
        <v>#VALUE!</v>
      </c>
      <c r="GQ280" t="e">
        <f>Europe!E1395+"$F;@!0)#"</f>
        <v>#VALUE!</v>
      </c>
      <c r="GR280" t="e">
        <f>Europe!F1395+"$F;@!0)$"</f>
        <v>#VALUE!</v>
      </c>
      <c r="GS280" t="e">
        <f>Europe!G1395+"$F;@!0)%"</f>
        <v>#VALUE!</v>
      </c>
      <c r="GT280" t="e">
        <f>Europe!H1395+"$F;@!0)&amp;"</f>
        <v>#VALUE!</v>
      </c>
      <c r="GU280" t="e">
        <f>Europe!A1396+"$F;@!0)'"</f>
        <v>#VALUE!</v>
      </c>
      <c r="GV280" t="e">
        <f>Europe!B1396+"$F;@!0)("</f>
        <v>#VALUE!</v>
      </c>
      <c r="GW280" t="e">
        <f>Europe!C1396+"$F;@!0))"</f>
        <v>#VALUE!</v>
      </c>
      <c r="GX280" t="e">
        <f>Europe!D1396+"$F;@!0)."</f>
        <v>#VALUE!</v>
      </c>
      <c r="GY280" t="e">
        <f>Europe!E1396+"$F;@!0)/"</f>
        <v>#VALUE!</v>
      </c>
      <c r="GZ280" t="e">
        <f>Europe!F1396+"$F;@!0)0"</f>
        <v>#VALUE!</v>
      </c>
      <c r="HA280" t="e">
        <f>Europe!G1396+"$F;@!0)1"</f>
        <v>#VALUE!</v>
      </c>
      <c r="HB280" t="e">
        <f>Europe!H1396+"$F;@!0)2"</f>
        <v>#VALUE!</v>
      </c>
      <c r="HC280" t="e">
        <f>Europe!A1397+"$F;@!0)3"</f>
        <v>#VALUE!</v>
      </c>
      <c r="HD280" t="e">
        <f>Europe!B1397+"$F;@!0)4"</f>
        <v>#VALUE!</v>
      </c>
      <c r="HE280" t="e">
        <f>Europe!C1397+"$F;@!0)5"</f>
        <v>#VALUE!</v>
      </c>
      <c r="HF280" t="e">
        <f>Europe!D1397+"$F;@!0)6"</f>
        <v>#VALUE!</v>
      </c>
      <c r="HG280" t="e">
        <f>Europe!E1397+"$F;@!0)7"</f>
        <v>#VALUE!</v>
      </c>
      <c r="HH280" t="e">
        <f>Europe!F1397+"$F;@!0)8"</f>
        <v>#VALUE!</v>
      </c>
      <c r="HI280" t="e">
        <f>Europe!G1397+"$F;@!0)9"</f>
        <v>#VALUE!</v>
      </c>
      <c r="HJ280" t="e">
        <f>Europe!H1397+"$F;@!0):"</f>
        <v>#VALUE!</v>
      </c>
      <c r="HK280" t="e">
        <f>Europe!A1398+"$F;@!0);"</f>
        <v>#VALUE!</v>
      </c>
      <c r="HL280" t="e">
        <f>Europe!B1398+"$F;@!0)&lt;"</f>
        <v>#VALUE!</v>
      </c>
      <c r="HM280" t="e">
        <f>Europe!C1398+"$F;@!0)="</f>
        <v>#VALUE!</v>
      </c>
      <c r="HN280" t="e">
        <f>Europe!D1398+"$F;@!0)&gt;"</f>
        <v>#VALUE!</v>
      </c>
      <c r="HO280" t="e">
        <f>Europe!E1398+"$F;@!0)?"</f>
        <v>#VALUE!</v>
      </c>
      <c r="HP280" t="e">
        <f>Europe!F1398+"$F;@!0)@"</f>
        <v>#VALUE!</v>
      </c>
      <c r="HQ280" t="e">
        <f>Europe!G1398+"$F;@!0)A"</f>
        <v>#VALUE!</v>
      </c>
      <c r="HR280" t="e">
        <f>Europe!H1398+"$F;@!0)B"</f>
        <v>#VALUE!</v>
      </c>
      <c r="HS280" t="e">
        <f>Europe!A1399+"$F;@!0)C"</f>
        <v>#VALUE!</v>
      </c>
      <c r="HT280" t="e">
        <f>Europe!B1399+"$F;@!0)D"</f>
        <v>#VALUE!</v>
      </c>
      <c r="HU280" t="e">
        <f>Europe!C1399+"$F;@!0)E"</f>
        <v>#VALUE!</v>
      </c>
      <c r="HV280" t="e">
        <f>Europe!D1399+"$F;@!0)F"</f>
        <v>#VALUE!</v>
      </c>
      <c r="HW280" t="e">
        <f>Europe!E1399+"$F;@!0)G"</f>
        <v>#VALUE!</v>
      </c>
      <c r="HX280" t="e">
        <f>Europe!F1399+"$F;@!0)H"</f>
        <v>#VALUE!</v>
      </c>
      <c r="HY280" t="e">
        <f>Europe!G1399+"$F;@!0)I"</f>
        <v>#VALUE!</v>
      </c>
      <c r="HZ280" t="e">
        <f>Europe!H1399+"$F;@!0)J"</f>
        <v>#VALUE!</v>
      </c>
      <c r="IA280" t="e">
        <f>Europe!A1400+"$F;@!0)K"</f>
        <v>#VALUE!</v>
      </c>
      <c r="IB280" t="e">
        <f>Europe!B1400+"$F;@!0)L"</f>
        <v>#VALUE!</v>
      </c>
      <c r="IC280" t="e">
        <f>Europe!C1400+"$F;@!0)M"</f>
        <v>#VALUE!</v>
      </c>
      <c r="ID280" t="e">
        <f>Europe!D1400+"$F;@!0)N"</f>
        <v>#VALUE!</v>
      </c>
      <c r="IE280" t="e">
        <f>Europe!E1400+"$F;@!0)O"</f>
        <v>#VALUE!</v>
      </c>
      <c r="IF280" t="e">
        <f>Europe!F1400+"$F;@!0)P"</f>
        <v>#VALUE!</v>
      </c>
      <c r="IG280" t="e">
        <f>Europe!G1400+"$F;@!0)Q"</f>
        <v>#VALUE!</v>
      </c>
      <c r="IH280" t="e">
        <f>Europe!H1400+"$F;@!0)R"</f>
        <v>#VALUE!</v>
      </c>
      <c r="II280" t="e">
        <f>Europe!A1401+"$F;@!0)S"</f>
        <v>#VALUE!</v>
      </c>
      <c r="IJ280" t="e">
        <f>Europe!B1401+"$F;@!0)T"</f>
        <v>#VALUE!</v>
      </c>
      <c r="IK280" t="e">
        <f>Europe!C1401+"$F;@!0)U"</f>
        <v>#VALUE!</v>
      </c>
      <c r="IL280" t="e">
        <f>Europe!D1401+"$F;@!0)V"</f>
        <v>#VALUE!</v>
      </c>
      <c r="IM280" t="e">
        <f>Europe!E1401+"$F;@!0)W"</f>
        <v>#VALUE!</v>
      </c>
      <c r="IN280" t="e">
        <f>Europe!F1401+"$F;@!0)X"</f>
        <v>#VALUE!</v>
      </c>
      <c r="IO280" t="e">
        <f>Europe!G1401+"$F;@!0)Y"</f>
        <v>#VALUE!</v>
      </c>
      <c r="IP280" t="e">
        <f>Europe!H1401+"$F;@!0)Z"</f>
        <v>#VALUE!</v>
      </c>
      <c r="IQ280" t="e">
        <f>Europe!A1402+"$F;@!0)["</f>
        <v>#VALUE!</v>
      </c>
      <c r="IR280" t="e">
        <f>Europe!B1402+"$F;@!0)\"</f>
        <v>#VALUE!</v>
      </c>
      <c r="IS280" t="e">
        <f>Europe!C1402+"$F;@!0)]"</f>
        <v>#VALUE!</v>
      </c>
      <c r="IT280" t="e">
        <f>Europe!D1402+"$F;@!0)^"</f>
        <v>#VALUE!</v>
      </c>
      <c r="IU280" t="e">
        <f>Europe!E1402+"$F;@!0)_"</f>
        <v>#VALUE!</v>
      </c>
      <c r="IV280" t="e">
        <f>Europe!F1402+"$F;@!0)`"</f>
        <v>#VALUE!</v>
      </c>
    </row>
    <row r="281" spans="6:256" x14ac:dyDescent="0.35">
      <c r="F281" t="e">
        <f>Europe!G1402+"$F;@!0)a"</f>
        <v>#VALUE!</v>
      </c>
      <c r="G281" t="e">
        <f>Europe!H1402+"$F;@!0)b"</f>
        <v>#VALUE!</v>
      </c>
      <c r="H281" t="e">
        <f>Europe!A1403+"$F;@!0)c"</f>
        <v>#VALUE!</v>
      </c>
      <c r="I281" t="e">
        <f>Europe!B1403+"$F;@!0)d"</f>
        <v>#VALUE!</v>
      </c>
      <c r="J281" t="e">
        <f>Europe!C1403+"$F;@!0)e"</f>
        <v>#VALUE!</v>
      </c>
      <c r="K281" t="e">
        <f>Europe!D1403+"$F;@!0)f"</f>
        <v>#VALUE!</v>
      </c>
      <c r="L281" t="e">
        <f>Europe!E1403+"$F;@!0)g"</f>
        <v>#VALUE!</v>
      </c>
      <c r="M281" t="e">
        <f>Europe!F1403+"$F;@!0)h"</f>
        <v>#VALUE!</v>
      </c>
      <c r="N281" t="e">
        <f>Europe!G1403+"$F;@!0)i"</f>
        <v>#VALUE!</v>
      </c>
      <c r="O281" t="e">
        <f>Europe!H1403+"$F;@!0)j"</f>
        <v>#VALUE!</v>
      </c>
      <c r="P281" t="e">
        <f>Europe!A1404+"$F;@!0)k"</f>
        <v>#VALUE!</v>
      </c>
      <c r="Q281" t="e">
        <f>Europe!B1404+"$F;@!0)l"</f>
        <v>#VALUE!</v>
      </c>
      <c r="R281" t="e">
        <f>Europe!C1404+"$F;@!0)m"</f>
        <v>#VALUE!</v>
      </c>
      <c r="S281" t="e">
        <f>Europe!D1404+"$F;@!0)n"</f>
        <v>#VALUE!</v>
      </c>
      <c r="T281" t="e">
        <f>Europe!E1404+"$F;@!0)o"</f>
        <v>#VALUE!</v>
      </c>
      <c r="U281" t="e">
        <f>Europe!F1404+"$F;@!0)p"</f>
        <v>#VALUE!</v>
      </c>
      <c r="V281" t="e">
        <f>Europe!G1404+"$F;@!0)q"</f>
        <v>#VALUE!</v>
      </c>
      <c r="W281" t="e">
        <f>Europe!H1404+"$F;@!0)r"</f>
        <v>#VALUE!</v>
      </c>
      <c r="X281" t="e">
        <f>Europe!A1405+"$F;@!0)s"</f>
        <v>#VALUE!</v>
      </c>
      <c r="Y281" t="e">
        <f>Europe!B1405+"$F;@!0)t"</f>
        <v>#VALUE!</v>
      </c>
      <c r="Z281" t="e">
        <f>Europe!C1405+"$F;@!0)u"</f>
        <v>#VALUE!</v>
      </c>
      <c r="AA281" t="e">
        <f>Europe!D1405+"$F;@!0)v"</f>
        <v>#VALUE!</v>
      </c>
      <c r="AB281" t="e">
        <f>Europe!E1405+"$F;@!0)w"</f>
        <v>#VALUE!</v>
      </c>
      <c r="AC281" t="e">
        <f>Europe!F1405+"$F;@!0)x"</f>
        <v>#VALUE!</v>
      </c>
      <c r="AD281" t="e">
        <f>Europe!G1405+"$F;@!0)y"</f>
        <v>#VALUE!</v>
      </c>
      <c r="AE281" t="e">
        <f>Europe!H1405+"$F;@!0)z"</f>
        <v>#VALUE!</v>
      </c>
      <c r="AF281" t="e">
        <f>Europe!A1406+"$F;@!0){"</f>
        <v>#VALUE!</v>
      </c>
      <c r="AG281" t="e">
        <f>Europe!B1406+"$F;@!0)|"</f>
        <v>#VALUE!</v>
      </c>
      <c r="AH281" t="e">
        <f>Europe!C1406+"$F;@!0)}"</f>
        <v>#VALUE!</v>
      </c>
      <c r="AI281" t="e">
        <f>Europe!D1406+"$F;@!0)~"</f>
        <v>#VALUE!</v>
      </c>
      <c r="AJ281" t="e">
        <f>Europe!E1406+"$F;@!0.#"</f>
        <v>#VALUE!</v>
      </c>
      <c r="AK281" t="e">
        <f>Europe!F1406+"$F;@!0.$"</f>
        <v>#VALUE!</v>
      </c>
      <c r="AL281" t="e">
        <f>Europe!G1406+"$F;@!0.%"</f>
        <v>#VALUE!</v>
      </c>
      <c r="AM281" t="e">
        <f>Europe!H1406+"$F;@!0.&amp;"</f>
        <v>#VALUE!</v>
      </c>
      <c r="AN281" t="e">
        <f>Europe!A1407+"$F;@!0.'"</f>
        <v>#VALUE!</v>
      </c>
      <c r="AO281" t="e">
        <f>Europe!B1407+"$F;@!0.("</f>
        <v>#VALUE!</v>
      </c>
      <c r="AP281" t="e">
        <f>Europe!C1407+"$F;@!0.)"</f>
        <v>#VALUE!</v>
      </c>
      <c r="AQ281" t="e">
        <f>Europe!D1407+"$F;@!0.."</f>
        <v>#VALUE!</v>
      </c>
      <c r="AR281" t="e">
        <f>Europe!E1407+"$F;@!0./"</f>
        <v>#VALUE!</v>
      </c>
      <c r="AS281" t="e">
        <f>Europe!F1407+"$F;@!0.0"</f>
        <v>#VALUE!</v>
      </c>
      <c r="AT281" t="e">
        <f>Europe!G1407+"$F;@!0.1"</f>
        <v>#VALUE!</v>
      </c>
      <c r="AU281" t="e">
        <f>Europe!H1407+"$F;@!0.2"</f>
        <v>#VALUE!</v>
      </c>
      <c r="AV281" t="e">
        <f>Europe!A1408+"$F;@!0.3"</f>
        <v>#VALUE!</v>
      </c>
      <c r="AW281" t="e">
        <f>Europe!B1408+"$F;@!0.4"</f>
        <v>#VALUE!</v>
      </c>
      <c r="AX281" t="e">
        <f>Europe!C1408+"$F;@!0.5"</f>
        <v>#VALUE!</v>
      </c>
      <c r="AY281" t="e">
        <f>Europe!D1408+"$F;@!0.6"</f>
        <v>#VALUE!</v>
      </c>
      <c r="AZ281" t="e">
        <f>Europe!E1408+"$F;@!0.7"</f>
        <v>#VALUE!</v>
      </c>
      <c r="BA281" t="e">
        <f>Europe!F1408+"$F;@!0.8"</f>
        <v>#VALUE!</v>
      </c>
      <c r="BB281" t="e">
        <f>Europe!G1408+"$F;@!0.9"</f>
        <v>#VALUE!</v>
      </c>
      <c r="BC281" t="e">
        <f>Europe!H1408+"$F;@!0.:"</f>
        <v>#VALUE!</v>
      </c>
      <c r="BD281" t="e">
        <f>Europe!A1409+"$F;@!0.;"</f>
        <v>#VALUE!</v>
      </c>
      <c r="BE281" t="e">
        <f>Europe!B1409+"$F;@!0.&lt;"</f>
        <v>#VALUE!</v>
      </c>
      <c r="BF281" t="e">
        <f>Europe!C1409+"$F;@!0.="</f>
        <v>#VALUE!</v>
      </c>
      <c r="BG281" t="e">
        <f>Europe!D1409+"$F;@!0.&gt;"</f>
        <v>#VALUE!</v>
      </c>
      <c r="BH281" t="e">
        <f>Europe!E1409+"$F;@!0.?"</f>
        <v>#VALUE!</v>
      </c>
      <c r="BI281" t="e">
        <f>Europe!F1409+"$F;@!0.@"</f>
        <v>#VALUE!</v>
      </c>
      <c r="BJ281" t="e">
        <f>Europe!G1409+"$F;@!0.A"</f>
        <v>#VALUE!</v>
      </c>
      <c r="BK281" t="e">
        <f>Europe!H1409+"$F;@!0.B"</f>
        <v>#VALUE!</v>
      </c>
      <c r="BL281" t="e">
        <f>Europe!A1410+"$F;@!0.C"</f>
        <v>#VALUE!</v>
      </c>
      <c r="BM281" t="e">
        <f>Europe!B1410+"$F;@!0.D"</f>
        <v>#VALUE!</v>
      </c>
      <c r="BN281" t="e">
        <f>Europe!C1410+"$F;@!0.E"</f>
        <v>#VALUE!</v>
      </c>
      <c r="BO281" t="e">
        <f>Europe!D1410+"$F;@!0.F"</f>
        <v>#VALUE!</v>
      </c>
      <c r="BP281" t="e">
        <f>Europe!E1410+"$F;@!0.G"</f>
        <v>#VALUE!</v>
      </c>
      <c r="BQ281" t="e">
        <f>Europe!F1410+"$F;@!0.H"</f>
        <v>#VALUE!</v>
      </c>
      <c r="BR281" t="e">
        <f>Europe!G1410+"$F;@!0.I"</f>
        <v>#VALUE!</v>
      </c>
      <c r="BS281" t="e">
        <f>Europe!H1410+"$F;@!0.J"</f>
        <v>#VALUE!</v>
      </c>
      <c r="BT281" t="e">
        <f>Europe!A1411+"$F;@!0.K"</f>
        <v>#VALUE!</v>
      </c>
      <c r="BU281" t="e">
        <f>Europe!B1411+"$F;@!0.L"</f>
        <v>#VALUE!</v>
      </c>
      <c r="BV281" t="e">
        <f>Europe!C1411+"$F;@!0.M"</f>
        <v>#VALUE!</v>
      </c>
      <c r="BW281" t="e">
        <f>Europe!D1411+"$F;@!0.N"</f>
        <v>#VALUE!</v>
      </c>
      <c r="BX281" t="e">
        <f>Europe!E1411+"$F;@!0.O"</f>
        <v>#VALUE!</v>
      </c>
      <c r="BY281" t="e">
        <f>Europe!F1411+"$F;@!0.P"</f>
        <v>#VALUE!</v>
      </c>
      <c r="BZ281" t="e">
        <f>Europe!G1411+"$F;@!0.Q"</f>
        <v>#VALUE!</v>
      </c>
      <c r="CA281" t="e">
        <f>Europe!H1411+"$F;@!0.R"</f>
        <v>#VALUE!</v>
      </c>
      <c r="CB281" t="e">
        <f>Europe!A1412+"$F;@!0.S"</f>
        <v>#VALUE!</v>
      </c>
      <c r="CC281" t="e">
        <f>Europe!B1412+"$F;@!0.T"</f>
        <v>#VALUE!</v>
      </c>
      <c r="CD281" t="e">
        <f>Europe!C1412+"$F;@!0.U"</f>
        <v>#VALUE!</v>
      </c>
      <c r="CE281" t="e">
        <f>Europe!D1412+"$F;@!0.V"</f>
        <v>#VALUE!</v>
      </c>
      <c r="CF281" t="e">
        <f>Europe!E1412+"$F;@!0.W"</f>
        <v>#VALUE!</v>
      </c>
      <c r="CG281" t="e">
        <f>Europe!F1412+"$F;@!0.X"</f>
        <v>#VALUE!</v>
      </c>
      <c r="CH281" t="e">
        <f>Europe!G1412+"$F;@!0.Y"</f>
        <v>#VALUE!</v>
      </c>
      <c r="CI281" t="e">
        <f>Europe!H1412+"$F;@!0.Z"</f>
        <v>#VALUE!</v>
      </c>
      <c r="CJ281" t="e">
        <f>Europe!A1413+"$F;@!0.["</f>
        <v>#VALUE!</v>
      </c>
      <c r="CK281" t="e">
        <f>Europe!B1413+"$F;@!0.\"</f>
        <v>#VALUE!</v>
      </c>
      <c r="CL281" t="e">
        <f>Europe!C1413+"$F;@!0.]"</f>
        <v>#VALUE!</v>
      </c>
      <c r="CM281" t="e">
        <f>Europe!D1413+"$F;@!0.^"</f>
        <v>#VALUE!</v>
      </c>
      <c r="CN281" t="e">
        <f>Europe!E1413+"$F;@!0._"</f>
        <v>#VALUE!</v>
      </c>
      <c r="CO281" t="e">
        <f>Europe!F1413+"$F;@!0.`"</f>
        <v>#VALUE!</v>
      </c>
      <c r="CP281" t="e">
        <f>Europe!G1413+"$F;@!0.a"</f>
        <v>#VALUE!</v>
      </c>
      <c r="CQ281" t="e">
        <f>Europe!H1413+"$F;@!0.b"</f>
        <v>#VALUE!</v>
      </c>
      <c r="CR281" t="e">
        <f>Europe!A1414+"$F;@!0.c"</f>
        <v>#VALUE!</v>
      </c>
      <c r="CS281" t="e">
        <f>Europe!B1414+"$F;@!0.d"</f>
        <v>#VALUE!</v>
      </c>
      <c r="CT281" t="e">
        <f>Europe!C1414+"$F;@!0.e"</f>
        <v>#VALUE!</v>
      </c>
      <c r="CU281" t="e">
        <f>Europe!D1414+"$F;@!0.f"</f>
        <v>#VALUE!</v>
      </c>
      <c r="CV281" t="e">
        <f>Europe!E1414+"$F;@!0.g"</f>
        <v>#VALUE!</v>
      </c>
      <c r="CW281" t="e">
        <f>Europe!F1414+"$F;@!0.h"</f>
        <v>#VALUE!</v>
      </c>
      <c r="CX281" t="e">
        <f>Europe!G1414+"$F;@!0.i"</f>
        <v>#VALUE!</v>
      </c>
      <c r="CY281" t="e">
        <f>Europe!H1414+"$F;@!0.j"</f>
        <v>#VALUE!</v>
      </c>
      <c r="CZ281" t="e">
        <f>Europe!A1415+"$F;@!0.k"</f>
        <v>#VALUE!</v>
      </c>
      <c r="DA281" t="e">
        <f>Europe!B1415+"$F;@!0.l"</f>
        <v>#VALUE!</v>
      </c>
      <c r="DB281" t="e">
        <f>Europe!C1415+"$F;@!0.m"</f>
        <v>#VALUE!</v>
      </c>
      <c r="DC281" t="e">
        <f>Europe!D1415+"$F;@!0.n"</f>
        <v>#VALUE!</v>
      </c>
      <c r="DD281" t="e">
        <f>Europe!E1415+"$F;@!0.o"</f>
        <v>#VALUE!</v>
      </c>
      <c r="DE281" t="e">
        <f>Europe!F1415+"$F;@!0.p"</f>
        <v>#VALUE!</v>
      </c>
      <c r="DF281" t="e">
        <f>Europe!G1415+"$F;@!0.q"</f>
        <v>#VALUE!</v>
      </c>
      <c r="DG281" t="e">
        <f>Europe!H1415+"$F;@!0.r"</f>
        <v>#VALUE!</v>
      </c>
      <c r="DH281" t="e">
        <f>Europe!A1416+"$F;@!0.s"</f>
        <v>#VALUE!</v>
      </c>
      <c r="DI281" t="e">
        <f>Europe!B1416+"$F;@!0.t"</f>
        <v>#VALUE!</v>
      </c>
      <c r="DJ281" t="e">
        <f>Europe!C1416+"$F;@!0.u"</f>
        <v>#VALUE!</v>
      </c>
      <c r="DK281" t="e">
        <f>Europe!D1416+"$F;@!0.v"</f>
        <v>#VALUE!</v>
      </c>
      <c r="DL281" t="e">
        <f>Europe!E1416+"$F;@!0.w"</f>
        <v>#VALUE!</v>
      </c>
      <c r="DM281" t="e">
        <f>Europe!F1416+"$F;@!0.x"</f>
        <v>#VALUE!</v>
      </c>
      <c r="DN281" t="e">
        <f>Europe!G1416+"$F;@!0.y"</f>
        <v>#VALUE!</v>
      </c>
      <c r="DO281" t="e">
        <f>Europe!H1416+"$F;@!0.z"</f>
        <v>#VALUE!</v>
      </c>
      <c r="DP281" t="e">
        <f>Europe!A1417+"$F;@!0.{"</f>
        <v>#VALUE!</v>
      </c>
      <c r="DQ281" t="e">
        <f>Europe!B1417+"$F;@!0.|"</f>
        <v>#VALUE!</v>
      </c>
      <c r="DR281" t="e">
        <f>Europe!C1417+"$F;@!0.}"</f>
        <v>#VALUE!</v>
      </c>
      <c r="DS281" t="e">
        <f>Europe!D1417+"$F;@!0.~"</f>
        <v>#VALUE!</v>
      </c>
      <c r="DT281" t="e">
        <f>Europe!E1417+"$F;@!0/#"</f>
        <v>#VALUE!</v>
      </c>
      <c r="DU281" t="e">
        <f>Europe!F1417+"$F;@!0/$"</f>
        <v>#VALUE!</v>
      </c>
      <c r="DV281" t="e">
        <f>Europe!G1417+"$F;@!0/%"</f>
        <v>#VALUE!</v>
      </c>
      <c r="DW281" t="e">
        <f>Europe!H1417+"$F;@!0/&amp;"</f>
        <v>#VALUE!</v>
      </c>
      <c r="DX281" t="e">
        <f>Europe!A1418+"$F;@!0/'"</f>
        <v>#VALUE!</v>
      </c>
      <c r="DY281" t="e">
        <f>Europe!B1418+"$F;@!0/("</f>
        <v>#VALUE!</v>
      </c>
      <c r="DZ281" t="e">
        <f>Europe!C1418+"$F;@!0/)"</f>
        <v>#VALUE!</v>
      </c>
      <c r="EA281" t="e">
        <f>Europe!D1418+"$F;@!0/."</f>
        <v>#VALUE!</v>
      </c>
      <c r="EB281" t="e">
        <f>Europe!E1418+"$F;@!0//"</f>
        <v>#VALUE!</v>
      </c>
      <c r="EC281" t="e">
        <f>Europe!F1418+"$F;@!0/0"</f>
        <v>#VALUE!</v>
      </c>
      <c r="ED281" t="e">
        <f>Europe!G1418+"$F;@!0/1"</f>
        <v>#VALUE!</v>
      </c>
      <c r="EE281" t="e">
        <f>Europe!H1418+"$F;@!0/2"</f>
        <v>#VALUE!</v>
      </c>
      <c r="EF281" t="e">
        <f>Europe!A1419+"$F;@!0/3"</f>
        <v>#VALUE!</v>
      </c>
      <c r="EG281" t="e">
        <f>Europe!B1419+"$F;@!0/4"</f>
        <v>#VALUE!</v>
      </c>
      <c r="EH281" t="e">
        <f>Europe!C1419+"$F;@!0/5"</f>
        <v>#VALUE!</v>
      </c>
      <c r="EI281" t="e">
        <f>Europe!D1419+"$F;@!0/6"</f>
        <v>#VALUE!</v>
      </c>
      <c r="EJ281" t="e">
        <f>Europe!E1419+"$F;@!0/7"</f>
        <v>#VALUE!</v>
      </c>
      <c r="EK281" t="e">
        <f>Europe!F1419+"$F;@!0/8"</f>
        <v>#VALUE!</v>
      </c>
      <c r="EL281" t="e">
        <f>Europe!G1419+"$F;@!0/9"</f>
        <v>#VALUE!</v>
      </c>
      <c r="EM281" t="e">
        <f>Europe!H1419+"$F;@!0/:"</f>
        <v>#VALUE!</v>
      </c>
      <c r="EN281" t="e">
        <f>Europe!A1420+"$F;@!0/;"</f>
        <v>#VALUE!</v>
      </c>
      <c r="EO281" t="e">
        <f>Europe!B1420+"$F;@!0/&lt;"</f>
        <v>#VALUE!</v>
      </c>
      <c r="EP281" t="e">
        <f>Europe!C1420+"$F;@!0/="</f>
        <v>#VALUE!</v>
      </c>
      <c r="EQ281" t="e">
        <f>Europe!D1420+"$F;@!0/&gt;"</f>
        <v>#VALUE!</v>
      </c>
      <c r="ER281" t="e">
        <f>Europe!E1420+"$F;@!0/?"</f>
        <v>#VALUE!</v>
      </c>
      <c r="ES281" t="e">
        <f>Europe!F1420+"$F;@!0/@"</f>
        <v>#VALUE!</v>
      </c>
      <c r="ET281" t="e">
        <f>Europe!G1420+"$F;@!0/A"</f>
        <v>#VALUE!</v>
      </c>
      <c r="EU281" t="e">
        <f>Europe!H1420+"$F;@!0/B"</f>
        <v>#VALUE!</v>
      </c>
      <c r="EV281" t="e">
        <f>Europe!A1421+"$F;@!0/C"</f>
        <v>#VALUE!</v>
      </c>
      <c r="EW281" t="e">
        <f>Europe!B1421+"$F;@!0/D"</f>
        <v>#VALUE!</v>
      </c>
      <c r="EX281" t="e">
        <f>Europe!C1421+"$F;@!0/E"</f>
        <v>#VALUE!</v>
      </c>
      <c r="EY281" t="e">
        <f>Europe!D1421+"$F;@!0/F"</f>
        <v>#VALUE!</v>
      </c>
      <c r="EZ281" t="e">
        <f>Europe!E1421+"$F;@!0/G"</f>
        <v>#VALUE!</v>
      </c>
      <c r="FA281" t="e">
        <f>Europe!F1421+"$F;@!0/H"</f>
        <v>#VALUE!</v>
      </c>
      <c r="FB281" t="e">
        <f>Europe!G1421+"$F;@!0/I"</f>
        <v>#VALUE!</v>
      </c>
      <c r="FC281" t="e">
        <f>Europe!H1421+"$F;@!0/J"</f>
        <v>#VALUE!</v>
      </c>
      <c r="FD281" t="e">
        <f>Europe!A1422+"$F;@!0/K"</f>
        <v>#VALUE!</v>
      </c>
      <c r="FE281" t="e">
        <f>Europe!B1422+"$F;@!0/L"</f>
        <v>#VALUE!</v>
      </c>
      <c r="FF281" t="e">
        <f>Europe!C1422+"$F;@!0/M"</f>
        <v>#VALUE!</v>
      </c>
      <c r="FG281" t="e">
        <f>Europe!D1422+"$F;@!0/N"</f>
        <v>#VALUE!</v>
      </c>
      <c r="FH281" t="e">
        <f>Europe!E1422+"$F;@!0/O"</f>
        <v>#VALUE!</v>
      </c>
      <c r="FI281" t="e">
        <f>Europe!F1422+"$F;@!0/P"</f>
        <v>#VALUE!</v>
      </c>
      <c r="FJ281" t="e">
        <f>Europe!G1422+"$F;@!0/Q"</f>
        <v>#VALUE!</v>
      </c>
      <c r="FK281" t="e">
        <f>Europe!H1422+"$F;@!0/R"</f>
        <v>#VALUE!</v>
      </c>
      <c r="FL281" t="e">
        <f>Europe!A1423+"$F;@!0/S"</f>
        <v>#VALUE!</v>
      </c>
      <c r="FM281" t="e">
        <f>Europe!B1423+"$F;@!0/T"</f>
        <v>#VALUE!</v>
      </c>
      <c r="FN281" t="e">
        <f>Europe!C1423+"$F;@!0/U"</f>
        <v>#VALUE!</v>
      </c>
      <c r="FO281" t="e">
        <f>Europe!D1423+"$F;@!0/V"</f>
        <v>#VALUE!</v>
      </c>
      <c r="FP281" t="e">
        <f>Europe!E1423+"$F;@!0/W"</f>
        <v>#VALUE!</v>
      </c>
      <c r="FQ281" t="e">
        <f>Europe!F1423+"$F;@!0/X"</f>
        <v>#VALUE!</v>
      </c>
      <c r="FR281" t="e">
        <f>Europe!G1423+"$F;@!0/Y"</f>
        <v>#VALUE!</v>
      </c>
      <c r="FS281" t="e">
        <f>Europe!H1423+"$F;@!0/Z"</f>
        <v>#VALUE!</v>
      </c>
      <c r="FT281" t="e">
        <f>Europe!A1424+"$F;@!0/["</f>
        <v>#VALUE!</v>
      </c>
      <c r="FU281" t="e">
        <f>Europe!B1424+"$F;@!0/\"</f>
        <v>#VALUE!</v>
      </c>
      <c r="FV281" t="e">
        <f>Europe!C1424+"$F;@!0/]"</f>
        <v>#VALUE!</v>
      </c>
      <c r="FW281" t="e">
        <f>Europe!D1424+"$F;@!0/^"</f>
        <v>#VALUE!</v>
      </c>
      <c r="FX281" t="e">
        <f>Europe!E1424+"$F;@!0/_"</f>
        <v>#VALUE!</v>
      </c>
      <c r="FY281" t="e">
        <f>Europe!F1424+"$F;@!0/`"</f>
        <v>#VALUE!</v>
      </c>
      <c r="FZ281" t="e">
        <f>Europe!G1424+"$F;@!0/a"</f>
        <v>#VALUE!</v>
      </c>
      <c r="GA281" t="e">
        <f>Europe!H1424+"$F;@!0/b"</f>
        <v>#VALUE!</v>
      </c>
      <c r="GB281" t="e">
        <f>Europe!A1425+"$F;@!0/c"</f>
        <v>#VALUE!</v>
      </c>
      <c r="GC281" t="e">
        <f>Europe!B1425+"$F;@!0/d"</f>
        <v>#VALUE!</v>
      </c>
      <c r="GD281" t="e">
        <f>Europe!C1425+"$F;@!0/e"</f>
        <v>#VALUE!</v>
      </c>
      <c r="GE281" t="e">
        <f>Europe!D1425+"$F;@!0/f"</f>
        <v>#VALUE!</v>
      </c>
      <c r="GF281" t="e">
        <f>Europe!E1425+"$F;@!0/g"</f>
        <v>#VALUE!</v>
      </c>
      <c r="GG281" t="e">
        <f>Europe!F1425+"$F;@!0/h"</f>
        <v>#VALUE!</v>
      </c>
      <c r="GH281" t="e">
        <f>Europe!G1425+"$F;@!0/i"</f>
        <v>#VALUE!</v>
      </c>
      <c r="GI281" t="e">
        <f>Europe!H1425+"$F;@!0/j"</f>
        <v>#VALUE!</v>
      </c>
      <c r="GJ281" t="e">
        <f>Europe!A1426+"$F;@!0/k"</f>
        <v>#VALUE!</v>
      </c>
      <c r="GK281" t="e">
        <f>Europe!B1426+"$F;@!0/l"</f>
        <v>#VALUE!</v>
      </c>
      <c r="GL281" t="e">
        <f>Europe!C1426+"$F;@!0/m"</f>
        <v>#VALUE!</v>
      </c>
      <c r="GM281" t="e">
        <f>Europe!D1426+"$F;@!0/n"</f>
        <v>#VALUE!</v>
      </c>
      <c r="GN281" t="e">
        <f>Europe!E1426+"$F;@!0/o"</f>
        <v>#VALUE!</v>
      </c>
      <c r="GO281" t="e">
        <f>Europe!F1426+"$F;@!0/p"</f>
        <v>#VALUE!</v>
      </c>
      <c r="GP281" t="e">
        <f>Europe!G1426+"$F;@!0/q"</f>
        <v>#VALUE!</v>
      </c>
      <c r="GQ281" t="e">
        <f>Europe!H1426+"$F;@!0/r"</f>
        <v>#VALUE!</v>
      </c>
      <c r="GR281" t="e">
        <f>Europe!A1427+"$F;@!0/s"</f>
        <v>#VALUE!</v>
      </c>
      <c r="GS281" t="e">
        <f>Europe!B1427+"$F;@!0/t"</f>
        <v>#VALUE!</v>
      </c>
      <c r="GT281" t="e">
        <f>Europe!C1427+"$F;@!0/u"</f>
        <v>#VALUE!</v>
      </c>
      <c r="GU281" t="e">
        <f>Europe!D1427+"$F;@!0/v"</f>
        <v>#VALUE!</v>
      </c>
      <c r="GV281" t="e">
        <f>Europe!E1427+"$F;@!0/w"</f>
        <v>#VALUE!</v>
      </c>
      <c r="GW281" t="e">
        <f>Europe!F1427+"$F;@!0/x"</f>
        <v>#VALUE!</v>
      </c>
      <c r="GX281" t="e">
        <f>Europe!G1427+"$F;@!0/y"</f>
        <v>#VALUE!</v>
      </c>
      <c r="GY281" t="e">
        <f>Europe!H1427+"$F;@!0/z"</f>
        <v>#VALUE!</v>
      </c>
      <c r="GZ281" t="e">
        <f>Europe!A1428+"$F;@!0/{"</f>
        <v>#VALUE!</v>
      </c>
      <c r="HA281" t="e">
        <f>Europe!B1428+"$F;@!0/|"</f>
        <v>#VALUE!</v>
      </c>
      <c r="HB281" t="e">
        <f>Europe!C1428+"$F;@!0/}"</f>
        <v>#VALUE!</v>
      </c>
      <c r="HC281" t="e">
        <f>Europe!D1428+"$F;@!0/~"</f>
        <v>#VALUE!</v>
      </c>
      <c r="HD281" t="e">
        <f>Europe!E1428+"$F;@!00#"</f>
        <v>#VALUE!</v>
      </c>
      <c r="HE281" t="e">
        <f>Europe!F1428+"$F;@!00$"</f>
        <v>#VALUE!</v>
      </c>
      <c r="HF281" t="e">
        <f>Europe!G1428+"$F;@!00%"</f>
        <v>#VALUE!</v>
      </c>
      <c r="HG281" t="e">
        <f>Europe!H1428+"$F;@!00&amp;"</f>
        <v>#VALUE!</v>
      </c>
      <c r="HH281" t="e">
        <f>Europe!A1429+"$F;@!00'"</f>
        <v>#VALUE!</v>
      </c>
      <c r="HI281" t="e">
        <f>Europe!B1429+"$F;@!00("</f>
        <v>#VALUE!</v>
      </c>
      <c r="HJ281" t="e">
        <f>Europe!C1429+"$F;@!00)"</f>
        <v>#VALUE!</v>
      </c>
      <c r="HK281" t="e">
        <f>Europe!D1429+"$F;@!00."</f>
        <v>#VALUE!</v>
      </c>
      <c r="HL281" t="e">
        <f>Europe!E1429+"$F;@!00/"</f>
        <v>#VALUE!</v>
      </c>
      <c r="HM281" t="e">
        <f>Europe!F1429+"$F;@!000"</f>
        <v>#VALUE!</v>
      </c>
      <c r="HN281" t="e">
        <f>Europe!G1429+"$F;@!001"</f>
        <v>#VALUE!</v>
      </c>
      <c r="HO281" t="e">
        <f>Europe!H1429+"$F;@!002"</f>
        <v>#VALUE!</v>
      </c>
      <c r="HP281" t="e">
        <f>Europe!A1430+"$F;@!003"</f>
        <v>#VALUE!</v>
      </c>
      <c r="HQ281" t="e">
        <f>Europe!B1430+"$F;@!004"</f>
        <v>#VALUE!</v>
      </c>
      <c r="HR281" t="e">
        <f>Europe!C1430+"$F;@!005"</f>
        <v>#VALUE!</v>
      </c>
      <c r="HS281" t="e">
        <f>Europe!D1430+"$F;@!006"</f>
        <v>#VALUE!</v>
      </c>
      <c r="HT281" t="e">
        <f>Europe!E1430+"$F;@!007"</f>
        <v>#VALUE!</v>
      </c>
      <c r="HU281" t="e">
        <f>Europe!F1430+"$F;@!008"</f>
        <v>#VALUE!</v>
      </c>
      <c r="HV281" t="e">
        <f>Europe!G1430+"$F;@!009"</f>
        <v>#VALUE!</v>
      </c>
      <c r="HW281" t="e">
        <f>Europe!H1430+"$F;@!00:"</f>
        <v>#VALUE!</v>
      </c>
      <c r="HX281" t="e">
        <f>Europe!A1431+"$F;@!00;"</f>
        <v>#VALUE!</v>
      </c>
      <c r="HY281" t="e">
        <f>Europe!B1431+"$F;@!00&lt;"</f>
        <v>#VALUE!</v>
      </c>
      <c r="HZ281" t="e">
        <f>Europe!C1431+"$F;@!00="</f>
        <v>#VALUE!</v>
      </c>
      <c r="IA281" t="e">
        <f>Europe!D1431+"$F;@!00&gt;"</f>
        <v>#VALUE!</v>
      </c>
      <c r="IB281" t="e">
        <f>Europe!E1431+"$F;@!00?"</f>
        <v>#VALUE!</v>
      </c>
      <c r="IC281" t="e">
        <f>Europe!F1431+"$F;@!00@"</f>
        <v>#VALUE!</v>
      </c>
      <c r="ID281" t="e">
        <f>Europe!G1431+"$F;@!00A"</f>
        <v>#VALUE!</v>
      </c>
      <c r="IE281" t="e">
        <f>Europe!H1431+"$F;@!00B"</f>
        <v>#VALUE!</v>
      </c>
      <c r="IF281" t="e">
        <f>Europe!A1432+"$F;@!00C"</f>
        <v>#VALUE!</v>
      </c>
      <c r="IG281" t="e">
        <f>Europe!B1432+"$F;@!00D"</f>
        <v>#VALUE!</v>
      </c>
      <c r="IH281" t="e">
        <f>Europe!C1432+"$F;@!00E"</f>
        <v>#VALUE!</v>
      </c>
      <c r="II281" t="e">
        <f>Europe!D1432+"$F;@!00F"</f>
        <v>#VALUE!</v>
      </c>
      <c r="IJ281" t="e">
        <f>Europe!E1432+"$F;@!00G"</f>
        <v>#VALUE!</v>
      </c>
      <c r="IK281" t="e">
        <f>Europe!F1432+"$F;@!00H"</f>
        <v>#VALUE!</v>
      </c>
      <c r="IL281" t="e">
        <f>Europe!G1432+"$F;@!00I"</f>
        <v>#VALUE!</v>
      </c>
      <c r="IM281" t="e">
        <f>Europe!H1432+"$F;@!00J"</f>
        <v>#VALUE!</v>
      </c>
      <c r="IN281" t="e">
        <f>Europe!A1433+"$F;@!00K"</f>
        <v>#VALUE!</v>
      </c>
      <c r="IO281" t="e">
        <f>Europe!B1433+"$F;@!00L"</f>
        <v>#VALUE!</v>
      </c>
      <c r="IP281" t="e">
        <f>Europe!C1433+"$F;@!00M"</f>
        <v>#VALUE!</v>
      </c>
      <c r="IQ281" t="e">
        <f>Europe!D1433+"$F;@!00N"</f>
        <v>#VALUE!</v>
      </c>
      <c r="IR281" t="e">
        <f>Europe!E1433+"$F;@!00O"</f>
        <v>#VALUE!</v>
      </c>
      <c r="IS281" t="e">
        <f>Europe!F1433+"$F;@!00P"</f>
        <v>#VALUE!</v>
      </c>
      <c r="IT281" t="e">
        <f>Europe!G1433+"$F;@!00Q"</f>
        <v>#VALUE!</v>
      </c>
      <c r="IU281" t="e">
        <f>Europe!H1433+"$F;@!00R"</f>
        <v>#VALUE!</v>
      </c>
      <c r="IV281" t="e">
        <f>Europe!A1434+"$F;@!00S"</f>
        <v>#VALUE!</v>
      </c>
    </row>
    <row r="282" spans="6:256" x14ac:dyDescent="0.35">
      <c r="F282" t="e">
        <f>Europe!B1434+"$F;@!00T"</f>
        <v>#VALUE!</v>
      </c>
      <c r="G282" t="e">
        <f>Europe!C1434+"$F;@!00U"</f>
        <v>#VALUE!</v>
      </c>
      <c r="H282" t="e">
        <f>Europe!D1434+"$F;@!00V"</f>
        <v>#VALUE!</v>
      </c>
      <c r="I282" t="e">
        <f>Europe!E1434+"$F;@!00W"</f>
        <v>#VALUE!</v>
      </c>
      <c r="J282" t="e">
        <f>Europe!F1434+"$F;@!00X"</f>
        <v>#VALUE!</v>
      </c>
      <c r="K282" t="e">
        <f>Europe!G1434+"$F;@!00Y"</f>
        <v>#VALUE!</v>
      </c>
      <c r="L282" t="e">
        <f>Europe!H1434+"$F;@!00Z"</f>
        <v>#VALUE!</v>
      </c>
      <c r="M282" t="e">
        <f>Europe!A1435+"$F;@!00["</f>
        <v>#VALUE!</v>
      </c>
      <c r="N282" t="e">
        <f>Europe!B1435+"$F;@!00\"</f>
        <v>#VALUE!</v>
      </c>
      <c r="O282" t="e">
        <f>Europe!C1435+"$F;@!00]"</f>
        <v>#VALUE!</v>
      </c>
      <c r="P282" t="e">
        <f>Europe!D1435+"$F;@!00^"</f>
        <v>#VALUE!</v>
      </c>
      <c r="Q282" t="e">
        <f>Europe!E1435+"$F;@!00_"</f>
        <v>#VALUE!</v>
      </c>
      <c r="R282" t="e">
        <f>Europe!F1435+"$F;@!00`"</f>
        <v>#VALUE!</v>
      </c>
      <c r="S282" t="e">
        <f>Europe!G1435+"$F;@!00a"</f>
        <v>#VALUE!</v>
      </c>
      <c r="T282" t="e">
        <f>Europe!H1435+"$F;@!00b"</f>
        <v>#VALUE!</v>
      </c>
      <c r="U282" t="e">
        <f>Europe!A1436+"$F;@!00c"</f>
        <v>#VALUE!</v>
      </c>
      <c r="V282" t="e">
        <f>Europe!B1436+"$F;@!00d"</f>
        <v>#VALUE!</v>
      </c>
      <c r="W282" t="e">
        <f>Europe!C1436+"$F;@!00e"</f>
        <v>#VALUE!</v>
      </c>
      <c r="X282" t="e">
        <f>Europe!D1436+"$F;@!00f"</f>
        <v>#VALUE!</v>
      </c>
      <c r="Y282" t="e">
        <f>Europe!E1436+"$F;@!00g"</f>
        <v>#VALUE!</v>
      </c>
      <c r="Z282" t="e">
        <f>Europe!F1436+"$F;@!00h"</f>
        <v>#VALUE!</v>
      </c>
      <c r="AA282" t="e">
        <f>Europe!G1436+"$F;@!00i"</f>
        <v>#VALUE!</v>
      </c>
      <c r="AB282" t="e">
        <f>Europe!H1436+"$F;@!00j"</f>
        <v>#VALUE!</v>
      </c>
      <c r="AC282" t="e">
        <f>Europe!A1437+"$F;@!00k"</f>
        <v>#VALUE!</v>
      </c>
      <c r="AD282" t="e">
        <f>Europe!B1437+"$F;@!00l"</f>
        <v>#VALUE!</v>
      </c>
      <c r="AE282" t="e">
        <f>Europe!C1437+"$F;@!00m"</f>
        <v>#VALUE!</v>
      </c>
      <c r="AF282" t="e">
        <f>Europe!D1437+"$F;@!00n"</f>
        <v>#VALUE!</v>
      </c>
      <c r="AG282" t="e">
        <f>Europe!E1437+"$F;@!00o"</f>
        <v>#VALUE!</v>
      </c>
      <c r="AH282" t="e">
        <f>Europe!F1437+"$F;@!00p"</f>
        <v>#VALUE!</v>
      </c>
      <c r="AI282" t="e">
        <f>Europe!G1437+"$F;@!00q"</f>
        <v>#VALUE!</v>
      </c>
      <c r="AJ282" t="e">
        <f>Europe!H1437+"$F;@!00r"</f>
        <v>#VALUE!</v>
      </c>
      <c r="AK282" t="e">
        <f>Europe!A1438+"$F;@!00s"</f>
        <v>#VALUE!</v>
      </c>
      <c r="AL282" t="e">
        <f>Europe!B1438+"$F;@!00t"</f>
        <v>#VALUE!</v>
      </c>
      <c r="AM282" t="e">
        <f>Europe!C1438+"$F;@!00u"</f>
        <v>#VALUE!</v>
      </c>
      <c r="AN282" t="e">
        <f>Europe!D1438+"$F;@!00v"</f>
        <v>#VALUE!</v>
      </c>
      <c r="AO282" t="e">
        <f>Europe!E1438+"$F;@!00w"</f>
        <v>#VALUE!</v>
      </c>
      <c r="AP282" t="e">
        <f>Europe!F1438+"$F;@!00x"</f>
        <v>#VALUE!</v>
      </c>
      <c r="AQ282" t="e">
        <f>Europe!G1438+"$F;@!00y"</f>
        <v>#VALUE!</v>
      </c>
      <c r="AR282" t="e">
        <f>Europe!H1438+"$F;@!00z"</f>
        <v>#VALUE!</v>
      </c>
      <c r="AS282" t="e">
        <f>Europe!A1439+"$F;@!00{"</f>
        <v>#VALUE!</v>
      </c>
      <c r="AT282" t="e">
        <f>Europe!B1439+"$F;@!00|"</f>
        <v>#VALUE!</v>
      </c>
      <c r="AU282" t="e">
        <f>Europe!C1439+"$F;@!00}"</f>
        <v>#VALUE!</v>
      </c>
      <c r="AV282" t="e">
        <f>Europe!D1439+"$F;@!00~"</f>
        <v>#VALUE!</v>
      </c>
      <c r="AW282" t="e">
        <f>Europe!E1439+"$F;@!01#"</f>
        <v>#VALUE!</v>
      </c>
      <c r="AX282" t="e">
        <f>Europe!F1439+"$F;@!01$"</f>
        <v>#VALUE!</v>
      </c>
      <c r="AY282" t="e">
        <f>Europe!G1439+"$F;@!01%"</f>
        <v>#VALUE!</v>
      </c>
      <c r="AZ282" t="e">
        <f>Europe!H1439+"$F;@!01&amp;"</f>
        <v>#VALUE!</v>
      </c>
      <c r="BA282" t="e">
        <f>Europe!A1440+"$F;@!01'"</f>
        <v>#VALUE!</v>
      </c>
      <c r="BB282" t="e">
        <f>Europe!B1440+"$F;@!01("</f>
        <v>#VALUE!</v>
      </c>
      <c r="BC282" t="e">
        <f>Europe!C1440+"$F;@!01)"</f>
        <v>#VALUE!</v>
      </c>
      <c r="BD282" t="e">
        <f>Europe!D1440+"$F;@!01."</f>
        <v>#VALUE!</v>
      </c>
      <c r="BE282" t="e">
        <f>Europe!E1440+"$F;@!01/"</f>
        <v>#VALUE!</v>
      </c>
      <c r="BF282" t="e">
        <f>Europe!F1440+"$F;@!010"</f>
        <v>#VALUE!</v>
      </c>
      <c r="BG282" t="e">
        <f>Europe!G1440+"$F;@!011"</f>
        <v>#VALUE!</v>
      </c>
      <c r="BH282" t="e">
        <f>Europe!H1440+"$F;@!012"</f>
        <v>#VALUE!</v>
      </c>
      <c r="BI282" t="e">
        <f>Europe!A1441+"$F;@!013"</f>
        <v>#VALUE!</v>
      </c>
      <c r="BJ282" t="e">
        <f>Europe!B1441+"$F;@!014"</f>
        <v>#VALUE!</v>
      </c>
      <c r="BK282" t="e">
        <f>Europe!C1441+"$F;@!015"</f>
        <v>#VALUE!</v>
      </c>
      <c r="BL282" t="e">
        <f>Europe!D1441+"$F;@!016"</f>
        <v>#VALUE!</v>
      </c>
      <c r="BM282" t="e">
        <f>Europe!E1441+"$F;@!017"</f>
        <v>#VALUE!</v>
      </c>
      <c r="BN282" t="e">
        <f>Europe!F1441+"$F;@!018"</f>
        <v>#VALUE!</v>
      </c>
      <c r="BO282" t="e">
        <f>Europe!G1441+"$F;@!019"</f>
        <v>#VALUE!</v>
      </c>
      <c r="BP282" t="e">
        <f>Europe!H1441+"$F;@!01:"</f>
        <v>#VALUE!</v>
      </c>
      <c r="BQ282" t="e">
        <f>Europe!A1442+"$F;@!01;"</f>
        <v>#VALUE!</v>
      </c>
      <c r="BR282" t="e">
        <f>Europe!B1442+"$F;@!01&lt;"</f>
        <v>#VALUE!</v>
      </c>
      <c r="BS282" t="e">
        <f>Europe!C1442+"$F;@!01="</f>
        <v>#VALUE!</v>
      </c>
      <c r="BT282" t="e">
        <f>Europe!D1442+"$F;@!01&gt;"</f>
        <v>#VALUE!</v>
      </c>
      <c r="BU282" t="e">
        <f>Europe!E1442+"$F;@!01?"</f>
        <v>#VALUE!</v>
      </c>
      <c r="BV282" t="e">
        <f>Europe!F1442+"$F;@!01@"</f>
        <v>#VALUE!</v>
      </c>
      <c r="BW282" t="e">
        <f>Europe!G1442+"$F;@!01A"</f>
        <v>#VALUE!</v>
      </c>
      <c r="BX282" t="e">
        <f>Europe!H1442+"$F;@!01B"</f>
        <v>#VALUE!</v>
      </c>
      <c r="BY282" t="e">
        <f>Europe!A1443+"$F;@!01C"</f>
        <v>#VALUE!</v>
      </c>
      <c r="BZ282" t="e">
        <f>Europe!B1443+"$F;@!01D"</f>
        <v>#VALUE!</v>
      </c>
      <c r="CA282" t="e">
        <f>Europe!C1443+"$F;@!01E"</f>
        <v>#VALUE!</v>
      </c>
      <c r="CB282" t="e">
        <f>Europe!D1443+"$F;@!01F"</f>
        <v>#VALUE!</v>
      </c>
      <c r="CC282" t="e">
        <f>Europe!E1443+"$F;@!01G"</f>
        <v>#VALUE!</v>
      </c>
      <c r="CD282" t="e">
        <f>Europe!F1443+"$F;@!01H"</f>
        <v>#VALUE!</v>
      </c>
      <c r="CE282" t="e">
        <f>Europe!G1443+"$F;@!01I"</f>
        <v>#VALUE!</v>
      </c>
      <c r="CF282" t="e">
        <f>Europe!H1443+"$F;@!01J"</f>
        <v>#VALUE!</v>
      </c>
      <c r="CG282" t="e">
        <f>Europe!A1444+"$F;@!01K"</f>
        <v>#VALUE!</v>
      </c>
      <c r="CH282" t="e">
        <f>Europe!B1444+"$F;@!01L"</f>
        <v>#VALUE!</v>
      </c>
      <c r="CI282" t="e">
        <f>Europe!C1444+"$F;@!01M"</f>
        <v>#VALUE!</v>
      </c>
      <c r="CJ282" t="e">
        <f>Europe!D1444+"$F;@!01N"</f>
        <v>#VALUE!</v>
      </c>
      <c r="CK282" t="e">
        <f>Europe!E1444+"$F;@!01O"</f>
        <v>#VALUE!</v>
      </c>
      <c r="CL282" t="e">
        <f>Europe!F1444+"$F;@!01P"</f>
        <v>#VALUE!</v>
      </c>
      <c r="CM282" t="e">
        <f>Europe!G1444+"$F;@!01Q"</f>
        <v>#VALUE!</v>
      </c>
      <c r="CN282" t="e">
        <f>Europe!H1444+"$F;@!01R"</f>
        <v>#VALUE!</v>
      </c>
      <c r="CO282" t="e">
        <f>Europe!A1445+"$F;@!01S"</f>
        <v>#VALUE!</v>
      </c>
      <c r="CP282" t="e">
        <f>Europe!B1445+"$F;@!01T"</f>
        <v>#VALUE!</v>
      </c>
      <c r="CQ282" t="e">
        <f>Europe!C1445+"$F;@!01U"</f>
        <v>#VALUE!</v>
      </c>
      <c r="CR282" t="e">
        <f>Europe!D1445+"$F;@!01V"</f>
        <v>#VALUE!</v>
      </c>
      <c r="CS282" t="e">
        <f>Europe!E1445+"$F;@!01W"</f>
        <v>#VALUE!</v>
      </c>
      <c r="CT282" t="e">
        <f>Europe!F1445+"$F;@!01X"</f>
        <v>#VALUE!</v>
      </c>
      <c r="CU282" t="e">
        <f>Europe!G1445+"$F;@!01Y"</f>
        <v>#VALUE!</v>
      </c>
      <c r="CV282" t="e">
        <f>Europe!H1445+"$F;@!01Z"</f>
        <v>#VALUE!</v>
      </c>
      <c r="CW282" t="e">
        <f>Europe!A1446+"$F;@!01["</f>
        <v>#VALUE!</v>
      </c>
      <c r="CX282" t="e">
        <f>Europe!B1446+"$F;@!01\"</f>
        <v>#VALUE!</v>
      </c>
      <c r="CY282" t="e">
        <f>Europe!C1446+"$F;@!01]"</f>
        <v>#VALUE!</v>
      </c>
      <c r="CZ282" t="e">
        <f>Europe!D1446+"$F;@!01^"</f>
        <v>#VALUE!</v>
      </c>
      <c r="DA282" t="e">
        <f>Europe!E1446+"$F;@!01_"</f>
        <v>#VALUE!</v>
      </c>
      <c r="DB282" t="e">
        <f>Europe!F1446+"$F;@!01`"</f>
        <v>#VALUE!</v>
      </c>
      <c r="DC282" t="e">
        <f>Europe!G1446+"$F;@!01a"</f>
        <v>#VALUE!</v>
      </c>
      <c r="DD282" t="e">
        <f>Europe!H1446+"$F;@!01b"</f>
        <v>#VALUE!</v>
      </c>
      <c r="DE282" t="e">
        <f>Europe!A1447+"$F;@!01c"</f>
        <v>#VALUE!</v>
      </c>
      <c r="DF282" t="e">
        <f>Europe!B1447+"$F;@!01d"</f>
        <v>#VALUE!</v>
      </c>
      <c r="DG282" t="e">
        <f>Europe!C1447+"$F;@!01e"</f>
        <v>#VALUE!</v>
      </c>
      <c r="DH282" t="e">
        <f>Europe!D1447+"$F;@!01f"</f>
        <v>#VALUE!</v>
      </c>
      <c r="DI282" t="e">
        <f>Europe!E1447+"$F;@!01g"</f>
        <v>#VALUE!</v>
      </c>
      <c r="DJ282" t="e">
        <f>Europe!F1447+"$F;@!01h"</f>
        <v>#VALUE!</v>
      </c>
      <c r="DK282" t="e">
        <f>Europe!G1447+"$F;@!01i"</f>
        <v>#VALUE!</v>
      </c>
      <c r="DL282" t="e">
        <f>Europe!H1447+"$F;@!01j"</f>
        <v>#VALUE!</v>
      </c>
      <c r="DM282" t="e">
        <f>Europe!A1448+"$F;@!01k"</f>
        <v>#VALUE!</v>
      </c>
      <c r="DN282" t="e">
        <f>Europe!B1448+"$F;@!01l"</f>
        <v>#VALUE!</v>
      </c>
      <c r="DO282" t="e">
        <f>Europe!C1448+"$F;@!01m"</f>
        <v>#VALUE!</v>
      </c>
      <c r="DP282" t="e">
        <f>Europe!D1448+"$F;@!01n"</f>
        <v>#VALUE!</v>
      </c>
      <c r="DQ282" t="e">
        <f>Europe!E1448+"$F;@!01o"</f>
        <v>#VALUE!</v>
      </c>
      <c r="DR282" t="e">
        <f>Europe!F1448+"$F;@!01p"</f>
        <v>#VALUE!</v>
      </c>
      <c r="DS282" t="e">
        <f>Europe!G1448+"$F;@!01q"</f>
        <v>#VALUE!</v>
      </c>
      <c r="DT282" t="e">
        <f>Europe!H1448+"$F;@!01r"</f>
        <v>#VALUE!</v>
      </c>
      <c r="DU282" t="e">
        <f>Europe!A1449+"$F;@!01s"</f>
        <v>#VALUE!</v>
      </c>
      <c r="DV282" t="e">
        <f>Europe!B1449+"$F;@!01t"</f>
        <v>#VALUE!</v>
      </c>
      <c r="DW282" t="e">
        <f>Europe!C1449+"$F;@!01u"</f>
        <v>#VALUE!</v>
      </c>
      <c r="DX282" t="e">
        <f>Europe!D1449+"$F;@!01v"</f>
        <v>#VALUE!</v>
      </c>
      <c r="DY282" t="e">
        <f>Europe!E1449+"$F;@!01w"</f>
        <v>#VALUE!</v>
      </c>
      <c r="DZ282" t="e">
        <f>Europe!F1449+"$F;@!01x"</f>
        <v>#VALUE!</v>
      </c>
      <c r="EA282" t="e">
        <f>Europe!G1449+"$F;@!01y"</f>
        <v>#VALUE!</v>
      </c>
      <c r="EB282" t="e">
        <f>Europe!H1449+"$F;@!01z"</f>
        <v>#VALUE!</v>
      </c>
      <c r="EC282" t="e">
        <f>Europe!A1450+"$F;@!01{"</f>
        <v>#VALUE!</v>
      </c>
      <c r="ED282" t="e">
        <f>Europe!B1450+"$F;@!01|"</f>
        <v>#VALUE!</v>
      </c>
      <c r="EE282" t="e">
        <f>Europe!C1450+"$F;@!01}"</f>
        <v>#VALUE!</v>
      </c>
      <c r="EF282" t="e">
        <f>Europe!D1450+"$F;@!01~"</f>
        <v>#VALUE!</v>
      </c>
      <c r="EG282" t="e">
        <f>Europe!E1450+"$F;@!02#"</f>
        <v>#VALUE!</v>
      </c>
      <c r="EH282" t="e">
        <f>Europe!F1450+"$F;@!02$"</f>
        <v>#VALUE!</v>
      </c>
      <c r="EI282" t="e">
        <f>Europe!G1450+"$F;@!02%"</f>
        <v>#VALUE!</v>
      </c>
      <c r="EJ282" t="e">
        <f>Europe!H1450+"$F;@!02&amp;"</f>
        <v>#VALUE!</v>
      </c>
      <c r="EK282" t="e">
        <f>Europe!A1451+"$F;@!02'"</f>
        <v>#VALUE!</v>
      </c>
      <c r="EL282" t="e">
        <f>Europe!B1451+"$F;@!02("</f>
        <v>#VALUE!</v>
      </c>
      <c r="EM282" t="e">
        <f>Europe!C1451+"$F;@!02)"</f>
        <v>#VALUE!</v>
      </c>
      <c r="EN282" t="e">
        <f>Europe!D1451+"$F;@!02."</f>
        <v>#VALUE!</v>
      </c>
      <c r="EO282" t="e">
        <f>Europe!E1451+"$F;@!02/"</f>
        <v>#VALUE!</v>
      </c>
      <c r="EP282" t="e">
        <f>Europe!F1451+"$F;@!020"</f>
        <v>#VALUE!</v>
      </c>
      <c r="EQ282" t="e">
        <f>Europe!G1451+"$F;@!021"</f>
        <v>#VALUE!</v>
      </c>
      <c r="ER282" t="e">
        <f>Europe!H1451+"$F;@!022"</f>
        <v>#VALUE!</v>
      </c>
      <c r="ES282" t="e">
        <f>Europe!A1452+"$F;@!023"</f>
        <v>#VALUE!</v>
      </c>
      <c r="ET282" t="e">
        <f>Europe!B1452+"$F;@!024"</f>
        <v>#VALUE!</v>
      </c>
      <c r="EU282" t="e">
        <f>Europe!C1452+"$F;@!025"</f>
        <v>#VALUE!</v>
      </c>
      <c r="EV282" t="e">
        <f>Europe!D1452+"$F;@!026"</f>
        <v>#VALUE!</v>
      </c>
      <c r="EW282" t="e">
        <f>Europe!E1452+"$F;@!027"</f>
        <v>#VALUE!</v>
      </c>
      <c r="EX282" t="e">
        <f>Europe!F1452+"$F;@!028"</f>
        <v>#VALUE!</v>
      </c>
      <c r="EY282" t="e">
        <f>Europe!G1452+"$F;@!029"</f>
        <v>#VALUE!</v>
      </c>
      <c r="EZ282" t="e">
        <f>Europe!H1452+"$F;@!02:"</f>
        <v>#VALUE!</v>
      </c>
      <c r="FA282" t="e">
        <f>Europe!A1453+"$F;@!02;"</f>
        <v>#VALUE!</v>
      </c>
      <c r="FB282" t="e">
        <f>Europe!B1453+"$F;@!02&lt;"</f>
        <v>#VALUE!</v>
      </c>
      <c r="FC282" t="e">
        <f>Europe!C1453+"$F;@!02="</f>
        <v>#VALUE!</v>
      </c>
      <c r="FD282" t="e">
        <f>Europe!D1453+"$F;@!02&gt;"</f>
        <v>#VALUE!</v>
      </c>
      <c r="FE282" t="e">
        <f>Europe!E1453+"$F;@!02?"</f>
        <v>#VALUE!</v>
      </c>
      <c r="FF282" t="e">
        <f>Europe!F1453+"$F;@!02@"</f>
        <v>#VALUE!</v>
      </c>
      <c r="FG282" t="e">
        <f>Europe!G1453+"$F;@!02A"</f>
        <v>#VALUE!</v>
      </c>
      <c r="FH282" t="e">
        <f>Europe!H1453+"$F;@!02B"</f>
        <v>#VALUE!</v>
      </c>
      <c r="FI282" t="e">
        <f>Europe!A1454+"$F;@!02C"</f>
        <v>#VALUE!</v>
      </c>
      <c r="FJ282" t="e">
        <f>Europe!B1454+"$F;@!02D"</f>
        <v>#VALUE!</v>
      </c>
      <c r="FK282" t="e">
        <f>Europe!C1454+"$F;@!02E"</f>
        <v>#VALUE!</v>
      </c>
      <c r="FL282" t="e">
        <f>Europe!D1454+"$F;@!02F"</f>
        <v>#VALUE!</v>
      </c>
      <c r="FM282" t="e">
        <f>Europe!E1454+"$F;@!02G"</f>
        <v>#VALUE!</v>
      </c>
      <c r="FN282" t="e">
        <f>Europe!F1454+"$F;@!02H"</f>
        <v>#VALUE!</v>
      </c>
      <c r="FO282" t="e">
        <f>Europe!G1454+"$F;@!02I"</f>
        <v>#VALUE!</v>
      </c>
      <c r="FP282" t="e">
        <f>Europe!H1454+"$F;@!02J"</f>
        <v>#VALUE!</v>
      </c>
      <c r="FQ282" t="e">
        <f>Europe!A1455+"$F;@!02K"</f>
        <v>#VALUE!</v>
      </c>
      <c r="FR282" t="e">
        <f>Europe!B1455+"$F;@!02L"</f>
        <v>#VALUE!</v>
      </c>
      <c r="FS282" t="e">
        <f>Europe!C1455+"$F;@!02M"</f>
        <v>#VALUE!</v>
      </c>
      <c r="FT282" t="e">
        <f>Europe!D1455+"$F;@!02N"</f>
        <v>#VALUE!</v>
      </c>
      <c r="FU282" t="e">
        <f>Europe!E1455+"$F;@!02O"</f>
        <v>#VALUE!</v>
      </c>
      <c r="FV282" t="e">
        <f>Europe!F1455+"$F;@!02P"</f>
        <v>#VALUE!</v>
      </c>
      <c r="FW282" t="e">
        <f>Europe!G1455+"$F;@!02Q"</f>
        <v>#VALUE!</v>
      </c>
      <c r="FX282" t="e">
        <f>Europe!H1455+"$F;@!02R"</f>
        <v>#VALUE!</v>
      </c>
      <c r="FY282" t="e">
        <f>Europe!A1456+"$F;@!02S"</f>
        <v>#VALUE!</v>
      </c>
      <c r="FZ282" t="e">
        <f>Europe!B1456+"$F;@!02T"</f>
        <v>#VALUE!</v>
      </c>
      <c r="GA282" t="e">
        <f>Europe!C1456+"$F;@!02U"</f>
        <v>#VALUE!</v>
      </c>
      <c r="GB282" t="e">
        <f>Europe!D1456+"$F;@!02V"</f>
        <v>#VALUE!</v>
      </c>
      <c r="GC282" t="e">
        <f>Europe!E1456+"$F;@!02W"</f>
        <v>#VALUE!</v>
      </c>
      <c r="GD282" t="e">
        <f>Europe!F1456+"$F;@!02X"</f>
        <v>#VALUE!</v>
      </c>
      <c r="GE282" t="e">
        <f>Europe!G1456+"$F;@!02Y"</f>
        <v>#VALUE!</v>
      </c>
      <c r="GF282" t="e">
        <f>Europe!H1456+"$F;@!02Z"</f>
        <v>#VALUE!</v>
      </c>
      <c r="GG282" t="e">
        <f>Europe!A1457+"$F;@!02["</f>
        <v>#VALUE!</v>
      </c>
      <c r="GH282" t="e">
        <f>Europe!B1457+"$F;@!02\"</f>
        <v>#VALUE!</v>
      </c>
      <c r="GI282" t="e">
        <f>Europe!C1457+"$F;@!02]"</f>
        <v>#VALUE!</v>
      </c>
      <c r="GJ282" t="e">
        <f>Europe!D1457+"$F;@!02^"</f>
        <v>#VALUE!</v>
      </c>
      <c r="GK282" t="e">
        <f>Europe!E1457+"$F;@!02_"</f>
        <v>#VALUE!</v>
      </c>
      <c r="GL282" t="e">
        <f>Europe!F1457+"$F;@!02`"</f>
        <v>#VALUE!</v>
      </c>
      <c r="GM282" t="e">
        <f>Europe!G1457+"$F;@!02a"</f>
        <v>#VALUE!</v>
      </c>
      <c r="GN282" t="e">
        <f>Europe!H1457+"$F;@!02b"</f>
        <v>#VALUE!</v>
      </c>
      <c r="GO282" t="e">
        <f>Europe!A1458+"$F;@!02c"</f>
        <v>#VALUE!</v>
      </c>
      <c r="GP282" t="e">
        <f>Europe!B1458+"$F;@!02d"</f>
        <v>#VALUE!</v>
      </c>
      <c r="GQ282" t="e">
        <f>Europe!C1458+"$F;@!02e"</f>
        <v>#VALUE!</v>
      </c>
      <c r="GR282" t="e">
        <f>Europe!D1458+"$F;@!02f"</f>
        <v>#VALUE!</v>
      </c>
      <c r="GS282" t="e">
        <f>Europe!E1458+"$F;@!02g"</f>
        <v>#VALUE!</v>
      </c>
      <c r="GT282" t="e">
        <f>Europe!F1458+"$F;@!02h"</f>
        <v>#VALUE!</v>
      </c>
      <c r="GU282" t="e">
        <f>Europe!G1458+"$F;@!02i"</f>
        <v>#VALUE!</v>
      </c>
      <c r="GV282" t="e">
        <f>Europe!H1458+"$F;@!02j"</f>
        <v>#VALUE!</v>
      </c>
      <c r="GW282" t="e">
        <f>Europe!A1459+"$F;@!02k"</f>
        <v>#VALUE!</v>
      </c>
      <c r="GX282" t="e">
        <f>Europe!B1459+"$F;@!02l"</f>
        <v>#VALUE!</v>
      </c>
      <c r="GY282" t="e">
        <f>Europe!C1459+"$F;@!02m"</f>
        <v>#VALUE!</v>
      </c>
      <c r="GZ282" t="e">
        <f>Europe!D1459+"$F;@!02n"</f>
        <v>#VALUE!</v>
      </c>
      <c r="HA282" t="e">
        <f>Europe!E1459+"$F;@!02o"</f>
        <v>#VALUE!</v>
      </c>
      <c r="HB282" t="e">
        <f>Europe!F1459+"$F;@!02p"</f>
        <v>#VALUE!</v>
      </c>
      <c r="HC282" t="e">
        <f>Europe!G1459+"$F;@!02q"</f>
        <v>#VALUE!</v>
      </c>
      <c r="HD282" t="e">
        <f>Europe!H1459+"$F;@!02r"</f>
        <v>#VALUE!</v>
      </c>
      <c r="HE282" t="e">
        <f>Europe!A1460+"$F;@!02s"</f>
        <v>#VALUE!</v>
      </c>
      <c r="HF282" t="e">
        <f>Europe!B1460+"$F;@!02t"</f>
        <v>#VALUE!</v>
      </c>
      <c r="HG282" t="e">
        <f>Europe!C1460+"$F;@!02u"</f>
        <v>#VALUE!</v>
      </c>
      <c r="HH282" t="e">
        <f>Europe!D1460+"$F;@!02v"</f>
        <v>#VALUE!</v>
      </c>
      <c r="HI282" t="e">
        <f>Europe!E1460+"$F;@!02w"</f>
        <v>#VALUE!</v>
      </c>
      <c r="HJ282" t="e">
        <f>Europe!F1460+"$F;@!02x"</f>
        <v>#VALUE!</v>
      </c>
      <c r="HK282" t="e">
        <f>Europe!G1460+"$F;@!02y"</f>
        <v>#VALUE!</v>
      </c>
      <c r="HL282" t="e">
        <f>Europe!H1460+"$F;@!02z"</f>
        <v>#VALUE!</v>
      </c>
      <c r="HM282" t="e">
        <f>Europe!A1461+"$F;@!02{"</f>
        <v>#VALUE!</v>
      </c>
      <c r="HN282" t="e">
        <f>Europe!B1461+"$F;@!02|"</f>
        <v>#VALUE!</v>
      </c>
      <c r="HO282" t="e">
        <f>Europe!C1461+"$F;@!02}"</f>
        <v>#VALUE!</v>
      </c>
      <c r="HP282" t="e">
        <f>Europe!D1461+"$F;@!02~"</f>
        <v>#VALUE!</v>
      </c>
      <c r="HQ282" t="e">
        <f>Europe!E1461+"$F;@!03#"</f>
        <v>#VALUE!</v>
      </c>
      <c r="HR282" t="e">
        <f>Europe!F1461+"$F;@!03$"</f>
        <v>#VALUE!</v>
      </c>
      <c r="HS282" t="e">
        <f>Europe!G1461+"$F;@!03%"</f>
        <v>#VALUE!</v>
      </c>
      <c r="HT282" t="e">
        <f>Europe!H1461+"$F;@!03&amp;"</f>
        <v>#VALUE!</v>
      </c>
      <c r="HU282" t="e">
        <f>Europe!A1462+"$F;@!03'"</f>
        <v>#VALUE!</v>
      </c>
      <c r="HV282" t="e">
        <f>Europe!B1462+"$F;@!03("</f>
        <v>#VALUE!</v>
      </c>
      <c r="HW282" t="e">
        <f>Europe!C1462+"$F;@!03)"</f>
        <v>#VALUE!</v>
      </c>
      <c r="HX282" t="e">
        <f>Europe!D1462+"$F;@!03."</f>
        <v>#VALUE!</v>
      </c>
      <c r="HY282" t="e">
        <f>Europe!E1462+"$F;@!03/"</f>
        <v>#VALUE!</v>
      </c>
      <c r="HZ282" t="e">
        <f>Europe!F1462+"$F;@!030"</f>
        <v>#VALUE!</v>
      </c>
      <c r="IA282" t="e">
        <f>Europe!G1462+"$F;@!031"</f>
        <v>#VALUE!</v>
      </c>
      <c r="IB282" t="e">
        <f>Europe!H1462+"$F;@!032"</f>
        <v>#VALUE!</v>
      </c>
      <c r="IC282" t="e">
        <f>Europe!A1463+"$F;@!033"</f>
        <v>#VALUE!</v>
      </c>
      <c r="ID282" t="e">
        <f>Europe!B1463+"$F;@!034"</f>
        <v>#VALUE!</v>
      </c>
      <c r="IE282" t="e">
        <f>Europe!C1463+"$F;@!035"</f>
        <v>#VALUE!</v>
      </c>
      <c r="IF282" t="e">
        <f>Europe!D1463+"$F;@!036"</f>
        <v>#VALUE!</v>
      </c>
      <c r="IG282" t="e">
        <f>Europe!E1463+"$F;@!037"</f>
        <v>#VALUE!</v>
      </c>
      <c r="IH282" t="e">
        <f>Europe!F1463+"$F;@!038"</f>
        <v>#VALUE!</v>
      </c>
      <c r="II282" t="e">
        <f>Europe!G1463+"$F;@!039"</f>
        <v>#VALUE!</v>
      </c>
      <c r="IJ282" t="e">
        <f>Europe!H1463+"$F;@!03:"</f>
        <v>#VALUE!</v>
      </c>
      <c r="IK282" t="e">
        <f>Europe!A1464+"$F;@!03;"</f>
        <v>#VALUE!</v>
      </c>
      <c r="IL282" t="e">
        <f>Europe!B1464+"$F;@!03&lt;"</f>
        <v>#VALUE!</v>
      </c>
      <c r="IM282" t="e">
        <f>Europe!C1464+"$F;@!03="</f>
        <v>#VALUE!</v>
      </c>
      <c r="IN282" t="e">
        <f>Europe!D1464+"$F;@!03&gt;"</f>
        <v>#VALUE!</v>
      </c>
      <c r="IO282" t="e">
        <f>Europe!E1464+"$F;@!03?"</f>
        <v>#VALUE!</v>
      </c>
      <c r="IP282" t="e">
        <f>Europe!F1464+"$F;@!03@"</f>
        <v>#VALUE!</v>
      </c>
      <c r="IQ282" t="e">
        <f>Europe!G1464+"$F;@!03A"</f>
        <v>#VALUE!</v>
      </c>
      <c r="IR282" t="e">
        <f>Europe!H1464+"$F;@!03B"</f>
        <v>#VALUE!</v>
      </c>
      <c r="IS282" t="e">
        <f>Europe!A1465+"$F;@!03C"</f>
        <v>#VALUE!</v>
      </c>
      <c r="IT282" t="e">
        <f>Europe!B1465+"$F;@!03D"</f>
        <v>#VALUE!</v>
      </c>
      <c r="IU282" t="e">
        <f>Europe!C1465+"$F;@!03E"</f>
        <v>#VALUE!</v>
      </c>
      <c r="IV282" t="e">
        <f>Europe!D1465+"$F;@!03F"</f>
        <v>#VALUE!</v>
      </c>
    </row>
    <row r="283" spans="6:256" x14ac:dyDescent="0.35">
      <c r="F283" t="e">
        <f>Europe!E1465+"$F;@!03G"</f>
        <v>#VALUE!</v>
      </c>
      <c r="G283" t="e">
        <f>Europe!F1465+"$F;@!03H"</f>
        <v>#VALUE!</v>
      </c>
      <c r="H283" t="e">
        <f>Europe!G1465+"$F;@!03I"</f>
        <v>#VALUE!</v>
      </c>
      <c r="I283" t="e">
        <f>Europe!H1465+"$F;@!03J"</f>
        <v>#VALUE!</v>
      </c>
      <c r="J283" t="e">
        <f>Europe!A1466+"$F;@!03K"</f>
        <v>#VALUE!</v>
      </c>
      <c r="K283" t="e">
        <f>Europe!B1466+"$F;@!03L"</f>
        <v>#VALUE!</v>
      </c>
      <c r="L283" t="e">
        <f>Europe!C1466+"$F;@!03M"</f>
        <v>#VALUE!</v>
      </c>
      <c r="M283" t="e">
        <f>Europe!D1466+"$F;@!03N"</f>
        <v>#VALUE!</v>
      </c>
      <c r="N283" t="e">
        <f>Europe!E1466+"$F;@!03O"</f>
        <v>#VALUE!</v>
      </c>
      <c r="O283" t="e">
        <f>Europe!F1466+"$F;@!03P"</f>
        <v>#VALUE!</v>
      </c>
      <c r="P283" t="e">
        <f>Europe!G1466+"$F;@!03Q"</f>
        <v>#VALUE!</v>
      </c>
      <c r="Q283" t="e">
        <f>Europe!H1466+"$F;@!03R"</f>
        <v>#VALUE!</v>
      </c>
      <c r="R283" t="e">
        <f>Europe!A1467+"$F;@!03S"</f>
        <v>#VALUE!</v>
      </c>
      <c r="S283" t="e">
        <f>Europe!B1467+"$F;@!03T"</f>
        <v>#VALUE!</v>
      </c>
      <c r="T283" t="e">
        <f>Europe!C1467+"$F;@!03U"</f>
        <v>#VALUE!</v>
      </c>
      <c r="U283" t="e">
        <f>Europe!D1467+"$F;@!03V"</f>
        <v>#VALUE!</v>
      </c>
      <c r="V283" t="e">
        <f>Europe!E1467+"$F;@!03W"</f>
        <v>#VALUE!</v>
      </c>
      <c r="W283" t="e">
        <f>Europe!F1467+"$F;@!03X"</f>
        <v>#VALUE!</v>
      </c>
      <c r="X283" t="e">
        <f>Europe!G1467+"$F;@!03Y"</f>
        <v>#VALUE!</v>
      </c>
      <c r="Y283" t="e">
        <f>Europe!H1467+"$F;@!03Z"</f>
        <v>#VALUE!</v>
      </c>
      <c r="Z283" t="e">
        <f>Europe!A1468+"$F;@!03["</f>
        <v>#VALUE!</v>
      </c>
      <c r="AA283" t="e">
        <f>Europe!B1468+"$F;@!03\"</f>
        <v>#VALUE!</v>
      </c>
      <c r="AB283" t="e">
        <f>Europe!C1468+"$F;@!03]"</f>
        <v>#VALUE!</v>
      </c>
      <c r="AC283" t="e">
        <f>Europe!D1468+"$F;@!03^"</f>
        <v>#VALUE!</v>
      </c>
      <c r="AD283" t="e">
        <f>Europe!E1468+"$F;@!03_"</f>
        <v>#VALUE!</v>
      </c>
      <c r="AE283" t="e">
        <f>Europe!F1468+"$F;@!03`"</f>
        <v>#VALUE!</v>
      </c>
      <c r="AF283" t="e">
        <f>Europe!G1468+"$F;@!03a"</f>
        <v>#VALUE!</v>
      </c>
      <c r="AG283" t="e">
        <f>Europe!H1468+"$F;@!03b"</f>
        <v>#VALUE!</v>
      </c>
      <c r="AH283" t="e">
        <f>Europe!A1469+"$F;@!03c"</f>
        <v>#VALUE!</v>
      </c>
      <c r="AI283" t="e">
        <f>Europe!B1469+"$F;@!03d"</f>
        <v>#VALUE!</v>
      </c>
      <c r="AJ283" t="e">
        <f>Europe!C1469+"$F;@!03e"</f>
        <v>#VALUE!</v>
      </c>
      <c r="AK283" t="e">
        <f>Europe!D1469+"$F;@!03f"</f>
        <v>#VALUE!</v>
      </c>
      <c r="AL283" t="e">
        <f>Europe!E1469+"$F;@!03g"</f>
        <v>#VALUE!</v>
      </c>
      <c r="AM283" t="e">
        <f>Europe!F1469+"$F;@!03h"</f>
        <v>#VALUE!</v>
      </c>
      <c r="AN283" t="e">
        <f>Europe!G1469+"$F;@!03i"</f>
        <v>#VALUE!</v>
      </c>
      <c r="AO283" t="e">
        <f>Europe!H1469+"$F;@!03j"</f>
        <v>#VALUE!</v>
      </c>
      <c r="AP283" t="e">
        <f>Europe!A1470+"$F;@!03k"</f>
        <v>#VALUE!</v>
      </c>
      <c r="AQ283" t="e">
        <f>Europe!B1470+"$F;@!03l"</f>
        <v>#VALUE!</v>
      </c>
      <c r="AR283" t="e">
        <f>Europe!C1470+"$F;@!03m"</f>
        <v>#VALUE!</v>
      </c>
      <c r="AS283" t="e">
        <f>Europe!D1470+"$F;@!03n"</f>
        <v>#VALUE!</v>
      </c>
      <c r="AT283" t="e">
        <f>Europe!E1470+"$F;@!03o"</f>
        <v>#VALUE!</v>
      </c>
      <c r="AU283" t="e">
        <f>Europe!F1470+"$F;@!03p"</f>
        <v>#VALUE!</v>
      </c>
      <c r="AV283" t="e">
        <f>Europe!G1470+"$F;@!03q"</f>
        <v>#VALUE!</v>
      </c>
      <c r="AW283" t="e">
        <f>Europe!H1470+"$F;@!03r"</f>
        <v>#VALUE!</v>
      </c>
      <c r="AX283" t="e">
        <f>Europe!A1471+"$F;@!03s"</f>
        <v>#VALUE!</v>
      </c>
      <c r="AY283" t="e">
        <f>Europe!B1471+"$F;@!03t"</f>
        <v>#VALUE!</v>
      </c>
      <c r="AZ283" t="e">
        <f>Europe!C1471+"$F;@!03u"</f>
        <v>#VALUE!</v>
      </c>
      <c r="BA283" t="e">
        <f>Europe!D1471+"$F;@!03v"</f>
        <v>#VALUE!</v>
      </c>
      <c r="BB283" t="e">
        <f>Europe!E1471+"$F;@!03w"</f>
        <v>#VALUE!</v>
      </c>
      <c r="BC283" t="e">
        <f>Europe!F1471+"$F;@!03x"</f>
        <v>#VALUE!</v>
      </c>
      <c r="BD283" t="e">
        <f>Europe!G1471+"$F;@!03y"</f>
        <v>#VALUE!</v>
      </c>
      <c r="BE283" t="e">
        <f>Europe!H1471+"$F;@!03z"</f>
        <v>#VALUE!</v>
      </c>
      <c r="BF283" t="e">
        <f>Europe!A1472+"$F;@!03{"</f>
        <v>#VALUE!</v>
      </c>
      <c r="BG283" t="e">
        <f>Europe!B1472+"$F;@!03|"</f>
        <v>#VALUE!</v>
      </c>
      <c r="BH283" t="e">
        <f>Europe!C1472+"$F;@!03}"</f>
        <v>#VALUE!</v>
      </c>
      <c r="BI283" t="e">
        <f>Europe!D1472+"$F;@!03~"</f>
        <v>#VALUE!</v>
      </c>
      <c r="BJ283" t="e">
        <f>Europe!E1472+"$F;@!04#"</f>
        <v>#VALUE!</v>
      </c>
      <c r="BK283" t="e">
        <f>Europe!F1472+"$F;@!04$"</f>
        <v>#VALUE!</v>
      </c>
      <c r="BL283" t="e">
        <f>Europe!G1472+"$F;@!04%"</f>
        <v>#VALUE!</v>
      </c>
      <c r="BM283" t="e">
        <f>Europe!H1472+"$F;@!04&amp;"</f>
        <v>#VALUE!</v>
      </c>
      <c r="BN283" t="e">
        <f>Europe!A1473+"$F;@!04'"</f>
        <v>#VALUE!</v>
      </c>
      <c r="BO283" t="e">
        <f>Europe!B1473+"$F;@!04("</f>
        <v>#VALUE!</v>
      </c>
      <c r="BP283" t="e">
        <f>Europe!C1473+"$F;@!04)"</f>
        <v>#VALUE!</v>
      </c>
      <c r="BQ283" t="e">
        <f>Europe!D1473+"$F;@!04."</f>
        <v>#VALUE!</v>
      </c>
      <c r="BR283" t="e">
        <f>Europe!E1473+"$F;@!04/"</f>
        <v>#VALUE!</v>
      </c>
      <c r="BS283" t="e">
        <f>Europe!F1473+"$F;@!040"</f>
        <v>#VALUE!</v>
      </c>
      <c r="BT283" t="e">
        <f>Europe!G1473+"$F;@!041"</f>
        <v>#VALUE!</v>
      </c>
      <c r="BU283" t="e">
        <f>Europe!H1473+"$F;@!042"</f>
        <v>#VALUE!</v>
      </c>
      <c r="BV283" t="e">
        <f>Europe!A1474+"$F;@!043"</f>
        <v>#VALUE!</v>
      </c>
      <c r="BW283" t="e">
        <f>Europe!B1474+"$F;@!044"</f>
        <v>#VALUE!</v>
      </c>
      <c r="BX283" t="e">
        <f>Europe!C1474+"$F;@!045"</f>
        <v>#VALUE!</v>
      </c>
      <c r="BY283" t="e">
        <f>Europe!D1474+"$F;@!046"</f>
        <v>#VALUE!</v>
      </c>
      <c r="BZ283" t="e">
        <f>Europe!E1474+"$F;@!047"</f>
        <v>#VALUE!</v>
      </c>
      <c r="CA283" t="e">
        <f>Europe!F1474+"$F;@!048"</f>
        <v>#VALUE!</v>
      </c>
      <c r="CB283" t="e">
        <f>Europe!G1474+"$F;@!049"</f>
        <v>#VALUE!</v>
      </c>
      <c r="CC283" t="e">
        <f>Europe!H1474+"$F;@!04:"</f>
        <v>#VALUE!</v>
      </c>
      <c r="CD283" t="e">
        <f>Europe!A1475+"$F;@!04;"</f>
        <v>#VALUE!</v>
      </c>
      <c r="CE283" t="e">
        <f>Europe!B1475+"$F;@!04&lt;"</f>
        <v>#VALUE!</v>
      </c>
      <c r="CF283" t="e">
        <f>Europe!C1475+"$F;@!04="</f>
        <v>#VALUE!</v>
      </c>
      <c r="CG283" t="e">
        <f>Europe!D1475+"$F;@!04&gt;"</f>
        <v>#VALUE!</v>
      </c>
      <c r="CH283" t="e">
        <f>Europe!E1475+"$F;@!04?"</f>
        <v>#VALUE!</v>
      </c>
      <c r="CI283" t="e">
        <f>Europe!F1475+"$F;@!04@"</f>
        <v>#VALUE!</v>
      </c>
      <c r="CJ283" t="e">
        <f>Europe!G1475+"$F;@!04A"</f>
        <v>#VALUE!</v>
      </c>
      <c r="CK283" t="e">
        <f>Europe!H1475+"$F;@!04B"</f>
        <v>#VALUE!</v>
      </c>
      <c r="CL283" t="e">
        <f>Europe!A1476+"$F;@!04C"</f>
        <v>#VALUE!</v>
      </c>
      <c r="CM283" t="e">
        <f>Europe!B1476+"$F;@!04D"</f>
        <v>#VALUE!</v>
      </c>
      <c r="CN283" t="e">
        <f>Europe!C1476+"$F;@!04E"</f>
        <v>#VALUE!</v>
      </c>
      <c r="CO283" t="e">
        <f>Europe!D1476+"$F;@!04F"</f>
        <v>#VALUE!</v>
      </c>
      <c r="CP283" t="e">
        <f>Europe!E1476+"$F;@!04G"</f>
        <v>#VALUE!</v>
      </c>
      <c r="CQ283" t="e">
        <f>Europe!F1476+"$F;@!04H"</f>
        <v>#VALUE!</v>
      </c>
      <c r="CR283" t="e">
        <f>Europe!G1476+"$F;@!04I"</f>
        <v>#VALUE!</v>
      </c>
      <c r="CS283" t="e">
        <f>Europe!H1476+"$F;@!04J"</f>
        <v>#VALUE!</v>
      </c>
      <c r="CT283" t="e">
        <f>Europe!A1477+"$F;@!04K"</f>
        <v>#VALUE!</v>
      </c>
      <c r="CU283" t="e">
        <f>Europe!B1477+"$F;@!04L"</f>
        <v>#VALUE!</v>
      </c>
      <c r="CV283" t="e">
        <f>Europe!C1477+"$F;@!04M"</f>
        <v>#VALUE!</v>
      </c>
      <c r="CW283" t="e">
        <f>Europe!D1477+"$F;@!04N"</f>
        <v>#VALUE!</v>
      </c>
      <c r="CX283" t="e">
        <f>Europe!E1477+"$F;@!04O"</f>
        <v>#VALUE!</v>
      </c>
      <c r="CY283" t="e">
        <f>Europe!F1477+"$F;@!04P"</f>
        <v>#VALUE!</v>
      </c>
      <c r="CZ283" t="e">
        <f>Europe!G1477+"$F;@!04Q"</f>
        <v>#VALUE!</v>
      </c>
      <c r="DA283" t="e">
        <f>Europe!H1477+"$F;@!04R"</f>
        <v>#VALUE!</v>
      </c>
      <c r="DB283" t="e">
        <f>Europe!A1478+"$F;@!04S"</f>
        <v>#VALUE!</v>
      </c>
      <c r="DC283" t="e">
        <f>Europe!B1478+"$F;@!04T"</f>
        <v>#VALUE!</v>
      </c>
      <c r="DD283" t="e">
        <f>Europe!C1478+"$F;@!04U"</f>
        <v>#VALUE!</v>
      </c>
      <c r="DE283" t="e">
        <f>Europe!D1478+"$F;@!04V"</f>
        <v>#VALUE!</v>
      </c>
      <c r="DF283" t="e">
        <f>Europe!E1478+"$F;@!04W"</f>
        <v>#VALUE!</v>
      </c>
      <c r="DG283" t="e">
        <f>Europe!F1478+"$F;@!04X"</f>
        <v>#VALUE!</v>
      </c>
      <c r="DH283" t="e">
        <f>Europe!G1478+"$F;@!04Y"</f>
        <v>#VALUE!</v>
      </c>
      <c r="DI283" t="e">
        <f>Europe!H1478+"$F;@!04Z"</f>
        <v>#VALUE!</v>
      </c>
      <c r="DJ283" t="e">
        <f>Europe!A1479+"$F;@!04["</f>
        <v>#VALUE!</v>
      </c>
      <c r="DK283" t="e">
        <f>Europe!B1479+"$F;@!04\"</f>
        <v>#VALUE!</v>
      </c>
      <c r="DL283" t="e">
        <f>Europe!C1479+"$F;@!04]"</f>
        <v>#VALUE!</v>
      </c>
      <c r="DM283" t="e">
        <f>Europe!D1479+"$F;@!04^"</f>
        <v>#VALUE!</v>
      </c>
      <c r="DN283" t="e">
        <f>Europe!E1479+"$F;@!04_"</f>
        <v>#VALUE!</v>
      </c>
      <c r="DO283" t="e">
        <f>Europe!F1479+"$F;@!04`"</f>
        <v>#VALUE!</v>
      </c>
      <c r="DP283" t="e">
        <f>Europe!G1479+"$F;@!04a"</f>
        <v>#VALUE!</v>
      </c>
      <c r="DQ283" t="e">
        <f>Europe!H1479+"$F;@!04b"</f>
        <v>#VALUE!</v>
      </c>
      <c r="DR283" t="e">
        <f>Europe!A1480+"$F;@!04c"</f>
        <v>#VALUE!</v>
      </c>
      <c r="DS283" t="e">
        <f>Europe!B1480+"$F;@!04d"</f>
        <v>#VALUE!</v>
      </c>
      <c r="DT283" t="e">
        <f>Europe!C1480+"$F;@!04e"</f>
        <v>#VALUE!</v>
      </c>
      <c r="DU283" t="e">
        <f>Europe!D1480+"$F;@!04f"</f>
        <v>#VALUE!</v>
      </c>
      <c r="DV283" t="e">
        <f>Europe!E1480+"$F;@!04g"</f>
        <v>#VALUE!</v>
      </c>
      <c r="DW283" t="e">
        <f>Europe!F1480+"$F;@!04h"</f>
        <v>#VALUE!</v>
      </c>
      <c r="DX283" t="e">
        <f>Europe!G1480+"$F;@!04i"</f>
        <v>#VALUE!</v>
      </c>
      <c r="DY283" t="e">
        <f>Europe!H1480+"$F;@!04j"</f>
        <v>#VALUE!</v>
      </c>
      <c r="DZ283" t="e">
        <f>Europe!A1481+"$F;@!04k"</f>
        <v>#VALUE!</v>
      </c>
      <c r="EA283" t="e">
        <f>Europe!B1481+"$F;@!04l"</f>
        <v>#VALUE!</v>
      </c>
      <c r="EB283" t="e">
        <f>Europe!C1481+"$F;@!04m"</f>
        <v>#VALUE!</v>
      </c>
      <c r="EC283" t="e">
        <f>Europe!D1481+"$F;@!04n"</f>
        <v>#VALUE!</v>
      </c>
      <c r="ED283" t="e">
        <f>Europe!E1481+"$F;@!04o"</f>
        <v>#VALUE!</v>
      </c>
      <c r="EE283" t="e">
        <f>Europe!F1481+"$F;@!04p"</f>
        <v>#VALUE!</v>
      </c>
      <c r="EF283" t="e">
        <f>Europe!G1481+"$F;@!04q"</f>
        <v>#VALUE!</v>
      </c>
      <c r="EG283" t="e">
        <f>Europe!H1481+"$F;@!04r"</f>
        <v>#VALUE!</v>
      </c>
      <c r="EH283" t="e">
        <f>Europe!A1482+"$F;@!04s"</f>
        <v>#VALUE!</v>
      </c>
      <c r="EI283" t="e">
        <f>Europe!B1482+"$F;@!04t"</f>
        <v>#VALUE!</v>
      </c>
      <c r="EJ283" t="e">
        <f>Europe!C1482+"$F;@!04u"</f>
        <v>#VALUE!</v>
      </c>
      <c r="EK283" t="e">
        <f>Europe!D1482+"$F;@!04v"</f>
        <v>#VALUE!</v>
      </c>
      <c r="EL283" t="e">
        <f>Europe!E1482+"$F;@!04w"</f>
        <v>#VALUE!</v>
      </c>
      <c r="EM283" t="e">
        <f>Europe!F1482+"$F;@!04x"</f>
        <v>#VALUE!</v>
      </c>
      <c r="EN283" t="e">
        <f>Europe!G1482+"$F;@!04y"</f>
        <v>#VALUE!</v>
      </c>
      <c r="EO283" t="e">
        <f>Europe!H1482+"$F;@!04z"</f>
        <v>#VALUE!</v>
      </c>
      <c r="EP283" t="e">
        <f>Europe!A1483+"$F;@!04{"</f>
        <v>#VALUE!</v>
      </c>
      <c r="EQ283" t="e">
        <f>Europe!B1483+"$F;@!04|"</f>
        <v>#VALUE!</v>
      </c>
      <c r="ER283" t="e">
        <f>Europe!C1483+"$F;@!04}"</f>
        <v>#VALUE!</v>
      </c>
      <c r="ES283" t="e">
        <f>Europe!D1483+"$F;@!04~"</f>
        <v>#VALUE!</v>
      </c>
      <c r="ET283" t="e">
        <f>Europe!E1483+"$F;@!05#"</f>
        <v>#VALUE!</v>
      </c>
      <c r="EU283" t="e">
        <f>Europe!F1483+"$F;@!05$"</f>
        <v>#VALUE!</v>
      </c>
      <c r="EV283" t="e">
        <f>Europe!G1483+"$F;@!05%"</f>
        <v>#VALUE!</v>
      </c>
      <c r="EW283" t="e">
        <f>Europe!H1483+"$F;@!05&amp;"</f>
        <v>#VALUE!</v>
      </c>
      <c r="EX283" t="e">
        <f>Europe!A1484+"$F;@!05'"</f>
        <v>#VALUE!</v>
      </c>
      <c r="EY283" t="e">
        <f>Europe!B1484+"$F;@!05("</f>
        <v>#VALUE!</v>
      </c>
      <c r="EZ283" t="e">
        <f>Europe!C1484+"$F;@!05)"</f>
        <v>#VALUE!</v>
      </c>
      <c r="FA283" t="e">
        <f>Europe!D1484+"$F;@!05."</f>
        <v>#VALUE!</v>
      </c>
      <c r="FB283" t="e">
        <f>Europe!E1484+"$F;@!05/"</f>
        <v>#VALUE!</v>
      </c>
      <c r="FC283" t="e">
        <f>Europe!F1484+"$F;@!050"</f>
        <v>#VALUE!</v>
      </c>
      <c r="FD283" t="e">
        <f>Europe!G1484+"$F;@!051"</f>
        <v>#VALUE!</v>
      </c>
      <c r="FE283" t="e">
        <f>Europe!H1484+"$F;@!052"</f>
        <v>#VALUE!</v>
      </c>
      <c r="FF283" t="e">
        <f>Europe!A1485+"$F;@!053"</f>
        <v>#VALUE!</v>
      </c>
      <c r="FG283" t="e">
        <f>Europe!B1485+"$F;@!054"</f>
        <v>#VALUE!</v>
      </c>
      <c r="FH283" t="e">
        <f>Europe!C1485+"$F;@!055"</f>
        <v>#VALUE!</v>
      </c>
      <c r="FI283" t="e">
        <f>Europe!D1485+"$F;@!056"</f>
        <v>#VALUE!</v>
      </c>
      <c r="FJ283" t="e">
        <f>Europe!E1485+"$F;@!057"</f>
        <v>#VALUE!</v>
      </c>
      <c r="FK283" t="e">
        <f>Europe!F1485+"$F;@!058"</f>
        <v>#VALUE!</v>
      </c>
      <c r="FL283" t="e">
        <f>Europe!G1485+"$F;@!059"</f>
        <v>#VALUE!</v>
      </c>
      <c r="FM283" t="e">
        <f>Europe!H1485+"$F;@!05:"</f>
        <v>#VALUE!</v>
      </c>
      <c r="FN283" t="e">
        <f>Europe!A1486+"$F;@!05;"</f>
        <v>#VALUE!</v>
      </c>
      <c r="FO283" t="e">
        <f>Europe!B1486+"$F;@!05&lt;"</f>
        <v>#VALUE!</v>
      </c>
      <c r="FP283" t="e">
        <f>Europe!C1486+"$F;@!05="</f>
        <v>#VALUE!</v>
      </c>
      <c r="FQ283" t="e">
        <f>Europe!D1486+"$F;@!05&gt;"</f>
        <v>#VALUE!</v>
      </c>
      <c r="FR283" t="e">
        <f>Europe!E1486+"$F;@!05?"</f>
        <v>#VALUE!</v>
      </c>
      <c r="FS283" t="e">
        <f>Europe!F1486+"$F;@!05@"</f>
        <v>#VALUE!</v>
      </c>
      <c r="FT283" t="e">
        <f>Europe!G1486+"$F;@!05A"</f>
        <v>#VALUE!</v>
      </c>
      <c r="FU283" t="e">
        <f>Europe!H1486+"$F;@!05B"</f>
        <v>#VALUE!</v>
      </c>
      <c r="FV283" t="e">
        <f>Europe!A1487+"$F;@!05C"</f>
        <v>#VALUE!</v>
      </c>
      <c r="FW283" t="e">
        <f>Europe!B1487+"$F;@!05D"</f>
        <v>#VALUE!</v>
      </c>
      <c r="FX283" t="e">
        <f>Europe!C1487+"$F;@!05E"</f>
        <v>#VALUE!</v>
      </c>
      <c r="FY283" t="e">
        <f>Europe!D1487+"$F;@!05F"</f>
        <v>#VALUE!</v>
      </c>
      <c r="FZ283" t="e">
        <f>Europe!E1487+"$F;@!05G"</f>
        <v>#VALUE!</v>
      </c>
      <c r="GA283" t="e">
        <f>Europe!F1487+"$F;@!05H"</f>
        <v>#VALUE!</v>
      </c>
      <c r="GB283" t="e">
        <f>Europe!G1487+"$F;@!05I"</f>
        <v>#VALUE!</v>
      </c>
      <c r="GC283" t="e">
        <f>Europe!H1487+"$F;@!05J"</f>
        <v>#VALUE!</v>
      </c>
      <c r="GD283" t="e">
        <f>Europe!A1488+"$F;@!05K"</f>
        <v>#VALUE!</v>
      </c>
      <c r="GE283" t="e">
        <f>Europe!B1488+"$F;@!05L"</f>
        <v>#VALUE!</v>
      </c>
      <c r="GF283" t="e">
        <f>Europe!C1488+"$F;@!05M"</f>
        <v>#VALUE!</v>
      </c>
      <c r="GG283" t="e">
        <f>Europe!D1488+"$F;@!05N"</f>
        <v>#VALUE!</v>
      </c>
      <c r="GH283" t="e">
        <f>Europe!E1488+"$F;@!05O"</f>
        <v>#VALUE!</v>
      </c>
      <c r="GI283" t="e">
        <f>Europe!F1488+"$F;@!05P"</f>
        <v>#VALUE!</v>
      </c>
      <c r="GJ283" t="e">
        <f>Europe!G1488+"$F;@!05Q"</f>
        <v>#VALUE!</v>
      </c>
      <c r="GK283" t="e">
        <f>Europe!H1488+"$F;@!05R"</f>
        <v>#VALUE!</v>
      </c>
      <c r="GL283" t="e">
        <f>Europe!A1489+"$F;@!05S"</f>
        <v>#VALUE!</v>
      </c>
      <c r="GM283" t="e">
        <f>Europe!B1489+"$F;@!05T"</f>
        <v>#VALUE!</v>
      </c>
      <c r="GN283" t="e">
        <f>Europe!C1489+"$F;@!05U"</f>
        <v>#VALUE!</v>
      </c>
      <c r="GO283" t="e">
        <f>Europe!D1489+"$F;@!05V"</f>
        <v>#VALUE!</v>
      </c>
      <c r="GP283" t="e">
        <f>Europe!E1489+"$F;@!05W"</f>
        <v>#VALUE!</v>
      </c>
      <c r="GQ283" t="e">
        <f>Europe!F1489+"$F;@!05X"</f>
        <v>#VALUE!</v>
      </c>
      <c r="GR283" t="e">
        <f>Europe!G1489+"$F;@!05Y"</f>
        <v>#VALUE!</v>
      </c>
      <c r="GS283" t="e">
        <f>Europe!H1489+"$F;@!05Z"</f>
        <v>#VALUE!</v>
      </c>
      <c r="GT283" t="e">
        <f>Europe!A1490+"$F;@!05["</f>
        <v>#VALUE!</v>
      </c>
      <c r="GU283" t="e">
        <f>Europe!B1490+"$F;@!05\"</f>
        <v>#VALUE!</v>
      </c>
      <c r="GV283" t="e">
        <f>Europe!C1490+"$F;@!05]"</f>
        <v>#VALUE!</v>
      </c>
      <c r="GW283" t="e">
        <f>Europe!D1490+"$F;@!05^"</f>
        <v>#VALUE!</v>
      </c>
      <c r="GX283" t="e">
        <f>Europe!E1490+"$F;@!05_"</f>
        <v>#VALUE!</v>
      </c>
      <c r="GY283" t="e">
        <f>Europe!F1490+"$F;@!05`"</f>
        <v>#VALUE!</v>
      </c>
      <c r="GZ283" t="e">
        <f>Europe!G1490+"$F;@!05a"</f>
        <v>#VALUE!</v>
      </c>
      <c r="HA283" t="e">
        <f>Europe!H1490+"$F;@!05b"</f>
        <v>#VALUE!</v>
      </c>
      <c r="HB283" t="e">
        <f>Europe!A1491+"$F;@!05c"</f>
        <v>#VALUE!</v>
      </c>
      <c r="HC283" t="e">
        <f>Europe!B1491+"$F;@!05d"</f>
        <v>#VALUE!</v>
      </c>
      <c r="HD283" t="e">
        <f>Europe!C1491+"$F;@!05e"</f>
        <v>#VALUE!</v>
      </c>
      <c r="HE283" t="e">
        <f>Europe!D1491+"$F;@!05f"</f>
        <v>#VALUE!</v>
      </c>
      <c r="HF283" t="e">
        <f>Europe!E1491+"$F;@!05g"</f>
        <v>#VALUE!</v>
      </c>
      <c r="HG283" t="e">
        <f>Europe!F1491+"$F;@!05h"</f>
        <v>#VALUE!</v>
      </c>
      <c r="HH283" t="e">
        <f>Europe!G1491+"$F;@!05i"</f>
        <v>#VALUE!</v>
      </c>
      <c r="HI283" t="e">
        <f>Europe!H1491+"$F;@!05j"</f>
        <v>#VALUE!</v>
      </c>
      <c r="HJ283" t="e">
        <f>Europe!A1492+"$F;@!05k"</f>
        <v>#VALUE!</v>
      </c>
      <c r="HK283" t="e">
        <f>Europe!B1492+"$F;@!05l"</f>
        <v>#VALUE!</v>
      </c>
      <c r="HL283" t="e">
        <f>Europe!C1492+"$F;@!05m"</f>
        <v>#VALUE!</v>
      </c>
      <c r="HM283" t="e">
        <f>Europe!D1492+"$F;@!05n"</f>
        <v>#VALUE!</v>
      </c>
      <c r="HN283" t="e">
        <f>Europe!E1492+"$F;@!05o"</f>
        <v>#VALUE!</v>
      </c>
      <c r="HO283" t="e">
        <f>Europe!F1492+"$F;@!05p"</f>
        <v>#VALUE!</v>
      </c>
      <c r="HP283" t="e">
        <f>Europe!G1492+"$F;@!05q"</f>
        <v>#VALUE!</v>
      </c>
      <c r="HQ283" t="e">
        <f>Europe!H1492+"$F;@!05r"</f>
        <v>#VALUE!</v>
      </c>
      <c r="HR283" t="e">
        <f>Europe!A1493+"$F;@!05s"</f>
        <v>#VALUE!</v>
      </c>
      <c r="HS283" t="e">
        <f>Europe!B1493+"$F;@!05t"</f>
        <v>#VALUE!</v>
      </c>
      <c r="HT283" t="e">
        <f>Europe!C1493+"$F;@!05u"</f>
        <v>#VALUE!</v>
      </c>
      <c r="HU283" t="e">
        <f>Europe!D1493+"$F;@!05v"</f>
        <v>#VALUE!</v>
      </c>
      <c r="HV283" t="e">
        <f>Europe!E1493+"$F;@!05w"</f>
        <v>#VALUE!</v>
      </c>
      <c r="HW283" t="e">
        <f>Europe!F1493+"$F;@!05x"</f>
        <v>#VALUE!</v>
      </c>
      <c r="HX283" t="e">
        <f>Europe!G1493+"$F;@!05y"</f>
        <v>#VALUE!</v>
      </c>
      <c r="HY283" t="e">
        <f>Europe!H1493+"$F;@!05z"</f>
        <v>#VALUE!</v>
      </c>
      <c r="HZ283" t="e">
        <f>Europe!A1494+"$F;@!05{"</f>
        <v>#VALUE!</v>
      </c>
      <c r="IA283" t="e">
        <f>Europe!B1494+"$F;@!05|"</f>
        <v>#VALUE!</v>
      </c>
      <c r="IB283" t="e">
        <f>Europe!C1494+"$F;@!05}"</f>
        <v>#VALUE!</v>
      </c>
      <c r="IC283" t="e">
        <f>Europe!D1494+"$F;@!05~"</f>
        <v>#VALUE!</v>
      </c>
      <c r="ID283" t="e">
        <f>Europe!E1494+"$F;@!06#"</f>
        <v>#VALUE!</v>
      </c>
      <c r="IE283" t="e">
        <f>Europe!F1494+"$F;@!06$"</f>
        <v>#VALUE!</v>
      </c>
      <c r="IF283" t="e">
        <f>Europe!G1494+"$F;@!06%"</f>
        <v>#VALUE!</v>
      </c>
      <c r="IG283" t="e">
        <f>Europe!H1494+"$F;@!06&amp;"</f>
        <v>#VALUE!</v>
      </c>
      <c r="IH283" t="e">
        <f>Europe!A1495+"$F;@!06'"</f>
        <v>#VALUE!</v>
      </c>
      <c r="II283" t="e">
        <f>Europe!B1495+"$F;@!06("</f>
        <v>#VALUE!</v>
      </c>
      <c r="IJ283" t="e">
        <f>Europe!C1495+"$F;@!06)"</f>
        <v>#VALUE!</v>
      </c>
      <c r="IK283" t="e">
        <f>Europe!D1495+"$F;@!06."</f>
        <v>#VALUE!</v>
      </c>
      <c r="IL283" t="e">
        <f>Europe!E1495+"$F;@!06/"</f>
        <v>#VALUE!</v>
      </c>
      <c r="IM283" t="e">
        <f>Europe!F1495+"$F;@!060"</f>
        <v>#VALUE!</v>
      </c>
      <c r="IN283" t="e">
        <f>Europe!G1495+"$F;@!061"</f>
        <v>#VALUE!</v>
      </c>
      <c r="IO283" t="e">
        <f>Europe!H1495+"$F;@!062"</f>
        <v>#VALUE!</v>
      </c>
      <c r="IP283" t="e">
        <f>Europe!A1496+"$F;@!063"</f>
        <v>#VALUE!</v>
      </c>
      <c r="IQ283" t="e">
        <f>Europe!B1496+"$F;@!064"</f>
        <v>#VALUE!</v>
      </c>
      <c r="IR283" t="e">
        <f>Europe!C1496+"$F;@!065"</f>
        <v>#VALUE!</v>
      </c>
      <c r="IS283" t="e">
        <f>Europe!D1496+"$F;@!066"</f>
        <v>#VALUE!</v>
      </c>
      <c r="IT283" t="e">
        <f>Europe!E1496+"$F;@!067"</f>
        <v>#VALUE!</v>
      </c>
      <c r="IU283" t="e">
        <f>Europe!F1496+"$F;@!068"</f>
        <v>#VALUE!</v>
      </c>
      <c r="IV283" t="e">
        <f>Europe!G1496+"$F;@!069"</f>
        <v>#VALUE!</v>
      </c>
    </row>
    <row r="284" spans="6:256" x14ac:dyDescent="0.35">
      <c r="F284" t="e">
        <f>Europe!H1496+"$F;@!06:"</f>
        <v>#VALUE!</v>
      </c>
      <c r="G284" t="e">
        <f>Europe!A1497+"$F;@!06;"</f>
        <v>#VALUE!</v>
      </c>
      <c r="H284" t="e">
        <f>Europe!B1497+"$F;@!06&lt;"</f>
        <v>#VALUE!</v>
      </c>
      <c r="I284" t="e">
        <f>Europe!C1497+"$F;@!06="</f>
        <v>#VALUE!</v>
      </c>
      <c r="J284" t="e">
        <f>Europe!D1497+"$F;@!06&gt;"</f>
        <v>#VALUE!</v>
      </c>
      <c r="K284" t="e">
        <f>Europe!E1497+"$F;@!06?"</f>
        <v>#VALUE!</v>
      </c>
      <c r="L284" t="e">
        <f>Europe!F1497+"$F;@!06@"</f>
        <v>#VALUE!</v>
      </c>
      <c r="M284" t="e">
        <f>Europe!G1497+"$F;@!06A"</f>
        <v>#VALUE!</v>
      </c>
      <c r="N284" t="e">
        <f>Europe!H1497+"$F;@!06B"</f>
        <v>#VALUE!</v>
      </c>
      <c r="O284" t="e">
        <f>Europe!A1498+"$F;@!06C"</f>
        <v>#VALUE!</v>
      </c>
      <c r="P284" t="e">
        <f>Europe!B1498+"$F;@!06D"</f>
        <v>#VALUE!</v>
      </c>
      <c r="Q284" t="e">
        <f>Europe!C1498+"$F;@!06E"</f>
        <v>#VALUE!</v>
      </c>
      <c r="R284" t="e">
        <f>Europe!D1498+"$F;@!06F"</f>
        <v>#VALUE!</v>
      </c>
      <c r="S284" t="e">
        <f>Europe!E1498+"$F;@!06G"</f>
        <v>#VALUE!</v>
      </c>
      <c r="T284" t="e">
        <f>Europe!F1498+"$F;@!06H"</f>
        <v>#VALUE!</v>
      </c>
      <c r="U284" t="e">
        <f>Europe!G1498+"$F;@!06I"</f>
        <v>#VALUE!</v>
      </c>
      <c r="V284" t="e">
        <f>Europe!H1498+"$F;@!06J"</f>
        <v>#VALUE!</v>
      </c>
      <c r="W284" t="e">
        <f>Europe!A1499+"$F;@!06K"</f>
        <v>#VALUE!</v>
      </c>
      <c r="X284" t="e">
        <f>Europe!B1499+"$F;@!06L"</f>
        <v>#VALUE!</v>
      </c>
      <c r="Y284" t="e">
        <f>Europe!C1499+"$F;@!06M"</f>
        <v>#VALUE!</v>
      </c>
      <c r="Z284" t="e">
        <f>Europe!D1499+"$F;@!06N"</f>
        <v>#VALUE!</v>
      </c>
      <c r="AA284" t="e">
        <f>Europe!E1499+"$F;@!06O"</f>
        <v>#VALUE!</v>
      </c>
      <c r="AB284" t="e">
        <f>Europe!F1499+"$F;@!06P"</f>
        <v>#VALUE!</v>
      </c>
      <c r="AC284" t="e">
        <f>Europe!G1499+"$F;@!06Q"</f>
        <v>#VALUE!</v>
      </c>
      <c r="AD284" t="e">
        <f>Europe!H1499+"$F;@!06R"</f>
        <v>#VALUE!</v>
      </c>
      <c r="AE284" t="e">
        <f>Europe!A1500+"$F;@!06S"</f>
        <v>#VALUE!</v>
      </c>
      <c r="AF284" t="e">
        <f>Europe!B1500+"$F;@!06T"</f>
        <v>#VALUE!</v>
      </c>
      <c r="AG284" t="e">
        <f>Europe!C1500+"$F;@!06U"</f>
        <v>#VALUE!</v>
      </c>
      <c r="AH284" t="e">
        <f>Europe!D1500+"$F;@!06V"</f>
        <v>#VALUE!</v>
      </c>
      <c r="AI284" t="e">
        <f>Europe!E1500+"$F;@!06W"</f>
        <v>#VALUE!</v>
      </c>
      <c r="AJ284" t="e">
        <f>Europe!F1500+"$F;@!06X"</f>
        <v>#VALUE!</v>
      </c>
      <c r="AK284" t="e">
        <f>Europe!G1500+"$F;@!06Y"</f>
        <v>#VALUE!</v>
      </c>
      <c r="AL284" t="e">
        <f>Europe!H1500+"$F;@!06Z"</f>
        <v>#VALUE!</v>
      </c>
      <c r="AM284" t="e">
        <f>Europe!A1501+"$F;@!06["</f>
        <v>#VALUE!</v>
      </c>
      <c r="AN284" t="e">
        <f>Europe!B1501+"$F;@!06\"</f>
        <v>#VALUE!</v>
      </c>
      <c r="AO284" t="e">
        <f>Europe!C1501+"$F;@!06]"</f>
        <v>#VALUE!</v>
      </c>
      <c r="AP284" t="e">
        <f>Europe!D1501+"$F;@!06^"</f>
        <v>#VALUE!</v>
      </c>
      <c r="AQ284" t="e">
        <f>Europe!E1501+"$F;@!06_"</f>
        <v>#VALUE!</v>
      </c>
      <c r="AR284" t="e">
        <f>Europe!F1501+"$F;@!06`"</f>
        <v>#VALUE!</v>
      </c>
      <c r="AS284" t="e">
        <f>Europe!G1501+"$F;@!06a"</f>
        <v>#VALUE!</v>
      </c>
      <c r="AT284" t="e">
        <f>Europe!H1501+"$F;@!06b"</f>
        <v>#VALUE!</v>
      </c>
      <c r="AU284" t="e">
        <f>Europe!A1502+"$F;@!06c"</f>
        <v>#VALUE!</v>
      </c>
      <c r="AV284" t="e">
        <f>Europe!B1502+"$F;@!06d"</f>
        <v>#VALUE!</v>
      </c>
      <c r="AW284" t="e">
        <f>Europe!C1502+"$F;@!06e"</f>
        <v>#VALUE!</v>
      </c>
      <c r="AX284" t="e">
        <f>Europe!D1502+"$F;@!06f"</f>
        <v>#VALUE!</v>
      </c>
      <c r="AY284" t="e">
        <f>Europe!E1502+"$F;@!06g"</f>
        <v>#VALUE!</v>
      </c>
      <c r="AZ284" t="e">
        <f>Europe!F1502+"$F;@!06h"</f>
        <v>#VALUE!</v>
      </c>
      <c r="BA284" t="e">
        <f>Europe!G1502+"$F;@!06i"</f>
        <v>#VALUE!</v>
      </c>
      <c r="BB284" t="e">
        <f>Europe!H1502+"$F;@!06j"</f>
        <v>#VALUE!</v>
      </c>
      <c r="BC284" t="e">
        <f>Europe!A1503+"$F;@!06k"</f>
        <v>#VALUE!</v>
      </c>
      <c r="BD284" t="e">
        <f>Europe!B1503+"$F;@!06l"</f>
        <v>#VALUE!</v>
      </c>
      <c r="BE284" t="e">
        <f>Europe!C1503+"$F;@!06m"</f>
        <v>#VALUE!</v>
      </c>
      <c r="BF284" t="e">
        <f>Europe!D1503+"$F;@!06n"</f>
        <v>#VALUE!</v>
      </c>
      <c r="BG284" t="e">
        <f>Europe!E1503+"$F;@!06o"</f>
        <v>#VALUE!</v>
      </c>
      <c r="BH284" t="e">
        <f>Europe!F1503+"$F;@!06p"</f>
        <v>#VALUE!</v>
      </c>
      <c r="BI284" t="e">
        <f>Europe!G1503+"$F;@!06q"</f>
        <v>#VALUE!</v>
      </c>
      <c r="BJ284" t="e">
        <f>Europe!H1503+"$F;@!06r"</f>
        <v>#VALUE!</v>
      </c>
      <c r="BK284" t="e">
        <f>Europe!A1504+"$F;@!06s"</f>
        <v>#VALUE!</v>
      </c>
      <c r="BL284" t="e">
        <f>Europe!B1504+"$F;@!06t"</f>
        <v>#VALUE!</v>
      </c>
      <c r="BM284" t="e">
        <f>Europe!C1504+"$F;@!06u"</f>
        <v>#VALUE!</v>
      </c>
      <c r="BN284" t="e">
        <f>Europe!D1504+"$F;@!06v"</f>
        <v>#VALUE!</v>
      </c>
      <c r="BO284" t="e">
        <f>Europe!E1504+"$F;@!06w"</f>
        <v>#VALUE!</v>
      </c>
      <c r="BP284" t="e">
        <f>Europe!F1504+"$F;@!06x"</f>
        <v>#VALUE!</v>
      </c>
      <c r="BQ284" t="e">
        <f>Europe!G1504+"$F;@!06y"</f>
        <v>#VALUE!</v>
      </c>
      <c r="BR284" t="e">
        <f>Europe!H1504+"$F;@!06z"</f>
        <v>#VALUE!</v>
      </c>
      <c r="BS284" t="e">
        <f>Europe!A1505+"$F;@!06{"</f>
        <v>#VALUE!</v>
      </c>
      <c r="BT284" t="e">
        <f>Europe!B1505+"$F;@!06|"</f>
        <v>#VALUE!</v>
      </c>
      <c r="BU284" t="e">
        <f>Europe!C1505+"$F;@!06}"</f>
        <v>#VALUE!</v>
      </c>
      <c r="BV284" t="e">
        <f>Europe!D1505+"$F;@!06~"</f>
        <v>#VALUE!</v>
      </c>
      <c r="BW284" t="e">
        <f>Europe!E1505+"$F;@!07#"</f>
        <v>#VALUE!</v>
      </c>
      <c r="BX284" t="e">
        <f>Europe!F1505+"$F;@!07$"</f>
        <v>#VALUE!</v>
      </c>
      <c r="BY284" t="e">
        <f>Europe!G1505+"$F;@!07%"</f>
        <v>#VALUE!</v>
      </c>
      <c r="BZ284" t="e">
        <f>Europe!H1505+"$F;@!07&amp;"</f>
        <v>#VALUE!</v>
      </c>
      <c r="CA284" t="e">
        <f>Europe!A1506+"$F;@!07'"</f>
        <v>#VALUE!</v>
      </c>
      <c r="CB284" t="e">
        <f>Europe!B1506+"$F;@!07("</f>
        <v>#VALUE!</v>
      </c>
      <c r="CC284" t="e">
        <f>Europe!C1506+"$F;@!07)"</f>
        <v>#VALUE!</v>
      </c>
      <c r="CD284" t="e">
        <f>Europe!D1506+"$F;@!07."</f>
        <v>#VALUE!</v>
      </c>
      <c r="CE284" t="e">
        <f>Europe!E1506+"$F;@!07/"</f>
        <v>#VALUE!</v>
      </c>
      <c r="CF284" t="e">
        <f>Europe!F1506+"$F;@!070"</f>
        <v>#VALUE!</v>
      </c>
      <c r="CG284" t="e">
        <f>Europe!G1506+"$F;@!071"</f>
        <v>#VALUE!</v>
      </c>
      <c r="CH284" t="e">
        <f>Europe!H1506+"$F;@!072"</f>
        <v>#VALUE!</v>
      </c>
      <c r="CI284" t="e">
        <f>Europe!A1507+"$F;@!073"</f>
        <v>#VALUE!</v>
      </c>
      <c r="CJ284" t="e">
        <f>Europe!B1507+"$F;@!074"</f>
        <v>#VALUE!</v>
      </c>
      <c r="CK284" t="e">
        <f>Europe!C1507+"$F;@!075"</f>
        <v>#VALUE!</v>
      </c>
      <c r="CL284" t="e">
        <f>Europe!D1507+"$F;@!076"</f>
        <v>#VALUE!</v>
      </c>
      <c r="CM284" t="e">
        <f>Europe!E1507+"$F;@!077"</f>
        <v>#VALUE!</v>
      </c>
      <c r="CN284" t="e">
        <f>Europe!F1507+"$F;@!078"</f>
        <v>#VALUE!</v>
      </c>
      <c r="CO284" t="e">
        <f>Europe!G1507+"$F;@!079"</f>
        <v>#VALUE!</v>
      </c>
      <c r="CP284" t="e">
        <f>Europe!H1507+"$F;@!07:"</f>
        <v>#VALUE!</v>
      </c>
      <c r="CQ284" t="e">
        <f>Europe!A1508+"$F;@!07;"</f>
        <v>#VALUE!</v>
      </c>
      <c r="CR284" t="e">
        <f>Europe!B1508+"$F;@!07&lt;"</f>
        <v>#VALUE!</v>
      </c>
      <c r="CS284" t="e">
        <f>Europe!C1508+"$F;@!07="</f>
        <v>#VALUE!</v>
      </c>
      <c r="CT284" t="e">
        <f>Europe!D1508+"$F;@!07&gt;"</f>
        <v>#VALUE!</v>
      </c>
      <c r="CU284" t="e">
        <f>Europe!E1508+"$F;@!07?"</f>
        <v>#VALUE!</v>
      </c>
      <c r="CV284" t="e">
        <f>Europe!F1508+"$F;@!07@"</f>
        <v>#VALUE!</v>
      </c>
      <c r="CW284" t="e">
        <f>Europe!G1508+"$F;@!07A"</f>
        <v>#VALUE!</v>
      </c>
      <c r="CX284" t="e">
        <f>Europe!H1508+"$F;@!07B"</f>
        <v>#VALUE!</v>
      </c>
      <c r="CY284" t="e">
        <f>Europe!A1509+"$F;@!07C"</f>
        <v>#VALUE!</v>
      </c>
      <c r="CZ284" t="e">
        <f>Europe!B1509+"$F;@!07D"</f>
        <v>#VALUE!</v>
      </c>
      <c r="DA284" t="e">
        <f>Europe!C1509+"$F;@!07E"</f>
        <v>#VALUE!</v>
      </c>
      <c r="DB284" t="e">
        <f>Europe!D1509+"$F;@!07F"</f>
        <v>#VALUE!</v>
      </c>
      <c r="DC284" t="e">
        <f>Europe!E1509+"$F;@!07G"</f>
        <v>#VALUE!</v>
      </c>
      <c r="DD284" t="e">
        <f>Europe!F1509+"$F;@!07H"</f>
        <v>#VALUE!</v>
      </c>
      <c r="DE284" t="e">
        <f>Europe!G1509+"$F;@!07I"</f>
        <v>#VALUE!</v>
      </c>
      <c r="DF284" t="e">
        <f>Europe!H1509+"$F;@!07J"</f>
        <v>#VALUE!</v>
      </c>
      <c r="DG284" t="e">
        <f>Europe!A1510+"$F;@!07K"</f>
        <v>#VALUE!</v>
      </c>
      <c r="DH284" t="e">
        <f>Europe!B1510+"$F;@!07L"</f>
        <v>#VALUE!</v>
      </c>
      <c r="DI284" t="e">
        <f>Europe!C1510+"$F;@!07M"</f>
        <v>#VALUE!</v>
      </c>
      <c r="DJ284" t="e">
        <f>Europe!D1510+"$F;@!07N"</f>
        <v>#VALUE!</v>
      </c>
      <c r="DK284" t="e">
        <f>Europe!E1510+"$F;@!07O"</f>
        <v>#VALUE!</v>
      </c>
      <c r="DL284" t="e">
        <f>Europe!F1510+"$F;@!07P"</f>
        <v>#VALUE!</v>
      </c>
      <c r="DM284" t="e">
        <f>Europe!G1510+"$F;@!07Q"</f>
        <v>#VALUE!</v>
      </c>
      <c r="DN284" t="e">
        <f>Europe!H1510+"$F;@!07R"</f>
        <v>#VALUE!</v>
      </c>
      <c r="DO284" t="e">
        <f>Europe!A1511+"$F;@!07S"</f>
        <v>#VALUE!</v>
      </c>
      <c r="DP284" t="e">
        <f>Europe!B1511+"$F;@!07T"</f>
        <v>#VALUE!</v>
      </c>
      <c r="DQ284" t="e">
        <f>Europe!C1511+"$F;@!07U"</f>
        <v>#VALUE!</v>
      </c>
      <c r="DR284" t="e">
        <f>Europe!D1511+"$F;@!07V"</f>
        <v>#VALUE!</v>
      </c>
      <c r="DS284" t="e">
        <f>Europe!E1511+"$F;@!07W"</f>
        <v>#VALUE!</v>
      </c>
      <c r="DT284" t="e">
        <f>Europe!F1511+"$F;@!07X"</f>
        <v>#VALUE!</v>
      </c>
      <c r="DU284" t="e">
        <f>Europe!G1511+"$F;@!07Y"</f>
        <v>#VALUE!</v>
      </c>
      <c r="DV284" t="e">
        <f>Europe!H1511+"$F;@!07Z"</f>
        <v>#VALUE!</v>
      </c>
      <c r="DW284" t="e">
        <f>Europe!A1512+"$F;@!07["</f>
        <v>#VALUE!</v>
      </c>
      <c r="DX284" t="e">
        <f>Europe!B1512+"$F;@!07\"</f>
        <v>#VALUE!</v>
      </c>
      <c r="DY284" t="e">
        <f>Europe!C1512+"$F;@!07]"</f>
        <v>#VALUE!</v>
      </c>
      <c r="DZ284" t="e">
        <f>Europe!D1512+"$F;@!07^"</f>
        <v>#VALUE!</v>
      </c>
      <c r="EA284" t="e">
        <f>Europe!E1512+"$F;@!07_"</f>
        <v>#VALUE!</v>
      </c>
      <c r="EB284" t="e">
        <f>Europe!F1512+"$F;@!07`"</f>
        <v>#VALUE!</v>
      </c>
      <c r="EC284" t="e">
        <f>Europe!G1512+"$F;@!07a"</f>
        <v>#VALUE!</v>
      </c>
      <c r="ED284" t="e">
        <f>Europe!H1512+"$F;@!07b"</f>
        <v>#VALUE!</v>
      </c>
      <c r="EE284" t="e">
        <f>Europe!A1513+"$F;@!07c"</f>
        <v>#VALUE!</v>
      </c>
      <c r="EF284" t="e">
        <f>Europe!B1513+"$F;@!07d"</f>
        <v>#VALUE!</v>
      </c>
      <c r="EG284" t="e">
        <f>Europe!C1513+"$F;@!07e"</f>
        <v>#VALUE!</v>
      </c>
      <c r="EH284" t="e">
        <f>Europe!D1513+"$F;@!07f"</f>
        <v>#VALUE!</v>
      </c>
      <c r="EI284" t="e">
        <f>Europe!E1513+"$F;@!07g"</f>
        <v>#VALUE!</v>
      </c>
      <c r="EJ284" t="e">
        <f>Europe!F1513+"$F;@!07h"</f>
        <v>#VALUE!</v>
      </c>
      <c r="EK284" t="e">
        <f>Europe!G1513+"$F;@!07i"</f>
        <v>#VALUE!</v>
      </c>
      <c r="EL284" t="e">
        <f>Europe!H1513+"$F;@!07j"</f>
        <v>#VALUE!</v>
      </c>
      <c r="EM284" t="e">
        <f>Europe!A1514+"$F;@!07k"</f>
        <v>#VALUE!</v>
      </c>
      <c r="EN284" t="e">
        <f>Europe!B1514+"$F;@!07l"</f>
        <v>#VALUE!</v>
      </c>
      <c r="EO284" t="e">
        <f>Europe!C1514+"$F;@!07m"</f>
        <v>#VALUE!</v>
      </c>
      <c r="EP284" t="e">
        <f>Europe!D1514+"$F;@!07n"</f>
        <v>#VALUE!</v>
      </c>
      <c r="EQ284" t="e">
        <f>Europe!E1514+"$F;@!07o"</f>
        <v>#VALUE!</v>
      </c>
      <c r="ER284" t="e">
        <f>Europe!F1514+"$F;@!07p"</f>
        <v>#VALUE!</v>
      </c>
      <c r="ES284" t="e">
        <f>Europe!G1514+"$F;@!07q"</f>
        <v>#VALUE!</v>
      </c>
      <c r="ET284" t="e">
        <f>Europe!H1514+"$F;@!07r"</f>
        <v>#VALUE!</v>
      </c>
      <c r="EU284" t="e">
        <f>Europe!A1515+"$F;@!07s"</f>
        <v>#VALUE!</v>
      </c>
      <c r="EV284" t="e">
        <f>Europe!B1515+"$F;@!07t"</f>
        <v>#VALUE!</v>
      </c>
      <c r="EW284" t="e">
        <f>Europe!C1515+"$F;@!07u"</f>
        <v>#VALUE!</v>
      </c>
      <c r="EX284" t="e">
        <f>Europe!D1515+"$F;@!07v"</f>
        <v>#VALUE!</v>
      </c>
      <c r="EY284" t="e">
        <f>Europe!E1515+"$F;@!07w"</f>
        <v>#VALUE!</v>
      </c>
      <c r="EZ284" t="e">
        <f>Europe!F1515+"$F;@!07x"</f>
        <v>#VALUE!</v>
      </c>
      <c r="FA284" t="e">
        <f>Europe!G1515+"$F;@!07y"</f>
        <v>#VALUE!</v>
      </c>
      <c r="FB284" t="e">
        <f>Europe!H1515+"$F;@!07z"</f>
        <v>#VALUE!</v>
      </c>
      <c r="FC284" t="e">
        <f>Europe!A1516+"$F;@!07{"</f>
        <v>#VALUE!</v>
      </c>
      <c r="FD284" t="e">
        <f>Europe!B1516+"$F;@!07|"</f>
        <v>#VALUE!</v>
      </c>
      <c r="FE284" t="e">
        <f>Europe!C1516+"$F;@!07}"</f>
        <v>#VALUE!</v>
      </c>
      <c r="FF284" t="e">
        <f>Europe!D1516+"$F;@!07~"</f>
        <v>#VALUE!</v>
      </c>
      <c r="FG284" t="e">
        <f>Europe!E1516+"$F;@!08#"</f>
        <v>#VALUE!</v>
      </c>
      <c r="FH284" t="e">
        <f>Europe!F1516+"$F;@!08$"</f>
        <v>#VALUE!</v>
      </c>
      <c r="FI284" t="e">
        <f>Europe!G1516+"$F;@!08%"</f>
        <v>#VALUE!</v>
      </c>
      <c r="FJ284" t="e">
        <f>Europe!H1516+"$F;@!08&amp;"</f>
        <v>#VALUE!</v>
      </c>
      <c r="FK284" t="e">
        <f>Europe!A1517+"$F;@!08'"</f>
        <v>#VALUE!</v>
      </c>
      <c r="FL284" t="e">
        <f>Europe!B1517+"$F;@!08("</f>
        <v>#VALUE!</v>
      </c>
      <c r="FM284" t="e">
        <f>Europe!C1517+"$F;@!08)"</f>
        <v>#VALUE!</v>
      </c>
      <c r="FN284" t="e">
        <f>Europe!D1517+"$F;@!08."</f>
        <v>#VALUE!</v>
      </c>
      <c r="FO284" t="e">
        <f>Europe!E1517+"$F;@!08/"</f>
        <v>#VALUE!</v>
      </c>
      <c r="FP284" t="e">
        <f>Europe!F1517+"$F;@!080"</f>
        <v>#VALUE!</v>
      </c>
      <c r="FQ284" t="e">
        <f>Europe!G1517+"$F;@!081"</f>
        <v>#VALUE!</v>
      </c>
      <c r="FR284" t="e">
        <f>Europe!H1517+"$F;@!082"</f>
        <v>#VALUE!</v>
      </c>
      <c r="FS284" t="e">
        <f>Europe!A1518+"$F;@!083"</f>
        <v>#VALUE!</v>
      </c>
      <c r="FT284" t="e">
        <f>Europe!B1518+"$F;@!084"</f>
        <v>#VALUE!</v>
      </c>
      <c r="FU284" t="e">
        <f>Europe!C1518+"$F;@!085"</f>
        <v>#VALUE!</v>
      </c>
      <c r="FV284" t="e">
        <f>Europe!D1518+"$F;@!086"</f>
        <v>#VALUE!</v>
      </c>
      <c r="FW284" t="e">
        <f>Europe!E1518+"$F;@!087"</f>
        <v>#VALUE!</v>
      </c>
      <c r="FX284" t="e">
        <f>Europe!F1518+"$F;@!088"</f>
        <v>#VALUE!</v>
      </c>
      <c r="FY284" t="e">
        <f>Europe!G1518+"$F;@!089"</f>
        <v>#VALUE!</v>
      </c>
      <c r="FZ284" t="e">
        <f>Europe!H1518+"$F;@!08:"</f>
        <v>#VALUE!</v>
      </c>
      <c r="GA284" t="e">
        <f>Europe!A1519+"$F;@!08;"</f>
        <v>#VALUE!</v>
      </c>
      <c r="GB284" t="e">
        <f>Europe!B1519+"$F;@!08&lt;"</f>
        <v>#VALUE!</v>
      </c>
      <c r="GC284" t="e">
        <f>Europe!C1519+"$F;@!08="</f>
        <v>#VALUE!</v>
      </c>
      <c r="GD284" t="e">
        <f>Europe!D1519+"$F;@!08&gt;"</f>
        <v>#VALUE!</v>
      </c>
      <c r="GE284" t="e">
        <f>Europe!E1519+"$F;@!08?"</f>
        <v>#VALUE!</v>
      </c>
      <c r="GF284" t="e">
        <f>Europe!F1519+"$F;@!08@"</f>
        <v>#VALUE!</v>
      </c>
      <c r="GG284" t="e">
        <f>Europe!G1519+"$F;@!08A"</f>
        <v>#VALUE!</v>
      </c>
      <c r="GH284" t="e">
        <f>Europe!H1519+"$F;@!08B"</f>
        <v>#VALUE!</v>
      </c>
      <c r="GI284" t="e">
        <f>Europe!A1520+"$F;@!08C"</f>
        <v>#VALUE!</v>
      </c>
      <c r="GJ284" t="e">
        <f>Europe!B1520+"$F;@!08D"</f>
        <v>#VALUE!</v>
      </c>
      <c r="GK284" t="e">
        <f>Europe!C1520+"$F;@!08E"</f>
        <v>#VALUE!</v>
      </c>
      <c r="GL284" t="e">
        <f>Europe!D1520+"$F;@!08F"</f>
        <v>#VALUE!</v>
      </c>
      <c r="GM284" t="e">
        <f>Europe!E1520+"$F;@!08G"</f>
        <v>#VALUE!</v>
      </c>
      <c r="GN284" t="e">
        <f>Europe!F1520+"$F;@!08H"</f>
        <v>#VALUE!</v>
      </c>
      <c r="GO284" t="e">
        <f>Europe!G1520+"$F;@!08I"</f>
        <v>#VALUE!</v>
      </c>
      <c r="GP284" t="e">
        <f>Europe!H1520+"$F;@!08J"</f>
        <v>#VALUE!</v>
      </c>
      <c r="GQ284" t="e">
        <f>Europe!A1521+"$F;@!08K"</f>
        <v>#VALUE!</v>
      </c>
      <c r="GR284" t="e">
        <f>Europe!B1521+"$F;@!08L"</f>
        <v>#VALUE!</v>
      </c>
      <c r="GS284" t="e">
        <f>Europe!C1521+"$F;@!08M"</f>
        <v>#VALUE!</v>
      </c>
      <c r="GT284" t="e">
        <f>Europe!D1521+"$F;@!08N"</f>
        <v>#VALUE!</v>
      </c>
      <c r="GU284" t="e">
        <f>Europe!E1521+"$F;@!08O"</f>
        <v>#VALUE!</v>
      </c>
      <c r="GV284" t="e">
        <f>Europe!F1521+"$F;@!08P"</f>
        <v>#VALUE!</v>
      </c>
      <c r="GW284" t="e">
        <f>Europe!G1521+"$F;@!08Q"</f>
        <v>#VALUE!</v>
      </c>
      <c r="GX284" t="e">
        <f>Europe!H1521+"$F;@!08R"</f>
        <v>#VALUE!</v>
      </c>
      <c r="GY284" t="e">
        <f>Europe!A1522+"$F;@!08S"</f>
        <v>#VALUE!</v>
      </c>
      <c r="GZ284" t="e">
        <f>Europe!B1522+"$F;@!08T"</f>
        <v>#VALUE!</v>
      </c>
      <c r="HA284" t="e">
        <f>Europe!C1522+"$F;@!08U"</f>
        <v>#VALUE!</v>
      </c>
      <c r="HB284" t="e">
        <f>Europe!D1522+"$F;@!08V"</f>
        <v>#VALUE!</v>
      </c>
      <c r="HC284" t="e">
        <f>Europe!E1522+"$F;@!08W"</f>
        <v>#VALUE!</v>
      </c>
      <c r="HD284" t="e">
        <f>Europe!F1522+"$F;@!08X"</f>
        <v>#VALUE!</v>
      </c>
      <c r="HE284" t="e">
        <f>Europe!G1522+"$F;@!08Y"</f>
        <v>#VALUE!</v>
      </c>
      <c r="HF284" t="e">
        <f>Europe!H1522+"$F;@!08Z"</f>
        <v>#VALUE!</v>
      </c>
      <c r="HG284" t="e">
        <f>Europe!A1523+"$F;@!08["</f>
        <v>#VALUE!</v>
      </c>
      <c r="HH284" t="e">
        <f>Europe!B1523+"$F;@!08\"</f>
        <v>#VALUE!</v>
      </c>
      <c r="HI284" t="e">
        <f>Europe!C1523+"$F;@!08]"</f>
        <v>#VALUE!</v>
      </c>
      <c r="HJ284" t="e">
        <f>Europe!D1523+"$F;@!08^"</f>
        <v>#VALUE!</v>
      </c>
      <c r="HK284" t="e">
        <f>Europe!E1523+"$F;@!08_"</f>
        <v>#VALUE!</v>
      </c>
      <c r="HL284" t="e">
        <f>Europe!F1523+"$F;@!08`"</f>
        <v>#VALUE!</v>
      </c>
      <c r="HM284" t="e">
        <f>Europe!G1523+"$F;@!08a"</f>
        <v>#VALUE!</v>
      </c>
      <c r="HN284" t="e">
        <f>Europe!H1523+"$F;@!08b"</f>
        <v>#VALUE!</v>
      </c>
      <c r="HO284" t="e">
        <f>Europe!A1524+"$F;@!08c"</f>
        <v>#VALUE!</v>
      </c>
      <c r="HP284" t="e">
        <f>Europe!B1524+"$F;@!08d"</f>
        <v>#VALUE!</v>
      </c>
      <c r="HQ284" t="e">
        <f>Europe!C1524+"$F;@!08e"</f>
        <v>#VALUE!</v>
      </c>
      <c r="HR284" t="e">
        <f>Europe!D1524+"$F;@!08f"</f>
        <v>#VALUE!</v>
      </c>
      <c r="HS284" t="e">
        <f>Europe!E1524+"$F;@!08g"</f>
        <v>#VALUE!</v>
      </c>
      <c r="HT284" t="e">
        <f>Europe!F1524+"$F;@!08h"</f>
        <v>#VALUE!</v>
      </c>
      <c r="HU284" t="e">
        <f>Europe!G1524+"$F;@!08i"</f>
        <v>#VALUE!</v>
      </c>
      <c r="HV284" t="e">
        <f>Europe!H1524+"$F;@!08j"</f>
        <v>#VALUE!</v>
      </c>
      <c r="HW284" t="e">
        <f>Europe!A1525+"$F;@!08k"</f>
        <v>#VALUE!</v>
      </c>
      <c r="HX284" t="e">
        <f>Europe!B1525+"$F;@!08l"</f>
        <v>#VALUE!</v>
      </c>
      <c r="HY284" t="e">
        <f>Europe!C1525+"$F;@!08m"</f>
        <v>#VALUE!</v>
      </c>
      <c r="HZ284" t="e">
        <f>Europe!D1525+"$F;@!08n"</f>
        <v>#VALUE!</v>
      </c>
      <c r="IA284" t="e">
        <f>Europe!E1525+"$F;@!08o"</f>
        <v>#VALUE!</v>
      </c>
      <c r="IB284" t="e">
        <f>Europe!F1525+"$F;@!08p"</f>
        <v>#VALUE!</v>
      </c>
      <c r="IC284" t="e">
        <f>Europe!G1525+"$F;@!08q"</f>
        <v>#VALUE!</v>
      </c>
      <c r="ID284" t="e">
        <f>Europe!H1525+"$F;@!08r"</f>
        <v>#VALUE!</v>
      </c>
      <c r="IE284" t="e">
        <f>Europe!A1526+"$F;@!08s"</f>
        <v>#VALUE!</v>
      </c>
      <c r="IF284" t="e">
        <f>Europe!B1526+"$F;@!08t"</f>
        <v>#VALUE!</v>
      </c>
      <c r="IG284" t="e">
        <f>Europe!C1526+"$F;@!08u"</f>
        <v>#VALUE!</v>
      </c>
      <c r="IH284" t="e">
        <f>Europe!D1526+"$F;@!08v"</f>
        <v>#VALUE!</v>
      </c>
      <c r="II284" t="e">
        <f>Europe!E1526+"$F;@!08w"</f>
        <v>#VALUE!</v>
      </c>
      <c r="IJ284" t="e">
        <f>Europe!F1526+"$F;@!08x"</f>
        <v>#VALUE!</v>
      </c>
      <c r="IK284" t="e">
        <f>Europe!G1526+"$F;@!08y"</f>
        <v>#VALUE!</v>
      </c>
      <c r="IL284" t="e">
        <f>Europe!H1526+"$F;@!08z"</f>
        <v>#VALUE!</v>
      </c>
      <c r="IM284" t="e">
        <f>Europe!A1527+"$F;@!08{"</f>
        <v>#VALUE!</v>
      </c>
      <c r="IN284" t="e">
        <f>Europe!B1527+"$F;@!08|"</f>
        <v>#VALUE!</v>
      </c>
      <c r="IO284" t="e">
        <f>Europe!C1527+"$F;@!08}"</f>
        <v>#VALUE!</v>
      </c>
      <c r="IP284" t="e">
        <f>Europe!D1527+"$F;@!08~"</f>
        <v>#VALUE!</v>
      </c>
      <c r="IQ284" t="e">
        <f>Europe!E1527+"$F;@!09#"</f>
        <v>#VALUE!</v>
      </c>
      <c r="IR284" t="e">
        <f>Europe!F1527+"$F;@!09$"</f>
        <v>#VALUE!</v>
      </c>
      <c r="IS284" t="e">
        <f>Europe!G1527+"$F;@!09%"</f>
        <v>#VALUE!</v>
      </c>
      <c r="IT284" t="e">
        <f>Europe!H1527+"$F;@!09&amp;"</f>
        <v>#VALUE!</v>
      </c>
      <c r="IU284" t="e">
        <f>Europe!A1528+"$F;@!09'"</f>
        <v>#VALUE!</v>
      </c>
      <c r="IV284" t="e">
        <f>Europe!B1528+"$F;@!09("</f>
        <v>#VALUE!</v>
      </c>
    </row>
    <row r="285" spans="6:256" x14ac:dyDescent="0.35">
      <c r="F285" t="e">
        <f>Europe!C1528+"$F;@!09)"</f>
        <v>#VALUE!</v>
      </c>
      <c r="G285" t="e">
        <f>Europe!D1528+"$F;@!09."</f>
        <v>#VALUE!</v>
      </c>
      <c r="H285" t="e">
        <f>Europe!E1528+"$F;@!09/"</f>
        <v>#VALUE!</v>
      </c>
      <c r="I285" t="e">
        <f>Europe!F1528+"$F;@!090"</f>
        <v>#VALUE!</v>
      </c>
      <c r="J285" t="e">
        <f>Europe!G1528+"$F;@!091"</f>
        <v>#VALUE!</v>
      </c>
      <c r="K285" t="e">
        <f>Europe!H1528+"$F;@!092"</f>
        <v>#VALUE!</v>
      </c>
      <c r="L285" t="e">
        <f>Europe!A1529+"$F;@!093"</f>
        <v>#VALUE!</v>
      </c>
      <c r="M285" t="e">
        <f>Europe!B1529+"$F;@!094"</f>
        <v>#VALUE!</v>
      </c>
      <c r="N285" t="e">
        <f>Europe!C1529+"$F;@!095"</f>
        <v>#VALUE!</v>
      </c>
      <c r="O285" t="e">
        <f>Europe!D1529+"$F;@!096"</f>
        <v>#VALUE!</v>
      </c>
      <c r="P285" t="e">
        <f>Europe!E1529+"$F;@!097"</f>
        <v>#VALUE!</v>
      </c>
      <c r="Q285" t="e">
        <f>Europe!F1529+"$F;@!098"</f>
        <v>#VALUE!</v>
      </c>
      <c r="R285" t="e">
        <f>Europe!G1529+"$F;@!099"</f>
        <v>#VALUE!</v>
      </c>
      <c r="S285" t="e">
        <f>Europe!H1529+"$F;@!09:"</f>
        <v>#VALUE!</v>
      </c>
      <c r="T285" t="e">
        <f>Europe!A1530+"$F;@!09;"</f>
        <v>#VALUE!</v>
      </c>
      <c r="U285" t="e">
        <f>Europe!B1530+"$F;@!09&lt;"</f>
        <v>#VALUE!</v>
      </c>
      <c r="V285" t="e">
        <f>Europe!C1530+"$F;@!09="</f>
        <v>#VALUE!</v>
      </c>
      <c r="W285" t="e">
        <f>Europe!D1530+"$F;@!09&gt;"</f>
        <v>#VALUE!</v>
      </c>
      <c r="X285" t="e">
        <f>Europe!E1530+"$F;@!09?"</f>
        <v>#VALUE!</v>
      </c>
      <c r="Y285" t="e">
        <f>Europe!F1530+"$F;@!09@"</f>
        <v>#VALUE!</v>
      </c>
      <c r="Z285" t="e">
        <f>Europe!G1530+"$F;@!09A"</f>
        <v>#VALUE!</v>
      </c>
      <c r="AA285" t="e">
        <f>Europe!H1530+"$F;@!09B"</f>
        <v>#VALUE!</v>
      </c>
      <c r="AB285" t="e">
        <f>Europe!A1531+"$F;@!09C"</f>
        <v>#VALUE!</v>
      </c>
      <c r="AC285" t="e">
        <f>Europe!B1531+"$F;@!09D"</f>
        <v>#VALUE!</v>
      </c>
      <c r="AD285" t="e">
        <f>Europe!C1531+"$F;@!09E"</f>
        <v>#VALUE!</v>
      </c>
      <c r="AE285" t="e">
        <f>Europe!D1531+"$F;@!09F"</f>
        <v>#VALUE!</v>
      </c>
      <c r="AF285" t="e">
        <f>Europe!E1531+"$F;@!09G"</f>
        <v>#VALUE!</v>
      </c>
      <c r="AG285" t="e">
        <f>Europe!F1531+"$F;@!09H"</f>
        <v>#VALUE!</v>
      </c>
      <c r="AH285" t="e">
        <f>Europe!G1531+"$F;@!09I"</f>
        <v>#VALUE!</v>
      </c>
      <c r="AI285" t="e">
        <f>Europe!H1531+"$F;@!09J"</f>
        <v>#VALUE!</v>
      </c>
      <c r="AJ285" t="e">
        <f>Europe!A1532+"$F;@!09K"</f>
        <v>#VALUE!</v>
      </c>
      <c r="AK285" t="e">
        <f>Europe!B1532+"$F;@!09L"</f>
        <v>#VALUE!</v>
      </c>
      <c r="AL285" t="e">
        <f>Europe!C1532+"$F;@!09M"</f>
        <v>#VALUE!</v>
      </c>
      <c r="AM285" t="e">
        <f>Europe!D1532+"$F;@!09N"</f>
        <v>#VALUE!</v>
      </c>
      <c r="AN285" t="e">
        <f>Europe!E1532+"$F;@!09O"</f>
        <v>#VALUE!</v>
      </c>
      <c r="AO285" t="e">
        <f>Europe!F1532+"$F;@!09P"</f>
        <v>#VALUE!</v>
      </c>
      <c r="AP285" t="e">
        <f>Europe!G1532+"$F;@!09Q"</f>
        <v>#VALUE!</v>
      </c>
      <c r="AQ285" t="e">
        <f>Europe!H1532+"$F;@!09R"</f>
        <v>#VALUE!</v>
      </c>
      <c r="AR285" t="e">
        <f>Europe!A1533+"$F;@!09S"</f>
        <v>#VALUE!</v>
      </c>
      <c r="AS285" t="e">
        <f>Europe!B1533+"$F;@!09T"</f>
        <v>#VALUE!</v>
      </c>
      <c r="AT285" t="e">
        <f>Europe!C1533+"$F;@!09U"</f>
        <v>#VALUE!</v>
      </c>
      <c r="AU285" t="e">
        <f>Europe!D1533+"$F;@!09V"</f>
        <v>#VALUE!</v>
      </c>
      <c r="AV285" t="e">
        <f>Europe!E1533+"$F;@!09W"</f>
        <v>#VALUE!</v>
      </c>
      <c r="AW285" t="e">
        <f>Europe!F1533+"$F;@!09X"</f>
        <v>#VALUE!</v>
      </c>
      <c r="AX285" t="e">
        <f>Europe!G1533+"$F;@!09Y"</f>
        <v>#VALUE!</v>
      </c>
      <c r="AY285" t="e">
        <f>Europe!H1533+"$F;@!09Z"</f>
        <v>#VALUE!</v>
      </c>
      <c r="AZ285" t="e">
        <f>Europe!A1534+"$F;@!09["</f>
        <v>#VALUE!</v>
      </c>
      <c r="BA285" t="e">
        <f>Europe!B1534+"$F;@!09\"</f>
        <v>#VALUE!</v>
      </c>
      <c r="BB285" t="e">
        <f>Europe!C1534+"$F;@!09]"</f>
        <v>#VALUE!</v>
      </c>
      <c r="BC285" t="e">
        <f>Europe!D1534+"$F;@!09^"</f>
        <v>#VALUE!</v>
      </c>
      <c r="BD285" t="e">
        <f>Europe!E1534+"$F;@!09_"</f>
        <v>#VALUE!</v>
      </c>
      <c r="BE285" t="e">
        <f>Europe!F1534+"$F;@!09`"</f>
        <v>#VALUE!</v>
      </c>
      <c r="BF285" t="e">
        <f>Europe!G1534+"$F;@!09a"</f>
        <v>#VALUE!</v>
      </c>
      <c r="BG285" t="e">
        <f>Europe!H1534+"$F;@!09b"</f>
        <v>#VALUE!</v>
      </c>
      <c r="BH285" t="e">
        <f>Europe!A1535+"$F;@!09c"</f>
        <v>#VALUE!</v>
      </c>
      <c r="BI285" t="e">
        <f>Europe!B1535+"$F;@!09d"</f>
        <v>#VALUE!</v>
      </c>
      <c r="BJ285" t="e">
        <f>Europe!C1535+"$F;@!09e"</f>
        <v>#VALUE!</v>
      </c>
      <c r="BK285" t="e">
        <f>Europe!D1535+"$F;@!09f"</f>
        <v>#VALUE!</v>
      </c>
      <c r="BL285" t="e">
        <f>Europe!E1535+"$F;@!09g"</f>
        <v>#VALUE!</v>
      </c>
      <c r="BM285" t="e">
        <f>Europe!F1535+"$F;@!09h"</f>
        <v>#VALUE!</v>
      </c>
      <c r="BN285" t="e">
        <f>Europe!G1535+"$F;@!09i"</f>
        <v>#VALUE!</v>
      </c>
      <c r="BO285" t="e">
        <f>Europe!H1535+"$F;@!09j"</f>
        <v>#VALUE!</v>
      </c>
      <c r="BP285" t="e">
        <f>Europe!A1536+"$F;@!09k"</f>
        <v>#VALUE!</v>
      </c>
      <c r="BQ285" t="e">
        <f>Europe!B1536+"$F;@!09l"</f>
        <v>#VALUE!</v>
      </c>
      <c r="BR285" t="e">
        <f>Europe!C1536+"$F;@!09m"</f>
        <v>#VALUE!</v>
      </c>
      <c r="BS285" t="e">
        <f>Europe!D1536+"$F;@!09n"</f>
        <v>#VALUE!</v>
      </c>
      <c r="BT285" t="e">
        <f>Europe!E1536+"$F;@!09o"</f>
        <v>#VALUE!</v>
      </c>
      <c r="BU285" t="e">
        <f>Europe!F1536+"$F;@!09p"</f>
        <v>#VALUE!</v>
      </c>
      <c r="BV285" t="e">
        <f>Europe!G1536+"$F;@!09q"</f>
        <v>#VALUE!</v>
      </c>
      <c r="BW285" t="e">
        <f>Europe!H1536+"$F;@!09r"</f>
        <v>#VALUE!</v>
      </c>
      <c r="BX285" t="e">
        <f>Europe!A1537+"$F;@!09s"</f>
        <v>#VALUE!</v>
      </c>
      <c r="BY285" t="e">
        <f>Europe!B1537+"$F;@!09t"</f>
        <v>#VALUE!</v>
      </c>
      <c r="BZ285" t="e">
        <f>Europe!C1537+"$F;@!09u"</f>
        <v>#VALUE!</v>
      </c>
      <c r="CA285" t="e">
        <f>Europe!D1537+"$F;@!09v"</f>
        <v>#VALUE!</v>
      </c>
      <c r="CB285" t="e">
        <f>Europe!E1537+"$F;@!09w"</f>
        <v>#VALUE!</v>
      </c>
      <c r="CC285" t="e">
        <f>Europe!F1537+"$F;@!09x"</f>
        <v>#VALUE!</v>
      </c>
      <c r="CD285" t="e">
        <f>Europe!G1537+"$F;@!09y"</f>
        <v>#VALUE!</v>
      </c>
      <c r="CE285" t="e">
        <f>Europe!H1537+"$F;@!09z"</f>
        <v>#VALUE!</v>
      </c>
      <c r="CF285" t="e">
        <f>Europe!A1538+"$F;@!09{"</f>
        <v>#VALUE!</v>
      </c>
      <c r="CG285" t="e">
        <f>Europe!B1538+"$F;@!09|"</f>
        <v>#VALUE!</v>
      </c>
      <c r="CH285" t="e">
        <f>Europe!C1538+"$F;@!09}"</f>
        <v>#VALUE!</v>
      </c>
      <c r="CI285" t="e">
        <f>Europe!D1538+"$F;@!09~"</f>
        <v>#VALUE!</v>
      </c>
      <c r="CJ285" t="e">
        <f>Europe!E1538+"$F;@!0:#"</f>
        <v>#VALUE!</v>
      </c>
      <c r="CK285" t="e">
        <f>Europe!F1538+"$F;@!0:$"</f>
        <v>#VALUE!</v>
      </c>
      <c r="CL285" t="e">
        <f>Europe!G1538+"$F;@!0:%"</f>
        <v>#VALUE!</v>
      </c>
      <c r="CM285" t="e">
        <f>Europe!H1538+"$F;@!0:&amp;"</f>
        <v>#VALUE!</v>
      </c>
      <c r="CN285" t="e">
        <f>Europe!A1539+"$F;@!0:'"</f>
        <v>#VALUE!</v>
      </c>
      <c r="CO285" t="e">
        <f>Europe!B1539+"$F;@!0:("</f>
        <v>#VALUE!</v>
      </c>
      <c r="CP285" t="e">
        <f>Europe!C1539+"$F;@!0:)"</f>
        <v>#VALUE!</v>
      </c>
      <c r="CQ285" t="e">
        <f>Europe!D1539+"$F;@!0:."</f>
        <v>#VALUE!</v>
      </c>
      <c r="CR285" t="e">
        <f>Europe!E1539+"$F;@!0:/"</f>
        <v>#VALUE!</v>
      </c>
      <c r="CS285" t="e">
        <f>Europe!F1539+"$F;@!0:0"</f>
        <v>#VALUE!</v>
      </c>
      <c r="CT285" t="e">
        <f>Europe!G1539+"$F;@!0:1"</f>
        <v>#VALUE!</v>
      </c>
      <c r="CU285" t="e">
        <f>Europe!H1539+"$F;@!0:2"</f>
        <v>#VALUE!</v>
      </c>
      <c r="CV285" t="e">
        <f>Europe!A1540+"$F;@!0:3"</f>
        <v>#VALUE!</v>
      </c>
      <c r="CW285" t="e">
        <f>Europe!B1540+"$F;@!0:4"</f>
        <v>#VALUE!</v>
      </c>
      <c r="CX285" t="e">
        <f>Europe!C1540+"$F;@!0:5"</f>
        <v>#VALUE!</v>
      </c>
      <c r="CY285" t="e">
        <f>Europe!D1540+"$F;@!0:6"</f>
        <v>#VALUE!</v>
      </c>
      <c r="CZ285" t="e">
        <f>Europe!E1540+"$F;@!0:7"</f>
        <v>#VALUE!</v>
      </c>
      <c r="DA285" t="e">
        <f>Europe!F1540+"$F;@!0:8"</f>
        <v>#VALUE!</v>
      </c>
      <c r="DB285" t="e">
        <f>Europe!G1540+"$F;@!0:9"</f>
        <v>#VALUE!</v>
      </c>
      <c r="DC285" t="e">
        <f>Europe!H1540+"$F;@!0::"</f>
        <v>#VALUE!</v>
      </c>
      <c r="DD285" t="e">
        <f>Europe!A1541+"$F;@!0:;"</f>
        <v>#VALUE!</v>
      </c>
      <c r="DE285" t="e">
        <f>Europe!B1541+"$F;@!0:&lt;"</f>
        <v>#VALUE!</v>
      </c>
      <c r="DF285" t="e">
        <f>Europe!C1541+"$F;@!0:="</f>
        <v>#VALUE!</v>
      </c>
      <c r="DG285" t="e">
        <f>Europe!D1541+"$F;@!0:&gt;"</f>
        <v>#VALUE!</v>
      </c>
      <c r="DH285" t="e">
        <f>Europe!E1541+"$F;@!0:?"</f>
        <v>#VALUE!</v>
      </c>
      <c r="DI285" t="e">
        <f>Europe!F1541+"$F;@!0:@"</f>
        <v>#VALUE!</v>
      </c>
      <c r="DJ285" t="e">
        <f>Europe!G1541+"$F;@!0:A"</f>
        <v>#VALUE!</v>
      </c>
      <c r="DK285" t="e">
        <f>Europe!H1541+"$F;@!0:B"</f>
        <v>#VALUE!</v>
      </c>
      <c r="DL285" t="e">
        <f>Europe!A1542+"$F;@!0:C"</f>
        <v>#VALUE!</v>
      </c>
      <c r="DM285" t="e">
        <f>Europe!B1542+"$F;@!0:D"</f>
        <v>#VALUE!</v>
      </c>
      <c r="DN285" t="e">
        <f>Europe!C1542+"$F;@!0:E"</f>
        <v>#VALUE!</v>
      </c>
      <c r="DO285" t="e">
        <f>Europe!D1542+"$F;@!0:F"</f>
        <v>#VALUE!</v>
      </c>
      <c r="DP285" t="e">
        <f>Europe!E1542+"$F;@!0:G"</f>
        <v>#VALUE!</v>
      </c>
      <c r="DQ285" t="e">
        <f>Europe!F1542+"$F;@!0:H"</f>
        <v>#VALUE!</v>
      </c>
      <c r="DR285" t="e">
        <f>Europe!G1542+"$F;@!0:I"</f>
        <v>#VALUE!</v>
      </c>
      <c r="DS285" t="e">
        <f>Europe!H1542+"$F;@!0:J"</f>
        <v>#VALUE!</v>
      </c>
      <c r="DT285" t="e">
        <f>Europe!A1543+"$F;@!0:K"</f>
        <v>#VALUE!</v>
      </c>
      <c r="DU285" t="e">
        <f>Europe!B1543+"$F;@!0:L"</f>
        <v>#VALUE!</v>
      </c>
      <c r="DV285" t="e">
        <f>Europe!C1543+"$F;@!0:M"</f>
        <v>#VALUE!</v>
      </c>
      <c r="DW285" t="e">
        <f>Europe!D1543+"$F;@!0:N"</f>
        <v>#VALUE!</v>
      </c>
      <c r="DX285" t="e">
        <f>Europe!E1543+"$F;@!0:O"</f>
        <v>#VALUE!</v>
      </c>
      <c r="DY285" t="e">
        <f>Europe!F1543+"$F;@!0:P"</f>
        <v>#VALUE!</v>
      </c>
      <c r="DZ285" t="e">
        <f>Europe!G1543+"$F;@!0:Q"</f>
        <v>#VALUE!</v>
      </c>
      <c r="EA285" t="e">
        <f>Europe!H1543+"$F;@!0:R"</f>
        <v>#VALUE!</v>
      </c>
      <c r="EB285" t="e">
        <f>Europe!A1544+"$F;@!0:S"</f>
        <v>#VALUE!</v>
      </c>
      <c r="EC285" t="e">
        <f>Europe!B1544+"$F;@!0:T"</f>
        <v>#VALUE!</v>
      </c>
      <c r="ED285" t="e">
        <f>Europe!C1544+"$F;@!0:U"</f>
        <v>#VALUE!</v>
      </c>
      <c r="EE285" t="e">
        <f>Europe!D1544+"$F;@!0:V"</f>
        <v>#VALUE!</v>
      </c>
      <c r="EF285" t="e">
        <f>Europe!E1544+"$F;@!0:W"</f>
        <v>#VALUE!</v>
      </c>
      <c r="EG285" t="e">
        <f>Europe!F1544+"$F;@!0:X"</f>
        <v>#VALUE!</v>
      </c>
      <c r="EH285" t="e">
        <f>Europe!G1544+"$F;@!0:Y"</f>
        <v>#VALUE!</v>
      </c>
      <c r="EI285" t="e">
        <f>Europe!H1544+"$F;@!0:Z"</f>
        <v>#VALUE!</v>
      </c>
      <c r="EJ285" t="e">
        <f>Europe!A1545+"$F;@!0:["</f>
        <v>#VALUE!</v>
      </c>
      <c r="EK285" t="e">
        <f>Europe!B1545+"$F;@!0:\"</f>
        <v>#VALUE!</v>
      </c>
      <c r="EL285" t="e">
        <f>Europe!C1545+"$F;@!0:]"</f>
        <v>#VALUE!</v>
      </c>
      <c r="EM285" t="e">
        <f>Europe!D1545+"$F;@!0:^"</f>
        <v>#VALUE!</v>
      </c>
      <c r="EN285" t="e">
        <f>Europe!E1545+"$F;@!0:_"</f>
        <v>#VALUE!</v>
      </c>
      <c r="EO285" t="e">
        <f>Europe!F1545+"$F;@!0:`"</f>
        <v>#VALUE!</v>
      </c>
      <c r="EP285" t="e">
        <f>Europe!G1545+"$F;@!0:a"</f>
        <v>#VALUE!</v>
      </c>
      <c r="EQ285" t="e">
        <f>Europe!H1545+"$F;@!0:b"</f>
        <v>#VALUE!</v>
      </c>
      <c r="ER285" t="e">
        <f>Europe!A1546+"$F;@!0:c"</f>
        <v>#VALUE!</v>
      </c>
      <c r="ES285" t="e">
        <f>Europe!B1546+"$F;@!0:d"</f>
        <v>#VALUE!</v>
      </c>
      <c r="ET285" t="e">
        <f>Europe!C1546+"$F;@!0:e"</f>
        <v>#VALUE!</v>
      </c>
      <c r="EU285" t="e">
        <f>Europe!D1546+"$F;@!0:f"</f>
        <v>#VALUE!</v>
      </c>
      <c r="EV285" t="e">
        <f>Europe!E1546+"$F;@!0:g"</f>
        <v>#VALUE!</v>
      </c>
      <c r="EW285" t="e">
        <f>Europe!F1546+"$F;@!0:h"</f>
        <v>#VALUE!</v>
      </c>
      <c r="EX285" t="e">
        <f>Europe!G1546+"$F;@!0:i"</f>
        <v>#VALUE!</v>
      </c>
      <c r="EY285" t="e">
        <f>Europe!H1546+"$F;@!0:j"</f>
        <v>#VALUE!</v>
      </c>
      <c r="EZ285" t="e">
        <f>Europe!A1547+"$F;@!0:k"</f>
        <v>#VALUE!</v>
      </c>
      <c r="FA285" t="e">
        <f>Europe!B1547+"$F;@!0:l"</f>
        <v>#VALUE!</v>
      </c>
      <c r="FB285" t="e">
        <f>Europe!C1547+"$F;@!0:m"</f>
        <v>#VALUE!</v>
      </c>
      <c r="FC285" t="e">
        <f>Europe!D1547+"$F;@!0:n"</f>
        <v>#VALUE!</v>
      </c>
      <c r="FD285" t="e">
        <f>Europe!E1547+"$F;@!0:o"</f>
        <v>#VALUE!</v>
      </c>
      <c r="FE285" t="e">
        <f>Europe!F1547+"$F;@!0:p"</f>
        <v>#VALUE!</v>
      </c>
      <c r="FF285" t="e">
        <f>Europe!G1547+"$F;@!0:q"</f>
        <v>#VALUE!</v>
      </c>
      <c r="FG285" t="e">
        <f>Europe!H1547+"$F;@!0:r"</f>
        <v>#VALUE!</v>
      </c>
      <c r="FH285" t="e">
        <f>Europe!A1548+"$F;@!0:s"</f>
        <v>#VALUE!</v>
      </c>
      <c r="FI285" t="e">
        <f>Europe!B1548+"$F;@!0:t"</f>
        <v>#VALUE!</v>
      </c>
      <c r="FJ285" t="e">
        <f>Europe!C1548+"$F;@!0:u"</f>
        <v>#VALUE!</v>
      </c>
      <c r="FK285" t="e">
        <f>Europe!D1548+"$F;@!0:v"</f>
        <v>#VALUE!</v>
      </c>
      <c r="FL285" t="e">
        <f>Europe!E1548+"$F;@!0:w"</f>
        <v>#VALUE!</v>
      </c>
      <c r="FM285" t="e">
        <f>Europe!F1548+"$F;@!0:x"</f>
        <v>#VALUE!</v>
      </c>
      <c r="FN285" t="e">
        <f>Europe!G1548+"$F;@!0:y"</f>
        <v>#VALUE!</v>
      </c>
      <c r="FO285" t="e">
        <f>Europe!H1548+"$F;@!0:z"</f>
        <v>#VALUE!</v>
      </c>
      <c r="FP285" t="e">
        <f>Europe!A1549+"$F;@!0:{"</f>
        <v>#VALUE!</v>
      </c>
      <c r="FQ285" t="e">
        <f>Europe!B1549+"$F;@!0:|"</f>
        <v>#VALUE!</v>
      </c>
      <c r="FR285" t="e">
        <f>Europe!C1549+"$F;@!0:}"</f>
        <v>#VALUE!</v>
      </c>
      <c r="FS285" t="e">
        <f>Europe!D1549+"$F;@!0:~"</f>
        <v>#VALUE!</v>
      </c>
      <c r="FT285" t="e">
        <f>Europe!E1549+"$F;@!0;#"</f>
        <v>#VALUE!</v>
      </c>
      <c r="FU285" t="e">
        <f>Europe!F1549+"$F;@!0;$"</f>
        <v>#VALUE!</v>
      </c>
      <c r="FV285" t="e">
        <f>Europe!G1549+"$F;@!0;%"</f>
        <v>#VALUE!</v>
      </c>
      <c r="FW285" t="e">
        <f>Europe!H1549+"$F;@!0;&amp;"</f>
        <v>#VALUE!</v>
      </c>
      <c r="FX285" t="e">
        <f>Europe!A1550+"$F;@!0;'"</f>
        <v>#VALUE!</v>
      </c>
      <c r="FY285" t="e">
        <f>Europe!B1550+"$F;@!0;("</f>
        <v>#VALUE!</v>
      </c>
      <c r="FZ285" t="e">
        <f>Europe!C1550+"$F;@!0;)"</f>
        <v>#VALUE!</v>
      </c>
      <c r="GA285" t="e">
        <f>Europe!D1550+"$F;@!0;."</f>
        <v>#VALUE!</v>
      </c>
      <c r="GB285" t="e">
        <f>Europe!E1550+"$F;@!0;/"</f>
        <v>#VALUE!</v>
      </c>
      <c r="GC285" t="e">
        <f>Europe!F1550+"$F;@!0;0"</f>
        <v>#VALUE!</v>
      </c>
      <c r="GD285" t="e">
        <f>Europe!G1550+"$F;@!0;1"</f>
        <v>#VALUE!</v>
      </c>
      <c r="GE285" t="e">
        <f>Europe!H1550+"$F;@!0;2"</f>
        <v>#VALUE!</v>
      </c>
      <c r="GF285" t="e">
        <f>Europe!A1551+"$F;@!0;3"</f>
        <v>#VALUE!</v>
      </c>
      <c r="GG285" t="e">
        <f>Europe!B1551+"$F;@!0;4"</f>
        <v>#VALUE!</v>
      </c>
      <c r="GH285" t="e">
        <f>Europe!C1551+"$F;@!0;5"</f>
        <v>#VALUE!</v>
      </c>
      <c r="GI285" t="e">
        <f>Europe!D1551+"$F;@!0;6"</f>
        <v>#VALUE!</v>
      </c>
      <c r="GJ285" t="e">
        <f>Europe!E1551+"$F;@!0;7"</f>
        <v>#VALUE!</v>
      </c>
      <c r="GK285" t="e">
        <f>Europe!F1551+"$F;@!0;8"</f>
        <v>#VALUE!</v>
      </c>
      <c r="GL285" t="e">
        <f>Europe!G1551+"$F;@!0;9"</f>
        <v>#VALUE!</v>
      </c>
      <c r="GM285" t="e">
        <f>Europe!H1551+"$F;@!0;:"</f>
        <v>#VALUE!</v>
      </c>
      <c r="GN285" t="e">
        <f>Europe!A1552+"$F;@!0;;"</f>
        <v>#VALUE!</v>
      </c>
      <c r="GO285" t="e">
        <f>Europe!B1552+"$F;@!0;&lt;"</f>
        <v>#VALUE!</v>
      </c>
      <c r="GP285" t="e">
        <f>Europe!C1552+"$F;@!0;="</f>
        <v>#VALUE!</v>
      </c>
      <c r="GQ285" t="e">
        <f>Europe!D1552+"$F;@!0;&gt;"</f>
        <v>#VALUE!</v>
      </c>
      <c r="GR285" t="e">
        <f>Europe!E1552+"$F;@!0;?"</f>
        <v>#VALUE!</v>
      </c>
      <c r="GS285" t="e">
        <f>Europe!F1552+"$F;@!0;@"</f>
        <v>#VALUE!</v>
      </c>
      <c r="GT285" t="e">
        <f>Europe!G1552+"$F;@!0;A"</f>
        <v>#VALUE!</v>
      </c>
      <c r="GU285" t="e">
        <f>Europe!H1552+"$F;@!0;B"</f>
        <v>#VALUE!</v>
      </c>
      <c r="GV285" t="e">
        <f>Europe!A1553+"$F;@!0;C"</f>
        <v>#VALUE!</v>
      </c>
      <c r="GW285" t="e">
        <f>Europe!B1553+"$F;@!0;D"</f>
        <v>#VALUE!</v>
      </c>
      <c r="GX285" t="e">
        <f>Europe!C1553+"$F;@!0;E"</f>
        <v>#VALUE!</v>
      </c>
      <c r="GY285" t="e">
        <f>Europe!D1553+"$F;@!0;F"</f>
        <v>#VALUE!</v>
      </c>
      <c r="GZ285" t="e">
        <f>Europe!E1553+"$F;@!0;G"</f>
        <v>#VALUE!</v>
      </c>
      <c r="HA285" t="e">
        <f>Europe!F1553+"$F;@!0;H"</f>
        <v>#VALUE!</v>
      </c>
      <c r="HB285" t="e">
        <f>Europe!G1553+"$F;@!0;I"</f>
        <v>#VALUE!</v>
      </c>
      <c r="HC285" t="e">
        <f>Europe!H1553+"$F;@!0;J"</f>
        <v>#VALUE!</v>
      </c>
      <c r="HD285" t="e">
        <f>Europe!A1554+"$F;@!0;K"</f>
        <v>#VALUE!</v>
      </c>
      <c r="HE285" t="e">
        <f>Europe!B1554+"$F;@!0;L"</f>
        <v>#VALUE!</v>
      </c>
      <c r="HF285" t="e">
        <f>Europe!C1554+"$F;@!0;M"</f>
        <v>#VALUE!</v>
      </c>
      <c r="HG285" t="e">
        <f>Europe!D1554+"$F;@!0;N"</f>
        <v>#VALUE!</v>
      </c>
      <c r="HH285" t="e">
        <f>Europe!E1554+"$F;@!0;O"</f>
        <v>#VALUE!</v>
      </c>
      <c r="HI285" t="e">
        <f>Europe!F1554+"$F;@!0;P"</f>
        <v>#VALUE!</v>
      </c>
      <c r="HJ285" t="e">
        <f>Europe!G1554+"$F;@!0;Q"</f>
        <v>#VALUE!</v>
      </c>
      <c r="HK285" t="e">
        <f>Europe!H1554+"$F;@!0;R"</f>
        <v>#VALUE!</v>
      </c>
      <c r="HL285" t="e">
        <f>Europe!A1555+"$F;@!0;S"</f>
        <v>#VALUE!</v>
      </c>
      <c r="HM285" t="e">
        <f>Europe!B1555+"$F;@!0;T"</f>
        <v>#VALUE!</v>
      </c>
      <c r="HN285" t="e">
        <f>Europe!C1555+"$F;@!0;U"</f>
        <v>#VALUE!</v>
      </c>
      <c r="HO285" t="e">
        <f>Europe!D1555+"$F;@!0;V"</f>
        <v>#VALUE!</v>
      </c>
      <c r="HP285" t="e">
        <f>Europe!E1555+"$F;@!0;W"</f>
        <v>#VALUE!</v>
      </c>
      <c r="HQ285" t="e">
        <f>Europe!F1555+"$F;@!0;X"</f>
        <v>#VALUE!</v>
      </c>
      <c r="HR285" t="e">
        <f>Europe!G1555+"$F;@!0;Y"</f>
        <v>#VALUE!</v>
      </c>
      <c r="HS285" t="e">
        <f>Europe!H1555+"$F;@!0;Z"</f>
        <v>#VALUE!</v>
      </c>
      <c r="HT285" t="e">
        <f>Europe!A1556+"$F;@!0;["</f>
        <v>#VALUE!</v>
      </c>
      <c r="HU285" t="e">
        <f>Europe!B1556+"$F;@!0;\"</f>
        <v>#VALUE!</v>
      </c>
      <c r="HV285" t="e">
        <f>Europe!C1556+"$F;@!0;]"</f>
        <v>#VALUE!</v>
      </c>
      <c r="HW285" t="e">
        <f>Europe!D1556+"$F;@!0;^"</f>
        <v>#VALUE!</v>
      </c>
      <c r="HX285" t="e">
        <f>Europe!E1556+"$F;@!0;_"</f>
        <v>#VALUE!</v>
      </c>
      <c r="HY285" t="e">
        <f>Europe!F1556+"$F;@!0;`"</f>
        <v>#VALUE!</v>
      </c>
      <c r="HZ285" t="e">
        <f>Europe!G1556+"$F;@!0;a"</f>
        <v>#VALUE!</v>
      </c>
      <c r="IA285" t="e">
        <f>Europe!H1556+"$F;@!0;b"</f>
        <v>#VALUE!</v>
      </c>
      <c r="IB285" t="e">
        <f>Europe!A1557+"$F;@!0;c"</f>
        <v>#VALUE!</v>
      </c>
      <c r="IC285" t="e">
        <f>Europe!B1557+"$F;@!0;d"</f>
        <v>#VALUE!</v>
      </c>
      <c r="ID285" t="e">
        <f>Europe!C1557+"$F;@!0;e"</f>
        <v>#VALUE!</v>
      </c>
      <c r="IE285" t="e">
        <f>Europe!D1557+"$F;@!0;f"</f>
        <v>#VALUE!</v>
      </c>
      <c r="IF285" t="e">
        <f>Europe!E1557+"$F;@!0;g"</f>
        <v>#VALUE!</v>
      </c>
      <c r="IG285" t="e">
        <f>Europe!F1557+"$F;@!0;h"</f>
        <v>#VALUE!</v>
      </c>
      <c r="IH285" t="e">
        <f>Europe!G1557+"$F;@!0;i"</f>
        <v>#VALUE!</v>
      </c>
      <c r="II285" t="e">
        <f>Europe!H1557+"$F;@!0;j"</f>
        <v>#VALUE!</v>
      </c>
      <c r="IJ285" t="e">
        <f>Europe!A1558+"$F;@!0;k"</f>
        <v>#VALUE!</v>
      </c>
      <c r="IK285" t="e">
        <f>Europe!B1558+"$F;@!0;l"</f>
        <v>#VALUE!</v>
      </c>
      <c r="IL285" t="e">
        <f>Europe!C1558+"$F;@!0;m"</f>
        <v>#VALUE!</v>
      </c>
      <c r="IM285" t="e">
        <f>Europe!D1558+"$F;@!0;n"</f>
        <v>#VALUE!</v>
      </c>
      <c r="IN285" t="e">
        <f>Europe!E1558+"$F;@!0;o"</f>
        <v>#VALUE!</v>
      </c>
      <c r="IO285" t="e">
        <f>Europe!F1558+"$F;@!0;p"</f>
        <v>#VALUE!</v>
      </c>
      <c r="IP285" t="e">
        <f>Europe!G1558+"$F;@!0;q"</f>
        <v>#VALUE!</v>
      </c>
      <c r="IQ285" t="e">
        <f>Europe!H1558+"$F;@!0;r"</f>
        <v>#VALUE!</v>
      </c>
      <c r="IR285" t="e">
        <f>Europe!A1559+"$F;@!0;s"</f>
        <v>#VALUE!</v>
      </c>
      <c r="IS285" t="e">
        <f>Europe!B1559+"$F;@!0;t"</f>
        <v>#VALUE!</v>
      </c>
      <c r="IT285" t="e">
        <f>Europe!C1559+"$F;@!0;u"</f>
        <v>#VALUE!</v>
      </c>
      <c r="IU285" t="e">
        <f>Europe!D1559+"$F;@!0;v"</f>
        <v>#VALUE!</v>
      </c>
      <c r="IV285" t="e">
        <f>Europe!E1559+"$F;@!0;w"</f>
        <v>#VALUE!</v>
      </c>
    </row>
    <row r="286" spans="6:256" x14ac:dyDescent="0.35">
      <c r="F286" t="e">
        <f>Europe!F1559+"$F;@!0;x"</f>
        <v>#VALUE!</v>
      </c>
      <c r="G286" t="e">
        <f>Europe!G1559+"$F;@!0;y"</f>
        <v>#VALUE!</v>
      </c>
      <c r="H286" t="e">
        <f>Europe!H1559+"$F;@!0;z"</f>
        <v>#VALUE!</v>
      </c>
      <c r="I286" t="e">
        <f>Europe!A1560+"$F;@!0;{"</f>
        <v>#VALUE!</v>
      </c>
      <c r="J286" t="e">
        <f>Europe!B1560+"$F;@!0;|"</f>
        <v>#VALUE!</v>
      </c>
      <c r="K286" t="e">
        <f>Europe!C1560+"$F;@!0;}"</f>
        <v>#VALUE!</v>
      </c>
      <c r="L286" t="e">
        <f>Europe!D1560+"$F;@!0;~"</f>
        <v>#VALUE!</v>
      </c>
      <c r="M286" t="e">
        <f>Europe!E1560+"$F;@!0&lt;#"</f>
        <v>#VALUE!</v>
      </c>
      <c r="N286" t="e">
        <f>Europe!F1560+"$F;@!0&lt;$"</f>
        <v>#VALUE!</v>
      </c>
      <c r="O286" t="e">
        <f>Europe!G1560+"$F;@!0&lt;%"</f>
        <v>#VALUE!</v>
      </c>
      <c r="P286" t="e">
        <f>Europe!H1560+"$F;@!0&lt;&amp;"</f>
        <v>#VALUE!</v>
      </c>
      <c r="Q286" t="e">
        <f>Europe!A1561+"$F;@!0&lt;'"</f>
        <v>#VALUE!</v>
      </c>
      <c r="R286" t="e">
        <f>Europe!B1561+"$F;@!0&lt;("</f>
        <v>#VALUE!</v>
      </c>
      <c r="S286" t="e">
        <f>Europe!C1561+"$F;@!0&lt;)"</f>
        <v>#VALUE!</v>
      </c>
      <c r="T286" t="e">
        <f>Europe!D1561+"$F;@!0&lt;."</f>
        <v>#VALUE!</v>
      </c>
      <c r="U286" t="e">
        <f>Europe!E1561+"$F;@!0&lt;/"</f>
        <v>#VALUE!</v>
      </c>
      <c r="V286" t="e">
        <f>Europe!F1561+"$F;@!0&lt;0"</f>
        <v>#VALUE!</v>
      </c>
      <c r="W286" t="e">
        <f>Europe!G1561+"$F;@!0&lt;1"</f>
        <v>#VALUE!</v>
      </c>
      <c r="X286" t="e">
        <f>Europe!H1561+"$F;@!0&lt;2"</f>
        <v>#VALUE!</v>
      </c>
      <c r="Y286" t="e">
        <f>Europe!A1562+"$F;@!0&lt;3"</f>
        <v>#VALUE!</v>
      </c>
      <c r="Z286" t="e">
        <f>Europe!B1562+"$F;@!0&lt;4"</f>
        <v>#VALUE!</v>
      </c>
      <c r="AA286" t="e">
        <f>Europe!C1562+"$F;@!0&lt;5"</f>
        <v>#VALUE!</v>
      </c>
      <c r="AB286" t="e">
        <f>Europe!D1562+"$F;@!0&lt;6"</f>
        <v>#VALUE!</v>
      </c>
      <c r="AC286" t="e">
        <f>Europe!E1562+"$F;@!0&lt;7"</f>
        <v>#VALUE!</v>
      </c>
      <c r="AD286" t="e">
        <f>Europe!F1562+"$F;@!0&lt;8"</f>
        <v>#VALUE!</v>
      </c>
      <c r="AE286" t="e">
        <f>Europe!G1562+"$F;@!0&lt;9"</f>
        <v>#VALUE!</v>
      </c>
      <c r="AF286" t="e">
        <f>Europe!H1562+"$F;@!0&lt;:"</f>
        <v>#VALUE!</v>
      </c>
      <c r="AG286" t="e">
        <f>Europe!A1563+"$F;@!0&lt;;"</f>
        <v>#VALUE!</v>
      </c>
      <c r="AH286" t="e">
        <f>Europe!B1563+"$F;@!0&lt;&lt;"</f>
        <v>#VALUE!</v>
      </c>
      <c r="AI286" t="e">
        <f>Europe!C1563+"$F;@!0&lt;="</f>
        <v>#VALUE!</v>
      </c>
      <c r="AJ286" t="e">
        <f>Europe!D1563+"$F;@!0&lt;&gt;"</f>
        <v>#VALUE!</v>
      </c>
      <c r="AK286" t="e">
        <f>Europe!E1563+"$F;@!0&lt;?"</f>
        <v>#VALUE!</v>
      </c>
      <c r="AL286" t="e">
        <f>Europe!F1563+"$F;@!0&lt;@"</f>
        <v>#VALUE!</v>
      </c>
      <c r="AM286" t="e">
        <f>Europe!G1563+"$F;@!0&lt;A"</f>
        <v>#VALUE!</v>
      </c>
      <c r="AN286" t="e">
        <f>Europe!H1563+"$F;@!0&lt;B"</f>
        <v>#VALUE!</v>
      </c>
      <c r="AO286" t="e">
        <f>Europe!A1564+"$F;@!0&lt;C"</f>
        <v>#VALUE!</v>
      </c>
      <c r="AP286" t="e">
        <f>Europe!B1564+"$F;@!0&lt;D"</f>
        <v>#VALUE!</v>
      </c>
      <c r="AQ286" t="e">
        <f>Europe!C1564+"$F;@!0&lt;E"</f>
        <v>#VALUE!</v>
      </c>
      <c r="AR286" t="e">
        <f>Europe!D1564+"$F;@!0&lt;F"</f>
        <v>#VALUE!</v>
      </c>
      <c r="AS286" t="e">
        <f>Europe!E1564+"$F;@!0&lt;G"</f>
        <v>#VALUE!</v>
      </c>
      <c r="AT286" t="e">
        <f>Europe!F1564+"$F;@!0&lt;H"</f>
        <v>#VALUE!</v>
      </c>
      <c r="AU286" t="e">
        <f>Europe!G1564+"$F;@!0&lt;I"</f>
        <v>#VALUE!</v>
      </c>
      <c r="AV286" t="e">
        <f>Europe!H1564+"$F;@!0&lt;J"</f>
        <v>#VALUE!</v>
      </c>
      <c r="AW286" t="e">
        <f>Europe!A1565+"$F;@!0&lt;K"</f>
        <v>#VALUE!</v>
      </c>
      <c r="AX286" t="e">
        <f>Europe!B1565+"$F;@!0&lt;L"</f>
        <v>#VALUE!</v>
      </c>
      <c r="AY286" t="e">
        <f>Europe!C1565+"$F;@!0&lt;M"</f>
        <v>#VALUE!</v>
      </c>
      <c r="AZ286" t="e">
        <f>Europe!D1565+"$F;@!0&lt;N"</f>
        <v>#VALUE!</v>
      </c>
      <c r="BA286" t="e">
        <f>Europe!E1565+"$F;@!0&lt;O"</f>
        <v>#VALUE!</v>
      </c>
      <c r="BB286" t="e">
        <f>Europe!F1565+"$F;@!0&lt;P"</f>
        <v>#VALUE!</v>
      </c>
      <c r="BC286" t="e">
        <f>Europe!G1565+"$F;@!0&lt;Q"</f>
        <v>#VALUE!</v>
      </c>
      <c r="BD286" t="e">
        <f>Europe!H1565+"$F;@!0&lt;R"</f>
        <v>#VALUE!</v>
      </c>
      <c r="BE286" t="e">
        <f>Europe!A1566+"$F;@!0&lt;S"</f>
        <v>#VALUE!</v>
      </c>
      <c r="BF286" t="e">
        <f>Europe!B1566+"$F;@!0&lt;T"</f>
        <v>#VALUE!</v>
      </c>
      <c r="BG286" t="e">
        <f>Europe!C1566+"$F;@!0&lt;U"</f>
        <v>#VALUE!</v>
      </c>
      <c r="BH286" t="e">
        <f>Europe!D1566+"$F;@!0&lt;V"</f>
        <v>#VALUE!</v>
      </c>
      <c r="BI286" t="e">
        <f>Europe!E1566+"$F;@!0&lt;W"</f>
        <v>#VALUE!</v>
      </c>
      <c r="BJ286" t="e">
        <f>Europe!F1566+"$F;@!0&lt;X"</f>
        <v>#VALUE!</v>
      </c>
      <c r="BK286" t="e">
        <f>Europe!G1566+"$F;@!0&lt;Y"</f>
        <v>#VALUE!</v>
      </c>
      <c r="BL286" t="e">
        <f>Europe!H1566+"$F;@!0&lt;Z"</f>
        <v>#VALUE!</v>
      </c>
      <c r="BM286" t="e">
        <f>Europe!A1567+"$F;@!0&lt;["</f>
        <v>#VALUE!</v>
      </c>
      <c r="BN286" t="e">
        <f>Europe!B1567+"$F;@!0&lt;\"</f>
        <v>#VALUE!</v>
      </c>
      <c r="BO286" t="e">
        <f>Europe!C1567+"$F;@!0&lt;]"</f>
        <v>#VALUE!</v>
      </c>
      <c r="BP286" t="e">
        <f>Europe!D1567+"$F;@!0&lt;^"</f>
        <v>#VALUE!</v>
      </c>
      <c r="BQ286" t="e">
        <f>Europe!E1567+"$F;@!0&lt;_"</f>
        <v>#VALUE!</v>
      </c>
      <c r="BR286" t="e">
        <f>Europe!F1567+"$F;@!0&lt;`"</f>
        <v>#VALUE!</v>
      </c>
      <c r="BS286" t="e">
        <f>Europe!G1567+"$F;@!0&lt;a"</f>
        <v>#VALUE!</v>
      </c>
      <c r="BT286" t="e">
        <f>Europe!H1567+"$F;@!0&lt;b"</f>
        <v>#VALUE!</v>
      </c>
      <c r="BU286" t="e">
        <f>Europe!A1568+"$F;@!0&lt;c"</f>
        <v>#VALUE!</v>
      </c>
      <c r="BV286" t="e">
        <f>Europe!B1568+"$F;@!0&lt;d"</f>
        <v>#VALUE!</v>
      </c>
      <c r="BW286" t="e">
        <f>Europe!C1568+"$F;@!0&lt;e"</f>
        <v>#VALUE!</v>
      </c>
      <c r="BX286" t="e">
        <f>Europe!D1568+"$F;@!0&lt;f"</f>
        <v>#VALUE!</v>
      </c>
      <c r="BY286" t="e">
        <f>Europe!E1568+"$F;@!0&lt;g"</f>
        <v>#VALUE!</v>
      </c>
      <c r="BZ286" t="e">
        <f>Europe!F1568+"$F;@!0&lt;h"</f>
        <v>#VALUE!</v>
      </c>
      <c r="CA286" t="e">
        <f>Europe!G1568+"$F;@!0&lt;i"</f>
        <v>#VALUE!</v>
      </c>
      <c r="CB286" t="e">
        <f>Europe!H1568+"$F;@!0&lt;j"</f>
        <v>#VALUE!</v>
      </c>
      <c r="CC286" t="e">
        <f>Europe!A1569+"$F;@!0&lt;k"</f>
        <v>#VALUE!</v>
      </c>
      <c r="CD286" t="e">
        <f>Europe!B1569+"$F;@!0&lt;l"</f>
        <v>#VALUE!</v>
      </c>
      <c r="CE286" t="e">
        <f>Europe!C1569+"$F;@!0&lt;m"</f>
        <v>#VALUE!</v>
      </c>
      <c r="CF286" t="e">
        <f>Europe!D1569+"$F;@!0&lt;n"</f>
        <v>#VALUE!</v>
      </c>
      <c r="CG286" t="e">
        <f>Europe!E1569+"$F;@!0&lt;o"</f>
        <v>#VALUE!</v>
      </c>
      <c r="CH286" t="e">
        <f>Europe!F1569+"$F;@!0&lt;p"</f>
        <v>#VALUE!</v>
      </c>
      <c r="CI286" t="e">
        <f>Europe!G1569+"$F;@!0&lt;q"</f>
        <v>#VALUE!</v>
      </c>
      <c r="CJ286" t="e">
        <f>Europe!H1569+"$F;@!0&lt;r"</f>
        <v>#VALUE!</v>
      </c>
      <c r="CK286" t="e">
        <f>Europe!A1570+"$F;@!0&lt;s"</f>
        <v>#VALUE!</v>
      </c>
      <c r="CL286" t="e">
        <f>Europe!B1570+"$F;@!0&lt;t"</f>
        <v>#VALUE!</v>
      </c>
      <c r="CM286" t="e">
        <f>Europe!C1570+"$F;@!0&lt;u"</f>
        <v>#VALUE!</v>
      </c>
      <c r="CN286" t="e">
        <f>Europe!D1570+"$F;@!0&lt;v"</f>
        <v>#VALUE!</v>
      </c>
      <c r="CO286" t="e">
        <f>Europe!E1570+"$F;@!0&lt;w"</f>
        <v>#VALUE!</v>
      </c>
      <c r="CP286" t="e">
        <f>Europe!F1570+"$F;@!0&lt;x"</f>
        <v>#VALUE!</v>
      </c>
      <c r="CQ286" t="e">
        <f>Europe!G1570+"$F;@!0&lt;y"</f>
        <v>#VALUE!</v>
      </c>
      <c r="CR286" t="e">
        <f>Europe!H1570+"$F;@!0&lt;z"</f>
        <v>#VALUE!</v>
      </c>
      <c r="CS286" t="e">
        <f>Europe!A1571+"$F;@!0&lt;{"</f>
        <v>#VALUE!</v>
      </c>
      <c r="CT286" t="e">
        <f>Europe!B1571+"$F;@!0&lt;|"</f>
        <v>#VALUE!</v>
      </c>
      <c r="CU286" t="e">
        <f>Europe!C1571+"$F;@!0&lt;}"</f>
        <v>#VALUE!</v>
      </c>
      <c r="CV286" t="e">
        <f>Europe!D1571+"$F;@!0&lt;~"</f>
        <v>#VALUE!</v>
      </c>
      <c r="CW286" t="e">
        <f>Europe!E1571+"$F;@!0=#"</f>
        <v>#VALUE!</v>
      </c>
      <c r="CX286" t="e">
        <f>Europe!F1571+"$F;@!0=$"</f>
        <v>#VALUE!</v>
      </c>
      <c r="CY286" t="e">
        <f>Europe!G1571+"$F;@!0=%"</f>
        <v>#VALUE!</v>
      </c>
      <c r="CZ286" t="e">
        <f>Europe!H1571+"$F;@!0=&amp;"</f>
        <v>#VALUE!</v>
      </c>
      <c r="DA286" t="e">
        <f>Europe!A1572+"$F;@!0='"</f>
        <v>#VALUE!</v>
      </c>
      <c r="DB286" t="e">
        <f>Europe!B1572+"$F;@!0=("</f>
        <v>#VALUE!</v>
      </c>
      <c r="DC286" t="e">
        <f>Europe!C1572+"$F;@!0=)"</f>
        <v>#VALUE!</v>
      </c>
      <c r="DD286" t="e">
        <f>Europe!D1572+"$F;@!0=."</f>
        <v>#VALUE!</v>
      </c>
      <c r="DE286" t="e">
        <f>Europe!E1572+"$F;@!0=/"</f>
        <v>#VALUE!</v>
      </c>
      <c r="DF286" t="e">
        <f>Europe!F1572+"$F;@!0=0"</f>
        <v>#VALUE!</v>
      </c>
      <c r="DG286" t="e">
        <f>Europe!G1572+"$F;@!0=1"</f>
        <v>#VALUE!</v>
      </c>
      <c r="DH286" t="e">
        <f>Europe!H1572+"$F;@!0=2"</f>
        <v>#VALUE!</v>
      </c>
      <c r="DI286" t="e">
        <f>Europe!A1573+"$F;@!0=3"</f>
        <v>#VALUE!</v>
      </c>
      <c r="DJ286" t="e">
        <f>Europe!B1573+"$F;@!0=4"</f>
        <v>#VALUE!</v>
      </c>
      <c r="DK286" t="e">
        <f>Europe!C1573+"$F;@!0=5"</f>
        <v>#VALUE!</v>
      </c>
      <c r="DL286" t="e">
        <f>Europe!D1573+"$F;@!0=6"</f>
        <v>#VALUE!</v>
      </c>
      <c r="DM286" t="e">
        <f>Europe!E1573+"$F;@!0=7"</f>
        <v>#VALUE!</v>
      </c>
      <c r="DN286" t="e">
        <f>Europe!F1573+"$F;@!0=8"</f>
        <v>#VALUE!</v>
      </c>
      <c r="DO286" t="e">
        <f>Europe!G1573+"$F;@!0=9"</f>
        <v>#VALUE!</v>
      </c>
      <c r="DP286" t="e">
        <f>Europe!H1573+"$F;@!0=:"</f>
        <v>#VALUE!</v>
      </c>
      <c r="DQ286" t="e">
        <f>Europe!A1574+"$F;@!0=;"</f>
        <v>#VALUE!</v>
      </c>
      <c r="DR286" t="e">
        <f>Europe!B1574+"$F;@!0=&lt;"</f>
        <v>#VALUE!</v>
      </c>
      <c r="DS286" t="e">
        <f>Europe!C1574+"$F;@!0=="</f>
        <v>#VALUE!</v>
      </c>
      <c r="DT286" t="e">
        <f>Europe!D1574+"$F;@!0=&gt;"</f>
        <v>#VALUE!</v>
      </c>
      <c r="DU286" t="e">
        <f>Europe!E1574+"$F;@!0=?"</f>
        <v>#VALUE!</v>
      </c>
      <c r="DV286" t="e">
        <f>Europe!F1574+"$F;@!0=@"</f>
        <v>#VALUE!</v>
      </c>
      <c r="DW286" t="e">
        <f>Europe!G1574+"$F;@!0=A"</f>
        <v>#VALUE!</v>
      </c>
      <c r="DX286" t="e">
        <f>Europe!H1574+"$F;@!0=B"</f>
        <v>#VALUE!</v>
      </c>
      <c r="DY286" t="e">
        <f>Europe!A1575+"$F;@!0=C"</f>
        <v>#VALUE!</v>
      </c>
      <c r="DZ286" t="e">
        <f>Europe!B1575+"$F;@!0=D"</f>
        <v>#VALUE!</v>
      </c>
      <c r="EA286" t="e">
        <f>Europe!C1575+"$F;@!0=E"</f>
        <v>#VALUE!</v>
      </c>
      <c r="EB286" t="e">
        <f>Europe!D1575+"$F;@!0=F"</f>
        <v>#VALUE!</v>
      </c>
      <c r="EC286" t="e">
        <f>Europe!E1575+"$F;@!0=G"</f>
        <v>#VALUE!</v>
      </c>
      <c r="ED286" t="e">
        <f>Europe!F1575+"$F;@!0=H"</f>
        <v>#VALUE!</v>
      </c>
      <c r="EE286" t="e">
        <f>Europe!G1575+"$F;@!0=I"</f>
        <v>#VALUE!</v>
      </c>
      <c r="EF286" t="e">
        <f>Europe!H1575+"$F;@!0=J"</f>
        <v>#VALUE!</v>
      </c>
      <c r="EG286" t="e">
        <f>Europe!A1576+"$F;@!0=K"</f>
        <v>#VALUE!</v>
      </c>
      <c r="EH286" t="e">
        <f>Europe!B1576+"$F;@!0=L"</f>
        <v>#VALUE!</v>
      </c>
      <c r="EI286" t="e">
        <f>Europe!C1576+"$F;@!0=M"</f>
        <v>#VALUE!</v>
      </c>
      <c r="EJ286" t="e">
        <f>Europe!D1576+"$F;@!0=N"</f>
        <v>#VALUE!</v>
      </c>
      <c r="EK286" t="e">
        <f>Europe!E1576+"$F;@!0=O"</f>
        <v>#VALUE!</v>
      </c>
      <c r="EL286" t="e">
        <f>Europe!F1576+"$F;@!0=P"</f>
        <v>#VALUE!</v>
      </c>
      <c r="EM286" t="e">
        <f>Europe!G1576+"$F;@!0=Q"</f>
        <v>#VALUE!</v>
      </c>
      <c r="EN286" t="e">
        <f>Europe!H1576+"$F;@!0=R"</f>
        <v>#VALUE!</v>
      </c>
      <c r="EO286" t="e">
        <f>Europe!A1577+"$F;@!0=S"</f>
        <v>#VALUE!</v>
      </c>
      <c r="EP286" t="e">
        <f>Europe!B1577+"$F;@!0=T"</f>
        <v>#VALUE!</v>
      </c>
      <c r="EQ286" t="e">
        <f>Europe!C1577+"$F;@!0=U"</f>
        <v>#VALUE!</v>
      </c>
      <c r="ER286" t="e">
        <f>Europe!D1577+"$F;@!0=V"</f>
        <v>#VALUE!</v>
      </c>
      <c r="ES286" t="e">
        <f>Europe!E1577+"$F;@!0=W"</f>
        <v>#VALUE!</v>
      </c>
      <c r="ET286" t="e">
        <f>Europe!F1577+"$F;@!0=X"</f>
        <v>#VALUE!</v>
      </c>
      <c r="EU286" t="e">
        <f>Europe!G1577+"$F;@!0=Y"</f>
        <v>#VALUE!</v>
      </c>
      <c r="EV286" t="e">
        <f>Europe!H1577+"$F;@!0=Z"</f>
        <v>#VALUE!</v>
      </c>
      <c r="EW286" t="e">
        <f>Europe!A1578+"$F;@!0=["</f>
        <v>#VALUE!</v>
      </c>
      <c r="EX286" t="e">
        <f>Europe!B1578+"$F;@!0=\"</f>
        <v>#VALUE!</v>
      </c>
      <c r="EY286" t="e">
        <f>Europe!C1578+"$F;@!0=]"</f>
        <v>#VALUE!</v>
      </c>
      <c r="EZ286" t="e">
        <f>Europe!D1578+"$F;@!0=^"</f>
        <v>#VALUE!</v>
      </c>
      <c r="FA286" t="e">
        <f>Europe!E1578+"$F;@!0=_"</f>
        <v>#VALUE!</v>
      </c>
      <c r="FB286" t="e">
        <f>Europe!F1578+"$F;@!0=`"</f>
        <v>#VALUE!</v>
      </c>
      <c r="FC286" t="e">
        <f>Europe!G1578+"$F;@!0=a"</f>
        <v>#VALUE!</v>
      </c>
      <c r="FD286" t="e">
        <f>Europe!H1578+"$F;@!0=b"</f>
        <v>#VALUE!</v>
      </c>
      <c r="FE286" t="e">
        <f>Europe!A1579+"$F;@!0=c"</f>
        <v>#VALUE!</v>
      </c>
      <c r="FF286" t="e">
        <f>Europe!B1579+"$F;@!0=d"</f>
        <v>#VALUE!</v>
      </c>
      <c r="FG286" t="e">
        <f>Europe!C1579+"$F;@!0=e"</f>
        <v>#VALUE!</v>
      </c>
      <c r="FH286" t="e">
        <f>Europe!D1579+"$F;@!0=f"</f>
        <v>#VALUE!</v>
      </c>
      <c r="FI286" t="e">
        <f>Europe!E1579+"$F;@!0=g"</f>
        <v>#VALUE!</v>
      </c>
      <c r="FJ286" t="e">
        <f>Europe!F1579+"$F;@!0=h"</f>
        <v>#VALUE!</v>
      </c>
      <c r="FK286" t="e">
        <f>Europe!G1579+"$F;@!0=i"</f>
        <v>#VALUE!</v>
      </c>
      <c r="FL286" t="e">
        <f>Europe!H1579+"$F;@!0=j"</f>
        <v>#VALUE!</v>
      </c>
      <c r="FM286" t="e">
        <f>Europe!A1580+"$F;@!0=k"</f>
        <v>#VALUE!</v>
      </c>
      <c r="FN286" t="e">
        <f>Europe!B1580+"$F;@!0=l"</f>
        <v>#VALUE!</v>
      </c>
      <c r="FO286" t="e">
        <f>Europe!C1580+"$F;@!0=m"</f>
        <v>#VALUE!</v>
      </c>
      <c r="FP286" t="e">
        <f>Europe!D1580+"$F;@!0=n"</f>
        <v>#VALUE!</v>
      </c>
      <c r="FQ286" t="e">
        <f>Europe!E1580+"$F;@!0=o"</f>
        <v>#VALUE!</v>
      </c>
      <c r="FR286" t="e">
        <f>Europe!F1580+"$F;@!0=p"</f>
        <v>#VALUE!</v>
      </c>
      <c r="FS286" t="e">
        <f>Europe!G1580+"$F;@!0=q"</f>
        <v>#VALUE!</v>
      </c>
      <c r="FT286" t="e">
        <f>Europe!H1580+"$F;@!0=r"</f>
        <v>#VALUE!</v>
      </c>
      <c r="FU286" t="e">
        <f>Europe!A1581+"$F;@!0=s"</f>
        <v>#VALUE!</v>
      </c>
      <c r="FV286" t="e">
        <f>Europe!B1581+"$F;@!0=t"</f>
        <v>#VALUE!</v>
      </c>
      <c r="FW286" t="e">
        <f>Europe!C1581+"$F;@!0=u"</f>
        <v>#VALUE!</v>
      </c>
      <c r="FX286" t="e">
        <f>Europe!D1581+"$F;@!0=v"</f>
        <v>#VALUE!</v>
      </c>
      <c r="FY286" t="e">
        <f>Europe!E1581+"$F;@!0=w"</f>
        <v>#VALUE!</v>
      </c>
      <c r="FZ286" t="e">
        <f>Europe!F1581+"$F;@!0=x"</f>
        <v>#VALUE!</v>
      </c>
      <c r="GA286" t="e">
        <f>Europe!G1581+"$F;@!0=y"</f>
        <v>#VALUE!</v>
      </c>
      <c r="GB286" t="e">
        <f>Europe!H1581+"$F;@!0=z"</f>
        <v>#VALUE!</v>
      </c>
      <c r="GC286" t="e">
        <f>Europe!A1582+"$F;@!0={"</f>
        <v>#VALUE!</v>
      </c>
      <c r="GD286" t="e">
        <f>Europe!B1582+"$F;@!0=|"</f>
        <v>#VALUE!</v>
      </c>
      <c r="GE286" t="e">
        <f>Europe!C1582+"$F;@!0=}"</f>
        <v>#VALUE!</v>
      </c>
      <c r="GF286" t="e">
        <f>Europe!D1582+"$F;@!0=~"</f>
        <v>#VALUE!</v>
      </c>
      <c r="GG286" t="e">
        <f>Europe!E1582+"$F;@!0&gt;#"</f>
        <v>#VALUE!</v>
      </c>
      <c r="GH286" t="e">
        <f>Europe!F1582+"$F;@!0&gt;$"</f>
        <v>#VALUE!</v>
      </c>
      <c r="GI286" t="e">
        <f>Europe!G1582+"$F;@!0&gt;%"</f>
        <v>#VALUE!</v>
      </c>
      <c r="GJ286" t="e">
        <f>Europe!H1582+"$F;@!0&gt;&amp;"</f>
        <v>#VALUE!</v>
      </c>
      <c r="GK286" t="e">
        <f>Europe!A1583+"$F;@!0&gt;'"</f>
        <v>#VALUE!</v>
      </c>
      <c r="GL286" t="e">
        <f>Europe!B1583+"$F;@!0&gt;("</f>
        <v>#VALUE!</v>
      </c>
      <c r="GM286" t="e">
        <f>Europe!C1583+"$F;@!0&gt;)"</f>
        <v>#VALUE!</v>
      </c>
      <c r="GN286" t="e">
        <f>Europe!D1583+"$F;@!0&gt;."</f>
        <v>#VALUE!</v>
      </c>
      <c r="GO286" t="e">
        <f>Europe!E1583+"$F;@!0&gt;/"</f>
        <v>#VALUE!</v>
      </c>
      <c r="GP286" t="e">
        <f>Europe!F1583+"$F;@!0&gt;0"</f>
        <v>#VALUE!</v>
      </c>
      <c r="GQ286" t="e">
        <f>Europe!G1583+"$F;@!0&gt;1"</f>
        <v>#VALUE!</v>
      </c>
      <c r="GR286" t="e">
        <f>Europe!H1583+"$F;@!0&gt;2"</f>
        <v>#VALUE!</v>
      </c>
      <c r="GS286" t="e">
        <f>Europe!A1584+"$F;@!0&gt;3"</f>
        <v>#VALUE!</v>
      </c>
      <c r="GT286" t="e">
        <f>Europe!B1584+"$F;@!0&gt;4"</f>
        <v>#VALUE!</v>
      </c>
      <c r="GU286" t="e">
        <f>Europe!C1584+"$F;@!0&gt;5"</f>
        <v>#VALUE!</v>
      </c>
      <c r="GV286" t="e">
        <f>Europe!D1584+"$F;@!0&gt;6"</f>
        <v>#VALUE!</v>
      </c>
      <c r="GW286" t="e">
        <f>Europe!E1584+"$F;@!0&gt;7"</f>
        <v>#VALUE!</v>
      </c>
      <c r="GX286" t="e">
        <f>Europe!F1584+"$F;@!0&gt;8"</f>
        <v>#VALUE!</v>
      </c>
      <c r="GY286" t="e">
        <f>Europe!G1584+"$F;@!0&gt;9"</f>
        <v>#VALUE!</v>
      </c>
      <c r="GZ286" t="e">
        <f>Europe!H1584+"$F;@!0&gt;:"</f>
        <v>#VALUE!</v>
      </c>
      <c r="HA286" t="e">
        <f>Europe!A1585+"$F;@!0&gt;;"</f>
        <v>#VALUE!</v>
      </c>
      <c r="HB286" t="e">
        <f>Europe!B1585+"$F;@!0&gt;&lt;"</f>
        <v>#VALUE!</v>
      </c>
      <c r="HC286" t="e">
        <f>Europe!C1585+"$F;@!0&gt;="</f>
        <v>#VALUE!</v>
      </c>
      <c r="HD286" t="e">
        <f>Europe!D1585+"$F;@!0&gt;&gt;"</f>
        <v>#VALUE!</v>
      </c>
      <c r="HE286" t="e">
        <f>Europe!E1585+"$F;@!0&gt;?"</f>
        <v>#VALUE!</v>
      </c>
      <c r="HF286" t="e">
        <f>Europe!F1585+"$F;@!0&gt;@"</f>
        <v>#VALUE!</v>
      </c>
      <c r="HG286" t="e">
        <f>Europe!G1585+"$F;@!0&gt;A"</f>
        <v>#VALUE!</v>
      </c>
      <c r="HH286" t="e">
        <f>Europe!H1585+"$F;@!0&gt;B"</f>
        <v>#VALUE!</v>
      </c>
      <c r="HI286" t="e">
        <f>Europe!A1586+"$F;@!0&gt;C"</f>
        <v>#VALUE!</v>
      </c>
      <c r="HJ286" t="e">
        <f>Europe!B1586+"$F;@!0&gt;D"</f>
        <v>#VALUE!</v>
      </c>
      <c r="HK286" t="e">
        <f>Europe!C1586+"$F;@!0&gt;E"</f>
        <v>#VALUE!</v>
      </c>
      <c r="HL286" t="e">
        <f>Europe!D1586+"$F;@!0&gt;F"</f>
        <v>#VALUE!</v>
      </c>
      <c r="HM286" t="e">
        <f>Europe!E1586+"$F;@!0&gt;G"</f>
        <v>#VALUE!</v>
      </c>
      <c r="HN286" t="e">
        <f>Europe!F1586+"$F;@!0&gt;H"</f>
        <v>#VALUE!</v>
      </c>
      <c r="HO286" t="e">
        <f>Europe!G1586+"$F;@!0&gt;I"</f>
        <v>#VALUE!</v>
      </c>
      <c r="HP286" t="e">
        <f>Europe!H1586+"$F;@!0&gt;J"</f>
        <v>#VALUE!</v>
      </c>
      <c r="HQ286" t="e">
        <f>Europe!A1587+"$F;@!0&gt;K"</f>
        <v>#VALUE!</v>
      </c>
      <c r="HR286" t="e">
        <f>Europe!B1587+"$F;@!0&gt;L"</f>
        <v>#VALUE!</v>
      </c>
      <c r="HS286" t="e">
        <f>Europe!C1587+"$F;@!0&gt;M"</f>
        <v>#VALUE!</v>
      </c>
      <c r="HT286" t="e">
        <f>Europe!D1587+"$F;@!0&gt;N"</f>
        <v>#VALUE!</v>
      </c>
      <c r="HU286" t="e">
        <f>Europe!E1587+"$F;@!0&gt;O"</f>
        <v>#VALUE!</v>
      </c>
      <c r="HV286" t="e">
        <f>Europe!F1587+"$F;@!0&gt;P"</f>
        <v>#VALUE!</v>
      </c>
      <c r="HW286" t="e">
        <f>Europe!G1587+"$F;@!0&gt;Q"</f>
        <v>#VALUE!</v>
      </c>
      <c r="HX286" t="e">
        <f>Europe!H1587+"$F;@!0&gt;R"</f>
        <v>#VALUE!</v>
      </c>
      <c r="HY286" t="e">
        <f>Europe!A1588+"$F;@!0&gt;S"</f>
        <v>#VALUE!</v>
      </c>
      <c r="HZ286" t="e">
        <f>Europe!B1588+"$F;@!0&gt;T"</f>
        <v>#VALUE!</v>
      </c>
      <c r="IA286" t="e">
        <f>Europe!C1588+"$F;@!0&gt;U"</f>
        <v>#VALUE!</v>
      </c>
      <c r="IB286" t="e">
        <f>Europe!D1588+"$F;@!0&gt;V"</f>
        <v>#VALUE!</v>
      </c>
      <c r="IC286" t="e">
        <f>Europe!E1588+"$F;@!0&gt;W"</f>
        <v>#VALUE!</v>
      </c>
      <c r="ID286" t="e">
        <f>Europe!F1588+"$F;@!0&gt;X"</f>
        <v>#VALUE!</v>
      </c>
      <c r="IE286" t="e">
        <f>Europe!G1588+"$F;@!0&gt;Y"</f>
        <v>#VALUE!</v>
      </c>
      <c r="IF286" t="e">
        <f>Europe!H1588+"$F;@!0&gt;Z"</f>
        <v>#VALUE!</v>
      </c>
      <c r="IG286" t="e">
        <f>Europe!A1589+"$F;@!0&gt;["</f>
        <v>#VALUE!</v>
      </c>
      <c r="IH286" t="e">
        <f>Europe!B1589+"$F;@!0&gt;\"</f>
        <v>#VALUE!</v>
      </c>
      <c r="II286" t="e">
        <f>Europe!C1589+"$F;@!0&gt;]"</f>
        <v>#VALUE!</v>
      </c>
      <c r="IJ286" t="e">
        <f>Europe!D1589+"$F;@!0&gt;^"</f>
        <v>#VALUE!</v>
      </c>
      <c r="IK286" t="e">
        <f>Europe!E1589+"$F;@!0&gt;_"</f>
        <v>#VALUE!</v>
      </c>
      <c r="IL286" t="e">
        <f>Europe!F1589+"$F;@!0&gt;`"</f>
        <v>#VALUE!</v>
      </c>
      <c r="IM286" t="e">
        <f>Europe!G1589+"$F;@!0&gt;a"</f>
        <v>#VALUE!</v>
      </c>
      <c r="IN286" t="e">
        <f>Europe!H1589+"$F;@!0&gt;b"</f>
        <v>#VALUE!</v>
      </c>
      <c r="IO286" t="e">
        <f>Europe!A1590+"$F;@!0&gt;c"</f>
        <v>#VALUE!</v>
      </c>
      <c r="IP286" t="e">
        <f>Europe!B1590+"$F;@!0&gt;d"</f>
        <v>#VALUE!</v>
      </c>
      <c r="IQ286" t="e">
        <f>Europe!C1590+"$F;@!0&gt;e"</f>
        <v>#VALUE!</v>
      </c>
      <c r="IR286" t="e">
        <f>Europe!D1590+"$F;@!0&gt;f"</f>
        <v>#VALUE!</v>
      </c>
      <c r="IS286" t="e">
        <f>Europe!E1590+"$F;@!0&gt;g"</f>
        <v>#VALUE!</v>
      </c>
      <c r="IT286" t="e">
        <f>Europe!F1590+"$F;@!0&gt;h"</f>
        <v>#VALUE!</v>
      </c>
      <c r="IU286" t="e">
        <f>Europe!G1590+"$F;@!0&gt;i"</f>
        <v>#VALUE!</v>
      </c>
      <c r="IV286" t="e">
        <f>Europe!H1590+"$F;@!0&gt;j"</f>
        <v>#VALUE!</v>
      </c>
    </row>
    <row r="287" spans="6:256" x14ac:dyDescent="0.35">
      <c r="F287" t="e">
        <f>Europe!A1591+"$F;@!0&gt;k"</f>
        <v>#VALUE!</v>
      </c>
      <c r="G287" t="e">
        <f>Europe!B1591+"$F;@!0&gt;l"</f>
        <v>#VALUE!</v>
      </c>
      <c r="H287" t="e">
        <f>Europe!C1591+"$F;@!0&gt;m"</f>
        <v>#VALUE!</v>
      </c>
      <c r="I287" t="e">
        <f>Europe!D1591+"$F;@!0&gt;n"</f>
        <v>#VALUE!</v>
      </c>
      <c r="J287" t="e">
        <f>Europe!E1591+"$F;@!0&gt;o"</f>
        <v>#VALUE!</v>
      </c>
      <c r="K287" t="e">
        <f>Europe!F1591+"$F;@!0&gt;p"</f>
        <v>#VALUE!</v>
      </c>
      <c r="L287" t="e">
        <f>Europe!G1591+"$F;@!0&gt;q"</f>
        <v>#VALUE!</v>
      </c>
      <c r="M287" t="e">
        <f>Europe!H1591+"$F;@!0&gt;r"</f>
        <v>#VALUE!</v>
      </c>
      <c r="N287" t="e">
        <f>Europe!A1592+"$F;@!0&gt;s"</f>
        <v>#VALUE!</v>
      </c>
      <c r="O287" t="e">
        <f>Europe!B1592+"$F;@!0&gt;t"</f>
        <v>#VALUE!</v>
      </c>
      <c r="P287" t="e">
        <f>Europe!C1592+"$F;@!0&gt;u"</f>
        <v>#VALUE!</v>
      </c>
      <c r="Q287" t="e">
        <f>Europe!D1592+"$F;@!0&gt;v"</f>
        <v>#VALUE!</v>
      </c>
      <c r="R287" t="e">
        <f>Europe!E1592+"$F;@!0&gt;w"</f>
        <v>#VALUE!</v>
      </c>
      <c r="S287" t="e">
        <f>Europe!F1592+"$F;@!0&gt;x"</f>
        <v>#VALUE!</v>
      </c>
      <c r="T287" t="e">
        <f>Europe!G1592+"$F;@!0&gt;y"</f>
        <v>#VALUE!</v>
      </c>
      <c r="U287" t="e">
        <f>Europe!H1592+"$F;@!0&gt;z"</f>
        <v>#VALUE!</v>
      </c>
      <c r="V287" t="e">
        <f>Europe!A1593+"$F;@!0&gt;{"</f>
        <v>#VALUE!</v>
      </c>
      <c r="W287" t="e">
        <f>Europe!B1593+"$F;@!0&gt;|"</f>
        <v>#VALUE!</v>
      </c>
      <c r="X287" t="e">
        <f>Europe!C1593+"$F;@!0&gt;}"</f>
        <v>#VALUE!</v>
      </c>
      <c r="Y287" t="e">
        <f>Europe!D1593+"$F;@!0&gt;~"</f>
        <v>#VALUE!</v>
      </c>
      <c r="Z287" t="e">
        <f>Europe!E1593+"$F;@!0?#"</f>
        <v>#VALUE!</v>
      </c>
      <c r="AA287" t="e">
        <f>Europe!F1593+"$F;@!0?$"</f>
        <v>#VALUE!</v>
      </c>
      <c r="AB287" t="e">
        <f>Europe!G1593+"$F;@!0?%"</f>
        <v>#VALUE!</v>
      </c>
      <c r="AC287" t="e">
        <f>Europe!H1593+"$F;@!0?&amp;"</f>
        <v>#VALUE!</v>
      </c>
      <c r="AD287" t="e">
        <f>Europe!A1594+"$F;@!0?'"</f>
        <v>#VALUE!</v>
      </c>
      <c r="AE287" t="e">
        <f>Europe!B1594+"$F;@!0?("</f>
        <v>#VALUE!</v>
      </c>
      <c r="AF287" t="e">
        <f>Europe!C1594+"$F;@!0?)"</f>
        <v>#VALUE!</v>
      </c>
      <c r="AG287" t="e">
        <f>Europe!D1594+"$F;@!0?."</f>
        <v>#VALUE!</v>
      </c>
      <c r="AH287" t="e">
        <f>Europe!E1594+"$F;@!0?/"</f>
        <v>#VALUE!</v>
      </c>
      <c r="AI287" t="e">
        <f>Europe!F1594+"$F;@!0?0"</f>
        <v>#VALUE!</v>
      </c>
      <c r="AJ287" t="e">
        <f>Europe!G1594+"$F;@!0?1"</f>
        <v>#VALUE!</v>
      </c>
      <c r="AK287" t="e">
        <f>Europe!H1594+"$F;@!0?2"</f>
        <v>#VALUE!</v>
      </c>
      <c r="AL287" t="e">
        <f>Europe!A1595+"$F;@!0?3"</f>
        <v>#VALUE!</v>
      </c>
      <c r="AM287" t="e">
        <f>Europe!B1595+"$F;@!0?4"</f>
        <v>#VALUE!</v>
      </c>
      <c r="AN287" t="e">
        <f>Europe!C1595+"$F;@!0?5"</f>
        <v>#VALUE!</v>
      </c>
      <c r="AO287" t="e">
        <f>Europe!D1595+"$F;@!0?6"</f>
        <v>#VALUE!</v>
      </c>
      <c r="AP287" t="e">
        <f>Europe!E1595+"$F;@!0?7"</f>
        <v>#VALUE!</v>
      </c>
      <c r="AQ287" t="e">
        <f>Europe!F1595+"$F;@!0?8"</f>
        <v>#VALUE!</v>
      </c>
      <c r="AR287" t="e">
        <f>Europe!G1595+"$F;@!0?9"</f>
        <v>#VALUE!</v>
      </c>
      <c r="AS287" t="e">
        <f>Europe!H1595+"$F;@!0?:"</f>
        <v>#VALUE!</v>
      </c>
      <c r="AT287" t="e">
        <f>Europe!A1596+"$F;@!0?;"</f>
        <v>#VALUE!</v>
      </c>
      <c r="AU287" t="e">
        <f>Europe!B1596+"$F;@!0?&lt;"</f>
        <v>#VALUE!</v>
      </c>
      <c r="AV287" t="e">
        <f>Europe!C1596+"$F;@!0?="</f>
        <v>#VALUE!</v>
      </c>
      <c r="AW287" t="e">
        <f>Europe!D1596+"$F;@!0?&gt;"</f>
        <v>#VALUE!</v>
      </c>
      <c r="AX287" t="e">
        <f>Europe!E1596+"$F;@!0??"</f>
        <v>#VALUE!</v>
      </c>
      <c r="AY287" t="e">
        <f>Europe!F1596+"$F;@!0?@"</f>
        <v>#VALUE!</v>
      </c>
      <c r="AZ287" t="e">
        <f>Europe!G1596+"$F;@!0?A"</f>
        <v>#VALUE!</v>
      </c>
      <c r="BA287" t="e">
        <f>Europe!H1596+"$F;@!0?B"</f>
        <v>#VALUE!</v>
      </c>
      <c r="BB287" t="e">
        <f>Europe!A1597+"$F;@!0?C"</f>
        <v>#VALUE!</v>
      </c>
      <c r="BC287" t="e">
        <f>Europe!B1597+"$F;@!0?D"</f>
        <v>#VALUE!</v>
      </c>
      <c r="BD287" t="e">
        <f>Europe!C1597+"$F;@!0?E"</f>
        <v>#VALUE!</v>
      </c>
      <c r="BE287" t="e">
        <f>Europe!D1597+"$F;@!0?F"</f>
        <v>#VALUE!</v>
      </c>
      <c r="BF287" t="e">
        <f>Europe!E1597+"$F;@!0?G"</f>
        <v>#VALUE!</v>
      </c>
      <c r="BG287" t="e">
        <f>Europe!F1597+"$F;@!0?H"</f>
        <v>#VALUE!</v>
      </c>
      <c r="BH287" t="e">
        <f>Europe!G1597+"$F;@!0?I"</f>
        <v>#VALUE!</v>
      </c>
      <c r="BI287" t="e">
        <f>Europe!H1597+"$F;@!0?J"</f>
        <v>#VALUE!</v>
      </c>
      <c r="BJ287" t="e">
        <f>Europe!A1598+"$F;@!0?K"</f>
        <v>#VALUE!</v>
      </c>
      <c r="BK287" t="e">
        <f>Europe!B1598+"$F;@!0?L"</f>
        <v>#VALUE!</v>
      </c>
      <c r="BL287" t="e">
        <f>Europe!C1598+"$F;@!0?M"</f>
        <v>#VALUE!</v>
      </c>
      <c r="BM287" t="e">
        <f>Europe!D1598+"$F;@!0?N"</f>
        <v>#VALUE!</v>
      </c>
      <c r="BN287" t="e">
        <f>Europe!E1598+"$F;@!0?O"</f>
        <v>#VALUE!</v>
      </c>
      <c r="BO287" t="e">
        <f>Europe!F1598+"$F;@!0?P"</f>
        <v>#VALUE!</v>
      </c>
      <c r="BP287" t="e">
        <f>Europe!G1598+"$F;@!0?Q"</f>
        <v>#VALUE!</v>
      </c>
      <c r="BQ287" t="e">
        <f>Europe!H1598+"$F;@!0?R"</f>
        <v>#VALUE!</v>
      </c>
      <c r="BR287" t="e">
        <f>Europe!A1599+"$F;@!0?S"</f>
        <v>#VALUE!</v>
      </c>
      <c r="BS287" t="e">
        <f>Europe!B1599+"$F;@!0?T"</f>
        <v>#VALUE!</v>
      </c>
      <c r="BT287" t="e">
        <f>Europe!C1599+"$F;@!0?U"</f>
        <v>#VALUE!</v>
      </c>
      <c r="BU287" t="e">
        <f>Europe!D1599+"$F;@!0?V"</f>
        <v>#VALUE!</v>
      </c>
      <c r="BV287" t="e">
        <f>Europe!E1599+"$F;@!0?W"</f>
        <v>#VALUE!</v>
      </c>
      <c r="BW287" t="e">
        <f>Europe!F1599+"$F;@!0?X"</f>
        <v>#VALUE!</v>
      </c>
      <c r="BX287" t="e">
        <f>Europe!G1599+"$F;@!0?Y"</f>
        <v>#VALUE!</v>
      </c>
      <c r="BY287" t="e">
        <f>Europe!H1599+"$F;@!0?Z"</f>
        <v>#VALUE!</v>
      </c>
      <c r="BZ287" t="e">
        <f>Europe!A1600+"$F;@!0?["</f>
        <v>#VALUE!</v>
      </c>
      <c r="CA287" t="e">
        <f>Europe!B1600+"$F;@!0?\"</f>
        <v>#VALUE!</v>
      </c>
      <c r="CB287" t="e">
        <f>Europe!C1600+"$F;@!0?]"</f>
        <v>#VALUE!</v>
      </c>
      <c r="CC287" t="e">
        <f>Europe!D1600+"$F;@!0?^"</f>
        <v>#VALUE!</v>
      </c>
      <c r="CD287" t="e">
        <f>Europe!E1600+"$F;@!0?_"</f>
        <v>#VALUE!</v>
      </c>
      <c r="CE287" t="e">
        <f>Europe!F1600+"$F;@!0?`"</f>
        <v>#VALUE!</v>
      </c>
      <c r="CF287" t="e">
        <f>Europe!G1600+"$F;@!0?a"</f>
        <v>#VALUE!</v>
      </c>
      <c r="CG287" t="e">
        <f>Europe!H1600+"$F;@!0?b"</f>
        <v>#VALUE!</v>
      </c>
      <c r="CH287" t="e">
        <f>Europe!A1601+"$F;@!0?c"</f>
        <v>#VALUE!</v>
      </c>
      <c r="CI287" t="e">
        <f>Europe!B1601+"$F;@!0?d"</f>
        <v>#VALUE!</v>
      </c>
      <c r="CJ287" t="e">
        <f>Europe!C1601+"$F;@!0?e"</f>
        <v>#VALUE!</v>
      </c>
      <c r="CK287" t="e">
        <f>Europe!D1601+"$F;@!0?f"</f>
        <v>#VALUE!</v>
      </c>
      <c r="CL287" t="e">
        <f>Europe!E1601+"$F;@!0?g"</f>
        <v>#VALUE!</v>
      </c>
      <c r="CM287" t="e">
        <f>Europe!F1601+"$F;@!0?h"</f>
        <v>#VALUE!</v>
      </c>
      <c r="CN287" t="e">
        <f>Europe!G1601+"$F;@!0?i"</f>
        <v>#VALUE!</v>
      </c>
      <c r="CO287" t="e">
        <f>Europe!H1601+"$F;@!0?j"</f>
        <v>#VALUE!</v>
      </c>
      <c r="CP287" t="e">
        <f>Europe!A1602+"$F;@!0?k"</f>
        <v>#VALUE!</v>
      </c>
      <c r="CQ287" t="e">
        <f>Europe!B1602+"$F;@!0?l"</f>
        <v>#VALUE!</v>
      </c>
      <c r="CR287" t="e">
        <f>Europe!C1602+"$F;@!0?m"</f>
        <v>#VALUE!</v>
      </c>
      <c r="CS287" t="e">
        <f>Europe!D1602+"$F;@!0?n"</f>
        <v>#VALUE!</v>
      </c>
      <c r="CT287" t="e">
        <f>Europe!E1602+"$F;@!0?o"</f>
        <v>#VALUE!</v>
      </c>
      <c r="CU287" t="e">
        <f>Europe!F1602+"$F;@!0?p"</f>
        <v>#VALUE!</v>
      </c>
      <c r="CV287" t="e">
        <f>Europe!G1602+"$F;@!0?q"</f>
        <v>#VALUE!</v>
      </c>
      <c r="CW287" t="e">
        <f>Europe!H1602+"$F;@!0?r"</f>
        <v>#VALUE!</v>
      </c>
      <c r="CX287" t="e">
        <f>Europe!A1603+"$F;@!0?s"</f>
        <v>#VALUE!</v>
      </c>
      <c r="CY287" t="e">
        <f>Europe!B1603+"$F;@!0?t"</f>
        <v>#VALUE!</v>
      </c>
      <c r="CZ287" t="e">
        <f>Europe!C1603+"$F;@!0?u"</f>
        <v>#VALUE!</v>
      </c>
      <c r="DA287" t="e">
        <f>Europe!D1603+"$F;@!0?v"</f>
        <v>#VALUE!</v>
      </c>
      <c r="DB287" t="e">
        <f>Europe!E1603+"$F;@!0?w"</f>
        <v>#VALUE!</v>
      </c>
      <c r="DC287" t="e">
        <f>Europe!F1603+"$F;@!0?x"</f>
        <v>#VALUE!</v>
      </c>
      <c r="DD287" t="e">
        <f>Europe!G1603+"$F;@!0?y"</f>
        <v>#VALUE!</v>
      </c>
      <c r="DE287" t="e">
        <f>Europe!H1603+"$F;@!0?z"</f>
        <v>#VALUE!</v>
      </c>
      <c r="DF287" t="e">
        <f>Europe!A1604+"$F;@!0?{"</f>
        <v>#VALUE!</v>
      </c>
      <c r="DG287" t="e">
        <f>Europe!B1604+"$F;@!0?|"</f>
        <v>#VALUE!</v>
      </c>
      <c r="DH287" t="e">
        <f>Europe!C1604+"$F;@!0?}"</f>
        <v>#VALUE!</v>
      </c>
      <c r="DI287" t="e">
        <f>Europe!D1604+"$F;@!0?~"</f>
        <v>#VALUE!</v>
      </c>
      <c r="DJ287" t="e">
        <f>Europe!E1604+"$F;@!0@#"</f>
        <v>#VALUE!</v>
      </c>
      <c r="DK287" t="e">
        <f>Europe!F1604+"$F;@!0@$"</f>
        <v>#VALUE!</v>
      </c>
      <c r="DL287" t="e">
        <f>Europe!G1604+"$F;@!0@%"</f>
        <v>#VALUE!</v>
      </c>
      <c r="DM287" t="e">
        <f>Europe!H1604+"$F;@!0@&amp;"</f>
        <v>#VALUE!</v>
      </c>
      <c r="DN287" t="e">
        <f>Europe!A1605+"$F;@!0@'"</f>
        <v>#VALUE!</v>
      </c>
      <c r="DO287" t="e">
        <f>Europe!B1605+"$F;@!0@("</f>
        <v>#VALUE!</v>
      </c>
      <c r="DP287" t="e">
        <f>Europe!C1605+"$F;@!0@)"</f>
        <v>#VALUE!</v>
      </c>
      <c r="DQ287" t="e">
        <f>Europe!D1605+"$F;@!0@."</f>
        <v>#VALUE!</v>
      </c>
      <c r="DR287" t="e">
        <f>Europe!E1605+"$F;@!0@/"</f>
        <v>#VALUE!</v>
      </c>
      <c r="DS287" t="e">
        <f>Europe!F1605+"$F;@!0@0"</f>
        <v>#VALUE!</v>
      </c>
      <c r="DT287" t="e">
        <f>Europe!G1605+"$F;@!0@1"</f>
        <v>#VALUE!</v>
      </c>
      <c r="DU287" t="e">
        <f>Europe!H1605+"$F;@!0@2"</f>
        <v>#VALUE!</v>
      </c>
      <c r="DV287" t="e">
        <f>Europe!A1606+"$F;@!0@3"</f>
        <v>#VALUE!</v>
      </c>
      <c r="DW287" t="e">
        <f>Europe!B1606+"$F;@!0@4"</f>
        <v>#VALUE!</v>
      </c>
      <c r="DX287" t="e">
        <f>Europe!C1606+"$F;@!0@5"</f>
        <v>#VALUE!</v>
      </c>
      <c r="DY287" t="e">
        <f>Europe!D1606+"$F;@!0@6"</f>
        <v>#VALUE!</v>
      </c>
      <c r="DZ287" t="e">
        <f>Europe!E1606+"$F;@!0@7"</f>
        <v>#VALUE!</v>
      </c>
      <c r="EA287" t="e">
        <f>Europe!F1606+"$F;@!0@8"</f>
        <v>#VALUE!</v>
      </c>
      <c r="EB287" t="e">
        <f>Europe!G1606+"$F;@!0@9"</f>
        <v>#VALUE!</v>
      </c>
      <c r="EC287" t="e">
        <f>Europe!H1606+"$F;@!0@:"</f>
        <v>#VALUE!</v>
      </c>
      <c r="ED287" t="e">
        <f>Europe!A1607+"$F;@!0@;"</f>
        <v>#VALUE!</v>
      </c>
      <c r="EE287" t="e">
        <f>Europe!B1607+"$F;@!0@&lt;"</f>
        <v>#VALUE!</v>
      </c>
      <c r="EF287" t="e">
        <f>Europe!C1607+"$F;@!0@="</f>
        <v>#VALUE!</v>
      </c>
      <c r="EG287" t="e">
        <f>Europe!D1607+"$F;@!0@&gt;"</f>
        <v>#VALUE!</v>
      </c>
      <c r="EH287" t="e">
        <f>Europe!E1607+"$F;@!0@?"</f>
        <v>#VALUE!</v>
      </c>
      <c r="EI287" t="e">
        <f>Europe!F1607+"$F;@!0@@"</f>
        <v>#VALUE!</v>
      </c>
      <c r="EJ287" t="e">
        <f>Europe!G1607+"$F;@!0@A"</f>
        <v>#VALUE!</v>
      </c>
      <c r="EK287" t="e">
        <f>Europe!H1607+"$F;@!0@B"</f>
        <v>#VALUE!</v>
      </c>
      <c r="EL287" t="e">
        <f>Europe!A1608+"$F;@!0@C"</f>
        <v>#VALUE!</v>
      </c>
      <c r="EM287" t="e">
        <f>Europe!B1608+"$F;@!0@D"</f>
        <v>#VALUE!</v>
      </c>
      <c r="EN287" t="e">
        <f>Europe!C1608+"$F;@!0@E"</f>
        <v>#VALUE!</v>
      </c>
      <c r="EO287" t="e">
        <f>Europe!D1608+"$F;@!0@F"</f>
        <v>#VALUE!</v>
      </c>
      <c r="EP287" t="e">
        <f>Europe!E1608+"$F;@!0@G"</f>
        <v>#VALUE!</v>
      </c>
      <c r="EQ287" t="e">
        <f>Europe!F1608+"$F;@!0@H"</f>
        <v>#VALUE!</v>
      </c>
      <c r="ER287" t="e">
        <f>Europe!G1608+"$F;@!0@I"</f>
        <v>#VALUE!</v>
      </c>
      <c r="ES287" t="e">
        <f>Europe!H1608+"$F;@!0@J"</f>
        <v>#VALUE!</v>
      </c>
      <c r="ET287" t="e">
        <f>Europe!A1609+"$F;@!0@K"</f>
        <v>#VALUE!</v>
      </c>
      <c r="EU287" t="e">
        <f>Europe!B1609+"$F;@!0@L"</f>
        <v>#VALUE!</v>
      </c>
      <c r="EV287" t="e">
        <f>Europe!C1609+"$F;@!0@M"</f>
        <v>#VALUE!</v>
      </c>
      <c r="EW287" t="e">
        <f>Europe!D1609+"$F;@!0@N"</f>
        <v>#VALUE!</v>
      </c>
      <c r="EX287" t="e">
        <f>Europe!E1609+"$F;@!0@O"</f>
        <v>#VALUE!</v>
      </c>
      <c r="EY287" t="e">
        <f>Europe!F1609+"$F;@!0@P"</f>
        <v>#VALUE!</v>
      </c>
      <c r="EZ287" t="e">
        <f>Europe!G1609+"$F;@!0@Q"</f>
        <v>#VALUE!</v>
      </c>
      <c r="FA287" t="e">
        <f>Europe!H1609+"$F;@!0@R"</f>
        <v>#VALUE!</v>
      </c>
      <c r="FB287" t="e">
        <f>Europe!A1610+"$F;@!0@S"</f>
        <v>#VALUE!</v>
      </c>
      <c r="FC287" t="e">
        <f>Europe!B1610+"$F;@!0@T"</f>
        <v>#VALUE!</v>
      </c>
      <c r="FD287" t="e">
        <f>Europe!C1610+"$F;@!0@U"</f>
        <v>#VALUE!</v>
      </c>
      <c r="FE287" t="e">
        <f>Europe!D1610+"$F;@!0@V"</f>
        <v>#VALUE!</v>
      </c>
      <c r="FF287" t="e">
        <f>Europe!E1610+"$F;@!0@W"</f>
        <v>#VALUE!</v>
      </c>
      <c r="FG287" t="e">
        <f>Europe!F1610+"$F;@!0@X"</f>
        <v>#VALUE!</v>
      </c>
      <c r="FH287" t="e">
        <f>Europe!G1610+"$F;@!0@Y"</f>
        <v>#VALUE!</v>
      </c>
      <c r="FI287" t="e">
        <f>Europe!H1610+"$F;@!0@Z"</f>
        <v>#VALUE!</v>
      </c>
      <c r="FJ287" t="e">
        <f>Europe!A1611+"$F;@!0@["</f>
        <v>#VALUE!</v>
      </c>
      <c r="FK287" t="e">
        <f>Europe!B1611+"$F;@!0@\"</f>
        <v>#VALUE!</v>
      </c>
      <c r="FL287" t="e">
        <f>Europe!C1611+"$F;@!0@]"</f>
        <v>#VALUE!</v>
      </c>
      <c r="FM287" t="e">
        <f>Europe!D1611+"$F;@!0@^"</f>
        <v>#VALUE!</v>
      </c>
      <c r="FN287" t="e">
        <f>Europe!E1611+"$F;@!0@_"</f>
        <v>#VALUE!</v>
      </c>
      <c r="FO287" t="e">
        <f>Europe!F1611+"$F;@!0@`"</f>
        <v>#VALUE!</v>
      </c>
      <c r="FP287" t="e">
        <f>Europe!G1611+"$F;@!0@a"</f>
        <v>#VALUE!</v>
      </c>
      <c r="FQ287" t="e">
        <f>Europe!H1611+"$F;@!0@b"</f>
        <v>#VALUE!</v>
      </c>
      <c r="FR287" t="e">
        <f>Europe!A1612+"$F;@!0@c"</f>
        <v>#VALUE!</v>
      </c>
      <c r="FS287" t="e">
        <f>Europe!B1612+"$F;@!0@d"</f>
        <v>#VALUE!</v>
      </c>
      <c r="FT287" t="e">
        <f>Europe!C1612+"$F;@!0@e"</f>
        <v>#VALUE!</v>
      </c>
      <c r="FU287" t="e">
        <f>Europe!D1612+"$F;@!0@f"</f>
        <v>#VALUE!</v>
      </c>
      <c r="FV287" t="e">
        <f>Europe!E1612+"$F;@!0@g"</f>
        <v>#VALUE!</v>
      </c>
      <c r="FW287" t="e">
        <f>Europe!F1612+"$F;@!0@h"</f>
        <v>#VALUE!</v>
      </c>
      <c r="FX287" t="e">
        <f>Europe!G1612+"$F;@!0@i"</f>
        <v>#VALUE!</v>
      </c>
      <c r="FY287" t="e">
        <f>Europe!H1612+"$F;@!0@j"</f>
        <v>#VALUE!</v>
      </c>
      <c r="FZ287" t="e">
        <f>Europe!A1613+"$F;@!0@k"</f>
        <v>#VALUE!</v>
      </c>
      <c r="GA287" t="e">
        <f>Europe!B1613+"$F;@!0@l"</f>
        <v>#VALUE!</v>
      </c>
      <c r="GB287" t="e">
        <f>Europe!C1613+"$F;@!0@m"</f>
        <v>#VALUE!</v>
      </c>
      <c r="GC287" t="e">
        <f>Europe!D1613+"$F;@!0@n"</f>
        <v>#VALUE!</v>
      </c>
      <c r="GD287" t="e">
        <f>Europe!F1613+"$F;@!0@o"</f>
        <v>#VALUE!</v>
      </c>
      <c r="GE287" t="e">
        <f>Europe!G1613+"$F;@!0@p"</f>
        <v>#VALUE!</v>
      </c>
      <c r="GF287" t="e">
        <f>Europe!H1613+"$F;@!0@q"</f>
        <v>#VALUE!</v>
      </c>
      <c r="GG287" t="e">
        <f>Europe!A1614+"$F;@!0@r"</f>
        <v>#VALUE!</v>
      </c>
      <c r="GH287" t="e">
        <f>Europe!B1614+"$F;@!0@s"</f>
        <v>#VALUE!</v>
      </c>
      <c r="GI287" t="e">
        <f>Europe!C1614+"$F;@!0@t"</f>
        <v>#VALUE!</v>
      </c>
      <c r="GJ287" t="e">
        <f>Europe!D1614+"$F;@!0@u"</f>
        <v>#VALUE!</v>
      </c>
      <c r="GK287" t="e">
        <f>Europe!E1614+"$F;@!0@v"</f>
        <v>#VALUE!</v>
      </c>
      <c r="GL287" t="e">
        <f>Europe!F1614+"$F;@!0@w"</f>
        <v>#VALUE!</v>
      </c>
      <c r="GM287" t="e">
        <f>Europe!G1614+"$F;@!0@x"</f>
        <v>#VALUE!</v>
      </c>
      <c r="GN287" t="e">
        <f>Europe!H1614+"$F;@!0@y"</f>
        <v>#VALUE!</v>
      </c>
      <c r="GO287" t="e">
        <f>Europe!A1615+"$F;@!0@z"</f>
        <v>#VALUE!</v>
      </c>
      <c r="GP287" t="e">
        <f>Europe!B1615+"$F;@!0@{"</f>
        <v>#VALUE!</v>
      </c>
      <c r="GQ287" t="e">
        <f>Europe!C1615+"$F;@!0@|"</f>
        <v>#VALUE!</v>
      </c>
      <c r="GR287" t="e">
        <f>Europe!D1615+"$F;@!0@}"</f>
        <v>#VALUE!</v>
      </c>
      <c r="GS287" t="e">
        <f>Europe!E1615+"$F;@!0@~"</f>
        <v>#VALUE!</v>
      </c>
      <c r="GT287" t="e">
        <f>Europe!F1615+"$F;@!0A#"</f>
        <v>#VALUE!</v>
      </c>
      <c r="GU287" t="e">
        <f>Europe!G1615+"$F;@!0A$"</f>
        <v>#VALUE!</v>
      </c>
      <c r="GV287" t="e">
        <f>Europe!H1615+"$F;@!0A%"</f>
        <v>#VALUE!</v>
      </c>
      <c r="GW287" t="e">
        <f>Europe!A1616+"$F;@!0A&amp;"</f>
        <v>#VALUE!</v>
      </c>
      <c r="GX287" t="e">
        <f>Europe!B1616+"$F;@!0A'"</f>
        <v>#VALUE!</v>
      </c>
      <c r="GY287" t="e">
        <f>Europe!C1616+"$F;@!0A("</f>
        <v>#VALUE!</v>
      </c>
      <c r="GZ287" t="e">
        <f>Europe!D1616+"$F;@!0A)"</f>
        <v>#VALUE!</v>
      </c>
      <c r="HA287" t="e">
        <f>Europe!E1616+"$F;@!0A."</f>
        <v>#VALUE!</v>
      </c>
      <c r="HB287" t="e">
        <f>Europe!F1616+"$F;@!0A/"</f>
        <v>#VALUE!</v>
      </c>
      <c r="HC287" t="e">
        <f>Europe!G1616+"$F;@!0A0"</f>
        <v>#VALUE!</v>
      </c>
      <c r="HD287" t="e">
        <f>Europe!H1616+"$F;@!0A1"</f>
        <v>#VALUE!</v>
      </c>
      <c r="HE287" t="e">
        <f>Europe!A1617+"$F;@!0A2"</f>
        <v>#VALUE!</v>
      </c>
      <c r="HF287" t="e">
        <f>Europe!B1617+"$F;@!0A3"</f>
        <v>#VALUE!</v>
      </c>
      <c r="HG287" t="e">
        <f>Europe!C1617+"$F;@!0A4"</f>
        <v>#VALUE!</v>
      </c>
      <c r="HH287" t="e">
        <f>Europe!D1617+"$F;@!0A5"</f>
        <v>#VALUE!</v>
      </c>
      <c r="HI287" t="e">
        <f>Europe!E1617+"$F;@!0A6"</f>
        <v>#VALUE!</v>
      </c>
      <c r="HJ287" t="e">
        <f>Europe!F1617+"$F;@!0A7"</f>
        <v>#VALUE!</v>
      </c>
      <c r="HK287" t="e">
        <f>Europe!G1617+"$F;@!0A8"</f>
        <v>#VALUE!</v>
      </c>
      <c r="HL287" t="e">
        <f>Europe!H1617+"$F;@!0A9"</f>
        <v>#VALUE!</v>
      </c>
      <c r="HM287" t="e">
        <f>Europe!A1618+"$F;@!0A:"</f>
        <v>#VALUE!</v>
      </c>
      <c r="HN287" t="e">
        <f>Europe!B1618+"$F;@!0A;"</f>
        <v>#VALUE!</v>
      </c>
      <c r="HO287" t="e">
        <f>Europe!C1618+"$F;@!0A&lt;"</f>
        <v>#VALUE!</v>
      </c>
      <c r="HP287" t="e">
        <f>Europe!D1618+"$F;@!0A="</f>
        <v>#VALUE!</v>
      </c>
      <c r="HQ287" t="e">
        <f>Europe!E1618+"$F;@!0A&gt;"</f>
        <v>#VALUE!</v>
      </c>
      <c r="HR287" t="e">
        <f>Europe!F1618+"$F;@!0A?"</f>
        <v>#VALUE!</v>
      </c>
      <c r="HS287" t="e">
        <f>Europe!G1618+"$F;@!0A@"</f>
        <v>#VALUE!</v>
      </c>
      <c r="HT287" t="e">
        <f>Europe!H1618+"$F;@!0AA"</f>
        <v>#VALUE!</v>
      </c>
      <c r="HU287" t="e">
        <f>Europe!A1619+"$F;@!0AB"</f>
        <v>#VALUE!</v>
      </c>
      <c r="HV287" t="e">
        <f>Europe!B1619+"$F;@!0AC"</f>
        <v>#VALUE!</v>
      </c>
      <c r="HW287" t="e">
        <f>Europe!C1619+"$F;@!0AD"</f>
        <v>#VALUE!</v>
      </c>
      <c r="HX287" t="e">
        <f>Europe!D1619+"$F;@!0AE"</f>
        <v>#VALUE!</v>
      </c>
      <c r="HY287" t="e">
        <f>Europe!E1619+"$F;@!0AF"</f>
        <v>#VALUE!</v>
      </c>
      <c r="HZ287" t="e">
        <f>Europe!F1619+"$F;@!0AG"</f>
        <v>#VALUE!</v>
      </c>
      <c r="IA287" t="e">
        <f>Europe!G1619+"$F;@!0AH"</f>
        <v>#VALUE!</v>
      </c>
      <c r="IB287" t="e">
        <f>Europe!H1619+"$F;@!0AI"</f>
        <v>#VALUE!</v>
      </c>
      <c r="IC287" t="e">
        <f>Europe!A1620+"$F;@!0AJ"</f>
        <v>#VALUE!</v>
      </c>
      <c r="ID287" t="e">
        <f>Europe!B1620+"$F;@!0AK"</f>
        <v>#VALUE!</v>
      </c>
      <c r="IE287" t="e">
        <f>Europe!C1620+"$F;@!0AL"</f>
        <v>#VALUE!</v>
      </c>
      <c r="IF287" t="e">
        <f>Europe!D1620+"$F;@!0AM"</f>
        <v>#VALUE!</v>
      </c>
      <c r="IG287" t="e">
        <f>Europe!E1620+"$F;@!0AN"</f>
        <v>#VALUE!</v>
      </c>
      <c r="IH287" t="e">
        <f>Europe!F1620+"$F;@!0AO"</f>
        <v>#VALUE!</v>
      </c>
      <c r="II287" t="e">
        <f>Europe!G1620+"$F;@!0AP"</f>
        <v>#VALUE!</v>
      </c>
      <c r="IJ287" t="e">
        <f>Europe!H1620+"$F;@!0AQ"</f>
        <v>#VALUE!</v>
      </c>
      <c r="IK287" t="e">
        <f>Europe!A1621+"$F;@!0AR"</f>
        <v>#VALUE!</v>
      </c>
      <c r="IL287" t="e">
        <f>Europe!B1621+"$F;@!0AS"</f>
        <v>#VALUE!</v>
      </c>
      <c r="IM287" t="e">
        <f>Europe!C1621+"$F;@!0AT"</f>
        <v>#VALUE!</v>
      </c>
      <c r="IN287" t="e">
        <f>Europe!D1621+"$F;@!0AU"</f>
        <v>#VALUE!</v>
      </c>
      <c r="IO287" t="e">
        <f>Europe!E1621+"$F;@!0AV"</f>
        <v>#VALUE!</v>
      </c>
      <c r="IP287" t="e">
        <f>Europe!F1621+"$F;@!0AW"</f>
        <v>#VALUE!</v>
      </c>
      <c r="IQ287" t="e">
        <f>Europe!G1621+"$F;@!0AX"</f>
        <v>#VALUE!</v>
      </c>
      <c r="IR287" t="e">
        <f>Europe!H1621+"$F;@!0AY"</f>
        <v>#VALUE!</v>
      </c>
      <c r="IS287" t="e">
        <f>Europe!A1622+"$F;@!0AZ"</f>
        <v>#VALUE!</v>
      </c>
      <c r="IT287" t="e">
        <f>Europe!B1622+"$F;@!0A["</f>
        <v>#VALUE!</v>
      </c>
      <c r="IU287" t="e">
        <f>Europe!C1622+"$F;@!0A\"</f>
        <v>#VALUE!</v>
      </c>
      <c r="IV287" t="e">
        <f>Europe!D1622+"$F;@!0A]"</f>
        <v>#VALUE!</v>
      </c>
    </row>
    <row r="288" spans="6:256" x14ac:dyDescent="0.35">
      <c r="F288" t="e">
        <f>Europe!E1622+"$F;@!0A^"</f>
        <v>#VALUE!</v>
      </c>
      <c r="G288" t="e">
        <f>Europe!F1622+"$F;@!0A_"</f>
        <v>#VALUE!</v>
      </c>
      <c r="H288" t="e">
        <f>Europe!G1622+"$F;@!0A`"</f>
        <v>#VALUE!</v>
      </c>
      <c r="I288" t="e">
        <f>Europe!H1622+"$F;@!0Aa"</f>
        <v>#VALUE!</v>
      </c>
      <c r="J288" t="e">
        <f>Europe!A1623+"$F;@!0Ab"</f>
        <v>#VALUE!</v>
      </c>
      <c r="K288" t="e">
        <f>Europe!B1623+"$F;@!0Ac"</f>
        <v>#VALUE!</v>
      </c>
      <c r="L288" t="e">
        <f>Europe!C1623+"$F;@!0Ad"</f>
        <v>#VALUE!</v>
      </c>
      <c r="M288" t="e">
        <f>Europe!D1623+"$F;@!0Ae"</f>
        <v>#VALUE!</v>
      </c>
      <c r="N288" t="e">
        <f>Europe!E1623+"$F;@!0Af"</f>
        <v>#VALUE!</v>
      </c>
      <c r="O288" t="e">
        <f>Europe!F1623+"$F;@!0Ag"</f>
        <v>#VALUE!</v>
      </c>
      <c r="P288" t="e">
        <f>Europe!G1623+"$F;@!0Ah"</f>
        <v>#VALUE!</v>
      </c>
      <c r="Q288" t="e">
        <f>Europe!H1623+"$F;@!0Ai"</f>
        <v>#VALUE!</v>
      </c>
      <c r="R288" t="e">
        <f>Europe!A1624+"$F;@!0Aj"</f>
        <v>#VALUE!</v>
      </c>
      <c r="S288" t="e">
        <f>Europe!B1624+"$F;@!0Ak"</f>
        <v>#VALUE!</v>
      </c>
      <c r="T288" t="e">
        <f>Europe!C1624+"$F;@!0Al"</f>
        <v>#VALUE!</v>
      </c>
      <c r="U288" t="e">
        <f>Europe!D1624+"$F;@!0Am"</f>
        <v>#VALUE!</v>
      </c>
      <c r="V288" t="e">
        <f>Europe!E1624+"$F;@!0An"</f>
        <v>#VALUE!</v>
      </c>
      <c r="W288" t="e">
        <f>Europe!F1624+"$F;@!0Ao"</f>
        <v>#VALUE!</v>
      </c>
      <c r="X288" t="e">
        <f>Europe!G1624+"$F;@!0Ap"</f>
        <v>#VALUE!</v>
      </c>
      <c r="Y288" t="e">
        <f>Europe!H1624+"$F;@!0Aq"</f>
        <v>#VALUE!</v>
      </c>
      <c r="Z288" t="e">
        <f>Europe!A1625+"$F;@!0Ar"</f>
        <v>#VALUE!</v>
      </c>
      <c r="AA288" t="e">
        <f>Europe!B1625+"$F;@!0As"</f>
        <v>#VALUE!</v>
      </c>
      <c r="AB288" t="e">
        <f>Europe!C1625+"$F;@!0At"</f>
        <v>#VALUE!</v>
      </c>
      <c r="AC288" t="e">
        <f>Europe!D1625+"$F;@!0Au"</f>
        <v>#VALUE!</v>
      </c>
      <c r="AD288" t="e">
        <f>Europe!E1625+"$F;@!0Av"</f>
        <v>#VALUE!</v>
      </c>
      <c r="AE288" t="e">
        <f>Europe!F1625+"$F;@!0Aw"</f>
        <v>#VALUE!</v>
      </c>
      <c r="AF288" t="e">
        <f>Europe!G1625+"$F;@!0Ax"</f>
        <v>#VALUE!</v>
      </c>
      <c r="AG288" t="e">
        <f>Europe!H1625+"$F;@!0Ay"</f>
        <v>#VALUE!</v>
      </c>
      <c r="AH288" t="e">
        <f>Europe!A1626+"$F;@!0Az"</f>
        <v>#VALUE!</v>
      </c>
      <c r="AI288" t="e">
        <f>Europe!B1626+"$F;@!0A{"</f>
        <v>#VALUE!</v>
      </c>
      <c r="AJ288" t="e">
        <f>Europe!C1626+"$F;@!0A|"</f>
        <v>#VALUE!</v>
      </c>
      <c r="AK288" t="e">
        <f>Europe!D1626+"$F;@!0A}"</f>
        <v>#VALUE!</v>
      </c>
      <c r="AL288" t="e">
        <f>Europe!E1626+"$F;@!0A~"</f>
        <v>#VALUE!</v>
      </c>
      <c r="AM288" t="e">
        <f>Europe!F1626+"$F;@!0B#"</f>
        <v>#VALUE!</v>
      </c>
      <c r="AN288" t="e">
        <f>Europe!G1626+"$F;@!0B$"</f>
        <v>#VALUE!</v>
      </c>
      <c r="AO288" t="e">
        <f>Europe!H1626+"$F;@!0B%"</f>
        <v>#VALUE!</v>
      </c>
      <c r="AP288" t="e">
        <f>Europe!A1627+"$F;@!0B&amp;"</f>
        <v>#VALUE!</v>
      </c>
      <c r="AQ288" t="e">
        <f>Europe!B1627+"$F;@!0B'"</f>
        <v>#VALUE!</v>
      </c>
      <c r="AR288" t="e">
        <f>Europe!C1627+"$F;@!0B("</f>
        <v>#VALUE!</v>
      </c>
      <c r="AS288" t="e">
        <f>Europe!D1627+"$F;@!0B)"</f>
        <v>#VALUE!</v>
      </c>
      <c r="AT288" t="e">
        <f>Europe!E1627+"$F;@!0B."</f>
        <v>#VALUE!</v>
      </c>
      <c r="AU288" t="e">
        <f>Europe!F1627+"$F;@!0B/"</f>
        <v>#VALUE!</v>
      </c>
      <c r="AV288" t="e">
        <f>Europe!G1627+"$F;@!0B0"</f>
        <v>#VALUE!</v>
      </c>
      <c r="AW288" t="e">
        <f>Europe!H1627+"$F;@!0B1"</f>
        <v>#VALUE!</v>
      </c>
      <c r="AX288" t="e">
        <f>Europe!A1628+"$F;@!0B2"</f>
        <v>#VALUE!</v>
      </c>
      <c r="AY288" t="e">
        <f>Europe!B1628+"$F;@!0B3"</f>
        <v>#VALUE!</v>
      </c>
      <c r="AZ288" t="e">
        <f>Europe!C1628+"$F;@!0B4"</f>
        <v>#VALUE!</v>
      </c>
      <c r="BA288" t="e">
        <f>Europe!D1628+"$F;@!0B5"</f>
        <v>#VALUE!</v>
      </c>
      <c r="BB288" t="e">
        <f>Europe!E1628+"$F;@!0B6"</f>
        <v>#VALUE!</v>
      </c>
      <c r="BC288" t="e">
        <f>Europe!F1628+"$F;@!0B7"</f>
        <v>#VALUE!</v>
      </c>
      <c r="BD288" t="e">
        <f>Europe!G1628+"$F;@!0B8"</f>
        <v>#VALUE!</v>
      </c>
      <c r="BE288" t="e">
        <f>Europe!H1628+"$F;@!0B9"</f>
        <v>#VALUE!</v>
      </c>
      <c r="BF288" t="e">
        <f>Europe!A1629+"$F;@!0B:"</f>
        <v>#VALUE!</v>
      </c>
      <c r="BG288" t="e">
        <f>Europe!B1629+"$F;@!0B;"</f>
        <v>#VALUE!</v>
      </c>
      <c r="BH288" t="e">
        <f>Europe!C1629+"$F;@!0B&lt;"</f>
        <v>#VALUE!</v>
      </c>
      <c r="BI288" t="e">
        <f>Europe!D1629+"$F;@!0B="</f>
        <v>#VALUE!</v>
      </c>
      <c r="BJ288" t="e">
        <f>Europe!E1629+"$F;@!0B&gt;"</f>
        <v>#VALUE!</v>
      </c>
      <c r="BK288" t="e">
        <f>Europe!F1629+"$F;@!0B?"</f>
        <v>#VALUE!</v>
      </c>
      <c r="BL288" t="e">
        <f>Europe!G1629+"$F;@!0B@"</f>
        <v>#VALUE!</v>
      </c>
      <c r="BM288" t="e">
        <f>Europe!H1629+"$F;@!0BA"</f>
        <v>#VALUE!</v>
      </c>
      <c r="BN288" t="e">
        <f>Europe!A1630+"$F;@!0BB"</f>
        <v>#VALUE!</v>
      </c>
      <c r="BO288" t="e">
        <f>Europe!B1630+"$F;@!0BC"</f>
        <v>#VALUE!</v>
      </c>
      <c r="BP288" t="e">
        <f>Europe!C1630+"$F;@!0BD"</f>
        <v>#VALUE!</v>
      </c>
      <c r="BQ288" t="e">
        <f>Europe!D1630+"$F;@!0BE"</f>
        <v>#VALUE!</v>
      </c>
      <c r="BR288" t="e">
        <f>Europe!E1630+"$F;@!0BF"</f>
        <v>#VALUE!</v>
      </c>
      <c r="BS288" t="e">
        <f>Europe!F1630+"$F;@!0BG"</f>
        <v>#VALUE!</v>
      </c>
      <c r="BT288" t="e">
        <f>Europe!G1630+"$F;@!0BH"</f>
        <v>#VALUE!</v>
      </c>
      <c r="BU288" t="e">
        <f>Europe!H1630+"$F;@!0BI"</f>
        <v>#VALUE!</v>
      </c>
      <c r="BV288" t="e">
        <f>Europe!A1631+"$F;@!0BJ"</f>
        <v>#VALUE!</v>
      </c>
      <c r="BW288" t="e">
        <f>Europe!B1631+"$F;@!0BK"</f>
        <v>#VALUE!</v>
      </c>
      <c r="BX288" t="e">
        <f>Europe!C1631+"$F;@!0BL"</f>
        <v>#VALUE!</v>
      </c>
      <c r="BY288" t="e">
        <f>Europe!D1631+"$F;@!0BM"</f>
        <v>#VALUE!</v>
      </c>
      <c r="BZ288" t="e">
        <f>Europe!E1631+"$F;@!0BN"</f>
        <v>#VALUE!</v>
      </c>
      <c r="CA288" t="e">
        <f>Europe!F1631+"$F;@!0BO"</f>
        <v>#VALUE!</v>
      </c>
      <c r="CB288" t="e">
        <f>Europe!G1631+"$F;@!0BP"</f>
        <v>#VALUE!</v>
      </c>
      <c r="CC288" t="e">
        <f>Europe!H1631+"$F;@!0BQ"</f>
        <v>#VALUE!</v>
      </c>
      <c r="CD288" t="e">
        <f>Europe!A1632+"$F;@!0BR"</f>
        <v>#VALUE!</v>
      </c>
      <c r="CE288" t="e">
        <f>Europe!B1632+"$F;@!0BS"</f>
        <v>#VALUE!</v>
      </c>
      <c r="CF288" t="e">
        <f>Europe!C1632+"$F;@!0BT"</f>
        <v>#VALUE!</v>
      </c>
      <c r="CG288" t="e">
        <f>Europe!D1632+"$F;@!0BU"</f>
        <v>#VALUE!</v>
      </c>
      <c r="CH288" t="e">
        <f>Europe!E1632+"$F;@!0BV"</f>
        <v>#VALUE!</v>
      </c>
      <c r="CI288" t="e">
        <f>Europe!F1632+"$F;@!0BW"</f>
        <v>#VALUE!</v>
      </c>
      <c r="CJ288" t="e">
        <f>Europe!G1632+"$F;@!0BX"</f>
        <v>#VALUE!</v>
      </c>
      <c r="CK288" t="e">
        <f>Europe!H1632+"$F;@!0BY"</f>
        <v>#VALUE!</v>
      </c>
      <c r="CL288" t="e">
        <f>Europe!A1633+"$F;@!0BZ"</f>
        <v>#VALUE!</v>
      </c>
      <c r="CM288" t="e">
        <f>Europe!B1633+"$F;@!0B["</f>
        <v>#VALUE!</v>
      </c>
      <c r="CN288" t="e">
        <f>Europe!C1633+"$F;@!0B\"</f>
        <v>#VALUE!</v>
      </c>
      <c r="CO288" t="e">
        <f>Europe!D1633+"$F;@!0B]"</f>
        <v>#VALUE!</v>
      </c>
      <c r="CP288" t="e">
        <f>Europe!E1633+"$F;@!0B^"</f>
        <v>#VALUE!</v>
      </c>
      <c r="CQ288" t="e">
        <f>Europe!F1633+"$F;@!0B_"</f>
        <v>#VALUE!</v>
      </c>
      <c r="CR288" t="e">
        <f>Europe!G1633+"$F;@!0B`"</f>
        <v>#VALUE!</v>
      </c>
      <c r="CS288" t="e">
        <f>Europe!H1633+"$F;@!0Ba"</f>
        <v>#VALUE!</v>
      </c>
      <c r="CT288" t="e">
        <f>Europe!A1634+"$F;@!0Bb"</f>
        <v>#VALUE!</v>
      </c>
      <c r="CU288" t="e">
        <f>Europe!B1634+"$F;@!0Bc"</f>
        <v>#VALUE!</v>
      </c>
      <c r="CV288" t="e">
        <f>Europe!C1634+"$F;@!0Bd"</f>
        <v>#VALUE!</v>
      </c>
      <c r="CW288" t="e">
        <f>Europe!D1634+"$F;@!0Be"</f>
        <v>#VALUE!</v>
      </c>
      <c r="CX288" t="e">
        <f>Europe!E1634+"$F;@!0Bf"</f>
        <v>#VALUE!</v>
      </c>
      <c r="CY288" t="e">
        <f>Europe!F1634+"$F;@!0Bg"</f>
        <v>#VALUE!</v>
      </c>
      <c r="CZ288" t="e">
        <f>Europe!G1634+"$F;@!0Bh"</f>
        <v>#VALUE!</v>
      </c>
      <c r="DA288" t="e">
        <f>Europe!H1634+"$F;@!0Bi"</f>
        <v>#VALUE!</v>
      </c>
      <c r="DB288" t="e">
        <f>Europe!A1635+"$F;@!0Bj"</f>
        <v>#VALUE!</v>
      </c>
      <c r="DC288" t="e">
        <f>Europe!B1635+"$F;@!0Bk"</f>
        <v>#VALUE!</v>
      </c>
      <c r="DD288" t="e">
        <f>Europe!C1635+"$F;@!0Bl"</f>
        <v>#VALUE!</v>
      </c>
      <c r="DE288" t="e">
        <f>Europe!D1635+"$F;@!0Bm"</f>
        <v>#VALUE!</v>
      </c>
      <c r="DF288" t="e">
        <f>Europe!E1635+"$F;@!0Bn"</f>
        <v>#VALUE!</v>
      </c>
      <c r="DG288" t="e">
        <f>Europe!F1635+"$F;@!0Bo"</f>
        <v>#VALUE!</v>
      </c>
      <c r="DH288" t="e">
        <f>Europe!G1635+"$F;@!0Bp"</f>
        <v>#VALUE!</v>
      </c>
      <c r="DI288" t="e">
        <f>Europe!H1635+"$F;@!0Bq"</f>
        <v>#VALUE!</v>
      </c>
      <c r="DJ288" t="e">
        <f>Europe!A1636+"$F;@!0Br"</f>
        <v>#VALUE!</v>
      </c>
      <c r="DK288" t="e">
        <f>Europe!B1636+"$F;@!0Bs"</f>
        <v>#VALUE!</v>
      </c>
      <c r="DL288" t="e">
        <f>Europe!C1636+"$F;@!0Bt"</f>
        <v>#VALUE!</v>
      </c>
      <c r="DM288" t="e">
        <f>Europe!D1636+"$F;@!0Bu"</f>
        <v>#VALUE!</v>
      </c>
      <c r="DN288" t="e">
        <f>Europe!E1636+"$F;@!0Bv"</f>
        <v>#VALUE!</v>
      </c>
      <c r="DO288" t="e">
        <f>Europe!F1636+"$F;@!0Bw"</f>
        <v>#VALUE!</v>
      </c>
      <c r="DP288" t="e">
        <f>Europe!G1636+"$F;@!0Bx"</f>
        <v>#VALUE!</v>
      </c>
      <c r="DQ288" t="e">
        <f>Europe!H1636+"$F;@!0By"</f>
        <v>#VALUE!</v>
      </c>
      <c r="DR288" t="e">
        <f>Europe!A1637+"$F;@!0Bz"</f>
        <v>#VALUE!</v>
      </c>
      <c r="DS288" t="e">
        <f>Europe!B1637+"$F;@!0B{"</f>
        <v>#VALUE!</v>
      </c>
      <c r="DT288" t="e">
        <f>Europe!C1637+"$F;@!0B|"</f>
        <v>#VALUE!</v>
      </c>
      <c r="DU288" t="e">
        <f>Europe!D1637+"$F;@!0B}"</f>
        <v>#VALUE!</v>
      </c>
      <c r="DV288" t="e">
        <f>Europe!E1637+"$F;@!0B~"</f>
        <v>#VALUE!</v>
      </c>
      <c r="DW288" t="e">
        <f>Europe!F1637+"$F;@!0C#"</f>
        <v>#VALUE!</v>
      </c>
      <c r="DX288" t="e">
        <f>Europe!G1637+"$F;@!0C$"</f>
        <v>#VALUE!</v>
      </c>
      <c r="DY288" t="e">
        <f>Europe!H1637+"$F;@!0C%"</f>
        <v>#VALUE!</v>
      </c>
      <c r="DZ288" t="e">
        <f>Europe!A1638+"$F;@!0C&amp;"</f>
        <v>#VALUE!</v>
      </c>
      <c r="EA288" t="e">
        <f>Europe!B1638+"$F;@!0C'"</f>
        <v>#VALUE!</v>
      </c>
      <c r="EB288" t="e">
        <f>Europe!C1638+"$F;@!0C("</f>
        <v>#VALUE!</v>
      </c>
      <c r="EC288" t="e">
        <f>Europe!D1638+"$F;@!0C)"</f>
        <v>#VALUE!</v>
      </c>
      <c r="ED288" t="e">
        <f>Europe!E1638+"$F;@!0C."</f>
        <v>#VALUE!</v>
      </c>
      <c r="EE288" t="e">
        <f>Europe!F1638+"$F;@!0C/"</f>
        <v>#VALUE!</v>
      </c>
      <c r="EF288" t="e">
        <f>Europe!G1638+"$F;@!0C0"</f>
        <v>#VALUE!</v>
      </c>
      <c r="EG288" t="e">
        <f>Europe!H1638+"$F;@!0C1"</f>
        <v>#VALUE!</v>
      </c>
      <c r="EH288" t="e">
        <f>Europe!A1639+"$F;@!0C2"</f>
        <v>#VALUE!</v>
      </c>
      <c r="EI288" t="e">
        <f>Europe!B1639+"$F;@!0C3"</f>
        <v>#VALUE!</v>
      </c>
      <c r="EJ288" t="e">
        <f>Europe!C1639+"$F;@!0C4"</f>
        <v>#VALUE!</v>
      </c>
      <c r="EK288" t="e">
        <f>Europe!D1639+"$F;@!0C5"</f>
        <v>#VALUE!</v>
      </c>
      <c r="EL288" t="e">
        <f>Europe!E1639+"$F;@!0C6"</f>
        <v>#VALUE!</v>
      </c>
      <c r="EM288" t="e">
        <f>Europe!F1639+"$F;@!0C7"</f>
        <v>#VALUE!</v>
      </c>
      <c r="EN288" t="e">
        <f>Europe!G1639+"$F;@!0C8"</f>
        <v>#VALUE!</v>
      </c>
      <c r="EO288" t="e">
        <f>Europe!H1639+"$F;@!0C9"</f>
        <v>#VALUE!</v>
      </c>
      <c r="EP288" t="e">
        <f>Europe!A1640+"$F;@!0C:"</f>
        <v>#VALUE!</v>
      </c>
      <c r="EQ288" t="e">
        <f>Europe!B1640+"$F;@!0C;"</f>
        <v>#VALUE!</v>
      </c>
      <c r="ER288" t="e">
        <f>Europe!C1640+"$F;@!0C&lt;"</f>
        <v>#VALUE!</v>
      </c>
      <c r="ES288" t="e">
        <f>Europe!D1640+"$F;@!0C="</f>
        <v>#VALUE!</v>
      </c>
      <c r="ET288" t="e">
        <f>Europe!E1640+"$F;@!0C&gt;"</f>
        <v>#VALUE!</v>
      </c>
      <c r="EU288" t="e">
        <f>Europe!F1640+"$F;@!0C?"</f>
        <v>#VALUE!</v>
      </c>
      <c r="EV288" t="e">
        <f>Europe!G1640+"$F;@!0C@"</f>
        <v>#VALUE!</v>
      </c>
      <c r="EW288" t="e">
        <f>Europe!H1640+"$F;@!0CA"</f>
        <v>#VALUE!</v>
      </c>
      <c r="EX288" t="e">
        <f>Europe!A1641+"$F;@!0CB"</f>
        <v>#VALUE!</v>
      </c>
      <c r="EY288" t="e">
        <f>Europe!B1641+"$F;@!0CC"</f>
        <v>#VALUE!</v>
      </c>
      <c r="EZ288" t="e">
        <f>Europe!C1641+"$F;@!0CD"</f>
        <v>#VALUE!</v>
      </c>
      <c r="FA288" t="e">
        <f>Europe!D1641+"$F;@!0CE"</f>
        <v>#VALUE!</v>
      </c>
      <c r="FB288" t="e">
        <f>Europe!E1641+"$F;@!0CF"</f>
        <v>#VALUE!</v>
      </c>
      <c r="FC288" t="e">
        <f>Europe!F1641+"$F;@!0CG"</f>
        <v>#VALUE!</v>
      </c>
      <c r="FD288" t="e">
        <f>Europe!G1641+"$F;@!0CH"</f>
        <v>#VALUE!</v>
      </c>
      <c r="FE288" t="e">
        <f>Europe!H1641+"$F;@!0CI"</f>
        <v>#VALUE!</v>
      </c>
      <c r="FF288" t="e">
        <f>Europe!A1642+"$F;@!0CJ"</f>
        <v>#VALUE!</v>
      </c>
      <c r="FG288" t="e">
        <f>Europe!B1642+"$F;@!0CK"</f>
        <v>#VALUE!</v>
      </c>
      <c r="FH288" t="e">
        <f>Europe!C1642+"$F;@!0CL"</f>
        <v>#VALUE!</v>
      </c>
      <c r="FI288" t="e">
        <f>Europe!D1642+"$F;@!0CM"</f>
        <v>#VALUE!</v>
      </c>
      <c r="FJ288" t="e">
        <f>Europe!E1642+"$F;@!0CN"</f>
        <v>#VALUE!</v>
      </c>
      <c r="FK288" t="e">
        <f>Europe!F1642+"$F;@!0CO"</f>
        <v>#VALUE!</v>
      </c>
      <c r="FL288" t="e">
        <f>Europe!G1642+"$F;@!0CP"</f>
        <v>#VALUE!</v>
      </c>
      <c r="FM288" t="e">
        <f>Europe!H1642+"$F;@!0CQ"</f>
        <v>#VALUE!</v>
      </c>
      <c r="FN288" t="e">
        <f>Europe!A1643+"$F;@!0CR"</f>
        <v>#VALUE!</v>
      </c>
      <c r="FO288" t="e">
        <f>Europe!B1643+"$F;@!0CS"</f>
        <v>#VALUE!</v>
      </c>
      <c r="FP288" t="e">
        <f>Europe!C1643+"$F;@!0CT"</f>
        <v>#VALUE!</v>
      </c>
      <c r="FQ288" t="e">
        <f>Europe!D1643+"$F;@!0CU"</f>
        <v>#VALUE!</v>
      </c>
      <c r="FR288" t="e">
        <f>Europe!E1643+"$F;@!0CV"</f>
        <v>#VALUE!</v>
      </c>
      <c r="FS288" t="e">
        <f>Europe!F1643+"$F;@!0CW"</f>
        <v>#VALUE!</v>
      </c>
      <c r="FT288" t="e">
        <f>Europe!G1643+"$F;@!0CX"</f>
        <v>#VALUE!</v>
      </c>
      <c r="FU288" t="e">
        <f>Europe!H1643+"$F;@!0CY"</f>
        <v>#VALUE!</v>
      </c>
      <c r="FV288" t="e">
        <f>Europe!A1644+"$F;@!0CZ"</f>
        <v>#VALUE!</v>
      </c>
      <c r="FW288" t="e">
        <f>Europe!B1644+"$F;@!0C["</f>
        <v>#VALUE!</v>
      </c>
      <c r="FX288" t="e">
        <f>Europe!C1644+"$F;@!0C\"</f>
        <v>#VALUE!</v>
      </c>
      <c r="FY288" t="e">
        <f>Europe!D1644+"$F;@!0C]"</f>
        <v>#VALUE!</v>
      </c>
      <c r="FZ288" t="e">
        <f>Europe!E1644+"$F;@!0C^"</f>
        <v>#VALUE!</v>
      </c>
      <c r="GA288" t="e">
        <f>Europe!F1644+"$F;@!0C_"</f>
        <v>#VALUE!</v>
      </c>
      <c r="GB288" t="e">
        <f>Europe!G1644+"$F;@!0C`"</f>
        <v>#VALUE!</v>
      </c>
      <c r="GC288" t="e">
        <f>Europe!H1644+"$F;@!0Ca"</f>
        <v>#VALUE!</v>
      </c>
      <c r="GD288" t="e">
        <f>Europe!A1645+"$F;@!0Cb"</f>
        <v>#VALUE!</v>
      </c>
      <c r="GE288" t="e">
        <f>Europe!B1645+"$F;@!0Cc"</f>
        <v>#VALUE!</v>
      </c>
      <c r="GF288" t="e">
        <f>Europe!C1645+"$F;@!0Cd"</f>
        <v>#VALUE!</v>
      </c>
      <c r="GG288" t="e">
        <f>Europe!D1645+"$F;@!0Ce"</f>
        <v>#VALUE!</v>
      </c>
      <c r="GH288" t="e">
        <f>Europe!E1645+"$F;@!0Cf"</f>
        <v>#VALUE!</v>
      </c>
      <c r="GI288" t="e">
        <f>Europe!F1645+"$F;@!0Cg"</f>
        <v>#VALUE!</v>
      </c>
      <c r="GJ288" t="e">
        <f>Europe!G1645+"$F;@!0Ch"</f>
        <v>#VALUE!</v>
      </c>
      <c r="GK288" t="e">
        <f>Europe!H1645+"$F;@!0Ci"</f>
        <v>#VALUE!</v>
      </c>
      <c r="GL288" t="e">
        <f>Europe!A1646+"$F;@!0Cj"</f>
        <v>#VALUE!</v>
      </c>
      <c r="GM288" t="e">
        <f>Europe!B1646+"$F;@!0Ck"</f>
        <v>#VALUE!</v>
      </c>
      <c r="GN288" t="e">
        <f>Europe!C1646+"$F;@!0Cl"</f>
        <v>#VALUE!</v>
      </c>
      <c r="GO288" t="e">
        <f>Europe!D1646+"$F;@!0Cm"</f>
        <v>#VALUE!</v>
      </c>
      <c r="GP288" t="e">
        <f>Europe!E1646+"$F;@!0Cn"</f>
        <v>#VALUE!</v>
      </c>
      <c r="GQ288" t="e">
        <f>Europe!F1646+"$F;@!0Co"</f>
        <v>#VALUE!</v>
      </c>
      <c r="GR288" t="e">
        <f>Europe!G1646+"$F;@!0Cp"</f>
        <v>#VALUE!</v>
      </c>
      <c r="GS288" t="e">
        <f>Europe!H1646+"$F;@!0Cq"</f>
        <v>#VALUE!</v>
      </c>
      <c r="GT288" t="e">
        <f>Europe!A1647+"$F;@!0Cr"</f>
        <v>#VALUE!</v>
      </c>
      <c r="GU288" t="e">
        <f>Europe!B1647+"$F;@!0Cs"</f>
        <v>#VALUE!</v>
      </c>
      <c r="GV288" t="e">
        <f>Europe!C1647+"$F;@!0Ct"</f>
        <v>#VALUE!</v>
      </c>
      <c r="GW288" t="e">
        <f>Europe!D1647+"$F;@!0Cu"</f>
        <v>#VALUE!</v>
      </c>
      <c r="GX288" t="e">
        <f>Europe!E1647+"$F;@!0Cv"</f>
        <v>#VALUE!</v>
      </c>
      <c r="GY288" t="e">
        <f>Europe!F1647+"$F;@!0Cw"</f>
        <v>#VALUE!</v>
      </c>
      <c r="GZ288" t="e">
        <f>Europe!G1647+"$F;@!0Cx"</f>
        <v>#VALUE!</v>
      </c>
      <c r="HA288" t="e">
        <f>Europe!H1647+"$F;@!0Cy"</f>
        <v>#VALUE!</v>
      </c>
      <c r="HB288" t="e">
        <f>Europe!A1648+"$F;@!0Cz"</f>
        <v>#VALUE!</v>
      </c>
      <c r="HC288" t="e">
        <f>Europe!B1648+"$F;@!0C{"</f>
        <v>#VALUE!</v>
      </c>
      <c r="HD288" t="e">
        <f>Europe!C1648+"$F;@!0C|"</f>
        <v>#VALUE!</v>
      </c>
      <c r="HE288" t="e">
        <f>Europe!D1648+"$F;@!0C}"</f>
        <v>#VALUE!</v>
      </c>
      <c r="HF288" t="e">
        <f>Europe!E1648+"$F;@!0C~"</f>
        <v>#VALUE!</v>
      </c>
      <c r="HG288" t="e">
        <f>Europe!F1648+"$F;@!0D#"</f>
        <v>#VALUE!</v>
      </c>
      <c r="HH288" t="e">
        <f>Europe!G1648+"$F;@!0D$"</f>
        <v>#VALUE!</v>
      </c>
      <c r="HI288" t="e">
        <f>Europe!H1648+"$F;@!0D%"</f>
        <v>#VALUE!</v>
      </c>
      <c r="HJ288" t="e">
        <f>Europe!A1649+"$F;@!0D&amp;"</f>
        <v>#VALUE!</v>
      </c>
      <c r="HK288" t="e">
        <f>Europe!B1649+"$F;@!0D'"</f>
        <v>#VALUE!</v>
      </c>
      <c r="HL288" t="e">
        <f>Europe!C1649+"$F;@!0D("</f>
        <v>#VALUE!</v>
      </c>
      <c r="HM288" t="e">
        <f>Europe!D1649+"$F;@!0D)"</f>
        <v>#VALUE!</v>
      </c>
      <c r="HN288" t="e">
        <f>Europe!E1649+"$F;@!0D."</f>
        <v>#VALUE!</v>
      </c>
      <c r="HO288" t="e">
        <f>Europe!F1649+"$F;@!0D/"</f>
        <v>#VALUE!</v>
      </c>
      <c r="HP288" t="e">
        <f>Europe!G1649+"$F;@!0D0"</f>
        <v>#VALUE!</v>
      </c>
      <c r="HQ288" t="e">
        <f>Europe!H1649+"$F;@!0D1"</f>
        <v>#VALUE!</v>
      </c>
      <c r="HR288" t="e">
        <f>Europe!A1650+"$F;@!0D2"</f>
        <v>#VALUE!</v>
      </c>
      <c r="HS288" t="e">
        <f>Europe!B1650+"$F;@!0D3"</f>
        <v>#VALUE!</v>
      </c>
      <c r="HT288" t="e">
        <f>Europe!C1650+"$F;@!0D4"</f>
        <v>#VALUE!</v>
      </c>
      <c r="HU288" t="e">
        <f>Europe!D1650+"$F;@!0D5"</f>
        <v>#VALUE!</v>
      </c>
      <c r="HV288" t="e">
        <f>Europe!E1650+"$F;@!0D6"</f>
        <v>#VALUE!</v>
      </c>
      <c r="HW288" t="e">
        <f>Europe!F1650+"$F;@!0D7"</f>
        <v>#VALUE!</v>
      </c>
      <c r="HX288" t="e">
        <f>Europe!G1650+"$F;@!0D8"</f>
        <v>#VALUE!</v>
      </c>
      <c r="HY288" t="e">
        <f>Europe!H1650+"$F;@!0D9"</f>
        <v>#VALUE!</v>
      </c>
      <c r="HZ288" t="e">
        <f>Europe!A1651+"$F;@!0D:"</f>
        <v>#VALUE!</v>
      </c>
      <c r="IA288" t="e">
        <f>Europe!B1651+"$F;@!0D;"</f>
        <v>#VALUE!</v>
      </c>
      <c r="IB288" t="e">
        <f>Europe!C1651+"$F;@!0D&lt;"</f>
        <v>#VALUE!</v>
      </c>
      <c r="IC288" t="e">
        <f>Europe!D1651+"$F;@!0D="</f>
        <v>#VALUE!</v>
      </c>
      <c r="ID288" t="e">
        <f>Europe!E1651+"$F;@!0D&gt;"</f>
        <v>#VALUE!</v>
      </c>
      <c r="IE288" t="e">
        <f>Europe!F1651+"$F;@!0D?"</f>
        <v>#VALUE!</v>
      </c>
      <c r="IF288" t="e">
        <f>Europe!G1651+"$F;@!0D@"</f>
        <v>#VALUE!</v>
      </c>
      <c r="IG288" t="e">
        <f>Europe!H1651+"$F;@!0DA"</f>
        <v>#VALUE!</v>
      </c>
      <c r="IH288" t="e">
        <f>Europe!A1652+"$F;@!0DB"</f>
        <v>#VALUE!</v>
      </c>
      <c r="II288" t="e">
        <f>Europe!B1652+"$F;@!0DC"</f>
        <v>#VALUE!</v>
      </c>
      <c r="IJ288" t="e">
        <f>Europe!C1652+"$F;@!0DD"</f>
        <v>#VALUE!</v>
      </c>
      <c r="IK288" t="e">
        <f>Europe!D1652+"$F;@!0DE"</f>
        <v>#VALUE!</v>
      </c>
      <c r="IL288" t="e">
        <f>Europe!E1652+"$F;@!0DF"</f>
        <v>#VALUE!</v>
      </c>
      <c r="IM288" t="e">
        <f>Europe!F1652+"$F;@!0DG"</f>
        <v>#VALUE!</v>
      </c>
      <c r="IN288" t="e">
        <f>Europe!G1652+"$F;@!0DH"</f>
        <v>#VALUE!</v>
      </c>
      <c r="IO288" t="e">
        <f>Europe!H1652+"$F;@!0DI"</f>
        <v>#VALUE!</v>
      </c>
      <c r="IP288" t="e">
        <f>Europe!A1653+"$F;@!0DJ"</f>
        <v>#VALUE!</v>
      </c>
      <c r="IQ288" t="e">
        <f>Europe!B1653+"$F;@!0DK"</f>
        <v>#VALUE!</v>
      </c>
      <c r="IR288" t="e">
        <f>Europe!C1653+"$F;@!0DL"</f>
        <v>#VALUE!</v>
      </c>
      <c r="IS288" t="e">
        <f>Europe!D1653+"$F;@!0DM"</f>
        <v>#VALUE!</v>
      </c>
      <c r="IT288" t="e">
        <f>Europe!E1653+"$F;@!0DN"</f>
        <v>#VALUE!</v>
      </c>
      <c r="IU288" t="e">
        <f>Europe!F1653+"$F;@!0DO"</f>
        <v>#VALUE!</v>
      </c>
      <c r="IV288" t="e">
        <f>Europe!G1653+"$F;@!0DP"</f>
        <v>#VALUE!</v>
      </c>
    </row>
    <row r="289" spans="6:256" x14ac:dyDescent="0.35">
      <c r="F289" t="e">
        <f>Europe!H1653+"$F;@!0DQ"</f>
        <v>#VALUE!</v>
      </c>
      <c r="G289" t="e">
        <f>Europe!A1654+"$F;@!0DR"</f>
        <v>#VALUE!</v>
      </c>
      <c r="H289" t="e">
        <f>Europe!B1654+"$F;@!0DS"</f>
        <v>#VALUE!</v>
      </c>
      <c r="I289" t="e">
        <f>Europe!C1654+"$F;@!0DT"</f>
        <v>#VALUE!</v>
      </c>
      <c r="J289" t="e">
        <f>Europe!D1654+"$F;@!0DU"</f>
        <v>#VALUE!</v>
      </c>
      <c r="K289" t="e">
        <f>Europe!E1654+"$F;@!0DV"</f>
        <v>#VALUE!</v>
      </c>
      <c r="L289" t="e">
        <f>Europe!F1654+"$F;@!0DW"</f>
        <v>#VALUE!</v>
      </c>
      <c r="M289" t="e">
        <f>Europe!G1654+"$F;@!0DX"</f>
        <v>#VALUE!</v>
      </c>
      <c r="N289" t="e">
        <f>Europe!H1654+"$F;@!0DY"</f>
        <v>#VALUE!</v>
      </c>
      <c r="O289" t="e">
        <f>Europe!A1655+"$F;@!0DZ"</f>
        <v>#VALUE!</v>
      </c>
      <c r="P289" t="e">
        <f>Europe!B1655+"$F;@!0D["</f>
        <v>#VALUE!</v>
      </c>
      <c r="Q289" t="e">
        <f>Europe!C1655+"$F;@!0D\"</f>
        <v>#VALUE!</v>
      </c>
      <c r="R289" t="e">
        <f>Europe!D1655+"$F;@!0D]"</f>
        <v>#VALUE!</v>
      </c>
      <c r="S289" t="e">
        <f>Europe!E1655+"$F;@!0D^"</f>
        <v>#VALUE!</v>
      </c>
      <c r="T289" t="e">
        <f>Europe!F1655+"$F;@!0D_"</f>
        <v>#VALUE!</v>
      </c>
      <c r="U289" t="e">
        <f>Europe!G1655+"$F;@!0D`"</f>
        <v>#VALUE!</v>
      </c>
      <c r="V289" t="e">
        <f>Europe!H1655+"$F;@!0Da"</f>
        <v>#VALUE!</v>
      </c>
      <c r="W289" t="e">
        <f>Europe!A1656+"$F;@!0Db"</f>
        <v>#VALUE!</v>
      </c>
      <c r="X289" t="e">
        <f>Europe!B1656+"$F;@!0Dc"</f>
        <v>#VALUE!</v>
      </c>
      <c r="Y289" t="e">
        <f>Europe!C1656+"$F;@!0Dd"</f>
        <v>#VALUE!</v>
      </c>
      <c r="Z289" t="e">
        <f>Europe!D1656+"$F;@!0De"</f>
        <v>#VALUE!</v>
      </c>
      <c r="AA289" t="e">
        <f>Europe!E1656+"$F;@!0Df"</f>
        <v>#VALUE!</v>
      </c>
      <c r="AB289" t="e">
        <f>Europe!F1656+"$F;@!0Dg"</f>
        <v>#VALUE!</v>
      </c>
      <c r="AC289" t="e">
        <f>Europe!G1656+"$F;@!0Dh"</f>
        <v>#VALUE!</v>
      </c>
      <c r="AD289" t="e">
        <f>Europe!H1656+"$F;@!0Di"</f>
        <v>#VALUE!</v>
      </c>
      <c r="AE289" t="e">
        <f>Europe!A1657+"$F;@!0Dj"</f>
        <v>#VALUE!</v>
      </c>
      <c r="AF289" t="e">
        <f>Europe!B1657+"$F;@!0Dk"</f>
        <v>#VALUE!</v>
      </c>
      <c r="AG289" t="e">
        <f>Europe!C1657+"$F;@!0Dl"</f>
        <v>#VALUE!</v>
      </c>
      <c r="AH289" t="e">
        <f>Europe!D1657+"$F;@!0Dm"</f>
        <v>#VALUE!</v>
      </c>
      <c r="AI289" t="e">
        <f>Europe!E1657+"$F;@!0Dn"</f>
        <v>#VALUE!</v>
      </c>
      <c r="AJ289" t="e">
        <f>Europe!F1657+"$F;@!0Do"</f>
        <v>#VALUE!</v>
      </c>
      <c r="AK289" t="e">
        <f>Europe!G1657+"$F;@!0Dp"</f>
        <v>#VALUE!</v>
      </c>
      <c r="AL289" t="e">
        <f>Europe!H1657+"$F;@!0Dq"</f>
        <v>#VALUE!</v>
      </c>
      <c r="AM289" t="e">
        <f>Europe!A1658+"$F;@!0Dr"</f>
        <v>#VALUE!</v>
      </c>
      <c r="AN289" t="e">
        <f>Europe!B1658+"$F;@!0Ds"</f>
        <v>#VALUE!</v>
      </c>
      <c r="AO289" t="e">
        <f>Europe!C1658+"$F;@!0Dt"</f>
        <v>#VALUE!</v>
      </c>
      <c r="AP289" t="e">
        <f>Europe!D1658+"$F;@!0Du"</f>
        <v>#VALUE!</v>
      </c>
      <c r="AQ289" t="e">
        <f>Europe!E1658+"$F;@!0Dv"</f>
        <v>#VALUE!</v>
      </c>
      <c r="AR289" t="e">
        <f>Europe!F1658+"$F;@!0Dw"</f>
        <v>#VALUE!</v>
      </c>
      <c r="AS289" t="e">
        <f>Europe!G1658+"$F;@!0Dx"</f>
        <v>#VALUE!</v>
      </c>
      <c r="AT289" t="e">
        <f>Europe!H1658+"$F;@!0Dy"</f>
        <v>#VALUE!</v>
      </c>
      <c r="AU289" t="e">
        <f>Europe!A1659+"$F;@!0Dz"</f>
        <v>#VALUE!</v>
      </c>
      <c r="AV289" t="e">
        <f>Europe!B1659+"$F;@!0D{"</f>
        <v>#VALUE!</v>
      </c>
      <c r="AW289" t="e">
        <f>Europe!C1659+"$F;@!0D|"</f>
        <v>#VALUE!</v>
      </c>
      <c r="AX289" t="e">
        <f>Europe!D1659+"$F;@!0D}"</f>
        <v>#VALUE!</v>
      </c>
      <c r="AY289" t="e">
        <f>Europe!E1659+"$F;@!0D~"</f>
        <v>#VALUE!</v>
      </c>
      <c r="AZ289" t="e">
        <f>Europe!F1659+"$F;@!0E#"</f>
        <v>#VALUE!</v>
      </c>
      <c r="BA289" t="e">
        <f>Europe!G1659+"$F;@!0E$"</f>
        <v>#VALUE!</v>
      </c>
      <c r="BB289" t="e">
        <f>Europe!H1659+"$F;@!0E%"</f>
        <v>#VALUE!</v>
      </c>
      <c r="BC289" t="e">
        <f>Europe!A1660+"$F;@!0E&amp;"</f>
        <v>#VALUE!</v>
      </c>
      <c r="BD289" t="e">
        <f>Europe!B1660+"$F;@!0E'"</f>
        <v>#VALUE!</v>
      </c>
      <c r="BE289" t="e">
        <f>Europe!C1660+"$F;@!0E("</f>
        <v>#VALUE!</v>
      </c>
      <c r="BF289" t="e">
        <f>Europe!D1660+"$F;@!0E)"</f>
        <v>#VALUE!</v>
      </c>
      <c r="BG289" t="e">
        <f>Europe!E1660+"$F;@!0E."</f>
        <v>#VALUE!</v>
      </c>
      <c r="BH289" t="e">
        <f>Europe!F1660+"$F;@!0E/"</f>
        <v>#VALUE!</v>
      </c>
      <c r="BI289" t="e">
        <f>Europe!G1660+"$F;@!0E0"</f>
        <v>#VALUE!</v>
      </c>
      <c r="BJ289" t="e">
        <f>Europe!H1660+"$F;@!0E1"</f>
        <v>#VALUE!</v>
      </c>
      <c r="BK289" t="e">
        <f>Europe!A1661+"$F;@!0E2"</f>
        <v>#VALUE!</v>
      </c>
      <c r="BL289" t="e">
        <f>Europe!B1661+"$F;@!0E3"</f>
        <v>#VALUE!</v>
      </c>
      <c r="BM289" t="e">
        <f>Europe!C1661+"$F;@!0E4"</f>
        <v>#VALUE!</v>
      </c>
      <c r="BN289" t="e">
        <f>Europe!D1661+"$F;@!0E5"</f>
        <v>#VALUE!</v>
      </c>
      <c r="BO289" t="e">
        <f>Europe!E1661+"$F;@!0E6"</f>
        <v>#VALUE!</v>
      </c>
      <c r="BP289" t="e">
        <f>Europe!F1661+"$F;@!0E7"</f>
        <v>#VALUE!</v>
      </c>
      <c r="BQ289" t="e">
        <f>Europe!G1661+"$F;@!0E8"</f>
        <v>#VALUE!</v>
      </c>
      <c r="BR289" t="e">
        <f>Europe!H1661+"$F;@!0E9"</f>
        <v>#VALUE!</v>
      </c>
      <c r="BS289" t="e">
        <f>Europe!A1662+"$F;@!0E:"</f>
        <v>#VALUE!</v>
      </c>
      <c r="BT289" t="e">
        <f>Europe!B1662+"$F;@!0E;"</f>
        <v>#VALUE!</v>
      </c>
      <c r="BU289" t="e">
        <f>Europe!C1662+"$F;@!0E&lt;"</f>
        <v>#VALUE!</v>
      </c>
      <c r="BV289" t="e">
        <f>Europe!D1662+"$F;@!0E="</f>
        <v>#VALUE!</v>
      </c>
      <c r="BW289" t="e">
        <f>Europe!E1662+"$F;@!0E&gt;"</f>
        <v>#VALUE!</v>
      </c>
      <c r="BX289" t="e">
        <f>Europe!F1662+"$F;@!0E?"</f>
        <v>#VALUE!</v>
      </c>
      <c r="BY289" t="e">
        <f>Europe!G1662+"$F;@!0E@"</f>
        <v>#VALUE!</v>
      </c>
      <c r="BZ289" t="e">
        <f>Europe!H1662+"$F;@!0EA"</f>
        <v>#VALUE!</v>
      </c>
      <c r="CA289" t="e">
        <f>Europe!A1663+"$F;@!0EB"</f>
        <v>#VALUE!</v>
      </c>
      <c r="CB289" t="e">
        <f>Europe!B1663+"$F;@!0EC"</f>
        <v>#VALUE!</v>
      </c>
      <c r="CC289" t="e">
        <f>Europe!C1663+"$F;@!0ED"</f>
        <v>#VALUE!</v>
      </c>
      <c r="CD289" t="e">
        <f>Europe!D1663+"$F;@!0EE"</f>
        <v>#VALUE!</v>
      </c>
      <c r="CE289" t="e">
        <f>Europe!E1663+"$F;@!0EF"</f>
        <v>#VALUE!</v>
      </c>
      <c r="CF289" t="e">
        <f>Europe!F1663+"$F;@!0EG"</f>
        <v>#VALUE!</v>
      </c>
      <c r="CG289" t="e">
        <f>Europe!G1663+"$F;@!0EH"</f>
        <v>#VALUE!</v>
      </c>
      <c r="CH289" t="e">
        <f>Europe!H1663+"$F;@!0EI"</f>
        <v>#VALUE!</v>
      </c>
      <c r="CI289" t="e">
        <f>Europe!A1664+"$F;@!0EJ"</f>
        <v>#VALUE!</v>
      </c>
      <c r="CJ289" t="e">
        <f>Europe!B1664+"$F;@!0EK"</f>
        <v>#VALUE!</v>
      </c>
      <c r="CK289" t="e">
        <f>Europe!C1664+"$F;@!0EL"</f>
        <v>#VALUE!</v>
      </c>
      <c r="CL289" t="e">
        <f>Europe!D1664+"$F;@!0EM"</f>
        <v>#VALUE!</v>
      </c>
      <c r="CM289" t="e">
        <f>Europe!E1664+"$F;@!0EN"</f>
        <v>#VALUE!</v>
      </c>
      <c r="CN289" t="e">
        <f>Europe!F1664+"$F;@!0EO"</f>
        <v>#VALUE!</v>
      </c>
      <c r="CO289" t="e">
        <f>Europe!G1664+"$F;@!0EP"</f>
        <v>#VALUE!</v>
      </c>
      <c r="CP289" t="e">
        <f>Europe!H1664+"$F;@!0EQ"</f>
        <v>#VALUE!</v>
      </c>
      <c r="CQ289" t="e">
        <f>Europe!A1665+"$F;@!0ER"</f>
        <v>#VALUE!</v>
      </c>
      <c r="CR289" t="e">
        <f>Europe!B1665+"$F;@!0ES"</f>
        <v>#VALUE!</v>
      </c>
      <c r="CS289" t="e">
        <f>Europe!C1665+"$F;@!0ET"</f>
        <v>#VALUE!</v>
      </c>
      <c r="CT289" t="e">
        <f>Europe!D1665+"$F;@!0EU"</f>
        <v>#VALUE!</v>
      </c>
      <c r="CU289" t="e">
        <f>Europe!E1665+"$F;@!0EV"</f>
        <v>#VALUE!</v>
      </c>
      <c r="CV289" t="e">
        <f>Europe!F1665+"$F;@!0EW"</f>
        <v>#VALUE!</v>
      </c>
      <c r="CW289" t="e">
        <f>Europe!G1665+"$F;@!0EX"</f>
        <v>#VALUE!</v>
      </c>
      <c r="CX289" t="e">
        <f>Europe!H1665+"$F;@!0EY"</f>
        <v>#VALUE!</v>
      </c>
      <c r="CY289" t="e">
        <f>Europe!A1666+"$F;@!0EZ"</f>
        <v>#VALUE!</v>
      </c>
      <c r="CZ289" t="e">
        <f>Europe!B1666+"$F;@!0E["</f>
        <v>#VALUE!</v>
      </c>
      <c r="DA289" t="e">
        <f>Europe!C1666+"$F;@!0E\"</f>
        <v>#VALUE!</v>
      </c>
      <c r="DB289" t="e">
        <f>Europe!D1666+"$F;@!0E]"</f>
        <v>#VALUE!</v>
      </c>
      <c r="DC289" t="e">
        <f>Europe!E1666+"$F;@!0E^"</f>
        <v>#VALUE!</v>
      </c>
      <c r="DD289" t="e">
        <f>Europe!F1666+"$F;@!0E_"</f>
        <v>#VALUE!</v>
      </c>
      <c r="DE289" t="e">
        <f>Europe!G1666+"$F;@!0E`"</f>
        <v>#VALUE!</v>
      </c>
      <c r="DF289" t="e">
        <f>Europe!H1666+"$F;@!0Ea"</f>
        <v>#VALUE!</v>
      </c>
      <c r="DG289" t="e">
        <f>Europe!A1667+"$F;@!0Eb"</f>
        <v>#VALUE!</v>
      </c>
      <c r="DH289" t="e">
        <f>Europe!B1667+"$F;@!0Ec"</f>
        <v>#VALUE!</v>
      </c>
      <c r="DI289" t="e">
        <f>Europe!C1667+"$F;@!0Ed"</f>
        <v>#VALUE!</v>
      </c>
      <c r="DJ289" t="e">
        <f>Europe!D1667+"$F;@!0Ee"</f>
        <v>#VALUE!</v>
      </c>
      <c r="DK289" t="e">
        <f>Europe!E1667+"$F;@!0Ef"</f>
        <v>#VALUE!</v>
      </c>
      <c r="DL289" t="e">
        <f>Europe!F1667+"$F;@!0Eg"</f>
        <v>#VALUE!</v>
      </c>
      <c r="DM289" t="e">
        <f>Europe!G1667+"$F;@!0Eh"</f>
        <v>#VALUE!</v>
      </c>
      <c r="DN289" t="e">
        <f>Europe!H1667+"$F;@!0Ei"</f>
        <v>#VALUE!</v>
      </c>
      <c r="DO289" t="e">
        <f>Europe!A1668+"$F;@!0Ej"</f>
        <v>#VALUE!</v>
      </c>
      <c r="DP289" t="e">
        <f>Europe!B1668+"$F;@!0Ek"</f>
        <v>#VALUE!</v>
      </c>
      <c r="DQ289" t="e">
        <f>Europe!C1668+"$F;@!0El"</f>
        <v>#VALUE!</v>
      </c>
      <c r="DR289" t="e">
        <f>Europe!D1668+"$F;@!0Em"</f>
        <v>#VALUE!</v>
      </c>
      <c r="DS289" t="e">
        <f>Europe!E1668+"$F;@!0En"</f>
        <v>#VALUE!</v>
      </c>
      <c r="DT289" t="e">
        <f>Europe!F1668+"$F;@!0Eo"</f>
        <v>#VALUE!</v>
      </c>
      <c r="DU289" t="e">
        <f>Europe!G1668+"$F;@!0Ep"</f>
        <v>#VALUE!</v>
      </c>
      <c r="DV289" t="e">
        <f>Europe!H1668+"$F;@!0Eq"</f>
        <v>#VALUE!</v>
      </c>
      <c r="DW289" t="e">
        <f>Europe!A1669+"$F;@!0Er"</f>
        <v>#VALUE!</v>
      </c>
      <c r="DX289" t="e">
        <f>Europe!B1669+"$F;@!0Es"</f>
        <v>#VALUE!</v>
      </c>
      <c r="DY289" t="e">
        <f>Europe!C1669+"$F;@!0Et"</f>
        <v>#VALUE!</v>
      </c>
      <c r="DZ289" t="e">
        <f>Europe!D1669+"$F;@!0Eu"</f>
        <v>#VALUE!</v>
      </c>
      <c r="EA289" t="e">
        <f>Europe!E1669+"$F;@!0Ev"</f>
        <v>#VALUE!</v>
      </c>
      <c r="EB289" t="e">
        <f>Europe!F1669+"$F;@!0Ew"</f>
        <v>#VALUE!</v>
      </c>
      <c r="EC289" t="e">
        <f>Europe!G1669+"$F;@!0Ex"</f>
        <v>#VALUE!</v>
      </c>
      <c r="ED289" t="e">
        <f>Europe!H1669+"$F;@!0Ey"</f>
        <v>#VALUE!</v>
      </c>
      <c r="EE289" t="e">
        <f>Europe!A1670+"$F;@!0Ez"</f>
        <v>#VALUE!</v>
      </c>
      <c r="EF289" t="e">
        <f>Europe!B1670+"$F;@!0E{"</f>
        <v>#VALUE!</v>
      </c>
      <c r="EG289" t="e">
        <f>Europe!C1670+"$F;@!0E|"</f>
        <v>#VALUE!</v>
      </c>
      <c r="EH289" t="e">
        <f>Europe!D1670+"$F;@!0E}"</f>
        <v>#VALUE!</v>
      </c>
      <c r="EI289" t="e">
        <f>Europe!E1670+"$F;@!0E~"</f>
        <v>#VALUE!</v>
      </c>
      <c r="EJ289" t="e">
        <f>Europe!F1670+"$F;@!0F#"</f>
        <v>#VALUE!</v>
      </c>
      <c r="EK289" t="e">
        <f>Europe!G1670+"$F;@!0F$"</f>
        <v>#VALUE!</v>
      </c>
      <c r="EL289" t="e">
        <f>Europe!H1670+"$F;@!0F%"</f>
        <v>#VALUE!</v>
      </c>
      <c r="EM289" t="e">
        <f>Europe!A1671+"$F;@!0F&amp;"</f>
        <v>#VALUE!</v>
      </c>
      <c r="EN289" t="e">
        <f>Europe!B1671+"$F;@!0F'"</f>
        <v>#VALUE!</v>
      </c>
      <c r="EO289" t="e">
        <f>Europe!C1671+"$F;@!0F("</f>
        <v>#VALUE!</v>
      </c>
      <c r="EP289" t="e">
        <f>Europe!D1671+"$F;@!0F)"</f>
        <v>#VALUE!</v>
      </c>
      <c r="EQ289" t="e">
        <f>Europe!E1671+"$F;@!0F."</f>
        <v>#VALUE!</v>
      </c>
      <c r="ER289" t="e">
        <f>Europe!F1671+"$F;@!0F/"</f>
        <v>#VALUE!</v>
      </c>
      <c r="ES289" t="e">
        <f>Europe!G1671+"$F;@!0F0"</f>
        <v>#VALUE!</v>
      </c>
      <c r="ET289" t="e">
        <f>Europe!H1671+"$F;@!0F1"</f>
        <v>#VALUE!</v>
      </c>
      <c r="EU289" t="e">
        <f>Europe!A1672+"$F;@!0F2"</f>
        <v>#VALUE!</v>
      </c>
      <c r="EV289" t="e">
        <f>Europe!B1672+"$F;@!0F3"</f>
        <v>#VALUE!</v>
      </c>
      <c r="EW289" t="e">
        <f>Europe!C1672+"$F;@!0F4"</f>
        <v>#VALUE!</v>
      </c>
      <c r="EX289" t="e">
        <f>Europe!D1672+"$F;@!0F5"</f>
        <v>#VALUE!</v>
      </c>
      <c r="EY289" t="e">
        <f>Europe!E1672+"$F;@!0F6"</f>
        <v>#VALUE!</v>
      </c>
      <c r="EZ289" t="e">
        <f>Europe!F1672+"$F;@!0F7"</f>
        <v>#VALUE!</v>
      </c>
      <c r="FA289" t="e">
        <f>Europe!G1672+"$F;@!0F8"</f>
        <v>#VALUE!</v>
      </c>
      <c r="FB289" t="e">
        <f>Europe!H1672+"$F;@!0F9"</f>
        <v>#VALUE!</v>
      </c>
      <c r="FC289" t="e">
        <f>Europe!A1673+"$F;@!0F:"</f>
        <v>#VALUE!</v>
      </c>
      <c r="FD289" t="e">
        <f>Europe!B1673+"$F;@!0F;"</f>
        <v>#VALUE!</v>
      </c>
      <c r="FE289" t="e">
        <f>Europe!C1673+"$F;@!0F&lt;"</f>
        <v>#VALUE!</v>
      </c>
      <c r="FF289" t="e">
        <f>Europe!D1673+"$F;@!0F="</f>
        <v>#VALUE!</v>
      </c>
      <c r="FG289" t="e">
        <f>Europe!E1673+"$F;@!0F&gt;"</f>
        <v>#VALUE!</v>
      </c>
      <c r="FH289" t="e">
        <f>Europe!F1673+"$F;@!0F?"</f>
        <v>#VALUE!</v>
      </c>
      <c r="FI289" t="e">
        <f>Europe!G1673+"$F;@!0F@"</f>
        <v>#VALUE!</v>
      </c>
      <c r="FJ289" t="e">
        <f>Europe!H1673+"$F;@!0FA"</f>
        <v>#VALUE!</v>
      </c>
      <c r="FK289" t="e">
        <f>Europe!A1674+"$F;@!0FB"</f>
        <v>#VALUE!</v>
      </c>
      <c r="FL289" t="e">
        <f>Europe!B1674+"$F;@!0FC"</f>
        <v>#VALUE!</v>
      </c>
      <c r="FM289" t="e">
        <f>Europe!C1674+"$F;@!0FD"</f>
        <v>#VALUE!</v>
      </c>
      <c r="FN289" t="e">
        <f>Europe!D1674+"$F;@!0FE"</f>
        <v>#VALUE!</v>
      </c>
      <c r="FO289" t="e">
        <f>Europe!E1674+"$F;@!0FF"</f>
        <v>#VALUE!</v>
      </c>
      <c r="FP289" t="e">
        <f>Europe!F1674+"$F;@!0FG"</f>
        <v>#VALUE!</v>
      </c>
      <c r="FQ289" t="e">
        <f>Europe!G1674+"$F;@!0FH"</f>
        <v>#VALUE!</v>
      </c>
      <c r="FR289" t="e">
        <f>Europe!H1674+"$F;@!0FI"</f>
        <v>#VALUE!</v>
      </c>
      <c r="FS289" t="e">
        <f>Europe!A1675+"$F;@!0FJ"</f>
        <v>#VALUE!</v>
      </c>
      <c r="FT289" t="e">
        <f>Europe!B1675+"$F;@!0FK"</f>
        <v>#VALUE!</v>
      </c>
      <c r="FU289" t="e">
        <f>Europe!C1675+"$F;@!0FL"</f>
        <v>#VALUE!</v>
      </c>
      <c r="FV289" t="e">
        <f>Europe!D1675+"$F;@!0FM"</f>
        <v>#VALUE!</v>
      </c>
      <c r="FW289" t="e">
        <f>Europe!E1675+"$F;@!0FN"</f>
        <v>#VALUE!</v>
      </c>
      <c r="FX289" t="e">
        <f>Europe!F1675+"$F;@!0FO"</f>
        <v>#VALUE!</v>
      </c>
      <c r="FY289" t="e">
        <f>Europe!G1675+"$F;@!0FP"</f>
        <v>#VALUE!</v>
      </c>
      <c r="FZ289" t="e">
        <f>Europe!H1675+"$F;@!0FQ"</f>
        <v>#VALUE!</v>
      </c>
      <c r="GA289" t="e">
        <f>Europe!A1676+"$F;@!0FR"</f>
        <v>#VALUE!</v>
      </c>
      <c r="GB289" t="e">
        <f>Europe!B1676+"$F;@!0FS"</f>
        <v>#VALUE!</v>
      </c>
      <c r="GC289" t="e">
        <f>Europe!C1676+"$F;@!0FT"</f>
        <v>#VALUE!</v>
      </c>
      <c r="GD289" t="e">
        <f>Europe!D1676+"$F;@!0FU"</f>
        <v>#VALUE!</v>
      </c>
      <c r="GE289" t="e">
        <f>Europe!E1676+"$F;@!0FV"</f>
        <v>#VALUE!</v>
      </c>
      <c r="GF289" t="e">
        <f>Europe!F1676+"$F;@!0FW"</f>
        <v>#VALUE!</v>
      </c>
      <c r="GG289" t="e">
        <f>Europe!G1676+"$F;@!0FX"</f>
        <v>#VALUE!</v>
      </c>
      <c r="GH289" t="e">
        <f>Europe!H1676+"$F;@!0FY"</f>
        <v>#VALUE!</v>
      </c>
      <c r="GI289" t="e">
        <f>Europe!A1677+"$F;@!0FZ"</f>
        <v>#VALUE!</v>
      </c>
      <c r="GJ289" t="e">
        <f>Europe!B1677+"$F;@!0F["</f>
        <v>#VALUE!</v>
      </c>
      <c r="GK289" t="e">
        <f>Europe!C1677+"$F;@!0F\"</f>
        <v>#VALUE!</v>
      </c>
      <c r="GL289" t="e">
        <f>Europe!D1677+"$F;@!0F]"</f>
        <v>#VALUE!</v>
      </c>
      <c r="GM289" t="e">
        <f>Europe!E1677+"$F;@!0F^"</f>
        <v>#VALUE!</v>
      </c>
      <c r="GN289" t="e">
        <f>Europe!F1677+"$F;@!0F_"</f>
        <v>#VALUE!</v>
      </c>
      <c r="GO289" t="e">
        <f>Europe!G1677+"$F;@!0F`"</f>
        <v>#VALUE!</v>
      </c>
      <c r="GP289" t="e">
        <f>Europe!H1677+"$F;@!0Fa"</f>
        <v>#VALUE!</v>
      </c>
      <c r="GQ289" t="e">
        <f>Europe!A1678+"$F;@!0Fb"</f>
        <v>#VALUE!</v>
      </c>
      <c r="GR289" t="e">
        <f>Europe!B1678+"$F;@!0Fc"</f>
        <v>#VALUE!</v>
      </c>
      <c r="GS289" t="e">
        <f>Europe!C1678+"$F;@!0Fd"</f>
        <v>#VALUE!</v>
      </c>
      <c r="GT289" t="e">
        <f>Europe!D1678+"$F;@!0Fe"</f>
        <v>#VALUE!</v>
      </c>
      <c r="GU289" t="e">
        <f>Europe!E1678+"$F;@!0Ff"</f>
        <v>#VALUE!</v>
      </c>
      <c r="GV289" t="e">
        <f>Europe!F1678+"$F;@!0Fg"</f>
        <v>#VALUE!</v>
      </c>
      <c r="GW289" t="e">
        <f>Europe!G1678+"$F;@!0Fh"</f>
        <v>#VALUE!</v>
      </c>
      <c r="GX289" t="e">
        <f>Europe!H1678+"$F;@!0Fi"</f>
        <v>#VALUE!</v>
      </c>
      <c r="GY289" t="e">
        <f>Europe!A1679+"$F;@!0Fj"</f>
        <v>#VALUE!</v>
      </c>
      <c r="GZ289" t="e">
        <f>Europe!B1679+"$F;@!0Fk"</f>
        <v>#VALUE!</v>
      </c>
      <c r="HA289" t="e">
        <f>Europe!C1679+"$F;@!0Fl"</f>
        <v>#VALUE!</v>
      </c>
      <c r="HB289" t="e">
        <f>Europe!D1679+"$F;@!0Fm"</f>
        <v>#VALUE!</v>
      </c>
      <c r="HC289" t="e">
        <f>Europe!E1679+"$F;@!0Fn"</f>
        <v>#VALUE!</v>
      </c>
      <c r="HD289" t="e">
        <f>Europe!F1679+"$F;@!0Fo"</f>
        <v>#VALUE!</v>
      </c>
      <c r="HE289" t="e">
        <f>Europe!G1679+"$F;@!0Fp"</f>
        <v>#VALUE!</v>
      </c>
      <c r="HF289" t="e">
        <f>Europe!H1679+"$F;@!0Fq"</f>
        <v>#VALUE!</v>
      </c>
      <c r="HG289" t="e">
        <f>Europe!A1680+"$F;@!0Fr"</f>
        <v>#VALUE!</v>
      </c>
      <c r="HH289" t="e">
        <f>Europe!B1680+"$F;@!0Fs"</f>
        <v>#VALUE!</v>
      </c>
      <c r="HI289" t="e">
        <f>Europe!C1680+"$F;@!0Ft"</f>
        <v>#VALUE!</v>
      </c>
      <c r="HJ289" t="e">
        <f>Europe!D1680+"$F;@!0Fu"</f>
        <v>#VALUE!</v>
      </c>
      <c r="HK289" t="e">
        <f>Europe!E1680+"$F;@!0Fv"</f>
        <v>#VALUE!</v>
      </c>
      <c r="HL289" t="e">
        <f>Europe!F1680+"$F;@!0Fw"</f>
        <v>#VALUE!</v>
      </c>
      <c r="HM289" t="e">
        <f>Europe!G1680+"$F;@!0Fx"</f>
        <v>#VALUE!</v>
      </c>
      <c r="HN289" t="e">
        <f>Europe!H1680+"$F;@!0Fy"</f>
        <v>#VALUE!</v>
      </c>
      <c r="HO289" t="e">
        <f>Europe!A1681+"$F;@!0Fz"</f>
        <v>#VALUE!</v>
      </c>
      <c r="HP289" t="e">
        <f>Europe!B1681+"$F;@!0F{"</f>
        <v>#VALUE!</v>
      </c>
      <c r="HQ289" t="e">
        <f>Europe!C1681+"$F;@!0F|"</f>
        <v>#VALUE!</v>
      </c>
      <c r="HR289" t="e">
        <f>Europe!D1681+"$F;@!0F}"</f>
        <v>#VALUE!</v>
      </c>
      <c r="HS289" t="e">
        <f>Europe!E1681+"$F;@!0F~"</f>
        <v>#VALUE!</v>
      </c>
      <c r="HT289" t="e">
        <f>Europe!F1681+"$F;@!0G#"</f>
        <v>#VALUE!</v>
      </c>
      <c r="HU289" t="e">
        <f>Europe!G1681+"$F;@!0G$"</f>
        <v>#VALUE!</v>
      </c>
      <c r="HV289" t="e">
        <f>Europe!H1681+"$F;@!0G%"</f>
        <v>#VALUE!</v>
      </c>
      <c r="HW289" t="e">
        <f>Europe!A1682+"$F;@!0G&amp;"</f>
        <v>#VALUE!</v>
      </c>
      <c r="HX289" t="e">
        <f>Europe!B1682+"$F;@!0G'"</f>
        <v>#VALUE!</v>
      </c>
      <c r="HY289" t="e">
        <f>Europe!C1682+"$F;@!0G("</f>
        <v>#VALUE!</v>
      </c>
      <c r="HZ289" t="e">
        <f>Europe!D1682+"$F;@!0G)"</f>
        <v>#VALUE!</v>
      </c>
      <c r="IA289" t="e">
        <f>Europe!E1682+"$F;@!0G."</f>
        <v>#VALUE!</v>
      </c>
      <c r="IB289" t="e">
        <f>Europe!F1682+"$F;@!0G/"</f>
        <v>#VALUE!</v>
      </c>
      <c r="IC289" t="e">
        <f>Europe!G1682+"$F;@!0G0"</f>
        <v>#VALUE!</v>
      </c>
      <c r="ID289" t="e">
        <f>Europe!H1682+"$F;@!0G1"</f>
        <v>#VALUE!</v>
      </c>
      <c r="IE289" t="e">
        <f>Europe!A1683+"$F;@!0G2"</f>
        <v>#VALUE!</v>
      </c>
      <c r="IF289" t="e">
        <f>Europe!B1683+"$F;@!0G3"</f>
        <v>#VALUE!</v>
      </c>
      <c r="IG289" t="e">
        <f>Europe!C1683+"$F;@!0G4"</f>
        <v>#VALUE!</v>
      </c>
      <c r="IH289" t="e">
        <f>Europe!D1683+"$F;@!0G5"</f>
        <v>#VALUE!</v>
      </c>
      <c r="II289" t="e">
        <f>Europe!E1683+"$F;@!0G6"</f>
        <v>#VALUE!</v>
      </c>
      <c r="IJ289" t="e">
        <f>Europe!F1683+"$F;@!0G7"</f>
        <v>#VALUE!</v>
      </c>
      <c r="IK289" t="e">
        <f>Europe!G1683+"$F;@!0G8"</f>
        <v>#VALUE!</v>
      </c>
      <c r="IL289" t="e">
        <f>Europe!H1683+"$F;@!0G9"</f>
        <v>#VALUE!</v>
      </c>
      <c r="IM289" t="e">
        <f>Europe!A1684+"$F;@!0G:"</f>
        <v>#VALUE!</v>
      </c>
      <c r="IN289" t="e">
        <f>Europe!B1684+"$F;@!0G;"</f>
        <v>#VALUE!</v>
      </c>
      <c r="IO289" t="e">
        <f>Europe!C1684+"$F;@!0G&lt;"</f>
        <v>#VALUE!</v>
      </c>
      <c r="IP289" t="e">
        <f>Europe!D1684+"$F;@!0G="</f>
        <v>#VALUE!</v>
      </c>
      <c r="IQ289" t="e">
        <f>Europe!E1684+"$F;@!0G&gt;"</f>
        <v>#VALUE!</v>
      </c>
      <c r="IR289" t="e">
        <f>Europe!F1684+"$F;@!0G?"</f>
        <v>#VALUE!</v>
      </c>
      <c r="IS289" t="e">
        <f>Europe!G1684+"$F;@!0G@"</f>
        <v>#VALUE!</v>
      </c>
      <c r="IT289" t="e">
        <f>Europe!H1684+"$F;@!0GA"</f>
        <v>#VALUE!</v>
      </c>
      <c r="IU289" t="e">
        <f>Europe!A1685+"$F;@!0GB"</f>
        <v>#VALUE!</v>
      </c>
      <c r="IV289" t="e">
        <f>Europe!B1685+"$F;@!0GC"</f>
        <v>#VALUE!</v>
      </c>
    </row>
    <row r="290" spans="6:256" x14ac:dyDescent="0.35">
      <c r="F290" t="e">
        <f>Europe!C1685+"$F;@!0GD"</f>
        <v>#VALUE!</v>
      </c>
      <c r="G290" t="e">
        <f>Europe!D1685+"$F;@!0GE"</f>
        <v>#VALUE!</v>
      </c>
      <c r="H290" t="e">
        <f>Europe!E1685+"$F;@!0GF"</f>
        <v>#VALUE!</v>
      </c>
      <c r="I290" t="e">
        <f>Europe!F1685+"$F;@!0GG"</f>
        <v>#VALUE!</v>
      </c>
      <c r="J290" t="e">
        <f>Europe!G1685+"$F;@!0GH"</f>
        <v>#VALUE!</v>
      </c>
      <c r="K290" t="e">
        <f>Europe!H1685+"$F;@!0GI"</f>
        <v>#VALUE!</v>
      </c>
      <c r="L290" t="e">
        <f>Europe!A1686+"$F;@!0GJ"</f>
        <v>#VALUE!</v>
      </c>
      <c r="M290" t="e">
        <f>Europe!B1686+"$F;@!0GK"</f>
        <v>#VALUE!</v>
      </c>
      <c r="N290" t="e">
        <f>Europe!C1686+"$F;@!0GL"</f>
        <v>#VALUE!</v>
      </c>
      <c r="O290" t="e">
        <f>Europe!D1686+"$F;@!0GM"</f>
        <v>#VALUE!</v>
      </c>
      <c r="P290" t="e">
        <f>Europe!E1686+"$F;@!0GN"</f>
        <v>#VALUE!</v>
      </c>
      <c r="Q290" t="e">
        <f>Europe!F1686+"$F;@!0GO"</f>
        <v>#VALUE!</v>
      </c>
      <c r="R290" t="e">
        <f>Europe!G1686+"$F;@!0GP"</f>
        <v>#VALUE!</v>
      </c>
      <c r="S290" t="e">
        <f>Europe!H1686+"$F;@!0GQ"</f>
        <v>#VALUE!</v>
      </c>
      <c r="T290" t="e">
        <f>Europe!A1687+"$F;@!0GR"</f>
        <v>#VALUE!</v>
      </c>
      <c r="U290" t="e">
        <f>Europe!B1687+"$F;@!0GS"</f>
        <v>#VALUE!</v>
      </c>
      <c r="V290" t="e">
        <f>Europe!C1687+"$F;@!0GT"</f>
        <v>#VALUE!</v>
      </c>
      <c r="W290" t="e">
        <f>Europe!D1687+"$F;@!0GU"</f>
        <v>#VALUE!</v>
      </c>
      <c r="X290" t="e">
        <f>Europe!E1687+"$F;@!0GV"</f>
        <v>#VALUE!</v>
      </c>
      <c r="Y290" t="e">
        <f>Europe!F1687+"$F;@!0GW"</f>
        <v>#VALUE!</v>
      </c>
      <c r="Z290" t="e">
        <f>Europe!G1687+"$F;@!0GX"</f>
        <v>#VALUE!</v>
      </c>
      <c r="AA290" t="e">
        <f>Europe!H1687+"$F;@!0GY"</f>
        <v>#VALUE!</v>
      </c>
      <c r="AB290" t="e">
        <f>Europe!A1688+"$F;@!0GZ"</f>
        <v>#VALUE!</v>
      </c>
      <c r="AC290" t="e">
        <f>Europe!B1688+"$F;@!0G["</f>
        <v>#VALUE!</v>
      </c>
      <c r="AD290" t="e">
        <f>Europe!C1688+"$F;@!0G\"</f>
        <v>#VALUE!</v>
      </c>
      <c r="AE290" t="e">
        <f>Europe!D1688+"$F;@!0G]"</f>
        <v>#VALUE!</v>
      </c>
      <c r="AF290" t="e">
        <f>Europe!E1688+"$F;@!0G^"</f>
        <v>#VALUE!</v>
      </c>
      <c r="AG290" t="e">
        <f>Europe!F1688+"$F;@!0G_"</f>
        <v>#VALUE!</v>
      </c>
      <c r="AH290" t="e">
        <f>Europe!G1688+"$F;@!0G`"</f>
        <v>#VALUE!</v>
      </c>
      <c r="AI290" t="e">
        <f>Europe!H1688+"$F;@!0Ga"</f>
        <v>#VALUE!</v>
      </c>
      <c r="AJ290" t="e">
        <f>Europe!A1689+"$F;@!0Gb"</f>
        <v>#VALUE!</v>
      </c>
      <c r="AK290" t="e">
        <f>Europe!B1689+"$F;@!0Gc"</f>
        <v>#VALUE!</v>
      </c>
      <c r="AL290" t="e">
        <f>Europe!C1689+"$F;@!0Gd"</f>
        <v>#VALUE!</v>
      </c>
      <c r="AM290" t="e">
        <f>Europe!D1689+"$F;@!0Ge"</f>
        <v>#VALUE!</v>
      </c>
      <c r="AN290" t="e">
        <f>Europe!E1689+"$F;@!0Gf"</f>
        <v>#VALUE!</v>
      </c>
      <c r="AO290" t="e">
        <f>Europe!F1689+"$F;@!0Gg"</f>
        <v>#VALUE!</v>
      </c>
      <c r="AP290" t="e">
        <f>Europe!G1689+"$F;@!0Gh"</f>
        <v>#VALUE!</v>
      </c>
      <c r="AQ290" t="e">
        <f>Europe!H1689+"$F;@!0Gi"</f>
        <v>#VALUE!</v>
      </c>
      <c r="AR290" t="e">
        <f>Europe!A1690+"$F;@!0Gj"</f>
        <v>#VALUE!</v>
      </c>
      <c r="AS290" t="e">
        <f>Europe!B1690+"$F;@!0Gk"</f>
        <v>#VALUE!</v>
      </c>
      <c r="AT290" t="e">
        <f>Europe!C1690+"$F;@!0Gl"</f>
        <v>#VALUE!</v>
      </c>
      <c r="AU290" t="e">
        <f>Europe!D1690+"$F;@!0Gm"</f>
        <v>#VALUE!</v>
      </c>
      <c r="AV290" t="e">
        <f>Europe!E1690+"$F;@!0Gn"</f>
        <v>#VALUE!</v>
      </c>
      <c r="AW290" t="e">
        <f>Europe!F1690+"$F;@!0Go"</f>
        <v>#VALUE!</v>
      </c>
      <c r="AX290" t="e">
        <f>Europe!G1690+"$F;@!0Gp"</f>
        <v>#VALUE!</v>
      </c>
      <c r="AY290" t="e">
        <f>Europe!H1690+"$F;@!0Gq"</f>
        <v>#VALUE!</v>
      </c>
      <c r="AZ290" t="e">
        <f>Europe!A1691+"$F;@!0Gr"</f>
        <v>#VALUE!</v>
      </c>
      <c r="BA290" t="e">
        <f>Europe!B1691+"$F;@!0Gs"</f>
        <v>#VALUE!</v>
      </c>
      <c r="BB290" t="e">
        <f>Europe!C1691+"$F;@!0Gt"</f>
        <v>#VALUE!</v>
      </c>
      <c r="BC290" t="e">
        <f>Europe!D1691+"$F;@!0Gu"</f>
        <v>#VALUE!</v>
      </c>
      <c r="BD290" t="e">
        <f>Europe!E1691+"$F;@!0Gv"</f>
        <v>#VALUE!</v>
      </c>
      <c r="BE290" t="e">
        <f>Europe!F1691+"$F;@!0Gw"</f>
        <v>#VALUE!</v>
      </c>
      <c r="BF290" t="e">
        <f>Europe!G1691+"$F;@!0Gx"</f>
        <v>#VALUE!</v>
      </c>
      <c r="BG290" t="e">
        <f>Europe!H1691+"$F;@!0Gy"</f>
        <v>#VALUE!</v>
      </c>
      <c r="BH290" t="e">
        <f>Europe!A1692+"$F;@!0Gz"</f>
        <v>#VALUE!</v>
      </c>
      <c r="BI290" t="e">
        <f>Europe!B1692+"$F;@!0G{"</f>
        <v>#VALUE!</v>
      </c>
      <c r="BJ290" t="e">
        <f>Europe!C1692+"$F;@!0G|"</f>
        <v>#VALUE!</v>
      </c>
      <c r="BK290" t="e">
        <f>Europe!D1692+"$F;@!0G}"</f>
        <v>#VALUE!</v>
      </c>
      <c r="BL290" t="e">
        <f>Europe!E1692+"$F;@!0G~"</f>
        <v>#VALUE!</v>
      </c>
      <c r="BM290" t="e">
        <f>Europe!F1692+"$F;@!0H#"</f>
        <v>#VALUE!</v>
      </c>
      <c r="BN290" t="e">
        <f>Europe!G1692+"$F;@!0H$"</f>
        <v>#VALUE!</v>
      </c>
      <c r="BO290" t="e">
        <f>Europe!H1692+"$F;@!0H%"</f>
        <v>#VALUE!</v>
      </c>
      <c r="BP290" t="e">
        <f>Europe!A1693+"$F;@!0H&amp;"</f>
        <v>#VALUE!</v>
      </c>
      <c r="BQ290" t="e">
        <f>Europe!B1693+"$F;@!0H'"</f>
        <v>#VALUE!</v>
      </c>
      <c r="BR290" t="e">
        <f>Europe!C1693+"$F;@!0H("</f>
        <v>#VALUE!</v>
      </c>
      <c r="BS290" t="e">
        <f>Europe!D1693+"$F;@!0H)"</f>
        <v>#VALUE!</v>
      </c>
      <c r="BT290" t="e">
        <f>Europe!E1693+"$F;@!0H."</f>
        <v>#VALUE!</v>
      </c>
      <c r="BU290" t="e">
        <f>Europe!F1693+"$F;@!0H/"</f>
        <v>#VALUE!</v>
      </c>
      <c r="BV290" t="e">
        <f>Europe!G1693+"$F;@!0H0"</f>
        <v>#VALUE!</v>
      </c>
      <c r="BW290" t="e">
        <f>Europe!H1693+"$F;@!0H1"</f>
        <v>#VALUE!</v>
      </c>
      <c r="BX290" t="e">
        <f>Europe!A1694+"$F;@!0H2"</f>
        <v>#VALUE!</v>
      </c>
      <c r="BY290" t="e">
        <f>Europe!B1694+"$F;@!0H3"</f>
        <v>#VALUE!</v>
      </c>
      <c r="BZ290" t="e">
        <f>Europe!C1694+"$F;@!0H4"</f>
        <v>#VALUE!</v>
      </c>
      <c r="CA290" t="e">
        <f>Europe!D1694+"$F;@!0H5"</f>
        <v>#VALUE!</v>
      </c>
      <c r="CB290" t="e">
        <f>Europe!E1694+"$F;@!0H6"</f>
        <v>#VALUE!</v>
      </c>
      <c r="CC290" t="e">
        <f>Europe!F1694+"$F;@!0H7"</f>
        <v>#VALUE!</v>
      </c>
      <c r="CD290" t="e">
        <f>Europe!G1694+"$F;@!0H8"</f>
        <v>#VALUE!</v>
      </c>
      <c r="CE290" t="e">
        <f>Europe!H1694+"$F;@!0H9"</f>
        <v>#VALUE!</v>
      </c>
      <c r="CF290" t="e">
        <f>Europe!A1695+"$F;@!0H:"</f>
        <v>#VALUE!</v>
      </c>
      <c r="CG290" t="e">
        <f>Europe!B1695+"$F;@!0H;"</f>
        <v>#VALUE!</v>
      </c>
      <c r="CH290" t="e">
        <f>Europe!C1695+"$F;@!0H&lt;"</f>
        <v>#VALUE!</v>
      </c>
      <c r="CI290" t="e">
        <f>Europe!D1695+"$F;@!0H="</f>
        <v>#VALUE!</v>
      </c>
      <c r="CJ290" t="e">
        <f>Europe!E1695+"$F;@!0H&gt;"</f>
        <v>#VALUE!</v>
      </c>
      <c r="CK290" t="e">
        <f>Europe!F1695+"$F;@!0H?"</f>
        <v>#VALUE!</v>
      </c>
      <c r="CL290" t="e">
        <f>Europe!G1695+"$F;@!0H@"</f>
        <v>#VALUE!</v>
      </c>
      <c r="CM290" t="e">
        <f>Europe!H1695+"$F;@!0HA"</f>
        <v>#VALUE!</v>
      </c>
      <c r="CN290" t="e">
        <f>Europe!A1696+"$F;@!0HB"</f>
        <v>#VALUE!</v>
      </c>
      <c r="CO290" t="e">
        <f>Europe!B1696+"$F;@!0HC"</f>
        <v>#VALUE!</v>
      </c>
      <c r="CP290" t="e">
        <f>Europe!C1696+"$F;@!0HD"</f>
        <v>#VALUE!</v>
      </c>
      <c r="CQ290" t="e">
        <f>Europe!D1696+"$F;@!0HE"</f>
        <v>#VALUE!</v>
      </c>
      <c r="CR290" t="e">
        <f>Europe!E1696+"$F;@!0HF"</f>
        <v>#VALUE!</v>
      </c>
      <c r="CS290" t="e">
        <f>Europe!F1696+"$F;@!0HG"</f>
        <v>#VALUE!</v>
      </c>
      <c r="CT290" t="e">
        <f>Europe!G1696+"$F;@!0HH"</f>
        <v>#VALUE!</v>
      </c>
      <c r="CU290" t="e">
        <f>Europe!H1696+"$F;@!0HI"</f>
        <v>#VALUE!</v>
      </c>
      <c r="CV290" t="e">
        <f>Europe!A1697+"$F;@!0HJ"</f>
        <v>#VALUE!</v>
      </c>
      <c r="CW290" t="e">
        <f>Europe!B1697+"$F;@!0HK"</f>
        <v>#VALUE!</v>
      </c>
      <c r="CX290" t="e">
        <f>Europe!C1697+"$F;@!0HL"</f>
        <v>#VALUE!</v>
      </c>
      <c r="CY290" t="e">
        <f>Europe!D1697+"$F;@!0HM"</f>
        <v>#VALUE!</v>
      </c>
      <c r="CZ290" t="e">
        <f>Europe!E1697+"$F;@!0HN"</f>
        <v>#VALUE!</v>
      </c>
      <c r="DA290" t="e">
        <f>Europe!F1697+"$F;@!0HO"</f>
        <v>#VALUE!</v>
      </c>
      <c r="DB290" t="e">
        <f>Europe!G1697+"$F;@!0HP"</f>
        <v>#VALUE!</v>
      </c>
      <c r="DC290" t="e">
        <f>Europe!H1697+"$F;@!0HQ"</f>
        <v>#VALUE!</v>
      </c>
      <c r="DD290" t="e">
        <f>Europe!A1698+"$F;@!0HR"</f>
        <v>#VALUE!</v>
      </c>
      <c r="DE290" t="e">
        <f>Europe!B1698+"$F;@!0HS"</f>
        <v>#VALUE!</v>
      </c>
      <c r="DF290" t="e">
        <f>Europe!C1698+"$F;@!0HT"</f>
        <v>#VALUE!</v>
      </c>
      <c r="DG290" t="e">
        <f>Europe!D1698+"$F;@!0HU"</f>
        <v>#VALUE!</v>
      </c>
      <c r="DH290" t="e">
        <f>Europe!E1698+"$F;@!0HV"</f>
        <v>#VALUE!</v>
      </c>
      <c r="DI290" t="e">
        <f>Europe!F1698+"$F;@!0HW"</f>
        <v>#VALUE!</v>
      </c>
      <c r="DJ290" t="e">
        <f>Europe!G1698+"$F;@!0HX"</f>
        <v>#VALUE!</v>
      </c>
      <c r="DK290" t="e">
        <f>Europe!H1698+"$F;@!0HY"</f>
        <v>#VALUE!</v>
      </c>
      <c r="DL290" t="e">
        <f>Europe!A1699+"$F;@!0HZ"</f>
        <v>#VALUE!</v>
      </c>
      <c r="DM290" t="e">
        <f>Europe!B1699+"$F;@!0H["</f>
        <v>#VALUE!</v>
      </c>
      <c r="DN290" t="e">
        <f>Europe!C1699+"$F;@!0H\"</f>
        <v>#VALUE!</v>
      </c>
      <c r="DO290" t="e">
        <f>Europe!D1699+"$F;@!0H]"</f>
        <v>#VALUE!</v>
      </c>
      <c r="DP290" t="e">
        <f>Europe!E1699+"$F;@!0H^"</f>
        <v>#VALUE!</v>
      </c>
      <c r="DQ290" t="e">
        <f>Europe!F1699+"$F;@!0H_"</f>
        <v>#VALUE!</v>
      </c>
      <c r="DR290" t="e">
        <f>Europe!G1699+"$F;@!0H`"</f>
        <v>#VALUE!</v>
      </c>
      <c r="DS290" t="e">
        <f>Europe!H1699+"$F;@!0Ha"</f>
        <v>#VALUE!</v>
      </c>
      <c r="DT290" t="e">
        <f>Europe!A1700+"$F;@!0Hb"</f>
        <v>#VALUE!</v>
      </c>
      <c r="DU290" t="e">
        <f>Europe!B1700+"$F;@!0Hc"</f>
        <v>#VALUE!</v>
      </c>
      <c r="DV290" t="e">
        <f>Europe!C1700+"$F;@!0Hd"</f>
        <v>#VALUE!</v>
      </c>
      <c r="DW290" t="e">
        <f>Europe!D1700+"$F;@!0He"</f>
        <v>#VALUE!</v>
      </c>
      <c r="DX290" t="e">
        <f>Europe!E1700+"$F;@!0Hf"</f>
        <v>#VALUE!</v>
      </c>
      <c r="DY290" t="e">
        <f>Europe!F1700+"$F;@!0Hg"</f>
        <v>#VALUE!</v>
      </c>
      <c r="DZ290" t="e">
        <f>Europe!G1700+"$F;@!0Hh"</f>
        <v>#VALUE!</v>
      </c>
      <c r="EA290" t="e">
        <f>Europe!H1700+"$F;@!0Hi"</f>
        <v>#VALUE!</v>
      </c>
      <c r="EB290" t="e">
        <f>Europe!A1701+"$F;@!0Hj"</f>
        <v>#VALUE!</v>
      </c>
      <c r="EC290" t="e">
        <f>Europe!B1701+"$F;@!0Hk"</f>
        <v>#VALUE!</v>
      </c>
      <c r="ED290" t="e">
        <f>Europe!C1701+"$F;@!0Hl"</f>
        <v>#VALUE!</v>
      </c>
      <c r="EE290" t="e">
        <f>Europe!D1701+"$F;@!0Hm"</f>
        <v>#VALUE!</v>
      </c>
      <c r="EF290" t="e">
        <f>Europe!E1701+"$F;@!0Hn"</f>
        <v>#VALUE!</v>
      </c>
      <c r="EG290" t="e">
        <f>Europe!F1701+"$F;@!0Ho"</f>
        <v>#VALUE!</v>
      </c>
      <c r="EH290" t="e">
        <f>Europe!G1701+"$F;@!0Hp"</f>
        <v>#VALUE!</v>
      </c>
      <c r="EI290" t="e">
        <f>Europe!H1701+"$F;@!0Hq"</f>
        <v>#VALUE!</v>
      </c>
      <c r="EJ290" t="e">
        <f>Europe!A1702+"$F;@!0Hr"</f>
        <v>#VALUE!</v>
      </c>
      <c r="EK290" t="e">
        <f>Europe!B1702+"$F;@!0Hs"</f>
        <v>#VALUE!</v>
      </c>
      <c r="EL290" t="e">
        <f>Europe!C1702+"$F;@!0Ht"</f>
        <v>#VALUE!</v>
      </c>
      <c r="EM290" t="e">
        <f>Europe!D1702+"$F;@!0Hu"</f>
        <v>#VALUE!</v>
      </c>
      <c r="EN290" t="e">
        <f>Europe!E1702+"$F;@!0Hv"</f>
        <v>#VALUE!</v>
      </c>
      <c r="EO290" t="e">
        <f>Europe!F1702+"$F;@!0Hw"</f>
        <v>#VALUE!</v>
      </c>
      <c r="EP290" t="e">
        <f>Europe!G1702+"$F;@!0Hx"</f>
        <v>#VALUE!</v>
      </c>
      <c r="EQ290" t="e">
        <f>Europe!H1702+"$F;@!0Hy"</f>
        <v>#VALUE!</v>
      </c>
      <c r="ER290" t="e">
        <f>Europe!A1703+"$F;@!0Hz"</f>
        <v>#VALUE!</v>
      </c>
      <c r="ES290" t="e">
        <f>Europe!B1703+"$F;@!0H{"</f>
        <v>#VALUE!</v>
      </c>
      <c r="ET290" t="e">
        <f>Europe!C1703+"$F;@!0H|"</f>
        <v>#VALUE!</v>
      </c>
      <c r="EU290" t="e">
        <f>Europe!D1703+"$F;@!0H}"</f>
        <v>#VALUE!</v>
      </c>
      <c r="EV290" t="e">
        <f>Europe!E1703+"$F;@!0H~"</f>
        <v>#VALUE!</v>
      </c>
      <c r="EW290" t="e">
        <f>Europe!F1703+"$F;@!0I#"</f>
        <v>#VALUE!</v>
      </c>
      <c r="EX290" t="e">
        <f>Europe!G1703+"$F;@!0I$"</f>
        <v>#VALUE!</v>
      </c>
      <c r="EY290" t="e">
        <f>Europe!H1703+"$F;@!0I%"</f>
        <v>#VALUE!</v>
      </c>
      <c r="EZ290" t="e">
        <f>Europe!A1704+"$F;@!0I&amp;"</f>
        <v>#VALUE!</v>
      </c>
      <c r="FA290" t="e">
        <f>Europe!B1704+"$F;@!0I'"</f>
        <v>#VALUE!</v>
      </c>
      <c r="FB290" t="e">
        <f>Europe!C1704+"$F;@!0I("</f>
        <v>#VALUE!</v>
      </c>
      <c r="FC290" t="e">
        <f>Europe!D1704+"$F;@!0I)"</f>
        <v>#VALUE!</v>
      </c>
      <c r="FD290" t="e">
        <f>Europe!E1704+"$F;@!0I."</f>
        <v>#VALUE!</v>
      </c>
      <c r="FE290" t="e">
        <f>Europe!F1704+"$F;@!0I/"</f>
        <v>#VALUE!</v>
      </c>
      <c r="FF290" t="e">
        <f>Europe!G1704+"$F;@!0I0"</f>
        <v>#VALUE!</v>
      </c>
      <c r="FG290" t="e">
        <f>Europe!H1704+"$F;@!0I1"</f>
        <v>#VALUE!</v>
      </c>
      <c r="FH290" t="e">
        <f>Europe!A1705+"$F;@!0I2"</f>
        <v>#VALUE!</v>
      </c>
      <c r="FI290" t="e">
        <f>Europe!B1705+"$F;@!0I3"</f>
        <v>#VALUE!</v>
      </c>
      <c r="FJ290" t="e">
        <f>Europe!C1705+"$F;@!0I4"</f>
        <v>#VALUE!</v>
      </c>
      <c r="FK290" t="e">
        <f>Europe!D1705+"$F;@!0I5"</f>
        <v>#VALUE!</v>
      </c>
      <c r="FL290" t="e">
        <f>Europe!E1705+"$F;@!0I6"</f>
        <v>#VALUE!</v>
      </c>
      <c r="FM290" t="e">
        <f>Europe!F1705+"$F;@!0I7"</f>
        <v>#VALUE!</v>
      </c>
      <c r="FN290" t="e">
        <f>Europe!G1705+"$F;@!0I8"</f>
        <v>#VALUE!</v>
      </c>
      <c r="FO290" t="e">
        <f>Europe!H1705+"$F;@!0I9"</f>
        <v>#VALUE!</v>
      </c>
      <c r="FP290" t="e">
        <f>Europe!A1706+"$F;@!0I:"</f>
        <v>#VALUE!</v>
      </c>
      <c r="FQ290" t="e">
        <f>Europe!B1706+"$F;@!0I;"</f>
        <v>#VALUE!</v>
      </c>
      <c r="FR290" t="e">
        <f>Europe!C1706+"$F;@!0I&lt;"</f>
        <v>#VALUE!</v>
      </c>
      <c r="FS290" t="e">
        <f>Europe!D1706+"$F;@!0I="</f>
        <v>#VALUE!</v>
      </c>
      <c r="FT290" t="e">
        <f>Europe!E1706+"$F;@!0I&gt;"</f>
        <v>#VALUE!</v>
      </c>
      <c r="FU290" t="e">
        <f>Europe!F1706+"$F;@!0I?"</f>
        <v>#VALUE!</v>
      </c>
      <c r="FV290" t="e">
        <f>Europe!G1706+"$F;@!0I@"</f>
        <v>#VALUE!</v>
      </c>
      <c r="FW290" t="e">
        <f>Europe!H1706+"$F;@!0IA"</f>
        <v>#VALUE!</v>
      </c>
      <c r="FX290" t="e">
        <f>Europe!A1707+"$F;@!0IB"</f>
        <v>#VALUE!</v>
      </c>
      <c r="FY290" t="e">
        <f>Europe!B1707+"$F;@!0IC"</f>
        <v>#VALUE!</v>
      </c>
      <c r="FZ290" t="e">
        <f>Europe!C1707+"$F;@!0ID"</f>
        <v>#VALUE!</v>
      </c>
      <c r="GA290" t="e">
        <f>Europe!D1707+"$F;@!0IE"</f>
        <v>#VALUE!</v>
      </c>
      <c r="GB290" t="e">
        <f>Europe!E1707+"$F;@!0IF"</f>
        <v>#VALUE!</v>
      </c>
      <c r="GC290" t="e">
        <f>Europe!F1707+"$F;@!0IG"</f>
        <v>#VALUE!</v>
      </c>
      <c r="GD290" t="e">
        <f>Europe!G1707+"$F;@!0IH"</f>
        <v>#VALUE!</v>
      </c>
      <c r="GE290" t="e">
        <f>Europe!H1707+"$F;@!0II"</f>
        <v>#VALUE!</v>
      </c>
      <c r="GF290" t="e">
        <f>Europe!A1708+"$F;@!0IJ"</f>
        <v>#VALUE!</v>
      </c>
      <c r="GG290" t="e">
        <f>Europe!B1708+"$F;@!0IK"</f>
        <v>#VALUE!</v>
      </c>
      <c r="GH290" t="e">
        <f>Europe!C1708+"$F;@!0IL"</f>
        <v>#VALUE!</v>
      </c>
      <c r="GI290" t="e">
        <f>Europe!D1708+"$F;@!0IM"</f>
        <v>#VALUE!</v>
      </c>
      <c r="GJ290" t="e">
        <f>Europe!E1708+"$F;@!0IN"</f>
        <v>#VALUE!</v>
      </c>
      <c r="GK290" t="e">
        <f>Europe!F1708+"$F;@!0IO"</f>
        <v>#VALUE!</v>
      </c>
      <c r="GL290" t="e">
        <f>Europe!G1708+"$F;@!0IP"</f>
        <v>#VALUE!</v>
      </c>
      <c r="GM290" t="e">
        <f>Europe!H1708+"$F;@!0IQ"</f>
        <v>#VALUE!</v>
      </c>
      <c r="GN290" t="e">
        <f>Europe!A1709+"$F;@!0IR"</f>
        <v>#VALUE!</v>
      </c>
      <c r="GO290" t="e">
        <f>Europe!B1709+"$F;@!0IS"</f>
        <v>#VALUE!</v>
      </c>
      <c r="GP290" t="e">
        <f>Europe!C1709+"$F;@!0IT"</f>
        <v>#VALUE!</v>
      </c>
      <c r="GQ290" t="e">
        <f>Europe!D1709+"$F;@!0IU"</f>
        <v>#VALUE!</v>
      </c>
      <c r="GR290" t="e">
        <f>Europe!E1709+"$F;@!0IV"</f>
        <v>#VALUE!</v>
      </c>
      <c r="GS290" t="e">
        <f>Europe!F1709+"$F;@!0IW"</f>
        <v>#VALUE!</v>
      </c>
      <c r="GT290" t="e">
        <f>Europe!G1709+"$F;@!0IX"</f>
        <v>#VALUE!</v>
      </c>
      <c r="GU290" t="e">
        <f>Europe!H1709+"$F;@!0IY"</f>
        <v>#VALUE!</v>
      </c>
      <c r="GV290" t="e">
        <f>Europe!A1710+"$F;@!0IZ"</f>
        <v>#VALUE!</v>
      </c>
      <c r="GW290" t="e">
        <f>Europe!B1710+"$F;@!0I["</f>
        <v>#VALUE!</v>
      </c>
      <c r="GX290" t="e">
        <f>Europe!C1710+"$F;@!0I\"</f>
        <v>#VALUE!</v>
      </c>
      <c r="GY290" t="e">
        <f>Europe!D1710+"$F;@!0I]"</f>
        <v>#VALUE!</v>
      </c>
      <c r="GZ290" t="e">
        <f>Europe!E1710+"$F;@!0I^"</f>
        <v>#VALUE!</v>
      </c>
      <c r="HA290" t="e">
        <f>Europe!F1710+"$F;@!0I_"</f>
        <v>#VALUE!</v>
      </c>
      <c r="HB290" t="e">
        <f>Europe!G1710+"$F;@!0I`"</f>
        <v>#VALUE!</v>
      </c>
      <c r="HC290" t="e">
        <f>Europe!H1710+"$F;@!0Ia"</f>
        <v>#VALUE!</v>
      </c>
      <c r="HD290" t="e">
        <f>Europe!A1711+"$F;@!0Ib"</f>
        <v>#VALUE!</v>
      </c>
      <c r="HE290" t="e">
        <f>Europe!B1711+"$F;@!0Ic"</f>
        <v>#VALUE!</v>
      </c>
      <c r="HF290" t="e">
        <f>Europe!C1711+"$F;@!0Id"</f>
        <v>#VALUE!</v>
      </c>
      <c r="HG290" t="e">
        <f>Europe!D1711+"$F;@!0Ie"</f>
        <v>#VALUE!</v>
      </c>
      <c r="HH290" t="e">
        <f>Europe!E1711+"$F;@!0If"</f>
        <v>#VALUE!</v>
      </c>
      <c r="HI290" t="e">
        <f>Europe!F1711+"$F;@!0Ig"</f>
        <v>#VALUE!</v>
      </c>
      <c r="HJ290" t="e">
        <f>Europe!G1711+"$F;@!0Ih"</f>
        <v>#VALUE!</v>
      </c>
      <c r="HK290" t="e">
        <f>Europe!H1711+"$F;@!0Ii"</f>
        <v>#VALUE!</v>
      </c>
      <c r="HL290" t="e">
        <f>Europe!A1712+"$F;@!0Ij"</f>
        <v>#VALUE!</v>
      </c>
      <c r="HM290" t="e">
        <f>Europe!B1712+"$F;@!0Ik"</f>
        <v>#VALUE!</v>
      </c>
      <c r="HN290" t="e">
        <f>Europe!C1712+"$F;@!0Il"</f>
        <v>#VALUE!</v>
      </c>
      <c r="HO290" t="e">
        <f>Europe!D1712+"$F;@!0Im"</f>
        <v>#VALUE!</v>
      </c>
      <c r="HP290" t="e">
        <f>Europe!E1712+"$F;@!0In"</f>
        <v>#VALUE!</v>
      </c>
      <c r="HQ290" t="e">
        <f>Europe!F1712+"$F;@!0Io"</f>
        <v>#VALUE!</v>
      </c>
      <c r="HR290" t="e">
        <f>Europe!G1712+"$F;@!0Ip"</f>
        <v>#VALUE!</v>
      </c>
      <c r="HS290" t="e">
        <f>Europe!H1712+"$F;@!0Iq"</f>
        <v>#VALUE!</v>
      </c>
      <c r="HT290" t="e">
        <f>Europe!A1713+"$F;@!0Ir"</f>
        <v>#VALUE!</v>
      </c>
      <c r="HU290" t="e">
        <f>Europe!B1713+"$F;@!0Is"</f>
        <v>#VALUE!</v>
      </c>
      <c r="HV290" t="e">
        <f>Europe!C1713+"$F;@!0It"</f>
        <v>#VALUE!</v>
      </c>
      <c r="HW290" t="e">
        <f>Europe!D1713+"$F;@!0Iu"</f>
        <v>#VALUE!</v>
      </c>
      <c r="HX290" t="e">
        <f>Europe!E1713+"$F;@!0Iv"</f>
        <v>#VALUE!</v>
      </c>
      <c r="HY290" t="e">
        <f>Europe!F1713+"$F;@!0Iw"</f>
        <v>#VALUE!</v>
      </c>
      <c r="HZ290" t="e">
        <f>Europe!G1713+"$F;@!0Ix"</f>
        <v>#VALUE!</v>
      </c>
      <c r="IA290" t="e">
        <f>Europe!H1713+"$F;@!0Iy"</f>
        <v>#VALUE!</v>
      </c>
      <c r="IB290" t="e">
        <f>Europe!A1714+"$F;@!0Iz"</f>
        <v>#VALUE!</v>
      </c>
      <c r="IC290" t="e">
        <f>Europe!B1714+"$F;@!0I{"</f>
        <v>#VALUE!</v>
      </c>
      <c r="ID290" t="e">
        <f>Europe!C1714+"$F;@!0I|"</f>
        <v>#VALUE!</v>
      </c>
      <c r="IE290" t="e">
        <f>Europe!D1714+"$F;@!0I}"</f>
        <v>#VALUE!</v>
      </c>
      <c r="IF290" t="e">
        <f>Europe!E1714+"$F;@!0I~"</f>
        <v>#VALUE!</v>
      </c>
      <c r="IG290" t="e">
        <f>Europe!F1714+"$F;@!0J#"</f>
        <v>#VALUE!</v>
      </c>
      <c r="IH290" t="e">
        <f>Europe!G1714+"$F;@!0J$"</f>
        <v>#VALUE!</v>
      </c>
      <c r="II290" t="e">
        <f>Europe!H1714+"$F;@!0J%"</f>
        <v>#VALUE!</v>
      </c>
      <c r="IJ290" t="e">
        <f>Europe!A1715+"$F;@!0J&amp;"</f>
        <v>#VALUE!</v>
      </c>
      <c r="IK290" t="e">
        <f>Europe!B1715+"$F;@!0J'"</f>
        <v>#VALUE!</v>
      </c>
      <c r="IL290" t="e">
        <f>Europe!C1715+"$F;@!0J("</f>
        <v>#VALUE!</v>
      </c>
      <c r="IM290" t="e">
        <f>Europe!D1715+"$F;@!0J)"</f>
        <v>#VALUE!</v>
      </c>
      <c r="IN290" t="e">
        <f>Europe!E1715+"$F;@!0J."</f>
        <v>#VALUE!</v>
      </c>
      <c r="IO290" t="e">
        <f>Europe!F1715+"$F;@!0J/"</f>
        <v>#VALUE!</v>
      </c>
      <c r="IP290" t="e">
        <f>Europe!G1715+"$F;@!0J0"</f>
        <v>#VALUE!</v>
      </c>
      <c r="IQ290" t="e">
        <f>Europe!H1715+"$F;@!0J1"</f>
        <v>#VALUE!</v>
      </c>
      <c r="IR290" t="e">
        <f>Europe!A1716+"$F;@!0J2"</f>
        <v>#VALUE!</v>
      </c>
      <c r="IS290" t="e">
        <f>Europe!B1716+"$F;@!0J3"</f>
        <v>#VALUE!</v>
      </c>
      <c r="IT290" t="e">
        <f>Europe!C1716+"$F;@!0J4"</f>
        <v>#VALUE!</v>
      </c>
      <c r="IU290" t="e">
        <f>Europe!D1716+"$F;@!0J5"</f>
        <v>#VALUE!</v>
      </c>
      <c r="IV290" t="e">
        <f>Europe!E1716+"$F;@!0J6"</f>
        <v>#VALUE!</v>
      </c>
    </row>
    <row r="291" spans="6:256" x14ac:dyDescent="0.35">
      <c r="F291" t="e">
        <f>Europe!F1716+"$F;@!0J7"</f>
        <v>#VALUE!</v>
      </c>
      <c r="G291" t="e">
        <f>Europe!G1716+"$F;@!0J8"</f>
        <v>#VALUE!</v>
      </c>
      <c r="H291" t="e">
        <f>Europe!H1716+"$F;@!0J9"</f>
        <v>#VALUE!</v>
      </c>
      <c r="I291" t="e">
        <f>Europe!A1717+"$F;@!0J:"</f>
        <v>#VALUE!</v>
      </c>
      <c r="J291" t="e">
        <f>Europe!B1717+"$F;@!0J;"</f>
        <v>#VALUE!</v>
      </c>
      <c r="K291" t="e">
        <f>Europe!C1717+"$F;@!0J&lt;"</f>
        <v>#VALUE!</v>
      </c>
      <c r="L291" t="e">
        <f>Europe!D1717+"$F;@!0J="</f>
        <v>#VALUE!</v>
      </c>
      <c r="M291" t="e">
        <f>Europe!E1717+"$F;@!0J&gt;"</f>
        <v>#VALUE!</v>
      </c>
      <c r="N291" t="e">
        <f>Europe!F1717+"$F;@!0J?"</f>
        <v>#VALUE!</v>
      </c>
      <c r="O291" t="e">
        <f>Europe!G1717+"$F;@!0J@"</f>
        <v>#VALUE!</v>
      </c>
      <c r="P291" t="e">
        <f>Europe!H1717+"$F;@!0JA"</f>
        <v>#VALUE!</v>
      </c>
      <c r="Q291" t="e">
        <f>Europe!A1718+"$F;@!0JB"</f>
        <v>#VALUE!</v>
      </c>
      <c r="R291" t="e">
        <f>Europe!B1718+"$F;@!0JC"</f>
        <v>#VALUE!</v>
      </c>
      <c r="S291" t="e">
        <f>Europe!C1718+"$F;@!0JD"</f>
        <v>#VALUE!</v>
      </c>
      <c r="T291" t="e">
        <f>Europe!D1718+"$F;@!0JE"</f>
        <v>#VALUE!</v>
      </c>
      <c r="U291" t="e">
        <f>Europe!E1718+"$F;@!0JF"</f>
        <v>#VALUE!</v>
      </c>
      <c r="V291" t="e">
        <f>Europe!F1718+"$F;@!0JG"</f>
        <v>#VALUE!</v>
      </c>
      <c r="W291" t="e">
        <f>Europe!G1718+"$F;@!0JH"</f>
        <v>#VALUE!</v>
      </c>
      <c r="X291" t="e">
        <f>Europe!H1718+"$F;@!0JI"</f>
        <v>#VALUE!</v>
      </c>
      <c r="Y291" t="e">
        <f>Europe!A1719+"$F;@!0JJ"</f>
        <v>#VALUE!</v>
      </c>
      <c r="Z291" t="e">
        <f>Europe!B1719+"$F;@!0JK"</f>
        <v>#VALUE!</v>
      </c>
      <c r="AA291" t="e">
        <f>Europe!C1719+"$F;@!0JL"</f>
        <v>#VALUE!</v>
      </c>
      <c r="AB291" t="e">
        <f>Europe!D1719+"$F;@!0JM"</f>
        <v>#VALUE!</v>
      </c>
      <c r="AC291" t="e">
        <f>Europe!E1719+"$F;@!0JN"</f>
        <v>#VALUE!</v>
      </c>
      <c r="AD291" t="e">
        <f>Europe!F1719+"$F;@!0JO"</f>
        <v>#VALUE!</v>
      </c>
      <c r="AE291" t="e">
        <f>Europe!G1719+"$F;@!0JP"</f>
        <v>#VALUE!</v>
      </c>
      <c r="AF291" t="e">
        <f>Europe!H1719+"$F;@!0JQ"</f>
        <v>#VALUE!</v>
      </c>
      <c r="AG291" t="e">
        <f>Europe!A1720+"$F;@!0JR"</f>
        <v>#VALUE!</v>
      </c>
      <c r="AH291" t="e">
        <f>Europe!B1720+"$F;@!0JS"</f>
        <v>#VALUE!</v>
      </c>
      <c r="AI291" t="e">
        <f>Europe!C1720+"$F;@!0JT"</f>
        <v>#VALUE!</v>
      </c>
      <c r="AJ291" t="e">
        <f>Europe!D1720+"$F;@!0JU"</f>
        <v>#VALUE!</v>
      </c>
      <c r="AK291" t="e">
        <f>Europe!E1720+"$F;@!0JV"</f>
        <v>#VALUE!</v>
      </c>
      <c r="AL291" t="e">
        <f>Europe!F1720+"$F;@!0JW"</f>
        <v>#VALUE!</v>
      </c>
      <c r="AM291" t="e">
        <f>Europe!G1720+"$F;@!0JX"</f>
        <v>#VALUE!</v>
      </c>
      <c r="AN291" t="e">
        <f>Europe!H1720+"$F;@!0JY"</f>
        <v>#VALUE!</v>
      </c>
      <c r="AO291" t="e">
        <f>Europe!A1721+"$F;@!0JZ"</f>
        <v>#VALUE!</v>
      </c>
      <c r="AP291" t="e">
        <f>Europe!B1721+"$F;@!0J["</f>
        <v>#VALUE!</v>
      </c>
      <c r="AQ291" t="e">
        <f>Europe!C1721+"$F;@!0J\"</f>
        <v>#VALUE!</v>
      </c>
      <c r="AR291" t="e">
        <f>Europe!D1721+"$F;@!0J]"</f>
        <v>#VALUE!</v>
      </c>
      <c r="AS291" t="e">
        <f>Europe!E1721+"$F;@!0J^"</f>
        <v>#VALUE!</v>
      </c>
      <c r="AT291" t="e">
        <f>Europe!F1721+"$F;@!0J_"</f>
        <v>#VALUE!</v>
      </c>
      <c r="AU291" t="e">
        <f>Europe!G1721+"$F;@!0J`"</f>
        <v>#VALUE!</v>
      </c>
      <c r="AV291" t="e">
        <f>Europe!H1721+"$F;@!0Ja"</f>
        <v>#VALUE!</v>
      </c>
      <c r="AW291" t="e">
        <f>Europe!A1722+"$F;@!0Jb"</f>
        <v>#VALUE!</v>
      </c>
      <c r="AX291" t="e">
        <f>Europe!B1722+"$F;@!0Jc"</f>
        <v>#VALUE!</v>
      </c>
      <c r="AY291" t="e">
        <f>Europe!C1722+"$F;@!0Jd"</f>
        <v>#VALUE!</v>
      </c>
      <c r="AZ291" t="e">
        <f>Europe!D1722+"$F;@!0Je"</f>
        <v>#VALUE!</v>
      </c>
      <c r="BA291" t="e">
        <f>Europe!E1722+"$F;@!0Jf"</f>
        <v>#VALUE!</v>
      </c>
      <c r="BB291" t="e">
        <f>Europe!F1722+"$F;@!0Jg"</f>
        <v>#VALUE!</v>
      </c>
      <c r="BC291" t="e">
        <f>Europe!G1722+"$F;@!0Jh"</f>
        <v>#VALUE!</v>
      </c>
      <c r="BD291" t="e">
        <f>Europe!H1722+"$F;@!0Ji"</f>
        <v>#VALUE!</v>
      </c>
      <c r="BE291" t="e">
        <f>Europe!A1723+"$F;@!0Jj"</f>
        <v>#VALUE!</v>
      </c>
      <c r="BF291" t="e">
        <f>Europe!B1723+"$F;@!0Jk"</f>
        <v>#VALUE!</v>
      </c>
      <c r="BG291" t="e">
        <f>Europe!C1723+"$F;@!0Jl"</f>
        <v>#VALUE!</v>
      </c>
      <c r="BH291" t="e">
        <f>Europe!D1723+"$F;@!0Jm"</f>
        <v>#VALUE!</v>
      </c>
      <c r="BI291" t="e">
        <f>Europe!E1723+"$F;@!0Jn"</f>
        <v>#VALUE!</v>
      </c>
      <c r="BJ291" t="e">
        <f>Europe!F1723+"$F;@!0Jo"</f>
        <v>#VALUE!</v>
      </c>
      <c r="BK291" t="e">
        <f>Europe!G1723+"$F;@!0Jp"</f>
        <v>#VALUE!</v>
      </c>
      <c r="BL291" t="e">
        <f>Europe!H1723+"$F;@!0Jq"</f>
        <v>#VALUE!</v>
      </c>
      <c r="BM291" t="e">
        <f>Europe!A1724+"$F;@!0Jr"</f>
        <v>#VALUE!</v>
      </c>
      <c r="BN291" t="e">
        <f>Europe!B1724+"$F;@!0Js"</f>
        <v>#VALUE!</v>
      </c>
      <c r="BO291" t="e">
        <f>Europe!C1724+"$F;@!0Jt"</f>
        <v>#VALUE!</v>
      </c>
      <c r="BP291" t="e">
        <f>Europe!D1724+"$F;@!0Ju"</f>
        <v>#VALUE!</v>
      </c>
      <c r="BQ291" t="e">
        <f>Europe!E1724+"$F;@!0Jv"</f>
        <v>#VALUE!</v>
      </c>
      <c r="BR291" t="e">
        <f>Europe!F1724+"$F;@!0Jw"</f>
        <v>#VALUE!</v>
      </c>
      <c r="BS291" t="e">
        <f>Europe!G1724+"$F;@!0Jx"</f>
        <v>#VALUE!</v>
      </c>
      <c r="BT291" t="e">
        <f>Europe!H1724+"$F;@!0Jy"</f>
        <v>#VALUE!</v>
      </c>
      <c r="BU291" t="e">
        <f>Europe!A1725+"$F;@!0Jz"</f>
        <v>#VALUE!</v>
      </c>
      <c r="BV291" t="e">
        <f>Europe!B1725+"$F;@!0J{"</f>
        <v>#VALUE!</v>
      </c>
      <c r="BW291" t="e">
        <f>Europe!C1725+"$F;@!0J|"</f>
        <v>#VALUE!</v>
      </c>
      <c r="BX291" t="e">
        <f>Europe!D1725+"$F;@!0J}"</f>
        <v>#VALUE!</v>
      </c>
      <c r="BY291" t="e">
        <f>Europe!E1725+"$F;@!0J~"</f>
        <v>#VALUE!</v>
      </c>
      <c r="BZ291" t="e">
        <f>Europe!F1725+"$F;@!0K#"</f>
        <v>#VALUE!</v>
      </c>
      <c r="CA291" t="e">
        <f>Europe!G1725+"$F;@!0K$"</f>
        <v>#VALUE!</v>
      </c>
      <c r="CB291" t="e">
        <f>Europe!H1725+"$F;@!0K%"</f>
        <v>#VALUE!</v>
      </c>
      <c r="CC291" t="e">
        <f>Europe!A1726+"$F;@!0K&amp;"</f>
        <v>#VALUE!</v>
      </c>
      <c r="CD291" t="e">
        <f>Europe!B1726+"$F;@!0K'"</f>
        <v>#VALUE!</v>
      </c>
      <c r="CE291" t="e">
        <f>Europe!C1726+"$F;@!0K("</f>
        <v>#VALUE!</v>
      </c>
      <c r="CF291" t="e">
        <f>Europe!D1726+"$F;@!0K)"</f>
        <v>#VALUE!</v>
      </c>
      <c r="CG291" t="e">
        <f>Europe!E1726+"$F;@!0K."</f>
        <v>#VALUE!</v>
      </c>
      <c r="CH291" t="e">
        <f>Europe!F1726+"$F;@!0K/"</f>
        <v>#VALUE!</v>
      </c>
      <c r="CI291" t="e">
        <f>Europe!G1726+"$F;@!0K0"</f>
        <v>#VALUE!</v>
      </c>
      <c r="CJ291" t="e">
        <f>Europe!H1726+"$F;@!0K1"</f>
        <v>#VALUE!</v>
      </c>
      <c r="CK291" t="e">
        <f>Europe!A1727+"$F;@!0K2"</f>
        <v>#VALUE!</v>
      </c>
      <c r="CL291" t="e">
        <f>Europe!B1727+"$F;@!0K3"</f>
        <v>#VALUE!</v>
      </c>
      <c r="CM291" t="e">
        <f>Europe!C1727+"$F;@!0K4"</f>
        <v>#VALUE!</v>
      </c>
      <c r="CN291" t="e">
        <f>Europe!D1727+"$F;@!0K5"</f>
        <v>#VALUE!</v>
      </c>
      <c r="CO291" t="e">
        <f>Europe!E1727+"$F;@!0K6"</f>
        <v>#VALUE!</v>
      </c>
      <c r="CP291" t="e">
        <f>Europe!F1727+"$F;@!0K7"</f>
        <v>#VALUE!</v>
      </c>
      <c r="CQ291" t="e">
        <f>Europe!G1727+"$F;@!0K8"</f>
        <v>#VALUE!</v>
      </c>
      <c r="CR291" t="e">
        <f>Europe!H1727+"$F;@!0K9"</f>
        <v>#VALUE!</v>
      </c>
      <c r="CS291" t="e">
        <f>Europe!A1728+"$F;@!0K:"</f>
        <v>#VALUE!</v>
      </c>
      <c r="CT291" t="e">
        <f>Europe!B1728+"$F;@!0K;"</f>
        <v>#VALUE!</v>
      </c>
      <c r="CU291" t="e">
        <f>Europe!C1728+"$F;@!0K&lt;"</f>
        <v>#VALUE!</v>
      </c>
      <c r="CV291" t="e">
        <f>Europe!D1728+"$F;@!0K="</f>
        <v>#VALUE!</v>
      </c>
      <c r="CW291" t="e">
        <f>Europe!E1728+"$F;@!0K&gt;"</f>
        <v>#VALUE!</v>
      </c>
      <c r="CX291" t="e">
        <f>Europe!F1728+"$F;@!0K?"</f>
        <v>#VALUE!</v>
      </c>
      <c r="CY291" t="e">
        <f>Europe!G1728+"$F;@!0K@"</f>
        <v>#VALUE!</v>
      </c>
      <c r="CZ291" t="e">
        <f>Europe!H1728+"$F;@!0KA"</f>
        <v>#VALUE!</v>
      </c>
      <c r="DA291" t="e">
        <f>Europe!A1729+"$F;@!0KB"</f>
        <v>#VALUE!</v>
      </c>
      <c r="DB291" t="e">
        <f>Europe!B1729+"$F;@!0KC"</f>
        <v>#VALUE!</v>
      </c>
      <c r="DC291" t="e">
        <f>Europe!C1729+"$F;@!0KD"</f>
        <v>#VALUE!</v>
      </c>
      <c r="DD291" t="e">
        <f>Europe!D1729+"$F;@!0KE"</f>
        <v>#VALUE!</v>
      </c>
      <c r="DE291" t="e">
        <f>Europe!E1729+"$F;@!0KF"</f>
        <v>#VALUE!</v>
      </c>
      <c r="DF291" t="e">
        <f>Europe!F1729+"$F;@!0KG"</f>
        <v>#VALUE!</v>
      </c>
      <c r="DG291" t="e">
        <f>Europe!G1729+"$F;@!0KH"</f>
        <v>#VALUE!</v>
      </c>
      <c r="DH291" t="e">
        <f>Europe!H1729+"$F;@!0KI"</f>
        <v>#VALUE!</v>
      </c>
      <c r="DI291" t="e">
        <f>Europe!A1730+"$F;@!0KJ"</f>
        <v>#VALUE!</v>
      </c>
      <c r="DJ291" t="e">
        <f>Europe!B1730+"$F;@!0KK"</f>
        <v>#VALUE!</v>
      </c>
      <c r="DK291" t="e">
        <f>Europe!C1730+"$F;@!0KL"</f>
        <v>#VALUE!</v>
      </c>
      <c r="DL291" t="e">
        <f>Europe!D1730+"$F;@!0KM"</f>
        <v>#VALUE!</v>
      </c>
      <c r="DM291" t="e">
        <f>Europe!E1730+"$F;@!0KN"</f>
        <v>#VALUE!</v>
      </c>
      <c r="DN291" t="e">
        <f>Europe!F1730+"$F;@!0KO"</f>
        <v>#VALUE!</v>
      </c>
      <c r="DO291" t="e">
        <f>Europe!G1730+"$F;@!0KP"</f>
        <v>#VALUE!</v>
      </c>
      <c r="DP291" t="e">
        <f>Europe!H1730+"$F;@!0KQ"</f>
        <v>#VALUE!</v>
      </c>
      <c r="DQ291" t="e">
        <f>Europe!A1731+"$F;@!0KR"</f>
        <v>#VALUE!</v>
      </c>
      <c r="DR291" t="e">
        <f>Europe!B1731+"$F;@!0KS"</f>
        <v>#VALUE!</v>
      </c>
      <c r="DS291" t="e">
        <f>Europe!C1731+"$F;@!0KT"</f>
        <v>#VALUE!</v>
      </c>
      <c r="DT291" t="e">
        <f>Europe!D1731+"$F;@!0KU"</f>
        <v>#VALUE!</v>
      </c>
      <c r="DU291" t="e">
        <f>Europe!E1731+"$F;@!0KV"</f>
        <v>#VALUE!</v>
      </c>
      <c r="DV291" t="e">
        <f>Europe!F1731+"$F;@!0KW"</f>
        <v>#VALUE!</v>
      </c>
      <c r="DW291" t="e">
        <f>Europe!G1731+"$F;@!0KX"</f>
        <v>#VALUE!</v>
      </c>
      <c r="DX291" t="e">
        <f>Europe!H1731+"$F;@!0KY"</f>
        <v>#VALUE!</v>
      </c>
      <c r="DY291" t="e">
        <f>Europe!A1732+"$F;@!0KZ"</f>
        <v>#VALUE!</v>
      </c>
      <c r="DZ291" t="e">
        <f>Europe!B1732+"$F;@!0K["</f>
        <v>#VALUE!</v>
      </c>
      <c r="EA291" t="e">
        <f>Europe!C1732+"$F;@!0K\"</f>
        <v>#VALUE!</v>
      </c>
      <c r="EB291" t="e">
        <f>Europe!D1732+"$F;@!0K]"</f>
        <v>#VALUE!</v>
      </c>
      <c r="EC291" t="e">
        <f>Europe!E1732+"$F;@!0K^"</f>
        <v>#VALUE!</v>
      </c>
      <c r="ED291" t="e">
        <f>Europe!F1732+"$F;@!0K_"</f>
        <v>#VALUE!</v>
      </c>
      <c r="EE291" t="e">
        <f>Europe!G1732+"$F;@!0K`"</f>
        <v>#VALUE!</v>
      </c>
      <c r="EF291" t="e">
        <f>Europe!H1732+"$F;@!0Ka"</f>
        <v>#VALUE!</v>
      </c>
      <c r="EG291" t="e">
        <f>Europe!A1733+"$F;@!0Kb"</f>
        <v>#VALUE!</v>
      </c>
      <c r="EH291" t="e">
        <f>Europe!B1733+"$F;@!0Kc"</f>
        <v>#VALUE!</v>
      </c>
      <c r="EI291" t="e">
        <f>Europe!C1733+"$F;@!0Kd"</f>
        <v>#VALUE!</v>
      </c>
      <c r="EJ291" t="e">
        <f>Europe!D1733+"$F;@!0Ke"</f>
        <v>#VALUE!</v>
      </c>
      <c r="EK291" t="e">
        <f>Europe!E1733+"$F;@!0Kf"</f>
        <v>#VALUE!</v>
      </c>
      <c r="EL291" t="e">
        <f>Europe!F1733+"$F;@!0Kg"</f>
        <v>#VALUE!</v>
      </c>
      <c r="EM291" t="e">
        <f>Europe!G1733+"$F;@!0Kh"</f>
        <v>#VALUE!</v>
      </c>
      <c r="EN291" t="e">
        <f>Europe!H1733+"$F;@!0Ki"</f>
        <v>#VALUE!</v>
      </c>
      <c r="EO291" t="e">
        <f>Europe!A1734+"$F;@!0Kj"</f>
        <v>#VALUE!</v>
      </c>
      <c r="EP291" t="e">
        <f>Europe!B1734+"$F;@!0Kk"</f>
        <v>#VALUE!</v>
      </c>
      <c r="EQ291" t="e">
        <f>Europe!C1734+"$F;@!0Kl"</f>
        <v>#VALUE!</v>
      </c>
      <c r="ER291" t="e">
        <f>Europe!D1734+"$F;@!0Km"</f>
        <v>#VALUE!</v>
      </c>
      <c r="ES291" t="e">
        <f>Europe!E1734+"$F;@!0Kn"</f>
        <v>#VALUE!</v>
      </c>
      <c r="ET291" t="e">
        <f>Europe!F1734+"$F;@!0Ko"</f>
        <v>#VALUE!</v>
      </c>
      <c r="EU291" t="e">
        <f>Europe!G1734+"$F;@!0Kp"</f>
        <v>#VALUE!</v>
      </c>
      <c r="EV291" t="e">
        <f>Europe!H1734+"$F;@!0Kq"</f>
        <v>#VALUE!</v>
      </c>
      <c r="EW291" t="e">
        <f>Europe!A1735+"$F;@!0Kr"</f>
        <v>#VALUE!</v>
      </c>
      <c r="EX291" t="e">
        <f>Europe!B1735+"$F;@!0Ks"</f>
        <v>#VALUE!</v>
      </c>
      <c r="EY291" t="e">
        <f>Europe!C1735+"$F;@!0Kt"</f>
        <v>#VALUE!</v>
      </c>
      <c r="EZ291" t="e">
        <f>Europe!D1735+"$F;@!0Ku"</f>
        <v>#VALUE!</v>
      </c>
      <c r="FA291" t="e">
        <f>Europe!E1735+"$F;@!0Kv"</f>
        <v>#VALUE!</v>
      </c>
      <c r="FB291" t="e">
        <f>Europe!F1735+"$F;@!0Kw"</f>
        <v>#VALUE!</v>
      </c>
      <c r="FC291" t="e">
        <f>Europe!G1735+"$F;@!0Kx"</f>
        <v>#VALUE!</v>
      </c>
      <c r="FD291" t="e">
        <f>Europe!H1735+"$F;@!0Ky"</f>
        <v>#VALUE!</v>
      </c>
      <c r="FE291" t="e">
        <f>Europe!A1736+"$F;@!0Kz"</f>
        <v>#VALUE!</v>
      </c>
      <c r="FF291" t="e">
        <f>Europe!B1736+"$F;@!0K{"</f>
        <v>#VALUE!</v>
      </c>
      <c r="FG291" t="e">
        <f>Europe!C1736+"$F;@!0K|"</f>
        <v>#VALUE!</v>
      </c>
      <c r="FH291" t="e">
        <f>Europe!D1736+"$F;@!0K}"</f>
        <v>#VALUE!</v>
      </c>
      <c r="FI291" t="e">
        <f>Europe!E1736+"$F;@!0K~"</f>
        <v>#VALUE!</v>
      </c>
      <c r="FJ291" t="e">
        <f>Europe!F1736+"$F;@!0L#"</f>
        <v>#VALUE!</v>
      </c>
      <c r="FK291" t="e">
        <f>Europe!G1736+"$F;@!0L$"</f>
        <v>#VALUE!</v>
      </c>
      <c r="FL291" t="e">
        <f>Europe!H1736+"$F;@!0L%"</f>
        <v>#VALUE!</v>
      </c>
      <c r="FM291" t="e">
        <f>Europe!A1737+"$F;@!0L&amp;"</f>
        <v>#VALUE!</v>
      </c>
      <c r="FN291" t="e">
        <f>Europe!B1737+"$F;@!0L'"</f>
        <v>#VALUE!</v>
      </c>
      <c r="FO291" t="e">
        <f>Europe!C1737+"$F;@!0L("</f>
        <v>#VALUE!</v>
      </c>
      <c r="FP291" t="e">
        <f>Europe!D1737+"$F;@!0L)"</f>
        <v>#VALUE!</v>
      </c>
      <c r="FQ291" t="e">
        <f>Europe!E1737+"$F;@!0L."</f>
        <v>#VALUE!</v>
      </c>
      <c r="FR291" t="e">
        <f>Europe!F1737+"$F;@!0L/"</f>
        <v>#VALUE!</v>
      </c>
      <c r="FS291" t="e">
        <f>Europe!G1737+"$F;@!0L0"</f>
        <v>#VALUE!</v>
      </c>
      <c r="FT291" t="e">
        <f>Europe!H1737+"$F;@!0L1"</f>
        <v>#VALUE!</v>
      </c>
      <c r="FU291" t="e">
        <f>Europe!A1738+"$F;@!0L2"</f>
        <v>#VALUE!</v>
      </c>
      <c r="FV291" t="e">
        <f>Europe!B1738+"$F;@!0L3"</f>
        <v>#VALUE!</v>
      </c>
      <c r="FW291" t="e">
        <f>Europe!C1738+"$F;@!0L4"</f>
        <v>#VALUE!</v>
      </c>
      <c r="FX291" t="e">
        <f>Europe!D1738+"$F;@!0L5"</f>
        <v>#VALUE!</v>
      </c>
      <c r="FY291" t="e">
        <f>Europe!E1738+"$F;@!0L6"</f>
        <v>#VALUE!</v>
      </c>
      <c r="FZ291" t="e">
        <f>Europe!F1738+"$F;@!0L7"</f>
        <v>#VALUE!</v>
      </c>
      <c r="GA291" t="e">
        <f>Europe!G1738+"$F;@!0L8"</f>
        <v>#VALUE!</v>
      </c>
      <c r="GB291" t="e">
        <f>Europe!H1738+"$F;@!0L9"</f>
        <v>#VALUE!</v>
      </c>
      <c r="GC291" t="e">
        <f>Europe!A1739+"$F;@!0L:"</f>
        <v>#VALUE!</v>
      </c>
      <c r="GD291" t="e">
        <f>Europe!B1739+"$F;@!0L;"</f>
        <v>#VALUE!</v>
      </c>
      <c r="GE291" t="e">
        <f>Europe!C1739+"$F;@!0L&lt;"</f>
        <v>#VALUE!</v>
      </c>
      <c r="GF291" t="e">
        <f>Europe!D1739+"$F;@!0L="</f>
        <v>#VALUE!</v>
      </c>
      <c r="GG291" t="e">
        <f>Europe!E1739+"$F;@!0L&gt;"</f>
        <v>#VALUE!</v>
      </c>
      <c r="GH291" t="e">
        <f>Europe!F1739+"$F;@!0L?"</f>
        <v>#VALUE!</v>
      </c>
      <c r="GI291" t="e">
        <f>Europe!G1739+"$F;@!0L@"</f>
        <v>#VALUE!</v>
      </c>
      <c r="GJ291" t="e">
        <f>Europe!H1739+"$F;@!0LA"</f>
        <v>#VALUE!</v>
      </c>
      <c r="GK291" t="e">
        <f>Europe!A:A*"$F;@!0LB"</f>
        <v>#VALUE!</v>
      </c>
      <c r="GL291" t="e">
        <f>Europe!B:B*"$F;@!0LC"</f>
        <v>#VALUE!</v>
      </c>
      <c r="GM291" t="e">
        <f>Europe!C:C*"$F;@!0LD"</f>
        <v>#VALUE!</v>
      </c>
      <c r="GN291" t="e">
        <f>Europe!D:D*"$F;@!0LE"</f>
        <v>#VALUE!</v>
      </c>
      <c r="GO291" t="e">
        <f>Europe!E:E*"$F;@!0LF"</f>
        <v>#VALUE!</v>
      </c>
      <c r="GP291" t="e">
        <f>Europe!F:F*"$F;@!0LG"</f>
        <v>#VALUE!</v>
      </c>
      <c r="GQ291" t="e">
        <f>Europe!G:G*"$F;@!0LH"</f>
        <v>#VALUE!</v>
      </c>
      <c r="GR291" t="e">
        <f>Europe!H:H*"$F;@!0LI"</f>
        <v>#VALUE!</v>
      </c>
      <c r="GS291" t="e">
        <f>Europe!I:I*"$F;@!0LJ"</f>
        <v>#VALUE!</v>
      </c>
      <c r="GT291" t="e">
        <f>Europe!J:J*"$F;@!0LK"</f>
        <v>#VALUE!</v>
      </c>
      <c r="GU291" t="e">
        <f>Europe!K:K*"$F;@!0LL"</f>
        <v>#VALUE!</v>
      </c>
      <c r="GV291" t="e">
        <f>Europe!L:L*"$F;@!0LM"</f>
        <v>#VALUE!</v>
      </c>
      <c r="GW291" t="e">
        <f>Europe!M:M*"$F;@!0LN"</f>
        <v>#VALUE!</v>
      </c>
      <c r="GX291" t="e">
        <f>Europe!N:N*"$F;@!0LO"</f>
        <v>#VALUE!</v>
      </c>
      <c r="GY291" t="e">
        <f>Europe!O:O*"$F;@!0LP"</f>
        <v>#VALUE!</v>
      </c>
      <c r="GZ291" t="e">
        <f>Europe!P:P*"$F;@!0LQ"</f>
        <v>#VALUE!</v>
      </c>
      <c r="HA291" t="e">
        <f>Europe!Q:Q*"$F;@!0LR"</f>
        <v>#VALUE!</v>
      </c>
      <c r="HB291" t="e">
        <f>Europe!R:R*"$F;@!0LS"</f>
        <v>#VALUE!</v>
      </c>
      <c r="HC291" t="e">
        <f>Europe!S:S*"$F;@!0LT"</f>
        <v>#VALUE!</v>
      </c>
      <c r="HD291" t="e">
        <f>Europe!T:T*"$F;@!0LU"</f>
        <v>#VALUE!</v>
      </c>
      <c r="HE291" t="e">
        <f>Europe!U:U*"$F;@!0LV"</f>
        <v>#VALUE!</v>
      </c>
      <c r="HF291" t="e">
        <f>Europe!V:V*"$F;@!0LW"</f>
        <v>#VALUE!</v>
      </c>
      <c r="HG291" t="e">
        <f>Europe!W:W*"$F;@!0LX"</f>
        <v>#VALUE!</v>
      </c>
      <c r="HH291" t="e">
        <f>Europe!X:X*"$F;@!0LY"</f>
        <v>#VALUE!</v>
      </c>
      <c r="HI291" t="e">
        <f>Europe!Y:Y*"$F;@!0LZ"</f>
        <v>#VALUE!</v>
      </c>
      <c r="HJ291" t="e">
        <f>Europe!Z:Z*"$F;@!0L["</f>
        <v>#VALUE!</v>
      </c>
      <c r="HK291" t="e">
        <f>Europe!AA:AA*"$F;@!0L\"</f>
        <v>#VALUE!</v>
      </c>
      <c r="HL291" t="e">
        <f>Europe!AB:AB*"$F;@!0L]"</f>
        <v>#VALUE!</v>
      </c>
      <c r="HM291" t="e">
        <f>Europe!AC:AC*"$F;@!0L^"</f>
        <v>#VALUE!</v>
      </c>
      <c r="HN291" t="e">
        <f>Europe!AD:AD*"$F;@!0L_"</f>
        <v>#VALUE!</v>
      </c>
      <c r="HO291" t="e">
        <f>Europe!AE:AE*"$F;@!0L`"</f>
        <v>#VALUE!</v>
      </c>
      <c r="HP291" t="e">
        <f>Europe!AF:AF*"$F;@!0La"</f>
        <v>#VALUE!</v>
      </c>
      <c r="HQ291" t="e">
        <f>Europe!AG:AG*"$F;@!0Lb"</f>
        <v>#VALUE!</v>
      </c>
      <c r="HR291" t="e">
        <f>Europe!AH:AH*"$F;@!0Lc"</f>
        <v>#VALUE!</v>
      </c>
      <c r="HS291" t="e">
        <f>Europe!AI:AI*"$F;@!0Ld"</f>
        <v>#VALUE!</v>
      </c>
      <c r="HT291" t="e">
        <f>Europe!AJ:AJ*"$F;@!0Le"</f>
        <v>#VALUE!</v>
      </c>
      <c r="HU291" t="e">
        <f>Europe!AK:AK*"$F;@!0Lf"</f>
        <v>#VALUE!</v>
      </c>
      <c r="HV291" t="e">
        <f>Europe!AL:AL*"$F;@!0Lg"</f>
        <v>#VALUE!</v>
      </c>
      <c r="HW291" t="e">
        <f>Europe!AM:AM*"$F;@!0Lh"</f>
        <v>#VALUE!</v>
      </c>
      <c r="HX291" t="e">
        <f>Europe!AN:AN*"$F;@!0Li"</f>
        <v>#VALUE!</v>
      </c>
      <c r="HY291" t="e">
        <f>Europe!AO:AO*"$F;@!0Lj"</f>
        <v>#VALUE!</v>
      </c>
      <c r="HZ291" t="e">
        <f>Europe!AP:AP*"$F;@!0Lk"</f>
        <v>#VALUE!</v>
      </c>
      <c r="IA291" t="e">
        <f>Europe!AQ:AQ*"$F;@!0Ll"</f>
        <v>#VALUE!</v>
      </c>
      <c r="IB291" t="e">
        <f>Europe!AR:AR*"$F;@!0Lm"</f>
        <v>#VALUE!</v>
      </c>
      <c r="IC291" t="e">
        <f>Europe!AS:AS*"$F;@!0Ln"</f>
        <v>#VALUE!</v>
      </c>
      <c r="ID291" t="e">
        <f>Europe!AT:AT*"$F;@!0Lo"</f>
        <v>#VALUE!</v>
      </c>
      <c r="IE291" t="e">
        <f>Europe!AU:AU*"$F;@!0Lp"</f>
        <v>#VALUE!</v>
      </c>
      <c r="IF291" t="e">
        <f>Europe!AV:AV*"$F;@!0Lq"</f>
        <v>#VALUE!</v>
      </c>
      <c r="IG291" t="e">
        <f>Europe!AW:AW*"$F;@!0Lr"</f>
        <v>#VALUE!</v>
      </c>
      <c r="IH291" t="e">
        <f>Europe!AX:AX*"$F;@!0Ls"</f>
        <v>#VALUE!</v>
      </c>
      <c r="II291" t="e">
        <f>Europe!AY:AY*"$F;@!0Lt"</f>
        <v>#VALUE!</v>
      </c>
      <c r="IJ291" t="e">
        <f>Europe!AZ:AZ*"$F;@!0Lu"</f>
        <v>#VALUE!</v>
      </c>
      <c r="IK291" t="e">
        <f>Europe!BA:BA*"$F;@!0Lv"</f>
        <v>#VALUE!</v>
      </c>
      <c r="IL291" t="e">
        <f>Europe!BB:BB*"$F;@!0Lw"</f>
        <v>#VALUE!</v>
      </c>
      <c r="IM291" t="e">
        <f>Europe!BC:BC*"$F;@!0Lx"</f>
        <v>#VALUE!</v>
      </c>
      <c r="IN291" t="e">
        <f>Europe!BD:BD*"$F;@!0Ly"</f>
        <v>#VALUE!</v>
      </c>
      <c r="IO291" t="e">
        <f>Europe!BE:BE*"$F;@!0Lz"</f>
        <v>#VALUE!</v>
      </c>
      <c r="IP291" t="e">
        <f>Europe!BF:BF*"$F;@!0L{"</f>
        <v>#VALUE!</v>
      </c>
      <c r="IQ291" t="e">
        <f>Europe!1:1-"$F;@!0L|"</f>
        <v>#VALUE!</v>
      </c>
      <c r="IR291" t="e">
        <f>Europe!2:2-"$F;@!0L}"</f>
        <v>#VALUE!</v>
      </c>
      <c r="IS291" t="e">
        <f>Europe!3:3-"$F;@!0L~"</f>
        <v>#VALUE!</v>
      </c>
      <c r="IT291" t="e">
        <f>Europe!4:4-"$F;@!0M#"</f>
        <v>#VALUE!</v>
      </c>
      <c r="IU291" t="e">
        <f>Europe!5:5-"$F;@!0M$"</f>
        <v>#VALUE!</v>
      </c>
      <c r="IV291" t="e">
        <f>Europe!6:6-"$F;@!0M%"</f>
        <v>#VALUE!</v>
      </c>
    </row>
    <row r="292" spans="6:256" x14ac:dyDescent="0.35">
      <c r="F292" t="e">
        <f>Europe!7:7-"$F;@!0M&amp;"</f>
        <v>#VALUE!</v>
      </c>
      <c r="G292" t="e">
        <f>Europe!8:8-"$F;@!0M'"</f>
        <v>#VALUE!</v>
      </c>
      <c r="H292" t="e">
        <f>Europe!9:9-"$F;@!0M("</f>
        <v>#VALUE!</v>
      </c>
      <c r="I292" t="e">
        <f>Europe!10:10-"$F;@!0M)"</f>
        <v>#VALUE!</v>
      </c>
      <c r="J292" t="e">
        <f>Europe!11:11-"$F;@!0M."</f>
        <v>#VALUE!</v>
      </c>
      <c r="K292" t="e">
        <f>Europe!12:12-"$F;@!0M/"</f>
        <v>#VALUE!</v>
      </c>
      <c r="L292" t="e">
        <f>Europe!13:13-"$F;@!0M0"</f>
        <v>#VALUE!</v>
      </c>
      <c r="M292" t="e">
        <f>Europe!14:14-"$F;@!0M1"</f>
        <v>#VALUE!</v>
      </c>
      <c r="N292" t="e">
        <f>Europe!15:15-"$F;@!0M2"</f>
        <v>#VALUE!</v>
      </c>
      <c r="O292" t="e">
        <f>Europe!16:16-"$F;@!0M3"</f>
        <v>#VALUE!</v>
      </c>
      <c r="P292" t="e">
        <f>Europe!17:17-"$F;@!0M4"</f>
        <v>#VALUE!</v>
      </c>
      <c r="Q292" t="e">
        <f>Europe!18:18-"$F;@!0M5"</f>
        <v>#VALUE!</v>
      </c>
      <c r="R292" t="e">
        <f>Europe!19:19-"$F;@!0M6"</f>
        <v>#VALUE!</v>
      </c>
      <c r="S292" t="e">
        <f>Europe!20:20-"$F;@!0M7"</f>
        <v>#VALUE!</v>
      </c>
      <c r="T292" t="e">
        <f>Europe!21:21-"$F;@!0M8"</f>
        <v>#VALUE!</v>
      </c>
      <c r="U292" t="e">
        <f>Europe!22:22-"$F;@!0M9"</f>
        <v>#VALUE!</v>
      </c>
      <c r="V292" t="e">
        <f>Europe!23:23-"$F;@!0M:"</f>
        <v>#VALUE!</v>
      </c>
      <c r="W292" t="e">
        <f>Europe!24:24-"$F;@!0M;"</f>
        <v>#VALUE!</v>
      </c>
      <c r="X292" t="e">
        <f>Europe!25:25-"$F;@!0M&lt;"</f>
        <v>#VALUE!</v>
      </c>
      <c r="Y292" t="e">
        <f>Europe!26:26-"$F;@!0M="</f>
        <v>#VALUE!</v>
      </c>
      <c r="Z292" t="e">
        <f>Europe!27:27-"$F;@!0M&gt;"</f>
        <v>#VALUE!</v>
      </c>
      <c r="AA292" t="e">
        <f>Europe!28:28-"$F;@!0M?"</f>
        <v>#VALUE!</v>
      </c>
      <c r="AB292" t="e">
        <f>Europe!29:29-"$F;@!0M@"</f>
        <v>#VALUE!</v>
      </c>
      <c r="AC292" t="e">
        <f>Europe!30:30-"$F;@!0MA"</f>
        <v>#VALUE!</v>
      </c>
      <c r="AD292" t="e">
        <f>Europe!31:31-"$F;@!0MB"</f>
        <v>#VALUE!</v>
      </c>
      <c r="AE292" t="e">
        <f>Europe!32:32-"$F;@!0MC"</f>
        <v>#VALUE!</v>
      </c>
      <c r="AF292" t="e">
        <f>Europe!33:33-"$F;@!0MD"</f>
        <v>#VALUE!</v>
      </c>
      <c r="AG292" t="e">
        <f>Europe!34:34-"$F;@!0ME"</f>
        <v>#VALUE!</v>
      </c>
      <c r="AH292" t="e">
        <f>Europe!35:35-"$F;@!0MF"</f>
        <v>#VALUE!</v>
      </c>
      <c r="AI292" t="e">
        <f>Europe!36:36-"$F;@!0MG"</f>
        <v>#VALUE!</v>
      </c>
      <c r="AJ292" t="e">
        <f>Europe!37:37-"$F;@!0MH"</f>
        <v>#VALUE!</v>
      </c>
      <c r="AK292" t="e">
        <f>Europe!38:38-"$F;@!0MI"</f>
        <v>#VALUE!</v>
      </c>
      <c r="AL292" t="e">
        <f>Europe!39:39-"$F;@!0MJ"</f>
        <v>#VALUE!</v>
      </c>
      <c r="AM292" t="e">
        <f>Europe!40:40-"$F;@!0MK"</f>
        <v>#VALUE!</v>
      </c>
      <c r="AN292" t="e">
        <f>Europe!41:41-"$F;@!0ML"</f>
        <v>#VALUE!</v>
      </c>
      <c r="AO292" t="e">
        <f>Europe!42:42-"$F;@!0MM"</f>
        <v>#VALUE!</v>
      </c>
      <c r="AP292" t="e">
        <f>Europe!43:43-"$F;@!0MN"</f>
        <v>#VALUE!</v>
      </c>
      <c r="AQ292" t="e">
        <f>Europe!44:44-"$F;@!0MO"</f>
        <v>#VALUE!</v>
      </c>
      <c r="AR292" t="e">
        <f>Europe!45:45-"$F;@!0MP"</f>
        <v>#VALUE!</v>
      </c>
      <c r="AS292" t="e">
        <f>Europe!46:46-"$F;@!0MQ"</f>
        <v>#VALUE!</v>
      </c>
      <c r="AT292" t="e">
        <f>Europe!47:47-"$F;@!0MR"</f>
        <v>#VALUE!</v>
      </c>
      <c r="AU292" t="e">
        <f>Europe!48:48-"$F;@!0MS"</f>
        <v>#VALUE!</v>
      </c>
      <c r="AV292" t="e">
        <f>Europe!49:49-"$F;@!0MT"</f>
        <v>#VALUE!</v>
      </c>
      <c r="AW292" t="e">
        <f>Europe!50:50-"$F;@!0MU"</f>
        <v>#VALUE!</v>
      </c>
      <c r="AX292" t="e">
        <f>Europe!51:51-"$F;@!0MV"</f>
        <v>#VALUE!</v>
      </c>
      <c r="AY292" t="e">
        <f>Europe!52:52-"$F;@!0MW"</f>
        <v>#VALUE!</v>
      </c>
      <c r="AZ292" t="e">
        <f>Europe!53:53-"$F;@!0MX"</f>
        <v>#VALUE!</v>
      </c>
      <c r="BA292" t="e">
        <f>Europe!54:54-"$F;@!0MY"</f>
        <v>#VALUE!</v>
      </c>
      <c r="BB292" t="e">
        <f>Europe!55:55-"$F;@!0MZ"</f>
        <v>#VALUE!</v>
      </c>
      <c r="BC292" t="e">
        <f>Europe!56:56-"$F;@!0M["</f>
        <v>#VALUE!</v>
      </c>
      <c r="BD292" t="e">
        <f>Europe!57:57-"$F;@!0M\"</f>
        <v>#VALUE!</v>
      </c>
      <c r="BE292" t="e">
        <f>Europe!58:58-"$F;@!0M]"</f>
        <v>#VALUE!</v>
      </c>
      <c r="BF292" t="e">
        <f>Europe!59:59-"$F;@!0M^"</f>
        <v>#VALUE!</v>
      </c>
      <c r="BG292" t="e">
        <f>Europe!60:60-"$F;@!0M_"</f>
        <v>#VALUE!</v>
      </c>
      <c r="BH292" t="e">
        <f>Europe!61:61-"$F;@!0M`"</f>
        <v>#VALUE!</v>
      </c>
      <c r="BI292" t="e">
        <f>Europe!62:62-"$F;@!0Ma"</f>
        <v>#VALUE!</v>
      </c>
      <c r="BJ292" t="e">
        <f>Europe!63:63-"$F;@!0Mb"</f>
        <v>#VALUE!</v>
      </c>
      <c r="BK292" t="e">
        <f>Europe!64:64-"$F;@!0Mc"</f>
        <v>#VALUE!</v>
      </c>
      <c r="BL292" t="e">
        <f>Europe!65:65-"$F;@!0Md"</f>
        <v>#VALUE!</v>
      </c>
      <c r="BM292" t="e">
        <f>Europe!66:66-"$F;@!0Me"</f>
        <v>#VALUE!</v>
      </c>
      <c r="BN292" t="e">
        <f>Europe!67:67-"$F;@!0Mf"</f>
        <v>#VALUE!</v>
      </c>
      <c r="BO292" t="e">
        <f>Europe!68:68-"$F;@!0Mg"</f>
        <v>#VALUE!</v>
      </c>
      <c r="BP292" t="e">
        <f>Europe!69:69-"$F;@!0Mh"</f>
        <v>#VALUE!</v>
      </c>
      <c r="BQ292" t="e">
        <f>Europe!70:70-"$F;@!0Mi"</f>
        <v>#VALUE!</v>
      </c>
      <c r="BR292" t="e">
        <f>Europe!71:71-"$F;@!0Mj"</f>
        <v>#VALUE!</v>
      </c>
      <c r="BS292" t="e">
        <f>Europe!72:72-"$F;@!0Mk"</f>
        <v>#VALUE!</v>
      </c>
      <c r="BT292" t="e">
        <f>Europe!73:73-"$F;@!0Ml"</f>
        <v>#VALUE!</v>
      </c>
      <c r="BU292" t="e">
        <f>Europe!74:74-"$F;@!0Mm"</f>
        <v>#VALUE!</v>
      </c>
      <c r="BV292" t="e">
        <f>Europe!75:75-"$F;@!0Mn"</f>
        <v>#VALUE!</v>
      </c>
      <c r="BW292" t="e">
        <f>Europe!76:76-"$F;@!0Mo"</f>
        <v>#VALUE!</v>
      </c>
      <c r="BX292" t="e">
        <f>Europe!77:77-"$F;@!0Mp"</f>
        <v>#VALUE!</v>
      </c>
      <c r="BY292" t="e">
        <f>Europe!78:78-"$F;@!0Mq"</f>
        <v>#VALUE!</v>
      </c>
      <c r="BZ292" t="e">
        <f>Europe!79:79-"$F;@!0Mr"</f>
        <v>#VALUE!</v>
      </c>
      <c r="CA292" t="e">
        <f>Europe!80:80-"$F;@!0Ms"</f>
        <v>#VALUE!</v>
      </c>
      <c r="CB292" t="e">
        <f>Europe!81:81-"$F;@!0Mt"</f>
        <v>#VALUE!</v>
      </c>
      <c r="CC292" t="e">
        <f>Europe!82:82-"$F;@!0Mu"</f>
        <v>#VALUE!</v>
      </c>
      <c r="CD292" t="e">
        <f>Europe!83:83-"$F;@!0Mv"</f>
        <v>#VALUE!</v>
      </c>
      <c r="CE292" t="e">
        <f>Europe!84:84-"$F;@!0Mw"</f>
        <v>#VALUE!</v>
      </c>
      <c r="CF292" t="e">
        <f>Europe!85:85-"$F;@!0Mx"</f>
        <v>#VALUE!</v>
      </c>
      <c r="CG292" t="e">
        <f>Europe!86:86-"$F;@!0My"</f>
        <v>#VALUE!</v>
      </c>
      <c r="CH292" t="e">
        <f>Europe!87:87-"$F;@!0Mz"</f>
        <v>#VALUE!</v>
      </c>
      <c r="CI292" t="e">
        <f>Europe!88:88-"$F;@!0M{"</f>
        <v>#VALUE!</v>
      </c>
      <c r="CJ292" t="e">
        <f>Europe!89:89-"$F;@!0M|"</f>
        <v>#VALUE!</v>
      </c>
      <c r="CK292" t="e">
        <f>Europe!90:90-"$F;@!0M}"</f>
        <v>#VALUE!</v>
      </c>
      <c r="CL292" t="e">
        <f>Europe!91:91-"$F;@!0M~"</f>
        <v>#VALUE!</v>
      </c>
      <c r="CM292" t="e">
        <f>Europe!92:92-"$F;@!0N#"</f>
        <v>#VALUE!</v>
      </c>
      <c r="CN292" t="e">
        <f>Europe!93:93-"$F;@!0N$"</f>
        <v>#VALUE!</v>
      </c>
      <c r="CO292" t="e">
        <f>Europe!94:94-"$F;@!0N%"</f>
        <v>#VALUE!</v>
      </c>
      <c r="CP292" t="e">
        <f>Europe!95:95-"$F;@!0N&amp;"</f>
        <v>#VALUE!</v>
      </c>
      <c r="CQ292" t="e">
        <f>Europe!96:96-"$F;@!0N'"</f>
        <v>#VALUE!</v>
      </c>
      <c r="CR292" t="e">
        <f>Europe!97:97-"$F;@!0N("</f>
        <v>#VALUE!</v>
      </c>
      <c r="CS292" t="e">
        <f>Europe!98:98-"$F;@!0N)"</f>
        <v>#VALUE!</v>
      </c>
      <c r="CT292" t="e">
        <f>Europe!99:99-"$F;@!0N."</f>
        <v>#VALUE!</v>
      </c>
      <c r="CU292" t="e">
        <f>Europe!100:100-"$F;@!0N/"</f>
        <v>#VALUE!</v>
      </c>
      <c r="CV292" t="e">
        <f>Europe!101:101-"$F;@!0N0"</f>
        <v>#VALUE!</v>
      </c>
      <c r="CW292" t="e">
        <f>Europe!102:102-"$F;@!0N1"</f>
        <v>#VALUE!</v>
      </c>
      <c r="CX292" t="e">
        <f>Europe!103:103-"$F;@!0N2"</f>
        <v>#VALUE!</v>
      </c>
      <c r="CY292" t="e">
        <f>Europe!104:104-"$F;@!0N3"</f>
        <v>#VALUE!</v>
      </c>
      <c r="CZ292" t="e">
        <f>Europe!105:105-"$F;@!0N4"</f>
        <v>#VALUE!</v>
      </c>
      <c r="DA292" t="e">
        <f>Europe!106:106-"$F;@!0N5"</f>
        <v>#VALUE!</v>
      </c>
      <c r="DB292" t="e">
        <f>Europe!107:107-"$F;@!0N6"</f>
        <v>#VALUE!</v>
      </c>
      <c r="DC292" t="e">
        <f>Europe!108:108-"$F;@!0N7"</f>
        <v>#VALUE!</v>
      </c>
      <c r="DD292" t="e">
        <f>Europe!109:109-"$F;@!0N8"</f>
        <v>#VALUE!</v>
      </c>
      <c r="DE292" t="e">
        <f>Europe!110:110-"$F;@!0N9"</f>
        <v>#VALUE!</v>
      </c>
      <c r="DF292" t="e">
        <f>Europe!111:111-"$F;@!0N:"</f>
        <v>#VALUE!</v>
      </c>
      <c r="DG292" t="e">
        <f>Europe!112:112-"$F;@!0N;"</f>
        <v>#VALUE!</v>
      </c>
      <c r="DH292" t="e">
        <f>Europe!113:113-"$F;@!0N&lt;"</f>
        <v>#VALUE!</v>
      </c>
      <c r="DI292" t="e">
        <f>Europe!114:114-"$F;@!0N="</f>
        <v>#VALUE!</v>
      </c>
      <c r="DJ292" t="e">
        <f>Europe!115:115-"$F;@!0N&gt;"</f>
        <v>#VALUE!</v>
      </c>
      <c r="DK292" t="e">
        <f>Europe!116:116-"$F;@!0N?"</f>
        <v>#VALUE!</v>
      </c>
      <c r="DL292" t="e">
        <f>Europe!117:117-"$F;@!0N@"</f>
        <v>#VALUE!</v>
      </c>
      <c r="DM292" t="e">
        <f>Europe!118:118-"$F;@!0NA"</f>
        <v>#VALUE!</v>
      </c>
      <c r="DN292" t="e">
        <f>Europe!119:119-"$F;@!0NB"</f>
        <v>#VALUE!</v>
      </c>
      <c r="DO292" t="e">
        <f>Europe!120:120-"$F;@!0NC"</f>
        <v>#VALUE!</v>
      </c>
      <c r="DP292" t="e">
        <f>Europe!121:121-"$F;@!0ND"</f>
        <v>#VALUE!</v>
      </c>
      <c r="DQ292" t="e">
        <f>Europe!122:122-"$F;@!0NE"</f>
        <v>#VALUE!</v>
      </c>
      <c r="DR292" t="e">
        <f>Europe!123:123-"$F;@!0NF"</f>
        <v>#VALUE!</v>
      </c>
      <c r="DS292" t="e">
        <f>Europe!124:124-"$F;@!0NG"</f>
        <v>#VALUE!</v>
      </c>
      <c r="DT292" t="e">
        <f>Europe!125:125-"$F;@!0NH"</f>
        <v>#VALUE!</v>
      </c>
      <c r="DU292" t="e">
        <f>Europe!126:126-"$F;@!0NI"</f>
        <v>#VALUE!</v>
      </c>
      <c r="DV292" t="e">
        <f>Europe!127:127-"$F;@!0NJ"</f>
        <v>#VALUE!</v>
      </c>
      <c r="DW292" t="e">
        <f>Europe!128:128-"$F;@!0NK"</f>
        <v>#VALUE!</v>
      </c>
      <c r="DX292" t="e">
        <f>Europe!129:129-"$F;@!0NL"</f>
        <v>#VALUE!</v>
      </c>
      <c r="DY292" t="e">
        <f>Europe!130:130-"$F;@!0NM"</f>
        <v>#VALUE!</v>
      </c>
      <c r="DZ292" t="e">
        <f>Europe!131:131-"$F;@!0NN"</f>
        <v>#VALUE!</v>
      </c>
      <c r="EA292" t="e">
        <f>Europe!132:132-"$F;@!0NO"</f>
        <v>#VALUE!</v>
      </c>
      <c r="EB292" t="e">
        <f>Europe!133:133-"$F;@!0NP"</f>
        <v>#VALUE!</v>
      </c>
      <c r="EC292" t="e">
        <f>Europe!134:134-"$F;@!0NQ"</f>
        <v>#VALUE!</v>
      </c>
      <c r="ED292" t="e">
        <f>Europe!135:135-"$F;@!0NR"</f>
        <v>#VALUE!</v>
      </c>
      <c r="EE292" t="e">
        <f>Europe!136:136-"$F;@!0NS"</f>
        <v>#VALUE!</v>
      </c>
      <c r="EF292" t="e">
        <f>Europe!137:137-"$F;@!0NT"</f>
        <v>#VALUE!</v>
      </c>
      <c r="EG292" t="e">
        <f>Europe!138:138-"$F;@!0NU"</f>
        <v>#VALUE!</v>
      </c>
      <c r="EH292" t="e">
        <f>Europe!139:139-"$F;@!0NV"</f>
        <v>#VALUE!</v>
      </c>
      <c r="EI292" t="e">
        <f>Europe!140:140-"$F;@!0NW"</f>
        <v>#VALUE!</v>
      </c>
      <c r="EJ292" t="e">
        <f>Europe!141:141-"$F;@!0NX"</f>
        <v>#VALUE!</v>
      </c>
      <c r="EK292" t="e">
        <f>Europe!142:142-"$F;@!0NY"</f>
        <v>#VALUE!</v>
      </c>
      <c r="EL292" t="e">
        <f>Europe!143:143-"$F;@!0NZ"</f>
        <v>#VALUE!</v>
      </c>
      <c r="EM292" t="e">
        <f>Europe!144:144-"$F;@!0N["</f>
        <v>#VALUE!</v>
      </c>
      <c r="EN292" t="e">
        <f>Europe!145:145-"$F;@!0N\"</f>
        <v>#VALUE!</v>
      </c>
      <c r="EO292" t="e">
        <f>Europe!146:146-"$F;@!0N]"</f>
        <v>#VALUE!</v>
      </c>
      <c r="EP292" t="e">
        <f>Europe!147:147-"$F;@!0N^"</f>
        <v>#VALUE!</v>
      </c>
      <c r="EQ292" t="e">
        <f>Europe!148:148-"$F;@!0N_"</f>
        <v>#VALUE!</v>
      </c>
      <c r="ER292" t="e">
        <f>Europe!149:149-"$F;@!0N`"</f>
        <v>#VALUE!</v>
      </c>
      <c r="ES292" t="e">
        <f>Europe!150:150-"$F;@!0Na"</f>
        <v>#VALUE!</v>
      </c>
      <c r="ET292" t="e">
        <f>Europe!151:151-"$F;@!0Nb"</f>
        <v>#VALUE!</v>
      </c>
      <c r="EU292" t="e">
        <f>Europe!152:152-"$F;@!0Nc"</f>
        <v>#VALUE!</v>
      </c>
      <c r="EV292" t="e">
        <f>Europe!153:153-"$F;@!0Nd"</f>
        <v>#VALUE!</v>
      </c>
      <c r="EW292" t="e">
        <f>Europe!154:154-"$F;@!0Ne"</f>
        <v>#VALUE!</v>
      </c>
      <c r="EX292" t="e">
        <f>Europe!155:155-"$F;@!0Nf"</f>
        <v>#VALUE!</v>
      </c>
      <c r="EY292" t="e">
        <f>Europe!156:156-"$F;@!0Ng"</f>
        <v>#VALUE!</v>
      </c>
      <c r="EZ292" t="e">
        <f>Europe!157:157-"$F;@!0Nh"</f>
        <v>#VALUE!</v>
      </c>
      <c r="FA292" t="e">
        <f>Europe!158:158-"$F;@!0Ni"</f>
        <v>#VALUE!</v>
      </c>
      <c r="FB292" t="e">
        <f>Europe!159:159-"$F;@!0Nj"</f>
        <v>#VALUE!</v>
      </c>
      <c r="FC292" t="e">
        <f>Europe!160:160-"$F;@!0Nk"</f>
        <v>#VALUE!</v>
      </c>
      <c r="FD292" t="e">
        <f>Europe!161:161-"$F;@!0Nl"</f>
        <v>#VALUE!</v>
      </c>
      <c r="FE292" t="e">
        <f>Europe!162:162-"$F;@!0Nm"</f>
        <v>#VALUE!</v>
      </c>
      <c r="FF292" t="e">
        <f>Europe!163:163-"$F;@!0Nn"</f>
        <v>#VALUE!</v>
      </c>
      <c r="FG292" t="e">
        <f>Europe!164:164-"$F;@!0No"</f>
        <v>#VALUE!</v>
      </c>
      <c r="FH292" t="e">
        <f>Europe!165:165-"$F;@!0Np"</f>
        <v>#VALUE!</v>
      </c>
      <c r="FI292" t="e">
        <f>Europe!166:166-"$F;@!0Nq"</f>
        <v>#VALUE!</v>
      </c>
      <c r="FJ292" t="e">
        <f>Europe!167:167-"$F;@!0Nr"</f>
        <v>#VALUE!</v>
      </c>
      <c r="FK292" t="e">
        <f>Europe!168:168-"$F;@!0Ns"</f>
        <v>#VALUE!</v>
      </c>
      <c r="FL292" t="e">
        <f>Europe!169:169-"$F;@!0Nt"</f>
        <v>#VALUE!</v>
      </c>
      <c r="FM292" t="e">
        <f>Europe!170:170-"$F;@!0Nu"</f>
        <v>#VALUE!</v>
      </c>
      <c r="FN292" t="e">
        <f>Europe!171:171-"$F;@!0Nv"</f>
        <v>#VALUE!</v>
      </c>
      <c r="FO292" t="e">
        <f>Europe!172:172-"$F;@!0Nw"</f>
        <v>#VALUE!</v>
      </c>
      <c r="FP292" t="e">
        <f>Europe!173:173-"$F;@!0Nx"</f>
        <v>#VALUE!</v>
      </c>
      <c r="FQ292" t="e">
        <f>Europe!174:174-"$F;@!0Ny"</f>
        <v>#VALUE!</v>
      </c>
      <c r="FR292" t="e">
        <f>Europe!175:175-"$F;@!0Nz"</f>
        <v>#VALUE!</v>
      </c>
      <c r="FS292" t="e">
        <f>Europe!176:176-"$F;@!0N{"</f>
        <v>#VALUE!</v>
      </c>
      <c r="FT292" t="e">
        <f>Europe!177:177-"$F;@!0N|"</f>
        <v>#VALUE!</v>
      </c>
      <c r="FU292" t="e">
        <f>Europe!178:178-"$F;@!0N}"</f>
        <v>#VALUE!</v>
      </c>
      <c r="FV292" t="e">
        <f>Europe!179:179-"$F;@!0N~"</f>
        <v>#VALUE!</v>
      </c>
      <c r="FW292" t="e">
        <f>Europe!180:180-"$F;@!0O#"</f>
        <v>#VALUE!</v>
      </c>
      <c r="FX292" t="e">
        <f>Europe!181:181-"$F;@!0O$"</f>
        <v>#VALUE!</v>
      </c>
      <c r="FY292" t="e">
        <f>Europe!182:182-"$F;@!0O%"</f>
        <v>#VALUE!</v>
      </c>
      <c r="FZ292" t="e">
        <f>Europe!183:183-"$F;@!0O&amp;"</f>
        <v>#VALUE!</v>
      </c>
      <c r="GA292" t="e">
        <f>Europe!184:184-"$F;@!0O'"</f>
        <v>#VALUE!</v>
      </c>
      <c r="GB292" t="e">
        <f>Europe!185:185-"$F;@!0O("</f>
        <v>#VALUE!</v>
      </c>
      <c r="GC292" t="e">
        <f>Europe!186:186-"$F;@!0O)"</f>
        <v>#VALUE!</v>
      </c>
      <c r="GD292" t="e">
        <f>Europe!187:187-"$F;@!0O."</f>
        <v>#VALUE!</v>
      </c>
      <c r="GE292" t="e">
        <f>Europe!188:188-"$F;@!0O/"</f>
        <v>#VALUE!</v>
      </c>
      <c r="GF292" t="e">
        <f>Europe!189:189-"$F;@!0O0"</f>
        <v>#VALUE!</v>
      </c>
      <c r="GG292" t="e">
        <f>Europe!190:190-"$F;@!0O1"</f>
        <v>#VALUE!</v>
      </c>
      <c r="GH292" t="e">
        <f>Europe!191:191-"$F;@!0O2"</f>
        <v>#VALUE!</v>
      </c>
      <c r="GI292" t="e">
        <f>Europe!192:192-"$F;@!0O3"</f>
        <v>#VALUE!</v>
      </c>
      <c r="GJ292" t="e">
        <f>Europe!193:193-"$F;@!0O4"</f>
        <v>#VALUE!</v>
      </c>
      <c r="GK292" t="e">
        <f>Europe!194:194-"$F;@!0O5"</f>
        <v>#VALUE!</v>
      </c>
      <c r="GL292" t="e">
        <f>Europe!195:195-"$F;@!0O6"</f>
        <v>#VALUE!</v>
      </c>
      <c r="GM292" t="e">
        <f>Europe!196:196-"$F;@!0O7"</f>
        <v>#VALUE!</v>
      </c>
      <c r="GN292" t="e">
        <f>Europe!197:197-"$F;@!0O8"</f>
        <v>#VALUE!</v>
      </c>
      <c r="GO292" t="e">
        <f>Europe!198:198-"$F;@!0O9"</f>
        <v>#VALUE!</v>
      </c>
      <c r="GP292" t="e">
        <f>Europe!199:199-"$F;@!0O:"</f>
        <v>#VALUE!</v>
      </c>
      <c r="GQ292" t="e">
        <f>Europe!200:200-"$F;@!0O;"</f>
        <v>#VALUE!</v>
      </c>
      <c r="GR292" t="e">
        <f>Europe!201:201-"$F;@!0O&lt;"</f>
        <v>#VALUE!</v>
      </c>
      <c r="GS292" t="e">
        <f>Europe!202:202-"$F;@!0O="</f>
        <v>#VALUE!</v>
      </c>
      <c r="GT292" t="e">
        <f>Europe!203:203-"$F;@!0O&gt;"</f>
        <v>#VALUE!</v>
      </c>
      <c r="GU292" t="e">
        <f>Europe!204:204-"$F;@!0O?"</f>
        <v>#VALUE!</v>
      </c>
      <c r="GV292" t="e">
        <f>Europe!205:205-"$F;@!0O@"</f>
        <v>#VALUE!</v>
      </c>
      <c r="GW292" t="e">
        <f>Europe!206:206-"$F;@!0OA"</f>
        <v>#VALUE!</v>
      </c>
      <c r="GX292" t="e">
        <f>Europe!207:207-"$F;@!0OB"</f>
        <v>#VALUE!</v>
      </c>
      <c r="GY292" t="e">
        <f>Europe!208:208-"$F;@!0OC"</f>
        <v>#VALUE!</v>
      </c>
      <c r="GZ292" t="e">
        <f>Europe!209:209-"$F;@!0OD"</f>
        <v>#VALUE!</v>
      </c>
      <c r="HA292" t="e">
        <f>Europe!210:210-"$F;@!0OE"</f>
        <v>#VALUE!</v>
      </c>
      <c r="HB292" t="e">
        <f>Europe!211:211-"$F;@!0OF"</f>
        <v>#VALUE!</v>
      </c>
      <c r="HC292" t="e">
        <f>Europe!212:212-"$F;@!0OG"</f>
        <v>#VALUE!</v>
      </c>
      <c r="HD292" t="e">
        <f>Europe!213:213-"$F;@!0OH"</f>
        <v>#VALUE!</v>
      </c>
      <c r="HE292" t="e">
        <f>Europe!214:214-"$F;@!0OI"</f>
        <v>#VALUE!</v>
      </c>
      <c r="HF292" t="e">
        <f>Europe!215:215-"$F;@!0OJ"</f>
        <v>#VALUE!</v>
      </c>
      <c r="HG292" t="e">
        <f>Europe!216:216-"$F;@!0OK"</f>
        <v>#VALUE!</v>
      </c>
      <c r="HH292" t="e">
        <f>Europe!217:217-"$F;@!0OL"</f>
        <v>#VALUE!</v>
      </c>
      <c r="HI292" t="e">
        <f>Europe!218:218-"$F;@!0OM"</f>
        <v>#VALUE!</v>
      </c>
      <c r="HJ292" t="e">
        <f>Europe!219:219-"$F;@!0ON"</f>
        <v>#VALUE!</v>
      </c>
      <c r="HK292" t="e">
        <f>Europe!220:220-"$F;@!0OO"</f>
        <v>#VALUE!</v>
      </c>
      <c r="HL292" t="e">
        <f>Europe!221:221-"$F;@!0OP"</f>
        <v>#VALUE!</v>
      </c>
      <c r="HM292" t="e">
        <f>Europe!222:222-"$F;@!0OQ"</f>
        <v>#VALUE!</v>
      </c>
      <c r="HN292" t="e">
        <f>Europe!223:223-"$F;@!0OR"</f>
        <v>#VALUE!</v>
      </c>
      <c r="HO292" t="e">
        <f>Europe!224:224-"$F;@!0OS"</f>
        <v>#VALUE!</v>
      </c>
      <c r="HP292" t="e">
        <f>Europe!225:225-"$F;@!0OT"</f>
        <v>#VALUE!</v>
      </c>
      <c r="HQ292" t="e">
        <f>Europe!226:226-"$F;@!0OU"</f>
        <v>#VALUE!</v>
      </c>
      <c r="HR292" t="e">
        <f>Europe!227:227-"$F;@!0OV"</f>
        <v>#VALUE!</v>
      </c>
      <c r="HS292" t="e">
        <f>Europe!228:228-"$F;@!0OW"</f>
        <v>#VALUE!</v>
      </c>
      <c r="HT292" t="e">
        <f>Europe!229:229-"$F;@!0OX"</f>
        <v>#VALUE!</v>
      </c>
      <c r="HU292" t="e">
        <f>Europe!230:230-"$F;@!0OY"</f>
        <v>#VALUE!</v>
      </c>
      <c r="HV292" t="e">
        <f>Europe!231:231-"$F;@!0OZ"</f>
        <v>#VALUE!</v>
      </c>
      <c r="HW292" t="e">
        <f>Europe!232:232-"$F;@!0O["</f>
        <v>#VALUE!</v>
      </c>
      <c r="HX292" t="e">
        <f>Europe!233:233-"$F;@!0O\"</f>
        <v>#VALUE!</v>
      </c>
      <c r="HY292" t="e">
        <f>Europe!234:234-"$F;@!0O]"</f>
        <v>#VALUE!</v>
      </c>
      <c r="HZ292" t="e">
        <f>Europe!235:235-"$F;@!0O^"</f>
        <v>#VALUE!</v>
      </c>
      <c r="IA292" t="e">
        <f>Europe!236:236-"$F;@!0O_"</f>
        <v>#VALUE!</v>
      </c>
      <c r="IB292" t="e">
        <f>Europe!237:237-"$F;@!0O`"</f>
        <v>#VALUE!</v>
      </c>
      <c r="IC292" t="e">
        <f>Europe!238:238-"$F;@!0Oa"</f>
        <v>#VALUE!</v>
      </c>
      <c r="ID292" t="e">
        <f>Europe!239:239-"$F;@!0Ob"</f>
        <v>#VALUE!</v>
      </c>
      <c r="IE292" t="e">
        <f>Europe!240:240-"$F;@!0Oc"</f>
        <v>#VALUE!</v>
      </c>
      <c r="IF292" t="e">
        <f>Europe!241:241-"$F;@!0Od"</f>
        <v>#VALUE!</v>
      </c>
      <c r="IG292" t="e">
        <f>Europe!242:242-"$F;@!0Oe"</f>
        <v>#VALUE!</v>
      </c>
      <c r="IH292" t="e">
        <f>Europe!243:243-"$F;@!0Of"</f>
        <v>#VALUE!</v>
      </c>
      <c r="II292" t="e">
        <f>Europe!244:244-"$F;@!0Og"</f>
        <v>#VALUE!</v>
      </c>
      <c r="IJ292" t="e">
        <f>Europe!245:245-"$F;@!0Oh"</f>
        <v>#VALUE!</v>
      </c>
      <c r="IK292" t="e">
        <f>Europe!246:246-"$F;@!0Oi"</f>
        <v>#VALUE!</v>
      </c>
      <c r="IL292" t="e">
        <f>Europe!247:247-"$F;@!0Oj"</f>
        <v>#VALUE!</v>
      </c>
      <c r="IM292" t="e">
        <f>Europe!248:248-"$F;@!0Ok"</f>
        <v>#VALUE!</v>
      </c>
      <c r="IN292" t="e">
        <f>Europe!249:249-"$F;@!0Ol"</f>
        <v>#VALUE!</v>
      </c>
      <c r="IO292" t="e">
        <f>Europe!250:250-"$F;@!0Om"</f>
        <v>#VALUE!</v>
      </c>
      <c r="IP292" t="e">
        <f>Europe!251:251-"$F;@!0On"</f>
        <v>#VALUE!</v>
      </c>
      <c r="IQ292" t="e">
        <f>Europe!252:252-"$F;@!0Oo"</f>
        <v>#VALUE!</v>
      </c>
      <c r="IR292" t="e">
        <f>Europe!253:253-"$F;@!0Op"</f>
        <v>#VALUE!</v>
      </c>
      <c r="IS292" t="e">
        <f>Europe!254:254-"$F;@!0Oq"</f>
        <v>#VALUE!</v>
      </c>
      <c r="IT292" t="e">
        <f>Europe!255:255-"$F;@!0Or"</f>
        <v>#VALUE!</v>
      </c>
      <c r="IU292" t="e">
        <f>Europe!256:256-"$F;@!0Os"</f>
        <v>#VALUE!</v>
      </c>
      <c r="IV292" t="e">
        <f>Europe!257:257-"$F;@!0Ot"</f>
        <v>#VALUE!</v>
      </c>
    </row>
    <row r="293" spans="6:256" x14ac:dyDescent="0.35">
      <c r="F293" t="e">
        <f>Europe!258:258-"$F;@!0Ou"</f>
        <v>#VALUE!</v>
      </c>
      <c r="G293" t="e">
        <f>Europe!259:259-"$F;@!0Ov"</f>
        <v>#VALUE!</v>
      </c>
      <c r="H293" t="e">
        <f>Europe!260:260-"$F;@!0Ow"</f>
        <v>#VALUE!</v>
      </c>
      <c r="I293" t="e">
        <f>Europe!261:261-"$F;@!0Ox"</f>
        <v>#VALUE!</v>
      </c>
      <c r="J293" t="e">
        <f>Europe!262:262-"$F;@!0Oy"</f>
        <v>#VALUE!</v>
      </c>
      <c r="K293" t="e">
        <f>Europe!263:263-"$F;@!0Oz"</f>
        <v>#VALUE!</v>
      </c>
      <c r="L293" t="e">
        <f>Europe!264:264-"$F;@!0O{"</f>
        <v>#VALUE!</v>
      </c>
      <c r="M293" t="e">
        <f>Europe!265:265-"$F;@!0O|"</f>
        <v>#VALUE!</v>
      </c>
      <c r="N293" t="e">
        <f>Europe!266:266-"$F;@!0O}"</f>
        <v>#VALUE!</v>
      </c>
      <c r="O293" t="e">
        <f>Europe!267:267-"$F;@!0O~"</f>
        <v>#VALUE!</v>
      </c>
      <c r="P293" t="e">
        <f>Europe!268:268-"$F;@!0P#"</f>
        <v>#VALUE!</v>
      </c>
      <c r="Q293" t="e">
        <f>Europe!269:269-"$F;@!0P$"</f>
        <v>#VALUE!</v>
      </c>
      <c r="R293" t="e">
        <f>Europe!270:270-"$F;@!0P%"</f>
        <v>#VALUE!</v>
      </c>
      <c r="S293" t="e">
        <f>Europe!271:271-"$F;@!0P&amp;"</f>
        <v>#VALUE!</v>
      </c>
      <c r="T293" t="e">
        <f>Europe!272:272-"$F;@!0P'"</f>
        <v>#VALUE!</v>
      </c>
      <c r="U293" t="e">
        <f>Europe!273:273-"$F;@!0P("</f>
        <v>#VALUE!</v>
      </c>
      <c r="V293" t="e">
        <f>Europe!274:274-"$F;@!0P)"</f>
        <v>#VALUE!</v>
      </c>
      <c r="W293" t="e">
        <f>Europe!275:275-"$F;@!0P."</f>
        <v>#VALUE!</v>
      </c>
      <c r="X293" t="e">
        <f>Europe!276:276-"$F;@!0P/"</f>
        <v>#VALUE!</v>
      </c>
      <c r="Y293" t="e">
        <f>Europe!277:277-"$F;@!0P0"</f>
        <v>#VALUE!</v>
      </c>
      <c r="Z293" t="e">
        <f>Europe!278:278-"$F;@!0P1"</f>
        <v>#VALUE!</v>
      </c>
      <c r="AA293" t="e">
        <f>Europe!279:279-"$F;@!0P2"</f>
        <v>#VALUE!</v>
      </c>
      <c r="AB293" t="e">
        <f>Europe!280:280-"$F;@!0P3"</f>
        <v>#VALUE!</v>
      </c>
      <c r="AC293" t="e">
        <f>Europe!281:281-"$F;@!0P4"</f>
        <v>#VALUE!</v>
      </c>
      <c r="AD293" t="e">
        <f>Europe!282:282-"$F;@!0P5"</f>
        <v>#VALUE!</v>
      </c>
      <c r="AE293" t="e">
        <f>Europe!283:283-"$F;@!0P6"</f>
        <v>#VALUE!</v>
      </c>
      <c r="AF293" t="e">
        <f>Europe!284:284-"$F;@!0P7"</f>
        <v>#VALUE!</v>
      </c>
      <c r="AG293" t="e">
        <f>Europe!285:285-"$F;@!0P8"</f>
        <v>#VALUE!</v>
      </c>
      <c r="AH293" t="e">
        <f>Europe!286:286-"$F;@!0P9"</f>
        <v>#VALUE!</v>
      </c>
      <c r="AI293" t="e">
        <f>Europe!287:287-"$F;@!0P:"</f>
        <v>#VALUE!</v>
      </c>
      <c r="AJ293" t="e">
        <f>Europe!288:288-"$F;@!0P;"</f>
        <v>#VALUE!</v>
      </c>
      <c r="AK293" t="e">
        <f>Europe!289:289-"$F;@!0P&lt;"</f>
        <v>#VALUE!</v>
      </c>
      <c r="AL293" t="e">
        <f>Europe!290:290-"$F;@!0P="</f>
        <v>#VALUE!</v>
      </c>
      <c r="AM293" t="e">
        <f>Europe!291:291-"$F;@!0P&gt;"</f>
        <v>#VALUE!</v>
      </c>
      <c r="AN293" t="e">
        <f>Europe!292:292-"$F;@!0P?"</f>
        <v>#VALUE!</v>
      </c>
      <c r="AO293" t="e">
        <f>Europe!293:293-"$F;@!0P@"</f>
        <v>#VALUE!</v>
      </c>
      <c r="AP293" t="e">
        <f>Europe!294:294-"$F;@!0PA"</f>
        <v>#VALUE!</v>
      </c>
      <c r="AQ293" t="e">
        <f>Europe!295:295-"$F;@!0PB"</f>
        <v>#VALUE!</v>
      </c>
      <c r="AR293" t="e">
        <f>Europe!296:296-"$F;@!0PC"</f>
        <v>#VALUE!</v>
      </c>
      <c r="AS293" t="e">
        <f>Europe!297:297-"$F;@!0PD"</f>
        <v>#VALUE!</v>
      </c>
      <c r="AT293" t="e">
        <f>Europe!298:298-"$F;@!0PE"</f>
        <v>#VALUE!</v>
      </c>
      <c r="AU293" t="e">
        <f>Europe!299:299-"$F;@!0PF"</f>
        <v>#VALUE!</v>
      </c>
      <c r="AV293" t="e">
        <f>Europe!300:300-"$F;@!0PG"</f>
        <v>#VALUE!</v>
      </c>
      <c r="AW293" t="e">
        <f>Europe!301:301-"$F;@!0PH"</f>
        <v>#VALUE!</v>
      </c>
      <c r="AX293" t="e">
        <f>Europe!302:302-"$F;@!0PI"</f>
        <v>#VALUE!</v>
      </c>
      <c r="AY293" t="e">
        <f>Europe!303:303-"$F;@!0PJ"</f>
        <v>#VALUE!</v>
      </c>
      <c r="AZ293" t="e">
        <f>Europe!304:304-"$F;@!0PK"</f>
        <v>#VALUE!</v>
      </c>
      <c r="BA293" t="e">
        <f>Europe!305:305-"$F;@!0PL"</f>
        <v>#VALUE!</v>
      </c>
      <c r="BB293" t="e">
        <f>Europe!306:306-"$F;@!0PM"</f>
        <v>#VALUE!</v>
      </c>
      <c r="BC293" t="e">
        <f>Europe!307:307-"$F;@!0PN"</f>
        <v>#VALUE!</v>
      </c>
      <c r="BD293" t="e">
        <f>Europe!308:308-"$F;@!0PO"</f>
        <v>#VALUE!</v>
      </c>
      <c r="BE293" t="e">
        <f>Europe!309:309-"$F;@!0PP"</f>
        <v>#VALUE!</v>
      </c>
      <c r="BF293" t="e">
        <f>Europe!310:310-"$F;@!0PQ"</f>
        <v>#VALUE!</v>
      </c>
      <c r="BG293" t="e">
        <f>Europe!311:311-"$F;@!0PR"</f>
        <v>#VALUE!</v>
      </c>
      <c r="BH293" t="e">
        <f>Europe!312:312-"$F;@!0PS"</f>
        <v>#VALUE!</v>
      </c>
      <c r="BI293" t="e">
        <f>Europe!313:313-"$F;@!0PT"</f>
        <v>#VALUE!</v>
      </c>
      <c r="BJ293" t="e">
        <f>Europe!314:314-"$F;@!0PU"</f>
        <v>#VALUE!</v>
      </c>
      <c r="BK293" t="e">
        <f>Europe!315:315-"$F;@!0PV"</f>
        <v>#VALUE!</v>
      </c>
      <c r="BL293" t="e">
        <f>Europe!316:316-"$F;@!0PW"</f>
        <v>#VALUE!</v>
      </c>
      <c r="BM293" t="e">
        <f>Europe!317:317-"$F;@!0PX"</f>
        <v>#VALUE!</v>
      </c>
      <c r="BN293" t="e">
        <f>Europe!318:318-"$F;@!0PY"</f>
        <v>#VALUE!</v>
      </c>
      <c r="BO293" t="e">
        <f>Europe!319:319-"$F;@!0PZ"</f>
        <v>#VALUE!</v>
      </c>
      <c r="BP293" t="e">
        <f>Europe!320:320-"$F;@!0P["</f>
        <v>#VALUE!</v>
      </c>
      <c r="BQ293" t="e">
        <f>Europe!321:321-"$F;@!0P\"</f>
        <v>#VALUE!</v>
      </c>
      <c r="BR293" t="e">
        <f>Europe!322:322-"$F;@!0P]"</f>
        <v>#VALUE!</v>
      </c>
      <c r="BS293" t="e">
        <f>Europe!323:323-"$F;@!0P^"</f>
        <v>#VALUE!</v>
      </c>
      <c r="BT293" t="e">
        <f>Europe!324:324-"$F;@!0P_"</f>
        <v>#VALUE!</v>
      </c>
      <c r="BU293" t="e">
        <f>Europe!325:325-"$F;@!0P`"</f>
        <v>#VALUE!</v>
      </c>
      <c r="BV293" t="e">
        <f>Europe!326:326-"$F;@!0Pa"</f>
        <v>#VALUE!</v>
      </c>
      <c r="BW293" t="e">
        <f>Europe!327:327-"$F;@!0Pb"</f>
        <v>#VALUE!</v>
      </c>
      <c r="BX293" t="e">
        <f>Europe!328:328-"$F;@!0Pc"</f>
        <v>#VALUE!</v>
      </c>
      <c r="BY293" t="e">
        <f>Europe!329:329-"$F;@!0Pd"</f>
        <v>#VALUE!</v>
      </c>
      <c r="BZ293" t="e">
        <f>Europe!330:330-"$F;@!0Pe"</f>
        <v>#VALUE!</v>
      </c>
      <c r="CA293" t="e">
        <f>Europe!331:331-"$F;@!0Pf"</f>
        <v>#VALUE!</v>
      </c>
      <c r="CB293" t="e">
        <f>Europe!332:332-"$F;@!0Pg"</f>
        <v>#VALUE!</v>
      </c>
      <c r="CC293" t="e">
        <f>Europe!333:333-"$F;@!0Ph"</f>
        <v>#VALUE!</v>
      </c>
      <c r="CD293" t="e">
        <f>Europe!334:334-"$F;@!0Pi"</f>
        <v>#VALUE!</v>
      </c>
      <c r="CE293" t="e">
        <f>Europe!335:335-"$F;@!0Pj"</f>
        <v>#VALUE!</v>
      </c>
      <c r="CF293" t="e">
        <f>Europe!336:336-"$F;@!0Pk"</f>
        <v>#VALUE!</v>
      </c>
      <c r="CG293" t="e">
        <f>Europe!337:337-"$F;@!0Pl"</f>
        <v>#VALUE!</v>
      </c>
      <c r="CH293" t="e">
        <f>Europe!338:338-"$F;@!0Pm"</f>
        <v>#VALUE!</v>
      </c>
      <c r="CI293" t="e">
        <f>Europe!339:339-"$F;@!0Pn"</f>
        <v>#VALUE!</v>
      </c>
      <c r="CJ293" t="e">
        <f>Europe!340:340-"$F;@!0Po"</f>
        <v>#VALUE!</v>
      </c>
      <c r="CK293" t="e">
        <f>Europe!341:341-"$F;@!0Pp"</f>
        <v>#VALUE!</v>
      </c>
      <c r="CL293" t="e">
        <f>Europe!342:342-"$F;@!0Pq"</f>
        <v>#VALUE!</v>
      </c>
      <c r="CM293" t="e">
        <f>Europe!343:343-"$F;@!0Pr"</f>
        <v>#VALUE!</v>
      </c>
      <c r="CN293" t="e">
        <f>Europe!344:344-"$F;@!0Ps"</f>
        <v>#VALUE!</v>
      </c>
      <c r="CO293" t="e">
        <f>Europe!345:345-"$F;@!0Pt"</f>
        <v>#VALUE!</v>
      </c>
      <c r="CP293" t="e">
        <f>Europe!346:346-"$F;@!0Pu"</f>
        <v>#VALUE!</v>
      </c>
      <c r="CQ293" t="e">
        <f>Europe!347:347-"$F;@!0Pv"</f>
        <v>#VALUE!</v>
      </c>
      <c r="CR293" t="e">
        <f>Europe!348:348-"$F;@!0Pw"</f>
        <v>#VALUE!</v>
      </c>
      <c r="CS293" t="e">
        <f>Europe!349:349-"$F;@!0Px"</f>
        <v>#VALUE!</v>
      </c>
      <c r="CT293" t="e">
        <f>Europe!350:350-"$F;@!0Py"</f>
        <v>#VALUE!</v>
      </c>
      <c r="CU293" t="e">
        <f>Europe!351:351-"$F;@!0Pz"</f>
        <v>#VALUE!</v>
      </c>
      <c r="CV293" t="e">
        <f>Europe!352:352-"$F;@!0P{"</f>
        <v>#VALUE!</v>
      </c>
      <c r="CW293" t="e">
        <f>Europe!353:353-"$F;@!0P|"</f>
        <v>#VALUE!</v>
      </c>
      <c r="CX293" t="e">
        <f>Europe!354:354-"$F;@!0P}"</f>
        <v>#VALUE!</v>
      </c>
      <c r="CY293" t="e">
        <f>Europe!355:355-"$F;@!0P~"</f>
        <v>#VALUE!</v>
      </c>
      <c r="CZ293" t="e">
        <f>Europe!356:356-"$F;@!0Q#"</f>
        <v>#VALUE!</v>
      </c>
      <c r="DA293" t="e">
        <f>Europe!357:357-"$F;@!0Q$"</f>
        <v>#VALUE!</v>
      </c>
      <c r="DB293" t="e">
        <f>Europe!358:358-"$F;@!0Q%"</f>
        <v>#VALUE!</v>
      </c>
      <c r="DC293" t="e">
        <f>Europe!359:359-"$F;@!0Q&amp;"</f>
        <v>#VALUE!</v>
      </c>
      <c r="DD293" t="e">
        <f>Europe!360:360-"$F;@!0Q'"</f>
        <v>#VALUE!</v>
      </c>
      <c r="DE293" t="e">
        <f>Europe!361:361-"$F;@!0Q("</f>
        <v>#VALUE!</v>
      </c>
      <c r="DF293" t="e">
        <f>Europe!362:362-"$F;@!0Q)"</f>
        <v>#VALUE!</v>
      </c>
      <c r="DG293" t="e">
        <f>Europe!363:363-"$F;@!0Q."</f>
        <v>#VALUE!</v>
      </c>
      <c r="DH293" t="e">
        <f>Europe!364:364-"$F;@!0Q/"</f>
        <v>#VALUE!</v>
      </c>
      <c r="DI293" t="e">
        <f>Europe!365:365-"$F;@!0Q0"</f>
        <v>#VALUE!</v>
      </c>
      <c r="DJ293" t="e">
        <f>Europe!366:366-"$F;@!0Q1"</f>
        <v>#VALUE!</v>
      </c>
      <c r="DK293" t="e">
        <f>Europe!367:367-"$F;@!0Q2"</f>
        <v>#VALUE!</v>
      </c>
      <c r="DL293" t="e">
        <f>Europe!368:368-"$F;@!0Q3"</f>
        <v>#VALUE!</v>
      </c>
      <c r="DM293" t="e">
        <f>Europe!369:369-"$F;@!0Q4"</f>
        <v>#VALUE!</v>
      </c>
      <c r="DN293" t="e">
        <f>Europe!370:370-"$F;@!0Q5"</f>
        <v>#VALUE!</v>
      </c>
      <c r="DO293" t="e">
        <f>Europe!371:371-"$F;@!0Q6"</f>
        <v>#VALUE!</v>
      </c>
      <c r="DP293" t="e">
        <f>Europe!372:372-"$F;@!0Q7"</f>
        <v>#VALUE!</v>
      </c>
      <c r="DQ293" t="e">
        <f>Europe!373:373-"$F;@!0Q8"</f>
        <v>#VALUE!</v>
      </c>
      <c r="DR293" t="e">
        <f>Europe!374:374-"$F;@!0Q9"</f>
        <v>#VALUE!</v>
      </c>
      <c r="DS293" t="e">
        <f>Europe!375:375-"$F;@!0Q:"</f>
        <v>#VALUE!</v>
      </c>
      <c r="DT293" t="e">
        <f>Europe!376:376-"$F;@!0Q;"</f>
        <v>#VALUE!</v>
      </c>
      <c r="DU293" t="e">
        <f>Europe!377:377-"$F;@!0Q&lt;"</f>
        <v>#VALUE!</v>
      </c>
      <c r="DV293" t="e">
        <f>Europe!378:378-"$F;@!0Q="</f>
        <v>#VALUE!</v>
      </c>
      <c r="DW293" t="e">
        <f>Europe!379:379-"$F;@!0Q&gt;"</f>
        <v>#VALUE!</v>
      </c>
      <c r="DX293" t="e">
        <f>Europe!380:380-"$F;@!0Q?"</f>
        <v>#VALUE!</v>
      </c>
      <c r="DY293" t="e">
        <f>Europe!381:381-"$F;@!0Q@"</f>
        <v>#VALUE!</v>
      </c>
      <c r="DZ293" t="e">
        <f>Europe!382:382-"$F;@!0QA"</f>
        <v>#VALUE!</v>
      </c>
      <c r="EA293" t="e">
        <f>Europe!383:383-"$F;@!0QB"</f>
        <v>#VALUE!</v>
      </c>
      <c r="EB293" t="e">
        <f>Europe!384:384-"$F;@!0QC"</f>
        <v>#VALUE!</v>
      </c>
      <c r="EC293" t="e">
        <f>Europe!385:385-"$F;@!0QD"</f>
        <v>#VALUE!</v>
      </c>
      <c r="ED293" t="e">
        <f>Europe!386:386-"$F;@!0QE"</f>
        <v>#VALUE!</v>
      </c>
      <c r="EE293" t="e">
        <f>Europe!387:387-"$F;@!0QF"</f>
        <v>#VALUE!</v>
      </c>
      <c r="EF293" t="e">
        <f>Europe!388:388-"$F;@!0QG"</f>
        <v>#VALUE!</v>
      </c>
      <c r="EG293" t="e">
        <f>Europe!389:389-"$F;@!0QH"</f>
        <v>#VALUE!</v>
      </c>
      <c r="EH293" t="e">
        <f>Europe!390:390-"$F;@!0QI"</f>
        <v>#VALUE!</v>
      </c>
      <c r="EI293" t="e">
        <f>Europe!391:391-"$F;@!0QJ"</f>
        <v>#VALUE!</v>
      </c>
      <c r="EJ293" t="e">
        <f>Europe!392:392-"$F;@!0QK"</f>
        <v>#VALUE!</v>
      </c>
      <c r="EK293" t="e">
        <f>Europe!393:393-"$F;@!0QL"</f>
        <v>#VALUE!</v>
      </c>
      <c r="EL293" t="e">
        <f>Europe!394:394-"$F;@!0QM"</f>
        <v>#VALUE!</v>
      </c>
      <c r="EM293" t="e">
        <f>Europe!395:395-"$F;@!0QN"</f>
        <v>#VALUE!</v>
      </c>
      <c r="EN293" t="e">
        <f>Europe!396:396-"$F;@!0QO"</f>
        <v>#VALUE!</v>
      </c>
      <c r="EO293" t="e">
        <f>Europe!397:397-"$F;@!0QP"</f>
        <v>#VALUE!</v>
      </c>
      <c r="EP293" t="e">
        <f>Europe!398:398-"$F;@!0QQ"</f>
        <v>#VALUE!</v>
      </c>
      <c r="EQ293" t="e">
        <f>Europe!399:399-"$F;@!0QR"</f>
        <v>#VALUE!</v>
      </c>
      <c r="ER293" t="e">
        <f>Europe!400:400-"$F;@!0QS"</f>
        <v>#VALUE!</v>
      </c>
      <c r="ES293" t="e">
        <f>Europe!401:401-"$F;@!0QT"</f>
        <v>#VALUE!</v>
      </c>
      <c r="ET293" t="e">
        <f>Europe!402:402-"$F;@!0QU"</f>
        <v>#VALUE!</v>
      </c>
      <c r="EU293" t="e">
        <f>Europe!403:403-"$F;@!0QV"</f>
        <v>#VALUE!</v>
      </c>
      <c r="EV293" t="e">
        <f>Europe!404:404-"$F;@!0QW"</f>
        <v>#VALUE!</v>
      </c>
      <c r="EW293" t="e">
        <f>Europe!405:405-"$F;@!0QX"</f>
        <v>#VALUE!</v>
      </c>
      <c r="EX293" t="e">
        <f>Europe!406:406-"$F;@!0QY"</f>
        <v>#VALUE!</v>
      </c>
      <c r="EY293" t="e">
        <f>Europe!407:407-"$F;@!0QZ"</f>
        <v>#VALUE!</v>
      </c>
      <c r="EZ293" t="e">
        <f>Europe!408:408-"$F;@!0Q["</f>
        <v>#VALUE!</v>
      </c>
      <c r="FA293" t="e">
        <f>Europe!409:409-"$F;@!0Q\"</f>
        <v>#VALUE!</v>
      </c>
      <c r="FB293" t="e">
        <f>Europe!410:410-"$F;@!0Q]"</f>
        <v>#VALUE!</v>
      </c>
      <c r="FC293" t="e">
        <f>Europe!411:411-"$F;@!0Q^"</f>
        <v>#VALUE!</v>
      </c>
      <c r="FD293" t="e">
        <f>Europe!412:412-"$F;@!0Q_"</f>
        <v>#VALUE!</v>
      </c>
      <c r="FE293" t="e">
        <f>Europe!413:413-"$F;@!0Q`"</f>
        <v>#VALUE!</v>
      </c>
      <c r="FF293" t="e">
        <f>Europe!414:414-"$F;@!0Qa"</f>
        <v>#VALUE!</v>
      </c>
      <c r="FG293" t="e">
        <f>Europe!415:415-"$F;@!0Qb"</f>
        <v>#VALUE!</v>
      </c>
      <c r="FH293" t="e">
        <f>Europe!416:416-"$F;@!0Qc"</f>
        <v>#VALUE!</v>
      </c>
      <c r="FI293" t="e">
        <f>Europe!417:417-"$F;@!0Qd"</f>
        <v>#VALUE!</v>
      </c>
      <c r="FJ293" t="e">
        <f>Europe!418:418-"$F;@!0Qe"</f>
        <v>#VALUE!</v>
      </c>
      <c r="FK293" t="e">
        <f>Europe!419:419-"$F;@!0Qf"</f>
        <v>#VALUE!</v>
      </c>
      <c r="FL293" t="e">
        <f>Europe!420:420-"$F;@!0Qg"</f>
        <v>#VALUE!</v>
      </c>
      <c r="FM293" t="e">
        <f>Europe!421:421-"$F;@!0Qh"</f>
        <v>#VALUE!</v>
      </c>
      <c r="FN293" t="e">
        <f>Europe!422:422-"$F;@!0Qi"</f>
        <v>#VALUE!</v>
      </c>
      <c r="FO293" t="e">
        <f>Europe!423:423-"$F;@!0Qj"</f>
        <v>#VALUE!</v>
      </c>
      <c r="FP293" t="e">
        <f>Europe!424:424-"$F;@!0Qk"</f>
        <v>#VALUE!</v>
      </c>
      <c r="FQ293" t="e">
        <f>Europe!425:425-"$F;@!0Ql"</f>
        <v>#VALUE!</v>
      </c>
      <c r="FR293" t="e">
        <f>Europe!426:426-"$F;@!0Qm"</f>
        <v>#VALUE!</v>
      </c>
      <c r="FS293" t="e">
        <f>Europe!427:427-"$F;@!0Qn"</f>
        <v>#VALUE!</v>
      </c>
      <c r="FT293" t="e">
        <f>Europe!428:428-"$F;@!0Qo"</f>
        <v>#VALUE!</v>
      </c>
      <c r="FU293" t="e">
        <f>Europe!429:429-"$F;@!0Qp"</f>
        <v>#VALUE!</v>
      </c>
      <c r="FV293" t="e">
        <f>Europe!430:430-"$F;@!0Qq"</f>
        <v>#VALUE!</v>
      </c>
      <c r="FW293" t="e">
        <f>Europe!431:431-"$F;@!0Qr"</f>
        <v>#VALUE!</v>
      </c>
      <c r="FX293" t="e">
        <f>Europe!432:432-"$F;@!0Qs"</f>
        <v>#VALUE!</v>
      </c>
      <c r="FY293" t="e">
        <f>Europe!433:433-"$F;@!0Qt"</f>
        <v>#VALUE!</v>
      </c>
      <c r="FZ293" t="e">
        <f>Europe!434:434-"$F;@!0Qu"</f>
        <v>#VALUE!</v>
      </c>
      <c r="GA293" t="e">
        <f>Europe!435:435-"$F;@!0Qv"</f>
        <v>#VALUE!</v>
      </c>
      <c r="GB293" t="e">
        <f>Europe!436:436-"$F;@!0Qw"</f>
        <v>#VALUE!</v>
      </c>
      <c r="GC293" t="e">
        <f>Europe!437:437-"$F;@!0Qx"</f>
        <v>#VALUE!</v>
      </c>
      <c r="GD293" t="e">
        <f>Europe!438:438-"$F;@!0Qy"</f>
        <v>#VALUE!</v>
      </c>
      <c r="GE293" t="e">
        <f>Europe!439:439-"$F;@!0Qz"</f>
        <v>#VALUE!</v>
      </c>
      <c r="GF293" t="e">
        <f>Europe!440:440-"$F;@!0Q{"</f>
        <v>#VALUE!</v>
      </c>
      <c r="GG293" t="e">
        <f>Europe!441:441-"$F;@!0Q|"</f>
        <v>#VALUE!</v>
      </c>
      <c r="GH293" t="e">
        <f>Europe!442:442-"$F;@!0Q}"</f>
        <v>#VALUE!</v>
      </c>
      <c r="GI293" t="e">
        <f>Europe!443:443-"$F;@!0Q~"</f>
        <v>#VALUE!</v>
      </c>
      <c r="GJ293" t="e">
        <f>Europe!444:444-"$F;@!0R#"</f>
        <v>#VALUE!</v>
      </c>
      <c r="GK293" t="e">
        <f>Europe!445:445-"$F;@!0R$"</f>
        <v>#VALUE!</v>
      </c>
      <c r="GL293" t="e">
        <f>Europe!446:446-"$F;@!0R%"</f>
        <v>#VALUE!</v>
      </c>
      <c r="GM293" t="e">
        <f>Europe!447:447-"$F;@!0R&amp;"</f>
        <v>#VALUE!</v>
      </c>
      <c r="GN293" t="e">
        <f>Europe!448:448-"$F;@!0R'"</f>
        <v>#VALUE!</v>
      </c>
      <c r="GO293" t="e">
        <f>Europe!449:449-"$F;@!0R("</f>
        <v>#VALUE!</v>
      </c>
      <c r="GP293" t="e">
        <f>Europe!450:450-"$F;@!0R)"</f>
        <v>#VALUE!</v>
      </c>
      <c r="GQ293" t="e">
        <f>Europe!451:451-"$F;@!0R."</f>
        <v>#VALUE!</v>
      </c>
      <c r="GR293" t="e">
        <f>Europe!452:452-"$F;@!0R/"</f>
        <v>#VALUE!</v>
      </c>
      <c r="GS293" t="e">
        <f>Europe!453:453-"$F;@!0R0"</f>
        <v>#VALUE!</v>
      </c>
      <c r="GT293" t="e">
        <f>Europe!454:454-"$F;@!0R1"</f>
        <v>#VALUE!</v>
      </c>
      <c r="GU293" t="e">
        <f>Europe!455:455-"$F;@!0R2"</f>
        <v>#VALUE!</v>
      </c>
      <c r="GV293" t="e">
        <f>Europe!456:456-"$F;@!0R3"</f>
        <v>#VALUE!</v>
      </c>
      <c r="GW293" t="e">
        <f>Europe!457:457-"$F;@!0R4"</f>
        <v>#VALUE!</v>
      </c>
      <c r="GX293" t="e">
        <f>Europe!458:458-"$F;@!0R5"</f>
        <v>#VALUE!</v>
      </c>
      <c r="GY293" t="e">
        <f>Europe!459:459-"$F;@!0R6"</f>
        <v>#VALUE!</v>
      </c>
      <c r="GZ293" t="e">
        <f>Europe!460:460-"$F;@!0R7"</f>
        <v>#VALUE!</v>
      </c>
      <c r="HA293" t="e">
        <f>Europe!461:461-"$F;@!0R8"</f>
        <v>#VALUE!</v>
      </c>
      <c r="HB293" t="e">
        <f>Europe!462:462-"$F;@!0R9"</f>
        <v>#VALUE!</v>
      </c>
      <c r="HC293" t="e">
        <f>Europe!463:463-"$F;@!0R:"</f>
        <v>#VALUE!</v>
      </c>
      <c r="HD293" t="e">
        <f>Europe!464:464-"$F;@!0R;"</f>
        <v>#VALUE!</v>
      </c>
      <c r="HE293" t="e">
        <f>Europe!465:465-"$F;@!0R&lt;"</f>
        <v>#VALUE!</v>
      </c>
      <c r="HF293" t="e">
        <f>Europe!466:466-"$F;@!0R="</f>
        <v>#VALUE!</v>
      </c>
      <c r="HG293" t="e">
        <f>Europe!467:467-"$F;@!0R&gt;"</f>
        <v>#VALUE!</v>
      </c>
      <c r="HH293" t="e">
        <f>Europe!468:468-"$F;@!0R?"</f>
        <v>#VALUE!</v>
      </c>
      <c r="HI293" t="e">
        <f>Europe!469:469-"$F;@!0R@"</f>
        <v>#VALUE!</v>
      </c>
      <c r="HJ293" t="e">
        <f>Europe!470:470-"$F;@!0RA"</f>
        <v>#VALUE!</v>
      </c>
      <c r="HK293" t="e">
        <f>Europe!471:471-"$F;@!0RB"</f>
        <v>#VALUE!</v>
      </c>
      <c r="HL293" t="e">
        <f>Europe!472:472-"$F;@!0RC"</f>
        <v>#VALUE!</v>
      </c>
      <c r="HM293" t="e">
        <f>Europe!473:473-"$F;@!0RD"</f>
        <v>#VALUE!</v>
      </c>
      <c r="HN293" t="e">
        <f>Europe!474:474-"$F;@!0RE"</f>
        <v>#VALUE!</v>
      </c>
      <c r="HO293" t="e">
        <f>Europe!475:475-"$F;@!0RF"</f>
        <v>#VALUE!</v>
      </c>
      <c r="HP293" t="e">
        <f>Europe!476:476-"$F;@!0RG"</f>
        <v>#VALUE!</v>
      </c>
      <c r="HQ293" t="e">
        <f>Europe!477:477-"$F;@!0RH"</f>
        <v>#VALUE!</v>
      </c>
      <c r="HR293" t="e">
        <f>Europe!478:478-"$F;@!0RI"</f>
        <v>#VALUE!</v>
      </c>
      <c r="HS293" t="e">
        <f>Europe!479:479-"$F;@!0RJ"</f>
        <v>#VALUE!</v>
      </c>
      <c r="HT293" t="e">
        <f>Europe!480:480-"$F;@!0RK"</f>
        <v>#VALUE!</v>
      </c>
      <c r="HU293" t="e">
        <f>Europe!481:481-"$F;@!0RL"</f>
        <v>#VALUE!</v>
      </c>
      <c r="HV293" t="e">
        <f>Europe!482:482-"$F;@!0RM"</f>
        <v>#VALUE!</v>
      </c>
      <c r="HW293" t="e">
        <f>Europe!483:483-"$F;@!0RN"</f>
        <v>#VALUE!</v>
      </c>
      <c r="HX293" t="e">
        <f>Europe!484:484-"$F;@!0RO"</f>
        <v>#VALUE!</v>
      </c>
      <c r="HY293" t="e">
        <f>Europe!485:485-"$F;@!0RP"</f>
        <v>#VALUE!</v>
      </c>
      <c r="HZ293" t="e">
        <f>Europe!486:486-"$F;@!0RQ"</f>
        <v>#VALUE!</v>
      </c>
      <c r="IA293" t="e">
        <f>Europe!487:487-"$F;@!0RR"</f>
        <v>#VALUE!</v>
      </c>
      <c r="IB293" t="e">
        <f>Europe!488:488-"$F;@!0RS"</f>
        <v>#VALUE!</v>
      </c>
      <c r="IC293" t="e">
        <f>Europe!489:489-"$F;@!0RT"</f>
        <v>#VALUE!</v>
      </c>
      <c r="ID293" t="e">
        <f>Europe!490:490-"$F;@!0RU"</f>
        <v>#VALUE!</v>
      </c>
      <c r="IE293" t="e">
        <f>Europe!491:491-"$F;@!0RV"</f>
        <v>#VALUE!</v>
      </c>
      <c r="IF293" t="e">
        <f>Europe!492:492-"$F;@!0RW"</f>
        <v>#VALUE!</v>
      </c>
      <c r="IG293" t="e">
        <f>Europe!493:493-"$F;@!0RX"</f>
        <v>#VALUE!</v>
      </c>
      <c r="IH293" t="e">
        <f>Europe!494:494-"$F;@!0RY"</f>
        <v>#VALUE!</v>
      </c>
      <c r="II293" t="e">
        <f>Europe!495:495-"$F;@!0RZ"</f>
        <v>#VALUE!</v>
      </c>
      <c r="IJ293" t="e">
        <f>Europe!496:496-"$F;@!0R["</f>
        <v>#VALUE!</v>
      </c>
      <c r="IK293" t="e">
        <f>Europe!497:497-"$F;@!0R\"</f>
        <v>#VALUE!</v>
      </c>
      <c r="IL293" t="e">
        <f>Europe!498:498-"$F;@!0R]"</f>
        <v>#VALUE!</v>
      </c>
      <c r="IM293" t="e">
        <f>Europe!499:499-"$F;@!0R^"</f>
        <v>#VALUE!</v>
      </c>
      <c r="IN293" t="e">
        <f>Europe!500:500-"$F;@!0R_"</f>
        <v>#VALUE!</v>
      </c>
      <c r="IO293" t="e">
        <f>Europe!501:501-"$F;@!0R`"</f>
        <v>#VALUE!</v>
      </c>
      <c r="IP293" t="e">
        <f>Europe!502:502-"$F;@!0Ra"</f>
        <v>#VALUE!</v>
      </c>
      <c r="IQ293" t="e">
        <f>Europe!503:503-"$F;@!0Rb"</f>
        <v>#VALUE!</v>
      </c>
      <c r="IR293" t="e">
        <f>Europe!504:504-"$F;@!0Rc"</f>
        <v>#VALUE!</v>
      </c>
      <c r="IS293" t="e">
        <f>Europe!505:505-"$F;@!0Rd"</f>
        <v>#VALUE!</v>
      </c>
      <c r="IT293" t="e">
        <f>Europe!506:506-"$F;@!0Re"</f>
        <v>#VALUE!</v>
      </c>
      <c r="IU293" t="e">
        <f>Europe!507:507-"$F;@!0Rf"</f>
        <v>#VALUE!</v>
      </c>
      <c r="IV293" t="e">
        <f>Europe!508:508-"$F;@!0Rg"</f>
        <v>#VALUE!</v>
      </c>
    </row>
    <row r="294" spans="6:256" x14ac:dyDescent="0.35">
      <c r="F294" t="e">
        <f>Europe!509:509-"$F;@!0Rh"</f>
        <v>#VALUE!</v>
      </c>
      <c r="G294" t="e">
        <f>Europe!510:510-"$F;@!0Ri"</f>
        <v>#VALUE!</v>
      </c>
      <c r="H294" t="e">
        <f>Europe!511:511-"$F;@!0Rj"</f>
        <v>#VALUE!</v>
      </c>
      <c r="I294" t="e">
        <f>Europe!512:512-"$F;@!0Rk"</f>
        <v>#VALUE!</v>
      </c>
      <c r="J294" t="e">
        <f>Europe!513:513-"$F;@!0Rl"</f>
        <v>#VALUE!</v>
      </c>
      <c r="K294" t="e">
        <f>Europe!514:514-"$F;@!0Rm"</f>
        <v>#VALUE!</v>
      </c>
      <c r="L294" t="e">
        <f>Europe!515:515-"$F;@!0Rn"</f>
        <v>#VALUE!</v>
      </c>
      <c r="M294" t="e">
        <f>Europe!516:516-"$F;@!0Ro"</f>
        <v>#VALUE!</v>
      </c>
      <c r="N294" t="e">
        <f>Europe!517:517-"$F;@!0Rp"</f>
        <v>#VALUE!</v>
      </c>
      <c r="O294" t="e">
        <f>Europe!518:518-"$F;@!0Rq"</f>
        <v>#VALUE!</v>
      </c>
      <c r="P294" t="e">
        <f>Europe!519:519-"$F;@!0Rr"</f>
        <v>#VALUE!</v>
      </c>
      <c r="Q294" t="e">
        <f>Europe!520:520-"$F;@!0Rs"</f>
        <v>#VALUE!</v>
      </c>
      <c r="R294" t="e">
        <f>Europe!521:521-"$F;@!0Rt"</f>
        <v>#VALUE!</v>
      </c>
      <c r="S294" t="e">
        <f>Europe!522:522-"$F;@!0Ru"</f>
        <v>#VALUE!</v>
      </c>
      <c r="T294" t="e">
        <f>Europe!523:523-"$F;@!0Rv"</f>
        <v>#VALUE!</v>
      </c>
      <c r="U294" t="e">
        <f>Europe!524:524-"$F;@!0Rw"</f>
        <v>#VALUE!</v>
      </c>
      <c r="V294" t="e">
        <f>Europe!525:525-"$F;@!0Rx"</f>
        <v>#VALUE!</v>
      </c>
      <c r="W294" t="e">
        <f>Europe!526:526-"$F;@!0Ry"</f>
        <v>#VALUE!</v>
      </c>
      <c r="X294" t="e">
        <f>Europe!527:527-"$F;@!0Rz"</f>
        <v>#VALUE!</v>
      </c>
      <c r="Y294" t="e">
        <f>Europe!528:528-"$F;@!0R{"</f>
        <v>#VALUE!</v>
      </c>
      <c r="Z294" t="e">
        <f>Europe!529:529-"$F;@!0R|"</f>
        <v>#VALUE!</v>
      </c>
      <c r="AA294" t="e">
        <f>Europe!530:530-"$F;@!0R}"</f>
        <v>#VALUE!</v>
      </c>
      <c r="AB294" t="e">
        <f>Europe!531:531-"$F;@!0R~"</f>
        <v>#VALUE!</v>
      </c>
      <c r="AC294" t="e">
        <f>Europe!532:532-"$F;@!0S#"</f>
        <v>#VALUE!</v>
      </c>
      <c r="AD294" t="e">
        <f>Europe!533:533-"$F;@!0S$"</f>
        <v>#VALUE!</v>
      </c>
      <c r="AE294" t="e">
        <f>Europe!534:534-"$F;@!0S%"</f>
        <v>#VALUE!</v>
      </c>
      <c r="AF294" t="e">
        <f>Europe!535:535-"$F;@!0S&amp;"</f>
        <v>#VALUE!</v>
      </c>
      <c r="AG294" t="e">
        <f>Europe!536:536-"$F;@!0S'"</f>
        <v>#VALUE!</v>
      </c>
      <c r="AH294" t="e">
        <f>Europe!537:537-"$F;@!0S("</f>
        <v>#VALUE!</v>
      </c>
      <c r="AI294" t="e">
        <f>Europe!538:538-"$F;@!0S)"</f>
        <v>#VALUE!</v>
      </c>
      <c r="AJ294" t="e">
        <f>Europe!539:539-"$F;@!0S."</f>
        <v>#VALUE!</v>
      </c>
      <c r="AK294" t="e">
        <f>Europe!540:540-"$F;@!0S/"</f>
        <v>#VALUE!</v>
      </c>
      <c r="AL294" t="e">
        <f>Europe!541:541-"$F;@!0S0"</f>
        <v>#VALUE!</v>
      </c>
      <c r="AM294" t="e">
        <f>Europe!542:542-"$F;@!0S1"</f>
        <v>#VALUE!</v>
      </c>
      <c r="AN294" t="e">
        <f>Europe!543:543-"$F;@!0S2"</f>
        <v>#VALUE!</v>
      </c>
      <c r="AO294" t="e">
        <f>Europe!544:544-"$F;@!0S3"</f>
        <v>#VALUE!</v>
      </c>
      <c r="AP294" t="e">
        <f>Europe!545:545-"$F;@!0S4"</f>
        <v>#VALUE!</v>
      </c>
      <c r="AQ294" t="e">
        <f>Europe!546:546-"$F;@!0S5"</f>
        <v>#VALUE!</v>
      </c>
      <c r="AR294" t="e">
        <f>Europe!547:547-"$F;@!0S6"</f>
        <v>#VALUE!</v>
      </c>
      <c r="AS294" t="e">
        <f>Europe!548:548-"$F;@!0S7"</f>
        <v>#VALUE!</v>
      </c>
      <c r="AT294" t="e">
        <f>Europe!549:549-"$F;@!0S8"</f>
        <v>#VALUE!</v>
      </c>
      <c r="AU294" t="e">
        <f>Europe!550:550-"$F;@!0S9"</f>
        <v>#VALUE!</v>
      </c>
      <c r="AV294" t="e">
        <f>Europe!551:551-"$F;@!0S:"</f>
        <v>#VALUE!</v>
      </c>
      <c r="AW294" t="e">
        <f>Europe!552:552-"$F;@!0S;"</f>
        <v>#VALUE!</v>
      </c>
      <c r="AX294" t="e">
        <f>Europe!553:553-"$F;@!0S&lt;"</f>
        <v>#VALUE!</v>
      </c>
      <c r="AY294" t="e">
        <f>Europe!554:554-"$F;@!0S="</f>
        <v>#VALUE!</v>
      </c>
      <c r="AZ294" t="e">
        <f>Europe!555:555-"$F;@!0S&gt;"</f>
        <v>#VALUE!</v>
      </c>
      <c r="BA294" t="e">
        <f>Europe!556:556-"$F;@!0S?"</f>
        <v>#VALUE!</v>
      </c>
      <c r="BB294" t="e">
        <f>Europe!557:557-"$F;@!0S@"</f>
        <v>#VALUE!</v>
      </c>
      <c r="BC294" t="e">
        <f>Europe!558:558-"$F;@!0SA"</f>
        <v>#VALUE!</v>
      </c>
      <c r="BD294" t="e">
        <f>Europe!559:559-"$F;@!0SB"</f>
        <v>#VALUE!</v>
      </c>
      <c r="BE294" t="e">
        <f>Europe!560:560-"$F;@!0SC"</f>
        <v>#VALUE!</v>
      </c>
      <c r="BF294" t="e">
        <f>Europe!561:561-"$F;@!0SD"</f>
        <v>#VALUE!</v>
      </c>
      <c r="BG294" t="e">
        <f>Europe!562:562-"$F;@!0SE"</f>
        <v>#VALUE!</v>
      </c>
      <c r="BH294" t="e">
        <f>Europe!563:563-"$F;@!0SF"</f>
        <v>#VALUE!</v>
      </c>
      <c r="BI294" t="e">
        <f>Europe!564:564-"$F;@!0SG"</f>
        <v>#VALUE!</v>
      </c>
      <c r="BJ294" t="e">
        <f>Europe!565:565-"$F;@!0SH"</f>
        <v>#VALUE!</v>
      </c>
      <c r="BK294" t="e">
        <f>Europe!566:566-"$F;@!0SI"</f>
        <v>#VALUE!</v>
      </c>
      <c r="BL294" t="e">
        <f>Europe!567:567-"$F;@!0SJ"</f>
        <v>#VALUE!</v>
      </c>
      <c r="BM294" t="e">
        <f>Europe!568:568-"$F;@!0SK"</f>
        <v>#VALUE!</v>
      </c>
      <c r="BN294" t="e">
        <f>Europe!569:569-"$F;@!0SL"</f>
        <v>#VALUE!</v>
      </c>
      <c r="BO294" t="e">
        <f>Europe!570:570-"$F;@!0SM"</f>
        <v>#VALUE!</v>
      </c>
      <c r="BP294" t="e">
        <f>Europe!571:571-"$F;@!0SN"</f>
        <v>#VALUE!</v>
      </c>
      <c r="BQ294" t="e">
        <f>Europe!572:572-"$F;@!0SO"</f>
        <v>#VALUE!</v>
      </c>
      <c r="BR294" t="e">
        <f>Europe!573:573-"$F;@!0SP"</f>
        <v>#VALUE!</v>
      </c>
      <c r="BS294" t="e">
        <f>Europe!574:574-"$F;@!0SQ"</f>
        <v>#VALUE!</v>
      </c>
      <c r="BT294" t="e">
        <f>Europe!575:575-"$F;@!0SR"</f>
        <v>#VALUE!</v>
      </c>
      <c r="BU294" t="e">
        <f>Europe!576:576-"$F;@!0SS"</f>
        <v>#VALUE!</v>
      </c>
      <c r="BV294" t="e">
        <f>Europe!577:577-"$F;@!0ST"</f>
        <v>#VALUE!</v>
      </c>
      <c r="BW294" t="e">
        <f>Europe!578:578-"$F;@!0SU"</f>
        <v>#VALUE!</v>
      </c>
      <c r="BX294" t="e">
        <f>Europe!579:579-"$F;@!0SV"</f>
        <v>#VALUE!</v>
      </c>
      <c r="BY294" t="e">
        <f>Europe!580:580-"$F;@!0SW"</f>
        <v>#VALUE!</v>
      </c>
      <c r="BZ294" t="e">
        <f>Europe!581:581-"$F;@!0SX"</f>
        <v>#VALUE!</v>
      </c>
      <c r="CA294" t="e">
        <f>Europe!582:582-"$F;@!0SY"</f>
        <v>#VALUE!</v>
      </c>
      <c r="CB294" t="e">
        <f>Europe!583:583-"$F;@!0SZ"</f>
        <v>#VALUE!</v>
      </c>
      <c r="CC294" t="e">
        <f>Europe!584:584-"$F;@!0S["</f>
        <v>#VALUE!</v>
      </c>
      <c r="CD294" t="e">
        <f>Europe!585:585-"$F;@!0S\"</f>
        <v>#VALUE!</v>
      </c>
      <c r="CE294" t="e">
        <f>Europe!586:586-"$F;@!0S]"</f>
        <v>#VALUE!</v>
      </c>
      <c r="CF294" t="e">
        <f>Europe!587:587-"$F;@!0S^"</f>
        <v>#VALUE!</v>
      </c>
      <c r="CG294" t="e">
        <f>Europe!588:588-"$F;@!0S_"</f>
        <v>#VALUE!</v>
      </c>
      <c r="CH294" t="e">
        <f>Europe!589:589-"$F;@!0S`"</f>
        <v>#VALUE!</v>
      </c>
      <c r="CI294" t="e">
        <f>Europe!590:590-"$F;@!0Sa"</f>
        <v>#VALUE!</v>
      </c>
      <c r="CJ294" t="e">
        <f>Europe!591:591-"$F;@!0Sb"</f>
        <v>#VALUE!</v>
      </c>
      <c r="CK294" t="e">
        <f>Europe!592:592-"$F;@!0Sc"</f>
        <v>#VALUE!</v>
      </c>
      <c r="CL294" t="e">
        <f>Europe!593:593-"$F;@!0Sd"</f>
        <v>#VALUE!</v>
      </c>
      <c r="CM294" t="e">
        <f>Europe!594:594-"$F;@!0Se"</f>
        <v>#VALUE!</v>
      </c>
      <c r="CN294" t="e">
        <f>Europe!595:595-"$F;@!0Sf"</f>
        <v>#VALUE!</v>
      </c>
      <c r="CO294" t="e">
        <f>Europe!596:596-"$F;@!0Sg"</f>
        <v>#VALUE!</v>
      </c>
      <c r="CP294" t="e">
        <f>Europe!597:597-"$F;@!0Sh"</f>
        <v>#VALUE!</v>
      </c>
      <c r="CQ294" t="e">
        <f>Europe!598:598-"$F;@!0Si"</f>
        <v>#VALUE!</v>
      </c>
      <c r="CR294" t="e">
        <f>Europe!599:599-"$F;@!0Sj"</f>
        <v>#VALUE!</v>
      </c>
      <c r="CS294" t="e">
        <f>Europe!600:600-"$F;@!0Sk"</f>
        <v>#VALUE!</v>
      </c>
      <c r="CT294" t="e">
        <f>Europe!601:601-"$F;@!0Sl"</f>
        <v>#VALUE!</v>
      </c>
      <c r="CU294" t="e">
        <f>Europe!602:602-"$F;@!0Sm"</f>
        <v>#VALUE!</v>
      </c>
      <c r="CV294" t="e">
        <f>Europe!603:603-"$F;@!0Sn"</f>
        <v>#VALUE!</v>
      </c>
      <c r="CW294" t="e">
        <f>Europe!604:604-"$F;@!0So"</f>
        <v>#VALUE!</v>
      </c>
      <c r="CX294" t="e">
        <f>Europe!605:605-"$F;@!0Sp"</f>
        <v>#VALUE!</v>
      </c>
      <c r="CY294" t="e">
        <f>Europe!606:606-"$F;@!0Sq"</f>
        <v>#VALUE!</v>
      </c>
      <c r="CZ294" t="e">
        <f>Europe!607:607-"$F;@!0Sr"</f>
        <v>#VALUE!</v>
      </c>
      <c r="DA294" t="e">
        <f>Europe!608:608-"$F;@!0Ss"</f>
        <v>#VALUE!</v>
      </c>
      <c r="DB294" t="e">
        <f>Europe!609:609-"$F;@!0St"</f>
        <v>#VALUE!</v>
      </c>
      <c r="DC294" t="e">
        <f>Europe!610:610-"$F;@!0Su"</f>
        <v>#VALUE!</v>
      </c>
      <c r="DD294" t="e">
        <f>Europe!611:611-"$F;@!0Sv"</f>
        <v>#VALUE!</v>
      </c>
      <c r="DE294" t="e">
        <f>Europe!612:612-"$F;@!0Sw"</f>
        <v>#VALUE!</v>
      </c>
      <c r="DF294" t="e">
        <f>Europe!613:613-"$F;@!0Sx"</f>
        <v>#VALUE!</v>
      </c>
      <c r="DG294" t="e">
        <f>Europe!614:614-"$F;@!0Sy"</f>
        <v>#VALUE!</v>
      </c>
      <c r="DH294" t="e">
        <f>Europe!615:615-"$F;@!0Sz"</f>
        <v>#VALUE!</v>
      </c>
      <c r="DI294" t="e">
        <f>Europe!616:616-"$F;@!0S{"</f>
        <v>#VALUE!</v>
      </c>
      <c r="DJ294" t="e">
        <f>Europe!617:617-"$F;@!0S|"</f>
        <v>#VALUE!</v>
      </c>
      <c r="DK294" t="e">
        <f>Europe!618:618-"$F;@!0S}"</f>
        <v>#VALUE!</v>
      </c>
      <c r="DL294" t="e">
        <f>Europe!619:619-"$F;@!0S~"</f>
        <v>#VALUE!</v>
      </c>
      <c r="DM294" t="e">
        <f>Europe!620:620-"$F;@!0T#"</f>
        <v>#VALUE!</v>
      </c>
      <c r="DN294" t="e">
        <f>Europe!621:621-"$F;@!0T$"</f>
        <v>#VALUE!</v>
      </c>
      <c r="DO294" t="e">
        <f>Europe!622:622-"$F;@!0T%"</f>
        <v>#VALUE!</v>
      </c>
      <c r="DP294" t="e">
        <f>Europe!623:623-"$F;@!0T&amp;"</f>
        <v>#VALUE!</v>
      </c>
      <c r="DQ294" t="e">
        <f>Europe!624:624-"$F;@!0T'"</f>
        <v>#VALUE!</v>
      </c>
      <c r="DR294" t="e">
        <f>Europe!625:625-"$F;@!0T("</f>
        <v>#VALUE!</v>
      </c>
      <c r="DS294" t="e">
        <f>Europe!626:626-"$F;@!0T)"</f>
        <v>#VALUE!</v>
      </c>
      <c r="DT294" t="e">
        <f>Europe!627:627-"$F;@!0T."</f>
        <v>#VALUE!</v>
      </c>
      <c r="DU294" t="e">
        <f>Europe!628:628-"$F;@!0T/"</f>
        <v>#VALUE!</v>
      </c>
      <c r="DV294" t="e">
        <f>Europe!629:629-"$F;@!0T0"</f>
        <v>#VALUE!</v>
      </c>
      <c r="DW294" t="e">
        <f>Europe!630:630-"$F;@!0T1"</f>
        <v>#VALUE!</v>
      </c>
      <c r="DX294" t="e">
        <f>Europe!631:631-"$F;@!0T2"</f>
        <v>#VALUE!</v>
      </c>
      <c r="DY294" t="e">
        <f>Europe!632:632-"$F;@!0T3"</f>
        <v>#VALUE!</v>
      </c>
      <c r="DZ294" t="e">
        <f>Europe!633:633-"$F;@!0T4"</f>
        <v>#VALUE!</v>
      </c>
      <c r="EA294" t="e">
        <f>Europe!634:634-"$F;@!0T5"</f>
        <v>#VALUE!</v>
      </c>
      <c r="EB294" t="e">
        <f>Europe!635:635-"$F;@!0T6"</f>
        <v>#VALUE!</v>
      </c>
      <c r="EC294" t="e">
        <f>Europe!636:636-"$F;@!0T7"</f>
        <v>#VALUE!</v>
      </c>
      <c r="ED294" t="e">
        <f>Europe!637:637-"$F;@!0T8"</f>
        <v>#VALUE!</v>
      </c>
      <c r="EE294" t="e">
        <f>Europe!638:638-"$F;@!0T9"</f>
        <v>#VALUE!</v>
      </c>
      <c r="EF294" t="e">
        <f>Europe!639:639-"$F;@!0T:"</f>
        <v>#VALUE!</v>
      </c>
      <c r="EG294" t="e">
        <f>Europe!640:640-"$F;@!0T;"</f>
        <v>#VALUE!</v>
      </c>
      <c r="EH294" t="e">
        <f>Europe!641:641-"$F;@!0T&lt;"</f>
        <v>#VALUE!</v>
      </c>
      <c r="EI294" t="e">
        <f>Europe!642:642-"$F;@!0T="</f>
        <v>#VALUE!</v>
      </c>
      <c r="EJ294" t="e">
        <f>Europe!643:643-"$F;@!0T&gt;"</f>
        <v>#VALUE!</v>
      </c>
      <c r="EK294" t="e">
        <f>Europe!644:644-"$F;@!0T?"</f>
        <v>#VALUE!</v>
      </c>
      <c r="EL294" t="e">
        <f>Europe!645:645-"$F;@!0T@"</f>
        <v>#VALUE!</v>
      </c>
      <c r="EM294" t="e">
        <f>Europe!646:646-"$F;@!0TA"</f>
        <v>#VALUE!</v>
      </c>
      <c r="EN294" t="e">
        <f>Europe!647:647-"$F;@!0TB"</f>
        <v>#VALUE!</v>
      </c>
      <c r="EO294" t="e">
        <f>Europe!648:648-"$F;@!0TC"</f>
        <v>#VALUE!</v>
      </c>
      <c r="EP294" t="e">
        <f>Europe!649:649-"$F;@!0TD"</f>
        <v>#VALUE!</v>
      </c>
      <c r="EQ294" t="e">
        <f>Europe!650:650-"$F;@!0TE"</f>
        <v>#VALUE!</v>
      </c>
      <c r="ER294" t="e">
        <f>Europe!651:651-"$F;@!0TF"</f>
        <v>#VALUE!</v>
      </c>
      <c r="ES294" t="e">
        <f>Europe!652:652-"$F;@!0TG"</f>
        <v>#VALUE!</v>
      </c>
      <c r="ET294" t="e">
        <f>Europe!653:653-"$F;@!0TH"</f>
        <v>#VALUE!</v>
      </c>
      <c r="EU294" t="e">
        <f>Europe!654:654-"$F;@!0TI"</f>
        <v>#VALUE!</v>
      </c>
      <c r="EV294" t="e">
        <f>Europe!655:655-"$F;@!0TJ"</f>
        <v>#VALUE!</v>
      </c>
      <c r="EW294" t="e">
        <f>Europe!656:656-"$F;@!0TK"</f>
        <v>#VALUE!</v>
      </c>
      <c r="EX294" t="e">
        <f>Europe!657:657-"$F;@!0TL"</f>
        <v>#VALUE!</v>
      </c>
      <c r="EY294" t="e">
        <f>Europe!658:658-"$F;@!0TM"</f>
        <v>#VALUE!</v>
      </c>
      <c r="EZ294" t="e">
        <f>Europe!659:659-"$F;@!0TN"</f>
        <v>#VALUE!</v>
      </c>
      <c r="FA294" t="e">
        <f>Europe!660:660-"$F;@!0TO"</f>
        <v>#VALUE!</v>
      </c>
      <c r="FB294" t="e">
        <f>Europe!661:661-"$F;@!0TP"</f>
        <v>#VALUE!</v>
      </c>
      <c r="FC294" t="e">
        <f>Europe!662:662-"$F;@!0TQ"</f>
        <v>#VALUE!</v>
      </c>
      <c r="FD294" t="e">
        <f>Europe!663:663-"$F;@!0TR"</f>
        <v>#VALUE!</v>
      </c>
      <c r="FE294" t="e">
        <f>Europe!664:664-"$F;@!0TS"</f>
        <v>#VALUE!</v>
      </c>
      <c r="FF294" t="e">
        <f>Europe!665:665-"$F;@!0TT"</f>
        <v>#VALUE!</v>
      </c>
      <c r="FG294" t="e">
        <f>Europe!666:666-"$F;@!0TU"</f>
        <v>#VALUE!</v>
      </c>
      <c r="FH294" t="e">
        <f>Europe!667:667-"$F;@!0TV"</f>
        <v>#VALUE!</v>
      </c>
      <c r="FI294" t="e">
        <f>Europe!668:668-"$F;@!0TW"</f>
        <v>#VALUE!</v>
      </c>
      <c r="FJ294" t="e">
        <f>Europe!669:669-"$F;@!0TX"</f>
        <v>#VALUE!</v>
      </c>
      <c r="FK294" t="e">
        <f>Europe!670:670-"$F;@!0TY"</f>
        <v>#VALUE!</v>
      </c>
      <c r="FL294" t="e">
        <f>Europe!671:671-"$F;@!0TZ"</f>
        <v>#VALUE!</v>
      </c>
      <c r="FM294" t="e">
        <f>Europe!672:672-"$F;@!0T["</f>
        <v>#VALUE!</v>
      </c>
      <c r="FN294" t="e">
        <f>Europe!673:673-"$F;@!0T\"</f>
        <v>#VALUE!</v>
      </c>
      <c r="FO294" t="e">
        <f>Europe!674:674-"$F;@!0T]"</f>
        <v>#VALUE!</v>
      </c>
      <c r="FP294" t="e">
        <f>Europe!675:675-"$F;@!0T^"</f>
        <v>#VALUE!</v>
      </c>
      <c r="FQ294" t="e">
        <f>Europe!676:676-"$F;@!0T_"</f>
        <v>#VALUE!</v>
      </c>
      <c r="FR294" t="e">
        <f>Europe!677:677-"$F;@!0T`"</f>
        <v>#VALUE!</v>
      </c>
      <c r="FS294" t="e">
        <f>Europe!678:678-"$F;@!0Ta"</f>
        <v>#VALUE!</v>
      </c>
      <c r="FT294" t="e">
        <f>Europe!679:679-"$F;@!0Tb"</f>
        <v>#VALUE!</v>
      </c>
      <c r="FU294" t="e">
        <f>Europe!680:680-"$F;@!0Tc"</f>
        <v>#VALUE!</v>
      </c>
      <c r="FV294" t="e">
        <f>Europe!681:681-"$F;@!0Td"</f>
        <v>#VALUE!</v>
      </c>
      <c r="FW294" t="e">
        <f>Europe!682:682-"$F;@!0Te"</f>
        <v>#VALUE!</v>
      </c>
      <c r="FX294" t="e">
        <f>Europe!683:683-"$F;@!0Tf"</f>
        <v>#VALUE!</v>
      </c>
      <c r="FY294" t="e">
        <f>Europe!684:684-"$F;@!0Tg"</f>
        <v>#VALUE!</v>
      </c>
      <c r="FZ294" t="e">
        <f>Europe!685:685-"$F;@!0Th"</f>
        <v>#VALUE!</v>
      </c>
      <c r="GA294" t="e">
        <f>Europe!686:686-"$F;@!0Ti"</f>
        <v>#VALUE!</v>
      </c>
      <c r="GB294" t="e">
        <f>Europe!687:687-"$F;@!0Tj"</f>
        <v>#VALUE!</v>
      </c>
      <c r="GC294" t="e">
        <f>Europe!688:688-"$F;@!0Tk"</f>
        <v>#VALUE!</v>
      </c>
      <c r="GD294" t="e">
        <f>Europe!689:689-"$F;@!0Tl"</f>
        <v>#VALUE!</v>
      </c>
      <c r="GE294" t="e">
        <f>Europe!690:690-"$F;@!0Tm"</f>
        <v>#VALUE!</v>
      </c>
      <c r="GF294" t="e">
        <f>Europe!691:691-"$F;@!0Tn"</f>
        <v>#VALUE!</v>
      </c>
      <c r="GG294" t="e">
        <f>Europe!692:692-"$F;@!0To"</f>
        <v>#VALUE!</v>
      </c>
      <c r="GH294" t="e">
        <f>Europe!693:693-"$F;@!0Tp"</f>
        <v>#VALUE!</v>
      </c>
      <c r="GI294" t="e">
        <f>Europe!694:694-"$F;@!0Tq"</f>
        <v>#VALUE!</v>
      </c>
      <c r="GJ294" t="e">
        <f>Europe!695:695-"$F;@!0Tr"</f>
        <v>#VALUE!</v>
      </c>
      <c r="GK294" t="e">
        <f>Europe!696:696-"$F;@!0Ts"</f>
        <v>#VALUE!</v>
      </c>
      <c r="GL294" t="e">
        <f>Europe!697:697-"$F;@!0Tt"</f>
        <v>#VALUE!</v>
      </c>
      <c r="GM294" t="e">
        <f>Europe!698:698-"$F;@!0Tu"</f>
        <v>#VALUE!</v>
      </c>
      <c r="GN294" t="e">
        <f>Europe!699:699-"$F;@!0Tv"</f>
        <v>#VALUE!</v>
      </c>
      <c r="GO294" t="e">
        <f>Europe!700:700-"$F;@!0Tw"</f>
        <v>#VALUE!</v>
      </c>
      <c r="GP294" t="e">
        <f>Europe!701:701-"$F;@!0Tx"</f>
        <v>#VALUE!</v>
      </c>
      <c r="GQ294" t="e">
        <f>Europe!702:702-"$F;@!0Ty"</f>
        <v>#VALUE!</v>
      </c>
      <c r="GR294" t="e">
        <f>Europe!703:703-"$F;@!0Tz"</f>
        <v>#VALUE!</v>
      </c>
      <c r="GS294" t="e">
        <f>Europe!704:704-"$F;@!0T{"</f>
        <v>#VALUE!</v>
      </c>
      <c r="GT294" t="e">
        <f>Europe!705:705-"$F;@!0T|"</f>
        <v>#VALUE!</v>
      </c>
      <c r="GU294" t="e">
        <f>Europe!706:706-"$F;@!0T}"</f>
        <v>#VALUE!</v>
      </c>
      <c r="GV294" t="e">
        <f>Europe!707:707-"$F;@!0T~"</f>
        <v>#VALUE!</v>
      </c>
      <c r="GW294" t="e">
        <f>Europe!708:708-"$F;@!0U#"</f>
        <v>#VALUE!</v>
      </c>
      <c r="GX294" t="e">
        <f>Europe!709:709-"$F;@!0U$"</f>
        <v>#VALUE!</v>
      </c>
      <c r="GY294" t="e">
        <f>Europe!710:710-"$F;@!0U%"</f>
        <v>#VALUE!</v>
      </c>
      <c r="GZ294" t="e">
        <f>Europe!711:711-"$F;@!0U&amp;"</f>
        <v>#VALUE!</v>
      </c>
      <c r="HA294" t="e">
        <f>Europe!712:712-"$F;@!0U'"</f>
        <v>#VALUE!</v>
      </c>
      <c r="HB294" t="e">
        <f>Europe!713:713-"$F;@!0U("</f>
        <v>#VALUE!</v>
      </c>
      <c r="HC294" t="e">
        <f>Europe!714:714-"$F;@!0U)"</f>
        <v>#VALUE!</v>
      </c>
      <c r="HD294" t="e">
        <f>Europe!715:715-"$F;@!0U."</f>
        <v>#VALUE!</v>
      </c>
      <c r="HE294" t="e">
        <f>Europe!716:716-"$F;@!0U/"</f>
        <v>#VALUE!</v>
      </c>
      <c r="HF294" t="e">
        <f>Europe!717:717-"$F;@!0U0"</f>
        <v>#VALUE!</v>
      </c>
      <c r="HG294" t="e">
        <f>Europe!718:718-"$F;@!0U1"</f>
        <v>#VALUE!</v>
      </c>
      <c r="HH294" t="e">
        <f>Europe!719:719-"$F;@!0U2"</f>
        <v>#VALUE!</v>
      </c>
      <c r="HI294" t="e">
        <f>Europe!720:720-"$F;@!0U3"</f>
        <v>#VALUE!</v>
      </c>
      <c r="HJ294" t="e">
        <f>Europe!721:721-"$F;@!0U4"</f>
        <v>#VALUE!</v>
      </c>
      <c r="HK294" t="e">
        <f>Europe!722:722-"$F;@!0U5"</f>
        <v>#VALUE!</v>
      </c>
      <c r="HL294" t="e">
        <f>Europe!723:723-"$F;@!0U6"</f>
        <v>#VALUE!</v>
      </c>
      <c r="HM294" t="e">
        <f>Europe!724:724-"$F;@!0U7"</f>
        <v>#VALUE!</v>
      </c>
      <c r="HN294" t="e">
        <f>Europe!725:725-"$F;@!0U8"</f>
        <v>#VALUE!</v>
      </c>
      <c r="HO294" t="e">
        <f>Europe!726:726-"$F;@!0U9"</f>
        <v>#VALUE!</v>
      </c>
      <c r="HP294" t="e">
        <f>Europe!727:727-"$F;@!0U:"</f>
        <v>#VALUE!</v>
      </c>
      <c r="HQ294" t="e">
        <f>Europe!728:728-"$F;@!0U;"</f>
        <v>#VALUE!</v>
      </c>
      <c r="HR294" t="e">
        <f>Europe!729:729-"$F;@!0U&lt;"</f>
        <v>#VALUE!</v>
      </c>
      <c r="HS294" t="e">
        <f>Europe!730:730-"$F;@!0U="</f>
        <v>#VALUE!</v>
      </c>
      <c r="HT294" t="e">
        <f>Europe!731:731-"$F;@!0U&gt;"</f>
        <v>#VALUE!</v>
      </c>
      <c r="HU294" t="e">
        <f>Europe!732:732-"$F;@!0U?"</f>
        <v>#VALUE!</v>
      </c>
      <c r="HV294" t="e">
        <f>Europe!733:733-"$F;@!0U@"</f>
        <v>#VALUE!</v>
      </c>
      <c r="HW294" t="e">
        <f>Europe!734:734-"$F;@!0UA"</f>
        <v>#VALUE!</v>
      </c>
      <c r="HX294" t="e">
        <f>Europe!735:735-"$F;@!0UB"</f>
        <v>#VALUE!</v>
      </c>
      <c r="HY294" t="e">
        <f>Europe!736:736-"$F;@!0UC"</f>
        <v>#VALUE!</v>
      </c>
      <c r="HZ294" t="e">
        <f>Europe!737:737-"$F;@!0UD"</f>
        <v>#VALUE!</v>
      </c>
      <c r="IA294" t="e">
        <f>Europe!738:738-"$F;@!0UE"</f>
        <v>#VALUE!</v>
      </c>
      <c r="IB294" t="e">
        <f>Europe!739:739-"$F;@!0UF"</f>
        <v>#VALUE!</v>
      </c>
      <c r="IC294" t="e">
        <f>Europe!740:740-"$F;@!0UG"</f>
        <v>#VALUE!</v>
      </c>
      <c r="ID294" t="e">
        <f>Europe!741:741-"$F;@!0UH"</f>
        <v>#VALUE!</v>
      </c>
      <c r="IE294" t="e">
        <f>Europe!742:742-"$F;@!0UI"</f>
        <v>#VALUE!</v>
      </c>
      <c r="IF294" t="e">
        <f>Europe!743:743-"$F;@!0UJ"</f>
        <v>#VALUE!</v>
      </c>
      <c r="IG294" t="e">
        <f>Europe!744:744-"$F;@!0UK"</f>
        <v>#VALUE!</v>
      </c>
      <c r="IH294" t="e">
        <f>Europe!745:745-"$F;@!0UL"</f>
        <v>#VALUE!</v>
      </c>
      <c r="II294" t="e">
        <f>Europe!746:746-"$F;@!0UM"</f>
        <v>#VALUE!</v>
      </c>
      <c r="IJ294" t="e">
        <f>Europe!747:747-"$F;@!0UN"</f>
        <v>#VALUE!</v>
      </c>
      <c r="IK294" t="e">
        <f>Europe!748:748-"$F;@!0UO"</f>
        <v>#VALUE!</v>
      </c>
      <c r="IL294" t="e">
        <f>Europe!749:749-"$F;@!0UP"</f>
        <v>#VALUE!</v>
      </c>
      <c r="IM294" t="e">
        <f>Europe!750:750-"$F;@!0UQ"</f>
        <v>#VALUE!</v>
      </c>
      <c r="IN294" t="e">
        <f>Europe!751:751-"$F;@!0UR"</f>
        <v>#VALUE!</v>
      </c>
      <c r="IO294" t="e">
        <f>Europe!752:752-"$F;@!0US"</f>
        <v>#VALUE!</v>
      </c>
      <c r="IP294" t="e">
        <f>Europe!753:753-"$F;@!0UT"</f>
        <v>#VALUE!</v>
      </c>
      <c r="IQ294" t="e">
        <f>Europe!754:754-"$F;@!0UU"</f>
        <v>#VALUE!</v>
      </c>
      <c r="IR294" t="e">
        <f>Europe!755:755-"$F;@!0UV"</f>
        <v>#VALUE!</v>
      </c>
      <c r="IS294" t="e">
        <f>Europe!756:756-"$F;@!0UW"</f>
        <v>#VALUE!</v>
      </c>
      <c r="IT294" t="e">
        <f>Europe!757:757-"$F;@!0UX"</f>
        <v>#VALUE!</v>
      </c>
      <c r="IU294" t="e">
        <f>Europe!758:758-"$F;@!0UY"</f>
        <v>#VALUE!</v>
      </c>
      <c r="IV294" t="e">
        <f>Europe!759:759-"$F;@!0UZ"</f>
        <v>#VALUE!</v>
      </c>
    </row>
    <row r="295" spans="6:256" x14ac:dyDescent="0.35">
      <c r="F295" t="e">
        <f>Europe!760:760-"$F;@!0U["</f>
        <v>#VALUE!</v>
      </c>
      <c r="G295" t="e">
        <f>Europe!761:761-"$F;@!0U\"</f>
        <v>#VALUE!</v>
      </c>
      <c r="H295" t="e">
        <f>Europe!762:762-"$F;@!0U]"</f>
        <v>#VALUE!</v>
      </c>
      <c r="I295" t="e">
        <f>Europe!763:763-"$F;@!0U^"</f>
        <v>#VALUE!</v>
      </c>
      <c r="J295" t="e">
        <f>Europe!764:764-"$F;@!0U_"</f>
        <v>#VALUE!</v>
      </c>
      <c r="K295" t="e">
        <f>Europe!765:765-"$F;@!0U`"</f>
        <v>#VALUE!</v>
      </c>
      <c r="L295" t="e">
        <f>Europe!766:766-"$F;@!0Ua"</f>
        <v>#VALUE!</v>
      </c>
      <c r="M295" t="e">
        <f>Europe!767:767-"$F;@!0Ub"</f>
        <v>#VALUE!</v>
      </c>
      <c r="N295" t="e">
        <f>Europe!768:768-"$F;@!0Uc"</f>
        <v>#VALUE!</v>
      </c>
      <c r="O295" t="e">
        <f>Europe!769:769-"$F;@!0Ud"</f>
        <v>#VALUE!</v>
      </c>
      <c r="P295" t="e">
        <f>Europe!770:770-"$F;@!0Ue"</f>
        <v>#VALUE!</v>
      </c>
      <c r="Q295" t="e">
        <f>Europe!771:771-"$F;@!0Uf"</f>
        <v>#VALUE!</v>
      </c>
      <c r="R295" t="e">
        <f>Europe!772:772-"$F;@!0Ug"</f>
        <v>#VALUE!</v>
      </c>
      <c r="S295" t="e">
        <f>Europe!773:773-"$F;@!0Uh"</f>
        <v>#VALUE!</v>
      </c>
      <c r="T295" t="e">
        <f>Europe!774:774-"$F;@!0Ui"</f>
        <v>#VALUE!</v>
      </c>
      <c r="U295" t="e">
        <f>Europe!775:775-"$F;@!0Uj"</f>
        <v>#VALUE!</v>
      </c>
      <c r="V295" t="e">
        <f>Europe!776:776-"$F;@!0Uk"</f>
        <v>#VALUE!</v>
      </c>
      <c r="W295" t="e">
        <f>Europe!777:777-"$F;@!0Ul"</f>
        <v>#VALUE!</v>
      </c>
      <c r="X295" t="e">
        <f>Europe!778:778-"$F;@!0Um"</f>
        <v>#VALUE!</v>
      </c>
      <c r="Y295" t="e">
        <f>Europe!779:779-"$F;@!0Un"</f>
        <v>#VALUE!</v>
      </c>
      <c r="Z295" t="e">
        <f>Europe!780:780-"$F;@!0Uo"</f>
        <v>#VALUE!</v>
      </c>
      <c r="AA295" t="e">
        <f>Europe!781:781-"$F;@!0Up"</f>
        <v>#VALUE!</v>
      </c>
      <c r="AB295" t="e">
        <f>Europe!782:782-"$F;@!0Uq"</f>
        <v>#VALUE!</v>
      </c>
      <c r="AC295" t="e">
        <f>Europe!783:783-"$F;@!0Ur"</f>
        <v>#VALUE!</v>
      </c>
      <c r="AD295" t="e">
        <f>Europe!784:784-"$F;@!0Us"</f>
        <v>#VALUE!</v>
      </c>
      <c r="AE295" t="e">
        <f>Europe!785:785-"$F;@!0Ut"</f>
        <v>#VALUE!</v>
      </c>
      <c r="AF295" t="e">
        <f>Europe!786:786-"$F;@!0Uu"</f>
        <v>#VALUE!</v>
      </c>
      <c r="AG295" t="e">
        <f>Europe!787:787-"$F;@!0Uv"</f>
        <v>#VALUE!</v>
      </c>
      <c r="AH295" t="e">
        <f>Europe!788:788-"$F;@!0Uw"</f>
        <v>#VALUE!</v>
      </c>
      <c r="AI295" t="e">
        <f>Europe!789:789-"$F;@!0Ux"</f>
        <v>#VALUE!</v>
      </c>
      <c r="AJ295" t="e">
        <f>Europe!790:790-"$F;@!0Uy"</f>
        <v>#VALUE!</v>
      </c>
      <c r="AK295" t="e">
        <f>Europe!791:791-"$F;@!0Uz"</f>
        <v>#VALUE!</v>
      </c>
      <c r="AL295" t="e">
        <f>Europe!792:792-"$F;@!0U{"</f>
        <v>#VALUE!</v>
      </c>
      <c r="AM295" t="e">
        <f>Europe!793:793-"$F;@!0U|"</f>
        <v>#VALUE!</v>
      </c>
      <c r="AN295" t="e">
        <f>Europe!794:794-"$F;@!0U}"</f>
        <v>#VALUE!</v>
      </c>
      <c r="AO295" t="e">
        <f>Europe!795:795-"$F;@!0U~"</f>
        <v>#VALUE!</v>
      </c>
      <c r="AP295" t="e">
        <f>Europe!796:796-"$F;@!0V#"</f>
        <v>#VALUE!</v>
      </c>
      <c r="AQ295" t="e">
        <f>Europe!797:797-"$F;@!0V$"</f>
        <v>#VALUE!</v>
      </c>
      <c r="AR295" t="e">
        <f>Europe!798:798-"$F;@!0V%"</f>
        <v>#VALUE!</v>
      </c>
      <c r="AS295" t="e">
        <f>Europe!799:799-"$F;@!0V&amp;"</f>
        <v>#VALUE!</v>
      </c>
      <c r="AT295" t="e">
        <f>Europe!800:800-"$F;@!0V'"</f>
        <v>#VALUE!</v>
      </c>
      <c r="AU295" t="e">
        <f>Europe!801:801-"$F;@!0V("</f>
        <v>#VALUE!</v>
      </c>
      <c r="AV295" t="e">
        <f>Europe!802:802-"$F;@!0V)"</f>
        <v>#VALUE!</v>
      </c>
      <c r="AW295" t="e">
        <f>Europe!803:803-"$F;@!0V."</f>
        <v>#VALUE!</v>
      </c>
      <c r="AX295" t="e">
        <f>Europe!804:804-"$F;@!0V/"</f>
        <v>#VALUE!</v>
      </c>
      <c r="AY295" t="e">
        <f>Europe!805:805-"$F;@!0V0"</f>
        <v>#VALUE!</v>
      </c>
      <c r="AZ295" t="e">
        <f>Europe!806:806-"$F;@!0V1"</f>
        <v>#VALUE!</v>
      </c>
      <c r="BA295" t="e">
        <f>Europe!807:807-"$F;@!0V2"</f>
        <v>#VALUE!</v>
      </c>
      <c r="BB295" t="e">
        <f>Europe!808:808-"$F;@!0V3"</f>
        <v>#VALUE!</v>
      </c>
      <c r="BC295" t="e">
        <f>Europe!809:809-"$F;@!0V4"</f>
        <v>#VALUE!</v>
      </c>
      <c r="BD295" t="e">
        <f>Europe!810:810-"$F;@!0V5"</f>
        <v>#VALUE!</v>
      </c>
      <c r="BE295" t="e">
        <f>Europe!811:811-"$F;@!0V6"</f>
        <v>#VALUE!</v>
      </c>
      <c r="BF295" t="e">
        <f>Europe!812:812-"$F;@!0V7"</f>
        <v>#VALUE!</v>
      </c>
      <c r="BG295" t="e">
        <f>Europe!813:813-"$F;@!0V8"</f>
        <v>#VALUE!</v>
      </c>
      <c r="BH295" t="e">
        <f>Europe!814:814-"$F;@!0V9"</f>
        <v>#VALUE!</v>
      </c>
      <c r="BI295" t="e">
        <f>Europe!815:815-"$F;@!0V:"</f>
        <v>#VALUE!</v>
      </c>
      <c r="BJ295" t="e">
        <f>Europe!816:816-"$F;@!0V;"</f>
        <v>#VALUE!</v>
      </c>
      <c r="BK295" t="e">
        <f>Europe!817:817-"$F;@!0V&lt;"</f>
        <v>#VALUE!</v>
      </c>
      <c r="BL295" t="e">
        <f>Europe!818:818-"$F;@!0V="</f>
        <v>#VALUE!</v>
      </c>
      <c r="BM295" t="e">
        <f>Europe!819:819-"$F;@!0V&gt;"</f>
        <v>#VALUE!</v>
      </c>
      <c r="BN295" t="e">
        <f>Europe!820:820-"$F;@!0V?"</f>
        <v>#VALUE!</v>
      </c>
      <c r="BO295" t="e">
        <f>Europe!821:821-"$F;@!0V@"</f>
        <v>#VALUE!</v>
      </c>
      <c r="BP295" t="e">
        <f>Europe!822:822-"$F;@!0VA"</f>
        <v>#VALUE!</v>
      </c>
      <c r="BQ295" t="e">
        <f>Europe!823:823-"$F;@!0VB"</f>
        <v>#VALUE!</v>
      </c>
      <c r="BR295" t="e">
        <f>Europe!824:824-"$F;@!0VC"</f>
        <v>#VALUE!</v>
      </c>
      <c r="BS295" t="e">
        <f>Europe!825:825-"$F;@!0VD"</f>
        <v>#VALUE!</v>
      </c>
      <c r="BT295" t="e">
        <f>Europe!826:826-"$F;@!0VE"</f>
        <v>#VALUE!</v>
      </c>
      <c r="BU295" t="e">
        <f>Europe!827:827-"$F;@!0VF"</f>
        <v>#VALUE!</v>
      </c>
      <c r="BV295" t="e">
        <f>Europe!828:828-"$F;@!0VG"</f>
        <v>#VALUE!</v>
      </c>
      <c r="BW295" t="e">
        <f>Europe!829:829-"$F;@!0VH"</f>
        <v>#VALUE!</v>
      </c>
      <c r="BX295" t="e">
        <f>Europe!830:830-"$F;@!0VI"</f>
        <v>#VALUE!</v>
      </c>
      <c r="BY295" t="e">
        <f>Europe!831:831-"$F;@!0VJ"</f>
        <v>#VALUE!</v>
      </c>
      <c r="BZ295" t="e">
        <f>Europe!832:832-"$F;@!0VK"</f>
        <v>#VALUE!</v>
      </c>
      <c r="CA295" t="e">
        <f>Europe!833:833-"$F;@!0VL"</f>
        <v>#VALUE!</v>
      </c>
      <c r="CB295" t="e">
        <f>Europe!834:834-"$F;@!0VM"</f>
        <v>#VALUE!</v>
      </c>
      <c r="CC295" t="e">
        <f>Europe!835:835-"$F;@!0VN"</f>
        <v>#VALUE!</v>
      </c>
      <c r="CD295" t="e">
        <f>Europe!836:836-"$F;@!0VO"</f>
        <v>#VALUE!</v>
      </c>
      <c r="CE295" t="e">
        <f>Europe!837:837-"$F;@!0VP"</f>
        <v>#VALUE!</v>
      </c>
      <c r="CF295" t="e">
        <f>Europe!838:838-"$F;@!0VQ"</f>
        <v>#VALUE!</v>
      </c>
      <c r="CG295" t="e">
        <f>Europe!839:839-"$F;@!0VR"</f>
        <v>#VALUE!</v>
      </c>
      <c r="CH295" t="e">
        <f>Europe!840:840-"$F;@!0VS"</f>
        <v>#VALUE!</v>
      </c>
      <c r="CI295" t="e">
        <f>Europe!841:841-"$F;@!0VT"</f>
        <v>#VALUE!</v>
      </c>
      <c r="CJ295" t="e">
        <f>Europe!842:842-"$F;@!0VU"</f>
        <v>#VALUE!</v>
      </c>
      <c r="CK295" t="e">
        <f>Europe!843:843-"$F;@!0VV"</f>
        <v>#VALUE!</v>
      </c>
      <c r="CL295" t="e">
        <f>Europe!844:844-"$F;@!0VW"</f>
        <v>#VALUE!</v>
      </c>
      <c r="CM295" t="e">
        <f>Europe!845:845-"$F;@!0VX"</f>
        <v>#VALUE!</v>
      </c>
      <c r="CN295" t="e">
        <f>Europe!846:846-"$F;@!0VY"</f>
        <v>#VALUE!</v>
      </c>
      <c r="CO295" t="e">
        <f>Europe!847:847-"$F;@!0VZ"</f>
        <v>#VALUE!</v>
      </c>
      <c r="CP295" t="e">
        <f>Europe!848:848-"$F;@!0V["</f>
        <v>#VALUE!</v>
      </c>
      <c r="CQ295" t="e">
        <f>Europe!849:849-"$F;@!0V\"</f>
        <v>#VALUE!</v>
      </c>
      <c r="CR295" t="e">
        <f>Europe!850:850-"$F;@!0V]"</f>
        <v>#VALUE!</v>
      </c>
      <c r="CS295" t="e">
        <f>Europe!851:851-"$F;@!0V^"</f>
        <v>#VALUE!</v>
      </c>
      <c r="CT295" t="e">
        <f>Europe!852:852-"$F;@!0V_"</f>
        <v>#VALUE!</v>
      </c>
      <c r="CU295" t="e">
        <f>Europe!853:853-"$F;@!0V`"</f>
        <v>#VALUE!</v>
      </c>
      <c r="CV295" t="e">
        <f>Europe!854:854-"$F;@!0Va"</f>
        <v>#VALUE!</v>
      </c>
      <c r="CW295" t="e">
        <f>Europe!855:855-"$F;@!0Vb"</f>
        <v>#VALUE!</v>
      </c>
      <c r="CX295" t="e">
        <f>Europe!856:856-"$F;@!0Vc"</f>
        <v>#VALUE!</v>
      </c>
      <c r="CY295" t="e">
        <f>Europe!857:857-"$F;@!0Vd"</f>
        <v>#VALUE!</v>
      </c>
      <c r="CZ295" t="e">
        <f>Europe!858:858-"$F;@!0Ve"</f>
        <v>#VALUE!</v>
      </c>
      <c r="DA295" t="e">
        <f>Europe!859:859-"$F;@!0Vf"</f>
        <v>#VALUE!</v>
      </c>
      <c r="DB295" t="e">
        <f>Europe!860:860-"$F;@!0Vg"</f>
        <v>#VALUE!</v>
      </c>
      <c r="DC295" t="e">
        <f>Europe!861:861-"$F;@!0Vh"</f>
        <v>#VALUE!</v>
      </c>
      <c r="DD295" t="e">
        <f>Europe!862:862-"$F;@!0Vi"</f>
        <v>#VALUE!</v>
      </c>
      <c r="DE295" t="e">
        <f>Europe!863:863-"$F;@!0Vj"</f>
        <v>#VALUE!</v>
      </c>
      <c r="DF295" t="e">
        <f>Europe!864:864-"$F;@!0Vk"</f>
        <v>#VALUE!</v>
      </c>
      <c r="DG295" t="e">
        <f>Europe!865:865-"$F;@!0Vl"</f>
        <v>#VALUE!</v>
      </c>
      <c r="DH295" t="e">
        <f>Europe!866:866-"$F;@!0Vm"</f>
        <v>#VALUE!</v>
      </c>
      <c r="DI295" t="e">
        <f>Europe!867:867-"$F;@!0Vn"</f>
        <v>#VALUE!</v>
      </c>
      <c r="DJ295" t="e">
        <f>Europe!868:868-"$F;@!0Vo"</f>
        <v>#VALUE!</v>
      </c>
      <c r="DK295" t="e">
        <f>Europe!869:869-"$F;@!0Vp"</f>
        <v>#VALUE!</v>
      </c>
      <c r="DL295" t="e">
        <f>Europe!870:870-"$F;@!0Vq"</f>
        <v>#VALUE!</v>
      </c>
      <c r="DM295" t="e">
        <f>Europe!871:871-"$F;@!0Vr"</f>
        <v>#VALUE!</v>
      </c>
      <c r="DN295" t="e">
        <f>Europe!872:872-"$F;@!0Vs"</f>
        <v>#VALUE!</v>
      </c>
      <c r="DO295" t="e">
        <f>Europe!873:873-"$F;@!0Vt"</f>
        <v>#VALUE!</v>
      </c>
      <c r="DP295" t="e">
        <f>Europe!874:874-"$F;@!0Vu"</f>
        <v>#VALUE!</v>
      </c>
      <c r="DQ295" t="e">
        <f>Europe!875:875-"$F;@!0Vv"</f>
        <v>#VALUE!</v>
      </c>
      <c r="DR295" t="e">
        <f>Europe!876:876-"$F;@!0Vw"</f>
        <v>#VALUE!</v>
      </c>
      <c r="DS295" t="e">
        <f>Europe!877:877-"$F;@!0Vx"</f>
        <v>#VALUE!</v>
      </c>
      <c r="DT295" t="e">
        <f>Europe!878:878-"$F;@!0Vy"</f>
        <v>#VALUE!</v>
      </c>
      <c r="DU295" t="e">
        <f>Europe!879:879-"$F;@!0Vz"</f>
        <v>#VALUE!</v>
      </c>
      <c r="DV295" t="e">
        <f>Europe!880:880-"$F;@!0V{"</f>
        <v>#VALUE!</v>
      </c>
      <c r="DW295" t="e">
        <f>Europe!881:881-"$F;@!0V|"</f>
        <v>#VALUE!</v>
      </c>
      <c r="DX295" t="e">
        <f>Europe!882:882-"$F;@!0V}"</f>
        <v>#VALUE!</v>
      </c>
      <c r="DY295" t="e">
        <f>Europe!883:883-"$F;@!0V~"</f>
        <v>#VALUE!</v>
      </c>
      <c r="DZ295" t="e">
        <f>Europe!884:884-"$F;@!0W#"</f>
        <v>#VALUE!</v>
      </c>
      <c r="EA295" t="e">
        <f>Europe!885:885-"$F;@!0W$"</f>
        <v>#VALUE!</v>
      </c>
      <c r="EB295" t="e">
        <f>Europe!886:886-"$F;@!0W%"</f>
        <v>#VALUE!</v>
      </c>
      <c r="EC295" t="e">
        <f>Europe!887:887-"$F;@!0W&amp;"</f>
        <v>#VALUE!</v>
      </c>
      <c r="ED295" t="e">
        <f>Europe!888:888-"$F;@!0W'"</f>
        <v>#VALUE!</v>
      </c>
      <c r="EE295" t="e">
        <f>Europe!889:889-"$F;@!0W("</f>
        <v>#VALUE!</v>
      </c>
      <c r="EF295" t="e">
        <f>Europe!890:890-"$F;@!0W)"</f>
        <v>#VALUE!</v>
      </c>
      <c r="EG295" t="e">
        <f>Europe!891:891-"$F;@!0W."</f>
        <v>#VALUE!</v>
      </c>
      <c r="EH295" t="e">
        <f>Europe!892:892-"$F;@!0W/"</f>
        <v>#VALUE!</v>
      </c>
      <c r="EI295" t="e">
        <f>Europe!893:893-"$F;@!0W0"</f>
        <v>#VALUE!</v>
      </c>
      <c r="EJ295" t="e">
        <f>Europe!894:894-"$F;@!0W1"</f>
        <v>#VALUE!</v>
      </c>
      <c r="EK295" t="e">
        <f>Europe!895:895-"$F;@!0W2"</f>
        <v>#VALUE!</v>
      </c>
      <c r="EL295" t="e">
        <f>Europe!896:896-"$F;@!0W3"</f>
        <v>#VALUE!</v>
      </c>
      <c r="EM295" t="e">
        <f>Europe!897:897-"$F;@!0W4"</f>
        <v>#VALUE!</v>
      </c>
      <c r="EN295" t="e">
        <f>Europe!898:898-"$F;@!0W5"</f>
        <v>#VALUE!</v>
      </c>
      <c r="EO295" t="e">
        <f>Europe!899:899-"$F;@!0W6"</f>
        <v>#VALUE!</v>
      </c>
      <c r="EP295" t="e">
        <f>Europe!900:900-"$F;@!0W7"</f>
        <v>#VALUE!</v>
      </c>
      <c r="EQ295" t="e">
        <f>Europe!901:901-"$F;@!0W8"</f>
        <v>#VALUE!</v>
      </c>
      <c r="ER295" t="e">
        <f>Europe!902:902-"$F;@!0W9"</f>
        <v>#VALUE!</v>
      </c>
      <c r="ES295" t="e">
        <f>Europe!903:903-"$F;@!0W:"</f>
        <v>#VALUE!</v>
      </c>
      <c r="ET295" t="e">
        <f>Europe!904:904-"$F;@!0W;"</f>
        <v>#VALUE!</v>
      </c>
      <c r="EU295" t="e">
        <f>Europe!905:905-"$F;@!0W&lt;"</f>
        <v>#VALUE!</v>
      </c>
      <c r="EV295" t="e">
        <f>Europe!906:906-"$F;@!0W="</f>
        <v>#VALUE!</v>
      </c>
      <c r="EW295" t="e">
        <f>Europe!907:907-"$F;@!0W&gt;"</f>
        <v>#VALUE!</v>
      </c>
      <c r="EX295" t="e">
        <f>Europe!908:908-"$F;@!0W?"</f>
        <v>#VALUE!</v>
      </c>
      <c r="EY295" t="e">
        <f>Europe!909:909-"$F;@!0W@"</f>
        <v>#VALUE!</v>
      </c>
      <c r="EZ295" t="e">
        <f>Europe!910:910-"$F;@!0WA"</f>
        <v>#VALUE!</v>
      </c>
      <c r="FA295" t="e">
        <f>Europe!911:911-"$F;@!0WB"</f>
        <v>#VALUE!</v>
      </c>
      <c r="FB295" t="e">
        <f>Europe!912:912-"$F;@!0WC"</f>
        <v>#VALUE!</v>
      </c>
      <c r="FC295" t="e">
        <f>Europe!913:913-"$F;@!0WD"</f>
        <v>#VALUE!</v>
      </c>
      <c r="FD295" t="e">
        <f>Europe!914:914-"$F;@!0WE"</f>
        <v>#VALUE!</v>
      </c>
      <c r="FE295" t="e">
        <f>Europe!915:915-"$F;@!0WF"</f>
        <v>#VALUE!</v>
      </c>
      <c r="FF295" t="e">
        <f>Europe!916:916-"$F;@!0WG"</f>
        <v>#VALUE!</v>
      </c>
      <c r="FG295" t="e">
        <f>Europe!917:917-"$F;@!0WH"</f>
        <v>#VALUE!</v>
      </c>
      <c r="FH295" t="e">
        <f>Europe!918:918-"$F;@!0WI"</f>
        <v>#VALUE!</v>
      </c>
      <c r="FI295" t="e">
        <f>Europe!919:919-"$F;@!0WJ"</f>
        <v>#VALUE!</v>
      </c>
      <c r="FJ295" t="e">
        <f>Europe!920:920-"$F;@!0WK"</f>
        <v>#VALUE!</v>
      </c>
      <c r="FK295" t="e">
        <f>Europe!921:921-"$F;@!0WL"</f>
        <v>#VALUE!</v>
      </c>
      <c r="FL295" t="e">
        <f>Europe!922:922-"$F;@!0WM"</f>
        <v>#VALUE!</v>
      </c>
      <c r="FM295" t="e">
        <f>Europe!923:923-"$F;@!0WN"</f>
        <v>#VALUE!</v>
      </c>
      <c r="FN295" t="e">
        <f>Europe!924:924-"$F;@!0WO"</f>
        <v>#VALUE!</v>
      </c>
      <c r="FO295" t="e">
        <f>Europe!925:925-"$F;@!0WP"</f>
        <v>#VALUE!</v>
      </c>
      <c r="FP295" t="e">
        <f>Europe!926:926-"$F;@!0WQ"</f>
        <v>#VALUE!</v>
      </c>
      <c r="FQ295" t="e">
        <f>Europe!927:927-"$F;@!0WR"</f>
        <v>#VALUE!</v>
      </c>
      <c r="FR295" t="e">
        <f>Europe!928:928-"$F;@!0WS"</f>
        <v>#VALUE!</v>
      </c>
      <c r="FS295" t="e">
        <f>Europe!929:929-"$F;@!0WT"</f>
        <v>#VALUE!</v>
      </c>
      <c r="FT295" t="e">
        <f>Europe!930:930-"$F;@!0WU"</f>
        <v>#VALUE!</v>
      </c>
      <c r="FU295" t="e">
        <f>Europe!931:931-"$F;@!0WV"</f>
        <v>#VALUE!</v>
      </c>
      <c r="FV295" t="e">
        <f>Europe!932:932-"$F;@!0WW"</f>
        <v>#VALUE!</v>
      </c>
      <c r="FW295" t="e">
        <f>Europe!933:933-"$F;@!0WX"</f>
        <v>#VALUE!</v>
      </c>
      <c r="FX295" t="e">
        <f>Europe!934:934-"$F;@!0WY"</f>
        <v>#VALUE!</v>
      </c>
      <c r="FY295" t="e">
        <f>Europe!935:935-"$F;@!0WZ"</f>
        <v>#VALUE!</v>
      </c>
      <c r="FZ295" t="e">
        <f>Europe!936:936-"$F;@!0W["</f>
        <v>#VALUE!</v>
      </c>
      <c r="GA295" t="e">
        <f>Europe!937:937-"$F;@!0W\"</f>
        <v>#VALUE!</v>
      </c>
      <c r="GB295" t="e">
        <f>Europe!938:938-"$F;@!0W]"</f>
        <v>#VALUE!</v>
      </c>
      <c r="GC295" t="e">
        <f>Europe!939:939-"$F;@!0W^"</f>
        <v>#VALUE!</v>
      </c>
      <c r="GD295" t="e">
        <f>Europe!940:940-"$F;@!0W_"</f>
        <v>#VALUE!</v>
      </c>
      <c r="GE295" t="e">
        <f>Europe!941:941-"$F;@!0W`"</f>
        <v>#VALUE!</v>
      </c>
      <c r="GF295" t="e">
        <f>Europe!942:942-"$F;@!0Wa"</f>
        <v>#VALUE!</v>
      </c>
      <c r="GG295" t="e">
        <f>Europe!943:943-"$F;@!0Wb"</f>
        <v>#VALUE!</v>
      </c>
      <c r="GH295" t="e">
        <f>Europe!944:944-"$F;@!0Wc"</f>
        <v>#VALUE!</v>
      </c>
      <c r="GI295" t="e">
        <f>Europe!945:945-"$F;@!0Wd"</f>
        <v>#VALUE!</v>
      </c>
      <c r="GJ295" t="e">
        <f>Europe!946:946-"$F;@!0We"</f>
        <v>#VALUE!</v>
      </c>
      <c r="GK295" t="e">
        <f>Europe!947:947-"$F;@!0Wf"</f>
        <v>#VALUE!</v>
      </c>
      <c r="GL295" t="e">
        <f>Europe!948:948-"$F;@!0Wg"</f>
        <v>#VALUE!</v>
      </c>
      <c r="GM295" t="e">
        <f>Europe!949:949-"$F;@!0Wh"</f>
        <v>#VALUE!</v>
      </c>
      <c r="GN295" t="e">
        <f>Europe!950:950-"$F;@!0Wi"</f>
        <v>#VALUE!</v>
      </c>
      <c r="GO295" t="e">
        <f>Europe!951:951-"$F;@!0Wj"</f>
        <v>#VALUE!</v>
      </c>
      <c r="GP295" t="e">
        <f>Europe!952:952-"$F;@!0Wk"</f>
        <v>#VALUE!</v>
      </c>
      <c r="GQ295" t="e">
        <f>Europe!953:953-"$F;@!0Wl"</f>
        <v>#VALUE!</v>
      </c>
      <c r="GR295" t="e">
        <f>Europe!954:954-"$F;@!0Wm"</f>
        <v>#VALUE!</v>
      </c>
      <c r="GS295" t="e">
        <f>Europe!955:955-"$F;@!0Wn"</f>
        <v>#VALUE!</v>
      </c>
      <c r="GT295" t="e">
        <f>Europe!956:956-"$F;@!0Wo"</f>
        <v>#VALUE!</v>
      </c>
      <c r="GU295" t="e">
        <f>Europe!957:957-"$F;@!0Wp"</f>
        <v>#VALUE!</v>
      </c>
      <c r="GV295" t="e">
        <f>Europe!958:958-"$F;@!0Wq"</f>
        <v>#VALUE!</v>
      </c>
      <c r="GW295" t="e">
        <f>Europe!959:959-"$F;@!0Wr"</f>
        <v>#VALUE!</v>
      </c>
      <c r="GX295" t="e">
        <f>Europe!960:960-"$F;@!0Ws"</f>
        <v>#VALUE!</v>
      </c>
      <c r="GY295" t="e">
        <f>Europe!961:961-"$F;@!0Wt"</f>
        <v>#VALUE!</v>
      </c>
      <c r="GZ295" t="e">
        <f>Europe!962:962-"$F;@!0Wu"</f>
        <v>#VALUE!</v>
      </c>
      <c r="HA295" t="e">
        <f>Europe!963:963-"$F;@!0Wv"</f>
        <v>#VALUE!</v>
      </c>
      <c r="HB295" t="e">
        <f>Europe!964:964-"$F;@!0Ww"</f>
        <v>#VALUE!</v>
      </c>
      <c r="HC295" t="e">
        <f>Europe!965:965-"$F;@!0Wx"</f>
        <v>#VALUE!</v>
      </c>
      <c r="HD295" t="e">
        <f>Europe!966:966-"$F;@!0Wy"</f>
        <v>#VALUE!</v>
      </c>
      <c r="HE295" t="e">
        <f>Europe!967:967-"$F;@!0Wz"</f>
        <v>#VALUE!</v>
      </c>
      <c r="HF295" t="e">
        <f>Europe!968:968-"$F;@!0W{"</f>
        <v>#VALUE!</v>
      </c>
      <c r="HG295" t="e">
        <f>Europe!969:969-"$F;@!0W|"</f>
        <v>#VALUE!</v>
      </c>
      <c r="HH295" t="e">
        <f>Europe!970:970-"$F;@!0W}"</f>
        <v>#VALUE!</v>
      </c>
      <c r="HI295" t="e">
        <f>Europe!971:971-"$F;@!0W~"</f>
        <v>#VALUE!</v>
      </c>
      <c r="HJ295" t="e">
        <f>Europe!972:972-"$F;@!0X#"</f>
        <v>#VALUE!</v>
      </c>
      <c r="HK295" t="e">
        <f>Europe!973:973-"$F;@!0X$"</f>
        <v>#VALUE!</v>
      </c>
      <c r="HL295" t="e">
        <f>Europe!974:974-"$F;@!0X%"</f>
        <v>#VALUE!</v>
      </c>
      <c r="HM295" t="e">
        <f>Europe!975:975-"$F;@!0X&amp;"</f>
        <v>#VALUE!</v>
      </c>
      <c r="HN295" t="e">
        <f>Europe!976:976-"$F;@!0X'"</f>
        <v>#VALUE!</v>
      </c>
      <c r="HO295" t="e">
        <f>Europe!977:977-"$F;@!0X("</f>
        <v>#VALUE!</v>
      </c>
      <c r="HP295" t="e">
        <f>Europe!978:978-"$F;@!0X)"</f>
        <v>#VALUE!</v>
      </c>
      <c r="HQ295" t="e">
        <f>Europe!979:979-"$F;@!0X."</f>
        <v>#VALUE!</v>
      </c>
      <c r="HR295" t="e">
        <f>Europe!980:980-"$F;@!0X/"</f>
        <v>#VALUE!</v>
      </c>
      <c r="HS295" t="e">
        <f>Europe!981:981-"$F;@!0X0"</f>
        <v>#VALUE!</v>
      </c>
      <c r="HT295" t="e">
        <f>Europe!982:982-"$F;@!0X1"</f>
        <v>#VALUE!</v>
      </c>
      <c r="HU295" t="e">
        <f>Europe!983:983-"$F;@!0X2"</f>
        <v>#VALUE!</v>
      </c>
      <c r="HV295" t="e">
        <f>Europe!984:984-"$F;@!0X3"</f>
        <v>#VALUE!</v>
      </c>
      <c r="HW295" t="e">
        <f>Europe!985:985-"$F;@!0X4"</f>
        <v>#VALUE!</v>
      </c>
      <c r="HX295" t="e">
        <f>Europe!986:986-"$F;@!0X5"</f>
        <v>#VALUE!</v>
      </c>
      <c r="HY295" t="e">
        <f>Europe!987:987-"$F;@!0X6"</f>
        <v>#VALUE!</v>
      </c>
      <c r="HZ295" t="e">
        <f>Europe!988:988-"$F;@!0X7"</f>
        <v>#VALUE!</v>
      </c>
      <c r="IA295" t="e">
        <f>Europe!989:989-"$F;@!0X8"</f>
        <v>#VALUE!</v>
      </c>
      <c r="IB295" t="e">
        <f>Europe!990:990-"$F;@!0X9"</f>
        <v>#VALUE!</v>
      </c>
      <c r="IC295" t="e">
        <f>Europe!991:991-"$F;@!0X:"</f>
        <v>#VALUE!</v>
      </c>
      <c r="ID295" t="e">
        <f>Europe!992:992-"$F;@!0X;"</f>
        <v>#VALUE!</v>
      </c>
      <c r="IE295" t="e">
        <f>Europe!993:993-"$F;@!0X&lt;"</f>
        <v>#VALUE!</v>
      </c>
      <c r="IF295" t="e">
        <f>Europe!994:994-"$F;@!0X="</f>
        <v>#VALUE!</v>
      </c>
      <c r="IG295" t="e">
        <f>Europe!995:995-"$F;@!0X&gt;"</f>
        <v>#VALUE!</v>
      </c>
      <c r="IH295" t="e">
        <f>Europe!996:996-"$F;@!0X?"</f>
        <v>#VALUE!</v>
      </c>
      <c r="II295" t="e">
        <f>Europe!997:997-"$F;@!0X@"</f>
        <v>#VALUE!</v>
      </c>
      <c r="IJ295" t="e">
        <f>Europe!998:998-"$F;@!0XA"</f>
        <v>#VALUE!</v>
      </c>
      <c r="IK295" t="e">
        <f>Europe!999:999-"$F;@!0XB"</f>
        <v>#VALUE!</v>
      </c>
      <c r="IL295" t="e">
        <f>Europe!1000:1000-"$F;@!0XC"</f>
        <v>#VALUE!</v>
      </c>
      <c r="IM295" t="e">
        <f>Europe!1001:1001-"$F;@!0XD"</f>
        <v>#VALUE!</v>
      </c>
      <c r="IN295" t="e">
        <f>Europe!1002:1002-"$F;@!0XE"</f>
        <v>#VALUE!</v>
      </c>
      <c r="IO295" t="e">
        <f>Europe!1003:1003-"$F;@!0XF"</f>
        <v>#VALUE!</v>
      </c>
      <c r="IP295" t="e">
        <f>Europe!1004:1004-"$F;@!0XG"</f>
        <v>#VALUE!</v>
      </c>
      <c r="IQ295" t="e">
        <f>Europe!1005:1005-"$F;@!0XH"</f>
        <v>#VALUE!</v>
      </c>
      <c r="IR295" t="e">
        <f>Europe!1006:1006-"$F;@!0XI"</f>
        <v>#VALUE!</v>
      </c>
      <c r="IS295" t="e">
        <f>Europe!1007:1007-"$F;@!0XJ"</f>
        <v>#VALUE!</v>
      </c>
      <c r="IT295" t="e">
        <f>Europe!1008:1008-"$F;@!0XK"</f>
        <v>#VALUE!</v>
      </c>
      <c r="IU295" t="e">
        <f>Europe!1009:1009-"$F;@!0XL"</f>
        <v>#VALUE!</v>
      </c>
      <c r="IV295" t="e">
        <f>Europe!1010:1010-"$F;@!0XM"</f>
        <v>#VALUE!</v>
      </c>
    </row>
    <row r="296" spans="6:256" x14ac:dyDescent="0.35">
      <c r="F296" t="e">
        <f>Europe!1011:1011-"$F;@!0XN"</f>
        <v>#VALUE!</v>
      </c>
      <c r="G296" t="e">
        <f>Europe!1012:1012-"$F;@!0XO"</f>
        <v>#VALUE!</v>
      </c>
      <c r="H296" t="e">
        <f>Europe!1013:1013-"$F;@!0XP"</f>
        <v>#VALUE!</v>
      </c>
      <c r="I296" t="e">
        <f>Europe!1014:1014-"$F;@!0XQ"</f>
        <v>#VALUE!</v>
      </c>
      <c r="J296" t="e">
        <f>Europe!1015:1015-"$F;@!0XR"</f>
        <v>#VALUE!</v>
      </c>
      <c r="K296" t="e">
        <f>Europe!1016:1016-"$F;@!0XS"</f>
        <v>#VALUE!</v>
      </c>
      <c r="L296" t="e">
        <f>Europe!1017:1017-"$F;@!0XT"</f>
        <v>#VALUE!</v>
      </c>
      <c r="M296" t="e">
        <f>Europe!1018:1018-"$F;@!0XU"</f>
        <v>#VALUE!</v>
      </c>
      <c r="N296" t="e">
        <f>Europe!1019:1019-"$F;@!0XV"</f>
        <v>#VALUE!</v>
      </c>
      <c r="O296" t="e">
        <f>Europe!1020:1020-"$F;@!0XW"</f>
        <v>#VALUE!</v>
      </c>
      <c r="P296" t="e">
        <f>Europe!1021:1021-"$F;@!0XX"</f>
        <v>#VALUE!</v>
      </c>
      <c r="Q296" t="e">
        <f>Europe!1022:1022-"$F;@!0XY"</f>
        <v>#VALUE!</v>
      </c>
      <c r="R296" t="e">
        <f>Europe!1023:1023-"$F;@!0XZ"</f>
        <v>#VALUE!</v>
      </c>
      <c r="S296" t="e">
        <f>Europe!1024:1024-"$F;@!0X["</f>
        <v>#VALUE!</v>
      </c>
      <c r="T296" t="e">
        <f>Europe!1025:1025-"$F;@!0X\"</f>
        <v>#VALUE!</v>
      </c>
      <c r="U296" t="e">
        <f>Europe!1026:1026-"$F;@!0X]"</f>
        <v>#VALUE!</v>
      </c>
      <c r="V296" t="e">
        <f>Europe!1027:1027-"$F;@!0X^"</f>
        <v>#VALUE!</v>
      </c>
      <c r="W296" t="e">
        <f>Europe!1028:1028-"$F;@!0X_"</f>
        <v>#VALUE!</v>
      </c>
      <c r="X296" t="e">
        <f>Europe!1029:1029-"$F;@!0X`"</f>
        <v>#VALUE!</v>
      </c>
      <c r="Y296" t="e">
        <f>Europe!1030:1030-"$F;@!0Xa"</f>
        <v>#VALUE!</v>
      </c>
      <c r="Z296" t="e">
        <f>Europe!1031:1031-"$F;@!0Xb"</f>
        <v>#VALUE!</v>
      </c>
      <c r="AA296" t="e">
        <f>Europe!1032:1032-"$F;@!0Xc"</f>
        <v>#VALUE!</v>
      </c>
      <c r="AB296" t="e">
        <f>Europe!1033:1033-"$F;@!0Xd"</f>
        <v>#VALUE!</v>
      </c>
      <c r="AC296" t="e">
        <f>Europe!1034:1034-"$F;@!0Xe"</f>
        <v>#VALUE!</v>
      </c>
      <c r="AD296" t="e">
        <f>Europe!1035:1035-"$F;@!0Xf"</f>
        <v>#VALUE!</v>
      </c>
      <c r="AE296" t="e">
        <f>Europe!1036:1036-"$F;@!0Xg"</f>
        <v>#VALUE!</v>
      </c>
      <c r="AF296" t="e">
        <f>Europe!1037:1037-"$F;@!0Xh"</f>
        <v>#VALUE!</v>
      </c>
      <c r="AG296" t="e">
        <f>Europe!1038:1038-"$F;@!0Xi"</f>
        <v>#VALUE!</v>
      </c>
      <c r="AH296" t="e">
        <f>Europe!1039:1039-"$F;@!0Xj"</f>
        <v>#VALUE!</v>
      </c>
      <c r="AI296" t="e">
        <f>Europe!1040:1040-"$F;@!0Xk"</f>
        <v>#VALUE!</v>
      </c>
      <c r="AJ296" t="e">
        <f>Europe!1041:1041-"$F;@!0Xl"</f>
        <v>#VALUE!</v>
      </c>
      <c r="AK296" t="e">
        <f>Europe!1042:1042-"$F;@!0Xm"</f>
        <v>#VALUE!</v>
      </c>
      <c r="AL296" t="e">
        <f>Europe!1043:1043-"$F;@!0Xn"</f>
        <v>#VALUE!</v>
      </c>
      <c r="AM296" t="e">
        <f>Europe!1044:1044-"$F;@!0Xo"</f>
        <v>#VALUE!</v>
      </c>
      <c r="AN296" t="e">
        <f>Europe!1045:1045-"$F;@!0Xp"</f>
        <v>#VALUE!</v>
      </c>
      <c r="AO296" t="e">
        <f>Europe!1046:1046-"$F;@!0Xq"</f>
        <v>#VALUE!</v>
      </c>
      <c r="AP296" t="e">
        <f>Europe!1047:1047-"$F;@!0Xr"</f>
        <v>#VALUE!</v>
      </c>
      <c r="AQ296" t="e">
        <f>Europe!1048:1048-"$F;@!0Xs"</f>
        <v>#VALUE!</v>
      </c>
      <c r="AR296" t="e">
        <f>Europe!1049:1049-"$F;@!0Xt"</f>
        <v>#VALUE!</v>
      </c>
      <c r="AS296" t="e">
        <f>Europe!1050:1050-"$F;@!0Xu"</f>
        <v>#VALUE!</v>
      </c>
      <c r="AT296" t="e">
        <f>Europe!1051:1051-"$F;@!0Xv"</f>
        <v>#VALUE!</v>
      </c>
      <c r="AU296" t="e">
        <f>Europe!1052:1052-"$F;@!0Xw"</f>
        <v>#VALUE!</v>
      </c>
      <c r="AV296" t="e">
        <f>Europe!1053:1053-"$F;@!0Xx"</f>
        <v>#VALUE!</v>
      </c>
      <c r="AW296" t="e">
        <f>Europe!1054:1054-"$F;@!0Xy"</f>
        <v>#VALUE!</v>
      </c>
      <c r="AX296" t="e">
        <f>Europe!1055:1055-"$F;@!0Xz"</f>
        <v>#VALUE!</v>
      </c>
      <c r="AY296" t="e">
        <f>Europe!1056:1056-"$F;@!0X{"</f>
        <v>#VALUE!</v>
      </c>
      <c r="AZ296" t="e">
        <f>Europe!1057:1057-"$F;@!0X|"</f>
        <v>#VALUE!</v>
      </c>
      <c r="BA296" t="e">
        <f>Europe!1058:1058-"$F;@!0X}"</f>
        <v>#VALUE!</v>
      </c>
      <c r="BB296" t="e">
        <f>Europe!1059:1059-"$F;@!0X~"</f>
        <v>#VALUE!</v>
      </c>
      <c r="BC296" t="e">
        <f>Europe!1060:1060-"$F;@!0Y#"</f>
        <v>#VALUE!</v>
      </c>
      <c r="BD296" t="e">
        <f>Europe!1061:1061-"$F;@!0Y$"</f>
        <v>#VALUE!</v>
      </c>
      <c r="BE296" t="e">
        <f>Europe!1062:1062-"$F;@!0Y%"</f>
        <v>#VALUE!</v>
      </c>
      <c r="BF296" t="e">
        <f>Europe!1063:1063-"$F;@!0Y&amp;"</f>
        <v>#VALUE!</v>
      </c>
      <c r="BG296" t="e">
        <f>Europe!1064:1064-"$F;@!0Y'"</f>
        <v>#VALUE!</v>
      </c>
      <c r="BH296" t="e">
        <f>Europe!1065:1065-"$F;@!0Y("</f>
        <v>#VALUE!</v>
      </c>
      <c r="BI296" t="e">
        <f>Europe!1066:1066-"$F;@!0Y)"</f>
        <v>#VALUE!</v>
      </c>
      <c r="BJ296" t="e">
        <f>Europe!1067:1067-"$F;@!0Y."</f>
        <v>#VALUE!</v>
      </c>
      <c r="BK296" t="e">
        <f>Europe!1068:1068-"$F;@!0Y/"</f>
        <v>#VALUE!</v>
      </c>
      <c r="BL296" t="e">
        <f>Europe!1069:1069-"$F;@!0Y0"</f>
        <v>#VALUE!</v>
      </c>
      <c r="BM296" t="e">
        <f>Europe!1070:1070-"$F;@!0Y1"</f>
        <v>#VALUE!</v>
      </c>
      <c r="BN296" t="e">
        <f>Europe!1071:1071-"$F;@!0Y2"</f>
        <v>#VALUE!</v>
      </c>
      <c r="BO296" t="e">
        <f>Europe!1072:1072-"$F;@!0Y3"</f>
        <v>#VALUE!</v>
      </c>
      <c r="BP296" t="e">
        <f>Europe!1073:1073-"$F;@!0Y4"</f>
        <v>#VALUE!</v>
      </c>
      <c r="BQ296" t="e">
        <f>Europe!1074:1074-"$F;@!0Y5"</f>
        <v>#VALUE!</v>
      </c>
      <c r="BR296" t="e">
        <f>Europe!1075:1075-"$F;@!0Y6"</f>
        <v>#VALUE!</v>
      </c>
      <c r="BS296" t="e">
        <f>Europe!1076:1076-"$F;@!0Y7"</f>
        <v>#VALUE!</v>
      </c>
      <c r="BT296" t="e">
        <f>Europe!1077:1077-"$F;@!0Y8"</f>
        <v>#VALUE!</v>
      </c>
      <c r="BU296" t="e">
        <f>Europe!1078:1078-"$F;@!0Y9"</f>
        <v>#VALUE!</v>
      </c>
      <c r="BV296" t="e">
        <f>Europe!1079:1079-"$F;@!0Y:"</f>
        <v>#VALUE!</v>
      </c>
      <c r="BW296" t="e">
        <f>Europe!1080:1080-"$F;@!0Y;"</f>
        <v>#VALUE!</v>
      </c>
      <c r="BX296" t="e">
        <f>Europe!1081:1081-"$F;@!0Y&lt;"</f>
        <v>#VALUE!</v>
      </c>
      <c r="BY296" t="e">
        <f>Europe!1082:1082-"$F;@!0Y="</f>
        <v>#VALUE!</v>
      </c>
      <c r="BZ296" t="e">
        <f>Europe!1083:1083-"$F;@!0Y&gt;"</f>
        <v>#VALUE!</v>
      </c>
      <c r="CA296" t="e">
        <f>Europe!1084:1084-"$F;@!0Y?"</f>
        <v>#VALUE!</v>
      </c>
      <c r="CB296" t="e">
        <f>Europe!1085:1085-"$F;@!0Y@"</f>
        <v>#VALUE!</v>
      </c>
      <c r="CC296" t="e">
        <f>Europe!1086:1086-"$F;@!0YA"</f>
        <v>#VALUE!</v>
      </c>
      <c r="CD296" t="e">
        <f>Europe!1087:1087-"$F;@!0YB"</f>
        <v>#VALUE!</v>
      </c>
      <c r="CE296" t="e">
        <f>Europe!1088:1088-"$F;@!0YC"</f>
        <v>#VALUE!</v>
      </c>
      <c r="CF296" t="e">
        <f>Europe!1089:1089-"$F;@!0YD"</f>
        <v>#VALUE!</v>
      </c>
      <c r="CG296" t="e">
        <f>Europe!1090:1090-"$F;@!0YE"</f>
        <v>#VALUE!</v>
      </c>
      <c r="CH296" t="e">
        <f>Europe!1091:1091-"$F;@!0YF"</f>
        <v>#VALUE!</v>
      </c>
      <c r="CI296" t="e">
        <f>Europe!1092:1092-"$F;@!0YG"</f>
        <v>#VALUE!</v>
      </c>
      <c r="CJ296" t="e">
        <f>Europe!1093:1093-"$F;@!0YH"</f>
        <v>#VALUE!</v>
      </c>
      <c r="CK296" t="e">
        <f>Europe!1094:1094-"$F;@!0YI"</f>
        <v>#VALUE!</v>
      </c>
      <c r="CL296" t="e">
        <f>Europe!1095:1095-"$F;@!0YJ"</f>
        <v>#VALUE!</v>
      </c>
      <c r="CM296" t="e">
        <f>Europe!1096:1096-"$F;@!0YK"</f>
        <v>#VALUE!</v>
      </c>
      <c r="CN296" t="e">
        <f>Europe!1097:1097-"$F;@!0YL"</f>
        <v>#VALUE!</v>
      </c>
      <c r="CO296" t="e">
        <f>Europe!1098:1098-"$F;@!0YM"</f>
        <v>#VALUE!</v>
      </c>
      <c r="CP296" t="e">
        <f>Europe!1099:1099-"$F;@!0YN"</f>
        <v>#VALUE!</v>
      </c>
      <c r="CQ296" t="e">
        <f>Europe!1100:1100-"$F;@!0YO"</f>
        <v>#VALUE!</v>
      </c>
      <c r="CR296" t="e">
        <f>Europe!1101:1101-"$F;@!0YP"</f>
        <v>#VALUE!</v>
      </c>
      <c r="CS296" t="e">
        <f>Europe!1102:1102-"$F;@!0YQ"</f>
        <v>#VALUE!</v>
      </c>
      <c r="CT296" t="e">
        <f>Europe!1103:1103-"$F;@!0YR"</f>
        <v>#VALUE!</v>
      </c>
      <c r="CU296" t="e">
        <f>Europe!1104:1104-"$F;@!0YS"</f>
        <v>#VALUE!</v>
      </c>
      <c r="CV296" t="e">
        <f>Europe!1105:1105-"$F;@!0YT"</f>
        <v>#VALUE!</v>
      </c>
      <c r="CW296" t="e">
        <f>Europe!1106:1106-"$F;@!0YU"</f>
        <v>#VALUE!</v>
      </c>
      <c r="CX296" t="e">
        <f>Europe!1107:1107-"$F;@!0YV"</f>
        <v>#VALUE!</v>
      </c>
      <c r="CY296" t="e">
        <f>Europe!1108:1108-"$F;@!0YW"</f>
        <v>#VALUE!</v>
      </c>
      <c r="CZ296" t="e">
        <f>Europe!1109:1109-"$F;@!0YX"</f>
        <v>#VALUE!</v>
      </c>
      <c r="DA296" t="e">
        <f>Europe!1110:1110-"$F;@!0YY"</f>
        <v>#VALUE!</v>
      </c>
      <c r="DB296" t="e">
        <f>Europe!1111:1111-"$F;@!0YZ"</f>
        <v>#VALUE!</v>
      </c>
      <c r="DC296" t="e">
        <f>Europe!1112:1112-"$F;@!0Y["</f>
        <v>#VALUE!</v>
      </c>
      <c r="DD296" t="e">
        <f>Europe!1113:1113-"$F;@!0Y\"</f>
        <v>#VALUE!</v>
      </c>
      <c r="DE296" t="e">
        <f>Europe!1114:1114-"$F;@!0Y]"</f>
        <v>#VALUE!</v>
      </c>
      <c r="DF296" t="e">
        <f>Europe!1115:1115-"$F;@!0Y^"</f>
        <v>#VALUE!</v>
      </c>
      <c r="DG296" t="e">
        <f>Europe!1116:1116-"$F;@!0Y_"</f>
        <v>#VALUE!</v>
      </c>
      <c r="DH296" t="e">
        <f>Europe!1117:1117-"$F;@!0Y`"</f>
        <v>#VALUE!</v>
      </c>
      <c r="DI296" t="e">
        <f>Europe!1118:1118-"$F;@!0Ya"</f>
        <v>#VALUE!</v>
      </c>
      <c r="DJ296" t="e">
        <f>Europe!1119:1119-"$F;@!0Yb"</f>
        <v>#VALUE!</v>
      </c>
      <c r="DK296" t="e">
        <f>Europe!1120:1120-"$F;@!0Yc"</f>
        <v>#VALUE!</v>
      </c>
      <c r="DL296" t="e">
        <f>Europe!1121:1121-"$F;@!0Yd"</f>
        <v>#VALUE!</v>
      </c>
      <c r="DM296" t="e">
        <f>Europe!1122:1122-"$F;@!0Ye"</f>
        <v>#VALUE!</v>
      </c>
      <c r="DN296" t="e">
        <f>Europe!1123:1123-"$F;@!0Yf"</f>
        <v>#VALUE!</v>
      </c>
      <c r="DO296" t="e">
        <f>Europe!1124:1124-"$F;@!0Yg"</f>
        <v>#VALUE!</v>
      </c>
      <c r="DP296" t="e">
        <f>Europe!1125:1125-"$F;@!0Yh"</f>
        <v>#VALUE!</v>
      </c>
      <c r="DQ296" t="e">
        <f>Europe!1126:1126-"$F;@!0Yi"</f>
        <v>#VALUE!</v>
      </c>
      <c r="DR296" t="e">
        <f>Europe!1127:1127-"$F;@!0Yj"</f>
        <v>#VALUE!</v>
      </c>
      <c r="DS296" t="e">
        <f>Europe!1128:1128-"$F;@!0Yk"</f>
        <v>#VALUE!</v>
      </c>
      <c r="DT296" t="e">
        <f>Europe!1129:1129-"$F;@!0Yl"</f>
        <v>#VALUE!</v>
      </c>
      <c r="DU296" t="e">
        <f>Europe!1130:1130-"$F;@!0Ym"</f>
        <v>#VALUE!</v>
      </c>
      <c r="DV296" t="e">
        <f>Europe!1131:1131-"$F;@!0Yn"</f>
        <v>#VALUE!</v>
      </c>
      <c r="DW296" t="e">
        <f>Europe!1132:1132-"$F;@!0Yo"</f>
        <v>#VALUE!</v>
      </c>
      <c r="DX296" t="e">
        <f>Europe!1133:1133-"$F;@!0Yp"</f>
        <v>#VALUE!</v>
      </c>
      <c r="DY296" t="e">
        <f>Europe!1134:1134-"$F;@!0Yq"</f>
        <v>#VALUE!</v>
      </c>
      <c r="DZ296" t="e">
        <f>Europe!1135:1135-"$F;@!0Yr"</f>
        <v>#VALUE!</v>
      </c>
      <c r="EA296" t="e">
        <f>Europe!1136:1136-"$F;@!0Ys"</f>
        <v>#VALUE!</v>
      </c>
      <c r="EB296" t="e">
        <f>Europe!1137:1137-"$F;@!0Yt"</f>
        <v>#VALUE!</v>
      </c>
      <c r="EC296" t="e">
        <f>Europe!1138:1138-"$F;@!0Yu"</f>
        <v>#VALUE!</v>
      </c>
      <c r="ED296" t="e">
        <f>Europe!1139:1139-"$F;@!0Yv"</f>
        <v>#VALUE!</v>
      </c>
      <c r="EE296" t="e">
        <f>Europe!1140:1140-"$F;@!0Yw"</f>
        <v>#VALUE!</v>
      </c>
      <c r="EF296" t="e">
        <f>Europe!1141:1141-"$F;@!0Yx"</f>
        <v>#VALUE!</v>
      </c>
      <c r="EG296" t="e">
        <f>Europe!1142:1142-"$F;@!0Yy"</f>
        <v>#VALUE!</v>
      </c>
      <c r="EH296" t="e">
        <f>Europe!1143:1143-"$F;@!0Yz"</f>
        <v>#VALUE!</v>
      </c>
      <c r="EI296" t="e">
        <f>Europe!1144:1144-"$F;@!0Y{"</f>
        <v>#VALUE!</v>
      </c>
      <c r="EJ296" t="e">
        <f>Europe!1145:1145-"$F;@!0Y|"</f>
        <v>#VALUE!</v>
      </c>
      <c r="EK296" t="e">
        <f>Europe!1146:1146-"$F;@!0Y}"</f>
        <v>#VALUE!</v>
      </c>
      <c r="EL296" t="e">
        <f>Europe!1147:1147-"$F;@!0Y~"</f>
        <v>#VALUE!</v>
      </c>
      <c r="EM296" t="e">
        <f>Europe!1148:1148-"$F;@!0Z#"</f>
        <v>#VALUE!</v>
      </c>
      <c r="EN296" t="e">
        <f>Europe!1149:1149-"$F;@!0Z$"</f>
        <v>#VALUE!</v>
      </c>
      <c r="EO296" t="e">
        <f>Europe!1150:1150-"$F;@!0Z%"</f>
        <v>#VALUE!</v>
      </c>
      <c r="EP296" t="e">
        <f>Europe!1151:1151-"$F;@!0Z&amp;"</f>
        <v>#VALUE!</v>
      </c>
      <c r="EQ296" t="e">
        <f>Europe!1152:1152-"$F;@!0Z'"</f>
        <v>#VALUE!</v>
      </c>
      <c r="ER296" t="e">
        <f>Europe!1153:1153-"$F;@!0Z("</f>
        <v>#VALUE!</v>
      </c>
      <c r="ES296" t="e">
        <f>Europe!1154:1154-"$F;@!0Z)"</f>
        <v>#VALUE!</v>
      </c>
      <c r="ET296" t="e">
        <f>Europe!1155:1155-"$F;@!0Z."</f>
        <v>#VALUE!</v>
      </c>
      <c r="EU296" t="e">
        <f>Europe!1156:1156-"$F;@!0Z/"</f>
        <v>#VALUE!</v>
      </c>
      <c r="EV296" t="e">
        <f>Europe!1157:1157-"$F;@!0Z0"</f>
        <v>#VALUE!</v>
      </c>
      <c r="EW296" t="e">
        <f>Europe!1158:1158-"$F;@!0Z1"</f>
        <v>#VALUE!</v>
      </c>
      <c r="EX296" t="e">
        <f>Europe!1159:1159-"$F;@!0Z2"</f>
        <v>#VALUE!</v>
      </c>
      <c r="EY296" t="e">
        <f>Europe!1160:1160-"$F;@!0Z3"</f>
        <v>#VALUE!</v>
      </c>
      <c r="EZ296" t="e">
        <f>Europe!1161:1161-"$F;@!0Z4"</f>
        <v>#VALUE!</v>
      </c>
      <c r="FA296" t="e">
        <f>Europe!1162:1162-"$F;@!0Z5"</f>
        <v>#VALUE!</v>
      </c>
      <c r="FB296" t="e">
        <f>Europe!1163:1163-"$F;@!0Z6"</f>
        <v>#VALUE!</v>
      </c>
      <c r="FC296" t="e">
        <f>Europe!1164:1164-"$F;@!0Z7"</f>
        <v>#VALUE!</v>
      </c>
      <c r="FD296" t="e">
        <f>Europe!1165:1165-"$F;@!0Z8"</f>
        <v>#VALUE!</v>
      </c>
      <c r="FE296" t="e">
        <f>Europe!1166:1166-"$F;@!0Z9"</f>
        <v>#VALUE!</v>
      </c>
      <c r="FF296" t="e">
        <f>Europe!1167:1167-"$F;@!0Z:"</f>
        <v>#VALUE!</v>
      </c>
      <c r="FG296" t="e">
        <f>Europe!1168:1168-"$F;@!0Z;"</f>
        <v>#VALUE!</v>
      </c>
      <c r="FH296" t="e">
        <f>Europe!1169:1169-"$F;@!0Z&lt;"</f>
        <v>#VALUE!</v>
      </c>
      <c r="FI296" t="e">
        <f>Europe!1170:1170-"$F;@!0Z="</f>
        <v>#VALUE!</v>
      </c>
      <c r="FJ296" t="e">
        <f>Europe!1171:1171-"$F;@!0Z&gt;"</f>
        <v>#VALUE!</v>
      </c>
      <c r="FK296" t="e">
        <f>Europe!1172:1172-"$F;@!0Z?"</f>
        <v>#VALUE!</v>
      </c>
      <c r="FL296" t="e">
        <f>Europe!1173:1173-"$F;@!0Z@"</f>
        <v>#VALUE!</v>
      </c>
      <c r="FM296" t="e">
        <f>Europe!1174:1174-"$F;@!0ZA"</f>
        <v>#VALUE!</v>
      </c>
      <c r="FN296" t="e">
        <f>Europe!1175:1175-"$F;@!0ZB"</f>
        <v>#VALUE!</v>
      </c>
      <c r="FO296" t="e">
        <f>Europe!1176:1176-"$F;@!0ZC"</f>
        <v>#VALUE!</v>
      </c>
      <c r="FP296" t="e">
        <f>Europe!1177:1177-"$F;@!0ZD"</f>
        <v>#VALUE!</v>
      </c>
      <c r="FQ296" t="e">
        <f>Europe!1178:1178-"$F;@!0ZE"</f>
        <v>#VALUE!</v>
      </c>
      <c r="FR296" t="e">
        <f>Europe!1179:1179-"$F;@!0ZF"</f>
        <v>#VALUE!</v>
      </c>
      <c r="FS296" t="e">
        <f>Europe!1180:1180-"$F;@!0ZG"</f>
        <v>#VALUE!</v>
      </c>
      <c r="FT296" t="e">
        <f>Europe!1181:1181-"$F;@!0ZH"</f>
        <v>#VALUE!</v>
      </c>
      <c r="FU296" t="e">
        <f>Europe!1182:1182-"$F;@!0ZI"</f>
        <v>#VALUE!</v>
      </c>
      <c r="FV296" t="e">
        <f>Europe!1183:1183-"$F;@!0ZJ"</f>
        <v>#VALUE!</v>
      </c>
      <c r="FW296" t="e">
        <f>Europe!1184:1184-"$F;@!0ZK"</f>
        <v>#VALUE!</v>
      </c>
      <c r="FX296" t="e">
        <f>Europe!1185:1185-"$F;@!0ZL"</f>
        <v>#VALUE!</v>
      </c>
      <c r="FY296" t="e">
        <f>Europe!1186:1186-"$F;@!0ZM"</f>
        <v>#VALUE!</v>
      </c>
      <c r="FZ296" t="e">
        <f>Europe!1187:1187-"$F;@!0ZN"</f>
        <v>#VALUE!</v>
      </c>
      <c r="GA296" t="e">
        <f>Europe!1188:1188-"$F;@!0ZO"</f>
        <v>#VALUE!</v>
      </c>
      <c r="GB296" t="e">
        <f>Europe!1189:1189-"$F;@!0ZP"</f>
        <v>#VALUE!</v>
      </c>
      <c r="GC296" t="e">
        <f>Europe!1190:1190-"$F;@!0ZQ"</f>
        <v>#VALUE!</v>
      </c>
      <c r="GD296" t="e">
        <f>Europe!1191:1191-"$F;@!0ZR"</f>
        <v>#VALUE!</v>
      </c>
      <c r="GE296" t="e">
        <f>Europe!1192:1192-"$F;@!0ZS"</f>
        <v>#VALUE!</v>
      </c>
      <c r="GF296" t="e">
        <f>Europe!1193:1193-"$F;@!0ZT"</f>
        <v>#VALUE!</v>
      </c>
      <c r="GG296" t="e">
        <f>Europe!1194:1194-"$F;@!0ZU"</f>
        <v>#VALUE!</v>
      </c>
      <c r="GH296" t="e">
        <f>Europe!1195:1195-"$F;@!0ZV"</f>
        <v>#VALUE!</v>
      </c>
      <c r="GI296" t="e">
        <f>Europe!1196:1196-"$F;@!0ZW"</f>
        <v>#VALUE!</v>
      </c>
      <c r="GJ296" t="e">
        <f>Europe!1197:1197-"$F;@!0ZX"</f>
        <v>#VALUE!</v>
      </c>
      <c r="GK296" t="e">
        <f>Europe!1198:1198-"$F;@!0ZY"</f>
        <v>#VALUE!</v>
      </c>
      <c r="GL296" t="e">
        <f>Europe!1199:1199-"$F;@!0ZZ"</f>
        <v>#VALUE!</v>
      </c>
      <c r="GM296" t="e">
        <f>Europe!1200:1200-"$F;@!0Z["</f>
        <v>#VALUE!</v>
      </c>
      <c r="GN296" t="e">
        <f>Europe!1201:1201-"$F;@!0Z\"</f>
        <v>#VALUE!</v>
      </c>
      <c r="GO296" t="e">
        <f>Europe!1202:1202-"$F;@!0Z]"</f>
        <v>#VALUE!</v>
      </c>
      <c r="GP296" t="e">
        <f>Europe!1203:1203-"$F;@!0Z^"</f>
        <v>#VALUE!</v>
      </c>
      <c r="GQ296" t="e">
        <f>Europe!1204:1204-"$F;@!0Z_"</f>
        <v>#VALUE!</v>
      </c>
      <c r="GR296" t="e">
        <f>Europe!1205:1205-"$F;@!0Z`"</f>
        <v>#VALUE!</v>
      </c>
      <c r="GS296" t="e">
        <f>Europe!1206:1206-"$F;@!0Za"</f>
        <v>#VALUE!</v>
      </c>
      <c r="GT296" t="e">
        <f>Europe!1207:1207-"$F;@!0Zb"</f>
        <v>#VALUE!</v>
      </c>
      <c r="GU296" t="e">
        <f>Europe!1208:1208-"$F;@!0Zc"</f>
        <v>#VALUE!</v>
      </c>
      <c r="GV296" t="e">
        <f>Europe!1209:1209-"$F;@!0Zd"</f>
        <v>#VALUE!</v>
      </c>
      <c r="GW296" t="e">
        <f>Europe!1210:1210-"$F;@!0Ze"</f>
        <v>#VALUE!</v>
      </c>
      <c r="GX296" t="e">
        <f>Europe!1211:1211-"$F;@!0Zf"</f>
        <v>#VALUE!</v>
      </c>
      <c r="GY296" t="e">
        <f>Europe!1212:1212-"$F;@!0Zg"</f>
        <v>#VALUE!</v>
      </c>
      <c r="GZ296" t="e">
        <f>Europe!1213:1213-"$F;@!0Zh"</f>
        <v>#VALUE!</v>
      </c>
      <c r="HA296" t="e">
        <f>Europe!1214:1214-"$F;@!0Zi"</f>
        <v>#VALUE!</v>
      </c>
      <c r="HB296" t="e">
        <f>Europe!1215:1215-"$F;@!0Zj"</f>
        <v>#VALUE!</v>
      </c>
      <c r="HC296" t="e">
        <f>Europe!1216:1216-"$F;@!0Zk"</f>
        <v>#VALUE!</v>
      </c>
      <c r="HD296" t="e">
        <f>Europe!1217:1217-"$F;@!0Zl"</f>
        <v>#VALUE!</v>
      </c>
      <c r="HE296" t="e">
        <f>Europe!1218:1218-"$F;@!0Zm"</f>
        <v>#VALUE!</v>
      </c>
      <c r="HF296" t="e">
        <f>Europe!1219:1219-"$F;@!0Zn"</f>
        <v>#VALUE!</v>
      </c>
      <c r="HG296" t="e">
        <f>Europe!1220:1220-"$F;@!0Zo"</f>
        <v>#VALUE!</v>
      </c>
      <c r="HH296" t="e">
        <f>Europe!1221:1221-"$F;@!0Zp"</f>
        <v>#VALUE!</v>
      </c>
      <c r="HI296" t="e">
        <f>Europe!1222:1222-"$F;@!0Zq"</f>
        <v>#VALUE!</v>
      </c>
      <c r="HJ296" t="e">
        <f>Europe!1223:1223-"$F;@!0Zr"</f>
        <v>#VALUE!</v>
      </c>
      <c r="HK296" t="e">
        <f>Europe!1224:1224-"$F;@!0Zs"</f>
        <v>#VALUE!</v>
      </c>
      <c r="HL296" t="e">
        <f>Europe!1225:1225-"$F;@!0Zt"</f>
        <v>#VALUE!</v>
      </c>
      <c r="HM296" t="e">
        <f>Europe!1226:1226-"$F;@!0Zu"</f>
        <v>#VALUE!</v>
      </c>
      <c r="HN296" t="e">
        <f>Europe!1227:1227-"$F;@!0Zv"</f>
        <v>#VALUE!</v>
      </c>
      <c r="HO296" t="e">
        <f>Europe!1228:1228-"$F;@!0Zw"</f>
        <v>#VALUE!</v>
      </c>
      <c r="HP296" t="e">
        <f>Europe!1229:1229-"$F;@!0Zx"</f>
        <v>#VALUE!</v>
      </c>
      <c r="HQ296" t="e">
        <f>Europe!1230:1230-"$F;@!0Zy"</f>
        <v>#VALUE!</v>
      </c>
      <c r="HR296" t="e">
        <f>Europe!1231:1231-"$F;@!0Zz"</f>
        <v>#VALUE!</v>
      </c>
      <c r="HS296" t="e">
        <f>Europe!1232:1232-"$F;@!0Z{"</f>
        <v>#VALUE!</v>
      </c>
      <c r="HT296" t="e">
        <f>Europe!1233:1233-"$F;@!0Z|"</f>
        <v>#VALUE!</v>
      </c>
      <c r="HU296" t="e">
        <f>Europe!1234:1234-"$F;@!0Z}"</f>
        <v>#VALUE!</v>
      </c>
      <c r="HV296" t="e">
        <f>Europe!1235:1235-"$F;@!0Z~"</f>
        <v>#VALUE!</v>
      </c>
      <c r="HW296" t="e">
        <f>Europe!1236:1236-"$F;@!0[#"</f>
        <v>#VALUE!</v>
      </c>
      <c r="HX296" t="e">
        <f>Europe!1237:1237-"$F;@!0[$"</f>
        <v>#VALUE!</v>
      </c>
      <c r="HY296" t="e">
        <f>Europe!1238:1238-"$F;@!0[%"</f>
        <v>#VALUE!</v>
      </c>
      <c r="HZ296" t="e">
        <f>Europe!1239:1239-"$F;@!0[&amp;"</f>
        <v>#VALUE!</v>
      </c>
      <c r="IA296" t="e">
        <f>Europe!1240:1240-"$F;@!0['"</f>
        <v>#VALUE!</v>
      </c>
      <c r="IB296" t="e">
        <f>Europe!1241:1241-"$F;@!0[("</f>
        <v>#VALUE!</v>
      </c>
      <c r="IC296" t="e">
        <f>Europe!1242:1242-"$F;@!0[)"</f>
        <v>#VALUE!</v>
      </c>
      <c r="ID296" t="e">
        <f>Europe!1243:1243-"$F;@!0[."</f>
        <v>#VALUE!</v>
      </c>
      <c r="IE296" t="e">
        <f>Europe!1244:1244-"$F;@!0[/"</f>
        <v>#VALUE!</v>
      </c>
      <c r="IF296" t="e">
        <f>Europe!1245:1245-"$F;@!0[0"</f>
        <v>#VALUE!</v>
      </c>
      <c r="IG296" t="e">
        <f>Europe!1246:1246-"$F;@!0[1"</f>
        <v>#VALUE!</v>
      </c>
      <c r="IH296" t="e">
        <f>Europe!1247:1247-"$F;@!0[2"</f>
        <v>#VALUE!</v>
      </c>
      <c r="II296" t="e">
        <f>Europe!1248:1248-"$F;@!0[3"</f>
        <v>#VALUE!</v>
      </c>
      <c r="IJ296" t="e">
        <f>Europe!1249:1249-"$F;@!0[4"</f>
        <v>#VALUE!</v>
      </c>
      <c r="IK296" t="e">
        <f>Europe!1250:1250-"$F;@!0[5"</f>
        <v>#VALUE!</v>
      </c>
      <c r="IL296" t="e">
        <f>Europe!1251:1251-"$F;@!0[6"</f>
        <v>#VALUE!</v>
      </c>
      <c r="IM296" t="e">
        <f>Europe!1252:1252-"$F;@!0[7"</f>
        <v>#VALUE!</v>
      </c>
      <c r="IN296" t="e">
        <f>Europe!1253:1253-"$F;@!0[8"</f>
        <v>#VALUE!</v>
      </c>
      <c r="IO296" t="e">
        <f>Europe!1254:1254-"$F;@!0[9"</f>
        <v>#VALUE!</v>
      </c>
      <c r="IP296" t="e">
        <f>Europe!1255:1255-"$F;@!0[:"</f>
        <v>#VALUE!</v>
      </c>
      <c r="IQ296" t="e">
        <f>Europe!1256:1256-"$F;@!0[;"</f>
        <v>#VALUE!</v>
      </c>
      <c r="IR296" t="e">
        <f>Europe!1257:1257-"$F;@!0[&lt;"</f>
        <v>#VALUE!</v>
      </c>
      <c r="IS296" t="e">
        <f>Europe!1258:1258-"$F;@!0[="</f>
        <v>#VALUE!</v>
      </c>
      <c r="IT296" t="e">
        <f>Europe!1259:1259-"$F;@!0[&gt;"</f>
        <v>#VALUE!</v>
      </c>
      <c r="IU296" t="e">
        <f>Europe!1260:1260-"$F;@!0[?"</f>
        <v>#VALUE!</v>
      </c>
      <c r="IV296" t="e">
        <f>Europe!1261:1261-"$F;@!0[@"</f>
        <v>#VALUE!</v>
      </c>
    </row>
    <row r="297" spans="6:256" x14ac:dyDescent="0.35">
      <c r="F297" t="e">
        <f>Europe!1262:1262-"$F;@!0[A"</f>
        <v>#VALUE!</v>
      </c>
      <c r="G297" t="e">
        <f>Europe!1263:1263-"$F;@!0[B"</f>
        <v>#VALUE!</v>
      </c>
      <c r="H297" t="e">
        <f>Europe!1264:1264-"$F;@!0[C"</f>
        <v>#VALUE!</v>
      </c>
      <c r="I297" t="e">
        <f>Europe!1265:1265-"$F;@!0[D"</f>
        <v>#VALUE!</v>
      </c>
      <c r="J297" t="e">
        <f>Europe!1266:1266-"$F;@!0[E"</f>
        <v>#VALUE!</v>
      </c>
      <c r="K297" t="e">
        <f>Europe!1267:1267-"$F;@!0[F"</f>
        <v>#VALUE!</v>
      </c>
      <c r="L297" t="e">
        <f>Europe!1268:1268-"$F;@!0[G"</f>
        <v>#VALUE!</v>
      </c>
      <c r="M297" t="e">
        <f>Europe!1269:1269-"$F;@!0[H"</f>
        <v>#VALUE!</v>
      </c>
      <c r="N297" t="e">
        <f>Europe!1270:1270-"$F;@!0[I"</f>
        <v>#VALUE!</v>
      </c>
      <c r="O297" t="e">
        <f>Europe!1271:1271-"$F;@!0[J"</f>
        <v>#VALUE!</v>
      </c>
      <c r="P297" t="e">
        <f>Europe!1272:1272-"$F;@!0[K"</f>
        <v>#VALUE!</v>
      </c>
      <c r="Q297" t="e">
        <f>Europe!1273:1273-"$F;@!0[L"</f>
        <v>#VALUE!</v>
      </c>
      <c r="R297" t="e">
        <f>Europe!1274:1274-"$F;@!0[M"</f>
        <v>#VALUE!</v>
      </c>
      <c r="S297" t="e">
        <f>Europe!1275:1275-"$F;@!0[N"</f>
        <v>#VALUE!</v>
      </c>
      <c r="T297" t="e">
        <f>Europe!1276:1276-"$F;@!0[O"</f>
        <v>#VALUE!</v>
      </c>
      <c r="U297" t="e">
        <f>Europe!1277:1277-"$F;@!0[P"</f>
        <v>#VALUE!</v>
      </c>
      <c r="V297" t="e">
        <f>Europe!1278:1278-"$F;@!0[Q"</f>
        <v>#VALUE!</v>
      </c>
      <c r="W297" t="e">
        <f>Europe!1279:1279-"$F;@!0[R"</f>
        <v>#VALUE!</v>
      </c>
      <c r="X297" t="e">
        <f>Europe!1280:1280-"$F;@!0[S"</f>
        <v>#VALUE!</v>
      </c>
      <c r="Y297" t="e">
        <f>Europe!1281:1281-"$F;@!0[T"</f>
        <v>#VALUE!</v>
      </c>
      <c r="Z297" t="e">
        <f>Europe!1282:1282-"$F;@!0[U"</f>
        <v>#VALUE!</v>
      </c>
      <c r="AA297" t="e">
        <f>Europe!1283:1283-"$F;@!0[V"</f>
        <v>#VALUE!</v>
      </c>
      <c r="AB297" t="e">
        <f>Europe!1284:1284-"$F;@!0[W"</f>
        <v>#VALUE!</v>
      </c>
      <c r="AC297" t="e">
        <f>Europe!1285:1285-"$F;@!0[X"</f>
        <v>#VALUE!</v>
      </c>
      <c r="AD297" t="e">
        <f>Europe!1286:1286-"$F;@!0[Y"</f>
        <v>#VALUE!</v>
      </c>
      <c r="AE297" t="e">
        <f>Europe!1287:1287-"$F;@!0[Z"</f>
        <v>#VALUE!</v>
      </c>
      <c r="AF297" t="e">
        <f>Europe!1288:1288-"$F;@!0[["</f>
        <v>#VALUE!</v>
      </c>
      <c r="AG297" t="e">
        <f>Europe!1289:1289-"$F;@!0[\"</f>
        <v>#VALUE!</v>
      </c>
      <c r="AH297" t="e">
        <f>Europe!1290:1290-"$F;@!0[]"</f>
        <v>#VALUE!</v>
      </c>
      <c r="AI297" t="e">
        <f>Europe!1291:1291-"$F;@!0[^"</f>
        <v>#VALUE!</v>
      </c>
      <c r="AJ297" t="e">
        <f>Europe!1292:1292-"$F;@!0[_"</f>
        <v>#VALUE!</v>
      </c>
      <c r="AK297" t="e">
        <f>Europe!1293:1293-"$F;@!0[`"</f>
        <v>#VALUE!</v>
      </c>
      <c r="AL297" t="e">
        <f>Europe!1294:1294-"$F;@!0[a"</f>
        <v>#VALUE!</v>
      </c>
      <c r="AM297" t="e">
        <f>Europe!1295:1295-"$F;@!0[b"</f>
        <v>#VALUE!</v>
      </c>
      <c r="AN297" t="e">
        <f>Europe!1296:1296-"$F;@!0[c"</f>
        <v>#VALUE!</v>
      </c>
      <c r="AO297" t="e">
        <f>Europe!1297:1297-"$F;@!0[d"</f>
        <v>#VALUE!</v>
      </c>
      <c r="AP297" t="e">
        <f>Europe!1298:1298-"$F;@!0[e"</f>
        <v>#VALUE!</v>
      </c>
      <c r="AQ297" t="e">
        <f>Europe!1299:1299-"$F;@!0[f"</f>
        <v>#VALUE!</v>
      </c>
      <c r="AR297" t="e">
        <f>Europe!1300:1300-"$F;@!0[g"</f>
        <v>#VALUE!</v>
      </c>
      <c r="AS297" t="e">
        <f>Europe!1301:1301-"$F;@!0[h"</f>
        <v>#VALUE!</v>
      </c>
      <c r="AT297" t="e">
        <f>Europe!1302:1302-"$F;@!0[i"</f>
        <v>#VALUE!</v>
      </c>
      <c r="AU297" t="e">
        <f>Europe!1303:1303-"$F;@!0[j"</f>
        <v>#VALUE!</v>
      </c>
      <c r="AV297" t="e">
        <f>Europe!1304:1304-"$F;@!0[k"</f>
        <v>#VALUE!</v>
      </c>
      <c r="AW297" t="e">
        <f>Europe!1305:1305-"$F;@!0[l"</f>
        <v>#VALUE!</v>
      </c>
      <c r="AX297" t="e">
        <f>Europe!1306:1306-"$F;@!0[m"</f>
        <v>#VALUE!</v>
      </c>
      <c r="AY297" t="e">
        <f>Europe!1307:1307-"$F;@!0[n"</f>
        <v>#VALUE!</v>
      </c>
      <c r="AZ297" t="e">
        <f>Europe!1308:1308-"$F;@!0[o"</f>
        <v>#VALUE!</v>
      </c>
      <c r="BA297" t="e">
        <f>Europe!1309:1309-"$F;@!0[p"</f>
        <v>#VALUE!</v>
      </c>
      <c r="BB297" t="e">
        <f>Europe!1310:1310-"$F;@!0[q"</f>
        <v>#VALUE!</v>
      </c>
      <c r="BC297" t="e">
        <f>Europe!1311:1311-"$F;@!0[r"</f>
        <v>#VALUE!</v>
      </c>
      <c r="BD297" t="e">
        <f>Europe!1312:1312-"$F;@!0[s"</f>
        <v>#VALUE!</v>
      </c>
      <c r="BE297" t="e">
        <f>Europe!1313:1313-"$F;@!0[t"</f>
        <v>#VALUE!</v>
      </c>
      <c r="BF297" t="e">
        <f>Europe!1314:1314-"$F;@!0[u"</f>
        <v>#VALUE!</v>
      </c>
      <c r="BG297" t="e">
        <f>Europe!1315:1315-"$F;@!0[v"</f>
        <v>#VALUE!</v>
      </c>
      <c r="BH297" t="e">
        <f>Europe!1316:1316-"$F;@!0[w"</f>
        <v>#VALUE!</v>
      </c>
      <c r="BI297" t="e">
        <f>Europe!1317:1317-"$F;@!0[x"</f>
        <v>#VALUE!</v>
      </c>
      <c r="BJ297" t="e">
        <f>Europe!1318:1318-"$F;@!0[y"</f>
        <v>#VALUE!</v>
      </c>
      <c r="BK297" t="e">
        <f>Europe!1319:1319-"$F;@!0[z"</f>
        <v>#VALUE!</v>
      </c>
      <c r="BL297" t="e">
        <f>Europe!1320:1320-"$F;@!0[{"</f>
        <v>#VALUE!</v>
      </c>
      <c r="BM297" t="e">
        <f>Europe!1321:1321-"$F;@!0[|"</f>
        <v>#VALUE!</v>
      </c>
      <c r="BN297" t="e">
        <f>Europe!1322:1322-"$F;@!0[}"</f>
        <v>#VALUE!</v>
      </c>
      <c r="BO297" t="e">
        <f>Europe!1323:1323-"$F;@!0[~"</f>
        <v>#VALUE!</v>
      </c>
      <c r="BP297" t="e">
        <f>Europe!1324:1324-"$F;@!0\#"</f>
        <v>#VALUE!</v>
      </c>
      <c r="BQ297" t="e">
        <f>Europe!1325:1325-"$F;@!0\$"</f>
        <v>#VALUE!</v>
      </c>
      <c r="BR297" t="e">
        <f>Europe!1326:1326-"$F;@!0\%"</f>
        <v>#VALUE!</v>
      </c>
      <c r="BS297" t="e">
        <f>Europe!1327:1327-"$F;@!0\&amp;"</f>
        <v>#VALUE!</v>
      </c>
      <c r="BT297" t="e">
        <f>Europe!1328:1328-"$F;@!0\'"</f>
        <v>#VALUE!</v>
      </c>
      <c r="BU297" t="e">
        <f>Europe!1329:1329-"$F;@!0\("</f>
        <v>#VALUE!</v>
      </c>
      <c r="BV297" t="e">
        <f>Europe!1330:1330-"$F;@!0\)"</f>
        <v>#VALUE!</v>
      </c>
      <c r="BW297" t="e">
        <f>Europe!1331:1331-"$F;@!0\."</f>
        <v>#VALUE!</v>
      </c>
      <c r="BX297" t="e">
        <f>Europe!1332:1332-"$F;@!0\/"</f>
        <v>#VALUE!</v>
      </c>
      <c r="BY297" t="e">
        <f>Europe!1333:1333-"$F;@!0\0"</f>
        <v>#VALUE!</v>
      </c>
      <c r="BZ297" t="e">
        <f>Europe!1334:1334-"$F;@!0\1"</f>
        <v>#VALUE!</v>
      </c>
      <c r="CA297" t="e">
        <f>Europe!1335:1335-"$F;@!0\2"</f>
        <v>#VALUE!</v>
      </c>
      <c r="CB297" t="e">
        <f>Europe!1336:1336-"$F;@!0\3"</f>
        <v>#VALUE!</v>
      </c>
      <c r="CC297" t="e">
        <f>Europe!1337:1337-"$F;@!0\4"</f>
        <v>#VALUE!</v>
      </c>
      <c r="CD297" t="e">
        <f>Europe!1338:1338-"$F;@!0\5"</f>
        <v>#VALUE!</v>
      </c>
      <c r="CE297" t="e">
        <f>Europe!1339:1339-"$F;@!0\6"</f>
        <v>#VALUE!</v>
      </c>
      <c r="CF297" t="e">
        <f>Europe!1340:1340-"$F;@!0\7"</f>
        <v>#VALUE!</v>
      </c>
      <c r="CG297" t="e">
        <f>Europe!1341:1341-"$F;@!0\8"</f>
        <v>#VALUE!</v>
      </c>
      <c r="CH297" t="e">
        <f>Europe!1342:1342-"$F;@!0\9"</f>
        <v>#VALUE!</v>
      </c>
      <c r="CI297" t="e">
        <f>Europe!1343:1343-"$F;@!0\:"</f>
        <v>#VALUE!</v>
      </c>
      <c r="CJ297" t="e">
        <f>Europe!1344:1344-"$F;@!0\;"</f>
        <v>#VALUE!</v>
      </c>
      <c r="CK297" t="e">
        <f>Europe!1345:1345-"$F;@!0\&lt;"</f>
        <v>#VALUE!</v>
      </c>
      <c r="CL297" t="e">
        <f>Europe!1346:1346-"$F;@!0\="</f>
        <v>#VALUE!</v>
      </c>
      <c r="CM297" t="e">
        <f>Europe!1347:1347-"$F;@!0\&gt;"</f>
        <v>#VALUE!</v>
      </c>
      <c r="CN297" t="e">
        <f>Europe!1348:1348-"$F;@!0\?"</f>
        <v>#VALUE!</v>
      </c>
      <c r="CO297" t="e">
        <f>Europe!1349:1349-"$F;@!0\@"</f>
        <v>#VALUE!</v>
      </c>
      <c r="CP297" t="e">
        <f>Europe!1350:1350-"$F;@!0\A"</f>
        <v>#VALUE!</v>
      </c>
      <c r="CQ297" t="e">
        <f>Europe!1351:1351-"$F;@!0\B"</f>
        <v>#VALUE!</v>
      </c>
      <c r="CR297" t="e">
        <f>Europe!1352:1352-"$F;@!0\C"</f>
        <v>#VALUE!</v>
      </c>
      <c r="CS297" t="e">
        <f>Europe!1353:1353-"$F;@!0\D"</f>
        <v>#VALUE!</v>
      </c>
      <c r="CT297" t="e">
        <f>Europe!1354:1354-"$F;@!0\E"</f>
        <v>#VALUE!</v>
      </c>
      <c r="CU297" t="e">
        <f>Europe!1355:1355-"$F;@!0\F"</f>
        <v>#VALUE!</v>
      </c>
      <c r="CV297" t="e">
        <f>Europe!1356:1356-"$F;@!0\G"</f>
        <v>#VALUE!</v>
      </c>
      <c r="CW297" t="e">
        <f>Europe!1357:1357-"$F;@!0\H"</f>
        <v>#VALUE!</v>
      </c>
      <c r="CX297" t="e">
        <f>Europe!1358:1358-"$F;@!0\I"</f>
        <v>#VALUE!</v>
      </c>
      <c r="CY297" t="e">
        <f>Europe!1359:1359-"$F;@!0\J"</f>
        <v>#VALUE!</v>
      </c>
      <c r="CZ297" t="e">
        <f>Europe!1360:1360-"$F;@!0\K"</f>
        <v>#VALUE!</v>
      </c>
      <c r="DA297" t="e">
        <f>Europe!1361:1361-"$F;@!0\L"</f>
        <v>#VALUE!</v>
      </c>
      <c r="DB297" t="e">
        <f>Europe!1362:1362-"$F;@!0\M"</f>
        <v>#VALUE!</v>
      </c>
      <c r="DC297" t="e">
        <f>Europe!1363:1363-"$F;@!0\N"</f>
        <v>#VALUE!</v>
      </c>
      <c r="DD297" t="e">
        <f>Europe!1364:1364-"$F;@!0\O"</f>
        <v>#VALUE!</v>
      </c>
      <c r="DE297" t="e">
        <f>Europe!1365:1365-"$F;@!0\P"</f>
        <v>#VALUE!</v>
      </c>
      <c r="DF297" t="e">
        <f>Europe!1366:1366-"$F;@!0\Q"</f>
        <v>#VALUE!</v>
      </c>
      <c r="DG297" t="e">
        <f>Europe!1367:1367-"$F;@!0\R"</f>
        <v>#VALUE!</v>
      </c>
      <c r="DH297" t="e">
        <f>Europe!1368:1368-"$F;@!0\S"</f>
        <v>#VALUE!</v>
      </c>
      <c r="DI297" t="e">
        <f>Europe!1369:1369-"$F;@!0\T"</f>
        <v>#VALUE!</v>
      </c>
      <c r="DJ297" t="e">
        <f>Europe!1370:1370-"$F;@!0\U"</f>
        <v>#VALUE!</v>
      </c>
      <c r="DK297" t="e">
        <f>Europe!1371:1371-"$F;@!0\V"</f>
        <v>#VALUE!</v>
      </c>
      <c r="DL297" t="e">
        <f>Europe!1372:1372-"$F;@!0\W"</f>
        <v>#VALUE!</v>
      </c>
      <c r="DM297" t="e">
        <f>Europe!1373:1373-"$F;@!0\X"</f>
        <v>#VALUE!</v>
      </c>
      <c r="DN297" t="e">
        <f>Europe!1374:1374-"$F;@!0\Y"</f>
        <v>#VALUE!</v>
      </c>
      <c r="DO297" t="e">
        <f>Europe!1375:1375-"$F;@!0\Z"</f>
        <v>#VALUE!</v>
      </c>
      <c r="DP297" t="e">
        <f>Europe!1376:1376-"$F;@!0\["</f>
        <v>#VALUE!</v>
      </c>
      <c r="DQ297" t="e">
        <f>Europe!1377:1377-"$F;@!0\\"</f>
        <v>#VALUE!</v>
      </c>
      <c r="DR297" t="e">
        <f>Europe!1378:1378-"$F;@!0\]"</f>
        <v>#VALUE!</v>
      </c>
      <c r="DS297" t="e">
        <f>Europe!1379:1379-"$F;@!0\^"</f>
        <v>#VALUE!</v>
      </c>
      <c r="DT297" t="e">
        <f>Europe!1380:1380-"$F;@!0\_"</f>
        <v>#VALUE!</v>
      </c>
      <c r="DU297" t="e">
        <f>Europe!1381:1381-"$F;@!0\`"</f>
        <v>#VALUE!</v>
      </c>
      <c r="DV297" t="e">
        <f>Europe!1382:1382-"$F;@!0\a"</f>
        <v>#VALUE!</v>
      </c>
      <c r="DW297" t="e">
        <f>Europe!1383:1383-"$F;@!0\b"</f>
        <v>#VALUE!</v>
      </c>
      <c r="DX297" t="e">
        <f>Europe!1384:1384-"$F;@!0\c"</f>
        <v>#VALUE!</v>
      </c>
      <c r="DY297" t="e">
        <f>Europe!1385:1385-"$F;@!0\d"</f>
        <v>#VALUE!</v>
      </c>
      <c r="DZ297" t="e">
        <f>Europe!1386:1386-"$F;@!0\e"</f>
        <v>#VALUE!</v>
      </c>
      <c r="EA297" t="e">
        <f>Europe!1387:1387-"$F;@!0\f"</f>
        <v>#VALUE!</v>
      </c>
      <c r="EB297" t="e">
        <f>Europe!1388:1388-"$F;@!0\g"</f>
        <v>#VALUE!</v>
      </c>
      <c r="EC297" t="e">
        <f>Europe!1389:1389-"$F;@!0\h"</f>
        <v>#VALUE!</v>
      </c>
      <c r="ED297" t="e">
        <f>Europe!1390:1390-"$F;@!0\i"</f>
        <v>#VALUE!</v>
      </c>
      <c r="EE297" t="e">
        <f>Europe!1391:1391-"$F;@!0\j"</f>
        <v>#VALUE!</v>
      </c>
      <c r="EF297" t="e">
        <f>Europe!1392:1392-"$F;@!0\k"</f>
        <v>#VALUE!</v>
      </c>
      <c r="EG297" t="e">
        <f>Europe!1393:1393-"$F;@!0\l"</f>
        <v>#VALUE!</v>
      </c>
      <c r="EH297" t="e">
        <f>Europe!1394:1394-"$F;@!0\m"</f>
        <v>#VALUE!</v>
      </c>
      <c r="EI297" t="e">
        <f>Europe!1395:1395-"$F;@!0\n"</f>
        <v>#VALUE!</v>
      </c>
      <c r="EJ297" t="e">
        <f>Europe!1396:1396-"$F;@!0\o"</f>
        <v>#VALUE!</v>
      </c>
      <c r="EK297" t="e">
        <f>Europe!1397:1397-"$F;@!0\p"</f>
        <v>#VALUE!</v>
      </c>
      <c r="EL297" t="e">
        <f>Europe!1398:1398-"$F;@!0\q"</f>
        <v>#VALUE!</v>
      </c>
      <c r="EM297" t="e">
        <f>Europe!1399:1399-"$F;@!0\r"</f>
        <v>#VALUE!</v>
      </c>
      <c r="EN297" t="e">
        <f>Europe!1400:1400-"$F;@!0\s"</f>
        <v>#VALUE!</v>
      </c>
      <c r="EO297" t="e">
        <f>Europe!1401:1401-"$F;@!0\t"</f>
        <v>#VALUE!</v>
      </c>
      <c r="EP297" t="e">
        <f>Europe!1402:1402-"$F;@!0\u"</f>
        <v>#VALUE!</v>
      </c>
      <c r="EQ297" t="e">
        <f>Europe!1403:1403-"$F;@!0\v"</f>
        <v>#VALUE!</v>
      </c>
      <c r="ER297" t="e">
        <f>Europe!1404:1404-"$F;@!0\w"</f>
        <v>#VALUE!</v>
      </c>
      <c r="ES297" t="e">
        <f>Europe!1405:1405-"$F;@!0\x"</f>
        <v>#VALUE!</v>
      </c>
      <c r="ET297" t="e">
        <f>Europe!1406:1406-"$F;@!0\y"</f>
        <v>#VALUE!</v>
      </c>
      <c r="EU297" t="e">
        <f>Europe!1407:1407-"$F;@!0\z"</f>
        <v>#VALUE!</v>
      </c>
      <c r="EV297" t="e">
        <f>Europe!1408:1408-"$F;@!0\{"</f>
        <v>#VALUE!</v>
      </c>
      <c r="EW297" t="e">
        <f>Europe!1409:1409-"$F;@!0\|"</f>
        <v>#VALUE!</v>
      </c>
      <c r="EX297" t="e">
        <f>Europe!1410:1410-"$F;@!0\}"</f>
        <v>#VALUE!</v>
      </c>
      <c r="EY297" t="e">
        <f>Europe!1411:1411-"$F;@!0\~"</f>
        <v>#VALUE!</v>
      </c>
      <c r="EZ297" t="e">
        <f>Europe!1412:1412-"$F;@!0]#"</f>
        <v>#VALUE!</v>
      </c>
      <c r="FA297" t="e">
        <f>Europe!1413:1413-"$F;@!0]$"</f>
        <v>#VALUE!</v>
      </c>
      <c r="FB297" t="e">
        <f>Europe!1414:1414-"$F;@!0]%"</f>
        <v>#VALUE!</v>
      </c>
      <c r="FC297" t="e">
        <f>Europe!1415:1415-"$F;@!0]&amp;"</f>
        <v>#VALUE!</v>
      </c>
      <c r="FD297" t="e">
        <f>Europe!1416:1416-"$F;@!0]'"</f>
        <v>#VALUE!</v>
      </c>
      <c r="FE297" t="e">
        <f>Europe!1417:1417-"$F;@!0]("</f>
        <v>#VALUE!</v>
      </c>
      <c r="FF297" t="e">
        <f>Europe!1418:1418-"$F;@!0])"</f>
        <v>#VALUE!</v>
      </c>
      <c r="FG297" t="e">
        <f>Europe!1419:1419-"$F;@!0]."</f>
        <v>#VALUE!</v>
      </c>
      <c r="FH297" t="e">
        <f>Europe!1420:1420-"$F;@!0]/"</f>
        <v>#VALUE!</v>
      </c>
      <c r="FI297" t="e">
        <f>Europe!1421:1421-"$F;@!0]0"</f>
        <v>#VALUE!</v>
      </c>
      <c r="FJ297" t="e">
        <f>Europe!1422:1422-"$F;@!0]1"</f>
        <v>#VALUE!</v>
      </c>
      <c r="FK297" t="e">
        <f>Europe!1423:1423-"$F;@!0]2"</f>
        <v>#VALUE!</v>
      </c>
      <c r="FL297" t="e">
        <f>Europe!1424:1424-"$F;@!0]3"</f>
        <v>#VALUE!</v>
      </c>
      <c r="FM297" t="e">
        <f>Europe!1425:1425-"$F;@!0]4"</f>
        <v>#VALUE!</v>
      </c>
      <c r="FN297" t="e">
        <f>Europe!1426:1426-"$F;@!0]5"</f>
        <v>#VALUE!</v>
      </c>
      <c r="FO297" t="e">
        <f>Europe!1427:1427-"$F;@!0]6"</f>
        <v>#VALUE!</v>
      </c>
      <c r="FP297" t="e">
        <f>Europe!1428:1428-"$F;@!0]7"</f>
        <v>#VALUE!</v>
      </c>
      <c r="FQ297" t="e">
        <f>Europe!1429:1429-"$F;@!0]8"</f>
        <v>#VALUE!</v>
      </c>
      <c r="FR297" t="e">
        <f>Europe!1430:1430-"$F;@!0]9"</f>
        <v>#VALUE!</v>
      </c>
      <c r="FS297" t="e">
        <f>Europe!1431:1431-"$F;@!0]:"</f>
        <v>#VALUE!</v>
      </c>
      <c r="FT297" t="e">
        <f>Europe!1432:1432-"$F;@!0];"</f>
        <v>#VALUE!</v>
      </c>
      <c r="FU297" t="e">
        <f>Europe!1433:1433-"$F;@!0]&lt;"</f>
        <v>#VALUE!</v>
      </c>
      <c r="FV297" t="e">
        <f>Europe!1434:1434-"$F;@!0]="</f>
        <v>#VALUE!</v>
      </c>
      <c r="FW297" t="e">
        <f>Europe!1435:1435-"$F;@!0]&gt;"</f>
        <v>#VALUE!</v>
      </c>
      <c r="FX297" t="e">
        <f>Europe!1436:1436-"$F;@!0]?"</f>
        <v>#VALUE!</v>
      </c>
      <c r="FY297" t="e">
        <f>Europe!1437:1437-"$F;@!0]@"</f>
        <v>#VALUE!</v>
      </c>
      <c r="FZ297" t="e">
        <f>Europe!1438:1438-"$F;@!0]A"</f>
        <v>#VALUE!</v>
      </c>
      <c r="GA297" t="e">
        <f>Europe!1439:1439-"$F;@!0]B"</f>
        <v>#VALUE!</v>
      </c>
      <c r="GB297" t="e">
        <f>Europe!1440:1440-"$F;@!0]C"</f>
        <v>#VALUE!</v>
      </c>
      <c r="GC297" t="e">
        <f>Europe!1441:1441-"$F;@!0]D"</f>
        <v>#VALUE!</v>
      </c>
      <c r="GD297" t="e">
        <f>Europe!1442:1442-"$F;@!0]E"</f>
        <v>#VALUE!</v>
      </c>
      <c r="GE297" t="e">
        <f>Europe!1443:1443-"$F;@!0]F"</f>
        <v>#VALUE!</v>
      </c>
      <c r="GF297" t="e">
        <f>Europe!1444:1444-"$F;@!0]G"</f>
        <v>#VALUE!</v>
      </c>
      <c r="GG297" t="e">
        <f>Europe!1445:1445-"$F;@!0]H"</f>
        <v>#VALUE!</v>
      </c>
      <c r="GH297" t="e">
        <f>Europe!1446:1446-"$F;@!0]I"</f>
        <v>#VALUE!</v>
      </c>
      <c r="GI297" t="e">
        <f>Europe!1447:1447-"$F;@!0]J"</f>
        <v>#VALUE!</v>
      </c>
      <c r="GJ297" t="e">
        <f>Europe!1448:1448-"$F;@!0]K"</f>
        <v>#VALUE!</v>
      </c>
      <c r="GK297" t="e">
        <f>Europe!1449:1449-"$F;@!0]L"</f>
        <v>#VALUE!</v>
      </c>
      <c r="GL297" t="e">
        <f>Europe!1450:1450-"$F;@!0]M"</f>
        <v>#VALUE!</v>
      </c>
      <c r="GM297" t="e">
        <f>Europe!1451:1451-"$F;@!0]N"</f>
        <v>#VALUE!</v>
      </c>
      <c r="GN297" t="e">
        <f>Europe!1452:1452-"$F;@!0]O"</f>
        <v>#VALUE!</v>
      </c>
      <c r="GO297" t="e">
        <f>Europe!1453:1453-"$F;@!0]P"</f>
        <v>#VALUE!</v>
      </c>
      <c r="GP297" t="e">
        <f>Europe!1454:1454-"$F;@!0]Q"</f>
        <v>#VALUE!</v>
      </c>
      <c r="GQ297" t="e">
        <f>Europe!1455:1455-"$F;@!0]R"</f>
        <v>#VALUE!</v>
      </c>
      <c r="GR297" t="e">
        <f>Europe!1456:1456-"$F;@!0]S"</f>
        <v>#VALUE!</v>
      </c>
      <c r="GS297" t="e">
        <f>Europe!1457:1457-"$F;@!0]T"</f>
        <v>#VALUE!</v>
      </c>
      <c r="GT297" t="e">
        <f>Europe!1458:1458-"$F;@!0]U"</f>
        <v>#VALUE!</v>
      </c>
      <c r="GU297" t="e">
        <f>Europe!1459:1459-"$F;@!0]V"</f>
        <v>#VALUE!</v>
      </c>
      <c r="GV297" t="e">
        <f>Europe!1460:1460-"$F;@!0]W"</f>
        <v>#VALUE!</v>
      </c>
      <c r="GW297" t="e">
        <f>Europe!1461:1461-"$F;@!0]X"</f>
        <v>#VALUE!</v>
      </c>
      <c r="GX297" t="e">
        <f>Europe!1462:1462-"$F;@!0]Y"</f>
        <v>#VALUE!</v>
      </c>
      <c r="GY297" t="e">
        <f>Europe!1463:1463-"$F;@!0]Z"</f>
        <v>#VALUE!</v>
      </c>
      <c r="GZ297" t="e">
        <f>Europe!1464:1464-"$F;@!0]["</f>
        <v>#VALUE!</v>
      </c>
      <c r="HA297" t="e">
        <f>Europe!1465:1465-"$F;@!0]\"</f>
        <v>#VALUE!</v>
      </c>
      <c r="HB297" t="e">
        <f>Europe!1466:1466-"$F;@!0]]"</f>
        <v>#VALUE!</v>
      </c>
      <c r="HC297" t="e">
        <f>Europe!1467:1467-"$F;@!0]^"</f>
        <v>#VALUE!</v>
      </c>
      <c r="HD297" t="e">
        <f>Europe!1468:1468-"$F;@!0]_"</f>
        <v>#VALUE!</v>
      </c>
      <c r="HE297" t="e">
        <f>Europe!1469:1469-"$F;@!0]`"</f>
        <v>#VALUE!</v>
      </c>
      <c r="HF297" t="e">
        <f>Europe!1470:1470-"$F;@!0]a"</f>
        <v>#VALUE!</v>
      </c>
      <c r="HG297" t="e">
        <f>Europe!1471:1471-"$F;@!0]b"</f>
        <v>#VALUE!</v>
      </c>
      <c r="HH297" t="e">
        <f>Europe!1472:1472-"$F;@!0]c"</f>
        <v>#VALUE!</v>
      </c>
      <c r="HI297" t="e">
        <f>Europe!1473:1473-"$F;@!0]d"</f>
        <v>#VALUE!</v>
      </c>
      <c r="HJ297" t="e">
        <f>Europe!1474:1474-"$F;@!0]e"</f>
        <v>#VALUE!</v>
      </c>
      <c r="HK297" t="e">
        <f>Europe!1475:1475-"$F;@!0]f"</f>
        <v>#VALUE!</v>
      </c>
      <c r="HL297" t="e">
        <f>Europe!1476:1476-"$F;@!0]g"</f>
        <v>#VALUE!</v>
      </c>
      <c r="HM297" t="e">
        <f>Europe!1477:1477-"$F;@!0]h"</f>
        <v>#VALUE!</v>
      </c>
      <c r="HN297" t="e">
        <f>Europe!1478:1478-"$F;@!0]i"</f>
        <v>#VALUE!</v>
      </c>
      <c r="HO297" t="e">
        <f>Europe!1479:1479-"$F;@!0]j"</f>
        <v>#VALUE!</v>
      </c>
      <c r="HP297" t="e">
        <f>Europe!1480:1480-"$F;@!0]k"</f>
        <v>#VALUE!</v>
      </c>
      <c r="HQ297" t="e">
        <f>Europe!1481:1481-"$F;@!0]l"</f>
        <v>#VALUE!</v>
      </c>
      <c r="HR297" t="e">
        <f>Europe!1482:1482-"$F;@!0]m"</f>
        <v>#VALUE!</v>
      </c>
      <c r="HS297" t="e">
        <f>Europe!1483:1483-"$F;@!0]n"</f>
        <v>#VALUE!</v>
      </c>
      <c r="HT297" t="e">
        <f>Europe!1484:1484-"$F;@!0]o"</f>
        <v>#VALUE!</v>
      </c>
      <c r="HU297" t="e">
        <f>Europe!1485:1485-"$F;@!0]p"</f>
        <v>#VALUE!</v>
      </c>
      <c r="HV297" t="e">
        <f>Europe!1486:1486-"$F;@!0]q"</f>
        <v>#VALUE!</v>
      </c>
      <c r="HW297" t="e">
        <f>Europe!1487:1487-"$F;@!0]r"</f>
        <v>#VALUE!</v>
      </c>
      <c r="HX297" t="e">
        <f>Europe!1488:1488-"$F;@!0]s"</f>
        <v>#VALUE!</v>
      </c>
      <c r="HY297" t="e">
        <f>Europe!1489:1489-"$F;@!0]t"</f>
        <v>#VALUE!</v>
      </c>
      <c r="HZ297" t="e">
        <f>Europe!1490:1490-"$F;@!0]u"</f>
        <v>#VALUE!</v>
      </c>
      <c r="IA297" t="e">
        <f>Europe!1491:1491-"$F;@!0]v"</f>
        <v>#VALUE!</v>
      </c>
      <c r="IB297" t="e">
        <f>Europe!1492:1492-"$F;@!0]w"</f>
        <v>#VALUE!</v>
      </c>
      <c r="IC297" t="e">
        <f>Europe!1493:1493-"$F;@!0]x"</f>
        <v>#VALUE!</v>
      </c>
      <c r="ID297" t="e">
        <f>Europe!1494:1494-"$F;@!0]y"</f>
        <v>#VALUE!</v>
      </c>
      <c r="IE297" t="e">
        <f>Europe!1495:1495-"$F;@!0]z"</f>
        <v>#VALUE!</v>
      </c>
      <c r="IF297" t="e">
        <f>Europe!1496:1496-"$F;@!0]{"</f>
        <v>#VALUE!</v>
      </c>
      <c r="IG297" t="e">
        <f>Europe!1497:1497-"$F;@!0]|"</f>
        <v>#VALUE!</v>
      </c>
      <c r="IH297" t="e">
        <f>Europe!1498:1498-"$F;@!0]}"</f>
        <v>#VALUE!</v>
      </c>
      <c r="II297" t="e">
        <f>Europe!1499:1499-"$F;@!0]~"</f>
        <v>#VALUE!</v>
      </c>
      <c r="IJ297" t="e">
        <f>Europe!1500:1500-"$F;@!0^#"</f>
        <v>#VALUE!</v>
      </c>
      <c r="IK297" t="e">
        <f>Europe!1501:1501-"$F;@!0^$"</f>
        <v>#VALUE!</v>
      </c>
      <c r="IL297" t="e">
        <f>Europe!1502:1502-"$F;@!0^%"</f>
        <v>#VALUE!</v>
      </c>
      <c r="IM297" t="e">
        <f>Europe!1503:1503-"$F;@!0^&amp;"</f>
        <v>#VALUE!</v>
      </c>
      <c r="IN297" t="e">
        <f>Europe!1504:1504-"$F;@!0^'"</f>
        <v>#VALUE!</v>
      </c>
      <c r="IO297" t="e">
        <f>Europe!1505:1505-"$F;@!0^("</f>
        <v>#VALUE!</v>
      </c>
      <c r="IP297" t="e">
        <f>Europe!1506:1506-"$F;@!0^)"</f>
        <v>#VALUE!</v>
      </c>
      <c r="IQ297" t="e">
        <f>Europe!1507:1507-"$F;@!0^."</f>
        <v>#VALUE!</v>
      </c>
      <c r="IR297" t="e">
        <f>Europe!1508:1508-"$F;@!0^/"</f>
        <v>#VALUE!</v>
      </c>
      <c r="IS297" t="e">
        <f>Europe!1509:1509-"$F;@!0^0"</f>
        <v>#VALUE!</v>
      </c>
      <c r="IT297" t="e">
        <f>Europe!1510:1510-"$F;@!0^1"</f>
        <v>#VALUE!</v>
      </c>
      <c r="IU297" t="e">
        <f>Europe!1511:1511-"$F;@!0^2"</f>
        <v>#VALUE!</v>
      </c>
      <c r="IV297" t="e">
        <f>Europe!1512:1512-"$F;@!0^3"</f>
        <v>#VALUE!</v>
      </c>
    </row>
    <row r="298" spans="6:256" x14ac:dyDescent="0.35">
      <c r="F298" t="e">
        <f>Europe!1513:1513-"$F;@!0^4"</f>
        <v>#VALUE!</v>
      </c>
      <c r="G298" t="e">
        <f>Europe!1514:1514-"$F;@!0^5"</f>
        <v>#VALUE!</v>
      </c>
      <c r="H298" t="e">
        <f>Europe!1515:1515-"$F;@!0^6"</f>
        <v>#VALUE!</v>
      </c>
      <c r="I298" t="e">
        <f>Europe!1516:1516-"$F;@!0^7"</f>
        <v>#VALUE!</v>
      </c>
      <c r="J298" t="e">
        <f>Europe!1517:1517-"$F;@!0^8"</f>
        <v>#VALUE!</v>
      </c>
      <c r="K298" t="e">
        <f>Europe!1518:1518-"$F;@!0^9"</f>
        <v>#VALUE!</v>
      </c>
      <c r="L298" t="e">
        <f>Europe!1519:1519-"$F;@!0^:"</f>
        <v>#VALUE!</v>
      </c>
      <c r="M298" t="e">
        <f>Europe!1520:1520-"$F;@!0^;"</f>
        <v>#VALUE!</v>
      </c>
      <c r="N298" t="e">
        <f>Europe!1521:1521-"$F;@!0^&lt;"</f>
        <v>#VALUE!</v>
      </c>
      <c r="O298" t="e">
        <f>Europe!1522:1522-"$F;@!0^="</f>
        <v>#VALUE!</v>
      </c>
      <c r="P298" t="e">
        <f>Europe!1523:1523-"$F;@!0^&gt;"</f>
        <v>#VALUE!</v>
      </c>
      <c r="Q298" t="e">
        <f>Europe!1524:1524-"$F;@!0^?"</f>
        <v>#VALUE!</v>
      </c>
      <c r="R298" t="e">
        <f>Europe!1525:1525-"$F;@!0^@"</f>
        <v>#VALUE!</v>
      </c>
      <c r="S298" t="e">
        <f>Europe!1526:1526-"$F;@!0^A"</f>
        <v>#VALUE!</v>
      </c>
      <c r="T298" t="e">
        <f>Europe!1527:1527-"$F;@!0^B"</f>
        <v>#VALUE!</v>
      </c>
      <c r="U298" t="e">
        <f>Europe!1528:1528-"$F;@!0^C"</f>
        <v>#VALUE!</v>
      </c>
      <c r="V298" t="e">
        <f>Europe!1529:1529-"$F;@!0^D"</f>
        <v>#VALUE!</v>
      </c>
      <c r="W298" t="e">
        <f>Europe!1530:1530-"$F;@!0^E"</f>
        <v>#VALUE!</v>
      </c>
      <c r="X298" t="e">
        <f>Europe!1531:1531-"$F;@!0^F"</f>
        <v>#VALUE!</v>
      </c>
      <c r="Y298" t="e">
        <f>Europe!1532:1532-"$F;@!0^G"</f>
        <v>#VALUE!</v>
      </c>
      <c r="Z298" t="e">
        <f>Europe!1533:1533-"$F;@!0^H"</f>
        <v>#VALUE!</v>
      </c>
      <c r="AA298" t="e">
        <f>Europe!1534:1534-"$F;@!0^I"</f>
        <v>#VALUE!</v>
      </c>
      <c r="AB298" t="e">
        <f>Europe!1535:1535-"$F;@!0^J"</f>
        <v>#VALUE!</v>
      </c>
      <c r="AC298" t="e">
        <f>Europe!1536:1536-"$F;@!0^K"</f>
        <v>#VALUE!</v>
      </c>
      <c r="AD298" t="e">
        <f>Europe!1537:1537-"$F;@!0^L"</f>
        <v>#VALUE!</v>
      </c>
      <c r="AE298" t="e">
        <f>Europe!1538:1538-"$F;@!0^M"</f>
        <v>#VALUE!</v>
      </c>
      <c r="AF298" t="e">
        <f>Europe!1539:1539-"$F;@!0^N"</f>
        <v>#VALUE!</v>
      </c>
      <c r="AG298" t="e">
        <f>Europe!1540:1540-"$F;@!0^O"</f>
        <v>#VALUE!</v>
      </c>
      <c r="AH298" t="e">
        <f>Europe!1541:1541-"$F;@!0^P"</f>
        <v>#VALUE!</v>
      </c>
      <c r="AI298" t="e">
        <f>Europe!1542:1542-"$F;@!0^Q"</f>
        <v>#VALUE!</v>
      </c>
      <c r="AJ298" t="e">
        <f>Europe!1543:1543-"$F;@!0^R"</f>
        <v>#VALUE!</v>
      </c>
      <c r="AK298" t="e">
        <f>Europe!1544:1544-"$F;@!0^S"</f>
        <v>#VALUE!</v>
      </c>
      <c r="AL298" t="e">
        <f>Europe!1545:1545-"$F;@!0^T"</f>
        <v>#VALUE!</v>
      </c>
      <c r="AM298" t="e">
        <f>Europe!1546:1546-"$F;@!0^U"</f>
        <v>#VALUE!</v>
      </c>
      <c r="AN298" t="e">
        <f>Europe!1547:1547-"$F;@!0^V"</f>
        <v>#VALUE!</v>
      </c>
      <c r="AO298" t="e">
        <f>Europe!1548:1548-"$F;@!0^W"</f>
        <v>#VALUE!</v>
      </c>
      <c r="AP298" t="e">
        <f>Europe!1549:1549-"$F;@!0^X"</f>
        <v>#VALUE!</v>
      </c>
      <c r="AQ298" t="e">
        <f>Europe!1550:1550-"$F;@!0^Y"</f>
        <v>#VALUE!</v>
      </c>
      <c r="AR298" t="e">
        <f>Europe!1551:1551-"$F;@!0^Z"</f>
        <v>#VALUE!</v>
      </c>
      <c r="AS298" t="e">
        <f>Europe!1552:1552-"$F;@!0^["</f>
        <v>#VALUE!</v>
      </c>
      <c r="AT298" t="e">
        <f>Europe!1553:1553-"$F;@!0^\"</f>
        <v>#VALUE!</v>
      </c>
      <c r="AU298" t="e">
        <f>Europe!1554:1554-"$F;@!0^]"</f>
        <v>#VALUE!</v>
      </c>
      <c r="AV298" t="e">
        <f>Europe!1555:1555-"$F;@!0^^"</f>
        <v>#VALUE!</v>
      </c>
      <c r="AW298" t="e">
        <f>Europe!1556:1556-"$F;@!0^_"</f>
        <v>#VALUE!</v>
      </c>
      <c r="AX298" t="e">
        <f>Europe!1557:1557-"$F;@!0^`"</f>
        <v>#VALUE!</v>
      </c>
      <c r="AY298" t="e">
        <f>Europe!1558:1558-"$F;@!0^a"</f>
        <v>#VALUE!</v>
      </c>
      <c r="AZ298" t="e">
        <f>Europe!1559:1559-"$F;@!0^b"</f>
        <v>#VALUE!</v>
      </c>
      <c r="BA298" t="e">
        <f>Europe!1560:1560-"$F;@!0^c"</f>
        <v>#VALUE!</v>
      </c>
      <c r="BB298" t="e">
        <f>Europe!1561:1561-"$F;@!0^d"</f>
        <v>#VALUE!</v>
      </c>
      <c r="BC298" t="e">
        <f>Europe!1562:1562-"$F;@!0^e"</f>
        <v>#VALUE!</v>
      </c>
      <c r="BD298" t="e">
        <f>Europe!1563:1563-"$F;@!0^f"</f>
        <v>#VALUE!</v>
      </c>
      <c r="BE298" t="e">
        <f>Europe!1564:1564-"$F;@!0^g"</f>
        <v>#VALUE!</v>
      </c>
      <c r="BF298" t="e">
        <f>Europe!1565:1565-"$F;@!0^h"</f>
        <v>#VALUE!</v>
      </c>
      <c r="BG298" t="e">
        <f>Europe!1566:1566-"$F;@!0^i"</f>
        <v>#VALUE!</v>
      </c>
      <c r="BH298" t="e">
        <f>Europe!1567:1567-"$F;@!0^j"</f>
        <v>#VALUE!</v>
      </c>
      <c r="BI298" t="e">
        <f>Europe!1568:1568-"$F;@!0^k"</f>
        <v>#VALUE!</v>
      </c>
      <c r="BJ298" t="e">
        <f>Europe!1569:1569-"$F;@!0^l"</f>
        <v>#VALUE!</v>
      </c>
      <c r="BK298" t="e">
        <f>Europe!1570:1570-"$F;@!0^m"</f>
        <v>#VALUE!</v>
      </c>
      <c r="BL298" t="e">
        <f>Europe!1571:1571-"$F;@!0^n"</f>
        <v>#VALUE!</v>
      </c>
      <c r="BM298" t="e">
        <f>Europe!1572:1572-"$F;@!0^o"</f>
        <v>#VALUE!</v>
      </c>
      <c r="BN298" t="e">
        <f>Europe!1573:1573-"$F;@!0^p"</f>
        <v>#VALUE!</v>
      </c>
      <c r="BO298" t="e">
        <f>Europe!1574:1574-"$F;@!0^q"</f>
        <v>#VALUE!</v>
      </c>
      <c r="BP298" t="e">
        <f>Europe!1575:1575-"$F;@!0^r"</f>
        <v>#VALUE!</v>
      </c>
      <c r="BQ298" t="e">
        <f>Europe!1576:1576-"$F;@!0^s"</f>
        <v>#VALUE!</v>
      </c>
      <c r="BR298" t="e">
        <f>Europe!1577:1577-"$F;@!0^t"</f>
        <v>#VALUE!</v>
      </c>
      <c r="BS298" t="e">
        <f>Europe!1578:1578-"$F;@!0^u"</f>
        <v>#VALUE!</v>
      </c>
      <c r="BT298" t="e">
        <f>Europe!1579:1579-"$F;@!0^v"</f>
        <v>#VALUE!</v>
      </c>
      <c r="BU298" t="e">
        <f>Europe!1580:1580-"$F;@!0^w"</f>
        <v>#VALUE!</v>
      </c>
      <c r="BV298" t="e">
        <f>Europe!1581:1581-"$F;@!0^x"</f>
        <v>#VALUE!</v>
      </c>
      <c r="BW298" t="e">
        <f>Europe!1582:1582-"$F;@!0^y"</f>
        <v>#VALUE!</v>
      </c>
      <c r="BX298" t="e">
        <f>Europe!1583:1583-"$F;@!0^z"</f>
        <v>#VALUE!</v>
      </c>
      <c r="BY298" t="e">
        <f>Europe!1584:1584-"$F;@!0^{"</f>
        <v>#VALUE!</v>
      </c>
      <c r="BZ298" t="e">
        <f>Europe!1585:1585-"$F;@!0^|"</f>
        <v>#VALUE!</v>
      </c>
      <c r="CA298" t="e">
        <f>Europe!1586:1586-"$F;@!0^}"</f>
        <v>#VALUE!</v>
      </c>
      <c r="CB298" t="e">
        <f>Europe!1587:1587-"$F;@!0^~"</f>
        <v>#VALUE!</v>
      </c>
      <c r="CC298" t="e">
        <f>Europe!1588:1588-"$F;@!0_#"</f>
        <v>#VALUE!</v>
      </c>
      <c r="CD298" t="e">
        <f>Europe!1589:1589-"$F;@!0_$"</f>
        <v>#VALUE!</v>
      </c>
      <c r="CE298" t="e">
        <f>Europe!1590:1590-"$F;@!0_%"</f>
        <v>#VALUE!</v>
      </c>
      <c r="CF298" t="e">
        <f>Europe!1591:1591-"$F;@!0_&amp;"</f>
        <v>#VALUE!</v>
      </c>
      <c r="CG298" t="e">
        <f>Europe!1592:1592-"$F;@!0_'"</f>
        <v>#VALUE!</v>
      </c>
      <c r="CH298" t="e">
        <f>Europe!1593:1593-"$F;@!0_("</f>
        <v>#VALUE!</v>
      </c>
      <c r="CI298" t="e">
        <f>Europe!1594:1594-"$F;@!0_)"</f>
        <v>#VALUE!</v>
      </c>
      <c r="CJ298" t="e">
        <f>Europe!1595:1595-"$F;@!0_."</f>
        <v>#VALUE!</v>
      </c>
      <c r="CK298" t="e">
        <f>Europe!1596:1596-"$F;@!0_/"</f>
        <v>#VALUE!</v>
      </c>
      <c r="CL298" t="e">
        <f>Europe!1597:1597-"$F;@!0_0"</f>
        <v>#VALUE!</v>
      </c>
      <c r="CM298" t="e">
        <f>Europe!1598:1598-"$F;@!0_1"</f>
        <v>#VALUE!</v>
      </c>
      <c r="CN298" t="e">
        <f>Europe!1599:1599-"$F;@!0_2"</f>
        <v>#VALUE!</v>
      </c>
      <c r="CO298" t="e">
        <f>Europe!1600:1600-"$F;@!0_3"</f>
        <v>#VALUE!</v>
      </c>
      <c r="CP298" t="e">
        <f>Europe!1601:1601-"$F;@!0_4"</f>
        <v>#VALUE!</v>
      </c>
      <c r="CQ298" t="e">
        <f>Europe!1602:1602-"$F;@!0_5"</f>
        <v>#VALUE!</v>
      </c>
      <c r="CR298" t="e">
        <f>Europe!1603:1603-"$F;@!0_6"</f>
        <v>#VALUE!</v>
      </c>
      <c r="CS298" t="e">
        <f>Europe!1604:1604-"$F;@!0_7"</f>
        <v>#VALUE!</v>
      </c>
      <c r="CT298" t="e">
        <f>Europe!1605:1605-"$F;@!0_8"</f>
        <v>#VALUE!</v>
      </c>
      <c r="CU298" t="e">
        <f>Europe!1606:1606-"$F;@!0_9"</f>
        <v>#VALUE!</v>
      </c>
      <c r="CV298" t="e">
        <f>Europe!1607:1607-"$F;@!0_:"</f>
        <v>#VALUE!</v>
      </c>
      <c r="CW298" t="e">
        <f>Europe!1608:1608-"$F;@!0_;"</f>
        <v>#VALUE!</v>
      </c>
      <c r="CX298" t="e">
        <f>Europe!1609:1609-"$F;@!0_&lt;"</f>
        <v>#VALUE!</v>
      </c>
      <c r="CY298" t="e">
        <f>Europe!1610:1610-"$F;@!0_="</f>
        <v>#VALUE!</v>
      </c>
      <c r="CZ298" t="e">
        <f>Europe!1611:1611-"$F;@!0_&gt;"</f>
        <v>#VALUE!</v>
      </c>
      <c r="DA298" t="e">
        <f>Europe!1612:1612-"$F;@!0_?"</f>
        <v>#VALUE!</v>
      </c>
      <c r="DB298" t="e">
        <f>Europe!1613:1613-"$F;@!0_@"</f>
        <v>#VALUE!</v>
      </c>
      <c r="DC298" t="e">
        <f>Europe!1614:1614-"$F;@!0_A"</f>
        <v>#VALUE!</v>
      </c>
      <c r="DD298" t="e">
        <f>Europe!1615:1615-"$F;@!0_B"</f>
        <v>#VALUE!</v>
      </c>
      <c r="DE298" t="e">
        <f>Europe!1616:1616-"$F;@!0_C"</f>
        <v>#VALUE!</v>
      </c>
      <c r="DF298" t="e">
        <f>Europe!1617:1617-"$F;@!0_D"</f>
        <v>#VALUE!</v>
      </c>
      <c r="DG298" t="e">
        <f>Europe!1618:1618-"$F;@!0_E"</f>
        <v>#VALUE!</v>
      </c>
      <c r="DH298" t="e">
        <f>Europe!1619:1619-"$F;@!0_F"</f>
        <v>#VALUE!</v>
      </c>
      <c r="DI298" t="e">
        <f>Europe!1620:1620-"$F;@!0_G"</f>
        <v>#VALUE!</v>
      </c>
      <c r="DJ298" t="e">
        <f>Europe!1621:1621-"$F;@!0_H"</f>
        <v>#VALUE!</v>
      </c>
      <c r="DK298" t="e">
        <f>Europe!1622:1622-"$F;@!0_I"</f>
        <v>#VALUE!</v>
      </c>
      <c r="DL298" t="e">
        <f>Europe!1623:1623-"$F;@!0_J"</f>
        <v>#VALUE!</v>
      </c>
      <c r="DM298" t="e">
        <f>Europe!1624:1624-"$F;@!0_K"</f>
        <v>#VALUE!</v>
      </c>
      <c r="DN298" t="e">
        <f>Europe!1625:1625-"$F;@!0_L"</f>
        <v>#VALUE!</v>
      </c>
      <c r="DO298" t="e">
        <f>Europe!1626:1626-"$F;@!0_M"</f>
        <v>#VALUE!</v>
      </c>
      <c r="DP298" t="e">
        <f>Europe!1627:1627-"$F;@!0_N"</f>
        <v>#VALUE!</v>
      </c>
      <c r="DQ298" t="e">
        <f>Europe!1628:1628-"$F;@!0_O"</f>
        <v>#VALUE!</v>
      </c>
      <c r="DR298" t="e">
        <f>Europe!1629:1629-"$F;@!0_P"</f>
        <v>#VALUE!</v>
      </c>
      <c r="DS298" t="e">
        <f>Europe!1630:1630-"$F;@!0_Q"</f>
        <v>#VALUE!</v>
      </c>
      <c r="DT298" t="e">
        <f>Europe!1631:1631-"$F;@!0_R"</f>
        <v>#VALUE!</v>
      </c>
      <c r="DU298" t="e">
        <f>Europe!1632:1632-"$F;@!0_S"</f>
        <v>#VALUE!</v>
      </c>
      <c r="DV298" t="e">
        <f>Europe!1633:1633-"$F;@!0_T"</f>
        <v>#VALUE!</v>
      </c>
      <c r="DW298" t="e">
        <f>Europe!1634:1634-"$F;@!0_U"</f>
        <v>#VALUE!</v>
      </c>
      <c r="DX298" t="e">
        <f>Europe!1635:1635-"$F;@!0_V"</f>
        <v>#VALUE!</v>
      </c>
      <c r="DY298" t="e">
        <f>Europe!1636:1636-"$F;@!0_W"</f>
        <v>#VALUE!</v>
      </c>
      <c r="DZ298" t="e">
        <f>Europe!1637:1637-"$F;@!0_X"</f>
        <v>#VALUE!</v>
      </c>
      <c r="EA298" t="e">
        <f>Europe!1638:1638-"$F;@!0_Y"</f>
        <v>#VALUE!</v>
      </c>
      <c r="EB298" t="e">
        <f>Europe!1639:1639-"$F;@!0_Z"</f>
        <v>#VALUE!</v>
      </c>
      <c r="EC298" t="e">
        <f>Europe!1640:1640-"$F;@!0_["</f>
        <v>#VALUE!</v>
      </c>
      <c r="ED298" t="e">
        <f>Europe!1641:1641-"$F;@!0_\"</f>
        <v>#VALUE!</v>
      </c>
      <c r="EE298" t="e">
        <f>Europe!1642:1642-"$F;@!0_]"</f>
        <v>#VALUE!</v>
      </c>
      <c r="EF298" t="e">
        <f>Europe!1643:1643-"$F;@!0_^"</f>
        <v>#VALUE!</v>
      </c>
      <c r="EG298" t="e">
        <f>Europe!1644:1644-"$F;@!0__"</f>
        <v>#VALUE!</v>
      </c>
      <c r="EH298" t="e">
        <f>Europe!1645:1645-"$F;@!0_`"</f>
        <v>#VALUE!</v>
      </c>
      <c r="EI298" t="e">
        <f>Europe!1646:1646-"$F;@!0_a"</f>
        <v>#VALUE!</v>
      </c>
      <c r="EJ298" t="e">
        <f>Europe!1647:1647-"$F;@!0_b"</f>
        <v>#VALUE!</v>
      </c>
      <c r="EK298" t="e">
        <f>Europe!1648:1648-"$F;@!0_c"</f>
        <v>#VALUE!</v>
      </c>
      <c r="EL298" t="e">
        <f>Europe!1649:1649-"$F;@!0_d"</f>
        <v>#VALUE!</v>
      </c>
      <c r="EM298" t="e">
        <f>Europe!1650:1650-"$F;@!0_e"</f>
        <v>#VALUE!</v>
      </c>
      <c r="EN298" t="e">
        <f>Europe!1651:1651-"$F;@!0_f"</f>
        <v>#VALUE!</v>
      </c>
      <c r="EO298" t="e">
        <f>Europe!1652:1652-"$F;@!0_g"</f>
        <v>#VALUE!</v>
      </c>
      <c r="EP298" t="e">
        <f>Europe!1653:1653-"$F;@!0_h"</f>
        <v>#VALUE!</v>
      </c>
      <c r="EQ298" t="e">
        <f>Europe!1654:1654-"$F;@!0_i"</f>
        <v>#VALUE!</v>
      </c>
      <c r="ER298" t="e">
        <f>Europe!1655:1655-"$F;@!0_j"</f>
        <v>#VALUE!</v>
      </c>
      <c r="ES298" t="e">
        <f>Europe!1656:1656-"$F;@!0_k"</f>
        <v>#VALUE!</v>
      </c>
      <c r="ET298" t="e">
        <f>Europe!1657:1657-"$F;@!0_l"</f>
        <v>#VALUE!</v>
      </c>
      <c r="EU298" t="e">
        <f>Europe!1658:1658-"$F;@!0_m"</f>
        <v>#VALUE!</v>
      </c>
      <c r="EV298" t="e">
        <f>Europe!1659:1659-"$F;@!0_n"</f>
        <v>#VALUE!</v>
      </c>
      <c r="EW298" t="e">
        <f>Europe!1660:1660-"$F;@!0_o"</f>
        <v>#VALUE!</v>
      </c>
      <c r="EX298" t="e">
        <f>Europe!1661:1661-"$F;@!0_p"</f>
        <v>#VALUE!</v>
      </c>
      <c r="EY298" t="e">
        <f>Europe!1662:1662-"$F;@!0_q"</f>
        <v>#VALUE!</v>
      </c>
      <c r="EZ298" t="e">
        <f>Europe!1663:1663-"$F;@!0_r"</f>
        <v>#VALUE!</v>
      </c>
      <c r="FA298" t="e">
        <f>Europe!1664:1664-"$F;@!0_s"</f>
        <v>#VALUE!</v>
      </c>
      <c r="FB298" t="e">
        <f>Europe!1665:1665-"$F;@!0_t"</f>
        <v>#VALUE!</v>
      </c>
      <c r="FC298" t="e">
        <f>Europe!1666:1666-"$F;@!0_u"</f>
        <v>#VALUE!</v>
      </c>
      <c r="FD298" t="e">
        <f>Europe!1667:1667-"$F;@!0_v"</f>
        <v>#VALUE!</v>
      </c>
      <c r="FE298" t="e">
        <f>Europe!1668:1668-"$F;@!0_w"</f>
        <v>#VALUE!</v>
      </c>
      <c r="FF298" t="e">
        <f>Europe!1669:1669-"$F;@!0_x"</f>
        <v>#VALUE!</v>
      </c>
      <c r="FG298" t="e">
        <f>Europe!1670:1670-"$F;@!0_y"</f>
        <v>#VALUE!</v>
      </c>
      <c r="FH298" t="e">
        <f>Europe!1671:1671-"$F;@!0_z"</f>
        <v>#VALUE!</v>
      </c>
      <c r="FI298" t="e">
        <f>Europe!1672:1672-"$F;@!0_{"</f>
        <v>#VALUE!</v>
      </c>
      <c r="FJ298" t="e">
        <f>Europe!1673:1673-"$F;@!0_|"</f>
        <v>#VALUE!</v>
      </c>
      <c r="FK298" t="e">
        <f>Europe!1674:1674-"$F;@!0_}"</f>
        <v>#VALUE!</v>
      </c>
      <c r="FL298" t="e">
        <f>Europe!1675:1675-"$F;@!0_~"</f>
        <v>#VALUE!</v>
      </c>
      <c r="FM298" t="e">
        <f>Europe!1676:1676-"$F;@!0`#"</f>
        <v>#VALUE!</v>
      </c>
      <c r="FN298" t="e">
        <f>Europe!1677:1677-"$F;@!0`$"</f>
        <v>#VALUE!</v>
      </c>
      <c r="FO298" t="e">
        <f>Europe!1678:1678-"$F;@!0`%"</f>
        <v>#VALUE!</v>
      </c>
      <c r="FP298" t="e">
        <f>Europe!1679:1679-"$F;@!0`&amp;"</f>
        <v>#VALUE!</v>
      </c>
      <c r="FQ298" t="e">
        <f>Europe!1680:1680-"$F;@!0`'"</f>
        <v>#VALUE!</v>
      </c>
      <c r="FR298" t="e">
        <f>Europe!1681:1681-"$F;@!0`("</f>
        <v>#VALUE!</v>
      </c>
      <c r="FS298" t="e">
        <f>Europe!1682:1682-"$F;@!0`)"</f>
        <v>#VALUE!</v>
      </c>
      <c r="FT298" t="e">
        <f>Europe!1683:1683-"$F;@!0`."</f>
        <v>#VALUE!</v>
      </c>
      <c r="FU298" t="e">
        <f>Europe!1684:1684-"$F;@!0`/"</f>
        <v>#VALUE!</v>
      </c>
      <c r="FV298" t="e">
        <f>Europe!1685:1685-"$F;@!0`0"</f>
        <v>#VALUE!</v>
      </c>
      <c r="FW298" t="e">
        <f>Europe!1686:1686-"$F;@!0`1"</f>
        <v>#VALUE!</v>
      </c>
      <c r="FX298" t="e">
        <f>Europe!1687:1687-"$F;@!0`2"</f>
        <v>#VALUE!</v>
      </c>
      <c r="FY298" t="e">
        <f>Europe!1688:1688-"$F;@!0`3"</f>
        <v>#VALUE!</v>
      </c>
      <c r="FZ298" t="e">
        <f>Europe!1689:1689-"$F;@!0`4"</f>
        <v>#VALUE!</v>
      </c>
      <c r="GA298" t="e">
        <f>Europe!1690:1690-"$F;@!0`5"</f>
        <v>#VALUE!</v>
      </c>
      <c r="GB298" t="e">
        <f>Europe!1691:1691-"$F;@!0`6"</f>
        <v>#VALUE!</v>
      </c>
      <c r="GC298" t="e">
        <f>Europe!1692:1692-"$F;@!0`7"</f>
        <v>#VALUE!</v>
      </c>
      <c r="GD298" t="e">
        <f>Europe!1693:1693-"$F;@!0`8"</f>
        <v>#VALUE!</v>
      </c>
      <c r="GE298" t="e">
        <f>Europe!1694:1694-"$F;@!0`9"</f>
        <v>#VALUE!</v>
      </c>
      <c r="GF298" t="e">
        <f>Europe!1695:1695-"$F;@!0`:"</f>
        <v>#VALUE!</v>
      </c>
      <c r="GG298" t="e">
        <f>Europe!1696:1696-"$F;@!0`;"</f>
        <v>#VALUE!</v>
      </c>
      <c r="GH298" t="e">
        <f>Europe!1697:1697-"$F;@!0`&lt;"</f>
        <v>#VALUE!</v>
      </c>
      <c r="GI298" t="e">
        <f>Europe!1698:1698-"$F;@!0`="</f>
        <v>#VALUE!</v>
      </c>
      <c r="GJ298" t="e">
        <f>Europe!1699:1699-"$F;@!0`&gt;"</f>
        <v>#VALUE!</v>
      </c>
      <c r="GK298" t="e">
        <f>Europe!1700:1700-"$F;@!0`?"</f>
        <v>#VALUE!</v>
      </c>
      <c r="GL298" t="e">
        <f>Europe!1701:1701-"$F;@!0`@"</f>
        <v>#VALUE!</v>
      </c>
      <c r="GM298" t="e">
        <f>Europe!1702:1702-"$F;@!0`A"</f>
        <v>#VALUE!</v>
      </c>
      <c r="GN298" t="e">
        <f>Europe!1703:1703-"$F;@!0`B"</f>
        <v>#VALUE!</v>
      </c>
      <c r="GO298" t="e">
        <f>Europe!1704:1704-"$F;@!0`C"</f>
        <v>#VALUE!</v>
      </c>
      <c r="GP298" t="e">
        <f>Europe!1705:1705-"$F;@!0`D"</f>
        <v>#VALUE!</v>
      </c>
      <c r="GQ298" t="e">
        <f>Europe!1706:1706-"$F;@!0`E"</f>
        <v>#VALUE!</v>
      </c>
      <c r="GR298" t="e">
        <f>Europe!1707:1707-"$F;@!0`F"</f>
        <v>#VALUE!</v>
      </c>
      <c r="GS298" t="e">
        <f>Europe!1708:1708-"$F;@!0`G"</f>
        <v>#VALUE!</v>
      </c>
      <c r="GT298" t="e">
        <f>Europe!1709:1709-"$F;@!0`H"</f>
        <v>#VALUE!</v>
      </c>
      <c r="GU298" t="e">
        <f>Europe!1710:1710-"$F;@!0`I"</f>
        <v>#VALUE!</v>
      </c>
      <c r="GV298" t="e">
        <f>Europe!1711:1711-"$F;@!0`J"</f>
        <v>#VALUE!</v>
      </c>
      <c r="GW298" t="e">
        <f>Europe!1712:1712-"$F;@!0`K"</f>
        <v>#VALUE!</v>
      </c>
      <c r="GX298" t="e">
        <f>Europe!1713:1713-"$F;@!0`L"</f>
        <v>#VALUE!</v>
      </c>
      <c r="GY298" t="e">
        <f>Europe!1714:1714-"$F;@!0`M"</f>
        <v>#VALUE!</v>
      </c>
      <c r="GZ298" t="e">
        <f>Europe!1715:1715-"$F;@!0`N"</f>
        <v>#VALUE!</v>
      </c>
      <c r="HA298" t="e">
        <f>Europe!1716:1716-"$F;@!0`O"</f>
        <v>#VALUE!</v>
      </c>
      <c r="HB298" t="e">
        <f>Europe!1717:1717-"$F;@!0`P"</f>
        <v>#VALUE!</v>
      </c>
      <c r="HC298" t="e">
        <f>Europe!1718:1718-"$F;@!0`Q"</f>
        <v>#VALUE!</v>
      </c>
      <c r="HD298" t="e">
        <f>Europe!1719:1719-"$F;@!0`R"</f>
        <v>#VALUE!</v>
      </c>
      <c r="HE298" t="e">
        <f>Europe!1720:1720-"$F;@!0`S"</f>
        <v>#VALUE!</v>
      </c>
      <c r="HF298" t="e">
        <f>Europe!1721:1721-"$F;@!0`T"</f>
        <v>#VALUE!</v>
      </c>
      <c r="HG298" t="e">
        <f>Europe!1722:1722-"$F;@!0`U"</f>
        <v>#VALUE!</v>
      </c>
      <c r="HH298" t="e">
        <f>Europe!1723:1723-"$F;@!0`V"</f>
        <v>#VALUE!</v>
      </c>
      <c r="HI298" t="e">
        <f>Europe!1724:1724-"$F;@!0`W"</f>
        <v>#VALUE!</v>
      </c>
      <c r="HJ298" t="e">
        <f>Europe!1725:1725-"$F;@!0`X"</f>
        <v>#VALUE!</v>
      </c>
      <c r="HK298" t="e">
        <f>Europe!1726:1726-"$F;@!0`Y"</f>
        <v>#VALUE!</v>
      </c>
      <c r="HL298" t="e">
        <f>Europe!1727:1727-"$F;@!0`Z"</f>
        <v>#VALUE!</v>
      </c>
      <c r="HM298" t="e">
        <f>Europe!1728:1728-"$F;@!0`["</f>
        <v>#VALUE!</v>
      </c>
      <c r="HN298" t="e">
        <f>Europe!1729:1729-"$F;@!0`\"</f>
        <v>#VALUE!</v>
      </c>
      <c r="HO298" t="e">
        <f>Europe!1730:1730-"$F;@!0`]"</f>
        <v>#VALUE!</v>
      </c>
      <c r="HP298" t="e">
        <f>Europe!1731:1731-"$F;@!0`^"</f>
        <v>#VALUE!</v>
      </c>
      <c r="HQ298" t="e">
        <f>Europe!1732:1732-"$F;@!0`_"</f>
        <v>#VALUE!</v>
      </c>
      <c r="HR298" t="e">
        <f>Europe!1733:1733-"$F;@!0``"</f>
        <v>#VALUE!</v>
      </c>
      <c r="HS298" t="e">
        <f>Europe!1734:1734-"$F;@!0`a"</f>
        <v>#VALUE!</v>
      </c>
      <c r="HT298" t="e">
        <f>Europe!1735:1735-"$F;@!0`b"</f>
        <v>#VALUE!</v>
      </c>
      <c r="HU298" t="e">
        <f>Europe!1736:1736-"$F;@!0`c"</f>
        <v>#VALUE!</v>
      </c>
      <c r="HV298" t="e">
        <f>Europe!1737:1737-"$F;@!0`d"</f>
        <v>#VALUE!</v>
      </c>
      <c r="HW298" t="e">
        <f>Europe!1738:1738-"$F;@!0`e"</f>
        <v>#VALUE!</v>
      </c>
      <c r="HX298" t="e">
        <f>Europe!1739:1739-"$F;@!0`f"</f>
        <v>#VALUE!</v>
      </c>
      <c r="HY298" t="e">
        <f>Europe!1740:1740-"$F;@!0`g"</f>
        <v>#VALUE!</v>
      </c>
      <c r="HZ298" t="e">
        <f>Europe!1741:1741-"$F;@!0`h"</f>
        <v>#VALUE!</v>
      </c>
      <c r="IA298" t="e">
        <f>Europe!1742:1742-"$F;@!0`i"</f>
        <v>#VALUE!</v>
      </c>
      <c r="IB298" t="e">
        <f>Europe!1743:1743-"$F;@!0`j"</f>
        <v>#VALUE!</v>
      </c>
      <c r="IC298" t="e">
        <f>Europe!1744:1744-"$F;@!0`k"</f>
        <v>#VALUE!</v>
      </c>
      <c r="ID298" t="e">
        <f>Europe!1745:1745-"$F;@!0`l"</f>
        <v>#VALUE!</v>
      </c>
      <c r="IE298" t="e">
        <f>Europe!1746:1746-"$F;@!0`m"</f>
        <v>#VALUE!</v>
      </c>
      <c r="IF298" t="e">
        <f>Europe!1747:1747-"$F;@!0`n"</f>
        <v>#VALUE!</v>
      </c>
      <c r="IG298" t="e">
        <f>Europe!1748:1748-"$F;@!0`o"</f>
        <v>#VALUE!</v>
      </c>
      <c r="IH298" t="e">
        <f>Europe!1749:1749-"$F;@!0`p"</f>
        <v>#VALUE!</v>
      </c>
      <c r="II298" t="e">
        <f>Europe!1750:1750-"$F;@!0`q"</f>
        <v>#VALUE!</v>
      </c>
      <c r="IJ298" t="e">
        <f>Europe!1751:1751-"$F;@!0`r"</f>
        <v>#VALUE!</v>
      </c>
      <c r="IK298" t="e">
        <f>Europe!1752:1752-"$F;@!0`s"</f>
        <v>#VALUE!</v>
      </c>
      <c r="IL298" t="e">
        <f>Europe!1753:1753-"$F;@!0`t"</f>
        <v>#VALUE!</v>
      </c>
      <c r="IM298" t="e">
        <f>Europe!1754:1754-"$F;@!0`u"</f>
        <v>#VALUE!</v>
      </c>
      <c r="IN298" t="e">
        <f>Europe!1755:1755-"$F;@!0`v"</f>
        <v>#VALUE!</v>
      </c>
      <c r="IO298" t="e">
        <f>Europe!1756:1756-"$F;@!0`w"</f>
        <v>#VALUE!</v>
      </c>
      <c r="IP298" t="e">
        <f>Europe!1757:1757-"$F;@!0`x"</f>
        <v>#VALUE!</v>
      </c>
      <c r="IQ298" t="e">
        <f>Europe!1758:1758-"$F;@!0`y"</f>
        <v>#VALUE!</v>
      </c>
      <c r="IR298" t="e">
        <f>Europe!1759:1759-"$F;@!0`z"</f>
        <v>#VALUE!</v>
      </c>
      <c r="IS298" t="e">
        <f>Europe!1760:1760-"$F;@!0`{"</f>
        <v>#VALUE!</v>
      </c>
      <c r="IT298" t="e">
        <f>Europe!1761:1761-"$F;@!0`|"</f>
        <v>#VALUE!</v>
      </c>
      <c r="IU298" t="e">
        <f>Europe!1762:1762-"$F;@!0`}"</f>
        <v>#VALUE!</v>
      </c>
      <c r="IV298" t="e">
        <f>Europe!1763:1763-"$F;@!0`~"</f>
        <v>#VALUE!</v>
      </c>
    </row>
    <row r="299" spans="6:256" x14ac:dyDescent="0.35">
      <c r="F299" t="e">
        <f>Europe!1764:1764-"$F;@!0a#"</f>
        <v>#VALUE!</v>
      </c>
      <c r="G299" t="e">
        <f>Europe!1765:1765-"$F;@!0a$"</f>
        <v>#VALUE!</v>
      </c>
      <c r="H299" t="e">
        <f>Europe!1766:1766-"$F;@!0a%"</f>
        <v>#VALUE!</v>
      </c>
      <c r="I299" t="e">
        <f>Europe!1767:1767-"$F;@!0a&amp;"</f>
        <v>#VALUE!</v>
      </c>
      <c r="J299" t="e">
        <f>Europe!1768:1768-"$F;@!0a'"</f>
        <v>#VALUE!</v>
      </c>
      <c r="K299" t="e">
        <f>Europe!1769:1769-"$F;@!0a("</f>
        <v>#VALUE!</v>
      </c>
      <c r="L299" t="e">
        <f>Europe!1770:1770-"$F;@!0a)"</f>
        <v>#VALUE!</v>
      </c>
      <c r="M299" t="e">
        <f>Europe!1771:1771-"$F;@!0a."</f>
        <v>#VALUE!</v>
      </c>
      <c r="N299" t="e">
        <f>Europe!1772:1772-"$F;@!0a/"</f>
        <v>#VALUE!</v>
      </c>
      <c r="O299" t="e">
        <f>Europe!1773:1773-"$F;@!0a0"</f>
        <v>#VALUE!</v>
      </c>
      <c r="P299" t="e">
        <f>Europe!1774:1774-"$F;@!0a1"</f>
        <v>#VALUE!</v>
      </c>
      <c r="Q299" t="e">
        <f>Europe!1775:1775-"$F;@!0a2"</f>
        <v>#VALUE!</v>
      </c>
      <c r="R299" t="e">
        <f>Europe!1776:1776-"$F;@!0a3"</f>
        <v>#VALUE!</v>
      </c>
      <c r="S299" t="e">
        <f>Europe!1777:1777-"$F;@!0a4"</f>
        <v>#VALUE!</v>
      </c>
      <c r="T299" t="e">
        <f>Europe!1778:1778-"$F;@!0a5"</f>
        <v>#VALUE!</v>
      </c>
      <c r="U299" t="e">
        <f>Europe!1779:1779-"$F;@!0a6"</f>
        <v>#VALUE!</v>
      </c>
      <c r="V299" t="e">
        <f>Europe!1780:1780-"$F;@!0a7"</f>
        <v>#VALUE!</v>
      </c>
      <c r="W299" t="e">
        <f>Europe!1781:1781-"$F;@!0a8"</f>
        <v>#VALUE!</v>
      </c>
      <c r="X299" t="e">
        <f>Europe!1782:1782-"$F;@!0a9"</f>
        <v>#VALUE!</v>
      </c>
      <c r="Y299" t="e">
        <f>Europe!1783:1783-"$F;@!0a:"</f>
        <v>#VALUE!</v>
      </c>
      <c r="Z299" t="e">
        <f>Europe!1784:1784-"$F;@!0a;"</f>
        <v>#VALUE!</v>
      </c>
      <c r="AA299" t="e">
        <f>Europe!1785:1785-"$F;@!0a&lt;"</f>
        <v>#VALUE!</v>
      </c>
      <c r="AB299" t="e">
        <f>Europe!1786:1786-"$F;@!0a="</f>
        <v>#VALUE!</v>
      </c>
      <c r="AC299" t="e">
        <f>Europe!1787:1787-"$F;@!0a&gt;"</f>
        <v>#VALUE!</v>
      </c>
      <c r="AD299" t="e">
        <f>Europe!1788:1788-"$F;@!0a?"</f>
        <v>#VALUE!</v>
      </c>
      <c r="AE299" t="e">
        <f>Europe!1789:1789-"$F;@!0a@"</f>
        <v>#VALUE!</v>
      </c>
      <c r="AF299" t="e">
        <f>Europe!1790:1790-"$F;@!0aA"</f>
        <v>#VALUE!</v>
      </c>
      <c r="AG299" t="e">
        <f>Europe!1791:1791-"$F;@!0aB"</f>
        <v>#VALUE!</v>
      </c>
      <c r="AH299" t="e">
        <f>Europe!1792:1792-"$F;@!0aC"</f>
        <v>#VALUE!</v>
      </c>
      <c r="AI299" t="e">
        <f>Europe!1793:1793-"$F;@!0aD"</f>
        <v>#VALUE!</v>
      </c>
      <c r="AJ299" t="e">
        <f>Europe!1794:1794-"$F;@!0aE"</f>
        <v>#VALUE!</v>
      </c>
      <c r="AK299" t="e">
        <f>Europe!1795:1795-"$F;@!0aF"</f>
        <v>#VALUE!</v>
      </c>
      <c r="AL299" t="e">
        <f>Europe!1796:1796-"$F;@!0aG"</f>
        <v>#VALUE!</v>
      </c>
      <c r="AM299" t="e">
        <f>Europe!1797:1797-"$F;@!0aH"</f>
        <v>#VALUE!</v>
      </c>
      <c r="AN299" t="e">
        <f>Europe!1798:1798-"$F;@!0aI"</f>
        <v>#VALUE!</v>
      </c>
      <c r="AO299" t="e">
        <f>Europe!1799:1799-"$F;@!0aJ"</f>
        <v>#VALUE!</v>
      </c>
      <c r="AP299" t="e">
        <f>Europe!1800:1800-"$F;@!0aK"</f>
        <v>#VALUE!</v>
      </c>
      <c r="AQ299" t="e">
        <f>Europe!1801:1801-"$F;@!0aL"</f>
        <v>#VALUE!</v>
      </c>
      <c r="AR299" t="e">
        <f>Europe!1802:1802-"$F;@!0aM"</f>
        <v>#VALUE!</v>
      </c>
      <c r="AS299" t="e">
        <f>Europe!1803:1803-"$F;@!0aN"</f>
        <v>#VALUE!</v>
      </c>
      <c r="AT299" t="e">
        <f>Europe!1804:1804-"$F;@!0aO"</f>
        <v>#VALUE!</v>
      </c>
      <c r="AU299" t="e">
        <f>Europe!1805:1805-"$F;@!0aP"</f>
        <v>#VALUE!</v>
      </c>
      <c r="AV299" t="e">
        <f>Europe!1806:1806-"$F;@!0aQ"</f>
        <v>#VALUE!</v>
      </c>
      <c r="AW299" t="e">
        <f>Europe!1807:1807-"$F;@!0aR"</f>
        <v>#VALUE!</v>
      </c>
      <c r="AX299" t="e">
        <f>Europe!1808:1808-"$F;@!0aS"</f>
        <v>#VALUE!</v>
      </c>
      <c r="AY299" t="e">
        <f>Europe!1809:1809-"$F;@!0aT"</f>
        <v>#VALUE!</v>
      </c>
      <c r="AZ299" t="e">
        <f>Europe!1810:1810-"$F;@!0aU"</f>
        <v>#VALUE!</v>
      </c>
      <c r="BA299" t="e">
        <f>Europe!1811:1811-"$F;@!0aV"</f>
        <v>#VALUE!</v>
      </c>
      <c r="BB299" t="e">
        <f>Europe!1812:1812-"$F;@!0aW"</f>
        <v>#VALUE!</v>
      </c>
      <c r="BC299" t="e">
        <f>Europe!1813:1813-"$F;@!0aX"</f>
        <v>#VALUE!</v>
      </c>
      <c r="BD299" t="e">
        <f>Europe!1814:1814-"$F;@!0aY"</f>
        <v>#VALUE!</v>
      </c>
      <c r="BE299" t="e">
        <f>Europe!1815:1815-"$F;@!0aZ"</f>
        <v>#VALUE!</v>
      </c>
      <c r="BF299" t="e">
        <f>Europe!1816:1816-"$F;@!0a["</f>
        <v>#VALUE!</v>
      </c>
      <c r="BG299" t="e">
        <f>Europe!1817:1817-"$F;@!0a\"</f>
        <v>#VALUE!</v>
      </c>
      <c r="BH299" t="e">
        <f>Europe!1818:1818-"$F;@!0a]"</f>
        <v>#VALUE!</v>
      </c>
      <c r="BI299" t="e">
        <f>Europe!1819:1819-"$F;@!0a^"</f>
        <v>#VALUE!</v>
      </c>
      <c r="BJ299" t="e">
        <f>Europe!1820:1820-"$F;@!0a_"</f>
        <v>#VALUE!</v>
      </c>
      <c r="BK299" t="e">
        <f>Europe!1821:1821-"$F;@!0a`"</f>
        <v>#VALUE!</v>
      </c>
      <c r="BL299" t="e">
        <f>Europe!1822:1822-"$F;@!0aa"</f>
        <v>#VALUE!</v>
      </c>
      <c r="BM299" t="e">
        <f>Europe!1823:1823-"$F;@!0ab"</f>
        <v>#VALUE!</v>
      </c>
      <c r="BN299" t="e">
        <f>Europe!1824:1824-"$F;@!0ac"</f>
        <v>#VALUE!</v>
      </c>
      <c r="BO299" t="e">
        <f>Europe!1825:1825-"$F;@!0ad"</f>
        <v>#VALUE!</v>
      </c>
      <c r="BP299" t="e">
        <f>Europe!1826:1826-"$F;@!0ae"</f>
        <v>#VALUE!</v>
      </c>
      <c r="BQ299" t="e">
        <f>Europe!1827:1827-"$F;@!0af"</f>
        <v>#VALUE!</v>
      </c>
      <c r="BR299" t="e">
        <f>Europe!1828:1828-"$F;@!0ag"</f>
        <v>#VALUE!</v>
      </c>
      <c r="BS299" t="e">
        <f>Europe!1829:1829-"$F;@!0ah"</f>
        <v>#VALUE!</v>
      </c>
      <c r="BT299" t="e">
        <f>Europe!1830:1830-"$F;@!0ai"</f>
        <v>#VALUE!</v>
      </c>
      <c r="BU299" t="e">
        <f>Europe!1831:1831-"$F;@!0aj"</f>
        <v>#VALUE!</v>
      </c>
      <c r="BV299" t="e">
        <f>Europe!1832:1832-"$F;@!0ak"</f>
        <v>#VALUE!</v>
      </c>
      <c r="BW299" t="e">
        <f>Europe!1833:1833-"$F;@!0al"</f>
        <v>#VALUE!</v>
      </c>
      <c r="BX299" t="e">
        <f>Europe!1834:1834-"$F;@!0am"</f>
        <v>#VALUE!</v>
      </c>
      <c r="BY299" t="e">
        <f>Europe!1835:1835-"$F;@!0an"</f>
        <v>#VALUE!</v>
      </c>
      <c r="BZ299" t="e">
        <f>Europe!1836:1836-"$F;@!0ao"</f>
        <v>#VALUE!</v>
      </c>
      <c r="CA299" t="e">
        <f>Europe!1837:1837-"$F;@!0ap"</f>
        <v>#VALUE!</v>
      </c>
      <c r="CB299" t="e">
        <f>Europe!1838:1838-"$F;@!0aq"</f>
        <v>#VALUE!</v>
      </c>
      <c r="CC299" t="e">
        <f>Europe!1839:1839-"$F;@!0ar"</f>
        <v>#VALUE!</v>
      </c>
      <c r="CD299" t="e">
        <f>Europe!1840:1840-"$F;@!0as"</f>
        <v>#VALUE!</v>
      </c>
      <c r="CE299" t="e">
        <f>Europe!1841:1841-"$F;@!0at"</f>
        <v>#VALUE!</v>
      </c>
      <c r="CF299" t="e">
        <f>Europe!1842:1842-"$F;@!0au"</f>
        <v>#VALUE!</v>
      </c>
      <c r="CG299" t="e">
        <f>Europe!1843:1843-"$F;@!0av"</f>
        <v>#VALUE!</v>
      </c>
      <c r="CH299" t="e">
        <f>Europe!1844:1844-"$F;@!0aw"</f>
        <v>#VALUE!</v>
      </c>
      <c r="CI299" t="e">
        <f>Europe!1845:1845-"$F;@!0ax"</f>
        <v>#VALUE!</v>
      </c>
      <c r="CJ299" t="e">
        <f>Europe!1846:1846-"$F;@!0ay"</f>
        <v>#VALUE!</v>
      </c>
      <c r="CK299" t="e">
        <f>Europe!1847:1847-"$F;@!0az"</f>
        <v>#VALUE!</v>
      </c>
      <c r="CL299" t="e">
        <f>Europe!1848:1848-"$F;@!0a{"</f>
        <v>#VALUE!</v>
      </c>
      <c r="CM299" t="e">
        <f>Europe!1849:1849-"$F;@!0a|"</f>
        <v>#VALUE!</v>
      </c>
      <c r="CN299" t="e">
        <f>Europe!1850:1850-"$F;@!0a}"</f>
        <v>#VALUE!</v>
      </c>
      <c r="CO299" t="e">
        <f>Europe!1851:1851-"$F;@!0a~"</f>
        <v>#VALUE!</v>
      </c>
      <c r="CP299" t="e">
        <f>Europe!1852:1852-"$F;@!0b#"</f>
        <v>#VALUE!</v>
      </c>
      <c r="CQ299" t="e">
        <f>Europe!1853:1853-"$F;@!0b$"</f>
        <v>#VALUE!</v>
      </c>
      <c r="CR299" t="e">
        <f>Europe!1854:1854-"$F;@!0b%"</f>
        <v>#VALUE!</v>
      </c>
      <c r="CS299" t="e">
        <f>Europe!1855:1855-"$F;@!0b&amp;"</f>
        <v>#VALUE!</v>
      </c>
      <c r="CT299" t="e">
        <f>Europe!1856:1856-"$F;@!0b'"</f>
        <v>#VALUE!</v>
      </c>
      <c r="CU299" t="e">
        <f>Europe!1857:1857-"$F;@!0b("</f>
        <v>#VALUE!</v>
      </c>
      <c r="CV299" t="e">
        <f>Europe!1858:1858-"$F;@!0b)"</f>
        <v>#VALUE!</v>
      </c>
      <c r="CW299" t="e">
        <f>Europe!1859:1859-"$F;@!0b."</f>
        <v>#VALUE!</v>
      </c>
      <c r="CX299" t="e">
        <f>Europe!1860:1860-"$F;@!0b/"</f>
        <v>#VALUE!</v>
      </c>
      <c r="CY299" t="e">
        <f>Europe!1861:1861-"$F;@!0b0"</f>
        <v>#VALUE!</v>
      </c>
      <c r="CZ299" t="e">
        <f>Europe!1862:1862-"$F;@!0b1"</f>
        <v>#VALUE!</v>
      </c>
      <c r="DA299" t="e">
        <f>Europe!1863:1863-"$F;@!0b2"</f>
        <v>#VALUE!</v>
      </c>
      <c r="DB299" t="e">
        <f>Europe!1864:1864-"$F;@!0b3"</f>
        <v>#VALUE!</v>
      </c>
      <c r="DC299" t="e">
        <f>Europe!1865:1865-"$F;@!0b4"</f>
        <v>#VALUE!</v>
      </c>
      <c r="DD299" t="e">
        <f>Europe!1866:1866-"$F;@!0b5"</f>
        <v>#VALUE!</v>
      </c>
      <c r="DE299" t="e">
        <f>Europe!1867:1867-"$F;@!0b6"</f>
        <v>#VALUE!</v>
      </c>
      <c r="DF299" t="e">
        <f>Europe!1868:1868-"$F;@!0b7"</f>
        <v>#VALUE!</v>
      </c>
      <c r="DG299" t="e">
        <f>Europe!1869:1869-"$F;@!0b8"</f>
        <v>#VALUE!</v>
      </c>
      <c r="DH299" t="e">
        <f>Europe!1870:1870-"$F;@!0b9"</f>
        <v>#VALUE!</v>
      </c>
      <c r="DI299" t="e">
        <f>Europe!1871:1871-"$F;@!0b:"</f>
        <v>#VALUE!</v>
      </c>
      <c r="DJ299" t="e">
        <f>Europe!1872:1872-"$F;@!0b;"</f>
        <v>#VALUE!</v>
      </c>
      <c r="DK299" t="e">
        <f>Europe!1873:1873-"$F;@!0b&lt;"</f>
        <v>#VALUE!</v>
      </c>
      <c r="DL299" t="e">
        <f>Europe!1874:1874-"$F;@!0b="</f>
        <v>#VALUE!</v>
      </c>
      <c r="DM299" t="e">
        <f>Europe!1875:1875-"$F;@!0b&gt;"</f>
        <v>#VALUE!</v>
      </c>
      <c r="DN299" t="e">
        <f>Europe!1876:1876-"$F;@!0b?"</f>
        <v>#VALUE!</v>
      </c>
      <c r="DO299" t="e">
        <f>Europe!1877:1877-"$F;@!0b@"</f>
        <v>#VALUE!</v>
      </c>
      <c r="DP299" t="e">
        <f>Europe!1878:1878-"$F;@!0bA"</f>
        <v>#VALUE!</v>
      </c>
      <c r="DQ299" t="e">
        <f>Europe!1879:1879-"$F;@!0bB"</f>
        <v>#VALUE!</v>
      </c>
      <c r="DR299" t="e">
        <f>Europe!1880:1880-"$F;@!0bC"</f>
        <v>#VALUE!</v>
      </c>
      <c r="DS299" t="e">
        <f>Europe!1881:1881-"$F;@!0bD"</f>
        <v>#VALUE!</v>
      </c>
      <c r="DT299" t="e">
        <f>Europe!1882:1882-"$F;@!0bE"</f>
        <v>#VALUE!</v>
      </c>
      <c r="DU299" t="e">
        <f>Europe!1883:1883-"$F;@!0bF"</f>
        <v>#VALUE!</v>
      </c>
      <c r="DV299" t="e">
        <f>Europe!1884:1884-"$F;@!0bG"</f>
        <v>#VALUE!</v>
      </c>
      <c r="DW299" t="e">
        <f>Europe!1885:1885-"$F;@!0bH"</f>
        <v>#VALUE!</v>
      </c>
      <c r="DX299" t="e">
        <f>Europe!1886:1886-"$F;@!0bI"</f>
        <v>#VALUE!</v>
      </c>
      <c r="DY299" t="e">
        <f>Europe!1887:1887-"$F;@!0bJ"</f>
        <v>#VALUE!</v>
      </c>
      <c r="DZ299" t="e">
        <f>Europe!1888:1888-"$F;@!0bK"</f>
        <v>#VALUE!</v>
      </c>
      <c r="EA299" t="e">
        <f>Europe!1889:1889-"$F;@!0bL"</f>
        <v>#VALUE!</v>
      </c>
      <c r="EB299" t="e">
        <f>Europe!1890:1890-"$F;@!0bM"</f>
        <v>#VALUE!</v>
      </c>
      <c r="EC299" t="e">
        <f>Europe!1891:1891-"$F;@!0bN"</f>
        <v>#VALUE!</v>
      </c>
      <c r="ED299" t="e">
        <f>Europe!1892:1892-"$F;@!0bO"</f>
        <v>#VALUE!</v>
      </c>
      <c r="EE299" t="e">
        <f>Europe!1893:1893-"$F;@!0bP"</f>
        <v>#VALUE!</v>
      </c>
      <c r="EF299" t="e">
        <f>Europe!1894:1894-"$F;@!0bQ"</f>
        <v>#VALUE!</v>
      </c>
      <c r="EG299" t="e">
        <f>Europe!1895:1895-"$F;@!0bR"</f>
        <v>#VALUE!</v>
      </c>
      <c r="EH299" t="e">
        <f>Europe!1896:1896-"$F;@!0bS"</f>
        <v>#VALUE!</v>
      </c>
      <c r="EI299" t="e">
        <f>Europe!1897:1897-"$F;@!0bT"</f>
        <v>#VALUE!</v>
      </c>
      <c r="EJ299" t="e">
        <f>Europe!1898:1898-"$F;@!0bU"</f>
        <v>#VALUE!</v>
      </c>
      <c r="EK299" t="e">
        <f>Europe!1899:1899-"$F;@!0bV"</f>
        <v>#VALUE!</v>
      </c>
      <c r="EL299" t="e">
        <f>Europe!1900:1900-"$F;@!0bW"</f>
        <v>#VALUE!</v>
      </c>
      <c r="EM299" t="e">
        <f>Europe!1901:1901-"$F;@!0bX"</f>
        <v>#VALUE!</v>
      </c>
      <c r="EN299" t="e">
        <f>Europe!1902:1902-"$F;@!0bY"</f>
        <v>#VALUE!</v>
      </c>
      <c r="EO299" t="e">
        <f>Europe!1903:1903-"$F;@!0bZ"</f>
        <v>#VALUE!</v>
      </c>
      <c r="EP299" t="e">
        <f>Europe!1904:1904-"$F;@!0b["</f>
        <v>#VALUE!</v>
      </c>
      <c r="EQ299" t="e">
        <f>Europe!1905:1905-"$F;@!0b\"</f>
        <v>#VALUE!</v>
      </c>
      <c r="ER299" t="e">
        <f>Europe!1906:1906-"$F;@!0b]"</f>
        <v>#VALUE!</v>
      </c>
      <c r="ES299" t="e">
        <f>Europe!1907:1907-"$F;@!0b^"</f>
        <v>#VALUE!</v>
      </c>
      <c r="ET299" t="e">
        <f>Europe!1908:1908-"$F;@!0b_"</f>
        <v>#VALUE!</v>
      </c>
      <c r="EU299" t="e">
        <f>Europe!1909:1909-"$F;@!0b`"</f>
        <v>#VALUE!</v>
      </c>
      <c r="EV299" t="e">
        <f>Europe!1910:1910-"$F;@!0ba"</f>
        <v>#VALUE!</v>
      </c>
      <c r="EW299" t="e">
        <f>Europe!1911:1911-"$F;@!0bb"</f>
        <v>#VALUE!</v>
      </c>
      <c r="EX299" t="e">
        <f>Europe!1912:1912-"$F;@!0bc"</f>
        <v>#VALUE!</v>
      </c>
      <c r="EY299" t="e">
        <f>Europe!1913:1913-"$F;@!0bd"</f>
        <v>#VALUE!</v>
      </c>
      <c r="EZ299" t="e">
        <f>Europe!1914:1914-"$F;@!0be"</f>
        <v>#VALUE!</v>
      </c>
      <c r="FA299" t="e">
        <f>Europe!1915:1915-"$F;@!0bf"</f>
        <v>#VALUE!</v>
      </c>
      <c r="FB299" t="e">
        <f>Europe!1916:1916-"$F;@!0bg"</f>
        <v>#VALUE!</v>
      </c>
      <c r="FC299" t="e">
        <f>Europe!1917:1917-"$F;@!0bh"</f>
        <v>#VALUE!</v>
      </c>
      <c r="FD299" t="e">
        <f>Europe!1918:1918-"$F;@!0bi"</f>
        <v>#VALUE!</v>
      </c>
      <c r="FE299" t="e">
        <f>Europe!1919:1919-"$F;@!0bj"</f>
        <v>#VALUE!</v>
      </c>
      <c r="FF299" t="e">
        <f>Europe!1920:1920-"$F;@!0bk"</f>
        <v>#VALUE!</v>
      </c>
      <c r="FG299" t="e">
        <f>Europe!1921:1921-"$F;@!0bl"</f>
        <v>#VALUE!</v>
      </c>
      <c r="FH299" t="e">
        <f>Europe!1922:1922-"$F;@!0bm"</f>
        <v>#VALUE!</v>
      </c>
      <c r="FI299" t="e">
        <f>Europe!1923:1923-"$F;@!0bn"</f>
        <v>#VALUE!</v>
      </c>
      <c r="FJ299" t="e">
        <f>Europe!1924:1924-"$F;@!0bo"</f>
        <v>#VALUE!</v>
      </c>
      <c r="FK299" t="e">
        <f>Europe!1925:1925-"$F;@!0bp"</f>
        <v>#VALUE!</v>
      </c>
      <c r="FL299" t="e">
        <f>Europe!1926:1926-"$F;@!0bq"</f>
        <v>#VALUE!</v>
      </c>
      <c r="FM299" t="e">
        <f>Europe!1927:1927-"$F;@!0br"</f>
        <v>#VALUE!</v>
      </c>
      <c r="FN299" t="e">
        <f>Europe!1928:1928-"$F;@!0bs"</f>
        <v>#VALUE!</v>
      </c>
      <c r="FO299" t="e">
        <f>Europe!1929:1929-"$F;@!0bt"</f>
        <v>#VALUE!</v>
      </c>
      <c r="FP299" t="e">
        <f>Europe!1930:1930-"$F;@!0bu"</f>
        <v>#VALUE!</v>
      </c>
      <c r="FQ299" t="e">
        <f>Europe!1931:1931-"$F;@!0bv"</f>
        <v>#VALUE!</v>
      </c>
      <c r="FR299" t="e">
        <f>Europe!1932:1932-"$F;@!0bw"</f>
        <v>#VALUE!</v>
      </c>
      <c r="FS299" t="e">
        <f>Europe!1933:1933-"$F;@!0bx"</f>
        <v>#VALUE!</v>
      </c>
      <c r="FT299" t="e">
        <f>Europe!1934:1934-"$F;@!0by"</f>
        <v>#VALUE!</v>
      </c>
      <c r="FU299" t="e">
        <f>Europe!1935:1935-"$F;@!0bz"</f>
        <v>#VALUE!</v>
      </c>
      <c r="FV299" t="e">
        <f>Europe!1936:1936-"$F;@!0b{"</f>
        <v>#VALUE!</v>
      </c>
      <c r="FW299" t="e">
        <f>Europe!1937:1937-"$F;@!0b|"</f>
        <v>#VALUE!</v>
      </c>
      <c r="FX299" t="e">
        <f>Europe!1938:1938-"$F;@!0b}"</f>
        <v>#VALUE!</v>
      </c>
      <c r="FY299" t="e">
        <f>Europe!1939:1939-"$F;@!0b~"</f>
        <v>#VALUE!</v>
      </c>
      <c r="FZ299" t="e">
        <f>'Middle East'!A1+"$F;@!0c#"</f>
        <v>#VALUE!</v>
      </c>
      <c r="GA299" t="e">
        <f>'Middle East'!B1+"$F;@!0c$"</f>
        <v>#VALUE!</v>
      </c>
      <c r="GB299" t="e">
        <f>'Middle East'!C1+"$F;@!0c%"</f>
        <v>#VALUE!</v>
      </c>
      <c r="GC299" t="e">
        <f>'Middle East'!D1+"$F;@!0c&amp;"</f>
        <v>#VALUE!</v>
      </c>
      <c r="GD299" t="e">
        <f>'Middle East'!E1+"$F;@!0c'"</f>
        <v>#VALUE!</v>
      </c>
      <c r="GE299" t="e">
        <f>'Middle East'!F1+"$F;@!0c("</f>
        <v>#VALUE!</v>
      </c>
      <c r="GF299" t="e">
        <f>'Middle East'!G1+"$F;@!0c)"</f>
        <v>#VALUE!</v>
      </c>
      <c r="GG299" t="e">
        <f>'Middle East'!H1+"$F;@!0c."</f>
        <v>#VALUE!</v>
      </c>
      <c r="GH299" t="e">
        <f>'Middle East'!A2+"$F;@!0c/"</f>
        <v>#VALUE!</v>
      </c>
      <c r="GI299" t="e">
        <f>'Middle East'!B2+"$F;@!0c0"</f>
        <v>#VALUE!</v>
      </c>
      <c r="GJ299" t="e">
        <f>'Middle East'!C2+"$F;@!0c1"</f>
        <v>#VALUE!</v>
      </c>
      <c r="GK299" t="e">
        <f>'Middle East'!D2+"$F;@!0c2"</f>
        <v>#VALUE!</v>
      </c>
      <c r="GL299" t="e">
        <f>'Middle East'!E2+"$F;@!0c3"</f>
        <v>#VALUE!</v>
      </c>
      <c r="GM299" t="e">
        <f>'Middle East'!F2+"$F;@!0c4"</f>
        <v>#VALUE!</v>
      </c>
      <c r="GN299" t="e">
        <f>'Middle East'!G2+"$F;@!0c5"</f>
        <v>#VALUE!</v>
      </c>
      <c r="GO299" t="e">
        <f>'Middle East'!H2+"$F;@!0c6"</f>
        <v>#VALUE!</v>
      </c>
      <c r="GP299" t="e">
        <f>'Middle East'!A3+"$F;@!0c7"</f>
        <v>#VALUE!</v>
      </c>
      <c r="GQ299" t="e">
        <f>'Middle East'!B3+"$F;@!0c8"</f>
        <v>#VALUE!</v>
      </c>
      <c r="GR299" t="e">
        <f>'Middle East'!C3+"$F;@!0c9"</f>
        <v>#VALUE!</v>
      </c>
      <c r="GS299" t="e">
        <f>'Middle East'!D3+"$F;@!0c:"</f>
        <v>#VALUE!</v>
      </c>
      <c r="GT299" t="e">
        <f>'Middle East'!E3+"$F;@!0c;"</f>
        <v>#VALUE!</v>
      </c>
      <c r="GU299" t="e">
        <f>'Middle East'!F3+"$F;@!0c&lt;"</f>
        <v>#VALUE!</v>
      </c>
      <c r="GV299" t="e">
        <f>'Middle East'!G3+"$F;@!0c="</f>
        <v>#VALUE!</v>
      </c>
      <c r="GW299" t="e">
        <f>'Middle East'!H3+"$F;@!0c&gt;"</f>
        <v>#VALUE!</v>
      </c>
      <c r="GX299" t="e">
        <f>'Middle East'!A4+"$F;@!0c?"</f>
        <v>#VALUE!</v>
      </c>
      <c r="GY299" t="e">
        <f>'Middle East'!B4+"$F;@!0c@"</f>
        <v>#VALUE!</v>
      </c>
      <c r="GZ299" t="e">
        <f>'Middle East'!C4+"$F;@!0cA"</f>
        <v>#VALUE!</v>
      </c>
      <c r="HA299" t="e">
        <f>'Middle East'!D4+"$F;@!0cB"</f>
        <v>#VALUE!</v>
      </c>
      <c r="HB299" t="e">
        <f>'Middle East'!E4+"$F;@!0cC"</f>
        <v>#VALUE!</v>
      </c>
      <c r="HC299" t="e">
        <f>'Middle East'!F4+"$F;@!0cD"</f>
        <v>#VALUE!</v>
      </c>
      <c r="HD299" t="e">
        <f>'Middle East'!G4+"$F;@!0cE"</f>
        <v>#VALUE!</v>
      </c>
      <c r="HE299" t="e">
        <f>'Middle East'!H4+"$F;@!0cF"</f>
        <v>#VALUE!</v>
      </c>
      <c r="HF299" t="e">
        <f>'Middle East'!A5+"$F;@!0cG"</f>
        <v>#VALUE!</v>
      </c>
      <c r="HG299" t="e">
        <f>'Middle East'!B5+"$F;@!0cH"</f>
        <v>#VALUE!</v>
      </c>
      <c r="HH299" t="e">
        <f>'Middle East'!C5+"$F;@!0cI"</f>
        <v>#VALUE!</v>
      </c>
      <c r="HI299" t="e">
        <f>'Middle East'!D5+"$F;@!0cJ"</f>
        <v>#VALUE!</v>
      </c>
      <c r="HJ299" t="e">
        <f>'Middle East'!E5+"$F;@!0cK"</f>
        <v>#VALUE!</v>
      </c>
      <c r="HK299" t="e">
        <f>'Middle East'!F5+"$F;@!0cL"</f>
        <v>#VALUE!</v>
      </c>
      <c r="HL299" t="e">
        <f>'Middle East'!G5+"$F;@!0cM"</f>
        <v>#VALUE!</v>
      </c>
      <c r="HM299" t="e">
        <f>'Middle East'!H5+"$F;@!0cN"</f>
        <v>#VALUE!</v>
      </c>
      <c r="HN299" t="e">
        <f>'Middle East'!A6+"$F;@!0cO"</f>
        <v>#VALUE!</v>
      </c>
      <c r="HO299" t="e">
        <f>'Middle East'!B6+"$F;@!0cP"</f>
        <v>#VALUE!</v>
      </c>
      <c r="HP299" t="e">
        <f>'Middle East'!C6+"$F;@!0cQ"</f>
        <v>#VALUE!</v>
      </c>
      <c r="HQ299" t="e">
        <f>'Middle East'!D6+"$F;@!0cR"</f>
        <v>#VALUE!</v>
      </c>
      <c r="HR299" t="e">
        <f>'Middle East'!E6+"$F;@!0cS"</f>
        <v>#VALUE!</v>
      </c>
      <c r="HS299" t="e">
        <f>'Middle East'!F6+"$F;@!0cT"</f>
        <v>#VALUE!</v>
      </c>
      <c r="HT299" t="e">
        <f>'Middle East'!G6+"$F;@!0cU"</f>
        <v>#VALUE!</v>
      </c>
      <c r="HU299" t="e">
        <f>'Middle East'!H6+"$F;@!0cV"</f>
        <v>#VALUE!</v>
      </c>
      <c r="HV299" t="e">
        <f>'Middle East'!A7+"$F;@!0cW"</f>
        <v>#VALUE!</v>
      </c>
      <c r="HW299" t="e">
        <f>'Middle East'!B7+"$F;@!0cX"</f>
        <v>#VALUE!</v>
      </c>
      <c r="HX299" t="e">
        <f>'Middle East'!C7+"$F;@!0cY"</f>
        <v>#VALUE!</v>
      </c>
      <c r="HY299" t="e">
        <f>'Middle East'!D7+"$F;@!0cZ"</f>
        <v>#VALUE!</v>
      </c>
      <c r="HZ299" t="e">
        <f>'Middle East'!E7+"$F;@!0c["</f>
        <v>#VALUE!</v>
      </c>
      <c r="IA299" t="e">
        <f>'Middle East'!F7+"$F;@!0c\"</f>
        <v>#VALUE!</v>
      </c>
      <c r="IB299" t="e">
        <f>'Middle East'!G7+"$F;@!0c]"</f>
        <v>#VALUE!</v>
      </c>
      <c r="IC299" t="e">
        <f>'Middle East'!H7+"$F;@!0c^"</f>
        <v>#VALUE!</v>
      </c>
      <c r="ID299" t="e">
        <f>'Middle East'!A8+"$F;@!0c_"</f>
        <v>#VALUE!</v>
      </c>
      <c r="IE299" t="e">
        <f>'Middle East'!B8+"$F;@!0c`"</f>
        <v>#VALUE!</v>
      </c>
      <c r="IF299" t="e">
        <f>'Middle East'!C8+"$F;@!0ca"</f>
        <v>#VALUE!</v>
      </c>
      <c r="IG299" t="e">
        <f>'Middle East'!D8+"$F;@!0cb"</f>
        <v>#VALUE!</v>
      </c>
      <c r="IH299" t="e">
        <f>'Middle East'!E8+"$F;@!0cc"</f>
        <v>#VALUE!</v>
      </c>
      <c r="II299" t="e">
        <f>'Middle East'!F8+"$F;@!0cd"</f>
        <v>#VALUE!</v>
      </c>
      <c r="IJ299" t="e">
        <f>'Middle East'!G8+"$F;@!0ce"</f>
        <v>#VALUE!</v>
      </c>
      <c r="IK299" t="e">
        <f>'Middle East'!H8+"$F;@!0cf"</f>
        <v>#VALUE!</v>
      </c>
      <c r="IL299" t="e">
        <f>'Middle East'!A9+"$F;@!0cg"</f>
        <v>#VALUE!</v>
      </c>
      <c r="IM299" t="e">
        <f>'Middle East'!B9+"$F;@!0ch"</f>
        <v>#VALUE!</v>
      </c>
      <c r="IN299" t="e">
        <f>'Middle East'!C9+"$F;@!0ci"</f>
        <v>#VALUE!</v>
      </c>
      <c r="IO299" t="e">
        <f>'Middle East'!D9+"$F;@!0cj"</f>
        <v>#VALUE!</v>
      </c>
      <c r="IP299" t="e">
        <f>'Middle East'!E9+"$F;@!0ck"</f>
        <v>#VALUE!</v>
      </c>
      <c r="IQ299" t="e">
        <f>'Middle East'!F9+"$F;@!0cl"</f>
        <v>#VALUE!</v>
      </c>
      <c r="IR299" t="e">
        <f>'Middle East'!G9+"$F;@!0cm"</f>
        <v>#VALUE!</v>
      </c>
      <c r="IS299" t="e">
        <f>'Middle East'!H9+"$F;@!0cn"</f>
        <v>#VALUE!</v>
      </c>
      <c r="IT299" t="e">
        <f>'Middle East'!A10+"$F;@!0co"</f>
        <v>#VALUE!</v>
      </c>
      <c r="IU299" t="e">
        <f>'Middle East'!B10+"$F;@!0cp"</f>
        <v>#VALUE!</v>
      </c>
      <c r="IV299" t="e">
        <f>'Middle East'!C10+"$F;@!0cq"</f>
        <v>#VALUE!</v>
      </c>
    </row>
    <row r="300" spans="6:256" x14ac:dyDescent="0.35">
      <c r="F300" t="e">
        <f>'Middle East'!D10+"$F;@!0cr"</f>
        <v>#VALUE!</v>
      </c>
      <c r="G300" t="e">
        <f>'Middle East'!E10+"$F;@!0cs"</f>
        <v>#VALUE!</v>
      </c>
      <c r="H300" t="e">
        <f>'Middle East'!F10+"$F;@!0ct"</f>
        <v>#VALUE!</v>
      </c>
      <c r="I300" t="e">
        <f>'Middle East'!G10+"$F;@!0cu"</f>
        <v>#VALUE!</v>
      </c>
      <c r="J300" t="e">
        <f>'Middle East'!H10+"$F;@!0cv"</f>
        <v>#VALUE!</v>
      </c>
      <c r="K300" t="e">
        <f>'Middle East'!A11+"$F;@!0cw"</f>
        <v>#VALUE!</v>
      </c>
      <c r="L300" t="e">
        <f>'Middle East'!B11+"$F;@!0cx"</f>
        <v>#VALUE!</v>
      </c>
      <c r="M300" t="e">
        <f>'Middle East'!C11+"$F;@!0cy"</f>
        <v>#VALUE!</v>
      </c>
      <c r="N300" t="e">
        <f>'Middle East'!D11+"$F;@!0cz"</f>
        <v>#VALUE!</v>
      </c>
      <c r="O300" t="e">
        <f>'Middle East'!E11+"$F;@!0c{"</f>
        <v>#VALUE!</v>
      </c>
      <c r="P300" t="e">
        <f>'Middle East'!F11+"$F;@!0c|"</f>
        <v>#VALUE!</v>
      </c>
      <c r="Q300" t="e">
        <f>'Middle East'!G11+"$F;@!0c}"</f>
        <v>#VALUE!</v>
      </c>
      <c r="R300" t="e">
        <f>'Middle East'!H11+"$F;@!0c~"</f>
        <v>#VALUE!</v>
      </c>
      <c r="S300" t="e">
        <f>'Middle East'!A12+"$F;@!0d#"</f>
        <v>#VALUE!</v>
      </c>
      <c r="T300" t="e">
        <f>'Middle East'!B12+"$F;@!0d$"</f>
        <v>#VALUE!</v>
      </c>
      <c r="U300" t="e">
        <f>'Middle East'!C12+"$F;@!0d%"</f>
        <v>#VALUE!</v>
      </c>
      <c r="V300" t="e">
        <f>'Middle East'!D12+"$F;@!0d&amp;"</f>
        <v>#VALUE!</v>
      </c>
      <c r="W300" t="e">
        <f>'Middle East'!E12+"$F;@!0d'"</f>
        <v>#VALUE!</v>
      </c>
      <c r="X300" t="e">
        <f>'Middle East'!F12+"$F;@!0d("</f>
        <v>#VALUE!</v>
      </c>
      <c r="Y300" t="e">
        <f>'Middle East'!G12+"$F;@!0d)"</f>
        <v>#VALUE!</v>
      </c>
      <c r="Z300" t="e">
        <f>'Middle East'!H12+"$F;@!0d."</f>
        <v>#VALUE!</v>
      </c>
      <c r="AA300" t="e">
        <f>'Middle East'!A13+"$F;@!0d/"</f>
        <v>#VALUE!</v>
      </c>
      <c r="AB300" t="e">
        <f>'Middle East'!B13+"$F;@!0d0"</f>
        <v>#VALUE!</v>
      </c>
      <c r="AC300" t="e">
        <f>'Middle East'!C13+"$F;@!0d1"</f>
        <v>#VALUE!</v>
      </c>
      <c r="AD300" t="e">
        <f>'Middle East'!D13+"$F;@!0d2"</f>
        <v>#VALUE!</v>
      </c>
      <c r="AE300" t="e">
        <f>'Middle East'!E13+"$F;@!0d3"</f>
        <v>#VALUE!</v>
      </c>
      <c r="AF300" t="e">
        <f>'Middle East'!F13+"$F;@!0d4"</f>
        <v>#VALUE!</v>
      </c>
      <c r="AG300" t="e">
        <f>'Middle East'!G13+"$F;@!0d5"</f>
        <v>#VALUE!</v>
      </c>
      <c r="AH300" t="e">
        <f>'Middle East'!H13+"$F;@!0d6"</f>
        <v>#VALUE!</v>
      </c>
      <c r="AI300" t="e">
        <f>'Middle East'!A14+"$F;@!0d7"</f>
        <v>#VALUE!</v>
      </c>
      <c r="AJ300" t="e">
        <f>'Middle East'!B14+"$F;@!0d8"</f>
        <v>#VALUE!</v>
      </c>
      <c r="AK300" t="e">
        <f>'Middle East'!C14+"$F;@!0d9"</f>
        <v>#VALUE!</v>
      </c>
      <c r="AL300" t="e">
        <f>'Middle East'!D14+"$F;@!0d:"</f>
        <v>#VALUE!</v>
      </c>
      <c r="AM300" t="e">
        <f>'Middle East'!E14+"$F;@!0d;"</f>
        <v>#VALUE!</v>
      </c>
      <c r="AN300" t="e">
        <f>'Middle East'!F14+"$F;@!0d&lt;"</f>
        <v>#VALUE!</v>
      </c>
      <c r="AO300" t="e">
        <f>'Middle East'!G14+"$F;@!0d="</f>
        <v>#VALUE!</v>
      </c>
      <c r="AP300" t="e">
        <f>'Middle East'!H14+"$F;@!0d&gt;"</f>
        <v>#VALUE!</v>
      </c>
      <c r="AQ300" t="e">
        <f>'Middle East'!A15+"$F;@!0d?"</f>
        <v>#VALUE!</v>
      </c>
      <c r="AR300" t="e">
        <f>'Middle East'!B15+"$F;@!0d@"</f>
        <v>#VALUE!</v>
      </c>
      <c r="AS300" t="e">
        <f>'Middle East'!C15+"$F;@!0dA"</f>
        <v>#VALUE!</v>
      </c>
      <c r="AT300" t="e">
        <f>'Middle East'!D15+"$F;@!0dB"</f>
        <v>#VALUE!</v>
      </c>
      <c r="AU300" t="e">
        <f>'Middle East'!E15+"$F;@!0dC"</f>
        <v>#VALUE!</v>
      </c>
      <c r="AV300" t="e">
        <f>'Middle East'!F15+"$F;@!0dD"</f>
        <v>#VALUE!</v>
      </c>
      <c r="AW300" t="e">
        <f>'Middle East'!G15+"$F;@!0dE"</f>
        <v>#VALUE!</v>
      </c>
      <c r="AX300" t="e">
        <f>'Middle East'!H15+"$F;@!0dF"</f>
        <v>#VALUE!</v>
      </c>
      <c r="AY300" t="e">
        <f>'Middle East'!A16+"$F;@!0dG"</f>
        <v>#VALUE!</v>
      </c>
      <c r="AZ300" t="e">
        <f>'Middle East'!B16+"$F;@!0dH"</f>
        <v>#VALUE!</v>
      </c>
      <c r="BA300" t="e">
        <f>'Middle East'!C16+"$F;@!0dI"</f>
        <v>#VALUE!</v>
      </c>
      <c r="BB300" t="e">
        <f>'Middle East'!D16+"$F;@!0dJ"</f>
        <v>#VALUE!</v>
      </c>
      <c r="BC300" t="e">
        <f>'Middle East'!E16+"$F;@!0dK"</f>
        <v>#VALUE!</v>
      </c>
      <c r="BD300" t="e">
        <f>'Middle East'!F16+"$F;@!0dL"</f>
        <v>#VALUE!</v>
      </c>
      <c r="BE300" t="e">
        <f>'Middle East'!G16+"$F;@!0dM"</f>
        <v>#VALUE!</v>
      </c>
      <c r="BF300" t="e">
        <f>'Middle East'!H16+"$F;@!0dN"</f>
        <v>#VALUE!</v>
      </c>
      <c r="BG300" t="e">
        <f>'Middle East'!A17+"$F;@!0dO"</f>
        <v>#VALUE!</v>
      </c>
      <c r="BH300" t="e">
        <f>'Middle East'!B17+"$F;@!0dP"</f>
        <v>#VALUE!</v>
      </c>
      <c r="BI300" t="e">
        <f>'Middle East'!C17+"$F;@!0dQ"</f>
        <v>#VALUE!</v>
      </c>
      <c r="BJ300" t="e">
        <f>'Middle East'!D17+"$F;@!0dR"</f>
        <v>#VALUE!</v>
      </c>
      <c r="BK300" t="e">
        <f>'Middle East'!E17+"$F;@!0dS"</f>
        <v>#VALUE!</v>
      </c>
      <c r="BL300" t="e">
        <f>'Middle East'!F17+"$F;@!0dT"</f>
        <v>#VALUE!</v>
      </c>
      <c r="BM300" t="e">
        <f>'Middle East'!G17+"$F;@!0dU"</f>
        <v>#VALUE!</v>
      </c>
      <c r="BN300" t="e">
        <f>'Middle East'!H17+"$F;@!0dV"</f>
        <v>#VALUE!</v>
      </c>
      <c r="BO300" t="e">
        <f>'Middle East'!A18+"$F;@!0dW"</f>
        <v>#VALUE!</v>
      </c>
      <c r="BP300" t="e">
        <f>'Middle East'!B18+"$F;@!0dX"</f>
        <v>#VALUE!</v>
      </c>
      <c r="BQ300" t="e">
        <f>'Middle East'!C18+"$F;@!0dY"</f>
        <v>#VALUE!</v>
      </c>
      <c r="BR300" t="e">
        <f>'Middle East'!D18+"$F;@!0dZ"</f>
        <v>#VALUE!</v>
      </c>
      <c r="BS300" t="e">
        <f>'Middle East'!E18+"$F;@!0d["</f>
        <v>#VALUE!</v>
      </c>
      <c r="BT300" t="e">
        <f>'Middle East'!F18+"$F;@!0d\"</f>
        <v>#VALUE!</v>
      </c>
      <c r="BU300" t="e">
        <f>'Middle East'!G18+"$F;@!0d]"</f>
        <v>#VALUE!</v>
      </c>
      <c r="BV300" t="e">
        <f>'Middle East'!H18+"$F;@!0d^"</f>
        <v>#VALUE!</v>
      </c>
      <c r="BW300" t="e">
        <f>'Middle East'!A19+"$F;@!0d_"</f>
        <v>#VALUE!</v>
      </c>
      <c r="BX300" t="e">
        <f>'Middle East'!B19+"$F;@!0d`"</f>
        <v>#VALUE!</v>
      </c>
      <c r="BY300" t="e">
        <f>'Middle East'!C19+"$F;@!0da"</f>
        <v>#VALUE!</v>
      </c>
      <c r="BZ300" t="e">
        <f>'Middle East'!D19+"$F;@!0db"</f>
        <v>#VALUE!</v>
      </c>
      <c r="CA300" t="e">
        <f>'Middle East'!E19+"$F;@!0dc"</f>
        <v>#VALUE!</v>
      </c>
      <c r="CB300" t="e">
        <f>'Middle East'!F19+"$F;@!0dd"</f>
        <v>#VALUE!</v>
      </c>
      <c r="CC300" t="e">
        <f>'Middle East'!G19+"$F;@!0de"</f>
        <v>#VALUE!</v>
      </c>
      <c r="CD300" t="e">
        <f>'Middle East'!H19+"$F;@!0df"</f>
        <v>#VALUE!</v>
      </c>
      <c r="CE300" t="e">
        <f>'Middle East'!A20+"$F;@!0dg"</f>
        <v>#VALUE!</v>
      </c>
      <c r="CF300" t="e">
        <f>'Middle East'!B20+"$F;@!0dh"</f>
        <v>#VALUE!</v>
      </c>
      <c r="CG300" t="e">
        <f>'Middle East'!C20+"$F;@!0di"</f>
        <v>#VALUE!</v>
      </c>
      <c r="CH300" t="e">
        <f>'Middle East'!D20+"$F;@!0dj"</f>
        <v>#VALUE!</v>
      </c>
      <c r="CI300" t="e">
        <f>'Middle East'!E20+"$F;@!0dk"</f>
        <v>#VALUE!</v>
      </c>
      <c r="CJ300" t="e">
        <f>'Middle East'!F20+"$F;@!0dl"</f>
        <v>#VALUE!</v>
      </c>
      <c r="CK300" t="e">
        <f>'Middle East'!G20+"$F;@!0dm"</f>
        <v>#VALUE!</v>
      </c>
      <c r="CL300" t="e">
        <f>'Middle East'!H20+"$F;@!0dn"</f>
        <v>#VALUE!</v>
      </c>
      <c r="CM300" t="e">
        <f>'Middle East'!A21+"$F;@!0do"</f>
        <v>#VALUE!</v>
      </c>
      <c r="CN300" t="e">
        <f>'Middle East'!B21+"$F;@!0dp"</f>
        <v>#VALUE!</v>
      </c>
      <c r="CO300" t="e">
        <f>'Middle East'!C21+"$F;@!0dq"</f>
        <v>#VALUE!</v>
      </c>
      <c r="CP300" t="e">
        <f>'Middle East'!D21+"$F;@!0dr"</f>
        <v>#VALUE!</v>
      </c>
      <c r="CQ300" t="e">
        <f>'Middle East'!E21+"$F;@!0ds"</f>
        <v>#VALUE!</v>
      </c>
      <c r="CR300" t="e">
        <f>'Middle East'!F21+"$F;@!0dt"</f>
        <v>#VALUE!</v>
      </c>
      <c r="CS300" t="e">
        <f>'Middle East'!G21+"$F;@!0du"</f>
        <v>#VALUE!</v>
      </c>
      <c r="CT300" t="e">
        <f>'Middle East'!H21+"$F;@!0dv"</f>
        <v>#VALUE!</v>
      </c>
      <c r="CU300" t="e">
        <f>'Middle East'!A22+"$F;@!0dw"</f>
        <v>#VALUE!</v>
      </c>
      <c r="CV300" t="e">
        <f>'Middle East'!B22+"$F;@!0dx"</f>
        <v>#VALUE!</v>
      </c>
      <c r="CW300" t="e">
        <f>'Middle East'!C22+"$F;@!0dy"</f>
        <v>#VALUE!</v>
      </c>
      <c r="CX300" t="e">
        <f>'Middle East'!D22+"$F;@!0dz"</f>
        <v>#VALUE!</v>
      </c>
      <c r="CY300" t="e">
        <f>'Middle East'!E22+"$F;@!0d{"</f>
        <v>#VALUE!</v>
      </c>
      <c r="CZ300" t="e">
        <f>'Middle East'!F22+"$F;@!0d|"</f>
        <v>#VALUE!</v>
      </c>
      <c r="DA300" t="e">
        <f>'Middle East'!G22+"$F;@!0d}"</f>
        <v>#VALUE!</v>
      </c>
      <c r="DB300" t="e">
        <f>'Middle East'!H22+"$F;@!0d~"</f>
        <v>#VALUE!</v>
      </c>
      <c r="DC300" t="e">
        <f>'Middle East'!A23+"$F;@!0e#"</f>
        <v>#VALUE!</v>
      </c>
      <c r="DD300" t="e">
        <f>'Middle East'!B23+"$F;@!0e$"</f>
        <v>#VALUE!</v>
      </c>
      <c r="DE300" t="e">
        <f>'Middle East'!C23+"$F;@!0e%"</f>
        <v>#VALUE!</v>
      </c>
      <c r="DF300" t="e">
        <f>'Middle East'!D23+"$F;@!0e&amp;"</f>
        <v>#VALUE!</v>
      </c>
      <c r="DG300" t="e">
        <f>'Middle East'!E23+"$F;@!0e'"</f>
        <v>#VALUE!</v>
      </c>
      <c r="DH300" t="e">
        <f>'Middle East'!F23+"$F;@!0e("</f>
        <v>#VALUE!</v>
      </c>
      <c r="DI300" t="e">
        <f>'Middle East'!G23+"$F;@!0e)"</f>
        <v>#VALUE!</v>
      </c>
      <c r="DJ300" t="e">
        <f>'Middle East'!H23+"$F;@!0e."</f>
        <v>#VALUE!</v>
      </c>
      <c r="DK300" t="e">
        <f>'Middle East'!A24+"$F;@!0e/"</f>
        <v>#VALUE!</v>
      </c>
      <c r="DL300" t="e">
        <f>'Middle East'!B24+"$F;@!0e0"</f>
        <v>#VALUE!</v>
      </c>
      <c r="DM300" t="e">
        <f>'Middle East'!C24+"$F;@!0e1"</f>
        <v>#VALUE!</v>
      </c>
      <c r="DN300" t="e">
        <f>'Middle East'!D24+"$F;@!0e2"</f>
        <v>#VALUE!</v>
      </c>
      <c r="DO300" t="e">
        <f>'Middle East'!E24+"$F;@!0e3"</f>
        <v>#VALUE!</v>
      </c>
      <c r="DP300" t="e">
        <f>'Middle East'!F24+"$F;@!0e4"</f>
        <v>#VALUE!</v>
      </c>
      <c r="DQ300" t="e">
        <f>'Middle East'!G24+"$F;@!0e5"</f>
        <v>#VALUE!</v>
      </c>
      <c r="DR300" t="e">
        <f>'Middle East'!H24+"$F;@!0e6"</f>
        <v>#VALUE!</v>
      </c>
      <c r="DS300" t="e">
        <f>'Middle East'!A25+"$F;@!0e7"</f>
        <v>#VALUE!</v>
      </c>
      <c r="DT300" t="e">
        <f>'Middle East'!B25+"$F;@!0e8"</f>
        <v>#VALUE!</v>
      </c>
      <c r="DU300" t="e">
        <f>'Middle East'!C25+"$F;@!0e9"</f>
        <v>#VALUE!</v>
      </c>
      <c r="DV300" t="e">
        <f>'Middle East'!D25+"$F;@!0e:"</f>
        <v>#VALUE!</v>
      </c>
      <c r="DW300" t="e">
        <f>'Middle East'!E25+"$F;@!0e;"</f>
        <v>#VALUE!</v>
      </c>
      <c r="DX300" t="e">
        <f>'Middle East'!F25+"$F;@!0e&lt;"</f>
        <v>#VALUE!</v>
      </c>
      <c r="DY300" t="e">
        <f>'Middle East'!G25+"$F;@!0e="</f>
        <v>#VALUE!</v>
      </c>
      <c r="DZ300" t="e">
        <f>'Middle East'!H25+"$F;@!0e&gt;"</f>
        <v>#VALUE!</v>
      </c>
      <c r="EA300" t="e">
        <f>'Middle East'!A26+"$F;@!0e?"</f>
        <v>#VALUE!</v>
      </c>
      <c r="EB300" t="e">
        <f>'Middle East'!B26+"$F;@!0e@"</f>
        <v>#VALUE!</v>
      </c>
      <c r="EC300" t="e">
        <f>'Middle East'!C26+"$F;@!0eA"</f>
        <v>#VALUE!</v>
      </c>
      <c r="ED300" t="e">
        <f>'Middle East'!D26+"$F;@!0eB"</f>
        <v>#VALUE!</v>
      </c>
      <c r="EE300" t="e">
        <f>'Middle East'!E26+"$F;@!0eC"</f>
        <v>#VALUE!</v>
      </c>
      <c r="EF300" t="e">
        <f>'Middle East'!F26+"$F;@!0eD"</f>
        <v>#VALUE!</v>
      </c>
      <c r="EG300" t="e">
        <f>'Middle East'!G26+"$F;@!0eE"</f>
        <v>#VALUE!</v>
      </c>
      <c r="EH300" t="e">
        <f>'Middle East'!H26+"$F;@!0eF"</f>
        <v>#VALUE!</v>
      </c>
      <c r="EI300" t="e">
        <f>'Middle East'!A27+"$F;@!0eG"</f>
        <v>#VALUE!</v>
      </c>
      <c r="EJ300" t="e">
        <f>'Middle East'!B27+"$F;@!0eH"</f>
        <v>#VALUE!</v>
      </c>
      <c r="EK300" t="e">
        <f>'Middle East'!C27+"$F;@!0eI"</f>
        <v>#VALUE!</v>
      </c>
      <c r="EL300" t="e">
        <f>'Middle East'!D27+"$F;@!0eJ"</f>
        <v>#VALUE!</v>
      </c>
      <c r="EM300" t="e">
        <f>'Middle East'!E27+"$F;@!0eK"</f>
        <v>#VALUE!</v>
      </c>
      <c r="EN300" t="e">
        <f>'Middle East'!F27+"$F;@!0eL"</f>
        <v>#VALUE!</v>
      </c>
      <c r="EO300" t="e">
        <f>'Middle East'!G27+"$F;@!0eM"</f>
        <v>#VALUE!</v>
      </c>
      <c r="EP300" t="e">
        <f>'Middle East'!H27+"$F;@!0eN"</f>
        <v>#VALUE!</v>
      </c>
      <c r="EQ300" t="e">
        <f>'Middle East'!A28+"$F;@!0eO"</f>
        <v>#VALUE!</v>
      </c>
      <c r="ER300" t="e">
        <f>'Middle East'!B28+"$F;@!0eP"</f>
        <v>#VALUE!</v>
      </c>
      <c r="ES300" t="e">
        <f>'Middle East'!C28+"$F;@!0eQ"</f>
        <v>#VALUE!</v>
      </c>
      <c r="ET300" t="e">
        <f>'Middle East'!D28+"$F;@!0eR"</f>
        <v>#VALUE!</v>
      </c>
      <c r="EU300" t="e">
        <f>'Middle East'!E28+"$F;@!0eS"</f>
        <v>#VALUE!</v>
      </c>
      <c r="EV300" t="e">
        <f>'Middle East'!F28+"$F;@!0eT"</f>
        <v>#VALUE!</v>
      </c>
      <c r="EW300" t="e">
        <f>'Middle East'!G28+"$F;@!0eU"</f>
        <v>#VALUE!</v>
      </c>
      <c r="EX300" t="e">
        <f>'Middle East'!H28+"$F;@!0eV"</f>
        <v>#VALUE!</v>
      </c>
      <c r="EY300" t="e">
        <f>'Middle East'!A29+"$F;@!0eW"</f>
        <v>#VALUE!</v>
      </c>
      <c r="EZ300" t="e">
        <f>'Middle East'!B29+"$F;@!0eX"</f>
        <v>#VALUE!</v>
      </c>
      <c r="FA300" t="e">
        <f>'Middle East'!C29+"$F;@!0eY"</f>
        <v>#VALUE!</v>
      </c>
      <c r="FB300" t="e">
        <f>'Middle East'!D29+"$F;@!0eZ"</f>
        <v>#VALUE!</v>
      </c>
      <c r="FC300" t="e">
        <f>'Middle East'!E29+"$F;@!0e["</f>
        <v>#VALUE!</v>
      </c>
      <c r="FD300" t="e">
        <f>'Middle East'!F29+"$F;@!0e\"</f>
        <v>#VALUE!</v>
      </c>
      <c r="FE300" t="e">
        <f>'Middle East'!G29+"$F;@!0e]"</f>
        <v>#VALUE!</v>
      </c>
      <c r="FF300" t="e">
        <f>'Middle East'!H29+"$F;@!0e^"</f>
        <v>#VALUE!</v>
      </c>
      <c r="FG300" t="e">
        <f>'Middle East'!A30+"$F;@!0e_"</f>
        <v>#VALUE!</v>
      </c>
      <c r="FH300" t="e">
        <f>'Middle East'!B30+"$F;@!0e`"</f>
        <v>#VALUE!</v>
      </c>
      <c r="FI300" t="e">
        <f>'Middle East'!C30+"$F;@!0ea"</f>
        <v>#VALUE!</v>
      </c>
      <c r="FJ300" t="e">
        <f>'Middle East'!D30+"$F;@!0eb"</f>
        <v>#VALUE!</v>
      </c>
      <c r="FK300" t="e">
        <f>'Middle East'!E30+"$F;@!0ec"</f>
        <v>#VALUE!</v>
      </c>
      <c r="FL300" t="e">
        <f>'Middle East'!F30+"$F;@!0ed"</f>
        <v>#VALUE!</v>
      </c>
      <c r="FM300" t="e">
        <f>'Middle East'!G30+"$F;@!0ee"</f>
        <v>#VALUE!</v>
      </c>
      <c r="FN300" t="e">
        <f>'Middle East'!H30+"$F;@!0ef"</f>
        <v>#VALUE!</v>
      </c>
      <c r="FO300" t="e">
        <f>'Middle East'!A31+"$F;@!0eg"</f>
        <v>#VALUE!</v>
      </c>
      <c r="FP300" t="e">
        <f>'Middle East'!B31+"$F;@!0eh"</f>
        <v>#VALUE!</v>
      </c>
      <c r="FQ300" t="e">
        <f>'Middle East'!C31+"$F;@!0ei"</f>
        <v>#VALUE!</v>
      </c>
      <c r="FR300" t="e">
        <f>'Middle East'!D31+"$F;@!0ej"</f>
        <v>#VALUE!</v>
      </c>
      <c r="FS300" t="e">
        <f>'Middle East'!E31+"$F;@!0ek"</f>
        <v>#VALUE!</v>
      </c>
      <c r="FT300" t="e">
        <f>'Middle East'!F31+"$F;@!0el"</f>
        <v>#VALUE!</v>
      </c>
      <c r="FU300" t="e">
        <f>'Middle East'!G31+"$F;@!0em"</f>
        <v>#VALUE!</v>
      </c>
      <c r="FV300" t="e">
        <f>'Middle East'!H31+"$F;@!0en"</f>
        <v>#VALUE!</v>
      </c>
      <c r="FW300" t="e">
        <f>'Middle East'!A32+"$F;@!0eo"</f>
        <v>#VALUE!</v>
      </c>
      <c r="FX300" t="e">
        <f>'Middle East'!B32+"$F;@!0ep"</f>
        <v>#VALUE!</v>
      </c>
      <c r="FY300" t="e">
        <f>'Middle East'!C32+"$F;@!0eq"</f>
        <v>#VALUE!</v>
      </c>
      <c r="FZ300" t="e">
        <f>'Middle East'!D32+"$F;@!0er"</f>
        <v>#VALUE!</v>
      </c>
      <c r="GA300" t="e">
        <f>'Middle East'!E32+"$F;@!0es"</f>
        <v>#VALUE!</v>
      </c>
      <c r="GB300" t="e">
        <f>'Middle East'!F32+"$F;@!0et"</f>
        <v>#VALUE!</v>
      </c>
      <c r="GC300" t="e">
        <f>'Middle East'!G32+"$F;@!0eu"</f>
        <v>#VALUE!</v>
      </c>
      <c r="GD300" t="e">
        <f>'Middle East'!H32+"$F;@!0ev"</f>
        <v>#VALUE!</v>
      </c>
      <c r="GE300" t="e">
        <f>'Middle East'!A33+"$F;@!0ew"</f>
        <v>#VALUE!</v>
      </c>
      <c r="GF300" t="e">
        <f>'Middle East'!B33+"$F;@!0ex"</f>
        <v>#VALUE!</v>
      </c>
      <c r="GG300" t="e">
        <f>'Middle East'!C33+"$F;@!0ey"</f>
        <v>#VALUE!</v>
      </c>
      <c r="GH300" t="e">
        <f>'Middle East'!D33+"$F;@!0ez"</f>
        <v>#VALUE!</v>
      </c>
      <c r="GI300" t="e">
        <f>'Middle East'!E33+"$F;@!0e{"</f>
        <v>#VALUE!</v>
      </c>
      <c r="GJ300" t="e">
        <f>'Middle East'!F33+"$F;@!0e|"</f>
        <v>#VALUE!</v>
      </c>
      <c r="GK300" t="e">
        <f>'Middle East'!G33+"$F;@!0e}"</f>
        <v>#VALUE!</v>
      </c>
      <c r="GL300" t="e">
        <f>'Middle East'!H33+"$F;@!0e~"</f>
        <v>#VALUE!</v>
      </c>
      <c r="GM300" t="e">
        <f>'Middle East'!A34+"$F;@!0f#"</f>
        <v>#VALUE!</v>
      </c>
      <c r="GN300" t="e">
        <f>'Middle East'!B34+"$F;@!0f$"</f>
        <v>#VALUE!</v>
      </c>
      <c r="GO300" t="e">
        <f>'Middle East'!C34+"$F;@!0f%"</f>
        <v>#VALUE!</v>
      </c>
      <c r="GP300" t="e">
        <f>'Middle East'!D34+"$F;@!0f&amp;"</f>
        <v>#VALUE!</v>
      </c>
      <c r="GQ300" t="e">
        <f>'Middle East'!E34+"$F;@!0f'"</f>
        <v>#VALUE!</v>
      </c>
      <c r="GR300" t="e">
        <f>'Middle East'!F34+"$F;@!0f("</f>
        <v>#VALUE!</v>
      </c>
      <c r="GS300" t="e">
        <f>'Middle East'!G34+"$F;@!0f)"</f>
        <v>#VALUE!</v>
      </c>
      <c r="GT300" t="e">
        <f>'Middle East'!H34+"$F;@!0f."</f>
        <v>#VALUE!</v>
      </c>
      <c r="GU300" t="e">
        <f>'Middle East'!A35+"$F;@!0f/"</f>
        <v>#VALUE!</v>
      </c>
      <c r="GV300" t="e">
        <f>'Middle East'!B35+"$F;@!0f0"</f>
        <v>#VALUE!</v>
      </c>
      <c r="GW300" t="e">
        <f>'Middle East'!C35+"$F;@!0f1"</f>
        <v>#VALUE!</v>
      </c>
      <c r="GX300" t="e">
        <f>'Middle East'!D35+"$F;@!0f2"</f>
        <v>#VALUE!</v>
      </c>
      <c r="GY300" t="e">
        <f>'Middle East'!E35+"$F;@!0f3"</f>
        <v>#VALUE!</v>
      </c>
      <c r="GZ300" t="e">
        <f>'Middle East'!F35+"$F;@!0f4"</f>
        <v>#VALUE!</v>
      </c>
      <c r="HA300" t="e">
        <f>'Middle East'!G35+"$F;@!0f5"</f>
        <v>#VALUE!</v>
      </c>
      <c r="HB300" t="e">
        <f>'Middle East'!H35+"$F;@!0f6"</f>
        <v>#VALUE!</v>
      </c>
      <c r="HC300" t="e">
        <f>'Middle East'!A36+"$F;@!0f7"</f>
        <v>#VALUE!</v>
      </c>
      <c r="HD300" t="e">
        <f>'Middle East'!B36+"$F;@!0f8"</f>
        <v>#VALUE!</v>
      </c>
      <c r="HE300" t="e">
        <f>'Middle East'!C36+"$F;@!0f9"</f>
        <v>#VALUE!</v>
      </c>
      <c r="HF300" t="e">
        <f>'Middle East'!D36+"$F;@!0f:"</f>
        <v>#VALUE!</v>
      </c>
      <c r="HG300" t="e">
        <f>'Middle East'!E36+"$F;@!0f;"</f>
        <v>#VALUE!</v>
      </c>
      <c r="HH300" t="e">
        <f>'Middle East'!F36+"$F;@!0f&lt;"</f>
        <v>#VALUE!</v>
      </c>
      <c r="HI300" t="e">
        <f>'Middle East'!G36+"$F;@!0f="</f>
        <v>#VALUE!</v>
      </c>
      <c r="HJ300" t="e">
        <f>'Middle East'!H36+"$F;@!0f&gt;"</f>
        <v>#VALUE!</v>
      </c>
      <c r="HK300" t="e">
        <f>'Middle East'!A37+"$F;@!0f?"</f>
        <v>#VALUE!</v>
      </c>
      <c r="HL300" t="e">
        <f>'Middle East'!B37+"$F;@!0f@"</f>
        <v>#VALUE!</v>
      </c>
      <c r="HM300" t="e">
        <f>'Middle East'!C37+"$F;@!0fA"</f>
        <v>#VALUE!</v>
      </c>
      <c r="HN300" t="e">
        <f>'Middle East'!D37+"$F;@!0fB"</f>
        <v>#VALUE!</v>
      </c>
      <c r="HO300" t="e">
        <f>'Middle East'!E37+"$F;@!0fC"</f>
        <v>#VALUE!</v>
      </c>
      <c r="HP300" t="e">
        <f>'Middle East'!F37+"$F;@!0fD"</f>
        <v>#VALUE!</v>
      </c>
      <c r="HQ300" t="e">
        <f>'Middle East'!G37+"$F;@!0fE"</f>
        <v>#VALUE!</v>
      </c>
      <c r="HR300" t="e">
        <f>'Middle East'!H37+"$F;@!0fF"</f>
        <v>#VALUE!</v>
      </c>
      <c r="HS300" t="e">
        <f>'Middle East'!A38+"$F;@!0fG"</f>
        <v>#VALUE!</v>
      </c>
      <c r="HT300" t="e">
        <f>'Middle East'!B38+"$F;@!0fH"</f>
        <v>#VALUE!</v>
      </c>
      <c r="HU300" t="e">
        <f>'Middle East'!C38+"$F;@!0fI"</f>
        <v>#VALUE!</v>
      </c>
      <c r="HV300" t="e">
        <f>'Middle East'!D38+"$F;@!0fJ"</f>
        <v>#VALUE!</v>
      </c>
      <c r="HW300" t="e">
        <f>'Middle East'!E38+"$F;@!0fK"</f>
        <v>#VALUE!</v>
      </c>
      <c r="HX300" t="e">
        <f>'Middle East'!F38+"$F;@!0fL"</f>
        <v>#VALUE!</v>
      </c>
      <c r="HY300" t="e">
        <f>'Middle East'!G38+"$F;@!0fM"</f>
        <v>#VALUE!</v>
      </c>
      <c r="HZ300" t="e">
        <f>'Middle East'!H38+"$F;@!0fN"</f>
        <v>#VALUE!</v>
      </c>
      <c r="IA300" t="e">
        <f>'Middle East'!A39+"$F;@!0fO"</f>
        <v>#VALUE!</v>
      </c>
      <c r="IB300" t="e">
        <f>'Middle East'!B39+"$F;@!0fP"</f>
        <v>#VALUE!</v>
      </c>
      <c r="IC300" t="e">
        <f>'Middle East'!C39+"$F;@!0fQ"</f>
        <v>#VALUE!</v>
      </c>
      <c r="ID300" t="e">
        <f>'Middle East'!D39+"$F;@!0fR"</f>
        <v>#VALUE!</v>
      </c>
      <c r="IE300" t="e">
        <f>'Middle East'!E39+"$F;@!0fS"</f>
        <v>#VALUE!</v>
      </c>
      <c r="IF300" t="e">
        <f>'Middle East'!F39+"$F;@!0fT"</f>
        <v>#VALUE!</v>
      </c>
      <c r="IG300" t="e">
        <f>'Middle East'!G39+"$F;@!0fU"</f>
        <v>#VALUE!</v>
      </c>
      <c r="IH300" t="e">
        <f>'Middle East'!H39+"$F;@!0fV"</f>
        <v>#VALUE!</v>
      </c>
      <c r="II300" t="e">
        <f>'Middle East'!A40+"$F;@!0fW"</f>
        <v>#VALUE!</v>
      </c>
      <c r="IJ300" t="e">
        <f>'Middle East'!B40+"$F;@!0fX"</f>
        <v>#VALUE!</v>
      </c>
      <c r="IK300" t="e">
        <f>'Middle East'!C40+"$F;@!0fY"</f>
        <v>#VALUE!</v>
      </c>
      <c r="IL300" t="e">
        <f>'Middle East'!D40+"$F;@!0fZ"</f>
        <v>#VALUE!</v>
      </c>
      <c r="IM300" t="e">
        <f>'Middle East'!E40+"$F;@!0f["</f>
        <v>#VALUE!</v>
      </c>
      <c r="IN300" t="e">
        <f>'Middle East'!F40+"$F;@!0f\"</f>
        <v>#VALUE!</v>
      </c>
      <c r="IO300" t="e">
        <f>'Middle East'!G40+"$F;@!0f]"</f>
        <v>#VALUE!</v>
      </c>
      <c r="IP300" t="e">
        <f>'Middle East'!H40+"$F;@!0f^"</f>
        <v>#VALUE!</v>
      </c>
      <c r="IQ300" t="e">
        <f>'Middle East'!A41+"$F;@!0f_"</f>
        <v>#VALUE!</v>
      </c>
      <c r="IR300" t="e">
        <f>'Middle East'!B41+"$F;@!0f`"</f>
        <v>#VALUE!</v>
      </c>
      <c r="IS300" t="e">
        <f>'Middle East'!C41+"$F;@!0fa"</f>
        <v>#VALUE!</v>
      </c>
      <c r="IT300" t="e">
        <f>'Middle East'!D41+"$F;@!0fb"</f>
        <v>#VALUE!</v>
      </c>
      <c r="IU300" t="e">
        <f>'Middle East'!E41+"$F;@!0fc"</f>
        <v>#VALUE!</v>
      </c>
      <c r="IV300" t="e">
        <f>'Middle East'!F41+"$F;@!0fd"</f>
        <v>#VALUE!</v>
      </c>
    </row>
    <row r="301" spans="6:256" x14ac:dyDescent="0.35">
      <c r="F301" t="e">
        <f>'Middle East'!G41+"$F;@!0fe"</f>
        <v>#VALUE!</v>
      </c>
      <c r="G301" t="e">
        <f>'Middle East'!H41+"$F;@!0ff"</f>
        <v>#VALUE!</v>
      </c>
      <c r="H301" t="e">
        <f>'Middle East'!A42+"$F;@!0fg"</f>
        <v>#VALUE!</v>
      </c>
      <c r="I301" t="e">
        <f>'Middle East'!B42+"$F;@!0fh"</f>
        <v>#VALUE!</v>
      </c>
      <c r="J301" t="e">
        <f>'Middle East'!C42+"$F;@!0fi"</f>
        <v>#VALUE!</v>
      </c>
      <c r="K301" t="e">
        <f>'Middle East'!D42+"$F;@!0fj"</f>
        <v>#VALUE!</v>
      </c>
      <c r="L301" t="e">
        <f>'Middle East'!E42+"$F;@!0fk"</f>
        <v>#VALUE!</v>
      </c>
      <c r="M301" t="e">
        <f>'Middle East'!F42+"$F;@!0fl"</f>
        <v>#VALUE!</v>
      </c>
      <c r="N301" t="e">
        <f>'Middle East'!G42+"$F;@!0fm"</f>
        <v>#VALUE!</v>
      </c>
      <c r="O301" t="e">
        <f>'Middle East'!H42+"$F;@!0fn"</f>
        <v>#VALUE!</v>
      </c>
      <c r="P301" t="e">
        <f>'Middle East'!A43+"$F;@!0fo"</f>
        <v>#VALUE!</v>
      </c>
      <c r="Q301" t="e">
        <f>'Middle East'!B43+"$F;@!0fp"</f>
        <v>#VALUE!</v>
      </c>
      <c r="R301" t="e">
        <f>'Middle East'!C43+"$F;@!0fq"</f>
        <v>#VALUE!</v>
      </c>
      <c r="S301" t="e">
        <f>'Middle East'!D43+"$F;@!0fr"</f>
        <v>#VALUE!</v>
      </c>
      <c r="T301" t="e">
        <f>'Middle East'!E43+"$F;@!0fs"</f>
        <v>#VALUE!</v>
      </c>
      <c r="U301" t="e">
        <f>'Middle East'!F43+"$F;@!0ft"</f>
        <v>#VALUE!</v>
      </c>
      <c r="V301" t="e">
        <f>'Middle East'!G43+"$F;@!0fu"</f>
        <v>#VALUE!</v>
      </c>
      <c r="W301" t="e">
        <f>'Middle East'!H43+"$F;@!0fv"</f>
        <v>#VALUE!</v>
      </c>
      <c r="X301" t="e">
        <f>'Middle East'!A44+"$F;@!0fw"</f>
        <v>#VALUE!</v>
      </c>
      <c r="Y301" t="e">
        <f>'Middle East'!B44+"$F;@!0fx"</f>
        <v>#VALUE!</v>
      </c>
      <c r="Z301" t="e">
        <f>'Middle East'!C44+"$F;@!0fy"</f>
        <v>#VALUE!</v>
      </c>
      <c r="AA301" t="e">
        <f>'Middle East'!D44+"$F;@!0fz"</f>
        <v>#VALUE!</v>
      </c>
      <c r="AB301" t="e">
        <f>'Middle East'!E44+"$F;@!0f{"</f>
        <v>#VALUE!</v>
      </c>
      <c r="AC301" t="e">
        <f>'Middle East'!F44+"$F;@!0f|"</f>
        <v>#VALUE!</v>
      </c>
      <c r="AD301" t="e">
        <f>'Middle East'!G44+"$F;@!0f}"</f>
        <v>#VALUE!</v>
      </c>
      <c r="AE301" t="e">
        <f>'Middle East'!H44+"$F;@!0f~"</f>
        <v>#VALUE!</v>
      </c>
      <c r="AF301" t="e">
        <f>'Middle East'!A45+"$F;@!0g#"</f>
        <v>#VALUE!</v>
      </c>
      <c r="AG301" t="e">
        <f>'Middle East'!B45+"$F;@!0g$"</f>
        <v>#VALUE!</v>
      </c>
      <c r="AH301" t="e">
        <f>'Middle East'!C45+"$F;@!0g%"</f>
        <v>#VALUE!</v>
      </c>
      <c r="AI301" t="e">
        <f>'Middle East'!D45+"$F;@!0g&amp;"</f>
        <v>#VALUE!</v>
      </c>
      <c r="AJ301" t="e">
        <f>'Middle East'!E45+"$F;@!0g'"</f>
        <v>#VALUE!</v>
      </c>
      <c r="AK301" t="e">
        <f>'Middle East'!F45+"$F;@!0g("</f>
        <v>#VALUE!</v>
      </c>
      <c r="AL301" t="e">
        <f>'Middle East'!G45+"$F;@!0g)"</f>
        <v>#VALUE!</v>
      </c>
      <c r="AM301" t="e">
        <f>'Middle East'!H45+"$F;@!0g."</f>
        <v>#VALUE!</v>
      </c>
      <c r="AN301" t="e">
        <f>'Middle East'!A46+"$F;@!0g/"</f>
        <v>#VALUE!</v>
      </c>
      <c r="AO301" t="e">
        <f>'Middle East'!B46+"$F;@!0g0"</f>
        <v>#VALUE!</v>
      </c>
      <c r="AP301" t="e">
        <f>'Middle East'!C46+"$F;@!0g1"</f>
        <v>#VALUE!</v>
      </c>
      <c r="AQ301" t="e">
        <f>'Middle East'!D46+"$F;@!0g2"</f>
        <v>#VALUE!</v>
      </c>
      <c r="AR301" t="e">
        <f>'Middle East'!E46+"$F;@!0g3"</f>
        <v>#VALUE!</v>
      </c>
      <c r="AS301" t="e">
        <f>'Middle East'!F46+"$F;@!0g4"</f>
        <v>#VALUE!</v>
      </c>
      <c r="AT301" t="e">
        <f>'Middle East'!G46+"$F;@!0g5"</f>
        <v>#VALUE!</v>
      </c>
      <c r="AU301" t="e">
        <f>'Middle East'!H46+"$F;@!0g6"</f>
        <v>#VALUE!</v>
      </c>
      <c r="AV301" t="e">
        <f>'Middle East'!A47+"$F;@!0g7"</f>
        <v>#VALUE!</v>
      </c>
      <c r="AW301" t="e">
        <f>'Middle East'!B47+"$F;@!0g8"</f>
        <v>#VALUE!</v>
      </c>
      <c r="AX301" t="e">
        <f>'Middle East'!C47+"$F;@!0g9"</f>
        <v>#VALUE!</v>
      </c>
      <c r="AY301" t="e">
        <f>'Middle East'!D47+"$F;@!0g:"</f>
        <v>#VALUE!</v>
      </c>
      <c r="AZ301" t="e">
        <f>'Middle East'!E47+"$F;@!0g;"</f>
        <v>#VALUE!</v>
      </c>
      <c r="BA301" t="e">
        <f>'Middle East'!F47+"$F;@!0g&lt;"</f>
        <v>#VALUE!</v>
      </c>
      <c r="BB301" t="e">
        <f>'Middle East'!G47+"$F;@!0g="</f>
        <v>#VALUE!</v>
      </c>
      <c r="BC301" t="e">
        <f>'Middle East'!H47+"$F;@!0g&gt;"</f>
        <v>#VALUE!</v>
      </c>
      <c r="BD301" t="e">
        <f>'Middle East'!A48+"$F;@!0g?"</f>
        <v>#VALUE!</v>
      </c>
      <c r="BE301" t="e">
        <f>'Middle East'!B48+"$F;@!0g@"</f>
        <v>#VALUE!</v>
      </c>
      <c r="BF301" t="e">
        <f>'Middle East'!C48+"$F;@!0gA"</f>
        <v>#VALUE!</v>
      </c>
      <c r="BG301" t="e">
        <f>'Middle East'!D48+"$F;@!0gB"</f>
        <v>#VALUE!</v>
      </c>
      <c r="BH301" t="e">
        <f>'Middle East'!E48+"$F;@!0gC"</f>
        <v>#VALUE!</v>
      </c>
      <c r="BI301" t="e">
        <f>'Middle East'!F48+"$F;@!0gD"</f>
        <v>#VALUE!</v>
      </c>
      <c r="BJ301" t="e">
        <f>'Middle East'!G48+"$F;@!0gE"</f>
        <v>#VALUE!</v>
      </c>
      <c r="BK301" t="e">
        <f>'Middle East'!H48+"$F;@!0gF"</f>
        <v>#VALUE!</v>
      </c>
      <c r="BL301" t="e">
        <f>'Middle East'!A49+"$F;@!0gG"</f>
        <v>#VALUE!</v>
      </c>
      <c r="BM301" t="e">
        <f>'Middle East'!B49+"$F;@!0gH"</f>
        <v>#VALUE!</v>
      </c>
      <c r="BN301" t="e">
        <f>'Middle East'!C49+"$F;@!0gI"</f>
        <v>#VALUE!</v>
      </c>
      <c r="BO301" t="e">
        <f>'Middle East'!D49+"$F;@!0gJ"</f>
        <v>#VALUE!</v>
      </c>
      <c r="BP301" t="e">
        <f>'Middle East'!E49+"$F;@!0gK"</f>
        <v>#VALUE!</v>
      </c>
      <c r="BQ301" t="e">
        <f>'Middle East'!F49+"$F;@!0gL"</f>
        <v>#VALUE!</v>
      </c>
      <c r="BR301" t="e">
        <f>'Middle East'!G49+"$F;@!0gM"</f>
        <v>#VALUE!</v>
      </c>
      <c r="BS301" t="e">
        <f>'Middle East'!H49+"$F;@!0gN"</f>
        <v>#VALUE!</v>
      </c>
      <c r="BT301" t="e">
        <f>'Middle East'!A50+"$F;@!0gO"</f>
        <v>#VALUE!</v>
      </c>
      <c r="BU301" t="e">
        <f>'Middle East'!B50+"$F;@!0gP"</f>
        <v>#VALUE!</v>
      </c>
      <c r="BV301" t="e">
        <f>'Middle East'!C50+"$F;@!0gQ"</f>
        <v>#VALUE!</v>
      </c>
      <c r="BW301" t="e">
        <f>'Middle East'!D50+"$F;@!0gR"</f>
        <v>#VALUE!</v>
      </c>
      <c r="BX301" t="e">
        <f>'Middle East'!E50+"$F;@!0gS"</f>
        <v>#VALUE!</v>
      </c>
      <c r="BY301" t="e">
        <f>'Middle East'!F50+"$F;@!0gT"</f>
        <v>#VALUE!</v>
      </c>
      <c r="BZ301" t="e">
        <f>'Middle East'!G50+"$F;@!0gU"</f>
        <v>#VALUE!</v>
      </c>
      <c r="CA301" t="e">
        <f>'Middle East'!H50+"$F;@!0gV"</f>
        <v>#VALUE!</v>
      </c>
      <c r="CB301" t="e">
        <f>'Middle East'!A51+"$F;@!0gW"</f>
        <v>#VALUE!</v>
      </c>
      <c r="CC301" t="e">
        <f>'Middle East'!B51+"$F;@!0gX"</f>
        <v>#VALUE!</v>
      </c>
      <c r="CD301" t="e">
        <f>'Middle East'!C51+"$F;@!0gY"</f>
        <v>#VALUE!</v>
      </c>
      <c r="CE301" t="e">
        <f>'Middle East'!D51+"$F;@!0gZ"</f>
        <v>#VALUE!</v>
      </c>
      <c r="CF301" t="e">
        <f>'Middle East'!E51+"$F;@!0g["</f>
        <v>#VALUE!</v>
      </c>
      <c r="CG301" t="e">
        <f>'Middle East'!F51+"$F;@!0g\"</f>
        <v>#VALUE!</v>
      </c>
      <c r="CH301" t="e">
        <f>'Middle East'!G51+"$F;@!0g]"</f>
        <v>#VALUE!</v>
      </c>
      <c r="CI301" t="e">
        <f>'Middle East'!H51+"$F;@!0g^"</f>
        <v>#VALUE!</v>
      </c>
      <c r="CJ301" t="e">
        <f>'Middle East'!A52+"$F;@!0g_"</f>
        <v>#VALUE!</v>
      </c>
      <c r="CK301" t="e">
        <f>'Middle East'!B52+"$F;@!0g`"</f>
        <v>#VALUE!</v>
      </c>
      <c r="CL301" t="e">
        <f>'Middle East'!C52+"$F;@!0ga"</f>
        <v>#VALUE!</v>
      </c>
      <c r="CM301" t="e">
        <f>'Middle East'!D52+"$F;@!0gb"</f>
        <v>#VALUE!</v>
      </c>
      <c r="CN301" t="e">
        <f>'Middle East'!E52+"$F;@!0gc"</f>
        <v>#VALUE!</v>
      </c>
      <c r="CO301" t="e">
        <f>'Middle East'!F52+"$F;@!0gd"</f>
        <v>#VALUE!</v>
      </c>
      <c r="CP301" t="e">
        <f>'Middle East'!G52+"$F;@!0ge"</f>
        <v>#VALUE!</v>
      </c>
      <c r="CQ301" t="e">
        <f>'Middle East'!H52+"$F;@!0gf"</f>
        <v>#VALUE!</v>
      </c>
      <c r="CR301" t="e">
        <f>'Middle East'!A53+"$F;@!0gg"</f>
        <v>#VALUE!</v>
      </c>
      <c r="CS301" t="e">
        <f>'Middle East'!B53+"$F;@!0gh"</f>
        <v>#VALUE!</v>
      </c>
      <c r="CT301" t="e">
        <f>'Middle East'!C53+"$F;@!0gi"</f>
        <v>#VALUE!</v>
      </c>
      <c r="CU301" t="e">
        <f>'Middle East'!D53+"$F;@!0gj"</f>
        <v>#VALUE!</v>
      </c>
      <c r="CV301" t="e">
        <f>'Middle East'!E53+"$F;@!0gk"</f>
        <v>#VALUE!</v>
      </c>
      <c r="CW301" t="e">
        <f>'Middle East'!F53+"$F;@!0gl"</f>
        <v>#VALUE!</v>
      </c>
      <c r="CX301" t="e">
        <f>'Middle East'!G53+"$F;@!0gm"</f>
        <v>#VALUE!</v>
      </c>
      <c r="CY301" t="e">
        <f>'Middle East'!H53+"$F;@!0gn"</f>
        <v>#VALUE!</v>
      </c>
      <c r="CZ301" t="e">
        <f>'Middle East'!A54+"$F;@!0go"</f>
        <v>#VALUE!</v>
      </c>
      <c r="DA301" t="e">
        <f>'Middle East'!B54+"$F;@!0gp"</f>
        <v>#VALUE!</v>
      </c>
      <c r="DB301" t="e">
        <f>'Middle East'!C54+"$F;@!0gq"</f>
        <v>#VALUE!</v>
      </c>
      <c r="DC301" t="e">
        <f>'Middle East'!D54+"$F;@!0gr"</f>
        <v>#VALUE!</v>
      </c>
      <c r="DD301" t="e">
        <f>'Middle East'!E54+"$F;@!0gs"</f>
        <v>#VALUE!</v>
      </c>
      <c r="DE301" t="e">
        <f>'Middle East'!F54+"$F;@!0gt"</f>
        <v>#VALUE!</v>
      </c>
      <c r="DF301" t="e">
        <f>'Middle East'!G54+"$F;@!0gu"</f>
        <v>#VALUE!</v>
      </c>
      <c r="DG301" t="e">
        <f>'Middle East'!H54+"$F;@!0gv"</f>
        <v>#VALUE!</v>
      </c>
      <c r="DH301" t="e">
        <f>'Middle East'!A55+"$F;@!0gw"</f>
        <v>#VALUE!</v>
      </c>
      <c r="DI301" t="e">
        <f>'Middle East'!B55+"$F;@!0gx"</f>
        <v>#VALUE!</v>
      </c>
      <c r="DJ301" t="e">
        <f>'Middle East'!C55+"$F;@!0gy"</f>
        <v>#VALUE!</v>
      </c>
      <c r="DK301" t="e">
        <f>'Middle East'!D55+"$F;@!0gz"</f>
        <v>#VALUE!</v>
      </c>
      <c r="DL301" t="e">
        <f>'Middle East'!E55+"$F;@!0g{"</f>
        <v>#VALUE!</v>
      </c>
      <c r="DM301" t="e">
        <f>'Middle East'!F55+"$F;@!0g|"</f>
        <v>#VALUE!</v>
      </c>
      <c r="DN301" t="e">
        <f>'Middle East'!G55+"$F;@!0g}"</f>
        <v>#VALUE!</v>
      </c>
      <c r="DO301" t="e">
        <f>'Middle East'!H55+"$F;@!0g~"</f>
        <v>#VALUE!</v>
      </c>
      <c r="DP301" t="e">
        <f>'Middle East'!A56+"$F;@!0h#"</f>
        <v>#VALUE!</v>
      </c>
      <c r="DQ301" t="e">
        <f>'Middle East'!B56+"$F;@!0h$"</f>
        <v>#VALUE!</v>
      </c>
      <c r="DR301" t="e">
        <f>'Middle East'!C56+"$F;@!0h%"</f>
        <v>#VALUE!</v>
      </c>
      <c r="DS301" t="e">
        <f>'Middle East'!D56+"$F;@!0h&amp;"</f>
        <v>#VALUE!</v>
      </c>
      <c r="DT301" t="e">
        <f>'Middle East'!E56+"$F;@!0h'"</f>
        <v>#VALUE!</v>
      </c>
      <c r="DU301" t="e">
        <f>'Middle East'!F56+"$F;@!0h("</f>
        <v>#VALUE!</v>
      </c>
      <c r="DV301" t="e">
        <f>'Middle East'!G56+"$F;@!0h)"</f>
        <v>#VALUE!</v>
      </c>
      <c r="DW301" t="e">
        <f>'Middle East'!H56+"$F;@!0h."</f>
        <v>#VALUE!</v>
      </c>
      <c r="DX301" t="e">
        <f>'Middle East'!A57+"$F;@!0h/"</f>
        <v>#VALUE!</v>
      </c>
      <c r="DY301" t="e">
        <f>'Middle East'!B57+"$F;@!0h0"</f>
        <v>#VALUE!</v>
      </c>
      <c r="DZ301" t="e">
        <f>'Middle East'!C57+"$F;@!0h1"</f>
        <v>#VALUE!</v>
      </c>
      <c r="EA301" t="e">
        <f>'Middle East'!D57+"$F;@!0h2"</f>
        <v>#VALUE!</v>
      </c>
      <c r="EB301" t="e">
        <f>'Middle East'!E57+"$F;@!0h3"</f>
        <v>#VALUE!</v>
      </c>
      <c r="EC301" t="e">
        <f>'Middle East'!F57+"$F;@!0h4"</f>
        <v>#VALUE!</v>
      </c>
      <c r="ED301" t="e">
        <f>'Middle East'!G57+"$F;@!0h5"</f>
        <v>#VALUE!</v>
      </c>
      <c r="EE301" t="e">
        <f>'Middle East'!H57+"$F;@!0h6"</f>
        <v>#VALUE!</v>
      </c>
      <c r="EF301" t="e">
        <f>'Middle East'!A58+"$F;@!0h7"</f>
        <v>#VALUE!</v>
      </c>
      <c r="EG301" t="e">
        <f>'Middle East'!B58+"$F;@!0h8"</f>
        <v>#VALUE!</v>
      </c>
      <c r="EH301" t="e">
        <f>'Middle East'!C58+"$F;@!0h9"</f>
        <v>#VALUE!</v>
      </c>
      <c r="EI301" t="e">
        <f>'Middle East'!D58+"$F;@!0h:"</f>
        <v>#VALUE!</v>
      </c>
      <c r="EJ301" t="e">
        <f>'Middle East'!E58+"$F;@!0h;"</f>
        <v>#VALUE!</v>
      </c>
      <c r="EK301" t="e">
        <f>'Middle East'!F58+"$F;@!0h&lt;"</f>
        <v>#VALUE!</v>
      </c>
      <c r="EL301" t="e">
        <f>'Middle East'!G58+"$F;@!0h="</f>
        <v>#VALUE!</v>
      </c>
      <c r="EM301" t="e">
        <f>'Middle East'!H58+"$F;@!0h&gt;"</f>
        <v>#VALUE!</v>
      </c>
      <c r="EN301" t="e">
        <f>'Middle East'!A59+"$F;@!0h?"</f>
        <v>#VALUE!</v>
      </c>
      <c r="EO301" t="e">
        <f>'Middle East'!B59+"$F;@!0h@"</f>
        <v>#VALUE!</v>
      </c>
      <c r="EP301" t="e">
        <f>'Middle East'!C59+"$F;@!0hA"</f>
        <v>#VALUE!</v>
      </c>
      <c r="EQ301" t="e">
        <f>'Middle East'!D59+"$F;@!0hB"</f>
        <v>#VALUE!</v>
      </c>
      <c r="ER301" t="e">
        <f>'Middle East'!E59+"$F;@!0hC"</f>
        <v>#VALUE!</v>
      </c>
      <c r="ES301" t="e">
        <f>'Middle East'!F59+"$F;@!0hD"</f>
        <v>#VALUE!</v>
      </c>
      <c r="ET301" t="e">
        <f>'Middle East'!G59+"$F;@!0hE"</f>
        <v>#VALUE!</v>
      </c>
      <c r="EU301" t="e">
        <f>'Middle East'!H59+"$F;@!0hF"</f>
        <v>#VALUE!</v>
      </c>
      <c r="EV301" t="e">
        <f>'Middle East'!A60+"$F;@!0hG"</f>
        <v>#VALUE!</v>
      </c>
      <c r="EW301" t="e">
        <f>'Middle East'!B60+"$F;@!0hH"</f>
        <v>#VALUE!</v>
      </c>
      <c r="EX301" t="e">
        <f>'Middle East'!C60+"$F;@!0hI"</f>
        <v>#VALUE!</v>
      </c>
      <c r="EY301" t="e">
        <f>'Middle East'!D60+"$F;@!0hJ"</f>
        <v>#VALUE!</v>
      </c>
      <c r="EZ301" t="e">
        <f>'Middle East'!E60+"$F;@!0hK"</f>
        <v>#VALUE!</v>
      </c>
      <c r="FA301" t="e">
        <f>'Middle East'!F60+"$F;@!0hL"</f>
        <v>#VALUE!</v>
      </c>
      <c r="FB301" t="e">
        <f>'Middle East'!G60+"$F;@!0hM"</f>
        <v>#VALUE!</v>
      </c>
      <c r="FC301" t="e">
        <f>'Middle East'!H60+"$F;@!0hN"</f>
        <v>#VALUE!</v>
      </c>
      <c r="FD301" t="e">
        <f>'Middle East'!A61+"$F;@!0hO"</f>
        <v>#VALUE!</v>
      </c>
      <c r="FE301" t="e">
        <f>'Middle East'!B61+"$F;@!0hP"</f>
        <v>#VALUE!</v>
      </c>
      <c r="FF301" t="e">
        <f>'Middle East'!C61+"$F;@!0hQ"</f>
        <v>#VALUE!</v>
      </c>
      <c r="FG301" t="e">
        <f>'Middle East'!D61+"$F;@!0hR"</f>
        <v>#VALUE!</v>
      </c>
      <c r="FH301" t="e">
        <f>'Middle East'!E61+"$F;@!0hS"</f>
        <v>#VALUE!</v>
      </c>
      <c r="FI301" t="e">
        <f>'Middle East'!F61+"$F;@!0hT"</f>
        <v>#VALUE!</v>
      </c>
      <c r="FJ301" t="e">
        <f>'Middle East'!G61+"$F;@!0hU"</f>
        <v>#VALUE!</v>
      </c>
      <c r="FK301" t="e">
        <f>'Middle East'!H61+"$F;@!0hV"</f>
        <v>#VALUE!</v>
      </c>
      <c r="FL301" t="e">
        <f>'Middle East'!A62+"$F;@!0hW"</f>
        <v>#VALUE!</v>
      </c>
      <c r="FM301" t="e">
        <f>'Middle East'!B62+"$F;@!0hX"</f>
        <v>#VALUE!</v>
      </c>
      <c r="FN301" t="e">
        <f>'Middle East'!C62+"$F;@!0hY"</f>
        <v>#VALUE!</v>
      </c>
      <c r="FO301" t="e">
        <f>'Middle East'!D62+"$F;@!0hZ"</f>
        <v>#VALUE!</v>
      </c>
      <c r="FP301" t="e">
        <f>'Middle East'!E62+"$F;@!0h["</f>
        <v>#VALUE!</v>
      </c>
      <c r="FQ301" t="e">
        <f>'Middle East'!F62+"$F;@!0h\"</f>
        <v>#VALUE!</v>
      </c>
      <c r="FR301" t="e">
        <f>'Middle East'!G62+"$F;@!0h]"</f>
        <v>#VALUE!</v>
      </c>
      <c r="FS301" t="e">
        <f>'Middle East'!H62+"$F;@!0h^"</f>
        <v>#VALUE!</v>
      </c>
      <c r="FT301" t="e">
        <f>'Middle East'!A63+"$F;@!0h_"</f>
        <v>#VALUE!</v>
      </c>
      <c r="FU301" t="e">
        <f>'Middle East'!B63+"$F;@!0h`"</f>
        <v>#VALUE!</v>
      </c>
      <c r="FV301" t="e">
        <f>'Middle East'!C63+"$F;@!0ha"</f>
        <v>#VALUE!</v>
      </c>
      <c r="FW301" t="e">
        <f>'Middle East'!D63+"$F;@!0hb"</f>
        <v>#VALUE!</v>
      </c>
      <c r="FX301" t="e">
        <f>'Middle East'!E63+"$F;@!0hc"</f>
        <v>#VALUE!</v>
      </c>
      <c r="FY301" t="e">
        <f>'Middle East'!F63+"$F;@!0hd"</f>
        <v>#VALUE!</v>
      </c>
      <c r="FZ301" t="e">
        <f>'Middle East'!G63+"$F;@!0he"</f>
        <v>#VALUE!</v>
      </c>
      <c r="GA301" t="e">
        <f>'Middle East'!H63+"$F;@!0hf"</f>
        <v>#VALUE!</v>
      </c>
      <c r="GB301" t="e">
        <f>'Middle East'!A64+"$F;@!0hg"</f>
        <v>#VALUE!</v>
      </c>
      <c r="GC301" t="e">
        <f>'Middle East'!B64+"$F;@!0hh"</f>
        <v>#VALUE!</v>
      </c>
      <c r="GD301" t="e">
        <f>'Middle East'!C64+"$F;@!0hi"</f>
        <v>#VALUE!</v>
      </c>
      <c r="GE301" t="e">
        <f>'Middle East'!D64+"$F;@!0hj"</f>
        <v>#VALUE!</v>
      </c>
      <c r="GF301" t="e">
        <f>'Middle East'!E64+"$F;@!0hk"</f>
        <v>#VALUE!</v>
      </c>
      <c r="GG301" t="e">
        <f>'Middle East'!F64+"$F;@!0hl"</f>
        <v>#VALUE!</v>
      </c>
      <c r="GH301" t="e">
        <f>'Middle East'!G64+"$F;@!0hm"</f>
        <v>#VALUE!</v>
      </c>
      <c r="GI301" t="e">
        <f>'Middle East'!H64+"$F;@!0hn"</f>
        <v>#VALUE!</v>
      </c>
      <c r="GJ301" t="e">
        <f>'Middle East'!A65+"$F;@!0ho"</f>
        <v>#VALUE!</v>
      </c>
      <c r="GK301" t="e">
        <f>'Middle East'!B65+"$F;@!0hp"</f>
        <v>#VALUE!</v>
      </c>
      <c r="GL301" t="e">
        <f>'Middle East'!C65+"$F;@!0hq"</f>
        <v>#VALUE!</v>
      </c>
      <c r="GM301" t="e">
        <f>'Middle East'!D65+"$F;@!0hr"</f>
        <v>#VALUE!</v>
      </c>
      <c r="GN301" t="e">
        <f>'Middle East'!E65+"$F;@!0hs"</f>
        <v>#VALUE!</v>
      </c>
      <c r="GO301" t="e">
        <f>'Middle East'!F65+"$F;@!0ht"</f>
        <v>#VALUE!</v>
      </c>
      <c r="GP301" t="e">
        <f>'Middle East'!G65+"$F;@!0hu"</f>
        <v>#VALUE!</v>
      </c>
      <c r="GQ301" t="e">
        <f>'Middle East'!H65+"$F;@!0hv"</f>
        <v>#VALUE!</v>
      </c>
      <c r="GR301" t="e">
        <f>'Middle East'!A66+"$F;@!0hw"</f>
        <v>#VALUE!</v>
      </c>
      <c r="GS301" t="e">
        <f>'Middle East'!B66+"$F;@!0hx"</f>
        <v>#VALUE!</v>
      </c>
      <c r="GT301" t="e">
        <f>'Middle East'!C66+"$F;@!0hy"</f>
        <v>#VALUE!</v>
      </c>
      <c r="GU301" t="e">
        <f>'Middle East'!D66+"$F;@!0hz"</f>
        <v>#VALUE!</v>
      </c>
      <c r="GV301" t="e">
        <f>'Middle East'!E66+"$F;@!0h{"</f>
        <v>#VALUE!</v>
      </c>
      <c r="GW301" t="e">
        <f>'Middle East'!F66+"$F;@!0h|"</f>
        <v>#VALUE!</v>
      </c>
      <c r="GX301" t="e">
        <f>'Middle East'!G66+"$F;@!0h}"</f>
        <v>#VALUE!</v>
      </c>
      <c r="GY301" t="e">
        <f>'Middle East'!H66+"$F;@!0h~"</f>
        <v>#VALUE!</v>
      </c>
      <c r="GZ301" t="e">
        <f>'Middle East'!A67+"$F;@!0i#"</f>
        <v>#VALUE!</v>
      </c>
      <c r="HA301" t="e">
        <f>'Middle East'!B67+"$F;@!0i$"</f>
        <v>#VALUE!</v>
      </c>
      <c r="HB301" t="e">
        <f>'Middle East'!C67+"$F;@!0i%"</f>
        <v>#VALUE!</v>
      </c>
      <c r="HC301" t="e">
        <f>'Middle East'!D67+"$F;@!0i&amp;"</f>
        <v>#VALUE!</v>
      </c>
      <c r="HD301" t="e">
        <f>'Middle East'!E67+"$F;@!0i'"</f>
        <v>#VALUE!</v>
      </c>
      <c r="HE301" t="e">
        <f>'Middle East'!F67+"$F;@!0i("</f>
        <v>#VALUE!</v>
      </c>
      <c r="HF301" t="e">
        <f>'Middle East'!G67+"$F;@!0i)"</f>
        <v>#VALUE!</v>
      </c>
      <c r="HG301" t="e">
        <f>'Middle East'!H67+"$F;@!0i."</f>
        <v>#VALUE!</v>
      </c>
      <c r="HH301" t="e">
        <f>'Middle East'!A68+"$F;@!0i/"</f>
        <v>#VALUE!</v>
      </c>
      <c r="HI301" t="e">
        <f>'Middle East'!B68+"$F;@!0i0"</f>
        <v>#VALUE!</v>
      </c>
      <c r="HJ301" t="e">
        <f>'Middle East'!C68+"$F;@!0i1"</f>
        <v>#VALUE!</v>
      </c>
      <c r="HK301" t="e">
        <f>'Middle East'!D68+"$F;@!0i2"</f>
        <v>#VALUE!</v>
      </c>
      <c r="HL301" t="e">
        <f>'Middle East'!E68+"$F;@!0i3"</f>
        <v>#VALUE!</v>
      </c>
      <c r="HM301" t="e">
        <f>'Middle East'!F68+"$F;@!0i4"</f>
        <v>#VALUE!</v>
      </c>
      <c r="HN301" t="e">
        <f>'Middle East'!G68+"$F;@!0i5"</f>
        <v>#VALUE!</v>
      </c>
      <c r="HO301" t="e">
        <f>'Middle East'!H68+"$F;@!0i6"</f>
        <v>#VALUE!</v>
      </c>
      <c r="HP301" t="e">
        <f>'Middle East'!A69+"$F;@!0i7"</f>
        <v>#VALUE!</v>
      </c>
      <c r="HQ301" t="e">
        <f>'Middle East'!B69+"$F;@!0i8"</f>
        <v>#VALUE!</v>
      </c>
      <c r="HR301" t="e">
        <f>'Middle East'!C69+"$F;@!0i9"</f>
        <v>#VALUE!</v>
      </c>
      <c r="HS301" t="e">
        <f>'Middle East'!D69+"$F;@!0i:"</f>
        <v>#VALUE!</v>
      </c>
      <c r="HT301" t="e">
        <f>'Middle East'!E69+"$F;@!0i;"</f>
        <v>#VALUE!</v>
      </c>
      <c r="HU301" t="e">
        <f>'Middle East'!F69+"$F;@!0i&lt;"</f>
        <v>#VALUE!</v>
      </c>
      <c r="HV301" t="e">
        <f>'Middle East'!G69+"$F;@!0i="</f>
        <v>#VALUE!</v>
      </c>
      <c r="HW301" t="e">
        <f>'Middle East'!H69+"$F;@!0i&gt;"</f>
        <v>#VALUE!</v>
      </c>
      <c r="HX301" t="e">
        <f>'Middle East'!A70+"$F;@!0i?"</f>
        <v>#VALUE!</v>
      </c>
      <c r="HY301" t="e">
        <f>'Middle East'!B70+"$F;@!0i@"</f>
        <v>#VALUE!</v>
      </c>
      <c r="HZ301" t="e">
        <f>'Middle East'!C70+"$F;@!0iA"</f>
        <v>#VALUE!</v>
      </c>
      <c r="IA301" t="e">
        <f>'Middle East'!D70+"$F;@!0iB"</f>
        <v>#VALUE!</v>
      </c>
      <c r="IB301" t="e">
        <f>'Middle East'!E70+"$F;@!0iC"</f>
        <v>#VALUE!</v>
      </c>
      <c r="IC301" t="e">
        <f>'Middle East'!F70+"$F;@!0iD"</f>
        <v>#VALUE!</v>
      </c>
      <c r="ID301" t="e">
        <f>'Middle East'!G70+"$F;@!0iE"</f>
        <v>#VALUE!</v>
      </c>
      <c r="IE301" t="e">
        <f>'Middle East'!H70+"$F;@!0iF"</f>
        <v>#VALUE!</v>
      </c>
      <c r="IF301" t="e">
        <f>'Middle East'!A71+"$F;@!0iG"</f>
        <v>#VALUE!</v>
      </c>
      <c r="IG301" t="e">
        <f>'Middle East'!B71+"$F;@!0iH"</f>
        <v>#VALUE!</v>
      </c>
      <c r="IH301" t="e">
        <f>'Middle East'!C71+"$F;@!0iI"</f>
        <v>#VALUE!</v>
      </c>
      <c r="II301" t="e">
        <f>'Middle East'!D71+"$F;@!0iJ"</f>
        <v>#VALUE!</v>
      </c>
      <c r="IJ301" t="e">
        <f>'Middle East'!E71+"$F;@!0iK"</f>
        <v>#VALUE!</v>
      </c>
      <c r="IK301" t="e">
        <f>'Middle East'!F71+"$F;@!0iL"</f>
        <v>#VALUE!</v>
      </c>
      <c r="IL301" t="e">
        <f>'Middle East'!G71+"$F;@!0iM"</f>
        <v>#VALUE!</v>
      </c>
      <c r="IM301" t="e">
        <f>'Middle East'!H71+"$F;@!0iN"</f>
        <v>#VALUE!</v>
      </c>
      <c r="IN301" t="e">
        <f>'Middle East'!A72+"$F;@!0iO"</f>
        <v>#VALUE!</v>
      </c>
      <c r="IO301" t="e">
        <f>'Middle East'!B72+"$F;@!0iP"</f>
        <v>#VALUE!</v>
      </c>
      <c r="IP301" t="e">
        <f>'Middle East'!C72+"$F;@!0iQ"</f>
        <v>#VALUE!</v>
      </c>
      <c r="IQ301" t="e">
        <f>'Middle East'!D72+"$F;@!0iR"</f>
        <v>#VALUE!</v>
      </c>
      <c r="IR301" t="e">
        <f>'Middle East'!E72+"$F;@!0iS"</f>
        <v>#VALUE!</v>
      </c>
      <c r="IS301" t="e">
        <f>'Middle East'!F72+"$F;@!0iT"</f>
        <v>#VALUE!</v>
      </c>
      <c r="IT301" t="e">
        <f>'Middle East'!G72+"$F;@!0iU"</f>
        <v>#VALUE!</v>
      </c>
      <c r="IU301" t="e">
        <f>'Middle East'!H72+"$F;@!0iV"</f>
        <v>#VALUE!</v>
      </c>
      <c r="IV301" t="e">
        <f>'Middle East'!A73+"$F;@!0iW"</f>
        <v>#VALUE!</v>
      </c>
    </row>
    <row r="302" spans="6:256" x14ac:dyDescent="0.35">
      <c r="F302" t="e">
        <f>'Middle East'!B73+"$F;@!0iX"</f>
        <v>#VALUE!</v>
      </c>
      <c r="G302" t="e">
        <f>'Middle East'!C73+"$F;@!0iY"</f>
        <v>#VALUE!</v>
      </c>
      <c r="H302" t="e">
        <f>'Middle East'!D73+"$F;@!0iZ"</f>
        <v>#VALUE!</v>
      </c>
      <c r="I302" t="e">
        <f>'Middle East'!E73+"$F;@!0i["</f>
        <v>#VALUE!</v>
      </c>
      <c r="J302" t="e">
        <f>'Middle East'!F73+"$F;@!0i\"</f>
        <v>#VALUE!</v>
      </c>
      <c r="K302" t="e">
        <f>'Middle East'!G73+"$F;@!0i]"</f>
        <v>#VALUE!</v>
      </c>
      <c r="L302" t="e">
        <f>'Middle East'!H73+"$F;@!0i^"</f>
        <v>#VALUE!</v>
      </c>
      <c r="M302" t="e">
        <f>'Middle East'!A74+"$F;@!0i_"</f>
        <v>#VALUE!</v>
      </c>
      <c r="N302" t="e">
        <f>'Middle East'!B74+"$F;@!0i`"</f>
        <v>#VALUE!</v>
      </c>
      <c r="O302" t="e">
        <f>'Middle East'!C74+"$F;@!0ia"</f>
        <v>#VALUE!</v>
      </c>
      <c r="P302" t="e">
        <f>'Middle East'!D74+"$F;@!0ib"</f>
        <v>#VALUE!</v>
      </c>
      <c r="Q302" t="e">
        <f>'Middle East'!E74+"$F;@!0ic"</f>
        <v>#VALUE!</v>
      </c>
      <c r="R302" t="e">
        <f>'Middle East'!F74+"$F;@!0id"</f>
        <v>#VALUE!</v>
      </c>
      <c r="S302" t="e">
        <f>'Middle East'!G74+"$F;@!0ie"</f>
        <v>#VALUE!</v>
      </c>
      <c r="T302" t="e">
        <f>'Middle East'!H74+"$F;@!0if"</f>
        <v>#VALUE!</v>
      </c>
      <c r="U302" t="e">
        <f>'Middle East'!A75+"$F;@!0ig"</f>
        <v>#VALUE!</v>
      </c>
      <c r="V302" t="e">
        <f>'Middle East'!B75+"$F;@!0ih"</f>
        <v>#VALUE!</v>
      </c>
      <c r="W302" t="e">
        <f>'Middle East'!C75+"$F;@!0ii"</f>
        <v>#VALUE!</v>
      </c>
      <c r="X302" t="e">
        <f>'Middle East'!D75+"$F;@!0ij"</f>
        <v>#VALUE!</v>
      </c>
      <c r="Y302" t="e">
        <f>'Middle East'!E75+"$F;@!0ik"</f>
        <v>#VALUE!</v>
      </c>
      <c r="Z302" t="e">
        <f>'Middle East'!F75+"$F;@!0il"</f>
        <v>#VALUE!</v>
      </c>
      <c r="AA302" t="e">
        <f>'Middle East'!G75+"$F;@!0im"</f>
        <v>#VALUE!</v>
      </c>
      <c r="AB302" t="e">
        <f>'Middle East'!H75+"$F;@!0in"</f>
        <v>#VALUE!</v>
      </c>
      <c r="AC302" t="e">
        <f>'Middle East'!A76+"$F;@!0io"</f>
        <v>#VALUE!</v>
      </c>
      <c r="AD302" t="e">
        <f>'Middle East'!B76+"$F;@!0ip"</f>
        <v>#VALUE!</v>
      </c>
      <c r="AE302" t="e">
        <f>'Middle East'!C76+"$F;@!0iq"</f>
        <v>#VALUE!</v>
      </c>
      <c r="AF302" t="e">
        <f>'Middle East'!D76+"$F;@!0ir"</f>
        <v>#VALUE!</v>
      </c>
      <c r="AG302" t="e">
        <f>'Middle East'!E76+"$F;@!0is"</f>
        <v>#VALUE!</v>
      </c>
      <c r="AH302" t="e">
        <f>'Middle East'!F76+"$F;@!0it"</f>
        <v>#VALUE!</v>
      </c>
      <c r="AI302" t="e">
        <f>'Middle East'!G76+"$F;@!0iu"</f>
        <v>#VALUE!</v>
      </c>
      <c r="AJ302" t="e">
        <f>'Middle East'!H76+"$F;@!0iv"</f>
        <v>#VALUE!</v>
      </c>
      <c r="AK302" t="e">
        <f>'Middle East'!A77+"$F;@!0iw"</f>
        <v>#VALUE!</v>
      </c>
      <c r="AL302" t="e">
        <f>'Middle East'!B77+"$F;@!0ix"</f>
        <v>#VALUE!</v>
      </c>
      <c r="AM302" t="e">
        <f>'Middle East'!C77+"$F;@!0iy"</f>
        <v>#VALUE!</v>
      </c>
      <c r="AN302" t="e">
        <f>'Middle East'!D77+"$F;@!0iz"</f>
        <v>#VALUE!</v>
      </c>
      <c r="AO302" t="e">
        <f>'Middle East'!E77+"$F;@!0i{"</f>
        <v>#VALUE!</v>
      </c>
      <c r="AP302" t="e">
        <f>'Middle East'!F77+"$F;@!0i|"</f>
        <v>#VALUE!</v>
      </c>
      <c r="AQ302" t="e">
        <f>'Middle East'!G77+"$F;@!0i}"</f>
        <v>#VALUE!</v>
      </c>
      <c r="AR302" t="e">
        <f>'Middle East'!H77+"$F;@!0i~"</f>
        <v>#VALUE!</v>
      </c>
      <c r="AS302" t="e">
        <f>'Middle East'!A78+"$F;@!0j#"</f>
        <v>#VALUE!</v>
      </c>
      <c r="AT302" t="e">
        <f>'Middle East'!B78+"$F;@!0j$"</f>
        <v>#VALUE!</v>
      </c>
      <c r="AU302" t="e">
        <f>'Middle East'!C78+"$F;@!0j%"</f>
        <v>#VALUE!</v>
      </c>
      <c r="AV302" t="e">
        <f>'Middle East'!D78+"$F;@!0j&amp;"</f>
        <v>#VALUE!</v>
      </c>
      <c r="AW302" t="e">
        <f>'Middle East'!E78+"$F;@!0j'"</f>
        <v>#VALUE!</v>
      </c>
      <c r="AX302" t="e">
        <f>'Middle East'!F78+"$F;@!0j("</f>
        <v>#VALUE!</v>
      </c>
      <c r="AY302" t="e">
        <f>'Middle East'!G78+"$F;@!0j)"</f>
        <v>#VALUE!</v>
      </c>
      <c r="AZ302" t="e">
        <f>'Middle East'!H78+"$F;@!0j."</f>
        <v>#VALUE!</v>
      </c>
      <c r="BA302" t="e">
        <f>'Middle East'!A79+"$F;@!0j/"</f>
        <v>#VALUE!</v>
      </c>
      <c r="BB302" t="e">
        <f>'Middle East'!B79+"$F;@!0j0"</f>
        <v>#VALUE!</v>
      </c>
      <c r="BC302" t="e">
        <f>'Middle East'!C79+"$F;@!0j1"</f>
        <v>#VALUE!</v>
      </c>
      <c r="BD302" t="e">
        <f>'Middle East'!D79+"$F;@!0j2"</f>
        <v>#VALUE!</v>
      </c>
      <c r="BE302" t="e">
        <f>'Middle East'!E79+"$F;@!0j3"</f>
        <v>#VALUE!</v>
      </c>
      <c r="BF302" t="e">
        <f>'Middle East'!F79+"$F;@!0j4"</f>
        <v>#VALUE!</v>
      </c>
      <c r="BG302" t="e">
        <f>'Middle East'!G79+"$F;@!0j5"</f>
        <v>#VALUE!</v>
      </c>
      <c r="BH302" t="e">
        <f>'Middle East'!H79+"$F;@!0j6"</f>
        <v>#VALUE!</v>
      </c>
      <c r="BI302" t="e">
        <f>'Middle East'!A80+"$F;@!0j7"</f>
        <v>#VALUE!</v>
      </c>
      <c r="BJ302" t="e">
        <f>'Middle East'!B80+"$F;@!0j8"</f>
        <v>#VALUE!</v>
      </c>
      <c r="BK302" t="e">
        <f>'Middle East'!C80+"$F;@!0j9"</f>
        <v>#VALUE!</v>
      </c>
      <c r="BL302" t="e">
        <f>'Middle East'!D80+"$F;@!0j:"</f>
        <v>#VALUE!</v>
      </c>
      <c r="BM302" t="e">
        <f>'Middle East'!E80+"$F;@!0j;"</f>
        <v>#VALUE!</v>
      </c>
      <c r="BN302" t="e">
        <f>'Middle East'!G80+"$F;@!0j&lt;"</f>
        <v>#VALUE!</v>
      </c>
      <c r="BO302" t="e">
        <f>'Middle East'!H80+"$F;@!0j="</f>
        <v>#VALUE!</v>
      </c>
      <c r="BP302" t="e">
        <f>'Middle East'!A81+"$F;@!0j&gt;"</f>
        <v>#VALUE!</v>
      </c>
      <c r="BQ302" t="e">
        <f>'Middle East'!B81+"$F;@!0j?"</f>
        <v>#VALUE!</v>
      </c>
      <c r="BR302" t="e">
        <f>'Middle East'!C81+"$F;@!0j@"</f>
        <v>#VALUE!</v>
      </c>
      <c r="BS302" t="e">
        <f>'Middle East'!D81+"$F;@!0jA"</f>
        <v>#VALUE!</v>
      </c>
      <c r="BT302" t="e">
        <f>'Middle East'!E81+"$F;@!0jB"</f>
        <v>#VALUE!</v>
      </c>
      <c r="BU302" t="e">
        <f>'Middle East'!F81+"$F;@!0jC"</f>
        <v>#VALUE!</v>
      </c>
      <c r="BV302" t="e">
        <f>'Middle East'!G81+"$F;@!0jD"</f>
        <v>#VALUE!</v>
      </c>
      <c r="BW302" t="e">
        <f>'Middle East'!H81+"$F;@!0jE"</f>
        <v>#VALUE!</v>
      </c>
      <c r="BX302" t="e">
        <f>'Middle East'!A82+"$F;@!0jF"</f>
        <v>#VALUE!</v>
      </c>
      <c r="BY302" t="e">
        <f>'Middle East'!B82+"$F;@!0jG"</f>
        <v>#VALUE!</v>
      </c>
      <c r="BZ302" t="e">
        <f>'Middle East'!C82+"$F;@!0jH"</f>
        <v>#VALUE!</v>
      </c>
      <c r="CA302" t="e">
        <f>'Middle East'!D82+"$F;@!0jI"</f>
        <v>#VALUE!</v>
      </c>
      <c r="CB302" t="e">
        <f>'Middle East'!E82+"$F;@!0jJ"</f>
        <v>#VALUE!</v>
      </c>
      <c r="CC302" t="e">
        <f>'Middle East'!F82+"$F;@!0jK"</f>
        <v>#VALUE!</v>
      </c>
      <c r="CD302" t="e">
        <f>'Middle East'!G82+"$F;@!0jL"</f>
        <v>#VALUE!</v>
      </c>
      <c r="CE302" t="e">
        <f>'Middle East'!H82+"$F;@!0jM"</f>
        <v>#VALUE!</v>
      </c>
      <c r="CF302" t="e">
        <f>'Middle East'!A83+"$F;@!0jN"</f>
        <v>#VALUE!</v>
      </c>
      <c r="CG302" t="e">
        <f>'Middle East'!B83+"$F;@!0jO"</f>
        <v>#VALUE!</v>
      </c>
      <c r="CH302" t="e">
        <f>'Middle East'!C83+"$F;@!0jP"</f>
        <v>#VALUE!</v>
      </c>
      <c r="CI302" t="e">
        <f>'Middle East'!D83+"$F;@!0jQ"</f>
        <v>#VALUE!</v>
      </c>
      <c r="CJ302" t="e">
        <f>'Middle East'!E83+"$F;@!0jR"</f>
        <v>#VALUE!</v>
      </c>
      <c r="CK302" t="e">
        <f>'Middle East'!F83+"$F;@!0jS"</f>
        <v>#VALUE!</v>
      </c>
      <c r="CL302" t="e">
        <f>'Middle East'!G83+"$F;@!0jT"</f>
        <v>#VALUE!</v>
      </c>
      <c r="CM302" t="e">
        <f>'Middle East'!H83+"$F;@!0jU"</f>
        <v>#VALUE!</v>
      </c>
      <c r="CN302" t="e">
        <f>'Middle East'!A84+"$F;@!0jV"</f>
        <v>#VALUE!</v>
      </c>
      <c r="CO302" t="e">
        <f>'Middle East'!B84+"$F;@!0jW"</f>
        <v>#VALUE!</v>
      </c>
      <c r="CP302" t="e">
        <f>'Middle East'!C84+"$F;@!0jX"</f>
        <v>#VALUE!</v>
      </c>
      <c r="CQ302" t="e">
        <f>'Middle East'!D84+"$F;@!0jY"</f>
        <v>#VALUE!</v>
      </c>
      <c r="CR302" t="e">
        <f>'Middle East'!E84+"$F;@!0jZ"</f>
        <v>#VALUE!</v>
      </c>
      <c r="CS302" t="e">
        <f>'Middle East'!F84+"$F;@!0j["</f>
        <v>#VALUE!</v>
      </c>
      <c r="CT302" t="e">
        <f>'Middle East'!G84+"$F;@!0j\"</f>
        <v>#VALUE!</v>
      </c>
      <c r="CU302" t="e">
        <f>'Middle East'!H84+"$F;@!0j]"</f>
        <v>#VALUE!</v>
      </c>
      <c r="CV302" t="e">
        <f>'Middle East'!A85+"$F;@!0j^"</f>
        <v>#VALUE!</v>
      </c>
      <c r="CW302" t="e">
        <f>'Middle East'!B85+"$F;@!0j_"</f>
        <v>#VALUE!</v>
      </c>
      <c r="CX302" t="e">
        <f>'Middle East'!C85+"$F;@!0j`"</f>
        <v>#VALUE!</v>
      </c>
      <c r="CY302" t="e">
        <f>'Middle East'!D85+"$F;@!0ja"</f>
        <v>#VALUE!</v>
      </c>
      <c r="CZ302" t="e">
        <f>'Middle East'!E85+"$F;@!0jb"</f>
        <v>#VALUE!</v>
      </c>
      <c r="DA302" t="e">
        <f>'Middle East'!F85+"$F;@!0jc"</f>
        <v>#VALUE!</v>
      </c>
      <c r="DB302" t="e">
        <f>'Middle East'!G85+"$F;@!0jd"</f>
        <v>#VALUE!</v>
      </c>
      <c r="DC302" t="e">
        <f>'Middle East'!H85+"$F;@!0je"</f>
        <v>#VALUE!</v>
      </c>
      <c r="DD302" t="e">
        <f>'Middle East'!A86+"$F;@!0jf"</f>
        <v>#VALUE!</v>
      </c>
      <c r="DE302" t="e">
        <f>'Middle East'!B86+"$F;@!0jg"</f>
        <v>#VALUE!</v>
      </c>
      <c r="DF302" t="e">
        <f>'Middle East'!C86+"$F;@!0jh"</f>
        <v>#VALUE!</v>
      </c>
      <c r="DG302" t="e">
        <f>'Middle East'!D86+"$F;@!0ji"</f>
        <v>#VALUE!</v>
      </c>
      <c r="DH302" t="e">
        <f>'Middle East'!E86+"$F;@!0jj"</f>
        <v>#VALUE!</v>
      </c>
      <c r="DI302" t="e">
        <f>'Middle East'!F86+"$F;@!0jk"</f>
        <v>#VALUE!</v>
      </c>
      <c r="DJ302" t="e">
        <f>'Middle East'!G86+"$F;@!0jl"</f>
        <v>#VALUE!</v>
      </c>
      <c r="DK302" t="e">
        <f>'Middle East'!H86+"$F;@!0jm"</f>
        <v>#VALUE!</v>
      </c>
      <c r="DL302" t="e">
        <f>'Middle East'!A87+"$F;@!0jn"</f>
        <v>#VALUE!</v>
      </c>
      <c r="DM302" t="e">
        <f>'Middle East'!B87+"$F;@!0jo"</f>
        <v>#VALUE!</v>
      </c>
      <c r="DN302" t="e">
        <f>'Middle East'!C87+"$F;@!0jp"</f>
        <v>#VALUE!</v>
      </c>
      <c r="DO302" t="e">
        <f>'Middle East'!D87+"$F;@!0jq"</f>
        <v>#VALUE!</v>
      </c>
      <c r="DP302" t="e">
        <f>'Middle East'!E87+"$F;@!0jr"</f>
        <v>#VALUE!</v>
      </c>
      <c r="DQ302" t="e">
        <f>'Middle East'!F87+"$F;@!0js"</f>
        <v>#VALUE!</v>
      </c>
      <c r="DR302" t="e">
        <f>'Middle East'!G87+"$F;@!0jt"</f>
        <v>#VALUE!</v>
      </c>
      <c r="DS302" t="e">
        <f>'Middle East'!H87+"$F;@!0ju"</f>
        <v>#VALUE!</v>
      </c>
      <c r="DT302" t="e">
        <f>'Middle East'!A88+"$F;@!0jv"</f>
        <v>#VALUE!</v>
      </c>
      <c r="DU302" t="e">
        <f>'Middle East'!B88+"$F;@!0jw"</f>
        <v>#VALUE!</v>
      </c>
      <c r="DV302" t="e">
        <f>'Middle East'!C88+"$F;@!0jx"</f>
        <v>#VALUE!</v>
      </c>
      <c r="DW302" t="e">
        <f>'Middle East'!D88+"$F;@!0jy"</f>
        <v>#VALUE!</v>
      </c>
      <c r="DX302" t="e">
        <f>'Middle East'!E88+"$F;@!0jz"</f>
        <v>#VALUE!</v>
      </c>
      <c r="DY302" t="e">
        <f>'Middle East'!F88+"$F;@!0j{"</f>
        <v>#VALUE!</v>
      </c>
      <c r="DZ302" t="e">
        <f>'Middle East'!G88+"$F;@!0j|"</f>
        <v>#VALUE!</v>
      </c>
      <c r="EA302" t="e">
        <f>'Middle East'!H88+"$F;@!0j}"</f>
        <v>#VALUE!</v>
      </c>
      <c r="EB302" t="e">
        <f>'Middle East'!A89+"$F;@!0j~"</f>
        <v>#VALUE!</v>
      </c>
      <c r="EC302" t="e">
        <f>'Middle East'!B89+"$F;@!0k#"</f>
        <v>#VALUE!</v>
      </c>
      <c r="ED302" t="e">
        <f>'Middle East'!C89+"$F;@!0k$"</f>
        <v>#VALUE!</v>
      </c>
      <c r="EE302" t="e">
        <f>'Middle East'!D89+"$F;@!0k%"</f>
        <v>#VALUE!</v>
      </c>
      <c r="EF302" t="e">
        <f>'Middle East'!E89+"$F;@!0k&amp;"</f>
        <v>#VALUE!</v>
      </c>
      <c r="EG302" t="e">
        <f>'Middle East'!F89+"$F;@!0k'"</f>
        <v>#VALUE!</v>
      </c>
      <c r="EH302" t="e">
        <f>'Middle East'!G89+"$F;@!0k("</f>
        <v>#VALUE!</v>
      </c>
      <c r="EI302" t="e">
        <f>'Middle East'!H89+"$F;@!0k)"</f>
        <v>#VALUE!</v>
      </c>
      <c r="EJ302" t="e">
        <f>'Middle East'!A90+"$F;@!0k."</f>
        <v>#VALUE!</v>
      </c>
      <c r="EK302" t="e">
        <f>'Middle East'!B90+"$F;@!0k/"</f>
        <v>#VALUE!</v>
      </c>
      <c r="EL302" t="e">
        <f>'Middle East'!C90+"$F;@!0k0"</f>
        <v>#VALUE!</v>
      </c>
      <c r="EM302" t="e">
        <f>'Middle East'!D90+"$F;@!0k1"</f>
        <v>#VALUE!</v>
      </c>
      <c r="EN302" t="e">
        <f>'Middle East'!E90+"$F;@!0k2"</f>
        <v>#VALUE!</v>
      </c>
      <c r="EO302" t="e">
        <f>'Middle East'!F90+"$F;@!0k3"</f>
        <v>#VALUE!</v>
      </c>
      <c r="EP302" t="e">
        <f>'Middle East'!G90+"$F;@!0k4"</f>
        <v>#VALUE!</v>
      </c>
      <c r="EQ302" t="e">
        <f>'Middle East'!H90+"$F;@!0k5"</f>
        <v>#VALUE!</v>
      </c>
      <c r="ER302" t="e">
        <f>'Middle East'!A91+"$F;@!0k6"</f>
        <v>#VALUE!</v>
      </c>
      <c r="ES302" t="e">
        <f>'Middle East'!B91+"$F;@!0k7"</f>
        <v>#VALUE!</v>
      </c>
      <c r="ET302" t="e">
        <f>'Middle East'!C91+"$F;@!0k8"</f>
        <v>#VALUE!</v>
      </c>
      <c r="EU302" t="e">
        <f>'Middle East'!D91+"$F;@!0k9"</f>
        <v>#VALUE!</v>
      </c>
      <c r="EV302" t="e">
        <f>'Middle East'!E91+"$F;@!0k:"</f>
        <v>#VALUE!</v>
      </c>
      <c r="EW302" t="e">
        <f>'Middle East'!F91+"$F;@!0k;"</f>
        <v>#VALUE!</v>
      </c>
      <c r="EX302" t="e">
        <f>'Middle East'!G91+"$F;@!0k&lt;"</f>
        <v>#VALUE!</v>
      </c>
      <c r="EY302" t="e">
        <f>'Middle East'!H91+"$F;@!0k="</f>
        <v>#VALUE!</v>
      </c>
      <c r="EZ302" t="e">
        <f>'Middle East'!A92+"$F;@!0k&gt;"</f>
        <v>#VALUE!</v>
      </c>
      <c r="FA302" t="e">
        <f>'Middle East'!B92+"$F;@!0k?"</f>
        <v>#VALUE!</v>
      </c>
      <c r="FB302" t="e">
        <f>'Middle East'!C92+"$F;@!0k@"</f>
        <v>#VALUE!</v>
      </c>
      <c r="FC302" t="e">
        <f>'Middle East'!D92+"$F;@!0kA"</f>
        <v>#VALUE!</v>
      </c>
      <c r="FD302" t="e">
        <f>'Middle East'!E92+"$F;@!0kB"</f>
        <v>#VALUE!</v>
      </c>
      <c r="FE302" t="e">
        <f>'Middle East'!F92+"$F;@!0kC"</f>
        <v>#VALUE!</v>
      </c>
      <c r="FF302" t="e">
        <f>'Middle East'!G92+"$F;@!0kD"</f>
        <v>#VALUE!</v>
      </c>
      <c r="FG302" t="e">
        <f>'Middle East'!H92+"$F;@!0kE"</f>
        <v>#VALUE!</v>
      </c>
      <c r="FH302" t="e">
        <f>'Middle East'!A93+"$F;@!0kF"</f>
        <v>#VALUE!</v>
      </c>
      <c r="FI302" t="e">
        <f>'Middle East'!B93+"$F;@!0kG"</f>
        <v>#VALUE!</v>
      </c>
      <c r="FJ302" t="e">
        <f>'Middle East'!C93+"$F;@!0kH"</f>
        <v>#VALUE!</v>
      </c>
      <c r="FK302" t="e">
        <f>'Middle East'!D93+"$F;@!0kI"</f>
        <v>#VALUE!</v>
      </c>
      <c r="FL302" t="e">
        <f>'Middle East'!E93+"$F;@!0kJ"</f>
        <v>#VALUE!</v>
      </c>
      <c r="FM302" t="e">
        <f>'Middle East'!F93+"$F;@!0kK"</f>
        <v>#VALUE!</v>
      </c>
      <c r="FN302" t="e">
        <f>'Middle East'!G93+"$F;@!0kL"</f>
        <v>#VALUE!</v>
      </c>
      <c r="FO302" t="e">
        <f>'Middle East'!H93+"$F;@!0kM"</f>
        <v>#VALUE!</v>
      </c>
      <c r="FP302" t="e">
        <f>'Middle East'!A94+"$F;@!0kN"</f>
        <v>#VALUE!</v>
      </c>
      <c r="FQ302" t="e">
        <f>'Middle East'!B94+"$F;@!0kO"</f>
        <v>#VALUE!</v>
      </c>
      <c r="FR302" t="e">
        <f>'Middle East'!C94+"$F;@!0kP"</f>
        <v>#VALUE!</v>
      </c>
      <c r="FS302" t="e">
        <f>'Middle East'!D94+"$F;@!0kQ"</f>
        <v>#VALUE!</v>
      </c>
      <c r="FT302" t="e">
        <f>'Middle East'!E94+"$F;@!0kR"</f>
        <v>#VALUE!</v>
      </c>
      <c r="FU302" t="e">
        <f>'Middle East'!F94+"$F;@!0kS"</f>
        <v>#VALUE!</v>
      </c>
      <c r="FV302" t="e">
        <f>'Middle East'!G94+"$F;@!0kT"</f>
        <v>#VALUE!</v>
      </c>
      <c r="FW302" t="e">
        <f>'Middle East'!H94+"$F;@!0kU"</f>
        <v>#VALUE!</v>
      </c>
      <c r="FX302" t="e">
        <f>'Middle East'!A95+"$F;@!0kV"</f>
        <v>#VALUE!</v>
      </c>
      <c r="FY302" t="e">
        <f>'Middle East'!B95+"$F;@!0kW"</f>
        <v>#VALUE!</v>
      </c>
      <c r="FZ302" t="e">
        <f>'Middle East'!C95+"$F;@!0kX"</f>
        <v>#VALUE!</v>
      </c>
      <c r="GA302" t="e">
        <f>'Middle East'!D95+"$F;@!0kY"</f>
        <v>#VALUE!</v>
      </c>
      <c r="GB302" t="e">
        <f>'Middle East'!E95+"$F;@!0kZ"</f>
        <v>#VALUE!</v>
      </c>
      <c r="GC302" t="e">
        <f>'Middle East'!F95+"$F;@!0k["</f>
        <v>#VALUE!</v>
      </c>
      <c r="GD302" t="e">
        <f>'Middle East'!G95+"$F;@!0k\"</f>
        <v>#VALUE!</v>
      </c>
      <c r="GE302" t="e">
        <f>'Middle East'!H95+"$F;@!0k]"</f>
        <v>#VALUE!</v>
      </c>
      <c r="GF302" t="e">
        <f>'Middle East'!A96+"$F;@!0k^"</f>
        <v>#VALUE!</v>
      </c>
      <c r="GG302" t="e">
        <f>'Middle East'!B96+"$F;@!0k_"</f>
        <v>#VALUE!</v>
      </c>
      <c r="GH302" t="e">
        <f>'Middle East'!C96+"$F;@!0k`"</f>
        <v>#VALUE!</v>
      </c>
      <c r="GI302" t="e">
        <f>'Middle East'!D96+"$F;@!0ka"</f>
        <v>#VALUE!</v>
      </c>
      <c r="GJ302" t="e">
        <f>'Middle East'!E96+"$F;@!0kb"</f>
        <v>#VALUE!</v>
      </c>
      <c r="GK302" t="e">
        <f>'Middle East'!F96+"$F;@!0kc"</f>
        <v>#VALUE!</v>
      </c>
      <c r="GL302" t="e">
        <f>'Middle East'!G96+"$F;@!0kd"</f>
        <v>#VALUE!</v>
      </c>
      <c r="GM302" t="e">
        <f>'Middle East'!H96+"$F;@!0ke"</f>
        <v>#VALUE!</v>
      </c>
      <c r="GN302" t="e">
        <f>'Middle East'!A97+"$F;@!0kf"</f>
        <v>#VALUE!</v>
      </c>
      <c r="GO302" t="e">
        <f>'Middle East'!B97+"$F;@!0kg"</f>
        <v>#VALUE!</v>
      </c>
      <c r="GP302" t="e">
        <f>'Middle East'!C97+"$F;@!0kh"</f>
        <v>#VALUE!</v>
      </c>
      <c r="GQ302" t="e">
        <f>'Middle East'!D97+"$F;@!0ki"</f>
        <v>#VALUE!</v>
      </c>
      <c r="GR302" t="e">
        <f>'Middle East'!E97+"$F;@!0kj"</f>
        <v>#VALUE!</v>
      </c>
      <c r="GS302" t="e">
        <f>'Middle East'!F97+"$F;@!0kk"</f>
        <v>#VALUE!</v>
      </c>
      <c r="GT302" t="e">
        <f>'Middle East'!G97+"$F;@!0kl"</f>
        <v>#VALUE!</v>
      </c>
      <c r="GU302" t="e">
        <f>'Middle East'!H97+"$F;@!0km"</f>
        <v>#VALUE!</v>
      </c>
      <c r="GV302" t="e">
        <f>'Middle East'!A98+"$F;@!0kn"</f>
        <v>#VALUE!</v>
      </c>
      <c r="GW302" t="e">
        <f>'Middle East'!B98+"$F;@!0ko"</f>
        <v>#VALUE!</v>
      </c>
      <c r="GX302" t="e">
        <f>'Middle East'!C98+"$F;@!0kp"</f>
        <v>#VALUE!</v>
      </c>
      <c r="GY302" t="e">
        <f>'Middle East'!D98+"$F;@!0kq"</f>
        <v>#VALUE!</v>
      </c>
      <c r="GZ302" t="e">
        <f>'Middle East'!E98+"$F;@!0kr"</f>
        <v>#VALUE!</v>
      </c>
      <c r="HA302" t="e">
        <f>'Middle East'!F98+"$F;@!0ks"</f>
        <v>#VALUE!</v>
      </c>
      <c r="HB302" t="e">
        <f>'Middle East'!G98+"$F;@!0kt"</f>
        <v>#VALUE!</v>
      </c>
      <c r="HC302" t="e">
        <f>'Middle East'!H98+"$F;@!0ku"</f>
        <v>#VALUE!</v>
      </c>
      <c r="HD302" t="e">
        <f>'Middle East'!A99+"$F;@!0kv"</f>
        <v>#VALUE!</v>
      </c>
      <c r="HE302" t="e">
        <f>'Middle East'!B99+"$F;@!0kw"</f>
        <v>#VALUE!</v>
      </c>
      <c r="HF302" t="e">
        <f>'Middle East'!C99+"$F;@!0kx"</f>
        <v>#VALUE!</v>
      </c>
      <c r="HG302" t="e">
        <f>'Middle East'!D99+"$F;@!0ky"</f>
        <v>#VALUE!</v>
      </c>
      <c r="HH302" t="e">
        <f>'Middle East'!E99+"$F;@!0kz"</f>
        <v>#VALUE!</v>
      </c>
      <c r="HI302" t="e">
        <f>'Middle East'!F99+"$F;@!0k{"</f>
        <v>#VALUE!</v>
      </c>
      <c r="HJ302" t="e">
        <f>'Middle East'!G99+"$F;@!0k|"</f>
        <v>#VALUE!</v>
      </c>
      <c r="HK302" t="e">
        <f>'Middle East'!H99+"$F;@!0k}"</f>
        <v>#VALUE!</v>
      </c>
      <c r="HL302" t="e">
        <f>'Middle East'!A100+"$F;@!0k~"</f>
        <v>#VALUE!</v>
      </c>
      <c r="HM302" t="e">
        <f>'Middle East'!B100+"$F;@!0l#"</f>
        <v>#VALUE!</v>
      </c>
      <c r="HN302" t="e">
        <f>'Middle East'!C100+"$F;@!0l$"</f>
        <v>#VALUE!</v>
      </c>
      <c r="HO302" t="e">
        <f>'Middle East'!D100+"$F;@!0l%"</f>
        <v>#VALUE!</v>
      </c>
      <c r="HP302" t="e">
        <f>'Middle East'!E100+"$F;@!0l&amp;"</f>
        <v>#VALUE!</v>
      </c>
      <c r="HQ302" t="e">
        <f>'Middle East'!F100+"$F;@!0l'"</f>
        <v>#VALUE!</v>
      </c>
      <c r="HR302" t="e">
        <f>'Middle East'!G100+"$F;@!0l("</f>
        <v>#VALUE!</v>
      </c>
      <c r="HS302" t="e">
        <f>'Middle East'!H100+"$F;@!0l)"</f>
        <v>#VALUE!</v>
      </c>
      <c r="HT302" t="e">
        <f>'Middle East'!A101+"$F;@!0l."</f>
        <v>#VALUE!</v>
      </c>
      <c r="HU302" t="e">
        <f>'Middle East'!B101+"$F;@!0l/"</f>
        <v>#VALUE!</v>
      </c>
      <c r="HV302" t="e">
        <f>'Middle East'!C101+"$F;@!0l0"</f>
        <v>#VALUE!</v>
      </c>
      <c r="HW302" t="e">
        <f>'Middle East'!D101+"$F;@!0l1"</f>
        <v>#VALUE!</v>
      </c>
      <c r="HX302" t="e">
        <f>'Middle East'!E101+"$F;@!0l2"</f>
        <v>#VALUE!</v>
      </c>
      <c r="HY302" t="e">
        <f>'Middle East'!F101+"$F;@!0l3"</f>
        <v>#VALUE!</v>
      </c>
      <c r="HZ302" t="e">
        <f>'Middle East'!G101+"$F;@!0l4"</f>
        <v>#VALUE!</v>
      </c>
      <c r="IA302" t="e">
        <f>'Middle East'!H101+"$F;@!0l5"</f>
        <v>#VALUE!</v>
      </c>
      <c r="IB302" t="e">
        <f>'Middle East'!A102+"$F;@!0l6"</f>
        <v>#VALUE!</v>
      </c>
      <c r="IC302" t="e">
        <f>'Middle East'!B102+"$F;@!0l7"</f>
        <v>#VALUE!</v>
      </c>
      <c r="ID302" t="e">
        <f>'Middle East'!C102+"$F;@!0l8"</f>
        <v>#VALUE!</v>
      </c>
      <c r="IE302" t="e">
        <f>'Middle East'!D102+"$F;@!0l9"</f>
        <v>#VALUE!</v>
      </c>
      <c r="IF302" t="e">
        <f>'Middle East'!E102+"$F;@!0l:"</f>
        <v>#VALUE!</v>
      </c>
      <c r="IG302" t="e">
        <f>'Middle East'!F102+"$F;@!0l;"</f>
        <v>#VALUE!</v>
      </c>
      <c r="IH302" t="e">
        <f>'Middle East'!G102+"$F;@!0l&lt;"</f>
        <v>#VALUE!</v>
      </c>
      <c r="II302" t="e">
        <f>'Middle East'!H102+"$F;@!0l="</f>
        <v>#VALUE!</v>
      </c>
      <c r="IJ302" t="e">
        <f>'Middle East'!A103+"$F;@!0l&gt;"</f>
        <v>#VALUE!</v>
      </c>
      <c r="IK302" t="e">
        <f>'Middle East'!B103+"$F;@!0l?"</f>
        <v>#VALUE!</v>
      </c>
      <c r="IL302" t="e">
        <f>'Middle East'!C103+"$F;@!0l@"</f>
        <v>#VALUE!</v>
      </c>
      <c r="IM302" t="e">
        <f>'Middle East'!D103+"$F;@!0lA"</f>
        <v>#VALUE!</v>
      </c>
      <c r="IN302" t="e">
        <f>'Middle East'!E103+"$F;@!0lB"</f>
        <v>#VALUE!</v>
      </c>
      <c r="IO302" t="e">
        <f>'Middle East'!F103+"$F;@!0lC"</f>
        <v>#VALUE!</v>
      </c>
      <c r="IP302" t="e">
        <f>'Middle East'!G103+"$F;@!0lD"</f>
        <v>#VALUE!</v>
      </c>
      <c r="IQ302" t="e">
        <f>'Middle East'!H103+"$F;@!0lE"</f>
        <v>#VALUE!</v>
      </c>
      <c r="IR302" t="e">
        <f>'Middle East'!A104+"$F;@!0lF"</f>
        <v>#VALUE!</v>
      </c>
      <c r="IS302" t="e">
        <f>'Middle East'!B104+"$F;@!0lG"</f>
        <v>#VALUE!</v>
      </c>
      <c r="IT302" t="e">
        <f>'Middle East'!C104+"$F;@!0lH"</f>
        <v>#VALUE!</v>
      </c>
      <c r="IU302" t="e">
        <f>'Middle East'!D104+"$F;@!0lI"</f>
        <v>#VALUE!</v>
      </c>
      <c r="IV302" t="e">
        <f>'Middle East'!E104+"$F;@!0lJ"</f>
        <v>#VALUE!</v>
      </c>
    </row>
    <row r="303" spans="6:256" x14ac:dyDescent="0.35">
      <c r="F303" t="e">
        <f>'Middle East'!F104+"$F;@!0lK"</f>
        <v>#VALUE!</v>
      </c>
      <c r="G303" t="e">
        <f>'Middle East'!G104+"$F;@!0lL"</f>
        <v>#VALUE!</v>
      </c>
      <c r="H303" t="e">
        <f>'Middle East'!H104+"$F;@!0lM"</f>
        <v>#VALUE!</v>
      </c>
      <c r="I303" t="e">
        <f>'Middle East'!A105+"$F;@!0lN"</f>
        <v>#VALUE!</v>
      </c>
      <c r="J303" t="e">
        <f>'Middle East'!B105+"$F;@!0lO"</f>
        <v>#VALUE!</v>
      </c>
      <c r="K303" t="e">
        <f>'Middle East'!C105+"$F;@!0lP"</f>
        <v>#VALUE!</v>
      </c>
      <c r="L303" t="e">
        <f>'Middle East'!D105+"$F;@!0lQ"</f>
        <v>#VALUE!</v>
      </c>
      <c r="M303" t="e">
        <f>'Middle East'!E105+"$F;@!0lR"</f>
        <v>#VALUE!</v>
      </c>
      <c r="N303" t="e">
        <f>'Middle East'!F105+"$F;@!0lS"</f>
        <v>#VALUE!</v>
      </c>
      <c r="O303" t="e">
        <f>'Middle East'!G105+"$F;@!0lT"</f>
        <v>#VALUE!</v>
      </c>
      <c r="P303" t="e">
        <f>'Middle East'!H105+"$F;@!0lU"</f>
        <v>#VALUE!</v>
      </c>
      <c r="Q303" t="e">
        <f>'Middle East'!A106+"$F;@!0lV"</f>
        <v>#VALUE!</v>
      </c>
      <c r="R303" t="e">
        <f>'Middle East'!B106+"$F;@!0lW"</f>
        <v>#VALUE!</v>
      </c>
      <c r="S303" t="e">
        <f>'Middle East'!C106+"$F;@!0lX"</f>
        <v>#VALUE!</v>
      </c>
      <c r="T303" t="e">
        <f>'Middle East'!D106+"$F;@!0lY"</f>
        <v>#VALUE!</v>
      </c>
      <c r="U303" t="e">
        <f>'Middle East'!E106+"$F;@!0lZ"</f>
        <v>#VALUE!</v>
      </c>
      <c r="V303" t="e">
        <f>'Middle East'!F106+"$F;@!0l["</f>
        <v>#VALUE!</v>
      </c>
      <c r="W303" t="e">
        <f>'Middle East'!G106+"$F;@!0l\"</f>
        <v>#VALUE!</v>
      </c>
      <c r="X303" t="e">
        <f>'Middle East'!H106+"$F;@!0l]"</f>
        <v>#VALUE!</v>
      </c>
      <c r="Y303" t="e">
        <f>'Middle East'!A107+"$F;@!0l^"</f>
        <v>#VALUE!</v>
      </c>
      <c r="Z303" t="e">
        <f>'Middle East'!B107+"$F;@!0l_"</f>
        <v>#VALUE!</v>
      </c>
      <c r="AA303" t="e">
        <f>'Middle East'!C107+"$F;@!0l`"</f>
        <v>#VALUE!</v>
      </c>
      <c r="AB303" t="e">
        <f>'Middle East'!D107+"$F;@!0la"</f>
        <v>#VALUE!</v>
      </c>
      <c r="AC303" t="e">
        <f>'Middle East'!E107+"$F;@!0lb"</f>
        <v>#VALUE!</v>
      </c>
      <c r="AD303" t="e">
        <f>'Middle East'!F107+"$F;@!0lc"</f>
        <v>#VALUE!</v>
      </c>
      <c r="AE303" t="e">
        <f>'Middle East'!G107+"$F;@!0ld"</f>
        <v>#VALUE!</v>
      </c>
      <c r="AF303" t="e">
        <f>'Middle East'!H107+"$F;@!0le"</f>
        <v>#VALUE!</v>
      </c>
      <c r="AG303" t="e">
        <f>'Middle East'!A108+"$F;@!0lf"</f>
        <v>#VALUE!</v>
      </c>
      <c r="AH303" t="e">
        <f>'Middle East'!B108+"$F;@!0lg"</f>
        <v>#VALUE!</v>
      </c>
      <c r="AI303" t="e">
        <f>'Middle East'!C108+"$F;@!0lh"</f>
        <v>#VALUE!</v>
      </c>
      <c r="AJ303" t="e">
        <f>'Middle East'!D108+"$F;@!0li"</f>
        <v>#VALUE!</v>
      </c>
      <c r="AK303" t="e">
        <f>'Middle East'!E108+"$F;@!0lj"</f>
        <v>#VALUE!</v>
      </c>
      <c r="AL303" t="e">
        <f>'Middle East'!F108+"$F;@!0lk"</f>
        <v>#VALUE!</v>
      </c>
      <c r="AM303" t="e">
        <f>'Middle East'!G108+"$F;@!0ll"</f>
        <v>#VALUE!</v>
      </c>
      <c r="AN303" t="e">
        <f>'Middle East'!H108+"$F;@!0lm"</f>
        <v>#VALUE!</v>
      </c>
      <c r="AO303" t="e">
        <f>'Middle East'!A109+"$F;@!0ln"</f>
        <v>#VALUE!</v>
      </c>
      <c r="AP303" t="e">
        <f>'Middle East'!B109+"$F;@!0lo"</f>
        <v>#VALUE!</v>
      </c>
      <c r="AQ303" t="e">
        <f>'Middle East'!C109+"$F;@!0lp"</f>
        <v>#VALUE!</v>
      </c>
      <c r="AR303" t="e">
        <f>'Middle East'!D109+"$F;@!0lq"</f>
        <v>#VALUE!</v>
      </c>
      <c r="AS303" t="e">
        <f>'Middle East'!E109+"$F;@!0lr"</f>
        <v>#VALUE!</v>
      </c>
      <c r="AT303" t="e">
        <f>'Middle East'!F109+"$F;@!0ls"</f>
        <v>#VALUE!</v>
      </c>
      <c r="AU303" t="e">
        <f>'Middle East'!G109+"$F;@!0lt"</f>
        <v>#VALUE!</v>
      </c>
      <c r="AV303" t="e">
        <f>'Middle East'!H109+"$F;@!0lu"</f>
        <v>#VALUE!</v>
      </c>
      <c r="AW303" t="e">
        <f>'Middle East'!A110+"$F;@!0lv"</f>
        <v>#VALUE!</v>
      </c>
      <c r="AX303" t="e">
        <f>'Middle East'!B110+"$F;@!0lw"</f>
        <v>#VALUE!</v>
      </c>
      <c r="AY303" t="e">
        <f>'Middle East'!C110+"$F;@!0lx"</f>
        <v>#VALUE!</v>
      </c>
      <c r="AZ303" t="e">
        <f>'Middle East'!D110+"$F;@!0ly"</f>
        <v>#VALUE!</v>
      </c>
      <c r="BA303" t="e">
        <f>'Middle East'!E110+"$F;@!0lz"</f>
        <v>#VALUE!</v>
      </c>
      <c r="BB303" t="e">
        <f>'Middle East'!F110+"$F;@!0l{"</f>
        <v>#VALUE!</v>
      </c>
      <c r="BC303" t="e">
        <f>'Middle East'!G110+"$F;@!0l|"</f>
        <v>#VALUE!</v>
      </c>
      <c r="BD303" t="e">
        <f>'Middle East'!H110+"$F;@!0l}"</f>
        <v>#VALUE!</v>
      </c>
      <c r="BE303" t="e">
        <f>'Middle East'!A111+"$F;@!0l~"</f>
        <v>#VALUE!</v>
      </c>
      <c r="BF303" t="e">
        <f>'Middle East'!B111+"$F;@!0m#"</f>
        <v>#VALUE!</v>
      </c>
      <c r="BG303" t="e">
        <f>'Middle East'!C111+"$F;@!0m$"</f>
        <v>#VALUE!</v>
      </c>
      <c r="BH303" t="e">
        <f>'Middle East'!D111+"$F;@!0m%"</f>
        <v>#VALUE!</v>
      </c>
      <c r="BI303" t="e">
        <f>'Middle East'!E111+"$F;@!0m&amp;"</f>
        <v>#VALUE!</v>
      </c>
      <c r="BJ303" t="e">
        <f>'Middle East'!F111+"$F;@!0m'"</f>
        <v>#VALUE!</v>
      </c>
      <c r="BK303" t="e">
        <f>'Middle East'!G111+"$F;@!0m("</f>
        <v>#VALUE!</v>
      </c>
      <c r="BL303" t="e">
        <f>'Middle East'!H111+"$F;@!0m)"</f>
        <v>#VALUE!</v>
      </c>
      <c r="BM303" t="e">
        <f>'Middle East'!A112+"$F;@!0m."</f>
        <v>#VALUE!</v>
      </c>
      <c r="BN303" t="e">
        <f>'Middle East'!B112+"$F;@!0m/"</f>
        <v>#VALUE!</v>
      </c>
      <c r="BO303" t="e">
        <f>'Middle East'!C112+"$F;@!0m0"</f>
        <v>#VALUE!</v>
      </c>
      <c r="BP303" t="e">
        <f>'Middle East'!D112+"$F;@!0m1"</f>
        <v>#VALUE!</v>
      </c>
      <c r="BQ303" t="e">
        <f>'Middle East'!E112+"$F;@!0m2"</f>
        <v>#VALUE!</v>
      </c>
      <c r="BR303" t="e">
        <f>'Middle East'!F112+"$F;@!0m3"</f>
        <v>#VALUE!</v>
      </c>
      <c r="BS303" t="e">
        <f>'Middle East'!G112+"$F;@!0m4"</f>
        <v>#VALUE!</v>
      </c>
      <c r="BT303" t="e">
        <f>'Middle East'!H112+"$F;@!0m5"</f>
        <v>#VALUE!</v>
      </c>
      <c r="BU303" t="e">
        <f>'Middle East'!A113+"$F;@!0m6"</f>
        <v>#VALUE!</v>
      </c>
      <c r="BV303" t="e">
        <f>'Middle East'!B113+"$F;@!0m7"</f>
        <v>#VALUE!</v>
      </c>
      <c r="BW303" t="e">
        <f>'Middle East'!C113+"$F;@!0m8"</f>
        <v>#VALUE!</v>
      </c>
      <c r="BX303" t="e">
        <f>'Middle East'!D113+"$F;@!0m9"</f>
        <v>#VALUE!</v>
      </c>
      <c r="BY303" t="e">
        <f>'Middle East'!E113+"$F;@!0m:"</f>
        <v>#VALUE!</v>
      </c>
      <c r="BZ303" t="e">
        <f>'Middle East'!F113+"$F;@!0m;"</f>
        <v>#VALUE!</v>
      </c>
      <c r="CA303" t="e">
        <f>'Middle East'!G113+"$F;@!0m&lt;"</f>
        <v>#VALUE!</v>
      </c>
      <c r="CB303" t="e">
        <f>'Middle East'!H113+"$F;@!0m="</f>
        <v>#VALUE!</v>
      </c>
      <c r="CC303" t="e">
        <f>'Middle East'!A114+"$F;@!0m&gt;"</f>
        <v>#VALUE!</v>
      </c>
      <c r="CD303" t="e">
        <f>'Middle East'!B114+"$F;@!0m?"</f>
        <v>#VALUE!</v>
      </c>
      <c r="CE303" t="e">
        <f>'Middle East'!C114+"$F;@!0m@"</f>
        <v>#VALUE!</v>
      </c>
      <c r="CF303" t="e">
        <f>'Middle East'!D114+"$F;@!0mA"</f>
        <v>#VALUE!</v>
      </c>
      <c r="CG303" t="e">
        <f>'Middle East'!E114+"$F;@!0mB"</f>
        <v>#VALUE!</v>
      </c>
      <c r="CH303" t="e">
        <f>'Middle East'!F114+"$F;@!0mC"</f>
        <v>#VALUE!</v>
      </c>
      <c r="CI303" t="e">
        <f>'Middle East'!G114+"$F;@!0mD"</f>
        <v>#VALUE!</v>
      </c>
      <c r="CJ303" t="e">
        <f>'Middle East'!H114+"$F;@!0mE"</f>
        <v>#VALUE!</v>
      </c>
      <c r="CK303" t="e">
        <f>'Middle East'!A115+"$F;@!0mF"</f>
        <v>#VALUE!</v>
      </c>
      <c r="CL303" t="e">
        <f>'Middle East'!B115+"$F;@!0mG"</f>
        <v>#VALUE!</v>
      </c>
      <c r="CM303" t="e">
        <f>'Middle East'!C115+"$F;@!0mH"</f>
        <v>#VALUE!</v>
      </c>
      <c r="CN303" t="e">
        <f>'Middle East'!D115+"$F;@!0mI"</f>
        <v>#VALUE!</v>
      </c>
      <c r="CO303" t="e">
        <f>'Middle East'!E115+"$F;@!0mJ"</f>
        <v>#VALUE!</v>
      </c>
      <c r="CP303" t="e">
        <f>'Middle East'!F115+"$F;@!0mK"</f>
        <v>#VALUE!</v>
      </c>
      <c r="CQ303" t="e">
        <f>'Middle East'!G115+"$F;@!0mL"</f>
        <v>#VALUE!</v>
      </c>
      <c r="CR303" t="e">
        <f>'Middle East'!H115+"$F;@!0mM"</f>
        <v>#VALUE!</v>
      </c>
      <c r="CS303" t="e">
        <f>'Middle East'!A116+"$F;@!0mN"</f>
        <v>#VALUE!</v>
      </c>
      <c r="CT303" t="e">
        <f>'Middle East'!B116+"$F;@!0mO"</f>
        <v>#VALUE!</v>
      </c>
      <c r="CU303" t="e">
        <f>'Middle East'!C116+"$F;@!0mP"</f>
        <v>#VALUE!</v>
      </c>
      <c r="CV303" t="e">
        <f>'Middle East'!D116+"$F;@!0mQ"</f>
        <v>#VALUE!</v>
      </c>
      <c r="CW303" t="e">
        <f>'Middle East'!E116+"$F;@!0mR"</f>
        <v>#VALUE!</v>
      </c>
      <c r="CX303" t="e">
        <f>'Middle East'!F116+"$F;@!0mS"</f>
        <v>#VALUE!</v>
      </c>
      <c r="CY303" t="e">
        <f>'Middle East'!G116+"$F;@!0mT"</f>
        <v>#VALUE!</v>
      </c>
      <c r="CZ303" t="e">
        <f>'Middle East'!H116+"$F;@!0mU"</f>
        <v>#VALUE!</v>
      </c>
      <c r="DA303" t="e">
        <f>'Middle East'!A117+"$F;@!0mV"</f>
        <v>#VALUE!</v>
      </c>
      <c r="DB303" t="e">
        <f>'Middle East'!B117+"$F;@!0mW"</f>
        <v>#VALUE!</v>
      </c>
      <c r="DC303" t="e">
        <f>'Middle East'!C117+"$F;@!0mX"</f>
        <v>#VALUE!</v>
      </c>
      <c r="DD303" t="e">
        <f>'Middle East'!D117+"$F;@!0mY"</f>
        <v>#VALUE!</v>
      </c>
      <c r="DE303" t="e">
        <f>'Middle East'!E117+"$F;@!0mZ"</f>
        <v>#VALUE!</v>
      </c>
      <c r="DF303" t="e">
        <f>'Middle East'!F117+"$F;@!0m["</f>
        <v>#VALUE!</v>
      </c>
      <c r="DG303" t="e">
        <f>'Middle East'!G117+"$F;@!0m\"</f>
        <v>#VALUE!</v>
      </c>
      <c r="DH303" t="e">
        <f>'Middle East'!H117+"$F;@!0m]"</f>
        <v>#VALUE!</v>
      </c>
      <c r="DI303" t="e">
        <f>'Middle East'!A118+"$F;@!0m^"</f>
        <v>#VALUE!</v>
      </c>
      <c r="DJ303" t="e">
        <f>'Middle East'!B118+"$F;@!0m_"</f>
        <v>#VALUE!</v>
      </c>
      <c r="DK303" t="e">
        <f>'Middle East'!C118+"$F;@!0m`"</f>
        <v>#VALUE!</v>
      </c>
      <c r="DL303" t="e">
        <f>'Middle East'!D118+"$F;@!0ma"</f>
        <v>#VALUE!</v>
      </c>
      <c r="DM303" t="e">
        <f>'Middle East'!E118+"$F;@!0mb"</f>
        <v>#VALUE!</v>
      </c>
      <c r="DN303" t="e">
        <f>'Middle East'!F118+"$F;@!0mc"</f>
        <v>#VALUE!</v>
      </c>
      <c r="DO303" t="e">
        <f>'Middle East'!G118+"$F;@!0md"</f>
        <v>#VALUE!</v>
      </c>
      <c r="DP303" t="e">
        <f>'Middle East'!H118+"$F;@!0me"</f>
        <v>#VALUE!</v>
      </c>
      <c r="DQ303" t="e">
        <f>'Middle East'!A119+"$F;@!0mf"</f>
        <v>#VALUE!</v>
      </c>
      <c r="DR303" t="e">
        <f>'Middle East'!B119+"$F;@!0mg"</f>
        <v>#VALUE!</v>
      </c>
      <c r="DS303" t="e">
        <f>'Middle East'!C119+"$F;@!0mh"</f>
        <v>#VALUE!</v>
      </c>
      <c r="DT303" t="e">
        <f>'Middle East'!D119+"$F;@!0mi"</f>
        <v>#VALUE!</v>
      </c>
      <c r="DU303" t="e">
        <f>'Middle East'!E119+"$F;@!0mj"</f>
        <v>#VALUE!</v>
      </c>
      <c r="DV303" t="e">
        <f>'Middle East'!F119+"$F;@!0mk"</f>
        <v>#VALUE!</v>
      </c>
      <c r="DW303" t="e">
        <f>'Middle East'!G119+"$F;@!0ml"</f>
        <v>#VALUE!</v>
      </c>
      <c r="DX303" t="e">
        <f>'Middle East'!H119+"$F;@!0mm"</f>
        <v>#VALUE!</v>
      </c>
      <c r="DY303" t="e">
        <f>'Middle East'!A120+"$F;@!0mn"</f>
        <v>#VALUE!</v>
      </c>
      <c r="DZ303" t="e">
        <f>'Middle East'!B120+"$F;@!0mo"</f>
        <v>#VALUE!</v>
      </c>
      <c r="EA303" t="e">
        <f>'Middle East'!C120+"$F;@!0mp"</f>
        <v>#VALUE!</v>
      </c>
      <c r="EB303" t="e">
        <f>'Middle East'!D120+"$F;@!0mq"</f>
        <v>#VALUE!</v>
      </c>
      <c r="EC303" t="e">
        <f>'Middle East'!E120+"$F;@!0mr"</f>
        <v>#VALUE!</v>
      </c>
      <c r="ED303" t="e">
        <f>'Middle East'!F120+"$F;@!0ms"</f>
        <v>#VALUE!</v>
      </c>
      <c r="EE303" t="e">
        <f>'Middle East'!G120+"$F;@!0mt"</f>
        <v>#VALUE!</v>
      </c>
      <c r="EF303" t="e">
        <f>'Middle East'!H120+"$F;@!0mu"</f>
        <v>#VALUE!</v>
      </c>
      <c r="EG303" t="e">
        <f>'Middle East'!A121+"$F;@!0mv"</f>
        <v>#VALUE!</v>
      </c>
      <c r="EH303" t="e">
        <f>'Middle East'!B121+"$F;@!0mw"</f>
        <v>#VALUE!</v>
      </c>
      <c r="EI303" t="e">
        <f>'Middle East'!C121+"$F;@!0mx"</f>
        <v>#VALUE!</v>
      </c>
      <c r="EJ303" t="e">
        <f>'Middle East'!D121+"$F;@!0my"</f>
        <v>#VALUE!</v>
      </c>
      <c r="EK303" t="e">
        <f>'Middle East'!E121+"$F;@!0mz"</f>
        <v>#VALUE!</v>
      </c>
      <c r="EL303" t="e">
        <f>'Middle East'!F121+"$F;@!0m{"</f>
        <v>#VALUE!</v>
      </c>
      <c r="EM303" t="e">
        <f>'Middle East'!G121+"$F;@!0m|"</f>
        <v>#VALUE!</v>
      </c>
      <c r="EN303" t="e">
        <f>'Middle East'!H121+"$F;@!0m}"</f>
        <v>#VALUE!</v>
      </c>
      <c r="EO303" t="e">
        <f>'Middle East'!A122+"$F;@!0m~"</f>
        <v>#VALUE!</v>
      </c>
      <c r="EP303" t="e">
        <f>'Middle East'!B122+"$F;@!0n#"</f>
        <v>#VALUE!</v>
      </c>
      <c r="EQ303" t="e">
        <f>'Middle East'!C122+"$F;@!0n$"</f>
        <v>#VALUE!</v>
      </c>
      <c r="ER303" t="e">
        <f>'Middle East'!D122+"$F;@!0n%"</f>
        <v>#VALUE!</v>
      </c>
      <c r="ES303" t="e">
        <f>'Middle East'!E122+"$F;@!0n&amp;"</f>
        <v>#VALUE!</v>
      </c>
      <c r="ET303" t="e">
        <f>'Middle East'!F122+"$F;@!0n'"</f>
        <v>#VALUE!</v>
      </c>
      <c r="EU303" t="e">
        <f>'Middle East'!G122+"$F;@!0n("</f>
        <v>#VALUE!</v>
      </c>
      <c r="EV303" t="e">
        <f>'Middle East'!H122+"$F;@!0n)"</f>
        <v>#VALUE!</v>
      </c>
      <c r="EW303" t="e">
        <f>'Middle East'!A123+"$F;@!0n."</f>
        <v>#VALUE!</v>
      </c>
      <c r="EX303" t="e">
        <f>'Middle East'!B123+"$F;@!0n/"</f>
        <v>#VALUE!</v>
      </c>
      <c r="EY303" t="e">
        <f>'Middle East'!C123+"$F;@!0n0"</f>
        <v>#VALUE!</v>
      </c>
      <c r="EZ303" t="e">
        <f>'Middle East'!D123+"$F;@!0n1"</f>
        <v>#VALUE!</v>
      </c>
      <c r="FA303" t="e">
        <f>'Middle East'!E123+"$F;@!0n2"</f>
        <v>#VALUE!</v>
      </c>
      <c r="FB303" t="e">
        <f>'Middle East'!F123+"$F;@!0n3"</f>
        <v>#VALUE!</v>
      </c>
      <c r="FC303" t="e">
        <f>'Middle East'!G123+"$F;@!0n4"</f>
        <v>#VALUE!</v>
      </c>
      <c r="FD303" t="e">
        <f>'Middle East'!H123+"$F;@!0n5"</f>
        <v>#VALUE!</v>
      </c>
      <c r="FE303" t="e">
        <f>'Middle East'!A124+"$F;@!0n6"</f>
        <v>#VALUE!</v>
      </c>
      <c r="FF303" t="e">
        <f>'Middle East'!B124+"$F;@!0n7"</f>
        <v>#VALUE!</v>
      </c>
      <c r="FG303" t="e">
        <f>'Middle East'!C124+"$F;@!0n8"</f>
        <v>#VALUE!</v>
      </c>
      <c r="FH303" t="e">
        <f>'Middle East'!D124+"$F;@!0n9"</f>
        <v>#VALUE!</v>
      </c>
      <c r="FI303" t="e">
        <f>'Middle East'!E124+"$F;@!0n:"</f>
        <v>#VALUE!</v>
      </c>
      <c r="FJ303" t="e">
        <f>'Middle East'!F124+"$F;@!0n;"</f>
        <v>#VALUE!</v>
      </c>
      <c r="FK303" t="e">
        <f>'Middle East'!G124+"$F;@!0n&lt;"</f>
        <v>#VALUE!</v>
      </c>
      <c r="FL303" t="e">
        <f>'Middle East'!H124+"$F;@!0n="</f>
        <v>#VALUE!</v>
      </c>
      <c r="FM303" t="e">
        <f>'Middle East'!A125+"$F;@!0n&gt;"</f>
        <v>#VALUE!</v>
      </c>
      <c r="FN303" t="e">
        <f>'Middle East'!B125+"$F;@!0n?"</f>
        <v>#VALUE!</v>
      </c>
      <c r="FO303" t="e">
        <f>'Middle East'!C125+"$F;@!0n@"</f>
        <v>#VALUE!</v>
      </c>
      <c r="FP303" t="e">
        <f>'Middle East'!D125+"$F;@!0nA"</f>
        <v>#VALUE!</v>
      </c>
      <c r="FQ303" t="e">
        <f>'Middle East'!E125+"$F;@!0nB"</f>
        <v>#VALUE!</v>
      </c>
      <c r="FR303" t="e">
        <f>'Middle East'!F125+"$F;@!0nC"</f>
        <v>#VALUE!</v>
      </c>
      <c r="FS303" t="e">
        <f>'Middle East'!G125+"$F;@!0nD"</f>
        <v>#VALUE!</v>
      </c>
      <c r="FT303" t="e">
        <f>'Middle East'!H125+"$F;@!0nE"</f>
        <v>#VALUE!</v>
      </c>
      <c r="FU303" t="e">
        <f>'Middle East'!A126+"$F;@!0nF"</f>
        <v>#VALUE!</v>
      </c>
      <c r="FV303" t="e">
        <f>'Middle East'!B126+"$F;@!0nG"</f>
        <v>#VALUE!</v>
      </c>
      <c r="FW303" t="e">
        <f>'Middle East'!C126+"$F;@!0nH"</f>
        <v>#VALUE!</v>
      </c>
      <c r="FX303" t="e">
        <f>'Middle East'!D126+"$F;@!0nI"</f>
        <v>#VALUE!</v>
      </c>
      <c r="FY303" t="e">
        <f>'Middle East'!E126+"$F;@!0nJ"</f>
        <v>#VALUE!</v>
      </c>
      <c r="FZ303" t="e">
        <f>'Middle East'!F126+"$F;@!0nK"</f>
        <v>#VALUE!</v>
      </c>
      <c r="GA303" t="e">
        <f>'Middle East'!G126+"$F;@!0nL"</f>
        <v>#VALUE!</v>
      </c>
      <c r="GB303" t="e">
        <f>'Middle East'!H126+"$F;@!0nM"</f>
        <v>#VALUE!</v>
      </c>
      <c r="GC303" t="e">
        <f>'Middle East'!A127+"$F;@!0nN"</f>
        <v>#VALUE!</v>
      </c>
      <c r="GD303" t="e">
        <f>'Middle East'!B127+"$F;@!0nO"</f>
        <v>#VALUE!</v>
      </c>
      <c r="GE303" t="e">
        <f>'Middle East'!C127+"$F;@!0nP"</f>
        <v>#VALUE!</v>
      </c>
      <c r="GF303" t="e">
        <f>'Middle East'!D127+"$F;@!0nQ"</f>
        <v>#VALUE!</v>
      </c>
      <c r="GG303" t="e">
        <f>'Middle East'!E127+"$F;@!0nR"</f>
        <v>#VALUE!</v>
      </c>
      <c r="GH303" t="e">
        <f>'Middle East'!F127+"$F;@!0nS"</f>
        <v>#VALUE!</v>
      </c>
      <c r="GI303" t="e">
        <f>'Middle East'!G127+"$F;@!0nT"</f>
        <v>#VALUE!</v>
      </c>
      <c r="GJ303" t="e">
        <f>'Middle East'!H127+"$F;@!0nU"</f>
        <v>#VALUE!</v>
      </c>
      <c r="GK303" t="e">
        <f>'Middle East'!A128+"$F;@!0nV"</f>
        <v>#VALUE!</v>
      </c>
      <c r="GL303" t="e">
        <f>'Middle East'!B128+"$F;@!0nW"</f>
        <v>#VALUE!</v>
      </c>
      <c r="GM303" t="e">
        <f>'Middle East'!C128+"$F;@!0nX"</f>
        <v>#VALUE!</v>
      </c>
      <c r="GN303" t="e">
        <f>'Middle East'!D128+"$F;@!0nY"</f>
        <v>#VALUE!</v>
      </c>
      <c r="GO303" t="e">
        <f>'Middle East'!E128+"$F;@!0nZ"</f>
        <v>#VALUE!</v>
      </c>
      <c r="GP303" t="e">
        <f>'Middle East'!F128+"$F;@!0n["</f>
        <v>#VALUE!</v>
      </c>
      <c r="GQ303" t="e">
        <f>'Middle East'!G128+"$F;@!0n\"</f>
        <v>#VALUE!</v>
      </c>
      <c r="GR303" t="e">
        <f>'Middle East'!H128+"$F;@!0n]"</f>
        <v>#VALUE!</v>
      </c>
      <c r="GS303" t="e">
        <f>'Middle East'!A129+"$F;@!0n^"</f>
        <v>#VALUE!</v>
      </c>
      <c r="GT303" t="e">
        <f>'Middle East'!B129+"$F;@!0n_"</f>
        <v>#VALUE!</v>
      </c>
      <c r="GU303" t="e">
        <f>'Middle East'!C129+"$F;@!0n`"</f>
        <v>#VALUE!</v>
      </c>
      <c r="GV303" t="e">
        <f>'Middle East'!D129+"$F;@!0na"</f>
        <v>#VALUE!</v>
      </c>
      <c r="GW303" t="e">
        <f>'Middle East'!E129+"$F;@!0nb"</f>
        <v>#VALUE!</v>
      </c>
      <c r="GX303" t="e">
        <f>'Middle East'!F129+"$F;@!0nc"</f>
        <v>#VALUE!</v>
      </c>
      <c r="GY303" t="e">
        <f>'Middle East'!G129+"$F;@!0nd"</f>
        <v>#VALUE!</v>
      </c>
      <c r="GZ303" t="e">
        <f>'Middle East'!H129+"$F;@!0ne"</f>
        <v>#VALUE!</v>
      </c>
      <c r="HA303" t="e">
        <f>'Middle East'!A130+"$F;@!0nf"</f>
        <v>#VALUE!</v>
      </c>
      <c r="HB303" t="e">
        <f>'Middle East'!B130+"$F;@!0ng"</f>
        <v>#VALUE!</v>
      </c>
      <c r="HC303" t="e">
        <f>'Middle East'!C130+"$F;@!0nh"</f>
        <v>#VALUE!</v>
      </c>
      <c r="HD303" t="e">
        <f>'Middle East'!D130+"$F;@!0ni"</f>
        <v>#VALUE!</v>
      </c>
      <c r="HE303" t="e">
        <f>'Middle East'!E130+"$F;@!0nj"</f>
        <v>#VALUE!</v>
      </c>
      <c r="HF303" t="e">
        <f>'Middle East'!F130+"$F;@!0nk"</f>
        <v>#VALUE!</v>
      </c>
      <c r="HG303" t="e">
        <f>'Middle East'!G130+"$F;@!0nl"</f>
        <v>#VALUE!</v>
      </c>
      <c r="HH303" t="e">
        <f>'Middle East'!H130+"$F;@!0nm"</f>
        <v>#VALUE!</v>
      </c>
      <c r="HI303" t="e">
        <f>'Middle East'!A131+"$F;@!0nn"</f>
        <v>#VALUE!</v>
      </c>
      <c r="HJ303" t="e">
        <f>'Middle East'!B131+"$F;@!0no"</f>
        <v>#VALUE!</v>
      </c>
      <c r="HK303" t="e">
        <f>'Middle East'!C131+"$F;@!0np"</f>
        <v>#VALUE!</v>
      </c>
      <c r="HL303" t="e">
        <f>'Middle East'!D131+"$F;@!0nq"</f>
        <v>#VALUE!</v>
      </c>
      <c r="HM303" t="e">
        <f>'Middle East'!E131+"$F;@!0nr"</f>
        <v>#VALUE!</v>
      </c>
      <c r="HN303" t="e">
        <f>'Middle East'!F131+"$F;@!0ns"</f>
        <v>#VALUE!</v>
      </c>
      <c r="HO303" t="e">
        <f>'Middle East'!G131+"$F;@!0nt"</f>
        <v>#VALUE!</v>
      </c>
      <c r="HP303" t="e">
        <f>'Middle East'!H131+"$F;@!0nu"</f>
        <v>#VALUE!</v>
      </c>
      <c r="HQ303" t="e">
        <f>'Middle East'!A132+"$F;@!0nv"</f>
        <v>#VALUE!</v>
      </c>
      <c r="HR303" t="e">
        <f>'Middle East'!B132+"$F;@!0nw"</f>
        <v>#VALUE!</v>
      </c>
      <c r="HS303" t="e">
        <f>'Middle East'!C132+"$F;@!0nx"</f>
        <v>#VALUE!</v>
      </c>
      <c r="HT303" t="e">
        <f>'Middle East'!D132+"$F;@!0ny"</f>
        <v>#VALUE!</v>
      </c>
      <c r="HU303" t="e">
        <f>'Middle East'!E132+"$F;@!0nz"</f>
        <v>#VALUE!</v>
      </c>
      <c r="HV303" t="e">
        <f>'Middle East'!F132+"$F;@!0n{"</f>
        <v>#VALUE!</v>
      </c>
      <c r="HW303" t="e">
        <f>'Middle East'!G132+"$F;@!0n|"</f>
        <v>#VALUE!</v>
      </c>
      <c r="HX303" t="e">
        <f>'Middle East'!H132+"$F;@!0n}"</f>
        <v>#VALUE!</v>
      </c>
      <c r="HY303" t="e">
        <f>'Middle East'!A133+"$F;@!0n~"</f>
        <v>#VALUE!</v>
      </c>
      <c r="HZ303" t="e">
        <f>'Middle East'!B133+"$F;@!0o#"</f>
        <v>#VALUE!</v>
      </c>
      <c r="IA303" t="e">
        <f>'Middle East'!C133+"$F;@!0o$"</f>
        <v>#VALUE!</v>
      </c>
      <c r="IB303" t="e">
        <f>'Middle East'!D133+"$F;@!0o%"</f>
        <v>#VALUE!</v>
      </c>
      <c r="IC303" t="e">
        <f>'Middle East'!E133+"$F;@!0o&amp;"</f>
        <v>#VALUE!</v>
      </c>
      <c r="ID303" t="e">
        <f>'Middle East'!F133+"$F;@!0o'"</f>
        <v>#VALUE!</v>
      </c>
      <c r="IE303" t="e">
        <f>'Middle East'!G133+"$F;@!0o("</f>
        <v>#VALUE!</v>
      </c>
      <c r="IF303" t="e">
        <f>'Middle East'!H133+"$F;@!0o)"</f>
        <v>#VALUE!</v>
      </c>
      <c r="IG303" t="e">
        <f>'Middle East'!A134+"$F;@!0o."</f>
        <v>#VALUE!</v>
      </c>
      <c r="IH303" t="e">
        <f>'Middle East'!B134+"$F;@!0o/"</f>
        <v>#VALUE!</v>
      </c>
      <c r="II303" t="e">
        <f>'Middle East'!C134+"$F;@!0o0"</f>
        <v>#VALUE!</v>
      </c>
      <c r="IJ303" t="e">
        <f>'Middle East'!D134+"$F;@!0o1"</f>
        <v>#VALUE!</v>
      </c>
      <c r="IK303" t="e">
        <f>'Middle East'!E134+"$F;@!0o2"</f>
        <v>#VALUE!</v>
      </c>
      <c r="IL303" t="e">
        <f>'Middle East'!F134+"$F;@!0o3"</f>
        <v>#VALUE!</v>
      </c>
      <c r="IM303" t="e">
        <f>'Middle East'!G134+"$F;@!0o4"</f>
        <v>#VALUE!</v>
      </c>
      <c r="IN303" t="e">
        <f>'Middle East'!H134+"$F;@!0o5"</f>
        <v>#VALUE!</v>
      </c>
      <c r="IO303" t="e">
        <f>'Middle East'!A135+"$F;@!0o6"</f>
        <v>#VALUE!</v>
      </c>
      <c r="IP303" t="e">
        <f>'Middle East'!B135+"$F;@!0o7"</f>
        <v>#VALUE!</v>
      </c>
      <c r="IQ303" t="e">
        <f>'Middle East'!C135+"$F;@!0o8"</f>
        <v>#VALUE!</v>
      </c>
      <c r="IR303" t="e">
        <f>'Middle East'!D135+"$F;@!0o9"</f>
        <v>#VALUE!</v>
      </c>
      <c r="IS303" t="e">
        <f>'Middle East'!E135+"$F;@!0o:"</f>
        <v>#VALUE!</v>
      </c>
      <c r="IT303" t="e">
        <f>'Middle East'!F135+"$F;@!0o;"</f>
        <v>#VALUE!</v>
      </c>
      <c r="IU303" t="e">
        <f>'Middle East'!G135+"$F;@!0o&lt;"</f>
        <v>#VALUE!</v>
      </c>
      <c r="IV303" t="e">
        <f>'Middle East'!H135+"$F;@!0o="</f>
        <v>#VALUE!</v>
      </c>
    </row>
    <row r="304" spans="6:256" x14ac:dyDescent="0.35">
      <c r="F304" t="e">
        <f>'Middle East'!A136+"$F;@!0o&gt;"</f>
        <v>#VALUE!</v>
      </c>
      <c r="G304" t="e">
        <f>'Middle East'!B136+"$F;@!0o?"</f>
        <v>#VALUE!</v>
      </c>
      <c r="H304" t="e">
        <f>'Middle East'!C136+"$F;@!0o@"</f>
        <v>#VALUE!</v>
      </c>
      <c r="I304" t="e">
        <f>'Middle East'!D136+"$F;@!0oA"</f>
        <v>#VALUE!</v>
      </c>
      <c r="J304" t="e">
        <f>'Middle East'!E136+"$F;@!0oB"</f>
        <v>#VALUE!</v>
      </c>
      <c r="K304" t="e">
        <f>'Middle East'!F136+"$F;@!0oC"</f>
        <v>#VALUE!</v>
      </c>
      <c r="L304" t="e">
        <f>'Middle East'!G136+"$F;@!0oD"</f>
        <v>#VALUE!</v>
      </c>
      <c r="M304" t="e">
        <f>'Middle East'!H136+"$F;@!0oE"</f>
        <v>#VALUE!</v>
      </c>
      <c r="N304" t="e">
        <f>'Middle East'!A137+"$F;@!0oF"</f>
        <v>#VALUE!</v>
      </c>
      <c r="O304" t="e">
        <f>'Middle East'!B137+"$F;@!0oG"</f>
        <v>#VALUE!</v>
      </c>
      <c r="P304" t="e">
        <f>'Middle East'!C137+"$F;@!0oH"</f>
        <v>#VALUE!</v>
      </c>
      <c r="Q304" t="e">
        <f>'Middle East'!D137+"$F;@!0oI"</f>
        <v>#VALUE!</v>
      </c>
      <c r="R304" t="e">
        <f>'Middle East'!E137+"$F;@!0oJ"</f>
        <v>#VALUE!</v>
      </c>
      <c r="S304" t="e">
        <f>'Middle East'!F137+"$F;@!0oK"</f>
        <v>#VALUE!</v>
      </c>
      <c r="T304" t="e">
        <f>'Middle East'!G137+"$F;@!0oL"</f>
        <v>#VALUE!</v>
      </c>
      <c r="U304" t="e">
        <f>'Middle East'!H137+"$F;@!0oM"</f>
        <v>#VALUE!</v>
      </c>
      <c r="V304" t="e">
        <f>'Middle East'!A138+"$F;@!0oN"</f>
        <v>#VALUE!</v>
      </c>
      <c r="W304" t="e">
        <f>'Middle East'!B138+"$F;@!0oO"</f>
        <v>#VALUE!</v>
      </c>
      <c r="X304" t="e">
        <f>'Middle East'!C138+"$F;@!0oP"</f>
        <v>#VALUE!</v>
      </c>
      <c r="Y304" t="e">
        <f>'Middle East'!D138+"$F;@!0oQ"</f>
        <v>#VALUE!</v>
      </c>
      <c r="Z304" t="e">
        <f>'Middle East'!E138+"$F;@!0oR"</f>
        <v>#VALUE!</v>
      </c>
      <c r="AA304" t="e">
        <f>'Middle East'!F138+"$F;@!0oS"</f>
        <v>#VALUE!</v>
      </c>
      <c r="AB304" t="e">
        <f>'Middle East'!G138+"$F;@!0oT"</f>
        <v>#VALUE!</v>
      </c>
      <c r="AC304" t="e">
        <f>'Middle East'!H138+"$F;@!0oU"</f>
        <v>#VALUE!</v>
      </c>
      <c r="AD304" t="e">
        <f>'Middle East'!A139+"$F;@!0oV"</f>
        <v>#VALUE!</v>
      </c>
      <c r="AE304" t="e">
        <f>'Middle East'!B139+"$F;@!0oW"</f>
        <v>#VALUE!</v>
      </c>
      <c r="AF304" t="e">
        <f>'Middle East'!C139+"$F;@!0oX"</f>
        <v>#VALUE!</v>
      </c>
      <c r="AG304" t="e">
        <f>'Middle East'!D139+"$F;@!0oY"</f>
        <v>#VALUE!</v>
      </c>
      <c r="AH304" t="e">
        <f>'Middle East'!E139+"$F;@!0oZ"</f>
        <v>#VALUE!</v>
      </c>
      <c r="AI304" t="e">
        <f>'Middle East'!F139+"$F;@!0o["</f>
        <v>#VALUE!</v>
      </c>
      <c r="AJ304" t="e">
        <f>'Middle East'!G139+"$F;@!0o\"</f>
        <v>#VALUE!</v>
      </c>
      <c r="AK304" t="e">
        <f>'Middle East'!H139+"$F;@!0o]"</f>
        <v>#VALUE!</v>
      </c>
      <c r="AL304" t="e">
        <f>'Middle East'!A140+"$F;@!0o^"</f>
        <v>#VALUE!</v>
      </c>
      <c r="AM304" t="e">
        <f>'Middle East'!B140+"$F;@!0o_"</f>
        <v>#VALUE!</v>
      </c>
      <c r="AN304" t="e">
        <f>'Middle East'!C140+"$F;@!0o`"</f>
        <v>#VALUE!</v>
      </c>
      <c r="AO304" t="e">
        <f>'Middle East'!D140+"$F;@!0oa"</f>
        <v>#VALUE!</v>
      </c>
      <c r="AP304" t="e">
        <f>'Middle East'!E140+"$F;@!0ob"</f>
        <v>#VALUE!</v>
      </c>
      <c r="AQ304" t="e">
        <f>'Middle East'!F140+"$F;@!0oc"</f>
        <v>#VALUE!</v>
      </c>
      <c r="AR304" t="e">
        <f>'Middle East'!G140+"$F;@!0od"</f>
        <v>#VALUE!</v>
      </c>
      <c r="AS304" t="e">
        <f>'Middle East'!H140+"$F;@!0oe"</f>
        <v>#VALUE!</v>
      </c>
      <c r="AT304" t="e">
        <f>'Middle East'!A141+"$F;@!0of"</f>
        <v>#VALUE!</v>
      </c>
      <c r="AU304" t="e">
        <f>'Middle East'!B141+"$F;@!0og"</f>
        <v>#VALUE!</v>
      </c>
      <c r="AV304" t="e">
        <f>'Middle East'!C141+"$F;@!0oh"</f>
        <v>#VALUE!</v>
      </c>
      <c r="AW304" t="e">
        <f>'Middle East'!D141+"$F;@!0oi"</f>
        <v>#VALUE!</v>
      </c>
      <c r="AX304" t="e">
        <f>'Middle East'!E141+"$F;@!0oj"</f>
        <v>#VALUE!</v>
      </c>
      <c r="AY304" t="e">
        <f>'Middle East'!F141+"$F;@!0ok"</f>
        <v>#VALUE!</v>
      </c>
      <c r="AZ304" t="e">
        <f>'Middle East'!G141+"$F;@!0ol"</f>
        <v>#VALUE!</v>
      </c>
      <c r="BA304" t="e">
        <f>'Middle East'!H141+"$F;@!0om"</f>
        <v>#VALUE!</v>
      </c>
      <c r="BB304" t="e">
        <f>'Middle East'!A142+"$F;@!0on"</f>
        <v>#VALUE!</v>
      </c>
      <c r="BC304" t="e">
        <f>'Middle East'!B142+"$F;@!0oo"</f>
        <v>#VALUE!</v>
      </c>
      <c r="BD304" t="e">
        <f>'Middle East'!C142+"$F;@!0op"</f>
        <v>#VALUE!</v>
      </c>
      <c r="BE304" t="e">
        <f>'Middle East'!D142+"$F;@!0oq"</f>
        <v>#VALUE!</v>
      </c>
      <c r="BF304" t="e">
        <f>'Middle East'!E142+"$F;@!0or"</f>
        <v>#VALUE!</v>
      </c>
      <c r="BG304" t="e">
        <f>'Middle East'!F142+"$F;@!0os"</f>
        <v>#VALUE!</v>
      </c>
      <c r="BH304" t="e">
        <f>'Middle East'!G142+"$F;@!0ot"</f>
        <v>#VALUE!</v>
      </c>
      <c r="BI304" t="e">
        <f>'Middle East'!H142+"$F;@!0ou"</f>
        <v>#VALUE!</v>
      </c>
      <c r="BJ304" t="e">
        <f>'Middle East'!A143+"$F;@!0ov"</f>
        <v>#VALUE!</v>
      </c>
      <c r="BK304" t="e">
        <f>'Middle East'!B143+"$F;@!0ow"</f>
        <v>#VALUE!</v>
      </c>
      <c r="BL304" t="e">
        <f>'Middle East'!C143+"$F;@!0ox"</f>
        <v>#VALUE!</v>
      </c>
      <c r="BM304" t="e">
        <f>'Middle East'!D143+"$F;@!0oy"</f>
        <v>#VALUE!</v>
      </c>
      <c r="BN304" t="e">
        <f>'Middle East'!E143+"$F;@!0oz"</f>
        <v>#VALUE!</v>
      </c>
      <c r="BO304" t="e">
        <f>'Middle East'!F143+"$F;@!0o{"</f>
        <v>#VALUE!</v>
      </c>
      <c r="BP304" t="e">
        <f>'Middle East'!G143+"$F;@!0o|"</f>
        <v>#VALUE!</v>
      </c>
      <c r="BQ304" t="e">
        <f>'Middle East'!H143+"$F;@!0o}"</f>
        <v>#VALUE!</v>
      </c>
      <c r="BR304" t="e">
        <f>'Middle East'!A144+"$F;@!0o~"</f>
        <v>#VALUE!</v>
      </c>
      <c r="BS304" t="e">
        <f>'Middle East'!B144+"$F;@!0p#"</f>
        <v>#VALUE!</v>
      </c>
      <c r="BT304" t="e">
        <f>'Middle East'!C144+"$F;@!0p$"</f>
        <v>#VALUE!</v>
      </c>
      <c r="BU304" t="e">
        <f>'Middle East'!D144+"$F;@!0p%"</f>
        <v>#VALUE!</v>
      </c>
      <c r="BV304" t="e">
        <f>'Middle East'!E144+"$F;@!0p&amp;"</f>
        <v>#VALUE!</v>
      </c>
      <c r="BW304" t="e">
        <f>'Middle East'!F144+"$F;@!0p'"</f>
        <v>#VALUE!</v>
      </c>
      <c r="BX304" t="e">
        <f>'Middle East'!G144+"$F;@!0p("</f>
        <v>#VALUE!</v>
      </c>
      <c r="BY304" t="e">
        <f>'Middle East'!H144+"$F;@!0p)"</f>
        <v>#VALUE!</v>
      </c>
      <c r="BZ304" t="e">
        <f>'Middle East'!A145+"$F;@!0p."</f>
        <v>#VALUE!</v>
      </c>
      <c r="CA304" t="e">
        <f>'Middle East'!B145+"$F;@!0p/"</f>
        <v>#VALUE!</v>
      </c>
      <c r="CB304" t="e">
        <f>'Middle East'!C145+"$F;@!0p0"</f>
        <v>#VALUE!</v>
      </c>
      <c r="CC304" t="e">
        <f>'Middle East'!D145+"$F;@!0p1"</f>
        <v>#VALUE!</v>
      </c>
      <c r="CD304" t="e">
        <f>'Middle East'!E145+"$F;@!0p2"</f>
        <v>#VALUE!</v>
      </c>
      <c r="CE304" t="e">
        <f>'Middle East'!F145+"$F;@!0p3"</f>
        <v>#VALUE!</v>
      </c>
      <c r="CF304" t="e">
        <f>'Middle East'!G145+"$F;@!0p4"</f>
        <v>#VALUE!</v>
      </c>
      <c r="CG304" t="e">
        <f>'Middle East'!H145+"$F;@!0p5"</f>
        <v>#VALUE!</v>
      </c>
      <c r="CH304" t="e">
        <f>'Middle East'!A146+"$F;@!0p6"</f>
        <v>#VALUE!</v>
      </c>
      <c r="CI304" t="e">
        <f>'Middle East'!B146+"$F;@!0p7"</f>
        <v>#VALUE!</v>
      </c>
      <c r="CJ304" t="e">
        <f>'Middle East'!C146+"$F;@!0p8"</f>
        <v>#VALUE!</v>
      </c>
      <c r="CK304" t="e">
        <f>'Middle East'!D146+"$F;@!0p9"</f>
        <v>#VALUE!</v>
      </c>
      <c r="CL304" t="e">
        <f>'Middle East'!E146+"$F;@!0p:"</f>
        <v>#VALUE!</v>
      </c>
      <c r="CM304" t="e">
        <f>'Middle East'!F146+"$F;@!0p;"</f>
        <v>#VALUE!</v>
      </c>
      <c r="CN304" t="e">
        <f>'Middle East'!G146+"$F;@!0p&lt;"</f>
        <v>#VALUE!</v>
      </c>
      <c r="CO304" t="e">
        <f>'Middle East'!H146+"$F;@!0p="</f>
        <v>#VALUE!</v>
      </c>
      <c r="CP304" t="e">
        <f>'Middle East'!A147+"$F;@!0p&gt;"</f>
        <v>#VALUE!</v>
      </c>
      <c r="CQ304" t="e">
        <f>'Middle East'!B147+"$F;@!0p?"</f>
        <v>#VALUE!</v>
      </c>
      <c r="CR304" t="e">
        <f>'Middle East'!C147+"$F;@!0p@"</f>
        <v>#VALUE!</v>
      </c>
      <c r="CS304" t="e">
        <f>'Middle East'!D147+"$F;@!0pA"</f>
        <v>#VALUE!</v>
      </c>
      <c r="CT304" t="e">
        <f>'Middle East'!E147+"$F;@!0pB"</f>
        <v>#VALUE!</v>
      </c>
      <c r="CU304" t="e">
        <f>'Middle East'!F147+"$F;@!0pC"</f>
        <v>#VALUE!</v>
      </c>
      <c r="CV304" t="e">
        <f>'Middle East'!G147+"$F;@!0pD"</f>
        <v>#VALUE!</v>
      </c>
      <c r="CW304" t="e">
        <f>'Middle East'!H147+"$F;@!0pE"</f>
        <v>#VALUE!</v>
      </c>
      <c r="CX304" t="e">
        <f>'Middle East'!A148+"$F;@!0pF"</f>
        <v>#VALUE!</v>
      </c>
      <c r="CY304" t="e">
        <f>'Middle East'!B148+"$F;@!0pG"</f>
        <v>#VALUE!</v>
      </c>
      <c r="CZ304" t="e">
        <f>'Middle East'!C148+"$F;@!0pH"</f>
        <v>#VALUE!</v>
      </c>
      <c r="DA304" t="e">
        <f>'Middle East'!D148+"$F;@!0pI"</f>
        <v>#VALUE!</v>
      </c>
      <c r="DB304" t="e">
        <f>'Middle East'!E148+"$F;@!0pJ"</f>
        <v>#VALUE!</v>
      </c>
      <c r="DC304" t="e">
        <f>'Middle East'!F148+"$F;@!0pK"</f>
        <v>#VALUE!</v>
      </c>
      <c r="DD304" t="e">
        <f>'Middle East'!G148+"$F;@!0pL"</f>
        <v>#VALUE!</v>
      </c>
      <c r="DE304" t="e">
        <f>'Middle East'!H148+"$F;@!0pM"</f>
        <v>#VALUE!</v>
      </c>
      <c r="DF304" t="e">
        <f>'Middle East'!A149+"$F;@!0pN"</f>
        <v>#VALUE!</v>
      </c>
      <c r="DG304" t="e">
        <f>'Middle East'!B149+"$F;@!0pO"</f>
        <v>#VALUE!</v>
      </c>
      <c r="DH304" t="e">
        <f>'Middle East'!C149+"$F;@!0pP"</f>
        <v>#VALUE!</v>
      </c>
      <c r="DI304" t="e">
        <f>'Middle East'!D149+"$F;@!0pQ"</f>
        <v>#VALUE!</v>
      </c>
      <c r="DJ304" t="e">
        <f>'Middle East'!E149+"$F;@!0pR"</f>
        <v>#VALUE!</v>
      </c>
      <c r="DK304" t="e">
        <f>'Middle East'!F149+"$F;@!0pS"</f>
        <v>#VALUE!</v>
      </c>
      <c r="DL304" t="e">
        <f>'Middle East'!G149+"$F;@!0pT"</f>
        <v>#VALUE!</v>
      </c>
      <c r="DM304" t="e">
        <f>'Middle East'!H149+"$F;@!0pU"</f>
        <v>#VALUE!</v>
      </c>
      <c r="DN304" t="e">
        <f>'Middle East'!A150+"$F;@!0pV"</f>
        <v>#VALUE!</v>
      </c>
      <c r="DO304" t="e">
        <f>'Middle East'!B150+"$F;@!0pW"</f>
        <v>#VALUE!</v>
      </c>
      <c r="DP304" t="e">
        <f>'Middle East'!C150+"$F;@!0pX"</f>
        <v>#VALUE!</v>
      </c>
      <c r="DQ304" t="e">
        <f>'Middle East'!D150+"$F;@!0pY"</f>
        <v>#VALUE!</v>
      </c>
      <c r="DR304" t="e">
        <f>'Middle East'!E150+"$F;@!0pZ"</f>
        <v>#VALUE!</v>
      </c>
      <c r="DS304" t="e">
        <f>'Middle East'!F150+"$F;@!0p["</f>
        <v>#VALUE!</v>
      </c>
      <c r="DT304" t="e">
        <f>'Middle East'!G150+"$F;@!0p\"</f>
        <v>#VALUE!</v>
      </c>
      <c r="DU304" t="e">
        <f>'Middle East'!H150+"$F;@!0p]"</f>
        <v>#VALUE!</v>
      </c>
      <c r="DV304" t="e">
        <f>'Middle East'!A151+"$F;@!0p^"</f>
        <v>#VALUE!</v>
      </c>
      <c r="DW304" t="e">
        <f>'Middle East'!B151+"$F;@!0p_"</f>
        <v>#VALUE!</v>
      </c>
      <c r="DX304" t="e">
        <f>'Middle East'!C151+"$F;@!0p`"</f>
        <v>#VALUE!</v>
      </c>
      <c r="DY304" t="e">
        <f>'Middle East'!D151+"$F;@!0pa"</f>
        <v>#VALUE!</v>
      </c>
      <c r="DZ304" t="e">
        <f>'Middle East'!E151+"$F;@!0pb"</f>
        <v>#VALUE!</v>
      </c>
      <c r="EA304" t="e">
        <f>'Middle East'!F151+"$F;@!0pc"</f>
        <v>#VALUE!</v>
      </c>
      <c r="EB304" t="e">
        <f>'Middle East'!G151+"$F;@!0pd"</f>
        <v>#VALUE!</v>
      </c>
      <c r="EC304" t="e">
        <f>'Middle East'!H151+"$F;@!0pe"</f>
        <v>#VALUE!</v>
      </c>
      <c r="ED304" t="e">
        <f>'Middle East'!A152+"$F;@!0pf"</f>
        <v>#VALUE!</v>
      </c>
      <c r="EE304" t="e">
        <f>'Middle East'!B152+"$F;@!0pg"</f>
        <v>#VALUE!</v>
      </c>
      <c r="EF304" t="e">
        <f>'Middle East'!C152+"$F;@!0ph"</f>
        <v>#VALUE!</v>
      </c>
      <c r="EG304" t="e">
        <f>'Middle East'!D152+"$F;@!0pi"</f>
        <v>#VALUE!</v>
      </c>
      <c r="EH304" t="e">
        <f>'Middle East'!E152+"$F;@!0pj"</f>
        <v>#VALUE!</v>
      </c>
      <c r="EI304" t="e">
        <f>'Middle East'!F152+"$F;@!0pk"</f>
        <v>#VALUE!</v>
      </c>
      <c r="EJ304" t="e">
        <f>'Middle East'!G152+"$F;@!0pl"</f>
        <v>#VALUE!</v>
      </c>
      <c r="EK304" t="e">
        <f>'Middle East'!H152+"$F;@!0pm"</f>
        <v>#VALUE!</v>
      </c>
      <c r="EL304" t="e">
        <f>'Middle East'!A153+"$F;@!0pn"</f>
        <v>#VALUE!</v>
      </c>
      <c r="EM304" t="e">
        <f>'Middle East'!B153+"$F;@!0po"</f>
        <v>#VALUE!</v>
      </c>
      <c r="EN304" t="e">
        <f>'Middle East'!C153+"$F;@!0pp"</f>
        <v>#VALUE!</v>
      </c>
      <c r="EO304" t="e">
        <f>'Middle East'!D153+"$F;@!0pq"</f>
        <v>#VALUE!</v>
      </c>
      <c r="EP304" t="e">
        <f>'Middle East'!E153+"$F;@!0pr"</f>
        <v>#VALUE!</v>
      </c>
      <c r="EQ304" t="e">
        <f>'Middle East'!F153+"$F;@!0ps"</f>
        <v>#VALUE!</v>
      </c>
      <c r="ER304" t="e">
        <f>'Middle East'!G153+"$F;@!0pt"</f>
        <v>#VALUE!</v>
      </c>
      <c r="ES304" t="e">
        <f>'Middle East'!H153+"$F;@!0pu"</f>
        <v>#VALUE!</v>
      </c>
      <c r="ET304" t="e">
        <f>'Middle East'!A154+"$F;@!0pv"</f>
        <v>#VALUE!</v>
      </c>
      <c r="EU304" t="e">
        <f>'Middle East'!B154+"$F;@!0pw"</f>
        <v>#VALUE!</v>
      </c>
      <c r="EV304" t="e">
        <f>'Middle East'!C154+"$F;@!0px"</f>
        <v>#VALUE!</v>
      </c>
      <c r="EW304" t="e">
        <f>'Middle East'!D154+"$F;@!0py"</f>
        <v>#VALUE!</v>
      </c>
      <c r="EX304" t="e">
        <f>'Middle East'!E154+"$F;@!0pz"</f>
        <v>#VALUE!</v>
      </c>
      <c r="EY304" t="e">
        <f>'Middle East'!F154+"$F;@!0p{"</f>
        <v>#VALUE!</v>
      </c>
      <c r="EZ304" t="e">
        <f>'Middle East'!G154+"$F;@!0p|"</f>
        <v>#VALUE!</v>
      </c>
      <c r="FA304" t="e">
        <f>'Middle East'!H154+"$F;@!0p}"</f>
        <v>#VALUE!</v>
      </c>
      <c r="FB304" t="e">
        <f>'Middle East'!A155+"$F;@!0p~"</f>
        <v>#VALUE!</v>
      </c>
      <c r="FC304" t="e">
        <f>'Middle East'!B155+"$F;@!0q#"</f>
        <v>#VALUE!</v>
      </c>
      <c r="FD304" t="e">
        <f>'Middle East'!C155+"$F;@!0q$"</f>
        <v>#VALUE!</v>
      </c>
      <c r="FE304" t="e">
        <f>'Middle East'!D155+"$F;@!0q%"</f>
        <v>#VALUE!</v>
      </c>
      <c r="FF304" t="e">
        <f>'Middle East'!E155+"$F;@!0q&amp;"</f>
        <v>#VALUE!</v>
      </c>
      <c r="FG304" t="e">
        <f>'Middle East'!F155+"$F;@!0q'"</f>
        <v>#VALUE!</v>
      </c>
      <c r="FH304" t="e">
        <f>'Middle East'!G155+"$F;@!0q("</f>
        <v>#VALUE!</v>
      </c>
      <c r="FI304" t="e">
        <f>'Middle East'!H155+"$F;@!0q)"</f>
        <v>#VALUE!</v>
      </c>
      <c r="FJ304" t="e">
        <f>'Middle East'!A156+"$F;@!0q."</f>
        <v>#VALUE!</v>
      </c>
      <c r="FK304" t="e">
        <f>'Middle East'!B156+"$F;@!0q/"</f>
        <v>#VALUE!</v>
      </c>
      <c r="FL304" t="e">
        <f>'Middle East'!C156+"$F;@!0q0"</f>
        <v>#VALUE!</v>
      </c>
      <c r="FM304" t="e">
        <f>'Middle East'!D156+"$F;@!0q1"</f>
        <v>#VALUE!</v>
      </c>
      <c r="FN304" t="e">
        <f>'Middle East'!E156+"$F;@!0q2"</f>
        <v>#VALUE!</v>
      </c>
      <c r="FO304" t="e">
        <f>'Middle East'!F156+"$F;@!0q3"</f>
        <v>#VALUE!</v>
      </c>
      <c r="FP304" t="e">
        <f>'Middle East'!G156+"$F;@!0q4"</f>
        <v>#VALUE!</v>
      </c>
      <c r="FQ304" t="e">
        <f>'Middle East'!H156+"$F;@!0q5"</f>
        <v>#VALUE!</v>
      </c>
      <c r="FR304" t="e">
        <f>'Middle East'!A157+"$F;@!0q6"</f>
        <v>#VALUE!</v>
      </c>
      <c r="FS304" t="e">
        <f>'Middle East'!B157+"$F;@!0q7"</f>
        <v>#VALUE!</v>
      </c>
      <c r="FT304" t="e">
        <f>'Middle East'!C157+"$F;@!0q8"</f>
        <v>#VALUE!</v>
      </c>
      <c r="FU304" t="e">
        <f>'Middle East'!D157+"$F;@!0q9"</f>
        <v>#VALUE!</v>
      </c>
      <c r="FV304" t="e">
        <f>'Middle East'!E157+"$F;@!0q:"</f>
        <v>#VALUE!</v>
      </c>
      <c r="FW304" t="e">
        <f>'Middle East'!F157+"$F;@!0q;"</f>
        <v>#VALUE!</v>
      </c>
      <c r="FX304" t="e">
        <f>'Middle East'!G157+"$F;@!0q&lt;"</f>
        <v>#VALUE!</v>
      </c>
      <c r="FY304" t="e">
        <f>'Middle East'!H157+"$F;@!0q="</f>
        <v>#VALUE!</v>
      </c>
      <c r="FZ304" t="e">
        <f>'Middle East'!A158+"$F;@!0q&gt;"</f>
        <v>#VALUE!</v>
      </c>
      <c r="GA304" t="e">
        <f>'Middle East'!B158+"$F;@!0q?"</f>
        <v>#VALUE!</v>
      </c>
      <c r="GB304" t="e">
        <f>'Middle East'!C158+"$F;@!0q@"</f>
        <v>#VALUE!</v>
      </c>
      <c r="GC304" t="e">
        <f>'Middle East'!D158+"$F;@!0qA"</f>
        <v>#VALUE!</v>
      </c>
      <c r="GD304" t="e">
        <f>'Middle East'!E158+"$F;@!0qB"</f>
        <v>#VALUE!</v>
      </c>
      <c r="GE304" t="e">
        <f>'Middle East'!F158+"$F;@!0qC"</f>
        <v>#VALUE!</v>
      </c>
      <c r="GF304" t="e">
        <f>'Middle East'!G158+"$F;@!0qD"</f>
        <v>#VALUE!</v>
      </c>
      <c r="GG304" t="e">
        <f>'Middle East'!H158+"$F;@!0qE"</f>
        <v>#VALUE!</v>
      </c>
      <c r="GH304" t="e">
        <f>'Middle East'!A159+"$F;@!0qF"</f>
        <v>#VALUE!</v>
      </c>
      <c r="GI304" t="e">
        <f>'Middle East'!B159+"$F;@!0qG"</f>
        <v>#VALUE!</v>
      </c>
      <c r="GJ304" t="e">
        <f>'Middle East'!C159+"$F;@!0qH"</f>
        <v>#VALUE!</v>
      </c>
      <c r="GK304" t="e">
        <f>'Middle East'!D159+"$F;@!0qI"</f>
        <v>#VALUE!</v>
      </c>
      <c r="GL304" t="e">
        <f>'Middle East'!E159+"$F;@!0qJ"</f>
        <v>#VALUE!</v>
      </c>
      <c r="GM304" t="e">
        <f>'Middle East'!F159+"$F;@!0qK"</f>
        <v>#VALUE!</v>
      </c>
      <c r="GN304" t="e">
        <f>'Middle East'!G159+"$F;@!0qL"</f>
        <v>#VALUE!</v>
      </c>
      <c r="GO304" t="e">
        <f>'Middle East'!H159+"$F;@!0qM"</f>
        <v>#VALUE!</v>
      </c>
      <c r="GP304" t="e">
        <f>'Middle East'!A160+"$F;@!0qN"</f>
        <v>#VALUE!</v>
      </c>
      <c r="GQ304" t="e">
        <f>'Middle East'!B160+"$F;@!0qO"</f>
        <v>#VALUE!</v>
      </c>
      <c r="GR304" t="e">
        <f>'Middle East'!C160+"$F;@!0qP"</f>
        <v>#VALUE!</v>
      </c>
      <c r="GS304" t="e">
        <f>'Middle East'!D160+"$F;@!0qQ"</f>
        <v>#VALUE!</v>
      </c>
      <c r="GT304" t="e">
        <f>'Middle East'!E160+"$F;@!0qR"</f>
        <v>#VALUE!</v>
      </c>
      <c r="GU304" t="e">
        <f>'Middle East'!F160+"$F;@!0qS"</f>
        <v>#VALUE!</v>
      </c>
      <c r="GV304" t="e">
        <f>'Middle East'!G160+"$F;@!0qT"</f>
        <v>#VALUE!</v>
      </c>
      <c r="GW304" t="e">
        <f>'Middle East'!H160+"$F;@!0qU"</f>
        <v>#VALUE!</v>
      </c>
      <c r="GX304" t="e">
        <f>'Middle East'!A161+"$F;@!0qV"</f>
        <v>#VALUE!</v>
      </c>
      <c r="GY304" t="e">
        <f>'Middle East'!B161+"$F;@!0qW"</f>
        <v>#VALUE!</v>
      </c>
      <c r="GZ304" t="e">
        <f>'Middle East'!C161+"$F;@!0qX"</f>
        <v>#VALUE!</v>
      </c>
      <c r="HA304" t="e">
        <f>'Middle East'!D161+"$F;@!0qY"</f>
        <v>#VALUE!</v>
      </c>
      <c r="HB304" t="e">
        <f>'Middle East'!E161+"$F;@!0qZ"</f>
        <v>#VALUE!</v>
      </c>
      <c r="HC304" t="e">
        <f>'Middle East'!F161+"$F;@!0q["</f>
        <v>#VALUE!</v>
      </c>
      <c r="HD304" t="e">
        <f>'Middle East'!G161+"$F;@!0q\"</f>
        <v>#VALUE!</v>
      </c>
      <c r="HE304" t="e">
        <f>'Middle East'!H161+"$F;@!0q]"</f>
        <v>#VALUE!</v>
      </c>
      <c r="HF304" t="e">
        <f>'Middle East'!A162+"$F;@!0q^"</f>
        <v>#VALUE!</v>
      </c>
      <c r="HG304" t="e">
        <f>'Middle East'!B162+"$F;@!0q_"</f>
        <v>#VALUE!</v>
      </c>
      <c r="HH304" t="e">
        <f>'Middle East'!C162+"$F;@!0q`"</f>
        <v>#VALUE!</v>
      </c>
      <c r="HI304" t="e">
        <f>'Middle East'!D162+"$F;@!0qa"</f>
        <v>#VALUE!</v>
      </c>
      <c r="HJ304" t="e">
        <f>'Middle East'!E162+"$F;@!0qb"</f>
        <v>#VALUE!</v>
      </c>
      <c r="HK304" t="e">
        <f>'Middle East'!F162+"$F;@!0qc"</f>
        <v>#VALUE!</v>
      </c>
      <c r="HL304" t="e">
        <f>'Middle East'!G162+"$F;@!0qd"</f>
        <v>#VALUE!</v>
      </c>
      <c r="HM304" t="e">
        <f>'Middle East'!H162+"$F;@!0qe"</f>
        <v>#VALUE!</v>
      </c>
      <c r="HN304" t="e">
        <f>'Middle East'!A163+"$F;@!0qf"</f>
        <v>#VALUE!</v>
      </c>
      <c r="HO304" t="e">
        <f>'Middle East'!B163+"$F;@!0qg"</f>
        <v>#VALUE!</v>
      </c>
      <c r="HP304" t="e">
        <f>'Middle East'!C163+"$F;@!0qh"</f>
        <v>#VALUE!</v>
      </c>
      <c r="HQ304" t="e">
        <f>'Middle East'!D163+"$F;@!0qi"</f>
        <v>#VALUE!</v>
      </c>
      <c r="HR304" t="e">
        <f>'Middle East'!E163+"$F;@!0qj"</f>
        <v>#VALUE!</v>
      </c>
      <c r="HS304" t="e">
        <f>'Middle East'!F163+"$F;@!0qk"</f>
        <v>#VALUE!</v>
      </c>
      <c r="HT304" t="e">
        <f>'Middle East'!G163+"$F;@!0ql"</f>
        <v>#VALUE!</v>
      </c>
      <c r="HU304" t="e">
        <f>'Middle East'!H163+"$F;@!0qm"</f>
        <v>#VALUE!</v>
      </c>
      <c r="HV304" t="e">
        <f>'Middle East'!A164+"$F;@!0qn"</f>
        <v>#VALUE!</v>
      </c>
      <c r="HW304" t="e">
        <f>'Middle East'!B164+"$F;@!0qo"</f>
        <v>#VALUE!</v>
      </c>
      <c r="HX304" t="e">
        <f>'Middle East'!C164+"$F;@!0qp"</f>
        <v>#VALUE!</v>
      </c>
      <c r="HY304" t="e">
        <f>'Middle East'!D164+"$F;@!0qq"</f>
        <v>#VALUE!</v>
      </c>
      <c r="HZ304" t="e">
        <f>'Middle East'!E164+"$F;@!0qr"</f>
        <v>#VALUE!</v>
      </c>
      <c r="IA304" t="e">
        <f>'Middle East'!F164+"$F;@!0qs"</f>
        <v>#VALUE!</v>
      </c>
      <c r="IB304" t="e">
        <f>'Middle East'!G164+"$F;@!0qt"</f>
        <v>#VALUE!</v>
      </c>
      <c r="IC304" t="e">
        <f>'Middle East'!H164+"$F;@!0qu"</f>
        <v>#VALUE!</v>
      </c>
      <c r="ID304" t="e">
        <f>'Middle East'!A165+"$F;@!0qv"</f>
        <v>#VALUE!</v>
      </c>
      <c r="IE304" t="e">
        <f>'Middle East'!B165+"$F;@!0qw"</f>
        <v>#VALUE!</v>
      </c>
      <c r="IF304" t="e">
        <f>'Middle East'!C165+"$F;@!0qx"</f>
        <v>#VALUE!</v>
      </c>
      <c r="IG304" t="e">
        <f>'Middle East'!D165+"$F;@!0qy"</f>
        <v>#VALUE!</v>
      </c>
      <c r="IH304" t="e">
        <f>'Middle East'!E165+"$F;@!0qz"</f>
        <v>#VALUE!</v>
      </c>
      <c r="II304" t="e">
        <f>'Middle East'!F165+"$F;@!0q{"</f>
        <v>#VALUE!</v>
      </c>
      <c r="IJ304" t="e">
        <f>'Middle East'!G165+"$F;@!0q|"</f>
        <v>#VALUE!</v>
      </c>
      <c r="IK304" t="e">
        <f>'Middle East'!H165+"$F;@!0q}"</f>
        <v>#VALUE!</v>
      </c>
      <c r="IL304" t="e">
        <f>'Middle East'!A166+"$F;@!0q~"</f>
        <v>#VALUE!</v>
      </c>
      <c r="IM304" t="e">
        <f>'Middle East'!B166+"$F;@!0r#"</f>
        <v>#VALUE!</v>
      </c>
      <c r="IN304" t="e">
        <f>'Middle East'!C166+"$F;@!0r$"</f>
        <v>#VALUE!</v>
      </c>
      <c r="IO304" t="e">
        <f>'Middle East'!D166+"$F;@!0r%"</f>
        <v>#VALUE!</v>
      </c>
      <c r="IP304" t="e">
        <f>'Middle East'!E166+"$F;@!0r&amp;"</f>
        <v>#VALUE!</v>
      </c>
      <c r="IQ304" t="e">
        <f>'Middle East'!F166+"$F;@!0r'"</f>
        <v>#VALUE!</v>
      </c>
      <c r="IR304" t="e">
        <f>'Middle East'!G166+"$F;@!0r("</f>
        <v>#VALUE!</v>
      </c>
      <c r="IS304" t="e">
        <f>'Middle East'!H166+"$F;@!0r)"</f>
        <v>#VALUE!</v>
      </c>
      <c r="IT304" t="e">
        <f>'Middle East'!A167+"$F;@!0r."</f>
        <v>#VALUE!</v>
      </c>
      <c r="IU304" t="e">
        <f>'Middle East'!B167+"$F;@!0r/"</f>
        <v>#VALUE!</v>
      </c>
      <c r="IV304" t="e">
        <f>'Middle East'!C167+"$F;@!0r0"</f>
        <v>#VALUE!</v>
      </c>
    </row>
    <row r="305" spans="6:256" x14ac:dyDescent="0.35">
      <c r="F305" t="e">
        <f>'Middle East'!D167+"$F;@!0r1"</f>
        <v>#VALUE!</v>
      </c>
      <c r="G305" t="e">
        <f>'Middle East'!E167+"$F;@!0r2"</f>
        <v>#VALUE!</v>
      </c>
      <c r="H305" t="e">
        <f>'Middle East'!F167+"$F;@!0r3"</f>
        <v>#VALUE!</v>
      </c>
      <c r="I305" t="e">
        <f>'Middle East'!G167+"$F;@!0r4"</f>
        <v>#VALUE!</v>
      </c>
      <c r="J305" t="e">
        <f>'Middle East'!H167+"$F;@!0r5"</f>
        <v>#VALUE!</v>
      </c>
      <c r="K305" t="e">
        <f>'Middle East'!A168+"$F;@!0r6"</f>
        <v>#VALUE!</v>
      </c>
      <c r="L305" t="e">
        <f>'Middle East'!B168+"$F;@!0r7"</f>
        <v>#VALUE!</v>
      </c>
      <c r="M305" t="e">
        <f>'Middle East'!C168+"$F;@!0r8"</f>
        <v>#VALUE!</v>
      </c>
      <c r="N305" t="e">
        <f>'Middle East'!D168+"$F;@!0r9"</f>
        <v>#VALUE!</v>
      </c>
      <c r="O305" t="e">
        <f>'Middle East'!E168+"$F;@!0r:"</f>
        <v>#VALUE!</v>
      </c>
      <c r="P305" t="e">
        <f>'Middle East'!F168+"$F;@!0r;"</f>
        <v>#VALUE!</v>
      </c>
      <c r="Q305" t="e">
        <f>'Middle East'!G168+"$F;@!0r&lt;"</f>
        <v>#VALUE!</v>
      </c>
      <c r="R305" t="e">
        <f>'Middle East'!H168+"$F;@!0r="</f>
        <v>#VALUE!</v>
      </c>
      <c r="S305" t="e">
        <f>'Middle East'!A169+"$F;@!0r&gt;"</f>
        <v>#VALUE!</v>
      </c>
      <c r="T305" t="e">
        <f>'Middle East'!B169+"$F;@!0r?"</f>
        <v>#VALUE!</v>
      </c>
      <c r="U305" t="e">
        <f>'Middle East'!C169+"$F;@!0r@"</f>
        <v>#VALUE!</v>
      </c>
      <c r="V305" t="e">
        <f>'Middle East'!D169+"$F;@!0rA"</f>
        <v>#VALUE!</v>
      </c>
      <c r="W305" t="e">
        <f>'Middle East'!E169+"$F;@!0rB"</f>
        <v>#VALUE!</v>
      </c>
      <c r="X305" t="e">
        <f>'Middle East'!F169+"$F;@!0rC"</f>
        <v>#VALUE!</v>
      </c>
      <c r="Y305" t="e">
        <f>'Middle East'!G169+"$F;@!0rD"</f>
        <v>#VALUE!</v>
      </c>
      <c r="Z305" t="e">
        <f>'Middle East'!H169+"$F;@!0rE"</f>
        <v>#VALUE!</v>
      </c>
      <c r="AA305" t="e">
        <f>'Middle East'!A170+"$F;@!0rF"</f>
        <v>#VALUE!</v>
      </c>
      <c r="AB305" t="e">
        <f>'Middle East'!B170+"$F;@!0rG"</f>
        <v>#VALUE!</v>
      </c>
      <c r="AC305" t="e">
        <f>'Middle East'!C170+"$F;@!0rH"</f>
        <v>#VALUE!</v>
      </c>
      <c r="AD305" t="e">
        <f>'Middle East'!D170+"$F;@!0rI"</f>
        <v>#VALUE!</v>
      </c>
      <c r="AE305" t="e">
        <f>'Middle East'!E170+"$F;@!0rJ"</f>
        <v>#VALUE!</v>
      </c>
      <c r="AF305" t="e">
        <f>'Middle East'!F170+"$F;@!0rK"</f>
        <v>#VALUE!</v>
      </c>
      <c r="AG305" t="e">
        <f>'Middle East'!G170+"$F;@!0rL"</f>
        <v>#VALUE!</v>
      </c>
      <c r="AH305" t="e">
        <f>'Middle East'!H170+"$F;@!0rM"</f>
        <v>#VALUE!</v>
      </c>
      <c r="AI305" t="e">
        <f>'Middle East'!A171+"$F;@!0rN"</f>
        <v>#VALUE!</v>
      </c>
      <c r="AJ305" t="e">
        <f>'Middle East'!B171+"$F;@!0rO"</f>
        <v>#VALUE!</v>
      </c>
      <c r="AK305" t="e">
        <f>'Middle East'!C171+"$F;@!0rP"</f>
        <v>#VALUE!</v>
      </c>
      <c r="AL305" t="e">
        <f>'Middle East'!D171+"$F;@!0rQ"</f>
        <v>#VALUE!</v>
      </c>
      <c r="AM305" t="e">
        <f>'Middle East'!E171+"$F;@!0rR"</f>
        <v>#VALUE!</v>
      </c>
      <c r="AN305" t="e">
        <f>'Middle East'!F171+"$F;@!0rS"</f>
        <v>#VALUE!</v>
      </c>
      <c r="AO305" t="e">
        <f>'Middle East'!G171+"$F;@!0rT"</f>
        <v>#VALUE!</v>
      </c>
      <c r="AP305" t="e">
        <f>'Middle East'!H171+"$F;@!0rU"</f>
        <v>#VALUE!</v>
      </c>
      <c r="AQ305" t="e">
        <f>'Middle East'!A172+"$F;@!0rV"</f>
        <v>#VALUE!</v>
      </c>
      <c r="AR305" t="e">
        <f>'Middle East'!B172+"$F;@!0rW"</f>
        <v>#VALUE!</v>
      </c>
      <c r="AS305" t="e">
        <f>'Middle East'!C172+"$F;@!0rX"</f>
        <v>#VALUE!</v>
      </c>
      <c r="AT305" t="e">
        <f>'Middle East'!D172+"$F;@!0rY"</f>
        <v>#VALUE!</v>
      </c>
      <c r="AU305" t="e">
        <f>'Middle East'!E172+"$F;@!0rZ"</f>
        <v>#VALUE!</v>
      </c>
      <c r="AV305" t="e">
        <f>'Middle East'!F172+"$F;@!0r["</f>
        <v>#VALUE!</v>
      </c>
      <c r="AW305" t="e">
        <f>'Middle East'!G172+"$F;@!0r\"</f>
        <v>#VALUE!</v>
      </c>
      <c r="AX305" t="e">
        <f>'Middle East'!H172+"$F;@!0r]"</f>
        <v>#VALUE!</v>
      </c>
      <c r="AY305" t="e">
        <f>'Middle East'!A173+"$F;@!0r^"</f>
        <v>#VALUE!</v>
      </c>
      <c r="AZ305" t="e">
        <f>'Middle East'!B173+"$F;@!0r_"</f>
        <v>#VALUE!</v>
      </c>
      <c r="BA305" t="e">
        <f>'Middle East'!C173+"$F;@!0r`"</f>
        <v>#VALUE!</v>
      </c>
      <c r="BB305" t="e">
        <f>'Middle East'!D173+"$F;@!0ra"</f>
        <v>#VALUE!</v>
      </c>
      <c r="BC305" t="e">
        <f>'Middle East'!E173+"$F;@!0rb"</f>
        <v>#VALUE!</v>
      </c>
      <c r="BD305" t="e">
        <f>'Middle East'!F173+"$F;@!0rc"</f>
        <v>#VALUE!</v>
      </c>
      <c r="BE305" t="e">
        <f>'Middle East'!G173+"$F;@!0rd"</f>
        <v>#VALUE!</v>
      </c>
      <c r="BF305" t="e">
        <f>'Middle East'!H173+"$F;@!0re"</f>
        <v>#VALUE!</v>
      </c>
      <c r="BG305" t="e">
        <f>'Middle East'!A174+"$F;@!0rf"</f>
        <v>#VALUE!</v>
      </c>
      <c r="BH305" t="e">
        <f>'Middle East'!B174+"$F;@!0rg"</f>
        <v>#VALUE!</v>
      </c>
      <c r="BI305" t="e">
        <f>'Middle East'!C174+"$F;@!0rh"</f>
        <v>#VALUE!</v>
      </c>
      <c r="BJ305" t="e">
        <f>'Middle East'!D174+"$F;@!0ri"</f>
        <v>#VALUE!</v>
      </c>
      <c r="BK305" t="e">
        <f>'Middle East'!E174+"$F;@!0rj"</f>
        <v>#VALUE!</v>
      </c>
      <c r="BL305" t="e">
        <f>'Middle East'!F174+"$F;@!0rk"</f>
        <v>#VALUE!</v>
      </c>
      <c r="BM305" t="e">
        <f>'Middle East'!G174+"$F;@!0rl"</f>
        <v>#VALUE!</v>
      </c>
      <c r="BN305" t="e">
        <f>'Middle East'!H174+"$F;@!0rm"</f>
        <v>#VALUE!</v>
      </c>
      <c r="BO305" t="e">
        <f>'Middle East'!A175+"$F;@!0rn"</f>
        <v>#VALUE!</v>
      </c>
      <c r="BP305" t="e">
        <f>'Middle East'!B175+"$F;@!0ro"</f>
        <v>#VALUE!</v>
      </c>
      <c r="BQ305" t="e">
        <f>'Middle East'!C175+"$F;@!0rp"</f>
        <v>#VALUE!</v>
      </c>
      <c r="BR305" t="e">
        <f>'Middle East'!D175+"$F;@!0rq"</f>
        <v>#VALUE!</v>
      </c>
      <c r="BS305" t="e">
        <f>'Middle East'!E175+"$F;@!0rr"</f>
        <v>#VALUE!</v>
      </c>
      <c r="BT305" t="e">
        <f>'Middle East'!F175+"$F;@!0rs"</f>
        <v>#VALUE!</v>
      </c>
      <c r="BU305" t="e">
        <f>'Middle East'!G175+"$F;@!0rt"</f>
        <v>#VALUE!</v>
      </c>
      <c r="BV305" t="e">
        <f>'Middle East'!H175+"$F;@!0ru"</f>
        <v>#VALUE!</v>
      </c>
      <c r="BW305" t="e">
        <f>'Middle East'!A176+"$F;@!0rv"</f>
        <v>#VALUE!</v>
      </c>
      <c r="BX305" t="e">
        <f>'Middle East'!B176+"$F;@!0rw"</f>
        <v>#VALUE!</v>
      </c>
      <c r="BY305" t="e">
        <f>'Middle East'!C176+"$F;@!0rx"</f>
        <v>#VALUE!</v>
      </c>
      <c r="BZ305" t="e">
        <f>'Middle East'!D176+"$F;@!0ry"</f>
        <v>#VALUE!</v>
      </c>
      <c r="CA305" t="e">
        <f>'Middle East'!E176+"$F;@!0rz"</f>
        <v>#VALUE!</v>
      </c>
      <c r="CB305" t="e">
        <f>'Middle East'!F176+"$F;@!0r{"</f>
        <v>#VALUE!</v>
      </c>
      <c r="CC305" t="e">
        <f>'Middle East'!G176+"$F;@!0r|"</f>
        <v>#VALUE!</v>
      </c>
      <c r="CD305" t="e">
        <f>'Middle East'!H176+"$F;@!0r}"</f>
        <v>#VALUE!</v>
      </c>
      <c r="CE305" t="e">
        <f>'Middle East'!A177+"$F;@!0r~"</f>
        <v>#VALUE!</v>
      </c>
      <c r="CF305" t="e">
        <f>'Middle East'!B177+"$F;@!0s#"</f>
        <v>#VALUE!</v>
      </c>
      <c r="CG305" t="e">
        <f>'Middle East'!C177+"$F;@!0s$"</f>
        <v>#VALUE!</v>
      </c>
      <c r="CH305" t="e">
        <f>'Middle East'!D177+"$F;@!0s%"</f>
        <v>#VALUE!</v>
      </c>
      <c r="CI305" t="e">
        <f>'Middle East'!E177+"$F;@!0s&amp;"</f>
        <v>#VALUE!</v>
      </c>
      <c r="CJ305" t="e">
        <f>'Middle East'!F177+"$F;@!0s'"</f>
        <v>#VALUE!</v>
      </c>
      <c r="CK305" t="e">
        <f>'Middle East'!G177+"$F;@!0s("</f>
        <v>#VALUE!</v>
      </c>
      <c r="CL305" t="e">
        <f>'Middle East'!H177+"$F;@!0s)"</f>
        <v>#VALUE!</v>
      </c>
      <c r="CM305" t="e">
        <f>'Middle East'!A178+"$F;@!0s."</f>
        <v>#VALUE!</v>
      </c>
      <c r="CN305" t="e">
        <f>'Middle East'!B178+"$F;@!0s/"</f>
        <v>#VALUE!</v>
      </c>
      <c r="CO305" t="e">
        <f>'Middle East'!C178+"$F;@!0s0"</f>
        <v>#VALUE!</v>
      </c>
      <c r="CP305" t="e">
        <f>'Middle East'!D178+"$F;@!0s1"</f>
        <v>#VALUE!</v>
      </c>
      <c r="CQ305" t="e">
        <f>'Middle East'!E178+"$F;@!0s2"</f>
        <v>#VALUE!</v>
      </c>
      <c r="CR305" t="e">
        <f>'Middle East'!F178+"$F;@!0s3"</f>
        <v>#VALUE!</v>
      </c>
      <c r="CS305" t="e">
        <f>'Middle East'!G178+"$F;@!0s4"</f>
        <v>#VALUE!</v>
      </c>
      <c r="CT305" t="e">
        <f>'Middle East'!H178+"$F;@!0s5"</f>
        <v>#VALUE!</v>
      </c>
      <c r="CU305" t="e">
        <f>'Middle East'!A179+"$F;@!0s6"</f>
        <v>#VALUE!</v>
      </c>
      <c r="CV305" t="e">
        <f>'Middle East'!B179+"$F;@!0s7"</f>
        <v>#VALUE!</v>
      </c>
      <c r="CW305" t="e">
        <f>'Middle East'!C179+"$F;@!0s8"</f>
        <v>#VALUE!</v>
      </c>
      <c r="CX305" t="e">
        <f>'Middle East'!D179+"$F;@!0s9"</f>
        <v>#VALUE!</v>
      </c>
      <c r="CY305" t="e">
        <f>'Middle East'!E179+"$F;@!0s:"</f>
        <v>#VALUE!</v>
      </c>
      <c r="CZ305" t="e">
        <f>'Middle East'!F179+"$F;@!0s;"</f>
        <v>#VALUE!</v>
      </c>
      <c r="DA305" t="e">
        <f>'Middle East'!G179+"$F;@!0s&lt;"</f>
        <v>#VALUE!</v>
      </c>
      <c r="DB305" t="e">
        <f>'Middle East'!H179+"$F;@!0s="</f>
        <v>#VALUE!</v>
      </c>
      <c r="DC305" t="e">
        <f>'Middle East'!A180+"$F;@!0s&gt;"</f>
        <v>#VALUE!</v>
      </c>
      <c r="DD305" t="e">
        <f>'Middle East'!B180+"$F;@!0s?"</f>
        <v>#VALUE!</v>
      </c>
      <c r="DE305" t="e">
        <f>'Middle East'!C180+"$F;@!0s@"</f>
        <v>#VALUE!</v>
      </c>
      <c r="DF305" t="e">
        <f>'Middle East'!D180+"$F;@!0sA"</f>
        <v>#VALUE!</v>
      </c>
      <c r="DG305" t="e">
        <f>'Middle East'!E180+"$F;@!0sB"</f>
        <v>#VALUE!</v>
      </c>
      <c r="DH305" t="e">
        <f>'Middle East'!F180+"$F;@!0sC"</f>
        <v>#VALUE!</v>
      </c>
      <c r="DI305" t="e">
        <f>'Middle East'!G180+"$F;@!0sD"</f>
        <v>#VALUE!</v>
      </c>
      <c r="DJ305" t="e">
        <f>'Middle East'!H180+"$F;@!0sE"</f>
        <v>#VALUE!</v>
      </c>
      <c r="DK305" t="e">
        <f>'Middle East'!A181+"$F;@!0sF"</f>
        <v>#VALUE!</v>
      </c>
      <c r="DL305" t="e">
        <f>'Middle East'!B181+"$F;@!0sG"</f>
        <v>#VALUE!</v>
      </c>
      <c r="DM305" t="e">
        <f>'Middle East'!C181+"$F;@!0sH"</f>
        <v>#VALUE!</v>
      </c>
      <c r="DN305" t="e">
        <f>'Middle East'!D181+"$F;@!0sI"</f>
        <v>#VALUE!</v>
      </c>
      <c r="DO305" t="e">
        <f>'Middle East'!E181+"$F;@!0sJ"</f>
        <v>#VALUE!</v>
      </c>
      <c r="DP305" t="e">
        <f>'Middle East'!F181+"$F;@!0sK"</f>
        <v>#VALUE!</v>
      </c>
      <c r="DQ305" t="e">
        <f>'Middle East'!G181+"$F;@!0sL"</f>
        <v>#VALUE!</v>
      </c>
      <c r="DR305" t="e">
        <f>'Middle East'!H181+"$F;@!0sM"</f>
        <v>#VALUE!</v>
      </c>
      <c r="DS305" t="e">
        <f>'Middle East'!A182+"$F;@!0sN"</f>
        <v>#VALUE!</v>
      </c>
      <c r="DT305" t="e">
        <f>'Middle East'!B182+"$F;@!0sO"</f>
        <v>#VALUE!</v>
      </c>
      <c r="DU305" t="e">
        <f>'Middle East'!C182+"$F;@!0sP"</f>
        <v>#VALUE!</v>
      </c>
      <c r="DV305" t="e">
        <f>'Middle East'!D182+"$F;@!0sQ"</f>
        <v>#VALUE!</v>
      </c>
      <c r="DW305" t="e">
        <f>'Middle East'!E182+"$F;@!0sR"</f>
        <v>#VALUE!</v>
      </c>
      <c r="DX305" t="e">
        <f>'Middle East'!F182+"$F;@!0sS"</f>
        <v>#VALUE!</v>
      </c>
      <c r="DY305" t="e">
        <f>'Middle East'!G182+"$F;@!0sT"</f>
        <v>#VALUE!</v>
      </c>
      <c r="DZ305" t="e">
        <f>'Middle East'!H182+"$F;@!0sU"</f>
        <v>#VALUE!</v>
      </c>
      <c r="EA305" t="e">
        <f>'Middle East'!A183+"$F;@!0sV"</f>
        <v>#VALUE!</v>
      </c>
      <c r="EB305" t="e">
        <f>'Middle East'!B183+"$F;@!0sW"</f>
        <v>#VALUE!</v>
      </c>
      <c r="EC305" t="e">
        <f>'Middle East'!C183+"$F;@!0sX"</f>
        <v>#VALUE!</v>
      </c>
      <c r="ED305" t="e">
        <f>'Middle East'!D183+"$F;@!0sY"</f>
        <v>#VALUE!</v>
      </c>
      <c r="EE305" t="e">
        <f>'Middle East'!E183+"$F;@!0sZ"</f>
        <v>#VALUE!</v>
      </c>
      <c r="EF305" t="e">
        <f>'Middle East'!F183+"$F;@!0s["</f>
        <v>#VALUE!</v>
      </c>
      <c r="EG305" t="e">
        <f>'Middle East'!G183+"$F;@!0s\"</f>
        <v>#VALUE!</v>
      </c>
      <c r="EH305" t="e">
        <f>'Middle East'!H183+"$F;@!0s]"</f>
        <v>#VALUE!</v>
      </c>
      <c r="EI305" t="e">
        <f>'Middle East'!A184+"$F;@!0s^"</f>
        <v>#VALUE!</v>
      </c>
      <c r="EJ305" t="e">
        <f>'Middle East'!B184+"$F;@!0s_"</f>
        <v>#VALUE!</v>
      </c>
      <c r="EK305" t="e">
        <f>'Middle East'!C184+"$F;@!0s`"</f>
        <v>#VALUE!</v>
      </c>
      <c r="EL305" t="e">
        <f>'Middle East'!D184+"$F;@!0sa"</f>
        <v>#VALUE!</v>
      </c>
      <c r="EM305" t="e">
        <f>'Middle East'!E184+"$F;@!0sb"</f>
        <v>#VALUE!</v>
      </c>
      <c r="EN305" t="e">
        <f>'Middle East'!F184+"$F;@!0sc"</f>
        <v>#VALUE!</v>
      </c>
      <c r="EO305" t="e">
        <f>'Middle East'!G184+"$F;@!0sd"</f>
        <v>#VALUE!</v>
      </c>
      <c r="EP305" t="e">
        <f>'Middle East'!H184+"$F;@!0se"</f>
        <v>#VALUE!</v>
      </c>
      <c r="EQ305" t="e">
        <f>'Middle East'!A185+"$F;@!0sf"</f>
        <v>#VALUE!</v>
      </c>
      <c r="ER305" t="e">
        <f>'Middle East'!B185+"$F;@!0sg"</f>
        <v>#VALUE!</v>
      </c>
      <c r="ES305" t="e">
        <f>'Middle East'!C185+"$F;@!0sh"</f>
        <v>#VALUE!</v>
      </c>
      <c r="ET305" t="e">
        <f>'Middle East'!D185+"$F;@!0si"</f>
        <v>#VALUE!</v>
      </c>
      <c r="EU305" t="e">
        <f>'Middle East'!E185+"$F;@!0sj"</f>
        <v>#VALUE!</v>
      </c>
      <c r="EV305" t="e">
        <f>'Middle East'!F185+"$F;@!0sk"</f>
        <v>#VALUE!</v>
      </c>
      <c r="EW305" t="e">
        <f>'Middle East'!G185+"$F;@!0sl"</f>
        <v>#VALUE!</v>
      </c>
      <c r="EX305" t="e">
        <f>'Middle East'!H185+"$F;@!0sm"</f>
        <v>#VALUE!</v>
      </c>
      <c r="EY305" t="e">
        <f>'Middle East'!A186+"$F;@!0sn"</f>
        <v>#VALUE!</v>
      </c>
      <c r="EZ305" t="e">
        <f>'Middle East'!B186+"$F;@!0so"</f>
        <v>#VALUE!</v>
      </c>
      <c r="FA305" t="e">
        <f>'Middle East'!C186+"$F;@!0sp"</f>
        <v>#VALUE!</v>
      </c>
      <c r="FB305" t="e">
        <f>'Middle East'!D186+"$F;@!0sq"</f>
        <v>#VALUE!</v>
      </c>
      <c r="FC305" t="e">
        <f>'Middle East'!E186+"$F;@!0sr"</f>
        <v>#VALUE!</v>
      </c>
      <c r="FD305" t="e">
        <f>'Middle East'!F186+"$F;@!0ss"</f>
        <v>#VALUE!</v>
      </c>
      <c r="FE305" t="e">
        <f>'Middle East'!G186+"$F;@!0st"</f>
        <v>#VALUE!</v>
      </c>
      <c r="FF305" t="e">
        <f>'Middle East'!H186+"$F;@!0su"</f>
        <v>#VALUE!</v>
      </c>
      <c r="FG305" t="e">
        <f>'Middle East'!A187+"$F;@!0sv"</f>
        <v>#VALUE!</v>
      </c>
      <c r="FH305" t="e">
        <f>'Middle East'!B187+"$F;@!0sw"</f>
        <v>#VALUE!</v>
      </c>
      <c r="FI305" t="e">
        <f>'Middle East'!C187+"$F;@!0sx"</f>
        <v>#VALUE!</v>
      </c>
      <c r="FJ305" t="e">
        <f>'Middle East'!D187+"$F;@!0sy"</f>
        <v>#VALUE!</v>
      </c>
      <c r="FK305" t="e">
        <f>'Middle East'!E187+"$F;@!0sz"</f>
        <v>#VALUE!</v>
      </c>
      <c r="FL305" t="e">
        <f>'Middle East'!F187+"$F;@!0s{"</f>
        <v>#VALUE!</v>
      </c>
      <c r="FM305" t="e">
        <f>'Middle East'!G187+"$F;@!0s|"</f>
        <v>#VALUE!</v>
      </c>
      <c r="FN305" t="e">
        <f>'Middle East'!H187+"$F;@!0s}"</f>
        <v>#VALUE!</v>
      </c>
      <c r="FO305" t="e">
        <f>'Middle East'!A188+"$F;@!0s~"</f>
        <v>#VALUE!</v>
      </c>
      <c r="FP305" t="e">
        <f>'Middle East'!B188+"$F;@!0t#"</f>
        <v>#VALUE!</v>
      </c>
      <c r="FQ305" t="e">
        <f>'Middle East'!C188+"$F;@!0t$"</f>
        <v>#VALUE!</v>
      </c>
      <c r="FR305" t="e">
        <f>'Middle East'!D188+"$F;@!0t%"</f>
        <v>#VALUE!</v>
      </c>
      <c r="FS305" t="e">
        <f>'Middle East'!E188+"$F;@!0t&amp;"</f>
        <v>#VALUE!</v>
      </c>
      <c r="FT305" t="e">
        <f>'Middle East'!F188+"$F;@!0t'"</f>
        <v>#VALUE!</v>
      </c>
      <c r="FU305" t="e">
        <f>'Middle East'!G188+"$F;@!0t("</f>
        <v>#VALUE!</v>
      </c>
      <c r="FV305" t="e">
        <f>'Middle East'!H188+"$F;@!0t)"</f>
        <v>#VALUE!</v>
      </c>
      <c r="FW305" t="e">
        <f>'Middle East'!A189+"$F;@!0t."</f>
        <v>#VALUE!</v>
      </c>
      <c r="FX305" t="e">
        <f>'Middle East'!B189+"$F;@!0t/"</f>
        <v>#VALUE!</v>
      </c>
      <c r="FY305" t="e">
        <f>'Middle East'!C189+"$F;@!0t0"</f>
        <v>#VALUE!</v>
      </c>
      <c r="FZ305" t="e">
        <f>'Middle East'!D189+"$F;@!0t1"</f>
        <v>#VALUE!</v>
      </c>
      <c r="GA305" t="e">
        <f>'Middle East'!E189+"$F;@!0t2"</f>
        <v>#VALUE!</v>
      </c>
      <c r="GB305" t="e">
        <f>'Middle East'!F189+"$F;@!0t3"</f>
        <v>#VALUE!</v>
      </c>
      <c r="GC305" t="e">
        <f>'Middle East'!G189+"$F;@!0t4"</f>
        <v>#VALUE!</v>
      </c>
      <c r="GD305" t="e">
        <f>'Middle East'!H189+"$F;@!0t5"</f>
        <v>#VALUE!</v>
      </c>
      <c r="GE305" t="e">
        <f>'Middle East'!A190+"$F;@!0t6"</f>
        <v>#VALUE!</v>
      </c>
      <c r="GF305" t="e">
        <f>'Middle East'!B190+"$F;@!0t7"</f>
        <v>#VALUE!</v>
      </c>
      <c r="GG305" t="e">
        <f>'Middle East'!C190+"$F;@!0t8"</f>
        <v>#VALUE!</v>
      </c>
      <c r="GH305" t="e">
        <f>'Middle East'!D190+"$F;@!0t9"</f>
        <v>#VALUE!</v>
      </c>
      <c r="GI305" t="e">
        <f>'Middle East'!E190+"$F;@!0t:"</f>
        <v>#VALUE!</v>
      </c>
      <c r="GJ305" t="e">
        <f>'Middle East'!F190+"$F;@!0t;"</f>
        <v>#VALUE!</v>
      </c>
      <c r="GK305" t="e">
        <f>'Middle East'!G190+"$F;@!0t&lt;"</f>
        <v>#VALUE!</v>
      </c>
      <c r="GL305" t="e">
        <f>'Middle East'!H190+"$F;@!0t="</f>
        <v>#VALUE!</v>
      </c>
      <c r="GM305" t="e">
        <f>'Middle East'!A191+"$F;@!0t&gt;"</f>
        <v>#VALUE!</v>
      </c>
      <c r="GN305" t="e">
        <f>'Middle East'!B191+"$F;@!0t?"</f>
        <v>#VALUE!</v>
      </c>
      <c r="GO305" t="e">
        <f>'Middle East'!C191+"$F;@!0t@"</f>
        <v>#VALUE!</v>
      </c>
      <c r="GP305" t="e">
        <f>'Middle East'!D191+"$F;@!0tA"</f>
        <v>#VALUE!</v>
      </c>
      <c r="GQ305" t="e">
        <f>'Middle East'!E191+"$F;@!0tB"</f>
        <v>#VALUE!</v>
      </c>
      <c r="GR305" t="e">
        <f>'Middle East'!F191+"$F;@!0tC"</f>
        <v>#VALUE!</v>
      </c>
      <c r="GS305" t="e">
        <f>'Middle East'!G191+"$F;@!0tD"</f>
        <v>#VALUE!</v>
      </c>
      <c r="GT305" t="e">
        <f>'Middle East'!H191+"$F;@!0tE"</f>
        <v>#VALUE!</v>
      </c>
      <c r="GU305" t="e">
        <f>'Middle East'!A192+"$F;@!0tF"</f>
        <v>#VALUE!</v>
      </c>
      <c r="GV305" t="e">
        <f>'Middle East'!B192+"$F;@!0tG"</f>
        <v>#VALUE!</v>
      </c>
      <c r="GW305" t="e">
        <f>'Middle East'!C192+"$F;@!0tH"</f>
        <v>#VALUE!</v>
      </c>
      <c r="GX305" t="e">
        <f>'Middle East'!D192+"$F;@!0tI"</f>
        <v>#VALUE!</v>
      </c>
      <c r="GY305" t="e">
        <f>'Middle East'!E192+"$F;@!0tJ"</f>
        <v>#VALUE!</v>
      </c>
      <c r="GZ305" t="e">
        <f>'Middle East'!F192+"$F;@!0tK"</f>
        <v>#VALUE!</v>
      </c>
      <c r="HA305" t="e">
        <f>'Middle East'!G192+"$F;@!0tL"</f>
        <v>#VALUE!</v>
      </c>
      <c r="HB305" t="e">
        <f>'Middle East'!H192+"$F;@!0tM"</f>
        <v>#VALUE!</v>
      </c>
      <c r="HC305" t="e">
        <f>'Middle East'!A193+"$F;@!0tN"</f>
        <v>#VALUE!</v>
      </c>
      <c r="HD305" t="e">
        <f>'Middle East'!B193+"$F;@!0tO"</f>
        <v>#VALUE!</v>
      </c>
      <c r="HE305" t="e">
        <f>'Middle East'!C193+"$F;@!0tP"</f>
        <v>#VALUE!</v>
      </c>
      <c r="HF305" t="e">
        <f>'Middle East'!D193+"$F;@!0tQ"</f>
        <v>#VALUE!</v>
      </c>
      <c r="HG305" t="e">
        <f>'Middle East'!E193+"$F;@!0tR"</f>
        <v>#VALUE!</v>
      </c>
      <c r="HH305" t="e">
        <f>'Middle East'!F193+"$F;@!0tS"</f>
        <v>#VALUE!</v>
      </c>
      <c r="HI305" t="e">
        <f>'Middle East'!G193+"$F;@!0tT"</f>
        <v>#VALUE!</v>
      </c>
      <c r="HJ305" t="e">
        <f>'Middle East'!H193+"$F;@!0tU"</f>
        <v>#VALUE!</v>
      </c>
      <c r="HK305" t="e">
        <f>'Middle East'!A194+"$F;@!0tV"</f>
        <v>#VALUE!</v>
      </c>
      <c r="HL305" t="e">
        <f>'Middle East'!B194+"$F;@!0tW"</f>
        <v>#VALUE!</v>
      </c>
      <c r="HM305" t="e">
        <f>'Middle East'!C194+"$F;@!0tX"</f>
        <v>#VALUE!</v>
      </c>
      <c r="HN305" t="e">
        <f>'Middle East'!D194+"$F;@!0tY"</f>
        <v>#VALUE!</v>
      </c>
      <c r="HO305" t="e">
        <f>'Middle East'!E194+"$F;@!0tZ"</f>
        <v>#VALUE!</v>
      </c>
      <c r="HP305" t="e">
        <f>'Middle East'!F194+"$F;@!0t["</f>
        <v>#VALUE!</v>
      </c>
      <c r="HQ305" t="e">
        <f>'Middle East'!G194+"$F;@!0t\"</f>
        <v>#VALUE!</v>
      </c>
      <c r="HR305" t="e">
        <f>'Middle East'!H194+"$F;@!0t]"</f>
        <v>#VALUE!</v>
      </c>
      <c r="HS305" t="e">
        <f>'Middle East'!A195+"$F;@!0t^"</f>
        <v>#VALUE!</v>
      </c>
      <c r="HT305" t="e">
        <f>'Middle East'!B195+"$F;@!0t_"</f>
        <v>#VALUE!</v>
      </c>
      <c r="HU305" t="e">
        <f>'Middle East'!C195+"$F;@!0t`"</f>
        <v>#VALUE!</v>
      </c>
      <c r="HV305" t="e">
        <f>'Middle East'!D195+"$F;@!0ta"</f>
        <v>#VALUE!</v>
      </c>
      <c r="HW305" t="e">
        <f>'Middle East'!E195+"$F;@!0tb"</f>
        <v>#VALUE!</v>
      </c>
      <c r="HX305" t="e">
        <f>'Middle East'!F195+"$F;@!0tc"</f>
        <v>#VALUE!</v>
      </c>
      <c r="HY305" t="e">
        <f>'Middle East'!G195+"$F;@!0td"</f>
        <v>#VALUE!</v>
      </c>
      <c r="HZ305" t="e">
        <f>'Middle East'!H195+"$F;@!0te"</f>
        <v>#VALUE!</v>
      </c>
      <c r="IA305" t="e">
        <f>'Middle East'!A196+"$F;@!0tf"</f>
        <v>#VALUE!</v>
      </c>
      <c r="IB305" t="e">
        <f>'Middle East'!B196+"$F;@!0tg"</f>
        <v>#VALUE!</v>
      </c>
      <c r="IC305" t="e">
        <f>'Middle East'!C196+"$F;@!0th"</f>
        <v>#VALUE!</v>
      </c>
      <c r="ID305" t="e">
        <f>'Middle East'!D196+"$F;@!0ti"</f>
        <v>#VALUE!</v>
      </c>
      <c r="IE305" t="e">
        <f>'Middle East'!E196+"$F;@!0tj"</f>
        <v>#VALUE!</v>
      </c>
      <c r="IF305" t="e">
        <f>'Middle East'!F196+"$F;@!0tk"</f>
        <v>#VALUE!</v>
      </c>
      <c r="IG305" t="e">
        <f>'Middle East'!G196+"$F;@!0tl"</f>
        <v>#VALUE!</v>
      </c>
      <c r="IH305" t="e">
        <f>'Middle East'!H196+"$F;@!0tm"</f>
        <v>#VALUE!</v>
      </c>
      <c r="II305" t="e">
        <f>'Middle East'!A197+"$F;@!0tn"</f>
        <v>#VALUE!</v>
      </c>
      <c r="IJ305" t="e">
        <f>'Middle East'!B197+"$F;@!0to"</f>
        <v>#VALUE!</v>
      </c>
      <c r="IK305" t="e">
        <f>'Middle East'!C197+"$F;@!0tp"</f>
        <v>#VALUE!</v>
      </c>
      <c r="IL305" t="e">
        <f>'Middle East'!D197+"$F;@!0tq"</f>
        <v>#VALUE!</v>
      </c>
      <c r="IM305" t="e">
        <f>'Middle East'!E197+"$F;@!0tr"</f>
        <v>#VALUE!</v>
      </c>
      <c r="IN305" t="e">
        <f>'Middle East'!F197+"$F;@!0ts"</f>
        <v>#VALUE!</v>
      </c>
      <c r="IO305" t="e">
        <f>'Middle East'!G197+"$F;@!0tt"</f>
        <v>#VALUE!</v>
      </c>
      <c r="IP305" t="e">
        <f>'Middle East'!H197+"$F;@!0tu"</f>
        <v>#VALUE!</v>
      </c>
      <c r="IQ305" t="e">
        <f>'Middle East'!A198+"$F;@!0tv"</f>
        <v>#VALUE!</v>
      </c>
      <c r="IR305" t="e">
        <f>'Middle East'!B198+"$F;@!0tw"</f>
        <v>#VALUE!</v>
      </c>
      <c r="IS305" t="e">
        <f>'Middle East'!C198+"$F;@!0tx"</f>
        <v>#VALUE!</v>
      </c>
      <c r="IT305" t="e">
        <f>'Middle East'!D198+"$F;@!0ty"</f>
        <v>#VALUE!</v>
      </c>
      <c r="IU305" t="e">
        <f>'Middle East'!E198+"$F;@!0tz"</f>
        <v>#VALUE!</v>
      </c>
      <c r="IV305" t="e">
        <f>'Middle East'!F198+"$F;@!0t{"</f>
        <v>#VALUE!</v>
      </c>
    </row>
    <row r="306" spans="6:256" x14ac:dyDescent="0.35">
      <c r="F306" t="e">
        <f>'Middle East'!G198+"$F;@!0t|"</f>
        <v>#VALUE!</v>
      </c>
      <c r="G306" t="e">
        <f>'Middle East'!H198+"$F;@!0t}"</f>
        <v>#VALUE!</v>
      </c>
      <c r="H306" t="e">
        <f>'Middle East'!A199+"$F;@!0t~"</f>
        <v>#VALUE!</v>
      </c>
      <c r="I306" t="e">
        <f>'Middle East'!B199+"$F;@!0u#"</f>
        <v>#VALUE!</v>
      </c>
      <c r="J306" t="e">
        <f>'Middle East'!C199+"$F;@!0u$"</f>
        <v>#VALUE!</v>
      </c>
      <c r="K306" t="e">
        <f>'Middle East'!D199+"$F;@!0u%"</f>
        <v>#VALUE!</v>
      </c>
      <c r="L306" t="e">
        <f>'Middle East'!E199+"$F;@!0u&amp;"</f>
        <v>#VALUE!</v>
      </c>
      <c r="M306" t="e">
        <f>'Middle East'!F199+"$F;@!0u'"</f>
        <v>#VALUE!</v>
      </c>
      <c r="N306" t="e">
        <f>'Middle East'!G199+"$F;@!0u("</f>
        <v>#VALUE!</v>
      </c>
      <c r="O306" t="e">
        <f>'Middle East'!H199+"$F;@!0u)"</f>
        <v>#VALUE!</v>
      </c>
      <c r="P306" t="e">
        <f>'Middle East'!A200+"$F;@!0u."</f>
        <v>#VALUE!</v>
      </c>
      <c r="Q306" t="e">
        <f>'Middle East'!B200+"$F;@!0u/"</f>
        <v>#VALUE!</v>
      </c>
      <c r="R306" t="e">
        <f>'Middle East'!C200+"$F;@!0u0"</f>
        <v>#VALUE!</v>
      </c>
      <c r="S306" t="e">
        <f>'Middle East'!D200+"$F;@!0u1"</f>
        <v>#VALUE!</v>
      </c>
      <c r="T306" t="e">
        <f>'Middle East'!E200+"$F;@!0u2"</f>
        <v>#VALUE!</v>
      </c>
      <c r="U306" t="e">
        <f>'Middle East'!F200+"$F;@!0u3"</f>
        <v>#VALUE!</v>
      </c>
      <c r="V306" t="e">
        <f>'Middle East'!G200+"$F;@!0u4"</f>
        <v>#VALUE!</v>
      </c>
      <c r="W306" t="e">
        <f>'Middle East'!H200+"$F;@!0u5"</f>
        <v>#VALUE!</v>
      </c>
      <c r="X306" t="e">
        <f>'Middle East'!A201+"$F;@!0u6"</f>
        <v>#VALUE!</v>
      </c>
      <c r="Y306" t="e">
        <f>'Middle East'!B201+"$F;@!0u7"</f>
        <v>#VALUE!</v>
      </c>
      <c r="Z306" t="e">
        <f>'Middle East'!C201+"$F;@!0u8"</f>
        <v>#VALUE!</v>
      </c>
      <c r="AA306" t="e">
        <f>'Middle East'!D201+"$F;@!0u9"</f>
        <v>#VALUE!</v>
      </c>
      <c r="AB306" t="e">
        <f>'Middle East'!E201+"$F;@!0u:"</f>
        <v>#VALUE!</v>
      </c>
      <c r="AC306" t="e">
        <f>'Middle East'!F201+"$F;@!0u;"</f>
        <v>#VALUE!</v>
      </c>
      <c r="AD306" t="e">
        <f>'Middle East'!G201+"$F;@!0u&lt;"</f>
        <v>#VALUE!</v>
      </c>
      <c r="AE306" t="e">
        <f>'Middle East'!H201+"$F;@!0u="</f>
        <v>#VALUE!</v>
      </c>
      <c r="AF306" t="e">
        <f>'Middle East'!A202+"$F;@!0u&gt;"</f>
        <v>#VALUE!</v>
      </c>
      <c r="AG306" t="e">
        <f>'Middle East'!B202+"$F;@!0u?"</f>
        <v>#VALUE!</v>
      </c>
      <c r="AH306" t="e">
        <f>'Middle East'!C202+"$F;@!0u@"</f>
        <v>#VALUE!</v>
      </c>
      <c r="AI306" t="e">
        <f>'Middle East'!D202+"$F;@!0uA"</f>
        <v>#VALUE!</v>
      </c>
      <c r="AJ306" t="e">
        <f>'Middle East'!E202+"$F;@!0uB"</f>
        <v>#VALUE!</v>
      </c>
      <c r="AK306" t="e">
        <f>'Middle East'!F202+"$F;@!0uC"</f>
        <v>#VALUE!</v>
      </c>
      <c r="AL306" t="e">
        <f>'Middle East'!G202+"$F;@!0uD"</f>
        <v>#VALUE!</v>
      </c>
      <c r="AM306" t="e">
        <f>'Middle East'!H202+"$F;@!0uE"</f>
        <v>#VALUE!</v>
      </c>
      <c r="AN306" t="e">
        <f>'Middle East'!A203+"$F;@!0uF"</f>
        <v>#VALUE!</v>
      </c>
      <c r="AO306" t="e">
        <f>'Middle East'!B203+"$F;@!0uG"</f>
        <v>#VALUE!</v>
      </c>
      <c r="AP306" t="e">
        <f>'Middle East'!C203+"$F;@!0uH"</f>
        <v>#VALUE!</v>
      </c>
      <c r="AQ306" t="e">
        <f>'Middle East'!D203+"$F;@!0uI"</f>
        <v>#VALUE!</v>
      </c>
      <c r="AR306" t="e">
        <f>'Middle East'!E203+"$F;@!0uJ"</f>
        <v>#VALUE!</v>
      </c>
      <c r="AS306" t="e">
        <f>'Middle East'!F203+"$F;@!0uK"</f>
        <v>#VALUE!</v>
      </c>
      <c r="AT306" t="e">
        <f>'Middle East'!G203+"$F;@!0uL"</f>
        <v>#VALUE!</v>
      </c>
      <c r="AU306" t="e">
        <f>'Middle East'!H203+"$F;@!0uM"</f>
        <v>#VALUE!</v>
      </c>
      <c r="AV306" t="e">
        <f>'Middle East'!A204+"$F;@!0uN"</f>
        <v>#VALUE!</v>
      </c>
      <c r="AW306" t="e">
        <f>'Middle East'!B204+"$F;@!0uO"</f>
        <v>#VALUE!</v>
      </c>
      <c r="AX306" t="e">
        <f>'Middle East'!C204+"$F;@!0uP"</f>
        <v>#VALUE!</v>
      </c>
      <c r="AY306" t="e">
        <f>'Middle East'!D204+"$F;@!0uQ"</f>
        <v>#VALUE!</v>
      </c>
      <c r="AZ306" t="e">
        <f>'Middle East'!E204+"$F;@!0uR"</f>
        <v>#VALUE!</v>
      </c>
      <c r="BA306" t="e">
        <f>'Middle East'!F204+"$F;@!0uS"</f>
        <v>#VALUE!</v>
      </c>
      <c r="BB306" t="e">
        <f>'Middle East'!G204+"$F;@!0uT"</f>
        <v>#VALUE!</v>
      </c>
      <c r="BC306" t="e">
        <f>'Middle East'!H204+"$F;@!0uU"</f>
        <v>#VALUE!</v>
      </c>
      <c r="BD306" t="e">
        <f>'Middle East'!A205+"$F;@!0uV"</f>
        <v>#VALUE!</v>
      </c>
      <c r="BE306" t="e">
        <f>'Middle East'!B205+"$F;@!0uW"</f>
        <v>#VALUE!</v>
      </c>
      <c r="BF306" t="e">
        <f>'Middle East'!C205+"$F;@!0uX"</f>
        <v>#VALUE!</v>
      </c>
      <c r="BG306" t="e">
        <f>'Middle East'!D205+"$F;@!0uY"</f>
        <v>#VALUE!</v>
      </c>
      <c r="BH306" t="e">
        <f>'Middle East'!E205+"$F;@!0uZ"</f>
        <v>#VALUE!</v>
      </c>
      <c r="BI306" t="e">
        <f>'Middle East'!F205+"$F;@!0u["</f>
        <v>#VALUE!</v>
      </c>
      <c r="BJ306" t="e">
        <f>'Middle East'!G205+"$F;@!0u\"</f>
        <v>#VALUE!</v>
      </c>
      <c r="BK306" t="e">
        <f>'Middle East'!H205+"$F;@!0u]"</f>
        <v>#VALUE!</v>
      </c>
      <c r="BL306" t="e">
        <f>'Middle East'!A206+"$F;@!0u^"</f>
        <v>#VALUE!</v>
      </c>
      <c r="BM306" t="e">
        <f>'Middle East'!B206+"$F;@!0u_"</f>
        <v>#VALUE!</v>
      </c>
      <c r="BN306" t="e">
        <f>'Middle East'!C206+"$F;@!0u`"</f>
        <v>#VALUE!</v>
      </c>
      <c r="BO306" t="e">
        <f>'Middle East'!D206+"$F;@!0ua"</f>
        <v>#VALUE!</v>
      </c>
      <c r="BP306" t="e">
        <f>'Middle East'!E206+"$F;@!0ub"</f>
        <v>#VALUE!</v>
      </c>
      <c r="BQ306" t="e">
        <f>'Middle East'!F206+"$F;@!0uc"</f>
        <v>#VALUE!</v>
      </c>
      <c r="BR306" t="e">
        <f>'Middle East'!G206+"$F;@!0ud"</f>
        <v>#VALUE!</v>
      </c>
      <c r="BS306" t="e">
        <f>'Middle East'!H206+"$F;@!0ue"</f>
        <v>#VALUE!</v>
      </c>
      <c r="BT306" t="e">
        <f>'Middle East'!A207+"$F;@!0uf"</f>
        <v>#VALUE!</v>
      </c>
      <c r="BU306" t="e">
        <f>'Middle East'!B207+"$F;@!0ug"</f>
        <v>#VALUE!</v>
      </c>
      <c r="BV306" t="e">
        <f>'Middle East'!C207+"$F;@!0uh"</f>
        <v>#VALUE!</v>
      </c>
      <c r="BW306" t="e">
        <f>'Middle East'!D207+"$F;@!0ui"</f>
        <v>#VALUE!</v>
      </c>
      <c r="BX306" t="e">
        <f>'Middle East'!E207+"$F;@!0uj"</f>
        <v>#VALUE!</v>
      </c>
      <c r="BY306" t="e">
        <f>'Middle East'!F207+"$F;@!0uk"</f>
        <v>#VALUE!</v>
      </c>
      <c r="BZ306" t="e">
        <f>'Middle East'!G207+"$F;@!0ul"</f>
        <v>#VALUE!</v>
      </c>
      <c r="CA306" t="e">
        <f>'Middle East'!H207+"$F;@!0um"</f>
        <v>#VALUE!</v>
      </c>
      <c r="CB306" t="e">
        <f>'Middle East'!A208+"$F;@!0un"</f>
        <v>#VALUE!</v>
      </c>
      <c r="CC306" t="e">
        <f>'Middle East'!B208+"$F;@!0uo"</f>
        <v>#VALUE!</v>
      </c>
      <c r="CD306" t="e">
        <f>'Middle East'!C208+"$F;@!0up"</f>
        <v>#VALUE!</v>
      </c>
      <c r="CE306" t="e">
        <f>'Middle East'!D208+"$F;@!0uq"</f>
        <v>#VALUE!</v>
      </c>
      <c r="CF306" t="e">
        <f>'Middle East'!E208+"$F;@!0ur"</f>
        <v>#VALUE!</v>
      </c>
      <c r="CG306" t="e">
        <f>'Middle East'!F208+"$F;@!0us"</f>
        <v>#VALUE!</v>
      </c>
      <c r="CH306" t="e">
        <f>'Middle East'!G208+"$F;@!0ut"</f>
        <v>#VALUE!</v>
      </c>
      <c r="CI306" t="e">
        <f>'Middle East'!H208+"$F;@!0uu"</f>
        <v>#VALUE!</v>
      </c>
      <c r="CJ306" t="e">
        <f>'Middle East'!A209+"$F;@!0uv"</f>
        <v>#VALUE!</v>
      </c>
      <c r="CK306" t="e">
        <f>'Middle East'!B209+"$F;@!0uw"</f>
        <v>#VALUE!</v>
      </c>
      <c r="CL306" t="e">
        <f>'Middle East'!C209+"$F;@!0ux"</f>
        <v>#VALUE!</v>
      </c>
      <c r="CM306" t="e">
        <f>'Middle East'!D209+"$F;@!0uy"</f>
        <v>#VALUE!</v>
      </c>
      <c r="CN306" t="e">
        <f>'Middle East'!E209+"$F;@!0uz"</f>
        <v>#VALUE!</v>
      </c>
      <c r="CO306" t="e">
        <f>'Middle East'!F209+"$F;@!0u{"</f>
        <v>#VALUE!</v>
      </c>
      <c r="CP306" t="e">
        <f>'Middle East'!G209+"$F;@!0u|"</f>
        <v>#VALUE!</v>
      </c>
      <c r="CQ306" t="e">
        <f>'Middle East'!H209+"$F;@!0u}"</f>
        <v>#VALUE!</v>
      </c>
      <c r="CR306" t="e">
        <f>'Middle East'!A:A*"$F;@!0u~"</f>
        <v>#VALUE!</v>
      </c>
      <c r="CS306" t="e">
        <f>'Middle East'!B:B*"$F;@!0v#"</f>
        <v>#VALUE!</v>
      </c>
      <c r="CT306" t="e">
        <f>'Middle East'!C:C*"$F;@!0v$"</f>
        <v>#VALUE!</v>
      </c>
      <c r="CU306" t="e">
        <f>'Middle East'!D:D*"$F;@!0v%"</f>
        <v>#VALUE!</v>
      </c>
      <c r="CV306" t="e">
        <f>'Middle East'!E:E*"$F;@!0v&amp;"</f>
        <v>#VALUE!</v>
      </c>
      <c r="CW306" t="e">
        <f>'Middle East'!F:F*"$F;@!0v'"</f>
        <v>#VALUE!</v>
      </c>
      <c r="CX306" t="e">
        <f>'Middle East'!G:G*"$F;@!0v("</f>
        <v>#VALUE!</v>
      </c>
      <c r="CY306" t="e">
        <f>'Middle East'!H:H*"$F;@!0v)"</f>
        <v>#VALUE!</v>
      </c>
      <c r="CZ306" t="e">
        <f>'Middle East'!I:I*"$F;@!0v."</f>
        <v>#VALUE!</v>
      </c>
      <c r="DA306" t="e">
        <f>'Middle East'!J:J*"$F;@!0v/"</f>
        <v>#VALUE!</v>
      </c>
      <c r="DB306" t="e">
        <f>'Middle East'!K:K*"$F;@!0v0"</f>
        <v>#VALUE!</v>
      </c>
      <c r="DC306" t="e">
        <f>'Middle East'!L:L*"$F;@!0v1"</f>
        <v>#VALUE!</v>
      </c>
      <c r="DD306" t="e">
        <f>'Middle East'!M:M*"$F;@!0v2"</f>
        <v>#VALUE!</v>
      </c>
      <c r="DE306" t="e">
        <f>'Middle East'!N:N*"$F;@!0v3"</f>
        <v>#VALUE!</v>
      </c>
      <c r="DF306" t="e">
        <f>'Middle East'!O:O*"$F;@!0v4"</f>
        <v>#VALUE!</v>
      </c>
      <c r="DG306" t="e">
        <f>'Middle East'!P:P*"$F;@!0v5"</f>
        <v>#VALUE!</v>
      </c>
      <c r="DH306" t="e">
        <f>'Middle East'!Q:Q*"$F;@!0v6"</f>
        <v>#VALUE!</v>
      </c>
      <c r="DI306" t="e">
        <f>'Middle East'!R:R*"$F;@!0v7"</f>
        <v>#VALUE!</v>
      </c>
      <c r="DJ306" t="e">
        <f>'Middle East'!S:S*"$F;@!0v8"</f>
        <v>#VALUE!</v>
      </c>
      <c r="DK306" t="e">
        <f>'Middle East'!T:T*"$F;@!0v9"</f>
        <v>#VALUE!</v>
      </c>
      <c r="DL306" t="e">
        <f>'Middle East'!U:U*"$F;@!0v:"</f>
        <v>#VALUE!</v>
      </c>
      <c r="DM306" t="e">
        <f>'Middle East'!V:V*"$F;@!0v;"</f>
        <v>#VALUE!</v>
      </c>
      <c r="DN306" t="e">
        <f>'Middle East'!W:W*"$F;@!0v&lt;"</f>
        <v>#VALUE!</v>
      </c>
      <c r="DO306" t="e">
        <f>'Middle East'!X:X*"$F;@!0v="</f>
        <v>#VALUE!</v>
      </c>
      <c r="DP306" t="e">
        <f>'Middle East'!Y:Y*"$F;@!0v&gt;"</f>
        <v>#VALUE!</v>
      </c>
      <c r="DQ306" t="e">
        <f>'Middle East'!Z:Z*"$F;@!0v?"</f>
        <v>#VALUE!</v>
      </c>
      <c r="DR306" t="e">
        <f>'Middle East'!AA:AA*"$F;@!0v@"</f>
        <v>#VALUE!</v>
      </c>
      <c r="DS306" t="e">
        <f>'Middle East'!AB:AB*"$F;@!0vA"</f>
        <v>#VALUE!</v>
      </c>
      <c r="DT306" t="e">
        <f>'Middle East'!AC:AC*"$F;@!0vB"</f>
        <v>#VALUE!</v>
      </c>
      <c r="DU306" t="e">
        <f>'Middle East'!AD:AD*"$F;@!0vC"</f>
        <v>#VALUE!</v>
      </c>
      <c r="DV306" t="e">
        <f>'Middle East'!AE:AE*"$F;@!0vD"</f>
        <v>#VALUE!</v>
      </c>
      <c r="DW306" t="e">
        <f>'Middle East'!AF:AF*"$F;@!0vE"</f>
        <v>#VALUE!</v>
      </c>
      <c r="DX306" t="e">
        <f>'Middle East'!AG:AG*"$F;@!0vF"</f>
        <v>#VALUE!</v>
      </c>
      <c r="DY306" t="e">
        <f>'Middle East'!AH:AH*"$F;@!0vG"</f>
        <v>#VALUE!</v>
      </c>
      <c r="DZ306" t="e">
        <f>'Middle East'!AI:AI*"$F;@!0vH"</f>
        <v>#VALUE!</v>
      </c>
      <c r="EA306" t="e">
        <f>'Middle East'!AJ:AJ*"$F;@!0vI"</f>
        <v>#VALUE!</v>
      </c>
      <c r="EB306" t="e">
        <f>'Middle East'!AK:AK*"$F;@!0vJ"</f>
        <v>#VALUE!</v>
      </c>
      <c r="EC306" t="e">
        <f>'Middle East'!AL:AL*"$F;@!0vK"</f>
        <v>#VALUE!</v>
      </c>
      <c r="ED306" t="e">
        <f>'Middle East'!AM:AM*"$F;@!0vL"</f>
        <v>#VALUE!</v>
      </c>
      <c r="EE306" t="e">
        <f>'Middle East'!AN:AN*"$F;@!0vM"</f>
        <v>#VALUE!</v>
      </c>
      <c r="EF306" t="e">
        <f>'Middle East'!AO:AO*"$F;@!0vN"</f>
        <v>#VALUE!</v>
      </c>
      <c r="EG306" t="e">
        <f>'Middle East'!AP:AP*"$F;@!0vO"</f>
        <v>#VALUE!</v>
      </c>
      <c r="EH306" t="e">
        <f>'Middle East'!AQ:AQ*"$F;@!0vP"</f>
        <v>#VALUE!</v>
      </c>
      <c r="EI306" t="e">
        <f>'Middle East'!AR:AR*"$F;@!0vQ"</f>
        <v>#VALUE!</v>
      </c>
      <c r="EJ306" t="e">
        <f>'Middle East'!AS:AS*"$F;@!0vR"</f>
        <v>#VALUE!</v>
      </c>
      <c r="EK306" t="e">
        <f>'Middle East'!AT:AT*"$F;@!0vS"</f>
        <v>#VALUE!</v>
      </c>
      <c r="EL306" t="e">
        <f>'Middle East'!AU:AU*"$F;@!0vT"</f>
        <v>#VALUE!</v>
      </c>
      <c r="EM306" t="e">
        <f>'Middle East'!AV:AV*"$F;@!0vU"</f>
        <v>#VALUE!</v>
      </c>
      <c r="EN306" t="e">
        <f>'Middle East'!AW:AW*"$F;@!0vV"</f>
        <v>#VALUE!</v>
      </c>
      <c r="EO306" t="e">
        <f>'Middle East'!AX:AX*"$F;@!0vW"</f>
        <v>#VALUE!</v>
      </c>
      <c r="EP306" t="e">
        <f>'Middle East'!AY:AY*"$F;@!0vX"</f>
        <v>#VALUE!</v>
      </c>
      <c r="EQ306" t="e">
        <f>'Middle East'!AZ:AZ*"$F;@!0vY"</f>
        <v>#VALUE!</v>
      </c>
      <c r="ER306" t="e">
        <f>'Middle East'!BA:BA*"$F;@!0vZ"</f>
        <v>#VALUE!</v>
      </c>
      <c r="ES306" t="e">
        <f>'Middle East'!BB:BB*"$F;@!0v["</f>
        <v>#VALUE!</v>
      </c>
      <c r="ET306" t="e">
        <f>'Middle East'!BC:BC*"$F;@!0v\"</f>
        <v>#VALUE!</v>
      </c>
      <c r="EU306" t="e">
        <f>'Middle East'!BD:BD*"$F;@!0v]"</f>
        <v>#VALUE!</v>
      </c>
      <c r="EV306" t="e">
        <f>'Middle East'!BE:BE*"$F;@!0v^"</f>
        <v>#VALUE!</v>
      </c>
      <c r="EW306" t="e">
        <f>'Middle East'!BF:BF*"$F;@!0v_"</f>
        <v>#VALUE!</v>
      </c>
      <c r="EX306" t="e">
        <f>'Middle East'!1:1-"$F;@!0v`"</f>
        <v>#VALUE!</v>
      </c>
      <c r="EY306" t="e">
        <f>'Middle East'!2:2-"$F;@!0va"</f>
        <v>#VALUE!</v>
      </c>
      <c r="EZ306" t="e">
        <f>'Middle East'!3:3-"$F;@!0vb"</f>
        <v>#VALUE!</v>
      </c>
      <c r="FA306" t="e">
        <f>'Middle East'!4:4-"$F;@!0vc"</f>
        <v>#VALUE!</v>
      </c>
      <c r="FB306" t="e">
        <f>'Middle East'!5:5-"$F;@!0vd"</f>
        <v>#VALUE!</v>
      </c>
      <c r="FC306" t="e">
        <f>'Middle East'!6:6-"$F;@!0ve"</f>
        <v>#VALUE!</v>
      </c>
      <c r="FD306" t="e">
        <f>'Middle East'!7:7-"$F;@!0vf"</f>
        <v>#VALUE!</v>
      </c>
      <c r="FE306" t="e">
        <f>'Middle East'!8:8-"$F;@!0vg"</f>
        <v>#VALUE!</v>
      </c>
      <c r="FF306" t="e">
        <f>'Middle East'!9:9-"$F;@!0vh"</f>
        <v>#VALUE!</v>
      </c>
      <c r="FG306" t="e">
        <f>'Middle East'!10:10-"$F;@!0vi"</f>
        <v>#VALUE!</v>
      </c>
      <c r="FH306" t="e">
        <f>'Middle East'!11:11-"$F;@!0vj"</f>
        <v>#VALUE!</v>
      </c>
      <c r="FI306" t="e">
        <f>'Middle East'!12:12-"$F;@!0vk"</f>
        <v>#VALUE!</v>
      </c>
      <c r="FJ306" t="e">
        <f>'Middle East'!13:13-"$F;@!0vl"</f>
        <v>#VALUE!</v>
      </c>
      <c r="FK306" t="e">
        <f>'Middle East'!14:14-"$F;@!0vm"</f>
        <v>#VALUE!</v>
      </c>
      <c r="FL306" t="e">
        <f>'Middle East'!15:15-"$F;@!0vn"</f>
        <v>#VALUE!</v>
      </c>
      <c r="FM306" t="e">
        <f>'Middle East'!16:16-"$F;@!0vo"</f>
        <v>#VALUE!</v>
      </c>
      <c r="FN306" t="e">
        <f>'Middle East'!17:17-"$F;@!0vp"</f>
        <v>#VALUE!</v>
      </c>
      <c r="FO306" t="e">
        <f>'Middle East'!18:18-"$F;@!0vq"</f>
        <v>#VALUE!</v>
      </c>
      <c r="FP306" t="e">
        <f>'Middle East'!19:19-"$F;@!0vr"</f>
        <v>#VALUE!</v>
      </c>
      <c r="FQ306" t="e">
        <f>'Middle East'!20:20-"$F;@!0vs"</f>
        <v>#VALUE!</v>
      </c>
      <c r="FR306" t="e">
        <f>'Middle East'!21:21-"$F;@!0vt"</f>
        <v>#VALUE!</v>
      </c>
      <c r="FS306" t="e">
        <f>'Middle East'!22:22-"$F;@!0vu"</f>
        <v>#VALUE!</v>
      </c>
      <c r="FT306" t="e">
        <f>'Middle East'!23:23-"$F;@!0vv"</f>
        <v>#VALUE!</v>
      </c>
      <c r="FU306" t="e">
        <f>'Middle East'!24:24-"$F;@!0vw"</f>
        <v>#VALUE!</v>
      </c>
      <c r="FV306" t="e">
        <f>'Middle East'!25:25-"$F;@!0vx"</f>
        <v>#VALUE!</v>
      </c>
      <c r="FW306" t="e">
        <f>'Middle East'!26:26-"$F;@!0vy"</f>
        <v>#VALUE!</v>
      </c>
      <c r="FX306" t="e">
        <f>'Middle East'!27:27-"$F;@!0vz"</f>
        <v>#VALUE!</v>
      </c>
      <c r="FY306" t="e">
        <f>'Middle East'!28:28-"$F;@!0v{"</f>
        <v>#VALUE!</v>
      </c>
      <c r="FZ306" t="e">
        <f>'Middle East'!29:29-"$F;@!0v|"</f>
        <v>#VALUE!</v>
      </c>
      <c r="GA306" t="e">
        <f>'Middle East'!30:30-"$F;@!0v}"</f>
        <v>#VALUE!</v>
      </c>
      <c r="GB306" t="e">
        <f>'Middle East'!31:31-"$F;@!0v~"</f>
        <v>#VALUE!</v>
      </c>
      <c r="GC306" t="e">
        <f>'Middle East'!32:32-"$F;@!0w#"</f>
        <v>#VALUE!</v>
      </c>
      <c r="GD306" t="e">
        <f>'Middle East'!33:33-"$F;@!0w$"</f>
        <v>#VALUE!</v>
      </c>
      <c r="GE306" t="e">
        <f>'Middle East'!34:34-"$F;@!0w%"</f>
        <v>#VALUE!</v>
      </c>
      <c r="GF306" t="e">
        <f>'Middle East'!35:35-"$F;@!0w&amp;"</f>
        <v>#VALUE!</v>
      </c>
      <c r="GG306" t="e">
        <f>'Middle East'!36:36-"$F;@!0w'"</f>
        <v>#VALUE!</v>
      </c>
      <c r="GH306" t="e">
        <f>'Middle East'!37:37-"$F;@!0w("</f>
        <v>#VALUE!</v>
      </c>
      <c r="GI306" t="e">
        <f>'Middle East'!38:38-"$F;@!0w)"</f>
        <v>#VALUE!</v>
      </c>
      <c r="GJ306" t="e">
        <f>'Middle East'!39:39-"$F;@!0w."</f>
        <v>#VALUE!</v>
      </c>
      <c r="GK306" t="e">
        <f>'Middle East'!40:40-"$F;@!0w/"</f>
        <v>#VALUE!</v>
      </c>
      <c r="GL306" t="e">
        <f>'Middle East'!41:41-"$F;@!0w0"</f>
        <v>#VALUE!</v>
      </c>
      <c r="GM306" t="e">
        <f>'Middle East'!42:42-"$F;@!0w1"</f>
        <v>#VALUE!</v>
      </c>
      <c r="GN306" t="e">
        <f>'Middle East'!43:43-"$F;@!0w2"</f>
        <v>#VALUE!</v>
      </c>
      <c r="GO306" t="e">
        <f>'Middle East'!44:44-"$F;@!0w3"</f>
        <v>#VALUE!</v>
      </c>
      <c r="GP306" t="e">
        <f>'Middle East'!45:45-"$F;@!0w4"</f>
        <v>#VALUE!</v>
      </c>
      <c r="GQ306" t="e">
        <f>'Middle East'!46:46-"$F;@!0w5"</f>
        <v>#VALUE!</v>
      </c>
      <c r="GR306" t="e">
        <f>'Middle East'!47:47-"$F;@!0w6"</f>
        <v>#VALUE!</v>
      </c>
      <c r="GS306" t="e">
        <f>'Middle East'!48:48-"$F;@!0w7"</f>
        <v>#VALUE!</v>
      </c>
      <c r="GT306" t="e">
        <f>'Middle East'!49:49-"$F;@!0w8"</f>
        <v>#VALUE!</v>
      </c>
      <c r="GU306" t="e">
        <f>'Middle East'!50:50-"$F;@!0w9"</f>
        <v>#VALUE!</v>
      </c>
      <c r="GV306" t="e">
        <f>'Middle East'!51:51-"$F;@!0w:"</f>
        <v>#VALUE!</v>
      </c>
      <c r="GW306" t="e">
        <f>'Middle East'!52:52-"$F;@!0w;"</f>
        <v>#VALUE!</v>
      </c>
      <c r="GX306" t="e">
        <f>'Middle East'!53:53-"$F;@!0w&lt;"</f>
        <v>#VALUE!</v>
      </c>
      <c r="GY306" t="e">
        <f>'Middle East'!54:54-"$F;@!0w="</f>
        <v>#VALUE!</v>
      </c>
      <c r="GZ306" t="e">
        <f>'Middle East'!55:55-"$F;@!0w&gt;"</f>
        <v>#VALUE!</v>
      </c>
      <c r="HA306" t="e">
        <f>'Middle East'!56:56-"$F;@!0w?"</f>
        <v>#VALUE!</v>
      </c>
      <c r="HB306" t="e">
        <f>'Middle East'!57:57-"$F;@!0w@"</f>
        <v>#VALUE!</v>
      </c>
      <c r="HC306" t="e">
        <f>'Middle East'!58:58-"$F;@!0wA"</f>
        <v>#VALUE!</v>
      </c>
      <c r="HD306" t="e">
        <f>'Middle East'!59:59-"$F;@!0wB"</f>
        <v>#VALUE!</v>
      </c>
      <c r="HE306" t="e">
        <f>'Middle East'!60:60-"$F;@!0wC"</f>
        <v>#VALUE!</v>
      </c>
      <c r="HF306" t="e">
        <f>'Middle East'!61:61-"$F;@!0wD"</f>
        <v>#VALUE!</v>
      </c>
      <c r="HG306" t="e">
        <f>'Middle East'!62:62-"$F;@!0wE"</f>
        <v>#VALUE!</v>
      </c>
      <c r="HH306" t="e">
        <f>'Middle East'!63:63-"$F;@!0wF"</f>
        <v>#VALUE!</v>
      </c>
      <c r="HI306" t="e">
        <f>'Middle East'!64:64-"$F;@!0wG"</f>
        <v>#VALUE!</v>
      </c>
      <c r="HJ306" t="e">
        <f>'Middle East'!65:65-"$F;@!0wH"</f>
        <v>#VALUE!</v>
      </c>
      <c r="HK306" t="e">
        <f>'Middle East'!66:66-"$F;@!0wI"</f>
        <v>#VALUE!</v>
      </c>
      <c r="HL306" t="e">
        <f>'Middle East'!67:67-"$F;@!0wJ"</f>
        <v>#VALUE!</v>
      </c>
      <c r="HM306" t="e">
        <f>'Middle East'!68:68-"$F;@!0wK"</f>
        <v>#VALUE!</v>
      </c>
      <c r="HN306" t="e">
        <f>'Middle East'!69:69-"$F;@!0wL"</f>
        <v>#VALUE!</v>
      </c>
      <c r="HO306" t="e">
        <f>'Middle East'!70:70-"$F;@!0wM"</f>
        <v>#VALUE!</v>
      </c>
      <c r="HP306" t="e">
        <f>'Middle East'!71:71-"$F;@!0wN"</f>
        <v>#VALUE!</v>
      </c>
      <c r="HQ306" t="e">
        <f>'Middle East'!72:72-"$F;@!0wO"</f>
        <v>#VALUE!</v>
      </c>
      <c r="HR306" t="e">
        <f>'Middle East'!73:73-"$F;@!0wP"</f>
        <v>#VALUE!</v>
      </c>
      <c r="HS306" t="e">
        <f>'Middle East'!74:74-"$F;@!0wQ"</f>
        <v>#VALUE!</v>
      </c>
      <c r="HT306" t="e">
        <f>'Middle East'!75:75-"$F;@!0wR"</f>
        <v>#VALUE!</v>
      </c>
      <c r="HU306" t="e">
        <f>'Middle East'!76:76-"$F;@!0wS"</f>
        <v>#VALUE!</v>
      </c>
      <c r="HV306" t="e">
        <f>'Middle East'!77:77-"$F;@!0wT"</f>
        <v>#VALUE!</v>
      </c>
      <c r="HW306" t="e">
        <f>'Middle East'!78:78-"$F;@!0wU"</f>
        <v>#VALUE!</v>
      </c>
      <c r="HX306" t="e">
        <f>'Middle East'!79:79-"$F;@!0wV"</f>
        <v>#VALUE!</v>
      </c>
      <c r="HY306" t="e">
        <f>'Middle East'!80:80-"$F;@!0wW"</f>
        <v>#VALUE!</v>
      </c>
      <c r="HZ306" t="e">
        <f>'Middle East'!81:81-"$F;@!0wX"</f>
        <v>#VALUE!</v>
      </c>
      <c r="IA306" t="e">
        <f>'Middle East'!82:82-"$F;@!0wY"</f>
        <v>#VALUE!</v>
      </c>
      <c r="IB306" t="e">
        <f>'Middle East'!83:83-"$F;@!0wZ"</f>
        <v>#VALUE!</v>
      </c>
      <c r="IC306" t="e">
        <f>'Middle East'!84:84-"$F;@!0w["</f>
        <v>#VALUE!</v>
      </c>
      <c r="ID306" t="e">
        <f>'Middle East'!85:85-"$F;@!0w\"</f>
        <v>#VALUE!</v>
      </c>
      <c r="IE306" t="e">
        <f>'Middle East'!86:86-"$F;@!0w]"</f>
        <v>#VALUE!</v>
      </c>
      <c r="IF306" t="e">
        <f>'Middle East'!87:87-"$F;@!0w^"</f>
        <v>#VALUE!</v>
      </c>
      <c r="IG306" t="e">
        <f>'Middle East'!88:88-"$F;@!0w_"</f>
        <v>#VALUE!</v>
      </c>
      <c r="IH306" t="e">
        <f>'Middle East'!89:89-"$F;@!0w`"</f>
        <v>#VALUE!</v>
      </c>
      <c r="II306" t="e">
        <f>'Middle East'!90:90-"$F;@!0wa"</f>
        <v>#VALUE!</v>
      </c>
      <c r="IJ306" t="e">
        <f>'Middle East'!91:91-"$F;@!0wb"</f>
        <v>#VALUE!</v>
      </c>
      <c r="IK306" t="e">
        <f>'Middle East'!92:92-"$F;@!0wc"</f>
        <v>#VALUE!</v>
      </c>
      <c r="IL306" t="e">
        <f>'Middle East'!93:93-"$F;@!0wd"</f>
        <v>#VALUE!</v>
      </c>
      <c r="IM306" t="e">
        <f>'Middle East'!94:94-"$F;@!0we"</f>
        <v>#VALUE!</v>
      </c>
      <c r="IN306" t="e">
        <f>'Middle East'!95:95-"$F;@!0wf"</f>
        <v>#VALUE!</v>
      </c>
      <c r="IO306" t="e">
        <f>'Middle East'!96:96-"$F;@!0wg"</f>
        <v>#VALUE!</v>
      </c>
      <c r="IP306" t="e">
        <f>'Middle East'!97:97-"$F;@!0wh"</f>
        <v>#VALUE!</v>
      </c>
      <c r="IQ306" t="e">
        <f>'Middle East'!98:98-"$F;@!0wi"</f>
        <v>#VALUE!</v>
      </c>
      <c r="IR306" t="e">
        <f>'Middle East'!99:99-"$F;@!0wj"</f>
        <v>#VALUE!</v>
      </c>
      <c r="IS306" t="e">
        <f>'Middle East'!100:100-"$F;@!0wk"</f>
        <v>#VALUE!</v>
      </c>
      <c r="IT306" t="e">
        <f>'Middle East'!101:101-"$F;@!0wl"</f>
        <v>#VALUE!</v>
      </c>
      <c r="IU306" t="e">
        <f>'Middle East'!102:102-"$F;@!0wm"</f>
        <v>#VALUE!</v>
      </c>
      <c r="IV306" t="e">
        <f>'Middle East'!103:103-"$F;@!0wn"</f>
        <v>#VALUE!</v>
      </c>
    </row>
    <row r="307" spans="6:256" x14ac:dyDescent="0.35">
      <c r="F307" t="e">
        <f>'Middle East'!104:104-"$F;@!0wo"</f>
        <v>#VALUE!</v>
      </c>
      <c r="G307" t="e">
        <f>'Middle East'!105:105-"$F;@!0wp"</f>
        <v>#VALUE!</v>
      </c>
      <c r="H307" t="e">
        <f>'Middle East'!106:106-"$F;@!0wq"</f>
        <v>#VALUE!</v>
      </c>
      <c r="I307" t="e">
        <f>'Middle East'!107:107-"$F;@!0wr"</f>
        <v>#VALUE!</v>
      </c>
      <c r="J307" t="e">
        <f>'Middle East'!108:108-"$F;@!0ws"</f>
        <v>#VALUE!</v>
      </c>
      <c r="K307" t="e">
        <f>'Middle East'!109:109-"$F;@!0wt"</f>
        <v>#VALUE!</v>
      </c>
      <c r="L307" t="e">
        <f>'Middle East'!110:110-"$F;@!0wu"</f>
        <v>#VALUE!</v>
      </c>
      <c r="M307" t="e">
        <f>'Middle East'!111:111-"$F;@!0wv"</f>
        <v>#VALUE!</v>
      </c>
      <c r="N307" t="e">
        <f>'Middle East'!112:112-"$F;@!0ww"</f>
        <v>#VALUE!</v>
      </c>
      <c r="O307" t="e">
        <f>'Middle East'!113:113-"$F;@!0wx"</f>
        <v>#VALUE!</v>
      </c>
      <c r="P307" t="e">
        <f>'Middle East'!114:114-"$F;@!0wy"</f>
        <v>#VALUE!</v>
      </c>
      <c r="Q307" t="e">
        <f>'Middle East'!115:115-"$F;@!0wz"</f>
        <v>#VALUE!</v>
      </c>
      <c r="R307" t="e">
        <f>'Middle East'!116:116-"$F;@!0w{"</f>
        <v>#VALUE!</v>
      </c>
      <c r="S307" t="e">
        <f>'Middle East'!117:117-"$F;@!0w|"</f>
        <v>#VALUE!</v>
      </c>
      <c r="T307" t="e">
        <f>'Middle East'!118:118-"$F;@!0w}"</f>
        <v>#VALUE!</v>
      </c>
      <c r="U307" t="e">
        <f>'Middle East'!119:119-"$F;@!0w~"</f>
        <v>#VALUE!</v>
      </c>
      <c r="V307" t="e">
        <f>'Middle East'!120:120-"$F;@!0x#"</f>
        <v>#VALUE!</v>
      </c>
      <c r="W307" t="e">
        <f>'Middle East'!121:121-"$F;@!0x$"</f>
        <v>#VALUE!</v>
      </c>
      <c r="X307" t="e">
        <f>'Middle East'!122:122-"$F;@!0x%"</f>
        <v>#VALUE!</v>
      </c>
      <c r="Y307" t="e">
        <f>'Middle East'!123:123-"$F;@!0x&amp;"</f>
        <v>#VALUE!</v>
      </c>
      <c r="Z307" t="e">
        <f>'Middle East'!124:124-"$F;@!0x'"</f>
        <v>#VALUE!</v>
      </c>
      <c r="AA307" t="e">
        <f>'Middle East'!125:125-"$F;@!0x("</f>
        <v>#VALUE!</v>
      </c>
      <c r="AB307" t="e">
        <f>'Middle East'!126:126-"$F;@!0x)"</f>
        <v>#VALUE!</v>
      </c>
      <c r="AC307" t="e">
        <f>'Middle East'!127:127-"$F;@!0x."</f>
        <v>#VALUE!</v>
      </c>
      <c r="AD307" t="e">
        <f>'Middle East'!128:128-"$F;@!0x/"</f>
        <v>#VALUE!</v>
      </c>
      <c r="AE307" t="e">
        <f>'Middle East'!129:129-"$F;@!0x0"</f>
        <v>#VALUE!</v>
      </c>
      <c r="AF307" t="e">
        <f>'Middle East'!130:130-"$F;@!0x1"</f>
        <v>#VALUE!</v>
      </c>
      <c r="AG307" t="e">
        <f>'Middle East'!131:131-"$F;@!0x2"</f>
        <v>#VALUE!</v>
      </c>
      <c r="AH307" t="e">
        <f>'Middle East'!132:132-"$F;@!0x3"</f>
        <v>#VALUE!</v>
      </c>
      <c r="AI307" t="e">
        <f>'Middle East'!133:133-"$F;@!0x4"</f>
        <v>#VALUE!</v>
      </c>
      <c r="AJ307" t="e">
        <f>'Middle East'!134:134-"$F;@!0x5"</f>
        <v>#VALUE!</v>
      </c>
      <c r="AK307" t="e">
        <f>'Middle East'!135:135-"$F;@!0x6"</f>
        <v>#VALUE!</v>
      </c>
      <c r="AL307" t="e">
        <f>'Middle East'!136:136-"$F;@!0x7"</f>
        <v>#VALUE!</v>
      </c>
      <c r="AM307" t="e">
        <f>'Middle East'!137:137-"$F;@!0x8"</f>
        <v>#VALUE!</v>
      </c>
      <c r="AN307" t="e">
        <f>'Middle East'!138:138-"$F;@!0x9"</f>
        <v>#VALUE!</v>
      </c>
      <c r="AO307" t="e">
        <f>'Middle East'!139:139-"$F;@!0x:"</f>
        <v>#VALUE!</v>
      </c>
      <c r="AP307" t="e">
        <f>'Middle East'!140:140-"$F;@!0x;"</f>
        <v>#VALUE!</v>
      </c>
      <c r="AQ307" t="e">
        <f>'Middle East'!141:141-"$F;@!0x&lt;"</f>
        <v>#VALUE!</v>
      </c>
      <c r="AR307" t="e">
        <f>'Middle East'!142:142-"$F;@!0x="</f>
        <v>#VALUE!</v>
      </c>
      <c r="AS307" t="e">
        <f>'Middle East'!143:143-"$F;@!0x&gt;"</f>
        <v>#VALUE!</v>
      </c>
      <c r="AT307" t="e">
        <f>'Middle East'!144:144-"$F;@!0x?"</f>
        <v>#VALUE!</v>
      </c>
      <c r="AU307" t="e">
        <f>'Middle East'!145:145-"$F;@!0x@"</f>
        <v>#VALUE!</v>
      </c>
      <c r="AV307" t="e">
        <f>'Middle East'!146:146-"$F;@!0xA"</f>
        <v>#VALUE!</v>
      </c>
      <c r="AW307" t="e">
        <f>'Middle East'!147:147-"$F;@!0xB"</f>
        <v>#VALUE!</v>
      </c>
      <c r="AX307" t="e">
        <f>'Middle East'!148:148-"$F;@!0xC"</f>
        <v>#VALUE!</v>
      </c>
      <c r="AY307" t="e">
        <f>'Middle East'!149:149-"$F;@!0xD"</f>
        <v>#VALUE!</v>
      </c>
      <c r="AZ307" t="e">
        <f>'Middle East'!150:150-"$F;@!0xE"</f>
        <v>#VALUE!</v>
      </c>
      <c r="BA307" t="e">
        <f>'Middle East'!151:151-"$F;@!0xF"</f>
        <v>#VALUE!</v>
      </c>
      <c r="BB307" t="e">
        <f>'Middle East'!152:152-"$F;@!0xG"</f>
        <v>#VALUE!</v>
      </c>
      <c r="BC307" t="e">
        <f>'Middle East'!153:153-"$F;@!0xH"</f>
        <v>#VALUE!</v>
      </c>
      <c r="BD307" t="e">
        <f>'Middle East'!154:154-"$F;@!0xI"</f>
        <v>#VALUE!</v>
      </c>
      <c r="BE307" t="e">
        <f>'Middle East'!155:155-"$F;@!0xJ"</f>
        <v>#VALUE!</v>
      </c>
      <c r="BF307" t="e">
        <f>'Middle East'!156:156-"$F;@!0xK"</f>
        <v>#VALUE!</v>
      </c>
      <c r="BG307" t="e">
        <f>'Middle East'!157:157-"$F;@!0xL"</f>
        <v>#VALUE!</v>
      </c>
      <c r="BH307" t="e">
        <f>'Middle East'!158:158-"$F;@!0xM"</f>
        <v>#VALUE!</v>
      </c>
      <c r="BI307" t="e">
        <f>'Middle East'!159:159-"$F;@!0xN"</f>
        <v>#VALUE!</v>
      </c>
      <c r="BJ307" t="e">
        <f>'Middle East'!160:160-"$F;@!0xO"</f>
        <v>#VALUE!</v>
      </c>
      <c r="BK307" t="e">
        <f>'Middle East'!161:161-"$F;@!0xP"</f>
        <v>#VALUE!</v>
      </c>
      <c r="BL307" t="e">
        <f>'Middle East'!162:162-"$F;@!0xQ"</f>
        <v>#VALUE!</v>
      </c>
      <c r="BM307" t="e">
        <f>'Middle East'!163:163-"$F;@!0xR"</f>
        <v>#VALUE!</v>
      </c>
      <c r="BN307" t="e">
        <f>'Middle East'!164:164-"$F;@!0xS"</f>
        <v>#VALUE!</v>
      </c>
      <c r="BO307" t="e">
        <f>'Middle East'!165:165-"$F;@!0xT"</f>
        <v>#VALUE!</v>
      </c>
      <c r="BP307" t="e">
        <f>'Middle East'!166:166-"$F;@!0xU"</f>
        <v>#VALUE!</v>
      </c>
      <c r="BQ307" t="e">
        <f>'Middle East'!167:167-"$F;@!0xV"</f>
        <v>#VALUE!</v>
      </c>
      <c r="BR307" t="e">
        <f>'Middle East'!168:168-"$F;@!0xW"</f>
        <v>#VALUE!</v>
      </c>
      <c r="BS307" t="e">
        <f>'Middle East'!169:169-"$F;@!0xX"</f>
        <v>#VALUE!</v>
      </c>
      <c r="BT307" t="e">
        <f>'Middle East'!170:170-"$F;@!0xY"</f>
        <v>#VALUE!</v>
      </c>
      <c r="BU307" t="e">
        <f>'Middle East'!171:171-"$F;@!0xZ"</f>
        <v>#VALUE!</v>
      </c>
      <c r="BV307" t="e">
        <f>'Middle East'!172:172-"$F;@!0x["</f>
        <v>#VALUE!</v>
      </c>
      <c r="BW307" t="e">
        <f>'Middle East'!173:173-"$F;@!0x\"</f>
        <v>#VALUE!</v>
      </c>
      <c r="BX307" t="e">
        <f>'Middle East'!174:174-"$F;@!0x]"</f>
        <v>#VALUE!</v>
      </c>
      <c r="BY307" t="e">
        <f>'Middle East'!175:175-"$F;@!0x^"</f>
        <v>#VALUE!</v>
      </c>
      <c r="BZ307" t="e">
        <f>'Middle East'!176:176-"$F;@!0x_"</f>
        <v>#VALUE!</v>
      </c>
      <c r="CA307" t="e">
        <f>'Middle East'!177:177-"$F;@!0x`"</f>
        <v>#VALUE!</v>
      </c>
      <c r="CB307" t="e">
        <f>'Middle East'!178:178-"$F;@!0xa"</f>
        <v>#VALUE!</v>
      </c>
      <c r="CC307" t="e">
        <f>'Middle East'!179:179-"$F;@!0xb"</f>
        <v>#VALUE!</v>
      </c>
      <c r="CD307" t="e">
        <f>'Middle East'!180:180-"$F;@!0xc"</f>
        <v>#VALUE!</v>
      </c>
      <c r="CE307" t="e">
        <f>'Middle East'!181:181-"$F;@!0xd"</f>
        <v>#VALUE!</v>
      </c>
      <c r="CF307" t="e">
        <f>'Middle East'!182:182-"$F;@!0xe"</f>
        <v>#VALUE!</v>
      </c>
      <c r="CG307" t="e">
        <f>'Middle East'!183:183-"$F;@!0xf"</f>
        <v>#VALUE!</v>
      </c>
      <c r="CH307" t="e">
        <f>'Middle East'!184:184-"$F;@!0xg"</f>
        <v>#VALUE!</v>
      </c>
      <c r="CI307" t="e">
        <f>'Middle East'!185:185-"$F;@!0xh"</f>
        <v>#VALUE!</v>
      </c>
      <c r="CJ307" t="e">
        <f>'Middle East'!186:186-"$F;@!0xi"</f>
        <v>#VALUE!</v>
      </c>
      <c r="CK307" t="e">
        <f>'Middle East'!187:187-"$F;@!0xj"</f>
        <v>#VALUE!</v>
      </c>
      <c r="CL307" t="e">
        <f>'Middle East'!188:188-"$F;@!0xk"</f>
        <v>#VALUE!</v>
      </c>
      <c r="CM307" t="e">
        <f>'Middle East'!189:189-"$F;@!0xl"</f>
        <v>#VALUE!</v>
      </c>
      <c r="CN307" t="e">
        <f>'Middle East'!190:190-"$F;@!0xm"</f>
        <v>#VALUE!</v>
      </c>
      <c r="CO307" t="e">
        <f>'Middle East'!191:191-"$F;@!0xn"</f>
        <v>#VALUE!</v>
      </c>
      <c r="CP307" t="e">
        <f>'Middle East'!192:192-"$F;@!0xo"</f>
        <v>#VALUE!</v>
      </c>
      <c r="CQ307" t="e">
        <f>'Middle East'!193:193-"$F;@!0xp"</f>
        <v>#VALUE!</v>
      </c>
      <c r="CR307" t="e">
        <f>'Middle East'!194:194-"$F;@!0xq"</f>
        <v>#VALUE!</v>
      </c>
      <c r="CS307" t="e">
        <f>'Middle East'!195:195-"$F;@!0xr"</f>
        <v>#VALUE!</v>
      </c>
      <c r="CT307" t="e">
        <f>'Middle East'!196:196-"$F;@!0xs"</f>
        <v>#VALUE!</v>
      </c>
      <c r="CU307" t="e">
        <f>'Middle East'!197:197-"$F;@!0xt"</f>
        <v>#VALUE!</v>
      </c>
      <c r="CV307" t="e">
        <f>'Middle East'!198:198-"$F;@!0xu"</f>
        <v>#VALUE!</v>
      </c>
      <c r="CW307" t="e">
        <f>'Middle East'!199:199-"$F;@!0xv"</f>
        <v>#VALUE!</v>
      </c>
      <c r="CX307" t="e">
        <f>'Middle East'!200:200-"$F;@!0xw"</f>
        <v>#VALUE!</v>
      </c>
      <c r="CY307" t="e">
        <f>'Middle East'!201:201-"$F;@!0xx"</f>
        <v>#VALUE!</v>
      </c>
      <c r="CZ307" t="e">
        <f>'Middle East'!202:202-"$F;@!0xy"</f>
        <v>#VALUE!</v>
      </c>
      <c r="DA307" t="e">
        <f>'Middle East'!203:203-"$F;@!0xz"</f>
        <v>#VALUE!</v>
      </c>
      <c r="DB307" t="e">
        <f>'Middle East'!204:204-"$F;@!0x{"</f>
        <v>#VALUE!</v>
      </c>
      <c r="DC307" t="e">
        <f>'Middle East'!205:205-"$F;@!0x|"</f>
        <v>#VALUE!</v>
      </c>
      <c r="DD307" t="e">
        <f>'Middle East'!206:206-"$F;@!0x}"</f>
        <v>#VALUE!</v>
      </c>
      <c r="DE307" t="e">
        <f>'Middle East'!207:207-"$F;@!0x~"</f>
        <v>#VALUE!</v>
      </c>
      <c r="DF307" t="e">
        <f>'Middle East'!208:208-"$F;@!0y#"</f>
        <v>#VALUE!</v>
      </c>
      <c r="DG307" t="e">
        <f>'Middle East'!209:209-"$F;@!0y$"</f>
        <v>#VALUE!</v>
      </c>
      <c r="DH307" t="e">
        <f>'Middle East'!210:210-"$F;@!0y%"</f>
        <v>#VALUE!</v>
      </c>
      <c r="DI307" t="e">
        <f>'Middle East'!211:211-"$F;@!0y&amp;"</f>
        <v>#VALUE!</v>
      </c>
      <c r="DJ307" t="e">
        <f>'Middle East'!212:212-"$F;@!0y'"</f>
        <v>#VALUE!</v>
      </c>
      <c r="DK307" t="e">
        <f>'Middle East'!213:213-"$F;@!0y("</f>
        <v>#VALUE!</v>
      </c>
      <c r="DL307" t="e">
        <f>'Middle East'!214:214-"$F;@!0y)"</f>
        <v>#VALUE!</v>
      </c>
      <c r="DM307" t="e">
        <f>'Middle East'!215:215-"$F;@!0y."</f>
        <v>#VALUE!</v>
      </c>
      <c r="DN307" t="e">
        <f>'Middle East'!216:216-"$F;@!0y/"</f>
        <v>#VALUE!</v>
      </c>
      <c r="DO307" t="e">
        <f>'Middle East'!217:217-"$F;@!0y0"</f>
        <v>#VALUE!</v>
      </c>
      <c r="DP307" t="e">
        <f>'Middle East'!218:218-"$F;@!0y1"</f>
        <v>#VALUE!</v>
      </c>
      <c r="DQ307" t="e">
        <f>'Middle East'!219:219-"$F;@!0y2"</f>
        <v>#VALUE!</v>
      </c>
      <c r="DR307" t="e">
        <f>'Middle East'!220:220-"$F;@!0y3"</f>
        <v>#VALUE!</v>
      </c>
      <c r="DS307" t="e">
        <f>'Middle East'!221:221-"$F;@!0y4"</f>
        <v>#VALUE!</v>
      </c>
      <c r="DT307" t="e">
        <f>'Middle East'!222:222-"$F;@!0y5"</f>
        <v>#VALUE!</v>
      </c>
      <c r="DU307" t="e">
        <f>'Middle East'!223:223-"$F;@!0y6"</f>
        <v>#VALUE!</v>
      </c>
      <c r="DV307" t="e">
        <f>'Middle East'!224:224-"$F;@!0y7"</f>
        <v>#VALUE!</v>
      </c>
      <c r="DW307" t="e">
        <f>'Middle East'!225:225-"$F;@!0y8"</f>
        <v>#VALUE!</v>
      </c>
      <c r="DX307" t="e">
        <f>'Middle East'!226:226-"$F;@!0y9"</f>
        <v>#VALUE!</v>
      </c>
      <c r="DY307" t="e">
        <f>'Middle East'!227:227-"$F;@!0y:"</f>
        <v>#VALUE!</v>
      </c>
      <c r="DZ307" t="e">
        <f>'Middle East'!228:228-"$F;@!0y;"</f>
        <v>#VALUE!</v>
      </c>
      <c r="EA307" t="e">
        <f>'Middle East'!229:229-"$F;@!0y&lt;"</f>
        <v>#VALUE!</v>
      </c>
      <c r="EB307" t="e">
        <f>'Middle East'!230:230-"$F;@!0y="</f>
        <v>#VALUE!</v>
      </c>
      <c r="EC307" t="e">
        <f>'Middle East'!231:231-"$F;@!0y&gt;"</f>
        <v>#VALUE!</v>
      </c>
      <c r="ED307" t="e">
        <f>'Middle East'!232:232-"$F;@!0y?"</f>
        <v>#VALUE!</v>
      </c>
      <c r="EE307" t="e">
        <f>'Middle East'!233:233-"$F;@!0y@"</f>
        <v>#VALUE!</v>
      </c>
      <c r="EF307" t="e">
        <f>'Middle East'!234:234-"$F;@!0yA"</f>
        <v>#VALUE!</v>
      </c>
      <c r="EG307" t="e">
        <f>'Middle East'!235:235-"$F;@!0yB"</f>
        <v>#VALUE!</v>
      </c>
      <c r="EH307" t="e">
        <f>'Middle East'!236:236-"$F;@!0yC"</f>
        <v>#VALUE!</v>
      </c>
      <c r="EI307" t="e">
        <f>'Middle East'!237:237-"$F;@!0yD"</f>
        <v>#VALUE!</v>
      </c>
      <c r="EJ307" t="e">
        <f>'Middle East'!238:238-"$F;@!0yE"</f>
        <v>#VALUE!</v>
      </c>
      <c r="EK307" t="e">
        <f>'Middle East'!239:239-"$F;@!0yF"</f>
        <v>#VALUE!</v>
      </c>
      <c r="EL307" t="e">
        <f>'Middle East'!240:240-"$F;@!0yG"</f>
        <v>#VALUE!</v>
      </c>
      <c r="EM307" t="e">
        <f>'Middle East'!241:241-"$F;@!0yH"</f>
        <v>#VALUE!</v>
      </c>
      <c r="EN307" t="e">
        <f>'Middle East'!242:242-"$F;@!0yI"</f>
        <v>#VALUE!</v>
      </c>
      <c r="EO307" t="e">
        <f>'Middle East'!243:243-"$F;@!0yJ"</f>
        <v>#VALUE!</v>
      </c>
      <c r="EP307" t="e">
        <f>'Middle East'!244:244-"$F;@!0yK"</f>
        <v>#VALUE!</v>
      </c>
      <c r="EQ307" t="e">
        <f>'Middle East'!245:245-"$F;@!0yL"</f>
        <v>#VALUE!</v>
      </c>
      <c r="ER307" t="e">
        <f>'Middle East'!246:246-"$F;@!0yM"</f>
        <v>#VALUE!</v>
      </c>
      <c r="ES307" t="e">
        <f>'Middle East'!247:247-"$F;@!0yN"</f>
        <v>#VALUE!</v>
      </c>
      <c r="ET307" t="e">
        <f>'Middle East'!248:248-"$F;@!0yO"</f>
        <v>#VALUE!</v>
      </c>
      <c r="EU307" t="e">
        <f>'Middle East'!249:249-"$F;@!0yP"</f>
        <v>#VALUE!</v>
      </c>
      <c r="EV307" t="e">
        <f>'Middle East'!250:250-"$F;@!0yQ"</f>
        <v>#VALUE!</v>
      </c>
      <c r="EW307" t="e">
        <f>'Middle East'!251:251-"$F;@!0yR"</f>
        <v>#VALUE!</v>
      </c>
      <c r="EX307" t="e">
        <f>'Middle East'!252:252-"$F;@!0yS"</f>
        <v>#VALUE!</v>
      </c>
      <c r="EY307" t="e">
        <f>'Middle East'!253:253-"$F;@!0yT"</f>
        <v>#VALUE!</v>
      </c>
      <c r="EZ307" t="e">
        <f>'Middle East'!254:254-"$F;@!0yU"</f>
        <v>#VALUE!</v>
      </c>
      <c r="FA307" t="e">
        <f>'Middle East'!255:255-"$F;@!0yV"</f>
        <v>#VALUE!</v>
      </c>
      <c r="FB307" t="e">
        <f>'Middle East'!256:256-"$F;@!0yW"</f>
        <v>#VALUE!</v>
      </c>
      <c r="FC307" t="e">
        <f>'Middle East'!257:257-"$F;@!0yX"</f>
        <v>#VALUE!</v>
      </c>
      <c r="FD307" t="e">
        <f>'Middle East'!258:258-"$F;@!0yY"</f>
        <v>#VALUE!</v>
      </c>
      <c r="FE307" t="e">
        <f>'Middle East'!259:259-"$F;@!0yZ"</f>
        <v>#VALUE!</v>
      </c>
      <c r="FF307" t="e">
        <f>'Middle East'!260:260-"$F;@!0y["</f>
        <v>#VALUE!</v>
      </c>
      <c r="FG307" t="e">
        <f>'Middle East'!261:261-"$F;@!0y\"</f>
        <v>#VALUE!</v>
      </c>
      <c r="FH307" t="e">
        <f>'Middle East'!262:262-"$F;@!0y]"</f>
        <v>#VALUE!</v>
      </c>
      <c r="FI307" t="e">
        <f>'Middle East'!263:263-"$F;@!0y^"</f>
        <v>#VALUE!</v>
      </c>
      <c r="FJ307" t="e">
        <f>'Middle East'!264:264-"$F;@!0y_"</f>
        <v>#VALUE!</v>
      </c>
      <c r="FK307" t="e">
        <f>'Middle East'!265:265-"$F;@!0y`"</f>
        <v>#VALUE!</v>
      </c>
      <c r="FL307" t="e">
        <f>'Middle East'!266:266-"$F;@!0ya"</f>
        <v>#VALUE!</v>
      </c>
      <c r="FM307" t="e">
        <f>'Middle East'!267:267-"$F;@!0yb"</f>
        <v>#VALUE!</v>
      </c>
      <c r="FN307" t="e">
        <f>'Middle East'!268:268-"$F;@!0yc"</f>
        <v>#VALUE!</v>
      </c>
      <c r="FO307" t="e">
        <f>'Middle East'!269:269-"$F;@!0yd"</f>
        <v>#VALUE!</v>
      </c>
      <c r="FP307" t="e">
        <f>'Middle East'!270:270-"$F;@!0ye"</f>
        <v>#VALUE!</v>
      </c>
      <c r="FQ307" t="e">
        <f>'Middle East'!271:271-"$F;@!0yf"</f>
        <v>#VALUE!</v>
      </c>
      <c r="FR307" t="e">
        <f>'Middle East'!272:272-"$F;@!0yg"</f>
        <v>#VALUE!</v>
      </c>
      <c r="FS307" t="e">
        <f>'Middle East'!273:273-"$F;@!0yh"</f>
        <v>#VALUE!</v>
      </c>
      <c r="FT307" t="e">
        <f>'Middle East'!274:274-"$F;@!0yi"</f>
        <v>#VALUE!</v>
      </c>
      <c r="FU307" t="e">
        <f>'Middle East'!275:275-"$F;@!0yj"</f>
        <v>#VALUE!</v>
      </c>
      <c r="FV307" t="e">
        <f>'Middle East'!276:276-"$F;@!0yk"</f>
        <v>#VALUE!</v>
      </c>
      <c r="FW307" t="e">
        <f>'Middle East'!277:277-"$F;@!0yl"</f>
        <v>#VALUE!</v>
      </c>
      <c r="FX307" t="e">
        <f>'Middle East'!278:278-"$F;@!0ym"</f>
        <v>#VALUE!</v>
      </c>
      <c r="FY307" t="e">
        <f>'Middle East'!279:279-"$F;@!0yn"</f>
        <v>#VALUE!</v>
      </c>
      <c r="FZ307" t="e">
        <f>'Middle East'!280:280-"$F;@!0yo"</f>
        <v>#VALUE!</v>
      </c>
      <c r="GA307" t="e">
        <f>'Middle East'!281:281-"$F;@!0yp"</f>
        <v>#VALUE!</v>
      </c>
      <c r="GB307" t="e">
        <f>'Middle East'!282:282-"$F;@!0yq"</f>
        <v>#VALUE!</v>
      </c>
      <c r="GC307" t="e">
        <f>'Middle East'!283:283-"$F;@!0yr"</f>
        <v>#VALUE!</v>
      </c>
      <c r="GD307" t="e">
        <f>'Middle East'!284:284-"$F;@!0ys"</f>
        <v>#VALUE!</v>
      </c>
      <c r="GE307" t="e">
        <f>'Middle East'!285:285-"$F;@!0yt"</f>
        <v>#VALUE!</v>
      </c>
      <c r="GF307" t="e">
        <f>'Middle East'!286:286-"$F;@!0yu"</f>
        <v>#VALUE!</v>
      </c>
      <c r="GG307" t="e">
        <f>'Middle East'!287:287-"$F;@!0yv"</f>
        <v>#VALUE!</v>
      </c>
      <c r="GH307" t="e">
        <f>'Middle East'!288:288-"$F;@!0yw"</f>
        <v>#VALUE!</v>
      </c>
      <c r="GI307" t="e">
        <f>'Middle East'!289:289-"$F;@!0yx"</f>
        <v>#VALUE!</v>
      </c>
      <c r="GJ307" t="e">
        <f>'Middle East'!290:290-"$F;@!0yy"</f>
        <v>#VALUE!</v>
      </c>
      <c r="GK307" t="e">
        <f>'Middle East'!291:291-"$F;@!0yz"</f>
        <v>#VALUE!</v>
      </c>
      <c r="GL307" t="e">
        <f>'Middle East'!292:292-"$F;@!0y{"</f>
        <v>#VALUE!</v>
      </c>
      <c r="GM307" t="e">
        <f>'Middle East'!293:293-"$F;@!0y|"</f>
        <v>#VALUE!</v>
      </c>
      <c r="GN307" t="e">
        <f>'Middle East'!294:294-"$F;@!0y}"</f>
        <v>#VALUE!</v>
      </c>
      <c r="GO307" t="e">
        <f>'Middle East'!295:295-"$F;@!0y~"</f>
        <v>#VALUE!</v>
      </c>
      <c r="GP307" t="e">
        <f>'Middle East'!296:296-"$F;@!0z#"</f>
        <v>#VALUE!</v>
      </c>
      <c r="GQ307" t="e">
        <f>'Middle East'!297:297-"$F;@!0z$"</f>
        <v>#VALUE!</v>
      </c>
      <c r="GR307" t="e">
        <f>'Middle East'!298:298-"$F;@!0z%"</f>
        <v>#VALUE!</v>
      </c>
      <c r="GS307" t="e">
        <f>'Middle East'!299:299-"$F;@!0z&amp;"</f>
        <v>#VALUE!</v>
      </c>
      <c r="GT307" t="e">
        <f>'Middle East'!300:300-"$F;@!0z'"</f>
        <v>#VALUE!</v>
      </c>
      <c r="GU307" t="e">
        <f>'Middle East'!301:301-"$F;@!0z("</f>
        <v>#VALUE!</v>
      </c>
      <c r="GV307" t="e">
        <f>'Middle East'!302:302-"$F;@!0z)"</f>
        <v>#VALUE!</v>
      </c>
      <c r="GW307" t="e">
        <f>'Middle East'!303:303-"$F;@!0z."</f>
        <v>#VALUE!</v>
      </c>
      <c r="GX307" t="e">
        <f>'Middle East'!304:304-"$F;@!0z/"</f>
        <v>#VALUE!</v>
      </c>
      <c r="GY307" t="e">
        <f>'Middle East'!305:305-"$F;@!0z0"</f>
        <v>#VALUE!</v>
      </c>
      <c r="GZ307" t="e">
        <f>'Middle East'!306:306-"$F;@!0z1"</f>
        <v>#VALUE!</v>
      </c>
      <c r="HA307" t="e">
        <f>'Middle East'!307:307-"$F;@!0z2"</f>
        <v>#VALUE!</v>
      </c>
      <c r="HB307" t="e">
        <f>'Middle East'!308:308-"$F;@!0z3"</f>
        <v>#VALUE!</v>
      </c>
      <c r="HC307" t="e">
        <f>'Middle East'!309:309-"$F;@!0z4"</f>
        <v>#VALUE!</v>
      </c>
      <c r="HD307" t="e">
        <f>'Middle East'!310:310-"$F;@!0z5"</f>
        <v>#VALUE!</v>
      </c>
      <c r="HE307" t="e">
        <f>'Middle East'!311:311-"$F;@!0z6"</f>
        <v>#VALUE!</v>
      </c>
      <c r="HF307" t="e">
        <f>'Middle East'!312:312-"$F;@!0z7"</f>
        <v>#VALUE!</v>
      </c>
      <c r="HG307" t="e">
        <f>'Middle East'!313:313-"$F;@!0z8"</f>
        <v>#VALUE!</v>
      </c>
      <c r="HH307" t="e">
        <f>'Middle East'!314:314-"$F;@!0z9"</f>
        <v>#VALUE!</v>
      </c>
      <c r="HI307" t="e">
        <f>'Middle East'!315:315-"$F;@!0z:"</f>
        <v>#VALUE!</v>
      </c>
      <c r="HJ307" t="e">
        <f>'Middle East'!316:316-"$F;@!0z;"</f>
        <v>#VALUE!</v>
      </c>
      <c r="HK307" t="e">
        <f>'Middle East'!317:317-"$F;@!0z&lt;"</f>
        <v>#VALUE!</v>
      </c>
      <c r="HL307" t="e">
        <f>'Middle East'!318:318-"$F;@!0z="</f>
        <v>#VALUE!</v>
      </c>
      <c r="HM307" t="e">
        <f>'Middle East'!319:319-"$F;@!0z&gt;"</f>
        <v>#VALUE!</v>
      </c>
      <c r="HN307" t="e">
        <f>'Middle East'!320:320-"$F;@!0z?"</f>
        <v>#VALUE!</v>
      </c>
      <c r="HO307" t="e">
        <f>'Middle East'!321:321-"$F;@!0z@"</f>
        <v>#VALUE!</v>
      </c>
      <c r="HP307" t="e">
        <f>'Middle East'!322:322-"$F;@!0zA"</f>
        <v>#VALUE!</v>
      </c>
      <c r="HQ307" t="e">
        <f>'Middle East'!323:323-"$F;@!0zB"</f>
        <v>#VALUE!</v>
      </c>
      <c r="HR307" t="e">
        <f>'Middle East'!324:324-"$F;@!0zC"</f>
        <v>#VALUE!</v>
      </c>
      <c r="HS307" t="e">
        <f>'Middle East'!325:325-"$F;@!0zD"</f>
        <v>#VALUE!</v>
      </c>
      <c r="HT307" t="e">
        <f>'Middle East'!326:326-"$F;@!0zE"</f>
        <v>#VALUE!</v>
      </c>
      <c r="HU307" t="e">
        <f>'Middle East'!327:327-"$F;@!0zF"</f>
        <v>#VALUE!</v>
      </c>
      <c r="HV307" t="e">
        <f>'Middle East'!328:328-"$F;@!0zG"</f>
        <v>#VALUE!</v>
      </c>
      <c r="HW307" t="e">
        <f>'Middle East'!329:329-"$F;@!0zH"</f>
        <v>#VALUE!</v>
      </c>
      <c r="HX307" t="e">
        <f>'Middle East'!330:330-"$F;@!0zI"</f>
        <v>#VALUE!</v>
      </c>
      <c r="HY307" t="e">
        <f>'Middle East'!331:331-"$F;@!0zJ"</f>
        <v>#VALUE!</v>
      </c>
      <c r="HZ307" t="e">
        <f>'Middle East'!332:332-"$F;@!0zK"</f>
        <v>#VALUE!</v>
      </c>
      <c r="IA307" t="e">
        <f>'Middle East'!333:333-"$F;@!0zL"</f>
        <v>#VALUE!</v>
      </c>
      <c r="IB307" t="e">
        <f>'Middle East'!334:334-"$F;@!0zM"</f>
        <v>#VALUE!</v>
      </c>
      <c r="IC307" t="e">
        <f>'Middle East'!335:335-"$F;@!0zN"</f>
        <v>#VALUE!</v>
      </c>
      <c r="ID307" t="e">
        <f>'Middle East'!336:336-"$F;@!0zO"</f>
        <v>#VALUE!</v>
      </c>
      <c r="IE307" t="e">
        <f>'Middle East'!337:337-"$F;@!0zP"</f>
        <v>#VALUE!</v>
      </c>
      <c r="IF307" t="e">
        <f>'Middle East'!338:338-"$F;@!0zQ"</f>
        <v>#VALUE!</v>
      </c>
      <c r="IG307" t="e">
        <f>'Middle East'!339:339-"$F;@!0zR"</f>
        <v>#VALUE!</v>
      </c>
      <c r="IH307" t="e">
        <f>'Middle East'!340:340-"$F;@!0zS"</f>
        <v>#VALUE!</v>
      </c>
      <c r="II307" t="e">
        <f>'Middle East'!341:341-"$F;@!0zT"</f>
        <v>#VALUE!</v>
      </c>
      <c r="IJ307" t="e">
        <f>'Middle East'!342:342-"$F;@!0zU"</f>
        <v>#VALUE!</v>
      </c>
      <c r="IK307" t="e">
        <f>'Middle East'!343:343-"$F;@!0zV"</f>
        <v>#VALUE!</v>
      </c>
      <c r="IL307" t="e">
        <f>'Middle East'!344:344-"$F;@!0zW"</f>
        <v>#VALUE!</v>
      </c>
      <c r="IM307" t="e">
        <f>'Middle East'!345:345-"$F;@!0zX"</f>
        <v>#VALUE!</v>
      </c>
      <c r="IN307" t="e">
        <f>'Middle East'!346:346-"$F;@!0zY"</f>
        <v>#VALUE!</v>
      </c>
      <c r="IO307" t="e">
        <f>'Middle East'!347:347-"$F;@!0zZ"</f>
        <v>#VALUE!</v>
      </c>
      <c r="IP307" t="e">
        <f>'Middle East'!348:348-"$F;@!0z["</f>
        <v>#VALUE!</v>
      </c>
      <c r="IQ307" t="e">
        <f>'Middle East'!349:349-"$F;@!0z\"</f>
        <v>#VALUE!</v>
      </c>
      <c r="IR307" t="e">
        <f>'Middle East'!350:350-"$F;@!0z]"</f>
        <v>#VALUE!</v>
      </c>
      <c r="IS307" t="e">
        <f>'Middle East'!351:351-"$F;@!0z^"</f>
        <v>#VALUE!</v>
      </c>
      <c r="IT307" t="e">
        <f>'Middle East'!352:352-"$F;@!0z_"</f>
        <v>#VALUE!</v>
      </c>
      <c r="IU307" t="e">
        <f>'Middle East'!353:353-"$F;@!0z`"</f>
        <v>#VALUE!</v>
      </c>
      <c r="IV307" t="e">
        <f>'Middle East'!354:354-"$F;@!0za"</f>
        <v>#VALUE!</v>
      </c>
    </row>
    <row r="308" spans="6:256" x14ac:dyDescent="0.35">
      <c r="F308" t="e">
        <f>'Middle East'!355:355-"$F;@!0zb"</f>
        <v>#VALUE!</v>
      </c>
      <c r="G308" t="e">
        <f>'Middle East'!356:356-"$F;@!0zc"</f>
        <v>#VALUE!</v>
      </c>
      <c r="H308" t="e">
        <f>'Middle East'!357:357-"$F;@!0zd"</f>
        <v>#VALUE!</v>
      </c>
      <c r="I308" t="e">
        <f>'Middle East'!358:358-"$F;@!0ze"</f>
        <v>#VALUE!</v>
      </c>
      <c r="J308" t="e">
        <f>'Middle East'!359:359-"$F;@!0zf"</f>
        <v>#VALUE!</v>
      </c>
      <c r="K308" t="e">
        <f>'Middle East'!360:360-"$F;@!0zg"</f>
        <v>#VALUE!</v>
      </c>
      <c r="L308" t="e">
        <f>'Middle East'!361:361-"$F;@!0zh"</f>
        <v>#VALUE!</v>
      </c>
      <c r="M308" t="e">
        <f>'Middle East'!362:362-"$F;@!0zi"</f>
        <v>#VALUE!</v>
      </c>
      <c r="N308" t="e">
        <f>'Middle East'!363:363-"$F;@!0zj"</f>
        <v>#VALUE!</v>
      </c>
      <c r="O308" t="e">
        <f>'Middle East'!364:364-"$F;@!0zk"</f>
        <v>#VALUE!</v>
      </c>
      <c r="P308" t="e">
        <f>'Middle East'!365:365-"$F;@!0zl"</f>
        <v>#VALUE!</v>
      </c>
      <c r="Q308" t="e">
        <f>'Middle East'!366:366-"$F;@!0zm"</f>
        <v>#VALUE!</v>
      </c>
      <c r="R308" t="e">
        <f>'Middle East'!367:367-"$F;@!0zn"</f>
        <v>#VALUE!</v>
      </c>
      <c r="S308" t="e">
        <f>'Middle East'!368:368-"$F;@!0zo"</f>
        <v>#VALUE!</v>
      </c>
      <c r="T308" t="e">
        <f>'Middle East'!369:369-"$F;@!0zp"</f>
        <v>#VALUE!</v>
      </c>
      <c r="U308" t="e">
        <f>'Middle East'!370:370-"$F;@!0zq"</f>
        <v>#VALUE!</v>
      </c>
      <c r="V308" t="e">
        <f>'Middle East'!371:371-"$F;@!0zr"</f>
        <v>#VALUE!</v>
      </c>
      <c r="W308" t="e">
        <f>'Middle East'!372:372-"$F;@!0zs"</f>
        <v>#VALUE!</v>
      </c>
      <c r="X308" t="e">
        <f>'Middle East'!373:373-"$F;@!0zt"</f>
        <v>#VALUE!</v>
      </c>
      <c r="Y308" t="e">
        <f>'Middle East'!374:374-"$F;@!0zu"</f>
        <v>#VALUE!</v>
      </c>
      <c r="Z308" t="e">
        <f>'Middle East'!375:375-"$F;@!0zv"</f>
        <v>#VALUE!</v>
      </c>
      <c r="AA308" t="e">
        <f>'Middle East'!376:376-"$F;@!0zw"</f>
        <v>#VALUE!</v>
      </c>
      <c r="AB308" t="e">
        <f>'Middle East'!377:377-"$F;@!0zx"</f>
        <v>#VALUE!</v>
      </c>
      <c r="AC308" t="e">
        <f>'Middle East'!378:378-"$F;@!0zy"</f>
        <v>#VALUE!</v>
      </c>
      <c r="AD308" t="e">
        <f>'Middle East'!379:379-"$F;@!0zz"</f>
        <v>#VALUE!</v>
      </c>
      <c r="AE308" t="e">
        <f>'Middle East'!380:380-"$F;@!0z{"</f>
        <v>#VALUE!</v>
      </c>
      <c r="AF308" t="e">
        <f>'Middle East'!381:381-"$F;@!0z|"</f>
        <v>#VALUE!</v>
      </c>
      <c r="AG308" t="e">
        <f>'Middle East'!382:382-"$F;@!0z}"</f>
        <v>#VALUE!</v>
      </c>
      <c r="AH308" t="e">
        <f>'Middle East'!383:383-"$F;@!0z~"</f>
        <v>#VALUE!</v>
      </c>
      <c r="AI308" t="e">
        <f>'Middle East'!384:384-"$F;@!0{#"</f>
        <v>#VALUE!</v>
      </c>
      <c r="AJ308" t="e">
        <f>'Middle East'!385:385-"$F;@!0{$"</f>
        <v>#VALUE!</v>
      </c>
      <c r="AK308" t="e">
        <f>'Middle East'!386:386-"$F;@!0{%"</f>
        <v>#VALUE!</v>
      </c>
      <c r="AL308" t="e">
        <f>'Middle East'!387:387-"$F;@!0{&amp;"</f>
        <v>#VALUE!</v>
      </c>
      <c r="AM308" t="e">
        <f>'Middle East'!388:388-"$F;@!0{'"</f>
        <v>#VALUE!</v>
      </c>
      <c r="AN308" t="e">
        <f>'Middle East'!389:389-"$F;@!0{("</f>
        <v>#VALUE!</v>
      </c>
      <c r="AO308" t="e">
        <f>'Middle East'!390:390-"$F;@!0{)"</f>
        <v>#VALUE!</v>
      </c>
      <c r="AP308" t="e">
        <f>'Middle East'!391:391-"$F;@!0{."</f>
        <v>#VALUE!</v>
      </c>
      <c r="AQ308" t="e">
        <f>'Middle East'!392:392-"$F;@!0{/"</f>
        <v>#VALUE!</v>
      </c>
      <c r="AR308" t="e">
        <f>'Middle East'!393:393-"$F;@!0{0"</f>
        <v>#VALUE!</v>
      </c>
      <c r="AS308" t="e">
        <f>'Middle East'!394:394-"$F;@!0{1"</f>
        <v>#VALUE!</v>
      </c>
      <c r="AT308" t="e">
        <f>'Middle East'!395:395-"$F;@!0{2"</f>
        <v>#VALUE!</v>
      </c>
      <c r="AU308" t="e">
        <f>'Middle East'!396:396-"$F;@!0{3"</f>
        <v>#VALUE!</v>
      </c>
      <c r="AV308" t="e">
        <f>'Middle East'!397:397-"$F;@!0{4"</f>
        <v>#VALUE!</v>
      </c>
      <c r="AW308" t="e">
        <f>'Middle East'!398:398-"$F;@!0{5"</f>
        <v>#VALUE!</v>
      </c>
      <c r="AX308" t="e">
        <f>'Middle East'!399:399-"$F;@!0{6"</f>
        <v>#VALUE!</v>
      </c>
      <c r="AY308" t="e">
        <f>'Middle East'!400:400-"$F;@!0{7"</f>
        <v>#VALUE!</v>
      </c>
      <c r="AZ308" t="e">
        <f>'Middle East'!401:401-"$F;@!0{8"</f>
        <v>#VALUE!</v>
      </c>
      <c r="BA308" t="e">
        <f>'Middle East'!402:402-"$F;@!0{9"</f>
        <v>#VALUE!</v>
      </c>
      <c r="BB308" t="e">
        <f>'Middle East'!403:403-"$F;@!0{:"</f>
        <v>#VALUE!</v>
      </c>
      <c r="BC308" t="e">
        <f>'Middle East'!404:404-"$F;@!0{;"</f>
        <v>#VALUE!</v>
      </c>
      <c r="BD308" t="e">
        <f>'Middle East'!405:405-"$F;@!0{&lt;"</f>
        <v>#VALUE!</v>
      </c>
      <c r="BE308" t="e">
        <f>'Middle East'!406:406-"$F;@!0{="</f>
        <v>#VALUE!</v>
      </c>
      <c r="BF308" t="e">
        <f>'Middle East'!407:407-"$F;@!0{&gt;"</f>
        <v>#VALUE!</v>
      </c>
      <c r="BG308" t="e">
        <f>'Middle East'!408:408-"$F;@!0{?"</f>
        <v>#VALUE!</v>
      </c>
      <c r="BH308" t="e">
        <f>'Middle East'!409:409-"$F;@!0{@"</f>
        <v>#VALUE!</v>
      </c>
      <c r="BI308" t="e">
        <f>'North America'!A1+"$F;@!0{A"</f>
        <v>#VALUE!</v>
      </c>
      <c r="BJ308" t="e">
        <f>'North America'!B1+"$F;@!0{B"</f>
        <v>#VALUE!</v>
      </c>
      <c r="BK308" t="e">
        <f>'North America'!C1+"$F;@!0{C"</f>
        <v>#VALUE!</v>
      </c>
      <c r="BL308" t="e">
        <f>'North America'!D1+"$F;@!0{D"</f>
        <v>#VALUE!</v>
      </c>
      <c r="BM308" t="e">
        <f>'North America'!E1+"$F;@!0{E"</f>
        <v>#VALUE!</v>
      </c>
      <c r="BN308" t="e">
        <f>'North America'!F1+"$F;@!0{F"</f>
        <v>#VALUE!</v>
      </c>
      <c r="BO308" t="e">
        <f>'North America'!G1+"$F;@!0{G"</f>
        <v>#VALUE!</v>
      </c>
      <c r="BP308" t="e">
        <f>'North America'!H1+"$F;@!0{H"</f>
        <v>#VALUE!</v>
      </c>
      <c r="BQ308" t="e">
        <f>'North America'!A2+"$F;@!0{I"</f>
        <v>#VALUE!</v>
      </c>
      <c r="BR308" t="e">
        <f>'North America'!B2+"$F;@!0{J"</f>
        <v>#VALUE!</v>
      </c>
      <c r="BS308" t="e">
        <f>'North America'!C2+"$F;@!0{K"</f>
        <v>#VALUE!</v>
      </c>
      <c r="BT308" t="e">
        <f>'North America'!D2+"$F;@!0{L"</f>
        <v>#VALUE!</v>
      </c>
      <c r="BU308" t="e">
        <f>'North America'!E2+"$F;@!0{M"</f>
        <v>#VALUE!</v>
      </c>
      <c r="BV308" t="e">
        <f>'North America'!F2+"$F;@!0{N"</f>
        <v>#VALUE!</v>
      </c>
      <c r="BW308" t="e">
        <f>'North America'!G2+"$F;@!0{O"</f>
        <v>#VALUE!</v>
      </c>
      <c r="BX308" t="e">
        <f>'North America'!H2+"$F;@!0{P"</f>
        <v>#VALUE!</v>
      </c>
      <c r="BY308" t="e">
        <f>'North America'!A3+"$F;@!0{Q"</f>
        <v>#VALUE!</v>
      </c>
      <c r="BZ308" t="e">
        <f>'North America'!B3+"$F;@!0{R"</f>
        <v>#VALUE!</v>
      </c>
      <c r="CA308" t="e">
        <f>'North America'!C3+"$F;@!0{S"</f>
        <v>#VALUE!</v>
      </c>
      <c r="CB308" t="e">
        <f>'North America'!D3+"$F;@!0{T"</f>
        <v>#VALUE!</v>
      </c>
      <c r="CC308" t="e">
        <f>'North America'!E3+"$F;@!0{U"</f>
        <v>#VALUE!</v>
      </c>
      <c r="CD308" t="e">
        <f>'North America'!F3+"$F;@!0{V"</f>
        <v>#VALUE!</v>
      </c>
      <c r="CE308" t="e">
        <f>'North America'!G3+"$F;@!0{W"</f>
        <v>#VALUE!</v>
      </c>
      <c r="CF308" t="e">
        <f>'North America'!H3+"$F;@!0{X"</f>
        <v>#VALUE!</v>
      </c>
      <c r="CG308" t="e">
        <f>'North America'!A4+"$F;@!0{Y"</f>
        <v>#VALUE!</v>
      </c>
      <c r="CH308" t="e">
        <f>'North America'!B4+"$F;@!0{Z"</f>
        <v>#VALUE!</v>
      </c>
      <c r="CI308" t="e">
        <f>'North America'!C4+"$F;@!0{["</f>
        <v>#VALUE!</v>
      </c>
      <c r="CJ308" t="e">
        <f>'North America'!D4+"$F;@!0{\"</f>
        <v>#VALUE!</v>
      </c>
      <c r="CK308" t="e">
        <f>'North America'!E4+"$F;@!0{]"</f>
        <v>#VALUE!</v>
      </c>
      <c r="CL308" t="e">
        <f>'North America'!F4+"$F;@!0{^"</f>
        <v>#VALUE!</v>
      </c>
      <c r="CM308" t="e">
        <f>'North America'!G4+"$F;@!0{_"</f>
        <v>#VALUE!</v>
      </c>
      <c r="CN308" t="e">
        <f>'North America'!H4+"$F;@!0{`"</f>
        <v>#VALUE!</v>
      </c>
      <c r="CO308" t="e">
        <f>'North America'!A5+"$F;@!0{a"</f>
        <v>#VALUE!</v>
      </c>
      <c r="CP308" t="e">
        <f>'North America'!B5+"$F;@!0{b"</f>
        <v>#VALUE!</v>
      </c>
      <c r="CQ308" t="e">
        <f>'North America'!C5+"$F;@!0{c"</f>
        <v>#VALUE!</v>
      </c>
      <c r="CR308" t="e">
        <f>'North America'!D5+"$F;@!0{d"</f>
        <v>#VALUE!</v>
      </c>
      <c r="CS308" t="e">
        <f>'North America'!E5+"$F;@!0{e"</f>
        <v>#VALUE!</v>
      </c>
      <c r="CT308" t="e">
        <f>'North America'!F5+"$F;@!0{f"</f>
        <v>#VALUE!</v>
      </c>
      <c r="CU308" t="e">
        <f>'North America'!G5+"$F;@!0{g"</f>
        <v>#VALUE!</v>
      </c>
      <c r="CV308" t="e">
        <f>'North America'!H5+"$F;@!0{h"</f>
        <v>#VALUE!</v>
      </c>
      <c r="CW308" t="e">
        <f>'North America'!A6+"$F;@!0{i"</f>
        <v>#VALUE!</v>
      </c>
      <c r="CX308" t="e">
        <f>'North America'!B6+"$F;@!0{j"</f>
        <v>#VALUE!</v>
      </c>
      <c r="CY308" t="e">
        <f>'North America'!C6+"$F;@!0{k"</f>
        <v>#VALUE!</v>
      </c>
      <c r="CZ308" t="e">
        <f>'North America'!D6+"$F;@!0{l"</f>
        <v>#VALUE!</v>
      </c>
      <c r="DA308" t="e">
        <f>'North America'!E6+"$F;@!0{m"</f>
        <v>#VALUE!</v>
      </c>
      <c r="DB308" t="e">
        <f>'North America'!F6+"$F;@!0{n"</f>
        <v>#VALUE!</v>
      </c>
      <c r="DC308" t="e">
        <f>'North America'!G6+"$F;@!0{o"</f>
        <v>#VALUE!</v>
      </c>
      <c r="DD308" t="e">
        <f>'North America'!H6+"$F;@!0{p"</f>
        <v>#VALUE!</v>
      </c>
      <c r="DE308" t="e">
        <f>'North America'!A7+"$F;@!0{q"</f>
        <v>#VALUE!</v>
      </c>
      <c r="DF308" t="e">
        <f>'North America'!B7+"$F;@!0{r"</f>
        <v>#VALUE!</v>
      </c>
      <c r="DG308" t="e">
        <f>'North America'!C7+"$F;@!0{s"</f>
        <v>#VALUE!</v>
      </c>
      <c r="DH308" t="e">
        <f>'North America'!D7+"$F;@!0{t"</f>
        <v>#VALUE!</v>
      </c>
      <c r="DI308" t="e">
        <f>'North America'!E7+"$F;@!0{u"</f>
        <v>#VALUE!</v>
      </c>
      <c r="DJ308" t="e">
        <f>'North America'!F7+"$F;@!0{v"</f>
        <v>#VALUE!</v>
      </c>
      <c r="DK308" t="e">
        <f>'North America'!G7+"$F;@!0{w"</f>
        <v>#VALUE!</v>
      </c>
      <c r="DL308" t="e">
        <f>'North America'!H7+"$F;@!0{x"</f>
        <v>#VALUE!</v>
      </c>
      <c r="DM308" t="e">
        <f>'North America'!A8+"$F;@!0{y"</f>
        <v>#VALUE!</v>
      </c>
      <c r="DN308" t="e">
        <f>'North America'!B8+"$F;@!0{z"</f>
        <v>#VALUE!</v>
      </c>
      <c r="DO308" t="e">
        <f>'North America'!C8+"$F;@!0{{"</f>
        <v>#VALUE!</v>
      </c>
      <c r="DP308" t="e">
        <f>'North America'!D8+"$F;@!0{|"</f>
        <v>#VALUE!</v>
      </c>
      <c r="DQ308" t="e">
        <f>'North America'!E8+"$F;@!0{}"</f>
        <v>#VALUE!</v>
      </c>
      <c r="DR308" t="e">
        <f>'North America'!F8+"$F;@!0{~"</f>
        <v>#VALUE!</v>
      </c>
      <c r="DS308" t="e">
        <f>'North America'!G8+"$F;@!0|#"</f>
        <v>#VALUE!</v>
      </c>
      <c r="DT308" t="e">
        <f>'North America'!H8+"$F;@!0|$"</f>
        <v>#VALUE!</v>
      </c>
      <c r="DU308" t="e">
        <f>'North America'!A9+"$F;@!0|%"</f>
        <v>#VALUE!</v>
      </c>
      <c r="DV308" t="e">
        <f>'North America'!B9+"$F;@!0|&amp;"</f>
        <v>#VALUE!</v>
      </c>
      <c r="DW308" t="e">
        <f>'North America'!C9+"$F;@!0|'"</f>
        <v>#VALUE!</v>
      </c>
      <c r="DX308" t="e">
        <f>'North America'!D9+"$F;@!0|("</f>
        <v>#VALUE!</v>
      </c>
      <c r="DY308" t="e">
        <f>'North America'!E9+"$F;@!0|)"</f>
        <v>#VALUE!</v>
      </c>
      <c r="DZ308" t="e">
        <f>'North America'!F9+"$F;@!0|."</f>
        <v>#VALUE!</v>
      </c>
      <c r="EA308" t="e">
        <f>'North America'!G9+"$F;@!0|/"</f>
        <v>#VALUE!</v>
      </c>
      <c r="EB308" t="e">
        <f>'North America'!H9+"$F;@!0|0"</f>
        <v>#VALUE!</v>
      </c>
      <c r="EC308" t="e">
        <f>'North America'!A10+"$F;@!0|1"</f>
        <v>#VALUE!</v>
      </c>
      <c r="ED308" t="e">
        <f>'North America'!B10+"$F;@!0|2"</f>
        <v>#VALUE!</v>
      </c>
      <c r="EE308" t="e">
        <f>'North America'!C10+"$F;@!0|3"</f>
        <v>#VALUE!</v>
      </c>
      <c r="EF308" t="e">
        <f>'North America'!D10+"$F;@!0|4"</f>
        <v>#VALUE!</v>
      </c>
      <c r="EG308" t="e">
        <f>'North America'!E10+"$F;@!0|5"</f>
        <v>#VALUE!</v>
      </c>
      <c r="EH308" t="e">
        <f>'North America'!F10+"$F;@!0|6"</f>
        <v>#VALUE!</v>
      </c>
      <c r="EI308" t="e">
        <f>'North America'!G10+"$F;@!0|7"</f>
        <v>#VALUE!</v>
      </c>
      <c r="EJ308" t="e">
        <f>'North America'!H10+"$F;@!0|8"</f>
        <v>#VALUE!</v>
      </c>
      <c r="EK308" t="e">
        <f>'North America'!A11+"$F;@!0|9"</f>
        <v>#VALUE!</v>
      </c>
      <c r="EL308" t="e">
        <f>'North America'!B11+"$F;@!0|:"</f>
        <v>#VALUE!</v>
      </c>
      <c r="EM308" t="e">
        <f>'North America'!C11+"$F;@!0|;"</f>
        <v>#VALUE!</v>
      </c>
      <c r="EN308" t="e">
        <f>'North America'!D11+"$F;@!0|&lt;"</f>
        <v>#VALUE!</v>
      </c>
      <c r="EO308" t="e">
        <f>'North America'!E11+"$F;@!0|="</f>
        <v>#VALUE!</v>
      </c>
      <c r="EP308" t="e">
        <f>'North America'!F11+"$F;@!0|&gt;"</f>
        <v>#VALUE!</v>
      </c>
      <c r="EQ308" t="e">
        <f>'North America'!G11+"$F;@!0|?"</f>
        <v>#VALUE!</v>
      </c>
      <c r="ER308" t="e">
        <f>'North America'!H11+"$F;@!0|@"</f>
        <v>#VALUE!</v>
      </c>
      <c r="ES308" t="e">
        <f>'North America'!A12+"$F;@!0|A"</f>
        <v>#VALUE!</v>
      </c>
      <c r="ET308" t="e">
        <f>'North America'!B12+"$F;@!0|B"</f>
        <v>#VALUE!</v>
      </c>
      <c r="EU308" t="e">
        <f>'North America'!C12+"$F;@!0|C"</f>
        <v>#VALUE!</v>
      </c>
      <c r="EV308" t="e">
        <f>'North America'!D12+"$F;@!0|D"</f>
        <v>#VALUE!</v>
      </c>
      <c r="EW308" t="e">
        <f>'North America'!E12+"$F;@!0|E"</f>
        <v>#VALUE!</v>
      </c>
      <c r="EX308" t="e">
        <f>'North America'!F12+"$F;@!0|F"</f>
        <v>#VALUE!</v>
      </c>
      <c r="EY308" t="e">
        <f>'North America'!G12+"$F;@!0|G"</f>
        <v>#VALUE!</v>
      </c>
      <c r="EZ308" t="e">
        <f>'North America'!H12+"$F;@!0|H"</f>
        <v>#VALUE!</v>
      </c>
      <c r="FA308" t="e">
        <f>'North America'!A13+"$F;@!0|I"</f>
        <v>#VALUE!</v>
      </c>
      <c r="FB308" t="e">
        <f>'North America'!B13+"$F;@!0|J"</f>
        <v>#VALUE!</v>
      </c>
      <c r="FC308" t="e">
        <f>'North America'!C13+"$F;@!0|K"</f>
        <v>#VALUE!</v>
      </c>
      <c r="FD308" t="e">
        <f>'North America'!D13+"$F;@!0|L"</f>
        <v>#VALUE!</v>
      </c>
      <c r="FE308" t="e">
        <f>'North America'!E13+"$F;@!0|M"</f>
        <v>#VALUE!</v>
      </c>
      <c r="FF308" t="e">
        <f>'North America'!F13+"$F;@!0|N"</f>
        <v>#VALUE!</v>
      </c>
      <c r="FG308" t="e">
        <f>'North America'!G13+"$F;@!0|O"</f>
        <v>#VALUE!</v>
      </c>
      <c r="FH308" t="e">
        <f>'North America'!H13+"$F;@!0|P"</f>
        <v>#VALUE!</v>
      </c>
      <c r="FI308" t="e">
        <f>'North America'!A14+"$F;@!0|Q"</f>
        <v>#VALUE!</v>
      </c>
      <c r="FJ308" t="e">
        <f>'North America'!B14+"$F;@!0|R"</f>
        <v>#VALUE!</v>
      </c>
      <c r="FK308" t="e">
        <f>'North America'!C14+"$F;@!0|S"</f>
        <v>#VALUE!</v>
      </c>
      <c r="FL308" t="e">
        <f>'North America'!D14+"$F;@!0|T"</f>
        <v>#VALUE!</v>
      </c>
      <c r="FM308" t="e">
        <f>'North America'!E14+"$F;@!0|U"</f>
        <v>#VALUE!</v>
      </c>
      <c r="FN308" t="e">
        <f>'North America'!F14+"$F;@!0|V"</f>
        <v>#VALUE!</v>
      </c>
      <c r="FO308" t="e">
        <f>'North America'!G14+"$F;@!0|W"</f>
        <v>#VALUE!</v>
      </c>
      <c r="FP308" t="e">
        <f>'North America'!H14+"$F;@!0|X"</f>
        <v>#VALUE!</v>
      </c>
      <c r="FQ308" t="e">
        <f>'North America'!A15+"$F;@!0|Y"</f>
        <v>#VALUE!</v>
      </c>
      <c r="FR308" t="e">
        <f>'North America'!B15+"$F;@!0|Z"</f>
        <v>#VALUE!</v>
      </c>
      <c r="FS308" t="e">
        <f>'North America'!C15+"$F;@!0|["</f>
        <v>#VALUE!</v>
      </c>
      <c r="FT308" t="e">
        <f>'North America'!D15+"$F;@!0|\"</f>
        <v>#VALUE!</v>
      </c>
      <c r="FU308" t="e">
        <f>'North America'!E15+"$F;@!0|]"</f>
        <v>#VALUE!</v>
      </c>
      <c r="FV308" t="e">
        <f>'North America'!F15+"$F;@!0|^"</f>
        <v>#VALUE!</v>
      </c>
      <c r="FW308" t="e">
        <f>'North America'!G15+"$F;@!0|_"</f>
        <v>#VALUE!</v>
      </c>
      <c r="FX308" t="e">
        <f>'North America'!H15+"$F;@!0|`"</f>
        <v>#VALUE!</v>
      </c>
      <c r="FY308" t="e">
        <f>'North America'!A16+"$F;@!0|a"</f>
        <v>#VALUE!</v>
      </c>
      <c r="FZ308" t="e">
        <f>'North America'!B16+"$F;@!0|b"</f>
        <v>#VALUE!</v>
      </c>
      <c r="GA308" t="e">
        <f>'North America'!C16+"$F;@!0|c"</f>
        <v>#VALUE!</v>
      </c>
      <c r="GB308" t="e">
        <f>'North America'!D16+"$F;@!0|d"</f>
        <v>#VALUE!</v>
      </c>
      <c r="GC308" t="e">
        <f>'North America'!E16+"$F;@!0|e"</f>
        <v>#VALUE!</v>
      </c>
      <c r="GD308" t="e">
        <f>'North America'!F16+"$F;@!0|f"</f>
        <v>#VALUE!</v>
      </c>
      <c r="GE308" t="e">
        <f>'North America'!G16+"$F;@!0|g"</f>
        <v>#VALUE!</v>
      </c>
      <c r="GF308" t="e">
        <f>'North America'!H16+"$F;@!0|h"</f>
        <v>#VALUE!</v>
      </c>
      <c r="GG308" t="e">
        <f>'North America'!A17+"$F;@!0|i"</f>
        <v>#VALUE!</v>
      </c>
      <c r="GH308" t="e">
        <f>'North America'!B17+"$F;@!0|j"</f>
        <v>#VALUE!</v>
      </c>
      <c r="GI308" t="e">
        <f>'North America'!C17+"$F;@!0|k"</f>
        <v>#VALUE!</v>
      </c>
      <c r="GJ308" t="e">
        <f>'North America'!D17+"$F;@!0|l"</f>
        <v>#VALUE!</v>
      </c>
      <c r="GK308" t="e">
        <f>'North America'!E17+"$F;@!0|m"</f>
        <v>#VALUE!</v>
      </c>
      <c r="GL308" t="e">
        <f>'North America'!F17+"$F;@!0|n"</f>
        <v>#VALUE!</v>
      </c>
      <c r="GM308" t="e">
        <f>'North America'!G17+"$F;@!0|o"</f>
        <v>#VALUE!</v>
      </c>
      <c r="GN308" t="e">
        <f>'North America'!H17+"$F;@!0|p"</f>
        <v>#VALUE!</v>
      </c>
      <c r="GO308" t="e">
        <f>'North America'!A18+"$F;@!0|q"</f>
        <v>#VALUE!</v>
      </c>
      <c r="GP308" t="e">
        <f>'North America'!B18+"$F;@!0|r"</f>
        <v>#VALUE!</v>
      </c>
      <c r="GQ308" t="e">
        <f>'North America'!C18+"$F;@!0|s"</f>
        <v>#VALUE!</v>
      </c>
      <c r="GR308" t="e">
        <f>'North America'!D18+"$F;@!0|t"</f>
        <v>#VALUE!</v>
      </c>
      <c r="GS308" t="e">
        <f>'North America'!E18+"$F;@!0|u"</f>
        <v>#VALUE!</v>
      </c>
      <c r="GT308" t="e">
        <f>'North America'!F18+"$F;@!0|v"</f>
        <v>#VALUE!</v>
      </c>
      <c r="GU308" t="e">
        <f>'North America'!G18+"$F;@!0|w"</f>
        <v>#VALUE!</v>
      </c>
      <c r="GV308" t="e">
        <f>'North America'!H18+"$F;@!0|x"</f>
        <v>#VALUE!</v>
      </c>
      <c r="GW308" t="e">
        <f>'North America'!A19+"$F;@!0|y"</f>
        <v>#VALUE!</v>
      </c>
      <c r="GX308" t="e">
        <f>'North America'!B19+"$F;@!0|z"</f>
        <v>#VALUE!</v>
      </c>
      <c r="GY308" t="e">
        <f>'North America'!C19+"$F;@!0|{"</f>
        <v>#VALUE!</v>
      </c>
      <c r="GZ308" t="e">
        <f>'North America'!D19+"$F;@!0||"</f>
        <v>#VALUE!</v>
      </c>
      <c r="HA308" t="e">
        <f>'North America'!E19+"$F;@!0|}"</f>
        <v>#VALUE!</v>
      </c>
      <c r="HB308" t="e">
        <f>'North America'!F19+"$F;@!0|~"</f>
        <v>#VALUE!</v>
      </c>
      <c r="HC308" t="e">
        <f>'North America'!G19+"$F;@!0}#"</f>
        <v>#VALUE!</v>
      </c>
      <c r="HD308" t="e">
        <f>'North America'!H19+"$F;@!0}$"</f>
        <v>#VALUE!</v>
      </c>
      <c r="HE308" t="e">
        <f>'North America'!A20+"$F;@!0}%"</f>
        <v>#VALUE!</v>
      </c>
      <c r="HF308" t="e">
        <f>'North America'!B20+"$F;@!0}&amp;"</f>
        <v>#VALUE!</v>
      </c>
      <c r="HG308" t="e">
        <f>'North America'!C20+"$F;@!0}'"</f>
        <v>#VALUE!</v>
      </c>
      <c r="HH308" t="e">
        <f>'North America'!D20+"$F;@!0}("</f>
        <v>#VALUE!</v>
      </c>
      <c r="HI308" t="e">
        <f>'North America'!E20+"$F;@!0})"</f>
        <v>#VALUE!</v>
      </c>
      <c r="HJ308" t="e">
        <f>'North America'!F20+"$F;@!0}."</f>
        <v>#VALUE!</v>
      </c>
      <c r="HK308" t="e">
        <f>'North America'!G20+"$F;@!0}/"</f>
        <v>#VALUE!</v>
      </c>
      <c r="HL308" t="e">
        <f>'North America'!H20+"$F;@!0}0"</f>
        <v>#VALUE!</v>
      </c>
      <c r="HM308" t="e">
        <f>'North America'!A21+"$F;@!0}1"</f>
        <v>#VALUE!</v>
      </c>
      <c r="HN308" t="e">
        <f>'North America'!B21+"$F;@!0}2"</f>
        <v>#VALUE!</v>
      </c>
      <c r="HO308" t="e">
        <f>'North America'!C21+"$F;@!0}3"</f>
        <v>#VALUE!</v>
      </c>
      <c r="HP308" t="e">
        <f>'North America'!D21+"$F;@!0}4"</f>
        <v>#VALUE!</v>
      </c>
      <c r="HQ308" t="e">
        <f>'North America'!E21+"$F;@!0}5"</f>
        <v>#VALUE!</v>
      </c>
      <c r="HR308" t="e">
        <f>'North America'!F21+"$F;@!0}6"</f>
        <v>#VALUE!</v>
      </c>
      <c r="HS308" t="e">
        <f>'North America'!G21+"$F;@!0}7"</f>
        <v>#VALUE!</v>
      </c>
      <c r="HT308" t="e">
        <f>'North America'!H21+"$F;@!0}8"</f>
        <v>#VALUE!</v>
      </c>
      <c r="HU308" t="e">
        <f>'North America'!A22+"$F;@!0}9"</f>
        <v>#VALUE!</v>
      </c>
      <c r="HV308" t="e">
        <f>'North America'!B22+"$F;@!0}:"</f>
        <v>#VALUE!</v>
      </c>
      <c r="HW308" t="e">
        <f>'North America'!C22+"$F;@!0};"</f>
        <v>#VALUE!</v>
      </c>
      <c r="HX308" t="e">
        <f>'North America'!D22+"$F;@!0}&lt;"</f>
        <v>#VALUE!</v>
      </c>
      <c r="HY308" t="e">
        <f>'North America'!E22+"$F;@!0}="</f>
        <v>#VALUE!</v>
      </c>
      <c r="HZ308" t="e">
        <f>'North America'!F22+"$F;@!0}&gt;"</f>
        <v>#VALUE!</v>
      </c>
      <c r="IA308" t="e">
        <f>'North America'!G22+"$F;@!0}?"</f>
        <v>#VALUE!</v>
      </c>
      <c r="IB308" t="e">
        <f>'North America'!H22+"$F;@!0}@"</f>
        <v>#VALUE!</v>
      </c>
      <c r="IC308" t="e">
        <f>'North America'!A23+"$F;@!0}A"</f>
        <v>#VALUE!</v>
      </c>
      <c r="ID308" t="e">
        <f>'North America'!B23+"$F;@!0}B"</f>
        <v>#VALUE!</v>
      </c>
      <c r="IE308" t="e">
        <f>'North America'!C23+"$F;@!0}C"</f>
        <v>#VALUE!</v>
      </c>
      <c r="IF308" t="e">
        <f>'North America'!D23+"$F;@!0}D"</f>
        <v>#VALUE!</v>
      </c>
      <c r="IG308" t="e">
        <f>'North America'!E23+"$F;@!0}E"</f>
        <v>#VALUE!</v>
      </c>
      <c r="IH308" t="e">
        <f>'North America'!F23+"$F;@!0}F"</f>
        <v>#VALUE!</v>
      </c>
      <c r="II308" t="e">
        <f>'North America'!G23+"$F;@!0}G"</f>
        <v>#VALUE!</v>
      </c>
      <c r="IJ308" t="e">
        <f>'North America'!H23+"$F;@!0}H"</f>
        <v>#VALUE!</v>
      </c>
      <c r="IK308" t="e">
        <f>'North America'!A24+"$F;@!0}I"</f>
        <v>#VALUE!</v>
      </c>
      <c r="IL308" t="e">
        <f>'North America'!B24+"$F;@!0}J"</f>
        <v>#VALUE!</v>
      </c>
      <c r="IM308" t="e">
        <f>'North America'!C24+"$F;@!0}K"</f>
        <v>#VALUE!</v>
      </c>
      <c r="IN308" t="e">
        <f>'North America'!D24+"$F;@!0}L"</f>
        <v>#VALUE!</v>
      </c>
      <c r="IO308" t="e">
        <f>'North America'!E24+"$F;@!0}M"</f>
        <v>#VALUE!</v>
      </c>
      <c r="IP308" t="e">
        <f>'North America'!F24+"$F;@!0}N"</f>
        <v>#VALUE!</v>
      </c>
      <c r="IQ308" t="e">
        <f>'North America'!G24+"$F;@!0}O"</f>
        <v>#VALUE!</v>
      </c>
      <c r="IR308" t="e">
        <f>'North America'!H24+"$F;@!0}P"</f>
        <v>#VALUE!</v>
      </c>
      <c r="IS308" t="e">
        <f>'North America'!A25+"$F;@!0}Q"</f>
        <v>#VALUE!</v>
      </c>
      <c r="IT308" t="e">
        <f>'North America'!B25+"$F;@!0}R"</f>
        <v>#VALUE!</v>
      </c>
      <c r="IU308" t="e">
        <f>'North America'!C25+"$F;@!0}S"</f>
        <v>#VALUE!</v>
      </c>
      <c r="IV308" t="e">
        <f>'North America'!D25+"$F;@!0}T"</f>
        <v>#VALUE!</v>
      </c>
    </row>
    <row r="309" spans="6:256" x14ac:dyDescent="0.35">
      <c r="F309" t="e">
        <f>'North America'!E25+"$F;@!0}U"</f>
        <v>#VALUE!</v>
      </c>
      <c r="G309" t="e">
        <f>'North America'!F25+"$F;@!0}V"</f>
        <v>#VALUE!</v>
      </c>
      <c r="H309" t="e">
        <f>'North America'!G25+"$F;@!0}W"</f>
        <v>#VALUE!</v>
      </c>
      <c r="I309" t="e">
        <f>'North America'!H25+"$F;@!0}X"</f>
        <v>#VALUE!</v>
      </c>
      <c r="J309" t="e">
        <f>'North America'!A26+"$F;@!0}Y"</f>
        <v>#VALUE!</v>
      </c>
      <c r="K309" t="e">
        <f>'North America'!B26+"$F;@!0}Z"</f>
        <v>#VALUE!</v>
      </c>
      <c r="L309" t="e">
        <f>'North America'!C26+"$F;@!0}["</f>
        <v>#VALUE!</v>
      </c>
      <c r="M309" t="e">
        <f>'North America'!D26+"$F;@!0}\"</f>
        <v>#VALUE!</v>
      </c>
      <c r="N309" t="e">
        <f>'North America'!E26+"$F;@!0}]"</f>
        <v>#VALUE!</v>
      </c>
      <c r="O309" t="e">
        <f>'North America'!F26+"$F;@!0}^"</f>
        <v>#VALUE!</v>
      </c>
      <c r="P309" t="e">
        <f>'North America'!G26+"$F;@!0}_"</f>
        <v>#VALUE!</v>
      </c>
      <c r="Q309" t="e">
        <f>'North America'!H26+"$F;@!0}`"</f>
        <v>#VALUE!</v>
      </c>
      <c r="R309" t="e">
        <f>'North America'!A27+"$F;@!0}a"</f>
        <v>#VALUE!</v>
      </c>
      <c r="S309" t="e">
        <f>'North America'!B27+"$F;@!0}b"</f>
        <v>#VALUE!</v>
      </c>
      <c r="T309" t="e">
        <f>'North America'!C27+"$F;@!0}c"</f>
        <v>#VALUE!</v>
      </c>
      <c r="U309" t="e">
        <f>'North America'!D27+"$F;@!0}d"</f>
        <v>#VALUE!</v>
      </c>
      <c r="V309" t="e">
        <f>'North America'!E27+"$F;@!0}e"</f>
        <v>#VALUE!</v>
      </c>
      <c r="W309" t="e">
        <f>'North America'!F27+"$F;@!0}f"</f>
        <v>#VALUE!</v>
      </c>
      <c r="X309" t="e">
        <f>'North America'!G27+"$F;@!0}g"</f>
        <v>#VALUE!</v>
      </c>
      <c r="Y309" t="e">
        <f>'North America'!H27+"$F;@!0}h"</f>
        <v>#VALUE!</v>
      </c>
      <c r="Z309" t="e">
        <f>'North America'!A28+"$F;@!0}i"</f>
        <v>#VALUE!</v>
      </c>
      <c r="AA309" t="e">
        <f>'North America'!B28+"$F;@!0}j"</f>
        <v>#VALUE!</v>
      </c>
      <c r="AB309" t="e">
        <f>'North America'!C28+"$F;@!0}k"</f>
        <v>#VALUE!</v>
      </c>
      <c r="AC309" t="e">
        <f>'North America'!D28+"$F;@!0}l"</f>
        <v>#VALUE!</v>
      </c>
      <c r="AD309" t="e">
        <f>'North America'!E28+"$F;@!0}m"</f>
        <v>#VALUE!</v>
      </c>
      <c r="AE309" t="e">
        <f>'North America'!F28+"$F;@!0}n"</f>
        <v>#VALUE!</v>
      </c>
      <c r="AF309" t="e">
        <f>'North America'!G28+"$F;@!0}o"</f>
        <v>#VALUE!</v>
      </c>
      <c r="AG309" t="e">
        <f>'North America'!H28+"$F;@!0}p"</f>
        <v>#VALUE!</v>
      </c>
      <c r="AH309" t="e">
        <f>'North America'!A29+"$F;@!0}q"</f>
        <v>#VALUE!</v>
      </c>
      <c r="AI309" t="e">
        <f>'North America'!B29+"$F;@!0}r"</f>
        <v>#VALUE!</v>
      </c>
      <c r="AJ309" t="e">
        <f>'North America'!C29+"$F;@!0}s"</f>
        <v>#VALUE!</v>
      </c>
      <c r="AK309" t="e">
        <f>'North America'!D29+"$F;@!0}t"</f>
        <v>#VALUE!</v>
      </c>
      <c r="AL309" t="e">
        <f>'North America'!E29+"$F;@!0}u"</f>
        <v>#VALUE!</v>
      </c>
      <c r="AM309" t="e">
        <f>'North America'!F29+"$F;@!0}v"</f>
        <v>#VALUE!</v>
      </c>
      <c r="AN309" t="e">
        <f>'North America'!G29+"$F;@!0}w"</f>
        <v>#VALUE!</v>
      </c>
      <c r="AO309" t="e">
        <f>'North America'!H29+"$F;@!0}x"</f>
        <v>#VALUE!</v>
      </c>
      <c r="AP309" t="e">
        <f>'North America'!A30+"$F;@!0}y"</f>
        <v>#VALUE!</v>
      </c>
      <c r="AQ309" t="e">
        <f>'North America'!B30+"$F;@!0}z"</f>
        <v>#VALUE!</v>
      </c>
      <c r="AR309" t="e">
        <f>'North America'!C30+"$F;@!0}{"</f>
        <v>#VALUE!</v>
      </c>
      <c r="AS309" t="e">
        <f>'North America'!D30+"$F;@!0}|"</f>
        <v>#VALUE!</v>
      </c>
      <c r="AT309" t="e">
        <f>'North America'!E30+"$F;@!0}}"</f>
        <v>#VALUE!</v>
      </c>
      <c r="AU309" t="e">
        <f>'North America'!F30+"$F;@!0}~"</f>
        <v>#VALUE!</v>
      </c>
      <c r="AV309" t="e">
        <f>'North America'!G30+"$F;@!0~#"</f>
        <v>#VALUE!</v>
      </c>
      <c r="AW309" t="e">
        <f>'North America'!H30+"$F;@!0~$"</f>
        <v>#VALUE!</v>
      </c>
      <c r="AX309" t="e">
        <f>'North America'!A31+"$F;@!0~%"</f>
        <v>#VALUE!</v>
      </c>
      <c r="AY309" t="e">
        <f>'North America'!B31+"$F;@!0~&amp;"</f>
        <v>#VALUE!</v>
      </c>
      <c r="AZ309" t="e">
        <f>'North America'!C31+"$F;@!0~'"</f>
        <v>#VALUE!</v>
      </c>
      <c r="BA309" t="e">
        <f>'North America'!D31+"$F;@!0~("</f>
        <v>#VALUE!</v>
      </c>
      <c r="BB309" t="e">
        <f>'North America'!E31+"$F;@!0~)"</f>
        <v>#VALUE!</v>
      </c>
      <c r="BC309" t="e">
        <f>'North America'!F31+"$F;@!0~."</f>
        <v>#VALUE!</v>
      </c>
      <c r="BD309" t="e">
        <f>'North America'!G31+"$F;@!0~/"</f>
        <v>#VALUE!</v>
      </c>
      <c r="BE309" t="e">
        <f>'North America'!H31+"$F;@!0~0"</f>
        <v>#VALUE!</v>
      </c>
      <c r="BF309" t="e">
        <f>'North America'!A32+"$F;@!0~1"</f>
        <v>#VALUE!</v>
      </c>
      <c r="BG309" t="e">
        <f>'North America'!B32+"$F;@!0~2"</f>
        <v>#VALUE!</v>
      </c>
      <c r="BH309" t="e">
        <f>'North America'!C32+"$F;@!0~3"</f>
        <v>#VALUE!</v>
      </c>
      <c r="BI309" t="e">
        <f>'North America'!D32+"$F;@!0~4"</f>
        <v>#VALUE!</v>
      </c>
      <c r="BJ309" t="e">
        <f>'North America'!E32+"$F;@!0~5"</f>
        <v>#VALUE!</v>
      </c>
      <c r="BK309" t="e">
        <f>'North America'!F32+"$F;@!0~6"</f>
        <v>#VALUE!</v>
      </c>
      <c r="BL309" t="e">
        <f>'North America'!G32+"$F;@!0~7"</f>
        <v>#VALUE!</v>
      </c>
      <c r="BM309" t="e">
        <f>'North America'!H32+"$F;@!0~8"</f>
        <v>#VALUE!</v>
      </c>
      <c r="BN309" t="e">
        <f>'North America'!A33+"$F;@!0~9"</f>
        <v>#VALUE!</v>
      </c>
      <c r="BO309" t="e">
        <f>'North America'!B33+"$F;@!0~:"</f>
        <v>#VALUE!</v>
      </c>
      <c r="BP309" t="e">
        <f>'North America'!C33+"$F;@!0~;"</f>
        <v>#VALUE!</v>
      </c>
      <c r="BQ309" t="e">
        <f>'North America'!D33+"$F;@!0~&lt;"</f>
        <v>#VALUE!</v>
      </c>
      <c r="BR309" t="e">
        <f>'North America'!E33+"$F;@!0~="</f>
        <v>#VALUE!</v>
      </c>
      <c r="BS309" t="e">
        <f>'North America'!F33+"$F;@!0~&gt;"</f>
        <v>#VALUE!</v>
      </c>
      <c r="BT309" t="e">
        <f>'North America'!G33+"$F;@!0~?"</f>
        <v>#VALUE!</v>
      </c>
      <c r="BU309" t="e">
        <f>'North America'!H33+"$F;@!0~@"</f>
        <v>#VALUE!</v>
      </c>
      <c r="BV309" t="e">
        <f>'North America'!A34+"$F;@!0~A"</f>
        <v>#VALUE!</v>
      </c>
      <c r="BW309" t="e">
        <f>'North America'!B34+"$F;@!0~B"</f>
        <v>#VALUE!</v>
      </c>
      <c r="BX309" t="e">
        <f>'North America'!C34+"$F;@!0~C"</f>
        <v>#VALUE!</v>
      </c>
      <c r="BY309" t="e">
        <f>'North America'!D34+"$F;@!0~D"</f>
        <v>#VALUE!</v>
      </c>
      <c r="BZ309" t="e">
        <f>'North America'!E34+"$F;@!0~E"</f>
        <v>#VALUE!</v>
      </c>
      <c r="CA309" t="e">
        <f>'North America'!F34+"$F;@!0~F"</f>
        <v>#VALUE!</v>
      </c>
      <c r="CB309" t="e">
        <f>'North America'!G34+"$F;@!0~G"</f>
        <v>#VALUE!</v>
      </c>
      <c r="CC309" t="e">
        <f>'North America'!H34+"$F;@!0~H"</f>
        <v>#VALUE!</v>
      </c>
      <c r="CD309" t="e">
        <f>'North America'!A35+"$F;@!0~I"</f>
        <v>#VALUE!</v>
      </c>
      <c r="CE309" t="e">
        <f>'North America'!B35+"$F;@!0~J"</f>
        <v>#VALUE!</v>
      </c>
      <c r="CF309" t="e">
        <f>'North America'!C35+"$F;@!0~K"</f>
        <v>#VALUE!</v>
      </c>
      <c r="CG309" t="e">
        <f>'North America'!D35+"$F;@!0~L"</f>
        <v>#VALUE!</v>
      </c>
      <c r="CH309" t="e">
        <f>'North America'!E35+"$F;@!0~M"</f>
        <v>#VALUE!</v>
      </c>
      <c r="CI309" t="e">
        <f>'North America'!F35+"$F;@!0~N"</f>
        <v>#VALUE!</v>
      </c>
      <c r="CJ309" t="e">
        <f>'North America'!G35+"$F;@!0~O"</f>
        <v>#VALUE!</v>
      </c>
      <c r="CK309" t="e">
        <f>'North America'!H35+"$F;@!0~P"</f>
        <v>#VALUE!</v>
      </c>
      <c r="CL309" t="e">
        <f>'North America'!A36+"$F;@!0~Q"</f>
        <v>#VALUE!</v>
      </c>
      <c r="CM309" t="e">
        <f>'North America'!B36+"$F;@!0~R"</f>
        <v>#VALUE!</v>
      </c>
      <c r="CN309" t="e">
        <f>'North America'!C36+"$F;@!0~S"</f>
        <v>#VALUE!</v>
      </c>
      <c r="CO309" t="e">
        <f>'North America'!D36+"$F;@!0~T"</f>
        <v>#VALUE!</v>
      </c>
      <c r="CP309" t="e">
        <f>'North America'!E36+"$F;@!0~U"</f>
        <v>#VALUE!</v>
      </c>
      <c r="CQ309" t="e">
        <f>'North America'!F36+"$F;@!0~V"</f>
        <v>#VALUE!</v>
      </c>
      <c r="CR309" t="e">
        <f>'North America'!G36+"$F;@!0~W"</f>
        <v>#VALUE!</v>
      </c>
      <c r="CS309" t="e">
        <f>'North America'!H36+"$F;@!0~X"</f>
        <v>#VALUE!</v>
      </c>
      <c r="CT309" t="e">
        <f>'North America'!A37+"$F;@!0~Y"</f>
        <v>#VALUE!</v>
      </c>
      <c r="CU309" t="e">
        <f>'North America'!B37+"$F;@!0~Z"</f>
        <v>#VALUE!</v>
      </c>
      <c r="CV309" t="e">
        <f>'North America'!C37+"$F;@!0~["</f>
        <v>#VALUE!</v>
      </c>
      <c r="CW309" t="e">
        <f>'North America'!D37+"$F;@!0~\"</f>
        <v>#VALUE!</v>
      </c>
      <c r="CX309" t="e">
        <f>'North America'!E37+"$F;@!0~]"</f>
        <v>#VALUE!</v>
      </c>
      <c r="CY309" t="e">
        <f>'North America'!F37+"$F;@!0~^"</f>
        <v>#VALUE!</v>
      </c>
      <c r="CZ309" t="e">
        <f>'North America'!G37+"$F;@!0~_"</f>
        <v>#VALUE!</v>
      </c>
      <c r="DA309" t="e">
        <f>'North America'!H37+"$F;@!0~`"</f>
        <v>#VALUE!</v>
      </c>
      <c r="DB309" t="e">
        <f>'North America'!A38+"$F;@!0~a"</f>
        <v>#VALUE!</v>
      </c>
      <c r="DC309" t="e">
        <f>'North America'!B38+"$F;@!0~b"</f>
        <v>#VALUE!</v>
      </c>
      <c r="DD309" t="e">
        <f>'North America'!C38+"$F;@!0~c"</f>
        <v>#VALUE!</v>
      </c>
      <c r="DE309" t="e">
        <f>'North America'!D38+"$F;@!0~d"</f>
        <v>#VALUE!</v>
      </c>
      <c r="DF309" t="e">
        <f>'North America'!E38+"$F;@!0~e"</f>
        <v>#VALUE!</v>
      </c>
      <c r="DG309" t="e">
        <f>'North America'!F38+"$F;@!0~f"</f>
        <v>#VALUE!</v>
      </c>
      <c r="DH309" t="e">
        <f>'North America'!G38+"$F;@!0~g"</f>
        <v>#VALUE!</v>
      </c>
      <c r="DI309" t="e">
        <f>'North America'!H38+"$F;@!0~h"</f>
        <v>#VALUE!</v>
      </c>
      <c r="DJ309" t="e">
        <f>'North America'!A39+"$F;@!0~i"</f>
        <v>#VALUE!</v>
      </c>
      <c r="DK309" t="e">
        <f>'North America'!B39+"$F;@!0~j"</f>
        <v>#VALUE!</v>
      </c>
      <c r="DL309" t="e">
        <f>'North America'!C39+"$F;@!0~k"</f>
        <v>#VALUE!</v>
      </c>
      <c r="DM309" t="e">
        <f>'North America'!D39+"$F;@!0~l"</f>
        <v>#VALUE!</v>
      </c>
      <c r="DN309" t="e">
        <f>'North America'!E39+"$F;@!0~m"</f>
        <v>#VALUE!</v>
      </c>
      <c r="DO309" t="e">
        <f>'North America'!F39+"$F;@!0~n"</f>
        <v>#VALUE!</v>
      </c>
      <c r="DP309" t="e">
        <f>'North America'!G39+"$F;@!0~o"</f>
        <v>#VALUE!</v>
      </c>
      <c r="DQ309" t="e">
        <f>'North America'!H39+"$F;@!0~p"</f>
        <v>#VALUE!</v>
      </c>
      <c r="DR309" t="e">
        <f>'North America'!A40+"$F;@!0~q"</f>
        <v>#VALUE!</v>
      </c>
      <c r="DS309" t="e">
        <f>'North America'!B40+"$F;@!0~r"</f>
        <v>#VALUE!</v>
      </c>
      <c r="DT309" t="e">
        <f>'North America'!C40+"$F;@!0~s"</f>
        <v>#VALUE!</v>
      </c>
      <c r="DU309" t="e">
        <f>'North America'!D40+"$F;@!0~t"</f>
        <v>#VALUE!</v>
      </c>
      <c r="DV309" t="e">
        <f>'North America'!E40+"$F;@!0~u"</f>
        <v>#VALUE!</v>
      </c>
      <c r="DW309" t="e">
        <f>'North America'!F40+"$F;@!0~v"</f>
        <v>#VALUE!</v>
      </c>
      <c r="DX309" t="e">
        <f>'North America'!G40+"$F;@!0~w"</f>
        <v>#VALUE!</v>
      </c>
      <c r="DY309" t="e">
        <f>'North America'!H40+"$F;@!0~x"</f>
        <v>#VALUE!</v>
      </c>
      <c r="DZ309" t="e">
        <f>'North America'!A41+"$F;@!0~y"</f>
        <v>#VALUE!</v>
      </c>
      <c r="EA309" t="e">
        <f>'North America'!B41+"$F;@!0~z"</f>
        <v>#VALUE!</v>
      </c>
      <c r="EB309" t="e">
        <f>'North America'!C41+"$F;@!0~{"</f>
        <v>#VALUE!</v>
      </c>
      <c r="EC309" t="e">
        <f>'North America'!D41+"$F;@!0~|"</f>
        <v>#VALUE!</v>
      </c>
      <c r="ED309" t="e">
        <f>'North America'!E41+"$F;@!0~}"</f>
        <v>#VALUE!</v>
      </c>
      <c r="EE309" t="e">
        <f>'North America'!F41+"$F;@!0~~"</f>
        <v>#VALUE!</v>
      </c>
      <c r="EF309" t="e">
        <f>'North America'!G41+"$F;@!1##"</f>
        <v>#VALUE!</v>
      </c>
      <c r="EG309" t="e">
        <f>'North America'!H41+"$F;@!1#$"</f>
        <v>#VALUE!</v>
      </c>
      <c r="EH309" t="e">
        <f>'North America'!A42+"$F;@!1#%"</f>
        <v>#VALUE!</v>
      </c>
      <c r="EI309" t="e">
        <f>'North America'!B42+"$F;@!1#&amp;"</f>
        <v>#VALUE!</v>
      </c>
      <c r="EJ309" t="e">
        <f>'North America'!C42+"$F;@!1#'"</f>
        <v>#VALUE!</v>
      </c>
      <c r="EK309" t="e">
        <f>'North America'!D42+"$F;@!1#("</f>
        <v>#VALUE!</v>
      </c>
      <c r="EL309" t="e">
        <f>'North America'!E42+"$F;@!1#)"</f>
        <v>#VALUE!</v>
      </c>
      <c r="EM309" t="e">
        <f>'North America'!F42+"$F;@!1#."</f>
        <v>#VALUE!</v>
      </c>
      <c r="EN309" t="e">
        <f>'North America'!G42+"$F;@!1#/"</f>
        <v>#VALUE!</v>
      </c>
      <c r="EO309" t="e">
        <f>'North America'!H42+"$F;@!1#0"</f>
        <v>#VALUE!</v>
      </c>
      <c r="EP309" t="e">
        <f>'North America'!A43+"$F;@!1#1"</f>
        <v>#VALUE!</v>
      </c>
      <c r="EQ309" t="e">
        <f>'North America'!B43+"$F;@!1#2"</f>
        <v>#VALUE!</v>
      </c>
      <c r="ER309" t="e">
        <f>'North America'!C43+"$F;@!1#3"</f>
        <v>#VALUE!</v>
      </c>
      <c r="ES309" t="e">
        <f>'North America'!D43+"$F;@!1#4"</f>
        <v>#VALUE!</v>
      </c>
      <c r="ET309" t="e">
        <f>'North America'!E43+"$F;@!1#5"</f>
        <v>#VALUE!</v>
      </c>
      <c r="EU309" t="e">
        <f>'North America'!F43+"$F;@!1#6"</f>
        <v>#VALUE!</v>
      </c>
      <c r="EV309" t="e">
        <f>'North America'!G43+"$F;@!1#7"</f>
        <v>#VALUE!</v>
      </c>
      <c r="EW309" t="e">
        <f>'North America'!H43+"$F;@!1#8"</f>
        <v>#VALUE!</v>
      </c>
      <c r="EX309" t="e">
        <f>'North America'!A44+"$F;@!1#9"</f>
        <v>#VALUE!</v>
      </c>
      <c r="EY309" t="e">
        <f>'North America'!B44+"$F;@!1#:"</f>
        <v>#VALUE!</v>
      </c>
      <c r="EZ309" t="e">
        <f>'North America'!C44+"$F;@!1#;"</f>
        <v>#VALUE!</v>
      </c>
      <c r="FA309" t="e">
        <f>'North America'!D44+"$F;@!1#&lt;"</f>
        <v>#VALUE!</v>
      </c>
      <c r="FB309" t="e">
        <f>'North America'!E44+"$F;@!1#="</f>
        <v>#VALUE!</v>
      </c>
      <c r="FC309" t="e">
        <f>'North America'!F44+"$F;@!1#&gt;"</f>
        <v>#VALUE!</v>
      </c>
      <c r="FD309" t="e">
        <f>'North America'!G44+"$F;@!1#?"</f>
        <v>#VALUE!</v>
      </c>
      <c r="FE309" t="e">
        <f>'North America'!H44+"$F;@!1#@"</f>
        <v>#VALUE!</v>
      </c>
      <c r="FF309" t="e">
        <f>'North America'!A45+"$F;@!1#A"</f>
        <v>#VALUE!</v>
      </c>
      <c r="FG309" t="e">
        <f>'North America'!B45+"$F;@!1#B"</f>
        <v>#VALUE!</v>
      </c>
      <c r="FH309" t="e">
        <f>'North America'!C45+"$F;@!1#C"</f>
        <v>#VALUE!</v>
      </c>
      <c r="FI309" t="e">
        <f>'North America'!D45+"$F;@!1#D"</f>
        <v>#VALUE!</v>
      </c>
      <c r="FJ309" t="e">
        <f>'North America'!E45+"$F;@!1#E"</f>
        <v>#VALUE!</v>
      </c>
      <c r="FK309" t="e">
        <f>'North America'!F45+"$F;@!1#F"</f>
        <v>#VALUE!</v>
      </c>
      <c r="FL309" t="e">
        <f>'North America'!G45+"$F;@!1#G"</f>
        <v>#VALUE!</v>
      </c>
      <c r="FM309" t="e">
        <f>'North America'!H45+"$F;@!1#H"</f>
        <v>#VALUE!</v>
      </c>
      <c r="FN309" t="e">
        <f>'North America'!A46+"$F;@!1#I"</f>
        <v>#VALUE!</v>
      </c>
      <c r="FO309" t="e">
        <f>'North America'!B46+"$F;@!1#J"</f>
        <v>#VALUE!</v>
      </c>
      <c r="FP309" t="e">
        <f>'North America'!C46+"$F;@!1#K"</f>
        <v>#VALUE!</v>
      </c>
      <c r="FQ309" t="e">
        <f>'North America'!D46+"$F;@!1#L"</f>
        <v>#VALUE!</v>
      </c>
      <c r="FR309" t="e">
        <f>'North America'!E46+"$F;@!1#M"</f>
        <v>#VALUE!</v>
      </c>
      <c r="FS309" t="e">
        <f>'North America'!F46+"$F;@!1#N"</f>
        <v>#VALUE!</v>
      </c>
      <c r="FT309" t="e">
        <f>'North America'!G46+"$F;@!1#O"</f>
        <v>#VALUE!</v>
      </c>
      <c r="FU309" t="e">
        <f>'North America'!H46+"$F;@!1#P"</f>
        <v>#VALUE!</v>
      </c>
      <c r="FV309" t="e">
        <f>'North America'!A47+"$F;@!1#Q"</f>
        <v>#VALUE!</v>
      </c>
      <c r="FW309" t="e">
        <f>'North America'!B47+"$F;@!1#R"</f>
        <v>#VALUE!</v>
      </c>
      <c r="FX309" t="e">
        <f>'North America'!C47+"$F;@!1#S"</f>
        <v>#VALUE!</v>
      </c>
      <c r="FY309" t="e">
        <f>'North America'!D47+"$F;@!1#T"</f>
        <v>#VALUE!</v>
      </c>
      <c r="FZ309" t="e">
        <f>'North America'!E47+"$F;@!1#U"</f>
        <v>#VALUE!</v>
      </c>
      <c r="GA309" t="e">
        <f>'North America'!F47+"$F;@!1#V"</f>
        <v>#VALUE!</v>
      </c>
      <c r="GB309" t="e">
        <f>'North America'!G47+"$F;@!1#W"</f>
        <v>#VALUE!</v>
      </c>
      <c r="GC309" t="e">
        <f>'North America'!H47+"$F;@!1#X"</f>
        <v>#VALUE!</v>
      </c>
      <c r="GD309" t="e">
        <f>'North America'!A48+"$F;@!1#Y"</f>
        <v>#VALUE!</v>
      </c>
      <c r="GE309" t="e">
        <f>'North America'!B48+"$F;@!1#Z"</f>
        <v>#VALUE!</v>
      </c>
      <c r="GF309" t="e">
        <f>'North America'!C48+"$F;@!1#["</f>
        <v>#VALUE!</v>
      </c>
      <c r="GG309" t="e">
        <f>'North America'!D48+"$F;@!1#\"</f>
        <v>#VALUE!</v>
      </c>
      <c r="GH309" t="e">
        <f>'North America'!E48+"$F;@!1#]"</f>
        <v>#VALUE!</v>
      </c>
      <c r="GI309" t="e">
        <f>'North America'!F48+"$F;@!1#^"</f>
        <v>#VALUE!</v>
      </c>
      <c r="GJ309" t="e">
        <f>'North America'!G48+"$F;@!1#_"</f>
        <v>#VALUE!</v>
      </c>
      <c r="GK309" t="e">
        <f>'North America'!H48+"$F;@!1#`"</f>
        <v>#VALUE!</v>
      </c>
      <c r="GL309" t="e">
        <f>'North America'!A49+"$F;@!1#a"</f>
        <v>#VALUE!</v>
      </c>
      <c r="GM309" t="e">
        <f>'North America'!B49+"$F;@!1#b"</f>
        <v>#VALUE!</v>
      </c>
      <c r="GN309" t="e">
        <f>'North America'!C49+"$F;@!1#c"</f>
        <v>#VALUE!</v>
      </c>
      <c r="GO309" t="e">
        <f>'North America'!D49+"$F;@!1#d"</f>
        <v>#VALUE!</v>
      </c>
      <c r="GP309" t="e">
        <f>'North America'!E49+"$F;@!1#e"</f>
        <v>#VALUE!</v>
      </c>
      <c r="GQ309" t="e">
        <f>'North America'!F49+"$F;@!1#f"</f>
        <v>#VALUE!</v>
      </c>
      <c r="GR309" t="e">
        <f>'North America'!G49+"$F;@!1#g"</f>
        <v>#VALUE!</v>
      </c>
      <c r="GS309" t="e">
        <f>'North America'!H49+"$F;@!1#h"</f>
        <v>#VALUE!</v>
      </c>
      <c r="GT309" t="e">
        <f>'North America'!A50+"$F;@!1#i"</f>
        <v>#VALUE!</v>
      </c>
      <c r="GU309" t="e">
        <f>'North America'!B50+"$F;@!1#j"</f>
        <v>#VALUE!</v>
      </c>
      <c r="GV309" t="e">
        <f>'North America'!C50+"$F;@!1#k"</f>
        <v>#VALUE!</v>
      </c>
      <c r="GW309" t="e">
        <f>'North America'!D50+"$F;@!1#l"</f>
        <v>#VALUE!</v>
      </c>
      <c r="GX309" t="e">
        <f>'North America'!E50+"$F;@!1#m"</f>
        <v>#VALUE!</v>
      </c>
      <c r="GY309" t="e">
        <f>'North America'!F50+"$F;@!1#n"</f>
        <v>#VALUE!</v>
      </c>
      <c r="GZ309" t="e">
        <f>'North America'!G50+"$F;@!1#o"</f>
        <v>#VALUE!</v>
      </c>
      <c r="HA309" t="e">
        <f>'North America'!H50+"$F;@!1#p"</f>
        <v>#VALUE!</v>
      </c>
      <c r="HB309" t="e">
        <f>'North America'!A51+"$F;@!1#q"</f>
        <v>#VALUE!</v>
      </c>
      <c r="HC309" t="e">
        <f>'North America'!B51+"$F;@!1#r"</f>
        <v>#VALUE!</v>
      </c>
      <c r="HD309" t="e">
        <f>'North America'!C51+"$F;@!1#s"</f>
        <v>#VALUE!</v>
      </c>
      <c r="HE309" t="e">
        <f>'North America'!D51+"$F;@!1#t"</f>
        <v>#VALUE!</v>
      </c>
      <c r="HF309" t="e">
        <f>'North America'!E51+"$F;@!1#u"</f>
        <v>#VALUE!</v>
      </c>
      <c r="HG309" t="e">
        <f>'North America'!F51+"$F;@!1#v"</f>
        <v>#VALUE!</v>
      </c>
      <c r="HH309" t="e">
        <f>'North America'!G51+"$F;@!1#w"</f>
        <v>#VALUE!</v>
      </c>
      <c r="HI309" t="e">
        <f>'North America'!H51+"$F;@!1#x"</f>
        <v>#VALUE!</v>
      </c>
      <c r="HJ309" t="e">
        <f>'North America'!A52+"$F;@!1#y"</f>
        <v>#VALUE!</v>
      </c>
      <c r="HK309" t="e">
        <f>'North America'!B52+"$F;@!1#z"</f>
        <v>#VALUE!</v>
      </c>
      <c r="HL309" t="e">
        <f>'North America'!C52+"$F;@!1#{"</f>
        <v>#VALUE!</v>
      </c>
      <c r="HM309" t="e">
        <f>'North America'!D52+"$F;@!1#|"</f>
        <v>#VALUE!</v>
      </c>
      <c r="HN309" t="e">
        <f>'North America'!E52+"$F;@!1#}"</f>
        <v>#VALUE!</v>
      </c>
      <c r="HO309" t="e">
        <f>'North America'!F52+"$F;@!1#~"</f>
        <v>#VALUE!</v>
      </c>
      <c r="HP309" t="e">
        <f>'North America'!G52+"$F;@!1$#"</f>
        <v>#VALUE!</v>
      </c>
      <c r="HQ309" t="e">
        <f>'North America'!H52+"$F;@!1$$"</f>
        <v>#VALUE!</v>
      </c>
      <c r="HR309" t="e">
        <f>'North America'!A53+"$F;@!1$%"</f>
        <v>#VALUE!</v>
      </c>
      <c r="HS309" t="e">
        <f>'North America'!B53+"$F;@!1$&amp;"</f>
        <v>#VALUE!</v>
      </c>
      <c r="HT309" t="e">
        <f>'North America'!C53+"$F;@!1$'"</f>
        <v>#VALUE!</v>
      </c>
      <c r="HU309" t="e">
        <f>'North America'!D53+"$F;@!1$("</f>
        <v>#VALUE!</v>
      </c>
      <c r="HV309" t="e">
        <f>'North America'!E53+"$F;@!1$)"</f>
        <v>#VALUE!</v>
      </c>
      <c r="HW309" t="e">
        <f>'North America'!F53+"$F;@!1$."</f>
        <v>#VALUE!</v>
      </c>
      <c r="HX309" t="e">
        <f>'North America'!G53+"$F;@!1$/"</f>
        <v>#VALUE!</v>
      </c>
      <c r="HY309" t="e">
        <f>'North America'!H53+"$F;@!1$0"</f>
        <v>#VALUE!</v>
      </c>
      <c r="HZ309" t="e">
        <f>'North America'!A54+"$F;@!1$1"</f>
        <v>#VALUE!</v>
      </c>
      <c r="IA309" t="e">
        <f>'North America'!B54+"$F;@!1$2"</f>
        <v>#VALUE!</v>
      </c>
      <c r="IB309" t="e">
        <f>'North America'!C54+"$F;@!1$3"</f>
        <v>#VALUE!</v>
      </c>
      <c r="IC309" t="e">
        <f>'North America'!D54+"$F;@!1$4"</f>
        <v>#VALUE!</v>
      </c>
      <c r="ID309" t="e">
        <f>'North America'!E54+"$F;@!1$5"</f>
        <v>#VALUE!</v>
      </c>
      <c r="IE309" t="e">
        <f>'North America'!F54+"$F;@!1$6"</f>
        <v>#VALUE!</v>
      </c>
      <c r="IF309" t="e">
        <f>'North America'!G54+"$F;@!1$7"</f>
        <v>#VALUE!</v>
      </c>
      <c r="IG309" t="e">
        <f>'North America'!H54+"$F;@!1$8"</f>
        <v>#VALUE!</v>
      </c>
      <c r="IH309" t="e">
        <f>'North America'!A55+"$F;@!1$9"</f>
        <v>#VALUE!</v>
      </c>
      <c r="II309" t="e">
        <f>'North America'!B55+"$F;@!1$:"</f>
        <v>#VALUE!</v>
      </c>
      <c r="IJ309" t="e">
        <f>'North America'!C55+"$F;@!1$;"</f>
        <v>#VALUE!</v>
      </c>
      <c r="IK309" t="e">
        <f>'North America'!D55+"$F;@!1$&lt;"</f>
        <v>#VALUE!</v>
      </c>
      <c r="IL309" t="e">
        <f>'North America'!E55+"$F;@!1$="</f>
        <v>#VALUE!</v>
      </c>
      <c r="IM309" t="e">
        <f>'North America'!F55+"$F;@!1$&gt;"</f>
        <v>#VALUE!</v>
      </c>
      <c r="IN309" t="e">
        <f>'North America'!G55+"$F;@!1$?"</f>
        <v>#VALUE!</v>
      </c>
      <c r="IO309" t="e">
        <f>'North America'!H55+"$F;@!1$@"</f>
        <v>#VALUE!</v>
      </c>
      <c r="IP309" t="e">
        <f>'North America'!A56+"$F;@!1$A"</f>
        <v>#VALUE!</v>
      </c>
      <c r="IQ309" t="e">
        <f>'North America'!B56+"$F;@!1$B"</f>
        <v>#VALUE!</v>
      </c>
      <c r="IR309" t="e">
        <f>'North America'!C56+"$F;@!1$C"</f>
        <v>#VALUE!</v>
      </c>
      <c r="IS309" t="e">
        <f>'North America'!D56+"$F;@!1$D"</f>
        <v>#VALUE!</v>
      </c>
      <c r="IT309" t="e">
        <f>'North America'!E56+"$F;@!1$E"</f>
        <v>#VALUE!</v>
      </c>
      <c r="IU309" t="e">
        <f>'North America'!F56+"$F;@!1$F"</f>
        <v>#VALUE!</v>
      </c>
      <c r="IV309" t="e">
        <f>'North America'!G56+"$F;@!1$G"</f>
        <v>#VALUE!</v>
      </c>
    </row>
    <row r="310" spans="6:256" x14ac:dyDescent="0.35">
      <c r="F310" t="e">
        <f>'North America'!H56+"$F;@!1$H"</f>
        <v>#VALUE!</v>
      </c>
      <c r="G310" t="e">
        <f>'North America'!A57+"$F;@!1$I"</f>
        <v>#VALUE!</v>
      </c>
      <c r="H310" t="e">
        <f>'North America'!B57+"$F;@!1$J"</f>
        <v>#VALUE!</v>
      </c>
      <c r="I310" t="e">
        <f>'North America'!C57+"$F;@!1$K"</f>
        <v>#VALUE!</v>
      </c>
      <c r="J310" t="e">
        <f>'North America'!D57+"$F;@!1$L"</f>
        <v>#VALUE!</v>
      </c>
      <c r="K310" t="e">
        <f>'North America'!E57+"$F;@!1$M"</f>
        <v>#VALUE!</v>
      </c>
      <c r="L310" t="e">
        <f>'North America'!F57+"$F;@!1$N"</f>
        <v>#VALUE!</v>
      </c>
      <c r="M310" t="e">
        <f>'North America'!G57+"$F;@!1$O"</f>
        <v>#VALUE!</v>
      </c>
      <c r="N310" t="e">
        <f>'North America'!H57+"$F;@!1$P"</f>
        <v>#VALUE!</v>
      </c>
      <c r="O310" t="e">
        <f>'North America'!A58+"$F;@!1$Q"</f>
        <v>#VALUE!</v>
      </c>
      <c r="P310" t="e">
        <f>'North America'!B58+"$F;@!1$R"</f>
        <v>#VALUE!</v>
      </c>
      <c r="Q310" t="e">
        <f>'North America'!C58+"$F;@!1$S"</f>
        <v>#VALUE!</v>
      </c>
      <c r="R310" t="e">
        <f>'North America'!D58+"$F;@!1$T"</f>
        <v>#VALUE!</v>
      </c>
      <c r="S310" t="e">
        <f>'North America'!E58+"$F;@!1$U"</f>
        <v>#VALUE!</v>
      </c>
      <c r="T310" t="e">
        <f>'North America'!F58+"$F;@!1$V"</f>
        <v>#VALUE!</v>
      </c>
      <c r="U310" t="e">
        <f>'North America'!G58+"$F;@!1$W"</f>
        <v>#VALUE!</v>
      </c>
      <c r="V310" t="e">
        <f>'North America'!H58+"$F;@!1$X"</f>
        <v>#VALUE!</v>
      </c>
      <c r="W310" t="e">
        <f>'North America'!A59+"$F;@!1$Y"</f>
        <v>#VALUE!</v>
      </c>
      <c r="X310" t="e">
        <f>'North America'!B59+"$F;@!1$Z"</f>
        <v>#VALUE!</v>
      </c>
      <c r="Y310" t="e">
        <f>'North America'!C59+"$F;@!1$["</f>
        <v>#VALUE!</v>
      </c>
      <c r="Z310" t="e">
        <f>'North America'!D59+"$F;@!1$\"</f>
        <v>#VALUE!</v>
      </c>
      <c r="AA310" t="e">
        <f>'North America'!E59+"$F;@!1$]"</f>
        <v>#VALUE!</v>
      </c>
      <c r="AB310" t="e">
        <f>'North America'!F59+"$F;@!1$^"</f>
        <v>#VALUE!</v>
      </c>
      <c r="AC310" t="e">
        <f>'North America'!G59+"$F;@!1$_"</f>
        <v>#VALUE!</v>
      </c>
      <c r="AD310" t="e">
        <f>'North America'!H59+"$F;@!1$`"</f>
        <v>#VALUE!</v>
      </c>
      <c r="AE310" t="e">
        <f>'North America'!A60+"$F;@!1$a"</f>
        <v>#VALUE!</v>
      </c>
      <c r="AF310" t="e">
        <f>'North America'!B60+"$F;@!1$b"</f>
        <v>#VALUE!</v>
      </c>
      <c r="AG310" t="e">
        <f>'North America'!C60+"$F;@!1$c"</f>
        <v>#VALUE!</v>
      </c>
      <c r="AH310" t="e">
        <f>'North America'!D60+"$F;@!1$d"</f>
        <v>#VALUE!</v>
      </c>
      <c r="AI310" t="e">
        <f>'North America'!E60+"$F;@!1$e"</f>
        <v>#VALUE!</v>
      </c>
      <c r="AJ310" t="e">
        <f>'North America'!F60+"$F;@!1$f"</f>
        <v>#VALUE!</v>
      </c>
      <c r="AK310" t="e">
        <f>'North America'!G60+"$F;@!1$g"</f>
        <v>#VALUE!</v>
      </c>
      <c r="AL310" t="e">
        <f>'North America'!H60+"$F;@!1$h"</f>
        <v>#VALUE!</v>
      </c>
      <c r="AM310" t="e">
        <f>'North America'!A61+"$F;@!1$i"</f>
        <v>#VALUE!</v>
      </c>
      <c r="AN310" t="e">
        <f>'North America'!B61+"$F;@!1$j"</f>
        <v>#VALUE!</v>
      </c>
      <c r="AO310" t="e">
        <f>'North America'!C61+"$F;@!1$k"</f>
        <v>#VALUE!</v>
      </c>
      <c r="AP310" t="e">
        <f>'North America'!D61+"$F;@!1$l"</f>
        <v>#VALUE!</v>
      </c>
      <c r="AQ310" t="e">
        <f>'North America'!E61+"$F;@!1$m"</f>
        <v>#VALUE!</v>
      </c>
      <c r="AR310" t="e">
        <f>'North America'!F61+"$F;@!1$n"</f>
        <v>#VALUE!</v>
      </c>
      <c r="AS310" t="e">
        <f>'North America'!G61+"$F;@!1$o"</f>
        <v>#VALUE!</v>
      </c>
      <c r="AT310" t="e">
        <f>'North America'!H61+"$F;@!1$p"</f>
        <v>#VALUE!</v>
      </c>
      <c r="AU310" t="e">
        <f>'North America'!A62+"$F;@!1$q"</f>
        <v>#VALUE!</v>
      </c>
      <c r="AV310" t="e">
        <f>'North America'!B62+"$F;@!1$r"</f>
        <v>#VALUE!</v>
      </c>
      <c r="AW310" t="e">
        <f>'North America'!C62+"$F;@!1$s"</f>
        <v>#VALUE!</v>
      </c>
      <c r="AX310" t="e">
        <f>'North America'!D62+"$F;@!1$t"</f>
        <v>#VALUE!</v>
      </c>
      <c r="AY310" t="e">
        <f>'North America'!E62+"$F;@!1$u"</f>
        <v>#VALUE!</v>
      </c>
      <c r="AZ310" t="e">
        <f>'North America'!F62+"$F;@!1$v"</f>
        <v>#VALUE!</v>
      </c>
      <c r="BA310" t="e">
        <f>'North America'!G62+"$F;@!1$w"</f>
        <v>#VALUE!</v>
      </c>
      <c r="BB310" t="e">
        <f>'North America'!H62+"$F;@!1$x"</f>
        <v>#VALUE!</v>
      </c>
      <c r="BC310" t="e">
        <f>'North America'!A63+"$F;@!1$y"</f>
        <v>#VALUE!</v>
      </c>
      <c r="BD310" t="e">
        <f>'North America'!B63+"$F;@!1$z"</f>
        <v>#VALUE!</v>
      </c>
      <c r="BE310" t="e">
        <f>'North America'!C63+"$F;@!1${"</f>
        <v>#VALUE!</v>
      </c>
      <c r="BF310" t="e">
        <f>'North America'!D63+"$F;@!1$|"</f>
        <v>#VALUE!</v>
      </c>
      <c r="BG310" t="e">
        <f>'North America'!E63+"$F;@!1$}"</f>
        <v>#VALUE!</v>
      </c>
      <c r="BH310" t="e">
        <f>'North America'!F63+"$F;@!1$~"</f>
        <v>#VALUE!</v>
      </c>
      <c r="BI310" t="e">
        <f>'North America'!G63+"$F;@!1%#"</f>
        <v>#VALUE!</v>
      </c>
      <c r="BJ310" t="e">
        <f>'North America'!H63+"$F;@!1%$"</f>
        <v>#VALUE!</v>
      </c>
      <c r="BK310" t="e">
        <f>'North America'!A64+"$F;@!1%%"</f>
        <v>#VALUE!</v>
      </c>
      <c r="BL310" t="e">
        <f>'North America'!B64+"$F;@!1%&amp;"</f>
        <v>#VALUE!</v>
      </c>
      <c r="BM310" t="e">
        <f>'North America'!C64+"$F;@!1%'"</f>
        <v>#VALUE!</v>
      </c>
      <c r="BN310" t="e">
        <f>'North America'!D64+"$F;@!1%("</f>
        <v>#VALUE!</v>
      </c>
      <c r="BO310" t="e">
        <f>'North America'!E64+"$F;@!1%)"</f>
        <v>#VALUE!</v>
      </c>
      <c r="BP310" t="e">
        <f>'North America'!F64+"$F;@!1%."</f>
        <v>#VALUE!</v>
      </c>
      <c r="BQ310" t="e">
        <f>'North America'!G64+"$F;@!1%/"</f>
        <v>#VALUE!</v>
      </c>
      <c r="BR310" t="e">
        <f>'North America'!H64+"$F;@!1%0"</f>
        <v>#VALUE!</v>
      </c>
      <c r="BS310" t="e">
        <f>'North America'!A65+"$F;@!1%1"</f>
        <v>#VALUE!</v>
      </c>
      <c r="BT310" t="e">
        <f>'North America'!B65+"$F;@!1%2"</f>
        <v>#VALUE!</v>
      </c>
      <c r="BU310" t="e">
        <f>'North America'!C65+"$F;@!1%3"</f>
        <v>#VALUE!</v>
      </c>
      <c r="BV310" t="e">
        <f>'North America'!D65+"$F;@!1%4"</f>
        <v>#VALUE!</v>
      </c>
      <c r="BW310" t="e">
        <f>'North America'!E65+"$F;@!1%5"</f>
        <v>#VALUE!</v>
      </c>
      <c r="BX310" t="e">
        <f>'North America'!F65+"$F;@!1%6"</f>
        <v>#VALUE!</v>
      </c>
      <c r="BY310" t="e">
        <f>'North America'!G65+"$F;@!1%7"</f>
        <v>#VALUE!</v>
      </c>
      <c r="BZ310" t="e">
        <f>'North America'!H65+"$F;@!1%8"</f>
        <v>#VALUE!</v>
      </c>
      <c r="CA310" t="e">
        <f>'North America'!A66+"$F;@!1%9"</f>
        <v>#VALUE!</v>
      </c>
      <c r="CB310" t="e">
        <f>'North America'!B66+"$F;@!1%:"</f>
        <v>#VALUE!</v>
      </c>
      <c r="CC310" t="e">
        <f>'North America'!C66+"$F;@!1%;"</f>
        <v>#VALUE!</v>
      </c>
      <c r="CD310" t="e">
        <f>'North America'!D66+"$F;@!1%&lt;"</f>
        <v>#VALUE!</v>
      </c>
      <c r="CE310" t="e">
        <f>'North America'!E66+"$F;@!1%="</f>
        <v>#VALUE!</v>
      </c>
      <c r="CF310" t="e">
        <f>'North America'!F66+"$F;@!1%&gt;"</f>
        <v>#VALUE!</v>
      </c>
      <c r="CG310" t="e">
        <f>'North America'!G66+"$F;@!1%?"</f>
        <v>#VALUE!</v>
      </c>
      <c r="CH310" t="e">
        <f>'North America'!H66+"$F;@!1%@"</f>
        <v>#VALUE!</v>
      </c>
      <c r="CI310" t="e">
        <f>'North America'!A67+"$F;@!1%A"</f>
        <v>#VALUE!</v>
      </c>
      <c r="CJ310" t="e">
        <f>'North America'!B67+"$F;@!1%B"</f>
        <v>#VALUE!</v>
      </c>
      <c r="CK310" t="e">
        <f>'North America'!C67+"$F;@!1%C"</f>
        <v>#VALUE!</v>
      </c>
      <c r="CL310" t="e">
        <f>'North America'!D67+"$F;@!1%D"</f>
        <v>#VALUE!</v>
      </c>
      <c r="CM310" t="e">
        <f>'North America'!E67+"$F;@!1%E"</f>
        <v>#VALUE!</v>
      </c>
      <c r="CN310" t="e">
        <f>'North America'!F67+"$F;@!1%F"</f>
        <v>#VALUE!</v>
      </c>
      <c r="CO310" t="e">
        <f>'North America'!G67+"$F;@!1%G"</f>
        <v>#VALUE!</v>
      </c>
      <c r="CP310" t="e">
        <f>'North America'!H67+"$F;@!1%H"</f>
        <v>#VALUE!</v>
      </c>
      <c r="CQ310" t="e">
        <f>'North America'!A68+"$F;@!1%I"</f>
        <v>#VALUE!</v>
      </c>
      <c r="CR310" t="e">
        <f>'North America'!B68+"$F;@!1%J"</f>
        <v>#VALUE!</v>
      </c>
      <c r="CS310" t="e">
        <f>'North America'!C68+"$F;@!1%K"</f>
        <v>#VALUE!</v>
      </c>
      <c r="CT310" t="e">
        <f>'North America'!D68+"$F;@!1%L"</f>
        <v>#VALUE!</v>
      </c>
      <c r="CU310" t="e">
        <f>'North America'!E68+"$F;@!1%M"</f>
        <v>#VALUE!</v>
      </c>
      <c r="CV310" t="e">
        <f>'North America'!F68+"$F;@!1%N"</f>
        <v>#VALUE!</v>
      </c>
      <c r="CW310" t="e">
        <f>'North America'!G68+"$F;@!1%O"</f>
        <v>#VALUE!</v>
      </c>
      <c r="CX310" t="e">
        <f>'North America'!H68+"$F;@!1%P"</f>
        <v>#VALUE!</v>
      </c>
      <c r="CY310" t="e">
        <f>'North America'!A69+"$F;@!1%Q"</f>
        <v>#VALUE!</v>
      </c>
      <c r="CZ310" t="e">
        <f>'North America'!B69+"$F;@!1%R"</f>
        <v>#VALUE!</v>
      </c>
      <c r="DA310" t="e">
        <f>'North America'!C69+"$F;@!1%S"</f>
        <v>#VALUE!</v>
      </c>
      <c r="DB310" t="e">
        <f>'North America'!D69+"$F;@!1%T"</f>
        <v>#VALUE!</v>
      </c>
      <c r="DC310" t="e">
        <f>'North America'!E69+"$F;@!1%U"</f>
        <v>#VALUE!</v>
      </c>
      <c r="DD310" t="e">
        <f>'North America'!F69+"$F;@!1%V"</f>
        <v>#VALUE!</v>
      </c>
      <c r="DE310" t="e">
        <f>'North America'!G69+"$F;@!1%W"</f>
        <v>#VALUE!</v>
      </c>
      <c r="DF310" t="e">
        <f>'North America'!H69+"$F;@!1%X"</f>
        <v>#VALUE!</v>
      </c>
      <c r="DG310" t="e">
        <f>'North America'!A70+"$F;@!1%Y"</f>
        <v>#VALUE!</v>
      </c>
      <c r="DH310" t="e">
        <f>'North America'!B70+"$F;@!1%Z"</f>
        <v>#VALUE!</v>
      </c>
      <c r="DI310" t="e">
        <f>'North America'!C70+"$F;@!1%["</f>
        <v>#VALUE!</v>
      </c>
      <c r="DJ310" t="e">
        <f>'North America'!D70+"$F;@!1%\"</f>
        <v>#VALUE!</v>
      </c>
      <c r="DK310" t="e">
        <f>'North America'!E70+"$F;@!1%]"</f>
        <v>#VALUE!</v>
      </c>
      <c r="DL310" t="e">
        <f>'North America'!F70+"$F;@!1%^"</f>
        <v>#VALUE!</v>
      </c>
      <c r="DM310" t="e">
        <f>'North America'!G70+"$F;@!1%_"</f>
        <v>#VALUE!</v>
      </c>
      <c r="DN310" t="e">
        <f>'North America'!H70+"$F;@!1%`"</f>
        <v>#VALUE!</v>
      </c>
      <c r="DO310" t="e">
        <f>'North America'!A71+"$F;@!1%a"</f>
        <v>#VALUE!</v>
      </c>
      <c r="DP310" t="e">
        <f>'North America'!B71+"$F;@!1%b"</f>
        <v>#VALUE!</v>
      </c>
      <c r="DQ310" t="e">
        <f>'North America'!C71+"$F;@!1%c"</f>
        <v>#VALUE!</v>
      </c>
      <c r="DR310" t="e">
        <f>'North America'!D71+"$F;@!1%d"</f>
        <v>#VALUE!</v>
      </c>
      <c r="DS310" t="e">
        <f>'North America'!E71+"$F;@!1%e"</f>
        <v>#VALUE!</v>
      </c>
      <c r="DT310" t="e">
        <f>'North America'!F71+"$F;@!1%f"</f>
        <v>#VALUE!</v>
      </c>
      <c r="DU310" t="e">
        <f>'North America'!G71+"$F;@!1%g"</f>
        <v>#VALUE!</v>
      </c>
      <c r="DV310" t="e">
        <f>'North America'!H71+"$F;@!1%h"</f>
        <v>#VALUE!</v>
      </c>
      <c r="DW310" t="e">
        <f>'North America'!A72+"$F;@!1%i"</f>
        <v>#VALUE!</v>
      </c>
      <c r="DX310" t="e">
        <f>'North America'!B72+"$F;@!1%j"</f>
        <v>#VALUE!</v>
      </c>
      <c r="DY310" t="e">
        <f>'North America'!C72+"$F;@!1%k"</f>
        <v>#VALUE!</v>
      </c>
      <c r="DZ310" t="e">
        <f>'North America'!D72+"$F;@!1%l"</f>
        <v>#VALUE!</v>
      </c>
      <c r="EA310" t="e">
        <f>'North America'!E72+"$F;@!1%m"</f>
        <v>#VALUE!</v>
      </c>
      <c r="EB310" t="e">
        <f>'North America'!F72+"$F;@!1%n"</f>
        <v>#VALUE!</v>
      </c>
      <c r="EC310" t="e">
        <f>'North America'!G72+"$F;@!1%o"</f>
        <v>#VALUE!</v>
      </c>
      <c r="ED310" t="e">
        <f>'North America'!H72+"$F;@!1%p"</f>
        <v>#VALUE!</v>
      </c>
      <c r="EE310" t="e">
        <f>'North America'!A73+"$F;@!1%q"</f>
        <v>#VALUE!</v>
      </c>
      <c r="EF310" t="e">
        <f>'North America'!B73+"$F;@!1%r"</f>
        <v>#VALUE!</v>
      </c>
      <c r="EG310" t="e">
        <f>'North America'!C73+"$F;@!1%s"</f>
        <v>#VALUE!</v>
      </c>
      <c r="EH310" t="e">
        <f>'North America'!D73+"$F;@!1%t"</f>
        <v>#VALUE!</v>
      </c>
      <c r="EI310" t="e">
        <f>'North America'!E73+"$F;@!1%u"</f>
        <v>#VALUE!</v>
      </c>
      <c r="EJ310" t="e">
        <f>'North America'!F73+"$F;@!1%v"</f>
        <v>#VALUE!</v>
      </c>
      <c r="EK310" t="e">
        <f>'North America'!G73+"$F;@!1%w"</f>
        <v>#VALUE!</v>
      </c>
      <c r="EL310" t="e">
        <f>'North America'!H73+"$F;@!1%x"</f>
        <v>#VALUE!</v>
      </c>
      <c r="EM310" t="e">
        <f>'North America'!A74+"$F;@!1%y"</f>
        <v>#VALUE!</v>
      </c>
      <c r="EN310" t="e">
        <f>'North America'!B74+"$F;@!1%z"</f>
        <v>#VALUE!</v>
      </c>
      <c r="EO310" t="e">
        <f>'North America'!C74+"$F;@!1%{"</f>
        <v>#VALUE!</v>
      </c>
      <c r="EP310" t="e">
        <f>'North America'!D74+"$F;@!1%|"</f>
        <v>#VALUE!</v>
      </c>
      <c r="EQ310" t="e">
        <f>'North America'!E74+"$F;@!1%}"</f>
        <v>#VALUE!</v>
      </c>
      <c r="ER310" t="e">
        <f>'North America'!F74+"$F;@!1%~"</f>
        <v>#VALUE!</v>
      </c>
      <c r="ES310" t="e">
        <f>'North America'!G74+"$F;@!1&amp;#"</f>
        <v>#VALUE!</v>
      </c>
      <c r="ET310" t="e">
        <f>'North America'!H74+"$F;@!1&amp;$"</f>
        <v>#VALUE!</v>
      </c>
      <c r="EU310" t="e">
        <f>'North America'!A75+"$F;@!1&amp;%"</f>
        <v>#VALUE!</v>
      </c>
      <c r="EV310" t="e">
        <f>'North America'!B75+"$F;@!1&amp;&amp;"</f>
        <v>#VALUE!</v>
      </c>
      <c r="EW310" t="e">
        <f>'North America'!C75+"$F;@!1&amp;'"</f>
        <v>#VALUE!</v>
      </c>
      <c r="EX310" t="e">
        <f>'North America'!D75+"$F;@!1&amp;("</f>
        <v>#VALUE!</v>
      </c>
      <c r="EY310" t="e">
        <f>'North America'!E75+"$F;@!1&amp;)"</f>
        <v>#VALUE!</v>
      </c>
      <c r="EZ310" t="e">
        <f>'North America'!F75+"$F;@!1&amp;."</f>
        <v>#VALUE!</v>
      </c>
      <c r="FA310" t="e">
        <f>'North America'!G75+"$F;@!1&amp;/"</f>
        <v>#VALUE!</v>
      </c>
      <c r="FB310" t="e">
        <f>'North America'!H75+"$F;@!1&amp;0"</f>
        <v>#VALUE!</v>
      </c>
      <c r="FC310" t="e">
        <f>'North America'!A76+"$F;@!1&amp;1"</f>
        <v>#VALUE!</v>
      </c>
      <c r="FD310" t="e">
        <f>'North America'!B76+"$F;@!1&amp;2"</f>
        <v>#VALUE!</v>
      </c>
      <c r="FE310" t="e">
        <f>'North America'!C76+"$F;@!1&amp;3"</f>
        <v>#VALUE!</v>
      </c>
      <c r="FF310" t="e">
        <f>'North America'!D76+"$F;@!1&amp;4"</f>
        <v>#VALUE!</v>
      </c>
      <c r="FG310" t="e">
        <f>'North America'!E76+"$F;@!1&amp;5"</f>
        <v>#VALUE!</v>
      </c>
      <c r="FH310" t="e">
        <f>'North America'!F76+"$F;@!1&amp;6"</f>
        <v>#VALUE!</v>
      </c>
      <c r="FI310" t="e">
        <f>'North America'!G76+"$F;@!1&amp;7"</f>
        <v>#VALUE!</v>
      </c>
      <c r="FJ310" t="e">
        <f>'North America'!H76+"$F;@!1&amp;8"</f>
        <v>#VALUE!</v>
      </c>
      <c r="FK310" t="e">
        <f>'North America'!A77+"$F;@!1&amp;9"</f>
        <v>#VALUE!</v>
      </c>
      <c r="FL310" t="e">
        <f>'North America'!B77+"$F;@!1&amp;:"</f>
        <v>#VALUE!</v>
      </c>
      <c r="FM310" t="e">
        <f>'North America'!C77+"$F;@!1&amp;;"</f>
        <v>#VALUE!</v>
      </c>
      <c r="FN310" t="e">
        <f>'North America'!D77+"$F;@!1&amp;&lt;"</f>
        <v>#VALUE!</v>
      </c>
      <c r="FO310" t="e">
        <f>'North America'!E77+"$F;@!1&amp;="</f>
        <v>#VALUE!</v>
      </c>
      <c r="FP310" t="e">
        <f>'North America'!F77+"$F;@!1&amp;&gt;"</f>
        <v>#VALUE!</v>
      </c>
      <c r="FQ310" t="e">
        <f>'North America'!G77+"$F;@!1&amp;?"</f>
        <v>#VALUE!</v>
      </c>
      <c r="FR310" t="e">
        <f>'North America'!H77+"$F;@!1&amp;@"</f>
        <v>#VALUE!</v>
      </c>
      <c r="FS310" t="e">
        <f>'North America'!A78+"$F;@!1&amp;A"</f>
        <v>#VALUE!</v>
      </c>
      <c r="FT310" t="e">
        <f>'North America'!B78+"$F;@!1&amp;B"</f>
        <v>#VALUE!</v>
      </c>
      <c r="FU310" t="e">
        <f>'North America'!C78+"$F;@!1&amp;C"</f>
        <v>#VALUE!</v>
      </c>
      <c r="FV310" t="e">
        <f>'North America'!D78+"$F;@!1&amp;D"</f>
        <v>#VALUE!</v>
      </c>
      <c r="FW310" t="e">
        <f>'North America'!E78+"$F;@!1&amp;E"</f>
        <v>#VALUE!</v>
      </c>
      <c r="FX310" t="e">
        <f>'North America'!F78+"$F;@!1&amp;F"</f>
        <v>#VALUE!</v>
      </c>
      <c r="FY310" t="e">
        <f>'North America'!G78+"$F;@!1&amp;G"</f>
        <v>#VALUE!</v>
      </c>
      <c r="FZ310" t="e">
        <f>'North America'!H78+"$F;@!1&amp;H"</f>
        <v>#VALUE!</v>
      </c>
      <c r="GA310" t="e">
        <f>'North America'!A79+"$F;@!1&amp;I"</f>
        <v>#VALUE!</v>
      </c>
      <c r="GB310" t="e">
        <f>'North America'!B79+"$F;@!1&amp;J"</f>
        <v>#VALUE!</v>
      </c>
      <c r="GC310" t="e">
        <f>'North America'!C79+"$F;@!1&amp;K"</f>
        <v>#VALUE!</v>
      </c>
      <c r="GD310" t="e">
        <f>'North America'!D79+"$F;@!1&amp;L"</f>
        <v>#VALUE!</v>
      </c>
      <c r="GE310" t="e">
        <f>'North America'!E79+"$F;@!1&amp;M"</f>
        <v>#VALUE!</v>
      </c>
      <c r="GF310" t="e">
        <f>'North America'!F79+"$F;@!1&amp;N"</f>
        <v>#VALUE!</v>
      </c>
      <c r="GG310" t="e">
        <f>'North America'!G79+"$F;@!1&amp;O"</f>
        <v>#VALUE!</v>
      </c>
      <c r="GH310" t="e">
        <f>'North America'!H79+"$F;@!1&amp;P"</f>
        <v>#VALUE!</v>
      </c>
      <c r="GI310" t="e">
        <f>'North America'!A80+"$F;@!1&amp;Q"</f>
        <v>#VALUE!</v>
      </c>
      <c r="GJ310" t="e">
        <f>'North America'!B80+"$F;@!1&amp;R"</f>
        <v>#VALUE!</v>
      </c>
      <c r="GK310" t="e">
        <f>'North America'!C80+"$F;@!1&amp;S"</f>
        <v>#VALUE!</v>
      </c>
      <c r="GL310" t="e">
        <f>'North America'!D80+"$F;@!1&amp;T"</f>
        <v>#VALUE!</v>
      </c>
      <c r="GM310" t="e">
        <f>'North America'!E80+"$F;@!1&amp;U"</f>
        <v>#VALUE!</v>
      </c>
      <c r="GN310" t="e">
        <f>'North America'!F80+"$F;@!1&amp;V"</f>
        <v>#VALUE!</v>
      </c>
      <c r="GO310" t="e">
        <f>'North America'!G80+"$F;@!1&amp;W"</f>
        <v>#VALUE!</v>
      </c>
      <c r="GP310" t="e">
        <f>'North America'!H80+"$F;@!1&amp;X"</f>
        <v>#VALUE!</v>
      </c>
      <c r="GQ310" t="e">
        <f>'North America'!A81+"$F;@!1&amp;Y"</f>
        <v>#VALUE!</v>
      </c>
      <c r="GR310" t="e">
        <f>'North America'!B81+"$F;@!1&amp;Z"</f>
        <v>#VALUE!</v>
      </c>
      <c r="GS310" t="e">
        <f>'North America'!C81+"$F;@!1&amp;["</f>
        <v>#VALUE!</v>
      </c>
      <c r="GT310" t="e">
        <f>'North America'!D81+"$F;@!1&amp;\"</f>
        <v>#VALUE!</v>
      </c>
      <c r="GU310" t="e">
        <f>'North America'!E81+"$F;@!1&amp;]"</f>
        <v>#VALUE!</v>
      </c>
      <c r="GV310" t="e">
        <f>'North America'!F81+"$F;@!1&amp;^"</f>
        <v>#VALUE!</v>
      </c>
      <c r="GW310" t="e">
        <f>'North America'!G81+"$F;@!1&amp;_"</f>
        <v>#VALUE!</v>
      </c>
      <c r="GX310" t="e">
        <f>'North America'!H81+"$F;@!1&amp;`"</f>
        <v>#VALUE!</v>
      </c>
      <c r="GY310" t="e">
        <f>'North America'!A82+"$F;@!1&amp;a"</f>
        <v>#VALUE!</v>
      </c>
      <c r="GZ310" t="e">
        <f>'North America'!B82+"$F;@!1&amp;b"</f>
        <v>#VALUE!</v>
      </c>
      <c r="HA310" t="e">
        <f>'North America'!C82+"$F;@!1&amp;c"</f>
        <v>#VALUE!</v>
      </c>
      <c r="HB310" t="e">
        <f>'North America'!D82+"$F;@!1&amp;d"</f>
        <v>#VALUE!</v>
      </c>
      <c r="HC310" t="e">
        <f>'North America'!E82+"$F;@!1&amp;e"</f>
        <v>#VALUE!</v>
      </c>
      <c r="HD310" t="e">
        <f>'North America'!F82+"$F;@!1&amp;f"</f>
        <v>#VALUE!</v>
      </c>
      <c r="HE310" t="e">
        <f>'North America'!G82+"$F;@!1&amp;g"</f>
        <v>#VALUE!</v>
      </c>
      <c r="HF310" t="e">
        <f>'North America'!H82+"$F;@!1&amp;h"</f>
        <v>#VALUE!</v>
      </c>
      <c r="HG310" t="e">
        <f>'North America'!A83+"$F;@!1&amp;i"</f>
        <v>#VALUE!</v>
      </c>
      <c r="HH310" t="e">
        <f>'North America'!B83+"$F;@!1&amp;j"</f>
        <v>#VALUE!</v>
      </c>
      <c r="HI310" t="e">
        <f>'North America'!C83+"$F;@!1&amp;k"</f>
        <v>#VALUE!</v>
      </c>
      <c r="HJ310" t="e">
        <f>'North America'!D83+"$F;@!1&amp;l"</f>
        <v>#VALUE!</v>
      </c>
      <c r="HK310" t="e">
        <f>'North America'!E83+"$F;@!1&amp;m"</f>
        <v>#VALUE!</v>
      </c>
      <c r="HL310" t="e">
        <f>'North America'!F83+"$F;@!1&amp;n"</f>
        <v>#VALUE!</v>
      </c>
      <c r="HM310" t="e">
        <f>'North America'!G83+"$F;@!1&amp;o"</f>
        <v>#VALUE!</v>
      </c>
      <c r="HN310" t="e">
        <f>'North America'!H83+"$F;@!1&amp;p"</f>
        <v>#VALUE!</v>
      </c>
      <c r="HO310" t="e">
        <f>'North America'!A84+"$F;@!1&amp;q"</f>
        <v>#VALUE!</v>
      </c>
      <c r="HP310" t="e">
        <f>'North America'!B84+"$F;@!1&amp;r"</f>
        <v>#VALUE!</v>
      </c>
      <c r="HQ310" t="e">
        <f>'North America'!C84+"$F;@!1&amp;s"</f>
        <v>#VALUE!</v>
      </c>
      <c r="HR310" t="e">
        <f>'North America'!D84+"$F;@!1&amp;t"</f>
        <v>#VALUE!</v>
      </c>
      <c r="HS310" t="e">
        <f>'North America'!E84+"$F;@!1&amp;u"</f>
        <v>#VALUE!</v>
      </c>
      <c r="HT310" t="e">
        <f>'North America'!F84+"$F;@!1&amp;v"</f>
        <v>#VALUE!</v>
      </c>
      <c r="HU310" t="e">
        <f>'North America'!G84+"$F;@!1&amp;w"</f>
        <v>#VALUE!</v>
      </c>
      <c r="HV310" t="e">
        <f>'North America'!H84+"$F;@!1&amp;x"</f>
        <v>#VALUE!</v>
      </c>
      <c r="HW310" t="e">
        <f>'North America'!A85+"$F;@!1&amp;y"</f>
        <v>#VALUE!</v>
      </c>
      <c r="HX310" t="e">
        <f>'North America'!B85+"$F;@!1&amp;z"</f>
        <v>#VALUE!</v>
      </c>
      <c r="HY310" t="e">
        <f>'North America'!C85+"$F;@!1&amp;{"</f>
        <v>#VALUE!</v>
      </c>
      <c r="HZ310" t="e">
        <f>'North America'!D85+"$F;@!1&amp;|"</f>
        <v>#VALUE!</v>
      </c>
      <c r="IA310" t="e">
        <f>'North America'!E85+"$F;@!1&amp;}"</f>
        <v>#VALUE!</v>
      </c>
      <c r="IB310" t="e">
        <f>'North America'!F85+"$F;@!1&amp;~"</f>
        <v>#VALUE!</v>
      </c>
      <c r="IC310" t="e">
        <f>'North America'!G85+"$F;@!1'#"</f>
        <v>#VALUE!</v>
      </c>
      <c r="ID310" t="e">
        <f>'North America'!H85+"$F;@!1'$"</f>
        <v>#VALUE!</v>
      </c>
      <c r="IE310" t="e">
        <f>'North America'!A86+"$F;@!1'%"</f>
        <v>#VALUE!</v>
      </c>
      <c r="IF310" t="e">
        <f>'North America'!B86+"$F;@!1'&amp;"</f>
        <v>#VALUE!</v>
      </c>
      <c r="IG310" t="e">
        <f>'North America'!C86+"$F;@!1''"</f>
        <v>#VALUE!</v>
      </c>
      <c r="IH310" t="e">
        <f>'North America'!D86+"$F;@!1'("</f>
        <v>#VALUE!</v>
      </c>
      <c r="II310" t="e">
        <f>'North America'!E86+"$F;@!1')"</f>
        <v>#VALUE!</v>
      </c>
      <c r="IJ310" t="e">
        <f>'North America'!F86+"$F;@!1'."</f>
        <v>#VALUE!</v>
      </c>
      <c r="IK310" t="e">
        <f>'North America'!G86+"$F;@!1'/"</f>
        <v>#VALUE!</v>
      </c>
      <c r="IL310" t="e">
        <f>'North America'!H86+"$F;@!1'0"</f>
        <v>#VALUE!</v>
      </c>
      <c r="IM310" t="e">
        <f>'North America'!A87+"$F;@!1'1"</f>
        <v>#VALUE!</v>
      </c>
      <c r="IN310" t="e">
        <f>'North America'!B87+"$F;@!1'2"</f>
        <v>#VALUE!</v>
      </c>
      <c r="IO310" t="e">
        <f>'North America'!C87+"$F;@!1'3"</f>
        <v>#VALUE!</v>
      </c>
      <c r="IP310" t="e">
        <f>'North America'!D87+"$F;@!1'4"</f>
        <v>#VALUE!</v>
      </c>
      <c r="IQ310" t="e">
        <f>'North America'!E87+"$F;@!1'5"</f>
        <v>#VALUE!</v>
      </c>
      <c r="IR310" t="e">
        <f>'North America'!F87+"$F;@!1'6"</f>
        <v>#VALUE!</v>
      </c>
      <c r="IS310" t="e">
        <f>'North America'!G87+"$F;@!1'7"</f>
        <v>#VALUE!</v>
      </c>
      <c r="IT310" t="e">
        <f>'North America'!H87+"$F;@!1'8"</f>
        <v>#VALUE!</v>
      </c>
      <c r="IU310" t="e">
        <f>'North America'!A88+"$F;@!1'9"</f>
        <v>#VALUE!</v>
      </c>
      <c r="IV310" t="e">
        <f>'North America'!B88+"$F;@!1':"</f>
        <v>#VALUE!</v>
      </c>
    </row>
    <row r="311" spans="6:256" x14ac:dyDescent="0.35">
      <c r="F311" t="e">
        <f>'North America'!C88+"$F;@!1';"</f>
        <v>#VALUE!</v>
      </c>
      <c r="G311" t="e">
        <f>'North America'!D88+"$F;@!1'&lt;"</f>
        <v>#VALUE!</v>
      </c>
      <c r="H311" t="e">
        <f>'North America'!E88+"$F;@!1'="</f>
        <v>#VALUE!</v>
      </c>
      <c r="I311" t="e">
        <f>'North America'!F88+"$F;@!1'&gt;"</f>
        <v>#VALUE!</v>
      </c>
      <c r="J311" t="e">
        <f>'North America'!G88+"$F;@!1'?"</f>
        <v>#VALUE!</v>
      </c>
      <c r="K311" t="e">
        <f>'North America'!H88+"$F;@!1'@"</f>
        <v>#VALUE!</v>
      </c>
      <c r="L311" t="e">
        <f>'North America'!A89+"$F;@!1'A"</f>
        <v>#VALUE!</v>
      </c>
      <c r="M311" t="e">
        <f>'North America'!B89+"$F;@!1'B"</f>
        <v>#VALUE!</v>
      </c>
      <c r="N311" t="e">
        <f>'North America'!C89+"$F;@!1'C"</f>
        <v>#VALUE!</v>
      </c>
      <c r="O311" t="e">
        <f>'North America'!D89+"$F;@!1'D"</f>
        <v>#VALUE!</v>
      </c>
      <c r="P311" t="e">
        <f>'North America'!E89+"$F;@!1'E"</f>
        <v>#VALUE!</v>
      </c>
      <c r="Q311" t="e">
        <f>'North America'!F89+"$F;@!1'F"</f>
        <v>#VALUE!</v>
      </c>
      <c r="R311" t="e">
        <f>'North America'!G89+"$F;@!1'G"</f>
        <v>#VALUE!</v>
      </c>
      <c r="S311" t="e">
        <f>'North America'!H89+"$F;@!1'H"</f>
        <v>#VALUE!</v>
      </c>
      <c r="T311" t="e">
        <f>'North America'!A90+"$F;@!1'I"</f>
        <v>#VALUE!</v>
      </c>
      <c r="U311" t="e">
        <f>'North America'!B90+"$F;@!1'J"</f>
        <v>#VALUE!</v>
      </c>
      <c r="V311" t="e">
        <f>'North America'!C90+"$F;@!1'K"</f>
        <v>#VALUE!</v>
      </c>
      <c r="W311" t="e">
        <f>'North America'!D90+"$F;@!1'L"</f>
        <v>#VALUE!</v>
      </c>
      <c r="X311" t="e">
        <f>'North America'!E90+"$F;@!1'M"</f>
        <v>#VALUE!</v>
      </c>
      <c r="Y311" t="e">
        <f>'North America'!F90+"$F;@!1'N"</f>
        <v>#VALUE!</v>
      </c>
      <c r="Z311" t="e">
        <f>'North America'!G90+"$F;@!1'O"</f>
        <v>#VALUE!</v>
      </c>
      <c r="AA311" t="e">
        <f>'North America'!H90+"$F;@!1'P"</f>
        <v>#VALUE!</v>
      </c>
      <c r="AB311" t="e">
        <f>'North America'!A91+"$F;@!1'Q"</f>
        <v>#VALUE!</v>
      </c>
      <c r="AC311" t="e">
        <f>'North America'!B91+"$F;@!1'R"</f>
        <v>#VALUE!</v>
      </c>
      <c r="AD311" t="e">
        <f>'North America'!C91+"$F;@!1'S"</f>
        <v>#VALUE!</v>
      </c>
      <c r="AE311" t="e">
        <f>'North America'!D91+"$F;@!1'T"</f>
        <v>#VALUE!</v>
      </c>
      <c r="AF311" t="e">
        <f>'North America'!E91+"$F;@!1'U"</f>
        <v>#VALUE!</v>
      </c>
      <c r="AG311" t="e">
        <f>'North America'!F91+"$F;@!1'V"</f>
        <v>#VALUE!</v>
      </c>
      <c r="AH311" t="e">
        <f>'North America'!G91+"$F;@!1'W"</f>
        <v>#VALUE!</v>
      </c>
      <c r="AI311" t="e">
        <f>'North America'!H91+"$F;@!1'X"</f>
        <v>#VALUE!</v>
      </c>
      <c r="AJ311" t="e">
        <f>'North America'!A92+"$F;@!1'Y"</f>
        <v>#VALUE!</v>
      </c>
      <c r="AK311" t="e">
        <f>'North America'!B92+"$F;@!1'Z"</f>
        <v>#VALUE!</v>
      </c>
      <c r="AL311" t="e">
        <f>'North America'!C92+"$F;@!1'["</f>
        <v>#VALUE!</v>
      </c>
      <c r="AM311" t="e">
        <f>'North America'!D92+"$F;@!1'\"</f>
        <v>#VALUE!</v>
      </c>
      <c r="AN311" t="e">
        <f>'North America'!E92+"$F;@!1']"</f>
        <v>#VALUE!</v>
      </c>
      <c r="AO311" t="e">
        <f>'North America'!F92+"$F;@!1'^"</f>
        <v>#VALUE!</v>
      </c>
      <c r="AP311" t="e">
        <f>'North America'!G92+"$F;@!1'_"</f>
        <v>#VALUE!</v>
      </c>
      <c r="AQ311" t="e">
        <f>'North America'!H92+"$F;@!1'`"</f>
        <v>#VALUE!</v>
      </c>
      <c r="AR311" t="e">
        <f>'North America'!A93+"$F;@!1'a"</f>
        <v>#VALUE!</v>
      </c>
      <c r="AS311" t="e">
        <f>'North America'!B93+"$F;@!1'b"</f>
        <v>#VALUE!</v>
      </c>
      <c r="AT311" t="e">
        <f>'North America'!C93+"$F;@!1'c"</f>
        <v>#VALUE!</v>
      </c>
      <c r="AU311" t="e">
        <f>'North America'!D93+"$F;@!1'd"</f>
        <v>#VALUE!</v>
      </c>
      <c r="AV311" t="e">
        <f>'North America'!E93+"$F;@!1'e"</f>
        <v>#VALUE!</v>
      </c>
      <c r="AW311" t="e">
        <f>'North America'!F93+"$F;@!1'f"</f>
        <v>#VALUE!</v>
      </c>
      <c r="AX311" t="e">
        <f>'North America'!G93+"$F;@!1'g"</f>
        <v>#VALUE!</v>
      </c>
      <c r="AY311" t="e">
        <f>'North America'!H93+"$F;@!1'h"</f>
        <v>#VALUE!</v>
      </c>
      <c r="AZ311" t="e">
        <f>'North America'!A94+"$F;@!1'i"</f>
        <v>#VALUE!</v>
      </c>
      <c r="BA311" t="e">
        <f>'North America'!B94+"$F;@!1'j"</f>
        <v>#VALUE!</v>
      </c>
      <c r="BB311" t="e">
        <f>'North America'!C94+"$F;@!1'k"</f>
        <v>#VALUE!</v>
      </c>
      <c r="BC311" t="e">
        <f>'North America'!D94+"$F;@!1'l"</f>
        <v>#VALUE!</v>
      </c>
      <c r="BD311" t="e">
        <f>'North America'!E94+"$F;@!1'm"</f>
        <v>#VALUE!</v>
      </c>
      <c r="BE311" t="e">
        <f>'North America'!F94+"$F;@!1'n"</f>
        <v>#VALUE!</v>
      </c>
      <c r="BF311" t="e">
        <f>'North America'!G94+"$F;@!1'o"</f>
        <v>#VALUE!</v>
      </c>
      <c r="BG311" t="e">
        <f>'North America'!H94+"$F;@!1'p"</f>
        <v>#VALUE!</v>
      </c>
      <c r="BH311" t="e">
        <f>'North America'!A95+"$F;@!1'q"</f>
        <v>#VALUE!</v>
      </c>
      <c r="BI311" t="e">
        <f>'North America'!B95+"$F;@!1'r"</f>
        <v>#VALUE!</v>
      </c>
      <c r="BJ311" t="e">
        <f>'North America'!C95+"$F;@!1's"</f>
        <v>#VALUE!</v>
      </c>
      <c r="BK311" t="e">
        <f>'North America'!D95+"$F;@!1't"</f>
        <v>#VALUE!</v>
      </c>
      <c r="BL311" t="e">
        <f>'North America'!E95+"$F;@!1'u"</f>
        <v>#VALUE!</v>
      </c>
      <c r="BM311" t="e">
        <f>'North America'!F95+"$F;@!1'v"</f>
        <v>#VALUE!</v>
      </c>
      <c r="BN311" t="e">
        <f>'North America'!G95+"$F;@!1'w"</f>
        <v>#VALUE!</v>
      </c>
      <c r="BO311" t="e">
        <f>'North America'!H95+"$F;@!1'x"</f>
        <v>#VALUE!</v>
      </c>
      <c r="BP311" t="e">
        <f>'North America'!A96+"$F;@!1'y"</f>
        <v>#VALUE!</v>
      </c>
      <c r="BQ311" t="e">
        <f>'North America'!B96+"$F;@!1'z"</f>
        <v>#VALUE!</v>
      </c>
      <c r="BR311" t="e">
        <f>'North America'!C96+"$F;@!1'{"</f>
        <v>#VALUE!</v>
      </c>
      <c r="BS311" t="e">
        <f>'North America'!D96+"$F;@!1'|"</f>
        <v>#VALUE!</v>
      </c>
      <c r="BT311" t="e">
        <f>'North America'!E96+"$F;@!1'}"</f>
        <v>#VALUE!</v>
      </c>
      <c r="BU311" t="e">
        <f>'North America'!F96+"$F;@!1'~"</f>
        <v>#VALUE!</v>
      </c>
      <c r="BV311" t="e">
        <f>'North America'!G96+"$F;@!1(#"</f>
        <v>#VALUE!</v>
      </c>
      <c r="BW311" t="e">
        <f>'North America'!H96+"$F;@!1($"</f>
        <v>#VALUE!</v>
      </c>
      <c r="BX311" t="e">
        <f>'North America'!A97+"$F;@!1(%"</f>
        <v>#VALUE!</v>
      </c>
      <c r="BY311" t="e">
        <f>'North America'!B97+"$F;@!1(&amp;"</f>
        <v>#VALUE!</v>
      </c>
      <c r="BZ311" t="e">
        <f>'North America'!C97+"$F;@!1('"</f>
        <v>#VALUE!</v>
      </c>
      <c r="CA311" t="e">
        <f>'North America'!D97+"$F;@!1(("</f>
        <v>#VALUE!</v>
      </c>
      <c r="CB311" t="e">
        <f>'North America'!E97+"$F;@!1()"</f>
        <v>#VALUE!</v>
      </c>
      <c r="CC311" t="e">
        <f>'North America'!F97+"$F;@!1(."</f>
        <v>#VALUE!</v>
      </c>
      <c r="CD311" t="e">
        <f>'North America'!G97+"$F;@!1(/"</f>
        <v>#VALUE!</v>
      </c>
      <c r="CE311" t="e">
        <f>'North America'!H97+"$F;@!1(0"</f>
        <v>#VALUE!</v>
      </c>
      <c r="CF311" t="e">
        <f>'North America'!A98+"$F;@!1(1"</f>
        <v>#VALUE!</v>
      </c>
      <c r="CG311" t="e">
        <f>'North America'!B98+"$F;@!1(2"</f>
        <v>#VALUE!</v>
      </c>
      <c r="CH311" t="e">
        <f>'North America'!C98+"$F;@!1(3"</f>
        <v>#VALUE!</v>
      </c>
      <c r="CI311" t="e">
        <f>'North America'!D98+"$F;@!1(4"</f>
        <v>#VALUE!</v>
      </c>
      <c r="CJ311" t="e">
        <f>'North America'!E98+"$F;@!1(5"</f>
        <v>#VALUE!</v>
      </c>
      <c r="CK311" t="e">
        <f>'North America'!F98+"$F;@!1(6"</f>
        <v>#VALUE!</v>
      </c>
      <c r="CL311" t="e">
        <f>'North America'!G98+"$F;@!1(7"</f>
        <v>#VALUE!</v>
      </c>
      <c r="CM311" t="e">
        <f>'North America'!H98+"$F;@!1(8"</f>
        <v>#VALUE!</v>
      </c>
      <c r="CN311" t="e">
        <f>'North America'!A99+"$F;@!1(9"</f>
        <v>#VALUE!</v>
      </c>
      <c r="CO311" t="e">
        <f>'North America'!B99+"$F;@!1(:"</f>
        <v>#VALUE!</v>
      </c>
      <c r="CP311" t="e">
        <f>'North America'!C99+"$F;@!1(;"</f>
        <v>#VALUE!</v>
      </c>
      <c r="CQ311" t="e">
        <f>'North America'!D99+"$F;@!1(&lt;"</f>
        <v>#VALUE!</v>
      </c>
      <c r="CR311" t="e">
        <f>'North America'!E99+"$F;@!1(="</f>
        <v>#VALUE!</v>
      </c>
      <c r="CS311" t="e">
        <f>'North America'!F99+"$F;@!1(&gt;"</f>
        <v>#VALUE!</v>
      </c>
      <c r="CT311" t="e">
        <f>'North America'!G99+"$F;@!1(?"</f>
        <v>#VALUE!</v>
      </c>
      <c r="CU311" t="e">
        <f>'North America'!H99+"$F;@!1(@"</f>
        <v>#VALUE!</v>
      </c>
      <c r="CV311" t="e">
        <f>'North America'!A100+"$F;@!1(A"</f>
        <v>#VALUE!</v>
      </c>
      <c r="CW311" t="e">
        <f>'North America'!B100+"$F;@!1(B"</f>
        <v>#VALUE!</v>
      </c>
      <c r="CX311" t="e">
        <f>'North America'!C100+"$F;@!1(C"</f>
        <v>#VALUE!</v>
      </c>
      <c r="CY311" t="e">
        <f>'North America'!D100+"$F;@!1(D"</f>
        <v>#VALUE!</v>
      </c>
      <c r="CZ311" t="e">
        <f>'North America'!E100+"$F;@!1(E"</f>
        <v>#VALUE!</v>
      </c>
      <c r="DA311" t="e">
        <f>'North America'!F100+"$F;@!1(F"</f>
        <v>#VALUE!</v>
      </c>
      <c r="DB311" t="e">
        <f>'North America'!G100+"$F;@!1(G"</f>
        <v>#VALUE!</v>
      </c>
      <c r="DC311" t="e">
        <f>'North America'!H100+"$F;@!1(H"</f>
        <v>#VALUE!</v>
      </c>
      <c r="DD311" t="e">
        <f>'North America'!A101+"$F;@!1(I"</f>
        <v>#VALUE!</v>
      </c>
      <c r="DE311" t="e">
        <f>'North America'!B101+"$F;@!1(J"</f>
        <v>#VALUE!</v>
      </c>
      <c r="DF311" t="e">
        <f>'North America'!C101+"$F;@!1(K"</f>
        <v>#VALUE!</v>
      </c>
      <c r="DG311" t="e">
        <f>'North America'!D101+"$F;@!1(L"</f>
        <v>#VALUE!</v>
      </c>
      <c r="DH311" t="e">
        <f>'North America'!E101+"$F;@!1(M"</f>
        <v>#VALUE!</v>
      </c>
      <c r="DI311" t="e">
        <f>'North America'!F101+"$F;@!1(N"</f>
        <v>#VALUE!</v>
      </c>
      <c r="DJ311" t="e">
        <f>'North America'!G101+"$F;@!1(O"</f>
        <v>#VALUE!</v>
      </c>
      <c r="DK311" t="e">
        <f>'North America'!H101+"$F;@!1(P"</f>
        <v>#VALUE!</v>
      </c>
      <c r="DL311" t="e">
        <f>'North America'!A102+"$F;@!1(Q"</f>
        <v>#VALUE!</v>
      </c>
      <c r="DM311" t="e">
        <f>'North America'!B102+"$F;@!1(R"</f>
        <v>#VALUE!</v>
      </c>
      <c r="DN311" t="e">
        <f>'North America'!C102+"$F;@!1(S"</f>
        <v>#VALUE!</v>
      </c>
      <c r="DO311" t="e">
        <f>'North America'!D102+"$F;@!1(T"</f>
        <v>#VALUE!</v>
      </c>
      <c r="DP311" t="e">
        <f>'North America'!E102+"$F;@!1(U"</f>
        <v>#VALUE!</v>
      </c>
      <c r="DQ311" t="e">
        <f>'North America'!F102+"$F;@!1(V"</f>
        <v>#VALUE!</v>
      </c>
      <c r="DR311" t="e">
        <f>'North America'!G102+"$F;@!1(W"</f>
        <v>#VALUE!</v>
      </c>
      <c r="DS311" t="e">
        <f>'North America'!H102+"$F;@!1(X"</f>
        <v>#VALUE!</v>
      </c>
      <c r="DT311" t="e">
        <f>'North America'!A103+"$F;@!1(Y"</f>
        <v>#VALUE!</v>
      </c>
      <c r="DU311" t="e">
        <f>'North America'!B103+"$F;@!1(Z"</f>
        <v>#VALUE!</v>
      </c>
      <c r="DV311" t="e">
        <f>'North America'!C103+"$F;@!1(["</f>
        <v>#VALUE!</v>
      </c>
      <c r="DW311" t="e">
        <f>'North America'!D103+"$F;@!1(\"</f>
        <v>#VALUE!</v>
      </c>
      <c r="DX311" t="e">
        <f>'North America'!E103+"$F;@!1(]"</f>
        <v>#VALUE!</v>
      </c>
      <c r="DY311" t="e">
        <f>'North America'!F103+"$F;@!1(^"</f>
        <v>#VALUE!</v>
      </c>
      <c r="DZ311" t="e">
        <f>'North America'!G103+"$F;@!1(_"</f>
        <v>#VALUE!</v>
      </c>
      <c r="EA311" t="e">
        <f>'North America'!H103+"$F;@!1(`"</f>
        <v>#VALUE!</v>
      </c>
      <c r="EB311" t="e">
        <f>'North America'!A104+"$F;@!1(a"</f>
        <v>#VALUE!</v>
      </c>
      <c r="EC311" t="e">
        <f>'North America'!B104+"$F;@!1(b"</f>
        <v>#VALUE!</v>
      </c>
      <c r="ED311" t="e">
        <f>'North America'!C104+"$F;@!1(c"</f>
        <v>#VALUE!</v>
      </c>
      <c r="EE311" t="e">
        <f>'North America'!D104+"$F;@!1(d"</f>
        <v>#VALUE!</v>
      </c>
      <c r="EF311" t="e">
        <f>'North America'!E104+"$F;@!1(e"</f>
        <v>#VALUE!</v>
      </c>
      <c r="EG311" t="e">
        <f>'North America'!F104+"$F;@!1(f"</f>
        <v>#VALUE!</v>
      </c>
      <c r="EH311" t="e">
        <f>'North America'!G104+"$F;@!1(g"</f>
        <v>#VALUE!</v>
      </c>
      <c r="EI311" t="e">
        <f>'North America'!H104+"$F;@!1(h"</f>
        <v>#VALUE!</v>
      </c>
      <c r="EJ311" t="e">
        <f>'North America'!A105+"$F;@!1(i"</f>
        <v>#VALUE!</v>
      </c>
      <c r="EK311" t="e">
        <f>'North America'!B105+"$F;@!1(j"</f>
        <v>#VALUE!</v>
      </c>
      <c r="EL311" t="e">
        <f>'North America'!C105+"$F;@!1(k"</f>
        <v>#VALUE!</v>
      </c>
      <c r="EM311" t="e">
        <f>'North America'!D105+"$F;@!1(l"</f>
        <v>#VALUE!</v>
      </c>
      <c r="EN311" t="e">
        <f>'North America'!E105+"$F;@!1(m"</f>
        <v>#VALUE!</v>
      </c>
      <c r="EO311" t="e">
        <f>'North America'!F105+"$F;@!1(n"</f>
        <v>#VALUE!</v>
      </c>
      <c r="EP311" t="e">
        <f>'North America'!G105+"$F;@!1(o"</f>
        <v>#VALUE!</v>
      </c>
      <c r="EQ311" t="e">
        <f>'North America'!H105+"$F;@!1(p"</f>
        <v>#VALUE!</v>
      </c>
      <c r="ER311" t="e">
        <f>'North America'!A106+"$F;@!1(q"</f>
        <v>#VALUE!</v>
      </c>
      <c r="ES311" t="e">
        <f>'North America'!B106+"$F;@!1(r"</f>
        <v>#VALUE!</v>
      </c>
      <c r="ET311" t="e">
        <f>'North America'!C106+"$F;@!1(s"</f>
        <v>#VALUE!</v>
      </c>
      <c r="EU311" t="e">
        <f>'North America'!D106+"$F;@!1(t"</f>
        <v>#VALUE!</v>
      </c>
      <c r="EV311" t="e">
        <f>'North America'!E106+"$F;@!1(u"</f>
        <v>#VALUE!</v>
      </c>
      <c r="EW311" t="e">
        <f>'North America'!F106+"$F;@!1(v"</f>
        <v>#VALUE!</v>
      </c>
      <c r="EX311" t="e">
        <f>'North America'!G106+"$F;@!1(w"</f>
        <v>#VALUE!</v>
      </c>
      <c r="EY311" t="e">
        <f>'North America'!H106+"$F;@!1(x"</f>
        <v>#VALUE!</v>
      </c>
      <c r="EZ311" t="e">
        <f>'North America'!A107+"$F;@!1(y"</f>
        <v>#VALUE!</v>
      </c>
      <c r="FA311" t="e">
        <f>'North America'!B107+"$F;@!1(z"</f>
        <v>#VALUE!</v>
      </c>
      <c r="FB311" t="e">
        <f>'North America'!C107+"$F;@!1({"</f>
        <v>#VALUE!</v>
      </c>
      <c r="FC311" t="e">
        <f>'North America'!D107+"$F;@!1(|"</f>
        <v>#VALUE!</v>
      </c>
      <c r="FD311" t="e">
        <f>'North America'!E107+"$F;@!1(}"</f>
        <v>#VALUE!</v>
      </c>
      <c r="FE311" t="e">
        <f>'North America'!F107+"$F;@!1(~"</f>
        <v>#VALUE!</v>
      </c>
      <c r="FF311" t="e">
        <f>'North America'!G107+"$F;@!1)#"</f>
        <v>#VALUE!</v>
      </c>
      <c r="FG311" t="e">
        <f>'North America'!H107+"$F;@!1)$"</f>
        <v>#VALUE!</v>
      </c>
      <c r="FH311" t="e">
        <f>'North America'!A108+"$F;@!1)%"</f>
        <v>#VALUE!</v>
      </c>
      <c r="FI311" t="e">
        <f>'North America'!B108+"$F;@!1)&amp;"</f>
        <v>#VALUE!</v>
      </c>
      <c r="FJ311" t="e">
        <f>'North America'!C108+"$F;@!1)'"</f>
        <v>#VALUE!</v>
      </c>
      <c r="FK311" t="e">
        <f>'North America'!D108+"$F;@!1)("</f>
        <v>#VALUE!</v>
      </c>
      <c r="FL311" t="e">
        <f>'North America'!E108+"$F;@!1))"</f>
        <v>#VALUE!</v>
      </c>
      <c r="FM311" t="e">
        <f>'North America'!F108+"$F;@!1)."</f>
        <v>#VALUE!</v>
      </c>
      <c r="FN311" t="e">
        <f>'North America'!G108+"$F;@!1)/"</f>
        <v>#VALUE!</v>
      </c>
      <c r="FO311" t="e">
        <f>'North America'!H108+"$F;@!1)0"</f>
        <v>#VALUE!</v>
      </c>
      <c r="FP311" t="e">
        <f>'North America'!A109+"$F;@!1)1"</f>
        <v>#VALUE!</v>
      </c>
      <c r="FQ311" t="e">
        <f>'North America'!B109+"$F;@!1)2"</f>
        <v>#VALUE!</v>
      </c>
      <c r="FR311" t="e">
        <f>'North America'!C109+"$F;@!1)3"</f>
        <v>#VALUE!</v>
      </c>
      <c r="FS311" t="e">
        <f>'North America'!D109+"$F;@!1)4"</f>
        <v>#VALUE!</v>
      </c>
      <c r="FT311" t="e">
        <f>'North America'!E109+"$F;@!1)5"</f>
        <v>#VALUE!</v>
      </c>
      <c r="FU311" t="e">
        <f>'North America'!F109+"$F;@!1)6"</f>
        <v>#VALUE!</v>
      </c>
      <c r="FV311" t="e">
        <f>'North America'!G109+"$F;@!1)7"</f>
        <v>#VALUE!</v>
      </c>
      <c r="FW311" t="e">
        <f>'North America'!H109+"$F;@!1)8"</f>
        <v>#VALUE!</v>
      </c>
      <c r="FX311" t="e">
        <f>'North America'!A110+"$F;@!1)9"</f>
        <v>#VALUE!</v>
      </c>
      <c r="FY311" t="e">
        <f>'North America'!B110+"$F;@!1):"</f>
        <v>#VALUE!</v>
      </c>
      <c r="FZ311" t="e">
        <f>'North America'!C110+"$F;@!1);"</f>
        <v>#VALUE!</v>
      </c>
      <c r="GA311" t="e">
        <f>'North America'!D110+"$F;@!1)&lt;"</f>
        <v>#VALUE!</v>
      </c>
      <c r="GB311" t="e">
        <f>'North America'!E110+"$F;@!1)="</f>
        <v>#VALUE!</v>
      </c>
      <c r="GC311" t="e">
        <f>'North America'!F110+"$F;@!1)&gt;"</f>
        <v>#VALUE!</v>
      </c>
      <c r="GD311" t="e">
        <f>'North America'!G110+"$F;@!1)?"</f>
        <v>#VALUE!</v>
      </c>
      <c r="GE311" t="e">
        <f>'North America'!H110+"$F;@!1)@"</f>
        <v>#VALUE!</v>
      </c>
      <c r="GF311" t="e">
        <f>'North America'!A111+"$F;@!1)A"</f>
        <v>#VALUE!</v>
      </c>
      <c r="GG311" t="e">
        <f>'North America'!B111+"$F;@!1)B"</f>
        <v>#VALUE!</v>
      </c>
      <c r="GH311" t="e">
        <f>'North America'!C111+"$F;@!1)C"</f>
        <v>#VALUE!</v>
      </c>
      <c r="GI311" t="e">
        <f>'North America'!D111+"$F;@!1)D"</f>
        <v>#VALUE!</v>
      </c>
      <c r="GJ311" t="e">
        <f>'North America'!E111+"$F;@!1)E"</f>
        <v>#VALUE!</v>
      </c>
      <c r="GK311" t="e">
        <f>'North America'!F111+"$F;@!1)F"</f>
        <v>#VALUE!</v>
      </c>
      <c r="GL311" t="e">
        <f>'North America'!G111+"$F;@!1)G"</f>
        <v>#VALUE!</v>
      </c>
      <c r="GM311" t="e">
        <f>'North America'!H111+"$F;@!1)H"</f>
        <v>#VALUE!</v>
      </c>
      <c r="GN311" t="e">
        <f>'North America'!A112+"$F;@!1)I"</f>
        <v>#VALUE!</v>
      </c>
      <c r="GO311" t="e">
        <f>'North America'!B112+"$F;@!1)J"</f>
        <v>#VALUE!</v>
      </c>
      <c r="GP311" t="e">
        <f>'North America'!C112+"$F;@!1)K"</f>
        <v>#VALUE!</v>
      </c>
      <c r="GQ311" t="e">
        <f>'North America'!D112+"$F;@!1)L"</f>
        <v>#VALUE!</v>
      </c>
      <c r="GR311" t="e">
        <f>'North America'!E112+"$F;@!1)M"</f>
        <v>#VALUE!</v>
      </c>
      <c r="GS311" t="e">
        <f>'North America'!F112+"$F;@!1)N"</f>
        <v>#VALUE!</v>
      </c>
      <c r="GT311" t="e">
        <f>'North America'!G112+"$F;@!1)O"</f>
        <v>#VALUE!</v>
      </c>
      <c r="GU311" t="e">
        <f>'North America'!H112+"$F;@!1)P"</f>
        <v>#VALUE!</v>
      </c>
      <c r="GV311" t="e">
        <f>'North America'!A113+"$F;@!1)Q"</f>
        <v>#VALUE!</v>
      </c>
      <c r="GW311" t="e">
        <f>'North America'!B113+"$F;@!1)R"</f>
        <v>#VALUE!</v>
      </c>
      <c r="GX311" t="e">
        <f>'North America'!C113+"$F;@!1)S"</f>
        <v>#VALUE!</v>
      </c>
      <c r="GY311" t="e">
        <f>'North America'!D113+"$F;@!1)T"</f>
        <v>#VALUE!</v>
      </c>
      <c r="GZ311" t="e">
        <f>'North America'!E113+"$F;@!1)U"</f>
        <v>#VALUE!</v>
      </c>
      <c r="HA311" t="e">
        <f>'North America'!F113+"$F;@!1)V"</f>
        <v>#VALUE!</v>
      </c>
      <c r="HB311" t="e">
        <f>'North America'!G113+"$F;@!1)W"</f>
        <v>#VALUE!</v>
      </c>
      <c r="HC311" t="e">
        <f>'North America'!H113+"$F;@!1)X"</f>
        <v>#VALUE!</v>
      </c>
      <c r="HD311" t="e">
        <f>'North America'!A114+"$F;@!1)Y"</f>
        <v>#VALUE!</v>
      </c>
      <c r="HE311" t="e">
        <f>'North America'!B114+"$F;@!1)Z"</f>
        <v>#VALUE!</v>
      </c>
      <c r="HF311" t="e">
        <f>'North America'!C114+"$F;@!1)["</f>
        <v>#VALUE!</v>
      </c>
      <c r="HG311" t="e">
        <f>'North America'!D114+"$F;@!1)\"</f>
        <v>#VALUE!</v>
      </c>
      <c r="HH311" t="e">
        <f>'North America'!E114+"$F;@!1)]"</f>
        <v>#VALUE!</v>
      </c>
      <c r="HI311" t="e">
        <f>'North America'!F114+"$F;@!1)^"</f>
        <v>#VALUE!</v>
      </c>
      <c r="HJ311" t="e">
        <f>'North America'!G114+"$F;@!1)_"</f>
        <v>#VALUE!</v>
      </c>
      <c r="HK311" t="e">
        <f>'North America'!H114+"$F;@!1)`"</f>
        <v>#VALUE!</v>
      </c>
      <c r="HL311" t="e">
        <f>'North America'!A115+"$F;@!1)a"</f>
        <v>#VALUE!</v>
      </c>
      <c r="HM311" t="e">
        <f>'North America'!B115+"$F;@!1)b"</f>
        <v>#VALUE!</v>
      </c>
      <c r="HN311" t="e">
        <f>'North America'!C115+"$F;@!1)c"</f>
        <v>#VALUE!</v>
      </c>
      <c r="HO311" t="e">
        <f>'North America'!D115+"$F;@!1)d"</f>
        <v>#VALUE!</v>
      </c>
      <c r="HP311" t="e">
        <f>'North America'!E115+"$F;@!1)e"</f>
        <v>#VALUE!</v>
      </c>
      <c r="HQ311" t="e">
        <f>'North America'!F115+"$F;@!1)f"</f>
        <v>#VALUE!</v>
      </c>
      <c r="HR311" t="e">
        <f>'North America'!G115+"$F;@!1)g"</f>
        <v>#VALUE!</v>
      </c>
      <c r="HS311" t="e">
        <f>'North America'!H115+"$F;@!1)h"</f>
        <v>#VALUE!</v>
      </c>
      <c r="HT311" t="e">
        <f>'North America'!A116+"$F;@!1)i"</f>
        <v>#VALUE!</v>
      </c>
      <c r="HU311" t="e">
        <f>'North America'!B116+"$F;@!1)j"</f>
        <v>#VALUE!</v>
      </c>
      <c r="HV311" t="e">
        <f>'North America'!C116+"$F;@!1)k"</f>
        <v>#VALUE!</v>
      </c>
      <c r="HW311" t="e">
        <f>'North America'!D116+"$F;@!1)l"</f>
        <v>#VALUE!</v>
      </c>
      <c r="HX311" t="e">
        <f>'North America'!E116+"$F;@!1)m"</f>
        <v>#VALUE!</v>
      </c>
      <c r="HY311" t="e">
        <f>'North America'!F116+"$F;@!1)n"</f>
        <v>#VALUE!</v>
      </c>
      <c r="HZ311" t="e">
        <f>'North America'!G116+"$F;@!1)o"</f>
        <v>#VALUE!</v>
      </c>
      <c r="IA311" t="e">
        <f>'North America'!H116+"$F;@!1)p"</f>
        <v>#VALUE!</v>
      </c>
      <c r="IB311" t="e">
        <f>'North America'!A117+"$F;@!1)q"</f>
        <v>#VALUE!</v>
      </c>
      <c r="IC311" t="e">
        <f>'North America'!B117+"$F;@!1)r"</f>
        <v>#VALUE!</v>
      </c>
      <c r="ID311" t="e">
        <f>'North America'!C117+"$F;@!1)s"</f>
        <v>#VALUE!</v>
      </c>
      <c r="IE311" t="e">
        <f>'North America'!D117+"$F;@!1)t"</f>
        <v>#VALUE!</v>
      </c>
      <c r="IF311" t="e">
        <f>'North America'!E117+"$F;@!1)u"</f>
        <v>#VALUE!</v>
      </c>
      <c r="IG311" t="e">
        <f>'North America'!F117+"$F;@!1)v"</f>
        <v>#VALUE!</v>
      </c>
      <c r="IH311" t="e">
        <f>'North America'!G117+"$F;@!1)w"</f>
        <v>#VALUE!</v>
      </c>
      <c r="II311" t="e">
        <f>'North America'!H117+"$F;@!1)x"</f>
        <v>#VALUE!</v>
      </c>
      <c r="IJ311" t="e">
        <f>'North America'!A118+"$F;@!1)y"</f>
        <v>#VALUE!</v>
      </c>
      <c r="IK311" t="e">
        <f>'North America'!B118+"$F;@!1)z"</f>
        <v>#VALUE!</v>
      </c>
      <c r="IL311" t="e">
        <f>'North America'!C118+"$F;@!1){"</f>
        <v>#VALUE!</v>
      </c>
      <c r="IM311" t="e">
        <f>'North America'!D118+"$F;@!1)|"</f>
        <v>#VALUE!</v>
      </c>
      <c r="IN311" t="e">
        <f>'North America'!E118+"$F;@!1)}"</f>
        <v>#VALUE!</v>
      </c>
      <c r="IO311" t="e">
        <f>'North America'!F118+"$F;@!1)~"</f>
        <v>#VALUE!</v>
      </c>
      <c r="IP311" t="e">
        <f>'North America'!G118+"$F;@!1.#"</f>
        <v>#VALUE!</v>
      </c>
      <c r="IQ311" t="e">
        <f>'North America'!H118+"$F;@!1.$"</f>
        <v>#VALUE!</v>
      </c>
      <c r="IR311" t="e">
        <f>'North America'!A119+"$F;@!1.%"</f>
        <v>#VALUE!</v>
      </c>
      <c r="IS311" t="e">
        <f>'North America'!B119+"$F;@!1.&amp;"</f>
        <v>#VALUE!</v>
      </c>
      <c r="IT311" t="e">
        <f>'North America'!C119+"$F;@!1.'"</f>
        <v>#VALUE!</v>
      </c>
      <c r="IU311" t="e">
        <f>'North America'!D119+"$F;@!1.("</f>
        <v>#VALUE!</v>
      </c>
      <c r="IV311" t="e">
        <f>'North America'!E119+"$F;@!1.)"</f>
        <v>#VALUE!</v>
      </c>
    </row>
    <row r="312" spans="6:256" x14ac:dyDescent="0.35">
      <c r="F312" t="e">
        <f>'North America'!F119+"$F;@!1.."</f>
        <v>#VALUE!</v>
      </c>
      <c r="G312" t="e">
        <f>'North America'!G119+"$F;@!1./"</f>
        <v>#VALUE!</v>
      </c>
      <c r="H312" t="e">
        <f>'North America'!H119+"$F;@!1.0"</f>
        <v>#VALUE!</v>
      </c>
      <c r="I312" t="e">
        <f>'North America'!A120+"$F;@!1.1"</f>
        <v>#VALUE!</v>
      </c>
      <c r="J312" t="e">
        <f>'North America'!B120+"$F;@!1.2"</f>
        <v>#VALUE!</v>
      </c>
      <c r="K312" t="e">
        <f>'North America'!C120+"$F;@!1.3"</f>
        <v>#VALUE!</v>
      </c>
      <c r="L312" t="e">
        <f>'North America'!D120+"$F;@!1.4"</f>
        <v>#VALUE!</v>
      </c>
      <c r="M312" t="e">
        <f>'North America'!E120+"$F;@!1.5"</f>
        <v>#VALUE!</v>
      </c>
      <c r="N312" t="e">
        <f>'North America'!F120+"$F;@!1.6"</f>
        <v>#VALUE!</v>
      </c>
      <c r="O312" t="e">
        <f>'North America'!G120+"$F;@!1.7"</f>
        <v>#VALUE!</v>
      </c>
      <c r="P312" t="e">
        <f>'North America'!H120+"$F;@!1.8"</f>
        <v>#VALUE!</v>
      </c>
      <c r="Q312" t="e">
        <f>'North America'!A121+"$F;@!1.9"</f>
        <v>#VALUE!</v>
      </c>
      <c r="R312" t="e">
        <f>'North America'!B121+"$F;@!1.:"</f>
        <v>#VALUE!</v>
      </c>
      <c r="S312" t="e">
        <f>'North America'!C121+"$F;@!1.;"</f>
        <v>#VALUE!</v>
      </c>
      <c r="T312" t="e">
        <f>'North America'!D121+"$F;@!1.&lt;"</f>
        <v>#VALUE!</v>
      </c>
      <c r="U312" t="e">
        <f>'North America'!E121+"$F;@!1.="</f>
        <v>#VALUE!</v>
      </c>
      <c r="V312" t="e">
        <f>'North America'!F121+"$F;@!1.&gt;"</f>
        <v>#VALUE!</v>
      </c>
      <c r="W312" t="e">
        <f>'North America'!G121+"$F;@!1.?"</f>
        <v>#VALUE!</v>
      </c>
      <c r="X312" t="e">
        <f>'North America'!H121+"$F;@!1.@"</f>
        <v>#VALUE!</v>
      </c>
      <c r="Y312" t="e">
        <f>'North America'!A122+"$F;@!1.A"</f>
        <v>#VALUE!</v>
      </c>
      <c r="Z312" t="e">
        <f>'North America'!B122+"$F;@!1.B"</f>
        <v>#VALUE!</v>
      </c>
      <c r="AA312" t="e">
        <f>'North America'!C122+"$F;@!1.C"</f>
        <v>#VALUE!</v>
      </c>
      <c r="AB312" t="e">
        <f>'North America'!D122+"$F;@!1.D"</f>
        <v>#VALUE!</v>
      </c>
      <c r="AC312" t="e">
        <f>'North America'!E122+"$F;@!1.E"</f>
        <v>#VALUE!</v>
      </c>
      <c r="AD312" t="e">
        <f>'North America'!F122+"$F;@!1.F"</f>
        <v>#VALUE!</v>
      </c>
      <c r="AE312" t="e">
        <f>'North America'!G122+"$F;@!1.G"</f>
        <v>#VALUE!</v>
      </c>
      <c r="AF312" t="e">
        <f>'North America'!H122+"$F;@!1.H"</f>
        <v>#VALUE!</v>
      </c>
      <c r="AG312" t="e">
        <f>'North America'!A123+"$F;@!1.I"</f>
        <v>#VALUE!</v>
      </c>
      <c r="AH312" t="e">
        <f>'North America'!B123+"$F;@!1.J"</f>
        <v>#VALUE!</v>
      </c>
      <c r="AI312" t="e">
        <f>'North America'!C123+"$F;@!1.K"</f>
        <v>#VALUE!</v>
      </c>
      <c r="AJ312" t="e">
        <f>'North America'!D123+"$F;@!1.L"</f>
        <v>#VALUE!</v>
      </c>
      <c r="AK312" t="e">
        <f>'North America'!E123+"$F;@!1.M"</f>
        <v>#VALUE!</v>
      </c>
      <c r="AL312" t="e">
        <f>'North America'!F123+"$F;@!1.N"</f>
        <v>#VALUE!</v>
      </c>
      <c r="AM312" t="e">
        <f>'North America'!G123+"$F;@!1.O"</f>
        <v>#VALUE!</v>
      </c>
      <c r="AN312" t="e">
        <f>'North America'!H123+"$F;@!1.P"</f>
        <v>#VALUE!</v>
      </c>
      <c r="AO312" t="e">
        <f>'North America'!A124+"$F;@!1.Q"</f>
        <v>#VALUE!</v>
      </c>
      <c r="AP312" t="e">
        <f>'North America'!B124+"$F;@!1.R"</f>
        <v>#VALUE!</v>
      </c>
      <c r="AQ312" t="e">
        <f>'North America'!C124+"$F;@!1.S"</f>
        <v>#VALUE!</v>
      </c>
      <c r="AR312" t="e">
        <f>'North America'!D124+"$F;@!1.T"</f>
        <v>#VALUE!</v>
      </c>
      <c r="AS312" t="e">
        <f>'North America'!E124+"$F;@!1.U"</f>
        <v>#VALUE!</v>
      </c>
      <c r="AT312" t="e">
        <f>'North America'!F124+"$F;@!1.V"</f>
        <v>#VALUE!</v>
      </c>
      <c r="AU312" t="e">
        <f>'North America'!G124+"$F;@!1.W"</f>
        <v>#VALUE!</v>
      </c>
      <c r="AV312" t="e">
        <f>'North America'!H124+"$F;@!1.X"</f>
        <v>#VALUE!</v>
      </c>
      <c r="AW312" t="e">
        <f>'North America'!A125+"$F;@!1.Y"</f>
        <v>#VALUE!</v>
      </c>
      <c r="AX312" t="e">
        <f>'North America'!B125+"$F;@!1.Z"</f>
        <v>#VALUE!</v>
      </c>
      <c r="AY312" t="e">
        <f>'North America'!C125+"$F;@!1.["</f>
        <v>#VALUE!</v>
      </c>
      <c r="AZ312" t="e">
        <f>'North America'!D125+"$F;@!1.\"</f>
        <v>#VALUE!</v>
      </c>
      <c r="BA312" t="e">
        <f>'North America'!E125+"$F;@!1.]"</f>
        <v>#VALUE!</v>
      </c>
      <c r="BB312" t="e">
        <f>'North America'!F125+"$F;@!1.^"</f>
        <v>#VALUE!</v>
      </c>
      <c r="BC312" t="e">
        <f>'North America'!G125+"$F;@!1._"</f>
        <v>#VALUE!</v>
      </c>
      <c r="BD312" t="e">
        <f>'North America'!H125+"$F;@!1.`"</f>
        <v>#VALUE!</v>
      </c>
      <c r="BE312" t="e">
        <f>'North America'!A126+"$F;@!1.a"</f>
        <v>#VALUE!</v>
      </c>
      <c r="BF312" t="e">
        <f>'North America'!B126+"$F;@!1.b"</f>
        <v>#VALUE!</v>
      </c>
      <c r="BG312" t="e">
        <f>'North America'!C126+"$F;@!1.c"</f>
        <v>#VALUE!</v>
      </c>
      <c r="BH312" t="e">
        <f>'North America'!D126+"$F;@!1.d"</f>
        <v>#VALUE!</v>
      </c>
      <c r="BI312" t="e">
        <f>'North America'!E126+"$F;@!1.e"</f>
        <v>#VALUE!</v>
      </c>
      <c r="BJ312" t="e">
        <f>'North America'!F126+"$F;@!1.f"</f>
        <v>#VALUE!</v>
      </c>
      <c r="BK312" t="e">
        <f>'North America'!G126+"$F;@!1.g"</f>
        <v>#VALUE!</v>
      </c>
      <c r="BL312" t="e">
        <f>'North America'!H126+"$F;@!1.h"</f>
        <v>#VALUE!</v>
      </c>
      <c r="BM312" t="e">
        <f>'North America'!A127+"$F;@!1.i"</f>
        <v>#VALUE!</v>
      </c>
      <c r="BN312" t="e">
        <f>'North America'!B127+"$F;@!1.j"</f>
        <v>#VALUE!</v>
      </c>
      <c r="BO312" t="e">
        <f>'North America'!C127+"$F;@!1.k"</f>
        <v>#VALUE!</v>
      </c>
      <c r="BP312" t="e">
        <f>'North America'!D127+"$F;@!1.l"</f>
        <v>#VALUE!</v>
      </c>
      <c r="BQ312" t="e">
        <f>'North America'!E127+"$F;@!1.m"</f>
        <v>#VALUE!</v>
      </c>
      <c r="BR312" t="e">
        <f>'North America'!F127+"$F;@!1.n"</f>
        <v>#VALUE!</v>
      </c>
      <c r="BS312" t="e">
        <f>'North America'!G127+"$F;@!1.o"</f>
        <v>#VALUE!</v>
      </c>
      <c r="BT312" t="e">
        <f>'North America'!H127+"$F;@!1.p"</f>
        <v>#VALUE!</v>
      </c>
      <c r="BU312" t="e">
        <f>'North America'!A128+"$F;@!1.q"</f>
        <v>#VALUE!</v>
      </c>
      <c r="BV312" t="e">
        <f>'North America'!B128+"$F;@!1.r"</f>
        <v>#VALUE!</v>
      </c>
      <c r="BW312" t="e">
        <f>'North America'!C128+"$F;@!1.s"</f>
        <v>#VALUE!</v>
      </c>
      <c r="BX312" t="e">
        <f>'North America'!D128+"$F;@!1.t"</f>
        <v>#VALUE!</v>
      </c>
      <c r="BY312" t="e">
        <f>'North America'!E128+"$F;@!1.u"</f>
        <v>#VALUE!</v>
      </c>
      <c r="BZ312" t="e">
        <f>'North America'!F128+"$F;@!1.v"</f>
        <v>#VALUE!</v>
      </c>
      <c r="CA312" t="e">
        <f>'North America'!G128+"$F;@!1.w"</f>
        <v>#VALUE!</v>
      </c>
      <c r="CB312" t="e">
        <f>'North America'!H128+"$F;@!1.x"</f>
        <v>#VALUE!</v>
      </c>
      <c r="CC312" t="e">
        <f>'North America'!A129+"$F;@!1.y"</f>
        <v>#VALUE!</v>
      </c>
      <c r="CD312" t="e">
        <f>'North America'!B129+"$F;@!1.z"</f>
        <v>#VALUE!</v>
      </c>
      <c r="CE312" t="e">
        <f>'North America'!C129+"$F;@!1.{"</f>
        <v>#VALUE!</v>
      </c>
      <c r="CF312" t="e">
        <f>'North America'!D129+"$F;@!1.|"</f>
        <v>#VALUE!</v>
      </c>
      <c r="CG312" t="e">
        <f>'North America'!E129+"$F;@!1.}"</f>
        <v>#VALUE!</v>
      </c>
      <c r="CH312" t="e">
        <f>'North America'!F129+"$F;@!1.~"</f>
        <v>#VALUE!</v>
      </c>
      <c r="CI312" t="e">
        <f>'North America'!G129+"$F;@!1/#"</f>
        <v>#VALUE!</v>
      </c>
      <c r="CJ312" t="e">
        <f>'North America'!H129+"$F;@!1/$"</f>
        <v>#VALUE!</v>
      </c>
      <c r="CK312" t="e">
        <f>'North America'!A130+"$F;@!1/%"</f>
        <v>#VALUE!</v>
      </c>
      <c r="CL312" t="e">
        <f>'North America'!B130+"$F;@!1/&amp;"</f>
        <v>#VALUE!</v>
      </c>
      <c r="CM312" t="e">
        <f>'North America'!C130+"$F;@!1/'"</f>
        <v>#VALUE!</v>
      </c>
      <c r="CN312" t="e">
        <f>'North America'!D130+"$F;@!1/("</f>
        <v>#VALUE!</v>
      </c>
      <c r="CO312" t="e">
        <f>'North America'!E130+"$F;@!1/)"</f>
        <v>#VALUE!</v>
      </c>
      <c r="CP312" t="e">
        <f>'North America'!F130+"$F;@!1/."</f>
        <v>#VALUE!</v>
      </c>
      <c r="CQ312" t="e">
        <f>'North America'!G130+"$F;@!1//"</f>
        <v>#VALUE!</v>
      </c>
      <c r="CR312" t="e">
        <f>'North America'!H130+"$F;@!1/0"</f>
        <v>#VALUE!</v>
      </c>
      <c r="CS312" t="e">
        <f>'North America'!A131+"$F;@!1/1"</f>
        <v>#VALUE!</v>
      </c>
      <c r="CT312" t="e">
        <f>'North America'!B131+"$F;@!1/2"</f>
        <v>#VALUE!</v>
      </c>
      <c r="CU312" t="e">
        <f>'North America'!C131+"$F;@!1/3"</f>
        <v>#VALUE!</v>
      </c>
      <c r="CV312" t="e">
        <f>'North America'!D131+"$F;@!1/4"</f>
        <v>#VALUE!</v>
      </c>
      <c r="CW312" t="e">
        <f>'North America'!E131+"$F;@!1/5"</f>
        <v>#VALUE!</v>
      </c>
      <c r="CX312" t="e">
        <f>'North America'!F131+"$F;@!1/6"</f>
        <v>#VALUE!</v>
      </c>
      <c r="CY312" t="e">
        <f>'North America'!G131+"$F;@!1/7"</f>
        <v>#VALUE!</v>
      </c>
      <c r="CZ312" t="e">
        <f>'North America'!H131+"$F;@!1/8"</f>
        <v>#VALUE!</v>
      </c>
      <c r="DA312" t="e">
        <f>'North America'!A132+"$F;@!1/9"</f>
        <v>#VALUE!</v>
      </c>
      <c r="DB312" t="e">
        <f>'North America'!B132+"$F;@!1/:"</f>
        <v>#VALUE!</v>
      </c>
      <c r="DC312" t="e">
        <f>'North America'!C132+"$F;@!1/;"</f>
        <v>#VALUE!</v>
      </c>
      <c r="DD312" t="e">
        <f>'North America'!D132+"$F;@!1/&lt;"</f>
        <v>#VALUE!</v>
      </c>
      <c r="DE312" t="e">
        <f>'North America'!E132+"$F;@!1/="</f>
        <v>#VALUE!</v>
      </c>
      <c r="DF312" t="e">
        <f>'North America'!F132+"$F;@!1/&gt;"</f>
        <v>#VALUE!</v>
      </c>
      <c r="DG312" t="e">
        <f>'North America'!G132+"$F;@!1/?"</f>
        <v>#VALUE!</v>
      </c>
      <c r="DH312" t="e">
        <f>'North America'!H132+"$F;@!1/@"</f>
        <v>#VALUE!</v>
      </c>
      <c r="DI312" t="e">
        <f>'North America'!A133+"$F;@!1/A"</f>
        <v>#VALUE!</v>
      </c>
      <c r="DJ312" t="e">
        <f>'North America'!B133+"$F;@!1/B"</f>
        <v>#VALUE!</v>
      </c>
      <c r="DK312" t="e">
        <f>'North America'!C133+"$F;@!1/C"</f>
        <v>#VALUE!</v>
      </c>
      <c r="DL312" t="e">
        <f>'North America'!D133+"$F;@!1/D"</f>
        <v>#VALUE!</v>
      </c>
      <c r="DM312" t="e">
        <f>'North America'!E133+"$F;@!1/E"</f>
        <v>#VALUE!</v>
      </c>
      <c r="DN312" t="e">
        <f>'North America'!F133+"$F;@!1/F"</f>
        <v>#VALUE!</v>
      </c>
      <c r="DO312" t="e">
        <f>'North America'!G133+"$F;@!1/G"</f>
        <v>#VALUE!</v>
      </c>
      <c r="DP312" t="e">
        <f>'North America'!H133+"$F;@!1/H"</f>
        <v>#VALUE!</v>
      </c>
      <c r="DQ312" t="e">
        <f>'North America'!A134+"$F;@!1/I"</f>
        <v>#VALUE!</v>
      </c>
      <c r="DR312" t="e">
        <f>'North America'!B134+"$F;@!1/J"</f>
        <v>#VALUE!</v>
      </c>
      <c r="DS312" t="e">
        <f>'North America'!C134+"$F;@!1/K"</f>
        <v>#VALUE!</v>
      </c>
      <c r="DT312" t="e">
        <f>'North America'!D134+"$F;@!1/L"</f>
        <v>#VALUE!</v>
      </c>
      <c r="DU312" t="e">
        <f>'North America'!E134+"$F;@!1/M"</f>
        <v>#VALUE!</v>
      </c>
      <c r="DV312" t="e">
        <f>'North America'!F134+"$F;@!1/N"</f>
        <v>#VALUE!</v>
      </c>
      <c r="DW312" t="e">
        <f>'North America'!G134+"$F;@!1/O"</f>
        <v>#VALUE!</v>
      </c>
      <c r="DX312" t="e">
        <f>'North America'!H134+"$F;@!1/P"</f>
        <v>#VALUE!</v>
      </c>
      <c r="DY312" t="e">
        <f>'North America'!A135+"$F;@!1/Q"</f>
        <v>#VALUE!</v>
      </c>
      <c r="DZ312" t="e">
        <f>'North America'!B135+"$F;@!1/R"</f>
        <v>#VALUE!</v>
      </c>
      <c r="EA312" t="e">
        <f>'North America'!C135+"$F;@!1/S"</f>
        <v>#VALUE!</v>
      </c>
      <c r="EB312" t="e">
        <f>'North America'!D135+"$F;@!1/T"</f>
        <v>#VALUE!</v>
      </c>
      <c r="EC312" t="e">
        <f>'North America'!E135+"$F;@!1/U"</f>
        <v>#VALUE!</v>
      </c>
      <c r="ED312" t="e">
        <f>'North America'!F135+"$F;@!1/V"</f>
        <v>#VALUE!</v>
      </c>
      <c r="EE312" t="e">
        <f>'North America'!G135+"$F;@!1/W"</f>
        <v>#VALUE!</v>
      </c>
      <c r="EF312" t="e">
        <f>'North America'!H135+"$F;@!1/X"</f>
        <v>#VALUE!</v>
      </c>
      <c r="EG312" t="e">
        <f>'North America'!A136+"$F;@!1/Y"</f>
        <v>#VALUE!</v>
      </c>
      <c r="EH312" t="e">
        <f>'North America'!B136+"$F;@!1/Z"</f>
        <v>#VALUE!</v>
      </c>
      <c r="EI312" t="e">
        <f>'North America'!C136+"$F;@!1/["</f>
        <v>#VALUE!</v>
      </c>
      <c r="EJ312" t="e">
        <f>'North America'!D136+"$F;@!1/\"</f>
        <v>#VALUE!</v>
      </c>
      <c r="EK312" t="e">
        <f>'North America'!E136+"$F;@!1/]"</f>
        <v>#VALUE!</v>
      </c>
      <c r="EL312" t="e">
        <f>'North America'!F136+"$F;@!1/^"</f>
        <v>#VALUE!</v>
      </c>
      <c r="EM312" t="e">
        <f>'North America'!G136+"$F;@!1/_"</f>
        <v>#VALUE!</v>
      </c>
      <c r="EN312" t="e">
        <f>'North America'!H136+"$F;@!1/`"</f>
        <v>#VALUE!</v>
      </c>
      <c r="EO312" t="e">
        <f>'North America'!A137+"$F;@!1/a"</f>
        <v>#VALUE!</v>
      </c>
      <c r="EP312" t="e">
        <f>'North America'!B137+"$F;@!1/b"</f>
        <v>#VALUE!</v>
      </c>
      <c r="EQ312" t="e">
        <f>'North America'!C137+"$F;@!1/c"</f>
        <v>#VALUE!</v>
      </c>
      <c r="ER312" t="e">
        <f>'North America'!D137+"$F;@!1/d"</f>
        <v>#VALUE!</v>
      </c>
      <c r="ES312" t="e">
        <f>'North America'!E137+"$F;@!1/e"</f>
        <v>#VALUE!</v>
      </c>
      <c r="ET312" t="e">
        <f>'North America'!F137+"$F;@!1/f"</f>
        <v>#VALUE!</v>
      </c>
      <c r="EU312" t="e">
        <f>'North America'!G137+"$F;@!1/g"</f>
        <v>#VALUE!</v>
      </c>
      <c r="EV312" t="e">
        <f>'North America'!H137+"$F;@!1/h"</f>
        <v>#VALUE!</v>
      </c>
      <c r="EW312" t="e">
        <f>'North America'!A138+"$F;@!1/i"</f>
        <v>#VALUE!</v>
      </c>
      <c r="EX312" t="e">
        <f>'North America'!B138+"$F;@!1/j"</f>
        <v>#VALUE!</v>
      </c>
      <c r="EY312" t="e">
        <f>'North America'!C138+"$F;@!1/k"</f>
        <v>#VALUE!</v>
      </c>
      <c r="EZ312" t="e">
        <f>'North America'!D138+"$F;@!1/l"</f>
        <v>#VALUE!</v>
      </c>
      <c r="FA312" t="e">
        <f>'North America'!E138+"$F;@!1/m"</f>
        <v>#VALUE!</v>
      </c>
      <c r="FB312" t="e">
        <f>'North America'!F138+"$F;@!1/n"</f>
        <v>#VALUE!</v>
      </c>
      <c r="FC312" t="e">
        <f>'North America'!G138+"$F;@!1/o"</f>
        <v>#VALUE!</v>
      </c>
      <c r="FD312" t="e">
        <f>'North America'!H138+"$F;@!1/p"</f>
        <v>#VALUE!</v>
      </c>
      <c r="FE312" t="e">
        <f>'North America'!A139+"$F;@!1/q"</f>
        <v>#VALUE!</v>
      </c>
      <c r="FF312" t="e">
        <f>'North America'!B139+"$F;@!1/r"</f>
        <v>#VALUE!</v>
      </c>
      <c r="FG312" t="e">
        <f>'North America'!C139+"$F;@!1/s"</f>
        <v>#VALUE!</v>
      </c>
      <c r="FH312" t="e">
        <f>'North America'!D139+"$F;@!1/t"</f>
        <v>#VALUE!</v>
      </c>
      <c r="FI312" t="e">
        <f>'North America'!E139+"$F;@!1/u"</f>
        <v>#VALUE!</v>
      </c>
      <c r="FJ312" t="e">
        <f>'North America'!F139+"$F;@!1/v"</f>
        <v>#VALUE!</v>
      </c>
      <c r="FK312" t="e">
        <f>'North America'!G139+"$F;@!1/w"</f>
        <v>#VALUE!</v>
      </c>
      <c r="FL312" t="e">
        <f>'North America'!H139+"$F;@!1/x"</f>
        <v>#VALUE!</v>
      </c>
      <c r="FM312" t="e">
        <f>'North America'!A140+"$F;@!1/y"</f>
        <v>#VALUE!</v>
      </c>
      <c r="FN312" t="e">
        <f>'North America'!B140+"$F;@!1/z"</f>
        <v>#VALUE!</v>
      </c>
      <c r="FO312" t="e">
        <f>'North America'!C140+"$F;@!1/{"</f>
        <v>#VALUE!</v>
      </c>
      <c r="FP312" t="e">
        <f>'North America'!D140+"$F;@!1/|"</f>
        <v>#VALUE!</v>
      </c>
      <c r="FQ312" t="e">
        <f>'North America'!E140+"$F;@!1/}"</f>
        <v>#VALUE!</v>
      </c>
      <c r="FR312" t="e">
        <f>'North America'!F140+"$F;@!1/~"</f>
        <v>#VALUE!</v>
      </c>
      <c r="FS312" t="e">
        <f>'North America'!G140+"$F;@!10#"</f>
        <v>#VALUE!</v>
      </c>
      <c r="FT312" t="e">
        <f>'North America'!H140+"$F;@!10$"</f>
        <v>#VALUE!</v>
      </c>
      <c r="FU312" t="e">
        <f>'North America'!A141+"$F;@!10%"</f>
        <v>#VALUE!</v>
      </c>
      <c r="FV312" t="e">
        <f>'North America'!B141+"$F;@!10&amp;"</f>
        <v>#VALUE!</v>
      </c>
      <c r="FW312" t="e">
        <f>'North America'!C141+"$F;@!10'"</f>
        <v>#VALUE!</v>
      </c>
      <c r="FX312" t="e">
        <f>'North America'!D141+"$F;@!10("</f>
        <v>#VALUE!</v>
      </c>
      <c r="FY312" t="e">
        <f>'North America'!E141+"$F;@!10)"</f>
        <v>#VALUE!</v>
      </c>
      <c r="FZ312" t="e">
        <f>'North America'!F141+"$F;@!10."</f>
        <v>#VALUE!</v>
      </c>
      <c r="GA312" t="e">
        <f>'North America'!G141+"$F;@!10/"</f>
        <v>#VALUE!</v>
      </c>
      <c r="GB312" t="e">
        <f>'North America'!H141+"$F;@!100"</f>
        <v>#VALUE!</v>
      </c>
      <c r="GC312" t="e">
        <f>'North America'!A142+"$F;@!101"</f>
        <v>#VALUE!</v>
      </c>
      <c r="GD312" t="e">
        <f>'North America'!B142+"$F;@!102"</f>
        <v>#VALUE!</v>
      </c>
      <c r="GE312" t="e">
        <f>'North America'!C142+"$F;@!103"</f>
        <v>#VALUE!</v>
      </c>
      <c r="GF312" t="e">
        <f>'North America'!D142+"$F;@!104"</f>
        <v>#VALUE!</v>
      </c>
      <c r="GG312" t="e">
        <f>'North America'!E142+"$F;@!105"</f>
        <v>#VALUE!</v>
      </c>
      <c r="GH312" t="e">
        <f>'North America'!F142+"$F;@!106"</f>
        <v>#VALUE!</v>
      </c>
      <c r="GI312" t="e">
        <f>'North America'!G142+"$F;@!107"</f>
        <v>#VALUE!</v>
      </c>
      <c r="GJ312" t="e">
        <f>'North America'!H142+"$F;@!108"</f>
        <v>#VALUE!</v>
      </c>
      <c r="GK312" t="e">
        <f>'North America'!A143+"$F;@!109"</f>
        <v>#VALUE!</v>
      </c>
      <c r="GL312" t="e">
        <f>'North America'!B143+"$F;@!10:"</f>
        <v>#VALUE!</v>
      </c>
      <c r="GM312" t="e">
        <f>'North America'!C143+"$F;@!10;"</f>
        <v>#VALUE!</v>
      </c>
      <c r="GN312" t="e">
        <f>'North America'!D143+"$F;@!10&lt;"</f>
        <v>#VALUE!</v>
      </c>
      <c r="GO312" t="e">
        <f>'North America'!E143+"$F;@!10="</f>
        <v>#VALUE!</v>
      </c>
      <c r="GP312" t="e">
        <f>'North America'!F143+"$F;@!10&gt;"</f>
        <v>#VALUE!</v>
      </c>
      <c r="GQ312" t="e">
        <f>'North America'!G143+"$F;@!10?"</f>
        <v>#VALUE!</v>
      </c>
      <c r="GR312" t="e">
        <f>'North America'!H143+"$F;@!10@"</f>
        <v>#VALUE!</v>
      </c>
      <c r="GS312" t="e">
        <f>'North America'!A144+"$F;@!10A"</f>
        <v>#VALUE!</v>
      </c>
      <c r="GT312" t="e">
        <f>'North America'!B144+"$F;@!10B"</f>
        <v>#VALUE!</v>
      </c>
      <c r="GU312" t="e">
        <f>'North America'!C144+"$F;@!10C"</f>
        <v>#VALUE!</v>
      </c>
      <c r="GV312" t="e">
        <f>'North America'!D144+"$F;@!10D"</f>
        <v>#VALUE!</v>
      </c>
      <c r="GW312" t="e">
        <f>'North America'!E144+"$F;@!10E"</f>
        <v>#VALUE!</v>
      </c>
      <c r="GX312" t="e">
        <f>'North America'!F144+"$F;@!10F"</f>
        <v>#VALUE!</v>
      </c>
      <c r="GY312" t="e">
        <f>'North America'!G144+"$F;@!10G"</f>
        <v>#VALUE!</v>
      </c>
      <c r="GZ312" t="e">
        <f>'North America'!H144+"$F;@!10H"</f>
        <v>#VALUE!</v>
      </c>
      <c r="HA312" t="e">
        <f>'North America'!A145+"$F;@!10I"</f>
        <v>#VALUE!</v>
      </c>
      <c r="HB312" t="e">
        <f>'North America'!B145+"$F;@!10J"</f>
        <v>#VALUE!</v>
      </c>
      <c r="HC312" t="e">
        <f>'North America'!C145+"$F;@!10K"</f>
        <v>#VALUE!</v>
      </c>
      <c r="HD312" t="e">
        <f>'North America'!D145+"$F;@!10L"</f>
        <v>#VALUE!</v>
      </c>
      <c r="HE312" t="e">
        <f>'North America'!E145+"$F;@!10M"</f>
        <v>#VALUE!</v>
      </c>
      <c r="HF312" t="e">
        <f>'North America'!F145+"$F;@!10N"</f>
        <v>#VALUE!</v>
      </c>
      <c r="HG312" t="e">
        <f>'North America'!G145+"$F;@!10O"</f>
        <v>#VALUE!</v>
      </c>
      <c r="HH312" t="e">
        <f>'North America'!H145+"$F;@!10P"</f>
        <v>#VALUE!</v>
      </c>
      <c r="HI312" t="e">
        <f>'North America'!A146+"$F;@!10Q"</f>
        <v>#VALUE!</v>
      </c>
      <c r="HJ312" t="e">
        <f>'North America'!B146+"$F;@!10R"</f>
        <v>#VALUE!</v>
      </c>
      <c r="HK312" t="e">
        <f>'North America'!C146+"$F;@!10S"</f>
        <v>#VALUE!</v>
      </c>
      <c r="HL312" t="e">
        <f>'North America'!D146+"$F;@!10T"</f>
        <v>#VALUE!</v>
      </c>
      <c r="HM312" t="e">
        <f>'North America'!E146+"$F;@!10U"</f>
        <v>#VALUE!</v>
      </c>
      <c r="HN312" t="e">
        <f>'North America'!F146+"$F;@!10V"</f>
        <v>#VALUE!</v>
      </c>
      <c r="HO312" t="e">
        <f>'North America'!G146+"$F;@!10W"</f>
        <v>#VALUE!</v>
      </c>
      <c r="HP312" t="e">
        <f>'North America'!H146+"$F;@!10X"</f>
        <v>#VALUE!</v>
      </c>
      <c r="HQ312" t="e">
        <f>'North America'!A147+"$F;@!10Y"</f>
        <v>#VALUE!</v>
      </c>
      <c r="HR312" t="e">
        <f>'North America'!B147+"$F;@!10Z"</f>
        <v>#VALUE!</v>
      </c>
      <c r="HS312" t="e">
        <f>'North America'!C147+"$F;@!10["</f>
        <v>#VALUE!</v>
      </c>
      <c r="HT312" t="e">
        <f>'North America'!D147+"$F;@!10\"</f>
        <v>#VALUE!</v>
      </c>
      <c r="HU312" t="e">
        <f>'North America'!E147+"$F;@!10]"</f>
        <v>#VALUE!</v>
      </c>
      <c r="HV312" t="e">
        <f>'North America'!F147+"$F;@!10^"</f>
        <v>#VALUE!</v>
      </c>
      <c r="HW312" t="e">
        <f>'North America'!G147+"$F;@!10_"</f>
        <v>#VALUE!</v>
      </c>
      <c r="HX312" t="e">
        <f>'North America'!H147+"$F;@!10`"</f>
        <v>#VALUE!</v>
      </c>
      <c r="HY312" t="e">
        <f>'North America'!A148+"$F;@!10a"</f>
        <v>#VALUE!</v>
      </c>
      <c r="HZ312" t="e">
        <f>'North America'!B148+"$F;@!10b"</f>
        <v>#VALUE!</v>
      </c>
      <c r="IA312" t="e">
        <f>'North America'!C148+"$F;@!10c"</f>
        <v>#VALUE!</v>
      </c>
      <c r="IB312" t="e">
        <f>'North America'!D148+"$F;@!10d"</f>
        <v>#VALUE!</v>
      </c>
      <c r="IC312" t="e">
        <f>'North America'!E148+"$F;@!10e"</f>
        <v>#VALUE!</v>
      </c>
      <c r="ID312" t="e">
        <f>'North America'!F148+"$F;@!10f"</f>
        <v>#VALUE!</v>
      </c>
      <c r="IE312" t="e">
        <f>'North America'!G148+"$F;@!10g"</f>
        <v>#VALUE!</v>
      </c>
      <c r="IF312" t="e">
        <f>'North America'!H148+"$F;@!10h"</f>
        <v>#VALUE!</v>
      </c>
      <c r="IG312" t="e">
        <f>'North America'!A149+"$F;@!10i"</f>
        <v>#VALUE!</v>
      </c>
      <c r="IH312" t="e">
        <f>'North America'!B149+"$F;@!10j"</f>
        <v>#VALUE!</v>
      </c>
      <c r="II312" t="e">
        <f>'North America'!C149+"$F;@!10k"</f>
        <v>#VALUE!</v>
      </c>
      <c r="IJ312" t="e">
        <f>'North America'!D149+"$F;@!10l"</f>
        <v>#VALUE!</v>
      </c>
      <c r="IK312" t="e">
        <f>'North America'!E149+"$F;@!10m"</f>
        <v>#VALUE!</v>
      </c>
      <c r="IL312" t="e">
        <f>'North America'!F149+"$F;@!10n"</f>
        <v>#VALUE!</v>
      </c>
      <c r="IM312" t="e">
        <f>'North America'!G149+"$F;@!10o"</f>
        <v>#VALUE!</v>
      </c>
      <c r="IN312" t="e">
        <f>'North America'!H149+"$F;@!10p"</f>
        <v>#VALUE!</v>
      </c>
      <c r="IO312" t="e">
        <f>'North America'!A150+"$F;@!10q"</f>
        <v>#VALUE!</v>
      </c>
      <c r="IP312" t="e">
        <f>'North America'!B150+"$F;@!10r"</f>
        <v>#VALUE!</v>
      </c>
      <c r="IQ312" t="e">
        <f>'North America'!C150+"$F;@!10s"</f>
        <v>#VALUE!</v>
      </c>
      <c r="IR312" t="e">
        <f>'North America'!D150+"$F;@!10t"</f>
        <v>#VALUE!</v>
      </c>
      <c r="IS312" t="e">
        <f>'North America'!E150+"$F;@!10u"</f>
        <v>#VALUE!</v>
      </c>
      <c r="IT312" t="e">
        <f>'North America'!F150+"$F;@!10v"</f>
        <v>#VALUE!</v>
      </c>
      <c r="IU312" t="e">
        <f>'North America'!G150+"$F;@!10w"</f>
        <v>#VALUE!</v>
      </c>
      <c r="IV312" t="e">
        <f>'North America'!H150+"$F;@!10x"</f>
        <v>#VALUE!</v>
      </c>
    </row>
    <row r="313" spans="6:256" x14ac:dyDescent="0.35">
      <c r="F313" t="e">
        <f>'North America'!A151+"$F;@!10y"</f>
        <v>#VALUE!</v>
      </c>
      <c r="G313" t="e">
        <f>'North America'!B151+"$F;@!10z"</f>
        <v>#VALUE!</v>
      </c>
      <c r="H313" t="e">
        <f>'North America'!C151+"$F;@!10{"</f>
        <v>#VALUE!</v>
      </c>
      <c r="I313" t="e">
        <f>'North America'!D151+"$F;@!10|"</f>
        <v>#VALUE!</v>
      </c>
      <c r="J313" t="e">
        <f>'North America'!E151+"$F;@!10}"</f>
        <v>#VALUE!</v>
      </c>
      <c r="K313" t="e">
        <f>'North America'!F151+"$F;@!10~"</f>
        <v>#VALUE!</v>
      </c>
      <c r="L313" t="e">
        <f>'North America'!G151+"$F;@!11#"</f>
        <v>#VALUE!</v>
      </c>
      <c r="M313" t="e">
        <f>'North America'!H151+"$F;@!11$"</f>
        <v>#VALUE!</v>
      </c>
      <c r="N313" t="e">
        <f>'North America'!A152+"$F;@!11%"</f>
        <v>#VALUE!</v>
      </c>
      <c r="O313" t="e">
        <f>'North America'!B152+"$F;@!11&amp;"</f>
        <v>#VALUE!</v>
      </c>
      <c r="P313" t="e">
        <f>'North America'!C152+"$F;@!11'"</f>
        <v>#VALUE!</v>
      </c>
      <c r="Q313" t="e">
        <f>'North America'!D152+"$F;@!11("</f>
        <v>#VALUE!</v>
      </c>
      <c r="R313" t="e">
        <f>'North America'!E152+"$F;@!11)"</f>
        <v>#VALUE!</v>
      </c>
      <c r="S313" t="e">
        <f>'North America'!F152+"$F;@!11."</f>
        <v>#VALUE!</v>
      </c>
      <c r="T313" t="e">
        <f>'North America'!G152+"$F;@!11/"</f>
        <v>#VALUE!</v>
      </c>
      <c r="U313" t="e">
        <f>'North America'!H152+"$F;@!110"</f>
        <v>#VALUE!</v>
      </c>
      <c r="V313" t="e">
        <f>'North America'!A153+"$F;@!111"</f>
        <v>#VALUE!</v>
      </c>
      <c r="W313" t="e">
        <f>'North America'!B153+"$F;@!112"</f>
        <v>#VALUE!</v>
      </c>
      <c r="X313" t="e">
        <f>'North America'!C153+"$F;@!113"</f>
        <v>#VALUE!</v>
      </c>
      <c r="Y313" t="e">
        <f>'North America'!D153+"$F;@!114"</f>
        <v>#VALUE!</v>
      </c>
      <c r="Z313" t="e">
        <f>'North America'!E153+"$F;@!115"</f>
        <v>#VALUE!</v>
      </c>
      <c r="AA313" t="e">
        <f>'North America'!F153+"$F;@!116"</f>
        <v>#VALUE!</v>
      </c>
      <c r="AB313" t="e">
        <f>'North America'!G153+"$F;@!117"</f>
        <v>#VALUE!</v>
      </c>
      <c r="AC313" t="e">
        <f>'North America'!H153+"$F;@!118"</f>
        <v>#VALUE!</v>
      </c>
      <c r="AD313" t="e">
        <f>'North America'!A154+"$F;@!119"</f>
        <v>#VALUE!</v>
      </c>
      <c r="AE313" t="e">
        <f>'North America'!B154+"$F;@!11:"</f>
        <v>#VALUE!</v>
      </c>
      <c r="AF313" t="e">
        <f>'North America'!C154+"$F;@!11;"</f>
        <v>#VALUE!</v>
      </c>
      <c r="AG313" t="e">
        <f>'North America'!D154+"$F;@!11&lt;"</f>
        <v>#VALUE!</v>
      </c>
      <c r="AH313" t="e">
        <f>'North America'!E154+"$F;@!11="</f>
        <v>#VALUE!</v>
      </c>
      <c r="AI313" t="e">
        <f>'North America'!F154+"$F;@!11&gt;"</f>
        <v>#VALUE!</v>
      </c>
      <c r="AJ313" t="e">
        <f>'North America'!G154+"$F;@!11?"</f>
        <v>#VALUE!</v>
      </c>
      <c r="AK313" t="e">
        <f>'North America'!H154+"$F;@!11@"</f>
        <v>#VALUE!</v>
      </c>
      <c r="AL313" t="e">
        <f>'North America'!A155+"$F;@!11A"</f>
        <v>#VALUE!</v>
      </c>
      <c r="AM313" t="e">
        <f>'North America'!B155+"$F;@!11B"</f>
        <v>#VALUE!</v>
      </c>
      <c r="AN313" t="e">
        <f>'North America'!C155+"$F;@!11C"</f>
        <v>#VALUE!</v>
      </c>
      <c r="AO313" t="e">
        <f>'North America'!D155+"$F;@!11D"</f>
        <v>#VALUE!</v>
      </c>
      <c r="AP313" t="e">
        <f>'North America'!E155+"$F;@!11E"</f>
        <v>#VALUE!</v>
      </c>
      <c r="AQ313" t="e">
        <f>'North America'!F155+"$F;@!11F"</f>
        <v>#VALUE!</v>
      </c>
      <c r="AR313" t="e">
        <f>'North America'!G155+"$F;@!11G"</f>
        <v>#VALUE!</v>
      </c>
      <c r="AS313" t="e">
        <f>'North America'!H155+"$F;@!11H"</f>
        <v>#VALUE!</v>
      </c>
      <c r="AT313" t="e">
        <f>'North America'!A156+"$F;@!11I"</f>
        <v>#VALUE!</v>
      </c>
      <c r="AU313" t="e">
        <f>'North America'!B156+"$F;@!11J"</f>
        <v>#VALUE!</v>
      </c>
      <c r="AV313" t="e">
        <f>'North America'!C156+"$F;@!11K"</f>
        <v>#VALUE!</v>
      </c>
      <c r="AW313" t="e">
        <f>'North America'!D156+"$F;@!11L"</f>
        <v>#VALUE!</v>
      </c>
      <c r="AX313" t="e">
        <f>'North America'!E156+"$F;@!11M"</f>
        <v>#VALUE!</v>
      </c>
      <c r="AY313" t="e">
        <f>'North America'!F156+"$F;@!11N"</f>
        <v>#VALUE!</v>
      </c>
      <c r="AZ313" t="e">
        <f>'North America'!G156+"$F;@!11O"</f>
        <v>#VALUE!</v>
      </c>
      <c r="BA313" t="e">
        <f>'North America'!H156+"$F;@!11P"</f>
        <v>#VALUE!</v>
      </c>
      <c r="BB313" t="e">
        <f>'North America'!A157+"$F;@!11Q"</f>
        <v>#VALUE!</v>
      </c>
      <c r="BC313" t="e">
        <f>'North America'!B157+"$F;@!11R"</f>
        <v>#VALUE!</v>
      </c>
      <c r="BD313" t="e">
        <f>'North America'!C157+"$F;@!11S"</f>
        <v>#VALUE!</v>
      </c>
      <c r="BE313" t="e">
        <f>'North America'!D157+"$F;@!11T"</f>
        <v>#VALUE!</v>
      </c>
      <c r="BF313" t="e">
        <f>'North America'!E157+"$F;@!11U"</f>
        <v>#VALUE!</v>
      </c>
      <c r="BG313" t="e">
        <f>'North America'!F157+"$F;@!11V"</f>
        <v>#VALUE!</v>
      </c>
      <c r="BH313" t="e">
        <f>'North America'!G157+"$F;@!11W"</f>
        <v>#VALUE!</v>
      </c>
      <c r="BI313" t="e">
        <f>'North America'!H157+"$F;@!11X"</f>
        <v>#VALUE!</v>
      </c>
      <c r="BJ313" t="e">
        <f>'North America'!A158+"$F;@!11Y"</f>
        <v>#VALUE!</v>
      </c>
      <c r="BK313" t="e">
        <f>'North America'!B158+"$F;@!11Z"</f>
        <v>#VALUE!</v>
      </c>
      <c r="BL313" t="e">
        <f>'North America'!C158+"$F;@!11["</f>
        <v>#VALUE!</v>
      </c>
      <c r="BM313" t="e">
        <f>'North America'!D158+"$F;@!11\"</f>
        <v>#VALUE!</v>
      </c>
      <c r="BN313" t="e">
        <f>'North America'!E158+"$F;@!11]"</f>
        <v>#VALUE!</v>
      </c>
      <c r="BO313" t="e">
        <f>'North America'!F158+"$F;@!11^"</f>
        <v>#VALUE!</v>
      </c>
      <c r="BP313" t="e">
        <f>'North America'!G158+"$F;@!11_"</f>
        <v>#VALUE!</v>
      </c>
      <c r="BQ313" t="e">
        <f>'North America'!H158+"$F;@!11`"</f>
        <v>#VALUE!</v>
      </c>
      <c r="BR313" t="e">
        <f>'North America'!A159+"$F;@!11a"</f>
        <v>#VALUE!</v>
      </c>
      <c r="BS313" t="e">
        <f>'North America'!B159+"$F;@!11b"</f>
        <v>#VALUE!</v>
      </c>
      <c r="BT313" t="e">
        <f>'North America'!C159+"$F;@!11c"</f>
        <v>#VALUE!</v>
      </c>
      <c r="BU313" t="e">
        <f>'North America'!D159+"$F;@!11d"</f>
        <v>#VALUE!</v>
      </c>
      <c r="BV313" t="e">
        <f>'North America'!E159+"$F;@!11e"</f>
        <v>#VALUE!</v>
      </c>
      <c r="BW313" t="e">
        <f>'North America'!F159+"$F;@!11f"</f>
        <v>#VALUE!</v>
      </c>
      <c r="BX313" t="e">
        <f>'North America'!G159+"$F;@!11g"</f>
        <v>#VALUE!</v>
      </c>
      <c r="BY313" t="e">
        <f>'North America'!H159+"$F;@!11h"</f>
        <v>#VALUE!</v>
      </c>
      <c r="BZ313" t="e">
        <f>'North America'!A160+"$F;@!11i"</f>
        <v>#VALUE!</v>
      </c>
      <c r="CA313" t="e">
        <f>'North America'!B160+"$F;@!11j"</f>
        <v>#VALUE!</v>
      </c>
      <c r="CB313" t="e">
        <f>'North America'!C160+"$F;@!11k"</f>
        <v>#VALUE!</v>
      </c>
      <c r="CC313" t="e">
        <f>'North America'!D160+"$F;@!11l"</f>
        <v>#VALUE!</v>
      </c>
      <c r="CD313" t="e">
        <f>'North America'!E160+"$F;@!11m"</f>
        <v>#VALUE!</v>
      </c>
      <c r="CE313" t="e">
        <f>'North America'!F160+"$F;@!11n"</f>
        <v>#VALUE!</v>
      </c>
      <c r="CF313" t="e">
        <f>'North America'!G160+"$F;@!11o"</f>
        <v>#VALUE!</v>
      </c>
      <c r="CG313" t="e">
        <f>'North America'!H160+"$F;@!11p"</f>
        <v>#VALUE!</v>
      </c>
      <c r="CH313" t="e">
        <f>'North America'!A161+"$F;@!11q"</f>
        <v>#VALUE!</v>
      </c>
      <c r="CI313" t="e">
        <f>'North America'!B161+"$F;@!11r"</f>
        <v>#VALUE!</v>
      </c>
      <c r="CJ313" t="e">
        <f>'North America'!C161+"$F;@!11s"</f>
        <v>#VALUE!</v>
      </c>
      <c r="CK313" t="e">
        <f>'North America'!D161+"$F;@!11t"</f>
        <v>#VALUE!</v>
      </c>
      <c r="CL313" t="e">
        <f>'North America'!E161+"$F;@!11u"</f>
        <v>#VALUE!</v>
      </c>
      <c r="CM313" t="e">
        <f>'North America'!F161+"$F;@!11v"</f>
        <v>#VALUE!</v>
      </c>
      <c r="CN313" t="e">
        <f>'North America'!G161+"$F;@!11w"</f>
        <v>#VALUE!</v>
      </c>
      <c r="CO313" t="e">
        <f>'North America'!H161+"$F;@!11x"</f>
        <v>#VALUE!</v>
      </c>
      <c r="CP313" t="e">
        <f>'North America'!A162+"$F;@!11y"</f>
        <v>#VALUE!</v>
      </c>
      <c r="CQ313" t="e">
        <f>'North America'!B162+"$F;@!11z"</f>
        <v>#VALUE!</v>
      </c>
      <c r="CR313" t="e">
        <f>'North America'!C162+"$F;@!11{"</f>
        <v>#VALUE!</v>
      </c>
      <c r="CS313" t="e">
        <f>'North America'!D162+"$F;@!11|"</f>
        <v>#VALUE!</v>
      </c>
      <c r="CT313" t="e">
        <f>'North America'!E162+"$F;@!11}"</f>
        <v>#VALUE!</v>
      </c>
      <c r="CU313" t="e">
        <f>'North America'!F162+"$F;@!11~"</f>
        <v>#VALUE!</v>
      </c>
      <c r="CV313" t="e">
        <f>'North America'!G162+"$F;@!12#"</f>
        <v>#VALUE!</v>
      </c>
      <c r="CW313" t="e">
        <f>'North America'!H162+"$F;@!12$"</f>
        <v>#VALUE!</v>
      </c>
      <c r="CX313" t="e">
        <f>'North America'!A163+"$F;@!12%"</f>
        <v>#VALUE!</v>
      </c>
      <c r="CY313" t="e">
        <f>'North America'!B163+"$F;@!12&amp;"</f>
        <v>#VALUE!</v>
      </c>
      <c r="CZ313" t="e">
        <f>'North America'!C163+"$F;@!12'"</f>
        <v>#VALUE!</v>
      </c>
      <c r="DA313" t="e">
        <f>'North America'!D163+"$F;@!12("</f>
        <v>#VALUE!</v>
      </c>
      <c r="DB313" t="e">
        <f>'North America'!E163+"$F;@!12)"</f>
        <v>#VALUE!</v>
      </c>
      <c r="DC313" t="e">
        <f>'North America'!F163+"$F;@!12."</f>
        <v>#VALUE!</v>
      </c>
      <c r="DD313" t="e">
        <f>'North America'!G163+"$F;@!12/"</f>
        <v>#VALUE!</v>
      </c>
      <c r="DE313" t="e">
        <f>'North America'!H163+"$F;@!120"</f>
        <v>#VALUE!</v>
      </c>
      <c r="DF313" t="e">
        <f>'North America'!A164+"$F;@!121"</f>
        <v>#VALUE!</v>
      </c>
      <c r="DG313" t="e">
        <f>'North America'!B164+"$F;@!122"</f>
        <v>#VALUE!</v>
      </c>
      <c r="DH313" t="e">
        <f>'North America'!C164+"$F;@!123"</f>
        <v>#VALUE!</v>
      </c>
      <c r="DI313" t="e">
        <f>'North America'!D164+"$F;@!124"</f>
        <v>#VALUE!</v>
      </c>
      <c r="DJ313" t="e">
        <f>'North America'!E164+"$F;@!125"</f>
        <v>#VALUE!</v>
      </c>
      <c r="DK313" t="e">
        <f>'North America'!F164+"$F;@!126"</f>
        <v>#VALUE!</v>
      </c>
      <c r="DL313" t="e">
        <f>'North America'!G164+"$F;@!127"</f>
        <v>#VALUE!</v>
      </c>
      <c r="DM313" t="e">
        <f>'North America'!H164+"$F;@!128"</f>
        <v>#VALUE!</v>
      </c>
      <c r="DN313" t="e">
        <f>'North America'!A165+"$F;@!129"</f>
        <v>#VALUE!</v>
      </c>
      <c r="DO313" t="e">
        <f>'North America'!B165+"$F;@!12:"</f>
        <v>#VALUE!</v>
      </c>
      <c r="DP313" t="e">
        <f>'North America'!C165+"$F;@!12;"</f>
        <v>#VALUE!</v>
      </c>
      <c r="DQ313" t="e">
        <f>'North America'!D165+"$F;@!12&lt;"</f>
        <v>#VALUE!</v>
      </c>
      <c r="DR313" t="e">
        <f>'North America'!E165+"$F;@!12="</f>
        <v>#VALUE!</v>
      </c>
      <c r="DS313" t="e">
        <f>'North America'!F165+"$F;@!12&gt;"</f>
        <v>#VALUE!</v>
      </c>
      <c r="DT313" t="e">
        <f>'North America'!G165+"$F;@!12?"</f>
        <v>#VALUE!</v>
      </c>
      <c r="DU313" t="e">
        <f>'North America'!H165+"$F;@!12@"</f>
        <v>#VALUE!</v>
      </c>
      <c r="DV313" t="e">
        <f>'North America'!A166+"$F;@!12A"</f>
        <v>#VALUE!</v>
      </c>
      <c r="DW313" t="e">
        <f>'North America'!B166+"$F;@!12B"</f>
        <v>#VALUE!</v>
      </c>
      <c r="DX313" t="e">
        <f>'North America'!C166+"$F;@!12C"</f>
        <v>#VALUE!</v>
      </c>
      <c r="DY313" t="e">
        <f>'North America'!D166+"$F;@!12D"</f>
        <v>#VALUE!</v>
      </c>
      <c r="DZ313" t="e">
        <f>'North America'!E166+"$F;@!12E"</f>
        <v>#VALUE!</v>
      </c>
      <c r="EA313" t="e">
        <f>'North America'!F166+"$F;@!12F"</f>
        <v>#VALUE!</v>
      </c>
      <c r="EB313" t="e">
        <f>'North America'!G166+"$F;@!12G"</f>
        <v>#VALUE!</v>
      </c>
      <c r="EC313" t="e">
        <f>'North America'!H166+"$F;@!12H"</f>
        <v>#VALUE!</v>
      </c>
      <c r="ED313" t="e">
        <f>'North America'!A167+"$F;@!12I"</f>
        <v>#VALUE!</v>
      </c>
      <c r="EE313" t="e">
        <f>'North America'!B167+"$F;@!12J"</f>
        <v>#VALUE!</v>
      </c>
      <c r="EF313" t="e">
        <f>'North America'!C167+"$F;@!12K"</f>
        <v>#VALUE!</v>
      </c>
      <c r="EG313" t="e">
        <f>'North America'!D167+"$F;@!12L"</f>
        <v>#VALUE!</v>
      </c>
      <c r="EH313" t="e">
        <f>'North America'!E167+"$F;@!12M"</f>
        <v>#VALUE!</v>
      </c>
      <c r="EI313" t="e">
        <f>'North America'!F167+"$F;@!12N"</f>
        <v>#VALUE!</v>
      </c>
      <c r="EJ313" t="e">
        <f>'North America'!G167+"$F;@!12O"</f>
        <v>#VALUE!</v>
      </c>
      <c r="EK313" t="e">
        <f>'North America'!H167+"$F;@!12P"</f>
        <v>#VALUE!</v>
      </c>
      <c r="EL313" t="e">
        <f>'North America'!A168+"$F;@!12Q"</f>
        <v>#VALUE!</v>
      </c>
      <c r="EM313" t="e">
        <f>'North America'!B168+"$F;@!12R"</f>
        <v>#VALUE!</v>
      </c>
      <c r="EN313" t="e">
        <f>'North America'!C168+"$F;@!12S"</f>
        <v>#VALUE!</v>
      </c>
      <c r="EO313" t="e">
        <f>'North America'!D168+"$F;@!12T"</f>
        <v>#VALUE!</v>
      </c>
      <c r="EP313" t="e">
        <f>'North America'!E168+"$F;@!12U"</f>
        <v>#VALUE!</v>
      </c>
      <c r="EQ313" t="e">
        <f>'North America'!F168+"$F;@!12V"</f>
        <v>#VALUE!</v>
      </c>
      <c r="ER313" t="e">
        <f>'North America'!G168+"$F;@!12W"</f>
        <v>#VALUE!</v>
      </c>
      <c r="ES313" t="e">
        <f>'North America'!H168+"$F;@!12X"</f>
        <v>#VALUE!</v>
      </c>
      <c r="ET313" t="e">
        <f>'North America'!A169+"$F;@!12Y"</f>
        <v>#VALUE!</v>
      </c>
      <c r="EU313" t="e">
        <f>'North America'!B169+"$F;@!12Z"</f>
        <v>#VALUE!</v>
      </c>
      <c r="EV313" t="e">
        <f>'North America'!C169+"$F;@!12["</f>
        <v>#VALUE!</v>
      </c>
      <c r="EW313" t="e">
        <f>'North America'!D169+"$F;@!12\"</f>
        <v>#VALUE!</v>
      </c>
      <c r="EX313" t="e">
        <f>'North America'!E169+"$F;@!12]"</f>
        <v>#VALUE!</v>
      </c>
      <c r="EY313" t="e">
        <f>'North America'!F169+"$F;@!12^"</f>
        <v>#VALUE!</v>
      </c>
      <c r="EZ313" t="e">
        <f>'North America'!G169+"$F;@!12_"</f>
        <v>#VALUE!</v>
      </c>
      <c r="FA313" t="e">
        <f>'North America'!H169+"$F;@!12`"</f>
        <v>#VALUE!</v>
      </c>
      <c r="FB313" t="e">
        <f>'North America'!A170+"$F;@!12a"</f>
        <v>#VALUE!</v>
      </c>
      <c r="FC313" t="e">
        <f>'North America'!B170+"$F;@!12b"</f>
        <v>#VALUE!</v>
      </c>
      <c r="FD313" t="e">
        <f>'North America'!C170+"$F;@!12c"</f>
        <v>#VALUE!</v>
      </c>
      <c r="FE313" t="e">
        <f>'North America'!D170+"$F;@!12d"</f>
        <v>#VALUE!</v>
      </c>
      <c r="FF313" t="e">
        <f>'North America'!E170+"$F;@!12e"</f>
        <v>#VALUE!</v>
      </c>
      <c r="FG313" t="e">
        <f>'North America'!F170+"$F;@!12f"</f>
        <v>#VALUE!</v>
      </c>
      <c r="FH313" t="e">
        <f>'North America'!G170+"$F;@!12g"</f>
        <v>#VALUE!</v>
      </c>
      <c r="FI313" t="e">
        <f>'North America'!H170+"$F;@!12h"</f>
        <v>#VALUE!</v>
      </c>
      <c r="FJ313" t="e">
        <f>'North America'!A171+"$F;@!12i"</f>
        <v>#VALUE!</v>
      </c>
      <c r="FK313" t="e">
        <f>'North America'!B171+"$F;@!12j"</f>
        <v>#VALUE!</v>
      </c>
      <c r="FL313" t="e">
        <f>'North America'!C171+"$F;@!12k"</f>
        <v>#VALUE!</v>
      </c>
      <c r="FM313" t="e">
        <f>'North America'!D171+"$F;@!12l"</f>
        <v>#VALUE!</v>
      </c>
      <c r="FN313" t="e">
        <f>'North America'!E171+"$F;@!12m"</f>
        <v>#VALUE!</v>
      </c>
      <c r="FO313" t="e">
        <f>'North America'!F171+"$F;@!12n"</f>
        <v>#VALUE!</v>
      </c>
      <c r="FP313" t="e">
        <f>'North America'!G171+"$F;@!12o"</f>
        <v>#VALUE!</v>
      </c>
      <c r="FQ313" t="e">
        <f>'North America'!H171+"$F;@!12p"</f>
        <v>#VALUE!</v>
      </c>
      <c r="FR313" t="e">
        <f>'North America'!A172+"$F;@!12q"</f>
        <v>#VALUE!</v>
      </c>
      <c r="FS313" t="e">
        <f>'North America'!B172+"$F;@!12r"</f>
        <v>#VALUE!</v>
      </c>
      <c r="FT313" t="e">
        <f>'North America'!C172+"$F;@!12s"</f>
        <v>#VALUE!</v>
      </c>
      <c r="FU313" t="e">
        <f>'North America'!D172+"$F;@!12t"</f>
        <v>#VALUE!</v>
      </c>
      <c r="FV313" t="e">
        <f>'North America'!E172+"$F;@!12u"</f>
        <v>#VALUE!</v>
      </c>
      <c r="FW313" t="e">
        <f>'North America'!F172+"$F;@!12v"</f>
        <v>#VALUE!</v>
      </c>
      <c r="FX313" t="e">
        <f>'North America'!G172+"$F;@!12w"</f>
        <v>#VALUE!</v>
      </c>
      <c r="FY313" t="e">
        <f>'North America'!H172+"$F;@!12x"</f>
        <v>#VALUE!</v>
      </c>
      <c r="FZ313" t="e">
        <f>'North America'!A173+"$F;@!12y"</f>
        <v>#VALUE!</v>
      </c>
      <c r="GA313" t="e">
        <f>'North America'!B173+"$F;@!12z"</f>
        <v>#VALUE!</v>
      </c>
      <c r="GB313" t="e">
        <f>'North America'!C173+"$F;@!12{"</f>
        <v>#VALUE!</v>
      </c>
      <c r="GC313" t="e">
        <f>'North America'!D173+"$F;@!12|"</f>
        <v>#VALUE!</v>
      </c>
      <c r="GD313" t="e">
        <f>'North America'!E173+"$F;@!12}"</f>
        <v>#VALUE!</v>
      </c>
      <c r="GE313" t="e">
        <f>'North America'!F173+"$F;@!12~"</f>
        <v>#VALUE!</v>
      </c>
      <c r="GF313" t="e">
        <f>'North America'!G173+"$F;@!13#"</f>
        <v>#VALUE!</v>
      </c>
      <c r="GG313" t="e">
        <f>'North America'!H173+"$F;@!13$"</f>
        <v>#VALUE!</v>
      </c>
      <c r="GH313" t="e">
        <f>'North America'!A174+"$F;@!13%"</f>
        <v>#VALUE!</v>
      </c>
      <c r="GI313" t="e">
        <f>'North America'!B174+"$F;@!13&amp;"</f>
        <v>#VALUE!</v>
      </c>
      <c r="GJ313" t="e">
        <f>'North America'!C174+"$F;@!13'"</f>
        <v>#VALUE!</v>
      </c>
      <c r="GK313" t="e">
        <f>'North America'!D174+"$F;@!13("</f>
        <v>#VALUE!</v>
      </c>
      <c r="GL313" t="e">
        <f>'North America'!E174+"$F;@!13)"</f>
        <v>#VALUE!</v>
      </c>
      <c r="GM313" t="e">
        <f>'North America'!F174+"$F;@!13."</f>
        <v>#VALUE!</v>
      </c>
      <c r="GN313" t="e">
        <f>'North America'!G174+"$F;@!13/"</f>
        <v>#VALUE!</v>
      </c>
      <c r="GO313" t="e">
        <f>'North America'!H174+"$F;@!130"</f>
        <v>#VALUE!</v>
      </c>
      <c r="GP313" t="e">
        <f>'North America'!A175+"$F;@!131"</f>
        <v>#VALUE!</v>
      </c>
      <c r="GQ313" t="e">
        <f>'North America'!B175+"$F;@!132"</f>
        <v>#VALUE!</v>
      </c>
      <c r="GR313" t="e">
        <f>'North America'!C175+"$F;@!133"</f>
        <v>#VALUE!</v>
      </c>
      <c r="GS313" t="e">
        <f>'North America'!D175+"$F;@!134"</f>
        <v>#VALUE!</v>
      </c>
      <c r="GT313" t="e">
        <f>'North America'!E175+"$F;@!135"</f>
        <v>#VALUE!</v>
      </c>
      <c r="GU313" t="e">
        <f>'North America'!F175+"$F;@!136"</f>
        <v>#VALUE!</v>
      </c>
      <c r="GV313" t="e">
        <f>'North America'!G175+"$F;@!137"</f>
        <v>#VALUE!</v>
      </c>
      <c r="GW313" t="e">
        <f>'North America'!H175+"$F;@!138"</f>
        <v>#VALUE!</v>
      </c>
      <c r="GX313" t="e">
        <f>'North America'!A176+"$F;@!139"</f>
        <v>#VALUE!</v>
      </c>
      <c r="GY313" t="e">
        <f>'North America'!B176+"$F;@!13:"</f>
        <v>#VALUE!</v>
      </c>
      <c r="GZ313" t="e">
        <f>'North America'!C176+"$F;@!13;"</f>
        <v>#VALUE!</v>
      </c>
      <c r="HA313" t="e">
        <f>'North America'!D176+"$F;@!13&lt;"</f>
        <v>#VALUE!</v>
      </c>
      <c r="HB313" t="e">
        <f>'North America'!E176+"$F;@!13="</f>
        <v>#VALUE!</v>
      </c>
      <c r="HC313" t="e">
        <f>'North America'!F176+"$F;@!13&gt;"</f>
        <v>#VALUE!</v>
      </c>
      <c r="HD313" t="e">
        <f>'North America'!G176+"$F;@!13?"</f>
        <v>#VALUE!</v>
      </c>
      <c r="HE313" t="e">
        <f>'North America'!H176+"$F;@!13@"</f>
        <v>#VALUE!</v>
      </c>
      <c r="HF313" t="e">
        <f>'North America'!A177+"$F;@!13A"</f>
        <v>#VALUE!</v>
      </c>
      <c r="HG313" t="e">
        <f>'North America'!B177+"$F;@!13B"</f>
        <v>#VALUE!</v>
      </c>
      <c r="HH313" t="e">
        <f>'North America'!C177+"$F;@!13C"</f>
        <v>#VALUE!</v>
      </c>
      <c r="HI313" t="e">
        <f>'North America'!D177+"$F;@!13D"</f>
        <v>#VALUE!</v>
      </c>
      <c r="HJ313" t="e">
        <f>'North America'!E177+"$F;@!13E"</f>
        <v>#VALUE!</v>
      </c>
      <c r="HK313" t="e">
        <f>'North America'!F177+"$F;@!13F"</f>
        <v>#VALUE!</v>
      </c>
      <c r="HL313" t="e">
        <f>'North America'!G177+"$F;@!13G"</f>
        <v>#VALUE!</v>
      </c>
      <c r="HM313" t="e">
        <f>'North America'!H177+"$F;@!13H"</f>
        <v>#VALUE!</v>
      </c>
      <c r="HN313" t="e">
        <f>'North America'!A178+"$F;@!13I"</f>
        <v>#VALUE!</v>
      </c>
      <c r="HO313" t="e">
        <f>'North America'!B178+"$F;@!13J"</f>
        <v>#VALUE!</v>
      </c>
      <c r="HP313" t="e">
        <f>'North America'!C178+"$F;@!13K"</f>
        <v>#VALUE!</v>
      </c>
      <c r="HQ313" t="e">
        <f>'North America'!D178+"$F;@!13L"</f>
        <v>#VALUE!</v>
      </c>
      <c r="HR313" t="e">
        <f>'North America'!E178+"$F;@!13M"</f>
        <v>#VALUE!</v>
      </c>
      <c r="HS313" t="e">
        <f>'North America'!F178+"$F;@!13N"</f>
        <v>#VALUE!</v>
      </c>
      <c r="HT313" t="e">
        <f>'North America'!G178+"$F;@!13O"</f>
        <v>#VALUE!</v>
      </c>
      <c r="HU313" t="e">
        <f>'North America'!H178+"$F;@!13P"</f>
        <v>#VALUE!</v>
      </c>
      <c r="HV313" t="e">
        <f>'North America'!A179+"$F;@!13Q"</f>
        <v>#VALUE!</v>
      </c>
      <c r="HW313" t="e">
        <f>'North America'!B179+"$F;@!13R"</f>
        <v>#VALUE!</v>
      </c>
      <c r="HX313" t="e">
        <f>'North America'!C179+"$F;@!13S"</f>
        <v>#VALUE!</v>
      </c>
      <c r="HY313" t="e">
        <f>'North America'!D179+"$F;@!13T"</f>
        <v>#VALUE!</v>
      </c>
      <c r="HZ313" t="e">
        <f>'North America'!E179+"$F;@!13U"</f>
        <v>#VALUE!</v>
      </c>
      <c r="IA313" t="e">
        <f>'North America'!F179+"$F;@!13V"</f>
        <v>#VALUE!</v>
      </c>
      <c r="IB313" t="e">
        <f>'North America'!G179+"$F;@!13W"</f>
        <v>#VALUE!</v>
      </c>
      <c r="IC313" t="e">
        <f>'North America'!H179+"$F;@!13X"</f>
        <v>#VALUE!</v>
      </c>
      <c r="ID313" t="e">
        <f>'North America'!A180+"$F;@!13Y"</f>
        <v>#VALUE!</v>
      </c>
      <c r="IE313" t="e">
        <f>'North America'!B180+"$F;@!13Z"</f>
        <v>#VALUE!</v>
      </c>
      <c r="IF313" t="e">
        <f>'North America'!C180+"$F;@!13["</f>
        <v>#VALUE!</v>
      </c>
      <c r="IG313" t="e">
        <f>'North America'!D180+"$F;@!13\"</f>
        <v>#VALUE!</v>
      </c>
      <c r="IH313" t="e">
        <f>'North America'!E180+"$F;@!13]"</f>
        <v>#VALUE!</v>
      </c>
      <c r="II313" t="e">
        <f>'North America'!F180+"$F;@!13^"</f>
        <v>#VALUE!</v>
      </c>
      <c r="IJ313" t="e">
        <f>'North America'!G180+"$F;@!13_"</f>
        <v>#VALUE!</v>
      </c>
      <c r="IK313" t="e">
        <f>'North America'!H180+"$F;@!13`"</f>
        <v>#VALUE!</v>
      </c>
      <c r="IL313" t="e">
        <f>'North America'!A181+"$F;@!13a"</f>
        <v>#VALUE!</v>
      </c>
      <c r="IM313" t="e">
        <f>'North America'!B181+"$F;@!13b"</f>
        <v>#VALUE!</v>
      </c>
      <c r="IN313" t="e">
        <f>'North America'!C181+"$F;@!13c"</f>
        <v>#VALUE!</v>
      </c>
      <c r="IO313" t="e">
        <f>'North America'!D181+"$F;@!13d"</f>
        <v>#VALUE!</v>
      </c>
      <c r="IP313" t="e">
        <f>'North America'!E181+"$F;@!13e"</f>
        <v>#VALUE!</v>
      </c>
      <c r="IQ313" t="e">
        <f>'North America'!F181+"$F;@!13f"</f>
        <v>#VALUE!</v>
      </c>
      <c r="IR313" t="e">
        <f>'North America'!G181+"$F;@!13g"</f>
        <v>#VALUE!</v>
      </c>
      <c r="IS313" t="e">
        <f>'North America'!H181+"$F;@!13h"</f>
        <v>#VALUE!</v>
      </c>
      <c r="IT313" t="e">
        <f>'North America'!A182+"$F;@!13i"</f>
        <v>#VALUE!</v>
      </c>
      <c r="IU313" t="e">
        <f>'North America'!B182+"$F;@!13j"</f>
        <v>#VALUE!</v>
      </c>
      <c r="IV313" t="e">
        <f>'North America'!C182+"$F;@!13k"</f>
        <v>#VALUE!</v>
      </c>
    </row>
    <row r="314" spans="6:256" x14ac:dyDescent="0.35">
      <c r="F314" t="e">
        <f>'North America'!D182+"$F;@!13l"</f>
        <v>#VALUE!</v>
      </c>
      <c r="G314" t="e">
        <f>'North America'!E182+"$F;@!13m"</f>
        <v>#VALUE!</v>
      </c>
      <c r="H314" t="e">
        <f>'North America'!F182+"$F;@!13n"</f>
        <v>#VALUE!</v>
      </c>
      <c r="I314" t="e">
        <f>'North America'!G182+"$F;@!13o"</f>
        <v>#VALUE!</v>
      </c>
      <c r="J314" t="e">
        <f>'North America'!H182+"$F;@!13p"</f>
        <v>#VALUE!</v>
      </c>
      <c r="K314" t="e">
        <f>'North America'!A183+"$F;@!13q"</f>
        <v>#VALUE!</v>
      </c>
      <c r="L314" t="e">
        <f>'North America'!B183+"$F;@!13r"</f>
        <v>#VALUE!</v>
      </c>
      <c r="M314" t="e">
        <f>'North America'!C183+"$F;@!13s"</f>
        <v>#VALUE!</v>
      </c>
      <c r="N314" t="e">
        <f>'North America'!D183+"$F;@!13t"</f>
        <v>#VALUE!</v>
      </c>
      <c r="O314" t="e">
        <f>'North America'!E183+"$F;@!13u"</f>
        <v>#VALUE!</v>
      </c>
      <c r="P314" t="e">
        <f>'North America'!F183+"$F;@!13v"</f>
        <v>#VALUE!</v>
      </c>
      <c r="Q314" t="e">
        <f>'North America'!G183+"$F;@!13w"</f>
        <v>#VALUE!</v>
      </c>
      <c r="R314" t="e">
        <f>'North America'!H183+"$F;@!13x"</f>
        <v>#VALUE!</v>
      </c>
      <c r="S314" t="e">
        <f>'North America'!A184+"$F;@!13y"</f>
        <v>#VALUE!</v>
      </c>
      <c r="T314" t="e">
        <f>'North America'!B184+"$F;@!13z"</f>
        <v>#VALUE!</v>
      </c>
      <c r="U314" t="e">
        <f>'North America'!C184+"$F;@!13{"</f>
        <v>#VALUE!</v>
      </c>
      <c r="V314" t="e">
        <f>'North America'!D184+"$F;@!13|"</f>
        <v>#VALUE!</v>
      </c>
      <c r="W314" t="e">
        <f>'North America'!E184+"$F;@!13}"</f>
        <v>#VALUE!</v>
      </c>
      <c r="X314" t="e">
        <f>'North America'!F184+"$F;@!13~"</f>
        <v>#VALUE!</v>
      </c>
      <c r="Y314" t="e">
        <f>'North America'!G184+"$F;@!14#"</f>
        <v>#VALUE!</v>
      </c>
      <c r="Z314" t="e">
        <f>'North America'!H184+"$F;@!14$"</f>
        <v>#VALUE!</v>
      </c>
      <c r="AA314" t="e">
        <f>'North America'!A185+"$F;@!14%"</f>
        <v>#VALUE!</v>
      </c>
      <c r="AB314" t="e">
        <f>'North America'!B185+"$F;@!14&amp;"</f>
        <v>#VALUE!</v>
      </c>
      <c r="AC314" t="e">
        <f>'North America'!C185+"$F;@!14'"</f>
        <v>#VALUE!</v>
      </c>
      <c r="AD314" t="e">
        <f>'North America'!D185+"$F;@!14("</f>
        <v>#VALUE!</v>
      </c>
      <c r="AE314" t="e">
        <f>'North America'!E185+"$F;@!14)"</f>
        <v>#VALUE!</v>
      </c>
      <c r="AF314" t="e">
        <f>'North America'!F185+"$F;@!14."</f>
        <v>#VALUE!</v>
      </c>
      <c r="AG314" t="e">
        <f>'North America'!G185+"$F;@!14/"</f>
        <v>#VALUE!</v>
      </c>
      <c r="AH314" t="e">
        <f>'North America'!H185+"$F;@!140"</f>
        <v>#VALUE!</v>
      </c>
      <c r="AI314" t="e">
        <f>'North America'!A186+"$F;@!141"</f>
        <v>#VALUE!</v>
      </c>
      <c r="AJ314" t="e">
        <f>'North America'!B186+"$F;@!142"</f>
        <v>#VALUE!</v>
      </c>
      <c r="AK314" t="e">
        <f>'North America'!C186+"$F;@!143"</f>
        <v>#VALUE!</v>
      </c>
      <c r="AL314" t="e">
        <f>'North America'!D186+"$F;@!144"</f>
        <v>#VALUE!</v>
      </c>
      <c r="AM314" t="e">
        <f>'North America'!E186+"$F;@!145"</f>
        <v>#VALUE!</v>
      </c>
      <c r="AN314" t="e">
        <f>'North America'!F186+"$F;@!146"</f>
        <v>#VALUE!</v>
      </c>
      <c r="AO314" t="e">
        <f>'North America'!G186+"$F;@!147"</f>
        <v>#VALUE!</v>
      </c>
      <c r="AP314" t="e">
        <f>'North America'!H186+"$F;@!148"</f>
        <v>#VALUE!</v>
      </c>
      <c r="AQ314" t="e">
        <f>'North America'!A187+"$F;@!149"</f>
        <v>#VALUE!</v>
      </c>
      <c r="AR314" t="e">
        <f>'North America'!B187+"$F;@!14:"</f>
        <v>#VALUE!</v>
      </c>
      <c r="AS314" t="e">
        <f>'North America'!C187+"$F;@!14;"</f>
        <v>#VALUE!</v>
      </c>
      <c r="AT314" t="e">
        <f>'North America'!D187+"$F;@!14&lt;"</f>
        <v>#VALUE!</v>
      </c>
      <c r="AU314" t="e">
        <f>'North America'!E187+"$F;@!14="</f>
        <v>#VALUE!</v>
      </c>
      <c r="AV314" t="e">
        <f>'North America'!F187+"$F;@!14&gt;"</f>
        <v>#VALUE!</v>
      </c>
      <c r="AW314" t="e">
        <f>'North America'!G187+"$F;@!14?"</f>
        <v>#VALUE!</v>
      </c>
      <c r="AX314" t="e">
        <f>'North America'!H187+"$F;@!14@"</f>
        <v>#VALUE!</v>
      </c>
      <c r="AY314" t="e">
        <f>'North America'!A188+"$F;@!14A"</f>
        <v>#VALUE!</v>
      </c>
      <c r="AZ314" t="e">
        <f>'North America'!B188+"$F;@!14B"</f>
        <v>#VALUE!</v>
      </c>
      <c r="BA314" t="e">
        <f>'North America'!C188+"$F;@!14C"</f>
        <v>#VALUE!</v>
      </c>
      <c r="BB314" t="e">
        <f>'North America'!D188+"$F;@!14D"</f>
        <v>#VALUE!</v>
      </c>
      <c r="BC314" t="e">
        <f>'North America'!E188+"$F;@!14E"</f>
        <v>#VALUE!</v>
      </c>
      <c r="BD314" t="e">
        <f>'North America'!F188+"$F;@!14F"</f>
        <v>#VALUE!</v>
      </c>
      <c r="BE314" t="e">
        <f>'North America'!G188+"$F;@!14G"</f>
        <v>#VALUE!</v>
      </c>
      <c r="BF314" t="e">
        <f>'North America'!H188+"$F;@!14H"</f>
        <v>#VALUE!</v>
      </c>
      <c r="BG314" t="e">
        <f>'North America'!A189+"$F;@!14I"</f>
        <v>#VALUE!</v>
      </c>
      <c r="BH314" t="e">
        <f>'North America'!B189+"$F;@!14J"</f>
        <v>#VALUE!</v>
      </c>
      <c r="BI314" t="e">
        <f>'North America'!C189+"$F;@!14K"</f>
        <v>#VALUE!</v>
      </c>
      <c r="BJ314" t="e">
        <f>'North America'!D189+"$F;@!14L"</f>
        <v>#VALUE!</v>
      </c>
      <c r="BK314" t="e">
        <f>'North America'!E189+"$F;@!14M"</f>
        <v>#VALUE!</v>
      </c>
      <c r="BL314" t="e">
        <f>'North America'!F189+"$F;@!14N"</f>
        <v>#VALUE!</v>
      </c>
      <c r="BM314" t="e">
        <f>'North America'!G189+"$F;@!14O"</f>
        <v>#VALUE!</v>
      </c>
      <c r="BN314" t="e">
        <f>'North America'!H189+"$F;@!14P"</f>
        <v>#VALUE!</v>
      </c>
      <c r="BO314" t="e">
        <f>'North America'!A190+"$F;@!14Q"</f>
        <v>#VALUE!</v>
      </c>
      <c r="BP314" t="e">
        <f>'North America'!B190+"$F;@!14R"</f>
        <v>#VALUE!</v>
      </c>
      <c r="BQ314" t="e">
        <f>'North America'!C190+"$F;@!14S"</f>
        <v>#VALUE!</v>
      </c>
      <c r="BR314" t="e">
        <f>'North America'!D190+"$F;@!14T"</f>
        <v>#VALUE!</v>
      </c>
      <c r="BS314" t="e">
        <f>'North America'!E190+"$F;@!14U"</f>
        <v>#VALUE!</v>
      </c>
      <c r="BT314" t="e">
        <f>'North America'!F190+"$F;@!14V"</f>
        <v>#VALUE!</v>
      </c>
      <c r="BU314" t="e">
        <f>'North America'!G190+"$F;@!14W"</f>
        <v>#VALUE!</v>
      </c>
      <c r="BV314" t="e">
        <f>'North America'!H190+"$F;@!14X"</f>
        <v>#VALUE!</v>
      </c>
      <c r="BW314" t="e">
        <f>'North America'!A191+"$F;@!14Y"</f>
        <v>#VALUE!</v>
      </c>
      <c r="BX314" t="e">
        <f>'North America'!B191+"$F;@!14Z"</f>
        <v>#VALUE!</v>
      </c>
      <c r="BY314" t="e">
        <f>'North America'!C191+"$F;@!14["</f>
        <v>#VALUE!</v>
      </c>
      <c r="BZ314" t="e">
        <f>'North America'!D191+"$F;@!14\"</f>
        <v>#VALUE!</v>
      </c>
      <c r="CA314" t="e">
        <f>'North America'!E191+"$F;@!14]"</f>
        <v>#VALUE!</v>
      </c>
      <c r="CB314" t="e">
        <f>'North America'!F191+"$F;@!14^"</f>
        <v>#VALUE!</v>
      </c>
      <c r="CC314" t="e">
        <f>'North America'!G191+"$F;@!14_"</f>
        <v>#VALUE!</v>
      </c>
      <c r="CD314" t="e">
        <f>'North America'!H191+"$F;@!14`"</f>
        <v>#VALUE!</v>
      </c>
      <c r="CE314" t="e">
        <f>'North America'!A192+"$F;@!14a"</f>
        <v>#VALUE!</v>
      </c>
      <c r="CF314" t="e">
        <f>'North America'!B192+"$F;@!14b"</f>
        <v>#VALUE!</v>
      </c>
      <c r="CG314" t="e">
        <f>'North America'!C192+"$F;@!14c"</f>
        <v>#VALUE!</v>
      </c>
      <c r="CH314" t="e">
        <f>'North America'!D192+"$F;@!14d"</f>
        <v>#VALUE!</v>
      </c>
      <c r="CI314" t="e">
        <f>'North America'!E192+"$F;@!14e"</f>
        <v>#VALUE!</v>
      </c>
      <c r="CJ314" t="e">
        <f>'North America'!F192+"$F;@!14f"</f>
        <v>#VALUE!</v>
      </c>
      <c r="CK314" t="e">
        <f>'North America'!G192+"$F;@!14g"</f>
        <v>#VALUE!</v>
      </c>
      <c r="CL314" t="e">
        <f>'North America'!H192+"$F;@!14h"</f>
        <v>#VALUE!</v>
      </c>
      <c r="CM314" t="e">
        <f>'North America'!A193+"$F;@!14i"</f>
        <v>#VALUE!</v>
      </c>
      <c r="CN314" t="e">
        <f>'North America'!B193+"$F;@!14j"</f>
        <v>#VALUE!</v>
      </c>
      <c r="CO314" t="e">
        <f>'North America'!C193+"$F;@!14k"</f>
        <v>#VALUE!</v>
      </c>
      <c r="CP314" t="e">
        <f>'North America'!D193+"$F;@!14l"</f>
        <v>#VALUE!</v>
      </c>
      <c r="CQ314" t="e">
        <f>'North America'!E193+"$F;@!14m"</f>
        <v>#VALUE!</v>
      </c>
      <c r="CR314" t="e">
        <f>'North America'!F193+"$F;@!14n"</f>
        <v>#VALUE!</v>
      </c>
      <c r="CS314" t="e">
        <f>'North America'!G193+"$F;@!14o"</f>
        <v>#VALUE!</v>
      </c>
      <c r="CT314" t="e">
        <f>'North America'!H193+"$F;@!14p"</f>
        <v>#VALUE!</v>
      </c>
      <c r="CU314" t="e">
        <f>'North America'!A194+"$F;@!14q"</f>
        <v>#VALUE!</v>
      </c>
      <c r="CV314" t="e">
        <f>'North America'!B194+"$F;@!14r"</f>
        <v>#VALUE!</v>
      </c>
      <c r="CW314" t="e">
        <f>'North America'!C194+"$F;@!14s"</f>
        <v>#VALUE!</v>
      </c>
      <c r="CX314" t="e">
        <f>'North America'!D194+"$F;@!14t"</f>
        <v>#VALUE!</v>
      </c>
      <c r="CY314" t="e">
        <f>'North America'!E194+"$F;@!14u"</f>
        <v>#VALUE!</v>
      </c>
      <c r="CZ314" t="e">
        <f>'North America'!F194+"$F;@!14v"</f>
        <v>#VALUE!</v>
      </c>
      <c r="DA314" t="e">
        <f>'North America'!G194+"$F;@!14w"</f>
        <v>#VALUE!</v>
      </c>
      <c r="DB314" t="e">
        <f>'North America'!H194+"$F;@!14x"</f>
        <v>#VALUE!</v>
      </c>
      <c r="DC314" t="e">
        <f>'North America'!A195+"$F;@!14y"</f>
        <v>#VALUE!</v>
      </c>
      <c r="DD314" t="e">
        <f>'North America'!B195+"$F;@!14z"</f>
        <v>#VALUE!</v>
      </c>
      <c r="DE314" t="e">
        <f>'North America'!C195+"$F;@!14{"</f>
        <v>#VALUE!</v>
      </c>
      <c r="DF314" t="e">
        <f>'North America'!D195+"$F;@!14|"</f>
        <v>#VALUE!</v>
      </c>
      <c r="DG314" t="e">
        <f>'North America'!E195+"$F;@!14}"</f>
        <v>#VALUE!</v>
      </c>
      <c r="DH314" t="e">
        <f>'North America'!F195+"$F;@!14~"</f>
        <v>#VALUE!</v>
      </c>
      <c r="DI314" t="e">
        <f>'North America'!G195+"$F;@!15#"</f>
        <v>#VALUE!</v>
      </c>
      <c r="DJ314" t="e">
        <f>'North America'!H195+"$F;@!15$"</f>
        <v>#VALUE!</v>
      </c>
      <c r="DK314" t="e">
        <f>'North America'!A196+"$F;@!15%"</f>
        <v>#VALUE!</v>
      </c>
      <c r="DL314" t="e">
        <f>'North America'!B196+"$F;@!15&amp;"</f>
        <v>#VALUE!</v>
      </c>
      <c r="DM314" t="e">
        <f>'North America'!C196+"$F;@!15'"</f>
        <v>#VALUE!</v>
      </c>
      <c r="DN314" t="e">
        <f>'North America'!D196+"$F;@!15("</f>
        <v>#VALUE!</v>
      </c>
      <c r="DO314" t="e">
        <f>'North America'!E196+"$F;@!15)"</f>
        <v>#VALUE!</v>
      </c>
      <c r="DP314" t="e">
        <f>'North America'!F196+"$F;@!15."</f>
        <v>#VALUE!</v>
      </c>
      <c r="DQ314" t="e">
        <f>'North America'!G196+"$F;@!15/"</f>
        <v>#VALUE!</v>
      </c>
      <c r="DR314" t="e">
        <f>'North America'!H196+"$F;@!150"</f>
        <v>#VALUE!</v>
      </c>
      <c r="DS314" t="e">
        <f>'North America'!A197+"$F;@!151"</f>
        <v>#VALUE!</v>
      </c>
      <c r="DT314" t="e">
        <f>'North America'!B197+"$F;@!152"</f>
        <v>#VALUE!</v>
      </c>
      <c r="DU314" t="e">
        <f>'North America'!C197+"$F;@!153"</f>
        <v>#VALUE!</v>
      </c>
      <c r="DV314" t="e">
        <f>'North America'!D197+"$F;@!154"</f>
        <v>#VALUE!</v>
      </c>
      <c r="DW314" t="e">
        <f>'North America'!E197+"$F;@!155"</f>
        <v>#VALUE!</v>
      </c>
      <c r="DX314" t="e">
        <f>'North America'!F197+"$F;@!156"</f>
        <v>#VALUE!</v>
      </c>
      <c r="DY314" t="e">
        <f>'North America'!G197+"$F;@!157"</f>
        <v>#VALUE!</v>
      </c>
      <c r="DZ314" t="e">
        <f>'North America'!H197+"$F;@!158"</f>
        <v>#VALUE!</v>
      </c>
      <c r="EA314" t="e">
        <f>'North America'!A198+"$F;@!159"</f>
        <v>#VALUE!</v>
      </c>
      <c r="EB314" t="e">
        <f>'North America'!B198+"$F;@!15:"</f>
        <v>#VALUE!</v>
      </c>
      <c r="EC314" t="e">
        <f>'North America'!C198+"$F;@!15;"</f>
        <v>#VALUE!</v>
      </c>
      <c r="ED314" t="e">
        <f>'North America'!D198+"$F;@!15&lt;"</f>
        <v>#VALUE!</v>
      </c>
      <c r="EE314" t="e">
        <f>'North America'!E198+"$F;@!15="</f>
        <v>#VALUE!</v>
      </c>
      <c r="EF314" t="e">
        <f>'North America'!F198+"$F;@!15&gt;"</f>
        <v>#VALUE!</v>
      </c>
      <c r="EG314" t="e">
        <f>'North America'!G198+"$F;@!15?"</f>
        <v>#VALUE!</v>
      </c>
      <c r="EH314" t="e">
        <f>'North America'!H198+"$F;@!15@"</f>
        <v>#VALUE!</v>
      </c>
      <c r="EI314" t="e">
        <f>'North America'!A199+"$F;@!15A"</f>
        <v>#VALUE!</v>
      </c>
      <c r="EJ314" t="e">
        <f>'North America'!B199+"$F;@!15B"</f>
        <v>#VALUE!</v>
      </c>
      <c r="EK314" t="e">
        <f>'North America'!C199+"$F;@!15C"</f>
        <v>#VALUE!</v>
      </c>
      <c r="EL314" t="e">
        <f>'North America'!D199+"$F;@!15D"</f>
        <v>#VALUE!</v>
      </c>
      <c r="EM314" t="e">
        <f>'North America'!E199+"$F;@!15E"</f>
        <v>#VALUE!</v>
      </c>
      <c r="EN314" t="e">
        <f>'North America'!F199+"$F;@!15F"</f>
        <v>#VALUE!</v>
      </c>
      <c r="EO314" t="e">
        <f>'North America'!G199+"$F;@!15G"</f>
        <v>#VALUE!</v>
      </c>
      <c r="EP314" t="e">
        <f>'North America'!H199+"$F;@!15H"</f>
        <v>#VALUE!</v>
      </c>
      <c r="EQ314" t="e">
        <f>'North America'!A200+"$F;@!15I"</f>
        <v>#VALUE!</v>
      </c>
      <c r="ER314" t="e">
        <f>'North America'!B200+"$F;@!15J"</f>
        <v>#VALUE!</v>
      </c>
      <c r="ES314" t="e">
        <f>'North America'!C200+"$F;@!15K"</f>
        <v>#VALUE!</v>
      </c>
      <c r="ET314" t="e">
        <f>'North America'!D200+"$F;@!15L"</f>
        <v>#VALUE!</v>
      </c>
      <c r="EU314" t="e">
        <f>'North America'!E200+"$F;@!15M"</f>
        <v>#VALUE!</v>
      </c>
      <c r="EV314" t="e">
        <f>'North America'!F200+"$F;@!15N"</f>
        <v>#VALUE!</v>
      </c>
      <c r="EW314" t="e">
        <f>'North America'!G200+"$F;@!15O"</f>
        <v>#VALUE!</v>
      </c>
      <c r="EX314" t="e">
        <f>'North America'!H200+"$F;@!15P"</f>
        <v>#VALUE!</v>
      </c>
      <c r="EY314" t="e">
        <f>'North America'!A201+"$F;@!15Q"</f>
        <v>#VALUE!</v>
      </c>
      <c r="EZ314" t="e">
        <f>'North America'!B201+"$F;@!15R"</f>
        <v>#VALUE!</v>
      </c>
      <c r="FA314" t="e">
        <f>'North America'!C201+"$F;@!15S"</f>
        <v>#VALUE!</v>
      </c>
      <c r="FB314" t="e">
        <f>'North America'!D201+"$F;@!15T"</f>
        <v>#VALUE!</v>
      </c>
      <c r="FC314" t="e">
        <f>'North America'!E201+"$F;@!15U"</f>
        <v>#VALUE!</v>
      </c>
      <c r="FD314" t="e">
        <f>'North America'!F201+"$F;@!15V"</f>
        <v>#VALUE!</v>
      </c>
      <c r="FE314" t="e">
        <f>'North America'!G201+"$F;@!15W"</f>
        <v>#VALUE!</v>
      </c>
      <c r="FF314" t="e">
        <f>'North America'!H201+"$F;@!15X"</f>
        <v>#VALUE!</v>
      </c>
      <c r="FG314" t="e">
        <f>'North America'!A202+"$F;@!15Y"</f>
        <v>#VALUE!</v>
      </c>
      <c r="FH314" t="e">
        <f>'North America'!B202+"$F;@!15Z"</f>
        <v>#VALUE!</v>
      </c>
      <c r="FI314" t="e">
        <f>'North America'!C202+"$F;@!15["</f>
        <v>#VALUE!</v>
      </c>
      <c r="FJ314" t="e">
        <f>'North America'!D202+"$F;@!15\"</f>
        <v>#VALUE!</v>
      </c>
      <c r="FK314" t="e">
        <f>'North America'!E202+"$F;@!15]"</f>
        <v>#VALUE!</v>
      </c>
      <c r="FL314" t="e">
        <f>'North America'!F202+"$F;@!15^"</f>
        <v>#VALUE!</v>
      </c>
      <c r="FM314" t="e">
        <f>'North America'!G202+"$F;@!15_"</f>
        <v>#VALUE!</v>
      </c>
      <c r="FN314" t="e">
        <f>'North America'!H202+"$F;@!15`"</f>
        <v>#VALUE!</v>
      </c>
      <c r="FO314" t="e">
        <f>'North America'!A203+"$F;@!15a"</f>
        <v>#VALUE!</v>
      </c>
      <c r="FP314" t="e">
        <f>'North America'!B203+"$F;@!15b"</f>
        <v>#VALUE!</v>
      </c>
      <c r="FQ314" t="e">
        <f>'North America'!C203+"$F;@!15c"</f>
        <v>#VALUE!</v>
      </c>
      <c r="FR314" t="e">
        <f>'North America'!D203+"$F;@!15d"</f>
        <v>#VALUE!</v>
      </c>
      <c r="FS314" t="e">
        <f>'North America'!E203+"$F;@!15e"</f>
        <v>#VALUE!</v>
      </c>
      <c r="FT314" t="e">
        <f>'North America'!F203+"$F;@!15f"</f>
        <v>#VALUE!</v>
      </c>
      <c r="FU314" t="e">
        <f>'North America'!G203+"$F;@!15g"</f>
        <v>#VALUE!</v>
      </c>
      <c r="FV314" t="e">
        <f>'North America'!H203+"$F;@!15h"</f>
        <v>#VALUE!</v>
      </c>
      <c r="FW314" t="e">
        <f>'North America'!A204+"$F;@!15i"</f>
        <v>#VALUE!</v>
      </c>
      <c r="FX314" t="e">
        <f>'North America'!B204+"$F;@!15j"</f>
        <v>#VALUE!</v>
      </c>
      <c r="FY314" t="e">
        <f>'North America'!C204+"$F;@!15k"</f>
        <v>#VALUE!</v>
      </c>
      <c r="FZ314" t="e">
        <f>'North America'!D204+"$F;@!15l"</f>
        <v>#VALUE!</v>
      </c>
      <c r="GA314" t="e">
        <f>'North America'!E204+"$F;@!15m"</f>
        <v>#VALUE!</v>
      </c>
      <c r="GB314" t="e">
        <f>'North America'!F204+"$F;@!15n"</f>
        <v>#VALUE!</v>
      </c>
      <c r="GC314" t="e">
        <f>'North America'!G204+"$F;@!15o"</f>
        <v>#VALUE!</v>
      </c>
      <c r="GD314" t="e">
        <f>'North America'!H204+"$F;@!15p"</f>
        <v>#VALUE!</v>
      </c>
      <c r="GE314" t="e">
        <f>'North America'!A205+"$F;@!15q"</f>
        <v>#VALUE!</v>
      </c>
      <c r="GF314" t="e">
        <f>'North America'!B205+"$F;@!15r"</f>
        <v>#VALUE!</v>
      </c>
      <c r="GG314" t="e">
        <f>'North America'!C205+"$F;@!15s"</f>
        <v>#VALUE!</v>
      </c>
      <c r="GH314" t="e">
        <f>'North America'!D205+"$F;@!15t"</f>
        <v>#VALUE!</v>
      </c>
      <c r="GI314" t="e">
        <f>'North America'!E205+"$F;@!15u"</f>
        <v>#VALUE!</v>
      </c>
      <c r="GJ314" t="e">
        <f>'North America'!F205+"$F;@!15v"</f>
        <v>#VALUE!</v>
      </c>
      <c r="GK314" t="e">
        <f>'North America'!G205+"$F;@!15w"</f>
        <v>#VALUE!</v>
      </c>
      <c r="GL314" t="e">
        <f>'North America'!H205+"$F;@!15x"</f>
        <v>#VALUE!</v>
      </c>
      <c r="GM314" t="e">
        <f>'North America'!A206+"$F;@!15y"</f>
        <v>#VALUE!</v>
      </c>
      <c r="GN314" t="e">
        <f>'North America'!B206+"$F;@!15z"</f>
        <v>#VALUE!</v>
      </c>
      <c r="GO314" t="e">
        <f>'North America'!C206+"$F;@!15{"</f>
        <v>#VALUE!</v>
      </c>
      <c r="GP314" t="e">
        <f>'North America'!D206+"$F;@!15|"</f>
        <v>#VALUE!</v>
      </c>
      <c r="GQ314" t="e">
        <f>'North America'!E206+"$F;@!15}"</f>
        <v>#VALUE!</v>
      </c>
      <c r="GR314" t="e">
        <f>'North America'!F206+"$F;@!15~"</f>
        <v>#VALUE!</v>
      </c>
      <c r="GS314" t="e">
        <f>'North America'!G206+"$F;@!16#"</f>
        <v>#VALUE!</v>
      </c>
      <c r="GT314" t="e">
        <f>'North America'!H206+"$F;@!16$"</f>
        <v>#VALUE!</v>
      </c>
      <c r="GU314" t="e">
        <f>'North America'!A207+"$F;@!16%"</f>
        <v>#VALUE!</v>
      </c>
      <c r="GV314" t="e">
        <f>'North America'!B207+"$F;@!16&amp;"</f>
        <v>#VALUE!</v>
      </c>
      <c r="GW314" t="e">
        <f>'North America'!C207+"$F;@!16'"</f>
        <v>#VALUE!</v>
      </c>
      <c r="GX314" t="e">
        <f>'North America'!D207+"$F;@!16("</f>
        <v>#VALUE!</v>
      </c>
      <c r="GY314" t="e">
        <f>'North America'!E207+"$F;@!16)"</f>
        <v>#VALUE!</v>
      </c>
      <c r="GZ314" t="e">
        <f>'North America'!F207+"$F;@!16."</f>
        <v>#VALUE!</v>
      </c>
      <c r="HA314" t="e">
        <f>'North America'!G207+"$F;@!16/"</f>
        <v>#VALUE!</v>
      </c>
      <c r="HB314" t="e">
        <f>'North America'!H207+"$F;@!160"</f>
        <v>#VALUE!</v>
      </c>
      <c r="HC314" t="e">
        <f>'North America'!A208+"$F;@!161"</f>
        <v>#VALUE!</v>
      </c>
      <c r="HD314" t="e">
        <f>'North America'!B208+"$F;@!162"</f>
        <v>#VALUE!</v>
      </c>
      <c r="HE314" t="e">
        <f>'North America'!C208+"$F;@!163"</f>
        <v>#VALUE!</v>
      </c>
      <c r="HF314" t="e">
        <f>'North America'!D208+"$F;@!164"</f>
        <v>#VALUE!</v>
      </c>
      <c r="HG314" t="e">
        <f>'North America'!E208+"$F;@!165"</f>
        <v>#VALUE!</v>
      </c>
      <c r="HH314" t="e">
        <f>'North America'!F208+"$F;@!166"</f>
        <v>#VALUE!</v>
      </c>
      <c r="HI314" t="e">
        <f>'North America'!G208+"$F;@!167"</f>
        <v>#VALUE!</v>
      </c>
      <c r="HJ314" t="e">
        <f>'North America'!H208+"$F;@!168"</f>
        <v>#VALUE!</v>
      </c>
      <c r="HK314" t="e">
        <f>'North America'!A209+"$F;@!169"</f>
        <v>#VALUE!</v>
      </c>
      <c r="HL314" t="e">
        <f>'North America'!B209+"$F;@!16:"</f>
        <v>#VALUE!</v>
      </c>
      <c r="HM314" t="e">
        <f>'North America'!C209+"$F;@!16;"</f>
        <v>#VALUE!</v>
      </c>
      <c r="HN314" t="e">
        <f>'North America'!D209+"$F;@!16&lt;"</f>
        <v>#VALUE!</v>
      </c>
      <c r="HO314" t="e">
        <f>'North America'!E209+"$F;@!16="</f>
        <v>#VALUE!</v>
      </c>
      <c r="HP314" t="e">
        <f>'North America'!F209+"$F;@!16&gt;"</f>
        <v>#VALUE!</v>
      </c>
      <c r="HQ314" t="e">
        <f>'North America'!G209+"$F;@!16?"</f>
        <v>#VALUE!</v>
      </c>
      <c r="HR314" t="e">
        <f>'North America'!H209+"$F;@!16@"</f>
        <v>#VALUE!</v>
      </c>
      <c r="HS314" t="e">
        <f>'North America'!A210+"$F;@!16A"</f>
        <v>#VALUE!</v>
      </c>
      <c r="HT314" t="e">
        <f>'North America'!B210+"$F;@!16B"</f>
        <v>#VALUE!</v>
      </c>
      <c r="HU314" t="e">
        <f>'North America'!C210+"$F;@!16C"</f>
        <v>#VALUE!</v>
      </c>
      <c r="HV314" t="e">
        <f>'North America'!D210+"$F;@!16D"</f>
        <v>#VALUE!</v>
      </c>
      <c r="HW314" t="e">
        <f>'North America'!E210+"$F;@!16E"</f>
        <v>#VALUE!</v>
      </c>
      <c r="HX314" t="e">
        <f>'North America'!F210+"$F;@!16F"</f>
        <v>#VALUE!</v>
      </c>
      <c r="HY314" t="e">
        <f>'North America'!G210+"$F;@!16G"</f>
        <v>#VALUE!</v>
      </c>
      <c r="HZ314" t="e">
        <f>'North America'!H210+"$F;@!16H"</f>
        <v>#VALUE!</v>
      </c>
      <c r="IA314" t="e">
        <f>'North America'!A211+"$F;@!16I"</f>
        <v>#VALUE!</v>
      </c>
      <c r="IB314" t="e">
        <f>'North America'!B211+"$F;@!16J"</f>
        <v>#VALUE!</v>
      </c>
      <c r="IC314" t="e">
        <f>'North America'!C211+"$F;@!16K"</f>
        <v>#VALUE!</v>
      </c>
      <c r="ID314" t="e">
        <f>'North America'!D211+"$F;@!16L"</f>
        <v>#VALUE!</v>
      </c>
      <c r="IE314" t="e">
        <f>'North America'!E211+"$F;@!16M"</f>
        <v>#VALUE!</v>
      </c>
      <c r="IF314" t="e">
        <f>'North America'!F211+"$F;@!16N"</f>
        <v>#VALUE!</v>
      </c>
      <c r="IG314" t="e">
        <f>'North America'!G211+"$F;@!16O"</f>
        <v>#VALUE!</v>
      </c>
      <c r="IH314" t="e">
        <f>'North America'!H211+"$F;@!16P"</f>
        <v>#VALUE!</v>
      </c>
      <c r="II314" t="e">
        <f>'North America'!A212+"$F;@!16Q"</f>
        <v>#VALUE!</v>
      </c>
      <c r="IJ314" t="e">
        <f>'North America'!B212+"$F;@!16R"</f>
        <v>#VALUE!</v>
      </c>
      <c r="IK314" t="e">
        <f>'North America'!C212+"$F;@!16S"</f>
        <v>#VALUE!</v>
      </c>
      <c r="IL314" t="e">
        <f>'North America'!D212+"$F;@!16T"</f>
        <v>#VALUE!</v>
      </c>
      <c r="IM314" t="e">
        <f>'North America'!E212+"$F;@!16U"</f>
        <v>#VALUE!</v>
      </c>
      <c r="IN314" t="e">
        <f>'North America'!F212+"$F;@!16V"</f>
        <v>#VALUE!</v>
      </c>
      <c r="IO314" t="e">
        <f>'North America'!G212+"$F;@!16W"</f>
        <v>#VALUE!</v>
      </c>
      <c r="IP314" t="e">
        <f>'North America'!H212+"$F;@!16X"</f>
        <v>#VALUE!</v>
      </c>
      <c r="IQ314" t="e">
        <f>'North America'!A213+"$F;@!16Y"</f>
        <v>#VALUE!</v>
      </c>
      <c r="IR314" t="e">
        <f>'North America'!B213+"$F;@!16Z"</f>
        <v>#VALUE!</v>
      </c>
      <c r="IS314" t="e">
        <f>'North America'!C213+"$F;@!16["</f>
        <v>#VALUE!</v>
      </c>
      <c r="IT314" t="e">
        <f>'North America'!D213+"$F;@!16\"</f>
        <v>#VALUE!</v>
      </c>
      <c r="IU314" t="e">
        <f>'North America'!E213+"$F;@!16]"</f>
        <v>#VALUE!</v>
      </c>
      <c r="IV314" t="e">
        <f>'North America'!F213+"$F;@!16^"</f>
        <v>#VALUE!</v>
      </c>
    </row>
    <row r="315" spans="6:256" x14ac:dyDescent="0.35">
      <c r="F315" t="e">
        <f>'North America'!G213+"$F;@!16_"</f>
        <v>#VALUE!</v>
      </c>
      <c r="G315" t="e">
        <f>'North America'!H213+"$F;@!16`"</f>
        <v>#VALUE!</v>
      </c>
      <c r="H315" t="e">
        <f>'North America'!A214+"$F;@!16a"</f>
        <v>#VALUE!</v>
      </c>
      <c r="I315" t="e">
        <f>'North America'!B214+"$F;@!16b"</f>
        <v>#VALUE!</v>
      </c>
      <c r="J315" t="e">
        <f>'North America'!C214+"$F;@!16c"</f>
        <v>#VALUE!</v>
      </c>
      <c r="K315" t="e">
        <f>'North America'!D214+"$F;@!16d"</f>
        <v>#VALUE!</v>
      </c>
      <c r="L315" t="e">
        <f>'North America'!E214+"$F;@!16e"</f>
        <v>#VALUE!</v>
      </c>
      <c r="M315" t="e">
        <f>'North America'!F214+"$F;@!16f"</f>
        <v>#VALUE!</v>
      </c>
      <c r="N315" t="e">
        <f>'North America'!G214+"$F;@!16g"</f>
        <v>#VALUE!</v>
      </c>
      <c r="O315" t="e">
        <f>'North America'!H214+"$F;@!16h"</f>
        <v>#VALUE!</v>
      </c>
      <c r="P315" t="e">
        <f>'North America'!A215+"$F;@!16i"</f>
        <v>#VALUE!</v>
      </c>
      <c r="Q315" t="e">
        <f>'North America'!B215+"$F;@!16j"</f>
        <v>#VALUE!</v>
      </c>
      <c r="R315" t="e">
        <f>'North America'!C215+"$F;@!16k"</f>
        <v>#VALUE!</v>
      </c>
      <c r="S315" t="e">
        <f>'North America'!D215+"$F;@!16l"</f>
        <v>#VALUE!</v>
      </c>
      <c r="T315" t="e">
        <f>'North America'!E215+"$F;@!16m"</f>
        <v>#VALUE!</v>
      </c>
      <c r="U315" t="e">
        <f>'North America'!F215+"$F;@!16n"</f>
        <v>#VALUE!</v>
      </c>
      <c r="V315" t="e">
        <f>'North America'!G215+"$F;@!16o"</f>
        <v>#VALUE!</v>
      </c>
      <c r="W315" t="e">
        <f>'North America'!H215+"$F;@!16p"</f>
        <v>#VALUE!</v>
      </c>
      <c r="X315" t="e">
        <f>'North America'!A216+"$F;@!16q"</f>
        <v>#VALUE!</v>
      </c>
      <c r="Y315" t="e">
        <f>'North America'!B216+"$F;@!16r"</f>
        <v>#VALUE!</v>
      </c>
      <c r="Z315" t="e">
        <f>'North America'!C216+"$F;@!16s"</f>
        <v>#VALUE!</v>
      </c>
      <c r="AA315" t="e">
        <f>'North America'!D216+"$F;@!16t"</f>
        <v>#VALUE!</v>
      </c>
      <c r="AB315" t="e">
        <f>'North America'!E216+"$F;@!16u"</f>
        <v>#VALUE!</v>
      </c>
      <c r="AC315" t="e">
        <f>'North America'!F216+"$F;@!16v"</f>
        <v>#VALUE!</v>
      </c>
      <c r="AD315" t="e">
        <f>'North America'!G216+"$F;@!16w"</f>
        <v>#VALUE!</v>
      </c>
      <c r="AE315" t="e">
        <f>'North America'!H216+"$F;@!16x"</f>
        <v>#VALUE!</v>
      </c>
      <c r="AF315" t="e">
        <f>'North America'!A217+"$F;@!16y"</f>
        <v>#VALUE!</v>
      </c>
      <c r="AG315" t="e">
        <f>'North America'!B217+"$F;@!16z"</f>
        <v>#VALUE!</v>
      </c>
      <c r="AH315" t="e">
        <f>'North America'!C217+"$F;@!16{"</f>
        <v>#VALUE!</v>
      </c>
      <c r="AI315" t="e">
        <f>'North America'!D217+"$F;@!16|"</f>
        <v>#VALUE!</v>
      </c>
      <c r="AJ315" t="e">
        <f>'North America'!E217+"$F;@!16}"</f>
        <v>#VALUE!</v>
      </c>
      <c r="AK315" t="e">
        <f>'North America'!F217+"$F;@!16~"</f>
        <v>#VALUE!</v>
      </c>
      <c r="AL315" t="e">
        <f>'North America'!G217+"$F;@!17#"</f>
        <v>#VALUE!</v>
      </c>
      <c r="AM315" t="e">
        <f>'North America'!H217+"$F;@!17$"</f>
        <v>#VALUE!</v>
      </c>
      <c r="AN315" t="e">
        <f>'North America'!A218+"$F;@!17%"</f>
        <v>#VALUE!</v>
      </c>
      <c r="AO315" t="e">
        <f>'North America'!B218+"$F;@!17&amp;"</f>
        <v>#VALUE!</v>
      </c>
      <c r="AP315" t="e">
        <f>'North America'!C218+"$F;@!17'"</f>
        <v>#VALUE!</v>
      </c>
      <c r="AQ315" t="e">
        <f>'North America'!D218+"$F;@!17("</f>
        <v>#VALUE!</v>
      </c>
      <c r="AR315" t="e">
        <f>'North America'!E218+"$F;@!17)"</f>
        <v>#VALUE!</v>
      </c>
      <c r="AS315" t="e">
        <f>'North America'!F218+"$F;@!17."</f>
        <v>#VALUE!</v>
      </c>
      <c r="AT315" t="e">
        <f>'North America'!G218+"$F;@!17/"</f>
        <v>#VALUE!</v>
      </c>
      <c r="AU315" t="e">
        <f>'North America'!H218+"$F;@!170"</f>
        <v>#VALUE!</v>
      </c>
      <c r="AV315" t="e">
        <f>'North America'!A219+"$F;@!171"</f>
        <v>#VALUE!</v>
      </c>
      <c r="AW315" t="e">
        <f>'North America'!B219+"$F;@!172"</f>
        <v>#VALUE!</v>
      </c>
      <c r="AX315" t="e">
        <f>'North America'!C219+"$F;@!173"</f>
        <v>#VALUE!</v>
      </c>
      <c r="AY315" t="e">
        <f>'North America'!D219+"$F;@!174"</f>
        <v>#VALUE!</v>
      </c>
      <c r="AZ315" t="e">
        <f>'North America'!E219+"$F;@!175"</f>
        <v>#VALUE!</v>
      </c>
      <c r="BA315" t="e">
        <f>'North America'!F219+"$F;@!176"</f>
        <v>#VALUE!</v>
      </c>
      <c r="BB315" t="e">
        <f>'North America'!G219+"$F;@!177"</f>
        <v>#VALUE!</v>
      </c>
      <c r="BC315" t="e">
        <f>'North America'!H219+"$F;@!178"</f>
        <v>#VALUE!</v>
      </c>
      <c r="BD315" t="e">
        <f>'North America'!A220+"$F;@!179"</f>
        <v>#VALUE!</v>
      </c>
      <c r="BE315" t="e">
        <f>'North America'!B220+"$F;@!17:"</f>
        <v>#VALUE!</v>
      </c>
      <c r="BF315" t="e">
        <f>'North America'!C220+"$F;@!17;"</f>
        <v>#VALUE!</v>
      </c>
      <c r="BG315" t="e">
        <f>'North America'!D220+"$F;@!17&lt;"</f>
        <v>#VALUE!</v>
      </c>
      <c r="BH315" t="e">
        <f>'North America'!E220+"$F;@!17="</f>
        <v>#VALUE!</v>
      </c>
      <c r="BI315" t="e">
        <f>'North America'!F220+"$F;@!17&gt;"</f>
        <v>#VALUE!</v>
      </c>
      <c r="BJ315" t="e">
        <f>'North America'!G220+"$F;@!17?"</f>
        <v>#VALUE!</v>
      </c>
      <c r="BK315" t="e">
        <f>'North America'!H220+"$F;@!17@"</f>
        <v>#VALUE!</v>
      </c>
      <c r="BL315" t="e">
        <f>'North America'!A221+"$F;@!17A"</f>
        <v>#VALUE!</v>
      </c>
      <c r="BM315" t="e">
        <f>'North America'!B221+"$F;@!17B"</f>
        <v>#VALUE!</v>
      </c>
      <c r="BN315" t="e">
        <f>'North America'!C221+"$F;@!17C"</f>
        <v>#VALUE!</v>
      </c>
      <c r="BO315" t="e">
        <f>'North America'!D221+"$F;@!17D"</f>
        <v>#VALUE!</v>
      </c>
      <c r="BP315" t="e">
        <f>'North America'!E221+"$F;@!17E"</f>
        <v>#VALUE!</v>
      </c>
      <c r="BQ315" t="e">
        <f>'North America'!F221+"$F;@!17F"</f>
        <v>#VALUE!</v>
      </c>
      <c r="BR315" t="e">
        <f>'North America'!G221+"$F;@!17G"</f>
        <v>#VALUE!</v>
      </c>
      <c r="BS315" t="e">
        <f>'North America'!H221+"$F;@!17H"</f>
        <v>#VALUE!</v>
      </c>
      <c r="BT315" t="e">
        <f>'North America'!A222+"$F;@!17I"</f>
        <v>#VALUE!</v>
      </c>
      <c r="BU315" t="e">
        <f>'North America'!B222+"$F;@!17J"</f>
        <v>#VALUE!</v>
      </c>
      <c r="BV315" t="e">
        <f>'North America'!C222+"$F;@!17K"</f>
        <v>#VALUE!</v>
      </c>
      <c r="BW315" t="e">
        <f>'North America'!D222+"$F;@!17L"</f>
        <v>#VALUE!</v>
      </c>
      <c r="BX315" t="e">
        <f>'North America'!E222+"$F;@!17M"</f>
        <v>#VALUE!</v>
      </c>
      <c r="BY315" t="e">
        <f>'North America'!F222+"$F;@!17N"</f>
        <v>#VALUE!</v>
      </c>
      <c r="BZ315" t="e">
        <f>'North America'!G222+"$F;@!17O"</f>
        <v>#VALUE!</v>
      </c>
      <c r="CA315" t="e">
        <f>'North America'!H222+"$F;@!17P"</f>
        <v>#VALUE!</v>
      </c>
      <c r="CB315" t="e">
        <f>'North America'!A223+"$F;@!17Q"</f>
        <v>#VALUE!</v>
      </c>
      <c r="CC315" t="e">
        <f>'North America'!B223+"$F;@!17R"</f>
        <v>#VALUE!</v>
      </c>
      <c r="CD315" t="e">
        <f>'North America'!C223+"$F;@!17S"</f>
        <v>#VALUE!</v>
      </c>
      <c r="CE315" t="e">
        <f>'North America'!D223+"$F;@!17T"</f>
        <v>#VALUE!</v>
      </c>
      <c r="CF315" t="e">
        <f>'North America'!E223+"$F;@!17U"</f>
        <v>#VALUE!</v>
      </c>
      <c r="CG315" t="e">
        <f>'North America'!F223+"$F;@!17V"</f>
        <v>#VALUE!</v>
      </c>
      <c r="CH315" t="e">
        <f>'North America'!G223+"$F;@!17W"</f>
        <v>#VALUE!</v>
      </c>
      <c r="CI315" t="e">
        <f>'North America'!H223+"$F;@!17X"</f>
        <v>#VALUE!</v>
      </c>
      <c r="CJ315" t="e">
        <f>'North America'!A224+"$F;@!17Y"</f>
        <v>#VALUE!</v>
      </c>
      <c r="CK315" t="e">
        <f>'North America'!B224+"$F;@!17Z"</f>
        <v>#VALUE!</v>
      </c>
      <c r="CL315" t="e">
        <f>'North America'!C224+"$F;@!17["</f>
        <v>#VALUE!</v>
      </c>
      <c r="CM315" t="e">
        <f>'North America'!D224+"$F;@!17\"</f>
        <v>#VALUE!</v>
      </c>
      <c r="CN315" t="e">
        <f>'North America'!E224+"$F;@!17]"</f>
        <v>#VALUE!</v>
      </c>
      <c r="CO315" t="e">
        <f>'North America'!F224+"$F;@!17^"</f>
        <v>#VALUE!</v>
      </c>
      <c r="CP315" t="e">
        <f>'North America'!G224+"$F;@!17_"</f>
        <v>#VALUE!</v>
      </c>
      <c r="CQ315" t="e">
        <f>'North America'!H224+"$F;@!17`"</f>
        <v>#VALUE!</v>
      </c>
      <c r="CR315" t="e">
        <f>'North America'!A225+"$F;@!17a"</f>
        <v>#VALUE!</v>
      </c>
      <c r="CS315" t="e">
        <f>'North America'!B225+"$F;@!17b"</f>
        <v>#VALUE!</v>
      </c>
      <c r="CT315" t="e">
        <f>'North America'!C225+"$F;@!17c"</f>
        <v>#VALUE!</v>
      </c>
      <c r="CU315" t="e">
        <f>'North America'!D225+"$F;@!17d"</f>
        <v>#VALUE!</v>
      </c>
      <c r="CV315" t="e">
        <f>'North America'!E225+"$F;@!17e"</f>
        <v>#VALUE!</v>
      </c>
      <c r="CW315" t="e">
        <f>'North America'!F225+"$F;@!17f"</f>
        <v>#VALUE!</v>
      </c>
      <c r="CX315" t="e">
        <f>'North America'!G225+"$F;@!17g"</f>
        <v>#VALUE!</v>
      </c>
      <c r="CY315" t="e">
        <f>'North America'!H225+"$F;@!17h"</f>
        <v>#VALUE!</v>
      </c>
      <c r="CZ315" t="e">
        <f>'North America'!A226+"$F;@!17i"</f>
        <v>#VALUE!</v>
      </c>
      <c r="DA315" t="e">
        <f>'North America'!B226+"$F;@!17j"</f>
        <v>#VALUE!</v>
      </c>
      <c r="DB315" t="e">
        <f>'North America'!C226+"$F;@!17k"</f>
        <v>#VALUE!</v>
      </c>
      <c r="DC315" t="e">
        <f>'North America'!D226+"$F;@!17l"</f>
        <v>#VALUE!</v>
      </c>
      <c r="DD315" t="e">
        <f>'North America'!E226+"$F;@!17m"</f>
        <v>#VALUE!</v>
      </c>
      <c r="DE315" t="e">
        <f>'North America'!F226+"$F;@!17n"</f>
        <v>#VALUE!</v>
      </c>
      <c r="DF315" t="e">
        <f>'North America'!G226+"$F;@!17o"</f>
        <v>#VALUE!</v>
      </c>
      <c r="DG315" t="e">
        <f>'North America'!H226+"$F;@!17p"</f>
        <v>#VALUE!</v>
      </c>
      <c r="DH315" t="e">
        <f>'North America'!A227+"$F;@!17q"</f>
        <v>#VALUE!</v>
      </c>
      <c r="DI315" t="e">
        <f>'North America'!B227+"$F;@!17r"</f>
        <v>#VALUE!</v>
      </c>
      <c r="DJ315" t="e">
        <f>'North America'!C227+"$F;@!17s"</f>
        <v>#VALUE!</v>
      </c>
      <c r="DK315" t="e">
        <f>'North America'!D227+"$F;@!17t"</f>
        <v>#VALUE!</v>
      </c>
      <c r="DL315" t="e">
        <f>'North America'!E227+"$F;@!17u"</f>
        <v>#VALUE!</v>
      </c>
      <c r="DM315" t="e">
        <f>'North America'!F227+"$F;@!17v"</f>
        <v>#VALUE!</v>
      </c>
      <c r="DN315" t="e">
        <f>'North America'!G227+"$F;@!17w"</f>
        <v>#VALUE!</v>
      </c>
      <c r="DO315" t="e">
        <f>'North America'!H227+"$F;@!17x"</f>
        <v>#VALUE!</v>
      </c>
      <c r="DP315" t="e">
        <f>'North America'!A228+"$F;@!17y"</f>
        <v>#VALUE!</v>
      </c>
      <c r="DQ315" t="e">
        <f>'North America'!B228+"$F;@!17z"</f>
        <v>#VALUE!</v>
      </c>
      <c r="DR315" t="e">
        <f>'North America'!C228+"$F;@!17{"</f>
        <v>#VALUE!</v>
      </c>
      <c r="DS315" t="e">
        <f>'North America'!D228+"$F;@!17|"</f>
        <v>#VALUE!</v>
      </c>
      <c r="DT315" t="e">
        <f>'North America'!E228+"$F;@!17}"</f>
        <v>#VALUE!</v>
      </c>
      <c r="DU315" t="e">
        <f>'North America'!F228+"$F;@!17~"</f>
        <v>#VALUE!</v>
      </c>
      <c r="DV315" t="e">
        <f>'North America'!G228+"$F;@!18#"</f>
        <v>#VALUE!</v>
      </c>
      <c r="DW315" t="e">
        <f>'North America'!H228+"$F;@!18$"</f>
        <v>#VALUE!</v>
      </c>
      <c r="DX315" t="e">
        <f>'North America'!A229+"$F;@!18%"</f>
        <v>#VALUE!</v>
      </c>
      <c r="DY315" t="e">
        <f>'North America'!B229+"$F;@!18&amp;"</f>
        <v>#VALUE!</v>
      </c>
      <c r="DZ315" t="e">
        <f>'North America'!C229+"$F;@!18'"</f>
        <v>#VALUE!</v>
      </c>
      <c r="EA315" t="e">
        <f>'North America'!D229+"$F;@!18("</f>
        <v>#VALUE!</v>
      </c>
      <c r="EB315" t="e">
        <f>'North America'!E229+"$F;@!18)"</f>
        <v>#VALUE!</v>
      </c>
      <c r="EC315" t="e">
        <f>'North America'!F229+"$F;@!18."</f>
        <v>#VALUE!</v>
      </c>
      <c r="ED315" t="e">
        <f>'North America'!G229+"$F;@!18/"</f>
        <v>#VALUE!</v>
      </c>
      <c r="EE315" t="e">
        <f>'North America'!H229+"$F;@!180"</f>
        <v>#VALUE!</v>
      </c>
      <c r="EF315" t="e">
        <f>'North America'!A230+"$F;@!181"</f>
        <v>#VALUE!</v>
      </c>
      <c r="EG315" t="e">
        <f>'North America'!B230+"$F;@!182"</f>
        <v>#VALUE!</v>
      </c>
      <c r="EH315" t="e">
        <f>'North America'!C230+"$F;@!183"</f>
        <v>#VALUE!</v>
      </c>
      <c r="EI315" t="e">
        <f>'North America'!D230+"$F;@!184"</f>
        <v>#VALUE!</v>
      </c>
      <c r="EJ315" t="e">
        <f>'North America'!E230+"$F;@!185"</f>
        <v>#VALUE!</v>
      </c>
      <c r="EK315" t="e">
        <f>'North America'!F230+"$F;@!186"</f>
        <v>#VALUE!</v>
      </c>
      <c r="EL315" t="e">
        <f>'North America'!G230+"$F;@!187"</f>
        <v>#VALUE!</v>
      </c>
      <c r="EM315" t="e">
        <f>'North America'!H230+"$F;@!188"</f>
        <v>#VALUE!</v>
      </c>
      <c r="EN315" t="e">
        <f>'North America'!A231+"$F;@!189"</f>
        <v>#VALUE!</v>
      </c>
      <c r="EO315" t="e">
        <f>'North America'!B231+"$F;@!18:"</f>
        <v>#VALUE!</v>
      </c>
      <c r="EP315" t="e">
        <f>'North America'!C231+"$F;@!18;"</f>
        <v>#VALUE!</v>
      </c>
      <c r="EQ315" t="e">
        <f>'North America'!D231+"$F;@!18&lt;"</f>
        <v>#VALUE!</v>
      </c>
      <c r="ER315" t="e">
        <f>'North America'!E231+"$F;@!18="</f>
        <v>#VALUE!</v>
      </c>
      <c r="ES315" t="e">
        <f>'North America'!F231+"$F;@!18&gt;"</f>
        <v>#VALUE!</v>
      </c>
      <c r="ET315" t="e">
        <f>'North America'!G231+"$F;@!18?"</f>
        <v>#VALUE!</v>
      </c>
      <c r="EU315" t="e">
        <f>'North America'!H231+"$F;@!18@"</f>
        <v>#VALUE!</v>
      </c>
      <c r="EV315" t="e">
        <f>'North America'!A232+"$F;@!18A"</f>
        <v>#VALUE!</v>
      </c>
      <c r="EW315" t="e">
        <f>'North America'!B232+"$F;@!18B"</f>
        <v>#VALUE!</v>
      </c>
      <c r="EX315" t="e">
        <f>'North America'!C232+"$F;@!18C"</f>
        <v>#VALUE!</v>
      </c>
      <c r="EY315" t="e">
        <f>'North America'!D232+"$F;@!18D"</f>
        <v>#VALUE!</v>
      </c>
      <c r="EZ315" t="e">
        <f>'North America'!E232+"$F;@!18E"</f>
        <v>#VALUE!</v>
      </c>
      <c r="FA315" t="e">
        <f>'North America'!F232+"$F;@!18F"</f>
        <v>#VALUE!</v>
      </c>
      <c r="FB315" t="e">
        <f>'North America'!G232+"$F;@!18G"</f>
        <v>#VALUE!</v>
      </c>
      <c r="FC315" t="e">
        <f>'North America'!H232+"$F;@!18H"</f>
        <v>#VALUE!</v>
      </c>
      <c r="FD315" t="e">
        <f>'North America'!A233+"$F;@!18I"</f>
        <v>#VALUE!</v>
      </c>
      <c r="FE315" t="e">
        <f>'North America'!B233+"$F;@!18J"</f>
        <v>#VALUE!</v>
      </c>
      <c r="FF315" t="e">
        <f>'North America'!C233+"$F;@!18K"</f>
        <v>#VALUE!</v>
      </c>
      <c r="FG315" t="e">
        <f>'North America'!D233+"$F;@!18L"</f>
        <v>#VALUE!</v>
      </c>
      <c r="FH315" t="e">
        <f>'North America'!E233+"$F;@!18M"</f>
        <v>#VALUE!</v>
      </c>
      <c r="FI315" t="e">
        <f>'North America'!F233+"$F;@!18N"</f>
        <v>#VALUE!</v>
      </c>
      <c r="FJ315" t="e">
        <f>'North America'!G233+"$F;@!18O"</f>
        <v>#VALUE!</v>
      </c>
      <c r="FK315" t="e">
        <f>'North America'!H233+"$F;@!18P"</f>
        <v>#VALUE!</v>
      </c>
      <c r="FL315" t="e">
        <f>'North America'!A234+"$F;@!18Q"</f>
        <v>#VALUE!</v>
      </c>
      <c r="FM315" t="e">
        <f>'North America'!B234+"$F;@!18R"</f>
        <v>#VALUE!</v>
      </c>
      <c r="FN315" t="e">
        <f>'North America'!C234+"$F;@!18S"</f>
        <v>#VALUE!</v>
      </c>
      <c r="FO315" t="e">
        <f>'North America'!D234+"$F;@!18T"</f>
        <v>#VALUE!</v>
      </c>
      <c r="FP315" t="e">
        <f>'North America'!E234+"$F;@!18U"</f>
        <v>#VALUE!</v>
      </c>
      <c r="FQ315" t="e">
        <f>'North America'!F234+"$F;@!18V"</f>
        <v>#VALUE!</v>
      </c>
      <c r="FR315" t="e">
        <f>'North America'!G234+"$F;@!18W"</f>
        <v>#VALUE!</v>
      </c>
      <c r="FS315" t="e">
        <f>'North America'!H234+"$F;@!18X"</f>
        <v>#VALUE!</v>
      </c>
      <c r="FT315" t="e">
        <f>'North America'!A235+"$F;@!18Y"</f>
        <v>#VALUE!</v>
      </c>
      <c r="FU315" t="e">
        <f>'North America'!B235+"$F;@!18Z"</f>
        <v>#VALUE!</v>
      </c>
      <c r="FV315" t="e">
        <f>'North America'!C235+"$F;@!18["</f>
        <v>#VALUE!</v>
      </c>
      <c r="FW315" t="e">
        <f>'North America'!D235+"$F;@!18\"</f>
        <v>#VALUE!</v>
      </c>
      <c r="FX315" t="e">
        <f>'North America'!E235+"$F;@!18]"</f>
        <v>#VALUE!</v>
      </c>
      <c r="FY315" t="e">
        <f>'North America'!F235+"$F;@!18^"</f>
        <v>#VALUE!</v>
      </c>
      <c r="FZ315" t="e">
        <f>'North America'!G235+"$F;@!18_"</f>
        <v>#VALUE!</v>
      </c>
      <c r="GA315" t="e">
        <f>'North America'!H235+"$F;@!18`"</f>
        <v>#VALUE!</v>
      </c>
      <c r="GB315" t="e">
        <f>'North America'!A236+"$F;@!18a"</f>
        <v>#VALUE!</v>
      </c>
      <c r="GC315" t="e">
        <f>'North America'!B236+"$F;@!18b"</f>
        <v>#VALUE!</v>
      </c>
      <c r="GD315" t="e">
        <f>'North America'!C236+"$F;@!18c"</f>
        <v>#VALUE!</v>
      </c>
      <c r="GE315" t="e">
        <f>'North America'!D236+"$F;@!18d"</f>
        <v>#VALUE!</v>
      </c>
      <c r="GF315" t="e">
        <f>'North America'!E236+"$F;@!18e"</f>
        <v>#VALUE!</v>
      </c>
      <c r="GG315" t="e">
        <f>'North America'!F236+"$F;@!18f"</f>
        <v>#VALUE!</v>
      </c>
      <c r="GH315" t="e">
        <f>'North America'!G236+"$F;@!18g"</f>
        <v>#VALUE!</v>
      </c>
      <c r="GI315" t="e">
        <f>'North America'!H236+"$F;@!18h"</f>
        <v>#VALUE!</v>
      </c>
      <c r="GJ315" t="e">
        <f>'North America'!A237+"$F;@!18i"</f>
        <v>#VALUE!</v>
      </c>
      <c r="GK315" t="e">
        <f>'North America'!B237+"$F;@!18j"</f>
        <v>#VALUE!</v>
      </c>
      <c r="GL315" t="e">
        <f>'North America'!C237+"$F;@!18k"</f>
        <v>#VALUE!</v>
      </c>
      <c r="GM315" t="e">
        <f>'North America'!D237+"$F;@!18l"</f>
        <v>#VALUE!</v>
      </c>
      <c r="GN315" t="e">
        <f>'North America'!E237+"$F;@!18m"</f>
        <v>#VALUE!</v>
      </c>
      <c r="GO315" t="e">
        <f>'North America'!F237+"$F;@!18n"</f>
        <v>#VALUE!</v>
      </c>
      <c r="GP315" t="e">
        <f>'North America'!G237+"$F;@!18o"</f>
        <v>#VALUE!</v>
      </c>
      <c r="GQ315" t="e">
        <f>'North America'!H237+"$F;@!18p"</f>
        <v>#VALUE!</v>
      </c>
      <c r="GR315" t="e">
        <f>'North America'!A238+"$F;@!18q"</f>
        <v>#VALUE!</v>
      </c>
      <c r="GS315" t="e">
        <f>'North America'!B238+"$F;@!18r"</f>
        <v>#VALUE!</v>
      </c>
      <c r="GT315" t="e">
        <f>'North America'!C238+"$F;@!18s"</f>
        <v>#VALUE!</v>
      </c>
      <c r="GU315" t="e">
        <f>'North America'!D238+"$F;@!18t"</f>
        <v>#VALUE!</v>
      </c>
      <c r="GV315" t="e">
        <f>'North America'!E238+"$F;@!18u"</f>
        <v>#VALUE!</v>
      </c>
      <c r="GW315" t="e">
        <f>'North America'!F238+"$F;@!18v"</f>
        <v>#VALUE!</v>
      </c>
      <c r="GX315" t="e">
        <f>'North America'!G238+"$F;@!18w"</f>
        <v>#VALUE!</v>
      </c>
      <c r="GY315" t="e">
        <f>'North America'!H238+"$F;@!18x"</f>
        <v>#VALUE!</v>
      </c>
      <c r="GZ315" t="e">
        <f>'North America'!A239+"$F;@!18y"</f>
        <v>#VALUE!</v>
      </c>
      <c r="HA315" t="e">
        <f>'North America'!B239+"$F;@!18z"</f>
        <v>#VALUE!</v>
      </c>
      <c r="HB315" t="e">
        <f>'North America'!C239+"$F;@!18{"</f>
        <v>#VALUE!</v>
      </c>
      <c r="HC315" t="e">
        <f>'North America'!D239+"$F;@!18|"</f>
        <v>#VALUE!</v>
      </c>
      <c r="HD315" t="e">
        <f>'North America'!E239+"$F;@!18}"</f>
        <v>#VALUE!</v>
      </c>
      <c r="HE315" t="e">
        <f>'North America'!F239+"$F;@!18~"</f>
        <v>#VALUE!</v>
      </c>
      <c r="HF315" t="e">
        <f>'North America'!G239+"$F;@!19#"</f>
        <v>#VALUE!</v>
      </c>
      <c r="HG315" t="e">
        <f>'North America'!H239+"$F;@!19$"</f>
        <v>#VALUE!</v>
      </c>
      <c r="HH315" t="e">
        <f>'North America'!A240+"$F;@!19%"</f>
        <v>#VALUE!</v>
      </c>
      <c r="HI315" t="e">
        <f>'North America'!B240+"$F;@!19&amp;"</f>
        <v>#VALUE!</v>
      </c>
      <c r="HJ315" t="e">
        <f>'North America'!C240+"$F;@!19'"</f>
        <v>#VALUE!</v>
      </c>
      <c r="HK315" t="e">
        <f>'North America'!D240+"$F;@!19("</f>
        <v>#VALUE!</v>
      </c>
      <c r="HL315" t="e">
        <f>'North America'!E240+"$F;@!19)"</f>
        <v>#VALUE!</v>
      </c>
      <c r="HM315" t="e">
        <f>'North America'!F240+"$F;@!19."</f>
        <v>#VALUE!</v>
      </c>
      <c r="HN315" t="e">
        <f>'North America'!G240+"$F;@!19/"</f>
        <v>#VALUE!</v>
      </c>
      <c r="HO315" t="e">
        <f>'North America'!H240+"$F;@!190"</f>
        <v>#VALUE!</v>
      </c>
      <c r="HP315" t="e">
        <f>'North America'!A241+"$F;@!191"</f>
        <v>#VALUE!</v>
      </c>
      <c r="HQ315" t="e">
        <f>'North America'!B241+"$F;@!192"</f>
        <v>#VALUE!</v>
      </c>
      <c r="HR315" t="e">
        <f>'North America'!C241+"$F;@!193"</f>
        <v>#VALUE!</v>
      </c>
      <c r="HS315" t="e">
        <f>'North America'!D241+"$F;@!194"</f>
        <v>#VALUE!</v>
      </c>
      <c r="HT315" t="e">
        <f>'North America'!E241+"$F;@!195"</f>
        <v>#VALUE!</v>
      </c>
      <c r="HU315" t="e">
        <f>'North America'!F241+"$F;@!196"</f>
        <v>#VALUE!</v>
      </c>
      <c r="HV315" t="e">
        <f>'North America'!G241+"$F;@!197"</f>
        <v>#VALUE!</v>
      </c>
      <c r="HW315" t="e">
        <f>'North America'!H241+"$F;@!198"</f>
        <v>#VALUE!</v>
      </c>
      <c r="HX315" t="e">
        <f>'North America'!A242+"$F;@!199"</f>
        <v>#VALUE!</v>
      </c>
      <c r="HY315" t="e">
        <f>'North America'!B242+"$F;@!19:"</f>
        <v>#VALUE!</v>
      </c>
      <c r="HZ315" t="e">
        <f>'North America'!C242+"$F;@!19;"</f>
        <v>#VALUE!</v>
      </c>
      <c r="IA315" t="e">
        <f>'North America'!D242+"$F;@!19&lt;"</f>
        <v>#VALUE!</v>
      </c>
      <c r="IB315" t="e">
        <f>'North America'!E242+"$F;@!19="</f>
        <v>#VALUE!</v>
      </c>
      <c r="IC315" t="e">
        <f>'North America'!F242+"$F;@!19&gt;"</f>
        <v>#VALUE!</v>
      </c>
      <c r="ID315" t="e">
        <f>'North America'!G242+"$F;@!19?"</f>
        <v>#VALUE!</v>
      </c>
      <c r="IE315" t="e">
        <f>'North America'!H242+"$F;@!19@"</f>
        <v>#VALUE!</v>
      </c>
      <c r="IF315" t="e">
        <f>'North America'!A243+"$F;@!19A"</f>
        <v>#VALUE!</v>
      </c>
      <c r="IG315" t="e">
        <f>'North America'!B243+"$F;@!19B"</f>
        <v>#VALUE!</v>
      </c>
      <c r="IH315" t="e">
        <f>'North America'!C243+"$F;@!19C"</f>
        <v>#VALUE!</v>
      </c>
      <c r="II315" t="e">
        <f>'North America'!D243+"$F;@!19D"</f>
        <v>#VALUE!</v>
      </c>
      <c r="IJ315" t="e">
        <f>'North America'!E243+"$F;@!19E"</f>
        <v>#VALUE!</v>
      </c>
      <c r="IK315" t="e">
        <f>'North America'!F243+"$F;@!19F"</f>
        <v>#VALUE!</v>
      </c>
      <c r="IL315" t="e">
        <f>'North America'!G243+"$F;@!19G"</f>
        <v>#VALUE!</v>
      </c>
      <c r="IM315" t="e">
        <f>'North America'!H243+"$F;@!19H"</f>
        <v>#VALUE!</v>
      </c>
      <c r="IN315" t="e">
        <f>'North America'!A244+"$F;@!19I"</f>
        <v>#VALUE!</v>
      </c>
      <c r="IO315" t="e">
        <f>'North America'!B244+"$F;@!19J"</f>
        <v>#VALUE!</v>
      </c>
      <c r="IP315" t="e">
        <f>'North America'!C244+"$F;@!19K"</f>
        <v>#VALUE!</v>
      </c>
      <c r="IQ315" t="e">
        <f>'North America'!D244+"$F;@!19L"</f>
        <v>#VALUE!</v>
      </c>
      <c r="IR315" t="e">
        <f>'North America'!E244+"$F;@!19M"</f>
        <v>#VALUE!</v>
      </c>
      <c r="IS315" t="e">
        <f>'North America'!F244+"$F;@!19N"</f>
        <v>#VALUE!</v>
      </c>
      <c r="IT315" t="e">
        <f>'North America'!G244+"$F;@!19O"</f>
        <v>#VALUE!</v>
      </c>
      <c r="IU315" t="e">
        <f>'North America'!H244+"$F;@!19P"</f>
        <v>#VALUE!</v>
      </c>
      <c r="IV315" t="e">
        <f>'North America'!A245+"$F;@!19Q"</f>
        <v>#VALUE!</v>
      </c>
    </row>
    <row r="316" spans="6:256" x14ac:dyDescent="0.35">
      <c r="F316" t="e">
        <f>'North America'!B245+"$F;@!19R"</f>
        <v>#VALUE!</v>
      </c>
      <c r="G316" t="e">
        <f>'North America'!C245+"$F;@!19S"</f>
        <v>#VALUE!</v>
      </c>
      <c r="H316" t="e">
        <f>'North America'!D245+"$F;@!19T"</f>
        <v>#VALUE!</v>
      </c>
      <c r="I316" t="e">
        <f>'North America'!E245+"$F;@!19U"</f>
        <v>#VALUE!</v>
      </c>
      <c r="J316" t="e">
        <f>'North America'!F245+"$F;@!19V"</f>
        <v>#VALUE!</v>
      </c>
      <c r="K316" t="e">
        <f>'North America'!G245+"$F;@!19W"</f>
        <v>#VALUE!</v>
      </c>
      <c r="L316" t="e">
        <f>'North America'!H245+"$F;@!19X"</f>
        <v>#VALUE!</v>
      </c>
      <c r="M316" t="e">
        <f>'North America'!A246+"$F;@!19Y"</f>
        <v>#VALUE!</v>
      </c>
      <c r="N316" t="e">
        <f>'North America'!B246+"$F;@!19Z"</f>
        <v>#VALUE!</v>
      </c>
      <c r="O316" t="e">
        <f>'North America'!C246+"$F;@!19["</f>
        <v>#VALUE!</v>
      </c>
      <c r="P316" t="e">
        <f>'North America'!D246+"$F;@!19\"</f>
        <v>#VALUE!</v>
      </c>
      <c r="Q316" t="e">
        <f>'North America'!E246+"$F;@!19]"</f>
        <v>#VALUE!</v>
      </c>
      <c r="R316" t="e">
        <f>'North America'!F246+"$F;@!19^"</f>
        <v>#VALUE!</v>
      </c>
      <c r="S316" t="e">
        <f>'North America'!G246+"$F;@!19_"</f>
        <v>#VALUE!</v>
      </c>
      <c r="T316" t="e">
        <f>'North America'!H246+"$F;@!19`"</f>
        <v>#VALUE!</v>
      </c>
      <c r="U316" t="e">
        <f>'North America'!A247+"$F;@!19a"</f>
        <v>#VALUE!</v>
      </c>
      <c r="V316" t="e">
        <f>'North America'!B247+"$F;@!19b"</f>
        <v>#VALUE!</v>
      </c>
      <c r="W316" t="e">
        <f>'North America'!C247+"$F;@!19c"</f>
        <v>#VALUE!</v>
      </c>
      <c r="X316" t="e">
        <f>'North America'!D247+"$F;@!19d"</f>
        <v>#VALUE!</v>
      </c>
      <c r="Y316" t="e">
        <f>'North America'!E247+"$F;@!19e"</f>
        <v>#VALUE!</v>
      </c>
      <c r="Z316" t="e">
        <f>'North America'!F247+"$F;@!19f"</f>
        <v>#VALUE!</v>
      </c>
      <c r="AA316" t="e">
        <f>'North America'!G247+"$F;@!19g"</f>
        <v>#VALUE!</v>
      </c>
      <c r="AB316" t="e">
        <f>'North America'!H247+"$F;@!19h"</f>
        <v>#VALUE!</v>
      </c>
      <c r="AC316" t="e">
        <f>'North America'!A248+"$F;@!19i"</f>
        <v>#VALUE!</v>
      </c>
      <c r="AD316" t="e">
        <f>'North America'!B248+"$F;@!19j"</f>
        <v>#VALUE!</v>
      </c>
      <c r="AE316" t="e">
        <f>'North America'!C248+"$F;@!19k"</f>
        <v>#VALUE!</v>
      </c>
      <c r="AF316" t="e">
        <f>'North America'!D248+"$F;@!19l"</f>
        <v>#VALUE!</v>
      </c>
      <c r="AG316" t="e">
        <f>'North America'!E248+"$F;@!19m"</f>
        <v>#VALUE!</v>
      </c>
      <c r="AH316" t="e">
        <f>'North America'!F248+"$F;@!19n"</f>
        <v>#VALUE!</v>
      </c>
      <c r="AI316" t="e">
        <f>'North America'!G248+"$F;@!19o"</f>
        <v>#VALUE!</v>
      </c>
      <c r="AJ316" t="e">
        <f>'North America'!H248+"$F;@!19p"</f>
        <v>#VALUE!</v>
      </c>
      <c r="AK316" t="e">
        <f>'North America'!A249+"$F;@!19q"</f>
        <v>#VALUE!</v>
      </c>
      <c r="AL316" t="e">
        <f>'North America'!B249+"$F;@!19r"</f>
        <v>#VALUE!</v>
      </c>
      <c r="AM316" t="e">
        <f>'North America'!C249+"$F;@!19s"</f>
        <v>#VALUE!</v>
      </c>
      <c r="AN316" t="e">
        <f>'North America'!D249+"$F;@!19t"</f>
        <v>#VALUE!</v>
      </c>
      <c r="AO316" t="e">
        <f>'North America'!E249+"$F;@!19u"</f>
        <v>#VALUE!</v>
      </c>
      <c r="AP316" t="e">
        <f>'North America'!F249+"$F;@!19v"</f>
        <v>#VALUE!</v>
      </c>
      <c r="AQ316" t="e">
        <f>'North America'!G249+"$F;@!19w"</f>
        <v>#VALUE!</v>
      </c>
      <c r="AR316" t="e">
        <f>'North America'!H249+"$F;@!19x"</f>
        <v>#VALUE!</v>
      </c>
      <c r="AS316" t="e">
        <f>'North America'!A250+"$F;@!19y"</f>
        <v>#VALUE!</v>
      </c>
      <c r="AT316" t="e">
        <f>'North America'!B250+"$F;@!19z"</f>
        <v>#VALUE!</v>
      </c>
      <c r="AU316" t="e">
        <f>'North America'!C250+"$F;@!19{"</f>
        <v>#VALUE!</v>
      </c>
      <c r="AV316" t="e">
        <f>'North America'!D250+"$F;@!19|"</f>
        <v>#VALUE!</v>
      </c>
      <c r="AW316" t="e">
        <f>'North America'!E250+"$F;@!19}"</f>
        <v>#VALUE!</v>
      </c>
      <c r="AX316" t="e">
        <f>'North America'!F250+"$F;@!19~"</f>
        <v>#VALUE!</v>
      </c>
      <c r="AY316" t="e">
        <f>'North America'!G250+"$F;@!1:#"</f>
        <v>#VALUE!</v>
      </c>
      <c r="AZ316" t="e">
        <f>'North America'!H250+"$F;@!1:$"</f>
        <v>#VALUE!</v>
      </c>
      <c r="BA316" t="e">
        <f>'North America'!A251+"$F;@!1:%"</f>
        <v>#VALUE!</v>
      </c>
      <c r="BB316" t="e">
        <f>'North America'!B251+"$F;@!1:&amp;"</f>
        <v>#VALUE!</v>
      </c>
      <c r="BC316" t="e">
        <f>'North America'!C251+"$F;@!1:'"</f>
        <v>#VALUE!</v>
      </c>
      <c r="BD316" t="e">
        <f>'North America'!D251+"$F;@!1:("</f>
        <v>#VALUE!</v>
      </c>
      <c r="BE316" t="e">
        <f>'North America'!E251+"$F;@!1:)"</f>
        <v>#VALUE!</v>
      </c>
      <c r="BF316" t="e">
        <f>'North America'!F251+"$F;@!1:."</f>
        <v>#VALUE!</v>
      </c>
      <c r="BG316" t="e">
        <f>'North America'!G251+"$F;@!1:/"</f>
        <v>#VALUE!</v>
      </c>
      <c r="BH316" t="e">
        <f>'North America'!H251+"$F;@!1:0"</f>
        <v>#VALUE!</v>
      </c>
      <c r="BI316" t="e">
        <f>'North America'!A252+"$F;@!1:1"</f>
        <v>#VALUE!</v>
      </c>
      <c r="BJ316" t="e">
        <f>'North America'!B252+"$F;@!1:2"</f>
        <v>#VALUE!</v>
      </c>
      <c r="BK316" t="e">
        <f>'North America'!C252+"$F;@!1:3"</f>
        <v>#VALUE!</v>
      </c>
      <c r="BL316" t="e">
        <f>'North America'!D252+"$F;@!1:4"</f>
        <v>#VALUE!</v>
      </c>
      <c r="BM316" t="e">
        <f>'North America'!E252+"$F;@!1:5"</f>
        <v>#VALUE!</v>
      </c>
      <c r="BN316" t="e">
        <f>'North America'!F252+"$F;@!1:6"</f>
        <v>#VALUE!</v>
      </c>
      <c r="BO316" t="e">
        <f>'North America'!G252+"$F;@!1:7"</f>
        <v>#VALUE!</v>
      </c>
      <c r="BP316" t="e">
        <f>'North America'!H252+"$F;@!1:8"</f>
        <v>#VALUE!</v>
      </c>
      <c r="BQ316" t="e">
        <f>'North America'!A253+"$F;@!1:9"</f>
        <v>#VALUE!</v>
      </c>
      <c r="BR316" t="e">
        <f>'North America'!B253+"$F;@!1::"</f>
        <v>#VALUE!</v>
      </c>
      <c r="BS316" t="e">
        <f>'North America'!C253+"$F;@!1:;"</f>
        <v>#VALUE!</v>
      </c>
      <c r="BT316" t="e">
        <f>'North America'!D253+"$F;@!1:&lt;"</f>
        <v>#VALUE!</v>
      </c>
      <c r="BU316" t="e">
        <f>'North America'!E253+"$F;@!1:="</f>
        <v>#VALUE!</v>
      </c>
      <c r="BV316" t="e">
        <f>'North America'!F253+"$F;@!1:&gt;"</f>
        <v>#VALUE!</v>
      </c>
      <c r="BW316" t="e">
        <f>'North America'!G253+"$F;@!1:?"</f>
        <v>#VALUE!</v>
      </c>
      <c r="BX316" t="e">
        <f>'North America'!H253+"$F;@!1:@"</f>
        <v>#VALUE!</v>
      </c>
      <c r="BY316" t="e">
        <f>'North America'!A254+"$F;@!1:A"</f>
        <v>#VALUE!</v>
      </c>
      <c r="BZ316" t="e">
        <f>'North America'!B254+"$F;@!1:B"</f>
        <v>#VALUE!</v>
      </c>
      <c r="CA316" t="e">
        <f>'North America'!C254+"$F;@!1:C"</f>
        <v>#VALUE!</v>
      </c>
      <c r="CB316" t="e">
        <f>'North America'!D254+"$F;@!1:D"</f>
        <v>#VALUE!</v>
      </c>
      <c r="CC316" t="e">
        <f>'North America'!E254+"$F;@!1:E"</f>
        <v>#VALUE!</v>
      </c>
      <c r="CD316" t="e">
        <f>'North America'!F254+"$F;@!1:F"</f>
        <v>#VALUE!</v>
      </c>
      <c r="CE316" t="e">
        <f>'North America'!G254+"$F;@!1:G"</f>
        <v>#VALUE!</v>
      </c>
      <c r="CF316" t="e">
        <f>'North America'!H254+"$F;@!1:H"</f>
        <v>#VALUE!</v>
      </c>
      <c r="CG316" t="e">
        <f>'North America'!A255+"$F;@!1:I"</f>
        <v>#VALUE!</v>
      </c>
      <c r="CH316" t="e">
        <f>'North America'!B255+"$F;@!1:J"</f>
        <v>#VALUE!</v>
      </c>
      <c r="CI316" t="e">
        <f>'North America'!C255+"$F;@!1:K"</f>
        <v>#VALUE!</v>
      </c>
      <c r="CJ316" t="e">
        <f>'North America'!D255+"$F;@!1:L"</f>
        <v>#VALUE!</v>
      </c>
      <c r="CK316" t="e">
        <f>'North America'!E255+"$F;@!1:M"</f>
        <v>#VALUE!</v>
      </c>
      <c r="CL316" t="e">
        <f>'North America'!F255+"$F;@!1:N"</f>
        <v>#VALUE!</v>
      </c>
      <c r="CM316" t="e">
        <f>'North America'!G255+"$F;@!1:O"</f>
        <v>#VALUE!</v>
      </c>
      <c r="CN316" t="e">
        <f>'North America'!H255+"$F;@!1:P"</f>
        <v>#VALUE!</v>
      </c>
      <c r="CO316" t="e">
        <f>'North America'!A256+"$F;@!1:Q"</f>
        <v>#VALUE!</v>
      </c>
      <c r="CP316" t="e">
        <f>'North America'!B256+"$F;@!1:R"</f>
        <v>#VALUE!</v>
      </c>
      <c r="CQ316" t="e">
        <f>'North America'!C256+"$F;@!1:S"</f>
        <v>#VALUE!</v>
      </c>
      <c r="CR316" t="e">
        <f>'North America'!D256+"$F;@!1:T"</f>
        <v>#VALUE!</v>
      </c>
      <c r="CS316" t="e">
        <f>'North America'!E256+"$F;@!1:U"</f>
        <v>#VALUE!</v>
      </c>
      <c r="CT316" t="e">
        <f>'North America'!F256+"$F;@!1:V"</f>
        <v>#VALUE!</v>
      </c>
      <c r="CU316" t="e">
        <f>'North America'!G256+"$F;@!1:W"</f>
        <v>#VALUE!</v>
      </c>
      <c r="CV316" t="e">
        <f>'North America'!H256+"$F;@!1:X"</f>
        <v>#VALUE!</v>
      </c>
      <c r="CW316" t="e">
        <f>'North America'!A257+"$F;@!1:Y"</f>
        <v>#VALUE!</v>
      </c>
      <c r="CX316" t="e">
        <f>'North America'!B257+"$F;@!1:Z"</f>
        <v>#VALUE!</v>
      </c>
      <c r="CY316" t="e">
        <f>'North America'!C257+"$F;@!1:["</f>
        <v>#VALUE!</v>
      </c>
      <c r="CZ316" t="e">
        <f>'North America'!D257+"$F;@!1:\"</f>
        <v>#VALUE!</v>
      </c>
      <c r="DA316" t="e">
        <f>'North America'!E257+"$F;@!1:]"</f>
        <v>#VALUE!</v>
      </c>
      <c r="DB316" t="e">
        <f>'North America'!F257+"$F;@!1:^"</f>
        <v>#VALUE!</v>
      </c>
      <c r="DC316" t="e">
        <f>'North America'!G257+"$F;@!1:_"</f>
        <v>#VALUE!</v>
      </c>
      <c r="DD316" t="e">
        <f>'North America'!H257+"$F;@!1:`"</f>
        <v>#VALUE!</v>
      </c>
      <c r="DE316" t="e">
        <f>'North America'!A258+"$F;@!1:a"</f>
        <v>#VALUE!</v>
      </c>
      <c r="DF316" t="e">
        <f>'North America'!B258+"$F;@!1:b"</f>
        <v>#VALUE!</v>
      </c>
      <c r="DG316" t="e">
        <f>'North America'!C258+"$F;@!1:c"</f>
        <v>#VALUE!</v>
      </c>
      <c r="DH316" t="e">
        <f>'North America'!D258+"$F;@!1:d"</f>
        <v>#VALUE!</v>
      </c>
      <c r="DI316" t="e">
        <f>'North America'!E258+"$F;@!1:e"</f>
        <v>#VALUE!</v>
      </c>
      <c r="DJ316" t="e">
        <f>'North America'!F258+"$F;@!1:f"</f>
        <v>#VALUE!</v>
      </c>
      <c r="DK316" t="e">
        <f>'North America'!G258+"$F;@!1:g"</f>
        <v>#VALUE!</v>
      </c>
      <c r="DL316" t="e">
        <f>'North America'!H258+"$F;@!1:h"</f>
        <v>#VALUE!</v>
      </c>
      <c r="DM316" t="e">
        <f>'North America'!A259+"$F;@!1:i"</f>
        <v>#VALUE!</v>
      </c>
      <c r="DN316" t="e">
        <f>'North America'!B259+"$F;@!1:j"</f>
        <v>#VALUE!</v>
      </c>
      <c r="DO316" t="e">
        <f>'North America'!C259+"$F;@!1:k"</f>
        <v>#VALUE!</v>
      </c>
      <c r="DP316" t="e">
        <f>'North America'!D259+"$F;@!1:l"</f>
        <v>#VALUE!</v>
      </c>
      <c r="DQ316" t="e">
        <f>'North America'!E259+"$F;@!1:m"</f>
        <v>#VALUE!</v>
      </c>
      <c r="DR316" t="e">
        <f>'North America'!F259+"$F;@!1:n"</f>
        <v>#VALUE!</v>
      </c>
      <c r="DS316" t="e">
        <f>'North America'!G259+"$F;@!1:o"</f>
        <v>#VALUE!</v>
      </c>
      <c r="DT316" t="e">
        <f>'North America'!H259+"$F;@!1:p"</f>
        <v>#VALUE!</v>
      </c>
      <c r="DU316" t="e">
        <f>'North America'!A260+"$F;@!1:q"</f>
        <v>#VALUE!</v>
      </c>
      <c r="DV316" t="e">
        <f>'North America'!B260+"$F;@!1:r"</f>
        <v>#VALUE!</v>
      </c>
      <c r="DW316" t="e">
        <f>'North America'!C260+"$F;@!1:s"</f>
        <v>#VALUE!</v>
      </c>
      <c r="DX316" t="e">
        <f>'North America'!D260+"$F;@!1:t"</f>
        <v>#VALUE!</v>
      </c>
      <c r="DY316" t="e">
        <f>'North America'!E260+"$F;@!1:u"</f>
        <v>#VALUE!</v>
      </c>
      <c r="DZ316" t="e">
        <f>'North America'!F260+"$F;@!1:v"</f>
        <v>#VALUE!</v>
      </c>
      <c r="EA316" t="e">
        <f>'North America'!G260+"$F;@!1:w"</f>
        <v>#VALUE!</v>
      </c>
      <c r="EB316" t="e">
        <f>'North America'!H260+"$F;@!1:x"</f>
        <v>#VALUE!</v>
      </c>
      <c r="EC316" t="e">
        <f>'North America'!A261+"$F;@!1:y"</f>
        <v>#VALUE!</v>
      </c>
      <c r="ED316" t="e">
        <f>'North America'!B261+"$F;@!1:z"</f>
        <v>#VALUE!</v>
      </c>
      <c r="EE316" t="e">
        <f>'North America'!C261+"$F;@!1:{"</f>
        <v>#VALUE!</v>
      </c>
      <c r="EF316" t="e">
        <f>'North America'!D261+"$F;@!1:|"</f>
        <v>#VALUE!</v>
      </c>
      <c r="EG316" t="e">
        <f>'North America'!E261+"$F;@!1:}"</f>
        <v>#VALUE!</v>
      </c>
      <c r="EH316" t="e">
        <f>'North America'!F261+"$F;@!1:~"</f>
        <v>#VALUE!</v>
      </c>
      <c r="EI316" t="e">
        <f>'North America'!G261+"$F;@!1;#"</f>
        <v>#VALUE!</v>
      </c>
      <c r="EJ316" t="e">
        <f>'North America'!H261+"$F;@!1;$"</f>
        <v>#VALUE!</v>
      </c>
      <c r="EK316" t="e">
        <f>'North America'!A262+"$F;@!1;%"</f>
        <v>#VALUE!</v>
      </c>
      <c r="EL316" t="e">
        <f>'North America'!B262+"$F;@!1;&amp;"</f>
        <v>#VALUE!</v>
      </c>
      <c r="EM316" t="e">
        <f>'North America'!C262+"$F;@!1;'"</f>
        <v>#VALUE!</v>
      </c>
      <c r="EN316" t="e">
        <f>'North America'!D262+"$F;@!1;("</f>
        <v>#VALUE!</v>
      </c>
      <c r="EO316" t="e">
        <f>'North America'!E262+"$F;@!1;)"</f>
        <v>#VALUE!</v>
      </c>
      <c r="EP316" t="e">
        <f>'North America'!F262+"$F;@!1;."</f>
        <v>#VALUE!</v>
      </c>
      <c r="EQ316" t="e">
        <f>'North America'!G262+"$F;@!1;/"</f>
        <v>#VALUE!</v>
      </c>
      <c r="ER316" t="e">
        <f>'North America'!H262+"$F;@!1;0"</f>
        <v>#VALUE!</v>
      </c>
      <c r="ES316" t="e">
        <f>'North America'!A263+"$F;@!1;1"</f>
        <v>#VALUE!</v>
      </c>
      <c r="ET316" t="e">
        <f>'North America'!B263+"$F;@!1;2"</f>
        <v>#VALUE!</v>
      </c>
      <c r="EU316" t="e">
        <f>'North America'!C263+"$F;@!1;3"</f>
        <v>#VALUE!</v>
      </c>
      <c r="EV316" t="e">
        <f>'North America'!D263+"$F;@!1;4"</f>
        <v>#VALUE!</v>
      </c>
      <c r="EW316" t="e">
        <f>'North America'!E263+"$F;@!1;5"</f>
        <v>#VALUE!</v>
      </c>
      <c r="EX316" t="e">
        <f>'North America'!F263+"$F;@!1;6"</f>
        <v>#VALUE!</v>
      </c>
      <c r="EY316" t="e">
        <f>'North America'!G263+"$F;@!1;7"</f>
        <v>#VALUE!</v>
      </c>
      <c r="EZ316" t="e">
        <f>'North America'!H263+"$F;@!1;8"</f>
        <v>#VALUE!</v>
      </c>
      <c r="FA316" t="e">
        <f>'North America'!A264+"$F;@!1;9"</f>
        <v>#VALUE!</v>
      </c>
      <c r="FB316" t="e">
        <f>'North America'!B264+"$F;@!1;:"</f>
        <v>#VALUE!</v>
      </c>
      <c r="FC316" t="e">
        <f>'North America'!C264+"$F;@!1;;"</f>
        <v>#VALUE!</v>
      </c>
      <c r="FD316" t="e">
        <f>'North America'!D264+"$F;@!1;&lt;"</f>
        <v>#VALUE!</v>
      </c>
      <c r="FE316" t="e">
        <f>'North America'!E264+"$F;@!1;="</f>
        <v>#VALUE!</v>
      </c>
      <c r="FF316" t="e">
        <f>'North America'!F264+"$F;@!1;&gt;"</f>
        <v>#VALUE!</v>
      </c>
      <c r="FG316" t="e">
        <f>'North America'!G264+"$F;@!1;?"</f>
        <v>#VALUE!</v>
      </c>
      <c r="FH316" t="e">
        <f>'North America'!H264+"$F;@!1;@"</f>
        <v>#VALUE!</v>
      </c>
      <c r="FI316" t="e">
        <f>'North America'!A265+"$F;@!1;A"</f>
        <v>#VALUE!</v>
      </c>
      <c r="FJ316" t="e">
        <f>'North America'!B265+"$F;@!1;B"</f>
        <v>#VALUE!</v>
      </c>
      <c r="FK316" t="e">
        <f>'North America'!C265+"$F;@!1;C"</f>
        <v>#VALUE!</v>
      </c>
      <c r="FL316" t="e">
        <f>'North America'!D265+"$F;@!1;D"</f>
        <v>#VALUE!</v>
      </c>
      <c r="FM316" t="e">
        <f>'North America'!E265+"$F;@!1;E"</f>
        <v>#VALUE!</v>
      </c>
      <c r="FN316" t="e">
        <f>'North America'!F265+"$F;@!1;F"</f>
        <v>#VALUE!</v>
      </c>
      <c r="FO316" t="e">
        <f>'North America'!G265+"$F;@!1;G"</f>
        <v>#VALUE!</v>
      </c>
      <c r="FP316" t="e">
        <f>'North America'!H265+"$F;@!1;H"</f>
        <v>#VALUE!</v>
      </c>
      <c r="FQ316" t="e">
        <f>'North America'!A266+"$F;@!1;I"</f>
        <v>#VALUE!</v>
      </c>
      <c r="FR316" t="e">
        <f>'North America'!B266+"$F;@!1;J"</f>
        <v>#VALUE!</v>
      </c>
      <c r="FS316" t="e">
        <f>'North America'!C266+"$F;@!1;K"</f>
        <v>#VALUE!</v>
      </c>
      <c r="FT316" t="e">
        <f>'North America'!D266+"$F;@!1;L"</f>
        <v>#VALUE!</v>
      </c>
      <c r="FU316" t="e">
        <f>'North America'!E266+"$F;@!1;M"</f>
        <v>#VALUE!</v>
      </c>
      <c r="FV316" t="e">
        <f>'North America'!F266+"$F;@!1;N"</f>
        <v>#VALUE!</v>
      </c>
      <c r="FW316" t="e">
        <f>'North America'!G266+"$F;@!1;O"</f>
        <v>#VALUE!</v>
      </c>
      <c r="FX316" t="e">
        <f>'North America'!H266+"$F;@!1;P"</f>
        <v>#VALUE!</v>
      </c>
      <c r="FY316" t="e">
        <f>'North America'!A267+"$F;@!1;Q"</f>
        <v>#VALUE!</v>
      </c>
      <c r="FZ316" t="e">
        <f>'North America'!B267+"$F;@!1;R"</f>
        <v>#VALUE!</v>
      </c>
      <c r="GA316" t="e">
        <f>'North America'!C267+"$F;@!1;S"</f>
        <v>#VALUE!</v>
      </c>
      <c r="GB316" t="e">
        <f>'North America'!D267+"$F;@!1;T"</f>
        <v>#VALUE!</v>
      </c>
      <c r="GC316" t="e">
        <f>'North America'!E267+"$F;@!1;U"</f>
        <v>#VALUE!</v>
      </c>
      <c r="GD316" t="e">
        <f>'North America'!F267+"$F;@!1;V"</f>
        <v>#VALUE!</v>
      </c>
      <c r="GE316" t="e">
        <f>'North America'!G267+"$F;@!1;W"</f>
        <v>#VALUE!</v>
      </c>
      <c r="GF316" t="e">
        <f>'North America'!H267+"$F;@!1;X"</f>
        <v>#VALUE!</v>
      </c>
      <c r="GG316" t="e">
        <f>'North America'!A268+"$F;@!1;Y"</f>
        <v>#VALUE!</v>
      </c>
      <c r="GH316" t="e">
        <f>'North America'!B268+"$F;@!1;Z"</f>
        <v>#VALUE!</v>
      </c>
      <c r="GI316" t="e">
        <f>'North America'!C268+"$F;@!1;["</f>
        <v>#VALUE!</v>
      </c>
      <c r="GJ316" t="e">
        <f>'North America'!D268+"$F;@!1;\"</f>
        <v>#VALUE!</v>
      </c>
      <c r="GK316" t="e">
        <f>'North America'!E268+"$F;@!1;]"</f>
        <v>#VALUE!</v>
      </c>
      <c r="GL316" t="e">
        <f>'North America'!F268+"$F;@!1;^"</f>
        <v>#VALUE!</v>
      </c>
      <c r="GM316" t="e">
        <f>'North America'!G268+"$F;@!1;_"</f>
        <v>#VALUE!</v>
      </c>
      <c r="GN316" t="e">
        <f>'North America'!H268+"$F;@!1;`"</f>
        <v>#VALUE!</v>
      </c>
      <c r="GO316" t="e">
        <f>'North America'!A269+"$F;@!1;a"</f>
        <v>#VALUE!</v>
      </c>
      <c r="GP316" t="e">
        <f>'North America'!B269+"$F;@!1;b"</f>
        <v>#VALUE!</v>
      </c>
      <c r="GQ316" t="e">
        <f>'North America'!C269+"$F;@!1;c"</f>
        <v>#VALUE!</v>
      </c>
      <c r="GR316" t="e">
        <f>'North America'!D269+"$F;@!1;d"</f>
        <v>#VALUE!</v>
      </c>
      <c r="GS316" t="e">
        <f>'North America'!E269+"$F;@!1;e"</f>
        <v>#VALUE!</v>
      </c>
      <c r="GT316" t="e">
        <f>'North America'!F269+"$F;@!1;f"</f>
        <v>#VALUE!</v>
      </c>
      <c r="GU316" t="e">
        <f>'North America'!G269+"$F;@!1;g"</f>
        <v>#VALUE!</v>
      </c>
      <c r="GV316" t="e">
        <f>'North America'!H269+"$F;@!1;h"</f>
        <v>#VALUE!</v>
      </c>
      <c r="GW316" t="e">
        <f>'North America'!A270+"$F;@!1;i"</f>
        <v>#VALUE!</v>
      </c>
      <c r="GX316" t="e">
        <f>'North America'!B270+"$F;@!1;j"</f>
        <v>#VALUE!</v>
      </c>
      <c r="GY316" t="e">
        <f>'North America'!C270+"$F;@!1;k"</f>
        <v>#VALUE!</v>
      </c>
      <c r="GZ316" t="e">
        <f>'North America'!D270+"$F;@!1;l"</f>
        <v>#VALUE!</v>
      </c>
      <c r="HA316" t="e">
        <f>'North America'!E270+"$F;@!1;m"</f>
        <v>#VALUE!</v>
      </c>
      <c r="HB316" t="e">
        <f>'North America'!F270+"$F;@!1;n"</f>
        <v>#VALUE!</v>
      </c>
      <c r="HC316" t="e">
        <f>'North America'!G270+"$F;@!1;o"</f>
        <v>#VALUE!</v>
      </c>
      <c r="HD316" t="e">
        <f>'North America'!H270+"$F;@!1;p"</f>
        <v>#VALUE!</v>
      </c>
      <c r="HE316" t="e">
        <f>'North America'!A271+"$F;@!1;q"</f>
        <v>#VALUE!</v>
      </c>
      <c r="HF316" t="e">
        <f>'North America'!B271+"$F;@!1;r"</f>
        <v>#VALUE!</v>
      </c>
      <c r="HG316" t="e">
        <f>'North America'!C271+"$F;@!1;s"</f>
        <v>#VALUE!</v>
      </c>
      <c r="HH316" t="e">
        <f>'North America'!D271+"$F;@!1;t"</f>
        <v>#VALUE!</v>
      </c>
      <c r="HI316" t="e">
        <f>'North America'!E271+"$F;@!1;u"</f>
        <v>#VALUE!</v>
      </c>
      <c r="HJ316" t="e">
        <f>'North America'!F271+"$F;@!1;v"</f>
        <v>#VALUE!</v>
      </c>
      <c r="HK316" t="e">
        <f>'North America'!G271+"$F;@!1;w"</f>
        <v>#VALUE!</v>
      </c>
      <c r="HL316" t="e">
        <f>'North America'!H271+"$F;@!1;x"</f>
        <v>#VALUE!</v>
      </c>
      <c r="HM316" t="e">
        <f>'North America'!A272+"$F;@!1;y"</f>
        <v>#VALUE!</v>
      </c>
      <c r="HN316" t="e">
        <f>'North America'!B272+"$F;@!1;z"</f>
        <v>#VALUE!</v>
      </c>
      <c r="HO316" t="e">
        <f>'North America'!C272+"$F;@!1;{"</f>
        <v>#VALUE!</v>
      </c>
      <c r="HP316" t="e">
        <f>'North America'!D272+"$F;@!1;|"</f>
        <v>#VALUE!</v>
      </c>
      <c r="HQ316" t="e">
        <f>'North America'!E272+"$F;@!1;}"</f>
        <v>#VALUE!</v>
      </c>
      <c r="HR316" t="e">
        <f>'North America'!F272+"$F;@!1;~"</f>
        <v>#VALUE!</v>
      </c>
      <c r="HS316" t="e">
        <f>'North America'!G272+"$F;@!1&lt;#"</f>
        <v>#VALUE!</v>
      </c>
      <c r="HT316" t="e">
        <f>'North America'!H272+"$F;@!1&lt;$"</f>
        <v>#VALUE!</v>
      </c>
      <c r="HU316" t="e">
        <f>'North America'!A273+"$F;@!1&lt;%"</f>
        <v>#VALUE!</v>
      </c>
      <c r="HV316" t="e">
        <f>'North America'!B273+"$F;@!1&lt;&amp;"</f>
        <v>#VALUE!</v>
      </c>
      <c r="HW316" t="e">
        <f>'North America'!C273+"$F;@!1&lt;'"</f>
        <v>#VALUE!</v>
      </c>
      <c r="HX316" t="e">
        <f>'North America'!D273+"$F;@!1&lt;("</f>
        <v>#VALUE!</v>
      </c>
      <c r="HY316" t="e">
        <f>'North America'!E273+"$F;@!1&lt;)"</f>
        <v>#VALUE!</v>
      </c>
      <c r="HZ316" t="e">
        <f>'North America'!F273+"$F;@!1&lt;."</f>
        <v>#VALUE!</v>
      </c>
      <c r="IA316" t="e">
        <f>'North America'!G273+"$F;@!1&lt;/"</f>
        <v>#VALUE!</v>
      </c>
      <c r="IB316" t="e">
        <f>'North America'!H273+"$F;@!1&lt;0"</f>
        <v>#VALUE!</v>
      </c>
      <c r="IC316" t="e">
        <f>'North America'!A274+"$F;@!1&lt;1"</f>
        <v>#VALUE!</v>
      </c>
      <c r="ID316" t="e">
        <f>'North America'!B274+"$F;@!1&lt;2"</f>
        <v>#VALUE!</v>
      </c>
      <c r="IE316" t="e">
        <f>'North America'!C274+"$F;@!1&lt;3"</f>
        <v>#VALUE!</v>
      </c>
      <c r="IF316" t="e">
        <f>'North America'!D274+"$F;@!1&lt;4"</f>
        <v>#VALUE!</v>
      </c>
      <c r="IG316" t="e">
        <f>'North America'!E274+"$F;@!1&lt;5"</f>
        <v>#VALUE!</v>
      </c>
      <c r="IH316" t="e">
        <f>'North America'!F274+"$F;@!1&lt;6"</f>
        <v>#VALUE!</v>
      </c>
      <c r="II316" t="e">
        <f>'North America'!G274+"$F;@!1&lt;7"</f>
        <v>#VALUE!</v>
      </c>
      <c r="IJ316" t="e">
        <f>'North America'!H274+"$F;@!1&lt;8"</f>
        <v>#VALUE!</v>
      </c>
      <c r="IK316" t="e">
        <f>'North America'!A275+"$F;@!1&lt;9"</f>
        <v>#VALUE!</v>
      </c>
      <c r="IL316" t="e">
        <f>'North America'!B275+"$F;@!1&lt;:"</f>
        <v>#VALUE!</v>
      </c>
      <c r="IM316" t="e">
        <f>'North America'!C275+"$F;@!1&lt;;"</f>
        <v>#VALUE!</v>
      </c>
      <c r="IN316" t="e">
        <f>'North America'!D275+"$F;@!1&lt;&lt;"</f>
        <v>#VALUE!</v>
      </c>
      <c r="IO316" t="e">
        <f>'North America'!E275+"$F;@!1&lt;="</f>
        <v>#VALUE!</v>
      </c>
      <c r="IP316" t="e">
        <f>'North America'!F275+"$F;@!1&lt;&gt;"</f>
        <v>#VALUE!</v>
      </c>
      <c r="IQ316" t="e">
        <f>'North America'!G275+"$F;@!1&lt;?"</f>
        <v>#VALUE!</v>
      </c>
      <c r="IR316" t="e">
        <f>'North America'!H275+"$F;@!1&lt;@"</f>
        <v>#VALUE!</v>
      </c>
      <c r="IS316" t="e">
        <f>'North America'!A276+"$F;@!1&lt;A"</f>
        <v>#VALUE!</v>
      </c>
      <c r="IT316" t="e">
        <f>'North America'!B276+"$F;@!1&lt;B"</f>
        <v>#VALUE!</v>
      </c>
      <c r="IU316" t="e">
        <f>'North America'!C276+"$F;@!1&lt;C"</f>
        <v>#VALUE!</v>
      </c>
      <c r="IV316" t="e">
        <f>'North America'!D276+"$F;@!1&lt;D"</f>
        <v>#VALUE!</v>
      </c>
    </row>
    <row r="317" spans="6:256" x14ac:dyDescent="0.35">
      <c r="F317" t="e">
        <f>'North America'!E276+"$F;@!1&lt;E"</f>
        <v>#VALUE!</v>
      </c>
      <c r="G317" t="e">
        <f>'North America'!F276+"$F;@!1&lt;F"</f>
        <v>#VALUE!</v>
      </c>
      <c r="H317" t="e">
        <f>'North America'!G276+"$F;@!1&lt;G"</f>
        <v>#VALUE!</v>
      </c>
      <c r="I317" t="e">
        <f>'North America'!H276+"$F;@!1&lt;H"</f>
        <v>#VALUE!</v>
      </c>
      <c r="J317" t="e">
        <f>'North America'!A277+"$F;@!1&lt;I"</f>
        <v>#VALUE!</v>
      </c>
      <c r="K317" t="e">
        <f>'North America'!B277+"$F;@!1&lt;J"</f>
        <v>#VALUE!</v>
      </c>
      <c r="L317" t="e">
        <f>'North America'!C277+"$F;@!1&lt;K"</f>
        <v>#VALUE!</v>
      </c>
      <c r="M317" t="e">
        <f>'North America'!D277+"$F;@!1&lt;L"</f>
        <v>#VALUE!</v>
      </c>
      <c r="N317" t="e">
        <f>'North America'!E277+"$F;@!1&lt;M"</f>
        <v>#VALUE!</v>
      </c>
      <c r="O317" t="e">
        <f>'North America'!F277+"$F;@!1&lt;N"</f>
        <v>#VALUE!</v>
      </c>
      <c r="P317" t="e">
        <f>'North America'!G277+"$F;@!1&lt;O"</f>
        <v>#VALUE!</v>
      </c>
      <c r="Q317" t="e">
        <f>'North America'!H277+"$F;@!1&lt;P"</f>
        <v>#VALUE!</v>
      </c>
      <c r="R317" t="e">
        <f>'North America'!A278+"$F;@!1&lt;Q"</f>
        <v>#VALUE!</v>
      </c>
      <c r="S317" t="e">
        <f>'North America'!B278+"$F;@!1&lt;R"</f>
        <v>#VALUE!</v>
      </c>
      <c r="T317" t="e">
        <f>'North America'!C278+"$F;@!1&lt;S"</f>
        <v>#VALUE!</v>
      </c>
      <c r="U317" t="e">
        <f>'North America'!D278+"$F;@!1&lt;T"</f>
        <v>#VALUE!</v>
      </c>
      <c r="V317" t="e">
        <f>'North America'!E278+"$F;@!1&lt;U"</f>
        <v>#VALUE!</v>
      </c>
      <c r="W317" t="e">
        <f>'North America'!F278+"$F;@!1&lt;V"</f>
        <v>#VALUE!</v>
      </c>
      <c r="X317" t="e">
        <f>'North America'!G278+"$F;@!1&lt;W"</f>
        <v>#VALUE!</v>
      </c>
      <c r="Y317" t="e">
        <f>'North America'!H278+"$F;@!1&lt;X"</f>
        <v>#VALUE!</v>
      </c>
      <c r="Z317" t="e">
        <f>'North America'!A279+"$F;@!1&lt;Y"</f>
        <v>#VALUE!</v>
      </c>
      <c r="AA317" t="e">
        <f>'North America'!B279+"$F;@!1&lt;Z"</f>
        <v>#VALUE!</v>
      </c>
      <c r="AB317" t="e">
        <f>'North America'!C279+"$F;@!1&lt;["</f>
        <v>#VALUE!</v>
      </c>
      <c r="AC317" t="e">
        <f>'North America'!D279+"$F;@!1&lt;\"</f>
        <v>#VALUE!</v>
      </c>
      <c r="AD317" t="e">
        <f>'North America'!E279+"$F;@!1&lt;]"</f>
        <v>#VALUE!</v>
      </c>
      <c r="AE317" t="e">
        <f>'North America'!F279+"$F;@!1&lt;^"</f>
        <v>#VALUE!</v>
      </c>
      <c r="AF317" t="e">
        <f>'North America'!G279+"$F;@!1&lt;_"</f>
        <v>#VALUE!</v>
      </c>
      <c r="AG317" t="e">
        <f>'North America'!H279+"$F;@!1&lt;`"</f>
        <v>#VALUE!</v>
      </c>
      <c r="AH317" t="e">
        <f>'North America'!A280+"$F;@!1&lt;a"</f>
        <v>#VALUE!</v>
      </c>
      <c r="AI317" t="e">
        <f>'North America'!B280+"$F;@!1&lt;b"</f>
        <v>#VALUE!</v>
      </c>
      <c r="AJ317" t="e">
        <f>'North America'!C280+"$F;@!1&lt;c"</f>
        <v>#VALUE!</v>
      </c>
      <c r="AK317" t="e">
        <f>'North America'!D280+"$F;@!1&lt;d"</f>
        <v>#VALUE!</v>
      </c>
      <c r="AL317" t="e">
        <f>'North America'!E280+"$F;@!1&lt;e"</f>
        <v>#VALUE!</v>
      </c>
      <c r="AM317" t="e">
        <f>'North America'!F280+"$F;@!1&lt;f"</f>
        <v>#VALUE!</v>
      </c>
      <c r="AN317" t="e">
        <f>'North America'!G280+"$F;@!1&lt;g"</f>
        <v>#VALUE!</v>
      </c>
      <c r="AO317" t="e">
        <f>'North America'!H280+"$F;@!1&lt;h"</f>
        <v>#VALUE!</v>
      </c>
      <c r="AP317" t="e">
        <f>'North America'!A281+"$F;@!1&lt;i"</f>
        <v>#VALUE!</v>
      </c>
      <c r="AQ317" t="e">
        <f>'North America'!B281+"$F;@!1&lt;j"</f>
        <v>#VALUE!</v>
      </c>
      <c r="AR317" t="e">
        <f>'North America'!C281+"$F;@!1&lt;k"</f>
        <v>#VALUE!</v>
      </c>
      <c r="AS317" t="e">
        <f>'North America'!D281+"$F;@!1&lt;l"</f>
        <v>#VALUE!</v>
      </c>
      <c r="AT317" t="e">
        <f>'North America'!E281+"$F;@!1&lt;m"</f>
        <v>#VALUE!</v>
      </c>
      <c r="AU317" t="e">
        <f>'North America'!F281+"$F;@!1&lt;n"</f>
        <v>#VALUE!</v>
      </c>
      <c r="AV317" t="e">
        <f>'North America'!G281+"$F;@!1&lt;o"</f>
        <v>#VALUE!</v>
      </c>
      <c r="AW317" t="e">
        <f>'North America'!H281+"$F;@!1&lt;p"</f>
        <v>#VALUE!</v>
      </c>
      <c r="AX317" t="e">
        <f>'North America'!A282+"$F;@!1&lt;q"</f>
        <v>#VALUE!</v>
      </c>
      <c r="AY317" t="e">
        <f>'North America'!B282+"$F;@!1&lt;r"</f>
        <v>#VALUE!</v>
      </c>
      <c r="AZ317" t="e">
        <f>'North America'!C282+"$F;@!1&lt;s"</f>
        <v>#VALUE!</v>
      </c>
      <c r="BA317" t="e">
        <f>'North America'!D282+"$F;@!1&lt;t"</f>
        <v>#VALUE!</v>
      </c>
      <c r="BB317" t="e">
        <f>'North America'!E282+"$F;@!1&lt;u"</f>
        <v>#VALUE!</v>
      </c>
      <c r="BC317" t="e">
        <f>'North America'!F282+"$F;@!1&lt;v"</f>
        <v>#VALUE!</v>
      </c>
      <c r="BD317" t="e">
        <f>'North America'!G282+"$F;@!1&lt;w"</f>
        <v>#VALUE!</v>
      </c>
      <c r="BE317" t="e">
        <f>'North America'!H282+"$F;@!1&lt;x"</f>
        <v>#VALUE!</v>
      </c>
      <c r="BF317" t="e">
        <f>'North America'!A283+"$F;@!1&lt;y"</f>
        <v>#VALUE!</v>
      </c>
      <c r="BG317" t="e">
        <f>'North America'!B283+"$F;@!1&lt;z"</f>
        <v>#VALUE!</v>
      </c>
      <c r="BH317" t="e">
        <f>'North America'!C283+"$F;@!1&lt;{"</f>
        <v>#VALUE!</v>
      </c>
      <c r="BI317" t="e">
        <f>'North America'!D283+"$F;@!1&lt;|"</f>
        <v>#VALUE!</v>
      </c>
      <c r="BJ317" t="e">
        <f>'North America'!E283+"$F;@!1&lt;}"</f>
        <v>#VALUE!</v>
      </c>
      <c r="BK317" t="e">
        <f>'North America'!F283+"$F;@!1&lt;~"</f>
        <v>#VALUE!</v>
      </c>
      <c r="BL317" t="e">
        <f>'North America'!G283+"$F;@!1=#"</f>
        <v>#VALUE!</v>
      </c>
      <c r="BM317" t="e">
        <f>'North America'!H283+"$F;@!1=$"</f>
        <v>#VALUE!</v>
      </c>
      <c r="BN317" t="e">
        <f>'North America'!A284+"$F;@!1=%"</f>
        <v>#VALUE!</v>
      </c>
      <c r="BO317" t="e">
        <f>'North America'!B284+"$F;@!1=&amp;"</f>
        <v>#VALUE!</v>
      </c>
      <c r="BP317" t="e">
        <f>'North America'!C284+"$F;@!1='"</f>
        <v>#VALUE!</v>
      </c>
      <c r="BQ317" t="e">
        <f>'North America'!D284+"$F;@!1=("</f>
        <v>#VALUE!</v>
      </c>
      <c r="BR317" t="e">
        <f>'North America'!E284+"$F;@!1=)"</f>
        <v>#VALUE!</v>
      </c>
      <c r="BS317" t="e">
        <f>'North America'!F284+"$F;@!1=."</f>
        <v>#VALUE!</v>
      </c>
      <c r="BT317" t="e">
        <f>'North America'!G284+"$F;@!1=/"</f>
        <v>#VALUE!</v>
      </c>
      <c r="BU317" t="e">
        <f>'North America'!H284+"$F;@!1=0"</f>
        <v>#VALUE!</v>
      </c>
      <c r="BV317" t="e">
        <f>'North America'!A285+"$F;@!1=1"</f>
        <v>#VALUE!</v>
      </c>
      <c r="BW317" t="e">
        <f>'North America'!B285+"$F;@!1=2"</f>
        <v>#VALUE!</v>
      </c>
      <c r="BX317" t="e">
        <f>'North America'!C285+"$F;@!1=3"</f>
        <v>#VALUE!</v>
      </c>
      <c r="BY317" t="e">
        <f>'North America'!D285+"$F;@!1=4"</f>
        <v>#VALUE!</v>
      </c>
      <c r="BZ317" t="e">
        <f>'North America'!E285+"$F;@!1=5"</f>
        <v>#VALUE!</v>
      </c>
      <c r="CA317" t="e">
        <f>'North America'!F285+"$F;@!1=6"</f>
        <v>#VALUE!</v>
      </c>
      <c r="CB317" t="e">
        <f>'North America'!G285+"$F;@!1=7"</f>
        <v>#VALUE!</v>
      </c>
      <c r="CC317" t="e">
        <f>'North America'!H285+"$F;@!1=8"</f>
        <v>#VALUE!</v>
      </c>
      <c r="CD317" t="e">
        <f>'North America'!A286+"$F;@!1=9"</f>
        <v>#VALUE!</v>
      </c>
      <c r="CE317" t="e">
        <f>'North America'!B286+"$F;@!1=:"</f>
        <v>#VALUE!</v>
      </c>
      <c r="CF317" t="e">
        <f>'North America'!C286+"$F;@!1=;"</f>
        <v>#VALUE!</v>
      </c>
      <c r="CG317" t="e">
        <f>'North America'!D286+"$F;@!1=&lt;"</f>
        <v>#VALUE!</v>
      </c>
      <c r="CH317" t="e">
        <f>'North America'!E286+"$F;@!1=="</f>
        <v>#VALUE!</v>
      </c>
      <c r="CI317" t="e">
        <f>'North America'!F286+"$F;@!1=&gt;"</f>
        <v>#VALUE!</v>
      </c>
      <c r="CJ317" t="e">
        <f>'North America'!G286+"$F;@!1=?"</f>
        <v>#VALUE!</v>
      </c>
      <c r="CK317" t="e">
        <f>'North America'!H286+"$F;@!1=@"</f>
        <v>#VALUE!</v>
      </c>
      <c r="CL317" t="e">
        <f>'North America'!A287+"$F;@!1=A"</f>
        <v>#VALUE!</v>
      </c>
      <c r="CM317" t="e">
        <f>'North America'!B287+"$F;@!1=B"</f>
        <v>#VALUE!</v>
      </c>
      <c r="CN317" t="e">
        <f>'North America'!C287+"$F;@!1=C"</f>
        <v>#VALUE!</v>
      </c>
      <c r="CO317" t="e">
        <f>'North America'!D287+"$F;@!1=D"</f>
        <v>#VALUE!</v>
      </c>
      <c r="CP317" t="e">
        <f>'North America'!E287+"$F;@!1=E"</f>
        <v>#VALUE!</v>
      </c>
      <c r="CQ317" t="e">
        <f>'North America'!F287+"$F;@!1=F"</f>
        <v>#VALUE!</v>
      </c>
      <c r="CR317" t="e">
        <f>'North America'!G287+"$F;@!1=G"</f>
        <v>#VALUE!</v>
      </c>
      <c r="CS317" t="e">
        <f>'North America'!H287+"$F;@!1=H"</f>
        <v>#VALUE!</v>
      </c>
      <c r="CT317" t="e">
        <f>'North America'!A288+"$F;@!1=I"</f>
        <v>#VALUE!</v>
      </c>
      <c r="CU317" t="e">
        <f>'North America'!B288+"$F;@!1=J"</f>
        <v>#VALUE!</v>
      </c>
      <c r="CV317" t="e">
        <f>'North America'!C288+"$F;@!1=K"</f>
        <v>#VALUE!</v>
      </c>
      <c r="CW317" t="e">
        <f>'North America'!D288+"$F;@!1=L"</f>
        <v>#VALUE!</v>
      </c>
      <c r="CX317" t="e">
        <f>'North America'!E288+"$F;@!1=M"</f>
        <v>#VALUE!</v>
      </c>
      <c r="CY317" t="e">
        <f>'North America'!F288+"$F;@!1=N"</f>
        <v>#VALUE!</v>
      </c>
      <c r="CZ317" t="e">
        <f>'North America'!G288+"$F;@!1=O"</f>
        <v>#VALUE!</v>
      </c>
      <c r="DA317" t="e">
        <f>'North America'!H288+"$F;@!1=P"</f>
        <v>#VALUE!</v>
      </c>
      <c r="DB317" t="e">
        <f>'North America'!A289+"$F;@!1=Q"</f>
        <v>#VALUE!</v>
      </c>
      <c r="DC317" t="e">
        <f>'North America'!B289+"$F;@!1=R"</f>
        <v>#VALUE!</v>
      </c>
      <c r="DD317" t="e">
        <f>'North America'!C289+"$F;@!1=S"</f>
        <v>#VALUE!</v>
      </c>
      <c r="DE317" t="e">
        <f>'North America'!D289+"$F;@!1=T"</f>
        <v>#VALUE!</v>
      </c>
      <c r="DF317" t="e">
        <f>'North America'!E289+"$F;@!1=U"</f>
        <v>#VALUE!</v>
      </c>
      <c r="DG317" t="e">
        <f>'North America'!F289+"$F;@!1=V"</f>
        <v>#VALUE!</v>
      </c>
      <c r="DH317" t="e">
        <f>'North America'!G289+"$F;@!1=W"</f>
        <v>#VALUE!</v>
      </c>
      <c r="DI317" t="e">
        <f>'North America'!H289+"$F;@!1=X"</f>
        <v>#VALUE!</v>
      </c>
      <c r="DJ317" t="e">
        <f>'North America'!A290+"$F;@!1=Y"</f>
        <v>#VALUE!</v>
      </c>
      <c r="DK317" t="e">
        <f>'North America'!B290+"$F;@!1=Z"</f>
        <v>#VALUE!</v>
      </c>
      <c r="DL317" t="e">
        <f>'North America'!C290+"$F;@!1=["</f>
        <v>#VALUE!</v>
      </c>
      <c r="DM317" t="e">
        <f>'North America'!D290+"$F;@!1=\"</f>
        <v>#VALUE!</v>
      </c>
      <c r="DN317" t="e">
        <f>'North America'!E290+"$F;@!1=]"</f>
        <v>#VALUE!</v>
      </c>
      <c r="DO317" t="e">
        <f>'North America'!F290+"$F;@!1=^"</f>
        <v>#VALUE!</v>
      </c>
      <c r="DP317" t="e">
        <f>'North America'!G290+"$F;@!1=_"</f>
        <v>#VALUE!</v>
      </c>
      <c r="DQ317" t="e">
        <f>'North America'!H290+"$F;@!1=`"</f>
        <v>#VALUE!</v>
      </c>
      <c r="DR317" t="e">
        <f>'North America'!A291+"$F;@!1=a"</f>
        <v>#VALUE!</v>
      </c>
      <c r="DS317" t="e">
        <f>'North America'!B291+"$F;@!1=b"</f>
        <v>#VALUE!</v>
      </c>
      <c r="DT317" t="e">
        <f>'North America'!C291+"$F;@!1=c"</f>
        <v>#VALUE!</v>
      </c>
      <c r="DU317" t="e">
        <f>'North America'!D291+"$F;@!1=d"</f>
        <v>#VALUE!</v>
      </c>
      <c r="DV317" t="e">
        <f>'North America'!E291+"$F;@!1=e"</f>
        <v>#VALUE!</v>
      </c>
      <c r="DW317" t="e">
        <f>'North America'!F291+"$F;@!1=f"</f>
        <v>#VALUE!</v>
      </c>
      <c r="DX317" t="e">
        <f>'North America'!G291+"$F;@!1=g"</f>
        <v>#VALUE!</v>
      </c>
      <c r="DY317" t="e">
        <f>'North America'!H291+"$F;@!1=h"</f>
        <v>#VALUE!</v>
      </c>
      <c r="DZ317" t="e">
        <f>'North America'!A292+"$F;@!1=i"</f>
        <v>#VALUE!</v>
      </c>
      <c r="EA317" t="e">
        <f>'North America'!B292+"$F;@!1=j"</f>
        <v>#VALUE!</v>
      </c>
      <c r="EB317" t="e">
        <f>'North America'!C292+"$F;@!1=k"</f>
        <v>#VALUE!</v>
      </c>
      <c r="EC317" t="e">
        <f>'North America'!D292+"$F;@!1=l"</f>
        <v>#VALUE!</v>
      </c>
      <c r="ED317" t="e">
        <f>'North America'!E292+"$F;@!1=m"</f>
        <v>#VALUE!</v>
      </c>
      <c r="EE317" t="e">
        <f>'North America'!F292+"$F;@!1=n"</f>
        <v>#VALUE!</v>
      </c>
      <c r="EF317" t="e">
        <f>'North America'!G292+"$F;@!1=o"</f>
        <v>#VALUE!</v>
      </c>
      <c r="EG317" t="e">
        <f>'North America'!H292+"$F;@!1=p"</f>
        <v>#VALUE!</v>
      </c>
      <c r="EH317" t="e">
        <f>'North America'!A293+"$F;@!1=q"</f>
        <v>#VALUE!</v>
      </c>
      <c r="EI317" t="e">
        <f>'North America'!B293+"$F;@!1=r"</f>
        <v>#VALUE!</v>
      </c>
      <c r="EJ317" t="e">
        <f>'North America'!C293+"$F;@!1=s"</f>
        <v>#VALUE!</v>
      </c>
      <c r="EK317" t="e">
        <f>'North America'!D293+"$F;@!1=t"</f>
        <v>#VALUE!</v>
      </c>
      <c r="EL317" t="e">
        <f>'North America'!E293+"$F;@!1=u"</f>
        <v>#VALUE!</v>
      </c>
      <c r="EM317" t="e">
        <f>'North America'!F293+"$F;@!1=v"</f>
        <v>#VALUE!</v>
      </c>
      <c r="EN317" t="e">
        <f>'North America'!G293+"$F;@!1=w"</f>
        <v>#VALUE!</v>
      </c>
      <c r="EO317" t="e">
        <f>'North America'!H293+"$F;@!1=x"</f>
        <v>#VALUE!</v>
      </c>
      <c r="EP317" t="e">
        <f>'North America'!A294+"$F;@!1=y"</f>
        <v>#VALUE!</v>
      </c>
      <c r="EQ317" t="e">
        <f>'North America'!B294+"$F;@!1=z"</f>
        <v>#VALUE!</v>
      </c>
      <c r="ER317" t="e">
        <f>'North America'!C294+"$F;@!1={"</f>
        <v>#VALUE!</v>
      </c>
      <c r="ES317" t="e">
        <f>'North America'!D294+"$F;@!1=|"</f>
        <v>#VALUE!</v>
      </c>
      <c r="ET317" t="e">
        <f>'North America'!E294+"$F;@!1=}"</f>
        <v>#VALUE!</v>
      </c>
      <c r="EU317" t="e">
        <f>'North America'!F294+"$F;@!1=~"</f>
        <v>#VALUE!</v>
      </c>
      <c r="EV317" t="e">
        <f>'North America'!G294+"$F;@!1&gt;#"</f>
        <v>#VALUE!</v>
      </c>
      <c r="EW317" t="e">
        <f>'North America'!H294+"$F;@!1&gt;$"</f>
        <v>#VALUE!</v>
      </c>
      <c r="EX317" t="e">
        <f>'North America'!A295+"$F;@!1&gt;%"</f>
        <v>#VALUE!</v>
      </c>
      <c r="EY317" t="e">
        <f>'North America'!B295+"$F;@!1&gt;&amp;"</f>
        <v>#VALUE!</v>
      </c>
      <c r="EZ317" t="e">
        <f>'North America'!C295+"$F;@!1&gt;'"</f>
        <v>#VALUE!</v>
      </c>
      <c r="FA317" t="e">
        <f>'North America'!D295+"$F;@!1&gt;("</f>
        <v>#VALUE!</v>
      </c>
      <c r="FB317" t="e">
        <f>'North America'!E295+"$F;@!1&gt;)"</f>
        <v>#VALUE!</v>
      </c>
      <c r="FC317" t="e">
        <f>'North America'!F295+"$F;@!1&gt;."</f>
        <v>#VALUE!</v>
      </c>
      <c r="FD317" t="e">
        <f>'North America'!G295+"$F;@!1&gt;/"</f>
        <v>#VALUE!</v>
      </c>
      <c r="FE317" t="e">
        <f>'North America'!H295+"$F;@!1&gt;0"</f>
        <v>#VALUE!</v>
      </c>
      <c r="FF317" t="e">
        <f>'North America'!A296+"$F;@!1&gt;1"</f>
        <v>#VALUE!</v>
      </c>
      <c r="FG317" t="e">
        <f>'North America'!B296+"$F;@!1&gt;2"</f>
        <v>#VALUE!</v>
      </c>
      <c r="FH317" t="e">
        <f>'North America'!C296+"$F;@!1&gt;3"</f>
        <v>#VALUE!</v>
      </c>
      <c r="FI317" t="e">
        <f>'North America'!D296+"$F;@!1&gt;4"</f>
        <v>#VALUE!</v>
      </c>
      <c r="FJ317" t="e">
        <f>'North America'!E296+"$F;@!1&gt;5"</f>
        <v>#VALUE!</v>
      </c>
      <c r="FK317" t="e">
        <f>'North America'!F296+"$F;@!1&gt;6"</f>
        <v>#VALUE!</v>
      </c>
      <c r="FL317" t="e">
        <f>'North America'!G296+"$F;@!1&gt;7"</f>
        <v>#VALUE!</v>
      </c>
      <c r="FM317" t="e">
        <f>'North America'!H296+"$F;@!1&gt;8"</f>
        <v>#VALUE!</v>
      </c>
      <c r="FN317" t="e">
        <f>'North America'!A297+"$F;@!1&gt;9"</f>
        <v>#VALUE!</v>
      </c>
      <c r="FO317" t="e">
        <f>'North America'!B297+"$F;@!1&gt;:"</f>
        <v>#VALUE!</v>
      </c>
      <c r="FP317" t="e">
        <f>'North America'!C297+"$F;@!1&gt;;"</f>
        <v>#VALUE!</v>
      </c>
      <c r="FQ317" t="e">
        <f>'North America'!D297+"$F;@!1&gt;&lt;"</f>
        <v>#VALUE!</v>
      </c>
      <c r="FR317" t="e">
        <f>'North America'!E297+"$F;@!1&gt;="</f>
        <v>#VALUE!</v>
      </c>
      <c r="FS317" t="e">
        <f>'North America'!F297+"$F;@!1&gt;&gt;"</f>
        <v>#VALUE!</v>
      </c>
      <c r="FT317" t="e">
        <f>'North America'!G297+"$F;@!1&gt;?"</f>
        <v>#VALUE!</v>
      </c>
      <c r="FU317" t="e">
        <f>'North America'!H297+"$F;@!1&gt;@"</f>
        <v>#VALUE!</v>
      </c>
      <c r="FV317" t="e">
        <f>'North America'!A298+"$F;@!1&gt;A"</f>
        <v>#VALUE!</v>
      </c>
      <c r="FW317" t="e">
        <f>'North America'!B298+"$F;@!1&gt;B"</f>
        <v>#VALUE!</v>
      </c>
      <c r="FX317" t="e">
        <f>'North America'!C298+"$F;@!1&gt;C"</f>
        <v>#VALUE!</v>
      </c>
      <c r="FY317" t="e">
        <f>'North America'!D298+"$F;@!1&gt;D"</f>
        <v>#VALUE!</v>
      </c>
      <c r="FZ317" t="e">
        <f>'North America'!E298+"$F;@!1&gt;E"</f>
        <v>#VALUE!</v>
      </c>
      <c r="GA317" t="e">
        <f>'North America'!F298+"$F;@!1&gt;F"</f>
        <v>#VALUE!</v>
      </c>
      <c r="GB317" t="e">
        <f>'North America'!G298+"$F;@!1&gt;G"</f>
        <v>#VALUE!</v>
      </c>
      <c r="GC317" t="e">
        <f>'North America'!H298+"$F;@!1&gt;H"</f>
        <v>#VALUE!</v>
      </c>
      <c r="GD317" t="e">
        <f>'North America'!A299+"$F;@!1&gt;I"</f>
        <v>#VALUE!</v>
      </c>
      <c r="GE317" t="e">
        <f>'North America'!B299+"$F;@!1&gt;J"</f>
        <v>#VALUE!</v>
      </c>
      <c r="GF317" t="e">
        <f>'North America'!C299+"$F;@!1&gt;K"</f>
        <v>#VALUE!</v>
      </c>
      <c r="GG317" t="e">
        <f>'North America'!D299+"$F;@!1&gt;L"</f>
        <v>#VALUE!</v>
      </c>
      <c r="GH317" t="e">
        <f>'North America'!E299+"$F;@!1&gt;M"</f>
        <v>#VALUE!</v>
      </c>
      <c r="GI317" t="e">
        <f>'North America'!F299+"$F;@!1&gt;N"</f>
        <v>#VALUE!</v>
      </c>
      <c r="GJ317" t="e">
        <f>'North America'!G299+"$F;@!1&gt;O"</f>
        <v>#VALUE!</v>
      </c>
      <c r="GK317" t="e">
        <f>'North America'!H299+"$F;@!1&gt;P"</f>
        <v>#VALUE!</v>
      </c>
      <c r="GL317" t="e">
        <f>'North America'!A300+"$F;@!1&gt;Q"</f>
        <v>#VALUE!</v>
      </c>
      <c r="GM317" t="e">
        <f>'North America'!B300+"$F;@!1&gt;R"</f>
        <v>#VALUE!</v>
      </c>
      <c r="GN317" t="e">
        <f>'North America'!C300+"$F;@!1&gt;S"</f>
        <v>#VALUE!</v>
      </c>
      <c r="GO317" t="e">
        <f>'North America'!D300+"$F;@!1&gt;T"</f>
        <v>#VALUE!</v>
      </c>
      <c r="GP317" t="e">
        <f>'North America'!E300+"$F;@!1&gt;U"</f>
        <v>#VALUE!</v>
      </c>
      <c r="GQ317" t="e">
        <f>'North America'!F300+"$F;@!1&gt;V"</f>
        <v>#VALUE!</v>
      </c>
      <c r="GR317" t="e">
        <f>'North America'!G300+"$F;@!1&gt;W"</f>
        <v>#VALUE!</v>
      </c>
      <c r="GS317" t="e">
        <f>'North America'!H300+"$F;@!1&gt;X"</f>
        <v>#VALUE!</v>
      </c>
      <c r="GT317" t="e">
        <f>'North America'!A301+"$F;@!1&gt;Y"</f>
        <v>#VALUE!</v>
      </c>
      <c r="GU317" t="e">
        <f>'North America'!B301+"$F;@!1&gt;Z"</f>
        <v>#VALUE!</v>
      </c>
      <c r="GV317" t="e">
        <f>'North America'!C301+"$F;@!1&gt;["</f>
        <v>#VALUE!</v>
      </c>
      <c r="GW317" t="e">
        <f>'North America'!D301+"$F;@!1&gt;\"</f>
        <v>#VALUE!</v>
      </c>
      <c r="GX317" t="e">
        <f>'North America'!E301+"$F;@!1&gt;]"</f>
        <v>#VALUE!</v>
      </c>
      <c r="GY317" t="e">
        <f>'North America'!F301+"$F;@!1&gt;^"</f>
        <v>#VALUE!</v>
      </c>
      <c r="GZ317" t="e">
        <f>'North America'!G301+"$F;@!1&gt;_"</f>
        <v>#VALUE!</v>
      </c>
      <c r="HA317" t="e">
        <f>'North America'!H301+"$F;@!1&gt;`"</f>
        <v>#VALUE!</v>
      </c>
      <c r="HB317" t="e">
        <f>'North America'!A302+"$F;@!1&gt;a"</f>
        <v>#VALUE!</v>
      </c>
      <c r="HC317" t="e">
        <f>'North America'!B302+"$F;@!1&gt;b"</f>
        <v>#VALUE!</v>
      </c>
      <c r="HD317" t="e">
        <f>'North America'!C302+"$F;@!1&gt;c"</f>
        <v>#VALUE!</v>
      </c>
      <c r="HE317" t="e">
        <f>'North America'!D302+"$F;@!1&gt;d"</f>
        <v>#VALUE!</v>
      </c>
      <c r="HF317" t="e">
        <f>'North America'!E302+"$F;@!1&gt;e"</f>
        <v>#VALUE!</v>
      </c>
      <c r="HG317" t="e">
        <f>'North America'!F302+"$F;@!1&gt;f"</f>
        <v>#VALUE!</v>
      </c>
      <c r="HH317" t="e">
        <f>'North America'!G302+"$F;@!1&gt;g"</f>
        <v>#VALUE!</v>
      </c>
      <c r="HI317" t="e">
        <f>'North America'!H302+"$F;@!1&gt;h"</f>
        <v>#VALUE!</v>
      </c>
      <c r="HJ317" t="e">
        <f>'North America'!A303+"$F;@!1&gt;i"</f>
        <v>#VALUE!</v>
      </c>
      <c r="HK317" t="e">
        <f>'North America'!B303+"$F;@!1&gt;j"</f>
        <v>#VALUE!</v>
      </c>
      <c r="HL317" t="e">
        <f>'North America'!C303+"$F;@!1&gt;k"</f>
        <v>#VALUE!</v>
      </c>
      <c r="HM317" t="e">
        <f>'North America'!D303+"$F;@!1&gt;l"</f>
        <v>#VALUE!</v>
      </c>
      <c r="HN317" t="e">
        <f>'North America'!E303+"$F;@!1&gt;m"</f>
        <v>#VALUE!</v>
      </c>
      <c r="HO317" t="e">
        <f>'North America'!F303+"$F;@!1&gt;n"</f>
        <v>#VALUE!</v>
      </c>
      <c r="HP317" t="e">
        <f>'North America'!G303+"$F;@!1&gt;o"</f>
        <v>#VALUE!</v>
      </c>
      <c r="HQ317" t="e">
        <f>'North America'!H303+"$F;@!1&gt;p"</f>
        <v>#VALUE!</v>
      </c>
      <c r="HR317" t="e">
        <f>'North America'!A304+"$F;@!1&gt;q"</f>
        <v>#VALUE!</v>
      </c>
      <c r="HS317" t="e">
        <f>'North America'!B304+"$F;@!1&gt;r"</f>
        <v>#VALUE!</v>
      </c>
      <c r="HT317" t="e">
        <f>'North America'!C304+"$F;@!1&gt;s"</f>
        <v>#VALUE!</v>
      </c>
      <c r="HU317" t="e">
        <f>'North America'!D304+"$F;@!1&gt;t"</f>
        <v>#VALUE!</v>
      </c>
      <c r="HV317" t="e">
        <f>'North America'!E304+"$F;@!1&gt;u"</f>
        <v>#VALUE!</v>
      </c>
      <c r="HW317" t="e">
        <f>'North America'!F304+"$F;@!1&gt;v"</f>
        <v>#VALUE!</v>
      </c>
      <c r="HX317" t="e">
        <f>'North America'!G304+"$F;@!1&gt;w"</f>
        <v>#VALUE!</v>
      </c>
      <c r="HY317" t="e">
        <f>'North America'!H304+"$F;@!1&gt;x"</f>
        <v>#VALUE!</v>
      </c>
      <c r="HZ317" t="e">
        <f>'North America'!A305+"$F;@!1&gt;y"</f>
        <v>#VALUE!</v>
      </c>
      <c r="IA317" t="e">
        <f>'North America'!B305+"$F;@!1&gt;z"</f>
        <v>#VALUE!</v>
      </c>
      <c r="IB317" t="e">
        <f>'North America'!C305+"$F;@!1&gt;{"</f>
        <v>#VALUE!</v>
      </c>
      <c r="IC317" t="e">
        <f>'North America'!D305+"$F;@!1&gt;|"</f>
        <v>#VALUE!</v>
      </c>
      <c r="ID317" t="e">
        <f>'North America'!E305+"$F;@!1&gt;}"</f>
        <v>#VALUE!</v>
      </c>
      <c r="IE317" t="e">
        <f>'North America'!F305+"$F;@!1&gt;~"</f>
        <v>#VALUE!</v>
      </c>
      <c r="IF317" t="e">
        <f>'North America'!G305+"$F;@!1?#"</f>
        <v>#VALUE!</v>
      </c>
      <c r="IG317" t="e">
        <f>'North America'!H305+"$F;@!1?$"</f>
        <v>#VALUE!</v>
      </c>
      <c r="IH317" t="e">
        <f>'North America'!A306+"$F;@!1?%"</f>
        <v>#VALUE!</v>
      </c>
      <c r="II317" t="e">
        <f>'North America'!B306+"$F;@!1?&amp;"</f>
        <v>#VALUE!</v>
      </c>
      <c r="IJ317" t="e">
        <f>'North America'!C306+"$F;@!1?'"</f>
        <v>#VALUE!</v>
      </c>
      <c r="IK317" t="e">
        <f>'North America'!D306+"$F;@!1?("</f>
        <v>#VALUE!</v>
      </c>
      <c r="IL317" t="e">
        <f>'North America'!E306+"$F;@!1?)"</f>
        <v>#VALUE!</v>
      </c>
      <c r="IM317" t="e">
        <f>'North America'!F306+"$F;@!1?."</f>
        <v>#VALUE!</v>
      </c>
      <c r="IN317" t="e">
        <f>'North America'!G306+"$F;@!1?/"</f>
        <v>#VALUE!</v>
      </c>
      <c r="IO317" t="e">
        <f>'North America'!H306+"$F;@!1?0"</f>
        <v>#VALUE!</v>
      </c>
      <c r="IP317" t="e">
        <f>'North America'!A307+"$F;@!1?1"</f>
        <v>#VALUE!</v>
      </c>
      <c r="IQ317" t="e">
        <f>'North America'!B307+"$F;@!1?2"</f>
        <v>#VALUE!</v>
      </c>
      <c r="IR317" t="e">
        <f>'North America'!C307+"$F;@!1?3"</f>
        <v>#VALUE!</v>
      </c>
      <c r="IS317" t="e">
        <f>'North America'!D307+"$F;@!1?4"</f>
        <v>#VALUE!</v>
      </c>
      <c r="IT317" t="e">
        <f>'North America'!E307+"$F;@!1?5"</f>
        <v>#VALUE!</v>
      </c>
      <c r="IU317" t="e">
        <f>'North America'!F307+"$F;@!1?6"</f>
        <v>#VALUE!</v>
      </c>
      <c r="IV317" t="e">
        <f>'North America'!G307+"$F;@!1?7"</f>
        <v>#VALUE!</v>
      </c>
    </row>
    <row r="318" spans="6:256" x14ac:dyDescent="0.35">
      <c r="F318" t="e">
        <f>'North America'!H307+"$F;@!1?8"</f>
        <v>#VALUE!</v>
      </c>
      <c r="G318" t="e">
        <f>'North America'!A308+"$F;@!1?9"</f>
        <v>#VALUE!</v>
      </c>
      <c r="H318" t="e">
        <f>'North America'!B308+"$F;@!1?:"</f>
        <v>#VALUE!</v>
      </c>
      <c r="I318" t="e">
        <f>'North America'!C308+"$F;@!1?;"</f>
        <v>#VALUE!</v>
      </c>
      <c r="J318" t="e">
        <f>'North America'!D308+"$F;@!1?&lt;"</f>
        <v>#VALUE!</v>
      </c>
      <c r="K318" t="e">
        <f>'North America'!E308+"$F;@!1?="</f>
        <v>#VALUE!</v>
      </c>
      <c r="L318" t="e">
        <f>'North America'!F308+"$F;@!1?&gt;"</f>
        <v>#VALUE!</v>
      </c>
      <c r="M318" t="e">
        <f>'North America'!G308+"$F;@!1??"</f>
        <v>#VALUE!</v>
      </c>
      <c r="N318" t="e">
        <f>'North America'!H308+"$F;@!1?@"</f>
        <v>#VALUE!</v>
      </c>
      <c r="O318" t="e">
        <f>'North America'!A309+"$F;@!1?A"</f>
        <v>#VALUE!</v>
      </c>
      <c r="P318" t="e">
        <f>'North America'!B309+"$F;@!1?B"</f>
        <v>#VALUE!</v>
      </c>
      <c r="Q318" t="e">
        <f>'North America'!C309+"$F;@!1?C"</f>
        <v>#VALUE!</v>
      </c>
      <c r="R318" t="e">
        <f>'North America'!D309+"$F;@!1?D"</f>
        <v>#VALUE!</v>
      </c>
      <c r="S318" t="e">
        <f>'North America'!E309+"$F;@!1?E"</f>
        <v>#VALUE!</v>
      </c>
      <c r="T318" t="e">
        <f>'North America'!F309+"$F;@!1?F"</f>
        <v>#VALUE!</v>
      </c>
      <c r="U318" t="e">
        <f>'North America'!G309+"$F;@!1?G"</f>
        <v>#VALUE!</v>
      </c>
      <c r="V318" t="e">
        <f>'North America'!H309+"$F;@!1?H"</f>
        <v>#VALUE!</v>
      </c>
      <c r="W318" t="e">
        <f>'North America'!A310+"$F;@!1?I"</f>
        <v>#VALUE!</v>
      </c>
      <c r="X318" t="e">
        <f>'North America'!B310+"$F;@!1?J"</f>
        <v>#VALUE!</v>
      </c>
      <c r="Y318" t="e">
        <f>'North America'!C310+"$F;@!1?K"</f>
        <v>#VALUE!</v>
      </c>
      <c r="Z318" t="e">
        <f>'North America'!D310+"$F;@!1?L"</f>
        <v>#VALUE!</v>
      </c>
      <c r="AA318" t="e">
        <f>'North America'!E310+"$F;@!1?M"</f>
        <v>#VALUE!</v>
      </c>
      <c r="AB318" t="e">
        <f>'North America'!F310+"$F;@!1?N"</f>
        <v>#VALUE!</v>
      </c>
      <c r="AC318" t="e">
        <f>'North America'!G310+"$F;@!1?O"</f>
        <v>#VALUE!</v>
      </c>
      <c r="AD318" t="e">
        <f>'North America'!H310+"$F;@!1?P"</f>
        <v>#VALUE!</v>
      </c>
      <c r="AE318" t="e">
        <f>'North America'!A311+"$F;@!1?Q"</f>
        <v>#VALUE!</v>
      </c>
      <c r="AF318" t="e">
        <f>'North America'!B311+"$F;@!1?R"</f>
        <v>#VALUE!</v>
      </c>
      <c r="AG318" t="e">
        <f>'North America'!C311+"$F;@!1?S"</f>
        <v>#VALUE!</v>
      </c>
      <c r="AH318" t="e">
        <f>'North America'!D311+"$F;@!1?T"</f>
        <v>#VALUE!</v>
      </c>
      <c r="AI318" t="e">
        <f>'North America'!E311+"$F;@!1?U"</f>
        <v>#VALUE!</v>
      </c>
      <c r="AJ318" t="e">
        <f>'North America'!F311+"$F;@!1?V"</f>
        <v>#VALUE!</v>
      </c>
      <c r="AK318" t="e">
        <f>'North America'!G311+"$F;@!1?W"</f>
        <v>#VALUE!</v>
      </c>
      <c r="AL318" t="e">
        <f>'North America'!H311+"$F;@!1?X"</f>
        <v>#VALUE!</v>
      </c>
      <c r="AM318" t="e">
        <f>'North America'!A312+"$F;@!1?Y"</f>
        <v>#VALUE!</v>
      </c>
      <c r="AN318" t="e">
        <f>'North America'!B312+"$F;@!1?Z"</f>
        <v>#VALUE!</v>
      </c>
      <c r="AO318" t="e">
        <f>'North America'!C312+"$F;@!1?["</f>
        <v>#VALUE!</v>
      </c>
      <c r="AP318" t="e">
        <f>'North America'!D312+"$F;@!1?\"</f>
        <v>#VALUE!</v>
      </c>
      <c r="AQ318" t="e">
        <f>'North America'!E312+"$F;@!1?]"</f>
        <v>#VALUE!</v>
      </c>
      <c r="AR318" t="e">
        <f>'North America'!F312+"$F;@!1?^"</f>
        <v>#VALUE!</v>
      </c>
      <c r="AS318" t="e">
        <f>'North America'!G312+"$F;@!1?_"</f>
        <v>#VALUE!</v>
      </c>
      <c r="AT318" t="e">
        <f>'North America'!H312+"$F;@!1?`"</f>
        <v>#VALUE!</v>
      </c>
      <c r="AU318" t="e">
        <f>'North America'!A313+"$F;@!1?a"</f>
        <v>#VALUE!</v>
      </c>
      <c r="AV318" t="e">
        <f>'North America'!B313+"$F;@!1?b"</f>
        <v>#VALUE!</v>
      </c>
      <c r="AW318" t="e">
        <f>'North America'!C313+"$F;@!1?c"</f>
        <v>#VALUE!</v>
      </c>
      <c r="AX318" t="e">
        <f>'North America'!D313+"$F;@!1?d"</f>
        <v>#VALUE!</v>
      </c>
      <c r="AY318" t="e">
        <f>'North America'!E313+"$F;@!1?e"</f>
        <v>#VALUE!</v>
      </c>
      <c r="AZ318" t="e">
        <f>'North America'!F313+"$F;@!1?f"</f>
        <v>#VALUE!</v>
      </c>
      <c r="BA318" t="e">
        <f>'North America'!G313+"$F;@!1?g"</f>
        <v>#VALUE!</v>
      </c>
      <c r="BB318" t="e">
        <f>'North America'!H313+"$F;@!1?h"</f>
        <v>#VALUE!</v>
      </c>
      <c r="BC318" t="e">
        <f>'North America'!A314+"$F;@!1?i"</f>
        <v>#VALUE!</v>
      </c>
      <c r="BD318" t="e">
        <f>'North America'!B314+"$F;@!1?j"</f>
        <v>#VALUE!</v>
      </c>
      <c r="BE318" t="e">
        <f>'North America'!C314+"$F;@!1?k"</f>
        <v>#VALUE!</v>
      </c>
      <c r="BF318" t="e">
        <f>'North America'!D314+"$F;@!1?l"</f>
        <v>#VALUE!</v>
      </c>
      <c r="BG318" t="e">
        <f>'North America'!E314+"$F;@!1?m"</f>
        <v>#VALUE!</v>
      </c>
      <c r="BH318" t="e">
        <f>'North America'!F314+"$F;@!1?n"</f>
        <v>#VALUE!</v>
      </c>
      <c r="BI318" t="e">
        <f>'North America'!G314+"$F;@!1?o"</f>
        <v>#VALUE!</v>
      </c>
      <c r="BJ318" t="e">
        <f>'North America'!H314+"$F;@!1?p"</f>
        <v>#VALUE!</v>
      </c>
      <c r="BK318" t="e">
        <f>'North America'!A315+"$F;@!1?q"</f>
        <v>#VALUE!</v>
      </c>
      <c r="BL318" t="e">
        <f>'North America'!B315+"$F;@!1?r"</f>
        <v>#VALUE!</v>
      </c>
      <c r="BM318" t="e">
        <f>'North America'!C315+"$F;@!1?s"</f>
        <v>#VALUE!</v>
      </c>
      <c r="BN318" t="e">
        <f>'North America'!D315+"$F;@!1?t"</f>
        <v>#VALUE!</v>
      </c>
      <c r="BO318" t="e">
        <f>'North America'!E315+"$F;@!1?u"</f>
        <v>#VALUE!</v>
      </c>
      <c r="BP318" t="e">
        <f>'North America'!F315+"$F;@!1?v"</f>
        <v>#VALUE!</v>
      </c>
      <c r="BQ318" t="e">
        <f>'North America'!G315+"$F;@!1?w"</f>
        <v>#VALUE!</v>
      </c>
      <c r="BR318" t="e">
        <f>'North America'!H315+"$F;@!1?x"</f>
        <v>#VALUE!</v>
      </c>
      <c r="BS318" t="e">
        <f>'North America'!A316+"$F;@!1?y"</f>
        <v>#VALUE!</v>
      </c>
      <c r="BT318" t="e">
        <f>'North America'!B316+"$F;@!1?z"</f>
        <v>#VALUE!</v>
      </c>
      <c r="BU318" t="e">
        <f>'North America'!C316+"$F;@!1?{"</f>
        <v>#VALUE!</v>
      </c>
      <c r="BV318" t="e">
        <f>'North America'!D316+"$F;@!1?|"</f>
        <v>#VALUE!</v>
      </c>
      <c r="BW318" t="e">
        <f>'North America'!E316+"$F;@!1?}"</f>
        <v>#VALUE!</v>
      </c>
      <c r="BX318" t="e">
        <f>'North America'!F316+"$F;@!1?~"</f>
        <v>#VALUE!</v>
      </c>
      <c r="BY318" t="e">
        <f>'North America'!G316+"$F;@!1@#"</f>
        <v>#VALUE!</v>
      </c>
      <c r="BZ318" t="e">
        <f>'North America'!H316+"$F;@!1@$"</f>
        <v>#VALUE!</v>
      </c>
      <c r="CA318" t="e">
        <f>'North America'!A317+"$F;@!1@%"</f>
        <v>#VALUE!</v>
      </c>
      <c r="CB318" t="e">
        <f>'North America'!B317+"$F;@!1@&amp;"</f>
        <v>#VALUE!</v>
      </c>
      <c r="CC318" t="e">
        <f>'North America'!C317+"$F;@!1@'"</f>
        <v>#VALUE!</v>
      </c>
      <c r="CD318" t="e">
        <f>'North America'!D317+"$F;@!1@("</f>
        <v>#VALUE!</v>
      </c>
      <c r="CE318" t="e">
        <f>'North America'!E317+"$F;@!1@)"</f>
        <v>#VALUE!</v>
      </c>
      <c r="CF318" t="e">
        <f>'North America'!F317+"$F;@!1@."</f>
        <v>#VALUE!</v>
      </c>
      <c r="CG318" t="e">
        <f>'North America'!G317+"$F;@!1@/"</f>
        <v>#VALUE!</v>
      </c>
      <c r="CH318" t="e">
        <f>'North America'!H317+"$F;@!1@0"</f>
        <v>#VALUE!</v>
      </c>
      <c r="CI318" t="e">
        <f>'North America'!A318+"$F;@!1@1"</f>
        <v>#VALUE!</v>
      </c>
      <c r="CJ318" t="e">
        <f>'North America'!B318+"$F;@!1@2"</f>
        <v>#VALUE!</v>
      </c>
      <c r="CK318" t="e">
        <f>'North America'!C318+"$F;@!1@3"</f>
        <v>#VALUE!</v>
      </c>
      <c r="CL318" t="e">
        <f>'North America'!D318+"$F;@!1@4"</f>
        <v>#VALUE!</v>
      </c>
      <c r="CM318" t="e">
        <f>'North America'!E318+"$F;@!1@5"</f>
        <v>#VALUE!</v>
      </c>
      <c r="CN318" t="e">
        <f>'North America'!F318+"$F;@!1@6"</f>
        <v>#VALUE!</v>
      </c>
      <c r="CO318" t="e">
        <f>'North America'!G318+"$F;@!1@7"</f>
        <v>#VALUE!</v>
      </c>
      <c r="CP318" t="e">
        <f>'North America'!H318+"$F;@!1@8"</f>
        <v>#VALUE!</v>
      </c>
      <c r="CQ318" t="e">
        <f>'North America'!A319+"$F;@!1@9"</f>
        <v>#VALUE!</v>
      </c>
      <c r="CR318" t="e">
        <f>'North America'!B319+"$F;@!1@:"</f>
        <v>#VALUE!</v>
      </c>
      <c r="CS318" t="e">
        <f>'North America'!C319+"$F;@!1@;"</f>
        <v>#VALUE!</v>
      </c>
      <c r="CT318" t="e">
        <f>'North America'!D319+"$F;@!1@&lt;"</f>
        <v>#VALUE!</v>
      </c>
      <c r="CU318" t="e">
        <f>'North America'!E319+"$F;@!1@="</f>
        <v>#VALUE!</v>
      </c>
      <c r="CV318" t="e">
        <f>'North America'!F319+"$F;@!1@&gt;"</f>
        <v>#VALUE!</v>
      </c>
      <c r="CW318" t="e">
        <f>'North America'!G319+"$F;@!1@?"</f>
        <v>#VALUE!</v>
      </c>
      <c r="CX318" t="e">
        <f>'North America'!H319+"$F;@!1@@"</f>
        <v>#VALUE!</v>
      </c>
      <c r="CY318" t="e">
        <f>'North America'!A320+"$F;@!1@A"</f>
        <v>#VALUE!</v>
      </c>
      <c r="CZ318" t="e">
        <f>'North America'!B320+"$F;@!1@B"</f>
        <v>#VALUE!</v>
      </c>
      <c r="DA318" t="e">
        <f>'North America'!C320+"$F;@!1@C"</f>
        <v>#VALUE!</v>
      </c>
      <c r="DB318" t="e">
        <f>'North America'!D320+"$F;@!1@D"</f>
        <v>#VALUE!</v>
      </c>
      <c r="DC318" t="e">
        <f>'North America'!E320+"$F;@!1@E"</f>
        <v>#VALUE!</v>
      </c>
      <c r="DD318" t="e">
        <f>'North America'!F320+"$F;@!1@F"</f>
        <v>#VALUE!</v>
      </c>
      <c r="DE318" t="e">
        <f>'North America'!G320+"$F;@!1@G"</f>
        <v>#VALUE!</v>
      </c>
      <c r="DF318" t="e">
        <f>'North America'!H320+"$F;@!1@H"</f>
        <v>#VALUE!</v>
      </c>
      <c r="DG318" t="e">
        <f>'North America'!A321+"$F;@!1@I"</f>
        <v>#VALUE!</v>
      </c>
      <c r="DH318" t="e">
        <f>'North America'!B321+"$F;@!1@J"</f>
        <v>#VALUE!</v>
      </c>
      <c r="DI318" t="e">
        <f>'North America'!C321+"$F;@!1@K"</f>
        <v>#VALUE!</v>
      </c>
      <c r="DJ318" t="e">
        <f>'North America'!D321+"$F;@!1@L"</f>
        <v>#VALUE!</v>
      </c>
      <c r="DK318" t="e">
        <f>'North America'!E321+"$F;@!1@M"</f>
        <v>#VALUE!</v>
      </c>
      <c r="DL318" t="e">
        <f>'North America'!F321+"$F;@!1@N"</f>
        <v>#VALUE!</v>
      </c>
      <c r="DM318" t="e">
        <f>'North America'!G321+"$F;@!1@O"</f>
        <v>#VALUE!</v>
      </c>
      <c r="DN318" t="e">
        <f>'North America'!H321+"$F;@!1@P"</f>
        <v>#VALUE!</v>
      </c>
      <c r="DO318" t="e">
        <f>'North America'!A322+"$F;@!1@Q"</f>
        <v>#VALUE!</v>
      </c>
      <c r="DP318" t="e">
        <f>'North America'!B322+"$F;@!1@R"</f>
        <v>#VALUE!</v>
      </c>
      <c r="DQ318" t="e">
        <f>'North America'!C322+"$F;@!1@S"</f>
        <v>#VALUE!</v>
      </c>
      <c r="DR318" t="e">
        <f>'North America'!D322+"$F;@!1@T"</f>
        <v>#VALUE!</v>
      </c>
      <c r="DS318" t="e">
        <f>'North America'!E322+"$F;@!1@U"</f>
        <v>#VALUE!</v>
      </c>
      <c r="DT318" t="e">
        <f>'North America'!F322+"$F;@!1@V"</f>
        <v>#VALUE!</v>
      </c>
      <c r="DU318" t="e">
        <f>'North America'!G322+"$F;@!1@W"</f>
        <v>#VALUE!</v>
      </c>
      <c r="DV318" t="e">
        <f>'North America'!H322+"$F;@!1@X"</f>
        <v>#VALUE!</v>
      </c>
      <c r="DW318" t="e">
        <f>'North America'!A323+"$F;@!1@Y"</f>
        <v>#VALUE!</v>
      </c>
      <c r="DX318" t="e">
        <f>'North America'!B323+"$F;@!1@Z"</f>
        <v>#VALUE!</v>
      </c>
      <c r="DY318" t="e">
        <f>'North America'!C323+"$F;@!1@["</f>
        <v>#VALUE!</v>
      </c>
      <c r="DZ318" t="e">
        <f>'North America'!D323+"$F;@!1@\"</f>
        <v>#VALUE!</v>
      </c>
      <c r="EA318" t="e">
        <f>'North America'!E323+"$F;@!1@]"</f>
        <v>#VALUE!</v>
      </c>
      <c r="EB318" t="e">
        <f>'North America'!F323+"$F;@!1@^"</f>
        <v>#VALUE!</v>
      </c>
      <c r="EC318" t="e">
        <f>'North America'!G323+"$F;@!1@_"</f>
        <v>#VALUE!</v>
      </c>
      <c r="ED318" t="e">
        <f>'North America'!H323+"$F;@!1@`"</f>
        <v>#VALUE!</v>
      </c>
      <c r="EE318" t="e">
        <f>'North America'!A324+"$F;@!1@a"</f>
        <v>#VALUE!</v>
      </c>
      <c r="EF318" t="e">
        <f>'North America'!B324+"$F;@!1@b"</f>
        <v>#VALUE!</v>
      </c>
      <c r="EG318" t="e">
        <f>'North America'!C324+"$F;@!1@c"</f>
        <v>#VALUE!</v>
      </c>
      <c r="EH318" t="e">
        <f>'North America'!D324+"$F;@!1@d"</f>
        <v>#VALUE!</v>
      </c>
      <c r="EI318" t="e">
        <f>'North America'!E324+"$F;@!1@e"</f>
        <v>#VALUE!</v>
      </c>
      <c r="EJ318" t="e">
        <f>'North America'!F324+"$F;@!1@f"</f>
        <v>#VALUE!</v>
      </c>
      <c r="EK318" t="e">
        <f>'North America'!G324+"$F;@!1@g"</f>
        <v>#VALUE!</v>
      </c>
      <c r="EL318" t="e">
        <f>'North America'!H324+"$F;@!1@h"</f>
        <v>#VALUE!</v>
      </c>
      <c r="EM318" t="e">
        <f>'North America'!A325+"$F;@!1@i"</f>
        <v>#VALUE!</v>
      </c>
      <c r="EN318" t="e">
        <f>'North America'!B325+"$F;@!1@j"</f>
        <v>#VALUE!</v>
      </c>
      <c r="EO318" t="e">
        <f>'North America'!C325+"$F;@!1@k"</f>
        <v>#VALUE!</v>
      </c>
      <c r="EP318" t="e">
        <f>'North America'!D325+"$F;@!1@l"</f>
        <v>#VALUE!</v>
      </c>
      <c r="EQ318" t="e">
        <f>'North America'!E325+"$F;@!1@m"</f>
        <v>#VALUE!</v>
      </c>
      <c r="ER318" t="e">
        <f>'North America'!F325+"$F;@!1@n"</f>
        <v>#VALUE!</v>
      </c>
      <c r="ES318" t="e">
        <f>'North America'!G325+"$F;@!1@o"</f>
        <v>#VALUE!</v>
      </c>
      <c r="ET318" t="e">
        <f>'North America'!H325+"$F;@!1@p"</f>
        <v>#VALUE!</v>
      </c>
      <c r="EU318" t="e">
        <f>'North America'!A326+"$F;@!1@q"</f>
        <v>#VALUE!</v>
      </c>
      <c r="EV318" t="e">
        <f>'North America'!B326+"$F;@!1@r"</f>
        <v>#VALUE!</v>
      </c>
      <c r="EW318" t="e">
        <f>'North America'!C326+"$F;@!1@s"</f>
        <v>#VALUE!</v>
      </c>
      <c r="EX318" t="e">
        <f>'North America'!D326+"$F;@!1@t"</f>
        <v>#VALUE!</v>
      </c>
      <c r="EY318" t="e">
        <f>'North America'!E326+"$F;@!1@u"</f>
        <v>#VALUE!</v>
      </c>
      <c r="EZ318" t="e">
        <f>'North America'!F326+"$F;@!1@v"</f>
        <v>#VALUE!</v>
      </c>
      <c r="FA318" t="e">
        <f>'North America'!G326+"$F;@!1@w"</f>
        <v>#VALUE!</v>
      </c>
      <c r="FB318" t="e">
        <f>'North America'!H326+"$F;@!1@x"</f>
        <v>#VALUE!</v>
      </c>
      <c r="FC318" t="e">
        <f>'North America'!A327+"$F;@!1@y"</f>
        <v>#VALUE!</v>
      </c>
      <c r="FD318" t="e">
        <f>'North America'!B327+"$F;@!1@z"</f>
        <v>#VALUE!</v>
      </c>
      <c r="FE318" t="e">
        <f>'North America'!C327+"$F;@!1@{"</f>
        <v>#VALUE!</v>
      </c>
      <c r="FF318" t="e">
        <f>'North America'!D327+"$F;@!1@|"</f>
        <v>#VALUE!</v>
      </c>
      <c r="FG318" t="e">
        <f>'North America'!E327+"$F;@!1@}"</f>
        <v>#VALUE!</v>
      </c>
      <c r="FH318" t="e">
        <f>'North America'!F327+"$F;@!1@~"</f>
        <v>#VALUE!</v>
      </c>
      <c r="FI318" t="e">
        <f>'North America'!G327+"$F;@!1A#"</f>
        <v>#VALUE!</v>
      </c>
      <c r="FJ318" t="e">
        <f>'North America'!H327+"$F;@!1A$"</f>
        <v>#VALUE!</v>
      </c>
      <c r="FK318" t="e">
        <f>'North America'!A328+"$F;@!1A%"</f>
        <v>#VALUE!</v>
      </c>
      <c r="FL318" t="e">
        <f>'North America'!B328+"$F;@!1A&amp;"</f>
        <v>#VALUE!</v>
      </c>
      <c r="FM318" t="e">
        <f>'North America'!C328+"$F;@!1A'"</f>
        <v>#VALUE!</v>
      </c>
      <c r="FN318" t="e">
        <f>'North America'!D328+"$F;@!1A("</f>
        <v>#VALUE!</v>
      </c>
      <c r="FO318" t="e">
        <f>'North America'!E328+"$F;@!1A)"</f>
        <v>#VALUE!</v>
      </c>
      <c r="FP318" t="e">
        <f>'North America'!F328+"$F;@!1A."</f>
        <v>#VALUE!</v>
      </c>
      <c r="FQ318" t="e">
        <f>'North America'!G328+"$F;@!1A/"</f>
        <v>#VALUE!</v>
      </c>
      <c r="FR318" t="e">
        <f>'North America'!H328+"$F;@!1A0"</f>
        <v>#VALUE!</v>
      </c>
      <c r="FS318" t="e">
        <f>'North America'!A329+"$F;@!1A1"</f>
        <v>#VALUE!</v>
      </c>
      <c r="FT318" t="e">
        <f>'North America'!B329+"$F;@!1A2"</f>
        <v>#VALUE!</v>
      </c>
      <c r="FU318" t="e">
        <f>'North America'!C329+"$F;@!1A3"</f>
        <v>#VALUE!</v>
      </c>
      <c r="FV318" t="e">
        <f>'North America'!D329+"$F;@!1A4"</f>
        <v>#VALUE!</v>
      </c>
      <c r="FW318" t="e">
        <f>'North America'!E329+"$F;@!1A5"</f>
        <v>#VALUE!</v>
      </c>
      <c r="FX318" t="e">
        <f>'North America'!F329+"$F;@!1A6"</f>
        <v>#VALUE!</v>
      </c>
      <c r="FY318" t="e">
        <f>'North America'!G329+"$F;@!1A7"</f>
        <v>#VALUE!</v>
      </c>
      <c r="FZ318" t="e">
        <f>'North America'!H329+"$F;@!1A8"</f>
        <v>#VALUE!</v>
      </c>
      <c r="GA318" t="e">
        <f>'North America'!A330+"$F;@!1A9"</f>
        <v>#VALUE!</v>
      </c>
      <c r="GB318" t="e">
        <f>'North America'!B330+"$F;@!1A:"</f>
        <v>#VALUE!</v>
      </c>
      <c r="GC318" t="e">
        <f>'North America'!C330+"$F;@!1A;"</f>
        <v>#VALUE!</v>
      </c>
      <c r="GD318" t="e">
        <f>'North America'!D330+"$F;@!1A&lt;"</f>
        <v>#VALUE!</v>
      </c>
      <c r="GE318" t="e">
        <f>'North America'!E330+"$F;@!1A="</f>
        <v>#VALUE!</v>
      </c>
      <c r="GF318" t="e">
        <f>'North America'!F330+"$F;@!1A&gt;"</f>
        <v>#VALUE!</v>
      </c>
      <c r="GG318" t="e">
        <f>'North America'!G330+"$F;@!1A?"</f>
        <v>#VALUE!</v>
      </c>
      <c r="GH318" t="e">
        <f>'North America'!H330+"$F;@!1A@"</f>
        <v>#VALUE!</v>
      </c>
      <c r="GI318" t="e">
        <f>'North America'!A331+"$F;@!1AA"</f>
        <v>#VALUE!</v>
      </c>
      <c r="GJ318" t="e">
        <f>'North America'!B331+"$F;@!1AB"</f>
        <v>#VALUE!</v>
      </c>
      <c r="GK318" t="e">
        <f>'North America'!C331+"$F;@!1AC"</f>
        <v>#VALUE!</v>
      </c>
      <c r="GL318" t="e">
        <f>'North America'!D331+"$F;@!1AD"</f>
        <v>#VALUE!</v>
      </c>
      <c r="GM318" t="e">
        <f>'North America'!E331+"$F;@!1AE"</f>
        <v>#VALUE!</v>
      </c>
      <c r="GN318" t="e">
        <f>'North America'!F331+"$F;@!1AF"</f>
        <v>#VALUE!</v>
      </c>
      <c r="GO318" t="e">
        <f>'North America'!G331+"$F;@!1AG"</f>
        <v>#VALUE!</v>
      </c>
      <c r="GP318" t="e">
        <f>'North America'!H331+"$F;@!1AH"</f>
        <v>#VALUE!</v>
      </c>
      <c r="GQ318" t="e">
        <f>'North America'!A332+"$F;@!1AI"</f>
        <v>#VALUE!</v>
      </c>
      <c r="GR318" t="e">
        <f>'North America'!B332+"$F;@!1AJ"</f>
        <v>#VALUE!</v>
      </c>
      <c r="GS318" t="e">
        <f>'North America'!C332+"$F;@!1AK"</f>
        <v>#VALUE!</v>
      </c>
      <c r="GT318" t="e">
        <f>'North America'!D332+"$F;@!1AL"</f>
        <v>#VALUE!</v>
      </c>
      <c r="GU318" t="e">
        <f>'North America'!E332+"$F;@!1AM"</f>
        <v>#VALUE!</v>
      </c>
      <c r="GV318" t="e">
        <f>'North America'!F332+"$F;@!1AN"</f>
        <v>#VALUE!</v>
      </c>
      <c r="GW318" t="e">
        <f>'North America'!G332+"$F;@!1AO"</f>
        <v>#VALUE!</v>
      </c>
      <c r="GX318" t="e">
        <f>'North America'!H332+"$F;@!1AP"</f>
        <v>#VALUE!</v>
      </c>
      <c r="GY318" t="e">
        <f>'North America'!A333+"$F;@!1AQ"</f>
        <v>#VALUE!</v>
      </c>
      <c r="GZ318" t="e">
        <f>'North America'!B333+"$F;@!1AR"</f>
        <v>#VALUE!</v>
      </c>
      <c r="HA318" t="e">
        <f>'North America'!C333+"$F;@!1AS"</f>
        <v>#VALUE!</v>
      </c>
      <c r="HB318" t="e">
        <f>'North America'!D333+"$F;@!1AT"</f>
        <v>#VALUE!</v>
      </c>
      <c r="HC318" t="e">
        <f>'North America'!E333+"$F;@!1AU"</f>
        <v>#VALUE!</v>
      </c>
      <c r="HD318" t="e">
        <f>'North America'!F333+"$F;@!1AV"</f>
        <v>#VALUE!</v>
      </c>
      <c r="HE318" t="e">
        <f>'North America'!G333+"$F;@!1AW"</f>
        <v>#VALUE!</v>
      </c>
      <c r="HF318" t="e">
        <f>'North America'!H333+"$F;@!1AX"</f>
        <v>#VALUE!</v>
      </c>
      <c r="HG318" t="e">
        <f>'North America'!A334+"$F;@!1AY"</f>
        <v>#VALUE!</v>
      </c>
      <c r="HH318" t="e">
        <f>'North America'!B334+"$F;@!1AZ"</f>
        <v>#VALUE!</v>
      </c>
      <c r="HI318" t="e">
        <f>'North America'!C334+"$F;@!1A["</f>
        <v>#VALUE!</v>
      </c>
      <c r="HJ318" t="e">
        <f>'North America'!D334+"$F;@!1A\"</f>
        <v>#VALUE!</v>
      </c>
      <c r="HK318" t="e">
        <f>'North America'!E334+"$F;@!1A]"</f>
        <v>#VALUE!</v>
      </c>
      <c r="HL318" t="e">
        <f>'North America'!F334+"$F;@!1A^"</f>
        <v>#VALUE!</v>
      </c>
      <c r="HM318" t="e">
        <f>'North America'!G334+"$F;@!1A_"</f>
        <v>#VALUE!</v>
      </c>
      <c r="HN318" t="e">
        <f>'North America'!H334+"$F;@!1A`"</f>
        <v>#VALUE!</v>
      </c>
      <c r="HO318" t="e">
        <f>'North America'!A335+"$F;@!1Aa"</f>
        <v>#VALUE!</v>
      </c>
      <c r="HP318" t="e">
        <f>'North America'!B335+"$F;@!1Ab"</f>
        <v>#VALUE!</v>
      </c>
      <c r="HQ318" t="e">
        <f>'North America'!C335+"$F;@!1Ac"</f>
        <v>#VALUE!</v>
      </c>
      <c r="HR318" t="e">
        <f>'North America'!D335+"$F;@!1Ad"</f>
        <v>#VALUE!</v>
      </c>
      <c r="HS318" t="e">
        <f>'North America'!E335+"$F;@!1Ae"</f>
        <v>#VALUE!</v>
      </c>
      <c r="HT318" t="e">
        <f>'North America'!F335+"$F;@!1Af"</f>
        <v>#VALUE!</v>
      </c>
      <c r="HU318" t="e">
        <f>'North America'!G335+"$F;@!1Ag"</f>
        <v>#VALUE!</v>
      </c>
      <c r="HV318" t="e">
        <f>'North America'!H335+"$F;@!1Ah"</f>
        <v>#VALUE!</v>
      </c>
      <c r="HW318" t="e">
        <f>'North America'!A336+"$F;@!1Ai"</f>
        <v>#VALUE!</v>
      </c>
      <c r="HX318" t="e">
        <f>'North America'!B336+"$F;@!1Aj"</f>
        <v>#VALUE!</v>
      </c>
      <c r="HY318" t="e">
        <f>'North America'!C336+"$F;@!1Ak"</f>
        <v>#VALUE!</v>
      </c>
      <c r="HZ318" t="e">
        <f>'North America'!D336+"$F;@!1Al"</f>
        <v>#VALUE!</v>
      </c>
      <c r="IA318" t="e">
        <f>'North America'!E336+"$F;@!1Am"</f>
        <v>#VALUE!</v>
      </c>
      <c r="IB318" t="e">
        <f>'North America'!F336+"$F;@!1An"</f>
        <v>#VALUE!</v>
      </c>
      <c r="IC318" t="e">
        <f>'North America'!G336+"$F;@!1Ao"</f>
        <v>#VALUE!</v>
      </c>
      <c r="ID318" t="e">
        <f>'North America'!H336+"$F;@!1Ap"</f>
        <v>#VALUE!</v>
      </c>
      <c r="IE318" t="e">
        <f>'North America'!A337+"$F;@!1Aq"</f>
        <v>#VALUE!</v>
      </c>
      <c r="IF318" t="e">
        <f>'North America'!B337+"$F;@!1Ar"</f>
        <v>#VALUE!</v>
      </c>
      <c r="IG318" t="e">
        <f>'North America'!C337+"$F;@!1As"</f>
        <v>#VALUE!</v>
      </c>
      <c r="IH318" t="e">
        <f>'North America'!D337+"$F;@!1At"</f>
        <v>#VALUE!</v>
      </c>
      <c r="II318" t="e">
        <f>'North America'!E337+"$F;@!1Au"</f>
        <v>#VALUE!</v>
      </c>
      <c r="IJ318" t="e">
        <f>'North America'!F337+"$F;@!1Av"</f>
        <v>#VALUE!</v>
      </c>
      <c r="IK318" t="e">
        <f>'North America'!G337+"$F;@!1Aw"</f>
        <v>#VALUE!</v>
      </c>
      <c r="IL318" t="e">
        <f>'North America'!H337+"$F;@!1Ax"</f>
        <v>#VALUE!</v>
      </c>
      <c r="IM318" t="e">
        <f>'North America'!A338+"$F;@!1Ay"</f>
        <v>#VALUE!</v>
      </c>
      <c r="IN318" t="e">
        <f>'North America'!B338+"$F;@!1Az"</f>
        <v>#VALUE!</v>
      </c>
      <c r="IO318" t="e">
        <f>'North America'!C338+"$F;@!1A{"</f>
        <v>#VALUE!</v>
      </c>
      <c r="IP318" t="e">
        <f>'North America'!D338+"$F;@!1A|"</f>
        <v>#VALUE!</v>
      </c>
      <c r="IQ318" t="e">
        <f>'North America'!E338+"$F;@!1A}"</f>
        <v>#VALUE!</v>
      </c>
      <c r="IR318" t="e">
        <f>'North America'!F338+"$F;@!1A~"</f>
        <v>#VALUE!</v>
      </c>
      <c r="IS318" t="e">
        <f>'North America'!G338+"$F;@!1B#"</f>
        <v>#VALUE!</v>
      </c>
      <c r="IT318" t="e">
        <f>'North America'!H338+"$F;@!1B$"</f>
        <v>#VALUE!</v>
      </c>
      <c r="IU318" t="e">
        <f>'North America'!A339+"$F;@!1B%"</f>
        <v>#VALUE!</v>
      </c>
      <c r="IV318" t="e">
        <f>'North America'!B339+"$F;@!1B&amp;"</f>
        <v>#VALUE!</v>
      </c>
    </row>
    <row r="319" spans="6:256" x14ac:dyDescent="0.35">
      <c r="F319" t="e">
        <f>'North America'!C339+"$F;@!1B'"</f>
        <v>#VALUE!</v>
      </c>
      <c r="G319" t="e">
        <f>'North America'!D339+"$F;@!1B("</f>
        <v>#VALUE!</v>
      </c>
      <c r="H319" t="e">
        <f>'North America'!E339+"$F;@!1B)"</f>
        <v>#VALUE!</v>
      </c>
      <c r="I319" t="e">
        <f>'North America'!F339+"$F;@!1B."</f>
        <v>#VALUE!</v>
      </c>
      <c r="J319" t="e">
        <f>'North America'!G339+"$F;@!1B/"</f>
        <v>#VALUE!</v>
      </c>
      <c r="K319" t="e">
        <f>'North America'!H339+"$F;@!1B0"</f>
        <v>#VALUE!</v>
      </c>
      <c r="L319" t="e">
        <f>'North America'!A340+"$F;@!1B1"</f>
        <v>#VALUE!</v>
      </c>
      <c r="M319" t="e">
        <f>'North America'!B340+"$F;@!1B2"</f>
        <v>#VALUE!</v>
      </c>
      <c r="N319" t="e">
        <f>'North America'!C340+"$F;@!1B3"</f>
        <v>#VALUE!</v>
      </c>
      <c r="O319" t="e">
        <f>'North America'!D340+"$F;@!1B4"</f>
        <v>#VALUE!</v>
      </c>
      <c r="P319" t="e">
        <f>'North America'!E340+"$F;@!1B5"</f>
        <v>#VALUE!</v>
      </c>
      <c r="Q319" t="e">
        <f>'North America'!F340+"$F;@!1B6"</f>
        <v>#VALUE!</v>
      </c>
      <c r="R319" t="e">
        <f>'North America'!G340+"$F;@!1B7"</f>
        <v>#VALUE!</v>
      </c>
      <c r="S319" t="e">
        <f>'North America'!H340+"$F;@!1B8"</f>
        <v>#VALUE!</v>
      </c>
      <c r="T319" t="e">
        <f>'North America'!A341+"$F;@!1B9"</f>
        <v>#VALUE!</v>
      </c>
      <c r="U319" t="e">
        <f>'North America'!B341+"$F;@!1B:"</f>
        <v>#VALUE!</v>
      </c>
      <c r="V319" t="e">
        <f>'North America'!C341+"$F;@!1B;"</f>
        <v>#VALUE!</v>
      </c>
      <c r="W319" t="e">
        <f>'North America'!D341+"$F;@!1B&lt;"</f>
        <v>#VALUE!</v>
      </c>
      <c r="X319" t="e">
        <f>'North America'!E341+"$F;@!1B="</f>
        <v>#VALUE!</v>
      </c>
      <c r="Y319" t="e">
        <f>'North America'!F341+"$F;@!1B&gt;"</f>
        <v>#VALUE!</v>
      </c>
      <c r="Z319" t="e">
        <f>'North America'!G341+"$F;@!1B?"</f>
        <v>#VALUE!</v>
      </c>
      <c r="AA319" t="e">
        <f>'North America'!H341+"$F;@!1B@"</f>
        <v>#VALUE!</v>
      </c>
      <c r="AB319" t="e">
        <f>'North America'!A342+"$F;@!1BA"</f>
        <v>#VALUE!</v>
      </c>
      <c r="AC319" t="e">
        <f>'North America'!B342+"$F;@!1BB"</f>
        <v>#VALUE!</v>
      </c>
      <c r="AD319" t="e">
        <f>'North America'!C342+"$F;@!1BC"</f>
        <v>#VALUE!</v>
      </c>
      <c r="AE319" t="e">
        <f>'North America'!D342+"$F;@!1BD"</f>
        <v>#VALUE!</v>
      </c>
      <c r="AF319" t="e">
        <f>'North America'!E342+"$F;@!1BE"</f>
        <v>#VALUE!</v>
      </c>
      <c r="AG319" t="e">
        <f>'North America'!F342+"$F;@!1BF"</f>
        <v>#VALUE!</v>
      </c>
      <c r="AH319" t="e">
        <f>'North America'!G342+"$F;@!1BG"</f>
        <v>#VALUE!</v>
      </c>
      <c r="AI319" t="e">
        <f>'North America'!H342+"$F;@!1BH"</f>
        <v>#VALUE!</v>
      </c>
      <c r="AJ319" t="e">
        <f>'North America'!A343+"$F;@!1BI"</f>
        <v>#VALUE!</v>
      </c>
      <c r="AK319" t="e">
        <f>'North America'!B343+"$F;@!1BJ"</f>
        <v>#VALUE!</v>
      </c>
      <c r="AL319" t="e">
        <f>'North America'!C343+"$F;@!1BK"</f>
        <v>#VALUE!</v>
      </c>
      <c r="AM319" t="e">
        <f>'North America'!D343+"$F;@!1BL"</f>
        <v>#VALUE!</v>
      </c>
      <c r="AN319" t="e">
        <f>'North America'!E343+"$F;@!1BM"</f>
        <v>#VALUE!</v>
      </c>
      <c r="AO319" t="e">
        <f>'North America'!F343+"$F;@!1BN"</f>
        <v>#VALUE!</v>
      </c>
      <c r="AP319" t="e">
        <f>'North America'!G343+"$F;@!1BO"</f>
        <v>#VALUE!</v>
      </c>
      <c r="AQ319" t="e">
        <f>'North America'!H343+"$F;@!1BP"</f>
        <v>#VALUE!</v>
      </c>
      <c r="AR319" t="e">
        <f>'North America'!A344+"$F;@!1BQ"</f>
        <v>#VALUE!</v>
      </c>
      <c r="AS319" t="e">
        <f>'North America'!B344+"$F;@!1BR"</f>
        <v>#VALUE!</v>
      </c>
      <c r="AT319" t="e">
        <f>'North America'!C344+"$F;@!1BS"</f>
        <v>#VALUE!</v>
      </c>
      <c r="AU319" t="e">
        <f>'North America'!D344+"$F;@!1BT"</f>
        <v>#VALUE!</v>
      </c>
      <c r="AV319" t="e">
        <f>'North America'!E344+"$F;@!1BU"</f>
        <v>#VALUE!</v>
      </c>
      <c r="AW319" t="e">
        <f>'North America'!F344+"$F;@!1BV"</f>
        <v>#VALUE!</v>
      </c>
      <c r="AX319" t="e">
        <f>'North America'!G344+"$F;@!1BW"</f>
        <v>#VALUE!</v>
      </c>
      <c r="AY319" t="e">
        <f>'North America'!H344+"$F;@!1BX"</f>
        <v>#VALUE!</v>
      </c>
      <c r="AZ319" t="e">
        <f>'North America'!A345+"$F;@!1BY"</f>
        <v>#VALUE!</v>
      </c>
      <c r="BA319" t="e">
        <f>'North America'!B345+"$F;@!1BZ"</f>
        <v>#VALUE!</v>
      </c>
      <c r="BB319" t="e">
        <f>'North America'!C345+"$F;@!1B["</f>
        <v>#VALUE!</v>
      </c>
      <c r="BC319" t="e">
        <f>'North America'!D345+"$F;@!1B\"</f>
        <v>#VALUE!</v>
      </c>
      <c r="BD319" t="e">
        <f>'North America'!E345+"$F;@!1B]"</f>
        <v>#VALUE!</v>
      </c>
      <c r="BE319" t="e">
        <f>'North America'!F345+"$F;@!1B^"</f>
        <v>#VALUE!</v>
      </c>
      <c r="BF319" t="e">
        <f>'North America'!G345+"$F;@!1B_"</f>
        <v>#VALUE!</v>
      </c>
      <c r="BG319" t="e">
        <f>'North America'!H345+"$F;@!1B`"</f>
        <v>#VALUE!</v>
      </c>
      <c r="BH319" t="e">
        <f>'North America'!A346+"$F;@!1Ba"</f>
        <v>#VALUE!</v>
      </c>
      <c r="BI319" t="e">
        <f>'North America'!B346+"$F;@!1Bb"</f>
        <v>#VALUE!</v>
      </c>
      <c r="BJ319" t="e">
        <f>'North America'!C346+"$F;@!1Bc"</f>
        <v>#VALUE!</v>
      </c>
      <c r="BK319" t="e">
        <f>'North America'!D346+"$F;@!1Bd"</f>
        <v>#VALUE!</v>
      </c>
      <c r="BL319" t="e">
        <f>'North America'!E346+"$F;@!1Be"</f>
        <v>#VALUE!</v>
      </c>
      <c r="BM319" t="e">
        <f>'North America'!F346+"$F;@!1Bf"</f>
        <v>#VALUE!</v>
      </c>
      <c r="BN319" t="e">
        <f>'North America'!G346+"$F;@!1Bg"</f>
        <v>#VALUE!</v>
      </c>
      <c r="BO319" t="e">
        <f>'North America'!H346+"$F;@!1Bh"</f>
        <v>#VALUE!</v>
      </c>
      <c r="BP319" t="e">
        <f>'North America'!A347+"$F;@!1Bi"</f>
        <v>#VALUE!</v>
      </c>
      <c r="BQ319" t="e">
        <f>'North America'!B347+"$F;@!1Bj"</f>
        <v>#VALUE!</v>
      </c>
      <c r="BR319" t="e">
        <f>'North America'!C347+"$F;@!1Bk"</f>
        <v>#VALUE!</v>
      </c>
      <c r="BS319" t="e">
        <f>'North America'!D347+"$F;@!1Bl"</f>
        <v>#VALUE!</v>
      </c>
      <c r="BT319" t="e">
        <f>'North America'!E347+"$F;@!1Bm"</f>
        <v>#VALUE!</v>
      </c>
      <c r="BU319" t="e">
        <f>'North America'!F347+"$F;@!1Bn"</f>
        <v>#VALUE!</v>
      </c>
      <c r="BV319" t="e">
        <f>'North America'!G347+"$F;@!1Bo"</f>
        <v>#VALUE!</v>
      </c>
      <c r="BW319" t="e">
        <f>'North America'!H347+"$F;@!1Bp"</f>
        <v>#VALUE!</v>
      </c>
      <c r="BX319" t="e">
        <f>'North America'!A348+"$F;@!1Bq"</f>
        <v>#VALUE!</v>
      </c>
      <c r="BY319" t="e">
        <f>'North America'!B348+"$F;@!1Br"</f>
        <v>#VALUE!</v>
      </c>
      <c r="BZ319" t="e">
        <f>'North America'!C348+"$F;@!1Bs"</f>
        <v>#VALUE!</v>
      </c>
      <c r="CA319" t="e">
        <f>'North America'!D348+"$F;@!1Bt"</f>
        <v>#VALUE!</v>
      </c>
      <c r="CB319" t="e">
        <f>'North America'!E348+"$F;@!1Bu"</f>
        <v>#VALUE!</v>
      </c>
      <c r="CC319" t="e">
        <f>'North America'!F348+"$F;@!1Bv"</f>
        <v>#VALUE!</v>
      </c>
      <c r="CD319" t="e">
        <f>'North America'!G348+"$F;@!1Bw"</f>
        <v>#VALUE!</v>
      </c>
      <c r="CE319" t="e">
        <f>'North America'!H348+"$F;@!1Bx"</f>
        <v>#VALUE!</v>
      </c>
      <c r="CF319" t="e">
        <f>'North America'!A349+"$F;@!1By"</f>
        <v>#VALUE!</v>
      </c>
      <c r="CG319" t="e">
        <f>'North America'!B349+"$F;@!1Bz"</f>
        <v>#VALUE!</v>
      </c>
      <c r="CH319" t="e">
        <f>'North America'!C349+"$F;@!1B{"</f>
        <v>#VALUE!</v>
      </c>
      <c r="CI319" t="e">
        <f>'North America'!D349+"$F;@!1B|"</f>
        <v>#VALUE!</v>
      </c>
      <c r="CJ319" t="e">
        <f>'North America'!E349+"$F;@!1B}"</f>
        <v>#VALUE!</v>
      </c>
      <c r="CK319" t="e">
        <f>'North America'!F349+"$F;@!1B~"</f>
        <v>#VALUE!</v>
      </c>
      <c r="CL319" t="e">
        <f>'North America'!G349+"$F;@!1C#"</f>
        <v>#VALUE!</v>
      </c>
      <c r="CM319" t="e">
        <f>'North America'!H349+"$F;@!1C$"</f>
        <v>#VALUE!</v>
      </c>
      <c r="CN319" t="e">
        <f>'North America'!A350+"$F;@!1C%"</f>
        <v>#VALUE!</v>
      </c>
      <c r="CO319" t="e">
        <f>'North America'!B350+"$F;@!1C&amp;"</f>
        <v>#VALUE!</v>
      </c>
      <c r="CP319" t="e">
        <f>'North America'!C350+"$F;@!1C'"</f>
        <v>#VALUE!</v>
      </c>
      <c r="CQ319" t="e">
        <f>'North America'!D350+"$F;@!1C("</f>
        <v>#VALUE!</v>
      </c>
      <c r="CR319" t="e">
        <f>'North America'!E350+"$F;@!1C)"</f>
        <v>#VALUE!</v>
      </c>
      <c r="CS319" t="e">
        <f>'North America'!F350+"$F;@!1C."</f>
        <v>#VALUE!</v>
      </c>
      <c r="CT319" t="e">
        <f>'North America'!G350+"$F;@!1C/"</f>
        <v>#VALUE!</v>
      </c>
      <c r="CU319" t="e">
        <f>'North America'!H350+"$F;@!1C0"</f>
        <v>#VALUE!</v>
      </c>
      <c r="CV319" t="e">
        <f>'North America'!A351+"$F;@!1C1"</f>
        <v>#VALUE!</v>
      </c>
      <c r="CW319" t="e">
        <f>'North America'!B351+"$F;@!1C2"</f>
        <v>#VALUE!</v>
      </c>
      <c r="CX319" t="e">
        <f>'North America'!C351+"$F;@!1C3"</f>
        <v>#VALUE!</v>
      </c>
      <c r="CY319" t="e">
        <f>'North America'!D351+"$F;@!1C4"</f>
        <v>#VALUE!</v>
      </c>
      <c r="CZ319" t="e">
        <f>'North America'!E351+"$F;@!1C5"</f>
        <v>#VALUE!</v>
      </c>
      <c r="DA319" t="e">
        <f>'North America'!F351+"$F;@!1C6"</f>
        <v>#VALUE!</v>
      </c>
      <c r="DB319" t="e">
        <f>'North America'!G351+"$F;@!1C7"</f>
        <v>#VALUE!</v>
      </c>
      <c r="DC319" t="e">
        <f>'North America'!H351+"$F;@!1C8"</f>
        <v>#VALUE!</v>
      </c>
      <c r="DD319" t="e">
        <f>'North America'!A352+"$F;@!1C9"</f>
        <v>#VALUE!</v>
      </c>
      <c r="DE319" t="e">
        <f>'North America'!B352+"$F;@!1C:"</f>
        <v>#VALUE!</v>
      </c>
      <c r="DF319" t="e">
        <f>'North America'!C352+"$F;@!1C;"</f>
        <v>#VALUE!</v>
      </c>
      <c r="DG319" t="e">
        <f>'North America'!D352+"$F;@!1C&lt;"</f>
        <v>#VALUE!</v>
      </c>
      <c r="DH319" t="e">
        <f>'North America'!E352+"$F;@!1C="</f>
        <v>#VALUE!</v>
      </c>
      <c r="DI319" t="e">
        <f>'North America'!F352+"$F;@!1C&gt;"</f>
        <v>#VALUE!</v>
      </c>
      <c r="DJ319" t="e">
        <f>'North America'!G352+"$F;@!1C?"</f>
        <v>#VALUE!</v>
      </c>
      <c r="DK319" t="e">
        <f>'North America'!H352+"$F;@!1C@"</f>
        <v>#VALUE!</v>
      </c>
      <c r="DL319" t="e">
        <f>'North America'!A353+"$F;@!1CA"</f>
        <v>#VALUE!</v>
      </c>
      <c r="DM319" t="e">
        <f>'North America'!B353+"$F;@!1CB"</f>
        <v>#VALUE!</v>
      </c>
      <c r="DN319" t="e">
        <f>'North America'!C353+"$F;@!1CC"</f>
        <v>#VALUE!</v>
      </c>
      <c r="DO319" t="e">
        <f>'North America'!D353+"$F;@!1CD"</f>
        <v>#VALUE!</v>
      </c>
      <c r="DP319" t="e">
        <f>'North America'!E353+"$F;@!1CE"</f>
        <v>#VALUE!</v>
      </c>
      <c r="DQ319" t="e">
        <f>'North America'!F353+"$F;@!1CF"</f>
        <v>#VALUE!</v>
      </c>
      <c r="DR319" t="e">
        <f>'North America'!G353+"$F;@!1CG"</f>
        <v>#VALUE!</v>
      </c>
      <c r="DS319" t="e">
        <f>'North America'!H353+"$F;@!1CH"</f>
        <v>#VALUE!</v>
      </c>
      <c r="DT319" t="e">
        <f>'North America'!A354+"$F;@!1CI"</f>
        <v>#VALUE!</v>
      </c>
      <c r="DU319" t="e">
        <f>'North America'!B354+"$F;@!1CJ"</f>
        <v>#VALUE!</v>
      </c>
      <c r="DV319" t="e">
        <f>'North America'!C354+"$F;@!1CK"</f>
        <v>#VALUE!</v>
      </c>
      <c r="DW319" t="e">
        <f>'North America'!D354+"$F;@!1CL"</f>
        <v>#VALUE!</v>
      </c>
      <c r="DX319" t="e">
        <f>'North America'!E354+"$F;@!1CM"</f>
        <v>#VALUE!</v>
      </c>
      <c r="DY319" t="e">
        <f>'North America'!F354+"$F;@!1CN"</f>
        <v>#VALUE!</v>
      </c>
      <c r="DZ319" t="e">
        <f>'North America'!G354+"$F;@!1CO"</f>
        <v>#VALUE!</v>
      </c>
      <c r="EA319" t="e">
        <f>'North America'!H354+"$F;@!1CP"</f>
        <v>#VALUE!</v>
      </c>
      <c r="EB319" t="e">
        <f>'North America'!A355+"$F;@!1CQ"</f>
        <v>#VALUE!</v>
      </c>
      <c r="EC319" t="e">
        <f>'North America'!B355+"$F;@!1CR"</f>
        <v>#VALUE!</v>
      </c>
      <c r="ED319" t="e">
        <f>'North America'!C355+"$F;@!1CS"</f>
        <v>#VALUE!</v>
      </c>
      <c r="EE319" t="e">
        <f>'North America'!D355+"$F;@!1CT"</f>
        <v>#VALUE!</v>
      </c>
      <c r="EF319" t="e">
        <f>'North America'!E355+"$F;@!1CU"</f>
        <v>#VALUE!</v>
      </c>
      <c r="EG319" t="e">
        <f>'North America'!F355+"$F;@!1CV"</f>
        <v>#VALUE!</v>
      </c>
      <c r="EH319" t="e">
        <f>'North America'!G355+"$F;@!1CW"</f>
        <v>#VALUE!</v>
      </c>
      <c r="EI319" t="e">
        <f>'North America'!H355+"$F;@!1CX"</f>
        <v>#VALUE!</v>
      </c>
      <c r="EJ319" t="e">
        <f>'North America'!A356+"$F;@!1CY"</f>
        <v>#VALUE!</v>
      </c>
      <c r="EK319" t="e">
        <f>'North America'!B356+"$F;@!1CZ"</f>
        <v>#VALUE!</v>
      </c>
      <c r="EL319" t="e">
        <f>'North America'!C356+"$F;@!1C["</f>
        <v>#VALUE!</v>
      </c>
      <c r="EM319" t="e">
        <f>'North America'!D356+"$F;@!1C\"</f>
        <v>#VALUE!</v>
      </c>
      <c r="EN319" t="e">
        <f>'North America'!E356+"$F;@!1C]"</f>
        <v>#VALUE!</v>
      </c>
      <c r="EO319" t="e">
        <f>'North America'!F356+"$F;@!1C^"</f>
        <v>#VALUE!</v>
      </c>
      <c r="EP319" t="e">
        <f>'North America'!G356+"$F;@!1C_"</f>
        <v>#VALUE!</v>
      </c>
      <c r="EQ319" t="e">
        <f>'North America'!H356+"$F;@!1C`"</f>
        <v>#VALUE!</v>
      </c>
      <c r="ER319" t="e">
        <f>'North America'!A357+"$F;@!1Ca"</f>
        <v>#VALUE!</v>
      </c>
      <c r="ES319" t="e">
        <f>'North America'!B357+"$F;@!1Cb"</f>
        <v>#VALUE!</v>
      </c>
      <c r="ET319" t="e">
        <f>'North America'!C357+"$F;@!1Cc"</f>
        <v>#VALUE!</v>
      </c>
      <c r="EU319" t="e">
        <f>'North America'!D357+"$F;@!1Cd"</f>
        <v>#VALUE!</v>
      </c>
      <c r="EV319" t="e">
        <f>'North America'!E357+"$F;@!1Ce"</f>
        <v>#VALUE!</v>
      </c>
      <c r="EW319" t="e">
        <f>'North America'!F357+"$F;@!1Cf"</f>
        <v>#VALUE!</v>
      </c>
      <c r="EX319" t="e">
        <f>'North America'!G357+"$F;@!1Cg"</f>
        <v>#VALUE!</v>
      </c>
      <c r="EY319" t="e">
        <f>'North America'!H357+"$F;@!1Ch"</f>
        <v>#VALUE!</v>
      </c>
      <c r="EZ319" t="e">
        <f>'North America'!A358+"$F;@!1Ci"</f>
        <v>#VALUE!</v>
      </c>
      <c r="FA319" t="e">
        <f>'North America'!B358+"$F;@!1Cj"</f>
        <v>#VALUE!</v>
      </c>
      <c r="FB319" t="e">
        <f>'North America'!C358+"$F;@!1Ck"</f>
        <v>#VALUE!</v>
      </c>
      <c r="FC319" t="e">
        <f>'North America'!D358+"$F;@!1Cl"</f>
        <v>#VALUE!</v>
      </c>
      <c r="FD319" t="e">
        <f>'North America'!E358+"$F;@!1Cm"</f>
        <v>#VALUE!</v>
      </c>
      <c r="FE319" t="e">
        <f>'North America'!F358+"$F;@!1Cn"</f>
        <v>#VALUE!</v>
      </c>
      <c r="FF319" t="e">
        <f>'North America'!G358+"$F;@!1Co"</f>
        <v>#VALUE!</v>
      </c>
      <c r="FG319" t="e">
        <f>'North America'!H358+"$F;@!1Cp"</f>
        <v>#VALUE!</v>
      </c>
      <c r="FH319" t="e">
        <f>'North America'!A359+"$F;@!1Cq"</f>
        <v>#VALUE!</v>
      </c>
      <c r="FI319" t="e">
        <f>'North America'!B359+"$F;@!1Cr"</f>
        <v>#VALUE!</v>
      </c>
      <c r="FJ319" t="e">
        <f>'North America'!C359+"$F;@!1Cs"</f>
        <v>#VALUE!</v>
      </c>
      <c r="FK319" t="e">
        <f>'North America'!D359+"$F;@!1Ct"</f>
        <v>#VALUE!</v>
      </c>
      <c r="FL319" t="e">
        <f>'North America'!E359+"$F;@!1Cu"</f>
        <v>#VALUE!</v>
      </c>
      <c r="FM319" t="e">
        <f>'North America'!F359+"$F;@!1Cv"</f>
        <v>#VALUE!</v>
      </c>
      <c r="FN319" t="e">
        <f>'North America'!G359+"$F;@!1Cw"</f>
        <v>#VALUE!</v>
      </c>
      <c r="FO319" t="e">
        <f>'North America'!H359+"$F;@!1Cx"</f>
        <v>#VALUE!</v>
      </c>
      <c r="FP319" t="e">
        <f>'North America'!A360+"$F;@!1Cy"</f>
        <v>#VALUE!</v>
      </c>
      <c r="FQ319" t="e">
        <f>'North America'!B360+"$F;@!1Cz"</f>
        <v>#VALUE!</v>
      </c>
      <c r="FR319" t="e">
        <f>'North America'!C360+"$F;@!1C{"</f>
        <v>#VALUE!</v>
      </c>
      <c r="FS319" t="e">
        <f>'North America'!D360+"$F;@!1C|"</f>
        <v>#VALUE!</v>
      </c>
      <c r="FT319" t="e">
        <f>'North America'!E360+"$F;@!1C}"</f>
        <v>#VALUE!</v>
      </c>
      <c r="FU319" t="e">
        <f>'North America'!F360+"$F;@!1C~"</f>
        <v>#VALUE!</v>
      </c>
      <c r="FV319" t="e">
        <f>'North America'!G360+"$F;@!1D#"</f>
        <v>#VALUE!</v>
      </c>
      <c r="FW319" t="e">
        <f>'North America'!H360+"$F;@!1D$"</f>
        <v>#VALUE!</v>
      </c>
      <c r="FX319" t="e">
        <f>'North America'!A361+"$F;@!1D%"</f>
        <v>#VALUE!</v>
      </c>
      <c r="FY319" t="e">
        <f>'North America'!B361+"$F;@!1D&amp;"</f>
        <v>#VALUE!</v>
      </c>
      <c r="FZ319" t="e">
        <f>'North America'!C361+"$F;@!1D'"</f>
        <v>#VALUE!</v>
      </c>
      <c r="GA319" t="e">
        <f>'North America'!D361+"$F;@!1D("</f>
        <v>#VALUE!</v>
      </c>
      <c r="GB319" t="e">
        <f>'North America'!E361+"$F;@!1D)"</f>
        <v>#VALUE!</v>
      </c>
      <c r="GC319" t="e">
        <f>'North America'!F361+"$F;@!1D."</f>
        <v>#VALUE!</v>
      </c>
      <c r="GD319" t="e">
        <f>'North America'!G361+"$F;@!1D/"</f>
        <v>#VALUE!</v>
      </c>
      <c r="GE319" t="e">
        <f>'North America'!H361+"$F;@!1D0"</f>
        <v>#VALUE!</v>
      </c>
      <c r="GF319" t="e">
        <f>'North America'!A362+"$F;@!1D1"</f>
        <v>#VALUE!</v>
      </c>
      <c r="GG319" t="e">
        <f>'North America'!B362+"$F;@!1D2"</f>
        <v>#VALUE!</v>
      </c>
      <c r="GH319" t="e">
        <f>'North America'!C362+"$F;@!1D3"</f>
        <v>#VALUE!</v>
      </c>
      <c r="GI319" t="e">
        <f>'North America'!D362+"$F;@!1D4"</f>
        <v>#VALUE!</v>
      </c>
      <c r="GJ319" t="e">
        <f>'North America'!E362+"$F;@!1D5"</f>
        <v>#VALUE!</v>
      </c>
      <c r="GK319" t="e">
        <f>'North America'!F362+"$F;@!1D6"</f>
        <v>#VALUE!</v>
      </c>
      <c r="GL319" t="e">
        <f>'North America'!G362+"$F;@!1D7"</f>
        <v>#VALUE!</v>
      </c>
      <c r="GM319" t="e">
        <f>'North America'!H362+"$F;@!1D8"</f>
        <v>#VALUE!</v>
      </c>
      <c r="GN319" t="e">
        <f>'North America'!A363+"$F;@!1D9"</f>
        <v>#VALUE!</v>
      </c>
      <c r="GO319" t="e">
        <f>'North America'!B363+"$F;@!1D:"</f>
        <v>#VALUE!</v>
      </c>
      <c r="GP319" t="e">
        <f>'North America'!C363+"$F;@!1D;"</f>
        <v>#VALUE!</v>
      </c>
      <c r="GQ319" t="e">
        <f>'North America'!D363+"$F;@!1D&lt;"</f>
        <v>#VALUE!</v>
      </c>
      <c r="GR319" t="e">
        <f>'North America'!E363+"$F;@!1D="</f>
        <v>#VALUE!</v>
      </c>
      <c r="GS319" t="e">
        <f>'North America'!F363+"$F;@!1D&gt;"</f>
        <v>#VALUE!</v>
      </c>
      <c r="GT319" t="e">
        <f>'North America'!G363+"$F;@!1D?"</f>
        <v>#VALUE!</v>
      </c>
      <c r="GU319" t="e">
        <f>'North America'!H363+"$F;@!1D@"</f>
        <v>#VALUE!</v>
      </c>
      <c r="GV319" t="e">
        <f>'North America'!A364+"$F;@!1DA"</f>
        <v>#VALUE!</v>
      </c>
      <c r="GW319" t="e">
        <f>'North America'!B364+"$F;@!1DB"</f>
        <v>#VALUE!</v>
      </c>
      <c r="GX319" t="e">
        <f>'North America'!C364+"$F;@!1DC"</f>
        <v>#VALUE!</v>
      </c>
      <c r="GY319" t="e">
        <f>'North America'!D364+"$F;@!1DD"</f>
        <v>#VALUE!</v>
      </c>
      <c r="GZ319" t="e">
        <f>'North America'!E364+"$F;@!1DE"</f>
        <v>#VALUE!</v>
      </c>
      <c r="HA319" t="e">
        <f>'North America'!F364+"$F;@!1DF"</f>
        <v>#VALUE!</v>
      </c>
      <c r="HB319" t="e">
        <f>'North America'!G364+"$F;@!1DG"</f>
        <v>#VALUE!</v>
      </c>
      <c r="HC319" t="e">
        <f>'North America'!H364+"$F;@!1DH"</f>
        <v>#VALUE!</v>
      </c>
      <c r="HD319" t="e">
        <f>'North America'!A365+"$F;@!1DI"</f>
        <v>#VALUE!</v>
      </c>
      <c r="HE319" t="e">
        <f>'North America'!B365+"$F;@!1DJ"</f>
        <v>#VALUE!</v>
      </c>
      <c r="HF319" t="e">
        <f>'North America'!C365+"$F;@!1DK"</f>
        <v>#VALUE!</v>
      </c>
      <c r="HG319" t="e">
        <f>'North America'!D365+"$F;@!1DL"</f>
        <v>#VALUE!</v>
      </c>
      <c r="HH319" t="e">
        <f>'North America'!E365+"$F;@!1DM"</f>
        <v>#VALUE!</v>
      </c>
      <c r="HI319" t="e">
        <f>'North America'!F365+"$F;@!1DN"</f>
        <v>#VALUE!</v>
      </c>
      <c r="HJ319" t="e">
        <f>'North America'!G365+"$F;@!1DO"</f>
        <v>#VALUE!</v>
      </c>
      <c r="HK319" t="e">
        <f>'North America'!H365+"$F;@!1DP"</f>
        <v>#VALUE!</v>
      </c>
      <c r="HL319" t="e">
        <f>'North America'!A366+"$F;@!1DQ"</f>
        <v>#VALUE!</v>
      </c>
      <c r="HM319" t="e">
        <f>'North America'!B366+"$F;@!1DR"</f>
        <v>#VALUE!</v>
      </c>
      <c r="HN319" t="e">
        <f>'North America'!C366+"$F;@!1DS"</f>
        <v>#VALUE!</v>
      </c>
      <c r="HO319" t="e">
        <f>'North America'!D366+"$F;@!1DT"</f>
        <v>#VALUE!</v>
      </c>
      <c r="HP319" t="e">
        <f>'North America'!E366+"$F;@!1DU"</f>
        <v>#VALUE!</v>
      </c>
      <c r="HQ319" t="e">
        <f>'North America'!F366+"$F;@!1DV"</f>
        <v>#VALUE!</v>
      </c>
      <c r="HR319" t="e">
        <f>'North America'!G366+"$F;@!1DW"</f>
        <v>#VALUE!</v>
      </c>
      <c r="HS319" t="e">
        <f>'North America'!H366+"$F;@!1DX"</f>
        <v>#VALUE!</v>
      </c>
      <c r="HT319" t="e">
        <f>'North America'!A367+"$F;@!1DY"</f>
        <v>#VALUE!</v>
      </c>
      <c r="HU319" t="e">
        <f>'North America'!B367+"$F;@!1DZ"</f>
        <v>#VALUE!</v>
      </c>
      <c r="HV319" t="e">
        <f>'North America'!C367+"$F;@!1D["</f>
        <v>#VALUE!</v>
      </c>
      <c r="HW319" t="e">
        <f>'North America'!D367+"$F;@!1D\"</f>
        <v>#VALUE!</v>
      </c>
      <c r="HX319" t="e">
        <f>'North America'!E367+"$F;@!1D]"</f>
        <v>#VALUE!</v>
      </c>
      <c r="HY319" t="e">
        <f>'North America'!F367+"$F;@!1D^"</f>
        <v>#VALUE!</v>
      </c>
      <c r="HZ319" t="e">
        <f>'North America'!G367+"$F;@!1D_"</f>
        <v>#VALUE!</v>
      </c>
      <c r="IA319" t="e">
        <f>'North America'!H367+"$F;@!1D`"</f>
        <v>#VALUE!</v>
      </c>
      <c r="IB319" t="e">
        <f>'North America'!A368+"$F;@!1Da"</f>
        <v>#VALUE!</v>
      </c>
      <c r="IC319" t="e">
        <f>'North America'!B368+"$F;@!1Db"</f>
        <v>#VALUE!</v>
      </c>
      <c r="ID319" t="e">
        <f>'North America'!C368+"$F;@!1Dc"</f>
        <v>#VALUE!</v>
      </c>
      <c r="IE319" t="e">
        <f>'North America'!D368+"$F;@!1Dd"</f>
        <v>#VALUE!</v>
      </c>
      <c r="IF319" t="e">
        <f>'North America'!E368+"$F;@!1De"</f>
        <v>#VALUE!</v>
      </c>
      <c r="IG319" t="e">
        <f>'North America'!F368+"$F;@!1Df"</f>
        <v>#VALUE!</v>
      </c>
      <c r="IH319" t="e">
        <f>'North America'!G368+"$F;@!1Dg"</f>
        <v>#VALUE!</v>
      </c>
      <c r="II319" t="e">
        <f>'North America'!H368+"$F;@!1Dh"</f>
        <v>#VALUE!</v>
      </c>
      <c r="IJ319" t="e">
        <f>'North America'!A369+"$F;@!1Di"</f>
        <v>#VALUE!</v>
      </c>
      <c r="IK319" t="e">
        <f>'North America'!B369+"$F;@!1Dj"</f>
        <v>#VALUE!</v>
      </c>
      <c r="IL319" t="e">
        <f>'North America'!C369+"$F;@!1Dk"</f>
        <v>#VALUE!</v>
      </c>
      <c r="IM319" t="e">
        <f>'North America'!D369+"$F;@!1Dl"</f>
        <v>#VALUE!</v>
      </c>
      <c r="IN319" t="e">
        <f>'North America'!E369+"$F;@!1Dm"</f>
        <v>#VALUE!</v>
      </c>
      <c r="IO319" t="e">
        <f>'North America'!F369+"$F;@!1Dn"</f>
        <v>#VALUE!</v>
      </c>
      <c r="IP319" t="e">
        <f>'North America'!G369+"$F;@!1Do"</f>
        <v>#VALUE!</v>
      </c>
      <c r="IQ319" t="e">
        <f>'North America'!H369+"$F;@!1Dp"</f>
        <v>#VALUE!</v>
      </c>
      <c r="IR319" t="e">
        <f>'North America'!A370+"$F;@!1Dq"</f>
        <v>#VALUE!</v>
      </c>
      <c r="IS319" t="e">
        <f>'North America'!B370+"$F;@!1Dr"</f>
        <v>#VALUE!</v>
      </c>
      <c r="IT319" t="e">
        <f>'North America'!C370+"$F;@!1Ds"</f>
        <v>#VALUE!</v>
      </c>
      <c r="IU319" t="e">
        <f>'North America'!D370+"$F;@!1Dt"</f>
        <v>#VALUE!</v>
      </c>
      <c r="IV319" t="e">
        <f>'North America'!E370+"$F;@!1Du"</f>
        <v>#VALUE!</v>
      </c>
    </row>
    <row r="320" spans="6:256" x14ac:dyDescent="0.35">
      <c r="F320" t="e">
        <f>'North America'!F370+"$F;@!1Dv"</f>
        <v>#VALUE!</v>
      </c>
      <c r="G320" t="e">
        <f>'North America'!G370+"$F;@!1Dw"</f>
        <v>#VALUE!</v>
      </c>
      <c r="H320" t="e">
        <f>'North America'!H370+"$F;@!1Dx"</f>
        <v>#VALUE!</v>
      </c>
      <c r="I320" t="e">
        <f>'North America'!A371+"$F;@!1Dy"</f>
        <v>#VALUE!</v>
      </c>
      <c r="J320" t="e">
        <f>'North America'!B371+"$F;@!1Dz"</f>
        <v>#VALUE!</v>
      </c>
      <c r="K320" t="e">
        <f>'North America'!C371+"$F;@!1D{"</f>
        <v>#VALUE!</v>
      </c>
      <c r="L320" t="e">
        <f>'North America'!D371+"$F;@!1D|"</f>
        <v>#VALUE!</v>
      </c>
      <c r="M320" t="e">
        <f>'North America'!E371+"$F;@!1D}"</f>
        <v>#VALUE!</v>
      </c>
      <c r="N320" t="e">
        <f>'North America'!F371+"$F;@!1D~"</f>
        <v>#VALUE!</v>
      </c>
      <c r="O320" t="e">
        <f>'North America'!G371+"$F;@!1E#"</f>
        <v>#VALUE!</v>
      </c>
      <c r="P320" t="e">
        <f>'North America'!H371+"$F;@!1E$"</f>
        <v>#VALUE!</v>
      </c>
      <c r="Q320" t="e">
        <f>'North America'!A372+"$F;@!1E%"</f>
        <v>#VALUE!</v>
      </c>
      <c r="R320" t="e">
        <f>'North America'!B372+"$F;@!1E&amp;"</f>
        <v>#VALUE!</v>
      </c>
      <c r="S320" t="e">
        <f>'North America'!C372+"$F;@!1E'"</f>
        <v>#VALUE!</v>
      </c>
      <c r="T320" t="e">
        <f>'North America'!D372+"$F;@!1E("</f>
        <v>#VALUE!</v>
      </c>
      <c r="U320" t="e">
        <f>'North America'!E372+"$F;@!1E)"</f>
        <v>#VALUE!</v>
      </c>
      <c r="V320" t="e">
        <f>'North America'!F372+"$F;@!1E."</f>
        <v>#VALUE!</v>
      </c>
      <c r="W320" t="e">
        <f>'North America'!G372+"$F;@!1E/"</f>
        <v>#VALUE!</v>
      </c>
      <c r="X320" t="e">
        <f>'North America'!H372+"$F;@!1E0"</f>
        <v>#VALUE!</v>
      </c>
      <c r="Y320" t="e">
        <f>'North America'!A373+"$F;@!1E1"</f>
        <v>#VALUE!</v>
      </c>
      <c r="Z320" t="e">
        <f>'North America'!B373+"$F;@!1E2"</f>
        <v>#VALUE!</v>
      </c>
      <c r="AA320" t="e">
        <f>'North America'!C373+"$F;@!1E3"</f>
        <v>#VALUE!</v>
      </c>
      <c r="AB320" t="e">
        <f>'North America'!D373+"$F;@!1E4"</f>
        <v>#VALUE!</v>
      </c>
      <c r="AC320" t="e">
        <f>'North America'!E373+"$F;@!1E5"</f>
        <v>#VALUE!</v>
      </c>
      <c r="AD320" t="e">
        <f>'North America'!F373+"$F;@!1E6"</f>
        <v>#VALUE!</v>
      </c>
      <c r="AE320" t="e">
        <f>'North America'!G373+"$F;@!1E7"</f>
        <v>#VALUE!</v>
      </c>
      <c r="AF320" t="e">
        <f>'North America'!H373+"$F;@!1E8"</f>
        <v>#VALUE!</v>
      </c>
      <c r="AG320" t="e">
        <f>'North America'!A374+"$F;@!1E9"</f>
        <v>#VALUE!</v>
      </c>
      <c r="AH320" t="e">
        <f>'North America'!B374+"$F;@!1E:"</f>
        <v>#VALUE!</v>
      </c>
      <c r="AI320" t="e">
        <f>'North America'!C374+"$F;@!1E;"</f>
        <v>#VALUE!</v>
      </c>
      <c r="AJ320" t="e">
        <f>'North America'!D374+"$F;@!1E&lt;"</f>
        <v>#VALUE!</v>
      </c>
      <c r="AK320" t="e">
        <f>'North America'!E374+"$F;@!1E="</f>
        <v>#VALUE!</v>
      </c>
      <c r="AL320" t="e">
        <f>'North America'!F374+"$F;@!1E&gt;"</f>
        <v>#VALUE!</v>
      </c>
      <c r="AM320" t="e">
        <f>'North America'!G374+"$F;@!1E?"</f>
        <v>#VALUE!</v>
      </c>
      <c r="AN320" t="e">
        <f>'North America'!H374+"$F;@!1E@"</f>
        <v>#VALUE!</v>
      </c>
      <c r="AO320" t="e">
        <f>'North America'!A375+"$F;@!1EA"</f>
        <v>#VALUE!</v>
      </c>
      <c r="AP320" t="e">
        <f>'North America'!B375+"$F;@!1EB"</f>
        <v>#VALUE!</v>
      </c>
      <c r="AQ320" t="e">
        <f>'North America'!C375+"$F;@!1EC"</f>
        <v>#VALUE!</v>
      </c>
      <c r="AR320" t="e">
        <f>'North America'!D375+"$F;@!1ED"</f>
        <v>#VALUE!</v>
      </c>
      <c r="AS320" t="e">
        <f>'North America'!E375+"$F;@!1EE"</f>
        <v>#VALUE!</v>
      </c>
      <c r="AT320" t="e">
        <f>'North America'!F375+"$F;@!1EF"</f>
        <v>#VALUE!</v>
      </c>
      <c r="AU320" t="e">
        <f>'North America'!G375+"$F;@!1EG"</f>
        <v>#VALUE!</v>
      </c>
      <c r="AV320" t="e">
        <f>'North America'!H375+"$F;@!1EH"</f>
        <v>#VALUE!</v>
      </c>
      <c r="AW320" t="e">
        <f>'North America'!A376+"$F;@!1EI"</f>
        <v>#VALUE!</v>
      </c>
      <c r="AX320" t="e">
        <f>'North America'!B376+"$F;@!1EJ"</f>
        <v>#VALUE!</v>
      </c>
      <c r="AY320" t="e">
        <f>'North America'!C376+"$F;@!1EK"</f>
        <v>#VALUE!</v>
      </c>
      <c r="AZ320" t="e">
        <f>'North America'!D376+"$F;@!1EL"</f>
        <v>#VALUE!</v>
      </c>
      <c r="BA320" t="e">
        <f>'North America'!E376+"$F;@!1EM"</f>
        <v>#VALUE!</v>
      </c>
      <c r="BB320" t="e">
        <f>'North America'!F376+"$F;@!1EN"</f>
        <v>#VALUE!</v>
      </c>
      <c r="BC320" t="e">
        <f>'North America'!G376+"$F;@!1EO"</f>
        <v>#VALUE!</v>
      </c>
      <c r="BD320" t="e">
        <f>'North America'!H376+"$F;@!1EP"</f>
        <v>#VALUE!</v>
      </c>
      <c r="BE320" t="e">
        <f>'North America'!A377+"$F;@!1EQ"</f>
        <v>#VALUE!</v>
      </c>
      <c r="BF320" t="e">
        <f>'North America'!B377+"$F;@!1ER"</f>
        <v>#VALUE!</v>
      </c>
      <c r="BG320" t="e">
        <f>'North America'!C377+"$F;@!1ES"</f>
        <v>#VALUE!</v>
      </c>
      <c r="BH320" t="e">
        <f>'North America'!D377+"$F;@!1ET"</f>
        <v>#VALUE!</v>
      </c>
      <c r="BI320" t="e">
        <f>'North America'!E377+"$F;@!1EU"</f>
        <v>#VALUE!</v>
      </c>
      <c r="BJ320" t="e">
        <f>'North America'!F377+"$F;@!1EV"</f>
        <v>#VALUE!</v>
      </c>
      <c r="BK320" t="e">
        <f>'North America'!G377+"$F;@!1EW"</f>
        <v>#VALUE!</v>
      </c>
      <c r="BL320" t="e">
        <f>'North America'!H377+"$F;@!1EX"</f>
        <v>#VALUE!</v>
      </c>
      <c r="BM320" t="e">
        <f>'North America'!A378+"$F;@!1EY"</f>
        <v>#VALUE!</v>
      </c>
      <c r="BN320" t="e">
        <f>'North America'!B378+"$F;@!1EZ"</f>
        <v>#VALUE!</v>
      </c>
      <c r="BO320" t="e">
        <f>'North America'!C378+"$F;@!1E["</f>
        <v>#VALUE!</v>
      </c>
      <c r="BP320" t="e">
        <f>'North America'!D378+"$F;@!1E\"</f>
        <v>#VALUE!</v>
      </c>
      <c r="BQ320" t="e">
        <f>'North America'!E378+"$F;@!1E]"</f>
        <v>#VALUE!</v>
      </c>
      <c r="BR320" t="e">
        <f>'North America'!F378+"$F;@!1E^"</f>
        <v>#VALUE!</v>
      </c>
      <c r="BS320" t="e">
        <f>'North America'!G378+"$F;@!1E_"</f>
        <v>#VALUE!</v>
      </c>
      <c r="BT320" t="e">
        <f>'North America'!H378+"$F;@!1E`"</f>
        <v>#VALUE!</v>
      </c>
      <c r="BU320" t="e">
        <f>'North America'!A379+"$F;@!1Ea"</f>
        <v>#VALUE!</v>
      </c>
      <c r="BV320" t="e">
        <f>'North America'!B379+"$F;@!1Eb"</f>
        <v>#VALUE!</v>
      </c>
      <c r="BW320" t="e">
        <f>'North America'!C379+"$F;@!1Ec"</f>
        <v>#VALUE!</v>
      </c>
      <c r="BX320" t="e">
        <f>'North America'!D379+"$F;@!1Ed"</f>
        <v>#VALUE!</v>
      </c>
      <c r="BY320" t="e">
        <f>'North America'!E379+"$F;@!1Ee"</f>
        <v>#VALUE!</v>
      </c>
      <c r="BZ320" t="e">
        <f>'North America'!F379+"$F;@!1Ef"</f>
        <v>#VALUE!</v>
      </c>
      <c r="CA320" t="e">
        <f>'North America'!G379+"$F;@!1Eg"</f>
        <v>#VALUE!</v>
      </c>
      <c r="CB320" t="e">
        <f>'North America'!H379+"$F;@!1Eh"</f>
        <v>#VALUE!</v>
      </c>
      <c r="CC320" t="e">
        <f>'North America'!A380+"$F;@!1Ei"</f>
        <v>#VALUE!</v>
      </c>
      <c r="CD320" t="e">
        <f>'North America'!B380+"$F;@!1Ej"</f>
        <v>#VALUE!</v>
      </c>
      <c r="CE320" t="e">
        <f>'North America'!C380+"$F;@!1Ek"</f>
        <v>#VALUE!</v>
      </c>
      <c r="CF320" t="e">
        <f>'North America'!D380+"$F;@!1El"</f>
        <v>#VALUE!</v>
      </c>
      <c r="CG320" t="e">
        <f>'North America'!E380+"$F;@!1Em"</f>
        <v>#VALUE!</v>
      </c>
      <c r="CH320" t="e">
        <f>'North America'!F380+"$F;@!1En"</f>
        <v>#VALUE!</v>
      </c>
      <c r="CI320" t="e">
        <f>'North America'!G380+"$F;@!1Eo"</f>
        <v>#VALUE!</v>
      </c>
      <c r="CJ320" t="e">
        <f>'North America'!H380+"$F;@!1Ep"</f>
        <v>#VALUE!</v>
      </c>
      <c r="CK320" t="e">
        <f>'North America'!A381+"$F;@!1Eq"</f>
        <v>#VALUE!</v>
      </c>
      <c r="CL320" t="e">
        <f>'North America'!B381+"$F;@!1Er"</f>
        <v>#VALUE!</v>
      </c>
      <c r="CM320" t="e">
        <f>'North America'!C381+"$F;@!1Es"</f>
        <v>#VALUE!</v>
      </c>
      <c r="CN320" t="e">
        <f>'North America'!D381+"$F;@!1Et"</f>
        <v>#VALUE!</v>
      </c>
      <c r="CO320" t="e">
        <f>'North America'!E381+"$F;@!1Eu"</f>
        <v>#VALUE!</v>
      </c>
      <c r="CP320" t="e">
        <f>'North America'!F381+"$F;@!1Ev"</f>
        <v>#VALUE!</v>
      </c>
      <c r="CQ320" t="e">
        <f>'North America'!G381+"$F;@!1Ew"</f>
        <v>#VALUE!</v>
      </c>
      <c r="CR320" t="e">
        <f>'North America'!H381+"$F;@!1Ex"</f>
        <v>#VALUE!</v>
      </c>
      <c r="CS320" t="e">
        <f>'North America'!A382+"$F;@!1Ey"</f>
        <v>#VALUE!</v>
      </c>
      <c r="CT320" t="e">
        <f>'North America'!B382+"$F;@!1Ez"</f>
        <v>#VALUE!</v>
      </c>
      <c r="CU320" t="e">
        <f>'North America'!C382+"$F;@!1E{"</f>
        <v>#VALUE!</v>
      </c>
      <c r="CV320" t="e">
        <f>'North America'!D382+"$F;@!1E|"</f>
        <v>#VALUE!</v>
      </c>
      <c r="CW320" t="e">
        <f>'North America'!E382+"$F;@!1E}"</f>
        <v>#VALUE!</v>
      </c>
      <c r="CX320" t="e">
        <f>'North America'!F382+"$F;@!1E~"</f>
        <v>#VALUE!</v>
      </c>
      <c r="CY320" t="e">
        <f>'North America'!G382+"$F;@!1F#"</f>
        <v>#VALUE!</v>
      </c>
      <c r="CZ320" t="e">
        <f>'North America'!H382+"$F;@!1F$"</f>
        <v>#VALUE!</v>
      </c>
      <c r="DA320" t="e">
        <f>'North America'!A383+"$F;@!1F%"</f>
        <v>#VALUE!</v>
      </c>
      <c r="DB320" t="e">
        <f>'North America'!B383+"$F;@!1F&amp;"</f>
        <v>#VALUE!</v>
      </c>
      <c r="DC320" t="e">
        <f>'North America'!C383+"$F;@!1F'"</f>
        <v>#VALUE!</v>
      </c>
      <c r="DD320" t="e">
        <f>'North America'!D383+"$F;@!1F("</f>
        <v>#VALUE!</v>
      </c>
      <c r="DE320" t="e">
        <f>'North America'!E383+"$F;@!1F)"</f>
        <v>#VALUE!</v>
      </c>
      <c r="DF320" t="e">
        <f>'North America'!F383+"$F;@!1F."</f>
        <v>#VALUE!</v>
      </c>
      <c r="DG320" t="e">
        <f>'North America'!G383+"$F;@!1F/"</f>
        <v>#VALUE!</v>
      </c>
      <c r="DH320" t="e">
        <f>'North America'!H383+"$F;@!1F0"</f>
        <v>#VALUE!</v>
      </c>
      <c r="DI320" t="e">
        <f>'North America'!A384+"$F;@!1F1"</f>
        <v>#VALUE!</v>
      </c>
      <c r="DJ320" t="e">
        <f>'North America'!B384+"$F;@!1F2"</f>
        <v>#VALUE!</v>
      </c>
      <c r="DK320" t="e">
        <f>'North America'!C384+"$F;@!1F3"</f>
        <v>#VALUE!</v>
      </c>
      <c r="DL320" t="e">
        <f>'North America'!D384+"$F;@!1F4"</f>
        <v>#VALUE!</v>
      </c>
      <c r="DM320" t="e">
        <f>'North America'!E384+"$F;@!1F5"</f>
        <v>#VALUE!</v>
      </c>
      <c r="DN320" t="e">
        <f>'North America'!F384+"$F;@!1F6"</f>
        <v>#VALUE!</v>
      </c>
      <c r="DO320" t="e">
        <f>'North America'!G384+"$F;@!1F7"</f>
        <v>#VALUE!</v>
      </c>
      <c r="DP320" t="e">
        <f>'North America'!H384+"$F;@!1F8"</f>
        <v>#VALUE!</v>
      </c>
      <c r="DQ320" t="e">
        <f>'North America'!A385+"$F;@!1F9"</f>
        <v>#VALUE!</v>
      </c>
      <c r="DR320" t="e">
        <f>'North America'!B385+"$F;@!1F:"</f>
        <v>#VALUE!</v>
      </c>
      <c r="DS320" t="e">
        <f>'North America'!C385+"$F;@!1F;"</f>
        <v>#VALUE!</v>
      </c>
      <c r="DT320" t="e">
        <f>'North America'!D385+"$F;@!1F&lt;"</f>
        <v>#VALUE!</v>
      </c>
      <c r="DU320" t="e">
        <f>'North America'!E385+"$F;@!1F="</f>
        <v>#VALUE!</v>
      </c>
      <c r="DV320" t="e">
        <f>'North America'!F385+"$F;@!1F&gt;"</f>
        <v>#VALUE!</v>
      </c>
      <c r="DW320" t="e">
        <f>'North America'!G385+"$F;@!1F?"</f>
        <v>#VALUE!</v>
      </c>
      <c r="DX320" t="e">
        <f>'North America'!H385+"$F;@!1F@"</f>
        <v>#VALUE!</v>
      </c>
      <c r="DY320" t="e">
        <f>'North America'!A386+"$F;@!1FA"</f>
        <v>#VALUE!</v>
      </c>
      <c r="DZ320" t="e">
        <f>'North America'!B386+"$F;@!1FB"</f>
        <v>#VALUE!</v>
      </c>
      <c r="EA320" t="e">
        <f>'North America'!C386+"$F;@!1FC"</f>
        <v>#VALUE!</v>
      </c>
      <c r="EB320" t="e">
        <f>'North America'!D386+"$F;@!1FD"</f>
        <v>#VALUE!</v>
      </c>
      <c r="EC320" t="e">
        <f>'North America'!E386+"$F;@!1FE"</f>
        <v>#VALUE!</v>
      </c>
      <c r="ED320" t="e">
        <f>'North America'!F386+"$F;@!1FF"</f>
        <v>#VALUE!</v>
      </c>
      <c r="EE320" t="e">
        <f>'North America'!G386+"$F;@!1FG"</f>
        <v>#VALUE!</v>
      </c>
      <c r="EF320" t="e">
        <f>'North America'!H386+"$F;@!1FH"</f>
        <v>#VALUE!</v>
      </c>
      <c r="EG320" t="e">
        <f>'North America'!A387+"$F;@!1FI"</f>
        <v>#VALUE!</v>
      </c>
      <c r="EH320" t="e">
        <f>'North America'!B387+"$F;@!1FJ"</f>
        <v>#VALUE!</v>
      </c>
      <c r="EI320" t="e">
        <f>'North America'!C387+"$F;@!1FK"</f>
        <v>#VALUE!</v>
      </c>
      <c r="EJ320" t="e">
        <f>'North America'!D387+"$F;@!1FL"</f>
        <v>#VALUE!</v>
      </c>
      <c r="EK320" t="e">
        <f>'North America'!E387+"$F;@!1FM"</f>
        <v>#VALUE!</v>
      </c>
      <c r="EL320" t="e">
        <f>'North America'!F387+"$F;@!1FN"</f>
        <v>#VALUE!</v>
      </c>
      <c r="EM320" t="e">
        <f>'North America'!G387+"$F;@!1FO"</f>
        <v>#VALUE!</v>
      </c>
      <c r="EN320" t="e">
        <f>'North America'!H387+"$F;@!1FP"</f>
        <v>#VALUE!</v>
      </c>
      <c r="EO320" t="e">
        <f>'North America'!A388+"$F;@!1FQ"</f>
        <v>#VALUE!</v>
      </c>
      <c r="EP320" t="e">
        <f>'North America'!B388+"$F;@!1FR"</f>
        <v>#VALUE!</v>
      </c>
      <c r="EQ320" t="e">
        <f>'North America'!C388+"$F;@!1FS"</f>
        <v>#VALUE!</v>
      </c>
      <c r="ER320" t="e">
        <f>'North America'!D388+"$F;@!1FT"</f>
        <v>#VALUE!</v>
      </c>
      <c r="ES320" t="e">
        <f>'North America'!E388+"$F;@!1FU"</f>
        <v>#VALUE!</v>
      </c>
      <c r="ET320" t="e">
        <f>'North America'!F388+"$F;@!1FV"</f>
        <v>#VALUE!</v>
      </c>
      <c r="EU320" t="e">
        <f>'North America'!G388+"$F;@!1FW"</f>
        <v>#VALUE!</v>
      </c>
      <c r="EV320" t="e">
        <f>'North America'!H388+"$F;@!1FX"</f>
        <v>#VALUE!</v>
      </c>
      <c r="EW320" t="e">
        <f>'North America'!A389+"$F;@!1FY"</f>
        <v>#VALUE!</v>
      </c>
      <c r="EX320" t="e">
        <f>'North America'!B389+"$F;@!1FZ"</f>
        <v>#VALUE!</v>
      </c>
      <c r="EY320" t="e">
        <f>'North America'!C389+"$F;@!1F["</f>
        <v>#VALUE!</v>
      </c>
      <c r="EZ320" t="e">
        <f>'North America'!D389+"$F;@!1F\"</f>
        <v>#VALUE!</v>
      </c>
      <c r="FA320" t="e">
        <f>'North America'!E389+"$F;@!1F]"</f>
        <v>#VALUE!</v>
      </c>
      <c r="FB320" t="e">
        <f>'North America'!F389+"$F;@!1F^"</f>
        <v>#VALUE!</v>
      </c>
      <c r="FC320" t="e">
        <f>'North America'!G389+"$F;@!1F_"</f>
        <v>#VALUE!</v>
      </c>
      <c r="FD320" t="e">
        <f>'North America'!H389+"$F;@!1F`"</f>
        <v>#VALUE!</v>
      </c>
      <c r="FE320" t="e">
        <f>'North America'!A390+"$F;@!1Fa"</f>
        <v>#VALUE!</v>
      </c>
      <c r="FF320" t="e">
        <f>'North America'!B390+"$F;@!1Fb"</f>
        <v>#VALUE!</v>
      </c>
      <c r="FG320" t="e">
        <f>'North America'!C390+"$F;@!1Fc"</f>
        <v>#VALUE!</v>
      </c>
      <c r="FH320" t="e">
        <f>'North America'!D390+"$F;@!1Fd"</f>
        <v>#VALUE!</v>
      </c>
      <c r="FI320" t="e">
        <f>'North America'!E390+"$F;@!1Fe"</f>
        <v>#VALUE!</v>
      </c>
      <c r="FJ320" t="e">
        <f>'North America'!F390+"$F;@!1Ff"</f>
        <v>#VALUE!</v>
      </c>
      <c r="FK320" t="e">
        <f>'North America'!G390+"$F;@!1Fg"</f>
        <v>#VALUE!</v>
      </c>
      <c r="FL320" t="e">
        <f>'North America'!H390+"$F;@!1Fh"</f>
        <v>#VALUE!</v>
      </c>
      <c r="FM320" t="e">
        <f>'North America'!A391+"$F;@!1Fi"</f>
        <v>#VALUE!</v>
      </c>
      <c r="FN320" t="e">
        <f>'North America'!B391+"$F;@!1Fj"</f>
        <v>#VALUE!</v>
      </c>
      <c r="FO320" t="e">
        <f>'North America'!C391+"$F;@!1Fk"</f>
        <v>#VALUE!</v>
      </c>
      <c r="FP320" t="e">
        <f>'North America'!D391+"$F;@!1Fl"</f>
        <v>#VALUE!</v>
      </c>
      <c r="FQ320" t="e">
        <f>'North America'!E391+"$F;@!1Fm"</f>
        <v>#VALUE!</v>
      </c>
      <c r="FR320" t="e">
        <f>'North America'!F391+"$F;@!1Fn"</f>
        <v>#VALUE!</v>
      </c>
      <c r="FS320" t="e">
        <f>'North America'!G391+"$F;@!1Fo"</f>
        <v>#VALUE!</v>
      </c>
      <c r="FT320" t="e">
        <f>'North America'!H391+"$F;@!1Fp"</f>
        <v>#VALUE!</v>
      </c>
      <c r="FU320" t="e">
        <f>'North America'!A392+"$F;@!1Fq"</f>
        <v>#VALUE!</v>
      </c>
      <c r="FV320" t="e">
        <f>'North America'!B392+"$F;@!1Fr"</f>
        <v>#VALUE!</v>
      </c>
      <c r="FW320" t="e">
        <f>'North America'!C392+"$F;@!1Fs"</f>
        <v>#VALUE!</v>
      </c>
      <c r="FX320" t="e">
        <f>'North America'!D392+"$F;@!1Ft"</f>
        <v>#VALUE!</v>
      </c>
      <c r="FY320" t="e">
        <f>'North America'!E392+"$F;@!1Fu"</f>
        <v>#VALUE!</v>
      </c>
      <c r="FZ320" t="e">
        <f>'North America'!F392+"$F;@!1Fv"</f>
        <v>#VALUE!</v>
      </c>
      <c r="GA320" t="e">
        <f>'North America'!G392+"$F;@!1Fw"</f>
        <v>#VALUE!</v>
      </c>
      <c r="GB320" t="e">
        <f>'North America'!H392+"$F;@!1Fx"</f>
        <v>#VALUE!</v>
      </c>
      <c r="GC320" t="e">
        <f>'North America'!A393+"$F;@!1Fy"</f>
        <v>#VALUE!</v>
      </c>
      <c r="GD320" t="e">
        <f>'North America'!B393+"$F;@!1Fz"</f>
        <v>#VALUE!</v>
      </c>
      <c r="GE320" t="e">
        <f>'North America'!C393+"$F;@!1F{"</f>
        <v>#VALUE!</v>
      </c>
      <c r="GF320" t="e">
        <f>'North America'!D393+"$F;@!1F|"</f>
        <v>#VALUE!</v>
      </c>
      <c r="GG320" t="e">
        <f>'North America'!E393+"$F;@!1F}"</f>
        <v>#VALUE!</v>
      </c>
      <c r="GH320" t="e">
        <f>'North America'!F393+"$F;@!1F~"</f>
        <v>#VALUE!</v>
      </c>
      <c r="GI320" t="e">
        <f>'North America'!G393+"$F;@!1G#"</f>
        <v>#VALUE!</v>
      </c>
      <c r="GJ320" t="e">
        <f>'North America'!H393+"$F;@!1G$"</f>
        <v>#VALUE!</v>
      </c>
      <c r="GK320" t="e">
        <f>'North America'!A394+"$F;@!1G%"</f>
        <v>#VALUE!</v>
      </c>
      <c r="GL320" t="e">
        <f>'North America'!B394+"$F;@!1G&amp;"</f>
        <v>#VALUE!</v>
      </c>
      <c r="GM320" t="e">
        <f>'North America'!C394+"$F;@!1G'"</f>
        <v>#VALUE!</v>
      </c>
      <c r="GN320" t="e">
        <f>'North America'!D394+"$F;@!1G("</f>
        <v>#VALUE!</v>
      </c>
      <c r="GO320" t="e">
        <f>'North America'!E394+"$F;@!1G)"</f>
        <v>#VALUE!</v>
      </c>
      <c r="GP320" t="e">
        <f>'North America'!F394+"$F;@!1G."</f>
        <v>#VALUE!</v>
      </c>
      <c r="GQ320" t="e">
        <f>'North America'!G394+"$F;@!1G/"</f>
        <v>#VALUE!</v>
      </c>
      <c r="GR320" t="e">
        <f>'North America'!H394+"$F;@!1G0"</f>
        <v>#VALUE!</v>
      </c>
      <c r="GS320" t="e">
        <f>'North America'!A395+"$F;@!1G1"</f>
        <v>#VALUE!</v>
      </c>
      <c r="GT320" t="e">
        <f>'North America'!B395+"$F;@!1G2"</f>
        <v>#VALUE!</v>
      </c>
      <c r="GU320" t="e">
        <f>'North America'!C395+"$F;@!1G3"</f>
        <v>#VALUE!</v>
      </c>
      <c r="GV320" t="e">
        <f>'North America'!D395+"$F;@!1G4"</f>
        <v>#VALUE!</v>
      </c>
      <c r="GW320" t="e">
        <f>'North America'!E395+"$F;@!1G5"</f>
        <v>#VALUE!</v>
      </c>
      <c r="GX320" t="e">
        <f>'North America'!F395+"$F;@!1G6"</f>
        <v>#VALUE!</v>
      </c>
      <c r="GY320" t="e">
        <f>'North America'!G395+"$F;@!1G7"</f>
        <v>#VALUE!</v>
      </c>
      <c r="GZ320" t="e">
        <f>'North America'!H395+"$F;@!1G8"</f>
        <v>#VALUE!</v>
      </c>
      <c r="HA320" t="e">
        <f>'North America'!A396+"$F;@!1G9"</f>
        <v>#VALUE!</v>
      </c>
      <c r="HB320" t="e">
        <f>'North America'!B396+"$F;@!1G:"</f>
        <v>#VALUE!</v>
      </c>
      <c r="HC320" t="e">
        <f>'North America'!C396+"$F;@!1G;"</f>
        <v>#VALUE!</v>
      </c>
      <c r="HD320" t="e">
        <f>'North America'!D396+"$F;@!1G&lt;"</f>
        <v>#VALUE!</v>
      </c>
      <c r="HE320" t="e">
        <f>'North America'!E396+"$F;@!1G="</f>
        <v>#VALUE!</v>
      </c>
      <c r="HF320" t="e">
        <f>'North America'!F396+"$F;@!1G&gt;"</f>
        <v>#VALUE!</v>
      </c>
      <c r="HG320" t="e">
        <f>'North America'!G396+"$F;@!1G?"</f>
        <v>#VALUE!</v>
      </c>
      <c r="HH320" t="e">
        <f>'North America'!H396+"$F;@!1G@"</f>
        <v>#VALUE!</v>
      </c>
      <c r="HI320" t="e">
        <f>'North America'!A397+"$F;@!1GA"</f>
        <v>#VALUE!</v>
      </c>
      <c r="HJ320" t="e">
        <f>'North America'!B397+"$F;@!1GB"</f>
        <v>#VALUE!</v>
      </c>
      <c r="HK320" t="e">
        <f>'North America'!C397+"$F;@!1GC"</f>
        <v>#VALUE!</v>
      </c>
      <c r="HL320" t="e">
        <f>'North America'!D397+"$F;@!1GD"</f>
        <v>#VALUE!</v>
      </c>
      <c r="HM320" t="e">
        <f>'North America'!E397+"$F;@!1GE"</f>
        <v>#VALUE!</v>
      </c>
      <c r="HN320" t="e">
        <f>'North America'!F397+"$F;@!1GF"</f>
        <v>#VALUE!</v>
      </c>
      <c r="HO320" t="e">
        <f>'North America'!G397+"$F;@!1GG"</f>
        <v>#VALUE!</v>
      </c>
      <c r="HP320" t="e">
        <f>'North America'!H397+"$F;@!1GH"</f>
        <v>#VALUE!</v>
      </c>
      <c r="HQ320" t="e">
        <f>'North America'!A398+"$F;@!1GI"</f>
        <v>#VALUE!</v>
      </c>
      <c r="HR320" t="e">
        <f>'North America'!B398+"$F;@!1GJ"</f>
        <v>#VALUE!</v>
      </c>
      <c r="HS320" t="e">
        <f>'North America'!C398+"$F;@!1GK"</f>
        <v>#VALUE!</v>
      </c>
      <c r="HT320" t="e">
        <f>'North America'!D398+"$F;@!1GL"</f>
        <v>#VALUE!</v>
      </c>
      <c r="HU320" t="e">
        <f>'North America'!E398+"$F;@!1GM"</f>
        <v>#VALUE!</v>
      </c>
      <c r="HV320" t="e">
        <f>'North America'!F398+"$F;@!1GN"</f>
        <v>#VALUE!</v>
      </c>
      <c r="HW320" t="e">
        <f>'North America'!G398+"$F;@!1GO"</f>
        <v>#VALUE!</v>
      </c>
      <c r="HX320" t="e">
        <f>'North America'!H398+"$F;@!1GP"</f>
        <v>#VALUE!</v>
      </c>
      <c r="HY320" t="e">
        <f>'North America'!A399+"$F;@!1GQ"</f>
        <v>#VALUE!</v>
      </c>
      <c r="HZ320" t="e">
        <f>'North America'!B399+"$F;@!1GR"</f>
        <v>#VALUE!</v>
      </c>
      <c r="IA320" t="e">
        <f>'North America'!C399+"$F;@!1GS"</f>
        <v>#VALUE!</v>
      </c>
      <c r="IB320" t="e">
        <f>'North America'!D399+"$F;@!1GT"</f>
        <v>#VALUE!</v>
      </c>
      <c r="IC320" t="e">
        <f>'North America'!E399+"$F;@!1GU"</f>
        <v>#VALUE!</v>
      </c>
      <c r="ID320" t="e">
        <f>'North America'!F399+"$F;@!1GV"</f>
        <v>#VALUE!</v>
      </c>
      <c r="IE320" t="e">
        <f>'North America'!G399+"$F;@!1GW"</f>
        <v>#VALUE!</v>
      </c>
      <c r="IF320" t="e">
        <f>'North America'!H399+"$F;@!1GX"</f>
        <v>#VALUE!</v>
      </c>
      <c r="IG320" t="e">
        <f>'North America'!A400+"$F;@!1GY"</f>
        <v>#VALUE!</v>
      </c>
      <c r="IH320" t="e">
        <f>'North America'!B400+"$F;@!1GZ"</f>
        <v>#VALUE!</v>
      </c>
      <c r="II320" t="e">
        <f>'North America'!C400+"$F;@!1G["</f>
        <v>#VALUE!</v>
      </c>
      <c r="IJ320" t="e">
        <f>'North America'!D400+"$F;@!1G\"</f>
        <v>#VALUE!</v>
      </c>
      <c r="IK320" t="e">
        <f>'North America'!E400+"$F;@!1G]"</f>
        <v>#VALUE!</v>
      </c>
      <c r="IL320" t="e">
        <f>'North America'!F400+"$F;@!1G^"</f>
        <v>#VALUE!</v>
      </c>
      <c r="IM320" t="e">
        <f>'North America'!G400+"$F;@!1G_"</f>
        <v>#VALUE!</v>
      </c>
      <c r="IN320" t="e">
        <f>'North America'!H400+"$F;@!1G`"</f>
        <v>#VALUE!</v>
      </c>
      <c r="IO320" t="e">
        <f>'North America'!A401+"$F;@!1Ga"</f>
        <v>#VALUE!</v>
      </c>
      <c r="IP320" t="e">
        <f>'North America'!B401+"$F;@!1Gb"</f>
        <v>#VALUE!</v>
      </c>
      <c r="IQ320" t="e">
        <f>'North America'!C401+"$F;@!1Gc"</f>
        <v>#VALUE!</v>
      </c>
      <c r="IR320" t="e">
        <f>'North America'!D401+"$F;@!1Gd"</f>
        <v>#VALUE!</v>
      </c>
      <c r="IS320" t="e">
        <f>'North America'!E401+"$F;@!1Ge"</f>
        <v>#VALUE!</v>
      </c>
      <c r="IT320" t="e">
        <f>'North America'!F401+"$F;@!1Gf"</f>
        <v>#VALUE!</v>
      </c>
      <c r="IU320" t="e">
        <f>'North America'!G401+"$F;@!1Gg"</f>
        <v>#VALUE!</v>
      </c>
      <c r="IV320" t="e">
        <f>'North America'!H401+"$F;@!1Gh"</f>
        <v>#VALUE!</v>
      </c>
    </row>
    <row r="321" spans="6:256" x14ac:dyDescent="0.35">
      <c r="F321" t="e">
        <f>'North America'!A402+"$F;@!1Gi"</f>
        <v>#VALUE!</v>
      </c>
      <c r="G321" t="e">
        <f>'North America'!B402+"$F;@!1Gj"</f>
        <v>#VALUE!</v>
      </c>
      <c r="H321" t="e">
        <f>'North America'!C402+"$F;@!1Gk"</f>
        <v>#VALUE!</v>
      </c>
      <c r="I321" t="e">
        <f>'North America'!D402+"$F;@!1Gl"</f>
        <v>#VALUE!</v>
      </c>
      <c r="J321" t="e">
        <f>'North America'!E402+"$F;@!1Gm"</f>
        <v>#VALUE!</v>
      </c>
      <c r="K321" t="e">
        <f>'North America'!F402+"$F;@!1Gn"</f>
        <v>#VALUE!</v>
      </c>
      <c r="L321" t="e">
        <f>'North America'!G402+"$F;@!1Go"</f>
        <v>#VALUE!</v>
      </c>
      <c r="M321" t="e">
        <f>'North America'!H402+"$F;@!1Gp"</f>
        <v>#VALUE!</v>
      </c>
      <c r="N321" t="e">
        <f>'North America'!A403+"$F;@!1Gq"</f>
        <v>#VALUE!</v>
      </c>
      <c r="O321" t="e">
        <f>'North America'!B403+"$F;@!1Gr"</f>
        <v>#VALUE!</v>
      </c>
      <c r="P321" t="e">
        <f>'North America'!C403+"$F;@!1Gs"</f>
        <v>#VALUE!</v>
      </c>
      <c r="Q321" t="e">
        <f>'North America'!D403+"$F;@!1Gt"</f>
        <v>#VALUE!</v>
      </c>
      <c r="R321" t="e">
        <f>'North America'!E403+"$F;@!1Gu"</f>
        <v>#VALUE!</v>
      </c>
      <c r="S321" t="e">
        <f>'North America'!F403+"$F;@!1Gv"</f>
        <v>#VALUE!</v>
      </c>
      <c r="T321" t="e">
        <f>'North America'!G403+"$F;@!1Gw"</f>
        <v>#VALUE!</v>
      </c>
      <c r="U321" t="e">
        <f>'North America'!H403+"$F;@!1Gx"</f>
        <v>#VALUE!</v>
      </c>
      <c r="V321" t="e">
        <f>'North America'!A404+"$F;@!1Gy"</f>
        <v>#VALUE!</v>
      </c>
      <c r="W321" t="e">
        <f>'North America'!B404+"$F;@!1Gz"</f>
        <v>#VALUE!</v>
      </c>
      <c r="X321" t="e">
        <f>'North America'!C404+"$F;@!1G{"</f>
        <v>#VALUE!</v>
      </c>
      <c r="Y321" t="e">
        <f>'North America'!D404+"$F;@!1G|"</f>
        <v>#VALUE!</v>
      </c>
      <c r="Z321" t="e">
        <f>'North America'!E404+"$F;@!1G}"</f>
        <v>#VALUE!</v>
      </c>
      <c r="AA321" t="e">
        <f>'North America'!F404+"$F;@!1G~"</f>
        <v>#VALUE!</v>
      </c>
      <c r="AB321" t="e">
        <f>'North America'!G404+"$F;@!1H#"</f>
        <v>#VALUE!</v>
      </c>
      <c r="AC321" t="e">
        <f>'North America'!H404+"$F;@!1H$"</f>
        <v>#VALUE!</v>
      </c>
      <c r="AD321" t="e">
        <f>'North America'!A405+"$F;@!1H%"</f>
        <v>#VALUE!</v>
      </c>
      <c r="AE321" t="e">
        <f>'North America'!B405+"$F;@!1H&amp;"</f>
        <v>#VALUE!</v>
      </c>
      <c r="AF321" t="e">
        <f>'North America'!C405+"$F;@!1H'"</f>
        <v>#VALUE!</v>
      </c>
      <c r="AG321" t="e">
        <f>'North America'!D405+"$F;@!1H("</f>
        <v>#VALUE!</v>
      </c>
      <c r="AH321" t="e">
        <f>'North America'!E405+"$F;@!1H)"</f>
        <v>#VALUE!</v>
      </c>
      <c r="AI321" t="e">
        <f>'North America'!F405+"$F;@!1H."</f>
        <v>#VALUE!</v>
      </c>
      <c r="AJ321" t="e">
        <f>'North America'!G405+"$F;@!1H/"</f>
        <v>#VALUE!</v>
      </c>
      <c r="AK321" t="e">
        <f>'North America'!H405+"$F;@!1H0"</f>
        <v>#VALUE!</v>
      </c>
      <c r="AL321" t="e">
        <f>'North America'!A406+"$F;@!1H1"</f>
        <v>#VALUE!</v>
      </c>
      <c r="AM321" t="e">
        <f>'North America'!B406+"$F;@!1H2"</f>
        <v>#VALUE!</v>
      </c>
      <c r="AN321" t="e">
        <f>'North America'!C406+"$F;@!1H3"</f>
        <v>#VALUE!</v>
      </c>
      <c r="AO321" t="e">
        <f>'North America'!D406+"$F;@!1H4"</f>
        <v>#VALUE!</v>
      </c>
      <c r="AP321" t="e">
        <f>'North America'!E406+"$F;@!1H5"</f>
        <v>#VALUE!</v>
      </c>
      <c r="AQ321" t="e">
        <f>'North America'!F406+"$F;@!1H6"</f>
        <v>#VALUE!</v>
      </c>
      <c r="AR321" t="e">
        <f>'North America'!G406+"$F;@!1H7"</f>
        <v>#VALUE!</v>
      </c>
      <c r="AS321" t="e">
        <f>'North America'!H406+"$F;@!1H8"</f>
        <v>#VALUE!</v>
      </c>
      <c r="AT321" t="e">
        <f>'North America'!A407+"$F;@!1H9"</f>
        <v>#VALUE!</v>
      </c>
      <c r="AU321" t="e">
        <f>'North America'!B407+"$F;@!1H:"</f>
        <v>#VALUE!</v>
      </c>
      <c r="AV321" t="e">
        <f>'North America'!C407+"$F;@!1H;"</f>
        <v>#VALUE!</v>
      </c>
      <c r="AW321" t="e">
        <f>'North America'!D407+"$F;@!1H&lt;"</f>
        <v>#VALUE!</v>
      </c>
      <c r="AX321" t="e">
        <f>'North America'!E407+"$F;@!1H="</f>
        <v>#VALUE!</v>
      </c>
      <c r="AY321" t="e">
        <f>'North America'!F407+"$F;@!1H&gt;"</f>
        <v>#VALUE!</v>
      </c>
      <c r="AZ321" t="e">
        <f>'North America'!G407+"$F;@!1H?"</f>
        <v>#VALUE!</v>
      </c>
      <c r="BA321" t="e">
        <f>'North America'!H407+"$F;@!1H@"</f>
        <v>#VALUE!</v>
      </c>
      <c r="BB321" t="e">
        <f>'North America'!A408+"$F;@!1HA"</f>
        <v>#VALUE!</v>
      </c>
      <c r="BC321" t="e">
        <f>'North America'!B408+"$F;@!1HB"</f>
        <v>#VALUE!</v>
      </c>
      <c r="BD321" t="e">
        <f>'North America'!C408+"$F;@!1HC"</f>
        <v>#VALUE!</v>
      </c>
      <c r="BE321" t="e">
        <f>'North America'!D408+"$F;@!1HD"</f>
        <v>#VALUE!</v>
      </c>
      <c r="BF321" t="e">
        <f>'North America'!E408+"$F;@!1HE"</f>
        <v>#VALUE!</v>
      </c>
      <c r="BG321" t="e">
        <f>'North America'!F408+"$F;@!1HF"</f>
        <v>#VALUE!</v>
      </c>
      <c r="BH321" t="e">
        <f>'North America'!G408+"$F;@!1HG"</f>
        <v>#VALUE!</v>
      </c>
      <c r="BI321" t="e">
        <f>'North America'!H408+"$F;@!1HH"</f>
        <v>#VALUE!</v>
      </c>
      <c r="BJ321" t="e">
        <f>'North America'!A409+"$F;@!1HI"</f>
        <v>#VALUE!</v>
      </c>
      <c r="BK321" t="e">
        <f>'North America'!B409+"$F;@!1HJ"</f>
        <v>#VALUE!</v>
      </c>
      <c r="BL321" t="e">
        <f>'North America'!C409+"$F;@!1HK"</f>
        <v>#VALUE!</v>
      </c>
      <c r="BM321" t="e">
        <f>'North America'!D409+"$F;@!1HL"</f>
        <v>#VALUE!</v>
      </c>
      <c r="BN321" t="e">
        <f>'North America'!E409+"$F;@!1HM"</f>
        <v>#VALUE!</v>
      </c>
      <c r="BO321" t="e">
        <f>'North America'!F409+"$F;@!1HN"</f>
        <v>#VALUE!</v>
      </c>
      <c r="BP321" t="e">
        <f>'North America'!G409+"$F;@!1HO"</f>
        <v>#VALUE!</v>
      </c>
      <c r="BQ321" t="e">
        <f>'North America'!H409+"$F;@!1HP"</f>
        <v>#VALUE!</v>
      </c>
      <c r="BR321" t="e">
        <f>'North America'!A410+"$F;@!1HQ"</f>
        <v>#VALUE!</v>
      </c>
      <c r="BS321" t="e">
        <f>'North America'!B410+"$F;@!1HR"</f>
        <v>#VALUE!</v>
      </c>
      <c r="BT321" t="e">
        <f>'North America'!C410+"$F;@!1HS"</f>
        <v>#VALUE!</v>
      </c>
      <c r="BU321" t="e">
        <f>'North America'!D410+"$F;@!1HT"</f>
        <v>#VALUE!</v>
      </c>
      <c r="BV321" t="e">
        <f>'North America'!E410+"$F;@!1HU"</f>
        <v>#VALUE!</v>
      </c>
      <c r="BW321" t="e">
        <f>'North America'!F410+"$F;@!1HV"</f>
        <v>#VALUE!</v>
      </c>
      <c r="BX321" t="e">
        <f>'North America'!G410+"$F;@!1HW"</f>
        <v>#VALUE!</v>
      </c>
      <c r="BY321" t="e">
        <f>'North America'!H410+"$F;@!1HX"</f>
        <v>#VALUE!</v>
      </c>
      <c r="BZ321" t="e">
        <f>'North America'!A411+"$F;@!1HY"</f>
        <v>#VALUE!</v>
      </c>
      <c r="CA321" t="e">
        <f>'North America'!B411+"$F;@!1HZ"</f>
        <v>#VALUE!</v>
      </c>
      <c r="CB321" t="e">
        <f>'North America'!C411+"$F;@!1H["</f>
        <v>#VALUE!</v>
      </c>
      <c r="CC321" t="e">
        <f>'North America'!D411+"$F;@!1H\"</f>
        <v>#VALUE!</v>
      </c>
      <c r="CD321" t="e">
        <f>'North America'!E411+"$F;@!1H]"</f>
        <v>#VALUE!</v>
      </c>
      <c r="CE321" t="e">
        <f>'North America'!F411+"$F;@!1H^"</f>
        <v>#VALUE!</v>
      </c>
      <c r="CF321" t="e">
        <f>'North America'!G411+"$F;@!1H_"</f>
        <v>#VALUE!</v>
      </c>
      <c r="CG321" t="e">
        <f>'North America'!H411+"$F;@!1H`"</f>
        <v>#VALUE!</v>
      </c>
      <c r="CH321" t="e">
        <f>'North America'!A412+"$F;@!1Ha"</f>
        <v>#VALUE!</v>
      </c>
      <c r="CI321" t="e">
        <f>'North America'!B412+"$F;@!1Hb"</f>
        <v>#VALUE!</v>
      </c>
      <c r="CJ321" t="e">
        <f>'North America'!C412+"$F;@!1Hc"</f>
        <v>#VALUE!</v>
      </c>
      <c r="CK321" t="e">
        <f>'North America'!D412+"$F;@!1Hd"</f>
        <v>#VALUE!</v>
      </c>
      <c r="CL321" t="e">
        <f>'North America'!E412+"$F;@!1He"</f>
        <v>#VALUE!</v>
      </c>
      <c r="CM321" t="e">
        <f>'North America'!F412+"$F;@!1Hf"</f>
        <v>#VALUE!</v>
      </c>
      <c r="CN321" t="e">
        <f>'North America'!G412+"$F;@!1Hg"</f>
        <v>#VALUE!</v>
      </c>
      <c r="CO321" t="e">
        <f>'North America'!H412+"$F;@!1Hh"</f>
        <v>#VALUE!</v>
      </c>
      <c r="CP321" t="e">
        <f>'North America'!A413+"$F;@!1Hi"</f>
        <v>#VALUE!</v>
      </c>
      <c r="CQ321" t="e">
        <f>'North America'!B413+"$F;@!1Hj"</f>
        <v>#VALUE!</v>
      </c>
      <c r="CR321" t="e">
        <f>'North America'!C413+"$F;@!1Hk"</f>
        <v>#VALUE!</v>
      </c>
      <c r="CS321" t="e">
        <f>'North America'!D413+"$F;@!1Hl"</f>
        <v>#VALUE!</v>
      </c>
      <c r="CT321" t="e">
        <f>'North America'!E413+"$F;@!1Hm"</f>
        <v>#VALUE!</v>
      </c>
      <c r="CU321" t="e">
        <f>'North America'!F413+"$F;@!1Hn"</f>
        <v>#VALUE!</v>
      </c>
      <c r="CV321" t="e">
        <f>'North America'!G413+"$F;@!1Ho"</f>
        <v>#VALUE!</v>
      </c>
      <c r="CW321" t="e">
        <f>'North America'!H413+"$F;@!1Hp"</f>
        <v>#VALUE!</v>
      </c>
      <c r="CX321" t="e">
        <f>'North America'!A414+"$F;@!1Hq"</f>
        <v>#VALUE!</v>
      </c>
      <c r="CY321" t="e">
        <f>'North America'!B414+"$F;@!1Hr"</f>
        <v>#VALUE!</v>
      </c>
      <c r="CZ321" t="e">
        <f>'North America'!C414+"$F;@!1Hs"</f>
        <v>#VALUE!</v>
      </c>
      <c r="DA321" t="e">
        <f>'North America'!D414+"$F;@!1Ht"</f>
        <v>#VALUE!</v>
      </c>
      <c r="DB321" t="e">
        <f>'North America'!E414+"$F;@!1Hu"</f>
        <v>#VALUE!</v>
      </c>
      <c r="DC321" t="e">
        <f>'North America'!F414+"$F;@!1Hv"</f>
        <v>#VALUE!</v>
      </c>
      <c r="DD321" t="e">
        <f>'North America'!G414+"$F;@!1Hw"</f>
        <v>#VALUE!</v>
      </c>
      <c r="DE321" t="e">
        <f>'North America'!H414+"$F;@!1Hx"</f>
        <v>#VALUE!</v>
      </c>
      <c r="DF321" t="e">
        <f>'North America'!A415+"$F;@!1Hy"</f>
        <v>#VALUE!</v>
      </c>
      <c r="DG321" t="e">
        <f>'North America'!B415+"$F;@!1Hz"</f>
        <v>#VALUE!</v>
      </c>
      <c r="DH321" t="e">
        <f>'North America'!C415+"$F;@!1H{"</f>
        <v>#VALUE!</v>
      </c>
      <c r="DI321" t="e">
        <f>'North America'!D415+"$F;@!1H|"</f>
        <v>#VALUE!</v>
      </c>
      <c r="DJ321" t="e">
        <f>'North America'!E415+"$F;@!1H}"</f>
        <v>#VALUE!</v>
      </c>
      <c r="DK321" t="e">
        <f>'North America'!F415+"$F;@!1H~"</f>
        <v>#VALUE!</v>
      </c>
      <c r="DL321" t="e">
        <f>'North America'!G415+"$F;@!1I#"</f>
        <v>#VALUE!</v>
      </c>
      <c r="DM321" t="e">
        <f>'North America'!H415+"$F;@!1I$"</f>
        <v>#VALUE!</v>
      </c>
      <c r="DN321" t="e">
        <f>'North America'!A416+"$F;@!1I%"</f>
        <v>#VALUE!</v>
      </c>
      <c r="DO321" t="e">
        <f>'North America'!B416+"$F;@!1I&amp;"</f>
        <v>#VALUE!</v>
      </c>
      <c r="DP321" t="e">
        <f>'North America'!C416+"$F;@!1I'"</f>
        <v>#VALUE!</v>
      </c>
      <c r="DQ321" t="e">
        <f>'North America'!D416+"$F;@!1I("</f>
        <v>#VALUE!</v>
      </c>
      <c r="DR321" t="e">
        <f>'North America'!E416+"$F;@!1I)"</f>
        <v>#VALUE!</v>
      </c>
      <c r="DS321" t="e">
        <f>'North America'!F416+"$F;@!1I."</f>
        <v>#VALUE!</v>
      </c>
      <c r="DT321" t="e">
        <f>'North America'!G416+"$F;@!1I/"</f>
        <v>#VALUE!</v>
      </c>
      <c r="DU321" t="e">
        <f>'North America'!H416+"$F;@!1I0"</f>
        <v>#VALUE!</v>
      </c>
      <c r="DV321" t="e">
        <f>'North America'!A417+"$F;@!1I1"</f>
        <v>#VALUE!</v>
      </c>
      <c r="DW321" t="e">
        <f>'North America'!B417+"$F;@!1I2"</f>
        <v>#VALUE!</v>
      </c>
      <c r="DX321" t="e">
        <f>'North America'!C417+"$F;@!1I3"</f>
        <v>#VALUE!</v>
      </c>
      <c r="DY321" t="e">
        <f>'North America'!D417+"$F;@!1I4"</f>
        <v>#VALUE!</v>
      </c>
      <c r="DZ321" t="e">
        <f>'North America'!E417+"$F;@!1I5"</f>
        <v>#VALUE!</v>
      </c>
      <c r="EA321" t="e">
        <f>'North America'!F417+"$F;@!1I6"</f>
        <v>#VALUE!</v>
      </c>
      <c r="EB321" t="e">
        <f>'North America'!G417+"$F;@!1I7"</f>
        <v>#VALUE!</v>
      </c>
      <c r="EC321" t="e">
        <f>'North America'!H417+"$F;@!1I8"</f>
        <v>#VALUE!</v>
      </c>
      <c r="ED321" t="e">
        <f>'North America'!A418+"$F;@!1I9"</f>
        <v>#VALUE!</v>
      </c>
      <c r="EE321" t="e">
        <f>'North America'!B418+"$F;@!1I:"</f>
        <v>#VALUE!</v>
      </c>
      <c r="EF321" t="e">
        <f>'North America'!C418+"$F;@!1I;"</f>
        <v>#VALUE!</v>
      </c>
      <c r="EG321" t="e">
        <f>'North America'!D418+"$F;@!1I&lt;"</f>
        <v>#VALUE!</v>
      </c>
      <c r="EH321" t="e">
        <f>'North America'!E418+"$F;@!1I="</f>
        <v>#VALUE!</v>
      </c>
      <c r="EI321" t="e">
        <f>'North America'!F418+"$F;@!1I&gt;"</f>
        <v>#VALUE!</v>
      </c>
      <c r="EJ321" t="e">
        <f>'North America'!G418+"$F;@!1I?"</f>
        <v>#VALUE!</v>
      </c>
      <c r="EK321" t="e">
        <f>'North America'!H418+"$F;@!1I@"</f>
        <v>#VALUE!</v>
      </c>
      <c r="EL321" t="e">
        <f>'North America'!A419+"$F;@!1IA"</f>
        <v>#VALUE!</v>
      </c>
      <c r="EM321" t="e">
        <f>'North America'!B419+"$F;@!1IB"</f>
        <v>#VALUE!</v>
      </c>
      <c r="EN321" t="e">
        <f>'North America'!C419+"$F;@!1IC"</f>
        <v>#VALUE!</v>
      </c>
      <c r="EO321" t="e">
        <f>'North America'!D419+"$F;@!1ID"</f>
        <v>#VALUE!</v>
      </c>
      <c r="EP321" t="e">
        <f>'North America'!E419+"$F;@!1IE"</f>
        <v>#VALUE!</v>
      </c>
      <c r="EQ321" t="e">
        <f>'North America'!F419+"$F;@!1IF"</f>
        <v>#VALUE!</v>
      </c>
      <c r="ER321" t="e">
        <f>'North America'!G419+"$F;@!1IG"</f>
        <v>#VALUE!</v>
      </c>
      <c r="ES321" t="e">
        <f>'North America'!H419+"$F;@!1IH"</f>
        <v>#VALUE!</v>
      </c>
      <c r="ET321" t="e">
        <f>'North America'!A420+"$F;@!1II"</f>
        <v>#VALUE!</v>
      </c>
      <c r="EU321" t="e">
        <f>'North America'!B420+"$F;@!1IJ"</f>
        <v>#VALUE!</v>
      </c>
      <c r="EV321" t="e">
        <f>'North America'!C420+"$F;@!1IK"</f>
        <v>#VALUE!</v>
      </c>
      <c r="EW321" t="e">
        <f>'North America'!D420+"$F;@!1IL"</f>
        <v>#VALUE!</v>
      </c>
      <c r="EX321" t="e">
        <f>'North America'!E420+"$F;@!1IM"</f>
        <v>#VALUE!</v>
      </c>
      <c r="EY321" t="e">
        <f>'North America'!F420+"$F;@!1IN"</f>
        <v>#VALUE!</v>
      </c>
      <c r="EZ321" t="e">
        <f>'North America'!G420+"$F;@!1IO"</f>
        <v>#VALUE!</v>
      </c>
      <c r="FA321" t="e">
        <f>'North America'!H420+"$F;@!1IP"</f>
        <v>#VALUE!</v>
      </c>
      <c r="FB321" t="e">
        <f>'North America'!A421+"$F;@!1IQ"</f>
        <v>#VALUE!</v>
      </c>
      <c r="FC321" t="e">
        <f>'North America'!B421+"$F;@!1IR"</f>
        <v>#VALUE!</v>
      </c>
      <c r="FD321" t="e">
        <f>'North America'!C421+"$F;@!1IS"</f>
        <v>#VALUE!</v>
      </c>
      <c r="FE321" t="e">
        <f>'North America'!D421+"$F;@!1IT"</f>
        <v>#VALUE!</v>
      </c>
      <c r="FF321" t="e">
        <f>'North America'!E421+"$F;@!1IU"</f>
        <v>#VALUE!</v>
      </c>
      <c r="FG321" t="e">
        <f>'North America'!F421+"$F;@!1IV"</f>
        <v>#VALUE!</v>
      </c>
      <c r="FH321" t="e">
        <f>'North America'!G421+"$F;@!1IW"</f>
        <v>#VALUE!</v>
      </c>
      <c r="FI321" t="e">
        <f>'North America'!H421+"$F;@!1IX"</f>
        <v>#VALUE!</v>
      </c>
      <c r="FJ321" t="e">
        <f>'North America'!A422+"$F;@!1IY"</f>
        <v>#VALUE!</v>
      </c>
      <c r="FK321" t="e">
        <f>'North America'!B422+"$F;@!1IZ"</f>
        <v>#VALUE!</v>
      </c>
      <c r="FL321" t="e">
        <f>'North America'!C422+"$F;@!1I["</f>
        <v>#VALUE!</v>
      </c>
      <c r="FM321" t="e">
        <f>'North America'!D422+"$F;@!1I\"</f>
        <v>#VALUE!</v>
      </c>
      <c r="FN321" t="e">
        <f>'North America'!E422+"$F;@!1I]"</f>
        <v>#VALUE!</v>
      </c>
      <c r="FO321" t="e">
        <f>'North America'!F422+"$F;@!1I^"</f>
        <v>#VALUE!</v>
      </c>
      <c r="FP321" t="e">
        <f>'North America'!G422+"$F;@!1I_"</f>
        <v>#VALUE!</v>
      </c>
      <c r="FQ321" t="e">
        <f>'North America'!H422+"$F;@!1I`"</f>
        <v>#VALUE!</v>
      </c>
      <c r="FR321" t="e">
        <f>'North America'!A423+"$F;@!1Ia"</f>
        <v>#VALUE!</v>
      </c>
      <c r="FS321" t="e">
        <f>'North America'!B423+"$F;@!1Ib"</f>
        <v>#VALUE!</v>
      </c>
      <c r="FT321" t="e">
        <f>'North America'!C423+"$F;@!1Ic"</f>
        <v>#VALUE!</v>
      </c>
      <c r="FU321" t="e">
        <f>'North America'!D423+"$F;@!1Id"</f>
        <v>#VALUE!</v>
      </c>
      <c r="FV321" t="e">
        <f>'North America'!E423+"$F;@!1Ie"</f>
        <v>#VALUE!</v>
      </c>
      <c r="FW321" t="e">
        <f>'North America'!F423+"$F;@!1If"</f>
        <v>#VALUE!</v>
      </c>
      <c r="FX321" t="e">
        <f>'North America'!G423+"$F;@!1Ig"</f>
        <v>#VALUE!</v>
      </c>
      <c r="FY321" t="e">
        <f>'North America'!H423+"$F;@!1Ih"</f>
        <v>#VALUE!</v>
      </c>
      <c r="FZ321" t="e">
        <f>'North America'!A424+"$F;@!1Ii"</f>
        <v>#VALUE!</v>
      </c>
      <c r="GA321" t="e">
        <f>'North America'!B424+"$F;@!1Ij"</f>
        <v>#VALUE!</v>
      </c>
      <c r="GB321" t="e">
        <f>'North America'!C424+"$F;@!1Ik"</f>
        <v>#VALUE!</v>
      </c>
      <c r="GC321" t="e">
        <f>'North America'!D424+"$F;@!1Il"</f>
        <v>#VALUE!</v>
      </c>
      <c r="GD321" t="e">
        <f>'North America'!E424+"$F;@!1Im"</f>
        <v>#VALUE!</v>
      </c>
      <c r="GE321" t="e">
        <f>'North America'!F424+"$F;@!1In"</f>
        <v>#VALUE!</v>
      </c>
      <c r="GF321" t="e">
        <f>'North America'!G424+"$F;@!1Io"</f>
        <v>#VALUE!</v>
      </c>
      <c r="GG321" t="e">
        <f>'North America'!H424+"$F;@!1Ip"</f>
        <v>#VALUE!</v>
      </c>
      <c r="GH321" t="e">
        <f>'North America'!A425+"$F;@!1Iq"</f>
        <v>#VALUE!</v>
      </c>
      <c r="GI321" t="e">
        <f>'North America'!B425+"$F;@!1Ir"</f>
        <v>#VALUE!</v>
      </c>
      <c r="GJ321" t="e">
        <f>'North America'!C425+"$F;@!1Is"</f>
        <v>#VALUE!</v>
      </c>
      <c r="GK321" t="e">
        <f>'North America'!D425+"$F;@!1It"</f>
        <v>#VALUE!</v>
      </c>
      <c r="GL321" t="e">
        <f>'North America'!E425+"$F;@!1Iu"</f>
        <v>#VALUE!</v>
      </c>
      <c r="GM321" t="e">
        <f>'North America'!F425+"$F;@!1Iv"</f>
        <v>#VALUE!</v>
      </c>
      <c r="GN321" t="e">
        <f>'North America'!G425+"$F;@!1Iw"</f>
        <v>#VALUE!</v>
      </c>
      <c r="GO321" t="e">
        <f>'North America'!H425+"$F;@!1Ix"</f>
        <v>#VALUE!</v>
      </c>
      <c r="GP321" t="e">
        <f>'North America'!A426+"$F;@!1Iy"</f>
        <v>#VALUE!</v>
      </c>
      <c r="GQ321" t="e">
        <f>'North America'!B426+"$F;@!1Iz"</f>
        <v>#VALUE!</v>
      </c>
      <c r="GR321" t="e">
        <f>'North America'!C426+"$F;@!1I{"</f>
        <v>#VALUE!</v>
      </c>
      <c r="GS321" t="e">
        <f>'North America'!D426+"$F;@!1I|"</f>
        <v>#VALUE!</v>
      </c>
      <c r="GT321" t="e">
        <f>'North America'!E426+"$F;@!1I}"</f>
        <v>#VALUE!</v>
      </c>
      <c r="GU321" t="e">
        <f>'North America'!F426+"$F;@!1I~"</f>
        <v>#VALUE!</v>
      </c>
      <c r="GV321" t="e">
        <f>'North America'!G426+"$F;@!1J#"</f>
        <v>#VALUE!</v>
      </c>
      <c r="GW321" t="e">
        <f>'North America'!H426+"$F;@!1J$"</f>
        <v>#VALUE!</v>
      </c>
      <c r="GX321" t="e">
        <f>'North America'!A427+"$F;@!1J%"</f>
        <v>#VALUE!</v>
      </c>
      <c r="GY321" t="e">
        <f>'North America'!B427+"$F;@!1J&amp;"</f>
        <v>#VALUE!</v>
      </c>
      <c r="GZ321" t="e">
        <f>'North America'!C427+"$F;@!1J'"</f>
        <v>#VALUE!</v>
      </c>
      <c r="HA321" t="e">
        <f>'North America'!D427+"$F;@!1J("</f>
        <v>#VALUE!</v>
      </c>
      <c r="HB321" t="e">
        <f>'North America'!E427+"$F;@!1J)"</f>
        <v>#VALUE!</v>
      </c>
      <c r="HC321" t="e">
        <f>'North America'!F427+"$F;@!1J."</f>
        <v>#VALUE!</v>
      </c>
      <c r="HD321" t="e">
        <f>'North America'!G427+"$F;@!1J/"</f>
        <v>#VALUE!</v>
      </c>
      <c r="HE321" t="e">
        <f>'North America'!H427+"$F;@!1J0"</f>
        <v>#VALUE!</v>
      </c>
      <c r="HF321" t="e">
        <f>'North America'!A428+"$F;@!1J1"</f>
        <v>#VALUE!</v>
      </c>
      <c r="HG321" t="e">
        <f>'North America'!B428+"$F;@!1J2"</f>
        <v>#VALUE!</v>
      </c>
      <c r="HH321" t="e">
        <f>'North America'!C428+"$F;@!1J3"</f>
        <v>#VALUE!</v>
      </c>
      <c r="HI321" t="e">
        <f>'North America'!D428+"$F;@!1J4"</f>
        <v>#VALUE!</v>
      </c>
      <c r="HJ321" t="e">
        <f>'North America'!E428+"$F;@!1J5"</f>
        <v>#VALUE!</v>
      </c>
      <c r="HK321" t="e">
        <f>'North America'!F428+"$F;@!1J6"</f>
        <v>#VALUE!</v>
      </c>
      <c r="HL321" t="e">
        <f>'North America'!G428+"$F;@!1J7"</f>
        <v>#VALUE!</v>
      </c>
      <c r="HM321" t="e">
        <f>'North America'!H428+"$F;@!1J8"</f>
        <v>#VALUE!</v>
      </c>
      <c r="HN321" t="e">
        <f>'North America'!A429+"$F;@!1J9"</f>
        <v>#VALUE!</v>
      </c>
      <c r="HO321" t="e">
        <f>'North America'!B429+"$F;@!1J:"</f>
        <v>#VALUE!</v>
      </c>
      <c r="HP321" t="e">
        <f>'North America'!C429+"$F;@!1J;"</f>
        <v>#VALUE!</v>
      </c>
      <c r="HQ321" t="e">
        <f>'North America'!D429+"$F;@!1J&lt;"</f>
        <v>#VALUE!</v>
      </c>
      <c r="HR321" t="e">
        <f>'North America'!E429+"$F;@!1J="</f>
        <v>#VALUE!</v>
      </c>
      <c r="HS321" t="e">
        <f>'North America'!F429+"$F;@!1J&gt;"</f>
        <v>#VALUE!</v>
      </c>
      <c r="HT321" t="e">
        <f>'North America'!G429+"$F;@!1J?"</f>
        <v>#VALUE!</v>
      </c>
      <c r="HU321" t="e">
        <f>'North America'!H429+"$F;@!1J@"</f>
        <v>#VALUE!</v>
      </c>
      <c r="HV321" t="e">
        <f>'North America'!A430+"$F;@!1JA"</f>
        <v>#VALUE!</v>
      </c>
      <c r="HW321" t="e">
        <f>'North America'!B430+"$F;@!1JB"</f>
        <v>#VALUE!</v>
      </c>
      <c r="HX321" t="e">
        <f>'North America'!C430+"$F;@!1JC"</f>
        <v>#VALUE!</v>
      </c>
      <c r="HY321" t="e">
        <f>'North America'!D430+"$F;@!1JD"</f>
        <v>#VALUE!</v>
      </c>
      <c r="HZ321" t="e">
        <f>'North America'!E430+"$F;@!1JE"</f>
        <v>#VALUE!</v>
      </c>
      <c r="IA321" t="e">
        <f>'North America'!F430+"$F;@!1JF"</f>
        <v>#VALUE!</v>
      </c>
      <c r="IB321" t="e">
        <f>'North America'!G430+"$F;@!1JG"</f>
        <v>#VALUE!</v>
      </c>
      <c r="IC321" t="e">
        <f>'North America'!H430+"$F;@!1JH"</f>
        <v>#VALUE!</v>
      </c>
      <c r="ID321" t="e">
        <f>'North America'!A431+"$F;@!1JI"</f>
        <v>#VALUE!</v>
      </c>
      <c r="IE321" t="e">
        <f>'North America'!B431+"$F;@!1JJ"</f>
        <v>#VALUE!</v>
      </c>
      <c r="IF321" t="e">
        <f>'North America'!C431+"$F;@!1JK"</f>
        <v>#VALUE!</v>
      </c>
      <c r="IG321" t="e">
        <f>'North America'!D431+"$F;@!1JL"</f>
        <v>#VALUE!</v>
      </c>
      <c r="IH321" t="e">
        <f>'North America'!E431+"$F;@!1JM"</f>
        <v>#VALUE!</v>
      </c>
      <c r="II321" t="e">
        <f>'North America'!F431+"$F;@!1JN"</f>
        <v>#VALUE!</v>
      </c>
      <c r="IJ321" t="e">
        <f>'North America'!G431+"$F;@!1JO"</f>
        <v>#VALUE!</v>
      </c>
      <c r="IK321" t="e">
        <f>'North America'!H431+"$F;@!1JP"</f>
        <v>#VALUE!</v>
      </c>
      <c r="IL321" t="e">
        <f>'North America'!A432+"$F;@!1JQ"</f>
        <v>#VALUE!</v>
      </c>
      <c r="IM321" t="e">
        <f>'North America'!B432+"$F;@!1JR"</f>
        <v>#VALUE!</v>
      </c>
      <c r="IN321" t="e">
        <f>'North America'!C432+"$F;@!1JS"</f>
        <v>#VALUE!</v>
      </c>
      <c r="IO321" t="e">
        <f>'North America'!D432+"$F;@!1JT"</f>
        <v>#VALUE!</v>
      </c>
      <c r="IP321" t="e">
        <f>'North America'!E432+"$F;@!1JU"</f>
        <v>#VALUE!</v>
      </c>
      <c r="IQ321" t="e">
        <f>'North America'!F432+"$F;@!1JV"</f>
        <v>#VALUE!</v>
      </c>
      <c r="IR321" t="e">
        <f>'North America'!G432+"$F;@!1JW"</f>
        <v>#VALUE!</v>
      </c>
      <c r="IS321" t="e">
        <f>'North America'!H432+"$F;@!1JX"</f>
        <v>#VALUE!</v>
      </c>
      <c r="IT321" t="e">
        <f>'North America'!A433+"$F;@!1JY"</f>
        <v>#VALUE!</v>
      </c>
      <c r="IU321" t="e">
        <f>'North America'!B433+"$F;@!1JZ"</f>
        <v>#VALUE!</v>
      </c>
      <c r="IV321" t="e">
        <f>'North America'!C433+"$F;@!1J["</f>
        <v>#VALUE!</v>
      </c>
    </row>
    <row r="322" spans="6:256" x14ac:dyDescent="0.35">
      <c r="F322" t="e">
        <f>'North America'!D433+"$F;@!1J\"</f>
        <v>#VALUE!</v>
      </c>
      <c r="G322" t="e">
        <f>'North America'!E433+"$F;@!1J]"</f>
        <v>#VALUE!</v>
      </c>
      <c r="H322" t="e">
        <f>'North America'!F433+"$F;@!1J^"</f>
        <v>#VALUE!</v>
      </c>
      <c r="I322" t="e">
        <f>'North America'!G433+"$F;@!1J_"</f>
        <v>#VALUE!</v>
      </c>
      <c r="J322" t="e">
        <f>'North America'!H433+"$F;@!1J`"</f>
        <v>#VALUE!</v>
      </c>
      <c r="K322" t="e">
        <f>'North America'!A434+"$F;@!1Ja"</f>
        <v>#VALUE!</v>
      </c>
      <c r="L322" t="e">
        <f>'North America'!B434+"$F;@!1Jb"</f>
        <v>#VALUE!</v>
      </c>
      <c r="M322" t="e">
        <f>'North America'!C434+"$F;@!1Jc"</f>
        <v>#VALUE!</v>
      </c>
      <c r="N322" t="e">
        <f>'North America'!D434+"$F;@!1Jd"</f>
        <v>#VALUE!</v>
      </c>
      <c r="O322" t="e">
        <f>'North America'!E434+"$F;@!1Je"</f>
        <v>#VALUE!</v>
      </c>
      <c r="P322" t="e">
        <f>'North America'!F434+"$F;@!1Jf"</f>
        <v>#VALUE!</v>
      </c>
      <c r="Q322" t="e">
        <f>'North America'!G434+"$F;@!1Jg"</f>
        <v>#VALUE!</v>
      </c>
      <c r="R322" t="e">
        <f>'North America'!H434+"$F;@!1Jh"</f>
        <v>#VALUE!</v>
      </c>
      <c r="S322" t="e">
        <f>'North America'!A435+"$F;@!1Ji"</f>
        <v>#VALUE!</v>
      </c>
      <c r="T322" t="e">
        <f>'North America'!B435+"$F;@!1Jj"</f>
        <v>#VALUE!</v>
      </c>
      <c r="U322" t="e">
        <f>'North America'!C435+"$F;@!1Jk"</f>
        <v>#VALUE!</v>
      </c>
      <c r="V322" t="e">
        <f>'North America'!D435+"$F;@!1Jl"</f>
        <v>#VALUE!</v>
      </c>
      <c r="W322" t="e">
        <f>'North America'!E435+"$F;@!1Jm"</f>
        <v>#VALUE!</v>
      </c>
      <c r="X322" t="e">
        <f>'North America'!F435+"$F;@!1Jn"</f>
        <v>#VALUE!</v>
      </c>
      <c r="Y322" t="e">
        <f>'North America'!G435+"$F;@!1Jo"</f>
        <v>#VALUE!</v>
      </c>
      <c r="Z322" t="e">
        <f>'North America'!H435+"$F;@!1Jp"</f>
        <v>#VALUE!</v>
      </c>
      <c r="AA322" t="e">
        <f>'North America'!A436+"$F;@!1Jq"</f>
        <v>#VALUE!</v>
      </c>
      <c r="AB322" t="e">
        <f>'North America'!B436+"$F;@!1Jr"</f>
        <v>#VALUE!</v>
      </c>
      <c r="AC322" t="e">
        <f>'North America'!C436+"$F;@!1Js"</f>
        <v>#VALUE!</v>
      </c>
      <c r="AD322" t="e">
        <f>'North America'!D436+"$F;@!1Jt"</f>
        <v>#VALUE!</v>
      </c>
      <c r="AE322" t="e">
        <f>'North America'!E436+"$F;@!1Ju"</f>
        <v>#VALUE!</v>
      </c>
      <c r="AF322" t="e">
        <f>'North America'!F436+"$F;@!1Jv"</f>
        <v>#VALUE!</v>
      </c>
      <c r="AG322" t="e">
        <f>'North America'!G436+"$F;@!1Jw"</f>
        <v>#VALUE!</v>
      </c>
      <c r="AH322" t="e">
        <f>'North America'!H436+"$F;@!1Jx"</f>
        <v>#VALUE!</v>
      </c>
      <c r="AI322" t="e">
        <f>'North America'!A437+"$F;@!1Jy"</f>
        <v>#VALUE!</v>
      </c>
      <c r="AJ322" t="e">
        <f>'North America'!B437+"$F;@!1Jz"</f>
        <v>#VALUE!</v>
      </c>
      <c r="AK322" t="e">
        <f>'North America'!C437+"$F;@!1J{"</f>
        <v>#VALUE!</v>
      </c>
      <c r="AL322" t="e">
        <f>'North America'!D437+"$F;@!1J|"</f>
        <v>#VALUE!</v>
      </c>
      <c r="AM322" t="e">
        <f>'North America'!E437+"$F;@!1J}"</f>
        <v>#VALUE!</v>
      </c>
      <c r="AN322" t="e">
        <f>'North America'!F437+"$F;@!1J~"</f>
        <v>#VALUE!</v>
      </c>
      <c r="AO322" t="e">
        <f>'North America'!G437+"$F;@!1K#"</f>
        <v>#VALUE!</v>
      </c>
      <c r="AP322" t="e">
        <f>'North America'!H437+"$F;@!1K$"</f>
        <v>#VALUE!</v>
      </c>
      <c r="AQ322" t="e">
        <f>'North America'!A438+"$F;@!1K%"</f>
        <v>#VALUE!</v>
      </c>
      <c r="AR322" t="e">
        <f>'North America'!B438+"$F;@!1K&amp;"</f>
        <v>#VALUE!</v>
      </c>
      <c r="AS322" t="e">
        <f>'North America'!C438+"$F;@!1K'"</f>
        <v>#VALUE!</v>
      </c>
      <c r="AT322" t="e">
        <f>'North America'!D438+"$F;@!1K("</f>
        <v>#VALUE!</v>
      </c>
      <c r="AU322" t="e">
        <f>'North America'!E438+"$F;@!1K)"</f>
        <v>#VALUE!</v>
      </c>
      <c r="AV322" t="e">
        <f>'North America'!F438+"$F;@!1K."</f>
        <v>#VALUE!</v>
      </c>
      <c r="AW322" t="e">
        <f>'North America'!G438+"$F;@!1K/"</f>
        <v>#VALUE!</v>
      </c>
      <c r="AX322" t="e">
        <f>'North America'!H438+"$F;@!1K0"</f>
        <v>#VALUE!</v>
      </c>
      <c r="AY322" t="e">
        <f>'North America'!A439+"$F;@!1K1"</f>
        <v>#VALUE!</v>
      </c>
      <c r="AZ322" t="e">
        <f>'North America'!B439+"$F;@!1K2"</f>
        <v>#VALUE!</v>
      </c>
      <c r="BA322" t="e">
        <f>'North America'!C439+"$F;@!1K3"</f>
        <v>#VALUE!</v>
      </c>
      <c r="BB322" t="e">
        <f>'North America'!D439+"$F;@!1K4"</f>
        <v>#VALUE!</v>
      </c>
      <c r="BC322" t="e">
        <f>'North America'!E439+"$F;@!1K5"</f>
        <v>#VALUE!</v>
      </c>
      <c r="BD322" t="e">
        <f>'North America'!F439+"$F;@!1K6"</f>
        <v>#VALUE!</v>
      </c>
      <c r="BE322" t="e">
        <f>'North America'!G439+"$F;@!1K7"</f>
        <v>#VALUE!</v>
      </c>
      <c r="BF322" t="e">
        <f>'North America'!H439+"$F;@!1K8"</f>
        <v>#VALUE!</v>
      </c>
      <c r="BG322" t="e">
        <f>'North America'!A440+"$F;@!1K9"</f>
        <v>#VALUE!</v>
      </c>
      <c r="BH322" t="e">
        <f>'North America'!B440+"$F;@!1K:"</f>
        <v>#VALUE!</v>
      </c>
      <c r="BI322" t="e">
        <f>'North America'!C440+"$F;@!1K;"</f>
        <v>#VALUE!</v>
      </c>
      <c r="BJ322" t="e">
        <f>'North America'!D440+"$F;@!1K&lt;"</f>
        <v>#VALUE!</v>
      </c>
      <c r="BK322" t="e">
        <f>'North America'!E440+"$F;@!1K="</f>
        <v>#VALUE!</v>
      </c>
      <c r="BL322" t="e">
        <f>'North America'!F440+"$F;@!1K&gt;"</f>
        <v>#VALUE!</v>
      </c>
      <c r="BM322" t="e">
        <f>'North America'!G440+"$F;@!1K?"</f>
        <v>#VALUE!</v>
      </c>
      <c r="BN322" t="e">
        <f>'North America'!H440+"$F;@!1K@"</f>
        <v>#VALUE!</v>
      </c>
      <c r="BO322" t="e">
        <f>'North America'!A441+"$F;@!1KA"</f>
        <v>#VALUE!</v>
      </c>
      <c r="BP322" t="e">
        <f>'North America'!B441+"$F;@!1KB"</f>
        <v>#VALUE!</v>
      </c>
      <c r="BQ322" t="e">
        <f>'North America'!C441+"$F;@!1KC"</f>
        <v>#VALUE!</v>
      </c>
      <c r="BR322" t="e">
        <f>'North America'!D441+"$F;@!1KD"</f>
        <v>#VALUE!</v>
      </c>
      <c r="BS322" t="e">
        <f>'North America'!E441+"$F;@!1KE"</f>
        <v>#VALUE!</v>
      </c>
      <c r="BT322" t="e">
        <f>'North America'!F441+"$F;@!1KF"</f>
        <v>#VALUE!</v>
      </c>
      <c r="BU322" t="e">
        <f>'North America'!G441+"$F;@!1KG"</f>
        <v>#VALUE!</v>
      </c>
      <c r="BV322" t="e">
        <f>'North America'!H441+"$F;@!1KH"</f>
        <v>#VALUE!</v>
      </c>
      <c r="BW322" t="e">
        <f>'North America'!A442+"$F;@!1KI"</f>
        <v>#VALUE!</v>
      </c>
      <c r="BX322" t="e">
        <f>'North America'!B442+"$F;@!1KJ"</f>
        <v>#VALUE!</v>
      </c>
      <c r="BY322" t="e">
        <f>'North America'!C442+"$F;@!1KK"</f>
        <v>#VALUE!</v>
      </c>
      <c r="BZ322" t="e">
        <f>'North America'!D442+"$F;@!1KL"</f>
        <v>#VALUE!</v>
      </c>
      <c r="CA322" t="e">
        <f>'North America'!E442+"$F;@!1KM"</f>
        <v>#VALUE!</v>
      </c>
      <c r="CB322" t="e">
        <f>'North America'!F442+"$F;@!1KN"</f>
        <v>#VALUE!</v>
      </c>
      <c r="CC322" t="e">
        <f>'North America'!G442+"$F;@!1KO"</f>
        <v>#VALUE!</v>
      </c>
      <c r="CD322" t="e">
        <f>'North America'!H442+"$F;@!1KP"</f>
        <v>#VALUE!</v>
      </c>
      <c r="CE322" t="e">
        <f>'North America'!A443+"$F;@!1KQ"</f>
        <v>#VALUE!</v>
      </c>
      <c r="CF322" t="e">
        <f>'North America'!B443+"$F;@!1KR"</f>
        <v>#VALUE!</v>
      </c>
      <c r="CG322" t="e">
        <f>'North America'!C443+"$F;@!1KS"</f>
        <v>#VALUE!</v>
      </c>
      <c r="CH322" t="e">
        <f>'North America'!D443+"$F;@!1KT"</f>
        <v>#VALUE!</v>
      </c>
      <c r="CI322" t="e">
        <f>'North America'!E443+"$F;@!1KU"</f>
        <v>#VALUE!</v>
      </c>
      <c r="CJ322" t="e">
        <f>'North America'!F443+"$F;@!1KV"</f>
        <v>#VALUE!</v>
      </c>
      <c r="CK322" t="e">
        <f>'North America'!G443+"$F;@!1KW"</f>
        <v>#VALUE!</v>
      </c>
      <c r="CL322" t="e">
        <f>'North America'!H443+"$F;@!1KX"</f>
        <v>#VALUE!</v>
      </c>
      <c r="CM322" t="e">
        <f>'North America'!A444+"$F;@!1KY"</f>
        <v>#VALUE!</v>
      </c>
      <c r="CN322" t="e">
        <f>'North America'!B444+"$F;@!1KZ"</f>
        <v>#VALUE!</v>
      </c>
      <c r="CO322" t="e">
        <f>'North America'!C444+"$F;@!1K["</f>
        <v>#VALUE!</v>
      </c>
      <c r="CP322" t="e">
        <f>'North America'!D444+"$F;@!1K\"</f>
        <v>#VALUE!</v>
      </c>
      <c r="CQ322" t="e">
        <f>'North America'!E444+"$F;@!1K]"</f>
        <v>#VALUE!</v>
      </c>
      <c r="CR322" t="e">
        <f>'North America'!F444+"$F;@!1K^"</f>
        <v>#VALUE!</v>
      </c>
      <c r="CS322" t="e">
        <f>'North America'!G444+"$F;@!1K_"</f>
        <v>#VALUE!</v>
      </c>
      <c r="CT322" t="e">
        <f>'North America'!H444+"$F;@!1K`"</f>
        <v>#VALUE!</v>
      </c>
      <c r="CU322" t="e">
        <f>'North America'!A445+"$F;@!1Ka"</f>
        <v>#VALUE!</v>
      </c>
      <c r="CV322" t="e">
        <f>'North America'!B445+"$F;@!1Kb"</f>
        <v>#VALUE!</v>
      </c>
      <c r="CW322" t="e">
        <f>'North America'!C445+"$F;@!1Kc"</f>
        <v>#VALUE!</v>
      </c>
      <c r="CX322" t="e">
        <f>'North America'!D445+"$F;@!1Kd"</f>
        <v>#VALUE!</v>
      </c>
      <c r="CY322" t="e">
        <f>'North America'!E445+"$F;@!1Ke"</f>
        <v>#VALUE!</v>
      </c>
      <c r="CZ322" t="e">
        <f>'North America'!F445+"$F;@!1Kf"</f>
        <v>#VALUE!</v>
      </c>
      <c r="DA322" t="e">
        <f>'North America'!G445+"$F;@!1Kg"</f>
        <v>#VALUE!</v>
      </c>
      <c r="DB322" t="e">
        <f>'North America'!H445+"$F;@!1Kh"</f>
        <v>#VALUE!</v>
      </c>
      <c r="DC322" t="e">
        <f>'North America'!A446+"$F;@!1Ki"</f>
        <v>#VALUE!</v>
      </c>
      <c r="DD322" t="e">
        <f>'North America'!B446+"$F;@!1Kj"</f>
        <v>#VALUE!</v>
      </c>
      <c r="DE322" t="e">
        <f>'North America'!C446+"$F;@!1Kk"</f>
        <v>#VALUE!</v>
      </c>
      <c r="DF322" t="e">
        <f>'North America'!D446+"$F;@!1Kl"</f>
        <v>#VALUE!</v>
      </c>
      <c r="DG322" t="e">
        <f>'North America'!E446+"$F;@!1Km"</f>
        <v>#VALUE!</v>
      </c>
      <c r="DH322" t="e">
        <f>'North America'!F446+"$F;@!1Kn"</f>
        <v>#VALUE!</v>
      </c>
      <c r="DI322" t="e">
        <f>'North America'!G446+"$F;@!1Ko"</f>
        <v>#VALUE!</v>
      </c>
      <c r="DJ322" t="e">
        <f>'North America'!H446+"$F;@!1Kp"</f>
        <v>#VALUE!</v>
      </c>
      <c r="DK322" t="e">
        <f>'North America'!A447+"$F;@!1Kq"</f>
        <v>#VALUE!</v>
      </c>
      <c r="DL322" t="e">
        <f>'North America'!B447+"$F;@!1Kr"</f>
        <v>#VALUE!</v>
      </c>
      <c r="DM322" t="e">
        <f>'North America'!C447+"$F;@!1Ks"</f>
        <v>#VALUE!</v>
      </c>
      <c r="DN322" t="e">
        <f>'North America'!D447+"$F;@!1Kt"</f>
        <v>#VALUE!</v>
      </c>
      <c r="DO322" t="e">
        <f>'North America'!E447+"$F;@!1Ku"</f>
        <v>#VALUE!</v>
      </c>
      <c r="DP322" t="e">
        <f>'North America'!F447+"$F;@!1Kv"</f>
        <v>#VALUE!</v>
      </c>
      <c r="DQ322" t="e">
        <f>'North America'!G447+"$F;@!1Kw"</f>
        <v>#VALUE!</v>
      </c>
      <c r="DR322" t="e">
        <f>'North America'!H447+"$F;@!1Kx"</f>
        <v>#VALUE!</v>
      </c>
      <c r="DS322" t="e">
        <f>'North America'!A448+"$F;@!1Ky"</f>
        <v>#VALUE!</v>
      </c>
      <c r="DT322" t="e">
        <f>'North America'!B448+"$F;@!1Kz"</f>
        <v>#VALUE!</v>
      </c>
      <c r="DU322" t="e">
        <f>'North America'!C448+"$F;@!1K{"</f>
        <v>#VALUE!</v>
      </c>
      <c r="DV322" t="e">
        <f>'North America'!D448+"$F;@!1K|"</f>
        <v>#VALUE!</v>
      </c>
      <c r="DW322" t="e">
        <f>'North America'!E448+"$F;@!1K}"</f>
        <v>#VALUE!</v>
      </c>
      <c r="DX322" t="e">
        <f>'North America'!F448+"$F;@!1K~"</f>
        <v>#VALUE!</v>
      </c>
      <c r="DY322" t="e">
        <f>'North America'!G448+"$F;@!1L#"</f>
        <v>#VALUE!</v>
      </c>
      <c r="DZ322" t="e">
        <f>'North America'!H448+"$F;@!1L$"</f>
        <v>#VALUE!</v>
      </c>
      <c r="EA322" t="e">
        <f>'North America'!A449+"$F;@!1L%"</f>
        <v>#VALUE!</v>
      </c>
      <c r="EB322" t="e">
        <f>'North America'!B449+"$F;@!1L&amp;"</f>
        <v>#VALUE!</v>
      </c>
      <c r="EC322" t="e">
        <f>'North America'!C449+"$F;@!1L'"</f>
        <v>#VALUE!</v>
      </c>
      <c r="ED322" t="e">
        <f>'North America'!D449+"$F;@!1L("</f>
        <v>#VALUE!</v>
      </c>
      <c r="EE322" t="e">
        <f>'North America'!E449+"$F;@!1L)"</f>
        <v>#VALUE!</v>
      </c>
      <c r="EF322" t="e">
        <f>'North America'!F449+"$F;@!1L."</f>
        <v>#VALUE!</v>
      </c>
      <c r="EG322" t="e">
        <f>'North America'!G449+"$F;@!1L/"</f>
        <v>#VALUE!</v>
      </c>
      <c r="EH322" t="e">
        <f>'North America'!H449+"$F;@!1L0"</f>
        <v>#VALUE!</v>
      </c>
      <c r="EI322" t="e">
        <f>'North America'!A450+"$F;@!1L1"</f>
        <v>#VALUE!</v>
      </c>
      <c r="EJ322" t="e">
        <f>'North America'!B450+"$F;@!1L2"</f>
        <v>#VALUE!</v>
      </c>
      <c r="EK322" t="e">
        <f>'North America'!C450+"$F;@!1L3"</f>
        <v>#VALUE!</v>
      </c>
      <c r="EL322" t="e">
        <f>'North America'!D450+"$F;@!1L4"</f>
        <v>#VALUE!</v>
      </c>
      <c r="EM322" t="e">
        <f>'North America'!E450+"$F;@!1L5"</f>
        <v>#VALUE!</v>
      </c>
      <c r="EN322" t="e">
        <f>'North America'!F450+"$F;@!1L6"</f>
        <v>#VALUE!</v>
      </c>
      <c r="EO322" t="e">
        <f>'North America'!G450+"$F;@!1L7"</f>
        <v>#VALUE!</v>
      </c>
      <c r="EP322" t="e">
        <f>'North America'!H450+"$F;@!1L8"</f>
        <v>#VALUE!</v>
      </c>
      <c r="EQ322" t="e">
        <f>'North America'!A451+"$F;@!1L9"</f>
        <v>#VALUE!</v>
      </c>
      <c r="ER322" t="e">
        <f>'North America'!B451+"$F;@!1L:"</f>
        <v>#VALUE!</v>
      </c>
      <c r="ES322" t="e">
        <f>'North America'!C451+"$F;@!1L;"</f>
        <v>#VALUE!</v>
      </c>
      <c r="ET322" t="e">
        <f>'North America'!D451+"$F;@!1L&lt;"</f>
        <v>#VALUE!</v>
      </c>
      <c r="EU322" t="e">
        <f>'North America'!E451+"$F;@!1L="</f>
        <v>#VALUE!</v>
      </c>
      <c r="EV322" t="e">
        <f>'North America'!F451+"$F;@!1L&gt;"</f>
        <v>#VALUE!</v>
      </c>
      <c r="EW322" t="e">
        <f>'North America'!G451+"$F;@!1L?"</f>
        <v>#VALUE!</v>
      </c>
      <c r="EX322" t="e">
        <f>'North America'!H451+"$F;@!1L@"</f>
        <v>#VALUE!</v>
      </c>
      <c r="EY322" t="e">
        <f>'North America'!A452+"$F;@!1LA"</f>
        <v>#VALUE!</v>
      </c>
      <c r="EZ322" t="e">
        <f>'North America'!B452+"$F;@!1LB"</f>
        <v>#VALUE!</v>
      </c>
      <c r="FA322" t="e">
        <f>'North America'!C452+"$F;@!1LC"</f>
        <v>#VALUE!</v>
      </c>
      <c r="FB322" t="e">
        <f>'North America'!D452+"$F;@!1LD"</f>
        <v>#VALUE!</v>
      </c>
      <c r="FC322" t="e">
        <f>'North America'!E452+"$F;@!1LE"</f>
        <v>#VALUE!</v>
      </c>
      <c r="FD322" t="e">
        <f>'North America'!F452+"$F;@!1LF"</f>
        <v>#VALUE!</v>
      </c>
      <c r="FE322" t="e">
        <f>'North America'!G452+"$F;@!1LG"</f>
        <v>#VALUE!</v>
      </c>
      <c r="FF322" t="e">
        <f>'North America'!H452+"$F;@!1LH"</f>
        <v>#VALUE!</v>
      </c>
      <c r="FG322" t="e">
        <f>'North America'!A453+"$F;@!1LI"</f>
        <v>#VALUE!</v>
      </c>
      <c r="FH322" t="e">
        <f>'North America'!B453+"$F;@!1LJ"</f>
        <v>#VALUE!</v>
      </c>
      <c r="FI322" t="e">
        <f>'North America'!C453+"$F;@!1LK"</f>
        <v>#VALUE!</v>
      </c>
      <c r="FJ322" t="e">
        <f>'North America'!D453+"$F;@!1LL"</f>
        <v>#VALUE!</v>
      </c>
      <c r="FK322" t="e">
        <f>'North America'!E453+"$F;@!1LM"</f>
        <v>#VALUE!</v>
      </c>
      <c r="FL322" t="e">
        <f>'North America'!F453+"$F;@!1LN"</f>
        <v>#VALUE!</v>
      </c>
      <c r="FM322" t="e">
        <f>'North America'!G453+"$F;@!1LO"</f>
        <v>#VALUE!</v>
      </c>
      <c r="FN322" t="e">
        <f>'North America'!H453+"$F;@!1LP"</f>
        <v>#VALUE!</v>
      </c>
      <c r="FO322" t="e">
        <f>'North America'!A454+"$F;@!1LQ"</f>
        <v>#VALUE!</v>
      </c>
      <c r="FP322" t="e">
        <f>'North America'!B454+"$F;@!1LR"</f>
        <v>#VALUE!</v>
      </c>
      <c r="FQ322" t="e">
        <f>'North America'!C454+"$F;@!1LS"</f>
        <v>#VALUE!</v>
      </c>
      <c r="FR322" t="e">
        <f>'North America'!D454+"$F;@!1LT"</f>
        <v>#VALUE!</v>
      </c>
      <c r="FS322" t="e">
        <f>'North America'!E454+"$F;@!1LU"</f>
        <v>#VALUE!</v>
      </c>
      <c r="FT322" t="e">
        <f>'North America'!F454+"$F;@!1LV"</f>
        <v>#VALUE!</v>
      </c>
      <c r="FU322" t="e">
        <f>'North America'!G454+"$F;@!1LW"</f>
        <v>#VALUE!</v>
      </c>
      <c r="FV322" t="e">
        <f>'North America'!H454+"$F;@!1LX"</f>
        <v>#VALUE!</v>
      </c>
      <c r="FW322" t="e">
        <f>'North America'!A455+"$F;@!1LY"</f>
        <v>#VALUE!</v>
      </c>
      <c r="FX322" t="e">
        <f>'North America'!B455+"$F;@!1LZ"</f>
        <v>#VALUE!</v>
      </c>
      <c r="FY322" t="e">
        <f>'North America'!C455+"$F;@!1L["</f>
        <v>#VALUE!</v>
      </c>
      <c r="FZ322" t="e">
        <f>'North America'!D455+"$F;@!1L\"</f>
        <v>#VALUE!</v>
      </c>
      <c r="GA322" t="e">
        <f>'North America'!E455+"$F;@!1L]"</f>
        <v>#VALUE!</v>
      </c>
      <c r="GB322" t="e">
        <f>'North America'!F455+"$F;@!1L^"</f>
        <v>#VALUE!</v>
      </c>
      <c r="GC322" t="e">
        <f>'North America'!G455+"$F;@!1L_"</f>
        <v>#VALUE!</v>
      </c>
      <c r="GD322" t="e">
        <f>'North America'!H455+"$F;@!1L`"</f>
        <v>#VALUE!</v>
      </c>
      <c r="GE322" t="e">
        <f>'North America'!A456+"$F;@!1La"</f>
        <v>#VALUE!</v>
      </c>
      <c r="GF322" t="e">
        <f>'North America'!B456+"$F;@!1Lb"</f>
        <v>#VALUE!</v>
      </c>
      <c r="GG322" t="e">
        <f>'North America'!C456+"$F;@!1Lc"</f>
        <v>#VALUE!</v>
      </c>
      <c r="GH322" t="e">
        <f>'North America'!D456+"$F;@!1Ld"</f>
        <v>#VALUE!</v>
      </c>
      <c r="GI322" t="e">
        <f>'North America'!E456+"$F;@!1Le"</f>
        <v>#VALUE!</v>
      </c>
      <c r="GJ322" t="e">
        <f>'North America'!F456+"$F;@!1Lf"</f>
        <v>#VALUE!</v>
      </c>
      <c r="GK322" t="e">
        <f>'North America'!G456+"$F;@!1Lg"</f>
        <v>#VALUE!</v>
      </c>
      <c r="GL322" t="e">
        <f>'North America'!H456+"$F;@!1Lh"</f>
        <v>#VALUE!</v>
      </c>
      <c r="GM322" t="e">
        <f>'North America'!A457+"$F;@!1Li"</f>
        <v>#VALUE!</v>
      </c>
      <c r="GN322" t="e">
        <f>'North America'!B457+"$F;@!1Lj"</f>
        <v>#VALUE!</v>
      </c>
      <c r="GO322" t="e">
        <f>'North America'!C457+"$F;@!1Lk"</f>
        <v>#VALUE!</v>
      </c>
      <c r="GP322" t="e">
        <f>'North America'!D457+"$F;@!1Ll"</f>
        <v>#VALUE!</v>
      </c>
      <c r="GQ322" t="e">
        <f>'North America'!E457+"$F;@!1Lm"</f>
        <v>#VALUE!</v>
      </c>
      <c r="GR322" t="e">
        <f>'North America'!F457+"$F;@!1Ln"</f>
        <v>#VALUE!</v>
      </c>
      <c r="GS322" t="e">
        <f>'North America'!G457+"$F;@!1Lo"</f>
        <v>#VALUE!</v>
      </c>
      <c r="GT322" t="e">
        <f>'North America'!H457+"$F;@!1Lp"</f>
        <v>#VALUE!</v>
      </c>
      <c r="GU322" t="e">
        <f>'North America'!A458+"$F;@!1Lq"</f>
        <v>#VALUE!</v>
      </c>
      <c r="GV322" t="e">
        <f>'North America'!B458+"$F;@!1Lr"</f>
        <v>#VALUE!</v>
      </c>
      <c r="GW322" t="e">
        <f>'North America'!C458+"$F;@!1Ls"</f>
        <v>#VALUE!</v>
      </c>
      <c r="GX322" t="e">
        <f>'North America'!D458+"$F;@!1Lt"</f>
        <v>#VALUE!</v>
      </c>
      <c r="GY322" t="e">
        <f>'North America'!E458+"$F;@!1Lu"</f>
        <v>#VALUE!</v>
      </c>
      <c r="GZ322" t="e">
        <f>'North America'!F458+"$F;@!1Lv"</f>
        <v>#VALUE!</v>
      </c>
      <c r="HA322" t="e">
        <f>'North America'!G458+"$F;@!1Lw"</f>
        <v>#VALUE!</v>
      </c>
      <c r="HB322" t="e">
        <f>'North America'!H458+"$F;@!1Lx"</f>
        <v>#VALUE!</v>
      </c>
      <c r="HC322" t="e">
        <f>'North America'!A459+"$F;@!1Ly"</f>
        <v>#VALUE!</v>
      </c>
      <c r="HD322" t="e">
        <f>'North America'!B459+"$F;@!1Lz"</f>
        <v>#VALUE!</v>
      </c>
      <c r="HE322" t="e">
        <f>'North America'!C459+"$F;@!1L{"</f>
        <v>#VALUE!</v>
      </c>
      <c r="HF322" t="e">
        <f>'North America'!D459+"$F;@!1L|"</f>
        <v>#VALUE!</v>
      </c>
      <c r="HG322" t="e">
        <f>'North America'!E459+"$F;@!1L}"</f>
        <v>#VALUE!</v>
      </c>
      <c r="HH322" t="e">
        <f>'North America'!F459+"$F;@!1L~"</f>
        <v>#VALUE!</v>
      </c>
      <c r="HI322" t="e">
        <f>'North America'!G459+"$F;@!1M#"</f>
        <v>#VALUE!</v>
      </c>
      <c r="HJ322" t="e">
        <f>'North America'!H459+"$F;@!1M$"</f>
        <v>#VALUE!</v>
      </c>
      <c r="HK322" t="e">
        <f>'North America'!A460+"$F;@!1M%"</f>
        <v>#VALUE!</v>
      </c>
      <c r="HL322" t="e">
        <f>'North America'!B460+"$F;@!1M&amp;"</f>
        <v>#VALUE!</v>
      </c>
      <c r="HM322" t="e">
        <f>'North America'!C460+"$F;@!1M'"</f>
        <v>#VALUE!</v>
      </c>
      <c r="HN322" t="e">
        <f>'North America'!D460+"$F;@!1M("</f>
        <v>#VALUE!</v>
      </c>
      <c r="HO322" t="e">
        <f>'North America'!E460+"$F;@!1M)"</f>
        <v>#VALUE!</v>
      </c>
      <c r="HP322" t="e">
        <f>'North America'!F460+"$F;@!1M."</f>
        <v>#VALUE!</v>
      </c>
      <c r="HQ322" t="e">
        <f>'North America'!G460+"$F;@!1M/"</f>
        <v>#VALUE!</v>
      </c>
      <c r="HR322" t="e">
        <f>'North America'!H460+"$F;@!1M0"</f>
        <v>#VALUE!</v>
      </c>
      <c r="HS322" t="e">
        <f>'North America'!A461+"$F;@!1M1"</f>
        <v>#VALUE!</v>
      </c>
      <c r="HT322" t="e">
        <f>'North America'!B461+"$F;@!1M2"</f>
        <v>#VALUE!</v>
      </c>
      <c r="HU322" t="e">
        <f>'North America'!C461+"$F;@!1M3"</f>
        <v>#VALUE!</v>
      </c>
      <c r="HV322" t="e">
        <f>'North America'!D461+"$F;@!1M4"</f>
        <v>#VALUE!</v>
      </c>
      <c r="HW322" t="e">
        <f>'North America'!E461+"$F;@!1M5"</f>
        <v>#VALUE!</v>
      </c>
      <c r="HX322" t="e">
        <f>'North America'!F461+"$F;@!1M6"</f>
        <v>#VALUE!</v>
      </c>
      <c r="HY322" t="e">
        <f>'North America'!G461+"$F;@!1M7"</f>
        <v>#VALUE!</v>
      </c>
      <c r="HZ322" t="e">
        <f>'North America'!H461+"$F;@!1M8"</f>
        <v>#VALUE!</v>
      </c>
      <c r="IA322" t="e">
        <f>'North America'!A462+"$F;@!1M9"</f>
        <v>#VALUE!</v>
      </c>
      <c r="IB322" t="e">
        <f>'North America'!B462+"$F;@!1M:"</f>
        <v>#VALUE!</v>
      </c>
      <c r="IC322" t="e">
        <f>'North America'!C462+"$F;@!1M;"</f>
        <v>#VALUE!</v>
      </c>
      <c r="ID322" t="e">
        <f>'North America'!D462+"$F;@!1M&lt;"</f>
        <v>#VALUE!</v>
      </c>
      <c r="IE322" t="e">
        <f>'North America'!E462+"$F;@!1M="</f>
        <v>#VALUE!</v>
      </c>
      <c r="IF322" t="e">
        <f>'North America'!F462+"$F;@!1M&gt;"</f>
        <v>#VALUE!</v>
      </c>
      <c r="IG322" t="e">
        <f>'North America'!G462+"$F;@!1M?"</f>
        <v>#VALUE!</v>
      </c>
      <c r="IH322" t="e">
        <f>'North America'!H462+"$F;@!1M@"</f>
        <v>#VALUE!</v>
      </c>
      <c r="II322" t="e">
        <f>'North America'!A463+"$F;@!1MA"</f>
        <v>#VALUE!</v>
      </c>
      <c r="IJ322" t="e">
        <f>'North America'!B463+"$F;@!1MB"</f>
        <v>#VALUE!</v>
      </c>
      <c r="IK322" t="e">
        <f>'North America'!C463+"$F;@!1MC"</f>
        <v>#VALUE!</v>
      </c>
      <c r="IL322" t="e">
        <f>'North America'!D463+"$F;@!1MD"</f>
        <v>#VALUE!</v>
      </c>
      <c r="IM322" t="e">
        <f>'North America'!E463+"$F;@!1ME"</f>
        <v>#VALUE!</v>
      </c>
      <c r="IN322" t="e">
        <f>'North America'!F463+"$F;@!1MF"</f>
        <v>#VALUE!</v>
      </c>
      <c r="IO322" t="e">
        <f>'North America'!G463+"$F;@!1MG"</f>
        <v>#VALUE!</v>
      </c>
      <c r="IP322" t="e">
        <f>'North America'!H463+"$F;@!1MH"</f>
        <v>#VALUE!</v>
      </c>
      <c r="IQ322" t="e">
        <f>'North America'!A464+"$F;@!1MI"</f>
        <v>#VALUE!</v>
      </c>
      <c r="IR322" t="e">
        <f>'North America'!B464+"$F;@!1MJ"</f>
        <v>#VALUE!</v>
      </c>
      <c r="IS322" t="e">
        <f>'North America'!C464+"$F;@!1MK"</f>
        <v>#VALUE!</v>
      </c>
      <c r="IT322" t="e">
        <f>'North America'!D464+"$F;@!1ML"</f>
        <v>#VALUE!</v>
      </c>
      <c r="IU322" t="e">
        <f>'North America'!E464+"$F;@!1MM"</f>
        <v>#VALUE!</v>
      </c>
      <c r="IV322" t="e">
        <f>'North America'!F464+"$F;@!1MN"</f>
        <v>#VALUE!</v>
      </c>
    </row>
    <row r="323" spans="6:256" x14ac:dyDescent="0.35">
      <c r="F323" t="e">
        <f>'North America'!G464+"$F;@!1MO"</f>
        <v>#VALUE!</v>
      </c>
      <c r="G323" t="e">
        <f>'North America'!H464+"$F;@!1MP"</f>
        <v>#VALUE!</v>
      </c>
      <c r="H323" t="e">
        <f>'North America'!A465+"$F;@!1MQ"</f>
        <v>#VALUE!</v>
      </c>
      <c r="I323" t="e">
        <f>'North America'!B465+"$F;@!1MR"</f>
        <v>#VALUE!</v>
      </c>
      <c r="J323" t="e">
        <f>'North America'!C465+"$F;@!1MS"</f>
        <v>#VALUE!</v>
      </c>
      <c r="K323" t="e">
        <f>'North America'!D465+"$F;@!1MT"</f>
        <v>#VALUE!</v>
      </c>
      <c r="L323" t="e">
        <f>'North America'!E465+"$F;@!1MU"</f>
        <v>#VALUE!</v>
      </c>
      <c r="M323" t="e">
        <f>'North America'!F465+"$F;@!1MV"</f>
        <v>#VALUE!</v>
      </c>
      <c r="N323" t="e">
        <f>'North America'!G465+"$F;@!1MW"</f>
        <v>#VALUE!</v>
      </c>
      <c r="O323" t="e">
        <f>'North America'!H465+"$F;@!1MX"</f>
        <v>#VALUE!</v>
      </c>
      <c r="P323" t="e">
        <f>'North America'!A466+"$F;@!1MY"</f>
        <v>#VALUE!</v>
      </c>
      <c r="Q323" t="e">
        <f>'North America'!B466+"$F;@!1MZ"</f>
        <v>#VALUE!</v>
      </c>
      <c r="R323" t="e">
        <f>'North America'!C466+"$F;@!1M["</f>
        <v>#VALUE!</v>
      </c>
      <c r="S323" t="e">
        <f>'North America'!D466+"$F;@!1M\"</f>
        <v>#VALUE!</v>
      </c>
      <c r="T323" t="e">
        <f>'North America'!E466+"$F;@!1M]"</f>
        <v>#VALUE!</v>
      </c>
      <c r="U323" t="e">
        <f>'North America'!F466+"$F;@!1M^"</f>
        <v>#VALUE!</v>
      </c>
      <c r="V323" t="e">
        <f>'North America'!G466+"$F;@!1M_"</f>
        <v>#VALUE!</v>
      </c>
      <c r="W323" t="e">
        <f>'North America'!H466+"$F;@!1M`"</f>
        <v>#VALUE!</v>
      </c>
      <c r="X323" t="e">
        <f>'North America'!A467+"$F;@!1Ma"</f>
        <v>#VALUE!</v>
      </c>
      <c r="Y323" t="e">
        <f>'North America'!B467+"$F;@!1Mb"</f>
        <v>#VALUE!</v>
      </c>
      <c r="Z323" t="e">
        <f>'North America'!C467+"$F;@!1Mc"</f>
        <v>#VALUE!</v>
      </c>
      <c r="AA323" t="e">
        <f>'North America'!D467+"$F;@!1Md"</f>
        <v>#VALUE!</v>
      </c>
      <c r="AB323" t="e">
        <f>'North America'!E467+"$F;@!1Me"</f>
        <v>#VALUE!</v>
      </c>
      <c r="AC323" t="e">
        <f>'North America'!F467+"$F;@!1Mf"</f>
        <v>#VALUE!</v>
      </c>
      <c r="AD323" t="e">
        <f>'North America'!G467+"$F;@!1Mg"</f>
        <v>#VALUE!</v>
      </c>
      <c r="AE323" t="e">
        <f>'North America'!H467+"$F;@!1Mh"</f>
        <v>#VALUE!</v>
      </c>
      <c r="AF323" t="e">
        <f>'North America'!A468+"$F;@!1Mi"</f>
        <v>#VALUE!</v>
      </c>
      <c r="AG323" t="e">
        <f>'North America'!B468+"$F;@!1Mj"</f>
        <v>#VALUE!</v>
      </c>
      <c r="AH323" t="e">
        <f>'North America'!C468+"$F;@!1Mk"</f>
        <v>#VALUE!</v>
      </c>
      <c r="AI323" t="e">
        <f>'North America'!D468+"$F;@!1Ml"</f>
        <v>#VALUE!</v>
      </c>
      <c r="AJ323" t="e">
        <f>'North America'!E468+"$F;@!1Mm"</f>
        <v>#VALUE!</v>
      </c>
      <c r="AK323" t="e">
        <f>'North America'!F468+"$F;@!1Mn"</f>
        <v>#VALUE!</v>
      </c>
      <c r="AL323" t="e">
        <f>'North America'!G468+"$F;@!1Mo"</f>
        <v>#VALUE!</v>
      </c>
      <c r="AM323" t="e">
        <f>'North America'!H468+"$F;@!1Mp"</f>
        <v>#VALUE!</v>
      </c>
      <c r="AN323" t="e">
        <f>'North America'!A469+"$F;@!1Mq"</f>
        <v>#VALUE!</v>
      </c>
      <c r="AO323" t="e">
        <f>'North America'!B469+"$F;@!1Mr"</f>
        <v>#VALUE!</v>
      </c>
      <c r="AP323" t="e">
        <f>'North America'!C469+"$F;@!1Ms"</f>
        <v>#VALUE!</v>
      </c>
      <c r="AQ323" t="e">
        <f>'North America'!D469+"$F;@!1Mt"</f>
        <v>#VALUE!</v>
      </c>
      <c r="AR323" t="e">
        <f>'North America'!E469+"$F;@!1Mu"</f>
        <v>#VALUE!</v>
      </c>
      <c r="AS323" t="e">
        <f>'North America'!F469+"$F;@!1Mv"</f>
        <v>#VALUE!</v>
      </c>
      <c r="AT323" t="e">
        <f>'North America'!G469+"$F;@!1Mw"</f>
        <v>#VALUE!</v>
      </c>
      <c r="AU323" t="e">
        <f>'North America'!H469+"$F;@!1Mx"</f>
        <v>#VALUE!</v>
      </c>
      <c r="AV323" t="e">
        <f>'North America'!A470+"$F;@!1My"</f>
        <v>#VALUE!</v>
      </c>
      <c r="AW323" t="e">
        <f>'North America'!B470+"$F;@!1Mz"</f>
        <v>#VALUE!</v>
      </c>
      <c r="AX323" t="e">
        <f>'North America'!C470+"$F;@!1M{"</f>
        <v>#VALUE!</v>
      </c>
      <c r="AY323" t="e">
        <f>'North America'!D470+"$F;@!1M|"</f>
        <v>#VALUE!</v>
      </c>
      <c r="AZ323" t="e">
        <f>'North America'!E470+"$F;@!1M}"</f>
        <v>#VALUE!</v>
      </c>
      <c r="BA323" t="e">
        <f>'North America'!F470+"$F;@!1M~"</f>
        <v>#VALUE!</v>
      </c>
      <c r="BB323" t="e">
        <f>'North America'!G470+"$F;@!1N#"</f>
        <v>#VALUE!</v>
      </c>
      <c r="BC323" t="e">
        <f>'North America'!H470+"$F;@!1N$"</f>
        <v>#VALUE!</v>
      </c>
      <c r="BD323" t="e">
        <f>'North America'!A471+"$F;@!1N%"</f>
        <v>#VALUE!</v>
      </c>
      <c r="BE323" t="e">
        <f>'North America'!B471+"$F;@!1N&amp;"</f>
        <v>#VALUE!</v>
      </c>
      <c r="BF323" t="e">
        <f>'North America'!C471+"$F;@!1N'"</f>
        <v>#VALUE!</v>
      </c>
      <c r="BG323" t="e">
        <f>'North America'!D471+"$F;@!1N("</f>
        <v>#VALUE!</v>
      </c>
      <c r="BH323" t="e">
        <f>'North America'!E471+"$F;@!1N)"</f>
        <v>#VALUE!</v>
      </c>
      <c r="BI323" t="e">
        <f>'North America'!F471+"$F;@!1N."</f>
        <v>#VALUE!</v>
      </c>
      <c r="BJ323" t="e">
        <f>'North America'!G471+"$F;@!1N/"</f>
        <v>#VALUE!</v>
      </c>
      <c r="BK323" t="e">
        <f>'North America'!H471+"$F;@!1N0"</f>
        <v>#VALUE!</v>
      </c>
      <c r="BL323" t="e">
        <f>'North America'!A472+"$F;@!1N1"</f>
        <v>#VALUE!</v>
      </c>
      <c r="BM323" t="e">
        <f>'North America'!B472+"$F;@!1N2"</f>
        <v>#VALUE!</v>
      </c>
      <c r="BN323" t="e">
        <f>'North America'!C472+"$F;@!1N3"</f>
        <v>#VALUE!</v>
      </c>
      <c r="BO323" t="e">
        <f>'North America'!D472+"$F;@!1N4"</f>
        <v>#VALUE!</v>
      </c>
      <c r="BP323" t="e">
        <f>'North America'!E472+"$F;@!1N5"</f>
        <v>#VALUE!</v>
      </c>
      <c r="BQ323" t="e">
        <f>'North America'!F472+"$F;@!1N6"</f>
        <v>#VALUE!</v>
      </c>
      <c r="BR323" t="e">
        <f>'North America'!G472+"$F;@!1N7"</f>
        <v>#VALUE!</v>
      </c>
      <c r="BS323" t="e">
        <f>'North America'!H472+"$F;@!1N8"</f>
        <v>#VALUE!</v>
      </c>
      <c r="BT323" t="e">
        <f>'North America'!A473+"$F;@!1N9"</f>
        <v>#VALUE!</v>
      </c>
      <c r="BU323" t="e">
        <f>'North America'!B473+"$F;@!1N:"</f>
        <v>#VALUE!</v>
      </c>
      <c r="BV323" t="e">
        <f>'North America'!C473+"$F;@!1N;"</f>
        <v>#VALUE!</v>
      </c>
      <c r="BW323" t="e">
        <f>'North America'!D473+"$F;@!1N&lt;"</f>
        <v>#VALUE!</v>
      </c>
      <c r="BX323" t="e">
        <f>'North America'!E473+"$F;@!1N="</f>
        <v>#VALUE!</v>
      </c>
      <c r="BY323" t="e">
        <f>'North America'!F473+"$F;@!1N&gt;"</f>
        <v>#VALUE!</v>
      </c>
      <c r="BZ323" t="e">
        <f>'North America'!G473+"$F;@!1N?"</f>
        <v>#VALUE!</v>
      </c>
      <c r="CA323" t="e">
        <f>'North America'!H473+"$F;@!1N@"</f>
        <v>#VALUE!</v>
      </c>
      <c r="CB323" t="e">
        <f>'North America'!A474+"$F;@!1NA"</f>
        <v>#VALUE!</v>
      </c>
      <c r="CC323" t="e">
        <f>'North America'!B474+"$F;@!1NB"</f>
        <v>#VALUE!</v>
      </c>
      <c r="CD323" t="e">
        <f>'North America'!C474+"$F;@!1NC"</f>
        <v>#VALUE!</v>
      </c>
      <c r="CE323" t="e">
        <f>'North America'!D474+"$F;@!1ND"</f>
        <v>#VALUE!</v>
      </c>
      <c r="CF323" t="e">
        <f>'North America'!E474+"$F;@!1NE"</f>
        <v>#VALUE!</v>
      </c>
      <c r="CG323" t="e">
        <f>'North America'!F474+"$F;@!1NF"</f>
        <v>#VALUE!</v>
      </c>
      <c r="CH323" t="e">
        <f>'North America'!G474+"$F;@!1NG"</f>
        <v>#VALUE!</v>
      </c>
      <c r="CI323" t="e">
        <f>'North America'!H474+"$F;@!1NH"</f>
        <v>#VALUE!</v>
      </c>
      <c r="CJ323" t="e">
        <f>'North America'!A475+"$F;@!1NI"</f>
        <v>#VALUE!</v>
      </c>
      <c r="CK323" t="e">
        <f>'North America'!B475+"$F;@!1NJ"</f>
        <v>#VALUE!</v>
      </c>
      <c r="CL323" t="e">
        <f>'North America'!C475+"$F;@!1NK"</f>
        <v>#VALUE!</v>
      </c>
      <c r="CM323" t="e">
        <f>'North America'!D475+"$F;@!1NL"</f>
        <v>#VALUE!</v>
      </c>
      <c r="CN323" t="e">
        <f>'North America'!E475+"$F;@!1NM"</f>
        <v>#VALUE!</v>
      </c>
      <c r="CO323" t="e">
        <f>'North America'!F475+"$F;@!1NN"</f>
        <v>#VALUE!</v>
      </c>
      <c r="CP323" t="e">
        <f>'North America'!G475+"$F;@!1NO"</f>
        <v>#VALUE!</v>
      </c>
      <c r="CQ323" t="e">
        <f>'North America'!H475+"$F;@!1NP"</f>
        <v>#VALUE!</v>
      </c>
      <c r="CR323" t="e">
        <f>'North America'!A476+"$F;@!1NQ"</f>
        <v>#VALUE!</v>
      </c>
      <c r="CS323" t="e">
        <f>'North America'!B476+"$F;@!1NR"</f>
        <v>#VALUE!</v>
      </c>
      <c r="CT323" t="e">
        <f>'North America'!C476+"$F;@!1NS"</f>
        <v>#VALUE!</v>
      </c>
      <c r="CU323" t="e">
        <f>'North America'!D476+"$F;@!1NT"</f>
        <v>#VALUE!</v>
      </c>
      <c r="CV323" t="e">
        <f>'North America'!E476+"$F;@!1NU"</f>
        <v>#VALUE!</v>
      </c>
      <c r="CW323" t="e">
        <f>'North America'!F476+"$F;@!1NV"</f>
        <v>#VALUE!</v>
      </c>
      <c r="CX323" t="e">
        <f>'North America'!G476+"$F;@!1NW"</f>
        <v>#VALUE!</v>
      </c>
      <c r="CY323" t="e">
        <f>'North America'!H476+"$F;@!1NX"</f>
        <v>#VALUE!</v>
      </c>
      <c r="CZ323" t="e">
        <f>'North America'!A477+"$F;@!1NY"</f>
        <v>#VALUE!</v>
      </c>
      <c r="DA323" t="e">
        <f>'North America'!B477+"$F;@!1NZ"</f>
        <v>#VALUE!</v>
      </c>
      <c r="DB323" t="e">
        <f>'North America'!C477+"$F;@!1N["</f>
        <v>#VALUE!</v>
      </c>
      <c r="DC323" t="e">
        <f>'North America'!D477+"$F;@!1N\"</f>
        <v>#VALUE!</v>
      </c>
      <c r="DD323" t="e">
        <f>'North America'!E477+"$F;@!1N]"</f>
        <v>#VALUE!</v>
      </c>
      <c r="DE323" t="e">
        <f>'North America'!F477+"$F;@!1N^"</f>
        <v>#VALUE!</v>
      </c>
      <c r="DF323" t="e">
        <f>'North America'!G477+"$F;@!1N_"</f>
        <v>#VALUE!</v>
      </c>
      <c r="DG323" t="e">
        <f>'North America'!H477+"$F;@!1N`"</f>
        <v>#VALUE!</v>
      </c>
      <c r="DH323" t="e">
        <f>'North America'!A478+"$F;@!1Na"</f>
        <v>#VALUE!</v>
      </c>
      <c r="DI323" t="e">
        <f>'North America'!B478+"$F;@!1Nb"</f>
        <v>#VALUE!</v>
      </c>
      <c r="DJ323" t="e">
        <f>'North America'!C478+"$F;@!1Nc"</f>
        <v>#VALUE!</v>
      </c>
      <c r="DK323" t="e">
        <f>'North America'!D478+"$F;@!1Nd"</f>
        <v>#VALUE!</v>
      </c>
      <c r="DL323" t="e">
        <f>'North America'!E478+"$F;@!1Ne"</f>
        <v>#VALUE!</v>
      </c>
      <c r="DM323" t="e">
        <f>'North America'!F478+"$F;@!1Nf"</f>
        <v>#VALUE!</v>
      </c>
      <c r="DN323" t="e">
        <f>'North America'!G478+"$F;@!1Ng"</f>
        <v>#VALUE!</v>
      </c>
      <c r="DO323" t="e">
        <f>'North America'!H478+"$F;@!1Nh"</f>
        <v>#VALUE!</v>
      </c>
      <c r="DP323" t="e">
        <f>'North America'!A479+"$F;@!1Ni"</f>
        <v>#VALUE!</v>
      </c>
      <c r="DQ323" t="e">
        <f>'North America'!B479+"$F;@!1Nj"</f>
        <v>#VALUE!</v>
      </c>
      <c r="DR323" t="e">
        <f>'North America'!C479+"$F;@!1Nk"</f>
        <v>#VALUE!</v>
      </c>
      <c r="DS323" t="e">
        <f>'North America'!D479+"$F;@!1Nl"</f>
        <v>#VALUE!</v>
      </c>
      <c r="DT323" t="e">
        <f>'North America'!E479+"$F;@!1Nm"</f>
        <v>#VALUE!</v>
      </c>
      <c r="DU323" t="e">
        <f>'North America'!F479+"$F;@!1Nn"</f>
        <v>#VALUE!</v>
      </c>
      <c r="DV323" t="e">
        <f>'North America'!G479+"$F;@!1No"</f>
        <v>#VALUE!</v>
      </c>
      <c r="DW323" t="e">
        <f>'North America'!H479+"$F;@!1Np"</f>
        <v>#VALUE!</v>
      </c>
      <c r="DX323" t="e">
        <f>'North America'!A480+"$F;@!1Nq"</f>
        <v>#VALUE!</v>
      </c>
      <c r="DY323" t="e">
        <f>'North America'!B480+"$F;@!1Nr"</f>
        <v>#VALUE!</v>
      </c>
      <c r="DZ323" t="e">
        <f>'North America'!C480+"$F;@!1Ns"</f>
        <v>#VALUE!</v>
      </c>
      <c r="EA323" t="e">
        <f>'North America'!D480+"$F;@!1Nt"</f>
        <v>#VALUE!</v>
      </c>
      <c r="EB323" t="e">
        <f>'North America'!E480+"$F;@!1Nu"</f>
        <v>#VALUE!</v>
      </c>
      <c r="EC323" t="e">
        <f>'North America'!F480+"$F;@!1Nv"</f>
        <v>#VALUE!</v>
      </c>
      <c r="ED323" t="e">
        <f>'North America'!G480+"$F;@!1Nw"</f>
        <v>#VALUE!</v>
      </c>
      <c r="EE323" t="e">
        <f>'North America'!H480+"$F;@!1Nx"</f>
        <v>#VALUE!</v>
      </c>
      <c r="EF323" t="e">
        <f>'North America'!A481+"$F;@!1Ny"</f>
        <v>#VALUE!</v>
      </c>
      <c r="EG323" t="e">
        <f>'North America'!B481+"$F;@!1Nz"</f>
        <v>#VALUE!</v>
      </c>
      <c r="EH323" t="e">
        <f>'North America'!C481+"$F;@!1N{"</f>
        <v>#VALUE!</v>
      </c>
      <c r="EI323" t="e">
        <f>'North America'!D481+"$F;@!1N|"</f>
        <v>#VALUE!</v>
      </c>
      <c r="EJ323" t="e">
        <f>'North America'!E481+"$F;@!1N}"</f>
        <v>#VALUE!</v>
      </c>
      <c r="EK323" t="e">
        <f>'North America'!F481+"$F;@!1N~"</f>
        <v>#VALUE!</v>
      </c>
      <c r="EL323" t="e">
        <f>'North America'!G481+"$F;@!1O#"</f>
        <v>#VALUE!</v>
      </c>
      <c r="EM323" t="e">
        <f>'North America'!H481+"$F;@!1O$"</f>
        <v>#VALUE!</v>
      </c>
      <c r="EN323" t="e">
        <f>'North America'!A482+"$F;@!1O%"</f>
        <v>#VALUE!</v>
      </c>
      <c r="EO323" t="e">
        <f>'North America'!B482+"$F;@!1O&amp;"</f>
        <v>#VALUE!</v>
      </c>
      <c r="EP323" t="e">
        <f>'North America'!C482+"$F;@!1O'"</f>
        <v>#VALUE!</v>
      </c>
      <c r="EQ323" t="e">
        <f>'North America'!D482+"$F;@!1O("</f>
        <v>#VALUE!</v>
      </c>
      <c r="ER323" t="e">
        <f>'North America'!E482+"$F;@!1O)"</f>
        <v>#VALUE!</v>
      </c>
      <c r="ES323" t="e">
        <f>'North America'!F482+"$F;@!1O."</f>
        <v>#VALUE!</v>
      </c>
      <c r="ET323" t="e">
        <f>'North America'!G482+"$F;@!1O/"</f>
        <v>#VALUE!</v>
      </c>
      <c r="EU323" t="e">
        <f>'North America'!H482+"$F;@!1O0"</f>
        <v>#VALUE!</v>
      </c>
      <c r="EV323" t="e">
        <f>'North America'!A483+"$F;@!1O1"</f>
        <v>#VALUE!</v>
      </c>
      <c r="EW323" t="e">
        <f>'North America'!B483+"$F;@!1O2"</f>
        <v>#VALUE!</v>
      </c>
      <c r="EX323" t="e">
        <f>'North America'!C483+"$F;@!1O3"</f>
        <v>#VALUE!</v>
      </c>
      <c r="EY323" t="e">
        <f>'North America'!D483+"$F;@!1O4"</f>
        <v>#VALUE!</v>
      </c>
      <c r="EZ323" t="e">
        <f>'North America'!E483+"$F;@!1O5"</f>
        <v>#VALUE!</v>
      </c>
      <c r="FA323" t="e">
        <f>'North America'!F483+"$F;@!1O6"</f>
        <v>#VALUE!</v>
      </c>
      <c r="FB323" t="e">
        <f>'North America'!G483+"$F;@!1O7"</f>
        <v>#VALUE!</v>
      </c>
      <c r="FC323" t="e">
        <f>'North America'!H483+"$F;@!1O8"</f>
        <v>#VALUE!</v>
      </c>
      <c r="FD323" t="e">
        <f>'North America'!A484+"$F;@!1O9"</f>
        <v>#VALUE!</v>
      </c>
      <c r="FE323" t="e">
        <f>'North America'!B484+"$F;@!1O:"</f>
        <v>#VALUE!</v>
      </c>
      <c r="FF323" t="e">
        <f>'North America'!C484+"$F;@!1O;"</f>
        <v>#VALUE!</v>
      </c>
      <c r="FG323" t="e">
        <f>'North America'!D484+"$F;@!1O&lt;"</f>
        <v>#VALUE!</v>
      </c>
      <c r="FH323" t="e">
        <f>'North America'!E484+"$F;@!1O="</f>
        <v>#VALUE!</v>
      </c>
      <c r="FI323" t="e">
        <f>'North America'!F484+"$F;@!1O&gt;"</f>
        <v>#VALUE!</v>
      </c>
      <c r="FJ323" t="e">
        <f>'North America'!G484+"$F;@!1O?"</f>
        <v>#VALUE!</v>
      </c>
      <c r="FK323" t="e">
        <f>'North America'!H484+"$F;@!1O@"</f>
        <v>#VALUE!</v>
      </c>
      <c r="FL323" t="e">
        <f>'North America'!A485+"$F;@!1OA"</f>
        <v>#VALUE!</v>
      </c>
      <c r="FM323" t="e">
        <f>'North America'!B485+"$F;@!1OB"</f>
        <v>#VALUE!</v>
      </c>
      <c r="FN323" t="e">
        <f>'North America'!C485+"$F;@!1OC"</f>
        <v>#VALUE!</v>
      </c>
      <c r="FO323" t="e">
        <f>'North America'!D485+"$F;@!1OD"</f>
        <v>#VALUE!</v>
      </c>
      <c r="FP323" t="e">
        <f>'North America'!E485+"$F;@!1OE"</f>
        <v>#VALUE!</v>
      </c>
      <c r="FQ323" t="e">
        <f>'North America'!F485+"$F;@!1OF"</f>
        <v>#VALUE!</v>
      </c>
      <c r="FR323" t="e">
        <f>'North America'!G485+"$F;@!1OG"</f>
        <v>#VALUE!</v>
      </c>
      <c r="FS323" t="e">
        <f>'North America'!H485+"$F;@!1OH"</f>
        <v>#VALUE!</v>
      </c>
      <c r="FT323" t="e">
        <f>'North America'!A486+"$F;@!1OI"</f>
        <v>#VALUE!</v>
      </c>
      <c r="FU323" t="e">
        <f>'North America'!B486+"$F;@!1OJ"</f>
        <v>#VALUE!</v>
      </c>
      <c r="FV323" t="e">
        <f>'North America'!C486+"$F;@!1OK"</f>
        <v>#VALUE!</v>
      </c>
      <c r="FW323" t="e">
        <f>'North America'!D486+"$F;@!1OL"</f>
        <v>#VALUE!</v>
      </c>
      <c r="FX323" t="e">
        <f>'North America'!E486+"$F;@!1OM"</f>
        <v>#VALUE!</v>
      </c>
      <c r="FY323" t="e">
        <f>'North America'!F486+"$F;@!1ON"</f>
        <v>#VALUE!</v>
      </c>
      <c r="FZ323" t="e">
        <f>'North America'!G486+"$F;@!1OO"</f>
        <v>#VALUE!</v>
      </c>
      <c r="GA323" t="e">
        <f>'North America'!H486+"$F;@!1OP"</f>
        <v>#VALUE!</v>
      </c>
      <c r="GB323" t="e">
        <f>'North America'!A487+"$F;@!1OQ"</f>
        <v>#VALUE!</v>
      </c>
      <c r="GC323" t="e">
        <f>'North America'!B487+"$F;@!1OR"</f>
        <v>#VALUE!</v>
      </c>
      <c r="GD323" t="e">
        <f>'North America'!C487+"$F;@!1OS"</f>
        <v>#VALUE!</v>
      </c>
      <c r="GE323" t="e">
        <f>'North America'!D487+"$F;@!1OT"</f>
        <v>#VALUE!</v>
      </c>
      <c r="GF323" t="e">
        <f>'North America'!E487+"$F;@!1OU"</f>
        <v>#VALUE!</v>
      </c>
      <c r="GG323" t="e">
        <f>'North America'!F487+"$F;@!1OV"</f>
        <v>#VALUE!</v>
      </c>
      <c r="GH323" t="e">
        <f>'North America'!G487+"$F;@!1OW"</f>
        <v>#VALUE!</v>
      </c>
      <c r="GI323" t="e">
        <f>'North America'!H487+"$F;@!1OX"</f>
        <v>#VALUE!</v>
      </c>
      <c r="GJ323" t="e">
        <f>'North America'!A488+"$F;@!1OY"</f>
        <v>#VALUE!</v>
      </c>
      <c r="GK323" t="e">
        <f>'North America'!B488+"$F;@!1OZ"</f>
        <v>#VALUE!</v>
      </c>
      <c r="GL323" t="e">
        <f>'North America'!C488+"$F;@!1O["</f>
        <v>#VALUE!</v>
      </c>
      <c r="GM323" t="e">
        <f>'North America'!D488+"$F;@!1O\"</f>
        <v>#VALUE!</v>
      </c>
      <c r="GN323" t="e">
        <f>'North America'!E488+"$F;@!1O]"</f>
        <v>#VALUE!</v>
      </c>
      <c r="GO323" t="e">
        <f>'North America'!F488+"$F;@!1O^"</f>
        <v>#VALUE!</v>
      </c>
      <c r="GP323" t="e">
        <f>'North America'!G488+"$F;@!1O_"</f>
        <v>#VALUE!</v>
      </c>
      <c r="GQ323" t="e">
        <f>'North America'!H488+"$F;@!1O`"</f>
        <v>#VALUE!</v>
      </c>
      <c r="GR323" t="e">
        <f>'North America'!A489+"$F;@!1Oa"</f>
        <v>#VALUE!</v>
      </c>
      <c r="GS323" t="e">
        <f>'North America'!B489+"$F;@!1Ob"</f>
        <v>#VALUE!</v>
      </c>
      <c r="GT323" t="e">
        <f>'North America'!C489+"$F;@!1Oc"</f>
        <v>#VALUE!</v>
      </c>
      <c r="GU323" t="e">
        <f>'North America'!D489+"$F;@!1Od"</f>
        <v>#VALUE!</v>
      </c>
      <c r="GV323" t="e">
        <f>'North America'!E489+"$F;@!1Oe"</f>
        <v>#VALUE!</v>
      </c>
      <c r="GW323" t="e">
        <f>'North America'!F489+"$F;@!1Of"</f>
        <v>#VALUE!</v>
      </c>
      <c r="GX323" t="e">
        <f>'North America'!G489+"$F;@!1Og"</f>
        <v>#VALUE!</v>
      </c>
      <c r="GY323" t="e">
        <f>'North America'!H489+"$F;@!1Oh"</f>
        <v>#VALUE!</v>
      </c>
      <c r="GZ323" t="e">
        <f>'North America'!A490+"$F;@!1Oi"</f>
        <v>#VALUE!</v>
      </c>
      <c r="HA323" t="e">
        <f>'North America'!B490+"$F;@!1Oj"</f>
        <v>#VALUE!</v>
      </c>
      <c r="HB323" t="e">
        <f>'North America'!C490+"$F;@!1Ok"</f>
        <v>#VALUE!</v>
      </c>
      <c r="HC323" t="e">
        <f>'North America'!D490+"$F;@!1Ol"</f>
        <v>#VALUE!</v>
      </c>
      <c r="HD323" t="e">
        <f>'North America'!E490+"$F;@!1Om"</f>
        <v>#VALUE!</v>
      </c>
      <c r="HE323" t="e">
        <f>'North America'!F490+"$F;@!1On"</f>
        <v>#VALUE!</v>
      </c>
      <c r="HF323" t="e">
        <f>'North America'!G490+"$F;@!1Oo"</f>
        <v>#VALUE!</v>
      </c>
      <c r="HG323" t="e">
        <f>'North America'!H490+"$F;@!1Op"</f>
        <v>#VALUE!</v>
      </c>
      <c r="HH323" t="e">
        <f>'North America'!A491+"$F;@!1Oq"</f>
        <v>#VALUE!</v>
      </c>
      <c r="HI323" t="e">
        <f>'North America'!B491+"$F;@!1Or"</f>
        <v>#VALUE!</v>
      </c>
      <c r="HJ323" t="e">
        <f>'North America'!C491+"$F;@!1Os"</f>
        <v>#VALUE!</v>
      </c>
      <c r="HK323" t="e">
        <f>'North America'!D491+"$F;@!1Ot"</f>
        <v>#VALUE!</v>
      </c>
      <c r="HL323" t="e">
        <f>'North America'!E491+"$F;@!1Ou"</f>
        <v>#VALUE!</v>
      </c>
      <c r="HM323" t="e">
        <f>'North America'!F491+"$F;@!1Ov"</f>
        <v>#VALUE!</v>
      </c>
      <c r="HN323" t="e">
        <f>'North America'!G491+"$F;@!1Ow"</f>
        <v>#VALUE!</v>
      </c>
      <c r="HO323" t="e">
        <f>'North America'!H491+"$F;@!1Ox"</f>
        <v>#VALUE!</v>
      </c>
      <c r="HP323" t="e">
        <f>'North America'!A492+"$F;@!1Oy"</f>
        <v>#VALUE!</v>
      </c>
      <c r="HQ323" t="e">
        <f>'North America'!B492+"$F;@!1Oz"</f>
        <v>#VALUE!</v>
      </c>
      <c r="HR323" t="e">
        <f>'North America'!C492+"$F;@!1O{"</f>
        <v>#VALUE!</v>
      </c>
      <c r="HS323" t="e">
        <f>'North America'!D492+"$F;@!1O|"</f>
        <v>#VALUE!</v>
      </c>
      <c r="HT323" t="e">
        <f>'North America'!E492+"$F;@!1O}"</f>
        <v>#VALUE!</v>
      </c>
      <c r="HU323" t="e">
        <f>'North America'!F492+"$F;@!1O~"</f>
        <v>#VALUE!</v>
      </c>
      <c r="HV323" t="e">
        <f>'North America'!G492+"$F;@!1P#"</f>
        <v>#VALUE!</v>
      </c>
      <c r="HW323" t="e">
        <f>'North America'!H492+"$F;@!1P$"</f>
        <v>#VALUE!</v>
      </c>
      <c r="HX323" t="e">
        <f>'North America'!A493+"$F;@!1P%"</f>
        <v>#VALUE!</v>
      </c>
      <c r="HY323" t="e">
        <f>'North America'!B493+"$F;@!1P&amp;"</f>
        <v>#VALUE!</v>
      </c>
      <c r="HZ323" t="e">
        <f>'North America'!C493+"$F;@!1P'"</f>
        <v>#VALUE!</v>
      </c>
      <c r="IA323" t="e">
        <f>'North America'!D493+"$F;@!1P("</f>
        <v>#VALUE!</v>
      </c>
      <c r="IB323" t="e">
        <f>'North America'!E493+"$F;@!1P)"</f>
        <v>#VALUE!</v>
      </c>
      <c r="IC323" t="e">
        <f>'North America'!F493+"$F;@!1P."</f>
        <v>#VALUE!</v>
      </c>
      <c r="ID323" t="e">
        <f>'North America'!G493+"$F;@!1P/"</f>
        <v>#VALUE!</v>
      </c>
      <c r="IE323" t="e">
        <f>'North America'!H493+"$F;@!1P0"</f>
        <v>#VALUE!</v>
      </c>
      <c r="IF323" t="e">
        <f>'North America'!A494+"$F;@!1P1"</f>
        <v>#VALUE!</v>
      </c>
      <c r="IG323" t="e">
        <f>'North America'!B494+"$F;@!1P2"</f>
        <v>#VALUE!</v>
      </c>
      <c r="IH323" t="e">
        <f>'North America'!C494+"$F;@!1P3"</f>
        <v>#VALUE!</v>
      </c>
      <c r="II323" t="e">
        <f>'North America'!D494+"$F;@!1P4"</f>
        <v>#VALUE!</v>
      </c>
      <c r="IJ323" t="e">
        <f>'North America'!E494+"$F;@!1P5"</f>
        <v>#VALUE!</v>
      </c>
      <c r="IK323" t="e">
        <f>'North America'!F494+"$F;@!1P6"</f>
        <v>#VALUE!</v>
      </c>
      <c r="IL323" t="e">
        <f>'North America'!G494+"$F;@!1P7"</f>
        <v>#VALUE!</v>
      </c>
      <c r="IM323" t="e">
        <f>'North America'!H494+"$F;@!1P8"</f>
        <v>#VALUE!</v>
      </c>
      <c r="IN323" t="e">
        <f>'North America'!A495+"$F;@!1P9"</f>
        <v>#VALUE!</v>
      </c>
      <c r="IO323" t="e">
        <f>'North America'!B495+"$F;@!1P:"</f>
        <v>#VALUE!</v>
      </c>
      <c r="IP323" t="e">
        <f>'North America'!C495+"$F;@!1P;"</f>
        <v>#VALUE!</v>
      </c>
      <c r="IQ323" t="e">
        <f>'North America'!D495+"$F;@!1P&lt;"</f>
        <v>#VALUE!</v>
      </c>
      <c r="IR323" t="e">
        <f>'North America'!E495+"$F;@!1P="</f>
        <v>#VALUE!</v>
      </c>
      <c r="IS323" t="e">
        <f>'North America'!F495+"$F;@!1P&gt;"</f>
        <v>#VALUE!</v>
      </c>
      <c r="IT323" t="e">
        <f>'North America'!G495+"$F;@!1P?"</f>
        <v>#VALUE!</v>
      </c>
      <c r="IU323" t="e">
        <f>'North America'!H495+"$F;@!1P@"</f>
        <v>#VALUE!</v>
      </c>
      <c r="IV323" t="e">
        <f>'North America'!A496+"$F;@!1PA"</f>
        <v>#VALUE!</v>
      </c>
    </row>
    <row r="324" spans="6:256" x14ac:dyDescent="0.35">
      <c r="F324" t="e">
        <f>'North America'!B496+"$F;@!1PB"</f>
        <v>#VALUE!</v>
      </c>
      <c r="G324" t="e">
        <f>'North America'!C496+"$F;@!1PC"</f>
        <v>#VALUE!</v>
      </c>
      <c r="H324" t="e">
        <f>'North America'!D496+"$F;@!1PD"</f>
        <v>#VALUE!</v>
      </c>
      <c r="I324" t="e">
        <f>'North America'!E496+"$F;@!1PE"</f>
        <v>#VALUE!</v>
      </c>
      <c r="J324" t="e">
        <f>'North America'!F496+"$F;@!1PF"</f>
        <v>#VALUE!</v>
      </c>
      <c r="K324" t="e">
        <f>'North America'!G496+"$F;@!1PG"</f>
        <v>#VALUE!</v>
      </c>
      <c r="L324" t="e">
        <f>'North America'!H496+"$F;@!1PH"</f>
        <v>#VALUE!</v>
      </c>
      <c r="M324" t="e">
        <f>'North America'!A497+"$F;@!1PI"</f>
        <v>#VALUE!</v>
      </c>
      <c r="N324" t="e">
        <f>'North America'!B497+"$F;@!1PJ"</f>
        <v>#VALUE!</v>
      </c>
      <c r="O324" t="e">
        <f>'North America'!C497+"$F;@!1PK"</f>
        <v>#VALUE!</v>
      </c>
      <c r="P324" t="e">
        <f>'North America'!D497+"$F;@!1PL"</f>
        <v>#VALUE!</v>
      </c>
      <c r="Q324" t="e">
        <f>'North America'!E497+"$F;@!1PM"</f>
        <v>#VALUE!</v>
      </c>
      <c r="R324" t="e">
        <f>'North America'!F497+"$F;@!1PN"</f>
        <v>#VALUE!</v>
      </c>
      <c r="S324" t="e">
        <f>'North America'!G497+"$F;@!1PO"</f>
        <v>#VALUE!</v>
      </c>
      <c r="T324" t="e">
        <f>'North America'!H497+"$F;@!1PP"</f>
        <v>#VALUE!</v>
      </c>
      <c r="U324" t="e">
        <f>'North America'!A498+"$F;@!1PQ"</f>
        <v>#VALUE!</v>
      </c>
      <c r="V324" t="e">
        <f>'North America'!B498+"$F;@!1PR"</f>
        <v>#VALUE!</v>
      </c>
      <c r="W324" t="e">
        <f>'North America'!C498+"$F;@!1PS"</f>
        <v>#VALUE!</v>
      </c>
      <c r="X324" t="e">
        <f>'North America'!D498+"$F;@!1PT"</f>
        <v>#VALUE!</v>
      </c>
      <c r="Y324" t="e">
        <f>'North America'!E498+"$F;@!1PU"</f>
        <v>#VALUE!</v>
      </c>
      <c r="Z324" t="e">
        <f>'North America'!F498+"$F;@!1PV"</f>
        <v>#VALUE!</v>
      </c>
      <c r="AA324" t="e">
        <f>'North America'!G498+"$F;@!1PW"</f>
        <v>#VALUE!</v>
      </c>
      <c r="AB324" t="e">
        <f>'North America'!H498+"$F;@!1PX"</f>
        <v>#VALUE!</v>
      </c>
      <c r="AC324" t="e">
        <f>'North America'!A499+"$F;@!1PY"</f>
        <v>#VALUE!</v>
      </c>
      <c r="AD324" t="e">
        <f>'North America'!B499+"$F;@!1PZ"</f>
        <v>#VALUE!</v>
      </c>
      <c r="AE324" t="e">
        <f>'North America'!C499+"$F;@!1P["</f>
        <v>#VALUE!</v>
      </c>
      <c r="AF324" t="e">
        <f>'North America'!D499+"$F;@!1P\"</f>
        <v>#VALUE!</v>
      </c>
      <c r="AG324" t="e">
        <f>'North America'!E499+"$F;@!1P]"</f>
        <v>#VALUE!</v>
      </c>
      <c r="AH324" t="e">
        <f>'North America'!F499+"$F;@!1P^"</f>
        <v>#VALUE!</v>
      </c>
      <c r="AI324" t="e">
        <f>'North America'!G499+"$F;@!1P_"</f>
        <v>#VALUE!</v>
      </c>
      <c r="AJ324" t="e">
        <f>'North America'!H499+"$F;@!1P`"</f>
        <v>#VALUE!</v>
      </c>
      <c r="AK324" t="e">
        <f>'North America'!A500+"$F;@!1Pa"</f>
        <v>#VALUE!</v>
      </c>
      <c r="AL324" t="e">
        <f>'North America'!B500+"$F;@!1Pb"</f>
        <v>#VALUE!</v>
      </c>
      <c r="AM324" t="e">
        <f>'North America'!C500+"$F;@!1Pc"</f>
        <v>#VALUE!</v>
      </c>
      <c r="AN324" t="e">
        <f>'North America'!D500+"$F;@!1Pd"</f>
        <v>#VALUE!</v>
      </c>
      <c r="AO324" t="e">
        <f>'North America'!E500+"$F;@!1Pe"</f>
        <v>#VALUE!</v>
      </c>
      <c r="AP324" t="e">
        <f>'North America'!F500+"$F;@!1Pf"</f>
        <v>#VALUE!</v>
      </c>
      <c r="AQ324" t="e">
        <f>'North America'!G500+"$F;@!1Pg"</f>
        <v>#VALUE!</v>
      </c>
      <c r="AR324" t="e">
        <f>'North America'!H500+"$F;@!1Ph"</f>
        <v>#VALUE!</v>
      </c>
      <c r="AS324" t="e">
        <f>'North America'!A501+"$F;@!1Pi"</f>
        <v>#VALUE!</v>
      </c>
      <c r="AT324" t="e">
        <f>'North America'!B501+"$F;@!1Pj"</f>
        <v>#VALUE!</v>
      </c>
      <c r="AU324" t="e">
        <f>'North America'!C501+"$F;@!1Pk"</f>
        <v>#VALUE!</v>
      </c>
      <c r="AV324" t="e">
        <f>'North America'!D501+"$F;@!1Pl"</f>
        <v>#VALUE!</v>
      </c>
      <c r="AW324" t="e">
        <f>'North America'!E501+"$F;@!1Pm"</f>
        <v>#VALUE!</v>
      </c>
      <c r="AX324" t="e">
        <f>'North America'!F501+"$F;@!1Pn"</f>
        <v>#VALUE!</v>
      </c>
      <c r="AY324" t="e">
        <f>'North America'!G501+"$F;@!1Po"</f>
        <v>#VALUE!</v>
      </c>
      <c r="AZ324" t="e">
        <f>'North America'!H501+"$F;@!1Pp"</f>
        <v>#VALUE!</v>
      </c>
      <c r="BA324" t="e">
        <f>'North America'!A502+"$F;@!1Pq"</f>
        <v>#VALUE!</v>
      </c>
      <c r="BB324" t="e">
        <f>'North America'!B502+"$F;@!1Pr"</f>
        <v>#VALUE!</v>
      </c>
      <c r="BC324" t="e">
        <f>'North America'!C502+"$F;@!1Ps"</f>
        <v>#VALUE!</v>
      </c>
      <c r="BD324" t="e">
        <f>'North America'!D502+"$F;@!1Pt"</f>
        <v>#VALUE!</v>
      </c>
      <c r="BE324" t="e">
        <f>'North America'!E502+"$F;@!1Pu"</f>
        <v>#VALUE!</v>
      </c>
      <c r="BF324" t="e">
        <f>'North America'!F502+"$F;@!1Pv"</f>
        <v>#VALUE!</v>
      </c>
      <c r="BG324" t="e">
        <f>'North America'!G502+"$F;@!1Pw"</f>
        <v>#VALUE!</v>
      </c>
      <c r="BH324" t="e">
        <f>'North America'!H502+"$F;@!1Px"</f>
        <v>#VALUE!</v>
      </c>
      <c r="BI324" t="e">
        <f>'North America'!A503+"$F;@!1Py"</f>
        <v>#VALUE!</v>
      </c>
      <c r="BJ324" t="e">
        <f>'North America'!B503+"$F;@!1Pz"</f>
        <v>#VALUE!</v>
      </c>
      <c r="BK324" t="e">
        <f>'North America'!C503+"$F;@!1P{"</f>
        <v>#VALUE!</v>
      </c>
      <c r="BL324" t="e">
        <f>'North America'!D503+"$F;@!1P|"</f>
        <v>#VALUE!</v>
      </c>
      <c r="BM324" t="e">
        <f>'North America'!E503+"$F;@!1P}"</f>
        <v>#VALUE!</v>
      </c>
      <c r="BN324" t="e">
        <f>'North America'!F503+"$F;@!1P~"</f>
        <v>#VALUE!</v>
      </c>
      <c r="BO324" t="e">
        <f>'North America'!G503+"$F;@!1Q#"</f>
        <v>#VALUE!</v>
      </c>
      <c r="BP324" t="e">
        <f>'North America'!H503+"$F;@!1Q$"</f>
        <v>#VALUE!</v>
      </c>
      <c r="BQ324" t="e">
        <f>'North America'!A504+"$F;@!1Q%"</f>
        <v>#VALUE!</v>
      </c>
      <c r="BR324" t="e">
        <f>'North America'!B504+"$F;@!1Q&amp;"</f>
        <v>#VALUE!</v>
      </c>
      <c r="BS324" t="e">
        <f>'North America'!C504+"$F;@!1Q'"</f>
        <v>#VALUE!</v>
      </c>
      <c r="BT324" t="e">
        <f>'North America'!D504+"$F;@!1Q("</f>
        <v>#VALUE!</v>
      </c>
      <c r="BU324" t="e">
        <f>'North America'!E504+"$F;@!1Q)"</f>
        <v>#VALUE!</v>
      </c>
      <c r="BV324" t="e">
        <f>'North America'!F504+"$F;@!1Q."</f>
        <v>#VALUE!</v>
      </c>
      <c r="BW324" t="e">
        <f>'North America'!G504+"$F;@!1Q/"</f>
        <v>#VALUE!</v>
      </c>
      <c r="BX324" t="e">
        <f>'North America'!H504+"$F;@!1Q0"</f>
        <v>#VALUE!</v>
      </c>
      <c r="BY324" t="e">
        <f>'North America'!A505+"$F;@!1Q1"</f>
        <v>#VALUE!</v>
      </c>
      <c r="BZ324" t="e">
        <f>'North America'!B505+"$F;@!1Q2"</f>
        <v>#VALUE!</v>
      </c>
      <c r="CA324" t="e">
        <f>'North America'!C505+"$F;@!1Q3"</f>
        <v>#VALUE!</v>
      </c>
      <c r="CB324" t="e">
        <f>'North America'!D505+"$F;@!1Q4"</f>
        <v>#VALUE!</v>
      </c>
      <c r="CC324" t="e">
        <f>'North America'!E505+"$F;@!1Q5"</f>
        <v>#VALUE!</v>
      </c>
      <c r="CD324" t="e">
        <f>'North America'!F505+"$F;@!1Q6"</f>
        <v>#VALUE!</v>
      </c>
      <c r="CE324" t="e">
        <f>'North America'!G505+"$F;@!1Q7"</f>
        <v>#VALUE!</v>
      </c>
      <c r="CF324" t="e">
        <f>'North America'!H505+"$F;@!1Q8"</f>
        <v>#VALUE!</v>
      </c>
      <c r="CG324" t="e">
        <f>'North America'!A506+"$F;@!1Q9"</f>
        <v>#VALUE!</v>
      </c>
      <c r="CH324" t="e">
        <f>'North America'!B506+"$F;@!1Q:"</f>
        <v>#VALUE!</v>
      </c>
      <c r="CI324" t="e">
        <f>'North America'!C506+"$F;@!1Q;"</f>
        <v>#VALUE!</v>
      </c>
      <c r="CJ324" t="e">
        <f>'North America'!D506+"$F;@!1Q&lt;"</f>
        <v>#VALUE!</v>
      </c>
      <c r="CK324" t="e">
        <f>'North America'!E506+"$F;@!1Q="</f>
        <v>#VALUE!</v>
      </c>
      <c r="CL324" t="e">
        <f>'North America'!F506+"$F;@!1Q&gt;"</f>
        <v>#VALUE!</v>
      </c>
      <c r="CM324" t="e">
        <f>'North America'!G506+"$F;@!1Q?"</f>
        <v>#VALUE!</v>
      </c>
      <c r="CN324" t="e">
        <f>'North America'!H506+"$F;@!1Q@"</f>
        <v>#VALUE!</v>
      </c>
      <c r="CO324" t="e">
        <f>'North America'!A507+"$F;@!1QA"</f>
        <v>#VALUE!</v>
      </c>
      <c r="CP324" t="e">
        <f>'North America'!B507+"$F;@!1QB"</f>
        <v>#VALUE!</v>
      </c>
      <c r="CQ324" t="e">
        <f>'North America'!C507+"$F;@!1QC"</f>
        <v>#VALUE!</v>
      </c>
      <c r="CR324" t="e">
        <f>'North America'!D507+"$F;@!1QD"</f>
        <v>#VALUE!</v>
      </c>
      <c r="CS324" t="e">
        <f>'North America'!E507+"$F;@!1QE"</f>
        <v>#VALUE!</v>
      </c>
      <c r="CT324" t="e">
        <f>'North America'!F507+"$F;@!1QF"</f>
        <v>#VALUE!</v>
      </c>
      <c r="CU324" t="e">
        <f>'North America'!G507+"$F;@!1QG"</f>
        <v>#VALUE!</v>
      </c>
      <c r="CV324" t="e">
        <f>'North America'!H507+"$F;@!1QH"</f>
        <v>#VALUE!</v>
      </c>
      <c r="CW324" t="e">
        <f>'North America'!A508+"$F;@!1QI"</f>
        <v>#VALUE!</v>
      </c>
      <c r="CX324" t="e">
        <f>'North America'!B508+"$F;@!1QJ"</f>
        <v>#VALUE!</v>
      </c>
      <c r="CY324" t="e">
        <f>'North America'!C508+"$F;@!1QK"</f>
        <v>#VALUE!</v>
      </c>
      <c r="CZ324" t="e">
        <f>'North America'!D508+"$F;@!1QL"</f>
        <v>#VALUE!</v>
      </c>
      <c r="DA324" t="e">
        <f>'North America'!E508+"$F;@!1QM"</f>
        <v>#VALUE!</v>
      </c>
      <c r="DB324" t="e">
        <f>'North America'!F508+"$F;@!1QN"</f>
        <v>#VALUE!</v>
      </c>
      <c r="DC324" t="e">
        <f>'North America'!G508+"$F;@!1QO"</f>
        <v>#VALUE!</v>
      </c>
      <c r="DD324" t="e">
        <f>'North America'!H508+"$F;@!1QP"</f>
        <v>#VALUE!</v>
      </c>
      <c r="DE324" t="e">
        <f>'North America'!A509+"$F;@!1QQ"</f>
        <v>#VALUE!</v>
      </c>
      <c r="DF324" t="e">
        <f>'North America'!B509+"$F;@!1QR"</f>
        <v>#VALUE!</v>
      </c>
      <c r="DG324" t="e">
        <f>'North America'!C509+"$F;@!1QS"</f>
        <v>#VALUE!</v>
      </c>
      <c r="DH324" t="e">
        <f>'North America'!D509+"$F;@!1QT"</f>
        <v>#VALUE!</v>
      </c>
      <c r="DI324" t="e">
        <f>'North America'!E509+"$F;@!1QU"</f>
        <v>#VALUE!</v>
      </c>
      <c r="DJ324" t="e">
        <f>'North America'!F509+"$F;@!1QV"</f>
        <v>#VALUE!</v>
      </c>
      <c r="DK324" t="e">
        <f>'North America'!G509+"$F;@!1QW"</f>
        <v>#VALUE!</v>
      </c>
      <c r="DL324" t="e">
        <f>'North America'!H509+"$F;@!1QX"</f>
        <v>#VALUE!</v>
      </c>
      <c r="DM324" t="e">
        <f>'North America'!A510+"$F;@!1QY"</f>
        <v>#VALUE!</v>
      </c>
      <c r="DN324" t="e">
        <f>'North America'!B510+"$F;@!1QZ"</f>
        <v>#VALUE!</v>
      </c>
      <c r="DO324" t="e">
        <f>'North America'!C510+"$F;@!1Q["</f>
        <v>#VALUE!</v>
      </c>
      <c r="DP324" t="e">
        <f>'North America'!D510+"$F;@!1Q\"</f>
        <v>#VALUE!</v>
      </c>
      <c r="DQ324" t="e">
        <f>'North America'!E510+"$F;@!1Q]"</f>
        <v>#VALUE!</v>
      </c>
      <c r="DR324" t="e">
        <f>'North America'!F510+"$F;@!1Q^"</f>
        <v>#VALUE!</v>
      </c>
      <c r="DS324" t="e">
        <f>'North America'!G510+"$F;@!1Q_"</f>
        <v>#VALUE!</v>
      </c>
      <c r="DT324" t="e">
        <f>'North America'!H510+"$F;@!1Q`"</f>
        <v>#VALUE!</v>
      </c>
      <c r="DU324" t="e">
        <f>'North America'!A511+"$F;@!1Qa"</f>
        <v>#VALUE!</v>
      </c>
      <c r="DV324" t="e">
        <f>'North America'!B511+"$F;@!1Qb"</f>
        <v>#VALUE!</v>
      </c>
      <c r="DW324" t="e">
        <f>'North America'!C511+"$F;@!1Qc"</f>
        <v>#VALUE!</v>
      </c>
      <c r="DX324" t="e">
        <f>'North America'!D511+"$F;@!1Qd"</f>
        <v>#VALUE!</v>
      </c>
      <c r="DY324" t="e">
        <f>'North America'!E511+"$F;@!1Qe"</f>
        <v>#VALUE!</v>
      </c>
      <c r="DZ324" t="e">
        <f>'North America'!F511+"$F;@!1Qf"</f>
        <v>#VALUE!</v>
      </c>
      <c r="EA324" t="e">
        <f>'North America'!G511+"$F;@!1Qg"</f>
        <v>#VALUE!</v>
      </c>
      <c r="EB324" t="e">
        <f>'North America'!H511+"$F;@!1Qh"</f>
        <v>#VALUE!</v>
      </c>
      <c r="EC324" t="e">
        <f>'North America'!A512+"$F;@!1Qi"</f>
        <v>#VALUE!</v>
      </c>
      <c r="ED324" t="e">
        <f>'North America'!B512+"$F;@!1Qj"</f>
        <v>#VALUE!</v>
      </c>
      <c r="EE324" t="e">
        <f>'North America'!C512+"$F;@!1Qk"</f>
        <v>#VALUE!</v>
      </c>
      <c r="EF324" t="e">
        <f>'North America'!D512+"$F;@!1Ql"</f>
        <v>#VALUE!</v>
      </c>
      <c r="EG324" t="e">
        <f>'North America'!E512+"$F;@!1Qm"</f>
        <v>#VALUE!</v>
      </c>
      <c r="EH324" t="e">
        <f>'North America'!F512+"$F;@!1Qn"</f>
        <v>#VALUE!</v>
      </c>
      <c r="EI324" t="e">
        <f>'North America'!G512+"$F;@!1Qo"</f>
        <v>#VALUE!</v>
      </c>
      <c r="EJ324" t="e">
        <f>'North America'!H512+"$F;@!1Qp"</f>
        <v>#VALUE!</v>
      </c>
      <c r="EK324" t="e">
        <f>'North America'!A513+"$F;@!1Qq"</f>
        <v>#VALUE!</v>
      </c>
      <c r="EL324" t="e">
        <f>'North America'!B513+"$F;@!1Qr"</f>
        <v>#VALUE!</v>
      </c>
      <c r="EM324" t="e">
        <f>'North America'!C513+"$F;@!1Qs"</f>
        <v>#VALUE!</v>
      </c>
      <c r="EN324" t="e">
        <f>'North America'!D513+"$F;@!1Qt"</f>
        <v>#VALUE!</v>
      </c>
      <c r="EO324" t="e">
        <f>'North America'!E513+"$F;@!1Qu"</f>
        <v>#VALUE!</v>
      </c>
      <c r="EP324" t="e">
        <f>'North America'!F513+"$F;@!1Qv"</f>
        <v>#VALUE!</v>
      </c>
      <c r="EQ324" t="e">
        <f>'North America'!G513+"$F;@!1Qw"</f>
        <v>#VALUE!</v>
      </c>
      <c r="ER324" t="e">
        <f>'North America'!H513+"$F;@!1Qx"</f>
        <v>#VALUE!</v>
      </c>
      <c r="ES324" t="e">
        <f>'North America'!A514+"$F;@!1Qy"</f>
        <v>#VALUE!</v>
      </c>
      <c r="ET324" t="e">
        <f>'North America'!B514+"$F;@!1Qz"</f>
        <v>#VALUE!</v>
      </c>
      <c r="EU324" t="e">
        <f>'North America'!C514+"$F;@!1Q{"</f>
        <v>#VALUE!</v>
      </c>
      <c r="EV324" t="e">
        <f>'North America'!D514+"$F;@!1Q|"</f>
        <v>#VALUE!</v>
      </c>
      <c r="EW324" t="e">
        <f>'North America'!E514+"$F;@!1Q}"</f>
        <v>#VALUE!</v>
      </c>
      <c r="EX324" t="e">
        <f>'North America'!F514+"$F;@!1Q~"</f>
        <v>#VALUE!</v>
      </c>
      <c r="EY324" t="e">
        <f>'North America'!G514+"$F;@!1R#"</f>
        <v>#VALUE!</v>
      </c>
      <c r="EZ324" t="e">
        <f>'North America'!H514+"$F;@!1R$"</f>
        <v>#VALUE!</v>
      </c>
      <c r="FA324" t="e">
        <f>'North America'!A515+"$F;@!1R%"</f>
        <v>#VALUE!</v>
      </c>
      <c r="FB324" t="e">
        <f>'North America'!B515+"$F;@!1R&amp;"</f>
        <v>#VALUE!</v>
      </c>
      <c r="FC324" t="e">
        <f>'North America'!C515+"$F;@!1R'"</f>
        <v>#VALUE!</v>
      </c>
      <c r="FD324" t="e">
        <f>'North America'!D515+"$F;@!1R("</f>
        <v>#VALUE!</v>
      </c>
      <c r="FE324" t="e">
        <f>'North America'!E515+"$F;@!1R)"</f>
        <v>#VALUE!</v>
      </c>
      <c r="FF324" t="e">
        <f>'North America'!F515+"$F;@!1R."</f>
        <v>#VALUE!</v>
      </c>
      <c r="FG324" t="e">
        <f>'North America'!G515+"$F;@!1R/"</f>
        <v>#VALUE!</v>
      </c>
      <c r="FH324" t="e">
        <f>'North America'!H515+"$F;@!1R0"</f>
        <v>#VALUE!</v>
      </c>
      <c r="FI324" t="e">
        <f>'North America'!A516+"$F;@!1R1"</f>
        <v>#VALUE!</v>
      </c>
      <c r="FJ324" t="e">
        <f>'North America'!B516+"$F;@!1R2"</f>
        <v>#VALUE!</v>
      </c>
      <c r="FK324" t="e">
        <f>'North America'!C516+"$F;@!1R3"</f>
        <v>#VALUE!</v>
      </c>
      <c r="FL324" t="e">
        <f>'North America'!D516+"$F;@!1R4"</f>
        <v>#VALUE!</v>
      </c>
      <c r="FM324" t="e">
        <f>'North America'!E516+"$F;@!1R5"</f>
        <v>#VALUE!</v>
      </c>
      <c r="FN324" t="e">
        <f>'North America'!F516+"$F;@!1R6"</f>
        <v>#VALUE!</v>
      </c>
      <c r="FO324" t="e">
        <f>'North America'!G516+"$F;@!1R7"</f>
        <v>#VALUE!</v>
      </c>
      <c r="FP324" t="e">
        <f>'North America'!H516+"$F;@!1R8"</f>
        <v>#VALUE!</v>
      </c>
      <c r="FQ324" t="e">
        <f>'North America'!A517+"$F;@!1R9"</f>
        <v>#VALUE!</v>
      </c>
      <c r="FR324" t="e">
        <f>'North America'!B517+"$F;@!1R:"</f>
        <v>#VALUE!</v>
      </c>
      <c r="FS324" t="e">
        <f>'North America'!C517+"$F;@!1R;"</f>
        <v>#VALUE!</v>
      </c>
      <c r="FT324" t="e">
        <f>'North America'!D517+"$F;@!1R&lt;"</f>
        <v>#VALUE!</v>
      </c>
      <c r="FU324" t="e">
        <f>'North America'!E517+"$F;@!1R="</f>
        <v>#VALUE!</v>
      </c>
      <c r="FV324" t="e">
        <f>'North America'!F517+"$F;@!1R&gt;"</f>
        <v>#VALUE!</v>
      </c>
      <c r="FW324" t="e">
        <f>'North America'!G517+"$F;@!1R?"</f>
        <v>#VALUE!</v>
      </c>
      <c r="FX324" t="e">
        <f>'North America'!H517+"$F;@!1R@"</f>
        <v>#VALUE!</v>
      </c>
      <c r="FY324" t="e">
        <f>'North America'!A518+"$F;@!1RA"</f>
        <v>#VALUE!</v>
      </c>
      <c r="FZ324" t="e">
        <f>'North America'!B518+"$F;@!1RB"</f>
        <v>#VALUE!</v>
      </c>
      <c r="GA324" t="e">
        <f>'North America'!C518+"$F;@!1RC"</f>
        <v>#VALUE!</v>
      </c>
      <c r="GB324" t="e">
        <f>'North America'!D518+"$F;@!1RD"</f>
        <v>#VALUE!</v>
      </c>
      <c r="GC324" t="e">
        <f>'North America'!E518+"$F;@!1RE"</f>
        <v>#VALUE!</v>
      </c>
      <c r="GD324" t="e">
        <f>'North America'!F518+"$F;@!1RF"</f>
        <v>#VALUE!</v>
      </c>
      <c r="GE324" t="e">
        <f>'North America'!G518+"$F;@!1RG"</f>
        <v>#VALUE!</v>
      </c>
      <c r="GF324" t="e">
        <f>'North America'!H518+"$F;@!1RH"</f>
        <v>#VALUE!</v>
      </c>
      <c r="GG324" t="e">
        <f>'North America'!A519+"$F;@!1RI"</f>
        <v>#VALUE!</v>
      </c>
      <c r="GH324" t="e">
        <f>'North America'!B519+"$F;@!1RJ"</f>
        <v>#VALUE!</v>
      </c>
      <c r="GI324" t="e">
        <f>'North America'!C519+"$F;@!1RK"</f>
        <v>#VALUE!</v>
      </c>
      <c r="GJ324" t="e">
        <f>'North America'!D519+"$F;@!1RL"</f>
        <v>#VALUE!</v>
      </c>
      <c r="GK324" t="e">
        <f>'North America'!E519+"$F;@!1RM"</f>
        <v>#VALUE!</v>
      </c>
      <c r="GL324" t="e">
        <f>'North America'!F519+"$F;@!1RN"</f>
        <v>#VALUE!</v>
      </c>
      <c r="GM324" t="e">
        <f>'North America'!G519+"$F;@!1RO"</f>
        <v>#VALUE!</v>
      </c>
      <c r="GN324" t="e">
        <f>'North America'!H519+"$F;@!1RP"</f>
        <v>#VALUE!</v>
      </c>
      <c r="GO324" t="e">
        <f>'North America'!A520+"$F;@!1RQ"</f>
        <v>#VALUE!</v>
      </c>
      <c r="GP324" t="e">
        <f>'North America'!B520+"$F;@!1RR"</f>
        <v>#VALUE!</v>
      </c>
      <c r="GQ324" t="e">
        <f>'North America'!C520+"$F;@!1RS"</f>
        <v>#VALUE!</v>
      </c>
      <c r="GR324" t="e">
        <f>'North America'!D520+"$F;@!1RT"</f>
        <v>#VALUE!</v>
      </c>
      <c r="GS324" t="e">
        <f>'North America'!E520+"$F;@!1RU"</f>
        <v>#VALUE!</v>
      </c>
      <c r="GT324" t="e">
        <f>'North America'!F520+"$F;@!1RV"</f>
        <v>#VALUE!</v>
      </c>
      <c r="GU324" t="e">
        <f>'North America'!G520+"$F;@!1RW"</f>
        <v>#VALUE!</v>
      </c>
      <c r="GV324" t="e">
        <f>'North America'!H520+"$F;@!1RX"</f>
        <v>#VALUE!</v>
      </c>
      <c r="GW324" t="e">
        <f>'North America'!A521+"$F;@!1RY"</f>
        <v>#VALUE!</v>
      </c>
      <c r="GX324" t="e">
        <f>'North America'!B521+"$F;@!1RZ"</f>
        <v>#VALUE!</v>
      </c>
      <c r="GY324" t="e">
        <f>'North America'!C521+"$F;@!1R["</f>
        <v>#VALUE!</v>
      </c>
      <c r="GZ324" t="e">
        <f>'North America'!D521+"$F;@!1R\"</f>
        <v>#VALUE!</v>
      </c>
      <c r="HA324" t="e">
        <f>'North America'!E521+"$F;@!1R]"</f>
        <v>#VALUE!</v>
      </c>
      <c r="HB324" t="e">
        <f>'North America'!F521+"$F;@!1R^"</f>
        <v>#VALUE!</v>
      </c>
      <c r="HC324" t="e">
        <f>'North America'!G521+"$F;@!1R_"</f>
        <v>#VALUE!</v>
      </c>
      <c r="HD324" t="e">
        <f>'North America'!H521+"$F;@!1R`"</f>
        <v>#VALUE!</v>
      </c>
      <c r="HE324" t="e">
        <f>'North America'!A522+"$F;@!1Ra"</f>
        <v>#VALUE!</v>
      </c>
      <c r="HF324" t="e">
        <f>'North America'!B522+"$F;@!1Rb"</f>
        <v>#VALUE!</v>
      </c>
      <c r="HG324" t="e">
        <f>'North America'!C522+"$F;@!1Rc"</f>
        <v>#VALUE!</v>
      </c>
      <c r="HH324" t="e">
        <f>'North America'!D522+"$F;@!1Rd"</f>
        <v>#VALUE!</v>
      </c>
      <c r="HI324" t="e">
        <f>'North America'!E522+"$F;@!1Re"</f>
        <v>#VALUE!</v>
      </c>
      <c r="HJ324" t="e">
        <f>'North America'!F522+"$F;@!1Rf"</f>
        <v>#VALUE!</v>
      </c>
      <c r="HK324" t="e">
        <f>'North America'!G522+"$F;@!1Rg"</f>
        <v>#VALUE!</v>
      </c>
      <c r="HL324" t="e">
        <f>'North America'!H522+"$F;@!1Rh"</f>
        <v>#VALUE!</v>
      </c>
      <c r="HM324" t="e">
        <f>'North America'!A523+"$F;@!1Ri"</f>
        <v>#VALUE!</v>
      </c>
      <c r="HN324" t="e">
        <f>'North America'!B523+"$F;@!1Rj"</f>
        <v>#VALUE!</v>
      </c>
      <c r="HO324" t="e">
        <f>'North America'!C523+"$F;@!1Rk"</f>
        <v>#VALUE!</v>
      </c>
      <c r="HP324" t="e">
        <f>'North America'!D523+"$F;@!1Rl"</f>
        <v>#VALUE!</v>
      </c>
      <c r="HQ324" t="e">
        <f>'North America'!E523+"$F;@!1Rm"</f>
        <v>#VALUE!</v>
      </c>
      <c r="HR324" t="e">
        <f>'North America'!F523+"$F;@!1Rn"</f>
        <v>#VALUE!</v>
      </c>
      <c r="HS324" t="e">
        <f>'North America'!G523+"$F;@!1Ro"</f>
        <v>#VALUE!</v>
      </c>
      <c r="HT324" t="e">
        <f>'North America'!H523+"$F;@!1Rp"</f>
        <v>#VALUE!</v>
      </c>
      <c r="HU324" t="e">
        <f>'North America'!A524+"$F;@!1Rq"</f>
        <v>#VALUE!</v>
      </c>
      <c r="HV324" t="e">
        <f>'North America'!B524+"$F;@!1Rr"</f>
        <v>#VALUE!</v>
      </c>
      <c r="HW324" t="e">
        <f>'North America'!C524+"$F;@!1Rs"</f>
        <v>#VALUE!</v>
      </c>
      <c r="HX324" t="e">
        <f>'North America'!D524+"$F;@!1Rt"</f>
        <v>#VALUE!</v>
      </c>
      <c r="HY324" t="e">
        <f>'North America'!E524+"$F;@!1Ru"</f>
        <v>#VALUE!</v>
      </c>
      <c r="HZ324" t="e">
        <f>'North America'!F524+"$F;@!1Rv"</f>
        <v>#VALUE!</v>
      </c>
      <c r="IA324" t="e">
        <f>'North America'!G524+"$F;@!1Rw"</f>
        <v>#VALUE!</v>
      </c>
      <c r="IB324" t="e">
        <f>'North America'!H524+"$F;@!1Rx"</f>
        <v>#VALUE!</v>
      </c>
      <c r="IC324" t="e">
        <f>'North America'!A525+"$F;@!1Ry"</f>
        <v>#VALUE!</v>
      </c>
      <c r="ID324" t="e">
        <f>'North America'!B525+"$F;@!1Rz"</f>
        <v>#VALUE!</v>
      </c>
      <c r="IE324" t="e">
        <f>'North America'!C525+"$F;@!1R{"</f>
        <v>#VALUE!</v>
      </c>
      <c r="IF324" t="e">
        <f>'North America'!D525+"$F;@!1R|"</f>
        <v>#VALUE!</v>
      </c>
      <c r="IG324" t="e">
        <f>'North America'!E525+"$F;@!1R}"</f>
        <v>#VALUE!</v>
      </c>
      <c r="IH324" t="e">
        <f>'North America'!F525+"$F;@!1R~"</f>
        <v>#VALUE!</v>
      </c>
      <c r="II324" t="e">
        <f>'North America'!G525+"$F;@!1S#"</f>
        <v>#VALUE!</v>
      </c>
      <c r="IJ324" t="e">
        <f>'North America'!H525+"$F;@!1S$"</f>
        <v>#VALUE!</v>
      </c>
      <c r="IK324" t="e">
        <f>'North America'!A526+"$F;@!1S%"</f>
        <v>#VALUE!</v>
      </c>
      <c r="IL324" t="e">
        <f>'North America'!B526+"$F;@!1S&amp;"</f>
        <v>#VALUE!</v>
      </c>
      <c r="IM324" t="e">
        <f>'North America'!C526+"$F;@!1S'"</f>
        <v>#VALUE!</v>
      </c>
      <c r="IN324" t="e">
        <f>'North America'!D526+"$F;@!1S("</f>
        <v>#VALUE!</v>
      </c>
      <c r="IO324" t="e">
        <f>'North America'!E526+"$F;@!1S)"</f>
        <v>#VALUE!</v>
      </c>
      <c r="IP324" t="e">
        <f>'North America'!F526+"$F;@!1S."</f>
        <v>#VALUE!</v>
      </c>
      <c r="IQ324" t="e">
        <f>'North America'!G526+"$F;@!1S/"</f>
        <v>#VALUE!</v>
      </c>
      <c r="IR324" t="e">
        <f>'North America'!H526+"$F;@!1S0"</f>
        <v>#VALUE!</v>
      </c>
      <c r="IS324" t="e">
        <f>'North America'!A527+"$F;@!1S1"</f>
        <v>#VALUE!</v>
      </c>
      <c r="IT324" t="e">
        <f>'North America'!B527+"$F;@!1S2"</f>
        <v>#VALUE!</v>
      </c>
      <c r="IU324" t="e">
        <f>'North America'!C527+"$F;@!1S3"</f>
        <v>#VALUE!</v>
      </c>
      <c r="IV324" t="e">
        <f>'North America'!D527+"$F;@!1S4"</f>
        <v>#VALUE!</v>
      </c>
    </row>
    <row r="325" spans="6:256" x14ac:dyDescent="0.35">
      <c r="F325" t="e">
        <f>'North America'!E527+"$F;@!1S5"</f>
        <v>#VALUE!</v>
      </c>
      <c r="G325" t="e">
        <f>'North America'!F527+"$F;@!1S6"</f>
        <v>#VALUE!</v>
      </c>
      <c r="H325" t="e">
        <f>'North America'!G527+"$F;@!1S7"</f>
        <v>#VALUE!</v>
      </c>
      <c r="I325" t="e">
        <f>'North America'!H527+"$F;@!1S8"</f>
        <v>#VALUE!</v>
      </c>
      <c r="J325" t="e">
        <f>'North America'!A528+"$F;@!1S9"</f>
        <v>#VALUE!</v>
      </c>
      <c r="K325" t="e">
        <f>'North America'!B528+"$F;@!1S:"</f>
        <v>#VALUE!</v>
      </c>
      <c r="L325" t="e">
        <f>'North America'!C528+"$F;@!1S;"</f>
        <v>#VALUE!</v>
      </c>
      <c r="M325" t="e">
        <f>'North America'!D528+"$F;@!1S&lt;"</f>
        <v>#VALUE!</v>
      </c>
      <c r="N325" t="e">
        <f>'North America'!E528+"$F;@!1S="</f>
        <v>#VALUE!</v>
      </c>
      <c r="O325" t="e">
        <f>'North America'!F528+"$F;@!1S&gt;"</f>
        <v>#VALUE!</v>
      </c>
      <c r="P325" t="e">
        <f>'North America'!G528+"$F;@!1S?"</f>
        <v>#VALUE!</v>
      </c>
      <c r="Q325" t="e">
        <f>'North America'!H528+"$F;@!1S@"</f>
        <v>#VALUE!</v>
      </c>
      <c r="R325" t="e">
        <f>'North America'!A529+"$F;@!1SA"</f>
        <v>#VALUE!</v>
      </c>
      <c r="S325" t="e">
        <f>'North America'!B529+"$F;@!1SB"</f>
        <v>#VALUE!</v>
      </c>
      <c r="T325" t="e">
        <f>'North America'!C529+"$F;@!1SC"</f>
        <v>#VALUE!</v>
      </c>
      <c r="U325" t="e">
        <f>'North America'!D529+"$F;@!1SD"</f>
        <v>#VALUE!</v>
      </c>
      <c r="V325" t="e">
        <f>'North America'!E529+"$F;@!1SE"</f>
        <v>#VALUE!</v>
      </c>
      <c r="W325" t="e">
        <f>'North America'!F529+"$F;@!1SF"</f>
        <v>#VALUE!</v>
      </c>
      <c r="X325" t="e">
        <f>'North America'!G529+"$F;@!1SG"</f>
        <v>#VALUE!</v>
      </c>
      <c r="Y325" t="e">
        <f>'North America'!H529+"$F;@!1SH"</f>
        <v>#VALUE!</v>
      </c>
      <c r="Z325" t="e">
        <f>'North America'!A530+"$F;@!1SI"</f>
        <v>#VALUE!</v>
      </c>
      <c r="AA325" t="e">
        <f>'North America'!B530+"$F;@!1SJ"</f>
        <v>#VALUE!</v>
      </c>
      <c r="AB325" t="e">
        <f>'North America'!C530+"$F;@!1SK"</f>
        <v>#VALUE!</v>
      </c>
      <c r="AC325" t="e">
        <f>'North America'!D530+"$F;@!1SL"</f>
        <v>#VALUE!</v>
      </c>
      <c r="AD325" t="e">
        <f>'North America'!E530+"$F;@!1SM"</f>
        <v>#VALUE!</v>
      </c>
      <c r="AE325" t="e">
        <f>'North America'!F530+"$F;@!1SN"</f>
        <v>#VALUE!</v>
      </c>
      <c r="AF325" t="e">
        <f>'North America'!G530+"$F;@!1SO"</f>
        <v>#VALUE!</v>
      </c>
      <c r="AG325" t="e">
        <f>'North America'!H530+"$F;@!1SP"</f>
        <v>#VALUE!</v>
      </c>
      <c r="AH325" t="e">
        <f>'North America'!A531+"$F;@!1SQ"</f>
        <v>#VALUE!</v>
      </c>
      <c r="AI325" t="e">
        <f>'North America'!B531+"$F;@!1SR"</f>
        <v>#VALUE!</v>
      </c>
      <c r="AJ325" t="e">
        <f>'North America'!C531+"$F;@!1SS"</f>
        <v>#VALUE!</v>
      </c>
      <c r="AK325" t="e">
        <f>'North America'!D531+"$F;@!1ST"</f>
        <v>#VALUE!</v>
      </c>
      <c r="AL325" t="e">
        <f>'North America'!E531+"$F;@!1SU"</f>
        <v>#VALUE!</v>
      </c>
      <c r="AM325" t="e">
        <f>'North America'!F531+"$F;@!1SV"</f>
        <v>#VALUE!</v>
      </c>
      <c r="AN325" t="e">
        <f>'North America'!G531+"$F;@!1SW"</f>
        <v>#VALUE!</v>
      </c>
      <c r="AO325" t="e">
        <f>'North America'!H531+"$F;@!1SX"</f>
        <v>#VALUE!</v>
      </c>
      <c r="AP325" t="e">
        <f>'North America'!A532+"$F;@!1SY"</f>
        <v>#VALUE!</v>
      </c>
      <c r="AQ325" t="e">
        <f>'North America'!B532+"$F;@!1SZ"</f>
        <v>#VALUE!</v>
      </c>
      <c r="AR325" t="e">
        <f>'North America'!C532+"$F;@!1S["</f>
        <v>#VALUE!</v>
      </c>
      <c r="AS325" t="e">
        <f>'North America'!D532+"$F;@!1S\"</f>
        <v>#VALUE!</v>
      </c>
      <c r="AT325" t="e">
        <f>'North America'!E532+"$F;@!1S]"</f>
        <v>#VALUE!</v>
      </c>
      <c r="AU325" t="e">
        <f>'North America'!F532+"$F;@!1S^"</f>
        <v>#VALUE!</v>
      </c>
      <c r="AV325" t="e">
        <f>'North America'!G532+"$F;@!1S_"</f>
        <v>#VALUE!</v>
      </c>
      <c r="AW325" t="e">
        <f>'North America'!H532+"$F;@!1S`"</f>
        <v>#VALUE!</v>
      </c>
      <c r="AX325" t="e">
        <f>'North America'!A533+"$F;@!1Sa"</f>
        <v>#VALUE!</v>
      </c>
      <c r="AY325" t="e">
        <f>'North America'!B533+"$F;@!1Sb"</f>
        <v>#VALUE!</v>
      </c>
      <c r="AZ325" t="e">
        <f>'North America'!C533+"$F;@!1Sc"</f>
        <v>#VALUE!</v>
      </c>
      <c r="BA325" t="e">
        <f>'North America'!D533+"$F;@!1Sd"</f>
        <v>#VALUE!</v>
      </c>
      <c r="BB325" t="e">
        <f>'North America'!E533+"$F;@!1Se"</f>
        <v>#VALUE!</v>
      </c>
      <c r="BC325" t="e">
        <f>'North America'!F533+"$F;@!1Sf"</f>
        <v>#VALUE!</v>
      </c>
      <c r="BD325" t="e">
        <f>'North America'!G533+"$F;@!1Sg"</f>
        <v>#VALUE!</v>
      </c>
      <c r="BE325" t="e">
        <f>'North America'!H533+"$F;@!1Sh"</f>
        <v>#VALUE!</v>
      </c>
      <c r="BF325" t="e">
        <f>'North America'!A534+"$F;@!1Si"</f>
        <v>#VALUE!</v>
      </c>
      <c r="BG325" t="e">
        <f>'North America'!B534+"$F;@!1Sj"</f>
        <v>#VALUE!</v>
      </c>
      <c r="BH325" t="e">
        <f>'North America'!C534+"$F;@!1Sk"</f>
        <v>#VALUE!</v>
      </c>
      <c r="BI325" t="e">
        <f>'North America'!D534+"$F;@!1Sl"</f>
        <v>#VALUE!</v>
      </c>
      <c r="BJ325" t="e">
        <f>'North America'!E534+"$F;@!1Sm"</f>
        <v>#VALUE!</v>
      </c>
      <c r="BK325" t="e">
        <f>'North America'!F534+"$F;@!1Sn"</f>
        <v>#VALUE!</v>
      </c>
      <c r="BL325" t="e">
        <f>'North America'!G534+"$F;@!1So"</f>
        <v>#VALUE!</v>
      </c>
      <c r="BM325" t="e">
        <f>'North America'!H534+"$F;@!1Sp"</f>
        <v>#VALUE!</v>
      </c>
      <c r="BN325" t="e">
        <f>'North America'!A535+"$F;@!1Sq"</f>
        <v>#VALUE!</v>
      </c>
      <c r="BO325" t="e">
        <f>'North America'!B535+"$F;@!1Sr"</f>
        <v>#VALUE!</v>
      </c>
      <c r="BP325" t="e">
        <f>'North America'!C535+"$F;@!1Ss"</f>
        <v>#VALUE!</v>
      </c>
      <c r="BQ325" t="e">
        <f>'North America'!D535+"$F;@!1St"</f>
        <v>#VALUE!</v>
      </c>
      <c r="BR325" t="e">
        <f>'North America'!E535+"$F;@!1Su"</f>
        <v>#VALUE!</v>
      </c>
      <c r="BS325" t="e">
        <f>'North America'!F535+"$F;@!1Sv"</f>
        <v>#VALUE!</v>
      </c>
      <c r="BT325" t="e">
        <f>'North America'!G535+"$F;@!1Sw"</f>
        <v>#VALUE!</v>
      </c>
      <c r="BU325" t="e">
        <f>'North America'!H535+"$F;@!1Sx"</f>
        <v>#VALUE!</v>
      </c>
      <c r="BV325" t="e">
        <f>'North America'!A536+"$F;@!1Sy"</f>
        <v>#VALUE!</v>
      </c>
      <c r="BW325" t="e">
        <f>'North America'!B536+"$F;@!1Sz"</f>
        <v>#VALUE!</v>
      </c>
      <c r="BX325" t="e">
        <f>'North America'!C536+"$F;@!1S{"</f>
        <v>#VALUE!</v>
      </c>
      <c r="BY325" t="e">
        <f>'North America'!D536+"$F;@!1S|"</f>
        <v>#VALUE!</v>
      </c>
      <c r="BZ325" t="e">
        <f>'North America'!E536+"$F;@!1S}"</f>
        <v>#VALUE!</v>
      </c>
      <c r="CA325" t="e">
        <f>'North America'!F536+"$F;@!1S~"</f>
        <v>#VALUE!</v>
      </c>
      <c r="CB325" t="e">
        <f>'North America'!G536+"$F;@!1T#"</f>
        <v>#VALUE!</v>
      </c>
      <c r="CC325" t="e">
        <f>'North America'!H536+"$F;@!1T$"</f>
        <v>#VALUE!</v>
      </c>
      <c r="CD325" t="e">
        <f>'North America'!A537+"$F;@!1T%"</f>
        <v>#VALUE!</v>
      </c>
      <c r="CE325" t="e">
        <f>'North America'!B537+"$F;@!1T&amp;"</f>
        <v>#VALUE!</v>
      </c>
      <c r="CF325" t="e">
        <f>'North America'!C537+"$F;@!1T'"</f>
        <v>#VALUE!</v>
      </c>
      <c r="CG325" t="e">
        <f>'North America'!D537+"$F;@!1T("</f>
        <v>#VALUE!</v>
      </c>
      <c r="CH325" t="e">
        <f>'North America'!E537+"$F;@!1T)"</f>
        <v>#VALUE!</v>
      </c>
      <c r="CI325" t="e">
        <f>'North America'!F537+"$F;@!1T."</f>
        <v>#VALUE!</v>
      </c>
      <c r="CJ325" t="e">
        <f>'North America'!G537+"$F;@!1T/"</f>
        <v>#VALUE!</v>
      </c>
      <c r="CK325" t="e">
        <f>'North America'!H537+"$F;@!1T0"</f>
        <v>#VALUE!</v>
      </c>
      <c r="CL325" t="e">
        <f>'North America'!A538+"$F;@!1T1"</f>
        <v>#VALUE!</v>
      </c>
      <c r="CM325" t="e">
        <f>'North America'!B538+"$F;@!1T2"</f>
        <v>#VALUE!</v>
      </c>
      <c r="CN325" t="e">
        <f>'North America'!C538+"$F;@!1T3"</f>
        <v>#VALUE!</v>
      </c>
      <c r="CO325" t="e">
        <f>'North America'!D538+"$F;@!1T4"</f>
        <v>#VALUE!</v>
      </c>
      <c r="CP325" t="e">
        <f>'North America'!E538+"$F;@!1T5"</f>
        <v>#VALUE!</v>
      </c>
      <c r="CQ325" t="e">
        <f>'North America'!F538+"$F;@!1T6"</f>
        <v>#VALUE!</v>
      </c>
      <c r="CR325" t="e">
        <f>'North America'!G538+"$F;@!1T7"</f>
        <v>#VALUE!</v>
      </c>
      <c r="CS325" t="e">
        <f>'North America'!H538+"$F;@!1T8"</f>
        <v>#VALUE!</v>
      </c>
      <c r="CT325" t="e">
        <f>'North America'!A539+"$F;@!1T9"</f>
        <v>#VALUE!</v>
      </c>
      <c r="CU325" t="e">
        <f>'North America'!B539+"$F;@!1T:"</f>
        <v>#VALUE!</v>
      </c>
      <c r="CV325" t="e">
        <f>'North America'!C539+"$F;@!1T;"</f>
        <v>#VALUE!</v>
      </c>
      <c r="CW325" t="e">
        <f>'North America'!D539+"$F;@!1T&lt;"</f>
        <v>#VALUE!</v>
      </c>
      <c r="CX325" t="e">
        <f>'North America'!E539+"$F;@!1T="</f>
        <v>#VALUE!</v>
      </c>
      <c r="CY325" t="e">
        <f>'North America'!F539+"$F;@!1T&gt;"</f>
        <v>#VALUE!</v>
      </c>
      <c r="CZ325" t="e">
        <f>'North America'!G539+"$F;@!1T?"</f>
        <v>#VALUE!</v>
      </c>
      <c r="DA325" t="e">
        <f>'North America'!H539+"$F;@!1T@"</f>
        <v>#VALUE!</v>
      </c>
      <c r="DB325" t="e">
        <f>'North America'!A540+"$F;@!1TA"</f>
        <v>#VALUE!</v>
      </c>
      <c r="DC325" t="e">
        <f>'North America'!B540+"$F;@!1TB"</f>
        <v>#VALUE!</v>
      </c>
      <c r="DD325" t="e">
        <f>'North America'!C540+"$F;@!1TC"</f>
        <v>#VALUE!</v>
      </c>
      <c r="DE325" t="e">
        <f>'North America'!D540+"$F;@!1TD"</f>
        <v>#VALUE!</v>
      </c>
      <c r="DF325" t="e">
        <f>'North America'!E540+"$F;@!1TE"</f>
        <v>#VALUE!</v>
      </c>
      <c r="DG325" t="e">
        <f>'North America'!F540+"$F;@!1TF"</f>
        <v>#VALUE!</v>
      </c>
      <c r="DH325" t="e">
        <f>'North America'!G540+"$F;@!1TG"</f>
        <v>#VALUE!</v>
      </c>
      <c r="DI325" t="e">
        <f>'North America'!H540+"$F;@!1TH"</f>
        <v>#VALUE!</v>
      </c>
      <c r="DJ325" t="e">
        <f>'North America'!A541+"$F;@!1TI"</f>
        <v>#VALUE!</v>
      </c>
      <c r="DK325" t="e">
        <f>'North America'!B541+"$F;@!1TJ"</f>
        <v>#VALUE!</v>
      </c>
      <c r="DL325" t="e">
        <f>'North America'!C541+"$F;@!1TK"</f>
        <v>#VALUE!</v>
      </c>
      <c r="DM325" t="e">
        <f>'North America'!D541+"$F;@!1TL"</f>
        <v>#VALUE!</v>
      </c>
      <c r="DN325" t="e">
        <f>'North America'!E541+"$F;@!1TM"</f>
        <v>#VALUE!</v>
      </c>
      <c r="DO325" t="e">
        <f>'North America'!F541+"$F;@!1TN"</f>
        <v>#VALUE!</v>
      </c>
      <c r="DP325" t="e">
        <f>'North America'!G541+"$F;@!1TO"</f>
        <v>#VALUE!</v>
      </c>
      <c r="DQ325" t="e">
        <f>'North America'!H541+"$F;@!1TP"</f>
        <v>#VALUE!</v>
      </c>
      <c r="DR325" t="e">
        <f>'North America'!A542+"$F;@!1TQ"</f>
        <v>#VALUE!</v>
      </c>
      <c r="DS325" t="e">
        <f>'North America'!B542+"$F;@!1TR"</f>
        <v>#VALUE!</v>
      </c>
      <c r="DT325" t="e">
        <f>'North America'!C542+"$F;@!1TS"</f>
        <v>#VALUE!</v>
      </c>
      <c r="DU325" t="e">
        <f>'North America'!D542+"$F;@!1TT"</f>
        <v>#VALUE!</v>
      </c>
      <c r="DV325" t="e">
        <f>'North America'!E542+"$F;@!1TU"</f>
        <v>#VALUE!</v>
      </c>
      <c r="DW325" t="e">
        <f>'North America'!F542+"$F;@!1TV"</f>
        <v>#VALUE!</v>
      </c>
      <c r="DX325" t="e">
        <f>'North America'!G542+"$F;@!1TW"</f>
        <v>#VALUE!</v>
      </c>
      <c r="DY325" t="e">
        <f>'North America'!H542+"$F;@!1TX"</f>
        <v>#VALUE!</v>
      </c>
      <c r="DZ325" t="e">
        <f>'North America'!A543+"$F;@!1TY"</f>
        <v>#VALUE!</v>
      </c>
      <c r="EA325" t="e">
        <f>'North America'!B543+"$F;@!1TZ"</f>
        <v>#VALUE!</v>
      </c>
      <c r="EB325" t="e">
        <f>'North America'!C543+"$F;@!1T["</f>
        <v>#VALUE!</v>
      </c>
      <c r="EC325" t="e">
        <f>'North America'!D543+"$F;@!1T\"</f>
        <v>#VALUE!</v>
      </c>
      <c r="ED325" t="e">
        <f>'North America'!E543+"$F;@!1T]"</f>
        <v>#VALUE!</v>
      </c>
      <c r="EE325" t="e">
        <f>'North America'!F543+"$F;@!1T^"</f>
        <v>#VALUE!</v>
      </c>
      <c r="EF325" t="e">
        <f>'North America'!G543+"$F;@!1T_"</f>
        <v>#VALUE!</v>
      </c>
      <c r="EG325" t="e">
        <f>'North America'!H543+"$F;@!1T`"</f>
        <v>#VALUE!</v>
      </c>
      <c r="EH325" t="e">
        <f>'North America'!A544+"$F;@!1Ta"</f>
        <v>#VALUE!</v>
      </c>
      <c r="EI325" t="e">
        <f>'North America'!B544+"$F;@!1Tb"</f>
        <v>#VALUE!</v>
      </c>
      <c r="EJ325" t="e">
        <f>'North America'!C544+"$F;@!1Tc"</f>
        <v>#VALUE!</v>
      </c>
      <c r="EK325" t="e">
        <f>'North America'!D544+"$F;@!1Td"</f>
        <v>#VALUE!</v>
      </c>
      <c r="EL325" t="e">
        <f>'North America'!E544+"$F;@!1Te"</f>
        <v>#VALUE!</v>
      </c>
      <c r="EM325" t="e">
        <f>'North America'!F544+"$F;@!1Tf"</f>
        <v>#VALUE!</v>
      </c>
      <c r="EN325" t="e">
        <f>'North America'!G544+"$F;@!1Tg"</f>
        <v>#VALUE!</v>
      </c>
      <c r="EO325" t="e">
        <f>'North America'!H544+"$F;@!1Th"</f>
        <v>#VALUE!</v>
      </c>
      <c r="EP325" t="e">
        <f>'North America'!A545+"$F;@!1Ti"</f>
        <v>#VALUE!</v>
      </c>
      <c r="EQ325" t="e">
        <f>'North America'!B545+"$F;@!1Tj"</f>
        <v>#VALUE!</v>
      </c>
      <c r="ER325" t="e">
        <f>'North America'!C545+"$F;@!1Tk"</f>
        <v>#VALUE!</v>
      </c>
      <c r="ES325" t="e">
        <f>'North America'!D545+"$F;@!1Tl"</f>
        <v>#VALUE!</v>
      </c>
      <c r="ET325" t="e">
        <f>'North America'!E545+"$F;@!1Tm"</f>
        <v>#VALUE!</v>
      </c>
      <c r="EU325" t="e">
        <f>'North America'!F545+"$F;@!1Tn"</f>
        <v>#VALUE!</v>
      </c>
      <c r="EV325" t="e">
        <f>'North America'!G545+"$F;@!1To"</f>
        <v>#VALUE!</v>
      </c>
      <c r="EW325" t="e">
        <f>'North America'!H545+"$F;@!1Tp"</f>
        <v>#VALUE!</v>
      </c>
      <c r="EX325" t="e">
        <f>'North America'!A546+"$F;@!1Tq"</f>
        <v>#VALUE!</v>
      </c>
      <c r="EY325" t="e">
        <f>'North America'!B546+"$F;@!1Tr"</f>
        <v>#VALUE!</v>
      </c>
      <c r="EZ325" t="e">
        <f>'North America'!C546+"$F;@!1Ts"</f>
        <v>#VALUE!</v>
      </c>
      <c r="FA325" t="e">
        <f>'North America'!D546+"$F;@!1Tt"</f>
        <v>#VALUE!</v>
      </c>
      <c r="FB325" t="e">
        <f>'North America'!E546+"$F;@!1Tu"</f>
        <v>#VALUE!</v>
      </c>
      <c r="FC325" t="e">
        <f>'North America'!F546+"$F;@!1Tv"</f>
        <v>#VALUE!</v>
      </c>
      <c r="FD325" t="e">
        <f>'North America'!G546+"$F;@!1Tw"</f>
        <v>#VALUE!</v>
      </c>
      <c r="FE325" t="e">
        <f>'North America'!H546+"$F;@!1Tx"</f>
        <v>#VALUE!</v>
      </c>
      <c r="FF325" t="e">
        <f>'North America'!A547+"$F;@!1Ty"</f>
        <v>#VALUE!</v>
      </c>
      <c r="FG325" t="e">
        <f>'North America'!B547+"$F;@!1Tz"</f>
        <v>#VALUE!</v>
      </c>
      <c r="FH325" t="e">
        <f>'North America'!C547+"$F;@!1T{"</f>
        <v>#VALUE!</v>
      </c>
      <c r="FI325" t="e">
        <f>'North America'!D547+"$F;@!1T|"</f>
        <v>#VALUE!</v>
      </c>
      <c r="FJ325" t="e">
        <f>'North America'!E547+"$F;@!1T}"</f>
        <v>#VALUE!</v>
      </c>
      <c r="FK325" t="e">
        <f>'North America'!F547+"$F;@!1T~"</f>
        <v>#VALUE!</v>
      </c>
      <c r="FL325" t="e">
        <f>'North America'!G547+"$F;@!1U#"</f>
        <v>#VALUE!</v>
      </c>
      <c r="FM325" t="e">
        <f>'North America'!H547+"$F;@!1U$"</f>
        <v>#VALUE!</v>
      </c>
      <c r="FN325" t="e">
        <f>'North America'!A548+"$F;@!1U%"</f>
        <v>#VALUE!</v>
      </c>
      <c r="FO325" t="e">
        <f>'North America'!B548+"$F;@!1U&amp;"</f>
        <v>#VALUE!</v>
      </c>
      <c r="FP325" t="e">
        <f>'North America'!C548+"$F;@!1U'"</f>
        <v>#VALUE!</v>
      </c>
      <c r="FQ325" t="e">
        <f>'North America'!D548+"$F;@!1U("</f>
        <v>#VALUE!</v>
      </c>
      <c r="FR325" t="e">
        <f>'North America'!E548+"$F;@!1U)"</f>
        <v>#VALUE!</v>
      </c>
      <c r="FS325" t="e">
        <f>'North America'!F548+"$F;@!1U."</f>
        <v>#VALUE!</v>
      </c>
      <c r="FT325" t="e">
        <f>'North America'!G548+"$F;@!1U/"</f>
        <v>#VALUE!</v>
      </c>
      <c r="FU325" t="e">
        <f>'North America'!H548+"$F;@!1U0"</f>
        <v>#VALUE!</v>
      </c>
      <c r="FV325" t="e">
        <f>'North America'!A549+"$F;@!1U1"</f>
        <v>#VALUE!</v>
      </c>
      <c r="FW325" t="e">
        <f>'North America'!B549+"$F;@!1U2"</f>
        <v>#VALUE!</v>
      </c>
      <c r="FX325" t="e">
        <f>'North America'!C549+"$F;@!1U3"</f>
        <v>#VALUE!</v>
      </c>
      <c r="FY325" t="e">
        <f>'North America'!D549+"$F;@!1U4"</f>
        <v>#VALUE!</v>
      </c>
      <c r="FZ325" t="e">
        <f>'North America'!E549+"$F;@!1U5"</f>
        <v>#VALUE!</v>
      </c>
      <c r="GA325" t="e">
        <f>'North America'!F549+"$F;@!1U6"</f>
        <v>#VALUE!</v>
      </c>
      <c r="GB325" t="e">
        <f>'North America'!G549+"$F;@!1U7"</f>
        <v>#VALUE!</v>
      </c>
      <c r="GC325" t="e">
        <f>'North America'!H549+"$F;@!1U8"</f>
        <v>#VALUE!</v>
      </c>
      <c r="GD325" t="e">
        <f>'North America'!A550+"$F;@!1U9"</f>
        <v>#VALUE!</v>
      </c>
      <c r="GE325" t="e">
        <f>'North America'!B550+"$F;@!1U:"</f>
        <v>#VALUE!</v>
      </c>
      <c r="GF325" t="e">
        <f>'North America'!C550+"$F;@!1U;"</f>
        <v>#VALUE!</v>
      </c>
      <c r="GG325" t="e">
        <f>'North America'!D550+"$F;@!1U&lt;"</f>
        <v>#VALUE!</v>
      </c>
      <c r="GH325" t="e">
        <f>'North America'!E550+"$F;@!1U="</f>
        <v>#VALUE!</v>
      </c>
      <c r="GI325" t="e">
        <f>'North America'!F550+"$F;@!1U&gt;"</f>
        <v>#VALUE!</v>
      </c>
      <c r="GJ325" t="e">
        <f>'North America'!G550+"$F;@!1U?"</f>
        <v>#VALUE!</v>
      </c>
      <c r="GK325" t="e">
        <f>'North America'!H550+"$F;@!1U@"</f>
        <v>#VALUE!</v>
      </c>
      <c r="GL325" t="e">
        <f>'North America'!A551+"$F;@!1UA"</f>
        <v>#VALUE!</v>
      </c>
      <c r="GM325" t="e">
        <f>'North America'!B551+"$F;@!1UB"</f>
        <v>#VALUE!</v>
      </c>
      <c r="GN325" t="e">
        <f>'North America'!C551+"$F;@!1UC"</f>
        <v>#VALUE!</v>
      </c>
      <c r="GO325" t="e">
        <f>'North America'!D551+"$F;@!1UD"</f>
        <v>#VALUE!</v>
      </c>
      <c r="GP325" t="e">
        <f>'North America'!E551+"$F;@!1UE"</f>
        <v>#VALUE!</v>
      </c>
      <c r="GQ325" t="e">
        <f>'North America'!F551+"$F;@!1UF"</f>
        <v>#VALUE!</v>
      </c>
      <c r="GR325" t="e">
        <f>'North America'!G551+"$F;@!1UG"</f>
        <v>#VALUE!</v>
      </c>
      <c r="GS325" t="e">
        <f>'North America'!H551+"$F;@!1UH"</f>
        <v>#VALUE!</v>
      </c>
      <c r="GT325" t="e">
        <f>'North America'!A552+"$F;@!1UI"</f>
        <v>#VALUE!</v>
      </c>
      <c r="GU325" t="e">
        <f>'North America'!B552+"$F;@!1UJ"</f>
        <v>#VALUE!</v>
      </c>
      <c r="GV325" t="e">
        <f>'North America'!C552+"$F;@!1UK"</f>
        <v>#VALUE!</v>
      </c>
      <c r="GW325" t="e">
        <f>'North America'!D552+"$F;@!1UL"</f>
        <v>#VALUE!</v>
      </c>
      <c r="GX325" t="e">
        <f>'North America'!E552+"$F;@!1UM"</f>
        <v>#VALUE!</v>
      </c>
      <c r="GY325" t="e">
        <f>'North America'!F552+"$F;@!1UN"</f>
        <v>#VALUE!</v>
      </c>
      <c r="GZ325" t="e">
        <f>'North America'!G552+"$F;@!1UO"</f>
        <v>#VALUE!</v>
      </c>
      <c r="HA325" t="e">
        <f>'North America'!H552+"$F;@!1UP"</f>
        <v>#VALUE!</v>
      </c>
      <c r="HB325" t="e">
        <f>'North America'!A553+"$F;@!1UQ"</f>
        <v>#VALUE!</v>
      </c>
      <c r="HC325" t="e">
        <f>'North America'!B553+"$F;@!1UR"</f>
        <v>#VALUE!</v>
      </c>
      <c r="HD325" t="e">
        <f>'North America'!C553+"$F;@!1US"</f>
        <v>#VALUE!</v>
      </c>
      <c r="HE325" t="e">
        <f>'North America'!D553+"$F;@!1UT"</f>
        <v>#VALUE!</v>
      </c>
      <c r="HF325" t="e">
        <f>'North America'!E553+"$F;@!1UU"</f>
        <v>#VALUE!</v>
      </c>
      <c r="HG325" t="e">
        <f>'North America'!F553+"$F;@!1UV"</f>
        <v>#VALUE!</v>
      </c>
      <c r="HH325" t="e">
        <f>'North America'!G553+"$F;@!1UW"</f>
        <v>#VALUE!</v>
      </c>
      <c r="HI325" t="e">
        <f>'North America'!H553+"$F;@!1UX"</f>
        <v>#VALUE!</v>
      </c>
      <c r="HJ325" t="e">
        <f>'North America'!A554+"$F;@!1UY"</f>
        <v>#VALUE!</v>
      </c>
      <c r="HK325" t="e">
        <f>'North America'!B554+"$F;@!1UZ"</f>
        <v>#VALUE!</v>
      </c>
      <c r="HL325" t="e">
        <f>'North America'!C554+"$F;@!1U["</f>
        <v>#VALUE!</v>
      </c>
      <c r="HM325" t="e">
        <f>'North America'!D554+"$F;@!1U\"</f>
        <v>#VALUE!</v>
      </c>
      <c r="HN325" t="e">
        <f>'North America'!E554+"$F;@!1U]"</f>
        <v>#VALUE!</v>
      </c>
      <c r="HO325" t="e">
        <f>'North America'!F554+"$F;@!1U^"</f>
        <v>#VALUE!</v>
      </c>
      <c r="HP325" t="e">
        <f>'North America'!G554+"$F;@!1U_"</f>
        <v>#VALUE!</v>
      </c>
      <c r="HQ325" t="e">
        <f>'North America'!H554+"$F;@!1U`"</f>
        <v>#VALUE!</v>
      </c>
      <c r="HR325" t="e">
        <f>'North America'!A555+"$F;@!1Ua"</f>
        <v>#VALUE!</v>
      </c>
      <c r="HS325" t="e">
        <f>'North America'!B555+"$F;@!1Ub"</f>
        <v>#VALUE!</v>
      </c>
      <c r="HT325" t="e">
        <f>'North America'!C555+"$F;@!1Uc"</f>
        <v>#VALUE!</v>
      </c>
      <c r="HU325" t="e">
        <f>'North America'!D555+"$F;@!1Ud"</f>
        <v>#VALUE!</v>
      </c>
      <c r="HV325" t="e">
        <f>'North America'!E555+"$F;@!1Ue"</f>
        <v>#VALUE!</v>
      </c>
      <c r="HW325" t="e">
        <f>'North America'!F555+"$F;@!1Uf"</f>
        <v>#VALUE!</v>
      </c>
      <c r="HX325" t="e">
        <f>'North America'!G555+"$F;@!1Ug"</f>
        <v>#VALUE!</v>
      </c>
      <c r="HY325" t="e">
        <f>'North America'!H555+"$F;@!1Uh"</f>
        <v>#VALUE!</v>
      </c>
      <c r="HZ325" t="e">
        <f>'North America'!A556+"$F;@!1Ui"</f>
        <v>#VALUE!</v>
      </c>
      <c r="IA325" t="e">
        <f>'North America'!B556+"$F;@!1Uj"</f>
        <v>#VALUE!</v>
      </c>
      <c r="IB325" t="e">
        <f>'North America'!C556+"$F;@!1Uk"</f>
        <v>#VALUE!</v>
      </c>
      <c r="IC325" t="e">
        <f>'North America'!D556+"$F;@!1Ul"</f>
        <v>#VALUE!</v>
      </c>
      <c r="ID325" t="e">
        <f>'North America'!E556+"$F;@!1Um"</f>
        <v>#VALUE!</v>
      </c>
      <c r="IE325" t="e">
        <f>'North America'!F556+"$F;@!1Un"</f>
        <v>#VALUE!</v>
      </c>
      <c r="IF325" t="e">
        <f>'North America'!G556+"$F;@!1Uo"</f>
        <v>#VALUE!</v>
      </c>
      <c r="IG325" t="e">
        <f>'North America'!H556+"$F;@!1Up"</f>
        <v>#VALUE!</v>
      </c>
      <c r="IH325" t="e">
        <f>'North America'!A557+"$F;@!1Uq"</f>
        <v>#VALUE!</v>
      </c>
      <c r="II325" t="e">
        <f>'North America'!B557+"$F;@!1Ur"</f>
        <v>#VALUE!</v>
      </c>
      <c r="IJ325" t="e">
        <f>'North America'!C557+"$F;@!1Us"</f>
        <v>#VALUE!</v>
      </c>
      <c r="IK325" t="e">
        <f>'North America'!D557+"$F;@!1Ut"</f>
        <v>#VALUE!</v>
      </c>
      <c r="IL325" t="e">
        <f>'North America'!E557+"$F;@!1Uu"</f>
        <v>#VALUE!</v>
      </c>
      <c r="IM325" t="e">
        <f>'North America'!F557+"$F;@!1Uv"</f>
        <v>#VALUE!</v>
      </c>
      <c r="IN325" t="e">
        <f>'North America'!G557+"$F;@!1Uw"</f>
        <v>#VALUE!</v>
      </c>
      <c r="IO325" t="e">
        <f>'North America'!H557+"$F;@!1Ux"</f>
        <v>#VALUE!</v>
      </c>
      <c r="IP325" t="e">
        <f>'North America'!A558+"$F;@!1Uy"</f>
        <v>#VALUE!</v>
      </c>
      <c r="IQ325" t="e">
        <f>'North America'!B558+"$F;@!1Uz"</f>
        <v>#VALUE!</v>
      </c>
      <c r="IR325" t="e">
        <f>'North America'!C558+"$F;@!1U{"</f>
        <v>#VALUE!</v>
      </c>
      <c r="IS325" t="e">
        <f>'North America'!D558+"$F;@!1U|"</f>
        <v>#VALUE!</v>
      </c>
      <c r="IT325" t="e">
        <f>'North America'!E558+"$F;@!1U}"</f>
        <v>#VALUE!</v>
      </c>
      <c r="IU325" t="e">
        <f>'North America'!F558+"$F;@!1U~"</f>
        <v>#VALUE!</v>
      </c>
      <c r="IV325" t="e">
        <f>'North America'!G558+"$F;@!1V#"</f>
        <v>#VALUE!</v>
      </c>
    </row>
    <row r="326" spans="6:256" x14ac:dyDescent="0.35">
      <c r="F326" t="e">
        <f>'North America'!H558+"$F;@!1V$"</f>
        <v>#VALUE!</v>
      </c>
      <c r="G326" t="e">
        <f>'North America'!A559+"$F;@!1V%"</f>
        <v>#VALUE!</v>
      </c>
      <c r="H326" t="e">
        <f>'North America'!B559+"$F;@!1V&amp;"</f>
        <v>#VALUE!</v>
      </c>
      <c r="I326" t="e">
        <f>'North America'!C559+"$F;@!1V'"</f>
        <v>#VALUE!</v>
      </c>
      <c r="J326" t="e">
        <f>'North America'!D559+"$F;@!1V("</f>
        <v>#VALUE!</v>
      </c>
      <c r="K326" t="e">
        <f>'North America'!E559+"$F;@!1V)"</f>
        <v>#VALUE!</v>
      </c>
      <c r="L326" t="e">
        <f>'North America'!F559+"$F;@!1V."</f>
        <v>#VALUE!</v>
      </c>
      <c r="M326" t="e">
        <f>'North America'!G559+"$F;@!1V/"</f>
        <v>#VALUE!</v>
      </c>
      <c r="N326" t="e">
        <f>'North America'!H559+"$F;@!1V0"</f>
        <v>#VALUE!</v>
      </c>
      <c r="O326" t="e">
        <f>'North America'!A560+"$F;@!1V1"</f>
        <v>#VALUE!</v>
      </c>
      <c r="P326" t="e">
        <f>'North America'!B560+"$F;@!1V2"</f>
        <v>#VALUE!</v>
      </c>
      <c r="Q326" t="e">
        <f>'North America'!C560+"$F;@!1V3"</f>
        <v>#VALUE!</v>
      </c>
      <c r="R326" t="e">
        <f>'North America'!D560+"$F;@!1V4"</f>
        <v>#VALUE!</v>
      </c>
      <c r="S326" t="e">
        <f>'North America'!E560+"$F;@!1V5"</f>
        <v>#VALUE!</v>
      </c>
      <c r="T326" t="e">
        <f>'North America'!F560+"$F;@!1V6"</f>
        <v>#VALUE!</v>
      </c>
      <c r="U326" t="e">
        <f>'North America'!G560+"$F;@!1V7"</f>
        <v>#VALUE!</v>
      </c>
      <c r="V326" t="e">
        <f>'North America'!H560+"$F;@!1V8"</f>
        <v>#VALUE!</v>
      </c>
      <c r="W326" t="e">
        <f>'North America'!A561+"$F;@!1V9"</f>
        <v>#VALUE!</v>
      </c>
      <c r="X326" t="e">
        <f>'North America'!B561+"$F;@!1V:"</f>
        <v>#VALUE!</v>
      </c>
      <c r="Y326" t="e">
        <f>'North America'!C561+"$F;@!1V;"</f>
        <v>#VALUE!</v>
      </c>
      <c r="Z326" t="e">
        <f>'North America'!D561+"$F;@!1V&lt;"</f>
        <v>#VALUE!</v>
      </c>
      <c r="AA326" t="e">
        <f>'North America'!E561+"$F;@!1V="</f>
        <v>#VALUE!</v>
      </c>
      <c r="AB326" t="e">
        <f>'North America'!F561+"$F;@!1V&gt;"</f>
        <v>#VALUE!</v>
      </c>
      <c r="AC326" t="e">
        <f>'North America'!G561+"$F;@!1V?"</f>
        <v>#VALUE!</v>
      </c>
      <c r="AD326" t="e">
        <f>'North America'!H561+"$F;@!1V@"</f>
        <v>#VALUE!</v>
      </c>
      <c r="AE326" t="e">
        <f>'North America'!A562+"$F;@!1VA"</f>
        <v>#VALUE!</v>
      </c>
      <c r="AF326" t="e">
        <f>'North America'!B562+"$F;@!1VB"</f>
        <v>#VALUE!</v>
      </c>
      <c r="AG326" t="e">
        <f>'North America'!C562+"$F;@!1VC"</f>
        <v>#VALUE!</v>
      </c>
      <c r="AH326" t="e">
        <f>'North America'!D562+"$F;@!1VD"</f>
        <v>#VALUE!</v>
      </c>
      <c r="AI326" t="e">
        <f>'North America'!E562+"$F;@!1VE"</f>
        <v>#VALUE!</v>
      </c>
      <c r="AJ326" t="e">
        <f>'North America'!F562+"$F;@!1VF"</f>
        <v>#VALUE!</v>
      </c>
      <c r="AK326" t="e">
        <f>'North America'!G562+"$F;@!1VG"</f>
        <v>#VALUE!</v>
      </c>
      <c r="AL326" t="e">
        <f>'North America'!H562+"$F;@!1VH"</f>
        <v>#VALUE!</v>
      </c>
      <c r="AM326" t="e">
        <f>'North America'!A563+"$F;@!1VI"</f>
        <v>#VALUE!</v>
      </c>
      <c r="AN326" t="e">
        <f>'North America'!B563+"$F;@!1VJ"</f>
        <v>#VALUE!</v>
      </c>
      <c r="AO326" t="e">
        <f>'North America'!C563+"$F;@!1VK"</f>
        <v>#VALUE!</v>
      </c>
      <c r="AP326" t="e">
        <f>'North America'!D563+"$F;@!1VL"</f>
        <v>#VALUE!</v>
      </c>
      <c r="AQ326" t="e">
        <f>'North America'!E563+"$F;@!1VM"</f>
        <v>#VALUE!</v>
      </c>
      <c r="AR326" t="e">
        <f>'North America'!F563+"$F;@!1VN"</f>
        <v>#VALUE!</v>
      </c>
      <c r="AS326" t="e">
        <f>'North America'!G563+"$F;@!1VO"</f>
        <v>#VALUE!</v>
      </c>
      <c r="AT326" t="e">
        <f>'North America'!H563+"$F;@!1VP"</f>
        <v>#VALUE!</v>
      </c>
      <c r="AU326" t="e">
        <f>'North America'!A564+"$F;@!1VQ"</f>
        <v>#VALUE!</v>
      </c>
      <c r="AV326" t="e">
        <f>'North America'!B564+"$F;@!1VR"</f>
        <v>#VALUE!</v>
      </c>
      <c r="AW326" t="e">
        <f>'North America'!C564+"$F;@!1VS"</f>
        <v>#VALUE!</v>
      </c>
      <c r="AX326" t="e">
        <f>'North America'!D564+"$F;@!1VT"</f>
        <v>#VALUE!</v>
      </c>
      <c r="AY326" t="e">
        <f>'North America'!E564+"$F;@!1VU"</f>
        <v>#VALUE!</v>
      </c>
      <c r="AZ326" t="e">
        <f>'North America'!F564+"$F;@!1VV"</f>
        <v>#VALUE!</v>
      </c>
      <c r="BA326" t="e">
        <f>'North America'!G564+"$F;@!1VW"</f>
        <v>#VALUE!</v>
      </c>
      <c r="BB326" t="e">
        <f>'North America'!H564+"$F;@!1VX"</f>
        <v>#VALUE!</v>
      </c>
      <c r="BC326" t="e">
        <f>'North America'!A565+"$F;@!1VY"</f>
        <v>#VALUE!</v>
      </c>
      <c r="BD326" t="e">
        <f>'North America'!B565+"$F;@!1VZ"</f>
        <v>#VALUE!</v>
      </c>
      <c r="BE326" t="e">
        <f>'North America'!C565+"$F;@!1V["</f>
        <v>#VALUE!</v>
      </c>
      <c r="BF326" t="e">
        <f>'North America'!D565+"$F;@!1V\"</f>
        <v>#VALUE!</v>
      </c>
      <c r="BG326" t="e">
        <f>'North America'!E565+"$F;@!1V]"</f>
        <v>#VALUE!</v>
      </c>
      <c r="BH326" t="e">
        <f>'North America'!F565+"$F;@!1V^"</f>
        <v>#VALUE!</v>
      </c>
      <c r="BI326" t="e">
        <f>'North America'!G565+"$F;@!1V_"</f>
        <v>#VALUE!</v>
      </c>
      <c r="BJ326" t="e">
        <f>'North America'!H565+"$F;@!1V`"</f>
        <v>#VALUE!</v>
      </c>
      <c r="BK326" t="e">
        <f>'North America'!A566+"$F;@!1Va"</f>
        <v>#VALUE!</v>
      </c>
      <c r="BL326" t="e">
        <f>'North America'!B566+"$F;@!1Vb"</f>
        <v>#VALUE!</v>
      </c>
      <c r="BM326" t="e">
        <f>'North America'!C566+"$F;@!1Vc"</f>
        <v>#VALUE!</v>
      </c>
      <c r="BN326" t="e">
        <f>'North America'!D566+"$F;@!1Vd"</f>
        <v>#VALUE!</v>
      </c>
      <c r="BO326" t="e">
        <f>'North America'!E566+"$F;@!1Ve"</f>
        <v>#VALUE!</v>
      </c>
      <c r="BP326" t="e">
        <f>'North America'!F566+"$F;@!1Vf"</f>
        <v>#VALUE!</v>
      </c>
      <c r="BQ326" t="e">
        <f>'North America'!G566+"$F;@!1Vg"</f>
        <v>#VALUE!</v>
      </c>
      <c r="BR326" t="e">
        <f>'North America'!H566+"$F;@!1Vh"</f>
        <v>#VALUE!</v>
      </c>
      <c r="BS326" t="e">
        <f>'North America'!A567+"$F;@!1Vi"</f>
        <v>#VALUE!</v>
      </c>
      <c r="BT326" t="e">
        <f>'North America'!B567+"$F;@!1Vj"</f>
        <v>#VALUE!</v>
      </c>
      <c r="BU326" t="e">
        <f>'North America'!C567+"$F;@!1Vk"</f>
        <v>#VALUE!</v>
      </c>
      <c r="BV326" t="e">
        <f>'North America'!D567+"$F;@!1Vl"</f>
        <v>#VALUE!</v>
      </c>
      <c r="BW326" t="e">
        <f>'North America'!E567+"$F;@!1Vm"</f>
        <v>#VALUE!</v>
      </c>
      <c r="BX326" t="e">
        <f>'North America'!F567+"$F;@!1Vn"</f>
        <v>#VALUE!</v>
      </c>
      <c r="BY326" t="e">
        <f>'North America'!G567+"$F;@!1Vo"</f>
        <v>#VALUE!</v>
      </c>
      <c r="BZ326" t="e">
        <f>'North America'!H567+"$F;@!1Vp"</f>
        <v>#VALUE!</v>
      </c>
      <c r="CA326" t="e">
        <f>'North America'!A568+"$F;@!1Vq"</f>
        <v>#VALUE!</v>
      </c>
      <c r="CB326" t="e">
        <f>'North America'!B568+"$F;@!1Vr"</f>
        <v>#VALUE!</v>
      </c>
      <c r="CC326" t="e">
        <f>'North America'!C568+"$F;@!1Vs"</f>
        <v>#VALUE!</v>
      </c>
      <c r="CD326" t="e">
        <f>'North America'!D568+"$F;@!1Vt"</f>
        <v>#VALUE!</v>
      </c>
      <c r="CE326" t="e">
        <f>'North America'!E568+"$F;@!1Vu"</f>
        <v>#VALUE!</v>
      </c>
      <c r="CF326" t="e">
        <f>'North America'!F568+"$F;@!1Vv"</f>
        <v>#VALUE!</v>
      </c>
      <c r="CG326" t="e">
        <f>'North America'!G568+"$F;@!1Vw"</f>
        <v>#VALUE!</v>
      </c>
      <c r="CH326" t="e">
        <f>'North America'!H568+"$F;@!1Vx"</f>
        <v>#VALUE!</v>
      </c>
      <c r="CI326" t="e">
        <f>'North America'!A569+"$F;@!1Vy"</f>
        <v>#VALUE!</v>
      </c>
      <c r="CJ326" t="e">
        <f>'North America'!B569+"$F;@!1Vz"</f>
        <v>#VALUE!</v>
      </c>
      <c r="CK326" t="e">
        <f>'North America'!C569+"$F;@!1V{"</f>
        <v>#VALUE!</v>
      </c>
      <c r="CL326" t="e">
        <f>'North America'!D569+"$F;@!1V|"</f>
        <v>#VALUE!</v>
      </c>
      <c r="CM326" t="e">
        <f>'North America'!E569+"$F;@!1V}"</f>
        <v>#VALUE!</v>
      </c>
      <c r="CN326" t="e">
        <f>'North America'!F569+"$F;@!1V~"</f>
        <v>#VALUE!</v>
      </c>
      <c r="CO326" t="e">
        <f>'North America'!G569+"$F;@!1W#"</f>
        <v>#VALUE!</v>
      </c>
      <c r="CP326" t="e">
        <f>'North America'!H569+"$F;@!1W$"</f>
        <v>#VALUE!</v>
      </c>
      <c r="CQ326" t="e">
        <f>'North America'!A570+"$F;@!1W%"</f>
        <v>#VALUE!</v>
      </c>
      <c r="CR326" t="e">
        <f>'North America'!B570+"$F;@!1W&amp;"</f>
        <v>#VALUE!</v>
      </c>
      <c r="CS326" t="e">
        <f>'North America'!C570+"$F;@!1W'"</f>
        <v>#VALUE!</v>
      </c>
      <c r="CT326" t="e">
        <f>'North America'!D570+"$F;@!1W("</f>
        <v>#VALUE!</v>
      </c>
      <c r="CU326" t="e">
        <f>'North America'!E570+"$F;@!1W)"</f>
        <v>#VALUE!</v>
      </c>
      <c r="CV326" t="e">
        <f>'North America'!F570+"$F;@!1W."</f>
        <v>#VALUE!</v>
      </c>
      <c r="CW326" t="e">
        <f>'North America'!G570+"$F;@!1W/"</f>
        <v>#VALUE!</v>
      </c>
      <c r="CX326" t="e">
        <f>'North America'!H570+"$F;@!1W0"</f>
        <v>#VALUE!</v>
      </c>
      <c r="CY326" t="e">
        <f>'North America'!A571+"$F;@!1W1"</f>
        <v>#VALUE!</v>
      </c>
      <c r="CZ326" t="e">
        <f>'North America'!B571+"$F;@!1W2"</f>
        <v>#VALUE!</v>
      </c>
      <c r="DA326" t="e">
        <f>'North America'!C571+"$F;@!1W3"</f>
        <v>#VALUE!</v>
      </c>
      <c r="DB326" t="e">
        <f>'North America'!D571+"$F;@!1W4"</f>
        <v>#VALUE!</v>
      </c>
      <c r="DC326" t="e">
        <f>'North America'!E571+"$F;@!1W5"</f>
        <v>#VALUE!</v>
      </c>
      <c r="DD326" t="e">
        <f>'North America'!F571+"$F;@!1W6"</f>
        <v>#VALUE!</v>
      </c>
      <c r="DE326" t="e">
        <f>'North America'!G571+"$F;@!1W7"</f>
        <v>#VALUE!</v>
      </c>
      <c r="DF326" t="e">
        <f>'North America'!H571+"$F;@!1W8"</f>
        <v>#VALUE!</v>
      </c>
      <c r="DG326" t="e">
        <f>'North America'!A572+"$F;@!1W9"</f>
        <v>#VALUE!</v>
      </c>
      <c r="DH326" t="e">
        <f>'North America'!B572+"$F;@!1W:"</f>
        <v>#VALUE!</v>
      </c>
      <c r="DI326" t="e">
        <f>'North America'!C572+"$F;@!1W;"</f>
        <v>#VALUE!</v>
      </c>
      <c r="DJ326" t="e">
        <f>'North America'!D572+"$F;@!1W&lt;"</f>
        <v>#VALUE!</v>
      </c>
      <c r="DK326" t="e">
        <f>'North America'!E572+"$F;@!1W="</f>
        <v>#VALUE!</v>
      </c>
      <c r="DL326" t="e">
        <f>'North America'!F572+"$F;@!1W&gt;"</f>
        <v>#VALUE!</v>
      </c>
      <c r="DM326" t="e">
        <f>'North America'!G572+"$F;@!1W?"</f>
        <v>#VALUE!</v>
      </c>
      <c r="DN326" t="e">
        <f>'North America'!H572+"$F;@!1W@"</f>
        <v>#VALUE!</v>
      </c>
      <c r="DO326" t="e">
        <f>'North America'!A573+"$F;@!1WA"</f>
        <v>#VALUE!</v>
      </c>
      <c r="DP326" t="e">
        <f>'North America'!B573+"$F;@!1WB"</f>
        <v>#VALUE!</v>
      </c>
      <c r="DQ326" t="e">
        <f>'North America'!C573+"$F;@!1WC"</f>
        <v>#VALUE!</v>
      </c>
      <c r="DR326" t="e">
        <f>'North America'!D573+"$F;@!1WD"</f>
        <v>#VALUE!</v>
      </c>
      <c r="DS326" t="e">
        <f>'North America'!E573+"$F;@!1WE"</f>
        <v>#VALUE!</v>
      </c>
      <c r="DT326" t="e">
        <f>'North America'!F573+"$F;@!1WF"</f>
        <v>#VALUE!</v>
      </c>
      <c r="DU326" t="e">
        <f>'North America'!G573+"$F;@!1WG"</f>
        <v>#VALUE!</v>
      </c>
      <c r="DV326" t="e">
        <f>'North America'!H573+"$F;@!1WH"</f>
        <v>#VALUE!</v>
      </c>
      <c r="DW326" t="e">
        <f>'North America'!A574+"$F;@!1WI"</f>
        <v>#VALUE!</v>
      </c>
      <c r="DX326" t="e">
        <f>'North America'!B574+"$F;@!1WJ"</f>
        <v>#VALUE!</v>
      </c>
      <c r="DY326" t="e">
        <f>'North America'!C574+"$F;@!1WK"</f>
        <v>#VALUE!</v>
      </c>
      <c r="DZ326" t="e">
        <f>'North America'!D574+"$F;@!1WL"</f>
        <v>#VALUE!</v>
      </c>
      <c r="EA326" t="e">
        <f>'North America'!E574+"$F;@!1WM"</f>
        <v>#VALUE!</v>
      </c>
      <c r="EB326" t="e">
        <f>'North America'!F574+"$F;@!1WN"</f>
        <v>#VALUE!</v>
      </c>
      <c r="EC326" t="e">
        <f>'North America'!G574+"$F;@!1WO"</f>
        <v>#VALUE!</v>
      </c>
      <c r="ED326" t="e">
        <f>'North America'!H574+"$F;@!1WP"</f>
        <v>#VALUE!</v>
      </c>
      <c r="EE326" t="e">
        <f>'North America'!A575+"$F;@!1WQ"</f>
        <v>#VALUE!</v>
      </c>
      <c r="EF326" t="e">
        <f>'North America'!B575+"$F;@!1WR"</f>
        <v>#VALUE!</v>
      </c>
      <c r="EG326" t="e">
        <f>'North America'!C575+"$F;@!1WS"</f>
        <v>#VALUE!</v>
      </c>
      <c r="EH326" t="e">
        <f>'North America'!D575+"$F;@!1WT"</f>
        <v>#VALUE!</v>
      </c>
      <c r="EI326" t="e">
        <f>'North America'!E575+"$F;@!1WU"</f>
        <v>#VALUE!</v>
      </c>
      <c r="EJ326" t="e">
        <f>'North America'!F575+"$F;@!1WV"</f>
        <v>#VALUE!</v>
      </c>
      <c r="EK326" t="e">
        <f>'North America'!G575+"$F;@!1WW"</f>
        <v>#VALUE!</v>
      </c>
      <c r="EL326" t="e">
        <f>'North America'!H575+"$F;@!1WX"</f>
        <v>#VALUE!</v>
      </c>
      <c r="EM326" t="e">
        <f>'North America'!A576+"$F;@!1WY"</f>
        <v>#VALUE!</v>
      </c>
      <c r="EN326" t="e">
        <f>'North America'!B576+"$F;@!1WZ"</f>
        <v>#VALUE!</v>
      </c>
      <c r="EO326" t="e">
        <f>'North America'!C576+"$F;@!1W["</f>
        <v>#VALUE!</v>
      </c>
      <c r="EP326" t="e">
        <f>'North America'!D576+"$F;@!1W\"</f>
        <v>#VALUE!</v>
      </c>
      <c r="EQ326" t="e">
        <f>'North America'!E576+"$F;@!1W]"</f>
        <v>#VALUE!</v>
      </c>
      <c r="ER326" t="e">
        <f>'North America'!F576+"$F;@!1W^"</f>
        <v>#VALUE!</v>
      </c>
      <c r="ES326" t="e">
        <f>'North America'!G576+"$F;@!1W_"</f>
        <v>#VALUE!</v>
      </c>
      <c r="ET326" t="e">
        <f>'North America'!H576+"$F;@!1W`"</f>
        <v>#VALUE!</v>
      </c>
      <c r="EU326" t="e">
        <f>'North America'!A577+"$F;@!1Wa"</f>
        <v>#VALUE!</v>
      </c>
      <c r="EV326" t="e">
        <f>'North America'!B577+"$F;@!1Wb"</f>
        <v>#VALUE!</v>
      </c>
      <c r="EW326" t="e">
        <f>'North America'!C577+"$F;@!1Wc"</f>
        <v>#VALUE!</v>
      </c>
      <c r="EX326" t="e">
        <f>'North America'!D577+"$F;@!1Wd"</f>
        <v>#VALUE!</v>
      </c>
      <c r="EY326" t="e">
        <f>'North America'!E577+"$F;@!1We"</f>
        <v>#VALUE!</v>
      </c>
      <c r="EZ326" t="e">
        <f>'North America'!F577+"$F;@!1Wf"</f>
        <v>#VALUE!</v>
      </c>
      <c r="FA326" t="e">
        <f>'North America'!G577+"$F;@!1Wg"</f>
        <v>#VALUE!</v>
      </c>
      <c r="FB326" t="e">
        <f>'North America'!H577+"$F;@!1Wh"</f>
        <v>#VALUE!</v>
      </c>
      <c r="FC326" t="e">
        <f>'North America'!A578+"$F;@!1Wi"</f>
        <v>#VALUE!</v>
      </c>
      <c r="FD326" t="e">
        <f>'North America'!B578+"$F;@!1Wj"</f>
        <v>#VALUE!</v>
      </c>
      <c r="FE326" t="e">
        <f>'North America'!C578+"$F;@!1Wk"</f>
        <v>#VALUE!</v>
      </c>
      <c r="FF326" t="e">
        <f>'North America'!D578+"$F;@!1Wl"</f>
        <v>#VALUE!</v>
      </c>
      <c r="FG326" t="e">
        <f>'North America'!E578+"$F;@!1Wm"</f>
        <v>#VALUE!</v>
      </c>
      <c r="FH326" t="e">
        <f>'North America'!F578+"$F;@!1Wn"</f>
        <v>#VALUE!</v>
      </c>
      <c r="FI326" t="e">
        <f>'North America'!G578+"$F;@!1Wo"</f>
        <v>#VALUE!</v>
      </c>
      <c r="FJ326" t="e">
        <f>'North America'!H578+"$F;@!1Wp"</f>
        <v>#VALUE!</v>
      </c>
      <c r="FK326" t="e">
        <f>'North America'!A579+"$F;@!1Wq"</f>
        <v>#VALUE!</v>
      </c>
      <c r="FL326" t="e">
        <f>'North America'!B579+"$F;@!1Wr"</f>
        <v>#VALUE!</v>
      </c>
      <c r="FM326" t="e">
        <f>'North America'!C579+"$F;@!1Ws"</f>
        <v>#VALUE!</v>
      </c>
      <c r="FN326" t="e">
        <f>'North America'!D579+"$F;@!1Wt"</f>
        <v>#VALUE!</v>
      </c>
      <c r="FO326" t="e">
        <f>'North America'!E579+"$F;@!1Wu"</f>
        <v>#VALUE!</v>
      </c>
      <c r="FP326" t="e">
        <f>'North America'!F579+"$F;@!1Wv"</f>
        <v>#VALUE!</v>
      </c>
      <c r="FQ326" t="e">
        <f>'North America'!G579+"$F;@!1Ww"</f>
        <v>#VALUE!</v>
      </c>
      <c r="FR326" t="e">
        <f>'North America'!H579+"$F;@!1Wx"</f>
        <v>#VALUE!</v>
      </c>
      <c r="FS326" t="e">
        <f>'North America'!A580+"$F;@!1Wy"</f>
        <v>#VALUE!</v>
      </c>
      <c r="FT326" t="e">
        <f>'North America'!B580+"$F;@!1Wz"</f>
        <v>#VALUE!</v>
      </c>
      <c r="FU326" t="e">
        <f>'North America'!C580+"$F;@!1W{"</f>
        <v>#VALUE!</v>
      </c>
      <c r="FV326" t="e">
        <f>'North America'!D580+"$F;@!1W|"</f>
        <v>#VALUE!</v>
      </c>
      <c r="FW326" t="e">
        <f>'North America'!E580+"$F;@!1W}"</f>
        <v>#VALUE!</v>
      </c>
      <c r="FX326" t="e">
        <f>'North America'!F580+"$F;@!1W~"</f>
        <v>#VALUE!</v>
      </c>
      <c r="FY326" t="e">
        <f>'North America'!G580+"$F;@!1X#"</f>
        <v>#VALUE!</v>
      </c>
      <c r="FZ326" t="e">
        <f>'North America'!H580+"$F;@!1X$"</f>
        <v>#VALUE!</v>
      </c>
      <c r="GA326" t="e">
        <f>'North America'!A581+"$F;@!1X%"</f>
        <v>#VALUE!</v>
      </c>
      <c r="GB326" t="e">
        <f>'North America'!B581+"$F;@!1X&amp;"</f>
        <v>#VALUE!</v>
      </c>
      <c r="GC326" t="e">
        <f>'North America'!C581+"$F;@!1X'"</f>
        <v>#VALUE!</v>
      </c>
      <c r="GD326" t="e">
        <f>'North America'!D581+"$F;@!1X("</f>
        <v>#VALUE!</v>
      </c>
      <c r="GE326" t="e">
        <f>'North America'!E581+"$F;@!1X)"</f>
        <v>#VALUE!</v>
      </c>
      <c r="GF326" t="e">
        <f>'North America'!F581+"$F;@!1X."</f>
        <v>#VALUE!</v>
      </c>
      <c r="GG326" t="e">
        <f>'North America'!G581+"$F;@!1X/"</f>
        <v>#VALUE!</v>
      </c>
      <c r="GH326" t="e">
        <f>'North America'!H581+"$F;@!1X0"</f>
        <v>#VALUE!</v>
      </c>
      <c r="GI326" t="e">
        <f>'North America'!A582+"$F;@!1X1"</f>
        <v>#VALUE!</v>
      </c>
      <c r="GJ326" t="e">
        <f>'North America'!B582+"$F;@!1X2"</f>
        <v>#VALUE!</v>
      </c>
      <c r="GK326" t="e">
        <f>'North America'!C582+"$F;@!1X3"</f>
        <v>#VALUE!</v>
      </c>
      <c r="GL326" t="e">
        <f>'North America'!D582+"$F;@!1X4"</f>
        <v>#VALUE!</v>
      </c>
      <c r="GM326" t="e">
        <f>'North America'!E582+"$F;@!1X5"</f>
        <v>#VALUE!</v>
      </c>
      <c r="GN326" t="e">
        <f>'North America'!F582+"$F;@!1X6"</f>
        <v>#VALUE!</v>
      </c>
      <c r="GO326" t="e">
        <f>'North America'!G582+"$F;@!1X7"</f>
        <v>#VALUE!</v>
      </c>
      <c r="GP326" t="e">
        <f>'North America'!H582+"$F;@!1X8"</f>
        <v>#VALUE!</v>
      </c>
      <c r="GQ326" t="e">
        <f>'North America'!A583+"$F;@!1X9"</f>
        <v>#VALUE!</v>
      </c>
      <c r="GR326" t="e">
        <f>'North America'!B583+"$F;@!1X:"</f>
        <v>#VALUE!</v>
      </c>
      <c r="GS326" t="e">
        <f>'North America'!C583+"$F;@!1X;"</f>
        <v>#VALUE!</v>
      </c>
      <c r="GT326" t="e">
        <f>'North America'!D583+"$F;@!1X&lt;"</f>
        <v>#VALUE!</v>
      </c>
      <c r="GU326" t="e">
        <f>'North America'!E583+"$F;@!1X="</f>
        <v>#VALUE!</v>
      </c>
      <c r="GV326" t="e">
        <f>'North America'!F583+"$F;@!1X&gt;"</f>
        <v>#VALUE!</v>
      </c>
      <c r="GW326" t="e">
        <f>'North America'!G583+"$F;@!1X?"</f>
        <v>#VALUE!</v>
      </c>
      <c r="GX326" t="e">
        <f>'North America'!H583+"$F;@!1X@"</f>
        <v>#VALUE!</v>
      </c>
      <c r="GY326" t="e">
        <f>'North America'!A584+"$F;@!1XA"</f>
        <v>#VALUE!</v>
      </c>
      <c r="GZ326" t="e">
        <f>'North America'!B584+"$F;@!1XB"</f>
        <v>#VALUE!</v>
      </c>
      <c r="HA326" t="e">
        <f>'North America'!C584+"$F;@!1XC"</f>
        <v>#VALUE!</v>
      </c>
      <c r="HB326" t="e">
        <f>'North America'!D584+"$F;@!1XD"</f>
        <v>#VALUE!</v>
      </c>
      <c r="HC326" t="e">
        <f>'North America'!E584+"$F;@!1XE"</f>
        <v>#VALUE!</v>
      </c>
      <c r="HD326" t="e">
        <f>'North America'!F584+"$F;@!1XF"</f>
        <v>#VALUE!</v>
      </c>
      <c r="HE326" t="e">
        <f>'North America'!G584+"$F;@!1XG"</f>
        <v>#VALUE!</v>
      </c>
      <c r="HF326" t="e">
        <f>'North America'!H584+"$F;@!1XH"</f>
        <v>#VALUE!</v>
      </c>
      <c r="HG326" t="e">
        <f>'North America'!A585+"$F;@!1XI"</f>
        <v>#VALUE!</v>
      </c>
      <c r="HH326" t="e">
        <f>'North America'!B585+"$F;@!1XJ"</f>
        <v>#VALUE!</v>
      </c>
      <c r="HI326" t="e">
        <f>'North America'!C585+"$F;@!1XK"</f>
        <v>#VALUE!</v>
      </c>
      <c r="HJ326" t="e">
        <f>'North America'!D585+"$F;@!1XL"</f>
        <v>#VALUE!</v>
      </c>
      <c r="HK326" t="e">
        <f>'North America'!E585+"$F;@!1XM"</f>
        <v>#VALUE!</v>
      </c>
      <c r="HL326" t="e">
        <f>'North America'!F585+"$F;@!1XN"</f>
        <v>#VALUE!</v>
      </c>
      <c r="HM326" t="e">
        <f>'North America'!G585+"$F;@!1XO"</f>
        <v>#VALUE!</v>
      </c>
      <c r="HN326" t="e">
        <f>'North America'!H585+"$F;@!1XP"</f>
        <v>#VALUE!</v>
      </c>
      <c r="HO326" t="e">
        <f>'North America'!A586+"$F;@!1XQ"</f>
        <v>#VALUE!</v>
      </c>
      <c r="HP326" t="e">
        <f>'North America'!B586+"$F;@!1XR"</f>
        <v>#VALUE!</v>
      </c>
      <c r="HQ326" t="e">
        <f>'North America'!C586+"$F;@!1XS"</f>
        <v>#VALUE!</v>
      </c>
      <c r="HR326" t="e">
        <f>'North America'!D586+"$F;@!1XT"</f>
        <v>#VALUE!</v>
      </c>
      <c r="HS326" t="e">
        <f>'North America'!E586+"$F;@!1XU"</f>
        <v>#VALUE!</v>
      </c>
      <c r="HT326" t="e">
        <f>'North America'!F586+"$F;@!1XV"</f>
        <v>#VALUE!</v>
      </c>
      <c r="HU326" t="e">
        <f>'North America'!G586+"$F;@!1XW"</f>
        <v>#VALUE!</v>
      </c>
      <c r="HV326" t="e">
        <f>'North America'!H586+"$F;@!1XX"</f>
        <v>#VALUE!</v>
      </c>
      <c r="HW326" t="e">
        <f>'North America'!A587+"$F;@!1XY"</f>
        <v>#VALUE!</v>
      </c>
      <c r="HX326" t="e">
        <f>'North America'!B587+"$F;@!1XZ"</f>
        <v>#VALUE!</v>
      </c>
      <c r="HY326" t="e">
        <f>'North America'!C587+"$F;@!1X["</f>
        <v>#VALUE!</v>
      </c>
      <c r="HZ326" t="e">
        <f>'North America'!D587+"$F;@!1X\"</f>
        <v>#VALUE!</v>
      </c>
      <c r="IA326" t="e">
        <f>'North America'!E587+"$F;@!1X]"</f>
        <v>#VALUE!</v>
      </c>
      <c r="IB326" t="e">
        <f>'North America'!F587+"$F;@!1X^"</f>
        <v>#VALUE!</v>
      </c>
      <c r="IC326" t="e">
        <f>'North America'!G587+"$F;@!1X_"</f>
        <v>#VALUE!</v>
      </c>
      <c r="ID326" t="e">
        <f>'North America'!H587+"$F;@!1X`"</f>
        <v>#VALUE!</v>
      </c>
      <c r="IE326" t="e">
        <f>'North America'!A588+"$F;@!1Xa"</f>
        <v>#VALUE!</v>
      </c>
      <c r="IF326" t="e">
        <f>'North America'!B588+"$F;@!1Xb"</f>
        <v>#VALUE!</v>
      </c>
      <c r="IG326" t="e">
        <f>'North America'!C588+"$F;@!1Xc"</f>
        <v>#VALUE!</v>
      </c>
      <c r="IH326" t="e">
        <f>'North America'!D588+"$F;@!1Xd"</f>
        <v>#VALUE!</v>
      </c>
      <c r="II326" t="e">
        <f>'North America'!E588+"$F;@!1Xe"</f>
        <v>#VALUE!</v>
      </c>
      <c r="IJ326" t="e">
        <f>'North America'!F588+"$F;@!1Xf"</f>
        <v>#VALUE!</v>
      </c>
      <c r="IK326" t="e">
        <f>'North America'!G588+"$F;@!1Xg"</f>
        <v>#VALUE!</v>
      </c>
      <c r="IL326" t="e">
        <f>'North America'!H588+"$F;@!1Xh"</f>
        <v>#VALUE!</v>
      </c>
      <c r="IM326" t="e">
        <f>'North America'!A589+"$F;@!1Xi"</f>
        <v>#VALUE!</v>
      </c>
      <c r="IN326" t="e">
        <f>'North America'!B589+"$F;@!1Xj"</f>
        <v>#VALUE!</v>
      </c>
      <c r="IO326" t="e">
        <f>'North America'!C589+"$F;@!1Xk"</f>
        <v>#VALUE!</v>
      </c>
      <c r="IP326" t="e">
        <f>'North America'!D589+"$F;@!1Xl"</f>
        <v>#VALUE!</v>
      </c>
      <c r="IQ326" t="e">
        <f>'North America'!E589+"$F;@!1Xm"</f>
        <v>#VALUE!</v>
      </c>
      <c r="IR326" t="e">
        <f>'North America'!F589+"$F;@!1Xn"</f>
        <v>#VALUE!</v>
      </c>
      <c r="IS326" t="e">
        <f>'North America'!G589+"$F;@!1Xo"</f>
        <v>#VALUE!</v>
      </c>
      <c r="IT326" t="e">
        <f>'North America'!H589+"$F;@!1Xp"</f>
        <v>#VALUE!</v>
      </c>
      <c r="IU326" t="e">
        <f>'North America'!A590+"$F;@!1Xq"</f>
        <v>#VALUE!</v>
      </c>
      <c r="IV326" t="e">
        <f>'North America'!B590+"$F;@!1Xr"</f>
        <v>#VALUE!</v>
      </c>
    </row>
    <row r="327" spans="6:256" x14ac:dyDescent="0.35">
      <c r="F327" t="e">
        <f>'North America'!C590+"$F;@!1Xs"</f>
        <v>#VALUE!</v>
      </c>
      <c r="G327" t="e">
        <f>'North America'!D590+"$F;@!1Xt"</f>
        <v>#VALUE!</v>
      </c>
      <c r="H327" t="e">
        <f>'North America'!E590+"$F;@!1Xu"</f>
        <v>#VALUE!</v>
      </c>
      <c r="I327" t="e">
        <f>'North America'!F590+"$F;@!1Xv"</f>
        <v>#VALUE!</v>
      </c>
      <c r="J327" t="e">
        <f>'North America'!G590+"$F;@!1Xw"</f>
        <v>#VALUE!</v>
      </c>
      <c r="K327" t="e">
        <f>'North America'!H590+"$F;@!1Xx"</f>
        <v>#VALUE!</v>
      </c>
      <c r="L327" t="e">
        <f>'North America'!A591+"$F;@!1Xy"</f>
        <v>#VALUE!</v>
      </c>
      <c r="M327" t="e">
        <f>'North America'!B591+"$F;@!1Xz"</f>
        <v>#VALUE!</v>
      </c>
      <c r="N327" t="e">
        <f>'North America'!C591+"$F;@!1X{"</f>
        <v>#VALUE!</v>
      </c>
      <c r="O327" t="e">
        <f>'North America'!D591+"$F;@!1X|"</f>
        <v>#VALUE!</v>
      </c>
      <c r="P327" t="e">
        <f>'North America'!E591+"$F;@!1X}"</f>
        <v>#VALUE!</v>
      </c>
      <c r="Q327" t="e">
        <f>'North America'!F591+"$F;@!1X~"</f>
        <v>#VALUE!</v>
      </c>
      <c r="R327" t="e">
        <f>'North America'!G591+"$F;@!1Y#"</f>
        <v>#VALUE!</v>
      </c>
      <c r="S327" t="e">
        <f>'North America'!H591+"$F;@!1Y$"</f>
        <v>#VALUE!</v>
      </c>
      <c r="T327" t="e">
        <f>'North America'!A592+"$F;@!1Y%"</f>
        <v>#VALUE!</v>
      </c>
      <c r="U327" t="e">
        <f>'North America'!B592+"$F;@!1Y&amp;"</f>
        <v>#VALUE!</v>
      </c>
      <c r="V327" t="e">
        <f>'North America'!C592+"$F;@!1Y'"</f>
        <v>#VALUE!</v>
      </c>
      <c r="W327" t="e">
        <f>'North America'!D592+"$F;@!1Y("</f>
        <v>#VALUE!</v>
      </c>
      <c r="X327" t="e">
        <f>'North America'!E592+"$F;@!1Y)"</f>
        <v>#VALUE!</v>
      </c>
      <c r="Y327" t="e">
        <f>'North America'!F592+"$F;@!1Y."</f>
        <v>#VALUE!</v>
      </c>
      <c r="Z327" t="e">
        <f>'North America'!G592+"$F;@!1Y/"</f>
        <v>#VALUE!</v>
      </c>
      <c r="AA327" t="e">
        <f>'North America'!H592+"$F;@!1Y0"</f>
        <v>#VALUE!</v>
      </c>
      <c r="AB327" t="e">
        <f>'North America'!A593+"$F;@!1Y1"</f>
        <v>#VALUE!</v>
      </c>
      <c r="AC327" t="e">
        <f>'North America'!B593+"$F;@!1Y2"</f>
        <v>#VALUE!</v>
      </c>
      <c r="AD327" t="e">
        <f>'North America'!C593+"$F;@!1Y3"</f>
        <v>#VALUE!</v>
      </c>
      <c r="AE327" t="e">
        <f>'North America'!D593+"$F;@!1Y4"</f>
        <v>#VALUE!</v>
      </c>
      <c r="AF327" t="e">
        <f>'North America'!E593+"$F;@!1Y5"</f>
        <v>#VALUE!</v>
      </c>
      <c r="AG327" t="e">
        <f>'North America'!F593+"$F;@!1Y6"</f>
        <v>#VALUE!</v>
      </c>
      <c r="AH327" t="e">
        <f>'North America'!G593+"$F;@!1Y7"</f>
        <v>#VALUE!</v>
      </c>
      <c r="AI327" t="e">
        <f>'North America'!H593+"$F;@!1Y8"</f>
        <v>#VALUE!</v>
      </c>
      <c r="AJ327" t="e">
        <f>'North America'!A594+"$F;@!1Y9"</f>
        <v>#VALUE!</v>
      </c>
      <c r="AK327" t="e">
        <f>'North America'!B594+"$F;@!1Y:"</f>
        <v>#VALUE!</v>
      </c>
      <c r="AL327" t="e">
        <f>'North America'!C594+"$F;@!1Y;"</f>
        <v>#VALUE!</v>
      </c>
      <c r="AM327" t="e">
        <f>'North America'!D594+"$F;@!1Y&lt;"</f>
        <v>#VALUE!</v>
      </c>
      <c r="AN327" t="e">
        <f>'North America'!E594+"$F;@!1Y="</f>
        <v>#VALUE!</v>
      </c>
      <c r="AO327" t="e">
        <f>'North America'!F594+"$F;@!1Y&gt;"</f>
        <v>#VALUE!</v>
      </c>
      <c r="AP327" t="e">
        <f>'North America'!G594+"$F;@!1Y?"</f>
        <v>#VALUE!</v>
      </c>
      <c r="AQ327" t="e">
        <f>'North America'!H594+"$F;@!1Y@"</f>
        <v>#VALUE!</v>
      </c>
      <c r="AR327" t="e">
        <f>'North America'!A595+"$F;@!1YA"</f>
        <v>#VALUE!</v>
      </c>
      <c r="AS327" t="e">
        <f>'North America'!B595+"$F;@!1YB"</f>
        <v>#VALUE!</v>
      </c>
      <c r="AT327" t="e">
        <f>'North America'!C595+"$F;@!1YC"</f>
        <v>#VALUE!</v>
      </c>
      <c r="AU327" t="e">
        <f>'North America'!D595+"$F;@!1YD"</f>
        <v>#VALUE!</v>
      </c>
      <c r="AV327" t="e">
        <f>'North America'!E595+"$F;@!1YE"</f>
        <v>#VALUE!</v>
      </c>
      <c r="AW327" t="e">
        <f>'North America'!F595+"$F;@!1YF"</f>
        <v>#VALUE!</v>
      </c>
      <c r="AX327" t="e">
        <f>'North America'!G595+"$F;@!1YG"</f>
        <v>#VALUE!</v>
      </c>
      <c r="AY327" t="e">
        <f>'North America'!H595+"$F;@!1YH"</f>
        <v>#VALUE!</v>
      </c>
      <c r="AZ327" t="e">
        <f>'North America'!A596+"$F;@!1YI"</f>
        <v>#VALUE!</v>
      </c>
      <c r="BA327" t="e">
        <f>'North America'!B596+"$F;@!1YJ"</f>
        <v>#VALUE!</v>
      </c>
      <c r="BB327" t="e">
        <f>'North America'!C596+"$F;@!1YK"</f>
        <v>#VALUE!</v>
      </c>
      <c r="BC327" t="e">
        <f>'North America'!D596+"$F;@!1YL"</f>
        <v>#VALUE!</v>
      </c>
      <c r="BD327" t="e">
        <f>'North America'!E596+"$F;@!1YM"</f>
        <v>#VALUE!</v>
      </c>
      <c r="BE327" t="e">
        <f>'North America'!F596+"$F;@!1YN"</f>
        <v>#VALUE!</v>
      </c>
      <c r="BF327" t="e">
        <f>'North America'!G596+"$F;@!1YO"</f>
        <v>#VALUE!</v>
      </c>
      <c r="BG327" t="e">
        <f>'North America'!H596+"$F;@!1YP"</f>
        <v>#VALUE!</v>
      </c>
      <c r="BH327" t="e">
        <f>'North America'!A597+"$F;@!1YQ"</f>
        <v>#VALUE!</v>
      </c>
      <c r="BI327" t="e">
        <f>'North America'!B597+"$F;@!1YR"</f>
        <v>#VALUE!</v>
      </c>
      <c r="BJ327" t="e">
        <f>'North America'!C597+"$F;@!1YS"</f>
        <v>#VALUE!</v>
      </c>
      <c r="BK327" t="e">
        <f>'North America'!D597+"$F;@!1YT"</f>
        <v>#VALUE!</v>
      </c>
      <c r="BL327" t="e">
        <f>'North America'!E597+"$F;@!1YU"</f>
        <v>#VALUE!</v>
      </c>
      <c r="BM327" t="e">
        <f>'North America'!F597+"$F;@!1YV"</f>
        <v>#VALUE!</v>
      </c>
      <c r="BN327" t="e">
        <f>'North America'!G597+"$F;@!1YW"</f>
        <v>#VALUE!</v>
      </c>
      <c r="BO327" t="e">
        <f>'North America'!H597+"$F;@!1YX"</f>
        <v>#VALUE!</v>
      </c>
      <c r="BP327" t="e">
        <f>'North America'!A598+"$F;@!1YY"</f>
        <v>#VALUE!</v>
      </c>
      <c r="BQ327" t="e">
        <f>'North America'!B598+"$F;@!1YZ"</f>
        <v>#VALUE!</v>
      </c>
      <c r="BR327" t="e">
        <f>'North America'!C598+"$F;@!1Y["</f>
        <v>#VALUE!</v>
      </c>
      <c r="BS327" t="e">
        <f>'North America'!D598+"$F;@!1Y\"</f>
        <v>#VALUE!</v>
      </c>
      <c r="BT327" t="e">
        <f>'North America'!E598+"$F;@!1Y]"</f>
        <v>#VALUE!</v>
      </c>
      <c r="BU327" t="e">
        <f>'North America'!F598+"$F;@!1Y^"</f>
        <v>#VALUE!</v>
      </c>
      <c r="BV327" t="e">
        <f>'North America'!G598+"$F;@!1Y_"</f>
        <v>#VALUE!</v>
      </c>
      <c r="BW327" t="e">
        <f>'North America'!H598+"$F;@!1Y`"</f>
        <v>#VALUE!</v>
      </c>
      <c r="BX327" t="e">
        <f>'North America'!A599+"$F;@!1Ya"</f>
        <v>#VALUE!</v>
      </c>
      <c r="BY327" t="e">
        <f>'North America'!B599+"$F;@!1Yb"</f>
        <v>#VALUE!</v>
      </c>
      <c r="BZ327" t="e">
        <f>'North America'!C599+"$F;@!1Yc"</f>
        <v>#VALUE!</v>
      </c>
      <c r="CA327" t="e">
        <f>'North America'!D599+"$F;@!1Yd"</f>
        <v>#VALUE!</v>
      </c>
      <c r="CB327" t="e">
        <f>'North America'!E599+"$F;@!1Ye"</f>
        <v>#VALUE!</v>
      </c>
      <c r="CC327" t="e">
        <f>'North America'!F599+"$F;@!1Yf"</f>
        <v>#VALUE!</v>
      </c>
      <c r="CD327" t="e">
        <f>'North America'!G599+"$F;@!1Yg"</f>
        <v>#VALUE!</v>
      </c>
      <c r="CE327" t="e">
        <f>'North America'!H599+"$F;@!1Yh"</f>
        <v>#VALUE!</v>
      </c>
      <c r="CF327" t="e">
        <f>'North America'!A600+"$F;@!1Yi"</f>
        <v>#VALUE!</v>
      </c>
      <c r="CG327" t="e">
        <f>'North America'!B600+"$F;@!1Yj"</f>
        <v>#VALUE!</v>
      </c>
      <c r="CH327" t="e">
        <f>'North America'!C600+"$F;@!1Yk"</f>
        <v>#VALUE!</v>
      </c>
      <c r="CI327" t="e">
        <f>'North America'!D600+"$F;@!1Yl"</f>
        <v>#VALUE!</v>
      </c>
      <c r="CJ327" t="e">
        <f>'North America'!E600+"$F;@!1Ym"</f>
        <v>#VALUE!</v>
      </c>
      <c r="CK327" t="e">
        <f>'North America'!F600+"$F;@!1Yn"</f>
        <v>#VALUE!</v>
      </c>
      <c r="CL327" t="e">
        <f>'North America'!G600+"$F;@!1Yo"</f>
        <v>#VALUE!</v>
      </c>
      <c r="CM327" t="e">
        <f>'North America'!H600+"$F;@!1Yp"</f>
        <v>#VALUE!</v>
      </c>
      <c r="CN327" t="e">
        <f>'North America'!A601+"$F;@!1Yq"</f>
        <v>#VALUE!</v>
      </c>
      <c r="CO327" t="e">
        <f>'North America'!B601+"$F;@!1Yr"</f>
        <v>#VALUE!</v>
      </c>
      <c r="CP327" t="e">
        <f>'North America'!C601+"$F;@!1Ys"</f>
        <v>#VALUE!</v>
      </c>
      <c r="CQ327" t="e">
        <f>'North America'!D601+"$F;@!1Yt"</f>
        <v>#VALUE!</v>
      </c>
      <c r="CR327" t="e">
        <f>'North America'!E601+"$F;@!1Yu"</f>
        <v>#VALUE!</v>
      </c>
      <c r="CS327" t="e">
        <f>'North America'!F601+"$F;@!1Yv"</f>
        <v>#VALUE!</v>
      </c>
      <c r="CT327" t="e">
        <f>'North America'!G601+"$F;@!1Yw"</f>
        <v>#VALUE!</v>
      </c>
      <c r="CU327" t="e">
        <f>'North America'!H601+"$F;@!1Yx"</f>
        <v>#VALUE!</v>
      </c>
      <c r="CV327" t="e">
        <f>'North America'!A602+"$F;@!1Yy"</f>
        <v>#VALUE!</v>
      </c>
      <c r="CW327" t="e">
        <f>'North America'!B602+"$F;@!1Yz"</f>
        <v>#VALUE!</v>
      </c>
      <c r="CX327" t="e">
        <f>'North America'!C602+"$F;@!1Y{"</f>
        <v>#VALUE!</v>
      </c>
      <c r="CY327" t="e">
        <f>'North America'!D602+"$F;@!1Y|"</f>
        <v>#VALUE!</v>
      </c>
      <c r="CZ327" t="e">
        <f>'North America'!E602+"$F;@!1Y}"</f>
        <v>#VALUE!</v>
      </c>
      <c r="DA327" t="e">
        <f>'North America'!F602+"$F;@!1Y~"</f>
        <v>#VALUE!</v>
      </c>
      <c r="DB327" t="e">
        <f>'North America'!G602+"$F;@!1Z#"</f>
        <v>#VALUE!</v>
      </c>
      <c r="DC327" t="e">
        <f>'North America'!H602+"$F;@!1Z$"</f>
        <v>#VALUE!</v>
      </c>
      <c r="DD327" t="e">
        <f>'North America'!A603+"$F;@!1Z%"</f>
        <v>#VALUE!</v>
      </c>
      <c r="DE327" t="e">
        <f>'North America'!B603+"$F;@!1Z&amp;"</f>
        <v>#VALUE!</v>
      </c>
      <c r="DF327" t="e">
        <f>'North America'!C603+"$F;@!1Z'"</f>
        <v>#VALUE!</v>
      </c>
      <c r="DG327" t="e">
        <f>'North America'!D603+"$F;@!1Z("</f>
        <v>#VALUE!</v>
      </c>
      <c r="DH327" t="e">
        <f>'North America'!E603+"$F;@!1Z)"</f>
        <v>#VALUE!</v>
      </c>
      <c r="DI327" t="e">
        <f>'North America'!F603+"$F;@!1Z."</f>
        <v>#VALUE!</v>
      </c>
      <c r="DJ327" t="e">
        <f>'North America'!G603+"$F;@!1Z/"</f>
        <v>#VALUE!</v>
      </c>
      <c r="DK327" t="e">
        <f>'North America'!H603+"$F;@!1Z0"</f>
        <v>#VALUE!</v>
      </c>
      <c r="DL327" t="e">
        <f>'North America'!A604+"$F;@!1Z1"</f>
        <v>#VALUE!</v>
      </c>
      <c r="DM327" t="e">
        <f>'North America'!B604+"$F;@!1Z2"</f>
        <v>#VALUE!</v>
      </c>
      <c r="DN327" t="e">
        <f>'North America'!C604+"$F;@!1Z3"</f>
        <v>#VALUE!</v>
      </c>
      <c r="DO327" t="e">
        <f>'North America'!D604+"$F;@!1Z4"</f>
        <v>#VALUE!</v>
      </c>
      <c r="DP327" t="e">
        <f>'North America'!E604+"$F;@!1Z5"</f>
        <v>#VALUE!</v>
      </c>
      <c r="DQ327" t="e">
        <f>'North America'!F604+"$F;@!1Z6"</f>
        <v>#VALUE!</v>
      </c>
      <c r="DR327" t="e">
        <f>'North America'!G604+"$F;@!1Z7"</f>
        <v>#VALUE!</v>
      </c>
      <c r="DS327" t="e">
        <f>'North America'!H604+"$F;@!1Z8"</f>
        <v>#VALUE!</v>
      </c>
      <c r="DT327" t="e">
        <f>'North America'!A605+"$F;@!1Z9"</f>
        <v>#VALUE!</v>
      </c>
      <c r="DU327" t="e">
        <f>'North America'!B605+"$F;@!1Z:"</f>
        <v>#VALUE!</v>
      </c>
      <c r="DV327" t="e">
        <f>'North America'!C605+"$F;@!1Z;"</f>
        <v>#VALUE!</v>
      </c>
      <c r="DW327" t="e">
        <f>'North America'!D605+"$F;@!1Z&lt;"</f>
        <v>#VALUE!</v>
      </c>
      <c r="DX327" t="e">
        <f>'North America'!E605+"$F;@!1Z="</f>
        <v>#VALUE!</v>
      </c>
      <c r="DY327" t="e">
        <f>'North America'!F605+"$F;@!1Z&gt;"</f>
        <v>#VALUE!</v>
      </c>
      <c r="DZ327" t="e">
        <f>'North America'!G605+"$F;@!1Z?"</f>
        <v>#VALUE!</v>
      </c>
      <c r="EA327" t="e">
        <f>'North America'!H605+"$F;@!1Z@"</f>
        <v>#VALUE!</v>
      </c>
      <c r="EB327" t="e">
        <f>'North America'!A606+"$F;@!1ZA"</f>
        <v>#VALUE!</v>
      </c>
      <c r="EC327" t="e">
        <f>'North America'!B606+"$F;@!1ZB"</f>
        <v>#VALUE!</v>
      </c>
      <c r="ED327" t="e">
        <f>'North America'!C606+"$F;@!1ZC"</f>
        <v>#VALUE!</v>
      </c>
      <c r="EE327" t="e">
        <f>'North America'!D606+"$F;@!1ZD"</f>
        <v>#VALUE!</v>
      </c>
      <c r="EF327" t="e">
        <f>'North America'!E606+"$F;@!1ZE"</f>
        <v>#VALUE!</v>
      </c>
      <c r="EG327" t="e">
        <f>'North America'!F606+"$F;@!1ZF"</f>
        <v>#VALUE!</v>
      </c>
      <c r="EH327" t="e">
        <f>'North America'!G606+"$F;@!1ZG"</f>
        <v>#VALUE!</v>
      </c>
      <c r="EI327" t="e">
        <f>'North America'!H606+"$F;@!1ZH"</f>
        <v>#VALUE!</v>
      </c>
      <c r="EJ327" t="e">
        <f>'North America'!A607+"$F;@!1ZI"</f>
        <v>#VALUE!</v>
      </c>
      <c r="EK327" t="e">
        <f>'North America'!B607+"$F;@!1ZJ"</f>
        <v>#VALUE!</v>
      </c>
      <c r="EL327" t="e">
        <f>'North America'!C607+"$F;@!1ZK"</f>
        <v>#VALUE!</v>
      </c>
      <c r="EM327" t="e">
        <f>'North America'!D607+"$F;@!1ZL"</f>
        <v>#VALUE!</v>
      </c>
      <c r="EN327" t="e">
        <f>'North America'!E607+"$F;@!1ZM"</f>
        <v>#VALUE!</v>
      </c>
      <c r="EO327" t="e">
        <f>'North America'!F607+"$F;@!1ZN"</f>
        <v>#VALUE!</v>
      </c>
      <c r="EP327" t="e">
        <f>'North America'!G607+"$F;@!1ZO"</f>
        <v>#VALUE!</v>
      </c>
      <c r="EQ327" t="e">
        <f>'North America'!H607+"$F;@!1ZP"</f>
        <v>#VALUE!</v>
      </c>
      <c r="ER327" t="e">
        <f>'North America'!A608+"$F;@!1ZQ"</f>
        <v>#VALUE!</v>
      </c>
      <c r="ES327" t="e">
        <f>'North America'!B608+"$F;@!1ZR"</f>
        <v>#VALUE!</v>
      </c>
      <c r="ET327" t="e">
        <f>'North America'!C608+"$F;@!1ZS"</f>
        <v>#VALUE!</v>
      </c>
      <c r="EU327" t="e">
        <f>'North America'!D608+"$F;@!1ZT"</f>
        <v>#VALUE!</v>
      </c>
      <c r="EV327" t="e">
        <f>'North America'!E608+"$F;@!1ZU"</f>
        <v>#VALUE!</v>
      </c>
      <c r="EW327" t="e">
        <f>'North America'!F608+"$F;@!1ZV"</f>
        <v>#VALUE!</v>
      </c>
      <c r="EX327" t="e">
        <f>'North America'!G608+"$F;@!1ZW"</f>
        <v>#VALUE!</v>
      </c>
      <c r="EY327" t="e">
        <f>'North America'!H608+"$F;@!1ZX"</f>
        <v>#VALUE!</v>
      </c>
      <c r="EZ327" t="e">
        <f>'North America'!A609+"$F;@!1ZY"</f>
        <v>#VALUE!</v>
      </c>
      <c r="FA327" t="e">
        <f>'North America'!B609+"$F;@!1ZZ"</f>
        <v>#VALUE!</v>
      </c>
      <c r="FB327" t="e">
        <f>'North America'!C609+"$F;@!1Z["</f>
        <v>#VALUE!</v>
      </c>
      <c r="FC327" t="e">
        <f>'North America'!D609+"$F;@!1Z\"</f>
        <v>#VALUE!</v>
      </c>
      <c r="FD327" t="e">
        <f>'North America'!E609+"$F;@!1Z]"</f>
        <v>#VALUE!</v>
      </c>
      <c r="FE327" t="e">
        <f>'North America'!F609+"$F;@!1Z^"</f>
        <v>#VALUE!</v>
      </c>
      <c r="FF327" t="e">
        <f>'North America'!G609+"$F;@!1Z_"</f>
        <v>#VALUE!</v>
      </c>
      <c r="FG327" t="e">
        <f>'North America'!H609+"$F;@!1Z`"</f>
        <v>#VALUE!</v>
      </c>
      <c r="FH327" t="e">
        <f>'North America'!A610+"$F;@!1Za"</f>
        <v>#VALUE!</v>
      </c>
      <c r="FI327" t="e">
        <f>'North America'!B610+"$F;@!1Zb"</f>
        <v>#VALUE!</v>
      </c>
      <c r="FJ327" t="e">
        <f>'North America'!C610+"$F;@!1Zc"</f>
        <v>#VALUE!</v>
      </c>
      <c r="FK327" t="e">
        <f>'North America'!D610+"$F;@!1Zd"</f>
        <v>#VALUE!</v>
      </c>
      <c r="FL327" t="e">
        <f>'North America'!E610+"$F;@!1Ze"</f>
        <v>#VALUE!</v>
      </c>
      <c r="FM327" t="e">
        <f>'North America'!F610+"$F;@!1Zf"</f>
        <v>#VALUE!</v>
      </c>
      <c r="FN327" t="e">
        <f>'North America'!G610+"$F;@!1Zg"</f>
        <v>#VALUE!</v>
      </c>
      <c r="FO327" t="e">
        <f>'North America'!H610+"$F;@!1Zh"</f>
        <v>#VALUE!</v>
      </c>
      <c r="FP327" t="e">
        <f>'North America'!A611+"$F;@!1Zi"</f>
        <v>#VALUE!</v>
      </c>
      <c r="FQ327" t="e">
        <f>'North America'!B611+"$F;@!1Zj"</f>
        <v>#VALUE!</v>
      </c>
      <c r="FR327" t="e">
        <f>'North America'!C611+"$F;@!1Zk"</f>
        <v>#VALUE!</v>
      </c>
      <c r="FS327" t="e">
        <f>'North America'!D611+"$F;@!1Zl"</f>
        <v>#VALUE!</v>
      </c>
      <c r="FT327" t="e">
        <f>'North America'!E611+"$F;@!1Zm"</f>
        <v>#VALUE!</v>
      </c>
      <c r="FU327" t="e">
        <f>'North America'!F611+"$F;@!1Zn"</f>
        <v>#VALUE!</v>
      </c>
      <c r="FV327" t="e">
        <f>'North America'!G611+"$F;@!1Zo"</f>
        <v>#VALUE!</v>
      </c>
      <c r="FW327" t="e">
        <f>'North America'!H611+"$F;@!1Zp"</f>
        <v>#VALUE!</v>
      </c>
      <c r="FX327" t="e">
        <f>'North America'!A612+"$F;@!1Zq"</f>
        <v>#VALUE!</v>
      </c>
      <c r="FY327" t="e">
        <f>'North America'!B612+"$F;@!1Zr"</f>
        <v>#VALUE!</v>
      </c>
      <c r="FZ327" t="e">
        <f>'North America'!C612+"$F;@!1Zs"</f>
        <v>#VALUE!</v>
      </c>
      <c r="GA327" t="e">
        <f>'North America'!D612+"$F;@!1Zt"</f>
        <v>#VALUE!</v>
      </c>
      <c r="GB327" t="e">
        <f>'North America'!E612+"$F;@!1Zu"</f>
        <v>#VALUE!</v>
      </c>
      <c r="GC327" t="e">
        <f>'North America'!F612+"$F;@!1Zv"</f>
        <v>#VALUE!</v>
      </c>
      <c r="GD327" t="e">
        <f>'North America'!G612+"$F;@!1Zw"</f>
        <v>#VALUE!</v>
      </c>
      <c r="GE327" t="e">
        <f>'North America'!H612+"$F;@!1Zx"</f>
        <v>#VALUE!</v>
      </c>
      <c r="GF327" t="e">
        <f>'North America'!A613+"$F;@!1Zy"</f>
        <v>#VALUE!</v>
      </c>
      <c r="GG327" t="e">
        <f>'North America'!B613+"$F;@!1Zz"</f>
        <v>#VALUE!</v>
      </c>
      <c r="GH327" t="e">
        <f>'North America'!C613+"$F;@!1Z{"</f>
        <v>#VALUE!</v>
      </c>
      <c r="GI327" t="e">
        <f>'North America'!D613+"$F;@!1Z|"</f>
        <v>#VALUE!</v>
      </c>
      <c r="GJ327" t="e">
        <f>'North America'!E613+"$F;@!1Z}"</f>
        <v>#VALUE!</v>
      </c>
      <c r="GK327" t="e">
        <f>'North America'!F613+"$F;@!1Z~"</f>
        <v>#VALUE!</v>
      </c>
      <c r="GL327" t="e">
        <f>'North America'!G613+"$F;@!1[#"</f>
        <v>#VALUE!</v>
      </c>
      <c r="GM327" t="e">
        <f>'North America'!H613+"$F;@!1[$"</f>
        <v>#VALUE!</v>
      </c>
      <c r="GN327" t="e">
        <f>'North America'!A614+"$F;@!1[%"</f>
        <v>#VALUE!</v>
      </c>
      <c r="GO327" t="e">
        <f>'North America'!B614+"$F;@!1[&amp;"</f>
        <v>#VALUE!</v>
      </c>
      <c r="GP327" t="e">
        <f>'North America'!C614+"$F;@!1['"</f>
        <v>#VALUE!</v>
      </c>
      <c r="GQ327" t="e">
        <f>'North America'!D614+"$F;@!1[("</f>
        <v>#VALUE!</v>
      </c>
      <c r="GR327" t="e">
        <f>'North America'!E614+"$F;@!1[)"</f>
        <v>#VALUE!</v>
      </c>
      <c r="GS327" t="e">
        <f>'North America'!F614+"$F;@!1[."</f>
        <v>#VALUE!</v>
      </c>
      <c r="GT327" t="e">
        <f>'North America'!G614+"$F;@!1[/"</f>
        <v>#VALUE!</v>
      </c>
      <c r="GU327" t="e">
        <f>'North America'!H614+"$F;@!1[0"</f>
        <v>#VALUE!</v>
      </c>
      <c r="GV327" t="e">
        <f>'North America'!A615+"$F;@!1[1"</f>
        <v>#VALUE!</v>
      </c>
      <c r="GW327" t="e">
        <f>'North America'!B615+"$F;@!1[2"</f>
        <v>#VALUE!</v>
      </c>
      <c r="GX327" t="e">
        <f>'North America'!C615+"$F;@!1[3"</f>
        <v>#VALUE!</v>
      </c>
      <c r="GY327" t="e">
        <f>'North America'!D615+"$F;@!1[4"</f>
        <v>#VALUE!</v>
      </c>
      <c r="GZ327" t="e">
        <f>'North America'!E615+"$F;@!1[5"</f>
        <v>#VALUE!</v>
      </c>
      <c r="HA327" t="e">
        <f>'North America'!F615+"$F;@!1[6"</f>
        <v>#VALUE!</v>
      </c>
      <c r="HB327" t="e">
        <f>'North America'!G615+"$F;@!1[7"</f>
        <v>#VALUE!</v>
      </c>
      <c r="HC327" t="e">
        <f>'North America'!H615+"$F;@!1[8"</f>
        <v>#VALUE!</v>
      </c>
      <c r="HD327" t="e">
        <f>'North America'!A616+"$F;@!1[9"</f>
        <v>#VALUE!</v>
      </c>
      <c r="HE327" t="e">
        <f>'North America'!B616+"$F;@!1[:"</f>
        <v>#VALUE!</v>
      </c>
      <c r="HF327" t="e">
        <f>'North America'!C616+"$F;@!1[;"</f>
        <v>#VALUE!</v>
      </c>
      <c r="HG327" t="e">
        <f>'North America'!D616+"$F;@!1[&lt;"</f>
        <v>#VALUE!</v>
      </c>
      <c r="HH327" t="e">
        <f>'North America'!E616+"$F;@!1[="</f>
        <v>#VALUE!</v>
      </c>
      <c r="HI327" t="e">
        <f>'North America'!F616+"$F;@!1[&gt;"</f>
        <v>#VALUE!</v>
      </c>
      <c r="HJ327" t="e">
        <f>'North America'!G616+"$F;@!1[?"</f>
        <v>#VALUE!</v>
      </c>
      <c r="HK327" t="e">
        <f>'North America'!H616+"$F;@!1[@"</f>
        <v>#VALUE!</v>
      </c>
      <c r="HL327" t="e">
        <f>'North America'!A617+"$F;@!1[A"</f>
        <v>#VALUE!</v>
      </c>
      <c r="HM327" t="e">
        <f>'North America'!B617+"$F;@!1[B"</f>
        <v>#VALUE!</v>
      </c>
      <c r="HN327" t="e">
        <f>'North America'!C617+"$F;@!1[C"</f>
        <v>#VALUE!</v>
      </c>
      <c r="HO327" t="e">
        <f>'North America'!D617+"$F;@!1[D"</f>
        <v>#VALUE!</v>
      </c>
      <c r="HP327" t="e">
        <f>'North America'!E617+"$F;@!1[E"</f>
        <v>#VALUE!</v>
      </c>
      <c r="HQ327" t="e">
        <f>'North America'!F617+"$F;@!1[F"</f>
        <v>#VALUE!</v>
      </c>
      <c r="HR327" t="e">
        <f>'North America'!G617+"$F;@!1[G"</f>
        <v>#VALUE!</v>
      </c>
      <c r="HS327" t="e">
        <f>'North America'!H617+"$F;@!1[H"</f>
        <v>#VALUE!</v>
      </c>
      <c r="HT327" t="e">
        <f>'North America'!A618+"$F;@!1[I"</f>
        <v>#VALUE!</v>
      </c>
      <c r="HU327" t="e">
        <f>'North America'!B618+"$F;@!1[J"</f>
        <v>#VALUE!</v>
      </c>
      <c r="HV327" t="e">
        <f>'North America'!C618+"$F;@!1[K"</f>
        <v>#VALUE!</v>
      </c>
      <c r="HW327" t="e">
        <f>'North America'!D618+"$F;@!1[L"</f>
        <v>#VALUE!</v>
      </c>
      <c r="HX327" t="e">
        <f>'North America'!E618+"$F;@!1[M"</f>
        <v>#VALUE!</v>
      </c>
      <c r="HY327" t="e">
        <f>'North America'!F618+"$F;@!1[N"</f>
        <v>#VALUE!</v>
      </c>
      <c r="HZ327" t="e">
        <f>'North America'!G618+"$F;@!1[O"</f>
        <v>#VALUE!</v>
      </c>
      <c r="IA327" t="e">
        <f>'North America'!H618+"$F;@!1[P"</f>
        <v>#VALUE!</v>
      </c>
      <c r="IB327" t="e">
        <f>'North America'!A619+"$F;@!1[Q"</f>
        <v>#VALUE!</v>
      </c>
      <c r="IC327" t="e">
        <f>'North America'!B619+"$F;@!1[R"</f>
        <v>#VALUE!</v>
      </c>
      <c r="ID327" t="e">
        <f>'North America'!C619+"$F;@!1[S"</f>
        <v>#VALUE!</v>
      </c>
      <c r="IE327" t="e">
        <f>'North America'!D619+"$F;@!1[T"</f>
        <v>#VALUE!</v>
      </c>
      <c r="IF327" t="e">
        <f>'North America'!E619+"$F;@!1[U"</f>
        <v>#VALUE!</v>
      </c>
      <c r="IG327" t="e">
        <f>'North America'!F619+"$F;@!1[V"</f>
        <v>#VALUE!</v>
      </c>
      <c r="IH327" t="e">
        <f>'North America'!G619+"$F;@!1[W"</f>
        <v>#VALUE!</v>
      </c>
      <c r="II327" t="e">
        <f>'North America'!H619+"$F;@!1[X"</f>
        <v>#VALUE!</v>
      </c>
      <c r="IJ327" t="e">
        <f>'North America'!A620+"$F;@!1[Y"</f>
        <v>#VALUE!</v>
      </c>
      <c r="IK327" t="e">
        <f>'North America'!B620+"$F;@!1[Z"</f>
        <v>#VALUE!</v>
      </c>
      <c r="IL327" t="e">
        <f>'North America'!C620+"$F;@!1[["</f>
        <v>#VALUE!</v>
      </c>
      <c r="IM327" t="e">
        <f>'North America'!D620+"$F;@!1[\"</f>
        <v>#VALUE!</v>
      </c>
      <c r="IN327" t="e">
        <f>'North America'!E620+"$F;@!1[]"</f>
        <v>#VALUE!</v>
      </c>
      <c r="IO327" t="e">
        <f>'North America'!F620+"$F;@!1[^"</f>
        <v>#VALUE!</v>
      </c>
      <c r="IP327" t="e">
        <f>'North America'!G620+"$F;@!1[_"</f>
        <v>#VALUE!</v>
      </c>
      <c r="IQ327" t="e">
        <f>'North America'!H620+"$F;@!1[`"</f>
        <v>#VALUE!</v>
      </c>
      <c r="IR327" t="e">
        <f>'North America'!A621+"$F;@!1[a"</f>
        <v>#VALUE!</v>
      </c>
      <c r="IS327" t="e">
        <f>'North America'!B621+"$F;@!1[b"</f>
        <v>#VALUE!</v>
      </c>
      <c r="IT327" t="e">
        <f>'North America'!C621+"$F;@!1[c"</f>
        <v>#VALUE!</v>
      </c>
      <c r="IU327" t="e">
        <f>'North America'!D621+"$F;@!1[d"</f>
        <v>#VALUE!</v>
      </c>
      <c r="IV327" t="e">
        <f>'North America'!E621+"$F;@!1[e"</f>
        <v>#VALUE!</v>
      </c>
    </row>
    <row r="328" spans="6:256" x14ac:dyDescent="0.35">
      <c r="F328" t="e">
        <f>'North America'!F621+"$F;@!1[f"</f>
        <v>#VALUE!</v>
      </c>
      <c r="G328" t="e">
        <f>'North America'!G621+"$F;@!1[g"</f>
        <v>#VALUE!</v>
      </c>
      <c r="H328" t="e">
        <f>'North America'!H621+"$F;@!1[h"</f>
        <v>#VALUE!</v>
      </c>
      <c r="I328" t="e">
        <f>'North America'!A622+"$F;@!1[i"</f>
        <v>#VALUE!</v>
      </c>
      <c r="J328" t="e">
        <f>'North America'!B622+"$F;@!1[j"</f>
        <v>#VALUE!</v>
      </c>
      <c r="K328" t="e">
        <f>'North America'!C622+"$F;@!1[k"</f>
        <v>#VALUE!</v>
      </c>
      <c r="L328" t="e">
        <f>'North America'!D622+"$F;@!1[l"</f>
        <v>#VALUE!</v>
      </c>
      <c r="M328" t="e">
        <f>'North America'!E622+"$F;@!1[m"</f>
        <v>#VALUE!</v>
      </c>
      <c r="N328" t="e">
        <f>'North America'!F622+"$F;@!1[n"</f>
        <v>#VALUE!</v>
      </c>
      <c r="O328" t="e">
        <f>'North America'!G622+"$F;@!1[o"</f>
        <v>#VALUE!</v>
      </c>
      <c r="P328" t="e">
        <f>'North America'!H622+"$F;@!1[p"</f>
        <v>#VALUE!</v>
      </c>
      <c r="Q328" t="e">
        <f>'North America'!A623+"$F;@!1[q"</f>
        <v>#VALUE!</v>
      </c>
      <c r="R328" t="e">
        <f>'North America'!B623+"$F;@!1[r"</f>
        <v>#VALUE!</v>
      </c>
      <c r="S328" t="e">
        <f>'North America'!C623+"$F;@!1[s"</f>
        <v>#VALUE!</v>
      </c>
      <c r="T328" t="e">
        <f>'North America'!D623+"$F;@!1[t"</f>
        <v>#VALUE!</v>
      </c>
      <c r="U328" t="e">
        <f>'North America'!E623+"$F;@!1[u"</f>
        <v>#VALUE!</v>
      </c>
      <c r="V328" t="e">
        <f>'North America'!F623+"$F;@!1[v"</f>
        <v>#VALUE!</v>
      </c>
      <c r="W328" t="e">
        <f>'North America'!G623+"$F;@!1[w"</f>
        <v>#VALUE!</v>
      </c>
      <c r="X328" t="e">
        <f>'North America'!H623+"$F;@!1[x"</f>
        <v>#VALUE!</v>
      </c>
      <c r="Y328" t="e">
        <f>'North America'!A624+"$F;@!1[y"</f>
        <v>#VALUE!</v>
      </c>
      <c r="Z328" t="e">
        <f>'North America'!B624+"$F;@!1[z"</f>
        <v>#VALUE!</v>
      </c>
      <c r="AA328" t="e">
        <f>'North America'!C624+"$F;@!1[{"</f>
        <v>#VALUE!</v>
      </c>
      <c r="AB328" t="e">
        <f>'North America'!D624+"$F;@!1[|"</f>
        <v>#VALUE!</v>
      </c>
      <c r="AC328" t="e">
        <f>'North America'!E624+"$F;@!1[}"</f>
        <v>#VALUE!</v>
      </c>
      <c r="AD328" t="e">
        <f>'North America'!F624+"$F;@!1[~"</f>
        <v>#VALUE!</v>
      </c>
      <c r="AE328" t="e">
        <f>'North America'!G624+"$F;@!1\#"</f>
        <v>#VALUE!</v>
      </c>
      <c r="AF328" t="e">
        <f>'North America'!H624+"$F;@!1\$"</f>
        <v>#VALUE!</v>
      </c>
      <c r="AG328" t="e">
        <f>'North America'!A625+"$F;@!1\%"</f>
        <v>#VALUE!</v>
      </c>
      <c r="AH328" t="e">
        <f>'North America'!B625+"$F;@!1\&amp;"</f>
        <v>#VALUE!</v>
      </c>
      <c r="AI328" t="e">
        <f>'North America'!C625+"$F;@!1\'"</f>
        <v>#VALUE!</v>
      </c>
      <c r="AJ328" t="e">
        <f>'North America'!D625+"$F;@!1\("</f>
        <v>#VALUE!</v>
      </c>
      <c r="AK328" t="e">
        <f>'North America'!E625+"$F;@!1\)"</f>
        <v>#VALUE!</v>
      </c>
      <c r="AL328" t="e">
        <f>'North America'!F625+"$F;@!1\."</f>
        <v>#VALUE!</v>
      </c>
      <c r="AM328" t="e">
        <f>'North America'!G625+"$F;@!1\/"</f>
        <v>#VALUE!</v>
      </c>
      <c r="AN328" t="e">
        <f>'North America'!H625+"$F;@!1\0"</f>
        <v>#VALUE!</v>
      </c>
      <c r="AO328" t="e">
        <f>'North America'!A626+"$F;@!1\1"</f>
        <v>#VALUE!</v>
      </c>
      <c r="AP328" t="e">
        <f>'North America'!B626+"$F;@!1\2"</f>
        <v>#VALUE!</v>
      </c>
      <c r="AQ328" t="e">
        <f>'North America'!C626+"$F;@!1\3"</f>
        <v>#VALUE!</v>
      </c>
      <c r="AR328" t="e">
        <f>'North America'!D626+"$F;@!1\4"</f>
        <v>#VALUE!</v>
      </c>
      <c r="AS328" t="e">
        <f>'North America'!E626+"$F;@!1\5"</f>
        <v>#VALUE!</v>
      </c>
      <c r="AT328" t="e">
        <f>'North America'!F626+"$F;@!1\6"</f>
        <v>#VALUE!</v>
      </c>
      <c r="AU328" t="e">
        <f>'North America'!G626+"$F;@!1\7"</f>
        <v>#VALUE!</v>
      </c>
      <c r="AV328" t="e">
        <f>'North America'!H626+"$F;@!1\8"</f>
        <v>#VALUE!</v>
      </c>
      <c r="AW328" t="e">
        <f>'North America'!A627+"$F;@!1\9"</f>
        <v>#VALUE!</v>
      </c>
      <c r="AX328" t="e">
        <f>'North America'!B627+"$F;@!1\:"</f>
        <v>#VALUE!</v>
      </c>
      <c r="AY328" t="e">
        <f>'North America'!C627+"$F;@!1\;"</f>
        <v>#VALUE!</v>
      </c>
      <c r="AZ328" t="e">
        <f>'North America'!D627+"$F;@!1\&lt;"</f>
        <v>#VALUE!</v>
      </c>
      <c r="BA328" t="e">
        <f>'North America'!E627+"$F;@!1\="</f>
        <v>#VALUE!</v>
      </c>
      <c r="BB328" t="e">
        <f>'North America'!F627+"$F;@!1\&gt;"</f>
        <v>#VALUE!</v>
      </c>
      <c r="BC328" t="e">
        <f>'North America'!G627+"$F;@!1\?"</f>
        <v>#VALUE!</v>
      </c>
      <c r="BD328" t="e">
        <f>'North America'!H627+"$F;@!1\@"</f>
        <v>#VALUE!</v>
      </c>
      <c r="BE328" t="e">
        <f>'North America'!A628+"$F;@!1\A"</f>
        <v>#VALUE!</v>
      </c>
      <c r="BF328" t="e">
        <f>'North America'!B628+"$F;@!1\B"</f>
        <v>#VALUE!</v>
      </c>
      <c r="BG328" t="e">
        <f>'North America'!C628+"$F;@!1\C"</f>
        <v>#VALUE!</v>
      </c>
      <c r="BH328" t="e">
        <f>'North America'!D628+"$F;@!1\D"</f>
        <v>#VALUE!</v>
      </c>
      <c r="BI328" t="e">
        <f>'North America'!E628+"$F;@!1\E"</f>
        <v>#VALUE!</v>
      </c>
      <c r="BJ328" t="e">
        <f>'North America'!F628+"$F;@!1\F"</f>
        <v>#VALUE!</v>
      </c>
      <c r="BK328" t="e">
        <f>'North America'!G628+"$F;@!1\G"</f>
        <v>#VALUE!</v>
      </c>
      <c r="BL328" t="e">
        <f>'North America'!H628+"$F;@!1\H"</f>
        <v>#VALUE!</v>
      </c>
      <c r="BM328" t="e">
        <f>'North America'!A629+"$F;@!1\I"</f>
        <v>#VALUE!</v>
      </c>
      <c r="BN328" t="e">
        <f>'North America'!B629+"$F;@!1\J"</f>
        <v>#VALUE!</v>
      </c>
      <c r="BO328" t="e">
        <f>'North America'!C629+"$F;@!1\K"</f>
        <v>#VALUE!</v>
      </c>
      <c r="BP328" t="e">
        <f>'North America'!D629+"$F;@!1\L"</f>
        <v>#VALUE!</v>
      </c>
      <c r="BQ328" t="e">
        <f>'North America'!E629+"$F;@!1\M"</f>
        <v>#VALUE!</v>
      </c>
      <c r="BR328" t="e">
        <f>'North America'!F629+"$F;@!1\N"</f>
        <v>#VALUE!</v>
      </c>
      <c r="BS328" t="e">
        <f>'North America'!G629+"$F;@!1\O"</f>
        <v>#VALUE!</v>
      </c>
      <c r="BT328" t="e">
        <f>'North America'!H629+"$F;@!1\P"</f>
        <v>#VALUE!</v>
      </c>
      <c r="BU328" t="e">
        <f>'North America'!A630+"$F;@!1\Q"</f>
        <v>#VALUE!</v>
      </c>
      <c r="BV328" t="e">
        <f>'North America'!B630+"$F;@!1\R"</f>
        <v>#VALUE!</v>
      </c>
      <c r="BW328" t="e">
        <f>'North America'!C630+"$F;@!1\S"</f>
        <v>#VALUE!</v>
      </c>
      <c r="BX328" t="e">
        <f>'North America'!D630+"$F;@!1\T"</f>
        <v>#VALUE!</v>
      </c>
      <c r="BY328" t="e">
        <f>'North America'!E630+"$F;@!1\U"</f>
        <v>#VALUE!</v>
      </c>
      <c r="BZ328" t="e">
        <f>'North America'!F630+"$F;@!1\V"</f>
        <v>#VALUE!</v>
      </c>
      <c r="CA328" t="e">
        <f>'North America'!G630+"$F;@!1\W"</f>
        <v>#VALUE!</v>
      </c>
      <c r="CB328" t="e">
        <f>'North America'!H630+"$F;@!1\X"</f>
        <v>#VALUE!</v>
      </c>
      <c r="CC328" t="e">
        <f>'North America'!A631+"$F;@!1\Y"</f>
        <v>#VALUE!</v>
      </c>
      <c r="CD328" t="e">
        <f>'North America'!B631+"$F;@!1\Z"</f>
        <v>#VALUE!</v>
      </c>
      <c r="CE328" t="e">
        <f>'North America'!C631+"$F;@!1\["</f>
        <v>#VALUE!</v>
      </c>
      <c r="CF328" t="e">
        <f>'North America'!D631+"$F;@!1\\"</f>
        <v>#VALUE!</v>
      </c>
      <c r="CG328" t="e">
        <f>'North America'!E631+"$F;@!1\]"</f>
        <v>#VALUE!</v>
      </c>
      <c r="CH328" t="e">
        <f>'North America'!F631+"$F;@!1\^"</f>
        <v>#VALUE!</v>
      </c>
      <c r="CI328" t="e">
        <f>'North America'!G631+"$F;@!1\_"</f>
        <v>#VALUE!</v>
      </c>
      <c r="CJ328" t="e">
        <f>'North America'!H631+"$F;@!1\`"</f>
        <v>#VALUE!</v>
      </c>
      <c r="CK328" t="e">
        <f>'North America'!A632+"$F;@!1\a"</f>
        <v>#VALUE!</v>
      </c>
      <c r="CL328" t="e">
        <f>'North America'!B632+"$F;@!1\b"</f>
        <v>#VALUE!</v>
      </c>
      <c r="CM328" t="e">
        <f>'North America'!C632+"$F;@!1\c"</f>
        <v>#VALUE!</v>
      </c>
      <c r="CN328" t="e">
        <f>'North America'!D632+"$F;@!1\d"</f>
        <v>#VALUE!</v>
      </c>
      <c r="CO328" t="e">
        <f>'North America'!E632+"$F;@!1\e"</f>
        <v>#VALUE!</v>
      </c>
      <c r="CP328" t="e">
        <f>'North America'!F632+"$F;@!1\f"</f>
        <v>#VALUE!</v>
      </c>
      <c r="CQ328" t="e">
        <f>'North America'!G632+"$F;@!1\g"</f>
        <v>#VALUE!</v>
      </c>
      <c r="CR328" t="e">
        <f>'North America'!H632+"$F;@!1\h"</f>
        <v>#VALUE!</v>
      </c>
      <c r="CS328" t="e">
        <f>'North America'!A633+"$F;@!1\i"</f>
        <v>#VALUE!</v>
      </c>
      <c r="CT328" t="e">
        <f>'North America'!B633+"$F;@!1\j"</f>
        <v>#VALUE!</v>
      </c>
      <c r="CU328" t="e">
        <f>'North America'!C633+"$F;@!1\k"</f>
        <v>#VALUE!</v>
      </c>
      <c r="CV328" t="e">
        <f>'North America'!D633+"$F;@!1\l"</f>
        <v>#VALUE!</v>
      </c>
      <c r="CW328" t="e">
        <f>'North America'!E633+"$F;@!1\m"</f>
        <v>#VALUE!</v>
      </c>
      <c r="CX328" t="e">
        <f>'North America'!F633+"$F;@!1\n"</f>
        <v>#VALUE!</v>
      </c>
      <c r="CY328" t="e">
        <f>'North America'!G633+"$F;@!1\o"</f>
        <v>#VALUE!</v>
      </c>
      <c r="CZ328" t="e">
        <f>'North America'!H633+"$F;@!1\p"</f>
        <v>#VALUE!</v>
      </c>
      <c r="DA328" t="e">
        <f>'North America'!A634+"$F;@!1\q"</f>
        <v>#VALUE!</v>
      </c>
      <c r="DB328" t="e">
        <f>'North America'!B634+"$F;@!1\r"</f>
        <v>#VALUE!</v>
      </c>
      <c r="DC328" t="e">
        <f>'North America'!C634+"$F;@!1\s"</f>
        <v>#VALUE!</v>
      </c>
      <c r="DD328" t="e">
        <f>'North America'!D634+"$F;@!1\t"</f>
        <v>#VALUE!</v>
      </c>
      <c r="DE328" t="e">
        <f>'North America'!E634+"$F;@!1\u"</f>
        <v>#VALUE!</v>
      </c>
      <c r="DF328" t="e">
        <f>'North America'!F634+"$F;@!1\v"</f>
        <v>#VALUE!</v>
      </c>
      <c r="DG328" t="e">
        <f>'North America'!G634+"$F;@!1\w"</f>
        <v>#VALUE!</v>
      </c>
      <c r="DH328" t="e">
        <f>'North America'!H634+"$F;@!1\x"</f>
        <v>#VALUE!</v>
      </c>
      <c r="DI328" t="e">
        <f>'North America'!A635+"$F;@!1\y"</f>
        <v>#VALUE!</v>
      </c>
      <c r="DJ328" t="e">
        <f>'North America'!B635+"$F;@!1\z"</f>
        <v>#VALUE!</v>
      </c>
      <c r="DK328" t="e">
        <f>'North America'!C635+"$F;@!1\{"</f>
        <v>#VALUE!</v>
      </c>
      <c r="DL328" t="e">
        <f>'North America'!D635+"$F;@!1\|"</f>
        <v>#VALUE!</v>
      </c>
      <c r="DM328" t="e">
        <f>'North America'!E635+"$F;@!1\}"</f>
        <v>#VALUE!</v>
      </c>
      <c r="DN328" t="e">
        <f>'North America'!F635+"$F;@!1\~"</f>
        <v>#VALUE!</v>
      </c>
      <c r="DO328" t="e">
        <f>'North America'!G635+"$F;@!1]#"</f>
        <v>#VALUE!</v>
      </c>
      <c r="DP328" t="e">
        <f>'North America'!H635+"$F;@!1]$"</f>
        <v>#VALUE!</v>
      </c>
      <c r="DQ328" t="e">
        <f>'North America'!A636+"$F;@!1]%"</f>
        <v>#VALUE!</v>
      </c>
      <c r="DR328" t="e">
        <f>'North America'!B636+"$F;@!1]&amp;"</f>
        <v>#VALUE!</v>
      </c>
      <c r="DS328" t="e">
        <f>'North America'!C636+"$F;@!1]'"</f>
        <v>#VALUE!</v>
      </c>
      <c r="DT328" t="e">
        <f>'North America'!D636+"$F;@!1]("</f>
        <v>#VALUE!</v>
      </c>
      <c r="DU328" t="e">
        <f>'North America'!E636+"$F;@!1])"</f>
        <v>#VALUE!</v>
      </c>
      <c r="DV328" t="e">
        <f>'North America'!F636+"$F;@!1]."</f>
        <v>#VALUE!</v>
      </c>
      <c r="DW328" t="e">
        <f>'North America'!G636+"$F;@!1]/"</f>
        <v>#VALUE!</v>
      </c>
      <c r="DX328" t="e">
        <f>'North America'!H636+"$F;@!1]0"</f>
        <v>#VALUE!</v>
      </c>
      <c r="DY328" t="e">
        <f>'North America'!A637+"$F;@!1]1"</f>
        <v>#VALUE!</v>
      </c>
      <c r="DZ328" t="e">
        <f>'North America'!B637+"$F;@!1]2"</f>
        <v>#VALUE!</v>
      </c>
      <c r="EA328" t="e">
        <f>'North America'!C637+"$F;@!1]3"</f>
        <v>#VALUE!</v>
      </c>
      <c r="EB328" t="e">
        <f>'North America'!D637+"$F;@!1]4"</f>
        <v>#VALUE!</v>
      </c>
      <c r="EC328" t="e">
        <f>'North America'!E637+"$F;@!1]5"</f>
        <v>#VALUE!</v>
      </c>
      <c r="ED328" t="e">
        <f>'North America'!F637+"$F;@!1]6"</f>
        <v>#VALUE!</v>
      </c>
      <c r="EE328" t="e">
        <f>'North America'!G637+"$F;@!1]7"</f>
        <v>#VALUE!</v>
      </c>
      <c r="EF328" t="e">
        <f>'North America'!H637+"$F;@!1]8"</f>
        <v>#VALUE!</v>
      </c>
      <c r="EG328" t="e">
        <f>'North America'!A638+"$F;@!1]9"</f>
        <v>#VALUE!</v>
      </c>
      <c r="EH328" t="e">
        <f>'North America'!B638+"$F;@!1]:"</f>
        <v>#VALUE!</v>
      </c>
      <c r="EI328" t="e">
        <f>'North America'!C638+"$F;@!1];"</f>
        <v>#VALUE!</v>
      </c>
      <c r="EJ328" t="e">
        <f>'North America'!D638+"$F;@!1]&lt;"</f>
        <v>#VALUE!</v>
      </c>
      <c r="EK328" t="e">
        <f>'North America'!E638+"$F;@!1]="</f>
        <v>#VALUE!</v>
      </c>
      <c r="EL328" t="e">
        <f>'North America'!F638+"$F;@!1]&gt;"</f>
        <v>#VALUE!</v>
      </c>
      <c r="EM328" t="e">
        <f>'North America'!G638+"$F;@!1]?"</f>
        <v>#VALUE!</v>
      </c>
      <c r="EN328" t="e">
        <f>'North America'!H638+"$F;@!1]@"</f>
        <v>#VALUE!</v>
      </c>
      <c r="EO328" t="e">
        <f>'North America'!A639+"$F;@!1]A"</f>
        <v>#VALUE!</v>
      </c>
      <c r="EP328" t="e">
        <f>'North America'!B639+"$F;@!1]B"</f>
        <v>#VALUE!</v>
      </c>
      <c r="EQ328" t="e">
        <f>'North America'!C639+"$F;@!1]C"</f>
        <v>#VALUE!</v>
      </c>
      <c r="ER328" t="e">
        <f>'North America'!D639+"$F;@!1]D"</f>
        <v>#VALUE!</v>
      </c>
      <c r="ES328" t="e">
        <f>'North America'!E639+"$F;@!1]E"</f>
        <v>#VALUE!</v>
      </c>
      <c r="ET328" t="e">
        <f>'North America'!F639+"$F;@!1]F"</f>
        <v>#VALUE!</v>
      </c>
      <c r="EU328" t="e">
        <f>'North America'!G639+"$F;@!1]G"</f>
        <v>#VALUE!</v>
      </c>
      <c r="EV328" t="e">
        <f>'North America'!H639+"$F;@!1]H"</f>
        <v>#VALUE!</v>
      </c>
      <c r="EW328" t="e">
        <f>'North America'!A640+"$F;@!1]I"</f>
        <v>#VALUE!</v>
      </c>
      <c r="EX328" t="e">
        <f>'North America'!B640+"$F;@!1]J"</f>
        <v>#VALUE!</v>
      </c>
      <c r="EY328" t="e">
        <f>'North America'!C640+"$F;@!1]K"</f>
        <v>#VALUE!</v>
      </c>
      <c r="EZ328" t="e">
        <f>'North America'!D640+"$F;@!1]L"</f>
        <v>#VALUE!</v>
      </c>
      <c r="FA328" t="e">
        <f>'North America'!E640+"$F;@!1]M"</f>
        <v>#VALUE!</v>
      </c>
      <c r="FB328" t="e">
        <f>'North America'!F640+"$F;@!1]N"</f>
        <v>#VALUE!</v>
      </c>
      <c r="FC328" t="e">
        <f>'North America'!G640+"$F;@!1]O"</f>
        <v>#VALUE!</v>
      </c>
      <c r="FD328" t="e">
        <f>'North America'!H640+"$F;@!1]P"</f>
        <v>#VALUE!</v>
      </c>
      <c r="FE328" t="e">
        <f>'North America'!A641+"$F;@!1]Q"</f>
        <v>#VALUE!</v>
      </c>
      <c r="FF328" t="e">
        <f>'North America'!B641+"$F;@!1]R"</f>
        <v>#VALUE!</v>
      </c>
      <c r="FG328" t="e">
        <f>'North America'!C641+"$F;@!1]S"</f>
        <v>#VALUE!</v>
      </c>
      <c r="FH328" t="e">
        <f>'North America'!D641+"$F;@!1]T"</f>
        <v>#VALUE!</v>
      </c>
      <c r="FI328" t="e">
        <f>'North America'!E641+"$F;@!1]U"</f>
        <v>#VALUE!</v>
      </c>
      <c r="FJ328" t="e">
        <f>'North America'!F641+"$F;@!1]V"</f>
        <v>#VALUE!</v>
      </c>
      <c r="FK328" t="e">
        <f>'North America'!G641+"$F;@!1]W"</f>
        <v>#VALUE!</v>
      </c>
      <c r="FL328" t="e">
        <f>'North America'!H641+"$F;@!1]X"</f>
        <v>#VALUE!</v>
      </c>
      <c r="FM328" t="e">
        <f>'North America'!A642+"$F;@!1]Y"</f>
        <v>#VALUE!</v>
      </c>
      <c r="FN328" t="e">
        <f>'North America'!B642+"$F;@!1]Z"</f>
        <v>#VALUE!</v>
      </c>
      <c r="FO328" t="e">
        <f>'North America'!C642+"$F;@!1]["</f>
        <v>#VALUE!</v>
      </c>
      <c r="FP328" t="e">
        <f>'North America'!D642+"$F;@!1]\"</f>
        <v>#VALUE!</v>
      </c>
      <c r="FQ328" t="e">
        <f>'North America'!E642+"$F;@!1]]"</f>
        <v>#VALUE!</v>
      </c>
      <c r="FR328" t="e">
        <f>'North America'!F642+"$F;@!1]^"</f>
        <v>#VALUE!</v>
      </c>
      <c r="FS328" t="e">
        <f>'North America'!G642+"$F;@!1]_"</f>
        <v>#VALUE!</v>
      </c>
      <c r="FT328" t="e">
        <f>'North America'!H642+"$F;@!1]`"</f>
        <v>#VALUE!</v>
      </c>
      <c r="FU328" t="e">
        <f>'North America'!A643+"$F;@!1]a"</f>
        <v>#VALUE!</v>
      </c>
      <c r="FV328" t="e">
        <f>'North America'!B643+"$F;@!1]b"</f>
        <v>#VALUE!</v>
      </c>
      <c r="FW328" t="e">
        <f>'North America'!C643+"$F;@!1]c"</f>
        <v>#VALUE!</v>
      </c>
      <c r="FX328" t="e">
        <f>'North America'!D643+"$F;@!1]d"</f>
        <v>#VALUE!</v>
      </c>
      <c r="FY328" t="e">
        <f>'North America'!E643+"$F;@!1]e"</f>
        <v>#VALUE!</v>
      </c>
      <c r="FZ328" t="e">
        <f>'North America'!F643+"$F;@!1]f"</f>
        <v>#VALUE!</v>
      </c>
      <c r="GA328" t="e">
        <f>'North America'!G643+"$F;@!1]g"</f>
        <v>#VALUE!</v>
      </c>
      <c r="GB328" t="e">
        <f>'North America'!H643+"$F;@!1]h"</f>
        <v>#VALUE!</v>
      </c>
      <c r="GC328" t="e">
        <f>'North America'!A644+"$F;@!1]i"</f>
        <v>#VALUE!</v>
      </c>
      <c r="GD328" t="e">
        <f>'North America'!B644+"$F;@!1]j"</f>
        <v>#VALUE!</v>
      </c>
      <c r="GE328" t="e">
        <f>'North America'!C644+"$F;@!1]k"</f>
        <v>#VALUE!</v>
      </c>
      <c r="GF328" t="e">
        <f>'North America'!D644+"$F;@!1]l"</f>
        <v>#VALUE!</v>
      </c>
      <c r="GG328" t="e">
        <f>'North America'!E644+"$F;@!1]m"</f>
        <v>#VALUE!</v>
      </c>
      <c r="GH328" t="e">
        <f>'North America'!F644+"$F;@!1]n"</f>
        <v>#VALUE!</v>
      </c>
      <c r="GI328" t="e">
        <f>'North America'!G644+"$F;@!1]o"</f>
        <v>#VALUE!</v>
      </c>
      <c r="GJ328" t="e">
        <f>'North America'!H644+"$F;@!1]p"</f>
        <v>#VALUE!</v>
      </c>
      <c r="GK328" t="e">
        <f>'North America'!A645+"$F;@!1]q"</f>
        <v>#VALUE!</v>
      </c>
      <c r="GL328" t="e">
        <f>'North America'!B645+"$F;@!1]r"</f>
        <v>#VALUE!</v>
      </c>
      <c r="GM328" t="e">
        <f>'North America'!C645+"$F;@!1]s"</f>
        <v>#VALUE!</v>
      </c>
      <c r="GN328" t="e">
        <f>'North America'!D645+"$F;@!1]t"</f>
        <v>#VALUE!</v>
      </c>
      <c r="GO328" t="e">
        <f>'North America'!E645+"$F;@!1]u"</f>
        <v>#VALUE!</v>
      </c>
      <c r="GP328" t="e">
        <f>'North America'!F645+"$F;@!1]v"</f>
        <v>#VALUE!</v>
      </c>
      <c r="GQ328" t="e">
        <f>'North America'!G645+"$F;@!1]w"</f>
        <v>#VALUE!</v>
      </c>
      <c r="GR328" t="e">
        <f>'North America'!H645+"$F;@!1]x"</f>
        <v>#VALUE!</v>
      </c>
      <c r="GS328" t="e">
        <f>'North America'!A646+"$F;@!1]y"</f>
        <v>#VALUE!</v>
      </c>
      <c r="GT328" t="e">
        <f>'North America'!B646+"$F;@!1]z"</f>
        <v>#VALUE!</v>
      </c>
      <c r="GU328" t="e">
        <f>'North America'!C646+"$F;@!1]{"</f>
        <v>#VALUE!</v>
      </c>
      <c r="GV328" t="e">
        <f>'North America'!D646+"$F;@!1]|"</f>
        <v>#VALUE!</v>
      </c>
      <c r="GW328" t="e">
        <f>'North America'!E646+"$F;@!1]}"</f>
        <v>#VALUE!</v>
      </c>
      <c r="GX328" t="e">
        <f>'North America'!F646+"$F;@!1]~"</f>
        <v>#VALUE!</v>
      </c>
      <c r="GY328" t="e">
        <f>'North America'!G646+"$F;@!1^#"</f>
        <v>#VALUE!</v>
      </c>
      <c r="GZ328" t="e">
        <f>'North America'!H646+"$F;@!1^$"</f>
        <v>#VALUE!</v>
      </c>
      <c r="HA328" t="e">
        <f>'North America'!A647+"$F;@!1^%"</f>
        <v>#VALUE!</v>
      </c>
      <c r="HB328" t="e">
        <f>'North America'!B647+"$F;@!1^&amp;"</f>
        <v>#VALUE!</v>
      </c>
      <c r="HC328" t="e">
        <f>'North America'!C647+"$F;@!1^'"</f>
        <v>#VALUE!</v>
      </c>
      <c r="HD328" t="e">
        <f>'North America'!D647+"$F;@!1^("</f>
        <v>#VALUE!</v>
      </c>
      <c r="HE328" t="e">
        <f>'North America'!E647+"$F;@!1^)"</f>
        <v>#VALUE!</v>
      </c>
      <c r="HF328" t="e">
        <f>'North America'!F647+"$F;@!1^."</f>
        <v>#VALUE!</v>
      </c>
      <c r="HG328" t="e">
        <f>'North America'!G647+"$F;@!1^/"</f>
        <v>#VALUE!</v>
      </c>
      <c r="HH328" t="e">
        <f>'North America'!H647+"$F;@!1^0"</f>
        <v>#VALUE!</v>
      </c>
      <c r="HI328" t="e">
        <f>'North America'!A648+"$F;@!1^1"</f>
        <v>#VALUE!</v>
      </c>
      <c r="HJ328" t="e">
        <f>'North America'!B648+"$F;@!1^2"</f>
        <v>#VALUE!</v>
      </c>
      <c r="HK328" t="e">
        <f>'North America'!C648+"$F;@!1^3"</f>
        <v>#VALUE!</v>
      </c>
      <c r="HL328" t="e">
        <f>'North America'!D648+"$F;@!1^4"</f>
        <v>#VALUE!</v>
      </c>
      <c r="HM328" t="e">
        <f>'North America'!E648+"$F;@!1^5"</f>
        <v>#VALUE!</v>
      </c>
      <c r="HN328" t="e">
        <f>'North America'!F648+"$F;@!1^6"</f>
        <v>#VALUE!</v>
      </c>
      <c r="HO328" t="e">
        <f>'North America'!G648+"$F;@!1^7"</f>
        <v>#VALUE!</v>
      </c>
      <c r="HP328" t="e">
        <f>'North America'!H648+"$F;@!1^8"</f>
        <v>#VALUE!</v>
      </c>
      <c r="HQ328" t="e">
        <f>'North America'!A649+"$F;@!1^9"</f>
        <v>#VALUE!</v>
      </c>
      <c r="HR328" t="e">
        <f>'North America'!B649+"$F;@!1^:"</f>
        <v>#VALUE!</v>
      </c>
      <c r="HS328" t="e">
        <f>'North America'!C649+"$F;@!1^;"</f>
        <v>#VALUE!</v>
      </c>
      <c r="HT328" t="e">
        <f>'North America'!D649+"$F;@!1^&lt;"</f>
        <v>#VALUE!</v>
      </c>
      <c r="HU328" t="e">
        <f>'North America'!E649+"$F;@!1^="</f>
        <v>#VALUE!</v>
      </c>
      <c r="HV328" t="e">
        <f>'North America'!F649+"$F;@!1^&gt;"</f>
        <v>#VALUE!</v>
      </c>
      <c r="HW328" t="e">
        <f>'North America'!G649+"$F;@!1^?"</f>
        <v>#VALUE!</v>
      </c>
      <c r="HX328" t="e">
        <f>'North America'!H649+"$F;@!1^@"</f>
        <v>#VALUE!</v>
      </c>
      <c r="HY328" t="e">
        <f>'North America'!A650+"$F;@!1^A"</f>
        <v>#VALUE!</v>
      </c>
      <c r="HZ328" t="e">
        <f>'North America'!B650+"$F;@!1^B"</f>
        <v>#VALUE!</v>
      </c>
      <c r="IA328" t="e">
        <f>'North America'!C650+"$F;@!1^C"</f>
        <v>#VALUE!</v>
      </c>
      <c r="IB328" t="e">
        <f>'North America'!D650+"$F;@!1^D"</f>
        <v>#VALUE!</v>
      </c>
      <c r="IC328" t="e">
        <f>'North America'!E650+"$F;@!1^E"</f>
        <v>#VALUE!</v>
      </c>
      <c r="ID328" t="e">
        <f>'North America'!F650+"$F;@!1^F"</f>
        <v>#VALUE!</v>
      </c>
      <c r="IE328" t="e">
        <f>'North America'!G650+"$F;@!1^G"</f>
        <v>#VALUE!</v>
      </c>
      <c r="IF328" t="e">
        <f>'North America'!H650+"$F;@!1^H"</f>
        <v>#VALUE!</v>
      </c>
      <c r="IG328" t="e">
        <f>'North America'!A651+"$F;@!1^I"</f>
        <v>#VALUE!</v>
      </c>
      <c r="IH328" t="e">
        <f>'North America'!B651+"$F;@!1^J"</f>
        <v>#VALUE!</v>
      </c>
      <c r="II328" t="e">
        <f>'North America'!C651+"$F;@!1^K"</f>
        <v>#VALUE!</v>
      </c>
      <c r="IJ328" t="e">
        <f>'North America'!D651+"$F;@!1^L"</f>
        <v>#VALUE!</v>
      </c>
      <c r="IK328" t="e">
        <f>'North America'!E651+"$F;@!1^M"</f>
        <v>#VALUE!</v>
      </c>
      <c r="IL328" t="e">
        <f>'North America'!F651+"$F;@!1^N"</f>
        <v>#VALUE!</v>
      </c>
      <c r="IM328" t="e">
        <f>'North America'!G651+"$F;@!1^O"</f>
        <v>#VALUE!</v>
      </c>
      <c r="IN328" t="e">
        <f>'North America'!H651+"$F;@!1^P"</f>
        <v>#VALUE!</v>
      </c>
      <c r="IO328" t="e">
        <f>'North America'!A652+"$F;@!1^Q"</f>
        <v>#VALUE!</v>
      </c>
      <c r="IP328" t="e">
        <f>'North America'!B652+"$F;@!1^R"</f>
        <v>#VALUE!</v>
      </c>
      <c r="IQ328" t="e">
        <f>'North America'!C652+"$F;@!1^S"</f>
        <v>#VALUE!</v>
      </c>
      <c r="IR328" t="e">
        <f>'North America'!D652+"$F;@!1^T"</f>
        <v>#VALUE!</v>
      </c>
      <c r="IS328" t="e">
        <f>'North America'!E652+"$F;@!1^U"</f>
        <v>#VALUE!</v>
      </c>
      <c r="IT328" t="e">
        <f>'North America'!F652+"$F;@!1^V"</f>
        <v>#VALUE!</v>
      </c>
      <c r="IU328" t="e">
        <f>'North America'!G652+"$F;@!1^W"</f>
        <v>#VALUE!</v>
      </c>
      <c r="IV328" t="e">
        <f>'North America'!H652+"$F;@!1^X"</f>
        <v>#VALUE!</v>
      </c>
    </row>
    <row r="329" spans="6:256" x14ac:dyDescent="0.35">
      <c r="F329" t="e">
        <f>'North America'!A653+"$F;@!1^Y"</f>
        <v>#VALUE!</v>
      </c>
      <c r="G329" t="e">
        <f>'North America'!B653+"$F;@!1^Z"</f>
        <v>#VALUE!</v>
      </c>
      <c r="H329" t="e">
        <f>'North America'!C653+"$F;@!1^["</f>
        <v>#VALUE!</v>
      </c>
      <c r="I329" t="e">
        <f>'North America'!D653+"$F;@!1^\"</f>
        <v>#VALUE!</v>
      </c>
      <c r="J329" t="e">
        <f>'North America'!E653+"$F;@!1^]"</f>
        <v>#VALUE!</v>
      </c>
      <c r="K329" t="e">
        <f>'North America'!F653+"$F;@!1^^"</f>
        <v>#VALUE!</v>
      </c>
      <c r="L329" t="e">
        <f>'North America'!G653+"$F;@!1^_"</f>
        <v>#VALUE!</v>
      </c>
      <c r="M329" t="e">
        <f>'North America'!H653+"$F;@!1^`"</f>
        <v>#VALUE!</v>
      </c>
      <c r="N329" t="e">
        <f>'North America'!A654+"$F;@!1^a"</f>
        <v>#VALUE!</v>
      </c>
      <c r="O329" t="e">
        <f>'North America'!B654+"$F;@!1^b"</f>
        <v>#VALUE!</v>
      </c>
      <c r="P329" t="e">
        <f>'North America'!C654+"$F;@!1^c"</f>
        <v>#VALUE!</v>
      </c>
      <c r="Q329" t="e">
        <f>'North America'!D654+"$F;@!1^d"</f>
        <v>#VALUE!</v>
      </c>
      <c r="R329" t="e">
        <f>'North America'!E654+"$F;@!1^e"</f>
        <v>#VALUE!</v>
      </c>
      <c r="S329" t="e">
        <f>'North America'!F654+"$F;@!1^f"</f>
        <v>#VALUE!</v>
      </c>
      <c r="T329" t="e">
        <f>'North America'!G654+"$F;@!1^g"</f>
        <v>#VALUE!</v>
      </c>
      <c r="U329" t="e">
        <f>'North America'!H654+"$F;@!1^h"</f>
        <v>#VALUE!</v>
      </c>
      <c r="V329" t="e">
        <f>'North America'!A655+"$F;@!1^i"</f>
        <v>#VALUE!</v>
      </c>
      <c r="W329" t="e">
        <f>'North America'!B655+"$F;@!1^j"</f>
        <v>#VALUE!</v>
      </c>
      <c r="X329" t="e">
        <f>'North America'!C655+"$F;@!1^k"</f>
        <v>#VALUE!</v>
      </c>
      <c r="Y329" t="e">
        <f>'North America'!D655+"$F;@!1^l"</f>
        <v>#VALUE!</v>
      </c>
      <c r="Z329" t="e">
        <f>'North America'!E655+"$F;@!1^m"</f>
        <v>#VALUE!</v>
      </c>
      <c r="AA329" t="e">
        <f>'North America'!F655+"$F;@!1^n"</f>
        <v>#VALUE!</v>
      </c>
      <c r="AB329" t="e">
        <f>'North America'!G655+"$F;@!1^o"</f>
        <v>#VALUE!</v>
      </c>
      <c r="AC329" t="e">
        <f>'North America'!H655+"$F;@!1^p"</f>
        <v>#VALUE!</v>
      </c>
      <c r="AD329" t="e">
        <f>'North America'!A656+"$F;@!1^q"</f>
        <v>#VALUE!</v>
      </c>
      <c r="AE329" t="e">
        <f>'North America'!B656+"$F;@!1^r"</f>
        <v>#VALUE!</v>
      </c>
      <c r="AF329" t="e">
        <f>'North America'!C656+"$F;@!1^s"</f>
        <v>#VALUE!</v>
      </c>
      <c r="AG329" t="e">
        <f>'North America'!D656+"$F;@!1^t"</f>
        <v>#VALUE!</v>
      </c>
      <c r="AH329" t="e">
        <f>'North America'!E656+"$F;@!1^u"</f>
        <v>#VALUE!</v>
      </c>
      <c r="AI329" t="e">
        <f>'North America'!F656+"$F;@!1^v"</f>
        <v>#VALUE!</v>
      </c>
      <c r="AJ329" t="e">
        <f>'North America'!G656+"$F;@!1^w"</f>
        <v>#VALUE!</v>
      </c>
      <c r="AK329" t="e">
        <f>'North America'!H656+"$F;@!1^x"</f>
        <v>#VALUE!</v>
      </c>
      <c r="AL329" t="e">
        <f>'North America'!A657+"$F;@!1^y"</f>
        <v>#VALUE!</v>
      </c>
      <c r="AM329" t="e">
        <f>'North America'!B657+"$F;@!1^z"</f>
        <v>#VALUE!</v>
      </c>
      <c r="AN329" t="e">
        <f>'North America'!C657+"$F;@!1^{"</f>
        <v>#VALUE!</v>
      </c>
      <c r="AO329" t="e">
        <f>'North America'!D657+"$F;@!1^|"</f>
        <v>#VALUE!</v>
      </c>
      <c r="AP329" t="e">
        <f>'North America'!E657+"$F;@!1^}"</f>
        <v>#VALUE!</v>
      </c>
      <c r="AQ329" t="e">
        <f>'North America'!F657+"$F;@!1^~"</f>
        <v>#VALUE!</v>
      </c>
      <c r="AR329" t="e">
        <f>'North America'!G657+"$F;@!1_#"</f>
        <v>#VALUE!</v>
      </c>
      <c r="AS329" t="e">
        <f>'North America'!H657+"$F;@!1_$"</f>
        <v>#VALUE!</v>
      </c>
      <c r="AT329" t="e">
        <f>'North America'!A658+"$F;@!1_%"</f>
        <v>#VALUE!</v>
      </c>
      <c r="AU329" t="e">
        <f>'North America'!B658+"$F;@!1_&amp;"</f>
        <v>#VALUE!</v>
      </c>
      <c r="AV329" t="e">
        <f>'North America'!C658+"$F;@!1_'"</f>
        <v>#VALUE!</v>
      </c>
      <c r="AW329" t="e">
        <f>'North America'!D658+"$F;@!1_("</f>
        <v>#VALUE!</v>
      </c>
      <c r="AX329" t="e">
        <f>'North America'!E658+"$F;@!1_)"</f>
        <v>#VALUE!</v>
      </c>
      <c r="AY329" t="e">
        <f>'North America'!F658+"$F;@!1_."</f>
        <v>#VALUE!</v>
      </c>
      <c r="AZ329" t="e">
        <f>'North America'!G658+"$F;@!1_/"</f>
        <v>#VALUE!</v>
      </c>
      <c r="BA329" t="e">
        <f>'North America'!H658+"$F;@!1_0"</f>
        <v>#VALUE!</v>
      </c>
      <c r="BB329" t="e">
        <f>'North America'!A659+"$F;@!1_1"</f>
        <v>#VALUE!</v>
      </c>
      <c r="BC329" t="e">
        <f>'North America'!B659+"$F;@!1_2"</f>
        <v>#VALUE!</v>
      </c>
      <c r="BD329" t="e">
        <f>'North America'!C659+"$F;@!1_3"</f>
        <v>#VALUE!</v>
      </c>
      <c r="BE329" t="e">
        <f>'North America'!D659+"$F;@!1_4"</f>
        <v>#VALUE!</v>
      </c>
      <c r="BF329" t="e">
        <f>'North America'!E659+"$F;@!1_5"</f>
        <v>#VALUE!</v>
      </c>
      <c r="BG329" t="e">
        <f>'North America'!F659+"$F;@!1_6"</f>
        <v>#VALUE!</v>
      </c>
      <c r="BH329" t="e">
        <f>'North America'!G659+"$F;@!1_7"</f>
        <v>#VALUE!</v>
      </c>
      <c r="BI329" t="e">
        <f>'North America'!H659+"$F;@!1_8"</f>
        <v>#VALUE!</v>
      </c>
      <c r="BJ329" t="e">
        <f>'North America'!A660+"$F;@!1_9"</f>
        <v>#VALUE!</v>
      </c>
      <c r="BK329" t="e">
        <f>'North America'!B660+"$F;@!1_:"</f>
        <v>#VALUE!</v>
      </c>
      <c r="BL329" t="e">
        <f>'North America'!C660+"$F;@!1_;"</f>
        <v>#VALUE!</v>
      </c>
      <c r="BM329" t="e">
        <f>'North America'!D660+"$F;@!1_&lt;"</f>
        <v>#VALUE!</v>
      </c>
      <c r="BN329" t="e">
        <f>'North America'!E660+"$F;@!1_="</f>
        <v>#VALUE!</v>
      </c>
      <c r="BO329" t="e">
        <f>'North America'!F660+"$F;@!1_&gt;"</f>
        <v>#VALUE!</v>
      </c>
      <c r="BP329" t="e">
        <f>'North America'!G660+"$F;@!1_?"</f>
        <v>#VALUE!</v>
      </c>
      <c r="BQ329" t="e">
        <f>'North America'!H660+"$F;@!1_@"</f>
        <v>#VALUE!</v>
      </c>
      <c r="BR329" t="e">
        <f>'North America'!A661+"$F;@!1_A"</f>
        <v>#VALUE!</v>
      </c>
      <c r="BS329" t="e">
        <f>'North America'!B661+"$F;@!1_B"</f>
        <v>#VALUE!</v>
      </c>
      <c r="BT329" t="e">
        <f>'North America'!C661+"$F;@!1_C"</f>
        <v>#VALUE!</v>
      </c>
      <c r="BU329" t="e">
        <f>'North America'!D661+"$F;@!1_D"</f>
        <v>#VALUE!</v>
      </c>
      <c r="BV329" t="e">
        <f>'North America'!E661+"$F;@!1_E"</f>
        <v>#VALUE!</v>
      </c>
      <c r="BW329" t="e">
        <f>'North America'!F661+"$F;@!1_F"</f>
        <v>#VALUE!</v>
      </c>
      <c r="BX329" t="e">
        <f>'North America'!G661+"$F;@!1_G"</f>
        <v>#VALUE!</v>
      </c>
      <c r="BY329" t="e">
        <f>'North America'!H661+"$F;@!1_H"</f>
        <v>#VALUE!</v>
      </c>
      <c r="BZ329" t="e">
        <f>'North America'!A662+"$F;@!1_I"</f>
        <v>#VALUE!</v>
      </c>
      <c r="CA329" t="e">
        <f>'North America'!B662+"$F;@!1_J"</f>
        <v>#VALUE!</v>
      </c>
      <c r="CB329" t="e">
        <f>'North America'!C662+"$F;@!1_K"</f>
        <v>#VALUE!</v>
      </c>
      <c r="CC329" t="e">
        <f>'North America'!D662+"$F;@!1_L"</f>
        <v>#VALUE!</v>
      </c>
      <c r="CD329" t="e">
        <f>'North America'!E662+"$F;@!1_M"</f>
        <v>#VALUE!</v>
      </c>
      <c r="CE329" t="e">
        <f>'North America'!F662+"$F;@!1_N"</f>
        <v>#VALUE!</v>
      </c>
      <c r="CF329" t="e">
        <f>'North America'!H662+"$F;@!1_O"</f>
        <v>#VALUE!</v>
      </c>
      <c r="CG329" t="e">
        <f>'North America'!A663+"$F;@!1_P"</f>
        <v>#VALUE!</v>
      </c>
      <c r="CH329" t="e">
        <f>'North America'!B663+"$F;@!1_Q"</f>
        <v>#VALUE!</v>
      </c>
      <c r="CI329" t="e">
        <f>'North America'!C663+"$F;@!1_R"</f>
        <v>#VALUE!</v>
      </c>
      <c r="CJ329" t="e">
        <f>'North America'!D663+"$F;@!1_S"</f>
        <v>#VALUE!</v>
      </c>
      <c r="CK329" t="e">
        <f>'North America'!E663+"$F;@!1_T"</f>
        <v>#VALUE!</v>
      </c>
      <c r="CL329" t="e">
        <f>'North America'!F663+"$F;@!1_U"</f>
        <v>#VALUE!</v>
      </c>
      <c r="CM329" t="e">
        <f>'North America'!G663+"$F;@!1_V"</f>
        <v>#VALUE!</v>
      </c>
      <c r="CN329" t="e">
        <f>'North America'!H663+"$F;@!1_W"</f>
        <v>#VALUE!</v>
      </c>
      <c r="CO329" t="e">
        <f>'North America'!A664+"$F;@!1_X"</f>
        <v>#VALUE!</v>
      </c>
      <c r="CP329" t="e">
        <f>'North America'!B664+"$F;@!1_Y"</f>
        <v>#VALUE!</v>
      </c>
      <c r="CQ329" t="e">
        <f>'North America'!C664+"$F;@!1_Z"</f>
        <v>#VALUE!</v>
      </c>
      <c r="CR329" t="e">
        <f>'North America'!D664+"$F;@!1_["</f>
        <v>#VALUE!</v>
      </c>
      <c r="CS329" t="e">
        <f>'North America'!E664+"$F;@!1_\"</f>
        <v>#VALUE!</v>
      </c>
      <c r="CT329" t="e">
        <f>'North America'!F664+"$F;@!1_]"</f>
        <v>#VALUE!</v>
      </c>
      <c r="CU329" t="e">
        <f>'North America'!G664+"$F;@!1_^"</f>
        <v>#VALUE!</v>
      </c>
      <c r="CV329" t="e">
        <f>'North America'!H664+"$F;@!1__"</f>
        <v>#VALUE!</v>
      </c>
      <c r="CW329" t="e">
        <f>'North America'!A665+"$F;@!1_`"</f>
        <v>#VALUE!</v>
      </c>
      <c r="CX329" t="e">
        <f>'North America'!B665+"$F;@!1_a"</f>
        <v>#VALUE!</v>
      </c>
      <c r="CY329" t="e">
        <f>'North America'!C665+"$F;@!1_b"</f>
        <v>#VALUE!</v>
      </c>
      <c r="CZ329" t="e">
        <f>'North America'!D665+"$F;@!1_c"</f>
        <v>#VALUE!</v>
      </c>
      <c r="DA329" t="e">
        <f>'North America'!E665+"$F;@!1_d"</f>
        <v>#VALUE!</v>
      </c>
      <c r="DB329" t="e">
        <f>'North America'!F665+"$F;@!1_e"</f>
        <v>#VALUE!</v>
      </c>
      <c r="DC329" t="e">
        <f>'North America'!G665+"$F;@!1_f"</f>
        <v>#VALUE!</v>
      </c>
      <c r="DD329" t="e">
        <f>'North America'!H665+"$F;@!1_g"</f>
        <v>#VALUE!</v>
      </c>
      <c r="DE329" t="e">
        <f>'North America'!A666+"$F;@!1_h"</f>
        <v>#VALUE!</v>
      </c>
      <c r="DF329" t="e">
        <f>'North America'!B666+"$F;@!1_i"</f>
        <v>#VALUE!</v>
      </c>
      <c r="DG329" t="e">
        <f>'North America'!C666+"$F;@!1_j"</f>
        <v>#VALUE!</v>
      </c>
      <c r="DH329" t="e">
        <f>'North America'!D666+"$F;@!1_k"</f>
        <v>#VALUE!</v>
      </c>
      <c r="DI329" t="e">
        <f>'North America'!E666+"$F;@!1_l"</f>
        <v>#VALUE!</v>
      </c>
      <c r="DJ329" t="e">
        <f>'North America'!F666+"$F;@!1_m"</f>
        <v>#VALUE!</v>
      </c>
      <c r="DK329" t="e">
        <f>'North America'!H666+"$F;@!1_n"</f>
        <v>#VALUE!</v>
      </c>
      <c r="DL329" t="e">
        <f>'North America'!A667+"$F;@!1_o"</f>
        <v>#VALUE!</v>
      </c>
      <c r="DM329" t="e">
        <f>'North America'!B667+"$F;@!1_p"</f>
        <v>#VALUE!</v>
      </c>
      <c r="DN329" t="e">
        <f>'North America'!C667+"$F;@!1_q"</f>
        <v>#VALUE!</v>
      </c>
      <c r="DO329" t="e">
        <f>'North America'!D667+"$F;@!1_r"</f>
        <v>#VALUE!</v>
      </c>
      <c r="DP329" t="e">
        <f>'North America'!E667+"$F;@!1_s"</f>
        <v>#VALUE!</v>
      </c>
      <c r="DQ329" t="e">
        <f>'North America'!F667+"$F;@!1_t"</f>
        <v>#VALUE!</v>
      </c>
      <c r="DR329" t="e">
        <f>'North America'!G667+"$F;@!1_u"</f>
        <v>#VALUE!</v>
      </c>
      <c r="DS329" t="e">
        <f>'North America'!H667+"$F;@!1_v"</f>
        <v>#VALUE!</v>
      </c>
      <c r="DT329" t="e">
        <f>'North America'!A668+"$F;@!1_w"</f>
        <v>#VALUE!</v>
      </c>
      <c r="DU329" t="e">
        <f>'North America'!B668+"$F;@!1_x"</f>
        <v>#VALUE!</v>
      </c>
      <c r="DV329" t="e">
        <f>'North America'!C668+"$F;@!1_y"</f>
        <v>#VALUE!</v>
      </c>
      <c r="DW329" t="e">
        <f>'North America'!D668+"$F;@!1_z"</f>
        <v>#VALUE!</v>
      </c>
      <c r="DX329" t="e">
        <f>'North America'!E668+"$F;@!1_{"</f>
        <v>#VALUE!</v>
      </c>
      <c r="DY329" t="e">
        <f>'North America'!F668+"$F;@!1_|"</f>
        <v>#VALUE!</v>
      </c>
      <c r="DZ329" t="e">
        <f>'North America'!G668+"$F;@!1_}"</f>
        <v>#VALUE!</v>
      </c>
      <c r="EA329" t="e">
        <f>'North America'!H668+"$F;@!1_~"</f>
        <v>#VALUE!</v>
      </c>
      <c r="EB329" t="e">
        <f>'North America'!A669+"$F;@!1`#"</f>
        <v>#VALUE!</v>
      </c>
      <c r="EC329" t="e">
        <f>'North America'!B669+"$F;@!1`$"</f>
        <v>#VALUE!</v>
      </c>
      <c r="ED329" t="e">
        <f>'North America'!C669+"$F;@!1`%"</f>
        <v>#VALUE!</v>
      </c>
      <c r="EE329" t="e">
        <f>'North America'!D669+"$F;@!1`&amp;"</f>
        <v>#VALUE!</v>
      </c>
      <c r="EF329" t="e">
        <f>'North America'!E669+"$F;@!1`'"</f>
        <v>#VALUE!</v>
      </c>
      <c r="EG329" t="e">
        <f>'North America'!F669+"$F;@!1`("</f>
        <v>#VALUE!</v>
      </c>
      <c r="EH329" t="e">
        <f>'North America'!G669+"$F;@!1`)"</f>
        <v>#VALUE!</v>
      </c>
      <c r="EI329" t="e">
        <f>'North America'!H669+"$F;@!1`."</f>
        <v>#VALUE!</v>
      </c>
      <c r="EJ329" t="e">
        <f>'North America'!A670+"$F;@!1`/"</f>
        <v>#VALUE!</v>
      </c>
      <c r="EK329" t="e">
        <f>'North America'!B670+"$F;@!1`0"</f>
        <v>#VALUE!</v>
      </c>
      <c r="EL329" t="e">
        <f>'North America'!C670+"$F;@!1`1"</f>
        <v>#VALUE!</v>
      </c>
      <c r="EM329" t="e">
        <f>'North America'!D670+"$F;@!1`2"</f>
        <v>#VALUE!</v>
      </c>
      <c r="EN329" t="e">
        <f>'North America'!E670+"$F;@!1`3"</f>
        <v>#VALUE!</v>
      </c>
      <c r="EO329" t="e">
        <f>'North America'!F670+"$F;@!1`4"</f>
        <v>#VALUE!</v>
      </c>
      <c r="EP329" t="e">
        <f>'North America'!G670+"$F;@!1`5"</f>
        <v>#VALUE!</v>
      </c>
      <c r="EQ329" t="e">
        <f>'North America'!H670+"$F;@!1`6"</f>
        <v>#VALUE!</v>
      </c>
      <c r="ER329" t="e">
        <f>'North America'!A671+"$F;@!1`7"</f>
        <v>#VALUE!</v>
      </c>
      <c r="ES329" t="e">
        <f>'North America'!B671+"$F;@!1`8"</f>
        <v>#VALUE!</v>
      </c>
      <c r="ET329" t="e">
        <f>'North America'!C671+"$F;@!1`9"</f>
        <v>#VALUE!</v>
      </c>
      <c r="EU329" t="e">
        <f>'North America'!D671+"$F;@!1`:"</f>
        <v>#VALUE!</v>
      </c>
      <c r="EV329" t="e">
        <f>'North America'!E671+"$F;@!1`;"</f>
        <v>#VALUE!</v>
      </c>
      <c r="EW329" t="e">
        <f>'North America'!F671+"$F;@!1`&lt;"</f>
        <v>#VALUE!</v>
      </c>
      <c r="EX329" t="e">
        <f>'North America'!G671+"$F;@!1`="</f>
        <v>#VALUE!</v>
      </c>
      <c r="EY329" t="e">
        <f>'North America'!H671+"$F;@!1`&gt;"</f>
        <v>#VALUE!</v>
      </c>
      <c r="EZ329" t="e">
        <f>'North America'!A672+"$F;@!1`?"</f>
        <v>#VALUE!</v>
      </c>
      <c r="FA329" t="e">
        <f>'North America'!B672+"$F;@!1`@"</f>
        <v>#VALUE!</v>
      </c>
      <c r="FB329" t="e">
        <f>'North America'!C672+"$F;@!1`A"</f>
        <v>#VALUE!</v>
      </c>
      <c r="FC329" t="e">
        <f>'North America'!D672+"$F;@!1`B"</f>
        <v>#VALUE!</v>
      </c>
      <c r="FD329" t="e">
        <f>'North America'!E672+"$F;@!1`C"</f>
        <v>#VALUE!</v>
      </c>
      <c r="FE329" t="e">
        <f>'North America'!F672+"$F;@!1`D"</f>
        <v>#VALUE!</v>
      </c>
      <c r="FF329" t="e">
        <f>'North America'!G672+"$F;@!1`E"</f>
        <v>#VALUE!</v>
      </c>
      <c r="FG329" t="e">
        <f>'North America'!H672+"$F;@!1`F"</f>
        <v>#VALUE!</v>
      </c>
      <c r="FH329" t="e">
        <f>'North America'!A673+"$F;@!1`G"</f>
        <v>#VALUE!</v>
      </c>
      <c r="FI329" t="e">
        <f>'North America'!B673+"$F;@!1`H"</f>
        <v>#VALUE!</v>
      </c>
      <c r="FJ329" t="e">
        <f>'North America'!C673+"$F;@!1`I"</f>
        <v>#VALUE!</v>
      </c>
      <c r="FK329" t="e">
        <f>'North America'!D673+"$F;@!1`J"</f>
        <v>#VALUE!</v>
      </c>
      <c r="FL329" t="e">
        <f>'North America'!E673+"$F;@!1`K"</f>
        <v>#VALUE!</v>
      </c>
      <c r="FM329" t="e">
        <f>'North America'!F673+"$F;@!1`L"</f>
        <v>#VALUE!</v>
      </c>
      <c r="FN329" t="e">
        <f>'North America'!G673+"$F;@!1`M"</f>
        <v>#VALUE!</v>
      </c>
      <c r="FO329" t="e">
        <f>'North America'!H673+"$F;@!1`N"</f>
        <v>#VALUE!</v>
      </c>
      <c r="FP329" t="e">
        <f>'North America'!A674+"$F;@!1`O"</f>
        <v>#VALUE!</v>
      </c>
      <c r="FQ329" t="e">
        <f>'North America'!B674+"$F;@!1`P"</f>
        <v>#VALUE!</v>
      </c>
      <c r="FR329" t="e">
        <f>'North America'!C674+"$F;@!1`Q"</f>
        <v>#VALUE!</v>
      </c>
      <c r="FS329" t="e">
        <f>'North America'!D674+"$F;@!1`R"</f>
        <v>#VALUE!</v>
      </c>
      <c r="FT329" t="e">
        <f>'North America'!E674+"$F;@!1`S"</f>
        <v>#VALUE!</v>
      </c>
      <c r="FU329" t="e">
        <f>'North America'!F674+"$F;@!1`T"</f>
        <v>#VALUE!</v>
      </c>
      <c r="FV329" t="e">
        <f>'North America'!G674+"$F;@!1`U"</f>
        <v>#VALUE!</v>
      </c>
      <c r="FW329" t="e">
        <f>'North America'!H674+"$F;@!1`V"</f>
        <v>#VALUE!</v>
      </c>
      <c r="FX329" t="e">
        <f>'North America'!A675+"$F;@!1`W"</f>
        <v>#VALUE!</v>
      </c>
      <c r="FY329" t="e">
        <f>'North America'!B675+"$F;@!1`X"</f>
        <v>#VALUE!</v>
      </c>
      <c r="FZ329" t="e">
        <f>'North America'!C675+"$F;@!1`Y"</f>
        <v>#VALUE!</v>
      </c>
      <c r="GA329" t="e">
        <f>'North America'!D675+"$F;@!1`Z"</f>
        <v>#VALUE!</v>
      </c>
      <c r="GB329" t="e">
        <f>'North America'!E675+"$F;@!1`["</f>
        <v>#VALUE!</v>
      </c>
      <c r="GC329" t="e">
        <f>'North America'!F675+"$F;@!1`\"</f>
        <v>#VALUE!</v>
      </c>
      <c r="GD329" t="e">
        <f>'North America'!G675+"$F;@!1`]"</f>
        <v>#VALUE!</v>
      </c>
      <c r="GE329" t="e">
        <f>'North America'!H675+"$F;@!1`^"</f>
        <v>#VALUE!</v>
      </c>
      <c r="GF329" t="e">
        <f>'North America'!A676+"$F;@!1`_"</f>
        <v>#VALUE!</v>
      </c>
      <c r="GG329" t="e">
        <f>'North America'!B676+"$F;@!1``"</f>
        <v>#VALUE!</v>
      </c>
      <c r="GH329" t="e">
        <f>'North America'!C676+"$F;@!1`a"</f>
        <v>#VALUE!</v>
      </c>
      <c r="GI329" t="e">
        <f>'North America'!D676+"$F;@!1`b"</f>
        <v>#VALUE!</v>
      </c>
      <c r="GJ329" t="e">
        <f>'North America'!E676+"$F;@!1`c"</f>
        <v>#VALUE!</v>
      </c>
      <c r="GK329" t="e">
        <f>'North America'!F676+"$F;@!1`d"</f>
        <v>#VALUE!</v>
      </c>
      <c r="GL329" t="e">
        <f>'North America'!G676+"$F;@!1`e"</f>
        <v>#VALUE!</v>
      </c>
      <c r="GM329" t="e">
        <f>'North America'!H676+"$F;@!1`f"</f>
        <v>#VALUE!</v>
      </c>
      <c r="GN329" t="e">
        <f>'North America'!A677+"$F;@!1`g"</f>
        <v>#VALUE!</v>
      </c>
      <c r="GO329" t="e">
        <f>'North America'!B677+"$F;@!1`h"</f>
        <v>#VALUE!</v>
      </c>
      <c r="GP329" t="e">
        <f>'North America'!C677+"$F;@!1`i"</f>
        <v>#VALUE!</v>
      </c>
      <c r="GQ329" t="e">
        <f>'North America'!D677+"$F;@!1`j"</f>
        <v>#VALUE!</v>
      </c>
      <c r="GR329" t="e">
        <f>'North America'!E677+"$F;@!1`k"</f>
        <v>#VALUE!</v>
      </c>
      <c r="GS329" t="e">
        <f>'North America'!F677+"$F;@!1`l"</f>
        <v>#VALUE!</v>
      </c>
      <c r="GT329" t="e">
        <f>'North America'!G677+"$F;@!1`m"</f>
        <v>#VALUE!</v>
      </c>
      <c r="GU329" t="e">
        <f>'North America'!H677+"$F;@!1`n"</f>
        <v>#VALUE!</v>
      </c>
      <c r="GV329" t="e">
        <f>'North America'!A678+"$F;@!1`o"</f>
        <v>#VALUE!</v>
      </c>
      <c r="GW329" t="e">
        <f>'North America'!B678+"$F;@!1`p"</f>
        <v>#VALUE!</v>
      </c>
      <c r="GX329" t="e">
        <f>'North America'!C678+"$F;@!1`q"</f>
        <v>#VALUE!</v>
      </c>
      <c r="GY329" t="e">
        <f>'North America'!D678+"$F;@!1`r"</f>
        <v>#VALUE!</v>
      </c>
      <c r="GZ329" t="e">
        <f>'North America'!E678+"$F;@!1`s"</f>
        <v>#VALUE!</v>
      </c>
      <c r="HA329" t="e">
        <f>'North America'!F678+"$F;@!1`t"</f>
        <v>#VALUE!</v>
      </c>
      <c r="HB329" t="e">
        <f>'North America'!G678+"$F;@!1`u"</f>
        <v>#VALUE!</v>
      </c>
      <c r="HC329" t="e">
        <f>'North America'!H678+"$F;@!1`v"</f>
        <v>#VALUE!</v>
      </c>
      <c r="HD329" t="e">
        <f>'North America'!A679+"$F;@!1`w"</f>
        <v>#VALUE!</v>
      </c>
      <c r="HE329" t="e">
        <f>'North America'!B679+"$F;@!1`x"</f>
        <v>#VALUE!</v>
      </c>
      <c r="HF329" t="e">
        <f>'North America'!C679+"$F;@!1`y"</f>
        <v>#VALUE!</v>
      </c>
      <c r="HG329" t="e">
        <f>'North America'!D679+"$F;@!1`z"</f>
        <v>#VALUE!</v>
      </c>
      <c r="HH329" t="e">
        <f>'North America'!E679+"$F;@!1`{"</f>
        <v>#VALUE!</v>
      </c>
      <c r="HI329" t="e">
        <f>'North America'!F679+"$F;@!1`|"</f>
        <v>#VALUE!</v>
      </c>
      <c r="HJ329" t="e">
        <f>'North America'!G679+"$F;@!1`}"</f>
        <v>#VALUE!</v>
      </c>
      <c r="HK329" t="e">
        <f>'North America'!H679+"$F;@!1`~"</f>
        <v>#VALUE!</v>
      </c>
      <c r="HL329" t="e">
        <f>'North America'!A680+"$F;@!1a#"</f>
        <v>#VALUE!</v>
      </c>
      <c r="HM329" t="e">
        <f>'North America'!B680+"$F;@!1a$"</f>
        <v>#VALUE!</v>
      </c>
      <c r="HN329" t="e">
        <f>'North America'!C680+"$F;@!1a%"</f>
        <v>#VALUE!</v>
      </c>
      <c r="HO329" t="e">
        <f>'North America'!D680+"$F;@!1a&amp;"</f>
        <v>#VALUE!</v>
      </c>
      <c r="HP329" t="e">
        <f>'North America'!E680+"$F;@!1a'"</f>
        <v>#VALUE!</v>
      </c>
      <c r="HQ329" t="e">
        <f>'North America'!F680+"$F;@!1a("</f>
        <v>#VALUE!</v>
      </c>
      <c r="HR329" t="e">
        <f>'North America'!G680+"$F;@!1a)"</f>
        <v>#VALUE!</v>
      </c>
      <c r="HS329" t="e">
        <f>'North America'!H680+"$F;@!1a."</f>
        <v>#VALUE!</v>
      </c>
      <c r="HT329" t="e">
        <f>'North America'!A681+"$F;@!1a/"</f>
        <v>#VALUE!</v>
      </c>
      <c r="HU329" t="e">
        <f>'North America'!B681+"$F;@!1a0"</f>
        <v>#VALUE!</v>
      </c>
      <c r="HV329" t="e">
        <f>'North America'!C681+"$F;@!1a1"</f>
        <v>#VALUE!</v>
      </c>
      <c r="HW329" t="e">
        <f>'North America'!D681+"$F;@!1a2"</f>
        <v>#VALUE!</v>
      </c>
      <c r="HX329" t="e">
        <f>'North America'!E681+"$F;@!1a3"</f>
        <v>#VALUE!</v>
      </c>
      <c r="HY329" t="e">
        <f>'North America'!F681+"$F;@!1a4"</f>
        <v>#VALUE!</v>
      </c>
      <c r="HZ329" t="e">
        <f>'North America'!G681+"$F;@!1a5"</f>
        <v>#VALUE!</v>
      </c>
      <c r="IA329" t="e">
        <f>'North America'!H681+"$F;@!1a6"</f>
        <v>#VALUE!</v>
      </c>
      <c r="IB329" t="e">
        <f>'North America'!A682+"$F;@!1a7"</f>
        <v>#VALUE!</v>
      </c>
      <c r="IC329" t="e">
        <f>'North America'!B682+"$F;@!1a8"</f>
        <v>#VALUE!</v>
      </c>
      <c r="ID329" t="e">
        <f>'North America'!C682+"$F;@!1a9"</f>
        <v>#VALUE!</v>
      </c>
      <c r="IE329" t="e">
        <f>'North America'!D682+"$F;@!1a:"</f>
        <v>#VALUE!</v>
      </c>
      <c r="IF329" t="e">
        <f>'North America'!E682+"$F;@!1a;"</f>
        <v>#VALUE!</v>
      </c>
      <c r="IG329" t="e">
        <f>'North America'!F682+"$F;@!1a&lt;"</f>
        <v>#VALUE!</v>
      </c>
      <c r="IH329" t="e">
        <f>'North America'!G682+"$F;@!1a="</f>
        <v>#VALUE!</v>
      </c>
      <c r="II329" t="e">
        <f>'North America'!H682+"$F;@!1a&gt;"</f>
        <v>#VALUE!</v>
      </c>
      <c r="IJ329" t="e">
        <f>'North America'!A683+"$F;@!1a?"</f>
        <v>#VALUE!</v>
      </c>
      <c r="IK329" t="e">
        <f>'North America'!B683+"$F;@!1a@"</f>
        <v>#VALUE!</v>
      </c>
      <c r="IL329" t="e">
        <f>'North America'!C683+"$F;@!1aA"</f>
        <v>#VALUE!</v>
      </c>
      <c r="IM329" t="e">
        <f>'North America'!D683+"$F;@!1aB"</f>
        <v>#VALUE!</v>
      </c>
      <c r="IN329" t="e">
        <f>'North America'!E683+"$F;@!1aC"</f>
        <v>#VALUE!</v>
      </c>
      <c r="IO329" t="e">
        <f>'North America'!F683+"$F;@!1aD"</f>
        <v>#VALUE!</v>
      </c>
      <c r="IP329" t="e">
        <f>'North America'!G683+"$F;@!1aE"</f>
        <v>#VALUE!</v>
      </c>
      <c r="IQ329" t="e">
        <f>'North America'!H683+"$F;@!1aF"</f>
        <v>#VALUE!</v>
      </c>
      <c r="IR329" t="e">
        <f>'North America'!A684+"$F;@!1aG"</f>
        <v>#VALUE!</v>
      </c>
      <c r="IS329" t="e">
        <f>'North America'!B684+"$F;@!1aH"</f>
        <v>#VALUE!</v>
      </c>
      <c r="IT329" t="e">
        <f>'North America'!C684+"$F;@!1aI"</f>
        <v>#VALUE!</v>
      </c>
      <c r="IU329" t="e">
        <f>'North America'!D684+"$F;@!1aJ"</f>
        <v>#VALUE!</v>
      </c>
      <c r="IV329" t="e">
        <f>'North America'!E684+"$F;@!1aK"</f>
        <v>#VALUE!</v>
      </c>
    </row>
    <row r="330" spans="6:256" x14ac:dyDescent="0.35">
      <c r="F330" t="e">
        <f>'North America'!F684+"$F;@!1aL"</f>
        <v>#VALUE!</v>
      </c>
      <c r="G330" t="e">
        <f>'North America'!G684+"$F;@!1aM"</f>
        <v>#VALUE!</v>
      </c>
      <c r="H330" t="e">
        <f>'North America'!H684+"$F;@!1aN"</f>
        <v>#VALUE!</v>
      </c>
      <c r="I330" t="e">
        <f>'North America'!A685+"$F;@!1aO"</f>
        <v>#VALUE!</v>
      </c>
      <c r="J330" t="e">
        <f>'North America'!B685+"$F;@!1aP"</f>
        <v>#VALUE!</v>
      </c>
      <c r="K330" t="e">
        <f>'North America'!C685+"$F;@!1aQ"</f>
        <v>#VALUE!</v>
      </c>
      <c r="L330" t="e">
        <f>'North America'!D685+"$F;@!1aR"</f>
        <v>#VALUE!</v>
      </c>
      <c r="M330" t="e">
        <f>'North America'!E685+"$F;@!1aS"</f>
        <v>#VALUE!</v>
      </c>
      <c r="N330" t="e">
        <f>'North America'!F685+"$F;@!1aT"</f>
        <v>#VALUE!</v>
      </c>
      <c r="O330" t="e">
        <f>'North America'!G685+"$F;@!1aU"</f>
        <v>#VALUE!</v>
      </c>
      <c r="P330" t="e">
        <f>'North America'!H685+"$F;@!1aV"</f>
        <v>#VALUE!</v>
      </c>
      <c r="Q330" t="e">
        <f>'North America'!A686+"$F;@!1aW"</f>
        <v>#VALUE!</v>
      </c>
      <c r="R330" t="e">
        <f>'North America'!B686+"$F;@!1aX"</f>
        <v>#VALUE!</v>
      </c>
      <c r="S330" t="e">
        <f>'North America'!C686+"$F;@!1aY"</f>
        <v>#VALUE!</v>
      </c>
      <c r="T330" t="e">
        <f>'North America'!D686+"$F;@!1aZ"</f>
        <v>#VALUE!</v>
      </c>
      <c r="U330" t="e">
        <f>'North America'!E686+"$F;@!1a["</f>
        <v>#VALUE!</v>
      </c>
      <c r="V330" t="e">
        <f>'North America'!F686+"$F;@!1a\"</f>
        <v>#VALUE!</v>
      </c>
      <c r="W330" t="e">
        <f>'North America'!G686+"$F;@!1a]"</f>
        <v>#VALUE!</v>
      </c>
      <c r="X330" t="e">
        <f>'North America'!H686+"$F;@!1a^"</f>
        <v>#VALUE!</v>
      </c>
      <c r="Y330" t="e">
        <f>'North America'!A687+"$F;@!1a_"</f>
        <v>#VALUE!</v>
      </c>
      <c r="Z330" t="e">
        <f>'North America'!B687+"$F;@!1a`"</f>
        <v>#VALUE!</v>
      </c>
      <c r="AA330" t="e">
        <f>'North America'!C687+"$F;@!1aa"</f>
        <v>#VALUE!</v>
      </c>
      <c r="AB330" t="e">
        <f>'North America'!D687+"$F;@!1ab"</f>
        <v>#VALUE!</v>
      </c>
      <c r="AC330" t="e">
        <f>'North America'!E687+"$F;@!1ac"</f>
        <v>#VALUE!</v>
      </c>
      <c r="AD330" t="e">
        <f>'North America'!F687+"$F;@!1ad"</f>
        <v>#VALUE!</v>
      </c>
      <c r="AE330" t="e">
        <f>'North America'!G687+"$F;@!1ae"</f>
        <v>#VALUE!</v>
      </c>
      <c r="AF330" t="e">
        <f>'North America'!H687+"$F;@!1af"</f>
        <v>#VALUE!</v>
      </c>
      <c r="AG330" t="e">
        <f>'North America'!A688+"$F;@!1ag"</f>
        <v>#VALUE!</v>
      </c>
      <c r="AH330" t="e">
        <f>'North America'!B688+"$F;@!1ah"</f>
        <v>#VALUE!</v>
      </c>
      <c r="AI330" t="e">
        <f>'North America'!C688+"$F;@!1ai"</f>
        <v>#VALUE!</v>
      </c>
      <c r="AJ330" t="e">
        <f>'North America'!D688+"$F;@!1aj"</f>
        <v>#VALUE!</v>
      </c>
      <c r="AK330" t="e">
        <f>'North America'!E688+"$F;@!1ak"</f>
        <v>#VALUE!</v>
      </c>
      <c r="AL330" t="e">
        <f>'North America'!F688+"$F;@!1al"</f>
        <v>#VALUE!</v>
      </c>
      <c r="AM330" t="e">
        <f>'North America'!G688+"$F;@!1am"</f>
        <v>#VALUE!</v>
      </c>
      <c r="AN330" t="e">
        <f>'North America'!H688+"$F;@!1an"</f>
        <v>#VALUE!</v>
      </c>
      <c r="AO330" t="e">
        <f>'North America'!A689+"$F;@!1ao"</f>
        <v>#VALUE!</v>
      </c>
      <c r="AP330" t="e">
        <f>'North America'!B689+"$F;@!1ap"</f>
        <v>#VALUE!</v>
      </c>
      <c r="AQ330" t="e">
        <f>'North America'!C689+"$F;@!1aq"</f>
        <v>#VALUE!</v>
      </c>
      <c r="AR330" t="e">
        <f>'North America'!D689+"$F;@!1ar"</f>
        <v>#VALUE!</v>
      </c>
      <c r="AS330" t="e">
        <f>'North America'!E689+"$F;@!1as"</f>
        <v>#VALUE!</v>
      </c>
      <c r="AT330" t="e">
        <f>'North America'!F689+"$F;@!1at"</f>
        <v>#VALUE!</v>
      </c>
      <c r="AU330" t="e">
        <f>'North America'!G689+"$F;@!1au"</f>
        <v>#VALUE!</v>
      </c>
      <c r="AV330" t="e">
        <f>'North America'!H689+"$F;@!1av"</f>
        <v>#VALUE!</v>
      </c>
      <c r="AW330" t="e">
        <f>'North America'!A690+"$F;@!1aw"</f>
        <v>#VALUE!</v>
      </c>
      <c r="AX330" t="e">
        <f>'North America'!B690+"$F;@!1ax"</f>
        <v>#VALUE!</v>
      </c>
      <c r="AY330" t="e">
        <f>'North America'!C690+"$F;@!1ay"</f>
        <v>#VALUE!</v>
      </c>
      <c r="AZ330" t="e">
        <f>'North America'!D690+"$F;@!1az"</f>
        <v>#VALUE!</v>
      </c>
      <c r="BA330" t="e">
        <f>'North America'!E690+"$F;@!1a{"</f>
        <v>#VALUE!</v>
      </c>
      <c r="BB330" t="e">
        <f>'North America'!F690+"$F;@!1a|"</f>
        <v>#VALUE!</v>
      </c>
      <c r="BC330" t="e">
        <f>'North America'!G690+"$F;@!1a}"</f>
        <v>#VALUE!</v>
      </c>
      <c r="BD330" t="e">
        <f>'North America'!H690+"$F;@!1a~"</f>
        <v>#VALUE!</v>
      </c>
      <c r="BE330" t="e">
        <f>'North America'!A691+"$F;@!1b#"</f>
        <v>#VALUE!</v>
      </c>
      <c r="BF330" t="e">
        <f>'North America'!B691+"$F;@!1b$"</f>
        <v>#VALUE!</v>
      </c>
      <c r="BG330" t="e">
        <f>'North America'!C691+"$F;@!1b%"</f>
        <v>#VALUE!</v>
      </c>
      <c r="BH330" t="e">
        <f>'North America'!D691+"$F;@!1b&amp;"</f>
        <v>#VALUE!</v>
      </c>
      <c r="BI330" t="e">
        <f>'North America'!E691+"$F;@!1b'"</f>
        <v>#VALUE!</v>
      </c>
      <c r="BJ330" t="e">
        <f>'North America'!F691+"$F;@!1b("</f>
        <v>#VALUE!</v>
      </c>
      <c r="BK330" t="e">
        <f>'North America'!G691+"$F;@!1b)"</f>
        <v>#VALUE!</v>
      </c>
      <c r="BL330" t="e">
        <f>'North America'!H691+"$F;@!1b."</f>
        <v>#VALUE!</v>
      </c>
      <c r="BM330" t="e">
        <f>'North America'!A692+"$F;@!1b/"</f>
        <v>#VALUE!</v>
      </c>
      <c r="BN330" t="e">
        <f>'North America'!B692+"$F;@!1b0"</f>
        <v>#VALUE!</v>
      </c>
      <c r="BO330" t="e">
        <f>'North America'!C692+"$F;@!1b1"</f>
        <v>#VALUE!</v>
      </c>
      <c r="BP330" t="e">
        <f>'North America'!D692+"$F;@!1b2"</f>
        <v>#VALUE!</v>
      </c>
      <c r="BQ330" t="e">
        <f>'North America'!E692+"$F;@!1b3"</f>
        <v>#VALUE!</v>
      </c>
      <c r="BR330" t="e">
        <f>'North America'!F692+"$F;@!1b4"</f>
        <v>#VALUE!</v>
      </c>
      <c r="BS330" t="e">
        <f>'North America'!G692+"$F;@!1b5"</f>
        <v>#VALUE!</v>
      </c>
      <c r="BT330" t="e">
        <f>'North America'!H692+"$F;@!1b6"</f>
        <v>#VALUE!</v>
      </c>
      <c r="BU330" t="e">
        <f>'North America'!A693+"$F;@!1b7"</f>
        <v>#VALUE!</v>
      </c>
      <c r="BV330" t="e">
        <f>'North America'!B693+"$F;@!1b8"</f>
        <v>#VALUE!</v>
      </c>
      <c r="BW330" t="e">
        <f>'North America'!C693+"$F;@!1b9"</f>
        <v>#VALUE!</v>
      </c>
      <c r="BX330" t="e">
        <f>'North America'!D693+"$F;@!1b:"</f>
        <v>#VALUE!</v>
      </c>
      <c r="BY330" t="e">
        <f>'North America'!E693+"$F;@!1b;"</f>
        <v>#VALUE!</v>
      </c>
      <c r="BZ330" t="e">
        <f>'North America'!F693+"$F;@!1b&lt;"</f>
        <v>#VALUE!</v>
      </c>
      <c r="CA330" t="e">
        <f>'North America'!G693+"$F;@!1b="</f>
        <v>#VALUE!</v>
      </c>
      <c r="CB330" t="e">
        <f>'North America'!H693+"$F;@!1b&gt;"</f>
        <v>#VALUE!</v>
      </c>
      <c r="CC330" t="e">
        <f>'North America'!A694+"$F;@!1b?"</f>
        <v>#VALUE!</v>
      </c>
      <c r="CD330" t="e">
        <f>'North America'!B694+"$F;@!1b@"</f>
        <v>#VALUE!</v>
      </c>
      <c r="CE330" t="e">
        <f>'North America'!C694+"$F;@!1bA"</f>
        <v>#VALUE!</v>
      </c>
      <c r="CF330" t="e">
        <f>'North America'!D694+"$F;@!1bB"</f>
        <v>#VALUE!</v>
      </c>
      <c r="CG330" t="e">
        <f>'North America'!E694+"$F;@!1bC"</f>
        <v>#VALUE!</v>
      </c>
      <c r="CH330" t="e">
        <f>'North America'!F694+"$F;@!1bD"</f>
        <v>#VALUE!</v>
      </c>
      <c r="CI330" t="e">
        <f>'North America'!G694+"$F;@!1bE"</f>
        <v>#VALUE!</v>
      </c>
      <c r="CJ330" t="e">
        <f>'North America'!H694+"$F;@!1bF"</f>
        <v>#VALUE!</v>
      </c>
      <c r="CK330" t="e">
        <f>'North America'!A695+"$F;@!1bG"</f>
        <v>#VALUE!</v>
      </c>
      <c r="CL330" t="e">
        <f>'North America'!B695+"$F;@!1bH"</f>
        <v>#VALUE!</v>
      </c>
      <c r="CM330" t="e">
        <f>'North America'!C695+"$F;@!1bI"</f>
        <v>#VALUE!</v>
      </c>
      <c r="CN330" t="e">
        <f>'North America'!D695+"$F;@!1bJ"</f>
        <v>#VALUE!</v>
      </c>
      <c r="CO330" t="e">
        <f>'North America'!E695+"$F;@!1bK"</f>
        <v>#VALUE!</v>
      </c>
      <c r="CP330" t="e">
        <f>'North America'!F695+"$F;@!1bL"</f>
        <v>#VALUE!</v>
      </c>
      <c r="CQ330" t="e">
        <f>'North America'!G695+"$F;@!1bM"</f>
        <v>#VALUE!</v>
      </c>
      <c r="CR330" t="e">
        <f>'North America'!H695+"$F;@!1bN"</f>
        <v>#VALUE!</v>
      </c>
      <c r="CS330" t="e">
        <f>'North America'!A696+"$F;@!1bO"</f>
        <v>#VALUE!</v>
      </c>
      <c r="CT330" t="e">
        <f>'North America'!B696+"$F;@!1bP"</f>
        <v>#VALUE!</v>
      </c>
      <c r="CU330" t="e">
        <f>'North America'!C696+"$F;@!1bQ"</f>
        <v>#VALUE!</v>
      </c>
      <c r="CV330" t="e">
        <f>'North America'!D696+"$F;@!1bR"</f>
        <v>#VALUE!</v>
      </c>
      <c r="CW330" t="e">
        <f>'North America'!E696+"$F;@!1bS"</f>
        <v>#VALUE!</v>
      </c>
      <c r="CX330" t="e">
        <f>'North America'!F696+"$F;@!1bT"</f>
        <v>#VALUE!</v>
      </c>
      <c r="CY330" t="e">
        <f>'North America'!G696+"$F;@!1bU"</f>
        <v>#VALUE!</v>
      </c>
      <c r="CZ330" t="e">
        <f>'North America'!H696+"$F;@!1bV"</f>
        <v>#VALUE!</v>
      </c>
      <c r="DA330" t="e">
        <f>'North America'!A697+"$F;@!1bW"</f>
        <v>#VALUE!</v>
      </c>
      <c r="DB330" t="e">
        <f>'North America'!B697+"$F;@!1bX"</f>
        <v>#VALUE!</v>
      </c>
      <c r="DC330" t="e">
        <f>'North America'!C697+"$F;@!1bY"</f>
        <v>#VALUE!</v>
      </c>
      <c r="DD330" t="e">
        <f>'North America'!D697+"$F;@!1bZ"</f>
        <v>#VALUE!</v>
      </c>
      <c r="DE330" t="e">
        <f>'North America'!E697+"$F;@!1b["</f>
        <v>#VALUE!</v>
      </c>
      <c r="DF330" t="e">
        <f>'North America'!F697+"$F;@!1b\"</f>
        <v>#VALUE!</v>
      </c>
      <c r="DG330" t="e">
        <f>'North America'!G697+"$F;@!1b]"</f>
        <v>#VALUE!</v>
      </c>
      <c r="DH330" t="e">
        <f>'North America'!H697+"$F;@!1b^"</f>
        <v>#VALUE!</v>
      </c>
      <c r="DI330" t="e">
        <f>'North America'!A698+"$F;@!1b_"</f>
        <v>#VALUE!</v>
      </c>
      <c r="DJ330" t="e">
        <f>'North America'!B698+"$F;@!1b`"</f>
        <v>#VALUE!</v>
      </c>
      <c r="DK330" t="e">
        <f>'North America'!C698+"$F;@!1ba"</f>
        <v>#VALUE!</v>
      </c>
      <c r="DL330" t="e">
        <f>'North America'!D698+"$F;@!1bb"</f>
        <v>#VALUE!</v>
      </c>
      <c r="DM330" t="e">
        <f>'North America'!E698+"$F;@!1bc"</f>
        <v>#VALUE!</v>
      </c>
      <c r="DN330" t="e">
        <f>'North America'!F698+"$F;@!1bd"</f>
        <v>#VALUE!</v>
      </c>
      <c r="DO330" t="e">
        <f>'North America'!G698+"$F;@!1be"</f>
        <v>#VALUE!</v>
      </c>
      <c r="DP330" t="e">
        <f>'North America'!H698+"$F;@!1bf"</f>
        <v>#VALUE!</v>
      </c>
      <c r="DQ330" t="e">
        <f>'North America'!A699+"$F;@!1bg"</f>
        <v>#VALUE!</v>
      </c>
      <c r="DR330" t="e">
        <f>'North America'!B699+"$F;@!1bh"</f>
        <v>#VALUE!</v>
      </c>
      <c r="DS330" t="e">
        <f>'North America'!C699+"$F;@!1bi"</f>
        <v>#VALUE!</v>
      </c>
      <c r="DT330" t="e">
        <f>'North America'!D699+"$F;@!1bj"</f>
        <v>#VALUE!</v>
      </c>
      <c r="DU330" t="e">
        <f>'North America'!E699+"$F;@!1bk"</f>
        <v>#VALUE!</v>
      </c>
      <c r="DV330" t="e">
        <f>'North America'!F699+"$F;@!1bl"</f>
        <v>#VALUE!</v>
      </c>
      <c r="DW330" t="e">
        <f>'North America'!G699+"$F;@!1bm"</f>
        <v>#VALUE!</v>
      </c>
      <c r="DX330" t="e">
        <f>'North America'!H699+"$F;@!1bn"</f>
        <v>#VALUE!</v>
      </c>
      <c r="DY330" t="e">
        <f>'North America'!A700+"$F;@!1bo"</f>
        <v>#VALUE!</v>
      </c>
      <c r="DZ330" t="e">
        <f>'North America'!B700+"$F;@!1bp"</f>
        <v>#VALUE!</v>
      </c>
      <c r="EA330" t="e">
        <f>'North America'!C700+"$F;@!1bq"</f>
        <v>#VALUE!</v>
      </c>
      <c r="EB330" t="e">
        <f>'North America'!D700+"$F;@!1br"</f>
        <v>#VALUE!</v>
      </c>
      <c r="EC330" t="e">
        <f>'North America'!E700+"$F;@!1bs"</f>
        <v>#VALUE!</v>
      </c>
      <c r="ED330" t="e">
        <f>'North America'!F700+"$F;@!1bt"</f>
        <v>#VALUE!</v>
      </c>
      <c r="EE330" t="e">
        <f>'North America'!G700+"$F;@!1bu"</f>
        <v>#VALUE!</v>
      </c>
      <c r="EF330" t="e">
        <f>'North America'!H700+"$F;@!1bv"</f>
        <v>#VALUE!</v>
      </c>
      <c r="EG330" t="e">
        <f>'North America'!A701+"$F;@!1bw"</f>
        <v>#VALUE!</v>
      </c>
      <c r="EH330" t="e">
        <f>'North America'!B701+"$F;@!1bx"</f>
        <v>#VALUE!</v>
      </c>
      <c r="EI330" t="e">
        <f>'North America'!C701+"$F;@!1by"</f>
        <v>#VALUE!</v>
      </c>
      <c r="EJ330" t="e">
        <f>'North America'!D701+"$F;@!1bz"</f>
        <v>#VALUE!</v>
      </c>
      <c r="EK330" t="e">
        <f>'North America'!E701+"$F;@!1b{"</f>
        <v>#VALUE!</v>
      </c>
      <c r="EL330" t="e">
        <f>'North America'!F701+"$F;@!1b|"</f>
        <v>#VALUE!</v>
      </c>
      <c r="EM330" t="e">
        <f>'North America'!G701+"$F;@!1b}"</f>
        <v>#VALUE!</v>
      </c>
      <c r="EN330" t="e">
        <f>'North America'!H701+"$F;@!1b~"</f>
        <v>#VALUE!</v>
      </c>
      <c r="EO330" t="e">
        <f>'North America'!A702+"$F;@!1c#"</f>
        <v>#VALUE!</v>
      </c>
      <c r="EP330" t="e">
        <f>'North America'!B702+"$F;@!1c$"</f>
        <v>#VALUE!</v>
      </c>
      <c r="EQ330" t="e">
        <f>'North America'!C702+"$F;@!1c%"</f>
        <v>#VALUE!</v>
      </c>
      <c r="ER330" t="e">
        <f>'North America'!D702+"$F;@!1c&amp;"</f>
        <v>#VALUE!</v>
      </c>
      <c r="ES330" t="e">
        <f>'North America'!E702+"$F;@!1c'"</f>
        <v>#VALUE!</v>
      </c>
      <c r="ET330" t="e">
        <f>'North America'!F702+"$F;@!1c("</f>
        <v>#VALUE!</v>
      </c>
      <c r="EU330" t="e">
        <f>'North America'!G702+"$F;@!1c)"</f>
        <v>#VALUE!</v>
      </c>
      <c r="EV330" t="e">
        <f>'North America'!H702+"$F;@!1c."</f>
        <v>#VALUE!</v>
      </c>
      <c r="EW330" t="e">
        <f>'North America'!A703+"$F;@!1c/"</f>
        <v>#VALUE!</v>
      </c>
      <c r="EX330" t="e">
        <f>'North America'!B703+"$F;@!1c0"</f>
        <v>#VALUE!</v>
      </c>
      <c r="EY330" t="e">
        <f>'North America'!C703+"$F;@!1c1"</f>
        <v>#VALUE!</v>
      </c>
      <c r="EZ330" t="e">
        <f>'North America'!D703+"$F;@!1c2"</f>
        <v>#VALUE!</v>
      </c>
      <c r="FA330" t="e">
        <f>'North America'!E703+"$F;@!1c3"</f>
        <v>#VALUE!</v>
      </c>
      <c r="FB330" t="e">
        <f>'North America'!F703+"$F;@!1c4"</f>
        <v>#VALUE!</v>
      </c>
      <c r="FC330" t="e">
        <f>'North America'!G703+"$F;@!1c5"</f>
        <v>#VALUE!</v>
      </c>
      <c r="FD330" t="e">
        <f>'North America'!H703+"$F;@!1c6"</f>
        <v>#VALUE!</v>
      </c>
      <c r="FE330" t="e">
        <f>'North America'!A704+"$F;@!1c7"</f>
        <v>#VALUE!</v>
      </c>
      <c r="FF330" t="e">
        <f>'North America'!B704+"$F;@!1c8"</f>
        <v>#VALUE!</v>
      </c>
      <c r="FG330" t="e">
        <f>'North America'!C704+"$F;@!1c9"</f>
        <v>#VALUE!</v>
      </c>
      <c r="FH330" t="e">
        <f>'North America'!D704+"$F;@!1c:"</f>
        <v>#VALUE!</v>
      </c>
      <c r="FI330" t="e">
        <f>'North America'!E704+"$F;@!1c;"</f>
        <v>#VALUE!</v>
      </c>
      <c r="FJ330" t="e">
        <f>'North America'!F704+"$F;@!1c&lt;"</f>
        <v>#VALUE!</v>
      </c>
      <c r="FK330" t="e">
        <f>'North America'!G704+"$F;@!1c="</f>
        <v>#VALUE!</v>
      </c>
      <c r="FL330" t="e">
        <f>'North America'!H704+"$F;@!1c&gt;"</f>
        <v>#VALUE!</v>
      </c>
      <c r="FM330" t="e">
        <f>'North America'!A705+"$F;@!1c?"</f>
        <v>#VALUE!</v>
      </c>
      <c r="FN330" t="e">
        <f>'North America'!B705+"$F;@!1c@"</f>
        <v>#VALUE!</v>
      </c>
      <c r="FO330" t="e">
        <f>'North America'!C705+"$F;@!1cA"</f>
        <v>#VALUE!</v>
      </c>
      <c r="FP330" t="e">
        <f>'North America'!D705+"$F;@!1cB"</f>
        <v>#VALUE!</v>
      </c>
      <c r="FQ330" t="e">
        <f>'North America'!E705+"$F;@!1cC"</f>
        <v>#VALUE!</v>
      </c>
      <c r="FR330" t="e">
        <f>'North America'!F705+"$F;@!1cD"</f>
        <v>#VALUE!</v>
      </c>
      <c r="FS330" t="e">
        <f>'North America'!G705+"$F;@!1cE"</f>
        <v>#VALUE!</v>
      </c>
      <c r="FT330" t="e">
        <f>'North America'!H705+"$F;@!1cF"</f>
        <v>#VALUE!</v>
      </c>
      <c r="FU330" t="e">
        <f>'North America'!A706+"$F;@!1cG"</f>
        <v>#VALUE!</v>
      </c>
      <c r="FV330" t="e">
        <f>'North America'!B706+"$F;@!1cH"</f>
        <v>#VALUE!</v>
      </c>
      <c r="FW330" t="e">
        <f>'North America'!C706+"$F;@!1cI"</f>
        <v>#VALUE!</v>
      </c>
      <c r="FX330" t="e">
        <f>'North America'!D706+"$F;@!1cJ"</f>
        <v>#VALUE!</v>
      </c>
      <c r="FY330" t="e">
        <f>'North America'!E706+"$F;@!1cK"</f>
        <v>#VALUE!</v>
      </c>
      <c r="FZ330" t="e">
        <f>'North America'!F706+"$F;@!1cL"</f>
        <v>#VALUE!</v>
      </c>
      <c r="GA330" t="e">
        <f>'North America'!G706+"$F;@!1cM"</f>
        <v>#VALUE!</v>
      </c>
      <c r="GB330" t="e">
        <f>'North America'!H706+"$F;@!1cN"</f>
        <v>#VALUE!</v>
      </c>
      <c r="GC330" t="e">
        <f>'North America'!A707+"$F;@!1cO"</f>
        <v>#VALUE!</v>
      </c>
      <c r="GD330" t="e">
        <f>'North America'!B707+"$F;@!1cP"</f>
        <v>#VALUE!</v>
      </c>
      <c r="GE330" t="e">
        <f>'North America'!C707+"$F;@!1cQ"</f>
        <v>#VALUE!</v>
      </c>
      <c r="GF330" t="e">
        <f>'North America'!D707+"$F;@!1cR"</f>
        <v>#VALUE!</v>
      </c>
      <c r="GG330" t="e">
        <f>'North America'!E707+"$F;@!1cS"</f>
        <v>#VALUE!</v>
      </c>
      <c r="GH330" t="e">
        <f>'North America'!F707+"$F;@!1cT"</f>
        <v>#VALUE!</v>
      </c>
      <c r="GI330" t="e">
        <f>'North America'!G707+"$F;@!1cU"</f>
        <v>#VALUE!</v>
      </c>
      <c r="GJ330" t="e">
        <f>'North America'!H707+"$F;@!1cV"</f>
        <v>#VALUE!</v>
      </c>
      <c r="GK330" t="e">
        <f>'North America'!A708+"$F;@!1cW"</f>
        <v>#VALUE!</v>
      </c>
      <c r="GL330" t="e">
        <f>'North America'!B708+"$F;@!1cX"</f>
        <v>#VALUE!</v>
      </c>
      <c r="GM330" t="e">
        <f>'North America'!C708+"$F;@!1cY"</f>
        <v>#VALUE!</v>
      </c>
      <c r="GN330" t="e">
        <f>'North America'!D708+"$F;@!1cZ"</f>
        <v>#VALUE!</v>
      </c>
      <c r="GO330" t="e">
        <f>'North America'!E708+"$F;@!1c["</f>
        <v>#VALUE!</v>
      </c>
      <c r="GP330" t="e">
        <f>'North America'!F708+"$F;@!1c\"</f>
        <v>#VALUE!</v>
      </c>
      <c r="GQ330" t="e">
        <f>'North America'!G708+"$F;@!1c]"</f>
        <v>#VALUE!</v>
      </c>
      <c r="GR330" t="e">
        <f>'North America'!H708+"$F;@!1c^"</f>
        <v>#VALUE!</v>
      </c>
      <c r="GS330" t="e">
        <f>'North America'!A709+"$F;@!1c_"</f>
        <v>#VALUE!</v>
      </c>
      <c r="GT330" t="e">
        <f>'North America'!B709+"$F;@!1c`"</f>
        <v>#VALUE!</v>
      </c>
      <c r="GU330" t="e">
        <f>'North America'!C709+"$F;@!1ca"</f>
        <v>#VALUE!</v>
      </c>
      <c r="GV330" t="e">
        <f>'North America'!D709+"$F;@!1cb"</f>
        <v>#VALUE!</v>
      </c>
      <c r="GW330" t="e">
        <f>'North America'!E709+"$F;@!1cc"</f>
        <v>#VALUE!</v>
      </c>
      <c r="GX330" t="e">
        <f>'North America'!F709+"$F;@!1cd"</f>
        <v>#VALUE!</v>
      </c>
      <c r="GY330" t="e">
        <f>'North America'!G709+"$F;@!1ce"</f>
        <v>#VALUE!</v>
      </c>
      <c r="GZ330" t="e">
        <f>'North America'!H709+"$F;@!1cf"</f>
        <v>#VALUE!</v>
      </c>
      <c r="HA330" t="e">
        <f>'North America'!A710+"$F;@!1cg"</f>
        <v>#VALUE!</v>
      </c>
      <c r="HB330" t="e">
        <f>'North America'!B710+"$F;@!1ch"</f>
        <v>#VALUE!</v>
      </c>
      <c r="HC330" t="e">
        <f>'North America'!C710+"$F;@!1ci"</f>
        <v>#VALUE!</v>
      </c>
      <c r="HD330" t="e">
        <f>'North America'!D710+"$F;@!1cj"</f>
        <v>#VALUE!</v>
      </c>
      <c r="HE330" t="e">
        <f>'North America'!E710+"$F;@!1ck"</f>
        <v>#VALUE!</v>
      </c>
      <c r="HF330" t="e">
        <f>'North America'!F710+"$F;@!1cl"</f>
        <v>#VALUE!</v>
      </c>
      <c r="HG330" t="e">
        <f>'North America'!G710+"$F;@!1cm"</f>
        <v>#VALUE!</v>
      </c>
      <c r="HH330" t="e">
        <f>'North America'!H710+"$F;@!1cn"</f>
        <v>#VALUE!</v>
      </c>
      <c r="HI330" t="e">
        <f>'North America'!A711+"$F;@!1co"</f>
        <v>#VALUE!</v>
      </c>
      <c r="HJ330" t="e">
        <f>'North America'!B711+"$F;@!1cp"</f>
        <v>#VALUE!</v>
      </c>
      <c r="HK330" t="e">
        <f>'North America'!C711+"$F;@!1cq"</f>
        <v>#VALUE!</v>
      </c>
      <c r="HL330" t="e">
        <f>'North America'!D711+"$F;@!1cr"</f>
        <v>#VALUE!</v>
      </c>
      <c r="HM330" t="e">
        <f>'North America'!E711+"$F;@!1cs"</f>
        <v>#VALUE!</v>
      </c>
      <c r="HN330" t="e">
        <f>'North America'!F711+"$F;@!1ct"</f>
        <v>#VALUE!</v>
      </c>
      <c r="HO330" t="e">
        <f>'North America'!G711+"$F;@!1cu"</f>
        <v>#VALUE!</v>
      </c>
      <c r="HP330" t="e">
        <f>'North America'!H711+"$F;@!1cv"</f>
        <v>#VALUE!</v>
      </c>
      <c r="HQ330" t="e">
        <f>'North America'!A712+"$F;@!1cw"</f>
        <v>#VALUE!</v>
      </c>
      <c r="HR330" t="e">
        <f>'North America'!B712+"$F;@!1cx"</f>
        <v>#VALUE!</v>
      </c>
      <c r="HS330" t="e">
        <f>'North America'!C712+"$F;@!1cy"</f>
        <v>#VALUE!</v>
      </c>
      <c r="HT330" t="e">
        <f>'North America'!D712+"$F;@!1cz"</f>
        <v>#VALUE!</v>
      </c>
      <c r="HU330" t="e">
        <f>'North America'!E712+"$F;@!1c{"</f>
        <v>#VALUE!</v>
      </c>
      <c r="HV330" t="e">
        <f>'North America'!F712+"$F;@!1c|"</f>
        <v>#VALUE!</v>
      </c>
      <c r="HW330" t="e">
        <f>'North America'!G712+"$F;@!1c}"</f>
        <v>#VALUE!</v>
      </c>
      <c r="HX330" t="e">
        <f>'North America'!H712+"$F;@!1c~"</f>
        <v>#VALUE!</v>
      </c>
      <c r="HY330" t="e">
        <f>'North America'!A713+"$F;@!1d#"</f>
        <v>#VALUE!</v>
      </c>
      <c r="HZ330" t="e">
        <f>'North America'!B713+"$F;@!1d$"</f>
        <v>#VALUE!</v>
      </c>
      <c r="IA330" t="e">
        <f>'North America'!C713+"$F;@!1d%"</f>
        <v>#VALUE!</v>
      </c>
      <c r="IB330" t="e">
        <f>'North America'!D713+"$F;@!1d&amp;"</f>
        <v>#VALUE!</v>
      </c>
      <c r="IC330" t="e">
        <f>'North America'!E713+"$F;@!1d'"</f>
        <v>#VALUE!</v>
      </c>
      <c r="ID330" t="e">
        <f>'North America'!F713+"$F;@!1d("</f>
        <v>#VALUE!</v>
      </c>
      <c r="IE330" t="e">
        <f>'North America'!G713+"$F;@!1d)"</f>
        <v>#VALUE!</v>
      </c>
      <c r="IF330" t="e">
        <f>'North America'!H713+"$F;@!1d."</f>
        <v>#VALUE!</v>
      </c>
      <c r="IG330" t="e">
        <f>'North America'!A714+"$F;@!1d/"</f>
        <v>#VALUE!</v>
      </c>
      <c r="IH330" t="e">
        <f>'North America'!B714+"$F;@!1d0"</f>
        <v>#VALUE!</v>
      </c>
      <c r="II330" t="e">
        <f>'North America'!C714+"$F;@!1d1"</f>
        <v>#VALUE!</v>
      </c>
      <c r="IJ330" t="e">
        <f>'North America'!D714+"$F;@!1d2"</f>
        <v>#VALUE!</v>
      </c>
      <c r="IK330" t="e">
        <f>'North America'!E714+"$F;@!1d3"</f>
        <v>#VALUE!</v>
      </c>
      <c r="IL330" t="e">
        <f>'North America'!F714+"$F;@!1d4"</f>
        <v>#VALUE!</v>
      </c>
      <c r="IM330" t="e">
        <f>'North America'!G714+"$F;@!1d5"</f>
        <v>#VALUE!</v>
      </c>
      <c r="IN330" t="e">
        <f>'North America'!H714+"$F;@!1d6"</f>
        <v>#VALUE!</v>
      </c>
      <c r="IO330" t="e">
        <f>'North America'!A715+"$F;@!1d7"</f>
        <v>#VALUE!</v>
      </c>
      <c r="IP330" t="e">
        <f>'North America'!B715+"$F;@!1d8"</f>
        <v>#VALUE!</v>
      </c>
      <c r="IQ330" t="e">
        <f>'North America'!C715+"$F;@!1d9"</f>
        <v>#VALUE!</v>
      </c>
      <c r="IR330" t="e">
        <f>'North America'!D715+"$F;@!1d:"</f>
        <v>#VALUE!</v>
      </c>
      <c r="IS330" t="e">
        <f>'North America'!E715+"$F;@!1d;"</f>
        <v>#VALUE!</v>
      </c>
      <c r="IT330" t="e">
        <f>'North America'!F715+"$F;@!1d&lt;"</f>
        <v>#VALUE!</v>
      </c>
      <c r="IU330" t="e">
        <f>'North America'!G715+"$F;@!1d="</f>
        <v>#VALUE!</v>
      </c>
      <c r="IV330" t="e">
        <f>'North America'!H715+"$F;@!1d&gt;"</f>
        <v>#VALUE!</v>
      </c>
    </row>
    <row r="331" spans="6:256" x14ac:dyDescent="0.35">
      <c r="F331" t="e">
        <f>'North America'!A716+"$F;@!1d?"</f>
        <v>#VALUE!</v>
      </c>
      <c r="G331" t="e">
        <f>'North America'!B716+"$F;@!1d@"</f>
        <v>#VALUE!</v>
      </c>
      <c r="H331" t="e">
        <f>'North America'!C716+"$F;@!1dA"</f>
        <v>#VALUE!</v>
      </c>
      <c r="I331" t="e">
        <f>'North America'!D716+"$F;@!1dB"</f>
        <v>#VALUE!</v>
      </c>
      <c r="J331" t="e">
        <f>'North America'!E716+"$F;@!1dC"</f>
        <v>#VALUE!</v>
      </c>
      <c r="K331" t="e">
        <f>'North America'!F716+"$F;@!1dD"</f>
        <v>#VALUE!</v>
      </c>
      <c r="L331" t="e">
        <f>'North America'!G716+"$F;@!1dE"</f>
        <v>#VALUE!</v>
      </c>
      <c r="M331" t="e">
        <f>'North America'!H716+"$F;@!1dF"</f>
        <v>#VALUE!</v>
      </c>
      <c r="N331" t="e">
        <f>'North America'!A717+"$F;@!1dG"</f>
        <v>#VALUE!</v>
      </c>
      <c r="O331" t="e">
        <f>'North America'!B717+"$F;@!1dH"</f>
        <v>#VALUE!</v>
      </c>
      <c r="P331" t="e">
        <f>'North America'!C717+"$F;@!1dI"</f>
        <v>#VALUE!</v>
      </c>
      <c r="Q331" t="e">
        <f>'North America'!D717+"$F;@!1dJ"</f>
        <v>#VALUE!</v>
      </c>
      <c r="R331" t="e">
        <f>'North America'!E717+"$F;@!1dK"</f>
        <v>#VALUE!</v>
      </c>
      <c r="S331" t="e">
        <f>'North America'!F717+"$F;@!1dL"</f>
        <v>#VALUE!</v>
      </c>
      <c r="T331" t="e">
        <f>'North America'!G717+"$F;@!1dM"</f>
        <v>#VALUE!</v>
      </c>
      <c r="U331" t="e">
        <f>'North America'!H717+"$F;@!1dN"</f>
        <v>#VALUE!</v>
      </c>
      <c r="V331" t="e">
        <f>'North America'!A718+"$F;@!1dO"</f>
        <v>#VALUE!</v>
      </c>
      <c r="W331" t="e">
        <f>'North America'!B718+"$F;@!1dP"</f>
        <v>#VALUE!</v>
      </c>
      <c r="X331" t="e">
        <f>'North America'!C718+"$F;@!1dQ"</f>
        <v>#VALUE!</v>
      </c>
      <c r="Y331" t="e">
        <f>'North America'!D718+"$F;@!1dR"</f>
        <v>#VALUE!</v>
      </c>
      <c r="Z331" t="e">
        <f>'North America'!E718+"$F;@!1dS"</f>
        <v>#VALUE!</v>
      </c>
      <c r="AA331" t="e">
        <f>'North America'!F718+"$F;@!1dT"</f>
        <v>#VALUE!</v>
      </c>
      <c r="AB331" t="e">
        <f>'North America'!G718+"$F;@!1dU"</f>
        <v>#VALUE!</v>
      </c>
      <c r="AC331" t="e">
        <f>'North America'!H718+"$F;@!1dV"</f>
        <v>#VALUE!</v>
      </c>
      <c r="AD331" t="e">
        <f>'North America'!A719+"$F;@!1dW"</f>
        <v>#VALUE!</v>
      </c>
      <c r="AE331" t="e">
        <f>'North America'!B719+"$F;@!1dX"</f>
        <v>#VALUE!</v>
      </c>
      <c r="AF331" t="e">
        <f>'North America'!C719+"$F;@!1dY"</f>
        <v>#VALUE!</v>
      </c>
      <c r="AG331" t="e">
        <f>'North America'!D719+"$F;@!1dZ"</f>
        <v>#VALUE!</v>
      </c>
      <c r="AH331" t="e">
        <f>'North America'!E719+"$F;@!1d["</f>
        <v>#VALUE!</v>
      </c>
      <c r="AI331" t="e">
        <f>'North America'!F719+"$F;@!1d\"</f>
        <v>#VALUE!</v>
      </c>
      <c r="AJ331" t="e">
        <f>'North America'!G719+"$F;@!1d]"</f>
        <v>#VALUE!</v>
      </c>
      <c r="AK331" t="e">
        <f>'North America'!H719+"$F;@!1d^"</f>
        <v>#VALUE!</v>
      </c>
      <c r="AL331" t="e">
        <f>'North America'!A720+"$F;@!1d_"</f>
        <v>#VALUE!</v>
      </c>
      <c r="AM331" t="e">
        <f>'North America'!B720+"$F;@!1d`"</f>
        <v>#VALUE!</v>
      </c>
      <c r="AN331" t="e">
        <f>'North America'!C720+"$F;@!1da"</f>
        <v>#VALUE!</v>
      </c>
      <c r="AO331" t="e">
        <f>'North America'!D720+"$F;@!1db"</f>
        <v>#VALUE!</v>
      </c>
      <c r="AP331" t="e">
        <f>'North America'!E720+"$F;@!1dc"</f>
        <v>#VALUE!</v>
      </c>
      <c r="AQ331" t="e">
        <f>'North America'!F720+"$F;@!1dd"</f>
        <v>#VALUE!</v>
      </c>
      <c r="AR331" t="e">
        <f>'North America'!G720+"$F;@!1de"</f>
        <v>#VALUE!</v>
      </c>
      <c r="AS331" t="e">
        <f>'North America'!H720+"$F;@!1df"</f>
        <v>#VALUE!</v>
      </c>
      <c r="AT331" t="e">
        <f>'North America'!A721+"$F;@!1dg"</f>
        <v>#VALUE!</v>
      </c>
      <c r="AU331" t="e">
        <f>'North America'!B721+"$F;@!1dh"</f>
        <v>#VALUE!</v>
      </c>
      <c r="AV331" t="e">
        <f>'North America'!C721+"$F;@!1di"</f>
        <v>#VALUE!</v>
      </c>
      <c r="AW331" t="e">
        <f>'North America'!D721+"$F;@!1dj"</f>
        <v>#VALUE!</v>
      </c>
      <c r="AX331" t="e">
        <f>'North America'!E721+"$F;@!1dk"</f>
        <v>#VALUE!</v>
      </c>
      <c r="AY331" t="e">
        <f>'North America'!F721+"$F;@!1dl"</f>
        <v>#VALUE!</v>
      </c>
      <c r="AZ331" t="e">
        <f>'North America'!G721+"$F;@!1dm"</f>
        <v>#VALUE!</v>
      </c>
      <c r="BA331" t="e">
        <f>'North America'!H721+"$F;@!1dn"</f>
        <v>#VALUE!</v>
      </c>
      <c r="BB331" t="e">
        <f>'North America'!A722+"$F;@!1do"</f>
        <v>#VALUE!</v>
      </c>
      <c r="BC331" t="e">
        <f>'North America'!B722+"$F;@!1dp"</f>
        <v>#VALUE!</v>
      </c>
      <c r="BD331" t="e">
        <f>'North America'!C722+"$F;@!1dq"</f>
        <v>#VALUE!</v>
      </c>
      <c r="BE331" t="e">
        <f>'North America'!D722+"$F;@!1dr"</f>
        <v>#VALUE!</v>
      </c>
      <c r="BF331" t="e">
        <f>'North America'!E722+"$F;@!1ds"</f>
        <v>#VALUE!</v>
      </c>
      <c r="BG331" t="e">
        <f>'North America'!F722+"$F;@!1dt"</f>
        <v>#VALUE!</v>
      </c>
      <c r="BH331" t="e">
        <f>'North America'!G722+"$F;@!1du"</f>
        <v>#VALUE!</v>
      </c>
      <c r="BI331" t="e">
        <f>'North America'!H722+"$F;@!1dv"</f>
        <v>#VALUE!</v>
      </c>
      <c r="BJ331" t="e">
        <f>'North America'!A723+"$F;@!1dw"</f>
        <v>#VALUE!</v>
      </c>
      <c r="BK331" t="e">
        <f>'North America'!B723+"$F;@!1dx"</f>
        <v>#VALUE!</v>
      </c>
      <c r="BL331" t="e">
        <f>'North America'!C723+"$F;@!1dy"</f>
        <v>#VALUE!</v>
      </c>
      <c r="BM331" t="e">
        <f>'North America'!D723+"$F;@!1dz"</f>
        <v>#VALUE!</v>
      </c>
      <c r="BN331" t="e">
        <f>'North America'!E723+"$F;@!1d{"</f>
        <v>#VALUE!</v>
      </c>
      <c r="BO331" t="e">
        <f>'North America'!F723+"$F;@!1d|"</f>
        <v>#VALUE!</v>
      </c>
      <c r="BP331" t="e">
        <f>'North America'!G723+"$F;@!1d}"</f>
        <v>#VALUE!</v>
      </c>
      <c r="BQ331" t="e">
        <f>'North America'!H723+"$F;@!1d~"</f>
        <v>#VALUE!</v>
      </c>
      <c r="BR331" t="e">
        <f>'North America'!A724+"$F;@!1e#"</f>
        <v>#VALUE!</v>
      </c>
      <c r="BS331" t="e">
        <f>'North America'!B724+"$F;@!1e$"</f>
        <v>#VALUE!</v>
      </c>
      <c r="BT331" t="e">
        <f>'North America'!C724+"$F;@!1e%"</f>
        <v>#VALUE!</v>
      </c>
      <c r="BU331" t="e">
        <f>'North America'!D724+"$F;@!1e&amp;"</f>
        <v>#VALUE!</v>
      </c>
      <c r="BV331" t="e">
        <f>'North America'!E724+"$F;@!1e'"</f>
        <v>#VALUE!</v>
      </c>
      <c r="BW331" t="e">
        <f>'North America'!F724+"$F;@!1e("</f>
        <v>#VALUE!</v>
      </c>
      <c r="BX331" t="e">
        <f>'North America'!G724+"$F;@!1e)"</f>
        <v>#VALUE!</v>
      </c>
      <c r="BY331" t="e">
        <f>'North America'!H724+"$F;@!1e."</f>
        <v>#VALUE!</v>
      </c>
      <c r="BZ331" t="e">
        <f>'North America'!A725+"$F;@!1e/"</f>
        <v>#VALUE!</v>
      </c>
      <c r="CA331" t="e">
        <f>'North America'!B725+"$F;@!1e0"</f>
        <v>#VALUE!</v>
      </c>
      <c r="CB331" t="e">
        <f>'North America'!C725+"$F;@!1e1"</f>
        <v>#VALUE!</v>
      </c>
      <c r="CC331" t="e">
        <f>'North America'!D725+"$F;@!1e2"</f>
        <v>#VALUE!</v>
      </c>
      <c r="CD331" t="e">
        <f>'North America'!E725+"$F;@!1e3"</f>
        <v>#VALUE!</v>
      </c>
      <c r="CE331" t="e">
        <f>'North America'!F725+"$F;@!1e4"</f>
        <v>#VALUE!</v>
      </c>
      <c r="CF331" t="e">
        <f>'North America'!G725+"$F;@!1e5"</f>
        <v>#VALUE!</v>
      </c>
      <c r="CG331" t="e">
        <f>'North America'!H725+"$F;@!1e6"</f>
        <v>#VALUE!</v>
      </c>
      <c r="CH331" t="e">
        <f>'North America'!A726+"$F;@!1e7"</f>
        <v>#VALUE!</v>
      </c>
      <c r="CI331" t="e">
        <f>'North America'!B726+"$F;@!1e8"</f>
        <v>#VALUE!</v>
      </c>
      <c r="CJ331" t="e">
        <f>'North America'!C726+"$F;@!1e9"</f>
        <v>#VALUE!</v>
      </c>
      <c r="CK331" t="e">
        <f>'North America'!D726+"$F;@!1e:"</f>
        <v>#VALUE!</v>
      </c>
      <c r="CL331" t="e">
        <f>'North America'!E726+"$F;@!1e;"</f>
        <v>#VALUE!</v>
      </c>
      <c r="CM331" t="e">
        <f>'North America'!F726+"$F;@!1e&lt;"</f>
        <v>#VALUE!</v>
      </c>
      <c r="CN331" t="e">
        <f>'North America'!G726+"$F;@!1e="</f>
        <v>#VALUE!</v>
      </c>
      <c r="CO331" t="e">
        <f>'North America'!H726+"$F;@!1e&gt;"</f>
        <v>#VALUE!</v>
      </c>
      <c r="CP331" t="e">
        <f>'North America'!A727+"$F;@!1e?"</f>
        <v>#VALUE!</v>
      </c>
      <c r="CQ331" t="e">
        <f>'North America'!B727+"$F;@!1e@"</f>
        <v>#VALUE!</v>
      </c>
      <c r="CR331" t="e">
        <f>'North America'!C727+"$F;@!1eA"</f>
        <v>#VALUE!</v>
      </c>
      <c r="CS331" t="e">
        <f>'North America'!D727+"$F;@!1eB"</f>
        <v>#VALUE!</v>
      </c>
      <c r="CT331" t="e">
        <f>'North America'!E727+"$F;@!1eC"</f>
        <v>#VALUE!</v>
      </c>
      <c r="CU331" t="e">
        <f>'North America'!F727+"$F;@!1eD"</f>
        <v>#VALUE!</v>
      </c>
      <c r="CV331" t="e">
        <f>'North America'!G727+"$F;@!1eE"</f>
        <v>#VALUE!</v>
      </c>
      <c r="CW331" t="e">
        <f>'North America'!H727+"$F;@!1eF"</f>
        <v>#VALUE!</v>
      </c>
      <c r="CX331" t="e">
        <f>'North America'!A728+"$F;@!1eG"</f>
        <v>#VALUE!</v>
      </c>
      <c r="CY331" t="e">
        <f>'North America'!B728+"$F;@!1eH"</f>
        <v>#VALUE!</v>
      </c>
      <c r="CZ331" t="e">
        <f>'North America'!C728+"$F;@!1eI"</f>
        <v>#VALUE!</v>
      </c>
      <c r="DA331" t="e">
        <f>'North America'!D728+"$F;@!1eJ"</f>
        <v>#VALUE!</v>
      </c>
      <c r="DB331" t="e">
        <f>'North America'!E728+"$F;@!1eK"</f>
        <v>#VALUE!</v>
      </c>
      <c r="DC331" t="e">
        <f>'North America'!F728+"$F;@!1eL"</f>
        <v>#VALUE!</v>
      </c>
      <c r="DD331" t="e">
        <f>'North America'!G728+"$F;@!1eM"</f>
        <v>#VALUE!</v>
      </c>
      <c r="DE331" t="e">
        <f>'North America'!H728+"$F;@!1eN"</f>
        <v>#VALUE!</v>
      </c>
      <c r="DF331" t="e">
        <f>'North America'!A729+"$F;@!1eO"</f>
        <v>#VALUE!</v>
      </c>
      <c r="DG331" t="e">
        <f>'North America'!B729+"$F;@!1eP"</f>
        <v>#VALUE!</v>
      </c>
      <c r="DH331" t="e">
        <f>'North America'!C729+"$F;@!1eQ"</f>
        <v>#VALUE!</v>
      </c>
      <c r="DI331" t="e">
        <f>'North America'!D729+"$F;@!1eR"</f>
        <v>#VALUE!</v>
      </c>
      <c r="DJ331" t="e">
        <f>'North America'!E729+"$F;@!1eS"</f>
        <v>#VALUE!</v>
      </c>
      <c r="DK331" t="e">
        <f>'North America'!F729+"$F;@!1eT"</f>
        <v>#VALUE!</v>
      </c>
      <c r="DL331" t="e">
        <f>'North America'!G729+"$F;@!1eU"</f>
        <v>#VALUE!</v>
      </c>
      <c r="DM331" t="e">
        <f>'North America'!H729+"$F;@!1eV"</f>
        <v>#VALUE!</v>
      </c>
      <c r="DN331" t="e">
        <f>'North America'!A730+"$F;@!1eW"</f>
        <v>#VALUE!</v>
      </c>
      <c r="DO331" t="e">
        <f>'North America'!B730+"$F;@!1eX"</f>
        <v>#VALUE!</v>
      </c>
      <c r="DP331" t="e">
        <f>'North America'!C730+"$F;@!1eY"</f>
        <v>#VALUE!</v>
      </c>
      <c r="DQ331" t="e">
        <f>'North America'!D730+"$F;@!1eZ"</f>
        <v>#VALUE!</v>
      </c>
      <c r="DR331" t="e">
        <f>'North America'!E730+"$F;@!1e["</f>
        <v>#VALUE!</v>
      </c>
      <c r="DS331" t="e">
        <f>'North America'!F730+"$F;@!1e\"</f>
        <v>#VALUE!</v>
      </c>
      <c r="DT331" t="e">
        <f>'North America'!G730+"$F;@!1e]"</f>
        <v>#VALUE!</v>
      </c>
      <c r="DU331" t="e">
        <f>'North America'!H730+"$F;@!1e^"</f>
        <v>#VALUE!</v>
      </c>
      <c r="DV331" t="e">
        <f>'North America'!A731+"$F;@!1e_"</f>
        <v>#VALUE!</v>
      </c>
      <c r="DW331" t="e">
        <f>'North America'!B731+"$F;@!1e`"</f>
        <v>#VALUE!</v>
      </c>
      <c r="DX331" t="e">
        <f>'North America'!C731+"$F;@!1ea"</f>
        <v>#VALUE!</v>
      </c>
      <c r="DY331" t="e">
        <f>'North America'!D731+"$F;@!1eb"</f>
        <v>#VALUE!</v>
      </c>
      <c r="DZ331" t="e">
        <f>'North America'!E731+"$F;@!1ec"</f>
        <v>#VALUE!</v>
      </c>
      <c r="EA331" t="e">
        <f>'North America'!F731+"$F;@!1ed"</f>
        <v>#VALUE!</v>
      </c>
      <c r="EB331" t="e">
        <f>'North America'!G731+"$F;@!1ee"</f>
        <v>#VALUE!</v>
      </c>
      <c r="EC331" t="e">
        <f>'North America'!H731+"$F;@!1ef"</f>
        <v>#VALUE!</v>
      </c>
      <c r="ED331" t="e">
        <f>'North America'!A732+"$F;@!1eg"</f>
        <v>#VALUE!</v>
      </c>
      <c r="EE331" t="e">
        <f>'North America'!B732+"$F;@!1eh"</f>
        <v>#VALUE!</v>
      </c>
      <c r="EF331" t="e">
        <f>'North America'!C732+"$F;@!1ei"</f>
        <v>#VALUE!</v>
      </c>
      <c r="EG331" t="e">
        <f>'North America'!D732+"$F;@!1ej"</f>
        <v>#VALUE!</v>
      </c>
      <c r="EH331" t="e">
        <f>'North America'!E732+"$F;@!1ek"</f>
        <v>#VALUE!</v>
      </c>
      <c r="EI331" t="e">
        <f>'North America'!F732+"$F;@!1el"</f>
        <v>#VALUE!</v>
      </c>
      <c r="EJ331" t="e">
        <f>'North America'!G732+"$F;@!1em"</f>
        <v>#VALUE!</v>
      </c>
      <c r="EK331" t="e">
        <f>'North America'!H732+"$F;@!1en"</f>
        <v>#VALUE!</v>
      </c>
      <c r="EL331" t="e">
        <f>'North America'!A733+"$F;@!1eo"</f>
        <v>#VALUE!</v>
      </c>
      <c r="EM331" t="e">
        <f>'North America'!B733+"$F;@!1ep"</f>
        <v>#VALUE!</v>
      </c>
      <c r="EN331" t="e">
        <f>'North America'!C733+"$F;@!1eq"</f>
        <v>#VALUE!</v>
      </c>
      <c r="EO331" t="e">
        <f>'North America'!D733+"$F;@!1er"</f>
        <v>#VALUE!</v>
      </c>
      <c r="EP331" t="e">
        <f>'North America'!E733+"$F;@!1es"</f>
        <v>#VALUE!</v>
      </c>
      <c r="EQ331" t="e">
        <f>'North America'!F733+"$F;@!1et"</f>
        <v>#VALUE!</v>
      </c>
      <c r="ER331" t="e">
        <f>'North America'!G733+"$F;@!1eu"</f>
        <v>#VALUE!</v>
      </c>
      <c r="ES331" t="e">
        <f>'North America'!H733+"$F;@!1ev"</f>
        <v>#VALUE!</v>
      </c>
      <c r="ET331" t="e">
        <f>'North America'!A734+"$F;@!1ew"</f>
        <v>#VALUE!</v>
      </c>
      <c r="EU331" t="e">
        <f>'North America'!B734+"$F;@!1ex"</f>
        <v>#VALUE!</v>
      </c>
      <c r="EV331" t="e">
        <f>'North America'!C734+"$F;@!1ey"</f>
        <v>#VALUE!</v>
      </c>
      <c r="EW331" t="e">
        <f>'North America'!D734+"$F;@!1ez"</f>
        <v>#VALUE!</v>
      </c>
      <c r="EX331" t="e">
        <f>'North America'!E734+"$F;@!1e{"</f>
        <v>#VALUE!</v>
      </c>
      <c r="EY331" t="e">
        <f>'North America'!F734+"$F;@!1e|"</f>
        <v>#VALUE!</v>
      </c>
      <c r="EZ331" t="e">
        <f>'North America'!G734+"$F;@!1e}"</f>
        <v>#VALUE!</v>
      </c>
      <c r="FA331" t="e">
        <f>'North America'!H734+"$F;@!1e~"</f>
        <v>#VALUE!</v>
      </c>
      <c r="FB331" t="e">
        <f>'North America'!A735+"$F;@!1f#"</f>
        <v>#VALUE!</v>
      </c>
      <c r="FC331" t="e">
        <f>'North America'!B735+"$F;@!1f$"</f>
        <v>#VALUE!</v>
      </c>
      <c r="FD331" t="e">
        <f>'North America'!C735+"$F;@!1f%"</f>
        <v>#VALUE!</v>
      </c>
      <c r="FE331" t="e">
        <f>'North America'!D735+"$F;@!1f&amp;"</f>
        <v>#VALUE!</v>
      </c>
      <c r="FF331" t="e">
        <f>'North America'!E735+"$F;@!1f'"</f>
        <v>#VALUE!</v>
      </c>
      <c r="FG331" t="e">
        <f>'North America'!F735+"$F;@!1f("</f>
        <v>#VALUE!</v>
      </c>
      <c r="FH331" t="e">
        <f>'North America'!G735+"$F;@!1f)"</f>
        <v>#VALUE!</v>
      </c>
      <c r="FI331" t="e">
        <f>'North America'!H735+"$F;@!1f."</f>
        <v>#VALUE!</v>
      </c>
      <c r="FJ331" t="e">
        <f>'North America'!A736+"$F;@!1f/"</f>
        <v>#VALUE!</v>
      </c>
      <c r="FK331" t="e">
        <f>'North America'!B736+"$F;@!1f0"</f>
        <v>#VALUE!</v>
      </c>
      <c r="FL331" t="e">
        <f>'North America'!C736+"$F;@!1f1"</f>
        <v>#VALUE!</v>
      </c>
      <c r="FM331" t="e">
        <f>'North America'!D736+"$F;@!1f2"</f>
        <v>#VALUE!</v>
      </c>
      <c r="FN331" t="e">
        <f>'North America'!E736+"$F;@!1f3"</f>
        <v>#VALUE!</v>
      </c>
      <c r="FO331" t="e">
        <f>'North America'!F736+"$F;@!1f4"</f>
        <v>#VALUE!</v>
      </c>
      <c r="FP331" t="e">
        <f>'North America'!G736+"$F;@!1f5"</f>
        <v>#VALUE!</v>
      </c>
      <c r="FQ331" t="e">
        <f>'North America'!H736+"$F;@!1f6"</f>
        <v>#VALUE!</v>
      </c>
      <c r="FR331" t="e">
        <f>'North America'!A737+"$F;@!1f7"</f>
        <v>#VALUE!</v>
      </c>
      <c r="FS331" t="e">
        <f>'North America'!B737+"$F;@!1f8"</f>
        <v>#VALUE!</v>
      </c>
      <c r="FT331" t="e">
        <f>'North America'!C737+"$F;@!1f9"</f>
        <v>#VALUE!</v>
      </c>
      <c r="FU331" t="e">
        <f>'North America'!D737+"$F;@!1f:"</f>
        <v>#VALUE!</v>
      </c>
      <c r="FV331" t="e">
        <f>'North America'!E737+"$F;@!1f;"</f>
        <v>#VALUE!</v>
      </c>
      <c r="FW331" t="e">
        <f>'North America'!F737+"$F;@!1f&lt;"</f>
        <v>#VALUE!</v>
      </c>
      <c r="FX331" t="e">
        <f>'North America'!G737+"$F;@!1f="</f>
        <v>#VALUE!</v>
      </c>
      <c r="FY331" t="e">
        <f>'North America'!H737+"$F;@!1f&gt;"</f>
        <v>#VALUE!</v>
      </c>
      <c r="FZ331" t="e">
        <f>'North America'!A738+"$F;@!1f?"</f>
        <v>#VALUE!</v>
      </c>
      <c r="GA331" t="e">
        <f>'North America'!B738+"$F;@!1f@"</f>
        <v>#VALUE!</v>
      </c>
      <c r="GB331" t="e">
        <f>'North America'!C738+"$F;@!1fA"</f>
        <v>#VALUE!</v>
      </c>
      <c r="GC331" t="e">
        <f>'North America'!D738+"$F;@!1fB"</f>
        <v>#VALUE!</v>
      </c>
      <c r="GD331" t="e">
        <f>'North America'!E738+"$F;@!1fC"</f>
        <v>#VALUE!</v>
      </c>
      <c r="GE331" t="e">
        <f>'North America'!F738+"$F;@!1fD"</f>
        <v>#VALUE!</v>
      </c>
      <c r="GF331" t="e">
        <f>'North America'!G738+"$F;@!1fE"</f>
        <v>#VALUE!</v>
      </c>
      <c r="GG331" t="e">
        <f>'North America'!H738+"$F;@!1fF"</f>
        <v>#VALUE!</v>
      </c>
      <c r="GH331" t="e">
        <f>'North America'!A739+"$F;@!1fG"</f>
        <v>#VALUE!</v>
      </c>
      <c r="GI331" t="e">
        <f>'North America'!B739+"$F;@!1fH"</f>
        <v>#VALUE!</v>
      </c>
      <c r="GJ331" t="e">
        <f>'North America'!C739+"$F;@!1fI"</f>
        <v>#VALUE!</v>
      </c>
      <c r="GK331" t="e">
        <f>'North America'!D739+"$F;@!1fJ"</f>
        <v>#VALUE!</v>
      </c>
      <c r="GL331" t="e">
        <f>'North America'!E739+"$F;@!1fK"</f>
        <v>#VALUE!</v>
      </c>
      <c r="GM331" t="e">
        <f>'North America'!F739+"$F;@!1fL"</f>
        <v>#VALUE!</v>
      </c>
      <c r="GN331" t="e">
        <f>'North America'!G739+"$F;@!1fM"</f>
        <v>#VALUE!</v>
      </c>
      <c r="GO331" t="e">
        <f>'North America'!H739+"$F;@!1fN"</f>
        <v>#VALUE!</v>
      </c>
      <c r="GP331" t="e">
        <f>'North America'!A740+"$F;@!1fO"</f>
        <v>#VALUE!</v>
      </c>
      <c r="GQ331" t="e">
        <f>'North America'!B740+"$F;@!1fP"</f>
        <v>#VALUE!</v>
      </c>
      <c r="GR331" t="e">
        <f>'North America'!C740+"$F;@!1fQ"</f>
        <v>#VALUE!</v>
      </c>
      <c r="GS331" t="e">
        <f>'North America'!D740+"$F;@!1fR"</f>
        <v>#VALUE!</v>
      </c>
      <c r="GT331" t="e">
        <f>'North America'!E740+"$F;@!1fS"</f>
        <v>#VALUE!</v>
      </c>
      <c r="GU331" t="e">
        <f>'North America'!F740+"$F;@!1fT"</f>
        <v>#VALUE!</v>
      </c>
      <c r="GV331" t="e">
        <f>'North America'!G740+"$F;@!1fU"</f>
        <v>#VALUE!</v>
      </c>
      <c r="GW331" t="e">
        <f>'North America'!H740+"$F;@!1fV"</f>
        <v>#VALUE!</v>
      </c>
      <c r="GX331" t="e">
        <f>'North America'!A741+"$F;@!1fW"</f>
        <v>#VALUE!</v>
      </c>
      <c r="GY331" t="e">
        <f>'North America'!B741+"$F;@!1fX"</f>
        <v>#VALUE!</v>
      </c>
      <c r="GZ331" t="e">
        <f>'North America'!C741+"$F;@!1fY"</f>
        <v>#VALUE!</v>
      </c>
      <c r="HA331" t="e">
        <f>'North America'!D741+"$F;@!1fZ"</f>
        <v>#VALUE!</v>
      </c>
      <c r="HB331" t="e">
        <f>'North America'!E741+"$F;@!1f["</f>
        <v>#VALUE!</v>
      </c>
      <c r="HC331" t="e">
        <f>'North America'!F741+"$F;@!1f\"</f>
        <v>#VALUE!</v>
      </c>
      <c r="HD331" t="e">
        <f>'North America'!G741+"$F;@!1f]"</f>
        <v>#VALUE!</v>
      </c>
      <c r="HE331" t="e">
        <f>'North America'!H741+"$F;@!1f^"</f>
        <v>#VALUE!</v>
      </c>
      <c r="HF331" t="e">
        <f>'North America'!A742+"$F;@!1f_"</f>
        <v>#VALUE!</v>
      </c>
      <c r="HG331" t="e">
        <f>'North America'!B742+"$F;@!1f`"</f>
        <v>#VALUE!</v>
      </c>
      <c r="HH331" t="e">
        <f>'North America'!C742+"$F;@!1fa"</f>
        <v>#VALUE!</v>
      </c>
      <c r="HI331" t="e">
        <f>'North America'!D742+"$F;@!1fb"</f>
        <v>#VALUE!</v>
      </c>
      <c r="HJ331" t="e">
        <f>'North America'!E742+"$F;@!1fc"</f>
        <v>#VALUE!</v>
      </c>
      <c r="HK331" t="e">
        <f>'North America'!F742+"$F;@!1fd"</f>
        <v>#VALUE!</v>
      </c>
      <c r="HL331" t="e">
        <f>'North America'!G742+"$F;@!1fe"</f>
        <v>#VALUE!</v>
      </c>
      <c r="HM331" t="e">
        <f>'North America'!H742+"$F;@!1ff"</f>
        <v>#VALUE!</v>
      </c>
      <c r="HN331" t="e">
        <f>'North America'!A743+"$F;@!1fg"</f>
        <v>#VALUE!</v>
      </c>
      <c r="HO331" t="e">
        <f>'North America'!B743+"$F;@!1fh"</f>
        <v>#VALUE!</v>
      </c>
      <c r="HP331" t="e">
        <f>'North America'!C743+"$F;@!1fi"</f>
        <v>#VALUE!</v>
      </c>
      <c r="HQ331" t="e">
        <f>'North America'!D743+"$F;@!1fj"</f>
        <v>#VALUE!</v>
      </c>
      <c r="HR331" t="e">
        <f>'North America'!E743+"$F;@!1fk"</f>
        <v>#VALUE!</v>
      </c>
      <c r="HS331" t="e">
        <f>'North America'!F743+"$F;@!1fl"</f>
        <v>#VALUE!</v>
      </c>
      <c r="HT331" t="e">
        <f>'North America'!G743+"$F;@!1fm"</f>
        <v>#VALUE!</v>
      </c>
      <c r="HU331" t="e">
        <f>'North America'!H743+"$F;@!1fn"</f>
        <v>#VALUE!</v>
      </c>
      <c r="HV331" t="e">
        <f>'North America'!A744+"$F;@!1fo"</f>
        <v>#VALUE!</v>
      </c>
      <c r="HW331" t="e">
        <f>'North America'!B744+"$F;@!1fp"</f>
        <v>#VALUE!</v>
      </c>
      <c r="HX331" t="e">
        <f>'North America'!C744+"$F;@!1fq"</f>
        <v>#VALUE!</v>
      </c>
      <c r="HY331" t="e">
        <f>'North America'!D744+"$F;@!1fr"</f>
        <v>#VALUE!</v>
      </c>
      <c r="HZ331" t="e">
        <f>'North America'!E744+"$F;@!1fs"</f>
        <v>#VALUE!</v>
      </c>
      <c r="IA331" t="e">
        <f>'North America'!F744+"$F;@!1ft"</f>
        <v>#VALUE!</v>
      </c>
      <c r="IB331" t="e">
        <f>'North America'!G744+"$F;@!1fu"</f>
        <v>#VALUE!</v>
      </c>
      <c r="IC331" t="e">
        <f>'North America'!H744+"$F;@!1fv"</f>
        <v>#VALUE!</v>
      </c>
      <c r="ID331" t="e">
        <f>'North America'!A745+"$F;@!1fw"</f>
        <v>#VALUE!</v>
      </c>
      <c r="IE331" t="e">
        <f>'North America'!B745+"$F;@!1fx"</f>
        <v>#VALUE!</v>
      </c>
      <c r="IF331" t="e">
        <f>'North America'!C745+"$F;@!1fy"</f>
        <v>#VALUE!</v>
      </c>
      <c r="IG331" t="e">
        <f>'North America'!D745+"$F;@!1fz"</f>
        <v>#VALUE!</v>
      </c>
      <c r="IH331" t="e">
        <f>'North America'!E745+"$F;@!1f{"</f>
        <v>#VALUE!</v>
      </c>
      <c r="II331" t="e">
        <f>'North America'!F745+"$F;@!1f|"</f>
        <v>#VALUE!</v>
      </c>
      <c r="IJ331" t="e">
        <f>'North America'!G745+"$F;@!1f}"</f>
        <v>#VALUE!</v>
      </c>
      <c r="IK331" t="e">
        <f>'North America'!H745+"$F;@!1f~"</f>
        <v>#VALUE!</v>
      </c>
      <c r="IL331" t="e">
        <f>'North America'!A746+"$F;@!1g#"</f>
        <v>#VALUE!</v>
      </c>
      <c r="IM331" t="e">
        <f>'North America'!B746+"$F;@!1g$"</f>
        <v>#VALUE!</v>
      </c>
      <c r="IN331" t="e">
        <f>'North America'!C746+"$F;@!1g%"</f>
        <v>#VALUE!</v>
      </c>
      <c r="IO331" t="e">
        <f>'North America'!D746+"$F;@!1g&amp;"</f>
        <v>#VALUE!</v>
      </c>
      <c r="IP331" t="e">
        <f>'North America'!E746+"$F;@!1g'"</f>
        <v>#VALUE!</v>
      </c>
      <c r="IQ331" t="e">
        <f>'North America'!F746+"$F;@!1g("</f>
        <v>#VALUE!</v>
      </c>
      <c r="IR331" t="e">
        <f>'North America'!G746+"$F;@!1g)"</f>
        <v>#VALUE!</v>
      </c>
      <c r="IS331" t="e">
        <f>'North America'!H746+"$F;@!1g."</f>
        <v>#VALUE!</v>
      </c>
      <c r="IT331" t="e">
        <f>'North America'!A747+"$F;@!1g/"</f>
        <v>#VALUE!</v>
      </c>
      <c r="IU331" t="e">
        <f>'North America'!B747+"$F;@!1g0"</f>
        <v>#VALUE!</v>
      </c>
      <c r="IV331" t="e">
        <f>'North America'!C747+"$F;@!1g1"</f>
        <v>#VALUE!</v>
      </c>
    </row>
    <row r="332" spans="6:256" x14ac:dyDescent="0.35">
      <c r="F332" t="e">
        <f>'North America'!D747+"$F;@!1g2"</f>
        <v>#VALUE!</v>
      </c>
      <c r="G332" t="e">
        <f>'North America'!E747+"$F;@!1g3"</f>
        <v>#VALUE!</v>
      </c>
      <c r="H332" t="e">
        <f>'North America'!F747+"$F;@!1g4"</f>
        <v>#VALUE!</v>
      </c>
      <c r="I332" t="e">
        <f>'North America'!G747+"$F;@!1g5"</f>
        <v>#VALUE!</v>
      </c>
      <c r="J332" t="e">
        <f>'North America'!H747+"$F;@!1g6"</f>
        <v>#VALUE!</v>
      </c>
      <c r="K332" t="e">
        <f>'North America'!A748+"$F;@!1g7"</f>
        <v>#VALUE!</v>
      </c>
      <c r="L332" t="e">
        <f>'North America'!B748+"$F;@!1g8"</f>
        <v>#VALUE!</v>
      </c>
      <c r="M332" t="e">
        <f>'North America'!C748+"$F;@!1g9"</f>
        <v>#VALUE!</v>
      </c>
      <c r="N332" t="e">
        <f>'North America'!D748+"$F;@!1g:"</f>
        <v>#VALUE!</v>
      </c>
      <c r="O332" t="e">
        <f>'North America'!E748+"$F;@!1g;"</f>
        <v>#VALUE!</v>
      </c>
      <c r="P332" t="e">
        <f>'North America'!F748+"$F;@!1g&lt;"</f>
        <v>#VALUE!</v>
      </c>
      <c r="Q332" t="e">
        <f>'North America'!G748+"$F;@!1g="</f>
        <v>#VALUE!</v>
      </c>
      <c r="R332" t="e">
        <f>'North America'!H748+"$F;@!1g&gt;"</f>
        <v>#VALUE!</v>
      </c>
      <c r="S332" t="e">
        <f>'North America'!A749+"$F;@!1g?"</f>
        <v>#VALUE!</v>
      </c>
      <c r="T332" t="e">
        <f>'North America'!B749+"$F;@!1g@"</f>
        <v>#VALUE!</v>
      </c>
      <c r="U332" t="e">
        <f>'North America'!C749+"$F;@!1gA"</f>
        <v>#VALUE!</v>
      </c>
      <c r="V332" t="e">
        <f>'North America'!D749+"$F;@!1gB"</f>
        <v>#VALUE!</v>
      </c>
      <c r="W332" t="e">
        <f>'North America'!E749+"$F;@!1gC"</f>
        <v>#VALUE!</v>
      </c>
      <c r="X332" t="e">
        <f>'North America'!F749+"$F;@!1gD"</f>
        <v>#VALUE!</v>
      </c>
      <c r="Y332" t="e">
        <f>'North America'!G749+"$F;@!1gE"</f>
        <v>#VALUE!</v>
      </c>
      <c r="Z332" t="e">
        <f>'North America'!H749+"$F;@!1gF"</f>
        <v>#VALUE!</v>
      </c>
      <c r="AA332" t="e">
        <f>'North America'!A750+"$F;@!1gG"</f>
        <v>#VALUE!</v>
      </c>
      <c r="AB332" t="e">
        <f>'North America'!B750+"$F;@!1gH"</f>
        <v>#VALUE!</v>
      </c>
      <c r="AC332" t="e">
        <f>'North America'!C750+"$F;@!1gI"</f>
        <v>#VALUE!</v>
      </c>
      <c r="AD332" t="e">
        <f>'North America'!D750+"$F;@!1gJ"</f>
        <v>#VALUE!</v>
      </c>
      <c r="AE332" t="e">
        <f>'North America'!E750+"$F;@!1gK"</f>
        <v>#VALUE!</v>
      </c>
      <c r="AF332" t="e">
        <f>'North America'!F750+"$F;@!1gL"</f>
        <v>#VALUE!</v>
      </c>
      <c r="AG332" t="e">
        <f>'North America'!G750+"$F;@!1gM"</f>
        <v>#VALUE!</v>
      </c>
      <c r="AH332" t="e">
        <f>'North America'!H750+"$F;@!1gN"</f>
        <v>#VALUE!</v>
      </c>
      <c r="AI332" t="e">
        <f>'North America'!A751+"$F;@!1gO"</f>
        <v>#VALUE!</v>
      </c>
      <c r="AJ332" t="e">
        <f>'North America'!B751+"$F;@!1gP"</f>
        <v>#VALUE!</v>
      </c>
      <c r="AK332" t="e">
        <f>'North America'!C751+"$F;@!1gQ"</f>
        <v>#VALUE!</v>
      </c>
      <c r="AL332" t="e">
        <f>'North America'!D751+"$F;@!1gR"</f>
        <v>#VALUE!</v>
      </c>
      <c r="AM332" t="e">
        <f>'North America'!E751+"$F;@!1gS"</f>
        <v>#VALUE!</v>
      </c>
      <c r="AN332" t="e">
        <f>'North America'!F751+"$F;@!1gT"</f>
        <v>#VALUE!</v>
      </c>
      <c r="AO332" t="e">
        <f>'North America'!G751+"$F;@!1gU"</f>
        <v>#VALUE!</v>
      </c>
      <c r="AP332" t="e">
        <f>'North America'!H751+"$F;@!1gV"</f>
        <v>#VALUE!</v>
      </c>
      <c r="AQ332" t="e">
        <f>'North America'!A752+"$F;@!1gW"</f>
        <v>#VALUE!</v>
      </c>
      <c r="AR332" t="e">
        <f>'North America'!B752+"$F;@!1gX"</f>
        <v>#VALUE!</v>
      </c>
      <c r="AS332" t="e">
        <f>'North America'!C752+"$F;@!1gY"</f>
        <v>#VALUE!</v>
      </c>
      <c r="AT332" t="e">
        <f>'North America'!D752+"$F;@!1gZ"</f>
        <v>#VALUE!</v>
      </c>
      <c r="AU332" t="e">
        <f>'North America'!E752+"$F;@!1g["</f>
        <v>#VALUE!</v>
      </c>
      <c r="AV332" t="e">
        <f>'North America'!F752+"$F;@!1g\"</f>
        <v>#VALUE!</v>
      </c>
      <c r="AW332" t="e">
        <f>'North America'!G752+"$F;@!1g]"</f>
        <v>#VALUE!</v>
      </c>
      <c r="AX332" t="e">
        <f>'North America'!H752+"$F;@!1g^"</f>
        <v>#VALUE!</v>
      </c>
      <c r="AY332" t="e">
        <f>'North America'!A753+"$F;@!1g_"</f>
        <v>#VALUE!</v>
      </c>
      <c r="AZ332" t="e">
        <f>'North America'!B753+"$F;@!1g`"</f>
        <v>#VALUE!</v>
      </c>
      <c r="BA332" t="e">
        <f>'North America'!C753+"$F;@!1ga"</f>
        <v>#VALUE!</v>
      </c>
      <c r="BB332" t="e">
        <f>'North America'!D753+"$F;@!1gb"</f>
        <v>#VALUE!</v>
      </c>
      <c r="BC332" t="e">
        <f>'North America'!E753+"$F;@!1gc"</f>
        <v>#VALUE!</v>
      </c>
      <c r="BD332" t="e">
        <f>'North America'!F753+"$F;@!1gd"</f>
        <v>#VALUE!</v>
      </c>
      <c r="BE332" t="e">
        <f>'North America'!G753+"$F;@!1ge"</f>
        <v>#VALUE!</v>
      </c>
      <c r="BF332" t="e">
        <f>'North America'!H753+"$F;@!1gf"</f>
        <v>#VALUE!</v>
      </c>
      <c r="BG332" t="e">
        <f>'North America'!A754+"$F;@!1gg"</f>
        <v>#VALUE!</v>
      </c>
      <c r="BH332" t="e">
        <f>'North America'!B754+"$F;@!1gh"</f>
        <v>#VALUE!</v>
      </c>
      <c r="BI332" t="e">
        <f>'North America'!C754+"$F;@!1gi"</f>
        <v>#VALUE!</v>
      </c>
      <c r="BJ332" t="e">
        <f>'North America'!D754+"$F;@!1gj"</f>
        <v>#VALUE!</v>
      </c>
      <c r="BK332" t="e">
        <f>'North America'!E754+"$F;@!1gk"</f>
        <v>#VALUE!</v>
      </c>
      <c r="BL332" t="e">
        <f>'North America'!F754+"$F;@!1gl"</f>
        <v>#VALUE!</v>
      </c>
      <c r="BM332" t="e">
        <f>'North America'!G754+"$F;@!1gm"</f>
        <v>#VALUE!</v>
      </c>
      <c r="BN332" t="e">
        <f>'North America'!H754+"$F;@!1gn"</f>
        <v>#VALUE!</v>
      </c>
      <c r="BO332" t="e">
        <f>'North America'!A755+"$F;@!1go"</f>
        <v>#VALUE!</v>
      </c>
      <c r="BP332" t="e">
        <f>'North America'!B755+"$F;@!1gp"</f>
        <v>#VALUE!</v>
      </c>
      <c r="BQ332" t="e">
        <f>'North America'!C755+"$F;@!1gq"</f>
        <v>#VALUE!</v>
      </c>
      <c r="BR332" t="e">
        <f>'North America'!D755+"$F;@!1gr"</f>
        <v>#VALUE!</v>
      </c>
      <c r="BS332" t="e">
        <f>'North America'!E755+"$F;@!1gs"</f>
        <v>#VALUE!</v>
      </c>
      <c r="BT332" t="e">
        <f>'North America'!F755+"$F;@!1gt"</f>
        <v>#VALUE!</v>
      </c>
      <c r="BU332" t="e">
        <f>'North America'!G755+"$F;@!1gu"</f>
        <v>#VALUE!</v>
      </c>
      <c r="BV332" t="e">
        <f>'North America'!H755+"$F;@!1gv"</f>
        <v>#VALUE!</v>
      </c>
      <c r="BW332" t="e">
        <f>'North America'!A756+"$F;@!1gw"</f>
        <v>#VALUE!</v>
      </c>
      <c r="BX332" t="e">
        <f>'North America'!B756+"$F;@!1gx"</f>
        <v>#VALUE!</v>
      </c>
      <c r="BY332" t="e">
        <f>'North America'!C756+"$F;@!1gy"</f>
        <v>#VALUE!</v>
      </c>
      <c r="BZ332" t="e">
        <f>'North America'!D756+"$F;@!1gz"</f>
        <v>#VALUE!</v>
      </c>
      <c r="CA332" t="e">
        <f>'North America'!E756+"$F;@!1g{"</f>
        <v>#VALUE!</v>
      </c>
      <c r="CB332" t="e">
        <f>'North America'!F756+"$F;@!1g|"</f>
        <v>#VALUE!</v>
      </c>
      <c r="CC332" t="e">
        <f>'North America'!G756+"$F;@!1g}"</f>
        <v>#VALUE!</v>
      </c>
      <c r="CD332" t="e">
        <f>'North America'!H756+"$F;@!1g~"</f>
        <v>#VALUE!</v>
      </c>
      <c r="CE332" t="e">
        <f>'North America'!A757+"$F;@!1h#"</f>
        <v>#VALUE!</v>
      </c>
      <c r="CF332" t="e">
        <f>'North America'!B757+"$F;@!1h$"</f>
        <v>#VALUE!</v>
      </c>
      <c r="CG332" t="e">
        <f>'North America'!C757+"$F;@!1h%"</f>
        <v>#VALUE!</v>
      </c>
      <c r="CH332" t="e">
        <f>'North America'!D757+"$F;@!1h&amp;"</f>
        <v>#VALUE!</v>
      </c>
      <c r="CI332" t="e">
        <f>'North America'!E757+"$F;@!1h'"</f>
        <v>#VALUE!</v>
      </c>
      <c r="CJ332" t="e">
        <f>'North America'!F757+"$F;@!1h("</f>
        <v>#VALUE!</v>
      </c>
      <c r="CK332" t="e">
        <f>'North America'!G757+"$F;@!1h)"</f>
        <v>#VALUE!</v>
      </c>
      <c r="CL332" t="e">
        <f>'North America'!H757+"$F;@!1h."</f>
        <v>#VALUE!</v>
      </c>
      <c r="CM332" t="e">
        <f>'North America'!A758+"$F;@!1h/"</f>
        <v>#VALUE!</v>
      </c>
      <c r="CN332" t="e">
        <f>'North America'!B758+"$F;@!1h0"</f>
        <v>#VALUE!</v>
      </c>
      <c r="CO332" t="e">
        <f>'North America'!C758+"$F;@!1h1"</f>
        <v>#VALUE!</v>
      </c>
      <c r="CP332" t="e">
        <f>'North America'!D758+"$F;@!1h2"</f>
        <v>#VALUE!</v>
      </c>
      <c r="CQ332" t="e">
        <f>'North America'!E758+"$F;@!1h3"</f>
        <v>#VALUE!</v>
      </c>
      <c r="CR332" t="e">
        <f>'North America'!F758+"$F;@!1h4"</f>
        <v>#VALUE!</v>
      </c>
      <c r="CS332" t="e">
        <f>'North America'!G758+"$F;@!1h5"</f>
        <v>#VALUE!</v>
      </c>
      <c r="CT332" t="e">
        <f>'North America'!H758+"$F;@!1h6"</f>
        <v>#VALUE!</v>
      </c>
      <c r="CU332" t="e">
        <f>'North America'!A759+"$F;@!1h7"</f>
        <v>#VALUE!</v>
      </c>
      <c r="CV332" t="e">
        <f>'North America'!B759+"$F;@!1h8"</f>
        <v>#VALUE!</v>
      </c>
      <c r="CW332" t="e">
        <f>'North America'!C759+"$F;@!1h9"</f>
        <v>#VALUE!</v>
      </c>
      <c r="CX332" t="e">
        <f>'North America'!D759+"$F;@!1h:"</f>
        <v>#VALUE!</v>
      </c>
      <c r="CY332" t="e">
        <f>'North America'!E759+"$F;@!1h;"</f>
        <v>#VALUE!</v>
      </c>
      <c r="CZ332" t="e">
        <f>'North America'!F759+"$F;@!1h&lt;"</f>
        <v>#VALUE!</v>
      </c>
      <c r="DA332" t="e">
        <f>'North America'!G759+"$F;@!1h="</f>
        <v>#VALUE!</v>
      </c>
      <c r="DB332" t="e">
        <f>'North America'!H759+"$F;@!1h&gt;"</f>
        <v>#VALUE!</v>
      </c>
      <c r="DC332" t="e">
        <f>'North America'!A760+"$F;@!1h?"</f>
        <v>#VALUE!</v>
      </c>
      <c r="DD332" t="e">
        <f>'North America'!B760+"$F;@!1h@"</f>
        <v>#VALUE!</v>
      </c>
      <c r="DE332" t="e">
        <f>'North America'!C760+"$F;@!1hA"</f>
        <v>#VALUE!</v>
      </c>
      <c r="DF332" t="e">
        <f>'North America'!D760+"$F;@!1hB"</f>
        <v>#VALUE!</v>
      </c>
      <c r="DG332" t="e">
        <f>'North America'!E760+"$F;@!1hC"</f>
        <v>#VALUE!</v>
      </c>
      <c r="DH332" t="e">
        <f>'North America'!F760+"$F;@!1hD"</f>
        <v>#VALUE!</v>
      </c>
      <c r="DI332" t="e">
        <f>'North America'!G760+"$F;@!1hE"</f>
        <v>#VALUE!</v>
      </c>
      <c r="DJ332" t="e">
        <f>'North America'!H760+"$F;@!1hF"</f>
        <v>#VALUE!</v>
      </c>
      <c r="DK332" t="e">
        <f>'North America'!A761+"$F;@!1hG"</f>
        <v>#VALUE!</v>
      </c>
      <c r="DL332" t="e">
        <f>'North America'!B761+"$F;@!1hH"</f>
        <v>#VALUE!</v>
      </c>
      <c r="DM332" t="e">
        <f>'North America'!C761+"$F;@!1hI"</f>
        <v>#VALUE!</v>
      </c>
      <c r="DN332" t="e">
        <f>'North America'!D761+"$F;@!1hJ"</f>
        <v>#VALUE!</v>
      </c>
      <c r="DO332" t="e">
        <f>'North America'!E761+"$F;@!1hK"</f>
        <v>#VALUE!</v>
      </c>
      <c r="DP332" t="e">
        <f>'North America'!F761+"$F;@!1hL"</f>
        <v>#VALUE!</v>
      </c>
      <c r="DQ332" t="e">
        <f>'North America'!G761+"$F;@!1hM"</f>
        <v>#VALUE!</v>
      </c>
      <c r="DR332" t="e">
        <f>'North America'!H761+"$F;@!1hN"</f>
        <v>#VALUE!</v>
      </c>
      <c r="DS332" t="e">
        <f>'North America'!A762+"$F;@!1hO"</f>
        <v>#VALUE!</v>
      </c>
      <c r="DT332" t="e">
        <f>'North America'!B762+"$F;@!1hP"</f>
        <v>#VALUE!</v>
      </c>
      <c r="DU332" t="e">
        <f>'North America'!C762+"$F;@!1hQ"</f>
        <v>#VALUE!</v>
      </c>
      <c r="DV332" t="e">
        <f>'North America'!D762+"$F;@!1hR"</f>
        <v>#VALUE!</v>
      </c>
      <c r="DW332" t="e">
        <f>'North America'!E762+"$F;@!1hS"</f>
        <v>#VALUE!</v>
      </c>
      <c r="DX332" t="e">
        <f>'North America'!F762+"$F;@!1hT"</f>
        <v>#VALUE!</v>
      </c>
      <c r="DY332" t="e">
        <f>'North America'!G762+"$F;@!1hU"</f>
        <v>#VALUE!</v>
      </c>
      <c r="DZ332" t="e">
        <f>'North America'!H762+"$F;@!1hV"</f>
        <v>#VALUE!</v>
      </c>
      <c r="EA332" t="e">
        <f>'North America'!A763+"$F;@!1hW"</f>
        <v>#VALUE!</v>
      </c>
      <c r="EB332" t="e">
        <f>'North America'!B763+"$F;@!1hX"</f>
        <v>#VALUE!</v>
      </c>
      <c r="EC332" t="e">
        <f>'North America'!C763+"$F;@!1hY"</f>
        <v>#VALUE!</v>
      </c>
      <c r="ED332" t="e">
        <f>'North America'!D763+"$F;@!1hZ"</f>
        <v>#VALUE!</v>
      </c>
      <c r="EE332" t="e">
        <f>'North America'!E763+"$F;@!1h["</f>
        <v>#VALUE!</v>
      </c>
      <c r="EF332" t="e">
        <f>'North America'!F763+"$F;@!1h\"</f>
        <v>#VALUE!</v>
      </c>
      <c r="EG332" t="e">
        <f>'North America'!G763+"$F;@!1h]"</f>
        <v>#VALUE!</v>
      </c>
      <c r="EH332" t="e">
        <f>'North America'!H763+"$F;@!1h^"</f>
        <v>#VALUE!</v>
      </c>
      <c r="EI332" t="e">
        <f>'North America'!A764+"$F;@!1h_"</f>
        <v>#VALUE!</v>
      </c>
      <c r="EJ332" t="e">
        <f>'North America'!B764+"$F;@!1h`"</f>
        <v>#VALUE!</v>
      </c>
      <c r="EK332" t="e">
        <f>'North America'!C764+"$F;@!1ha"</f>
        <v>#VALUE!</v>
      </c>
      <c r="EL332" t="e">
        <f>'North America'!D764+"$F;@!1hb"</f>
        <v>#VALUE!</v>
      </c>
      <c r="EM332" t="e">
        <f>'North America'!E764+"$F;@!1hc"</f>
        <v>#VALUE!</v>
      </c>
      <c r="EN332" t="e">
        <f>'North America'!F764+"$F;@!1hd"</f>
        <v>#VALUE!</v>
      </c>
      <c r="EO332" t="e">
        <f>'North America'!G764+"$F;@!1he"</f>
        <v>#VALUE!</v>
      </c>
      <c r="EP332" t="e">
        <f>'North America'!H764+"$F;@!1hf"</f>
        <v>#VALUE!</v>
      </c>
      <c r="EQ332" t="e">
        <f>'North America'!A765+"$F;@!1hg"</f>
        <v>#VALUE!</v>
      </c>
      <c r="ER332" t="e">
        <f>'North America'!B765+"$F;@!1hh"</f>
        <v>#VALUE!</v>
      </c>
      <c r="ES332" t="e">
        <f>'North America'!C765+"$F;@!1hi"</f>
        <v>#VALUE!</v>
      </c>
      <c r="ET332" t="e">
        <f>'North America'!D765+"$F;@!1hj"</f>
        <v>#VALUE!</v>
      </c>
      <c r="EU332" t="e">
        <f>'North America'!E765+"$F;@!1hk"</f>
        <v>#VALUE!</v>
      </c>
      <c r="EV332" t="e">
        <f>'North America'!F765+"$F;@!1hl"</f>
        <v>#VALUE!</v>
      </c>
      <c r="EW332" t="e">
        <f>'North America'!G765+"$F;@!1hm"</f>
        <v>#VALUE!</v>
      </c>
      <c r="EX332" t="e">
        <f>'North America'!H765+"$F;@!1hn"</f>
        <v>#VALUE!</v>
      </c>
      <c r="EY332" t="e">
        <f>'North America'!A766+"$F;@!1ho"</f>
        <v>#VALUE!</v>
      </c>
      <c r="EZ332" t="e">
        <f>'North America'!B766+"$F;@!1hp"</f>
        <v>#VALUE!</v>
      </c>
      <c r="FA332" t="e">
        <f>'North America'!C766+"$F;@!1hq"</f>
        <v>#VALUE!</v>
      </c>
      <c r="FB332" t="e">
        <f>'North America'!D766+"$F;@!1hr"</f>
        <v>#VALUE!</v>
      </c>
      <c r="FC332" t="e">
        <f>'North America'!E766+"$F;@!1hs"</f>
        <v>#VALUE!</v>
      </c>
      <c r="FD332" t="e">
        <f>'North America'!F766+"$F;@!1ht"</f>
        <v>#VALUE!</v>
      </c>
      <c r="FE332" t="e">
        <f>'North America'!G766+"$F;@!1hu"</f>
        <v>#VALUE!</v>
      </c>
      <c r="FF332" t="e">
        <f>'North America'!H766+"$F;@!1hv"</f>
        <v>#VALUE!</v>
      </c>
      <c r="FG332" t="e">
        <f>'North America'!A767+"$F;@!1hw"</f>
        <v>#VALUE!</v>
      </c>
      <c r="FH332" t="e">
        <f>'North America'!B767+"$F;@!1hx"</f>
        <v>#VALUE!</v>
      </c>
      <c r="FI332" t="e">
        <f>'North America'!C767+"$F;@!1hy"</f>
        <v>#VALUE!</v>
      </c>
      <c r="FJ332" t="e">
        <f>'North America'!D767+"$F;@!1hz"</f>
        <v>#VALUE!</v>
      </c>
      <c r="FK332" t="e">
        <f>'North America'!E767+"$F;@!1h{"</f>
        <v>#VALUE!</v>
      </c>
      <c r="FL332" t="e">
        <f>'North America'!F767+"$F;@!1h|"</f>
        <v>#VALUE!</v>
      </c>
      <c r="FM332" t="e">
        <f>'North America'!G767+"$F;@!1h}"</f>
        <v>#VALUE!</v>
      </c>
      <c r="FN332" t="e">
        <f>'North America'!H767+"$F;@!1h~"</f>
        <v>#VALUE!</v>
      </c>
      <c r="FO332" t="e">
        <f>'North America'!A768+"$F;@!1i#"</f>
        <v>#VALUE!</v>
      </c>
      <c r="FP332" t="e">
        <f>'North America'!B768+"$F;@!1i$"</f>
        <v>#VALUE!</v>
      </c>
      <c r="FQ332" t="e">
        <f>'North America'!C768+"$F;@!1i%"</f>
        <v>#VALUE!</v>
      </c>
      <c r="FR332" t="e">
        <f>'North America'!D768+"$F;@!1i&amp;"</f>
        <v>#VALUE!</v>
      </c>
      <c r="FS332" t="e">
        <f>'North America'!E768+"$F;@!1i'"</f>
        <v>#VALUE!</v>
      </c>
      <c r="FT332" t="e">
        <f>'North America'!F768+"$F;@!1i("</f>
        <v>#VALUE!</v>
      </c>
      <c r="FU332" t="e">
        <f>'North America'!G768+"$F;@!1i)"</f>
        <v>#VALUE!</v>
      </c>
      <c r="FV332" t="e">
        <f>'North America'!H768+"$F;@!1i."</f>
        <v>#VALUE!</v>
      </c>
      <c r="FW332" t="e">
        <f>'North America'!A769+"$F;@!1i/"</f>
        <v>#VALUE!</v>
      </c>
      <c r="FX332" t="e">
        <f>'North America'!B769+"$F;@!1i0"</f>
        <v>#VALUE!</v>
      </c>
      <c r="FY332" t="e">
        <f>'North America'!C769+"$F;@!1i1"</f>
        <v>#VALUE!</v>
      </c>
      <c r="FZ332" t="e">
        <f>'North America'!D769+"$F;@!1i2"</f>
        <v>#VALUE!</v>
      </c>
      <c r="GA332" t="e">
        <f>'North America'!E769+"$F;@!1i3"</f>
        <v>#VALUE!</v>
      </c>
      <c r="GB332" t="e">
        <f>'North America'!F769+"$F;@!1i4"</f>
        <v>#VALUE!</v>
      </c>
      <c r="GC332" t="e">
        <f>'North America'!G769+"$F;@!1i5"</f>
        <v>#VALUE!</v>
      </c>
      <c r="GD332" t="e">
        <f>'North America'!H769+"$F;@!1i6"</f>
        <v>#VALUE!</v>
      </c>
      <c r="GE332" t="e">
        <f>'North America'!A770+"$F;@!1i7"</f>
        <v>#VALUE!</v>
      </c>
      <c r="GF332" t="e">
        <f>'North America'!B770+"$F;@!1i8"</f>
        <v>#VALUE!</v>
      </c>
      <c r="GG332" t="e">
        <f>'North America'!C770+"$F;@!1i9"</f>
        <v>#VALUE!</v>
      </c>
      <c r="GH332" t="e">
        <f>'North America'!D770+"$F;@!1i:"</f>
        <v>#VALUE!</v>
      </c>
      <c r="GI332" t="e">
        <f>'North America'!E770+"$F;@!1i;"</f>
        <v>#VALUE!</v>
      </c>
      <c r="GJ332" t="e">
        <f>'North America'!F770+"$F;@!1i&lt;"</f>
        <v>#VALUE!</v>
      </c>
      <c r="GK332" t="e">
        <f>'North America'!G770+"$F;@!1i="</f>
        <v>#VALUE!</v>
      </c>
      <c r="GL332" t="e">
        <f>'North America'!H770+"$F;@!1i&gt;"</f>
        <v>#VALUE!</v>
      </c>
      <c r="GM332" t="e">
        <f>'North America'!A771+"$F;@!1i?"</f>
        <v>#VALUE!</v>
      </c>
      <c r="GN332" t="e">
        <f>'North America'!B771+"$F;@!1i@"</f>
        <v>#VALUE!</v>
      </c>
      <c r="GO332" t="e">
        <f>'North America'!C771+"$F;@!1iA"</f>
        <v>#VALUE!</v>
      </c>
      <c r="GP332" t="e">
        <f>'North America'!D771+"$F;@!1iB"</f>
        <v>#VALUE!</v>
      </c>
      <c r="GQ332" t="e">
        <f>'North America'!E771+"$F;@!1iC"</f>
        <v>#VALUE!</v>
      </c>
      <c r="GR332" t="e">
        <f>'North America'!F771+"$F;@!1iD"</f>
        <v>#VALUE!</v>
      </c>
      <c r="GS332" t="e">
        <f>'North America'!G771+"$F;@!1iE"</f>
        <v>#VALUE!</v>
      </c>
      <c r="GT332" t="e">
        <f>'North America'!H771+"$F;@!1iF"</f>
        <v>#VALUE!</v>
      </c>
      <c r="GU332" t="e">
        <f>'North America'!A772+"$F;@!1iG"</f>
        <v>#VALUE!</v>
      </c>
      <c r="GV332" t="e">
        <f>'North America'!B772+"$F;@!1iH"</f>
        <v>#VALUE!</v>
      </c>
      <c r="GW332" t="e">
        <f>'North America'!C772+"$F;@!1iI"</f>
        <v>#VALUE!</v>
      </c>
      <c r="GX332" t="e">
        <f>'North America'!D772+"$F;@!1iJ"</f>
        <v>#VALUE!</v>
      </c>
      <c r="GY332" t="e">
        <f>'North America'!E772+"$F;@!1iK"</f>
        <v>#VALUE!</v>
      </c>
      <c r="GZ332" t="e">
        <f>'North America'!F772+"$F;@!1iL"</f>
        <v>#VALUE!</v>
      </c>
      <c r="HA332" t="e">
        <f>'North America'!G772+"$F;@!1iM"</f>
        <v>#VALUE!</v>
      </c>
      <c r="HB332" t="e">
        <f>'North America'!H772+"$F;@!1iN"</f>
        <v>#VALUE!</v>
      </c>
      <c r="HC332" t="e">
        <f>'North America'!A773+"$F;@!1iO"</f>
        <v>#VALUE!</v>
      </c>
      <c r="HD332" t="e">
        <f>'North America'!B773+"$F;@!1iP"</f>
        <v>#VALUE!</v>
      </c>
      <c r="HE332" t="e">
        <f>'North America'!C773+"$F;@!1iQ"</f>
        <v>#VALUE!</v>
      </c>
      <c r="HF332" t="e">
        <f>'North America'!D773+"$F;@!1iR"</f>
        <v>#VALUE!</v>
      </c>
      <c r="HG332" t="e">
        <f>'North America'!E773+"$F;@!1iS"</f>
        <v>#VALUE!</v>
      </c>
      <c r="HH332" t="e">
        <f>'North America'!F773+"$F;@!1iT"</f>
        <v>#VALUE!</v>
      </c>
      <c r="HI332" t="e">
        <f>'North America'!G773+"$F;@!1iU"</f>
        <v>#VALUE!</v>
      </c>
      <c r="HJ332" t="e">
        <f>'North America'!H773+"$F;@!1iV"</f>
        <v>#VALUE!</v>
      </c>
      <c r="HK332" t="e">
        <f>'North America'!A774+"$F;@!1iW"</f>
        <v>#VALUE!</v>
      </c>
      <c r="HL332" t="e">
        <f>'North America'!B774+"$F;@!1iX"</f>
        <v>#VALUE!</v>
      </c>
      <c r="HM332" t="e">
        <f>'North America'!C774+"$F;@!1iY"</f>
        <v>#VALUE!</v>
      </c>
      <c r="HN332" t="e">
        <f>'North America'!D774+"$F;@!1iZ"</f>
        <v>#VALUE!</v>
      </c>
      <c r="HO332" t="e">
        <f>'North America'!E774+"$F;@!1i["</f>
        <v>#VALUE!</v>
      </c>
      <c r="HP332" t="e">
        <f>'North America'!F774+"$F;@!1i\"</f>
        <v>#VALUE!</v>
      </c>
      <c r="HQ332" t="e">
        <f>'North America'!G774+"$F;@!1i]"</f>
        <v>#VALUE!</v>
      </c>
      <c r="HR332" t="e">
        <f>'North America'!H774+"$F;@!1i^"</f>
        <v>#VALUE!</v>
      </c>
      <c r="HS332" t="e">
        <f>'North America'!A775+"$F;@!1i_"</f>
        <v>#VALUE!</v>
      </c>
      <c r="HT332" t="e">
        <f>'North America'!B775+"$F;@!1i`"</f>
        <v>#VALUE!</v>
      </c>
      <c r="HU332" t="e">
        <f>'North America'!C775+"$F;@!1ia"</f>
        <v>#VALUE!</v>
      </c>
      <c r="HV332" t="e">
        <f>'North America'!D775+"$F;@!1ib"</f>
        <v>#VALUE!</v>
      </c>
      <c r="HW332" t="e">
        <f>'North America'!E775+"$F;@!1ic"</f>
        <v>#VALUE!</v>
      </c>
      <c r="HX332" t="e">
        <f>'North America'!F775+"$F;@!1id"</f>
        <v>#VALUE!</v>
      </c>
      <c r="HY332" t="e">
        <f>'North America'!G775+"$F;@!1ie"</f>
        <v>#VALUE!</v>
      </c>
      <c r="HZ332" t="e">
        <f>'North America'!H775+"$F;@!1if"</f>
        <v>#VALUE!</v>
      </c>
      <c r="IA332" t="e">
        <f>'North America'!A776+"$F;@!1ig"</f>
        <v>#VALUE!</v>
      </c>
      <c r="IB332" t="e">
        <f>'North America'!B776+"$F;@!1ih"</f>
        <v>#VALUE!</v>
      </c>
      <c r="IC332" t="e">
        <f>'North America'!C776+"$F;@!1ii"</f>
        <v>#VALUE!</v>
      </c>
      <c r="ID332" t="e">
        <f>'North America'!D776+"$F;@!1ij"</f>
        <v>#VALUE!</v>
      </c>
      <c r="IE332" t="e">
        <f>'North America'!E776+"$F;@!1ik"</f>
        <v>#VALUE!</v>
      </c>
      <c r="IF332" t="e">
        <f>'North America'!F776+"$F;@!1il"</f>
        <v>#VALUE!</v>
      </c>
      <c r="IG332" t="e">
        <f>'North America'!G776+"$F;@!1im"</f>
        <v>#VALUE!</v>
      </c>
      <c r="IH332" t="e">
        <f>'North America'!H776+"$F;@!1in"</f>
        <v>#VALUE!</v>
      </c>
      <c r="II332" t="e">
        <f>'North America'!A777+"$F;@!1io"</f>
        <v>#VALUE!</v>
      </c>
      <c r="IJ332" t="e">
        <f>'North America'!B777+"$F;@!1ip"</f>
        <v>#VALUE!</v>
      </c>
      <c r="IK332" t="e">
        <f>'North America'!C777+"$F;@!1iq"</f>
        <v>#VALUE!</v>
      </c>
      <c r="IL332" t="e">
        <f>'North America'!D777+"$F;@!1ir"</f>
        <v>#VALUE!</v>
      </c>
      <c r="IM332" t="e">
        <f>'North America'!E777+"$F;@!1is"</f>
        <v>#VALUE!</v>
      </c>
      <c r="IN332" t="e">
        <f>'North America'!F777+"$F;@!1it"</f>
        <v>#VALUE!</v>
      </c>
      <c r="IO332" t="e">
        <f>'North America'!G777+"$F;@!1iu"</f>
        <v>#VALUE!</v>
      </c>
      <c r="IP332" t="e">
        <f>'North America'!H777+"$F;@!1iv"</f>
        <v>#VALUE!</v>
      </c>
      <c r="IQ332" t="e">
        <f>'North America'!A778+"$F;@!1iw"</f>
        <v>#VALUE!</v>
      </c>
      <c r="IR332" t="e">
        <f>'North America'!B778+"$F;@!1ix"</f>
        <v>#VALUE!</v>
      </c>
      <c r="IS332" t="e">
        <f>'North America'!C778+"$F;@!1iy"</f>
        <v>#VALUE!</v>
      </c>
      <c r="IT332" t="e">
        <f>'North America'!D778+"$F;@!1iz"</f>
        <v>#VALUE!</v>
      </c>
      <c r="IU332" t="e">
        <f>'North America'!E778+"$F;@!1i{"</f>
        <v>#VALUE!</v>
      </c>
      <c r="IV332" t="e">
        <f>'North America'!F778+"$F;@!1i|"</f>
        <v>#VALUE!</v>
      </c>
    </row>
    <row r="333" spans="6:256" x14ac:dyDescent="0.35">
      <c r="F333" t="e">
        <f>'North America'!G778+"$F;@!1i}"</f>
        <v>#VALUE!</v>
      </c>
      <c r="G333" t="e">
        <f>'North America'!H778+"$F;@!1i~"</f>
        <v>#VALUE!</v>
      </c>
      <c r="H333" t="e">
        <f>'North America'!A779+"$F;@!1j#"</f>
        <v>#VALUE!</v>
      </c>
      <c r="I333" t="e">
        <f>'North America'!B779+"$F;@!1j$"</f>
        <v>#VALUE!</v>
      </c>
      <c r="J333" t="e">
        <f>'North America'!C779+"$F;@!1j%"</f>
        <v>#VALUE!</v>
      </c>
      <c r="K333" t="e">
        <f>'North America'!D779+"$F;@!1j&amp;"</f>
        <v>#VALUE!</v>
      </c>
      <c r="L333" t="e">
        <f>'North America'!E779+"$F;@!1j'"</f>
        <v>#VALUE!</v>
      </c>
      <c r="M333" t="e">
        <f>'North America'!F779+"$F;@!1j("</f>
        <v>#VALUE!</v>
      </c>
      <c r="N333" t="e">
        <f>'North America'!G779+"$F;@!1j)"</f>
        <v>#VALUE!</v>
      </c>
      <c r="O333" t="e">
        <f>'North America'!H779+"$F;@!1j."</f>
        <v>#VALUE!</v>
      </c>
      <c r="P333" t="e">
        <f>'North America'!A780+"$F;@!1j/"</f>
        <v>#VALUE!</v>
      </c>
      <c r="Q333" t="e">
        <f>'North America'!B780+"$F;@!1j0"</f>
        <v>#VALUE!</v>
      </c>
      <c r="R333" t="e">
        <f>'North America'!C780+"$F;@!1j1"</f>
        <v>#VALUE!</v>
      </c>
      <c r="S333" t="e">
        <f>'North America'!D780+"$F;@!1j2"</f>
        <v>#VALUE!</v>
      </c>
      <c r="T333" t="e">
        <f>'North America'!E780+"$F;@!1j3"</f>
        <v>#VALUE!</v>
      </c>
      <c r="U333" t="e">
        <f>'North America'!F780+"$F;@!1j4"</f>
        <v>#VALUE!</v>
      </c>
      <c r="V333" t="e">
        <f>'North America'!G780+"$F;@!1j5"</f>
        <v>#VALUE!</v>
      </c>
      <c r="W333" t="e">
        <f>'North America'!H780+"$F;@!1j6"</f>
        <v>#VALUE!</v>
      </c>
      <c r="X333" t="e">
        <f>'North America'!A781+"$F;@!1j7"</f>
        <v>#VALUE!</v>
      </c>
      <c r="Y333" t="e">
        <f>'North America'!B781+"$F;@!1j8"</f>
        <v>#VALUE!</v>
      </c>
      <c r="Z333" t="e">
        <f>'North America'!C781+"$F;@!1j9"</f>
        <v>#VALUE!</v>
      </c>
      <c r="AA333" t="e">
        <f>'North America'!D781+"$F;@!1j:"</f>
        <v>#VALUE!</v>
      </c>
      <c r="AB333" t="e">
        <f>'North America'!E781+"$F;@!1j;"</f>
        <v>#VALUE!</v>
      </c>
      <c r="AC333" t="e">
        <f>'North America'!F781+"$F;@!1j&lt;"</f>
        <v>#VALUE!</v>
      </c>
      <c r="AD333" t="e">
        <f>'North America'!G781+"$F;@!1j="</f>
        <v>#VALUE!</v>
      </c>
      <c r="AE333" t="e">
        <f>'North America'!A782+"$F;@!1j&gt;"</f>
        <v>#VALUE!</v>
      </c>
      <c r="AF333" t="e">
        <f>'North America'!B782+"$F;@!1j?"</f>
        <v>#VALUE!</v>
      </c>
      <c r="AG333" t="e">
        <f>'North America'!C782+"$F;@!1j@"</f>
        <v>#VALUE!</v>
      </c>
      <c r="AH333" t="e">
        <f>'North America'!D782+"$F;@!1jA"</f>
        <v>#VALUE!</v>
      </c>
      <c r="AI333" t="e">
        <f>'North America'!E782+"$F;@!1jB"</f>
        <v>#VALUE!</v>
      </c>
      <c r="AJ333" t="e">
        <f>'North America'!F782+"$F;@!1jC"</f>
        <v>#VALUE!</v>
      </c>
      <c r="AK333" t="e">
        <f>'North America'!G782+"$F;@!1jD"</f>
        <v>#VALUE!</v>
      </c>
      <c r="AL333" t="e">
        <f>'North America'!A783+"$F;@!1jE"</f>
        <v>#VALUE!</v>
      </c>
      <c r="AM333" t="e">
        <f>'North America'!B783+"$F;@!1jF"</f>
        <v>#VALUE!</v>
      </c>
      <c r="AN333" t="e">
        <f>'North America'!C783+"$F;@!1jG"</f>
        <v>#VALUE!</v>
      </c>
      <c r="AO333" t="e">
        <f>'North America'!D783+"$F;@!1jH"</f>
        <v>#VALUE!</v>
      </c>
      <c r="AP333" t="e">
        <f>'North America'!E783+"$F;@!1jI"</f>
        <v>#VALUE!</v>
      </c>
      <c r="AQ333" t="e">
        <f>'North America'!F783+"$F;@!1jJ"</f>
        <v>#VALUE!</v>
      </c>
      <c r="AR333" t="e">
        <f>'North America'!G783+"$F;@!1jK"</f>
        <v>#VALUE!</v>
      </c>
      <c r="AS333" t="e">
        <f>'North America'!H783+"$F;@!1jL"</f>
        <v>#VALUE!</v>
      </c>
      <c r="AT333" t="e">
        <f>'North America'!A784+"$F;@!1jM"</f>
        <v>#VALUE!</v>
      </c>
      <c r="AU333" t="e">
        <f>'North America'!B784+"$F;@!1jN"</f>
        <v>#VALUE!</v>
      </c>
      <c r="AV333" t="e">
        <f>'North America'!C784+"$F;@!1jO"</f>
        <v>#VALUE!</v>
      </c>
      <c r="AW333" t="e">
        <f>'North America'!D784+"$F;@!1jP"</f>
        <v>#VALUE!</v>
      </c>
      <c r="AX333" t="e">
        <f>'North America'!E784+"$F;@!1jQ"</f>
        <v>#VALUE!</v>
      </c>
      <c r="AY333" t="e">
        <f>'North America'!F784+"$F;@!1jR"</f>
        <v>#VALUE!</v>
      </c>
      <c r="AZ333" t="e">
        <f>'North America'!G784+"$F;@!1jS"</f>
        <v>#VALUE!</v>
      </c>
      <c r="BA333" t="e">
        <f>'North America'!H784+"$F;@!1jT"</f>
        <v>#VALUE!</v>
      </c>
      <c r="BB333" t="e">
        <f>'North America'!A785+"$F;@!1jU"</f>
        <v>#VALUE!</v>
      </c>
      <c r="BC333" t="e">
        <f>'North America'!B785+"$F;@!1jV"</f>
        <v>#VALUE!</v>
      </c>
      <c r="BD333" t="e">
        <f>'North America'!C785+"$F;@!1jW"</f>
        <v>#VALUE!</v>
      </c>
      <c r="BE333" t="e">
        <f>'North America'!D785+"$F;@!1jX"</f>
        <v>#VALUE!</v>
      </c>
      <c r="BF333" t="e">
        <f>'North America'!E785+"$F;@!1jY"</f>
        <v>#VALUE!</v>
      </c>
      <c r="BG333" t="e">
        <f>'North America'!F785+"$F;@!1jZ"</f>
        <v>#VALUE!</v>
      </c>
      <c r="BH333" t="e">
        <f>'North America'!G785+"$F;@!1j["</f>
        <v>#VALUE!</v>
      </c>
      <c r="BI333" t="e">
        <f>'North America'!H785+"$F;@!1j\"</f>
        <v>#VALUE!</v>
      </c>
      <c r="BJ333" t="e">
        <f>'North America'!A786+"$F;@!1j]"</f>
        <v>#VALUE!</v>
      </c>
      <c r="BK333" t="e">
        <f>'North America'!B786+"$F;@!1j^"</f>
        <v>#VALUE!</v>
      </c>
      <c r="BL333" t="e">
        <f>'North America'!C786+"$F;@!1j_"</f>
        <v>#VALUE!</v>
      </c>
      <c r="BM333" t="e">
        <f>'North America'!D786+"$F;@!1j`"</f>
        <v>#VALUE!</v>
      </c>
      <c r="BN333" t="e">
        <f>'North America'!E786+"$F;@!1ja"</f>
        <v>#VALUE!</v>
      </c>
      <c r="BO333" t="e">
        <f>'North America'!F786+"$F;@!1jb"</f>
        <v>#VALUE!</v>
      </c>
      <c r="BP333" t="e">
        <f>'North America'!G786+"$F;@!1jc"</f>
        <v>#VALUE!</v>
      </c>
      <c r="BQ333" t="e">
        <f>'North America'!H786+"$F;@!1jd"</f>
        <v>#VALUE!</v>
      </c>
      <c r="BR333" t="e">
        <f>'North America'!A787+"$F;@!1je"</f>
        <v>#VALUE!</v>
      </c>
      <c r="BS333" t="e">
        <f>'North America'!B787+"$F;@!1jf"</f>
        <v>#VALUE!</v>
      </c>
      <c r="BT333" t="e">
        <f>'North America'!C787+"$F;@!1jg"</f>
        <v>#VALUE!</v>
      </c>
      <c r="BU333" t="e">
        <f>'North America'!D787+"$F;@!1jh"</f>
        <v>#VALUE!</v>
      </c>
      <c r="BV333" t="e">
        <f>'North America'!E787+"$F;@!1ji"</f>
        <v>#VALUE!</v>
      </c>
      <c r="BW333" t="e">
        <f>'North America'!F787+"$F;@!1jj"</f>
        <v>#VALUE!</v>
      </c>
      <c r="BX333" t="e">
        <f>'North America'!G787+"$F;@!1jk"</f>
        <v>#VALUE!</v>
      </c>
      <c r="BY333" t="e">
        <f>'North America'!H787+"$F;@!1jl"</f>
        <v>#VALUE!</v>
      </c>
      <c r="BZ333" t="e">
        <f>'North America'!A788+"$F;@!1jm"</f>
        <v>#VALUE!</v>
      </c>
      <c r="CA333" t="e">
        <f>'North America'!B788+"$F;@!1jn"</f>
        <v>#VALUE!</v>
      </c>
      <c r="CB333" t="e">
        <f>'North America'!C788+"$F;@!1jo"</f>
        <v>#VALUE!</v>
      </c>
      <c r="CC333" t="e">
        <f>'North America'!D788+"$F;@!1jp"</f>
        <v>#VALUE!</v>
      </c>
      <c r="CD333" t="e">
        <f>'North America'!E788+"$F;@!1jq"</f>
        <v>#VALUE!</v>
      </c>
      <c r="CE333" t="e">
        <f>'North America'!F788+"$F;@!1jr"</f>
        <v>#VALUE!</v>
      </c>
      <c r="CF333" t="e">
        <f>'North America'!G788+"$F;@!1js"</f>
        <v>#VALUE!</v>
      </c>
      <c r="CG333" t="e">
        <f>'North America'!H788+"$F;@!1jt"</f>
        <v>#VALUE!</v>
      </c>
      <c r="CH333" t="e">
        <f>'North America'!A789+"$F;@!1ju"</f>
        <v>#VALUE!</v>
      </c>
      <c r="CI333" t="e">
        <f>'North America'!B789+"$F;@!1jv"</f>
        <v>#VALUE!</v>
      </c>
      <c r="CJ333" t="e">
        <f>'North America'!C789+"$F;@!1jw"</f>
        <v>#VALUE!</v>
      </c>
      <c r="CK333" t="e">
        <f>'North America'!D789+"$F;@!1jx"</f>
        <v>#VALUE!</v>
      </c>
      <c r="CL333" t="e">
        <f>'North America'!E789+"$F;@!1jy"</f>
        <v>#VALUE!</v>
      </c>
      <c r="CM333" t="e">
        <f>'North America'!F789+"$F;@!1jz"</f>
        <v>#VALUE!</v>
      </c>
      <c r="CN333" t="e">
        <f>'North America'!G789+"$F;@!1j{"</f>
        <v>#VALUE!</v>
      </c>
      <c r="CO333" t="e">
        <f>'North America'!H789+"$F;@!1j|"</f>
        <v>#VALUE!</v>
      </c>
      <c r="CP333" t="e">
        <f>'North America'!A790+"$F;@!1j}"</f>
        <v>#VALUE!</v>
      </c>
      <c r="CQ333" t="e">
        <f>'North America'!B790+"$F;@!1j~"</f>
        <v>#VALUE!</v>
      </c>
      <c r="CR333" t="e">
        <f>'North America'!C790+"$F;@!1k#"</f>
        <v>#VALUE!</v>
      </c>
      <c r="CS333" t="e">
        <f>'North America'!D790+"$F;@!1k$"</f>
        <v>#VALUE!</v>
      </c>
      <c r="CT333" t="e">
        <f>'North America'!E790+"$F;@!1k%"</f>
        <v>#VALUE!</v>
      </c>
      <c r="CU333" t="e">
        <f>'North America'!F790+"$F;@!1k&amp;"</f>
        <v>#VALUE!</v>
      </c>
      <c r="CV333" t="e">
        <f>'North America'!G790+"$F;@!1k'"</f>
        <v>#VALUE!</v>
      </c>
      <c r="CW333" t="e">
        <f>'North America'!H790+"$F;@!1k("</f>
        <v>#VALUE!</v>
      </c>
      <c r="CX333" t="e">
        <f>'North America'!A791+"$F;@!1k)"</f>
        <v>#VALUE!</v>
      </c>
      <c r="CY333" t="e">
        <f>'North America'!B791+"$F;@!1k."</f>
        <v>#VALUE!</v>
      </c>
      <c r="CZ333" t="e">
        <f>'North America'!C791+"$F;@!1k/"</f>
        <v>#VALUE!</v>
      </c>
      <c r="DA333" t="e">
        <f>'North America'!D791+"$F;@!1k0"</f>
        <v>#VALUE!</v>
      </c>
      <c r="DB333" t="e">
        <f>'North America'!E791+"$F;@!1k1"</f>
        <v>#VALUE!</v>
      </c>
      <c r="DC333" t="e">
        <f>'North America'!F791+"$F;@!1k2"</f>
        <v>#VALUE!</v>
      </c>
      <c r="DD333" t="e">
        <f>'North America'!G791+"$F;@!1k3"</f>
        <v>#VALUE!</v>
      </c>
      <c r="DE333" t="e">
        <f>'North America'!H791+"$F;@!1k4"</f>
        <v>#VALUE!</v>
      </c>
      <c r="DF333" t="e">
        <f>'North America'!A792+"$F;@!1k5"</f>
        <v>#VALUE!</v>
      </c>
      <c r="DG333" t="e">
        <f>'North America'!B792+"$F;@!1k6"</f>
        <v>#VALUE!</v>
      </c>
      <c r="DH333" t="e">
        <f>'North America'!C792+"$F;@!1k7"</f>
        <v>#VALUE!</v>
      </c>
      <c r="DI333" t="e">
        <f>'North America'!D792+"$F;@!1k8"</f>
        <v>#VALUE!</v>
      </c>
      <c r="DJ333" t="e">
        <f>'North America'!E792+"$F;@!1k9"</f>
        <v>#VALUE!</v>
      </c>
      <c r="DK333" t="e">
        <f>'North America'!F792+"$F;@!1k:"</f>
        <v>#VALUE!</v>
      </c>
      <c r="DL333" t="e">
        <f>'North America'!G792+"$F;@!1k;"</f>
        <v>#VALUE!</v>
      </c>
      <c r="DM333" t="e">
        <f>'North America'!H792+"$F;@!1k&lt;"</f>
        <v>#VALUE!</v>
      </c>
      <c r="DN333" t="e">
        <f>'North America'!A793+"$F;@!1k="</f>
        <v>#VALUE!</v>
      </c>
      <c r="DO333" t="e">
        <f>'North America'!B793+"$F;@!1k&gt;"</f>
        <v>#VALUE!</v>
      </c>
      <c r="DP333" t="e">
        <f>'North America'!C793+"$F;@!1k?"</f>
        <v>#VALUE!</v>
      </c>
      <c r="DQ333" t="e">
        <f>'North America'!D793+"$F;@!1k@"</f>
        <v>#VALUE!</v>
      </c>
      <c r="DR333" t="e">
        <f>'North America'!E793+"$F;@!1kA"</f>
        <v>#VALUE!</v>
      </c>
      <c r="DS333" t="e">
        <f>'North America'!F793+"$F;@!1kB"</f>
        <v>#VALUE!</v>
      </c>
      <c r="DT333" t="e">
        <f>'North America'!G793+"$F;@!1kC"</f>
        <v>#VALUE!</v>
      </c>
      <c r="DU333" t="e">
        <f>'North America'!H793+"$F;@!1kD"</f>
        <v>#VALUE!</v>
      </c>
      <c r="DV333" t="e">
        <f>'North America'!A794+"$F;@!1kE"</f>
        <v>#VALUE!</v>
      </c>
      <c r="DW333" t="e">
        <f>'North America'!B794+"$F;@!1kF"</f>
        <v>#VALUE!</v>
      </c>
      <c r="DX333" t="e">
        <f>'North America'!C794+"$F;@!1kG"</f>
        <v>#VALUE!</v>
      </c>
      <c r="DY333" t="e">
        <f>'North America'!D794+"$F;@!1kH"</f>
        <v>#VALUE!</v>
      </c>
      <c r="DZ333" t="e">
        <f>'North America'!E794+"$F;@!1kI"</f>
        <v>#VALUE!</v>
      </c>
      <c r="EA333" t="e">
        <f>'North America'!F794+"$F;@!1kJ"</f>
        <v>#VALUE!</v>
      </c>
      <c r="EB333" t="e">
        <f>'North America'!G794+"$F;@!1kK"</f>
        <v>#VALUE!</v>
      </c>
      <c r="EC333" t="e">
        <f>'North America'!H794+"$F;@!1kL"</f>
        <v>#VALUE!</v>
      </c>
      <c r="ED333" t="e">
        <f>'North America'!A795+"$F;@!1kM"</f>
        <v>#VALUE!</v>
      </c>
      <c r="EE333" t="e">
        <f>'North America'!B795+"$F;@!1kN"</f>
        <v>#VALUE!</v>
      </c>
      <c r="EF333" t="e">
        <f>'North America'!C795+"$F;@!1kO"</f>
        <v>#VALUE!</v>
      </c>
      <c r="EG333" t="e">
        <f>'North America'!D795+"$F;@!1kP"</f>
        <v>#VALUE!</v>
      </c>
      <c r="EH333" t="e">
        <f>'North America'!E795+"$F;@!1kQ"</f>
        <v>#VALUE!</v>
      </c>
      <c r="EI333" t="e">
        <f>'North America'!F795+"$F;@!1kR"</f>
        <v>#VALUE!</v>
      </c>
      <c r="EJ333" t="e">
        <f>'North America'!G795+"$F;@!1kS"</f>
        <v>#VALUE!</v>
      </c>
      <c r="EK333" t="e">
        <f>'North America'!H795+"$F;@!1kT"</f>
        <v>#VALUE!</v>
      </c>
      <c r="EL333" t="e">
        <f>'North America'!A796+"$F;@!1kU"</f>
        <v>#VALUE!</v>
      </c>
      <c r="EM333" t="e">
        <f>'North America'!B796+"$F;@!1kV"</f>
        <v>#VALUE!</v>
      </c>
      <c r="EN333" t="e">
        <f>'North America'!C796+"$F;@!1kW"</f>
        <v>#VALUE!</v>
      </c>
      <c r="EO333" t="e">
        <f>'North America'!D796+"$F;@!1kX"</f>
        <v>#VALUE!</v>
      </c>
      <c r="EP333" t="e">
        <f>'North America'!E796+"$F;@!1kY"</f>
        <v>#VALUE!</v>
      </c>
      <c r="EQ333" t="e">
        <f>'North America'!F796+"$F;@!1kZ"</f>
        <v>#VALUE!</v>
      </c>
      <c r="ER333" t="e">
        <f>'North America'!G796+"$F;@!1k["</f>
        <v>#VALUE!</v>
      </c>
      <c r="ES333" t="e">
        <f>'North America'!H796+"$F;@!1k\"</f>
        <v>#VALUE!</v>
      </c>
      <c r="ET333" t="e">
        <f>'North America'!A797+"$F;@!1k]"</f>
        <v>#VALUE!</v>
      </c>
      <c r="EU333" t="e">
        <f>'North America'!B797+"$F;@!1k^"</f>
        <v>#VALUE!</v>
      </c>
      <c r="EV333" t="e">
        <f>'North America'!C797+"$F;@!1k_"</f>
        <v>#VALUE!</v>
      </c>
      <c r="EW333" t="e">
        <f>'North America'!D797+"$F;@!1k`"</f>
        <v>#VALUE!</v>
      </c>
      <c r="EX333" t="e">
        <f>'North America'!E797+"$F;@!1ka"</f>
        <v>#VALUE!</v>
      </c>
      <c r="EY333" t="e">
        <f>'North America'!F797+"$F;@!1kb"</f>
        <v>#VALUE!</v>
      </c>
      <c r="EZ333" t="e">
        <f>'North America'!G797+"$F;@!1kc"</f>
        <v>#VALUE!</v>
      </c>
      <c r="FA333" t="e">
        <f>'North America'!H797+"$F;@!1kd"</f>
        <v>#VALUE!</v>
      </c>
      <c r="FB333" t="e">
        <f>'North America'!A798+"$F;@!1ke"</f>
        <v>#VALUE!</v>
      </c>
      <c r="FC333" t="e">
        <f>'North America'!B798+"$F;@!1kf"</f>
        <v>#VALUE!</v>
      </c>
      <c r="FD333" t="e">
        <f>'North America'!C798+"$F;@!1kg"</f>
        <v>#VALUE!</v>
      </c>
      <c r="FE333" t="e">
        <f>'North America'!D798+"$F;@!1kh"</f>
        <v>#VALUE!</v>
      </c>
      <c r="FF333" t="e">
        <f>'North America'!E798+"$F;@!1ki"</f>
        <v>#VALUE!</v>
      </c>
      <c r="FG333" t="e">
        <f>'North America'!F798+"$F;@!1kj"</f>
        <v>#VALUE!</v>
      </c>
      <c r="FH333" t="e">
        <f>'North America'!G798+"$F;@!1kk"</f>
        <v>#VALUE!</v>
      </c>
      <c r="FI333" t="e">
        <f>'North America'!H798+"$F;@!1kl"</f>
        <v>#VALUE!</v>
      </c>
      <c r="FJ333" t="e">
        <f>'North America'!A799+"$F;@!1km"</f>
        <v>#VALUE!</v>
      </c>
      <c r="FK333" t="e">
        <f>'North America'!B799+"$F;@!1kn"</f>
        <v>#VALUE!</v>
      </c>
      <c r="FL333" t="e">
        <f>'North America'!C799+"$F;@!1ko"</f>
        <v>#VALUE!</v>
      </c>
      <c r="FM333" t="e">
        <f>'North America'!D799+"$F;@!1kp"</f>
        <v>#VALUE!</v>
      </c>
      <c r="FN333" t="e">
        <f>'North America'!E799+"$F;@!1kq"</f>
        <v>#VALUE!</v>
      </c>
      <c r="FO333" t="e">
        <f>'North America'!F799+"$F;@!1kr"</f>
        <v>#VALUE!</v>
      </c>
      <c r="FP333" t="e">
        <f>'North America'!G799+"$F;@!1ks"</f>
        <v>#VALUE!</v>
      </c>
      <c r="FQ333" t="e">
        <f>'North America'!H799+"$F;@!1kt"</f>
        <v>#VALUE!</v>
      </c>
      <c r="FR333" t="e">
        <f>'North America'!A800+"$F;@!1ku"</f>
        <v>#VALUE!</v>
      </c>
      <c r="FS333" t="e">
        <f>'North America'!B800+"$F;@!1kv"</f>
        <v>#VALUE!</v>
      </c>
      <c r="FT333" t="e">
        <f>'North America'!C800+"$F;@!1kw"</f>
        <v>#VALUE!</v>
      </c>
      <c r="FU333" t="e">
        <f>'North America'!D800+"$F;@!1kx"</f>
        <v>#VALUE!</v>
      </c>
      <c r="FV333" t="e">
        <f>'North America'!E800+"$F;@!1ky"</f>
        <v>#VALUE!</v>
      </c>
      <c r="FW333" t="e">
        <f>'North America'!F800+"$F;@!1kz"</f>
        <v>#VALUE!</v>
      </c>
      <c r="FX333" t="e">
        <f>'North America'!G800+"$F;@!1k{"</f>
        <v>#VALUE!</v>
      </c>
      <c r="FY333" t="e">
        <f>'North America'!H800+"$F;@!1k|"</f>
        <v>#VALUE!</v>
      </c>
      <c r="FZ333" t="e">
        <f>'North America'!A801+"$F;@!1k}"</f>
        <v>#VALUE!</v>
      </c>
      <c r="GA333" t="e">
        <f>'North America'!B801+"$F;@!1k~"</f>
        <v>#VALUE!</v>
      </c>
      <c r="GB333" t="e">
        <f>'North America'!C801+"$F;@!1l#"</f>
        <v>#VALUE!</v>
      </c>
      <c r="GC333" t="e">
        <f>'North America'!D801+"$F;@!1l$"</f>
        <v>#VALUE!</v>
      </c>
      <c r="GD333" t="e">
        <f>'North America'!E801+"$F;@!1l%"</f>
        <v>#VALUE!</v>
      </c>
      <c r="GE333" t="e">
        <f>'North America'!F801+"$F;@!1l&amp;"</f>
        <v>#VALUE!</v>
      </c>
      <c r="GF333" t="e">
        <f>'North America'!G801+"$F;@!1l'"</f>
        <v>#VALUE!</v>
      </c>
      <c r="GG333" t="e">
        <f>'North America'!H801+"$F;@!1l("</f>
        <v>#VALUE!</v>
      </c>
      <c r="GH333" t="e">
        <f>'North America'!A802+"$F;@!1l)"</f>
        <v>#VALUE!</v>
      </c>
      <c r="GI333" t="e">
        <f>'North America'!B802+"$F;@!1l."</f>
        <v>#VALUE!</v>
      </c>
      <c r="GJ333" t="e">
        <f>'North America'!C802+"$F;@!1l/"</f>
        <v>#VALUE!</v>
      </c>
      <c r="GK333" t="e">
        <f>'North America'!D802+"$F;@!1l0"</f>
        <v>#VALUE!</v>
      </c>
      <c r="GL333" t="e">
        <f>'North America'!E802+"$F;@!1l1"</f>
        <v>#VALUE!</v>
      </c>
      <c r="GM333" t="e">
        <f>'North America'!F802+"$F;@!1l2"</f>
        <v>#VALUE!</v>
      </c>
      <c r="GN333" t="e">
        <f>'North America'!G802+"$F;@!1l3"</f>
        <v>#VALUE!</v>
      </c>
      <c r="GO333" t="e">
        <f>'North America'!H802+"$F;@!1l4"</f>
        <v>#VALUE!</v>
      </c>
      <c r="GP333" t="e">
        <f>'North America'!A803+"$F;@!1l5"</f>
        <v>#VALUE!</v>
      </c>
      <c r="GQ333" t="e">
        <f>'North America'!B803+"$F;@!1l6"</f>
        <v>#VALUE!</v>
      </c>
      <c r="GR333" t="e">
        <f>'North America'!C803+"$F;@!1l7"</f>
        <v>#VALUE!</v>
      </c>
      <c r="GS333" t="e">
        <f>'North America'!D803+"$F;@!1l8"</f>
        <v>#VALUE!</v>
      </c>
      <c r="GT333" t="e">
        <f>'North America'!E803+"$F;@!1l9"</f>
        <v>#VALUE!</v>
      </c>
      <c r="GU333" t="e">
        <f>'North America'!F803+"$F;@!1l:"</f>
        <v>#VALUE!</v>
      </c>
      <c r="GV333" t="e">
        <f>'North America'!G803+"$F;@!1l;"</f>
        <v>#VALUE!</v>
      </c>
      <c r="GW333" t="e">
        <f>'North America'!H803+"$F;@!1l&lt;"</f>
        <v>#VALUE!</v>
      </c>
      <c r="GX333" t="e">
        <f>'North America'!A804+"$F;@!1l="</f>
        <v>#VALUE!</v>
      </c>
      <c r="GY333" t="e">
        <f>'North America'!B804+"$F;@!1l&gt;"</f>
        <v>#VALUE!</v>
      </c>
      <c r="GZ333" t="e">
        <f>'North America'!C804+"$F;@!1l?"</f>
        <v>#VALUE!</v>
      </c>
      <c r="HA333" t="e">
        <f>'North America'!D804+"$F;@!1l@"</f>
        <v>#VALUE!</v>
      </c>
      <c r="HB333" t="e">
        <f>'North America'!E804+"$F;@!1lA"</f>
        <v>#VALUE!</v>
      </c>
      <c r="HC333" t="e">
        <f>'North America'!F804+"$F;@!1lB"</f>
        <v>#VALUE!</v>
      </c>
      <c r="HD333" t="e">
        <f>'North America'!G804+"$F;@!1lC"</f>
        <v>#VALUE!</v>
      </c>
      <c r="HE333" t="e">
        <f>'North America'!H804+"$F;@!1lD"</f>
        <v>#VALUE!</v>
      </c>
      <c r="HF333" t="e">
        <f>'North America'!A805+"$F;@!1lE"</f>
        <v>#VALUE!</v>
      </c>
      <c r="HG333" t="e">
        <f>'North America'!B805+"$F;@!1lF"</f>
        <v>#VALUE!</v>
      </c>
      <c r="HH333" t="e">
        <f>'North America'!C805+"$F;@!1lG"</f>
        <v>#VALUE!</v>
      </c>
      <c r="HI333" t="e">
        <f>'North America'!D805+"$F;@!1lH"</f>
        <v>#VALUE!</v>
      </c>
      <c r="HJ333" t="e">
        <f>'North America'!E805+"$F;@!1lI"</f>
        <v>#VALUE!</v>
      </c>
      <c r="HK333" t="e">
        <f>'North America'!F805+"$F;@!1lJ"</f>
        <v>#VALUE!</v>
      </c>
      <c r="HL333" t="e">
        <f>'North America'!G805+"$F;@!1lK"</f>
        <v>#VALUE!</v>
      </c>
      <c r="HM333" t="e">
        <f>'North America'!H805+"$F;@!1lL"</f>
        <v>#VALUE!</v>
      </c>
      <c r="HN333" t="e">
        <f>'North America'!A806+"$F;@!1lM"</f>
        <v>#VALUE!</v>
      </c>
      <c r="HO333" t="e">
        <f>'North America'!B806+"$F;@!1lN"</f>
        <v>#VALUE!</v>
      </c>
      <c r="HP333" t="e">
        <f>'North America'!C806+"$F;@!1lO"</f>
        <v>#VALUE!</v>
      </c>
      <c r="HQ333" t="e">
        <f>'North America'!D806+"$F;@!1lP"</f>
        <v>#VALUE!</v>
      </c>
      <c r="HR333" t="e">
        <f>'North America'!E806+"$F;@!1lQ"</f>
        <v>#VALUE!</v>
      </c>
      <c r="HS333" t="e">
        <f>'North America'!F806+"$F;@!1lR"</f>
        <v>#VALUE!</v>
      </c>
      <c r="HT333" t="e">
        <f>'North America'!G806+"$F;@!1lS"</f>
        <v>#VALUE!</v>
      </c>
      <c r="HU333" t="e">
        <f>'North America'!H806+"$F;@!1lT"</f>
        <v>#VALUE!</v>
      </c>
      <c r="HV333" t="e">
        <f>'North America'!A807+"$F;@!1lU"</f>
        <v>#VALUE!</v>
      </c>
      <c r="HW333" t="e">
        <f>'North America'!B807+"$F;@!1lV"</f>
        <v>#VALUE!</v>
      </c>
      <c r="HX333" t="e">
        <f>'North America'!C807+"$F;@!1lW"</f>
        <v>#VALUE!</v>
      </c>
      <c r="HY333" t="e">
        <f>'North America'!D807+"$F;@!1lX"</f>
        <v>#VALUE!</v>
      </c>
      <c r="HZ333" t="e">
        <f>'North America'!E807+"$F;@!1lY"</f>
        <v>#VALUE!</v>
      </c>
      <c r="IA333" t="e">
        <f>'North America'!F807+"$F;@!1lZ"</f>
        <v>#VALUE!</v>
      </c>
      <c r="IB333" t="e">
        <f>'North America'!G807+"$F;@!1l["</f>
        <v>#VALUE!</v>
      </c>
      <c r="IC333" t="e">
        <f>'North America'!H807+"$F;@!1l\"</f>
        <v>#VALUE!</v>
      </c>
      <c r="ID333" t="e">
        <f>'North America'!A808+"$F;@!1l]"</f>
        <v>#VALUE!</v>
      </c>
      <c r="IE333" t="e">
        <f>'North America'!B808+"$F;@!1l^"</f>
        <v>#VALUE!</v>
      </c>
      <c r="IF333" t="e">
        <f>'North America'!C808+"$F;@!1l_"</f>
        <v>#VALUE!</v>
      </c>
      <c r="IG333" t="e">
        <f>'North America'!D808+"$F;@!1l`"</f>
        <v>#VALUE!</v>
      </c>
      <c r="IH333" t="e">
        <f>'North America'!E808+"$F;@!1la"</f>
        <v>#VALUE!</v>
      </c>
      <c r="II333" t="e">
        <f>'North America'!F808+"$F;@!1lb"</f>
        <v>#VALUE!</v>
      </c>
      <c r="IJ333" t="e">
        <f>'North America'!G808+"$F;@!1lc"</f>
        <v>#VALUE!</v>
      </c>
      <c r="IK333" t="e">
        <f>'North America'!H808+"$F;@!1ld"</f>
        <v>#VALUE!</v>
      </c>
      <c r="IL333" t="e">
        <f>'North America'!A809+"$F;@!1le"</f>
        <v>#VALUE!</v>
      </c>
      <c r="IM333" t="e">
        <f>'North America'!B809+"$F;@!1lf"</f>
        <v>#VALUE!</v>
      </c>
      <c r="IN333" t="e">
        <f>'North America'!C809+"$F;@!1lg"</f>
        <v>#VALUE!</v>
      </c>
      <c r="IO333" t="e">
        <f>'North America'!D809+"$F;@!1lh"</f>
        <v>#VALUE!</v>
      </c>
      <c r="IP333" t="e">
        <f>'North America'!E809+"$F;@!1li"</f>
        <v>#VALUE!</v>
      </c>
      <c r="IQ333" t="e">
        <f>'North America'!F809+"$F;@!1lj"</f>
        <v>#VALUE!</v>
      </c>
      <c r="IR333" t="e">
        <f>'North America'!G809+"$F;@!1lk"</f>
        <v>#VALUE!</v>
      </c>
      <c r="IS333" t="e">
        <f>'North America'!H809+"$F;@!1ll"</f>
        <v>#VALUE!</v>
      </c>
      <c r="IT333" t="e">
        <f>'North America'!A810+"$F;@!1lm"</f>
        <v>#VALUE!</v>
      </c>
      <c r="IU333" t="e">
        <f>'North America'!B810+"$F;@!1ln"</f>
        <v>#VALUE!</v>
      </c>
      <c r="IV333" t="e">
        <f>'North America'!C810+"$F;@!1lo"</f>
        <v>#VALUE!</v>
      </c>
    </row>
    <row r="334" spans="6:256" x14ac:dyDescent="0.35">
      <c r="F334" t="e">
        <f>'North America'!D810+"$F;@!1lp"</f>
        <v>#VALUE!</v>
      </c>
      <c r="G334" t="e">
        <f>'North America'!E810+"$F;@!1lq"</f>
        <v>#VALUE!</v>
      </c>
      <c r="H334" t="e">
        <f>'North America'!F810+"$F;@!1lr"</f>
        <v>#VALUE!</v>
      </c>
      <c r="I334" t="e">
        <f>'North America'!G810+"$F;@!1ls"</f>
        <v>#VALUE!</v>
      </c>
      <c r="J334" t="e">
        <f>'North America'!H810+"$F;@!1lt"</f>
        <v>#VALUE!</v>
      </c>
      <c r="K334" t="e">
        <f>'North America'!A811+"$F;@!1lu"</f>
        <v>#VALUE!</v>
      </c>
      <c r="L334" t="e">
        <f>'North America'!B811+"$F;@!1lv"</f>
        <v>#VALUE!</v>
      </c>
      <c r="M334" t="e">
        <f>'North America'!C811+"$F;@!1lw"</f>
        <v>#VALUE!</v>
      </c>
      <c r="N334" t="e">
        <f>'North America'!D811+"$F;@!1lx"</f>
        <v>#VALUE!</v>
      </c>
      <c r="O334" t="e">
        <f>'North America'!E811+"$F;@!1ly"</f>
        <v>#VALUE!</v>
      </c>
      <c r="P334" t="e">
        <f>'North America'!F811+"$F;@!1lz"</f>
        <v>#VALUE!</v>
      </c>
      <c r="Q334" t="e">
        <f>'North America'!G811+"$F;@!1l{"</f>
        <v>#VALUE!</v>
      </c>
      <c r="R334" t="e">
        <f>'North America'!H811+"$F;@!1l|"</f>
        <v>#VALUE!</v>
      </c>
      <c r="S334" t="e">
        <f>'North America'!A812+"$F;@!1l}"</f>
        <v>#VALUE!</v>
      </c>
      <c r="T334" t="e">
        <f>'North America'!B812+"$F;@!1l~"</f>
        <v>#VALUE!</v>
      </c>
      <c r="U334" t="e">
        <f>'North America'!C812+"$F;@!1m#"</f>
        <v>#VALUE!</v>
      </c>
      <c r="V334" t="e">
        <f>'North America'!D812+"$F;@!1m$"</f>
        <v>#VALUE!</v>
      </c>
      <c r="W334" t="e">
        <f>'North America'!E812+"$F;@!1m%"</f>
        <v>#VALUE!</v>
      </c>
      <c r="X334" t="e">
        <f>'North America'!F812+"$F;@!1m&amp;"</f>
        <v>#VALUE!</v>
      </c>
      <c r="Y334" t="e">
        <f>'North America'!G812+"$F;@!1m'"</f>
        <v>#VALUE!</v>
      </c>
      <c r="Z334" t="e">
        <f>'North America'!H812+"$F;@!1m("</f>
        <v>#VALUE!</v>
      </c>
      <c r="AA334" t="e">
        <f>'North America'!A813+"$F;@!1m)"</f>
        <v>#VALUE!</v>
      </c>
      <c r="AB334" t="e">
        <f>'North America'!B813+"$F;@!1m."</f>
        <v>#VALUE!</v>
      </c>
      <c r="AC334" t="e">
        <f>'North America'!C813+"$F;@!1m/"</f>
        <v>#VALUE!</v>
      </c>
      <c r="AD334" t="e">
        <f>'North America'!D813+"$F;@!1m0"</f>
        <v>#VALUE!</v>
      </c>
      <c r="AE334" t="e">
        <f>'North America'!E813+"$F;@!1m1"</f>
        <v>#VALUE!</v>
      </c>
      <c r="AF334" t="e">
        <f>'North America'!F813+"$F;@!1m2"</f>
        <v>#VALUE!</v>
      </c>
      <c r="AG334" t="e">
        <f>'North America'!G813+"$F;@!1m3"</f>
        <v>#VALUE!</v>
      </c>
      <c r="AH334" t="e">
        <f>'North America'!H813+"$F;@!1m4"</f>
        <v>#VALUE!</v>
      </c>
      <c r="AI334" t="e">
        <f>'North America'!A814+"$F;@!1m5"</f>
        <v>#VALUE!</v>
      </c>
      <c r="AJ334" t="e">
        <f>'North America'!B814+"$F;@!1m6"</f>
        <v>#VALUE!</v>
      </c>
      <c r="AK334" t="e">
        <f>'North America'!C814+"$F;@!1m7"</f>
        <v>#VALUE!</v>
      </c>
      <c r="AL334" t="e">
        <f>'North America'!D814+"$F;@!1m8"</f>
        <v>#VALUE!</v>
      </c>
      <c r="AM334" t="e">
        <f>'North America'!E814+"$F;@!1m9"</f>
        <v>#VALUE!</v>
      </c>
      <c r="AN334" t="e">
        <f>'North America'!F814+"$F;@!1m:"</f>
        <v>#VALUE!</v>
      </c>
      <c r="AO334" t="e">
        <f>'North America'!G814+"$F;@!1m;"</f>
        <v>#VALUE!</v>
      </c>
      <c r="AP334" t="e">
        <f>'North America'!H814+"$F;@!1m&lt;"</f>
        <v>#VALUE!</v>
      </c>
      <c r="AQ334" t="e">
        <f>'North America'!A815+"$F;@!1m="</f>
        <v>#VALUE!</v>
      </c>
      <c r="AR334" t="e">
        <f>'North America'!B815+"$F;@!1m&gt;"</f>
        <v>#VALUE!</v>
      </c>
      <c r="AS334" t="e">
        <f>'North America'!C815+"$F;@!1m?"</f>
        <v>#VALUE!</v>
      </c>
      <c r="AT334" t="e">
        <f>'North America'!D815+"$F;@!1m@"</f>
        <v>#VALUE!</v>
      </c>
      <c r="AU334" t="e">
        <f>'North America'!E815+"$F;@!1mA"</f>
        <v>#VALUE!</v>
      </c>
      <c r="AV334" t="e">
        <f>'North America'!F815+"$F;@!1mB"</f>
        <v>#VALUE!</v>
      </c>
      <c r="AW334" t="e">
        <f>'North America'!G815+"$F;@!1mC"</f>
        <v>#VALUE!</v>
      </c>
      <c r="AX334" t="e">
        <f>'North America'!H815+"$F;@!1mD"</f>
        <v>#VALUE!</v>
      </c>
      <c r="AY334" t="e">
        <f>'North America'!A816+"$F;@!1mE"</f>
        <v>#VALUE!</v>
      </c>
      <c r="AZ334" t="e">
        <f>'North America'!B816+"$F;@!1mF"</f>
        <v>#VALUE!</v>
      </c>
      <c r="BA334" t="e">
        <f>'North America'!C816+"$F;@!1mG"</f>
        <v>#VALUE!</v>
      </c>
      <c r="BB334" t="e">
        <f>'North America'!D816+"$F;@!1mH"</f>
        <v>#VALUE!</v>
      </c>
      <c r="BC334" t="e">
        <f>'North America'!E816+"$F;@!1mI"</f>
        <v>#VALUE!</v>
      </c>
      <c r="BD334" t="e">
        <f>'North America'!F816+"$F;@!1mJ"</f>
        <v>#VALUE!</v>
      </c>
      <c r="BE334" t="e">
        <f>'North America'!G816+"$F;@!1mK"</f>
        <v>#VALUE!</v>
      </c>
      <c r="BF334" t="e">
        <f>'North America'!H816+"$F;@!1mL"</f>
        <v>#VALUE!</v>
      </c>
      <c r="BG334" t="e">
        <f>'North America'!A817+"$F;@!1mM"</f>
        <v>#VALUE!</v>
      </c>
      <c r="BH334" t="e">
        <f>'North America'!B817+"$F;@!1mN"</f>
        <v>#VALUE!</v>
      </c>
      <c r="BI334" t="e">
        <f>'North America'!C817+"$F;@!1mO"</f>
        <v>#VALUE!</v>
      </c>
      <c r="BJ334" t="e">
        <f>'North America'!D817+"$F;@!1mP"</f>
        <v>#VALUE!</v>
      </c>
      <c r="BK334" t="e">
        <f>'North America'!E817+"$F;@!1mQ"</f>
        <v>#VALUE!</v>
      </c>
      <c r="BL334" t="e">
        <f>'North America'!F817+"$F;@!1mR"</f>
        <v>#VALUE!</v>
      </c>
      <c r="BM334" t="e">
        <f>'North America'!G817+"$F;@!1mS"</f>
        <v>#VALUE!</v>
      </c>
      <c r="BN334" t="e">
        <f>'North America'!H817+"$F;@!1mT"</f>
        <v>#VALUE!</v>
      </c>
      <c r="BO334" t="e">
        <f>'North America'!A818+"$F;@!1mU"</f>
        <v>#VALUE!</v>
      </c>
      <c r="BP334" t="e">
        <f>'North America'!B818+"$F;@!1mV"</f>
        <v>#VALUE!</v>
      </c>
      <c r="BQ334" t="e">
        <f>'North America'!C818+"$F;@!1mW"</f>
        <v>#VALUE!</v>
      </c>
      <c r="BR334" t="e">
        <f>'North America'!D818+"$F;@!1mX"</f>
        <v>#VALUE!</v>
      </c>
      <c r="BS334" t="e">
        <f>'North America'!E818+"$F;@!1mY"</f>
        <v>#VALUE!</v>
      </c>
      <c r="BT334" t="e">
        <f>'North America'!F818+"$F;@!1mZ"</f>
        <v>#VALUE!</v>
      </c>
      <c r="BU334" t="e">
        <f>'North America'!G818+"$F;@!1m["</f>
        <v>#VALUE!</v>
      </c>
      <c r="BV334" t="e">
        <f>'North America'!H818+"$F;@!1m\"</f>
        <v>#VALUE!</v>
      </c>
      <c r="BW334" t="e">
        <f>'North America'!A819+"$F;@!1m]"</f>
        <v>#VALUE!</v>
      </c>
      <c r="BX334" t="e">
        <f>'North America'!B819+"$F;@!1m^"</f>
        <v>#VALUE!</v>
      </c>
      <c r="BY334" t="e">
        <f>'North America'!C819+"$F;@!1m_"</f>
        <v>#VALUE!</v>
      </c>
      <c r="BZ334" t="e">
        <f>'North America'!D819+"$F;@!1m`"</f>
        <v>#VALUE!</v>
      </c>
      <c r="CA334" t="e">
        <f>'North America'!E819+"$F;@!1ma"</f>
        <v>#VALUE!</v>
      </c>
      <c r="CB334" t="e">
        <f>'North America'!F819+"$F;@!1mb"</f>
        <v>#VALUE!</v>
      </c>
      <c r="CC334" t="e">
        <f>'North America'!G819+"$F;@!1mc"</f>
        <v>#VALUE!</v>
      </c>
      <c r="CD334" t="e">
        <f>'North America'!H819+"$F;@!1md"</f>
        <v>#VALUE!</v>
      </c>
      <c r="CE334" t="e">
        <f>'North America'!A820+"$F;@!1me"</f>
        <v>#VALUE!</v>
      </c>
      <c r="CF334" t="e">
        <f>'North America'!B820+"$F;@!1mf"</f>
        <v>#VALUE!</v>
      </c>
      <c r="CG334" t="e">
        <f>'North America'!C820+"$F;@!1mg"</f>
        <v>#VALUE!</v>
      </c>
      <c r="CH334" t="e">
        <f>'North America'!D820+"$F;@!1mh"</f>
        <v>#VALUE!</v>
      </c>
      <c r="CI334" t="e">
        <f>'North America'!E820+"$F;@!1mi"</f>
        <v>#VALUE!</v>
      </c>
      <c r="CJ334" t="e">
        <f>'North America'!F820+"$F;@!1mj"</f>
        <v>#VALUE!</v>
      </c>
      <c r="CK334" t="e">
        <f>'North America'!G820+"$F;@!1mk"</f>
        <v>#VALUE!</v>
      </c>
      <c r="CL334" t="e">
        <f>'North America'!H820+"$F;@!1ml"</f>
        <v>#VALUE!</v>
      </c>
      <c r="CM334" t="e">
        <f>'North America'!A821+"$F;@!1mm"</f>
        <v>#VALUE!</v>
      </c>
      <c r="CN334" t="e">
        <f>'North America'!B821+"$F;@!1mn"</f>
        <v>#VALUE!</v>
      </c>
      <c r="CO334" t="e">
        <f>'North America'!C821+"$F;@!1mo"</f>
        <v>#VALUE!</v>
      </c>
      <c r="CP334" t="e">
        <f>'North America'!D821+"$F;@!1mp"</f>
        <v>#VALUE!</v>
      </c>
      <c r="CQ334" t="e">
        <f>'North America'!E821+"$F;@!1mq"</f>
        <v>#VALUE!</v>
      </c>
      <c r="CR334" t="e">
        <f>'North America'!F821+"$F;@!1mr"</f>
        <v>#VALUE!</v>
      </c>
      <c r="CS334" t="e">
        <f>'North America'!G821+"$F;@!1ms"</f>
        <v>#VALUE!</v>
      </c>
      <c r="CT334" t="e">
        <f>'North America'!H821+"$F;@!1mt"</f>
        <v>#VALUE!</v>
      </c>
      <c r="CU334" t="e">
        <f>'North America'!A822+"$F;@!1mu"</f>
        <v>#VALUE!</v>
      </c>
      <c r="CV334" t="e">
        <f>'North America'!B822+"$F;@!1mv"</f>
        <v>#VALUE!</v>
      </c>
      <c r="CW334" t="e">
        <f>'North America'!C822+"$F;@!1mw"</f>
        <v>#VALUE!</v>
      </c>
      <c r="CX334" t="e">
        <f>'North America'!D822+"$F;@!1mx"</f>
        <v>#VALUE!</v>
      </c>
      <c r="CY334" t="e">
        <f>'North America'!E822+"$F;@!1my"</f>
        <v>#VALUE!</v>
      </c>
      <c r="CZ334" t="e">
        <f>'North America'!F822+"$F;@!1mz"</f>
        <v>#VALUE!</v>
      </c>
      <c r="DA334" t="e">
        <f>'North America'!G822+"$F;@!1m{"</f>
        <v>#VALUE!</v>
      </c>
      <c r="DB334" t="e">
        <f>'North America'!H822+"$F;@!1m|"</f>
        <v>#VALUE!</v>
      </c>
      <c r="DC334" t="e">
        <f>'North America'!A823+"$F;@!1m}"</f>
        <v>#VALUE!</v>
      </c>
      <c r="DD334" t="e">
        <f>'North America'!B823+"$F;@!1m~"</f>
        <v>#VALUE!</v>
      </c>
      <c r="DE334" t="e">
        <f>'North America'!C823+"$F;@!1n#"</f>
        <v>#VALUE!</v>
      </c>
      <c r="DF334" t="e">
        <f>'North America'!D823+"$F;@!1n$"</f>
        <v>#VALUE!</v>
      </c>
      <c r="DG334" t="e">
        <f>'North America'!E823+"$F;@!1n%"</f>
        <v>#VALUE!</v>
      </c>
      <c r="DH334" t="e">
        <f>'North America'!F823+"$F;@!1n&amp;"</f>
        <v>#VALUE!</v>
      </c>
      <c r="DI334" t="e">
        <f>'North America'!G823+"$F;@!1n'"</f>
        <v>#VALUE!</v>
      </c>
      <c r="DJ334" t="e">
        <f>'North America'!H823+"$F;@!1n("</f>
        <v>#VALUE!</v>
      </c>
      <c r="DK334" t="e">
        <f>'North America'!A824+"$F;@!1n)"</f>
        <v>#VALUE!</v>
      </c>
      <c r="DL334" t="e">
        <f>'North America'!B824+"$F;@!1n."</f>
        <v>#VALUE!</v>
      </c>
      <c r="DM334" t="e">
        <f>'North America'!C824+"$F;@!1n/"</f>
        <v>#VALUE!</v>
      </c>
      <c r="DN334" t="e">
        <f>'North America'!D824+"$F;@!1n0"</f>
        <v>#VALUE!</v>
      </c>
      <c r="DO334" t="e">
        <f>'North America'!E824+"$F;@!1n1"</f>
        <v>#VALUE!</v>
      </c>
      <c r="DP334" t="e">
        <f>'North America'!F824+"$F;@!1n2"</f>
        <v>#VALUE!</v>
      </c>
      <c r="DQ334" t="e">
        <f>'North America'!G824+"$F;@!1n3"</f>
        <v>#VALUE!</v>
      </c>
      <c r="DR334" t="e">
        <f>'North America'!H824+"$F;@!1n4"</f>
        <v>#VALUE!</v>
      </c>
      <c r="DS334" t="e">
        <f>'North America'!A825+"$F;@!1n5"</f>
        <v>#VALUE!</v>
      </c>
      <c r="DT334" t="e">
        <f>'North America'!B825+"$F;@!1n6"</f>
        <v>#VALUE!</v>
      </c>
      <c r="DU334" t="e">
        <f>'North America'!C825+"$F;@!1n7"</f>
        <v>#VALUE!</v>
      </c>
      <c r="DV334" t="e">
        <f>'North America'!D825+"$F;@!1n8"</f>
        <v>#VALUE!</v>
      </c>
      <c r="DW334" t="e">
        <f>'North America'!E825+"$F;@!1n9"</f>
        <v>#VALUE!</v>
      </c>
      <c r="DX334" t="e">
        <f>'North America'!F825+"$F;@!1n:"</f>
        <v>#VALUE!</v>
      </c>
      <c r="DY334" t="e">
        <f>'North America'!G825+"$F;@!1n;"</f>
        <v>#VALUE!</v>
      </c>
      <c r="DZ334" t="e">
        <f>'North America'!H825+"$F;@!1n&lt;"</f>
        <v>#VALUE!</v>
      </c>
      <c r="EA334" t="e">
        <f>'North America'!A826+"$F;@!1n="</f>
        <v>#VALUE!</v>
      </c>
      <c r="EB334" t="e">
        <f>'North America'!B826+"$F;@!1n&gt;"</f>
        <v>#VALUE!</v>
      </c>
      <c r="EC334" t="e">
        <f>'North America'!C826+"$F;@!1n?"</f>
        <v>#VALUE!</v>
      </c>
      <c r="ED334" t="e">
        <f>'North America'!D826+"$F;@!1n@"</f>
        <v>#VALUE!</v>
      </c>
      <c r="EE334" t="e">
        <f>'North America'!E826+"$F;@!1nA"</f>
        <v>#VALUE!</v>
      </c>
      <c r="EF334" t="e">
        <f>'North America'!F826+"$F;@!1nB"</f>
        <v>#VALUE!</v>
      </c>
      <c r="EG334" t="e">
        <f>'North America'!G826+"$F;@!1nC"</f>
        <v>#VALUE!</v>
      </c>
      <c r="EH334" t="e">
        <f>'North America'!H826+"$F;@!1nD"</f>
        <v>#VALUE!</v>
      </c>
      <c r="EI334" t="e">
        <f>'North America'!A827+"$F;@!1nE"</f>
        <v>#VALUE!</v>
      </c>
      <c r="EJ334" t="e">
        <f>'North America'!B827+"$F;@!1nF"</f>
        <v>#VALUE!</v>
      </c>
      <c r="EK334" t="e">
        <f>'North America'!C827+"$F;@!1nG"</f>
        <v>#VALUE!</v>
      </c>
      <c r="EL334" t="e">
        <f>'North America'!D827+"$F;@!1nH"</f>
        <v>#VALUE!</v>
      </c>
      <c r="EM334" t="e">
        <f>'North America'!E827+"$F;@!1nI"</f>
        <v>#VALUE!</v>
      </c>
      <c r="EN334" t="e">
        <f>'North America'!F827+"$F;@!1nJ"</f>
        <v>#VALUE!</v>
      </c>
      <c r="EO334" t="e">
        <f>'North America'!G827+"$F;@!1nK"</f>
        <v>#VALUE!</v>
      </c>
      <c r="EP334" t="e">
        <f>'North America'!H827+"$F;@!1nL"</f>
        <v>#VALUE!</v>
      </c>
      <c r="EQ334" t="e">
        <f>'North America'!A828+"$F;@!1nM"</f>
        <v>#VALUE!</v>
      </c>
      <c r="ER334" t="e">
        <f>'North America'!B828+"$F;@!1nN"</f>
        <v>#VALUE!</v>
      </c>
      <c r="ES334" t="e">
        <f>'North America'!C828+"$F;@!1nO"</f>
        <v>#VALUE!</v>
      </c>
      <c r="ET334" t="e">
        <f>'North America'!D828+"$F;@!1nP"</f>
        <v>#VALUE!</v>
      </c>
      <c r="EU334" t="e">
        <f>'North America'!E828+"$F;@!1nQ"</f>
        <v>#VALUE!</v>
      </c>
      <c r="EV334" t="e">
        <f>'North America'!F828+"$F;@!1nR"</f>
        <v>#VALUE!</v>
      </c>
      <c r="EW334" t="e">
        <f>'North America'!G828+"$F;@!1nS"</f>
        <v>#VALUE!</v>
      </c>
      <c r="EX334" t="e">
        <f>'North America'!H828+"$F;@!1nT"</f>
        <v>#VALUE!</v>
      </c>
      <c r="EY334" t="e">
        <f>'North America'!A829+"$F;@!1nU"</f>
        <v>#VALUE!</v>
      </c>
      <c r="EZ334" t="e">
        <f>'North America'!B829+"$F;@!1nV"</f>
        <v>#VALUE!</v>
      </c>
      <c r="FA334" t="e">
        <f>'North America'!C829+"$F;@!1nW"</f>
        <v>#VALUE!</v>
      </c>
      <c r="FB334" t="e">
        <f>'North America'!D829+"$F;@!1nX"</f>
        <v>#VALUE!</v>
      </c>
      <c r="FC334" t="e">
        <f>'North America'!E829+"$F;@!1nY"</f>
        <v>#VALUE!</v>
      </c>
      <c r="FD334" t="e">
        <f>'North America'!F829+"$F;@!1nZ"</f>
        <v>#VALUE!</v>
      </c>
      <c r="FE334" t="e">
        <f>'North America'!G829+"$F;@!1n["</f>
        <v>#VALUE!</v>
      </c>
      <c r="FF334" t="e">
        <f>'North America'!H829+"$F;@!1n\"</f>
        <v>#VALUE!</v>
      </c>
      <c r="FG334" t="e">
        <f>'North America'!A830+"$F;@!1n]"</f>
        <v>#VALUE!</v>
      </c>
      <c r="FH334" t="e">
        <f>'North America'!B830+"$F;@!1n^"</f>
        <v>#VALUE!</v>
      </c>
      <c r="FI334" t="e">
        <f>'North America'!C830+"$F;@!1n_"</f>
        <v>#VALUE!</v>
      </c>
      <c r="FJ334" t="e">
        <f>'North America'!D830+"$F;@!1n`"</f>
        <v>#VALUE!</v>
      </c>
      <c r="FK334" t="e">
        <f>'North America'!E830+"$F;@!1na"</f>
        <v>#VALUE!</v>
      </c>
      <c r="FL334" t="e">
        <f>'North America'!F830+"$F;@!1nb"</f>
        <v>#VALUE!</v>
      </c>
      <c r="FM334" t="e">
        <f>'North America'!G830+"$F;@!1nc"</f>
        <v>#VALUE!</v>
      </c>
      <c r="FN334" t="e">
        <f>'North America'!H830+"$F;@!1nd"</f>
        <v>#VALUE!</v>
      </c>
      <c r="FO334" t="e">
        <f>'North America'!A831+"$F;@!1ne"</f>
        <v>#VALUE!</v>
      </c>
      <c r="FP334" t="e">
        <f>'North America'!B831+"$F;@!1nf"</f>
        <v>#VALUE!</v>
      </c>
      <c r="FQ334" t="e">
        <f>'North America'!C831+"$F;@!1ng"</f>
        <v>#VALUE!</v>
      </c>
      <c r="FR334" t="e">
        <f>'North America'!D831+"$F;@!1nh"</f>
        <v>#VALUE!</v>
      </c>
      <c r="FS334" t="e">
        <f>'North America'!E831+"$F;@!1ni"</f>
        <v>#VALUE!</v>
      </c>
      <c r="FT334" t="e">
        <f>'North America'!F831+"$F;@!1nj"</f>
        <v>#VALUE!</v>
      </c>
      <c r="FU334" t="e">
        <f>'North America'!G831+"$F;@!1nk"</f>
        <v>#VALUE!</v>
      </c>
      <c r="FV334" t="e">
        <f>'North America'!H831+"$F;@!1nl"</f>
        <v>#VALUE!</v>
      </c>
      <c r="FW334" t="e">
        <f>'North America'!A832+"$F;@!1nm"</f>
        <v>#VALUE!</v>
      </c>
      <c r="FX334" t="e">
        <f>'North America'!B832+"$F;@!1nn"</f>
        <v>#VALUE!</v>
      </c>
      <c r="FY334" t="e">
        <f>'North America'!C832+"$F;@!1no"</f>
        <v>#VALUE!</v>
      </c>
      <c r="FZ334" t="e">
        <f>'North America'!D832+"$F;@!1np"</f>
        <v>#VALUE!</v>
      </c>
      <c r="GA334" t="e">
        <f>'North America'!E832+"$F;@!1nq"</f>
        <v>#VALUE!</v>
      </c>
      <c r="GB334" t="e">
        <f>'North America'!F832+"$F;@!1nr"</f>
        <v>#VALUE!</v>
      </c>
      <c r="GC334" t="e">
        <f>'North America'!G832+"$F;@!1ns"</f>
        <v>#VALUE!</v>
      </c>
      <c r="GD334" t="e">
        <f>'North America'!H832+"$F;@!1nt"</f>
        <v>#VALUE!</v>
      </c>
      <c r="GE334" t="e">
        <f>'North America'!A833+"$F;@!1nu"</f>
        <v>#VALUE!</v>
      </c>
      <c r="GF334" t="e">
        <f>'North America'!B833+"$F;@!1nv"</f>
        <v>#VALUE!</v>
      </c>
      <c r="GG334" t="e">
        <f>'North America'!C833+"$F;@!1nw"</f>
        <v>#VALUE!</v>
      </c>
      <c r="GH334" t="e">
        <f>'North America'!D833+"$F;@!1nx"</f>
        <v>#VALUE!</v>
      </c>
      <c r="GI334" t="e">
        <f>'North America'!E833+"$F;@!1ny"</f>
        <v>#VALUE!</v>
      </c>
      <c r="GJ334" t="e">
        <f>'North America'!F833+"$F;@!1nz"</f>
        <v>#VALUE!</v>
      </c>
      <c r="GK334" t="e">
        <f>'North America'!G833+"$F;@!1n{"</f>
        <v>#VALUE!</v>
      </c>
      <c r="GL334" t="e">
        <f>'North America'!H833+"$F;@!1n|"</f>
        <v>#VALUE!</v>
      </c>
      <c r="GM334" t="e">
        <f>'North America'!A834+"$F;@!1n}"</f>
        <v>#VALUE!</v>
      </c>
      <c r="GN334" t="e">
        <f>'North America'!B834+"$F;@!1n~"</f>
        <v>#VALUE!</v>
      </c>
      <c r="GO334" t="e">
        <f>'North America'!C834+"$F;@!1o#"</f>
        <v>#VALUE!</v>
      </c>
      <c r="GP334" t="e">
        <f>'North America'!D834+"$F;@!1o$"</f>
        <v>#VALUE!</v>
      </c>
      <c r="GQ334" t="e">
        <f>'North America'!E834+"$F;@!1o%"</f>
        <v>#VALUE!</v>
      </c>
      <c r="GR334" t="e">
        <f>'North America'!F834+"$F;@!1o&amp;"</f>
        <v>#VALUE!</v>
      </c>
      <c r="GS334" t="e">
        <f>'North America'!G834+"$F;@!1o'"</f>
        <v>#VALUE!</v>
      </c>
      <c r="GT334" t="e">
        <f>'North America'!H834+"$F;@!1o("</f>
        <v>#VALUE!</v>
      </c>
      <c r="GU334" t="e">
        <f>'North America'!A835+"$F;@!1o)"</f>
        <v>#VALUE!</v>
      </c>
      <c r="GV334" t="e">
        <f>'North America'!B835+"$F;@!1o."</f>
        <v>#VALUE!</v>
      </c>
      <c r="GW334" t="e">
        <f>'North America'!C835+"$F;@!1o/"</f>
        <v>#VALUE!</v>
      </c>
      <c r="GX334" t="e">
        <f>'North America'!D835+"$F;@!1o0"</f>
        <v>#VALUE!</v>
      </c>
      <c r="GY334" t="e">
        <f>'North America'!E835+"$F;@!1o1"</f>
        <v>#VALUE!</v>
      </c>
      <c r="GZ334" t="e">
        <f>'North America'!F835+"$F;@!1o2"</f>
        <v>#VALUE!</v>
      </c>
      <c r="HA334" t="e">
        <f>'North America'!G835+"$F;@!1o3"</f>
        <v>#VALUE!</v>
      </c>
      <c r="HB334" t="e">
        <f>'North America'!H835+"$F;@!1o4"</f>
        <v>#VALUE!</v>
      </c>
      <c r="HC334" t="e">
        <f>'North America'!A836+"$F;@!1o5"</f>
        <v>#VALUE!</v>
      </c>
      <c r="HD334" t="e">
        <f>'North America'!B836+"$F;@!1o6"</f>
        <v>#VALUE!</v>
      </c>
      <c r="HE334" t="e">
        <f>'North America'!C836+"$F;@!1o7"</f>
        <v>#VALUE!</v>
      </c>
      <c r="HF334" t="e">
        <f>'North America'!D836+"$F;@!1o8"</f>
        <v>#VALUE!</v>
      </c>
      <c r="HG334" t="e">
        <f>'North America'!E836+"$F;@!1o9"</f>
        <v>#VALUE!</v>
      </c>
      <c r="HH334" t="e">
        <f>'North America'!F836+"$F;@!1o:"</f>
        <v>#VALUE!</v>
      </c>
      <c r="HI334" t="e">
        <f>'North America'!G836+"$F;@!1o;"</f>
        <v>#VALUE!</v>
      </c>
      <c r="HJ334" t="e">
        <f>'North America'!H836+"$F;@!1o&lt;"</f>
        <v>#VALUE!</v>
      </c>
      <c r="HK334" t="e">
        <f>'North America'!A837+"$F;@!1o="</f>
        <v>#VALUE!</v>
      </c>
      <c r="HL334" t="e">
        <f>'North America'!B837+"$F;@!1o&gt;"</f>
        <v>#VALUE!</v>
      </c>
      <c r="HM334" t="e">
        <f>'North America'!C837+"$F;@!1o?"</f>
        <v>#VALUE!</v>
      </c>
      <c r="HN334" t="e">
        <f>'North America'!D837+"$F;@!1o@"</f>
        <v>#VALUE!</v>
      </c>
      <c r="HO334" t="e">
        <f>'North America'!E837+"$F;@!1oA"</f>
        <v>#VALUE!</v>
      </c>
      <c r="HP334" t="e">
        <f>'North America'!F837+"$F;@!1oB"</f>
        <v>#VALUE!</v>
      </c>
      <c r="HQ334" t="e">
        <f>'North America'!G837+"$F;@!1oC"</f>
        <v>#VALUE!</v>
      </c>
      <c r="HR334" t="e">
        <f>'North America'!H837+"$F;@!1oD"</f>
        <v>#VALUE!</v>
      </c>
      <c r="HS334" t="e">
        <f>'North America'!A838+"$F;@!1oE"</f>
        <v>#VALUE!</v>
      </c>
      <c r="HT334" t="e">
        <f>'North America'!B838+"$F;@!1oF"</f>
        <v>#VALUE!</v>
      </c>
      <c r="HU334" t="e">
        <f>'North America'!C838+"$F;@!1oG"</f>
        <v>#VALUE!</v>
      </c>
      <c r="HV334" t="e">
        <f>'North America'!D838+"$F;@!1oH"</f>
        <v>#VALUE!</v>
      </c>
      <c r="HW334" t="e">
        <f>'North America'!E838+"$F;@!1oI"</f>
        <v>#VALUE!</v>
      </c>
      <c r="HX334" t="e">
        <f>'North America'!F838+"$F;@!1oJ"</f>
        <v>#VALUE!</v>
      </c>
      <c r="HY334" t="e">
        <f>'North America'!G838+"$F;@!1oK"</f>
        <v>#VALUE!</v>
      </c>
      <c r="HZ334" t="e">
        <f>'North America'!H838+"$F;@!1oL"</f>
        <v>#VALUE!</v>
      </c>
      <c r="IA334" t="e">
        <f>'North America'!A839+"$F;@!1oM"</f>
        <v>#VALUE!</v>
      </c>
      <c r="IB334" t="e">
        <f>'North America'!B839+"$F;@!1oN"</f>
        <v>#VALUE!</v>
      </c>
      <c r="IC334" t="e">
        <f>'North America'!C839+"$F;@!1oO"</f>
        <v>#VALUE!</v>
      </c>
      <c r="ID334" t="e">
        <f>'North America'!D839+"$F;@!1oP"</f>
        <v>#VALUE!</v>
      </c>
      <c r="IE334" t="e">
        <f>'North America'!E839+"$F;@!1oQ"</f>
        <v>#VALUE!</v>
      </c>
      <c r="IF334" t="e">
        <f>'North America'!F839+"$F;@!1oR"</f>
        <v>#VALUE!</v>
      </c>
      <c r="IG334" t="e">
        <f>'North America'!G839+"$F;@!1oS"</f>
        <v>#VALUE!</v>
      </c>
      <c r="IH334" t="e">
        <f>'North America'!H839+"$F;@!1oT"</f>
        <v>#VALUE!</v>
      </c>
      <c r="II334" t="e">
        <f>'North America'!A840+"$F;@!1oU"</f>
        <v>#VALUE!</v>
      </c>
      <c r="IJ334" t="e">
        <f>'North America'!B840+"$F;@!1oV"</f>
        <v>#VALUE!</v>
      </c>
      <c r="IK334" t="e">
        <f>'North America'!C840+"$F;@!1oW"</f>
        <v>#VALUE!</v>
      </c>
      <c r="IL334" t="e">
        <f>'North America'!D840+"$F;@!1oX"</f>
        <v>#VALUE!</v>
      </c>
      <c r="IM334" t="e">
        <f>'North America'!E840+"$F;@!1oY"</f>
        <v>#VALUE!</v>
      </c>
      <c r="IN334" t="e">
        <f>'North America'!F840+"$F;@!1oZ"</f>
        <v>#VALUE!</v>
      </c>
      <c r="IO334" t="e">
        <f>'North America'!G840+"$F;@!1o["</f>
        <v>#VALUE!</v>
      </c>
      <c r="IP334" t="e">
        <f>'North America'!H840+"$F;@!1o\"</f>
        <v>#VALUE!</v>
      </c>
      <c r="IQ334" t="e">
        <f>'North America'!A841+"$F;@!1o]"</f>
        <v>#VALUE!</v>
      </c>
      <c r="IR334" t="e">
        <f>'North America'!B841+"$F;@!1o^"</f>
        <v>#VALUE!</v>
      </c>
      <c r="IS334" t="e">
        <f>'North America'!C841+"$F;@!1o_"</f>
        <v>#VALUE!</v>
      </c>
      <c r="IT334" t="e">
        <f>'North America'!D841+"$F;@!1o`"</f>
        <v>#VALUE!</v>
      </c>
      <c r="IU334" t="e">
        <f>'North America'!E841+"$F;@!1oa"</f>
        <v>#VALUE!</v>
      </c>
      <c r="IV334" t="e">
        <f>'North America'!F841+"$F;@!1ob"</f>
        <v>#VALUE!</v>
      </c>
    </row>
    <row r="335" spans="6:256" x14ac:dyDescent="0.35">
      <c r="F335" t="e">
        <f>'North America'!G841+"$F;@!1oc"</f>
        <v>#VALUE!</v>
      </c>
      <c r="G335" t="e">
        <f>'North America'!H841+"$F;@!1od"</f>
        <v>#VALUE!</v>
      </c>
      <c r="H335" t="e">
        <f>'North America'!A842+"$F;@!1oe"</f>
        <v>#VALUE!</v>
      </c>
      <c r="I335" t="e">
        <f>'North America'!B842+"$F;@!1of"</f>
        <v>#VALUE!</v>
      </c>
      <c r="J335" t="e">
        <f>'North America'!C842+"$F;@!1og"</f>
        <v>#VALUE!</v>
      </c>
      <c r="K335" t="e">
        <f>'North America'!D842+"$F;@!1oh"</f>
        <v>#VALUE!</v>
      </c>
      <c r="L335" t="e">
        <f>'North America'!E842+"$F;@!1oi"</f>
        <v>#VALUE!</v>
      </c>
      <c r="M335" t="e">
        <f>'North America'!F842+"$F;@!1oj"</f>
        <v>#VALUE!</v>
      </c>
      <c r="N335" t="e">
        <f>'North America'!G842+"$F;@!1ok"</f>
        <v>#VALUE!</v>
      </c>
      <c r="O335" t="e">
        <f>'North America'!H842+"$F;@!1ol"</f>
        <v>#VALUE!</v>
      </c>
      <c r="P335" t="e">
        <f>'North America'!A843+"$F;@!1om"</f>
        <v>#VALUE!</v>
      </c>
      <c r="Q335" t="e">
        <f>'North America'!B843+"$F;@!1on"</f>
        <v>#VALUE!</v>
      </c>
      <c r="R335" t="e">
        <f>'North America'!C843+"$F;@!1oo"</f>
        <v>#VALUE!</v>
      </c>
      <c r="S335" t="e">
        <f>'North America'!D843+"$F;@!1op"</f>
        <v>#VALUE!</v>
      </c>
      <c r="T335" t="e">
        <f>'North America'!E843+"$F;@!1oq"</f>
        <v>#VALUE!</v>
      </c>
      <c r="U335" t="e">
        <f>'North America'!F843+"$F;@!1or"</f>
        <v>#VALUE!</v>
      </c>
      <c r="V335" t="e">
        <f>'North America'!G843+"$F;@!1os"</f>
        <v>#VALUE!</v>
      </c>
      <c r="W335" t="e">
        <f>'North America'!H843+"$F;@!1ot"</f>
        <v>#VALUE!</v>
      </c>
      <c r="X335" t="e">
        <f>'North America'!A844+"$F;@!1ou"</f>
        <v>#VALUE!</v>
      </c>
      <c r="Y335" t="e">
        <f>'North America'!B844+"$F;@!1ov"</f>
        <v>#VALUE!</v>
      </c>
      <c r="Z335" t="e">
        <f>'North America'!C844+"$F;@!1ow"</f>
        <v>#VALUE!</v>
      </c>
      <c r="AA335" t="e">
        <f>'North America'!D844+"$F;@!1ox"</f>
        <v>#VALUE!</v>
      </c>
      <c r="AB335" t="e">
        <f>'North America'!E844+"$F;@!1oy"</f>
        <v>#VALUE!</v>
      </c>
      <c r="AC335" t="e">
        <f>'North America'!F844+"$F;@!1oz"</f>
        <v>#VALUE!</v>
      </c>
      <c r="AD335" t="e">
        <f>'North America'!G844+"$F;@!1o{"</f>
        <v>#VALUE!</v>
      </c>
      <c r="AE335" t="e">
        <f>'North America'!H844+"$F;@!1o|"</f>
        <v>#VALUE!</v>
      </c>
      <c r="AF335" t="e">
        <f>'North America'!A845+"$F;@!1o}"</f>
        <v>#VALUE!</v>
      </c>
      <c r="AG335" t="e">
        <f>'North America'!B845+"$F;@!1o~"</f>
        <v>#VALUE!</v>
      </c>
      <c r="AH335" t="e">
        <f>'North America'!C845+"$F;@!1p#"</f>
        <v>#VALUE!</v>
      </c>
      <c r="AI335" t="e">
        <f>'North America'!D845+"$F;@!1p$"</f>
        <v>#VALUE!</v>
      </c>
      <c r="AJ335" t="e">
        <f>'North America'!E845+"$F;@!1p%"</f>
        <v>#VALUE!</v>
      </c>
      <c r="AK335" t="e">
        <f>'North America'!F845+"$F;@!1p&amp;"</f>
        <v>#VALUE!</v>
      </c>
      <c r="AL335" t="e">
        <f>'North America'!G845+"$F;@!1p'"</f>
        <v>#VALUE!</v>
      </c>
      <c r="AM335" t="e">
        <f>'North America'!H845+"$F;@!1p("</f>
        <v>#VALUE!</v>
      </c>
      <c r="AN335" t="e">
        <f>'North America'!A846+"$F;@!1p)"</f>
        <v>#VALUE!</v>
      </c>
      <c r="AO335" t="e">
        <f>'North America'!B846+"$F;@!1p."</f>
        <v>#VALUE!</v>
      </c>
      <c r="AP335" t="e">
        <f>'North America'!C846+"$F;@!1p/"</f>
        <v>#VALUE!</v>
      </c>
      <c r="AQ335" t="e">
        <f>'North America'!D846+"$F;@!1p0"</f>
        <v>#VALUE!</v>
      </c>
      <c r="AR335" t="e">
        <f>'North America'!E846+"$F;@!1p1"</f>
        <v>#VALUE!</v>
      </c>
      <c r="AS335" t="e">
        <f>'North America'!F846+"$F;@!1p2"</f>
        <v>#VALUE!</v>
      </c>
      <c r="AT335" t="e">
        <f>'North America'!G846+"$F;@!1p3"</f>
        <v>#VALUE!</v>
      </c>
      <c r="AU335" t="e">
        <f>'North America'!H846+"$F;@!1p4"</f>
        <v>#VALUE!</v>
      </c>
      <c r="AV335" t="e">
        <f>'North America'!A847+"$F;@!1p5"</f>
        <v>#VALUE!</v>
      </c>
      <c r="AW335" t="e">
        <f>'North America'!B847+"$F;@!1p6"</f>
        <v>#VALUE!</v>
      </c>
      <c r="AX335" t="e">
        <f>'North America'!C847+"$F;@!1p7"</f>
        <v>#VALUE!</v>
      </c>
      <c r="AY335" t="e">
        <f>'North America'!D847+"$F;@!1p8"</f>
        <v>#VALUE!</v>
      </c>
      <c r="AZ335" t="e">
        <f>'North America'!E847+"$F;@!1p9"</f>
        <v>#VALUE!</v>
      </c>
      <c r="BA335" t="e">
        <f>'North America'!F847+"$F;@!1p:"</f>
        <v>#VALUE!</v>
      </c>
      <c r="BB335" t="e">
        <f>'North America'!G847+"$F;@!1p;"</f>
        <v>#VALUE!</v>
      </c>
      <c r="BC335" t="e">
        <f>'North America'!H847+"$F;@!1p&lt;"</f>
        <v>#VALUE!</v>
      </c>
      <c r="BD335" t="e">
        <f>'North America'!A848+"$F;@!1p="</f>
        <v>#VALUE!</v>
      </c>
      <c r="BE335" t="e">
        <f>'North America'!B848+"$F;@!1p&gt;"</f>
        <v>#VALUE!</v>
      </c>
      <c r="BF335" t="e">
        <f>'North America'!C848+"$F;@!1p?"</f>
        <v>#VALUE!</v>
      </c>
      <c r="BG335" t="e">
        <f>'North America'!D848+"$F;@!1p@"</f>
        <v>#VALUE!</v>
      </c>
      <c r="BH335" t="e">
        <f>'North America'!E848+"$F;@!1pA"</f>
        <v>#VALUE!</v>
      </c>
      <c r="BI335" t="e">
        <f>'North America'!F848+"$F;@!1pB"</f>
        <v>#VALUE!</v>
      </c>
      <c r="BJ335" t="e">
        <f>'North America'!G848+"$F;@!1pC"</f>
        <v>#VALUE!</v>
      </c>
      <c r="BK335" t="e">
        <f>'North America'!H848+"$F;@!1pD"</f>
        <v>#VALUE!</v>
      </c>
      <c r="BL335" t="e">
        <f>'North America'!A849+"$F;@!1pE"</f>
        <v>#VALUE!</v>
      </c>
      <c r="BM335" t="e">
        <f>'North America'!B849+"$F;@!1pF"</f>
        <v>#VALUE!</v>
      </c>
      <c r="BN335" t="e">
        <f>'North America'!C849+"$F;@!1pG"</f>
        <v>#VALUE!</v>
      </c>
      <c r="BO335" t="e">
        <f>'North America'!D849+"$F;@!1pH"</f>
        <v>#VALUE!</v>
      </c>
      <c r="BP335" t="e">
        <f>'North America'!E849+"$F;@!1pI"</f>
        <v>#VALUE!</v>
      </c>
      <c r="BQ335" t="e">
        <f>'North America'!F849+"$F;@!1pJ"</f>
        <v>#VALUE!</v>
      </c>
      <c r="BR335" t="e">
        <f>'North America'!G849+"$F;@!1pK"</f>
        <v>#VALUE!</v>
      </c>
      <c r="BS335" t="e">
        <f>'North America'!H849+"$F;@!1pL"</f>
        <v>#VALUE!</v>
      </c>
      <c r="BT335" t="e">
        <f>'North America'!A850+"$F;@!1pM"</f>
        <v>#VALUE!</v>
      </c>
      <c r="BU335" t="e">
        <f>'North America'!B850+"$F;@!1pN"</f>
        <v>#VALUE!</v>
      </c>
      <c r="BV335" t="e">
        <f>'North America'!C850+"$F;@!1pO"</f>
        <v>#VALUE!</v>
      </c>
      <c r="BW335" t="e">
        <f>'North America'!D850+"$F;@!1pP"</f>
        <v>#VALUE!</v>
      </c>
      <c r="BX335" t="e">
        <f>'North America'!E850+"$F;@!1pQ"</f>
        <v>#VALUE!</v>
      </c>
      <c r="BY335" t="e">
        <f>'North America'!F850+"$F;@!1pR"</f>
        <v>#VALUE!</v>
      </c>
      <c r="BZ335" t="e">
        <f>'North America'!G850+"$F;@!1pS"</f>
        <v>#VALUE!</v>
      </c>
      <c r="CA335" t="e">
        <f>'North America'!H850+"$F;@!1pT"</f>
        <v>#VALUE!</v>
      </c>
      <c r="CB335" t="e">
        <f>'North America'!A851+"$F;@!1pU"</f>
        <v>#VALUE!</v>
      </c>
      <c r="CC335" t="e">
        <f>'North America'!B851+"$F;@!1pV"</f>
        <v>#VALUE!</v>
      </c>
      <c r="CD335" t="e">
        <f>'North America'!C851+"$F;@!1pW"</f>
        <v>#VALUE!</v>
      </c>
      <c r="CE335" t="e">
        <f>'North America'!D851+"$F;@!1pX"</f>
        <v>#VALUE!</v>
      </c>
      <c r="CF335" t="e">
        <f>'North America'!E851+"$F;@!1pY"</f>
        <v>#VALUE!</v>
      </c>
      <c r="CG335" t="e">
        <f>'North America'!F851+"$F;@!1pZ"</f>
        <v>#VALUE!</v>
      </c>
      <c r="CH335" t="e">
        <f>'North America'!G851+"$F;@!1p["</f>
        <v>#VALUE!</v>
      </c>
      <c r="CI335" t="e">
        <f>'North America'!H851+"$F;@!1p\"</f>
        <v>#VALUE!</v>
      </c>
      <c r="CJ335" t="e">
        <f>'North America'!A852+"$F;@!1p]"</f>
        <v>#VALUE!</v>
      </c>
      <c r="CK335" t="e">
        <f>'North America'!B852+"$F;@!1p^"</f>
        <v>#VALUE!</v>
      </c>
      <c r="CL335" t="e">
        <f>'North America'!C852+"$F;@!1p_"</f>
        <v>#VALUE!</v>
      </c>
      <c r="CM335" t="e">
        <f>'North America'!D852+"$F;@!1p`"</f>
        <v>#VALUE!</v>
      </c>
      <c r="CN335" t="e">
        <f>'North America'!E852+"$F;@!1pa"</f>
        <v>#VALUE!</v>
      </c>
      <c r="CO335" t="e">
        <f>'North America'!F852+"$F;@!1pb"</f>
        <v>#VALUE!</v>
      </c>
      <c r="CP335" t="e">
        <f>'North America'!G852+"$F;@!1pc"</f>
        <v>#VALUE!</v>
      </c>
      <c r="CQ335" t="e">
        <f>'North America'!H852+"$F;@!1pd"</f>
        <v>#VALUE!</v>
      </c>
      <c r="CR335" t="e">
        <f>'North America'!A853+"$F;@!1pe"</f>
        <v>#VALUE!</v>
      </c>
      <c r="CS335" t="e">
        <f>'North America'!B853+"$F;@!1pf"</f>
        <v>#VALUE!</v>
      </c>
      <c r="CT335" t="e">
        <f>'North America'!C853+"$F;@!1pg"</f>
        <v>#VALUE!</v>
      </c>
      <c r="CU335" t="e">
        <f>'North America'!D853+"$F;@!1ph"</f>
        <v>#VALUE!</v>
      </c>
      <c r="CV335" t="e">
        <f>'North America'!E853+"$F;@!1pi"</f>
        <v>#VALUE!</v>
      </c>
      <c r="CW335" t="e">
        <f>'North America'!F853+"$F;@!1pj"</f>
        <v>#VALUE!</v>
      </c>
      <c r="CX335" t="e">
        <f>'North America'!G853+"$F;@!1pk"</f>
        <v>#VALUE!</v>
      </c>
      <c r="CY335" t="e">
        <f>'North America'!H853+"$F;@!1pl"</f>
        <v>#VALUE!</v>
      </c>
      <c r="CZ335" t="e">
        <f>'North America'!A854+"$F;@!1pm"</f>
        <v>#VALUE!</v>
      </c>
      <c r="DA335" t="e">
        <f>'North America'!B854+"$F;@!1pn"</f>
        <v>#VALUE!</v>
      </c>
      <c r="DB335" t="e">
        <f>'North America'!C854+"$F;@!1po"</f>
        <v>#VALUE!</v>
      </c>
      <c r="DC335" t="e">
        <f>'North America'!D854+"$F;@!1pp"</f>
        <v>#VALUE!</v>
      </c>
      <c r="DD335" t="e">
        <f>'North America'!E854+"$F;@!1pq"</f>
        <v>#VALUE!</v>
      </c>
      <c r="DE335" t="e">
        <f>'North America'!F854+"$F;@!1pr"</f>
        <v>#VALUE!</v>
      </c>
      <c r="DF335" t="e">
        <f>'North America'!G854+"$F;@!1ps"</f>
        <v>#VALUE!</v>
      </c>
      <c r="DG335" t="e">
        <f>'North America'!H854+"$F;@!1pt"</f>
        <v>#VALUE!</v>
      </c>
      <c r="DH335" t="e">
        <f>'North America'!A855+"$F;@!1pu"</f>
        <v>#VALUE!</v>
      </c>
      <c r="DI335" t="e">
        <f>'North America'!B855+"$F;@!1pv"</f>
        <v>#VALUE!</v>
      </c>
      <c r="DJ335" t="e">
        <f>'North America'!C855+"$F;@!1pw"</f>
        <v>#VALUE!</v>
      </c>
      <c r="DK335" t="e">
        <f>'North America'!D855+"$F;@!1px"</f>
        <v>#VALUE!</v>
      </c>
      <c r="DL335" t="e">
        <f>'North America'!E855+"$F;@!1py"</f>
        <v>#VALUE!</v>
      </c>
      <c r="DM335" t="e">
        <f>'North America'!F855+"$F;@!1pz"</f>
        <v>#VALUE!</v>
      </c>
      <c r="DN335" t="e">
        <f>'North America'!G855+"$F;@!1p{"</f>
        <v>#VALUE!</v>
      </c>
      <c r="DO335" t="e">
        <f>'North America'!H855+"$F;@!1p|"</f>
        <v>#VALUE!</v>
      </c>
      <c r="DP335" t="e">
        <f>'North America'!A856+"$F;@!1p}"</f>
        <v>#VALUE!</v>
      </c>
      <c r="DQ335" t="e">
        <f>'North America'!B856+"$F;@!1p~"</f>
        <v>#VALUE!</v>
      </c>
      <c r="DR335" t="e">
        <f>'North America'!C856+"$F;@!1q#"</f>
        <v>#VALUE!</v>
      </c>
      <c r="DS335" t="e">
        <f>'North America'!D856+"$F;@!1q$"</f>
        <v>#VALUE!</v>
      </c>
      <c r="DT335" t="e">
        <f>'North America'!E856+"$F;@!1q%"</f>
        <v>#VALUE!</v>
      </c>
      <c r="DU335" t="e">
        <f>'North America'!F856+"$F;@!1q&amp;"</f>
        <v>#VALUE!</v>
      </c>
      <c r="DV335" t="e">
        <f>'North America'!G856+"$F;@!1q'"</f>
        <v>#VALUE!</v>
      </c>
      <c r="DW335" t="e">
        <f>'North America'!H856+"$F;@!1q("</f>
        <v>#VALUE!</v>
      </c>
      <c r="DX335" t="e">
        <f>'North America'!A857+"$F;@!1q)"</f>
        <v>#VALUE!</v>
      </c>
      <c r="DY335" t="e">
        <f>'North America'!B857+"$F;@!1q."</f>
        <v>#VALUE!</v>
      </c>
      <c r="DZ335" t="e">
        <f>'North America'!C857+"$F;@!1q/"</f>
        <v>#VALUE!</v>
      </c>
      <c r="EA335" t="e">
        <f>'North America'!D857+"$F;@!1q0"</f>
        <v>#VALUE!</v>
      </c>
      <c r="EB335" t="e">
        <f>'North America'!E857+"$F;@!1q1"</f>
        <v>#VALUE!</v>
      </c>
      <c r="EC335" t="e">
        <f>'North America'!F857+"$F;@!1q2"</f>
        <v>#VALUE!</v>
      </c>
      <c r="ED335" t="e">
        <f>'North America'!G857+"$F;@!1q3"</f>
        <v>#VALUE!</v>
      </c>
      <c r="EE335" t="e">
        <f>'North America'!H857+"$F;@!1q4"</f>
        <v>#VALUE!</v>
      </c>
      <c r="EF335" t="e">
        <f>'North America'!A858+"$F;@!1q5"</f>
        <v>#VALUE!</v>
      </c>
      <c r="EG335" t="e">
        <f>'North America'!B858+"$F;@!1q6"</f>
        <v>#VALUE!</v>
      </c>
      <c r="EH335" t="e">
        <f>'North America'!C858+"$F;@!1q7"</f>
        <v>#VALUE!</v>
      </c>
      <c r="EI335" t="e">
        <f>'North America'!D858+"$F;@!1q8"</f>
        <v>#VALUE!</v>
      </c>
      <c r="EJ335" t="e">
        <f>'North America'!E858+"$F;@!1q9"</f>
        <v>#VALUE!</v>
      </c>
      <c r="EK335" t="e">
        <f>'North America'!F858+"$F;@!1q:"</f>
        <v>#VALUE!</v>
      </c>
      <c r="EL335" t="e">
        <f>'North America'!G858+"$F;@!1q;"</f>
        <v>#VALUE!</v>
      </c>
      <c r="EM335" t="e">
        <f>'North America'!H858+"$F;@!1q&lt;"</f>
        <v>#VALUE!</v>
      </c>
      <c r="EN335" t="e">
        <f>'North America'!A859+"$F;@!1q="</f>
        <v>#VALUE!</v>
      </c>
      <c r="EO335" t="e">
        <f>'North America'!B859+"$F;@!1q&gt;"</f>
        <v>#VALUE!</v>
      </c>
      <c r="EP335" t="e">
        <f>'North America'!C859+"$F;@!1q?"</f>
        <v>#VALUE!</v>
      </c>
      <c r="EQ335" t="e">
        <f>'North America'!D859+"$F;@!1q@"</f>
        <v>#VALUE!</v>
      </c>
      <c r="ER335" t="e">
        <f>'North America'!E859+"$F;@!1qA"</f>
        <v>#VALUE!</v>
      </c>
      <c r="ES335" t="e">
        <f>'North America'!F859+"$F;@!1qB"</f>
        <v>#VALUE!</v>
      </c>
      <c r="ET335" t="e">
        <f>'North America'!G859+"$F;@!1qC"</f>
        <v>#VALUE!</v>
      </c>
      <c r="EU335" t="e">
        <f>'North America'!H859+"$F;@!1qD"</f>
        <v>#VALUE!</v>
      </c>
      <c r="EV335" t="e">
        <f>'North America'!A860+"$F;@!1qE"</f>
        <v>#VALUE!</v>
      </c>
      <c r="EW335" t="e">
        <f>'North America'!B860+"$F;@!1qF"</f>
        <v>#VALUE!</v>
      </c>
      <c r="EX335" t="e">
        <f>'North America'!C860+"$F;@!1qG"</f>
        <v>#VALUE!</v>
      </c>
      <c r="EY335" t="e">
        <f>'North America'!D860+"$F;@!1qH"</f>
        <v>#VALUE!</v>
      </c>
      <c r="EZ335" t="e">
        <f>'North America'!E860+"$F;@!1qI"</f>
        <v>#VALUE!</v>
      </c>
      <c r="FA335" t="e">
        <f>'North America'!F860+"$F;@!1qJ"</f>
        <v>#VALUE!</v>
      </c>
      <c r="FB335" t="e">
        <f>'North America'!G860+"$F;@!1qK"</f>
        <v>#VALUE!</v>
      </c>
      <c r="FC335" t="e">
        <f>'North America'!H860+"$F;@!1qL"</f>
        <v>#VALUE!</v>
      </c>
      <c r="FD335" t="e">
        <f>'North America'!A861+"$F;@!1qM"</f>
        <v>#VALUE!</v>
      </c>
      <c r="FE335" t="e">
        <f>'North America'!B861+"$F;@!1qN"</f>
        <v>#VALUE!</v>
      </c>
      <c r="FF335" t="e">
        <f>'North America'!C861+"$F;@!1qO"</f>
        <v>#VALUE!</v>
      </c>
      <c r="FG335" t="e">
        <f>'North America'!D861+"$F;@!1qP"</f>
        <v>#VALUE!</v>
      </c>
      <c r="FH335" t="e">
        <f>'North America'!E861+"$F;@!1qQ"</f>
        <v>#VALUE!</v>
      </c>
      <c r="FI335" t="e">
        <f>'North America'!F861+"$F;@!1qR"</f>
        <v>#VALUE!</v>
      </c>
      <c r="FJ335" t="e">
        <f>'North America'!G861+"$F;@!1qS"</f>
        <v>#VALUE!</v>
      </c>
      <c r="FK335" t="e">
        <f>'North America'!H861+"$F;@!1qT"</f>
        <v>#VALUE!</v>
      </c>
      <c r="FL335" t="e">
        <f>'North America'!A862+"$F;@!1qU"</f>
        <v>#VALUE!</v>
      </c>
      <c r="FM335" t="e">
        <f>'North America'!B862+"$F;@!1qV"</f>
        <v>#VALUE!</v>
      </c>
      <c r="FN335" t="e">
        <f>'North America'!C862+"$F;@!1qW"</f>
        <v>#VALUE!</v>
      </c>
      <c r="FO335" t="e">
        <f>'North America'!D862+"$F;@!1qX"</f>
        <v>#VALUE!</v>
      </c>
      <c r="FP335" t="e">
        <f>'North America'!E862+"$F;@!1qY"</f>
        <v>#VALUE!</v>
      </c>
      <c r="FQ335" t="e">
        <f>'North America'!F862+"$F;@!1qZ"</f>
        <v>#VALUE!</v>
      </c>
      <c r="FR335" t="e">
        <f>'North America'!G862+"$F;@!1q["</f>
        <v>#VALUE!</v>
      </c>
      <c r="FS335" t="e">
        <f>'North America'!H862+"$F;@!1q\"</f>
        <v>#VALUE!</v>
      </c>
      <c r="FT335" t="e">
        <f>'North America'!A863+"$F;@!1q]"</f>
        <v>#VALUE!</v>
      </c>
      <c r="FU335" t="e">
        <f>'North America'!B863+"$F;@!1q^"</f>
        <v>#VALUE!</v>
      </c>
      <c r="FV335" t="e">
        <f>'North America'!C863+"$F;@!1q_"</f>
        <v>#VALUE!</v>
      </c>
      <c r="FW335" t="e">
        <f>'North America'!D863+"$F;@!1q`"</f>
        <v>#VALUE!</v>
      </c>
      <c r="FX335" t="e">
        <f>'North America'!E863+"$F;@!1qa"</f>
        <v>#VALUE!</v>
      </c>
      <c r="FY335" t="e">
        <f>'North America'!F863+"$F;@!1qb"</f>
        <v>#VALUE!</v>
      </c>
      <c r="FZ335" t="e">
        <f>'North America'!G863+"$F;@!1qc"</f>
        <v>#VALUE!</v>
      </c>
      <c r="GA335" t="e">
        <f>'North America'!H863+"$F;@!1qd"</f>
        <v>#VALUE!</v>
      </c>
      <c r="GB335" t="e">
        <f>'North America'!A864+"$F;@!1qe"</f>
        <v>#VALUE!</v>
      </c>
      <c r="GC335" t="e">
        <f>'North America'!B864+"$F;@!1qf"</f>
        <v>#VALUE!</v>
      </c>
      <c r="GD335" t="e">
        <f>'North America'!C864+"$F;@!1qg"</f>
        <v>#VALUE!</v>
      </c>
      <c r="GE335" t="e">
        <f>'North America'!D864+"$F;@!1qh"</f>
        <v>#VALUE!</v>
      </c>
      <c r="GF335" t="e">
        <f>'North America'!E864+"$F;@!1qi"</f>
        <v>#VALUE!</v>
      </c>
      <c r="GG335" t="e">
        <f>'North America'!F864+"$F;@!1qj"</f>
        <v>#VALUE!</v>
      </c>
      <c r="GH335" t="e">
        <f>'North America'!G864+"$F;@!1qk"</f>
        <v>#VALUE!</v>
      </c>
      <c r="GI335" t="e">
        <f>'North America'!H864+"$F;@!1ql"</f>
        <v>#VALUE!</v>
      </c>
      <c r="GJ335" t="e">
        <f>'North America'!A865+"$F;@!1qm"</f>
        <v>#VALUE!</v>
      </c>
      <c r="GK335" t="e">
        <f>'North America'!B865+"$F;@!1qn"</f>
        <v>#VALUE!</v>
      </c>
      <c r="GL335" t="e">
        <f>'North America'!C865+"$F;@!1qo"</f>
        <v>#VALUE!</v>
      </c>
      <c r="GM335" t="e">
        <f>'North America'!D865+"$F;@!1qp"</f>
        <v>#VALUE!</v>
      </c>
      <c r="GN335" t="e">
        <f>'North America'!E865+"$F;@!1qq"</f>
        <v>#VALUE!</v>
      </c>
      <c r="GO335" t="e">
        <f>'North America'!F865+"$F;@!1qr"</f>
        <v>#VALUE!</v>
      </c>
      <c r="GP335" t="e">
        <f>'North America'!G865+"$F;@!1qs"</f>
        <v>#VALUE!</v>
      </c>
      <c r="GQ335" t="e">
        <f>'North America'!H865+"$F;@!1qt"</f>
        <v>#VALUE!</v>
      </c>
      <c r="GR335" t="e">
        <f>'North America'!A866+"$F;@!1qu"</f>
        <v>#VALUE!</v>
      </c>
      <c r="GS335" t="e">
        <f>'North America'!B866+"$F;@!1qv"</f>
        <v>#VALUE!</v>
      </c>
      <c r="GT335" t="e">
        <f>'North America'!C866+"$F;@!1qw"</f>
        <v>#VALUE!</v>
      </c>
      <c r="GU335" t="e">
        <f>'North America'!D866+"$F;@!1qx"</f>
        <v>#VALUE!</v>
      </c>
      <c r="GV335" t="e">
        <f>'North America'!E866+"$F;@!1qy"</f>
        <v>#VALUE!</v>
      </c>
      <c r="GW335" t="e">
        <f>'North America'!F866+"$F;@!1qz"</f>
        <v>#VALUE!</v>
      </c>
      <c r="GX335" t="e">
        <f>'North America'!G866+"$F;@!1q{"</f>
        <v>#VALUE!</v>
      </c>
      <c r="GY335" t="e">
        <f>'North America'!H866+"$F;@!1q|"</f>
        <v>#VALUE!</v>
      </c>
      <c r="GZ335" t="e">
        <f>'North America'!A867+"$F;@!1q}"</f>
        <v>#VALUE!</v>
      </c>
      <c r="HA335" t="e">
        <f>'North America'!B867+"$F;@!1q~"</f>
        <v>#VALUE!</v>
      </c>
      <c r="HB335" t="e">
        <f>'North America'!C867+"$F;@!1r#"</f>
        <v>#VALUE!</v>
      </c>
      <c r="HC335" t="e">
        <f>'North America'!D867+"$F;@!1r$"</f>
        <v>#VALUE!</v>
      </c>
      <c r="HD335" t="e">
        <f>'North America'!E867+"$F;@!1r%"</f>
        <v>#VALUE!</v>
      </c>
      <c r="HE335" t="e">
        <f>'North America'!F867+"$F;@!1r&amp;"</f>
        <v>#VALUE!</v>
      </c>
      <c r="HF335" t="e">
        <f>'North America'!G867+"$F;@!1r'"</f>
        <v>#VALUE!</v>
      </c>
      <c r="HG335" t="e">
        <f>'North America'!H867+"$F;@!1r("</f>
        <v>#VALUE!</v>
      </c>
      <c r="HH335" t="e">
        <f>'North America'!A868+"$F;@!1r)"</f>
        <v>#VALUE!</v>
      </c>
      <c r="HI335" t="e">
        <f>'North America'!B868+"$F;@!1r."</f>
        <v>#VALUE!</v>
      </c>
      <c r="HJ335" t="e">
        <f>'North America'!C868+"$F;@!1r/"</f>
        <v>#VALUE!</v>
      </c>
      <c r="HK335" t="e">
        <f>'North America'!D868+"$F;@!1r0"</f>
        <v>#VALUE!</v>
      </c>
      <c r="HL335" t="e">
        <f>'North America'!E868+"$F;@!1r1"</f>
        <v>#VALUE!</v>
      </c>
      <c r="HM335" t="e">
        <f>'North America'!F868+"$F;@!1r2"</f>
        <v>#VALUE!</v>
      </c>
      <c r="HN335" t="e">
        <f>'North America'!G868+"$F;@!1r3"</f>
        <v>#VALUE!</v>
      </c>
      <c r="HO335" t="e">
        <f>'North America'!H868+"$F;@!1r4"</f>
        <v>#VALUE!</v>
      </c>
      <c r="HP335" t="e">
        <f>'North America'!A869+"$F;@!1r5"</f>
        <v>#VALUE!</v>
      </c>
      <c r="HQ335" t="e">
        <f>'North America'!B869+"$F;@!1r6"</f>
        <v>#VALUE!</v>
      </c>
      <c r="HR335" t="e">
        <f>'North America'!C869+"$F;@!1r7"</f>
        <v>#VALUE!</v>
      </c>
      <c r="HS335" t="e">
        <f>'North America'!D869+"$F;@!1r8"</f>
        <v>#VALUE!</v>
      </c>
      <c r="HT335" t="e">
        <f>'North America'!E869+"$F;@!1r9"</f>
        <v>#VALUE!</v>
      </c>
      <c r="HU335" t="e">
        <f>'North America'!F869+"$F;@!1r:"</f>
        <v>#VALUE!</v>
      </c>
      <c r="HV335" t="e">
        <f>'North America'!G869+"$F;@!1r;"</f>
        <v>#VALUE!</v>
      </c>
      <c r="HW335" t="e">
        <f>'North America'!H869+"$F;@!1r&lt;"</f>
        <v>#VALUE!</v>
      </c>
      <c r="HX335" t="e">
        <f>'North America'!A870+"$F;@!1r="</f>
        <v>#VALUE!</v>
      </c>
      <c r="HY335" t="e">
        <f>'North America'!B870+"$F;@!1r&gt;"</f>
        <v>#VALUE!</v>
      </c>
      <c r="HZ335" t="e">
        <f>'North America'!C870+"$F;@!1r?"</f>
        <v>#VALUE!</v>
      </c>
      <c r="IA335" t="e">
        <f>'North America'!D870+"$F;@!1r@"</f>
        <v>#VALUE!</v>
      </c>
      <c r="IB335" t="e">
        <f>'North America'!E870+"$F;@!1rA"</f>
        <v>#VALUE!</v>
      </c>
      <c r="IC335" t="e">
        <f>'North America'!F870+"$F;@!1rB"</f>
        <v>#VALUE!</v>
      </c>
      <c r="ID335" t="e">
        <f>'North America'!G870+"$F;@!1rC"</f>
        <v>#VALUE!</v>
      </c>
      <c r="IE335" t="e">
        <f>'North America'!H870+"$F;@!1rD"</f>
        <v>#VALUE!</v>
      </c>
      <c r="IF335" t="e">
        <f>'North America'!A871+"$F;@!1rE"</f>
        <v>#VALUE!</v>
      </c>
      <c r="IG335" t="e">
        <f>'North America'!B871+"$F;@!1rF"</f>
        <v>#VALUE!</v>
      </c>
      <c r="IH335" t="e">
        <f>'North America'!C871+"$F;@!1rG"</f>
        <v>#VALUE!</v>
      </c>
      <c r="II335" t="e">
        <f>'North America'!D871+"$F;@!1rH"</f>
        <v>#VALUE!</v>
      </c>
      <c r="IJ335" t="e">
        <f>'North America'!E871+"$F;@!1rI"</f>
        <v>#VALUE!</v>
      </c>
      <c r="IK335" t="e">
        <f>'North America'!F871+"$F;@!1rJ"</f>
        <v>#VALUE!</v>
      </c>
      <c r="IL335" t="e">
        <f>'North America'!G871+"$F;@!1rK"</f>
        <v>#VALUE!</v>
      </c>
      <c r="IM335" t="e">
        <f>'North America'!H871+"$F;@!1rL"</f>
        <v>#VALUE!</v>
      </c>
      <c r="IN335" t="e">
        <f>'North America'!A872+"$F;@!1rM"</f>
        <v>#VALUE!</v>
      </c>
      <c r="IO335" t="e">
        <f>'North America'!B872+"$F;@!1rN"</f>
        <v>#VALUE!</v>
      </c>
      <c r="IP335" t="e">
        <f>'North America'!C872+"$F;@!1rO"</f>
        <v>#VALUE!</v>
      </c>
      <c r="IQ335" t="e">
        <f>'North America'!D872+"$F;@!1rP"</f>
        <v>#VALUE!</v>
      </c>
      <c r="IR335" t="e">
        <f>'North America'!E872+"$F;@!1rQ"</f>
        <v>#VALUE!</v>
      </c>
      <c r="IS335" t="e">
        <f>'North America'!F872+"$F;@!1rR"</f>
        <v>#VALUE!</v>
      </c>
      <c r="IT335" t="e">
        <f>'North America'!G872+"$F;@!1rS"</f>
        <v>#VALUE!</v>
      </c>
      <c r="IU335" t="e">
        <f>'North America'!H872+"$F;@!1rT"</f>
        <v>#VALUE!</v>
      </c>
      <c r="IV335" t="e">
        <f>'North America'!A873+"$F;@!1rU"</f>
        <v>#VALUE!</v>
      </c>
    </row>
    <row r="336" spans="6:256" x14ac:dyDescent="0.35">
      <c r="F336" t="e">
        <f>'North America'!B873+"$F;@!1rV"</f>
        <v>#VALUE!</v>
      </c>
      <c r="G336" t="e">
        <f>'North America'!C873+"$F;@!1rW"</f>
        <v>#VALUE!</v>
      </c>
      <c r="H336" t="e">
        <f>'North America'!D873+"$F;@!1rX"</f>
        <v>#VALUE!</v>
      </c>
      <c r="I336" t="e">
        <f>'North America'!E873+"$F;@!1rY"</f>
        <v>#VALUE!</v>
      </c>
      <c r="J336" t="e">
        <f>'North America'!F873+"$F;@!1rZ"</f>
        <v>#VALUE!</v>
      </c>
      <c r="K336" t="e">
        <f>'North America'!G873+"$F;@!1r["</f>
        <v>#VALUE!</v>
      </c>
      <c r="L336" t="e">
        <f>'North America'!H873+"$F;@!1r\"</f>
        <v>#VALUE!</v>
      </c>
      <c r="M336" t="e">
        <f>'North America'!A874+"$F;@!1r]"</f>
        <v>#VALUE!</v>
      </c>
      <c r="N336" t="e">
        <f>'North America'!B874+"$F;@!1r^"</f>
        <v>#VALUE!</v>
      </c>
      <c r="O336" t="e">
        <f>'North America'!C874+"$F;@!1r_"</f>
        <v>#VALUE!</v>
      </c>
      <c r="P336" t="e">
        <f>'North America'!D874+"$F;@!1r`"</f>
        <v>#VALUE!</v>
      </c>
      <c r="Q336" t="e">
        <f>'North America'!E874+"$F;@!1ra"</f>
        <v>#VALUE!</v>
      </c>
      <c r="R336" t="e">
        <f>'North America'!F874+"$F;@!1rb"</f>
        <v>#VALUE!</v>
      </c>
      <c r="S336" t="e">
        <f>'North America'!G874+"$F;@!1rc"</f>
        <v>#VALUE!</v>
      </c>
      <c r="T336" t="e">
        <f>'North America'!H874+"$F;@!1rd"</f>
        <v>#VALUE!</v>
      </c>
      <c r="U336" t="e">
        <f>'North America'!A875+"$F;@!1re"</f>
        <v>#VALUE!</v>
      </c>
      <c r="V336" t="e">
        <f>'North America'!B875+"$F;@!1rf"</f>
        <v>#VALUE!</v>
      </c>
      <c r="W336" t="e">
        <f>'North America'!C875+"$F;@!1rg"</f>
        <v>#VALUE!</v>
      </c>
      <c r="X336" t="e">
        <f>'North America'!D875+"$F;@!1rh"</f>
        <v>#VALUE!</v>
      </c>
      <c r="Y336" t="e">
        <f>'North America'!E875+"$F;@!1ri"</f>
        <v>#VALUE!</v>
      </c>
      <c r="Z336" t="e">
        <f>'North America'!F875+"$F;@!1rj"</f>
        <v>#VALUE!</v>
      </c>
      <c r="AA336" t="e">
        <f>'North America'!G875+"$F;@!1rk"</f>
        <v>#VALUE!</v>
      </c>
      <c r="AB336" t="e">
        <f>'North America'!H875+"$F;@!1rl"</f>
        <v>#VALUE!</v>
      </c>
      <c r="AC336" t="e">
        <f>'North America'!A876+"$F;@!1rm"</f>
        <v>#VALUE!</v>
      </c>
      <c r="AD336" t="e">
        <f>'North America'!B876+"$F;@!1rn"</f>
        <v>#VALUE!</v>
      </c>
      <c r="AE336" t="e">
        <f>'North America'!C876+"$F;@!1ro"</f>
        <v>#VALUE!</v>
      </c>
      <c r="AF336" t="e">
        <f>'North America'!D876+"$F;@!1rp"</f>
        <v>#VALUE!</v>
      </c>
      <c r="AG336" t="e">
        <f>'North America'!E876+"$F;@!1rq"</f>
        <v>#VALUE!</v>
      </c>
      <c r="AH336" t="e">
        <f>'North America'!F876+"$F;@!1rr"</f>
        <v>#VALUE!</v>
      </c>
      <c r="AI336" t="e">
        <f>'North America'!G876+"$F;@!1rs"</f>
        <v>#VALUE!</v>
      </c>
      <c r="AJ336" t="e">
        <f>'North America'!H876+"$F;@!1rt"</f>
        <v>#VALUE!</v>
      </c>
      <c r="AK336" t="e">
        <f>'North America'!A877+"$F;@!1ru"</f>
        <v>#VALUE!</v>
      </c>
      <c r="AL336" t="e">
        <f>'North America'!B877+"$F;@!1rv"</f>
        <v>#VALUE!</v>
      </c>
      <c r="AM336" t="e">
        <f>'North America'!C877+"$F;@!1rw"</f>
        <v>#VALUE!</v>
      </c>
      <c r="AN336" t="e">
        <f>'North America'!D877+"$F;@!1rx"</f>
        <v>#VALUE!</v>
      </c>
      <c r="AO336" t="e">
        <f>'North America'!E877+"$F;@!1ry"</f>
        <v>#VALUE!</v>
      </c>
      <c r="AP336" t="e">
        <f>'North America'!F877+"$F;@!1rz"</f>
        <v>#VALUE!</v>
      </c>
      <c r="AQ336" t="e">
        <f>'North America'!G877+"$F;@!1r{"</f>
        <v>#VALUE!</v>
      </c>
      <c r="AR336" t="e">
        <f>'North America'!H877+"$F;@!1r|"</f>
        <v>#VALUE!</v>
      </c>
      <c r="AS336" t="e">
        <f>'North America'!A878+"$F;@!1r}"</f>
        <v>#VALUE!</v>
      </c>
      <c r="AT336" t="e">
        <f>'North America'!B878+"$F;@!1r~"</f>
        <v>#VALUE!</v>
      </c>
      <c r="AU336" t="e">
        <f>'North America'!C878+"$F;@!1s#"</f>
        <v>#VALUE!</v>
      </c>
      <c r="AV336" t="e">
        <f>'North America'!D878+"$F;@!1s$"</f>
        <v>#VALUE!</v>
      </c>
      <c r="AW336" t="e">
        <f>'North America'!E878+"$F;@!1s%"</f>
        <v>#VALUE!</v>
      </c>
      <c r="AX336" t="e">
        <f>'North America'!F878+"$F;@!1s&amp;"</f>
        <v>#VALUE!</v>
      </c>
      <c r="AY336" t="e">
        <f>'North America'!G878+"$F;@!1s'"</f>
        <v>#VALUE!</v>
      </c>
      <c r="AZ336" t="e">
        <f>'North America'!H878+"$F;@!1s("</f>
        <v>#VALUE!</v>
      </c>
      <c r="BA336" t="e">
        <f>'North America'!A879+"$F;@!1s)"</f>
        <v>#VALUE!</v>
      </c>
      <c r="BB336" t="e">
        <f>'North America'!B879+"$F;@!1s."</f>
        <v>#VALUE!</v>
      </c>
      <c r="BC336" t="e">
        <f>'North America'!C879+"$F;@!1s/"</f>
        <v>#VALUE!</v>
      </c>
      <c r="BD336" t="e">
        <f>'North America'!D879+"$F;@!1s0"</f>
        <v>#VALUE!</v>
      </c>
      <c r="BE336" t="e">
        <f>'North America'!F879+"$F;@!1s1"</f>
        <v>#VALUE!</v>
      </c>
      <c r="BF336" t="e">
        <f>'North America'!G879+"$F;@!1s2"</f>
        <v>#VALUE!</v>
      </c>
      <c r="BG336" t="e">
        <f>'North America'!H879+"$F;@!1s3"</f>
        <v>#VALUE!</v>
      </c>
      <c r="BH336" t="e">
        <f>'North America'!A880+"$F;@!1s4"</f>
        <v>#VALUE!</v>
      </c>
      <c r="BI336" t="e">
        <f>'North America'!B880+"$F;@!1s5"</f>
        <v>#VALUE!</v>
      </c>
      <c r="BJ336" t="e">
        <f>'North America'!C880+"$F;@!1s6"</f>
        <v>#VALUE!</v>
      </c>
      <c r="BK336" t="e">
        <f>'North America'!D880+"$F;@!1s7"</f>
        <v>#VALUE!</v>
      </c>
      <c r="BL336" t="e">
        <f>'North America'!E880+"$F;@!1s8"</f>
        <v>#VALUE!</v>
      </c>
      <c r="BM336" t="e">
        <f>'North America'!F880+"$F;@!1s9"</f>
        <v>#VALUE!</v>
      </c>
      <c r="BN336" t="e">
        <f>'North America'!G880+"$F;@!1s:"</f>
        <v>#VALUE!</v>
      </c>
      <c r="BO336" t="e">
        <f>'North America'!H880+"$F;@!1s;"</f>
        <v>#VALUE!</v>
      </c>
      <c r="BP336" t="e">
        <f>'North America'!A881+"$F;@!1s&lt;"</f>
        <v>#VALUE!</v>
      </c>
      <c r="BQ336" t="e">
        <f>'North America'!B881+"$F;@!1s="</f>
        <v>#VALUE!</v>
      </c>
      <c r="BR336" t="e">
        <f>'North America'!C881+"$F;@!1s&gt;"</f>
        <v>#VALUE!</v>
      </c>
      <c r="BS336" t="e">
        <f>'North America'!D881+"$F;@!1s?"</f>
        <v>#VALUE!</v>
      </c>
      <c r="BT336" t="e">
        <f>'North America'!E881+"$F;@!1s@"</f>
        <v>#VALUE!</v>
      </c>
      <c r="BU336" t="e">
        <f>'North America'!F881+"$F;@!1sA"</f>
        <v>#VALUE!</v>
      </c>
      <c r="BV336" t="e">
        <f>'North America'!G881+"$F;@!1sB"</f>
        <v>#VALUE!</v>
      </c>
      <c r="BW336" t="e">
        <f>'North America'!H881+"$F;@!1sC"</f>
        <v>#VALUE!</v>
      </c>
      <c r="BX336" t="e">
        <f>'North America'!A882+"$F;@!1sD"</f>
        <v>#VALUE!</v>
      </c>
      <c r="BY336" t="e">
        <f>'North America'!B882+"$F;@!1sE"</f>
        <v>#VALUE!</v>
      </c>
      <c r="BZ336" t="e">
        <f>'North America'!C882+"$F;@!1sF"</f>
        <v>#VALUE!</v>
      </c>
      <c r="CA336" t="e">
        <f>'North America'!D882+"$F;@!1sG"</f>
        <v>#VALUE!</v>
      </c>
      <c r="CB336" t="e">
        <f>'North America'!E882+"$F;@!1sH"</f>
        <v>#VALUE!</v>
      </c>
      <c r="CC336" t="e">
        <f>'North America'!F882+"$F;@!1sI"</f>
        <v>#VALUE!</v>
      </c>
      <c r="CD336" t="e">
        <f>'North America'!G882+"$F;@!1sJ"</f>
        <v>#VALUE!</v>
      </c>
      <c r="CE336" t="e">
        <f>'North America'!H882+"$F;@!1sK"</f>
        <v>#VALUE!</v>
      </c>
      <c r="CF336" t="e">
        <f>'North America'!A883+"$F;@!1sL"</f>
        <v>#VALUE!</v>
      </c>
      <c r="CG336" t="e">
        <f>'North America'!B883+"$F;@!1sM"</f>
        <v>#VALUE!</v>
      </c>
      <c r="CH336" t="e">
        <f>'North America'!C883+"$F;@!1sN"</f>
        <v>#VALUE!</v>
      </c>
      <c r="CI336" t="e">
        <f>'North America'!D883+"$F;@!1sO"</f>
        <v>#VALUE!</v>
      </c>
      <c r="CJ336" t="e">
        <f>'North America'!E883+"$F;@!1sP"</f>
        <v>#VALUE!</v>
      </c>
      <c r="CK336" t="e">
        <f>'North America'!F883+"$F;@!1sQ"</f>
        <v>#VALUE!</v>
      </c>
      <c r="CL336" t="e">
        <f>'North America'!G883+"$F;@!1sR"</f>
        <v>#VALUE!</v>
      </c>
      <c r="CM336" t="e">
        <f>'North America'!H883+"$F;@!1sS"</f>
        <v>#VALUE!</v>
      </c>
      <c r="CN336" t="e">
        <f>'North America'!A884+"$F;@!1sT"</f>
        <v>#VALUE!</v>
      </c>
      <c r="CO336" t="e">
        <f>'North America'!B884+"$F;@!1sU"</f>
        <v>#VALUE!</v>
      </c>
      <c r="CP336" t="e">
        <f>'North America'!C884+"$F;@!1sV"</f>
        <v>#VALUE!</v>
      </c>
      <c r="CQ336" t="e">
        <f>'North America'!D884+"$F;@!1sW"</f>
        <v>#VALUE!</v>
      </c>
      <c r="CR336" t="e">
        <f>'North America'!E884+"$F;@!1sX"</f>
        <v>#VALUE!</v>
      </c>
      <c r="CS336" t="e">
        <f>'North America'!F884+"$F;@!1sY"</f>
        <v>#VALUE!</v>
      </c>
      <c r="CT336" t="e">
        <f>'North America'!G884+"$F;@!1sZ"</f>
        <v>#VALUE!</v>
      </c>
      <c r="CU336" t="e">
        <f>'North America'!H884+"$F;@!1s["</f>
        <v>#VALUE!</v>
      </c>
      <c r="CV336" t="e">
        <f>'North America'!A885+"$F;@!1s\"</f>
        <v>#VALUE!</v>
      </c>
      <c r="CW336" t="e">
        <f>'North America'!B885+"$F;@!1s]"</f>
        <v>#VALUE!</v>
      </c>
      <c r="CX336" t="e">
        <f>'North America'!C885+"$F;@!1s^"</f>
        <v>#VALUE!</v>
      </c>
      <c r="CY336" t="e">
        <f>'North America'!D885+"$F;@!1s_"</f>
        <v>#VALUE!</v>
      </c>
      <c r="CZ336" t="e">
        <f>'North America'!E885+"$F;@!1s`"</f>
        <v>#VALUE!</v>
      </c>
      <c r="DA336" t="e">
        <f>'North America'!F885+"$F;@!1sa"</f>
        <v>#VALUE!</v>
      </c>
      <c r="DB336" t="e">
        <f>'North America'!G885+"$F;@!1sb"</f>
        <v>#VALUE!</v>
      </c>
      <c r="DC336" t="e">
        <f>'North America'!H885+"$F;@!1sc"</f>
        <v>#VALUE!</v>
      </c>
      <c r="DD336" t="e">
        <f>'North America'!A886+"$F;@!1sd"</f>
        <v>#VALUE!</v>
      </c>
      <c r="DE336" t="e">
        <f>'North America'!B886+"$F;@!1se"</f>
        <v>#VALUE!</v>
      </c>
      <c r="DF336" t="e">
        <f>'North America'!C886+"$F;@!1sf"</f>
        <v>#VALUE!</v>
      </c>
      <c r="DG336" t="e">
        <f>'North America'!D886+"$F;@!1sg"</f>
        <v>#VALUE!</v>
      </c>
      <c r="DH336" t="e">
        <f>'North America'!E886+"$F;@!1sh"</f>
        <v>#VALUE!</v>
      </c>
      <c r="DI336" t="e">
        <f>'North America'!F886+"$F;@!1si"</f>
        <v>#VALUE!</v>
      </c>
      <c r="DJ336" t="e">
        <f>'North America'!G886+"$F;@!1sj"</f>
        <v>#VALUE!</v>
      </c>
      <c r="DK336" t="e">
        <f>'North America'!H886+"$F;@!1sk"</f>
        <v>#VALUE!</v>
      </c>
      <c r="DL336" t="e">
        <f>'North America'!A887+"$F;@!1sl"</f>
        <v>#VALUE!</v>
      </c>
      <c r="DM336" t="e">
        <f>'North America'!B887+"$F;@!1sm"</f>
        <v>#VALUE!</v>
      </c>
      <c r="DN336" t="e">
        <f>'North America'!C887+"$F;@!1sn"</f>
        <v>#VALUE!</v>
      </c>
      <c r="DO336" t="e">
        <f>'North America'!D887+"$F;@!1so"</f>
        <v>#VALUE!</v>
      </c>
      <c r="DP336" t="e">
        <f>'North America'!E887+"$F;@!1sp"</f>
        <v>#VALUE!</v>
      </c>
      <c r="DQ336" t="e">
        <f>'North America'!F887+"$F;@!1sq"</f>
        <v>#VALUE!</v>
      </c>
      <c r="DR336" t="e">
        <f>'North America'!G887+"$F;@!1sr"</f>
        <v>#VALUE!</v>
      </c>
      <c r="DS336" t="e">
        <f>'North America'!H887+"$F;@!1ss"</f>
        <v>#VALUE!</v>
      </c>
      <c r="DT336" t="e">
        <f>'North America'!A888+"$F;@!1st"</f>
        <v>#VALUE!</v>
      </c>
      <c r="DU336" t="e">
        <f>'North America'!B888+"$F;@!1su"</f>
        <v>#VALUE!</v>
      </c>
      <c r="DV336" t="e">
        <f>'North America'!C888+"$F;@!1sv"</f>
        <v>#VALUE!</v>
      </c>
      <c r="DW336" t="e">
        <f>'North America'!D888+"$F;@!1sw"</f>
        <v>#VALUE!</v>
      </c>
      <c r="DX336" t="e">
        <f>'North America'!E888+"$F;@!1sx"</f>
        <v>#VALUE!</v>
      </c>
      <c r="DY336" t="e">
        <f>'North America'!F888+"$F;@!1sy"</f>
        <v>#VALUE!</v>
      </c>
      <c r="DZ336" t="e">
        <f>'North America'!G888+"$F;@!1sz"</f>
        <v>#VALUE!</v>
      </c>
      <c r="EA336" t="e">
        <f>'North America'!H888+"$F;@!1s{"</f>
        <v>#VALUE!</v>
      </c>
      <c r="EB336" t="e">
        <f>'North America'!A889+"$F;@!1s|"</f>
        <v>#VALUE!</v>
      </c>
      <c r="EC336" t="e">
        <f>'North America'!B889+"$F;@!1s}"</f>
        <v>#VALUE!</v>
      </c>
      <c r="ED336" t="e">
        <f>'North America'!C889+"$F;@!1s~"</f>
        <v>#VALUE!</v>
      </c>
      <c r="EE336" t="e">
        <f>'North America'!D889+"$F;@!1t#"</f>
        <v>#VALUE!</v>
      </c>
      <c r="EF336" t="e">
        <f>'North America'!E889+"$F;@!1t$"</f>
        <v>#VALUE!</v>
      </c>
      <c r="EG336" t="e">
        <f>'North America'!F889+"$F;@!1t%"</f>
        <v>#VALUE!</v>
      </c>
      <c r="EH336" t="e">
        <f>'North America'!G889+"$F;@!1t&amp;"</f>
        <v>#VALUE!</v>
      </c>
      <c r="EI336" t="e">
        <f>'North America'!H889+"$F;@!1t'"</f>
        <v>#VALUE!</v>
      </c>
      <c r="EJ336" t="e">
        <f>'North America'!A890+"$F;@!1t("</f>
        <v>#VALUE!</v>
      </c>
      <c r="EK336" t="e">
        <f>'North America'!B890+"$F;@!1t)"</f>
        <v>#VALUE!</v>
      </c>
      <c r="EL336" t="e">
        <f>'North America'!C890+"$F;@!1t."</f>
        <v>#VALUE!</v>
      </c>
      <c r="EM336" t="e">
        <f>'North America'!D890+"$F;@!1t/"</f>
        <v>#VALUE!</v>
      </c>
      <c r="EN336" t="e">
        <f>'North America'!E890+"$F;@!1t0"</f>
        <v>#VALUE!</v>
      </c>
      <c r="EO336" t="e">
        <f>'North America'!F890+"$F;@!1t1"</f>
        <v>#VALUE!</v>
      </c>
      <c r="EP336" t="e">
        <f>'North America'!G890+"$F;@!1t2"</f>
        <v>#VALUE!</v>
      </c>
      <c r="EQ336" t="e">
        <f>'North America'!H890+"$F;@!1t3"</f>
        <v>#VALUE!</v>
      </c>
      <c r="ER336" t="e">
        <f>'North America'!A891+"$F;@!1t4"</f>
        <v>#VALUE!</v>
      </c>
      <c r="ES336" t="e">
        <f>'North America'!B891+"$F;@!1t5"</f>
        <v>#VALUE!</v>
      </c>
      <c r="ET336" t="e">
        <f>'North America'!C891+"$F;@!1t6"</f>
        <v>#VALUE!</v>
      </c>
      <c r="EU336" t="e">
        <f>'North America'!D891+"$F;@!1t7"</f>
        <v>#VALUE!</v>
      </c>
      <c r="EV336" t="e">
        <f>'North America'!E891+"$F;@!1t8"</f>
        <v>#VALUE!</v>
      </c>
      <c r="EW336" t="e">
        <f>'North America'!F891+"$F;@!1t9"</f>
        <v>#VALUE!</v>
      </c>
      <c r="EX336" t="e">
        <f>'North America'!G891+"$F;@!1t:"</f>
        <v>#VALUE!</v>
      </c>
      <c r="EY336" t="e">
        <f>'North America'!H891+"$F;@!1t;"</f>
        <v>#VALUE!</v>
      </c>
      <c r="EZ336" t="e">
        <f>'North America'!A892+"$F;@!1t&lt;"</f>
        <v>#VALUE!</v>
      </c>
      <c r="FA336" t="e">
        <f>'North America'!B892+"$F;@!1t="</f>
        <v>#VALUE!</v>
      </c>
      <c r="FB336" t="e">
        <f>'North America'!C892+"$F;@!1t&gt;"</f>
        <v>#VALUE!</v>
      </c>
      <c r="FC336" t="e">
        <f>'North America'!D892+"$F;@!1t?"</f>
        <v>#VALUE!</v>
      </c>
      <c r="FD336" t="e">
        <f>'North America'!E892+"$F;@!1t@"</f>
        <v>#VALUE!</v>
      </c>
      <c r="FE336" t="e">
        <f>'North America'!F892+"$F;@!1tA"</f>
        <v>#VALUE!</v>
      </c>
      <c r="FF336" t="e">
        <f>'North America'!G892+"$F;@!1tB"</f>
        <v>#VALUE!</v>
      </c>
      <c r="FG336" t="e">
        <f>'North America'!H892+"$F;@!1tC"</f>
        <v>#VALUE!</v>
      </c>
      <c r="FH336" t="e">
        <f>'North America'!A893+"$F;@!1tD"</f>
        <v>#VALUE!</v>
      </c>
      <c r="FI336" t="e">
        <f>'North America'!B893+"$F;@!1tE"</f>
        <v>#VALUE!</v>
      </c>
      <c r="FJ336" t="e">
        <f>'North America'!C893+"$F;@!1tF"</f>
        <v>#VALUE!</v>
      </c>
      <c r="FK336" t="e">
        <f>'North America'!D893+"$F;@!1tG"</f>
        <v>#VALUE!</v>
      </c>
      <c r="FL336" t="e">
        <f>'North America'!E893+"$F;@!1tH"</f>
        <v>#VALUE!</v>
      </c>
      <c r="FM336" t="e">
        <f>'North America'!F893+"$F;@!1tI"</f>
        <v>#VALUE!</v>
      </c>
      <c r="FN336" t="e">
        <f>'North America'!G893+"$F;@!1tJ"</f>
        <v>#VALUE!</v>
      </c>
      <c r="FO336" t="e">
        <f>'North America'!H893+"$F;@!1tK"</f>
        <v>#VALUE!</v>
      </c>
      <c r="FP336" t="e">
        <f>'North America'!A894+"$F;@!1tL"</f>
        <v>#VALUE!</v>
      </c>
      <c r="FQ336" t="e">
        <f>'North America'!B894+"$F;@!1tM"</f>
        <v>#VALUE!</v>
      </c>
      <c r="FR336" t="e">
        <f>'North America'!C894+"$F;@!1tN"</f>
        <v>#VALUE!</v>
      </c>
      <c r="FS336" t="e">
        <f>'North America'!D894+"$F;@!1tO"</f>
        <v>#VALUE!</v>
      </c>
      <c r="FT336" t="e">
        <f>'North America'!E894+"$F;@!1tP"</f>
        <v>#VALUE!</v>
      </c>
      <c r="FU336" t="e">
        <f>'North America'!F894+"$F;@!1tQ"</f>
        <v>#VALUE!</v>
      </c>
      <c r="FV336" t="e">
        <f>'North America'!G894+"$F;@!1tR"</f>
        <v>#VALUE!</v>
      </c>
      <c r="FW336" t="e">
        <f>'North America'!H894+"$F;@!1tS"</f>
        <v>#VALUE!</v>
      </c>
      <c r="FX336" t="e">
        <f>'North America'!A895+"$F;@!1tT"</f>
        <v>#VALUE!</v>
      </c>
      <c r="FY336" t="e">
        <f>'North America'!B895+"$F;@!1tU"</f>
        <v>#VALUE!</v>
      </c>
      <c r="FZ336" t="e">
        <f>'North America'!C895+"$F;@!1tV"</f>
        <v>#VALUE!</v>
      </c>
      <c r="GA336" t="e">
        <f>'North America'!D895+"$F;@!1tW"</f>
        <v>#VALUE!</v>
      </c>
      <c r="GB336" t="e">
        <f>'North America'!E895+"$F;@!1tX"</f>
        <v>#VALUE!</v>
      </c>
      <c r="GC336" t="e">
        <f>'North America'!F895+"$F;@!1tY"</f>
        <v>#VALUE!</v>
      </c>
      <c r="GD336" t="e">
        <f>'North America'!G895+"$F;@!1tZ"</f>
        <v>#VALUE!</v>
      </c>
      <c r="GE336" t="e">
        <f>'North America'!H895+"$F;@!1t["</f>
        <v>#VALUE!</v>
      </c>
      <c r="GF336" t="e">
        <f>'North America'!A896+"$F;@!1t\"</f>
        <v>#VALUE!</v>
      </c>
      <c r="GG336" t="e">
        <f>'North America'!B896+"$F;@!1t]"</f>
        <v>#VALUE!</v>
      </c>
      <c r="GH336" t="e">
        <f>'North America'!C896+"$F;@!1t^"</f>
        <v>#VALUE!</v>
      </c>
      <c r="GI336" t="e">
        <f>'North America'!D896+"$F;@!1t_"</f>
        <v>#VALUE!</v>
      </c>
      <c r="GJ336" t="e">
        <f>'North America'!E896+"$F;@!1t`"</f>
        <v>#VALUE!</v>
      </c>
      <c r="GK336" t="e">
        <f>'North America'!F896+"$F;@!1ta"</f>
        <v>#VALUE!</v>
      </c>
      <c r="GL336" t="e">
        <f>'North America'!G896+"$F;@!1tb"</f>
        <v>#VALUE!</v>
      </c>
      <c r="GM336" t="e">
        <f>'North America'!H896+"$F;@!1tc"</f>
        <v>#VALUE!</v>
      </c>
      <c r="GN336" t="e">
        <f>'North America'!A897+"$F;@!1td"</f>
        <v>#VALUE!</v>
      </c>
      <c r="GO336" t="e">
        <f>'North America'!B897+"$F;@!1te"</f>
        <v>#VALUE!</v>
      </c>
      <c r="GP336" t="e">
        <f>'North America'!C897+"$F;@!1tf"</f>
        <v>#VALUE!</v>
      </c>
      <c r="GQ336" t="e">
        <f>'North America'!D897+"$F;@!1tg"</f>
        <v>#VALUE!</v>
      </c>
      <c r="GR336" t="e">
        <f>'North America'!E897+"$F;@!1th"</f>
        <v>#VALUE!</v>
      </c>
      <c r="GS336" t="e">
        <f>'North America'!F897+"$F;@!1ti"</f>
        <v>#VALUE!</v>
      </c>
      <c r="GT336" t="e">
        <f>'North America'!G897+"$F;@!1tj"</f>
        <v>#VALUE!</v>
      </c>
      <c r="GU336" t="e">
        <f>'North America'!H897+"$F;@!1tk"</f>
        <v>#VALUE!</v>
      </c>
      <c r="GV336" t="e">
        <f>'North America'!A898+"$F;@!1tl"</f>
        <v>#VALUE!</v>
      </c>
      <c r="GW336" t="e">
        <f>'North America'!B898+"$F;@!1tm"</f>
        <v>#VALUE!</v>
      </c>
      <c r="GX336" t="e">
        <f>'North America'!C898+"$F;@!1tn"</f>
        <v>#VALUE!</v>
      </c>
      <c r="GY336" t="e">
        <f>'North America'!D898+"$F;@!1to"</f>
        <v>#VALUE!</v>
      </c>
      <c r="GZ336" t="e">
        <f>'North America'!E898+"$F;@!1tp"</f>
        <v>#VALUE!</v>
      </c>
      <c r="HA336" t="e">
        <f>'North America'!F898+"$F;@!1tq"</f>
        <v>#VALUE!</v>
      </c>
      <c r="HB336" t="e">
        <f>'North America'!G898+"$F;@!1tr"</f>
        <v>#VALUE!</v>
      </c>
      <c r="HC336" t="e">
        <f>'North America'!H898+"$F;@!1ts"</f>
        <v>#VALUE!</v>
      </c>
      <c r="HD336" t="e">
        <f>'North America'!A899+"$F;@!1tt"</f>
        <v>#VALUE!</v>
      </c>
      <c r="HE336" t="e">
        <f>'North America'!B899+"$F;@!1tu"</f>
        <v>#VALUE!</v>
      </c>
      <c r="HF336" t="e">
        <f>'North America'!C899+"$F;@!1tv"</f>
        <v>#VALUE!</v>
      </c>
      <c r="HG336" t="e">
        <f>'North America'!D899+"$F;@!1tw"</f>
        <v>#VALUE!</v>
      </c>
      <c r="HH336" t="e">
        <f>'North America'!E899+"$F;@!1tx"</f>
        <v>#VALUE!</v>
      </c>
      <c r="HI336" t="e">
        <f>'North America'!F899+"$F;@!1ty"</f>
        <v>#VALUE!</v>
      </c>
      <c r="HJ336" t="e">
        <f>'North America'!G899+"$F;@!1tz"</f>
        <v>#VALUE!</v>
      </c>
      <c r="HK336" t="e">
        <f>'North America'!H899+"$F;@!1t{"</f>
        <v>#VALUE!</v>
      </c>
      <c r="HL336" t="e">
        <f>'North America'!A900+"$F;@!1t|"</f>
        <v>#VALUE!</v>
      </c>
      <c r="HM336" t="e">
        <f>'North America'!B900+"$F;@!1t}"</f>
        <v>#VALUE!</v>
      </c>
      <c r="HN336" t="e">
        <f>'North America'!C900+"$F;@!1t~"</f>
        <v>#VALUE!</v>
      </c>
      <c r="HO336" t="e">
        <f>'North America'!D900+"$F;@!1u#"</f>
        <v>#VALUE!</v>
      </c>
      <c r="HP336" t="e">
        <f>'North America'!E900+"$F;@!1u$"</f>
        <v>#VALUE!</v>
      </c>
      <c r="HQ336" t="e">
        <f>'North America'!F900+"$F;@!1u%"</f>
        <v>#VALUE!</v>
      </c>
      <c r="HR336" t="e">
        <f>'North America'!G900+"$F;@!1u&amp;"</f>
        <v>#VALUE!</v>
      </c>
      <c r="HS336" t="e">
        <f>'North America'!H900+"$F;@!1u'"</f>
        <v>#VALUE!</v>
      </c>
      <c r="HT336" t="e">
        <f>'North America'!A901+"$F;@!1u("</f>
        <v>#VALUE!</v>
      </c>
      <c r="HU336" t="e">
        <f>'North America'!B901+"$F;@!1u)"</f>
        <v>#VALUE!</v>
      </c>
      <c r="HV336" t="e">
        <f>'North America'!C901+"$F;@!1u."</f>
        <v>#VALUE!</v>
      </c>
      <c r="HW336" t="e">
        <f>'North America'!D901+"$F;@!1u/"</f>
        <v>#VALUE!</v>
      </c>
      <c r="HX336" t="e">
        <f>'North America'!E901+"$F;@!1u0"</f>
        <v>#VALUE!</v>
      </c>
      <c r="HY336" t="e">
        <f>'North America'!F901+"$F;@!1u1"</f>
        <v>#VALUE!</v>
      </c>
      <c r="HZ336" t="e">
        <f>'North America'!G901+"$F;@!1u2"</f>
        <v>#VALUE!</v>
      </c>
      <c r="IA336" t="e">
        <f>'North America'!H901+"$F;@!1u3"</f>
        <v>#VALUE!</v>
      </c>
      <c r="IB336" t="e">
        <f>'North America'!A902+"$F;@!1u4"</f>
        <v>#VALUE!</v>
      </c>
      <c r="IC336" t="e">
        <f>'North America'!B902+"$F;@!1u5"</f>
        <v>#VALUE!</v>
      </c>
      <c r="ID336" t="e">
        <f>'North America'!C902+"$F;@!1u6"</f>
        <v>#VALUE!</v>
      </c>
      <c r="IE336" t="e">
        <f>'North America'!D902+"$F;@!1u7"</f>
        <v>#VALUE!</v>
      </c>
      <c r="IF336" t="e">
        <f>'North America'!E902+"$F;@!1u8"</f>
        <v>#VALUE!</v>
      </c>
      <c r="IG336" t="e">
        <f>'North America'!F902+"$F;@!1u9"</f>
        <v>#VALUE!</v>
      </c>
      <c r="IH336" t="e">
        <f>'North America'!G902+"$F;@!1u:"</f>
        <v>#VALUE!</v>
      </c>
      <c r="II336" t="e">
        <f>'North America'!H902+"$F;@!1u;"</f>
        <v>#VALUE!</v>
      </c>
      <c r="IJ336" t="e">
        <f>'North America'!A903+"$F;@!1u&lt;"</f>
        <v>#VALUE!</v>
      </c>
      <c r="IK336" t="e">
        <f>'North America'!B903+"$F;@!1u="</f>
        <v>#VALUE!</v>
      </c>
      <c r="IL336" t="e">
        <f>'North America'!C903+"$F;@!1u&gt;"</f>
        <v>#VALUE!</v>
      </c>
      <c r="IM336" t="e">
        <f>'North America'!D903+"$F;@!1u?"</f>
        <v>#VALUE!</v>
      </c>
      <c r="IN336" t="e">
        <f>'North America'!E903+"$F;@!1u@"</f>
        <v>#VALUE!</v>
      </c>
      <c r="IO336" t="e">
        <f>'North America'!F903+"$F;@!1uA"</f>
        <v>#VALUE!</v>
      </c>
      <c r="IP336" t="e">
        <f>'North America'!G903+"$F;@!1uB"</f>
        <v>#VALUE!</v>
      </c>
      <c r="IQ336" t="e">
        <f>'North America'!H903+"$F;@!1uC"</f>
        <v>#VALUE!</v>
      </c>
      <c r="IR336" t="e">
        <f>'North America'!A904+"$F;@!1uD"</f>
        <v>#VALUE!</v>
      </c>
      <c r="IS336" t="e">
        <f>'North America'!B904+"$F;@!1uE"</f>
        <v>#VALUE!</v>
      </c>
      <c r="IT336" t="e">
        <f>'North America'!C904+"$F;@!1uF"</f>
        <v>#VALUE!</v>
      </c>
      <c r="IU336" t="e">
        <f>'North America'!D904+"$F;@!1uG"</f>
        <v>#VALUE!</v>
      </c>
      <c r="IV336" t="e">
        <f>'North America'!E904+"$F;@!1uH"</f>
        <v>#VALUE!</v>
      </c>
    </row>
    <row r="337" spans="6:256" x14ac:dyDescent="0.35">
      <c r="F337" t="e">
        <f>'North America'!F904+"$F;@!1uI"</f>
        <v>#VALUE!</v>
      </c>
      <c r="G337" t="e">
        <f>'North America'!G904+"$F;@!1uJ"</f>
        <v>#VALUE!</v>
      </c>
      <c r="H337" t="e">
        <f>'North America'!H904+"$F;@!1uK"</f>
        <v>#VALUE!</v>
      </c>
      <c r="I337" t="e">
        <f>'North America'!A905+"$F;@!1uL"</f>
        <v>#VALUE!</v>
      </c>
      <c r="J337" t="e">
        <f>'North America'!B905+"$F;@!1uM"</f>
        <v>#VALUE!</v>
      </c>
      <c r="K337" t="e">
        <f>'North America'!C905+"$F;@!1uN"</f>
        <v>#VALUE!</v>
      </c>
      <c r="L337" t="e">
        <f>'North America'!D905+"$F;@!1uO"</f>
        <v>#VALUE!</v>
      </c>
      <c r="M337" t="e">
        <f>'North America'!E905+"$F;@!1uP"</f>
        <v>#VALUE!</v>
      </c>
      <c r="N337" t="e">
        <f>'North America'!F905+"$F;@!1uQ"</f>
        <v>#VALUE!</v>
      </c>
      <c r="O337" t="e">
        <f>'North America'!G905+"$F;@!1uR"</f>
        <v>#VALUE!</v>
      </c>
      <c r="P337" t="e">
        <f>'North America'!H905+"$F;@!1uS"</f>
        <v>#VALUE!</v>
      </c>
      <c r="Q337" t="e">
        <f>'North America'!A906+"$F;@!1uT"</f>
        <v>#VALUE!</v>
      </c>
      <c r="R337" t="e">
        <f>'North America'!B906+"$F;@!1uU"</f>
        <v>#VALUE!</v>
      </c>
      <c r="S337" t="e">
        <f>'North America'!C906+"$F;@!1uV"</f>
        <v>#VALUE!</v>
      </c>
      <c r="T337" t="e">
        <f>'North America'!D906+"$F;@!1uW"</f>
        <v>#VALUE!</v>
      </c>
      <c r="U337" t="e">
        <f>'North America'!E906+"$F;@!1uX"</f>
        <v>#VALUE!</v>
      </c>
      <c r="V337" t="e">
        <f>'North America'!F906+"$F;@!1uY"</f>
        <v>#VALUE!</v>
      </c>
      <c r="W337" t="e">
        <f>'North America'!G906+"$F;@!1uZ"</f>
        <v>#VALUE!</v>
      </c>
      <c r="X337" t="e">
        <f>'North America'!H906+"$F;@!1u["</f>
        <v>#VALUE!</v>
      </c>
      <c r="Y337" t="e">
        <f>'North America'!A907+"$F;@!1u\"</f>
        <v>#VALUE!</v>
      </c>
      <c r="Z337" t="e">
        <f>'North America'!B907+"$F;@!1u]"</f>
        <v>#VALUE!</v>
      </c>
      <c r="AA337" t="e">
        <f>'North America'!C907+"$F;@!1u^"</f>
        <v>#VALUE!</v>
      </c>
      <c r="AB337" t="e">
        <f>'North America'!D907+"$F;@!1u_"</f>
        <v>#VALUE!</v>
      </c>
      <c r="AC337" t="e">
        <f>'North America'!E907+"$F;@!1u`"</f>
        <v>#VALUE!</v>
      </c>
      <c r="AD337" t="e">
        <f>'North America'!F907+"$F;@!1ua"</f>
        <v>#VALUE!</v>
      </c>
      <c r="AE337" t="e">
        <f>'North America'!G907+"$F;@!1ub"</f>
        <v>#VALUE!</v>
      </c>
      <c r="AF337" t="e">
        <f>'North America'!H907+"$F;@!1uc"</f>
        <v>#VALUE!</v>
      </c>
      <c r="AG337" t="e">
        <f>'North America'!A908+"$F;@!1ud"</f>
        <v>#VALUE!</v>
      </c>
      <c r="AH337" t="e">
        <f>'North America'!B908+"$F;@!1ue"</f>
        <v>#VALUE!</v>
      </c>
      <c r="AI337" t="e">
        <f>'North America'!C908+"$F;@!1uf"</f>
        <v>#VALUE!</v>
      </c>
      <c r="AJ337" t="e">
        <f>'North America'!D908+"$F;@!1ug"</f>
        <v>#VALUE!</v>
      </c>
      <c r="AK337" t="e">
        <f>'North America'!E908+"$F;@!1uh"</f>
        <v>#VALUE!</v>
      </c>
      <c r="AL337" t="e">
        <f>'North America'!F908+"$F;@!1ui"</f>
        <v>#VALUE!</v>
      </c>
      <c r="AM337" t="e">
        <f>'North America'!G908+"$F;@!1uj"</f>
        <v>#VALUE!</v>
      </c>
      <c r="AN337" t="e">
        <f>'North America'!H908+"$F;@!1uk"</f>
        <v>#VALUE!</v>
      </c>
      <c r="AO337" t="e">
        <f>'North America'!A909+"$F;@!1ul"</f>
        <v>#VALUE!</v>
      </c>
      <c r="AP337" t="e">
        <f>'North America'!B909+"$F;@!1um"</f>
        <v>#VALUE!</v>
      </c>
      <c r="AQ337" t="e">
        <f>'North America'!C909+"$F;@!1un"</f>
        <v>#VALUE!</v>
      </c>
      <c r="AR337" t="e">
        <f>'North America'!D909+"$F;@!1uo"</f>
        <v>#VALUE!</v>
      </c>
      <c r="AS337" t="e">
        <f>'North America'!E909+"$F;@!1up"</f>
        <v>#VALUE!</v>
      </c>
      <c r="AT337" t="e">
        <f>'North America'!F909+"$F;@!1uq"</f>
        <v>#VALUE!</v>
      </c>
      <c r="AU337" t="e">
        <f>'North America'!G909+"$F;@!1ur"</f>
        <v>#VALUE!</v>
      </c>
      <c r="AV337" t="e">
        <f>'North America'!H909+"$F;@!1us"</f>
        <v>#VALUE!</v>
      </c>
      <c r="AW337" t="e">
        <f>'North America'!A910+"$F;@!1ut"</f>
        <v>#VALUE!</v>
      </c>
      <c r="AX337" t="e">
        <f>'North America'!B910+"$F;@!1uu"</f>
        <v>#VALUE!</v>
      </c>
      <c r="AY337" t="e">
        <f>'North America'!C910+"$F;@!1uv"</f>
        <v>#VALUE!</v>
      </c>
      <c r="AZ337" t="e">
        <f>'North America'!D910+"$F;@!1uw"</f>
        <v>#VALUE!</v>
      </c>
      <c r="BA337" t="e">
        <f>'North America'!E910+"$F;@!1ux"</f>
        <v>#VALUE!</v>
      </c>
      <c r="BB337" t="e">
        <f>'North America'!F910+"$F;@!1uy"</f>
        <v>#VALUE!</v>
      </c>
      <c r="BC337" t="e">
        <f>'North America'!G910+"$F;@!1uz"</f>
        <v>#VALUE!</v>
      </c>
      <c r="BD337" t="e">
        <f>'North America'!H910+"$F;@!1u{"</f>
        <v>#VALUE!</v>
      </c>
      <c r="BE337" t="e">
        <f>'North America'!A911+"$F;@!1u|"</f>
        <v>#VALUE!</v>
      </c>
      <c r="BF337" t="e">
        <f>'North America'!B911+"$F;@!1u}"</f>
        <v>#VALUE!</v>
      </c>
      <c r="BG337" t="e">
        <f>'North America'!C911+"$F;@!1u~"</f>
        <v>#VALUE!</v>
      </c>
      <c r="BH337" t="e">
        <f>'North America'!D911+"$F;@!1v#"</f>
        <v>#VALUE!</v>
      </c>
      <c r="BI337" t="e">
        <f>'North America'!E911+"$F;@!1v$"</f>
        <v>#VALUE!</v>
      </c>
      <c r="BJ337" t="e">
        <f>'North America'!F911+"$F;@!1v%"</f>
        <v>#VALUE!</v>
      </c>
      <c r="BK337" t="e">
        <f>'North America'!G911+"$F;@!1v&amp;"</f>
        <v>#VALUE!</v>
      </c>
      <c r="BL337" t="e">
        <f>'North America'!H911+"$F;@!1v'"</f>
        <v>#VALUE!</v>
      </c>
      <c r="BM337" t="e">
        <f>'North America'!A912+"$F;@!1v("</f>
        <v>#VALUE!</v>
      </c>
      <c r="BN337" t="e">
        <f>'North America'!B912+"$F;@!1v)"</f>
        <v>#VALUE!</v>
      </c>
      <c r="BO337" t="e">
        <f>'North America'!C912+"$F;@!1v."</f>
        <v>#VALUE!</v>
      </c>
      <c r="BP337" t="e">
        <f>'North America'!D912+"$F;@!1v/"</f>
        <v>#VALUE!</v>
      </c>
      <c r="BQ337" t="e">
        <f>'North America'!E912+"$F;@!1v0"</f>
        <v>#VALUE!</v>
      </c>
      <c r="BR337" t="e">
        <f>'North America'!F912+"$F;@!1v1"</f>
        <v>#VALUE!</v>
      </c>
      <c r="BS337" t="e">
        <f>'North America'!G912+"$F;@!1v2"</f>
        <v>#VALUE!</v>
      </c>
      <c r="BT337" t="e">
        <f>'North America'!H912+"$F;@!1v3"</f>
        <v>#VALUE!</v>
      </c>
      <c r="BU337" t="e">
        <f>'North America'!A913+"$F;@!1v4"</f>
        <v>#VALUE!</v>
      </c>
      <c r="BV337" t="e">
        <f>'North America'!B913+"$F;@!1v5"</f>
        <v>#VALUE!</v>
      </c>
      <c r="BW337" t="e">
        <f>'North America'!C913+"$F;@!1v6"</f>
        <v>#VALUE!</v>
      </c>
      <c r="BX337" t="e">
        <f>'North America'!D913+"$F;@!1v7"</f>
        <v>#VALUE!</v>
      </c>
      <c r="BY337" t="e">
        <f>'North America'!E913+"$F;@!1v8"</f>
        <v>#VALUE!</v>
      </c>
      <c r="BZ337" t="e">
        <f>'North America'!F913+"$F;@!1v9"</f>
        <v>#VALUE!</v>
      </c>
      <c r="CA337" t="e">
        <f>'North America'!G913+"$F;@!1v:"</f>
        <v>#VALUE!</v>
      </c>
      <c r="CB337" t="e">
        <f>'North America'!H913+"$F;@!1v;"</f>
        <v>#VALUE!</v>
      </c>
      <c r="CC337" t="e">
        <f>'North America'!A914+"$F;@!1v&lt;"</f>
        <v>#VALUE!</v>
      </c>
      <c r="CD337" t="e">
        <f>'North America'!B914+"$F;@!1v="</f>
        <v>#VALUE!</v>
      </c>
      <c r="CE337" t="e">
        <f>'North America'!C914+"$F;@!1v&gt;"</f>
        <v>#VALUE!</v>
      </c>
      <c r="CF337" t="e">
        <f>'North America'!D914+"$F;@!1v?"</f>
        <v>#VALUE!</v>
      </c>
      <c r="CG337" t="e">
        <f>'North America'!E914+"$F;@!1v@"</f>
        <v>#VALUE!</v>
      </c>
      <c r="CH337" t="e">
        <f>'North America'!F914+"$F;@!1vA"</f>
        <v>#VALUE!</v>
      </c>
      <c r="CI337" t="e">
        <f>'North America'!G914+"$F;@!1vB"</f>
        <v>#VALUE!</v>
      </c>
      <c r="CJ337" t="e">
        <f>'North America'!H914+"$F;@!1vC"</f>
        <v>#VALUE!</v>
      </c>
      <c r="CK337" t="e">
        <f>'North America'!A915+"$F;@!1vD"</f>
        <v>#VALUE!</v>
      </c>
      <c r="CL337" t="e">
        <f>'North America'!B915+"$F;@!1vE"</f>
        <v>#VALUE!</v>
      </c>
      <c r="CM337" t="e">
        <f>'North America'!C915+"$F;@!1vF"</f>
        <v>#VALUE!</v>
      </c>
      <c r="CN337" t="e">
        <f>'North America'!D915+"$F;@!1vG"</f>
        <v>#VALUE!</v>
      </c>
      <c r="CO337" t="e">
        <f>'North America'!E915+"$F;@!1vH"</f>
        <v>#VALUE!</v>
      </c>
      <c r="CP337" t="e">
        <f>'North America'!F915+"$F;@!1vI"</f>
        <v>#VALUE!</v>
      </c>
      <c r="CQ337" t="e">
        <f>'North America'!G915+"$F;@!1vJ"</f>
        <v>#VALUE!</v>
      </c>
      <c r="CR337" t="e">
        <f>'North America'!H915+"$F;@!1vK"</f>
        <v>#VALUE!</v>
      </c>
      <c r="CS337" t="e">
        <f>'North America'!A916+"$F;@!1vL"</f>
        <v>#VALUE!</v>
      </c>
      <c r="CT337" t="e">
        <f>'North America'!B916+"$F;@!1vM"</f>
        <v>#VALUE!</v>
      </c>
      <c r="CU337" t="e">
        <f>'North America'!C916+"$F;@!1vN"</f>
        <v>#VALUE!</v>
      </c>
      <c r="CV337" t="e">
        <f>'North America'!D916+"$F;@!1vO"</f>
        <v>#VALUE!</v>
      </c>
      <c r="CW337" t="e">
        <f>'North America'!E916+"$F;@!1vP"</f>
        <v>#VALUE!</v>
      </c>
      <c r="CX337" t="e">
        <f>'North America'!F916+"$F;@!1vQ"</f>
        <v>#VALUE!</v>
      </c>
      <c r="CY337" t="e">
        <f>'North America'!G916+"$F;@!1vR"</f>
        <v>#VALUE!</v>
      </c>
      <c r="CZ337" t="e">
        <f>'North America'!H916+"$F;@!1vS"</f>
        <v>#VALUE!</v>
      </c>
      <c r="DA337" t="e">
        <f>'North America'!A917+"$F;@!1vT"</f>
        <v>#VALUE!</v>
      </c>
      <c r="DB337" t="e">
        <f>'North America'!B917+"$F;@!1vU"</f>
        <v>#VALUE!</v>
      </c>
      <c r="DC337" t="e">
        <f>'North America'!C917+"$F;@!1vV"</f>
        <v>#VALUE!</v>
      </c>
      <c r="DD337" t="e">
        <f>'North America'!D917+"$F;@!1vW"</f>
        <v>#VALUE!</v>
      </c>
      <c r="DE337" t="e">
        <f>'North America'!E917+"$F;@!1vX"</f>
        <v>#VALUE!</v>
      </c>
      <c r="DF337" t="e">
        <f>'North America'!F917+"$F;@!1vY"</f>
        <v>#VALUE!</v>
      </c>
      <c r="DG337" t="e">
        <f>'North America'!G917+"$F;@!1vZ"</f>
        <v>#VALUE!</v>
      </c>
      <c r="DH337" t="e">
        <f>'North America'!H917+"$F;@!1v["</f>
        <v>#VALUE!</v>
      </c>
      <c r="DI337" t="e">
        <f>'North America'!A918+"$F;@!1v\"</f>
        <v>#VALUE!</v>
      </c>
      <c r="DJ337" t="e">
        <f>'North America'!B918+"$F;@!1v]"</f>
        <v>#VALUE!</v>
      </c>
      <c r="DK337" t="e">
        <f>'North America'!C918+"$F;@!1v^"</f>
        <v>#VALUE!</v>
      </c>
      <c r="DL337" t="e">
        <f>'North America'!D918+"$F;@!1v_"</f>
        <v>#VALUE!</v>
      </c>
      <c r="DM337" t="e">
        <f>'North America'!E918+"$F;@!1v`"</f>
        <v>#VALUE!</v>
      </c>
      <c r="DN337" t="e">
        <f>'North America'!F918+"$F;@!1va"</f>
        <v>#VALUE!</v>
      </c>
      <c r="DO337" t="e">
        <f>'North America'!G918+"$F;@!1vb"</f>
        <v>#VALUE!</v>
      </c>
      <c r="DP337" t="e">
        <f>'North America'!H918+"$F;@!1vc"</f>
        <v>#VALUE!</v>
      </c>
      <c r="DQ337" t="e">
        <f>'North America'!A919+"$F;@!1vd"</f>
        <v>#VALUE!</v>
      </c>
      <c r="DR337" t="e">
        <f>'North America'!B919+"$F;@!1ve"</f>
        <v>#VALUE!</v>
      </c>
      <c r="DS337" t="e">
        <f>'North America'!C919+"$F;@!1vf"</f>
        <v>#VALUE!</v>
      </c>
      <c r="DT337" t="e">
        <f>'North America'!D919+"$F;@!1vg"</f>
        <v>#VALUE!</v>
      </c>
      <c r="DU337" t="e">
        <f>'North America'!E919+"$F;@!1vh"</f>
        <v>#VALUE!</v>
      </c>
      <c r="DV337" t="e">
        <f>'North America'!F919+"$F;@!1vi"</f>
        <v>#VALUE!</v>
      </c>
      <c r="DW337" t="e">
        <f>'North America'!G919+"$F;@!1vj"</f>
        <v>#VALUE!</v>
      </c>
      <c r="DX337" t="e">
        <f>'North America'!H919+"$F;@!1vk"</f>
        <v>#VALUE!</v>
      </c>
      <c r="DY337" t="e">
        <f>'North America'!A920+"$F;@!1vl"</f>
        <v>#VALUE!</v>
      </c>
      <c r="DZ337" t="e">
        <f>'North America'!B920+"$F;@!1vm"</f>
        <v>#VALUE!</v>
      </c>
      <c r="EA337" t="e">
        <f>'North America'!C920+"$F;@!1vn"</f>
        <v>#VALUE!</v>
      </c>
      <c r="EB337" t="e">
        <f>'North America'!D920+"$F;@!1vo"</f>
        <v>#VALUE!</v>
      </c>
      <c r="EC337" t="e">
        <f>'North America'!E920+"$F;@!1vp"</f>
        <v>#VALUE!</v>
      </c>
      <c r="ED337" t="e">
        <f>'North America'!F920+"$F;@!1vq"</f>
        <v>#VALUE!</v>
      </c>
      <c r="EE337" t="e">
        <f>'North America'!G920+"$F;@!1vr"</f>
        <v>#VALUE!</v>
      </c>
      <c r="EF337" t="e">
        <f>'North America'!H920+"$F;@!1vs"</f>
        <v>#VALUE!</v>
      </c>
      <c r="EG337" t="e">
        <f>'North America'!A921+"$F;@!1vt"</f>
        <v>#VALUE!</v>
      </c>
      <c r="EH337" t="e">
        <f>'North America'!B921+"$F;@!1vu"</f>
        <v>#VALUE!</v>
      </c>
      <c r="EI337" t="e">
        <f>'North America'!C921+"$F;@!1vv"</f>
        <v>#VALUE!</v>
      </c>
      <c r="EJ337" t="e">
        <f>'North America'!D921+"$F;@!1vw"</f>
        <v>#VALUE!</v>
      </c>
      <c r="EK337" t="e">
        <f>'North America'!E921+"$F;@!1vx"</f>
        <v>#VALUE!</v>
      </c>
      <c r="EL337" t="e">
        <f>'North America'!F921+"$F;@!1vy"</f>
        <v>#VALUE!</v>
      </c>
      <c r="EM337" t="e">
        <f>'North America'!G921+"$F;@!1vz"</f>
        <v>#VALUE!</v>
      </c>
      <c r="EN337" t="e">
        <f>'North America'!H921+"$F;@!1v{"</f>
        <v>#VALUE!</v>
      </c>
      <c r="EO337" t="e">
        <f>'North America'!A922+"$F;@!1v|"</f>
        <v>#VALUE!</v>
      </c>
      <c r="EP337" t="e">
        <f>'North America'!B922+"$F;@!1v}"</f>
        <v>#VALUE!</v>
      </c>
      <c r="EQ337" t="e">
        <f>'North America'!C922+"$F;@!1v~"</f>
        <v>#VALUE!</v>
      </c>
      <c r="ER337" t="e">
        <f>'North America'!D922+"$F;@!1w#"</f>
        <v>#VALUE!</v>
      </c>
      <c r="ES337" t="e">
        <f>'North America'!E922+"$F;@!1w$"</f>
        <v>#VALUE!</v>
      </c>
      <c r="ET337" t="e">
        <f>'North America'!F922+"$F;@!1w%"</f>
        <v>#VALUE!</v>
      </c>
      <c r="EU337" t="e">
        <f>'North America'!G922+"$F;@!1w&amp;"</f>
        <v>#VALUE!</v>
      </c>
      <c r="EV337" t="e">
        <f>'North America'!H922+"$F;@!1w'"</f>
        <v>#VALUE!</v>
      </c>
      <c r="EW337" t="e">
        <f>'North America'!A923+"$F;@!1w("</f>
        <v>#VALUE!</v>
      </c>
      <c r="EX337" t="e">
        <f>'North America'!B923+"$F;@!1w)"</f>
        <v>#VALUE!</v>
      </c>
      <c r="EY337" t="e">
        <f>'North America'!C923+"$F;@!1w."</f>
        <v>#VALUE!</v>
      </c>
      <c r="EZ337" t="e">
        <f>'North America'!D923+"$F;@!1w/"</f>
        <v>#VALUE!</v>
      </c>
      <c r="FA337" t="e">
        <f>'North America'!E923+"$F;@!1w0"</f>
        <v>#VALUE!</v>
      </c>
      <c r="FB337" t="e">
        <f>'North America'!F923+"$F;@!1w1"</f>
        <v>#VALUE!</v>
      </c>
      <c r="FC337" t="e">
        <f>'North America'!G923+"$F;@!1w2"</f>
        <v>#VALUE!</v>
      </c>
      <c r="FD337" t="e">
        <f>'North America'!H923+"$F;@!1w3"</f>
        <v>#VALUE!</v>
      </c>
      <c r="FE337" t="e">
        <f>'North America'!A924+"$F;@!1w4"</f>
        <v>#VALUE!</v>
      </c>
      <c r="FF337" t="e">
        <f>'North America'!B924+"$F;@!1w5"</f>
        <v>#VALUE!</v>
      </c>
      <c r="FG337" t="e">
        <f>'North America'!C924+"$F;@!1w6"</f>
        <v>#VALUE!</v>
      </c>
      <c r="FH337" t="e">
        <f>'North America'!D924+"$F;@!1w7"</f>
        <v>#VALUE!</v>
      </c>
      <c r="FI337" t="e">
        <f>'North America'!E924+"$F;@!1w8"</f>
        <v>#VALUE!</v>
      </c>
      <c r="FJ337" t="e">
        <f>'North America'!F924+"$F;@!1w9"</f>
        <v>#VALUE!</v>
      </c>
      <c r="FK337" t="e">
        <f>'North America'!G924+"$F;@!1w:"</f>
        <v>#VALUE!</v>
      </c>
      <c r="FL337" t="e">
        <f>'North America'!H924+"$F;@!1w;"</f>
        <v>#VALUE!</v>
      </c>
      <c r="FM337" t="e">
        <f>'North America'!A925+"$F;@!1w&lt;"</f>
        <v>#VALUE!</v>
      </c>
      <c r="FN337" t="e">
        <f>'North America'!B925+"$F;@!1w="</f>
        <v>#VALUE!</v>
      </c>
      <c r="FO337" t="e">
        <f>'North America'!C925+"$F;@!1w&gt;"</f>
        <v>#VALUE!</v>
      </c>
      <c r="FP337" t="e">
        <f>'North America'!D925+"$F;@!1w?"</f>
        <v>#VALUE!</v>
      </c>
      <c r="FQ337" t="e">
        <f>'North America'!E925+"$F;@!1w@"</f>
        <v>#VALUE!</v>
      </c>
      <c r="FR337" t="e">
        <f>'North America'!F925+"$F;@!1wA"</f>
        <v>#VALUE!</v>
      </c>
      <c r="FS337" t="e">
        <f>'North America'!G925+"$F;@!1wB"</f>
        <v>#VALUE!</v>
      </c>
      <c r="FT337" t="e">
        <f>'North America'!H925+"$F;@!1wC"</f>
        <v>#VALUE!</v>
      </c>
      <c r="FU337" t="e">
        <f>'North America'!A926+"$F;@!1wD"</f>
        <v>#VALUE!</v>
      </c>
      <c r="FV337" t="e">
        <f>'North America'!B926+"$F;@!1wE"</f>
        <v>#VALUE!</v>
      </c>
      <c r="FW337" t="e">
        <f>'North America'!C926+"$F;@!1wF"</f>
        <v>#VALUE!</v>
      </c>
      <c r="FX337" t="e">
        <f>'North America'!D926+"$F;@!1wG"</f>
        <v>#VALUE!</v>
      </c>
      <c r="FY337" t="e">
        <f>'North America'!E926+"$F;@!1wH"</f>
        <v>#VALUE!</v>
      </c>
      <c r="FZ337" t="e">
        <f>'North America'!F926+"$F;@!1wI"</f>
        <v>#VALUE!</v>
      </c>
      <c r="GA337" t="e">
        <f>'North America'!G926+"$F;@!1wJ"</f>
        <v>#VALUE!</v>
      </c>
      <c r="GB337" t="e">
        <f>'North America'!H926+"$F;@!1wK"</f>
        <v>#VALUE!</v>
      </c>
      <c r="GC337" t="e">
        <f>'North America'!A927+"$F;@!1wL"</f>
        <v>#VALUE!</v>
      </c>
      <c r="GD337" t="e">
        <f>'North America'!B927+"$F;@!1wM"</f>
        <v>#VALUE!</v>
      </c>
      <c r="GE337" t="e">
        <f>'North America'!C927+"$F;@!1wN"</f>
        <v>#VALUE!</v>
      </c>
      <c r="GF337" t="e">
        <f>'North America'!D927+"$F;@!1wO"</f>
        <v>#VALUE!</v>
      </c>
      <c r="GG337" t="e">
        <f>'North America'!E927+"$F;@!1wP"</f>
        <v>#VALUE!</v>
      </c>
      <c r="GH337" t="e">
        <f>'North America'!F927+"$F;@!1wQ"</f>
        <v>#VALUE!</v>
      </c>
      <c r="GI337" t="e">
        <f>'North America'!G927+"$F;@!1wR"</f>
        <v>#VALUE!</v>
      </c>
      <c r="GJ337" t="e">
        <f>'North America'!H927+"$F;@!1wS"</f>
        <v>#VALUE!</v>
      </c>
      <c r="GK337" t="e">
        <f>'North America'!A928+"$F;@!1wT"</f>
        <v>#VALUE!</v>
      </c>
      <c r="GL337" t="e">
        <f>'North America'!B928+"$F;@!1wU"</f>
        <v>#VALUE!</v>
      </c>
      <c r="GM337" t="e">
        <f>'North America'!C928+"$F;@!1wV"</f>
        <v>#VALUE!</v>
      </c>
      <c r="GN337" t="e">
        <f>'North America'!D928+"$F;@!1wW"</f>
        <v>#VALUE!</v>
      </c>
      <c r="GO337" t="e">
        <f>'North America'!E928+"$F;@!1wX"</f>
        <v>#VALUE!</v>
      </c>
      <c r="GP337" t="e">
        <f>'North America'!F928+"$F;@!1wY"</f>
        <v>#VALUE!</v>
      </c>
      <c r="GQ337" t="e">
        <f>'North America'!G928+"$F;@!1wZ"</f>
        <v>#VALUE!</v>
      </c>
      <c r="GR337" t="e">
        <f>'North America'!H928+"$F;@!1w["</f>
        <v>#VALUE!</v>
      </c>
      <c r="GS337" t="e">
        <f>'North America'!A929+"$F;@!1w\"</f>
        <v>#VALUE!</v>
      </c>
      <c r="GT337" t="e">
        <f>'North America'!B929+"$F;@!1w]"</f>
        <v>#VALUE!</v>
      </c>
      <c r="GU337" t="e">
        <f>'North America'!C929+"$F;@!1w^"</f>
        <v>#VALUE!</v>
      </c>
      <c r="GV337" t="e">
        <f>'North America'!D929+"$F;@!1w_"</f>
        <v>#VALUE!</v>
      </c>
      <c r="GW337" t="e">
        <f>'North America'!E929+"$F;@!1w`"</f>
        <v>#VALUE!</v>
      </c>
      <c r="GX337" t="e">
        <f>'North America'!F929+"$F;@!1wa"</f>
        <v>#VALUE!</v>
      </c>
      <c r="GY337" t="e">
        <f>'North America'!G929+"$F;@!1wb"</f>
        <v>#VALUE!</v>
      </c>
      <c r="GZ337" t="e">
        <f>'North America'!H929+"$F;@!1wc"</f>
        <v>#VALUE!</v>
      </c>
      <c r="HA337" t="e">
        <f>'North America'!A930+"$F;@!1wd"</f>
        <v>#VALUE!</v>
      </c>
      <c r="HB337" t="e">
        <f>'North America'!B930+"$F;@!1we"</f>
        <v>#VALUE!</v>
      </c>
      <c r="HC337" t="e">
        <f>'North America'!C930+"$F;@!1wf"</f>
        <v>#VALUE!</v>
      </c>
      <c r="HD337" t="e">
        <f>'North America'!D930+"$F;@!1wg"</f>
        <v>#VALUE!</v>
      </c>
      <c r="HE337" t="e">
        <f>'North America'!E930+"$F;@!1wh"</f>
        <v>#VALUE!</v>
      </c>
      <c r="HF337" t="e">
        <f>'North America'!F930+"$F;@!1wi"</f>
        <v>#VALUE!</v>
      </c>
      <c r="HG337" t="e">
        <f>'North America'!G930+"$F;@!1wj"</f>
        <v>#VALUE!</v>
      </c>
      <c r="HH337" t="e">
        <f>'North America'!H930+"$F;@!1wk"</f>
        <v>#VALUE!</v>
      </c>
      <c r="HI337" t="e">
        <f>'North America'!A931+"$F;@!1wl"</f>
        <v>#VALUE!</v>
      </c>
      <c r="HJ337" t="e">
        <f>'North America'!B931+"$F;@!1wm"</f>
        <v>#VALUE!</v>
      </c>
      <c r="HK337" t="e">
        <f>'North America'!C931+"$F;@!1wn"</f>
        <v>#VALUE!</v>
      </c>
      <c r="HL337" t="e">
        <f>'North America'!D931+"$F;@!1wo"</f>
        <v>#VALUE!</v>
      </c>
      <c r="HM337" t="e">
        <f>'North America'!E931+"$F;@!1wp"</f>
        <v>#VALUE!</v>
      </c>
      <c r="HN337" t="e">
        <f>'North America'!F931+"$F;@!1wq"</f>
        <v>#VALUE!</v>
      </c>
      <c r="HO337" t="e">
        <f>'North America'!G931+"$F;@!1wr"</f>
        <v>#VALUE!</v>
      </c>
      <c r="HP337" t="e">
        <f>'North America'!H931+"$F;@!1ws"</f>
        <v>#VALUE!</v>
      </c>
      <c r="HQ337" t="e">
        <f>'North America'!A932+"$F;@!1wt"</f>
        <v>#VALUE!</v>
      </c>
      <c r="HR337" t="e">
        <f>'North America'!B932+"$F;@!1wu"</f>
        <v>#VALUE!</v>
      </c>
      <c r="HS337" t="e">
        <f>'North America'!C932+"$F;@!1wv"</f>
        <v>#VALUE!</v>
      </c>
      <c r="HT337" t="e">
        <f>'North America'!D932+"$F;@!1ww"</f>
        <v>#VALUE!</v>
      </c>
      <c r="HU337" t="e">
        <f>'North America'!E932+"$F;@!1wx"</f>
        <v>#VALUE!</v>
      </c>
      <c r="HV337" t="e">
        <f>'North America'!F932+"$F;@!1wy"</f>
        <v>#VALUE!</v>
      </c>
      <c r="HW337" t="e">
        <f>'North America'!G932+"$F;@!1wz"</f>
        <v>#VALUE!</v>
      </c>
      <c r="HX337" t="e">
        <f>'North America'!H932+"$F;@!1w{"</f>
        <v>#VALUE!</v>
      </c>
      <c r="HY337" t="e">
        <f>'North America'!A933+"$F;@!1w|"</f>
        <v>#VALUE!</v>
      </c>
      <c r="HZ337" t="e">
        <f>'North America'!B933+"$F;@!1w}"</f>
        <v>#VALUE!</v>
      </c>
      <c r="IA337" t="e">
        <f>'North America'!C933+"$F;@!1w~"</f>
        <v>#VALUE!</v>
      </c>
      <c r="IB337" t="e">
        <f>'North America'!D933+"$F;@!1x#"</f>
        <v>#VALUE!</v>
      </c>
      <c r="IC337" t="e">
        <f>'North America'!E933+"$F;@!1x$"</f>
        <v>#VALUE!</v>
      </c>
      <c r="ID337" t="e">
        <f>'North America'!F933+"$F;@!1x%"</f>
        <v>#VALUE!</v>
      </c>
      <c r="IE337" t="e">
        <f>'North America'!G933+"$F;@!1x&amp;"</f>
        <v>#VALUE!</v>
      </c>
      <c r="IF337" t="e">
        <f>'North America'!H933+"$F;@!1x'"</f>
        <v>#VALUE!</v>
      </c>
      <c r="IG337" t="e">
        <f>'North America'!A934+"$F;@!1x("</f>
        <v>#VALUE!</v>
      </c>
      <c r="IH337" t="e">
        <f>'North America'!B934+"$F;@!1x)"</f>
        <v>#VALUE!</v>
      </c>
      <c r="II337" t="e">
        <f>'North America'!C934+"$F;@!1x."</f>
        <v>#VALUE!</v>
      </c>
      <c r="IJ337" t="e">
        <f>'North America'!D934+"$F;@!1x/"</f>
        <v>#VALUE!</v>
      </c>
      <c r="IK337" t="e">
        <f>'North America'!E934+"$F;@!1x0"</f>
        <v>#VALUE!</v>
      </c>
      <c r="IL337" t="e">
        <f>'North America'!F934+"$F;@!1x1"</f>
        <v>#VALUE!</v>
      </c>
      <c r="IM337" t="e">
        <f>'North America'!G934+"$F;@!1x2"</f>
        <v>#VALUE!</v>
      </c>
      <c r="IN337" t="e">
        <f>'North America'!H934+"$F;@!1x3"</f>
        <v>#VALUE!</v>
      </c>
      <c r="IO337" t="e">
        <f>'North America'!A935+"$F;@!1x4"</f>
        <v>#VALUE!</v>
      </c>
      <c r="IP337" t="e">
        <f>'North America'!B935+"$F;@!1x5"</f>
        <v>#VALUE!</v>
      </c>
      <c r="IQ337" t="e">
        <f>'North America'!C935+"$F;@!1x6"</f>
        <v>#VALUE!</v>
      </c>
      <c r="IR337" t="e">
        <f>'North America'!D935+"$F;@!1x7"</f>
        <v>#VALUE!</v>
      </c>
      <c r="IS337" t="e">
        <f>'North America'!E935+"$F;@!1x8"</f>
        <v>#VALUE!</v>
      </c>
      <c r="IT337" t="e">
        <f>'North America'!F935+"$F;@!1x9"</f>
        <v>#VALUE!</v>
      </c>
      <c r="IU337" t="e">
        <f>'North America'!G935+"$F;@!1x:"</f>
        <v>#VALUE!</v>
      </c>
      <c r="IV337" t="e">
        <f>'North America'!H935+"$F;@!1x;"</f>
        <v>#VALUE!</v>
      </c>
    </row>
    <row r="338" spans="6:256" x14ac:dyDescent="0.35">
      <c r="F338" t="e">
        <f>'North America'!A936+"$F;@!1x&lt;"</f>
        <v>#VALUE!</v>
      </c>
      <c r="G338" t="e">
        <f>'North America'!B936+"$F;@!1x="</f>
        <v>#VALUE!</v>
      </c>
      <c r="H338" t="e">
        <f>'North America'!C936+"$F;@!1x&gt;"</f>
        <v>#VALUE!</v>
      </c>
      <c r="I338" t="e">
        <f>'North America'!D936+"$F;@!1x?"</f>
        <v>#VALUE!</v>
      </c>
      <c r="J338" t="e">
        <f>'North America'!E936+"$F;@!1x@"</f>
        <v>#VALUE!</v>
      </c>
      <c r="K338" t="e">
        <f>'North America'!F936+"$F;@!1xA"</f>
        <v>#VALUE!</v>
      </c>
      <c r="L338" t="e">
        <f>'North America'!G936+"$F;@!1xB"</f>
        <v>#VALUE!</v>
      </c>
      <c r="M338" t="e">
        <f>'North America'!H936+"$F;@!1xC"</f>
        <v>#VALUE!</v>
      </c>
      <c r="N338" t="e">
        <f>'North America'!A937+"$F;@!1xD"</f>
        <v>#VALUE!</v>
      </c>
      <c r="O338" t="e">
        <f>'North America'!B937+"$F;@!1xE"</f>
        <v>#VALUE!</v>
      </c>
      <c r="P338" t="e">
        <f>'North America'!C937+"$F;@!1xF"</f>
        <v>#VALUE!</v>
      </c>
      <c r="Q338" t="e">
        <f>'North America'!D937+"$F;@!1xG"</f>
        <v>#VALUE!</v>
      </c>
      <c r="R338" t="e">
        <f>'North America'!E937+"$F;@!1xH"</f>
        <v>#VALUE!</v>
      </c>
      <c r="S338" t="e">
        <f>'North America'!F937+"$F;@!1xI"</f>
        <v>#VALUE!</v>
      </c>
      <c r="T338" t="e">
        <f>'North America'!G937+"$F;@!1xJ"</f>
        <v>#VALUE!</v>
      </c>
      <c r="U338" t="e">
        <f>'North America'!H937+"$F;@!1xK"</f>
        <v>#VALUE!</v>
      </c>
      <c r="V338" t="e">
        <f>'North America'!A938+"$F;@!1xL"</f>
        <v>#VALUE!</v>
      </c>
      <c r="W338" t="e">
        <f>'North America'!B938+"$F;@!1xM"</f>
        <v>#VALUE!</v>
      </c>
      <c r="X338" t="e">
        <f>'North America'!C938+"$F;@!1xN"</f>
        <v>#VALUE!</v>
      </c>
      <c r="Y338" t="e">
        <f>'North America'!D938+"$F;@!1xO"</f>
        <v>#VALUE!</v>
      </c>
      <c r="Z338" t="e">
        <f>'North America'!E938+"$F;@!1xP"</f>
        <v>#VALUE!</v>
      </c>
      <c r="AA338" t="e">
        <f>'North America'!F938+"$F;@!1xQ"</f>
        <v>#VALUE!</v>
      </c>
      <c r="AB338" t="e">
        <f>'North America'!G938+"$F;@!1xR"</f>
        <v>#VALUE!</v>
      </c>
      <c r="AC338" t="e">
        <f>'North America'!H938+"$F;@!1xS"</f>
        <v>#VALUE!</v>
      </c>
      <c r="AD338" t="e">
        <f>'North America'!A939+"$F;@!1xT"</f>
        <v>#VALUE!</v>
      </c>
      <c r="AE338" t="e">
        <f>'North America'!B939+"$F;@!1xU"</f>
        <v>#VALUE!</v>
      </c>
      <c r="AF338" t="e">
        <f>'North America'!C939+"$F;@!1xV"</f>
        <v>#VALUE!</v>
      </c>
      <c r="AG338" t="e">
        <f>'North America'!D939+"$F;@!1xW"</f>
        <v>#VALUE!</v>
      </c>
      <c r="AH338" t="e">
        <f>'North America'!E939+"$F;@!1xX"</f>
        <v>#VALUE!</v>
      </c>
      <c r="AI338" t="e">
        <f>'North America'!F939+"$F;@!1xY"</f>
        <v>#VALUE!</v>
      </c>
      <c r="AJ338" t="e">
        <f>'North America'!G939+"$F;@!1xZ"</f>
        <v>#VALUE!</v>
      </c>
      <c r="AK338" t="e">
        <f>'North America'!H939+"$F;@!1x["</f>
        <v>#VALUE!</v>
      </c>
      <c r="AL338" t="e">
        <f>'North America'!A940+"$F;@!1x\"</f>
        <v>#VALUE!</v>
      </c>
      <c r="AM338" t="e">
        <f>'North America'!B940+"$F;@!1x]"</f>
        <v>#VALUE!</v>
      </c>
      <c r="AN338" t="e">
        <f>'North America'!C940+"$F;@!1x^"</f>
        <v>#VALUE!</v>
      </c>
      <c r="AO338" t="e">
        <f>'North America'!D940+"$F;@!1x_"</f>
        <v>#VALUE!</v>
      </c>
      <c r="AP338" t="e">
        <f>'North America'!E940+"$F;@!1x`"</f>
        <v>#VALUE!</v>
      </c>
      <c r="AQ338" t="e">
        <f>'North America'!F940+"$F;@!1xa"</f>
        <v>#VALUE!</v>
      </c>
      <c r="AR338" t="e">
        <f>'North America'!G940+"$F;@!1xb"</f>
        <v>#VALUE!</v>
      </c>
      <c r="AS338" t="e">
        <f>'North America'!H940+"$F;@!1xc"</f>
        <v>#VALUE!</v>
      </c>
      <c r="AT338" t="e">
        <f>'North America'!A941+"$F;@!1xd"</f>
        <v>#VALUE!</v>
      </c>
      <c r="AU338" t="e">
        <f>'North America'!B941+"$F;@!1xe"</f>
        <v>#VALUE!</v>
      </c>
      <c r="AV338" t="e">
        <f>'North America'!C941+"$F;@!1xf"</f>
        <v>#VALUE!</v>
      </c>
      <c r="AW338" t="e">
        <f>'North America'!D941+"$F;@!1xg"</f>
        <v>#VALUE!</v>
      </c>
      <c r="AX338" t="e">
        <f>'North America'!E941+"$F;@!1xh"</f>
        <v>#VALUE!</v>
      </c>
      <c r="AY338" t="e">
        <f>'North America'!F941+"$F;@!1xi"</f>
        <v>#VALUE!</v>
      </c>
      <c r="AZ338" t="e">
        <f>'North America'!G941+"$F;@!1xj"</f>
        <v>#VALUE!</v>
      </c>
      <c r="BA338" t="e">
        <f>'North America'!H941+"$F;@!1xk"</f>
        <v>#VALUE!</v>
      </c>
      <c r="BB338" t="e">
        <f>'North America'!A942+"$F;@!1xl"</f>
        <v>#VALUE!</v>
      </c>
      <c r="BC338" t="e">
        <f>'North America'!B942+"$F;@!1xm"</f>
        <v>#VALUE!</v>
      </c>
      <c r="BD338" t="e">
        <f>'North America'!C942+"$F;@!1xn"</f>
        <v>#VALUE!</v>
      </c>
      <c r="BE338" t="e">
        <f>'North America'!D942+"$F;@!1xo"</f>
        <v>#VALUE!</v>
      </c>
      <c r="BF338" t="e">
        <f>'North America'!E942+"$F;@!1xp"</f>
        <v>#VALUE!</v>
      </c>
      <c r="BG338" t="e">
        <f>'North America'!F942+"$F;@!1xq"</f>
        <v>#VALUE!</v>
      </c>
      <c r="BH338" t="e">
        <f>'North America'!G942+"$F;@!1xr"</f>
        <v>#VALUE!</v>
      </c>
      <c r="BI338" t="e">
        <f>'North America'!H942+"$F;@!1xs"</f>
        <v>#VALUE!</v>
      </c>
      <c r="BJ338" t="e">
        <f>'North America'!A943+"$F;@!1xt"</f>
        <v>#VALUE!</v>
      </c>
      <c r="BK338" t="e">
        <f>'North America'!B943+"$F;@!1xu"</f>
        <v>#VALUE!</v>
      </c>
      <c r="BL338" t="e">
        <f>'North America'!C943+"$F;@!1xv"</f>
        <v>#VALUE!</v>
      </c>
      <c r="BM338" t="e">
        <f>'North America'!D943+"$F;@!1xw"</f>
        <v>#VALUE!</v>
      </c>
      <c r="BN338" t="e">
        <f>'North America'!E943+"$F;@!1xx"</f>
        <v>#VALUE!</v>
      </c>
      <c r="BO338" t="e">
        <f>'North America'!F943+"$F;@!1xy"</f>
        <v>#VALUE!</v>
      </c>
      <c r="BP338" t="e">
        <f>'North America'!G943+"$F;@!1xz"</f>
        <v>#VALUE!</v>
      </c>
      <c r="BQ338" t="e">
        <f>'North America'!H943+"$F;@!1x{"</f>
        <v>#VALUE!</v>
      </c>
      <c r="BR338" t="e">
        <f>'North America'!A944+"$F;@!1x|"</f>
        <v>#VALUE!</v>
      </c>
      <c r="BS338" t="e">
        <f>'North America'!B944+"$F;@!1x}"</f>
        <v>#VALUE!</v>
      </c>
      <c r="BT338" t="e">
        <f>'North America'!C944+"$F;@!1x~"</f>
        <v>#VALUE!</v>
      </c>
      <c r="BU338" t="e">
        <f>'North America'!D944+"$F;@!1y#"</f>
        <v>#VALUE!</v>
      </c>
      <c r="BV338" t="e">
        <f>'North America'!E944+"$F;@!1y$"</f>
        <v>#VALUE!</v>
      </c>
      <c r="BW338" t="e">
        <f>'North America'!F944+"$F;@!1y%"</f>
        <v>#VALUE!</v>
      </c>
      <c r="BX338" t="e">
        <f>'North America'!G944+"$F;@!1y&amp;"</f>
        <v>#VALUE!</v>
      </c>
      <c r="BY338" t="e">
        <f>'North America'!H944+"$F;@!1y'"</f>
        <v>#VALUE!</v>
      </c>
      <c r="BZ338" t="e">
        <f>'North America'!A945+"$F;@!1y("</f>
        <v>#VALUE!</v>
      </c>
      <c r="CA338" t="e">
        <f>'North America'!B945+"$F;@!1y)"</f>
        <v>#VALUE!</v>
      </c>
      <c r="CB338" t="e">
        <f>'North America'!C945+"$F;@!1y."</f>
        <v>#VALUE!</v>
      </c>
      <c r="CC338" t="e">
        <f>'North America'!D945+"$F;@!1y/"</f>
        <v>#VALUE!</v>
      </c>
      <c r="CD338" t="e">
        <f>'North America'!E945+"$F;@!1y0"</f>
        <v>#VALUE!</v>
      </c>
      <c r="CE338" t="e">
        <f>'North America'!F945+"$F;@!1y1"</f>
        <v>#VALUE!</v>
      </c>
      <c r="CF338" t="e">
        <f>'North America'!G945+"$F;@!1y2"</f>
        <v>#VALUE!</v>
      </c>
      <c r="CG338" t="e">
        <f>'North America'!H945+"$F;@!1y3"</f>
        <v>#VALUE!</v>
      </c>
      <c r="CH338" t="e">
        <f>'North America'!A946+"$F;@!1y4"</f>
        <v>#VALUE!</v>
      </c>
      <c r="CI338" t="e">
        <f>'North America'!B946+"$F;@!1y5"</f>
        <v>#VALUE!</v>
      </c>
      <c r="CJ338" t="e">
        <f>'North America'!C946+"$F;@!1y6"</f>
        <v>#VALUE!</v>
      </c>
      <c r="CK338" t="e">
        <f>'North America'!D946+"$F;@!1y7"</f>
        <v>#VALUE!</v>
      </c>
      <c r="CL338" t="e">
        <f>'North America'!E946+"$F;@!1y8"</f>
        <v>#VALUE!</v>
      </c>
      <c r="CM338" t="e">
        <f>'North America'!F946+"$F;@!1y9"</f>
        <v>#VALUE!</v>
      </c>
      <c r="CN338" t="e">
        <f>'North America'!G946+"$F;@!1y:"</f>
        <v>#VALUE!</v>
      </c>
      <c r="CO338" t="e">
        <f>'North America'!H946+"$F;@!1y;"</f>
        <v>#VALUE!</v>
      </c>
      <c r="CP338" t="e">
        <f>'North America'!A947+"$F;@!1y&lt;"</f>
        <v>#VALUE!</v>
      </c>
      <c r="CQ338" t="e">
        <f>'North America'!B947+"$F;@!1y="</f>
        <v>#VALUE!</v>
      </c>
      <c r="CR338" t="e">
        <f>'North America'!C947+"$F;@!1y&gt;"</f>
        <v>#VALUE!</v>
      </c>
      <c r="CS338" t="e">
        <f>'North America'!D947+"$F;@!1y?"</f>
        <v>#VALUE!</v>
      </c>
      <c r="CT338" t="e">
        <f>'North America'!E947+"$F;@!1y@"</f>
        <v>#VALUE!</v>
      </c>
      <c r="CU338" t="e">
        <f>'North America'!F947+"$F;@!1yA"</f>
        <v>#VALUE!</v>
      </c>
      <c r="CV338" t="e">
        <f>'North America'!G947+"$F;@!1yB"</f>
        <v>#VALUE!</v>
      </c>
      <c r="CW338" t="e">
        <f>'North America'!H947+"$F;@!1yC"</f>
        <v>#VALUE!</v>
      </c>
      <c r="CX338" t="e">
        <f>'North America'!A948+"$F;@!1yD"</f>
        <v>#VALUE!</v>
      </c>
      <c r="CY338" t="e">
        <f>'North America'!B948+"$F;@!1yE"</f>
        <v>#VALUE!</v>
      </c>
      <c r="CZ338" t="e">
        <f>'North America'!C948+"$F;@!1yF"</f>
        <v>#VALUE!</v>
      </c>
      <c r="DA338" t="e">
        <f>'North America'!D948+"$F;@!1yG"</f>
        <v>#VALUE!</v>
      </c>
      <c r="DB338" t="e">
        <f>'North America'!E948+"$F;@!1yH"</f>
        <v>#VALUE!</v>
      </c>
      <c r="DC338" t="e">
        <f>'North America'!F948+"$F;@!1yI"</f>
        <v>#VALUE!</v>
      </c>
      <c r="DD338" t="e">
        <f>'North America'!G948+"$F;@!1yJ"</f>
        <v>#VALUE!</v>
      </c>
      <c r="DE338" t="e">
        <f>'North America'!H948+"$F;@!1yK"</f>
        <v>#VALUE!</v>
      </c>
      <c r="DF338" t="e">
        <f>'North America'!A949+"$F;@!1yL"</f>
        <v>#VALUE!</v>
      </c>
      <c r="DG338" t="e">
        <f>'North America'!B949+"$F;@!1yM"</f>
        <v>#VALUE!</v>
      </c>
      <c r="DH338" t="e">
        <f>'North America'!C949+"$F;@!1yN"</f>
        <v>#VALUE!</v>
      </c>
      <c r="DI338" t="e">
        <f>'North America'!D949+"$F;@!1yO"</f>
        <v>#VALUE!</v>
      </c>
      <c r="DJ338" t="e">
        <f>'North America'!E949+"$F;@!1yP"</f>
        <v>#VALUE!</v>
      </c>
      <c r="DK338" t="e">
        <f>'North America'!F949+"$F;@!1yQ"</f>
        <v>#VALUE!</v>
      </c>
      <c r="DL338" t="e">
        <f>'North America'!G949+"$F;@!1yR"</f>
        <v>#VALUE!</v>
      </c>
      <c r="DM338" t="e">
        <f>'North America'!H949+"$F;@!1yS"</f>
        <v>#VALUE!</v>
      </c>
      <c r="DN338" t="e">
        <f>'North America'!A950+"$F;@!1yT"</f>
        <v>#VALUE!</v>
      </c>
      <c r="DO338" t="e">
        <f>'North America'!B950+"$F;@!1yU"</f>
        <v>#VALUE!</v>
      </c>
      <c r="DP338" t="e">
        <f>'North America'!C950+"$F;@!1yV"</f>
        <v>#VALUE!</v>
      </c>
      <c r="DQ338" t="e">
        <f>'North America'!D950+"$F;@!1yW"</f>
        <v>#VALUE!</v>
      </c>
      <c r="DR338" t="e">
        <f>'North America'!E950+"$F;@!1yX"</f>
        <v>#VALUE!</v>
      </c>
      <c r="DS338" t="e">
        <f>'North America'!F950+"$F;@!1yY"</f>
        <v>#VALUE!</v>
      </c>
      <c r="DT338" t="e">
        <f>'North America'!G950+"$F;@!1yZ"</f>
        <v>#VALUE!</v>
      </c>
      <c r="DU338" t="e">
        <f>'North America'!H950+"$F;@!1y["</f>
        <v>#VALUE!</v>
      </c>
      <c r="DV338" t="e">
        <f>'North America'!A951+"$F;@!1y\"</f>
        <v>#VALUE!</v>
      </c>
      <c r="DW338" t="e">
        <f>'North America'!B951+"$F;@!1y]"</f>
        <v>#VALUE!</v>
      </c>
      <c r="DX338" t="e">
        <f>'North America'!C951+"$F;@!1y^"</f>
        <v>#VALUE!</v>
      </c>
      <c r="DY338" t="e">
        <f>'North America'!D951+"$F;@!1y_"</f>
        <v>#VALUE!</v>
      </c>
      <c r="DZ338" t="e">
        <f>'North America'!E951+"$F;@!1y`"</f>
        <v>#VALUE!</v>
      </c>
      <c r="EA338" t="e">
        <f>'North America'!F951+"$F;@!1ya"</f>
        <v>#VALUE!</v>
      </c>
      <c r="EB338" t="e">
        <f>'North America'!G951+"$F;@!1yb"</f>
        <v>#VALUE!</v>
      </c>
      <c r="EC338" t="e">
        <f>'North America'!H951+"$F;@!1yc"</f>
        <v>#VALUE!</v>
      </c>
      <c r="ED338" t="e">
        <f>'North America'!A952+"$F;@!1yd"</f>
        <v>#VALUE!</v>
      </c>
      <c r="EE338" t="e">
        <f>'North America'!B952+"$F;@!1ye"</f>
        <v>#VALUE!</v>
      </c>
      <c r="EF338" t="e">
        <f>'North America'!C952+"$F;@!1yf"</f>
        <v>#VALUE!</v>
      </c>
      <c r="EG338" t="e">
        <f>'North America'!D952+"$F;@!1yg"</f>
        <v>#VALUE!</v>
      </c>
      <c r="EH338" t="e">
        <f>'North America'!E952+"$F;@!1yh"</f>
        <v>#VALUE!</v>
      </c>
      <c r="EI338" t="e">
        <f>'North America'!F952+"$F;@!1yi"</f>
        <v>#VALUE!</v>
      </c>
      <c r="EJ338" t="e">
        <f>'North America'!G952+"$F;@!1yj"</f>
        <v>#VALUE!</v>
      </c>
      <c r="EK338" t="e">
        <f>'North America'!H952+"$F;@!1yk"</f>
        <v>#VALUE!</v>
      </c>
      <c r="EL338" t="e">
        <f>'North America'!A953+"$F;@!1yl"</f>
        <v>#VALUE!</v>
      </c>
      <c r="EM338" t="e">
        <f>'North America'!B953+"$F;@!1ym"</f>
        <v>#VALUE!</v>
      </c>
      <c r="EN338" t="e">
        <f>'North America'!C953+"$F;@!1yn"</f>
        <v>#VALUE!</v>
      </c>
      <c r="EO338" t="e">
        <f>'North America'!D953+"$F;@!1yo"</f>
        <v>#VALUE!</v>
      </c>
      <c r="EP338" t="e">
        <f>'North America'!E953+"$F;@!1yp"</f>
        <v>#VALUE!</v>
      </c>
      <c r="EQ338" t="e">
        <f>'North America'!F953+"$F;@!1yq"</f>
        <v>#VALUE!</v>
      </c>
      <c r="ER338" t="e">
        <f>'North America'!G953+"$F;@!1yr"</f>
        <v>#VALUE!</v>
      </c>
      <c r="ES338" t="e">
        <f>'North America'!H953+"$F;@!1ys"</f>
        <v>#VALUE!</v>
      </c>
      <c r="ET338" t="e">
        <f>'North America'!A954+"$F;@!1yt"</f>
        <v>#VALUE!</v>
      </c>
      <c r="EU338" t="e">
        <f>'North America'!B954+"$F;@!1yu"</f>
        <v>#VALUE!</v>
      </c>
      <c r="EV338" t="e">
        <f>'North America'!C954+"$F;@!1yv"</f>
        <v>#VALUE!</v>
      </c>
      <c r="EW338" t="e">
        <f>'North America'!D954+"$F;@!1yw"</f>
        <v>#VALUE!</v>
      </c>
      <c r="EX338" t="e">
        <f>'North America'!E954+"$F;@!1yx"</f>
        <v>#VALUE!</v>
      </c>
      <c r="EY338" t="e">
        <f>'North America'!F954+"$F;@!1yy"</f>
        <v>#VALUE!</v>
      </c>
      <c r="EZ338" t="e">
        <f>'North America'!G954+"$F;@!1yz"</f>
        <v>#VALUE!</v>
      </c>
      <c r="FA338" t="e">
        <f>'North America'!H954+"$F;@!1y{"</f>
        <v>#VALUE!</v>
      </c>
      <c r="FB338" t="e">
        <f>'North America'!A955+"$F;@!1y|"</f>
        <v>#VALUE!</v>
      </c>
      <c r="FC338" t="e">
        <f>'North America'!B955+"$F;@!1y}"</f>
        <v>#VALUE!</v>
      </c>
      <c r="FD338" t="e">
        <f>'North America'!C955+"$F;@!1y~"</f>
        <v>#VALUE!</v>
      </c>
      <c r="FE338" t="e">
        <f>'North America'!D955+"$F;@!1z#"</f>
        <v>#VALUE!</v>
      </c>
      <c r="FF338" t="e">
        <f>'North America'!E955+"$F;@!1z$"</f>
        <v>#VALUE!</v>
      </c>
      <c r="FG338" t="e">
        <f>'North America'!F955+"$F;@!1z%"</f>
        <v>#VALUE!</v>
      </c>
      <c r="FH338" t="e">
        <f>'North America'!G955+"$F;@!1z&amp;"</f>
        <v>#VALUE!</v>
      </c>
      <c r="FI338" t="e">
        <f>'North America'!H955+"$F;@!1z'"</f>
        <v>#VALUE!</v>
      </c>
      <c r="FJ338" t="e">
        <f>'North America'!A956+"$F;@!1z("</f>
        <v>#VALUE!</v>
      </c>
      <c r="FK338" t="e">
        <f>'North America'!B956+"$F;@!1z)"</f>
        <v>#VALUE!</v>
      </c>
      <c r="FL338" t="e">
        <f>'North America'!C956+"$F;@!1z."</f>
        <v>#VALUE!</v>
      </c>
      <c r="FM338" t="e">
        <f>'North America'!D956+"$F;@!1z/"</f>
        <v>#VALUE!</v>
      </c>
      <c r="FN338" t="e">
        <f>'North America'!E956+"$F;@!1z0"</f>
        <v>#VALUE!</v>
      </c>
      <c r="FO338" t="e">
        <f>'North America'!F956+"$F;@!1z1"</f>
        <v>#VALUE!</v>
      </c>
      <c r="FP338" t="e">
        <f>'North America'!G956+"$F;@!1z2"</f>
        <v>#VALUE!</v>
      </c>
      <c r="FQ338" t="e">
        <f>'North America'!H956+"$F;@!1z3"</f>
        <v>#VALUE!</v>
      </c>
      <c r="FR338" t="e">
        <f>'North America'!A957+"$F;@!1z4"</f>
        <v>#VALUE!</v>
      </c>
      <c r="FS338" t="e">
        <f>'North America'!B957+"$F;@!1z5"</f>
        <v>#VALUE!</v>
      </c>
      <c r="FT338" t="e">
        <f>'North America'!C957+"$F;@!1z6"</f>
        <v>#VALUE!</v>
      </c>
      <c r="FU338" t="e">
        <f>'North America'!D957+"$F;@!1z7"</f>
        <v>#VALUE!</v>
      </c>
      <c r="FV338" t="e">
        <f>'North America'!E957+"$F;@!1z8"</f>
        <v>#VALUE!</v>
      </c>
      <c r="FW338" t="e">
        <f>'North America'!F957+"$F;@!1z9"</f>
        <v>#VALUE!</v>
      </c>
      <c r="FX338" t="e">
        <f>'North America'!G957+"$F;@!1z:"</f>
        <v>#VALUE!</v>
      </c>
      <c r="FY338" t="e">
        <f>'North America'!H957+"$F;@!1z;"</f>
        <v>#VALUE!</v>
      </c>
      <c r="FZ338" t="e">
        <f>'North America'!A958+"$F;@!1z&lt;"</f>
        <v>#VALUE!</v>
      </c>
      <c r="GA338" t="e">
        <f>'North America'!B958+"$F;@!1z="</f>
        <v>#VALUE!</v>
      </c>
      <c r="GB338" t="e">
        <f>'North America'!C958+"$F;@!1z&gt;"</f>
        <v>#VALUE!</v>
      </c>
      <c r="GC338" t="e">
        <f>'North America'!D958+"$F;@!1z?"</f>
        <v>#VALUE!</v>
      </c>
      <c r="GD338" t="e">
        <f>'North America'!E958+"$F;@!1z@"</f>
        <v>#VALUE!</v>
      </c>
      <c r="GE338" t="e">
        <f>'North America'!F958+"$F;@!1zA"</f>
        <v>#VALUE!</v>
      </c>
      <c r="GF338" t="e">
        <f>'North America'!G958+"$F;@!1zB"</f>
        <v>#VALUE!</v>
      </c>
      <c r="GG338" t="e">
        <f>'North America'!H958+"$F;@!1zC"</f>
        <v>#VALUE!</v>
      </c>
      <c r="GH338" t="e">
        <f>'North America'!A959+"$F;@!1zD"</f>
        <v>#VALUE!</v>
      </c>
      <c r="GI338" t="e">
        <f>'North America'!B959+"$F;@!1zE"</f>
        <v>#VALUE!</v>
      </c>
      <c r="GJ338" t="e">
        <f>'North America'!C959+"$F;@!1zF"</f>
        <v>#VALUE!</v>
      </c>
      <c r="GK338" t="e">
        <f>'North America'!D959+"$F;@!1zG"</f>
        <v>#VALUE!</v>
      </c>
      <c r="GL338" t="e">
        <f>'North America'!E959+"$F;@!1zH"</f>
        <v>#VALUE!</v>
      </c>
      <c r="GM338" t="e">
        <f>'North America'!F959+"$F;@!1zI"</f>
        <v>#VALUE!</v>
      </c>
      <c r="GN338" t="e">
        <f>'North America'!G959+"$F;@!1zJ"</f>
        <v>#VALUE!</v>
      </c>
      <c r="GO338" t="e">
        <f>'North America'!H959+"$F;@!1zK"</f>
        <v>#VALUE!</v>
      </c>
      <c r="GP338" t="e">
        <f>'North America'!A960+"$F;@!1zL"</f>
        <v>#VALUE!</v>
      </c>
      <c r="GQ338" t="e">
        <f>'North America'!B960+"$F;@!1zM"</f>
        <v>#VALUE!</v>
      </c>
      <c r="GR338" t="e">
        <f>'North America'!C960+"$F;@!1zN"</f>
        <v>#VALUE!</v>
      </c>
      <c r="GS338" t="e">
        <f>'North America'!D960+"$F;@!1zO"</f>
        <v>#VALUE!</v>
      </c>
      <c r="GT338" t="e">
        <f>'North America'!E960+"$F;@!1zP"</f>
        <v>#VALUE!</v>
      </c>
      <c r="GU338" t="e">
        <f>'North America'!F960+"$F;@!1zQ"</f>
        <v>#VALUE!</v>
      </c>
      <c r="GV338" t="e">
        <f>'North America'!G960+"$F;@!1zR"</f>
        <v>#VALUE!</v>
      </c>
      <c r="GW338" t="e">
        <f>'North America'!H960+"$F;@!1zS"</f>
        <v>#VALUE!</v>
      </c>
      <c r="GX338" t="e">
        <f>'North America'!A961+"$F;@!1zT"</f>
        <v>#VALUE!</v>
      </c>
      <c r="GY338" t="e">
        <f>'North America'!B961+"$F;@!1zU"</f>
        <v>#VALUE!</v>
      </c>
      <c r="GZ338" t="e">
        <f>'North America'!C961+"$F;@!1zV"</f>
        <v>#VALUE!</v>
      </c>
      <c r="HA338" t="e">
        <f>'North America'!D961+"$F;@!1zW"</f>
        <v>#VALUE!</v>
      </c>
      <c r="HB338" t="e">
        <f>'North America'!E961+"$F;@!1zX"</f>
        <v>#VALUE!</v>
      </c>
      <c r="HC338" t="e">
        <f>'North America'!F961+"$F;@!1zY"</f>
        <v>#VALUE!</v>
      </c>
      <c r="HD338" t="e">
        <f>'North America'!G961+"$F;@!1zZ"</f>
        <v>#VALUE!</v>
      </c>
      <c r="HE338" t="e">
        <f>'North America'!H961+"$F;@!1z["</f>
        <v>#VALUE!</v>
      </c>
      <c r="HF338" t="e">
        <f>'North America'!A962+"$F;@!1z\"</f>
        <v>#VALUE!</v>
      </c>
      <c r="HG338" t="e">
        <f>'North America'!B962+"$F;@!1z]"</f>
        <v>#VALUE!</v>
      </c>
      <c r="HH338" t="e">
        <f>'North America'!C962+"$F;@!1z^"</f>
        <v>#VALUE!</v>
      </c>
      <c r="HI338" t="e">
        <f>'North America'!D962+"$F;@!1z_"</f>
        <v>#VALUE!</v>
      </c>
      <c r="HJ338" t="e">
        <f>'North America'!E962+"$F;@!1z`"</f>
        <v>#VALUE!</v>
      </c>
      <c r="HK338" t="e">
        <f>'North America'!F962+"$F;@!1za"</f>
        <v>#VALUE!</v>
      </c>
      <c r="HL338" t="e">
        <f>'North America'!G962+"$F;@!1zb"</f>
        <v>#VALUE!</v>
      </c>
      <c r="HM338" t="e">
        <f>'North America'!H962+"$F;@!1zc"</f>
        <v>#VALUE!</v>
      </c>
      <c r="HN338" t="e">
        <f>'North America'!A963+"$F;@!1zd"</f>
        <v>#VALUE!</v>
      </c>
      <c r="HO338" t="e">
        <f>'North America'!B963+"$F;@!1ze"</f>
        <v>#VALUE!</v>
      </c>
      <c r="HP338" t="e">
        <f>'North America'!C963+"$F;@!1zf"</f>
        <v>#VALUE!</v>
      </c>
      <c r="HQ338" t="e">
        <f>'North America'!D963+"$F;@!1zg"</f>
        <v>#VALUE!</v>
      </c>
      <c r="HR338" t="e">
        <f>'North America'!E963+"$F;@!1zh"</f>
        <v>#VALUE!</v>
      </c>
      <c r="HS338" t="e">
        <f>'North America'!F963+"$F;@!1zi"</f>
        <v>#VALUE!</v>
      </c>
      <c r="HT338" t="e">
        <f>'North America'!G963+"$F;@!1zj"</f>
        <v>#VALUE!</v>
      </c>
      <c r="HU338" t="e">
        <f>'North America'!H963+"$F;@!1zk"</f>
        <v>#VALUE!</v>
      </c>
      <c r="HV338" t="e">
        <f>'North America'!A964+"$F;@!1zl"</f>
        <v>#VALUE!</v>
      </c>
      <c r="HW338" t="e">
        <f>'North America'!B964+"$F;@!1zm"</f>
        <v>#VALUE!</v>
      </c>
      <c r="HX338" t="e">
        <f>'North America'!C964+"$F;@!1zn"</f>
        <v>#VALUE!</v>
      </c>
      <c r="HY338" t="e">
        <f>'North America'!D964+"$F;@!1zo"</f>
        <v>#VALUE!</v>
      </c>
      <c r="HZ338" t="e">
        <f>'North America'!E964+"$F;@!1zp"</f>
        <v>#VALUE!</v>
      </c>
      <c r="IA338" t="e">
        <f>'North America'!F964+"$F;@!1zq"</f>
        <v>#VALUE!</v>
      </c>
      <c r="IB338" t="e">
        <f>'North America'!G964+"$F;@!1zr"</f>
        <v>#VALUE!</v>
      </c>
      <c r="IC338" t="e">
        <f>'North America'!H964+"$F;@!1zs"</f>
        <v>#VALUE!</v>
      </c>
      <c r="ID338" t="e">
        <f>'North America'!A965+"$F;@!1zt"</f>
        <v>#VALUE!</v>
      </c>
      <c r="IE338" t="e">
        <f>'North America'!B965+"$F;@!1zu"</f>
        <v>#VALUE!</v>
      </c>
      <c r="IF338" t="e">
        <f>'North America'!C965+"$F;@!1zv"</f>
        <v>#VALUE!</v>
      </c>
      <c r="IG338" t="e">
        <f>'North America'!D965+"$F;@!1zw"</f>
        <v>#VALUE!</v>
      </c>
      <c r="IH338" t="e">
        <f>'North America'!E965+"$F;@!1zx"</f>
        <v>#VALUE!</v>
      </c>
      <c r="II338" t="e">
        <f>'North America'!F965+"$F;@!1zy"</f>
        <v>#VALUE!</v>
      </c>
      <c r="IJ338" t="e">
        <f>'North America'!G965+"$F;@!1zz"</f>
        <v>#VALUE!</v>
      </c>
      <c r="IK338" t="e">
        <f>'North America'!H965+"$F;@!1z{"</f>
        <v>#VALUE!</v>
      </c>
      <c r="IL338" t="e">
        <f>'North America'!A966+"$F;@!1z|"</f>
        <v>#VALUE!</v>
      </c>
      <c r="IM338" t="e">
        <f>'North America'!B966+"$F;@!1z}"</f>
        <v>#VALUE!</v>
      </c>
      <c r="IN338" t="e">
        <f>'North America'!C966+"$F;@!1z~"</f>
        <v>#VALUE!</v>
      </c>
      <c r="IO338" t="e">
        <f>'North America'!D966+"$F;@!1{#"</f>
        <v>#VALUE!</v>
      </c>
      <c r="IP338" t="e">
        <f>'North America'!E966+"$F;@!1{$"</f>
        <v>#VALUE!</v>
      </c>
      <c r="IQ338" t="e">
        <f>'North America'!F966+"$F;@!1{%"</f>
        <v>#VALUE!</v>
      </c>
      <c r="IR338" t="e">
        <f>'North America'!G966+"$F;@!1{&amp;"</f>
        <v>#VALUE!</v>
      </c>
      <c r="IS338" t="e">
        <f>'North America'!H966+"$F;@!1{'"</f>
        <v>#VALUE!</v>
      </c>
      <c r="IT338" t="e">
        <f>'North America'!A967+"$F;@!1{("</f>
        <v>#VALUE!</v>
      </c>
      <c r="IU338" t="e">
        <f>'North America'!B967+"$F;@!1{)"</f>
        <v>#VALUE!</v>
      </c>
      <c r="IV338" t="e">
        <f>'North America'!C967+"$F;@!1{."</f>
        <v>#VALUE!</v>
      </c>
    </row>
    <row r="339" spans="6:256" x14ac:dyDescent="0.35">
      <c r="F339" t="e">
        <f>'North America'!D967+"$F;@!1{/"</f>
        <v>#VALUE!</v>
      </c>
      <c r="G339" t="e">
        <f>'North America'!E967+"$F;@!1{0"</f>
        <v>#VALUE!</v>
      </c>
      <c r="H339" t="e">
        <f>'North America'!F967+"$F;@!1{1"</f>
        <v>#VALUE!</v>
      </c>
      <c r="I339" t="e">
        <f>'North America'!G967+"$F;@!1{2"</f>
        <v>#VALUE!</v>
      </c>
      <c r="J339" t="e">
        <f>'North America'!H967+"$F;@!1{3"</f>
        <v>#VALUE!</v>
      </c>
      <c r="K339" t="e">
        <f>'North America'!A968+"$F;@!1{4"</f>
        <v>#VALUE!</v>
      </c>
      <c r="L339" t="e">
        <f>'North America'!B968+"$F;@!1{5"</f>
        <v>#VALUE!</v>
      </c>
      <c r="M339" t="e">
        <f>'North America'!C968+"$F;@!1{6"</f>
        <v>#VALUE!</v>
      </c>
      <c r="N339" t="e">
        <f>'North America'!D968+"$F;@!1{7"</f>
        <v>#VALUE!</v>
      </c>
      <c r="O339" t="e">
        <f>'North America'!E968+"$F;@!1{8"</f>
        <v>#VALUE!</v>
      </c>
      <c r="P339" t="e">
        <f>'North America'!F968+"$F;@!1{9"</f>
        <v>#VALUE!</v>
      </c>
      <c r="Q339" t="e">
        <f>'North America'!G968+"$F;@!1{:"</f>
        <v>#VALUE!</v>
      </c>
      <c r="R339" t="e">
        <f>'North America'!H968+"$F;@!1{;"</f>
        <v>#VALUE!</v>
      </c>
      <c r="S339" t="e">
        <f>'North America'!A969+"$F;@!1{&lt;"</f>
        <v>#VALUE!</v>
      </c>
      <c r="T339" t="e">
        <f>'North America'!B969+"$F;@!1{="</f>
        <v>#VALUE!</v>
      </c>
      <c r="U339" t="e">
        <f>'North America'!C969+"$F;@!1{&gt;"</f>
        <v>#VALUE!</v>
      </c>
      <c r="V339" t="e">
        <f>'North America'!D969+"$F;@!1{?"</f>
        <v>#VALUE!</v>
      </c>
      <c r="W339" t="e">
        <f>'North America'!E969+"$F;@!1{@"</f>
        <v>#VALUE!</v>
      </c>
      <c r="X339" t="e">
        <f>'North America'!F969+"$F;@!1{A"</f>
        <v>#VALUE!</v>
      </c>
      <c r="Y339" t="e">
        <f>'North America'!G969+"$F;@!1{B"</f>
        <v>#VALUE!</v>
      </c>
      <c r="Z339" t="e">
        <f>'North America'!H969+"$F;@!1{C"</f>
        <v>#VALUE!</v>
      </c>
      <c r="AA339" t="e">
        <f>'North America'!A970+"$F;@!1{D"</f>
        <v>#VALUE!</v>
      </c>
      <c r="AB339" t="e">
        <f>'North America'!B970+"$F;@!1{E"</f>
        <v>#VALUE!</v>
      </c>
      <c r="AC339" t="e">
        <f>'North America'!C970+"$F;@!1{F"</f>
        <v>#VALUE!</v>
      </c>
      <c r="AD339" t="e">
        <f>'North America'!D970+"$F;@!1{G"</f>
        <v>#VALUE!</v>
      </c>
      <c r="AE339" t="e">
        <f>'North America'!E970+"$F;@!1{H"</f>
        <v>#VALUE!</v>
      </c>
      <c r="AF339" t="e">
        <f>'North America'!F970+"$F;@!1{I"</f>
        <v>#VALUE!</v>
      </c>
      <c r="AG339" t="e">
        <f>'North America'!G970+"$F;@!1{J"</f>
        <v>#VALUE!</v>
      </c>
      <c r="AH339" t="e">
        <f>'North America'!H970+"$F;@!1{K"</f>
        <v>#VALUE!</v>
      </c>
      <c r="AI339" t="e">
        <f>'North America'!A971+"$F;@!1{L"</f>
        <v>#VALUE!</v>
      </c>
      <c r="AJ339" t="e">
        <f>'North America'!B971+"$F;@!1{M"</f>
        <v>#VALUE!</v>
      </c>
      <c r="AK339" t="e">
        <f>'North America'!C971+"$F;@!1{N"</f>
        <v>#VALUE!</v>
      </c>
      <c r="AL339" t="e">
        <f>'North America'!D971+"$F;@!1{O"</f>
        <v>#VALUE!</v>
      </c>
      <c r="AM339" t="e">
        <f>'North America'!E971+"$F;@!1{P"</f>
        <v>#VALUE!</v>
      </c>
      <c r="AN339" t="e">
        <f>'North America'!F971+"$F;@!1{Q"</f>
        <v>#VALUE!</v>
      </c>
      <c r="AO339" t="e">
        <f>'North America'!G971+"$F;@!1{R"</f>
        <v>#VALUE!</v>
      </c>
      <c r="AP339" t="e">
        <f>'North America'!H971+"$F;@!1{S"</f>
        <v>#VALUE!</v>
      </c>
      <c r="AQ339" t="e">
        <f>'North America'!A972+"$F;@!1{T"</f>
        <v>#VALUE!</v>
      </c>
      <c r="AR339" t="e">
        <f>'North America'!B972+"$F;@!1{U"</f>
        <v>#VALUE!</v>
      </c>
      <c r="AS339" t="e">
        <f>'North America'!C972+"$F;@!1{V"</f>
        <v>#VALUE!</v>
      </c>
      <c r="AT339" t="e">
        <f>'North America'!D972+"$F;@!1{W"</f>
        <v>#VALUE!</v>
      </c>
      <c r="AU339" t="e">
        <f>'North America'!E972+"$F;@!1{X"</f>
        <v>#VALUE!</v>
      </c>
      <c r="AV339" t="e">
        <f>'North America'!F972+"$F;@!1{Y"</f>
        <v>#VALUE!</v>
      </c>
      <c r="AW339" t="e">
        <f>'North America'!G972+"$F;@!1{Z"</f>
        <v>#VALUE!</v>
      </c>
      <c r="AX339" t="e">
        <f>'North America'!H972+"$F;@!1{["</f>
        <v>#VALUE!</v>
      </c>
      <c r="AY339" t="e">
        <f>'North America'!A973+"$F;@!1{\"</f>
        <v>#VALUE!</v>
      </c>
      <c r="AZ339" t="e">
        <f>'North America'!B973+"$F;@!1{]"</f>
        <v>#VALUE!</v>
      </c>
      <c r="BA339" t="e">
        <f>'North America'!C973+"$F;@!1{^"</f>
        <v>#VALUE!</v>
      </c>
      <c r="BB339" t="e">
        <f>'North America'!D973+"$F;@!1{_"</f>
        <v>#VALUE!</v>
      </c>
      <c r="BC339" t="e">
        <f>'North America'!E973+"$F;@!1{`"</f>
        <v>#VALUE!</v>
      </c>
      <c r="BD339" t="e">
        <f>'North America'!F973+"$F;@!1{a"</f>
        <v>#VALUE!</v>
      </c>
      <c r="BE339" t="e">
        <f>'North America'!G973+"$F;@!1{b"</f>
        <v>#VALUE!</v>
      </c>
      <c r="BF339" t="e">
        <f>'North America'!H973+"$F;@!1{c"</f>
        <v>#VALUE!</v>
      </c>
      <c r="BG339" t="e">
        <f>'North America'!A974+"$F;@!1{d"</f>
        <v>#VALUE!</v>
      </c>
      <c r="BH339" t="e">
        <f>'North America'!B974+"$F;@!1{e"</f>
        <v>#VALUE!</v>
      </c>
      <c r="BI339" t="e">
        <f>'North America'!C974+"$F;@!1{f"</f>
        <v>#VALUE!</v>
      </c>
      <c r="BJ339" t="e">
        <f>'North America'!D974+"$F;@!1{g"</f>
        <v>#VALUE!</v>
      </c>
      <c r="BK339" t="e">
        <f>'North America'!E974+"$F;@!1{h"</f>
        <v>#VALUE!</v>
      </c>
      <c r="BL339" t="e">
        <f>'North America'!F974+"$F;@!1{i"</f>
        <v>#VALUE!</v>
      </c>
      <c r="BM339" t="e">
        <f>'North America'!G974+"$F;@!1{j"</f>
        <v>#VALUE!</v>
      </c>
      <c r="BN339" t="e">
        <f>'North America'!H974+"$F;@!1{k"</f>
        <v>#VALUE!</v>
      </c>
      <c r="BO339" t="e">
        <f>'North America'!A975+"$F;@!1{l"</f>
        <v>#VALUE!</v>
      </c>
      <c r="BP339" t="e">
        <f>'North America'!B975+"$F;@!1{m"</f>
        <v>#VALUE!</v>
      </c>
      <c r="BQ339" t="e">
        <f>'North America'!C975+"$F;@!1{n"</f>
        <v>#VALUE!</v>
      </c>
      <c r="BR339" t="e">
        <f>'North America'!D975+"$F;@!1{o"</f>
        <v>#VALUE!</v>
      </c>
      <c r="BS339" t="e">
        <f>'North America'!E975+"$F;@!1{p"</f>
        <v>#VALUE!</v>
      </c>
      <c r="BT339" t="e">
        <f>'North America'!F975+"$F;@!1{q"</f>
        <v>#VALUE!</v>
      </c>
      <c r="BU339" t="e">
        <f>'North America'!G975+"$F;@!1{r"</f>
        <v>#VALUE!</v>
      </c>
      <c r="BV339" t="e">
        <f>'North America'!H975+"$F;@!1{s"</f>
        <v>#VALUE!</v>
      </c>
      <c r="BW339" t="e">
        <f>'North America'!A976+"$F;@!1{t"</f>
        <v>#VALUE!</v>
      </c>
      <c r="BX339" t="e">
        <f>'North America'!B976+"$F;@!1{u"</f>
        <v>#VALUE!</v>
      </c>
      <c r="BY339" t="e">
        <f>'North America'!C976+"$F;@!1{v"</f>
        <v>#VALUE!</v>
      </c>
      <c r="BZ339" t="e">
        <f>'North America'!D976+"$F;@!1{w"</f>
        <v>#VALUE!</v>
      </c>
      <c r="CA339" t="e">
        <f>'North America'!E976+"$F;@!1{x"</f>
        <v>#VALUE!</v>
      </c>
      <c r="CB339" t="e">
        <f>'North America'!F976+"$F;@!1{y"</f>
        <v>#VALUE!</v>
      </c>
      <c r="CC339" t="e">
        <f>'North America'!G976+"$F;@!1{z"</f>
        <v>#VALUE!</v>
      </c>
      <c r="CD339" t="e">
        <f>'North America'!H976+"$F;@!1{{"</f>
        <v>#VALUE!</v>
      </c>
      <c r="CE339" t="e">
        <f>'North America'!A977+"$F;@!1{|"</f>
        <v>#VALUE!</v>
      </c>
      <c r="CF339" t="e">
        <f>'North America'!B977+"$F;@!1{}"</f>
        <v>#VALUE!</v>
      </c>
      <c r="CG339" t="e">
        <f>'North America'!C977+"$F;@!1{~"</f>
        <v>#VALUE!</v>
      </c>
      <c r="CH339" t="e">
        <f>'North America'!D977+"$F;@!1|#"</f>
        <v>#VALUE!</v>
      </c>
      <c r="CI339" t="e">
        <f>'North America'!E977+"$F;@!1|$"</f>
        <v>#VALUE!</v>
      </c>
      <c r="CJ339" t="e">
        <f>'North America'!F977+"$F;@!1|%"</f>
        <v>#VALUE!</v>
      </c>
      <c r="CK339" t="e">
        <f>'North America'!G977+"$F;@!1|&amp;"</f>
        <v>#VALUE!</v>
      </c>
      <c r="CL339" t="e">
        <f>'North America'!H977+"$F;@!1|'"</f>
        <v>#VALUE!</v>
      </c>
      <c r="CM339" t="e">
        <f>'North America'!A978+"$F;@!1|("</f>
        <v>#VALUE!</v>
      </c>
      <c r="CN339" t="e">
        <f>'North America'!B978+"$F;@!1|)"</f>
        <v>#VALUE!</v>
      </c>
      <c r="CO339" t="e">
        <f>'North America'!C978+"$F;@!1|."</f>
        <v>#VALUE!</v>
      </c>
      <c r="CP339" t="e">
        <f>'North America'!D978+"$F;@!1|/"</f>
        <v>#VALUE!</v>
      </c>
      <c r="CQ339" t="e">
        <f>'North America'!E978+"$F;@!1|0"</f>
        <v>#VALUE!</v>
      </c>
      <c r="CR339" t="e">
        <f>'North America'!F978+"$F;@!1|1"</f>
        <v>#VALUE!</v>
      </c>
      <c r="CS339" t="e">
        <f>'North America'!G978+"$F;@!1|2"</f>
        <v>#VALUE!</v>
      </c>
      <c r="CT339" t="e">
        <f>'North America'!H978+"$F;@!1|3"</f>
        <v>#VALUE!</v>
      </c>
      <c r="CU339" t="e">
        <f>'North America'!A979+"$F;@!1|4"</f>
        <v>#VALUE!</v>
      </c>
      <c r="CV339" t="e">
        <f>'North America'!B979+"$F;@!1|5"</f>
        <v>#VALUE!</v>
      </c>
      <c r="CW339" t="e">
        <f>'North America'!C979+"$F;@!1|6"</f>
        <v>#VALUE!</v>
      </c>
      <c r="CX339" t="e">
        <f>'North America'!D979+"$F;@!1|7"</f>
        <v>#VALUE!</v>
      </c>
      <c r="CY339" t="e">
        <f>'North America'!E979+"$F;@!1|8"</f>
        <v>#VALUE!</v>
      </c>
      <c r="CZ339" t="e">
        <f>'North America'!F979+"$F;@!1|9"</f>
        <v>#VALUE!</v>
      </c>
      <c r="DA339" t="e">
        <f>'North America'!G979+"$F;@!1|:"</f>
        <v>#VALUE!</v>
      </c>
      <c r="DB339" t="e">
        <f>'North America'!H979+"$F;@!1|;"</f>
        <v>#VALUE!</v>
      </c>
      <c r="DC339" t="e">
        <f>'North America'!A980+"$F;@!1|&lt;"</f>
        <v>#VALUE!</v>
      </c>
      <c r="DD339" t="e">
        <f>'North America'!B980+"$F;@!1|="</f>
        <v>#VALUE!</v>
      </c>
      <c r="DE339" t="e">
        <f>'North America'!C980+"$F;@!1|&gt;"</f>
        <v>#VALUE!</v>
      </c>
      <c r="DF339" t="e">
        <f>'North America'!D980+"$F;@!1|?"</f>
        <v>#VALUE!</v>
      </c>
      <c r="DG339" t="e">
        <f>'North America'!E980+"$F;@!1|@"</f>
        <v>#VALUE!</v>
      </c>
      <c r="DH339" t="e">
        <f>'North America'!F980+"$F;@!1|A"</f>
        <v>#VALUE!</v>
      </c>
      <c r="DI339" t="e">
        <f>'North America'!G980+"$F;@!1|B"</f>
        <v>#VALUE!</v>
      </c>
      <c r="DJ339" t="e">
        <f>'North America'!H980+"$F;@!1|C"</f>
        <v>#VALUE!</v>
      </c>
      <c r="DK339" t="e">
        <f>'North America'!A981+"$F;@!1|D"</f>
        <v>#VALUE!</v>
      </c>
      <c r="DL339" t="e">
        <f>'North America'!B981+"$F;@!1|E"</f>
        <v>#VALUE!</v>
      </c>
      <c r="DM339" t="e">
        <f>'North America'!C981+"$F;@!1|F"</f>
        <v>#VALUE!</v>
      </c>
      <c r="DN339" t="e">
        <f>'North America'!D981+"$F;@!1|G"</f>
        <v>#VALUE!</v>
      </c>
      <c r="DO339" t="e">
        <f>'North America'!E981+"$F;@!1|H"</f>
        <v>#VALUE!</v>
      </c>
      <c r="DP339" t="e">
        <f>'North America'!F981+"$F;@!1|I"</f>
        <v>#VALUE!</v>
      </c>
      <c r="DQ339" t="e">
        <f>'North America'!G981+"$F;@!1|J"</f>
        <v>#VALUE!</v>
      </c>
      <c r="DR339" t="e">
        <f>'North America'!H981+"$F;@!1|K"</f>
        <v>#VALUE!</v>
      </c>
      <c r="DS339" t="e">
        <f>'North America'!A982+"$F;@!1|L"</f>
        <v>#VALUE!</v>
      </c>
      <c r="DT339" t="e">
        <f>'North America'!B982+"$F;@!1|M"</f>
        <v>#VALUE!</v>
      </c>
      <c r="DU339" t="e">
        <f>'North America'!C982+"$F;@!1|N"</f>
        <v>#VALUE!</v>
      </c>
      <c r="DV339" t="e">
        <f>'North America'!D982+"$F;@!1|O"</f>
        <v>#VALUE!</v>
      </c>
      <c r="DW339" t="e">
        <f>'North America'!E982+"$F;@!1|P"</f>
        <v>#VALUE!</v>
      </c>
      <c r="DX339" t="e">
        <f>'North America'!F982+"$F;@!1|Q"</f>
        <v>#VALUE!</v>
      </c>
      <c r="DY339" t="e">
        <f>'North America'!G982+"$F;@!1|R"</f>
        <v>#VALUE!</v>
      </c>
      <c r="DZ339" t="e">
        <f>'North America'!H982+"$F;@!1|S"</f>
        <v>#VALUE!</v>
      </c>
      <c r="EA339" t="e">
        <f>'North America'!A983+"$F;@!1|T"</f>
        <v>#VALUE!</v>
      </c>
      <c r="EB339" t="e">
        <f>'North America'!B983+"$F;@!1|U"</f>
        <v>#VALUE!</v>
      </c>
      <c r="EC339" t="e">
        <f>'North America'!C983+"$F;@!1|V"</f>
        <v>#VALUE!</v>
      </c>
      <c r="ED339" t="e">
        <f>'North America'!D983+"$F;@!1|W"</f>
        <v>#VALUE!</v>
      </c>
      <c r="EE339" t="e">
        <f>'North America'!E983+"$F;@!1|X"</f>
        <v>#VALUE!</v>
      </c>
      <c r="EF339" t="e">
        <f>'North America'!F983+"$F;@!1|Y"</f>
        <v>#VALUE!</v>
      </c>
      <c r="EG339" t="e">
        <f>'North America'!G983+"$F;@!1|Z"</f>
        <v>#VALUE!</v>
      </c>
      <c r="EH339" t="e">
        <f>'North America'!H983+"$F;@!1|["</f>
        <v>#VALUE!</v>
      </c>
      <c r="EI339" t="e">
        <f>'North America'!A984+"$F;@!1|\"</f>
        <v>#VALUE!</v>
      </c>
      <c r="EJ339" t="e">
        <f>'North America'!B984+"$F;@!1|]"</f>
        <v>#VALUE!</v>
      </c>
      <c r="EK339" t="e">
        <f>'North America'!C984+"$F;@!1|^"</f>
        <v>#VALUE!</v>
      </c>
      <c r="EL339" t="e">
        <f>'North America'!D984+"$F;@!1|_"</f>
        <v>#VALUE!</v>
      </c>
      <c r="EM339" t="e">
        <f>'North America'!E984+"$F;@!1|`"</f>
        <v>#VALUE!</v>
      </c>
      <c r="EN339" t="e">
        <f>'North America'!F984+"$F;@!1|a"</f>
        <v>#VALUE!</v>
      </c>
      <c r="EO339" t="e">
        <f>'North America'!G984+"$F;@!1|b"</f>
        <v>#VALUE!</v>
      </c>
      <c r="EP339" t="e">
        <f>'North America'!H984+"$F;@!1|c"</f>
        <v>#VALUE!</v>
      </c>
      <c r="EQ339" t="e">
        <f>'North America'!A985+"$F;@!1|d"</f>
        <v>#VALUE!</v>
      </c>
      <c r="ER339" t="e">
        <f>'North America'!B985+"$F;@!1|e"</f>
        <v>#VALUE!</v>
      </c>
      <c r="ES339" t="e">
        <f>'North America'!C985+"$F;@!1|f"</f>
        <v>#VALUE!</v>
      </c>
      <c r="ET339" t="e">
        <f>'North America'!D985+"$F;@!1|g"</f>
        <v>#VALUE!</v>
      </c>
      <c r="EU339" t="e">
        <f>'North America'!E985+"$F;@!1|h"</f>
        <v>#VALUE!</v>
      </c>
      <c r="EV339" t="e">
        <f>'North America'!F985+"$F;@!1|i"</f>
        <v>#VALUE!</v>
      </c>
      <c r="EW339" t="e">
        <f>'North America'!G985+"$F;@!1|j"</f>
        <v>#VALUE!</v>
      </c>
      <c r="EX339" t="e">
        <f>'North America'!H985+"$F;@!1|k"</f>
        <v>#VALUE!</v>
      </c>
      <c r="EY339" t="e">
        <f>'North America'!A986+"$F;@!1|l"</f>
        <v>#VALUE!</v>
      </c>
      <c r="EZ339" t="e">
        <f>'North America'!B986+"$F;@!1|m"</f>
        <v>#VALUE!</v>
      </c>
      <c r="FA339" t="e">
        <f>'North America'!C986+"$F;@!1|n"</f>
        <v>#VALUE!</v>
      </c>
      <c r="FB339" t="e">
        <f>'North America'!D986+"$F;@!1|o"</f>
        <v>#VALUE!</v>
      </c>
      <c r="FC339" t="e">
        <f>'North America'!E986+"$F;@!1|p"</f>
        <v>#VALUE!</v>
      </c>
      <c r="FD339" t="e">
        <f>'North America'!F986+"$F;@!1|q"</f>
        <v>#VALUE!</v>
      </c>
      <c r="FE339" t="e">
        <f>'North America'!G986+"$F;@!1|r"</f>
        <v>#VALUE!</v>
      </c>
      <c r="FF339" t="e">
        <f>'North America'!H986+"$F;@!1|s"</f>
        <v>#VALUE!</v>
      </c>
      <c r="FG339" t="e">
        <f>'North America'!A987+"$F;@!1|t"</f>
        <v>#VALUE!</v>
      </c>
      <c r="FH339" t="e">
        <f>'North America'!B987+"$F;@!1|u"</f>
        <v>#VALUE!</v>
      </c>
      <c r="FI339" t="e">
        <f>'North America'!C987+"$F;@!1|v"</f>
        <v>#VALUE!</v>
      </c>
      <c r="FJ339" t="e">
        <f>'North America'!D987+"$F;@!1|w"</f>
        <v>#VALUE!</v>
      </c>
      <c r="FK339" t="e">
        <f>'North America'!E987+"$F;@!1|x"</f>
        <v>#VALUE!</v>
      </c>
      <c r="FL339" t="e">
        <f>'North America'!F987+"$F;@!1|y"</f>
        <v>#VALUE!</v>
      </c>
      <c r="FM339" t="e">
        <f>'North America'!G987+"$F;@!1|z"</f>
        <v>#VALUE!</v>
      </c>
      <c r="FN339" t="e">
        <f>'North America'!H987+"$F;@!1|{"</f>
        <v>#VALUE!</v>
      </c>
      <c r="FO339" t="e">
        <f>'North America'!A988+"$F;@!1||"</f>
        <v>#VALUE!</v>
      </c>
      <c r="FP339" t="e">
        <f>'North America'!B988+"$F;@!1|}"</f>
        <v>#VALUE!</v>
      </c>
      <c r="FQ339" t="e">
        <f>'North America'!C988+"$F;@!1|~"</f>
        <v>#VALUE!</v>
      </c>
      <c r="FR339" t="e">
        <f>'North America'!D988+"$F;@!1}#"</f>
        <v>#VALUE!</v>
      </c>
      <c r="FS339" t="e">
        <f>'North America'!E988+"$F;@!1}$"</f>
        <v>#VALUE!</v>
      </c>
      <c r="FT339" t="e">
        <f>'North America'!F988+"$F;@!1}%"</f>
        <v>#VALUE!</v>
      </c>
      <c r="FU339" t="e">
        <f>'North America'!G988+"$F;@!1}&amp;"</f>
        <v>#VALUE!</v>
      </c>
      <c r="FV339" t="e">
        <f>'North America'!H988+"$F;@!1}'"</f>
        <v>#VALUE!</v>
      </c>
      <c r="FW339" t="e">
        <f>'North America'!A989+"$F;@!1}("</f>
        <v>#VALUE!</v>
      </c>
      <c r="FX339" t="e">
        <f>'North America'!B989+"$F;@!1})"</f>
        <v>#VALUE!</v>
      </c>
      <c r="FY339" t="e">
        <f>'North America'!C989+"$F;@!1}."</f>
        <v>#VALUE!</v>
      </c>
      <c r="FZ339" t="e">
        <f>'North America'!D989+"$F;@!1}/"</f>
        <v>#VALUE!</v>
      </c>
      <c r="GA339" t="e">
        <f>'North America'!E989+"$F;@!1}0"</f>
        <v>#VALUE!</v>
      </c>
      <c r="GB339" t="e">
        <f>'North America'!F989+"$F;@!1}1"</f>
        <v>#VALUE!</v>
      </c>
      <c r="GC339" t="e">
        <f>'North America'!G989+"$F;@!1}2"</f>
        <v>#VALUE!</v>
      </c>
      <c r="GD339" t="e">
        <f>'North America'!H989+"$F;@!1}3"</f>
        <v>#VALUE!</v>
      </c>
      <c r="GE339" t="e">
        <f>'North America'!A990+"$F;@!1}4"</f>
        <v>#VALUE!</v>
      </c>
      <c r="GF339" t="e">
        <f>'North America'!B990+"$F;@!1}5"</f>
        <v>#VALUE!</v>
      </c>
      <c r="GG339" t="e">
        <f>'North America'!C990+"$F;@!1}6"</f>
        <v>#VALUE!</v>
      </c>
      <c r="GH339" t="e">
        <f>'North America'!D990+"$F;@!1}7"</f>
        <v>#VALUE!</v>
      </c>
      <c r="GI339" t="e">
        <f>'North America'!E990+"$F;@!1}8"</f>
        <v>#VALUE!</v>
      </c>
      <c r="GJ339" t="e">
        <f>'North America'!F990+"$F;@!1}9"</f>
        <v>#VALUE!</v>
      </c>
      <c r="GK339" t="e">
        <f>'North America'!G990+"$F;@!1}:"</f>
        <v>#VALUE!</v>
      </c>
      <c r="GL339" t="e">
        <f>'North America'!H990+"$F;@!1};"</f>
        <v>#VALUE!</v>
      </c>
      <c r="GM339" t="e">
        <f>'North America'!A991+"$F;@!1}&lt;"</f>
        <v>#VALUE!</v>
      </c>
      <c r="GN339" t="e">
        <f>'North America'!B991+"$F;@!1}="</f>
        <v>#VALUE!</v>
      </c>
      <c r="GO339" t="e">
        <f>'North America'!C991+"$F;@!1}&gt;"</f>
        <v>#VALUE!</v>
      </c>
      <c r="GP339" t="e">
        <f>'North America'!D991+"$F;@!1}?"</f>
        <v>#VALUE!</v>
      </c>
      <c r="GQ339" t="e">
        <f>'North America'!E991+"$F;@!1}@"</f>
        <v>#VALUE!</v>
      </c>
      <c r="GR339" t="e">
        <f>'North America'!F991+"$F;@!1}A"</f>
        <v>#VALUE!</v>
      </c>
      <c r="GS339" t="e">
        <f>'North America'!G991+"$F;@!1}B"</f>
        <v>#VALUE!</v>
      </c>
      <c r="GT339" t="e">
        <f>'North America'!H991+"$F;@!1}C"</f>
        <v>#VALUE!</v>
      </c>
      <c r="GU339" t="e">
        <f>'North America'!A992+"$F;@!1}D"</f>
        <v>#VALUE!</v>
      </c>
      <c r="GV339" t="e">
        <f>'North America'!B992+"$F;@!1}E"</f>
        <v>#VALUE!</v>
      </c>
      <c r="GW339" t="e">
        <f>'North America'!C992+"$F;@!1}F"</f>
        <v>#VALUE!</v>
      </c>
      <c r="GX339" t="e">
        <f>'North America'!D992+"$F;@!1}G"</f>
        <v>#VALUE!</v>
      </c>
      <c r="GY339" t="e">
        <f>'North America'!E992+"$F;@!1}H"</f>
        <v>#VALUE!</v>
      </c>
      <c r="GZ339" t="e">
        <f>'North America'!F992+"$F;@!1}I"</f>
        <v>#VALUE!</v>
      </c>
      <c r="HA339" t="e">
        <f>'North America'!G992+"$F;@!1}J"</f>
        <v>#VALUE!</v>
      </c>
      <c r="HB339" t="e">
        <f>'North America'!H992+"$F;@!1}K"</f>
        <v>#VALUE!</v>
      </c>
      <c r="HC339" t="e">
        <f>'North America'!A993+"$F;@!1}L"</f>
        <v>#VALUE!</v>
      </c>
      <c r="HD339" t="e">
        <f>'North America'!B993+"$F;@!1}M"</f>
        <v>#VALUE!</v>
      </c>
      <c r="HE339" t="e">
        <f>'North America'!C993+"$F;@!1}N"</f>
        <v>#VALUE!</v>
      </c>
      <c r="HF339" t="e">
        <f>'North America'!D993+"$F;@!1}O"</f>
        <v>#VALUE!</v>
      </c>
      <c r="HG339" t="e">
        <f>'North America'!E993+"$F;@!1}P"</f>
        <v>#VALUE!</v>
      </c>
      <c r="HH339" t="e">
        <f>'North America'!F993+"$F;@!1}Q"</f>
        <v>#VALUE!</v>
      </c>
      <c r="HI339" t="e">
        <f>'North America'!G993+"$F;@!1}R"</f>
        <v>#VALUE!</v>
      </c>
      <c r="HJ339" t="e">
        <f>'North America'!H993+"$F;@!1}S"</f>
        <v>#VALUE!</v>
      </c>
      <c r="HK339" t="e">
        <f>'North America'!A994+"$F;@!1}T"</f>
        <v>#VALUE!</v>
      </c>
      <c r="HL339" t="e">
        <f>'North America'!B994+"$F;@!1}U"</f>
        <v>#VALUE!</v>
      </c>
      <c r="HM339" t="e">
        <f>'North America'!C994+"$F;@!1}V"</f>
        <v>#VALUE!</v>
      </c>
      <c r="HN339" t="e">
        <f>'North America'!D994+"$F;@!1}W"</f>
        <v>#VALUE!</v>
      </c>
      <c r="HO339" t="e">
        <f>'North America'!E994+"$F;@!1}X"</f>
        <v>#VALUE!</v>
      </c>
      <c r="HP339" t="e">
        <f>'North America'!F994+"$F;@!1}Y"</f>
        <v>#VALUE!</v>
      </c>
      <c r="HQ339" t="e">
        <f>'North America'!G994+"$F;@!1}Z"</f>
        <v>#VALUE!</v>
      </c>
      <c r="HR339" t="e">
        <f>'North America'!H994+"$F;@!1}["</f>
        <v>#VALUE!</v>
      </c>
      <c r="HS339" t="e">
        <f>'North America'!A995+"$F;@!1}\"</f>
        <v>#VALUE!</v>
      </c>
      <c r="HT339" t="e">
        <f>'North America'!B995+"$F;@!1}]"</f>
        <v>#VALUE!</v>
      </c>
      <c r="HU339" t="e">
        <f>'North America'!C995+"$F;@!1}^"</f>
        <v>#VALUE!</v>
      </c>
      <c r="HV339" t="e">
        <f>'North America'!D995+"$F;@!1}_"</f>
        <v>#VALUE!</v>
      </c>
      <c r="HW339" t="e">
        <f>'North America'!E995+"$F;@!1}`"</f>
        <v>#VALUE!</v>
      </c>
      <c r="HX339" t="e">
        <f>'North America'!F995+"$F;@!1}a"</f>
        <v>#VALUE!</v>
      </c>
      <c r="HY339" t="e">
        <f>'North America'!G995+"$F;@!1}b"</f>
        <v>#VALUE!</v>
      </c>
      <c r="HZ339" t="e">
        <f>'North America'!H995+"$F;@!1}c"</f>
        <v>#VALUE!</v>
      </c>
      <c r="IA339" t="e">
        <f>'North America'!A996+"$F;@!1}d"</f>
        <v>#VALUE!</v>
      </c>
      <c r="IB339" t="e">
        <f>'North America'!B996+"$F;@!1}e"</f>
        <v>#VALUE!</v>
      </c>
      <c r="IC339" t="e">
        <f>'North America'!C996+"$F;@!1}f"</f>
        <v>#VALUE!</v>
      </c>
      <c r="ID339" t="e">
        <f>'North America'!D996+"$F;@!1}g"</f>
        <v>#VALUE!</v>
      </c>
      <c r="IE339" t="e">
        <f>'North America'!E996+"$F;@!1}h"</f>
        <v>#VALUE!</v>
      </c>
      <c r="IF339" t="e">
        <f>'North America'!F996+"$F;@!1}i"</f>
        <v>#VALUE!</v>
      </c>
      <c r="IG339" t="e">
        <f>'North America'!G996+"$F;@!1}j"</f>
        <v>#VALUE!</v>
      </c>
      <c r="IH339" t="e">
        <f>'North America'!H996+"$F;@!1}k"</f>
        <v>#VALUE!</v>
      </c>
      <c r="II339" t="e">
        <f>'North America'!A997+"$F;@!1}l"</f>
        <v>#VALUE!</v>
      </c>
      <c r="IJ339" t="e">
        <f>'North America'!B997+"$F;@!1}m"</f>
        <v>#VALUE!</v>
      </c>
      <c r="IK339" t="e">
        <f>'North America'!C997+"$F;@!1}n"</f>
        <v>#VALUE!</v>
      </c>
      <c r="IL339" t="e">
        <f>'North America'!D997+"$F;@!1}o"</f>
        <v>#VALUE!</v>
      </c>
      <c r="IM339" t="e">
        <f>'North America'!E997+"$F;@!1}p"</f>
        <v>#VALUE!</v>
      </c>
      <c r="IN339" t="e">
        <f>'North America'!F997+"$F;@!1}q"</f>
        <v>#VALUE!</v>
      </c>
      <c r="IO339" t="e">
        <f>'North America'!G997+"$F;@!1}r"</f>
        <v>#VALUE!</v>
      </c>
      <c r="IP339" t="e">
        <f>'North America'!H997+"$F;@!1}s"</f>
        <v>#VALUE!</v>
      </c>
      <c r="IQ339" t="e">
        <f>'North America'!A998+"$F;@!1}t"</f>
        <v>#VALUE!</v>
      </c>
      <c r="IR339" t="e">
        <f>'North America'!B998+"$F;@!1}u"</f>
        <v>#VALUE!</v>
      </c>
      <c r="IS339" t="e">
        <f>'North America'!C998+"$F;@!1}v"</f>
        <v>#VALUE!</v>
      </c>
      <c r="IT339" t="e">
        <f>'North America'!D998+"$F;@!1}w"</f>
        <v>#VALUE!</v>
      </c>
      <c r="IU339" t="e">
        <f>'North America'!E998+"$F;@!1}x"</f>
        <v>#VALUE!</v>
      </c>
      <c r="IV339" t="e">
        <f>'North America'!F998+"$F;@!1}y"</f>
        <v>#VALUE!</v>
      </c>
    </row>
    <row r="340" spans="6:256" x14ac:dyDescent="0.35">
      <c r="F340" t="e">
        <f>'North America'!G998+"$F;@!1}z"</f>
        <v>#VALUE!</v>
      </c>
      <c r="G340" t="e">
        <f>'North America'!H998+"$F;@!1}{"</f>
        <v>#VALUE!</v>
      </c>
      <c r="H340" t="e">
        <f>'North America'!A999+"$F;@!1}|"</f>
        <v>#VALUE!</v>
      </c>
      <c r="I340" t="e">
        <f>'North America'!B999+"$F;@!1}}"</f>
        <v>#VALUE!</v>
      </c>
      <c r="J340" t="e">
        <f>'North America'!C999+"$F;@!1}~"</f>
        <v>#VALUE!</v>
      </c>
      <c r="K340" t="e">
        <f>'North America'!D999+"$F;@!1~#"</f>
        <v>#VALUE!</v>
      </c>
      <c r="L340" t="e">
        <f>'North America'!E999+"$F;@!1~$"</f>
        <v>#VALUE!</v>
      </c>
      <c r="M340" t="e">
        <f>'North America'!F999+"$F;@!1~%"</f>
        <v>#VALUE!</v>
      </c>
      <c r="N340" t="e">
        <f>'North America'!G999+"$F;@!1~&amp;"</f>
        <v>#VALUE!</v>
      </c>
      <c r="O340" t="e">
        <f>'North America'!H999+"$F;@!1~'"</f>
        <v>#VALUE!</v>
      </c>
      <c r="P340" t="e">
        <f>'North America'!A1000+"$F;@!1~("</f>
        <v>#VALUE!</v>
      </c>
      <c r="Q340" t="e">
        <f>'North America'!B1000+"$F;@!1~)"</f>
        <v>#VALUE!</v>
      </c>
      <c r="R340" t="e">
        <f>'North America'!C1000+"$F;@!1~."</f>
        <v>#VALUE!</v>
      </c>
      <c r="S340" t="e">
        <f>'North America'!D1000+"$F;@!1~/"</f>
        <v>#VALUE!</v>
      </c>
      <c r="T340" t="e">
        <f>'North America'!E1000+"$F;@!1~0"</f>
        <v>#VALUE!</v>
      </c>
      <c r="U340" t="e">
        <f>'North America'!F1000+"$F;@!1~1"</f>
        <v>#VALUE!</v>
      </c>
      <c r="V340" t="e">
        <f>'North America'!G1000+"$F;@!1~2"</f>
        <v>#VALUE!</v>
      </c>
      <c r="W340" t="e">
        <f>'North America'!H1000+"$F;@!1~3"</f>
        <v>#VALUE!</v>
      </c>
      <c r="X340" t="e">
        <f>'North America'!A1001+"$F;@!1~4"</f>
        <v>#VALUE!</v>
      </c>
      <c r="Y340" t="e">
        <f>'North America'!B1001+"$F;@!1~5"</f>
        <v>#VALUE!</v>
      </c>
      <c r="Z340" t="e">
        <f>'North America'!C1001+"$F;@!1~6"</f>
        <v>#VALUE!</v>
      </c>
      <c r="AA340" t="e">
        <f>'North America'!D1001+"$F;@!1~7"</f>
        <v>#VALUE!</v>
      </c>
      <c r="AB340" t="e">
        <f>'North America'!E1001+"$F;@!1~8"</f>
        <v>#VALUE!</v>
      </c>
      <c r="AC340" t="e">
        <f>'North America'!F1001+"$F;@!1~9"</f>
        <v>#VALUE!</v>
      </c>
      <c r="AD340" t="e">
        <f>'North America'!G1001+"$F;@!1~:"</f>
        <v>#VALUE!</v>
      </c>
      <c r="AE340" t="e">
        <f>'North America'!H1001+"$F;@!1~;"</f>
        <v>#VALUE!</v>
      </c>
      <c r="AF340" t="e">
        <f>'North America'!A1002+"$F;@!1~&lt;"</f>
        <v>#VALUE!</v>
      </c>
      <c r="AG340" t="e">
        <f>'North America'!B1002+"$F;@!1~="</f>
        <v>#VALUE!</v>
      </c>
      <c r="AH340" t="e">
        <f>'North America'!C1002+"$F;@!1~&gt;"</f>
        <v>#VALUE!</v>
      </c>
      <c r="AI340" t="e">
        <f>'North America'!D1002+"$F;@!1~?"</f>
        <v>#VALUE!</v>
      </c>
      <c r="AJ340" t="e">
        <f>'North America'!E1002+"$F;@!1~@"</f>
        <v>#VALUE!</v>
      </c>
      <c r="AK340" t="e">
        <f>'North America'!F1002+"$F;@!1~A"</f>
        <v>#VALUE!</v>
      </c>
      <c r="AL340" t="e">
        <f>'North America'!G1002+"$F;@!1~B"</f>
        <v>#VALUE!</v>
      </c>
      <c r="AM340" t="e">
        <f>'North America'!H1002+"$F;@!1~C"</f>
        <v>#VALUE!</v>
      </c>
      <c r="AN340" t="e">
        <f>'North America'!A1003+"$F;@!1~D"</f>
        <v>#VALUE!</v>
      </c>
      <c r="AO340" t="e">
        <f>'North America'!B1003+"$F;@!1~E"</f>
        <v>#VALUE!</v>
      </c>
      <c r="AP340" t="e">
        <f>'North America'!C1003+"$F;@!1~F"</f>
        <v>#VALUE!</v>
      </c>
      <c r="AQ340" t="e">
        <f>'North America'!D1003+"$F;@!1~G"</f>
        <v>#VALUE!</v>
      </c>
      <c r="AR340" t="e">
        <f>'North America'!E1003+"$F;@!1~H"</f>
        <v>#VALUE!</v>
      </c>
      <c r="AS340" t="e">
        <f>'North America'!F1003+"$F;@!1~I"</f>
        <v>#VALUE!</v>
      </c>
      <c r="AT340" t="e">
        <f>'North America'!G1003+"$F;@!1~J"</f>
        <v>#VALUE!</v>
      </c>
      <c r="AU340" t="e">
        <f>'North America'!H1003+"$F;@!1~K"</f>
        <v>#VALUE!</v>
      </c>
      <c r="AV340" t="e">
        <f>'North America'!A1004+"$F;@!1~L"</f>
        <v>#VALUE!</v>
      </c>
      <c r="AW340" t="e">
        <f>'North America'!B1004+"$F;@!1~M"</f>
        <v>#VALUE!</v>
      </c>
      <c r="AX340" t="e">
        <f>'North America'!C1004+"$F;@!1~N"</f>
        <v>#VALUE!</v>
      </c>
      <c r="AY340" t="e">
        <f>'North America'!D1004+"$F;@!1~O"</f>
        <v>#VALUE!</v>
      </c>
      <c r="AZ340" t="e">
        <f>'North America'!E1004+"$F;@!1~P"</f>
        <v>#VALUE!</v>
      </c>
      <c r="BA340" t="e">
        <f>'North America'!F1004+"$F;@!1~Q"</f>
        <v>#VALUE!</v>
      </c>
      <c r="BB340" t="e">
        <f>'North America'!G1004+"$F;@!1~R"</f>
        <v>#VALUE!</v>
      </c>
      <c r="BC340" t="e">
        <f>'North America'!H1004+"$F;@!1~S"</f>
        <v>#VALUE!</v>
      </c>
      <c r="BD340" t="e">
        <f>'North America'!A1005+"$F;@!1~T"</f>
        <v>#VALUE!</v>
      </c>
      <c r="BE340" t="e">
        <f>'North America'!B1005+"$F;@!1~U"</f>
        <v>#VALUE!</v>
      </c>
      <c r="BF340" t="e">
        <f>'North America'!C1005+"$F;@!1~V"</f>
        <v>#VALUE!</v>
      </c>
      <c r="BG340" t="e">
        <f>'North America'!D1005+"$F;@!1~W"</f>
        <v>#VALUE!</v>
      </c>
      <c r="BH340" t="e">
        <f>'North America'!E1005+"$F;@!1~X"</f>
        <v>#VALUE!</v>
      </c>
      <c r="BI340" t="e">
        <f>'North America'!F1005+"$F;@!1~Y"</f>
        <v>#VALUE!</v>
      </c>
      <c r="BJ340" t="e">
        <f>'North America'!G1005+"$F;@!1~Z"</f>
        <v>#VALUE!</v>
      </c>
      <c r="BK340" t="e">
        <f>'North America'!H1005+"$F;@!1~["</f>
        <v>#VALUE!</v>
      </c>
      <c r="BL340" t="e">
        <f>'North America'!A1006+"$F;@!1~\"</f>
        <v>#VALUE!</v>
      </c>
      <c r="BM340" t="e">
        <f>'North America'!B1006+"$F;@!1~]"</f>
        <v>#VALUE!</v>
      </c>
      <c r="BN340" t="e">
        <f>'North America'!C1006+"$F;@!1~^"</f>
        <v>#VALUE!</v>
      </c>
      <c r="BO340" t="e">
        <f>'North America'!D1006+"$F;@!1~_"</f>
        <v>#VALUE!</v>
      </c>
      <c r="BP340" t="e">
        <f>'North America'!E1006+"$F;@!1~`"</f>
        <v>#VALUE!</v>
      </c>
      <c r="BQ340" t="e">
        <f>'North America'!F1006+"$F;@!1~a"</f>
        <v>#VALUE!</v>
      </c>
      <c r="BR340" t="e">
        <f>'North America'!G1006+"$F;@!1~b"</f>
        <v>#VALUE!</v>
      </c>
      <c r="BS340" t="e">
        <f>'North America'!H1006+"$F;@!1~c"</f>
        <v>#VALUE!</v>
      </c>
      <c r="BT340" t="e">
        <f>'North America'!A1007+"$F;@!1~d"</f>
        <v>#VALUE!</v>
      </c>
      <c r="BU340" t="e">
        <f>'North America'!B1007+"$F;@!1~e"</f>
        <v>#VALUE!</v>
      </c>
      <c r="BV340" t="e">
        <f>'North America'!C1007+"$F;@!1~f"</f>
        <v>#VALUE!</v>
      </c>
      <c r="BW340" t="e">
        <f>'North America'!D1007+"$F;@!1~g"</f>
        <v>#VALUE!</v>
      </c>
      <c r="BX340" t="e">
        <f>'North America'!E1007+"$F;@!1~h"</f>
        <v>#VALUE!</v>
      </c>
      <c r="BY340" t="e">
        <f>'North America'!F1007+"$F;@!1~i"</f>
        <v>#VALUE!</v>
      </c>
      <c r="BZ340" t="e">
        <f>'North America'!G1007+"$F;@!1~j"</f>
        <v>#VALUE!</v>
      </c>
      <c r="CA340" t="e">
        <f>'North America'!H1007+"$F;@!1~k"</f>
        <v>#VALUE!</v>
      </c>
      <c r="CB340" t="e">
        <f>'North America'!A1008+"$F;@!1~l"</f>
        <v>#VALUE!</v>
      </c>
      <c r="CC340" t="e">
        <f>'North America'!B1008+"$F;@!1~m"</f>
        <v>#VALUE!</v>
      </c>
      <c r="CD340" t="e">
        <f>'North America'!C1008+"$F;@!1~n"</f>
        <v>#VALUE!</v>
      </c>
      <c r="CE340" t="e">
        <f>'North America'!D1008+"$F;@!1~o"</f>
        <v>#VALUE!</v>
      </c>
      <c r="CF340" t="e">
        <f>'North America'!E1008+"$F;@!1~p"</f>
        <v>#VALUE!</v>
      </c>
      <c r="CG340" t="e">
        <f>'North America'!F1008+"$F;@!1~q"</f>
        <v>#VALUE!</v>
      </c>
      <c r="CH340" t="e">
        <f>'North America'!G1008+"$F;@!1~r"</f>
        <v>#VALUE!</v>
      </c>
      <c r="CI340" t="e">
        <f>'North America'!H1008+"$F;@!1~s"</f>
        <v>#VALUE!</v>
      </c>
      <c r="CJ340" t="e">
        <f>'North America'!A1009+"$F;@!1~t"</f>
        <v>#VALUE!</v>
      </c>
      <c r="CK340" t="e">
        <f>'North America'!B1009+"$F;@!1~u"</f>
        <v>#VALUE!</v>
      </c>
      <c r="CL340" t="e">
        <f>'North America'!C1009+"$F;@!1~v"</f>
        <v>#VALUE!</v>
      </c>
      <c r="CM340" t="e">
        <f>'North America'!D1009+"$F;@!1~w"</f>
        <v>#VALUE!</v>
      </c>
      <c r="CN340" t="e">
        <f>'North America'!E1009+"$F;@!1~x"</f>
        <v>#VALUE!</v>
      </c>
      <c r="CO340" t="e">
        <f>'North America'!F1009+"$F;@!1~y"</f>
        <v>#VALUE!</v>
      </c>
      <c r="CP340" t="e">
        <f>'North America'!G1009+"$F;@!1~z"</f>
        <v>#VALUE!</v>
      </c>
      <c r="CQ340" t="e">
        <f>'North America'!H1009+"$F;@!1~{"</f>
        <v>#VALUE!</v>
      </c>
      <c r="CR340" t="e">
        <f>'North America'!A1010+"$F;@!1~|"</f>
        <v>#VALUE!</v>
      </c>
      <c r="CS340" t="e">
        <f>'North America'!B1010+"$F;@!1~}"</f>
        <v>#VALUE!</v>
      </c>
      <c r="CT340" t="e">
        <f>'North America'!C1010+"$F;@!1~~"</f>
        <v>#VALUE!</v>
      </c>
      <c r="CU340" t="e">
        <f>'North America'!D1010+"$F;@!2##"</f>
        <v>#VALUE!</v>
      </c>
      <c r="CV340" t="e">
        <f>'North America'!E1010+"$F;@!2#$"</f>
        <v>#VALUE!</v>
      </c>
      <c r="CW340" t="e">
        <f>'North America'!F1010+"$F;@!2#%"</f>
        <v>#VALUE!</v>
      </c>
      <c r="CX340" t="e">
        <f>'North America'!G1010+"$F;@!2#&amp;"</f>
        <v>#VALUE!</v>
      </c>
      <c r="CY340" t="e">
        <f>'North America'!H1010+"$F;@!2#'"</f>
        <v>#VALUE!</v>
      </c>
      <c r="CZ340" t="e">
        <f>'North America'!A1011+"$F;@!2#("</f>
        <v>#VALUE!</v>
      </c>
      <c r="DA340" t="e">
        <f>'North America'!B1011+"$F;@!2#)"</f>
        <v>#VALUE!</v>
      </c>
      <c r="DB340" t="e">
        <f>'North America'!C1011+"$F;@!2#."</f>
        <v>#VALUE!</v>
      </c>
      <c r="DC340" t="e">
        <f>'North America'!D1011+"$F;@!2#/"</f>
        <v>#VALUE!</v>
      </c>
      <c r="DD340" t="e">
        <f>'North America'!E1011+"$F;@!2#0"</f>
        <v>#VALUE!</v>
      </c>
      <c r="DE340" t="e">
        <f>'North America'!F1011+"$F;@!2#1"</f>
        <v>#VALUE!</v>
      </c>
      <c r="DF340" t="e">
        <f>'North America'!G1011+"$F;@!2#2"</f>
        <v>#VALUE!</v>
      </c>
      <c r="DG340" t="e">
        <f>'North America'!H1011+"$F;@!2#3"</f>
        <v>#VALUE!</v>
      </c>
      <c r="DH340" t="e">
        <f>'North America'!A1012+"$F;@!2#4"</f>
        <v>#VALUE!</v>
      </c>
      <c r="DI340" t="e">
        <f>'North America'!B1012+"$F;@!2#5"</f>
        <v>#VALUE!</v>
      </c>
      <c r="DJ340" t="e">
        <f>'North America'!C1012+"$F;@!2#6"</f>
        <v>#VALUE!</v>
      </c>
      <c r="DK340" t="e">
        <f>'North America'!D1012+"$F;@!2#7"</f>
        <v>#VALUE!</v>
      </c>
      <c r="DL340" t="e">
        <f>'North America'!E1012+"$F;@!2#8"</f>
        <v>#VALUE!</v>
      </c>
      <c r="DM340" t="e">
        <f>'North America'!F1012+"$F;@!2#9"</f>
        <v>#VALUE!</v>
      </c>
      <c r="DN340" t="e">
        <f>'North America'!G1012+"$F;@!2#:"</f>
        <v>#VALUE!</v>
      </c>
      <c r="DO340" t="e">
        <f>'North America'!H1012+"$F;@!2#;"</f>
        <v>#VALUE!</v>
      </c>
      <c r="DP340" t="e">
        <f>'North America'!A1013+"$F;@!2#&lt;"</f>
        <v>#VALUE!</v>
      </c>
      <c r="DQ340" t="e">
        <f>'North America'!B1013+"$F;@!2#="</f>
        <v>#VALUE!</v>
      </c>
      <c r="DR340" t="e">
        <f>'North America'!C1013+"$F;@!2#&gt;"</f>
        <v>#VALUE!</v>
      </c>
      <c r="DS340" t="e">
        <f>'North America'!D1013+"$F;@!2#?"</f>
        <v>#VALUE!</v>
      </c>
      <c r="DT340" t="e">
        <f>'North America'!E1013+"$F;@!2#@"</f>
        <v>#VALUE!</v>
      </c>
      <c r="DU340" t="e">
        <f>'North America'!F1013+"$F;@!2#A"</f>
        <v>#VALUE!</v>
      </c>
      <c r="DV340" t="e">
        <f>'North America'!G1013+"$F;@!2#B"</f>
        <v>#VALUE!</v>
      </c>
      <c r="DW340" t="e">
        <f>'North America'!H1013+"$F;@!2#C"</f>
        <v>#VALUE!</v>
      </c>
      <c r="DX340" t="e">
        <f>'North America'!A1014+"$F;@!2#D"</f>
        <v>#VALUE!</v>
      </c>
      <c r="DY340" t="e">
        <f>'North America'!B1014+"$F;@!2#E"</f>
        <v>#VALUE!</v>
      </c>
      <c r="DZ340" t="e">
        <f>'North America'!C1014+"$F;@!2#F"</f>
        <v>#VALUE!</v>
      </c>
      <c r="EA340" t="e">
        <f>'North America'!D1014+"$F;@!2#G"</f>
        <v>#VALUE!</v>
      </c>
      <c r="EB340" t="e">
        <f>'North America'!E1014+"$F;@!2#H"</f>
        <v>#VALUE!</v>
      </c>
      <c r="EC340" t="e">
        <f>'North America'!F1014+"$F;@!2#I"</f>
        <v>#VALUE!</v>
      </c>
      <c r="ED340" t="e">
        <f>'North America'!G1014+"$F;@!2#J"</f>
        <v>#VALUE!</v>
      </c>
      <c r="EE340" t="e">
        <f>'North America'!H1014+"$F;@!2#K"</f>
        <v>#VALUE!</v>
      </c>
      <c r="EF340" t="e">
        <f>'North America'!A1015+"$F;@!2#L"</f>
        <v>#VALUE!</v>
      </c>
      <c r="EG340" t="e">
        <f>'North America'!B1015+"$F;@!2#M"</f>
        <v>#VALUE!</v>
      </c>
      <c r="EH340" t="e">
        <f>'North America'!C1015+"$F;@!2#N"</f>
        <v>#VALUE!</v>
      </c>
      <c r="EI340" t="e">
        <f>'North America'!D1015+"$F;@!2#O"</f>
        <v>#VALUE!</v>
      </c>
      <c r="EJ340" t="e">
        <f>'North America'!E1015+"$F;@!2#P"</f>
        <v>#VALUE!</v>
      </c>
      <c r="EK340" t="e">
        <f>'North America'!F1015+"$F;@!2#Q"</f>
        <v>#VALUE!</v>
      </c>
      <c r="EL340" t="e">
        <f>'North America'!G1015+"$F;@!2#R"</f>
        <v>#VALUE!</v>
      </c>
      <c r="EM340" t="e">
        <f>'North America'!H1015+"$F;@!2#S"</f>
        <v>#VALUE!</v>
      </c>
      <c r="EN340" t="e">
        <f>'North America'!A1016+"$F;@!2#T"</f>
        <v>#VALUE!</v>
      </c>
      <c r="EO340" t="e">
        <f>'North America'!B1016+"$F;@!2#U"</f>
        <v>#VALUE!</v>
      </c>
      <c r="EP340" t="e">
        <f>'North America'!C1016+"$F;@!2#V"</f>
        <v>#VALUE!</v>
      </c>
      <c r="EQ340" t="e">
        <f>'North America'!D1016+"$F;@!2#W"</f>
        <v>#VALUE!</v>
      </c>
      <c r="ER340" t="e">
        <f>'North America'!E1016+"$F;@!2#X"</f>
        <v>#VALUE!</v>
      </c>
      <c r="ES340" t="e">
        <f>'North America'!F1016+"$F;@!2#Y"</f>
        <v>#VALUE!</v>
      </c>
      <c r="ET340" t="e">
        <f>'North America'!G1016+"$F;@!2#Z"</f>
        <v>#VALUE!</v>
      </c>
      <c r="EU340" t="e">
        <f>'North America'!H1016+"$F;@!2#["</f>
        <v>#VALUE!</v>
      </c>
      <c r="EV340" t="e">
        <f>'North America'!A1017+"$F;@!2#\"</f>
        <v>#VALUE!</v>
      </c>
      <c r="EW340" t="e">
        <f>'North America'!B1017+"$F;@!2#]"</f>
        <v>#VALUE!</v>
      </c>
      <c r="EX340" t="e">
        <f>'North America'!C1017+"$F;@!2#^"</f>
        <v>#VALUE!</v>
      </c>
      <c r="EY340" t="e">
        <f>'North America'!D1017+"$F;@!2#_"</f>
        <v>#VALUE!</v>
      </c>
      <c r="EZ340" t="e">
        <f>'North America'!E1017+"$F;@!2#`"</f>
        <v>#VALUE!</v>
      </c>
      <c r="FA340" t="e">
        <f>'North America'!F1017+"$F;@!2#a"</f>
        <v>#VALUE!</v>
      </c>
      <c r="FB340" t="e">
        <f>'North America'!G1017+"$F;@!2#b"</f>
        <v>#VALUE!</v>
      </c>
      <c r="FC340" t="e">
        <f>'North America'!H1017+"$F;@!2#c"</f>
        <v>#VALUE!</v>
      </c>
      <c r="FD340" t="e">
        <f>'North America'!A1018+"$F;@!2#d"</f>
        <v>#VALUE!</v>
      </c>
      <c r="FE340" t="e">
        <f>'North America'!B1018+"$F;@!2#e"</f>
        <v>#VALUE!</v>
      </c>
      <c r="FF340" t="e">
        <f>'North America'!C1018+"$F;@!2#f"</f>
        <v>#VALUE!</v>
      </c>
      <c r="FG340" t="e">
        <f>'North America'!D1018+"$F;@!2#g"</f>
        <v>#VALUE!</v>
      </c>
      <c r="FH340" t="e">
        <f>'North America'!E1018+"$F;@!2#h"</f>
        <v>#VALUE!</v>
      </c>
      <c r="FI340" t="e">
        <f>'North America'!F1018+"$F;@!2#i"</f>
        <v>#VALUE!</v>
      </c>
      <c r="FJ340" t="e">
        <f>'North America'!G1018+"$F;@!2#j"</f>
        <v>#VALUE!</v>
      </c>
      <c r="FK340" t="e">
        <f>'North America'!H1018+"$F;@!2#k"</f>
        <v>#VALUE!</v>
      </c>
      <c r="FL340" t="e">
        <f>'North America'!A1019+"$F;@!2#l"</f>
        <v>#VALUE!</v>
      </c>
      <c r="FM340" t="e">
        <f>'North America'!B1019+"$F;@!2#m"</f>
        <v>#VALUE!</v>
      </c>
      <c r="FN340" t="e">
        <f>'North America'!C1019+"$F;@!2#n"</f>
        <v>#VALUE!</v>
      </c>
      <c r="FO340" t="e">
        <f>'North America'!D1019+"$F;@!2#o"</f>
        <v>#VALUE!</v>
      </c>
      <c r="FP340" t="e">
        <f>'North America'!E1019+"$F;@!2#p"</f>
        <v>#VALUE!</v>
      </c>
      <c r="FQ340" t="e">
        <f>'North America'!F1019+"$F;@!2#q"</f>
        <v>#VALUE!</v>
      </c>
      <c r="FR340" t="e">
        <f>'North America'!G1019+"$F;@!2#r"</f>
        <v>#VALUE!</v>
      </c>
      <c r="FS340" t="e">
        <f>'North America'!H1019+"$F;@!2#s"</f>
        <v>#VALUE!</v>
      </c>
      <c r="FT340" t="e">
        <f>'North America'!A1020+"$F;@!2#t"</f>
        <v>#VALUE!</v>
      </c>
      <c r="FU340" t="e">
        <f>'North America'!B1020+"$F;@!2#u"</f>
        <v>#VALUE!</v>
      </c>
      <c r="FV340" t="e">
        <f>'North America'!C1020+"$F;@!2#v"</f>
        <v>#VALUE!</v>
      </c>
      <c r="FW340" t="e">
        <f>'North America'!D1020+"$F;@!2#w"</f>
        <v>#VALUE!</v>
      </c>
      <c r="FX340" t="e">
        <f>'North America'!E1020+"$F;@!2#x"</f>
        <v>#VALUE!</v>
      </c>
      <c r="FY340" t="e">
        <f>'North America'!F1020+"$F;@!2#y"</f>
        <v>#VALUE!</v>
      </c>
      <c r="FZ340" t="e">
        <f>'North America'!G1020+"$F;@!2#z"</f>
        <v>#VALUE!</v>
      </c>
      <c r="GA340" t="e">
        <f>'North America'!H1020+"$F;@!2#{"</f>
        <v>#VALUE!</v>
      </c>
      <c r="GB340" t="e">
        <f>'North America'!A1021+"$F;@!2#|"</f>
        <v>#VALUE!</v>
      </c>
      <c r="GC340" t="e">
        <f>'North America'!B1021+"$F;@!2#}"</f>
        <v>#VALUE!</v>
      </c>
      <c r="GD340" t="e">
        <f>'North America'!C1021+"$F;@!2#~"</f>
        <v>#VALUE!</v>
      </c>
      <c r="GE340" t="e">
        <f>'North America'!D1021+"$F;@!2$#"</f>
        <v>#VALUE!</v>
      </c>
      <c r="GF340" t="e">
        <f>'North America'!E1021+"$F;@!2$$"</f>
        <v>#VALUE!</v>
      </c>
      <c r="GG340" t="e">
        <f>'North America'!F1021+"$F;@!2$%"</f>
        <v>#VALUE!</v>
      </c>
      <c r="GH340" t="e">
        <f>'North America'!G1021+"$F;@!2$&amp;"</f>
        <v>#VALUE!</v>
      </c>
      <c r="GI340" t="e">
        <f>'North America'!H1021+"$F;@!2$'"</f>
        <v>#VALUE!</v>
      </c>
      <c r="GJ340" t="e">
        <f>'North America'!A1022+"$F;@!2$("</f>
        <v>#VALUE!</v>
      </c>
      <c r="GK340" t="e">
        <f>'North America'!B1022+"$F;@!2$)"</f>
        <v>#VALUE!</v>
      </c>
      <c r="GL340" t="e">
        <f>'North America'!C1022+"$F;@!2$."</f>
        <v>#VALUE!</v>
      </c>
      <c r="GM340" t="e">
        <f>'North America'!D1022+"$F;@!2$/"</f>
        <v>#VALUE!</v>
      </c>
      <c r="GN340" t="e">
        <f>'North America'!E1022+"$F;@!2$0"</f>
        <v>#VALUE!</v>
      </c>
      <c r="GO340" t="e">
        <f>'North America'!F1022+"$F;@!2$1"</f>
        <v>#VALUE!</v>
      </c>
      <c r="GP340" t="e">
        <f>'North America'!G1022+"$F;@!2$2"</f>
        <v>#VALUE!</v>
      </c>
      <c r="GQ340" t="e">
        <f>'North America'!H1022+"$F;@!2$3"</f>
        <v>#VALUE!</v>
      </c>
      <c r="GR340" t="e">
        <f>'North America'!A1023+"$F;@!2$4"</f>
        <v>#VALUE!</v>
      </c>
      <c r="GS340" t="e">
        <f>'North America'!B1023+"$F;@!2$5"</f>
        <v>#VALUE!</v>
      </c>
      <c r="GT340" t="e">
        <f>'North America'!C1023+"$F;@!2$6"</f>
        <v>#VALUE!</v>
      </c>
      <c r="GU340" t="e">
        <f>'North America'!D1023+"$F;@!2$7"</f>
        <v>#VALUE!</v>
      </c>
      <c r="GV340" t="e">
        <f>'North America'!E1023+"$F;@!2$8"</f>
        <v>#VALUE!</v>
      </c>
      <c r="GW340" t="e">
        <f>'North America'!F1023+"$F;@!2$9"</f>
        <v>#VALUE!</v>
      </c>
      <c r="GX340" t="e">
        <f>'North America'!G1023+"$F;@!2$:"</f>
        <v>#VALUE!</v>
      </c>
      <c r="GY340" t="e">
        <f>'North America'!H1023+"$F;@!2$;"</f>
        <v>#VALUE!</v>
      </c>
      <c r="GZ340" t="e">
        <f>'North America'!A1024+"$F;@!2$&lt;"</f>
        <v>#VALUE!</v>
      </c>
      <c r="HA340" t="e">
        <f>'North America'!B1024+"$F;@!2$="</f>
        <v>#VALUE!</v>
      </c>
      <c r="HB340" t="e">
        <f>'North America'!C1024+"$F;@!2$&gt;"</f>
        <v>#VALUE!</v>
      </c>
      <c r="HC340" t="e">
        <f>'North America'!D1024+"$F;@!2$?"</f>
        <v>#VALUE!</v>
      </c>
      <c r="HD340" t="e">
        <f>'North America'!E1024+"$F;@!2$@"</f>
        <v>#VALUE!</v>
      </c>
      <c r="HE340" t="e">
        <f>'North America'!F1024+"$F;@!2$A"</f>
        <v>#VALUE!</v>
      </c>
      <c r="HF340" t="e">
        <f>'North America'!G1024+"$F;@!2$B"</f>
        <v>#VALUE!</v>
      </c>
      <c r="HG340" t="e">
        <f>'North America'!H1024+"$F;@!2$C"</f>
        <v>#VALUE!</v>
      </c>
      <c r="HH340" t="e">
        <f>'North America'!A1025+"$F;@!2$D"</f>
        <v>#VALUE!</v>
      </c>
      <c r="HI340" t="e">
        <f>'North America'!B1025+"$F;@!2$E"</f>
        <v>#VALUE!</v>
      </c>
      <c r="HJ340" t="e">
        <f>'North America'!C1025+"$F;@!2$F"</f>
        <v>#VALUE!</v>
      </c>
      <c r="HK340" t="e">
        <f>'North America'!D1025+"$F;@!2$G"</f>
        <v>#VALUE!</v>
      </c>
      <c r="HL340" t="e">
        <f>'North America'!E1025+"$F;@!2$H"</f>
        <v>#VALUE!</v>
      </c>
      <c r="HM340" t="e">
        <f>'North America'!F1025+"$F;@!2$I"</f>
        <v>#VALUE!</v>
      </c>
      <c r="HN340" t="e">
        <f>'North America'!G1025+"$F;@!2$J"</f>
        <v>#VALUE!</v>
      </c>
      <c r="HO340" t="e">
        <f>'North America'!H1025+"$F;@!2$K"</f>
        <v>#VALUE!</v>
      </c>
      <c r="HP340" t="e">
        <f>'North America'!A1026+"$F;@!2$L"</f>
        <v>#VALUE!</v>
      </c>
      <c r="HQ340" t="e">
        <f>'North America'!B1026+"$F;@!2$M"</f>
        <v>#VALUE!</v>
      </c>
      <c r="HR340" t="e">
        <f>'North America'!C1026+"$F;@!2$N"</f>
        <v>#VALUE!</v>
      </c>
      <c r="HS340" t="e">
        <f>'North America'!D1026+"$F;@!2$O"</f>
        <v>#VALUE!</v>
      </c>
      <c r="HT340" t="e">
        <f>'North America'!E1026+"$F;@!2$P"</f>
        <v>#VALUE!</v>
      </c>
      <c r="HU340" t="e">
        <f>'North America'!F1026+"$F;@!2$Q"</f>
        <v>#VALUE!</v>
      </c>
      <c r="HV340" t="e">
        <f>'North America'!G1026+"$F;@!2$R"</f>
        <v>#VALUE!</v>
      </c>
      <c r="HW340" t="e">
        <f>'North America'!H1026+"$F;@!2$S"</f>
        <v>#VALUE!</v>
      </c>
      <c r="HX340" t="e">
        <f>'North America'!A1027+"$F;@!2$T"</f>
        <v>#VALUE!</v>
      </c>
      <c r="HY340" t="e">
        <f>'North America'!B1027+"$F;@!2$U"</f>
        <v>#VALUE!</v>
      </c>
      <c r="HZ340" t="e">
        <f>'North America'!C1027+"$F;@!2$V"</f>
        <v>#VALUE!</v>
      </c>
      <c r="IA340" t="e">
        <f>'North America'!D1027+"$F;@!2$W"</f>
        <v>#VALUE!</v>
      </c>
      <c r="IB340" t="e">
        <f>'North America'!E1027+"$F;@!2$X"</f>
        <v>#VALUE!</v>
      </c>
      <c r="IC340" t="e">
        <f>'North America'!F1027+"$F;@!2$Y"</f>
        <v>#VALUE!</v>
      </c>
      <c r="ID340" t="e">
        <f>'North America'!G1027+"$F;@!2$Z"</f>
        <v>#VALUE!</v>
      </c>
      <c r="IE340" t="e">
        <f>'North America'!H1027+"$F;@!2$["</f>
        <v>#VALUE!</v>
      </c>
      <c r="IF340" t="e">
        <f>'North America'!A1028+"$F;@!2$\"</f>
        <v>#VALUE!</v>
      </c>
      <c r="IG340" t="e">
        <f>'North America'!B1028+"$F;@!2$]"</f>
        <v>#VALUE!</v>
      </c>
      <c r="IH340" t="e">
        <f>'North America'!C1028+"$F;@!2$^"</f>
        <v>#VALUE!</v>
      </c>
      <c r="II340" t="e">
        <f>'North America'!D1028+"$F;@!2$_"</f>
        <v>#VALUE!</v>
      </c>
      <c r="IJ340" t="e">
        <f>'North America'!E1028+"$F;@!2$`"</f>
        <v>#VALUE!</v>
      </c>
      <c r="IK340" t="e">
        <f>'North America'!F1028+"$F;@!2$a"</f>
        <v>#VALUE!</v>
      </c>
      <c r="IL340" t="e">
        <f>'North America'!G1028+"$F;@!2$b"</f>
        <v>#VALUE!</v>
      </c>
      <c r="IM340" t="e">
        <f>'North America'!H1028+"$F;@!2$c"</f>
        <v>#VALUE!</v>
      </c>
      <c r="IN340" t="e">
        <f>'North America'!A1029+"$F;@!2$d"</f>
        <v>#VALUE!</v>
      </c>
      <c r="IO340" t="e">
        <f>'North America'!B1029+"$F;@!2$e"</f>
        <v>#VALUE!</v>
      </c>
      <c r="IP340" t="e">
        <f>'North America'!C1029+"$F;@!2$f"</f>
        <v>#VALUE!</v>
      </c>
      <c r="IQ340" t="e">
        <f>'North America'!D1029+"$F;@!2$g"</f>
        <v>#VALUE!</v>
      </c>
      <c r="IR340" t="e">
        <f>'North America'!E1029+"$F;@!2$h"</f>
        <v>#VALUE!</v>
      </c>
      <c r="IS340" t="e">
        <f>'North America'!F1029+"$F;@!2$i"</f>
        <v>#VALUE!</v>
      </c>
      <c r="IT340" t="e">
        <f>'North America'!G1029+"$F;@!2$j"</f>
        <v>#VALUE!</v>
      </c>
      <c r="IU340" t="e">
        <f>'North America'!H1029+"$F;@!2$k"</f>
        <v>#VALUE!</v>
      </c>
      <c r="IV340" t="e">
        <f>'North America'!A1030+"$F;@!2$l"</f>
        <v>#VALUE!</v>
      </c>
    </row>
    <row r="341" spans="6:256" x14ac:dyDescent="0.35">
      <c r="F341" t="e">
        <f>'North America'!B1030+"$F;@!2$m"</f>
        <v>#VALUE!</v>
      </c>
      <c r="G341" t="e">
        <f>'North America'!C1030+"$F;@!2$n"</f>
        <v>#VALUE!</v>
      </c>
      <c r="H341" t="e">
        <f>'North America'!D1030+"$F;@!2$o"</f>
        <v>#VALUE!</v>
      </c>
      <c r="I341" t="e">
        <f>'North America'!E1030+"$F;@!2$p"</f>
        <v>#VALUE!</v>
      </c>
      <c r="J341" t="e">
        <f>'North America'!F1030+"$F;@!2$q"</f>
        <v>#VALUE!</v>
      </c>
      <c r="K341" t="e">
        <f>'North America'!G1030+"$F;@!2$r"</f>
        <v>#VALUE!</v>
      </c>
      <c r="L341" t="e">
        <f>'North America'!H1030+"$F;@!2$s"</f>
        <v>#VALUE!</v>
      </c>
      <c r="M341" t="e">
        <f>'North America'!A1031+"$F;@!2$t"</f>
        <v>#VALUE!</v>
      </c>
      <c r="N341" t="e">
        <f>'North America'!B1031+"$F;@!2$u"</f>
        <v>#VALUE!</v>
      </c>
      <c r="O341" t="e">
        <f>'North America'!C1031+"$F;@!2$v"</f>
        <v>#VALUE!</v>
      </c>
      <c r="P341" t="e">
        <f>'North America'!D1031+"$F;@!2$w"</f>
        <v>#VALUE!</v>
      </c>
      <c r="Q341" t="e">
        <f>'North America'!E1031+"$F;@!2$x"</f>
        <v>#VALUE!</v>
      </c>
      <c r="R341" t="e">
        <f>'North America'!F1031+"$F;@!2$y"</f>
        <v>#VALUE!</v>
      </c>
      <c r="S341" t="e">
        <f>'North America'!G1031+"$F;@!2$z"</f>
        <v>#VALUE!</v>
      </c>
      <c r="T341" t="e">
        <f>'North America'!H1031+"$F;@!2${"</f>
        <v>#VALUE!</v>
      </c>
      <c r="U341" t="e">
        <f>'North America'!A1032+"$F;@!2$|"</f>
        <v>#VALUE!</v>
      </c>
      <c r="V341" t="e">
        <f>'North America'!B1032+"$F;@!2$}"</f>
        <v>#VALUE!</v>
      </c>
      <c r="W341" t="e">
        <f>'North America'!C1032+"$F;@!2$~"</f>
        <v>#VALUE!</v>
      </c>
      <c r="X341" t="e">
        <f>'North America'!D1032+"$F;@!2%#"</f>
        <v>#VALUE!</v>
      </c>
      <c r="Y341" t="e">
        <f>'North America'!E1032+"$F;@!2%$"</f>
        <v>#VALUE!</v>
      </c>
      <c r="Z341" t="e">
        <f>'North America'!F1032+"$F;@!2%%"</f>
        <v>#VALUE!</v>
      </c>
      <c r="AA341" t="e">
        <f>'North America'!G1032+"$F;@!2%&amp;"</f>
        <v>#VALUE!</v>
      </c>
      <c r="AB341" t="e">
        <f>'North America'!H1032+"$F;@!2%'"</f>
        <v>#VALUE!</v>
      </c>
      <c r="AC341" t="e">
        <f>'North America'!A1033+"$F;@!2%("</f>
        <v>#VALUE!</v>
      </c>
      <c r="AD341" t="e">
        <f>'North America'!B1033+"$F;@!2%)"</f>
        <v>#VALUE!</v>
      </c>
      <c r="AE341" t="e">
        <f>'North America'!C1033+"$F;@!2%."</f>
        <v>#VALUE!</v>
      </c>
      <c r="AF341" t="e">
        <f>'North America'!D1033+"$F;@!2%/"</f>
        <v>#VALUE!</v>
      </c>
      <c r="AG341" t="e">
        <f>'North America'!E1033+"$F;@!2%0"</f>
        <v>#VALUE!</v>
      </c>
      <c r="AH341" t="e">
        <f>'North America'!F1033+"$F;@!2%1"</f>
        <v>#VALUE!</v>
      </c>
      <c r="AI341" t="e">
        <f>'North America'!G1033+"$F;@!2%2"</f>
        <v>#VALUE!</v>
      </c>
      <c r="AJ341" t="e">
        <f>'North America'!H1033+"$F;@!2%3"</f>
        <v>#VALUE!</v>
      </c>
      <c r="AK341" t="e">
        <f>'North America'!A1034+"$F;@!2%4"</f>
        <v>#VALUE!</v>
      </c>
      <c r="AL341" t="e">
        <f>'North America'!B1034+"$F;@!2%5"</f>
        <v>#VALUE!</v>
      </c>
      <c r="AM341" t="e">
        <f>'North America'!C1034+"$F;@!2%6"</f>
        <v>#VALUE!</v>
      </c>
      <c r="AN341" t="e">
        <f>'North America'!D1034+"$F;@!2%7"</f>
        <v>#VALUE!</v>
      </c>
      <c r="AO341" t="e">
        <f>'North America'!E1034+"$F;@!2%8"</f>
        <v>#VALUE!</v>
      </c>
      <c r="AP341" t="e">
        <f>'North America'!F1034+"$F;@!2%9"</f>
        <v>#VALUE!</v>
      </c>
      <c r="AQ341" t="e">
        <f>'North America'!G1034+"$F;@!2%:"</f>
        <v>#VALUE!</v>
      </c>
      <c r="AR341" t="e">
        <f>'North America'!H1034+"$F;@!2%;"</f>
        <v>#VALUE!</v>
      </c>
      <c r="AS341" t="e">
        <f>'North America'!A1035+"$F;@!2%&lt;"</f>
        <v>#VALUE!</v>
      </c>
      <c r="AT341" t="e">
        <f>'North America'!B1035+"$F;@!2%="</f>
        <v>#VALUE!</v>
      </c>
      <c r="AU341" t="e">
        <f>'North America'!C1035+"$F;@!2%&gt;"</f>
        <v>#VALUE!</v>
      </c>
      <c r="AV341" t="e">
        <f>'North America'!D1035+"$F;@!2%?"</f>
        <v>#VALUE!</v>
      </c>
      <c r="AW341" t="e">
        <f>'North America'!E1035+"$F;@!2%@"</f>
        <v>#VALUE!</v>
      </c>
      <c r="AX341" t="e">
        <f>'North America'!F1035+"$F;@!2%A"</f>
        <v>#VALUE!</v>
      </c>
      <c r="AY341" t="e">
        <f>'North America'!G1035+"$F;@!2%B"</f>
        <v>#VALUE!</v>
      </c>
      <c r="AZ341" t="e">
        <f>'North America'!H1035+"$F;@!2%C"</f>
        <v>#VALUE!</v>
      </c>
      <c r="BA341" t="e">
        <f>'North America'!A1036+"$F;@!2%D"</f>
        <v>#VALUE!</v>
      </c>
      <c r="BB341" t="e">
        <f>'North America'!B1036+"$F;@!2%E"</f>
        <v>#VALUE!</v>
      </c>
      <c r="BC341" t="e">
        <f>'North America'!C1036+"$F;@!2%F"</f>
        <v>#VALUE!</v>
      </c>
      <c r="BD341" t="e">
        <f>'North America'!D1036+"$F;@!2%G"</f>
        <v>#VALUE!</v>
      </c>
      <c r="BE341" t="e">
        <f>'North America'!E1036+"$F;@!2%H"</f>
        <v>#VALUE!</v>
      </c>
      <c r="BF341" t="e">
        <f>'North America'!F1036+"$F;@!2%I"</f>
        <v>#VALUE!</v>
      </c>
      <c r="BG341" t="e">
        <f>'North America'!G1036+"$F;@!2%J"</f>
        <v>#VALUE!</v>
      </c>
      <c r="BH341" t="e">
        <f>'North America'!H1036+"$F;@!2%K"</f>
        <v>#VALUE!</v>
      </c>
      <c r="BI341" t="e">
        <f>'North America'!A1037+"$F;@!2%L"</f>
        <v>#VALUE!</v>
      </c>
      <c r="BJ341" t="e">
        <f>'North America'!B1037+"$F;@!2%M"</f>
        <v>#VALUE!</v>
      </c>
      <c r="BK341" t="e">
        <f>'North America'!C1037+"$F;@!2%N"</f>
        <v>#VALUE!</v>
      </c>
      <c r="BL341" t="e">
        <f>'North America'!D1037+"$F;@!2%O"</f>
        <v>#VALUE!</v>
      </c>
      <c r="BM341" t="e">
        <f>'North America'!E1037+"$F;@!2%P"</f>
        <v>#VALUE!</v>
      </c>
      <c r="BN341" t="e">
        <f>'North America'!F1037+"$F;@!2%Q"</f>
        <v>#VALUE!</v>
      </c>
      <c r="BO341" t="e">
        <f>'North America'!G1037+"$F;@!2%R"</f>
        <v>#VALUE!</v>
      </c>
      <c r="BP341" t="e">
        <f>'North America'!H1037+"$F;@!2%S"</f>
        <v>#VALUE!</v>
      </c>
      <c r="BQ341" t="e">
        <f>'North America'!A1038+"$F;@!2%T"</f>
        <v>#VALUE!</v>
      </c>
      <c r="BR341" t="e">
        <f>'North America'!B1038+"$F;@!2%U"</f>
        <v>#VALUE!</v>
      </c>
      <c r="BS341" t="e">
        <f>'North America'!C1038+"$F;@!2%V"</f>
        <v>#VALUE!</v>
      </c>
      <c r="BT341" t="e">
        <f>'North America'!D1038+"$F;@!2%W"</f>
        <v>#VALUE!</v>
      </c>
      <c r="BU341" t="e">
        <f>'North America'!E1038+"$F;@!2%X"</f>
        <v>#VALUE!</v>
      </c>
      <c r="BV341" t="e">
        <f>'North America'!F1038+"$F;@!2%Y"</f>
        <v>#VALUE!</v>
      </c>
      <c r="BW341" t="e">
        <f>'North America'!G1038+"$F;@!2%Z"</f>
        <v>#VALUE!</v>
      </c>
      <c r="BX341" t="e">
        <f>'North America'!H1038+"$F;@!2%["</f>
        <v>#VALUE!</v>
      </c>
      <c r="BY341" t="e">
        <f>'North America'!A1039+"$F;@!2%\"</f>
        <v>#VALUE!</v>
      </c>
      <c r="BZ341" t="e">
        <f>'North America'!B1039+"$F;@!2%]"</f>
        <v>#VALUE!</v>
      </c>
      <c r="CA341" t="e">
        <f>'North America'!C1039+"$F;@!2%^"</f>
        <v>#VALUE!</v>
      </c>
      <c r="CB341" t="e">
        <f>'North America'!D1039+"$F;@!2%_"</f>
        <v>#VALUE!</v>
      </c>
      <c r="CC341" t="e">
        <f>'North America'!E1039+"$F;@!2%`"</f>
        <v>#VALUE!</v>
      </c>
      <c r="CD341" t="e">
        <f>'North America'!F1039+"$F;@!2%a"</f>
        <v>#VALUE!</v>
      </c>
      <c r="CE341" t="e">
        <f>'North America'!G1039+"$F;@!2%b"</f>
        <v>#VALUE!</v>
      </c>
      <c r="CF341" t="e">
        <f>'North America'!H1039+"$F;@!2%c"</f>
        <v>#VALUE!</v>
      </c>
      <c r="CG341" t="e">
        <f>'North America'!A1040+"$F;@!2%d"</f>
        <v>#VALUE!</v>
      </c>
      <c r="CH341" t="e">
        <f>'North America'!B1040+"$F;@!2%e"</f>
        <v>#VALUE!</v>
      </c>
      <c r="CI341" t="e">
        <f>'North America'!C1040+"$F;@!2%f"</f>
        <v>#VALUE!</v>
      </c>
      <c r="CJ341" t="e">
        <f>'North America'!D1040+"$F;@!2%g"</f>
        <v>#VALUE!</v>
      </c>
      <c r="CK341" t="e">
        <f>'North America'!E1040+"$F;@!2%h"</f>
        <v>#VALUE!</v>
      </c>
      <c r="CL341" t="e">
        <f>'North America'!F1040+"$F;@!2%i"</f>
        <v>#VALUE!</v>
      </c>
      <c r="CM341" t="e">
        <f>'North America'!G1040+"$F;@!2%j"</f>
        <v>#VALUE!</v>
      </c>
      <c r="CN341" t="e">
        <f>'North America'!H1040+"$F;@!2%k"</f>
        <v>#VALUE!</v>
      </c>
      <c r="CO341" t="e">
        <f>'North America'!A1041+"$F;@!2%l"</f>
        <v>#VALUE!</v>
      </c>
      <c r="CP341" t="e">
        <f>'North America'!B1041+"$F;@!2%m"</f>
        <v>#VALUE!</v>
      </c>
      <c r="CQ341" t="e">
        <f>'North America'!C1041+"$F;@!2%n"</f>
        <v>#VALUE!</v>
      </c>
      <c r="CR341" t="e">
        <f>'North America'!D1041+"$F;@!2%o"</f>
        <v>#VALUE!</v>
      </c>
      <c r="CS341" t="e">
        <f>'North America'!E1041+"$F;@!2%p"</f>
        <v>#VALUE!</v>
      </c>
      <c r="CT341" t="e">
        <f>'North America'!F1041+"$F;@!2%q"</f>
        <v>#VALUE!</v>
      </c>
      <c r="CU341" t="e">
        <f>'North America'!G1041+"$F;@!2%r"</f>
        <v>#VALUE!</v>
      </c>
      <c r="CV341" t="e">
        <f>'North America'!H1041+"$F;@!2%s"</f>
        <v>#VALUE!</v>
      </c>
      <c r="CW341" t="e">
        <f>'North America'!A1042+"$F;@!2%t"</f>
        <v>#VALUE!</v>
      </c>
      <c r="CX341" t="e">
        <f>'North America'!B1042+"$F;@!2%u"</f>
        <v>#VALUE!</v>
      </c>
      <c r="CY341" t="e">
        <f>'North America'!C1042+"$F;@!2%v"</f>
        <v>#VALUE!</v>
      </c>
      <c r="CZ341" t="e">
        <f>'North America'!D1042+"$F;@!2%w"</f>
        <v>#VALUE!</v>
      </c>
      <c r="DA341" t="e">
        <f>'North America'!E1042+"$F;@!2%x"</f>
        <v>#VALUE!</v>
      </c>
      <c r="DB341" t="e">
        <f>'North America'!F1042+"$F;@!2%y"</f>
        <v>#VALUE!</v>
      </c>
      <c r="DC341" t="e">
        <f>'North America'!G1042+"$F;@!2%z"</f>
        <v>#VALUE!</v>
      </c>
      <c r="DD341" t="e">
        <f>'North America'!H1042+"$F;@!2%{"</f>
        <v>#VALUE!</v>
      </c>
      <c r="DE341" t="e">
        <f>'North America'!A1043+"$F;@!2%|"</f>
        <v>#VALUE!</v>
      </c>
      <c r="DF341" t="e">
        <f>'North America'!B1043+"$F;@!2%}"</f>
        <v>#VALUE!</v>
      </c>
      <c r="DG341" t="e">
        <f>'North America'!C1043+"$F;@!2%~"</f>
        <v>#VALUE!</v>
      </c>
      <c r="DH341" t="e">
        <f>'North America'!D1043+"$F;@!2&amp;#"</f>
        <v>#VALUE!</v>
      </c>
      <c r="DI341" t="e">
        <f>'North America'!E1043+"$F;@!2&amp;$"</f>
        <v>#VALUE!</v>
      </c>
      <c r="DJ341" t="e">
        <f>'North America'!F1043+"$F;@!2&amp;%"</f>
        <v>#VALUE!</v>
      </c>
      <c r="DK341" t="e">
        <f>'North America'!G1043+"$F;@!2&amp;&amp;"</f>
        <v>#VALUE!</v>
      </c>
      <c r="DL341" t="e">
        <f>'North America'!H1043+"$F;@!2&amp;'"</f>
        <v>#VALUE!</v>
      </c>
      <c r="DM341" t="e">
        <f>'North America'!A1044+"$F;@!2&amp;("</f>
        <v>#VALUE!</v>
      </c>
      <c r="DN341" t="e">
        <f>'North America'!B1044+"$F;@!2&amp;)"</f>
        <v>#VALUE!</v>
      </c>
      <c r="DO341" t="e">
        <f>'North America'!C1044+"$F;@!2&amp;."</f>
        <v>#VALUE!</v>
      </c>
      <c r="DP341" t="e">
        <f>'North America'!D1044+"$F;@!2&amp;/"</f>
        <v>#VALUE!</v>
      </c>
      <c r="DQ341" t="e">
        <f>'North America'!E1044+"$F;@!2&amp;0"</f>
        <v>#VALUE!</v>
      </c>
      <c r="DR341" t="e">
        <f>'North America'!F1044+"$F;@!2&amp;1"</f>
        <v>#VALUE!</v>
      </c>
      <c r="DS341" t="e">
        <f>'North America'!G1044+"$F;@!2&amp;2"</f>
        <v>#VALUE!</v>
      </c>
      <c r="DT341" t="e">
        <f>'North America'!H1044+"$F;@!2&amp;3"</f>
        <v>#VALUE!</v>
      </c>
      <c r="DU341" t="e">
        <f>'North America'!A1045+"$F;@!2&amp;4"</f>
        <v>#VALUE!</v>
      </c>
      <c r="DV341" t="e">
        <f>'North America'!B1045+"$F;@!2&amp;5"</f>
        <v>#VALUE!</v>
      </c>
      <c r="DW341" t="e">
        <f>'North America'!C1045+"$F;@!2&amp;6"</f>
        <v>#VALUE!</v>
      </c>
      <c r="DX341" t="e">
        <f>'North America'!D1045+"$F;@!2&amp;7"</f>
        <v>#VALUE!</v>
      </c>
      <c r="DY341" t="e">
        <f>'North America'!E1045+"$F;@!2&amp;8"</f>
        <v>#VALUE!</v>
      </c>
      <c r="DZ341" t="e">
        <f>'North America'!F1045+"$F;@!2&amp;9"</f>
        <v>#VALUE!</v>
      </c>
      <c r="EA341" t="e">
        <f>'North America'!G1045+"$F;@!2&amp;:"</f>
        <v>#VALUE!</v>
      </c>
      <c r="EB341" t="e">
        <f>'North America'!H1045+"$F;@!2&amp;;"</f>
        <v>#VALUE!</v>
      </c>
      <c r="EC341" t="e">
        <f>'North America'!A1046+"$F;@!2&amp;&lt;"</f>
        <v>#VALUE!</v>
      </c>
      <c r="ED341" t="e">
        <f>'North America'!B1046+"$F;@!2&amp;="</f>
        <v>#VALUE!</v>
      </c>
      <c r="EE341" t="e">
        <f>'North America'!C1046+"$F;@!2&amp;&gt;"</f>
        <v>#VALUE!</v>
      </c>
      <c r="EF341" t="e">
        <f>'North America'!D1046+"$F;@!2&amp;?"</f>
        <v>#VALUE!</v>
      </c>
      <c r="EG341" t="e">
        <f>'North America'!E1046+"$F;@!2&amp;@"</f>
        <v>#VALUE!</v>
      </c>
      <c r="EH341" t="e">
        <f>'North America'!F1046+"$F;@!2&amp;A"</f>
        <v>#VALUE!</v>
      </c>
      <c r="EI341" t="e">
        <f>'North America'!G1046+"$F;@!2&amp;B"</f>
        <v>#VALUE!</v>
      </c>
      <c r="EJ341" t="e">
        <f>'North America'!H1046+"$F;@!2&amp;C"</f>
        <v>#VALUE!</v>
      </c>
      <c r="EK341" t="e">
        <f>'North America'!A1047+"$F;@!2&amp;D"</f>
        <v>#VALUE!</v>
      </c>
      <c r="EL341" t="e">
        <f>'North America'!B1047+"$F;@!2&amp;E"</f>
        <v>#VALUE!</v>
      </c>
      <c r="EM341" t="e">
        <f>'North America'!C1047+"$F;@!2&amp;F"</f>
        <v>#VALUE!</v>
      </c>
      <c r="EN341" t="e">
        <f>'North America'!D1047+"$F;@!2&amp;G"</f>
        <v>#VALUE!</v>
      </c>
      <c r="EO341" t="e">
        <f>'North America'!E1047+"$F;@!2&amp;H"</f>
        <v>#VALUE!</v>
      </c>
      <c r="EP341" t="e">
        <f>'North America'!F1047+"$F;@!2&amp;I"</f>
        <v>#VALUE!</v>
      </c>
      <c r="EQ341" t="e">
        <f>'North America'!G1047+"$F;@!2&amp;J"</f>
        <v>#VALUE!</v>
      </c>
      <c r="ER341" t="e">
        <f>'North America'!H1047+"$F;@!2&amp;K"</f>
        <v>#VALUE!</v>
      </c>
      <c r="ES341" t="e">
        <f>'North America'!A1048+"$F;@!2&amp;L"</f>
        <v>#VALUE!</v>
      </c>
      <c r="ET341" t="e">
        <f>'North America'!B1048+"$F;@!2&amp;M"</f>
        <v>#VALUE!</v>
      </c>
      <c r="EU341" t="e">
        <f>'North America'!C1048+"$F;@!2&amp;N"</f>
        <v>#VALUE!</v>
      </c>
      <c r="EV341" t="e">
        <f>'North America'!D1048+"$F;@!2&amp;O"</f>
        <v>#VALUE!</v>
      </c>
      <c r="EW341" t="e">
        <f>'North America'!E1048+"$F;@!2&amp;P"</f>
        <v>#VALUE!</v>
      </c>
      <c r="EX341" t="e">
        <f>'North America'!F1048+"$F;@!2&amp;Q"</f>
        <v>#VALUE!</v>
      </c>
      <c r="EY341" t="e">
        <f>'North America'!G1048+"$F;@!2&amp;R"</f>
        <v>#VALUE!</v>
      </c>
      <c r="EZ341" t="e">
        <f>'North America'!H1048+"$F;@!2&amp;S"</f>
        <v>#VALUE!</v>
      </c>
      <c r="FA341" t="e">
        <f>'North America'!A1049+"$F;@!2&amp;T"</f>
        <v>#VALUE!</v>
      </c>
      <c r="FB341" t="e">
        <f>'North America'!B1049+"$F;@!2&amp;U"</f>
        <v>#VALUE!</v>
      </c>
      <c r="FC341" t="e">
        <f>'North America'!C1049+"$F;@!2&amp;V"</f>
        <v>#VALUE!</v>
      </c>
      <c r="FD341" t="e">
        <f>'North America'!D1049+"$F;@!2&amp;W"</f>
        <v>#VALUE!</v>
      </c>
      <c r="FE341" t="e">
        <f>'North America'!E1049+"$F;@!2&amp;X"</f>
        <v>#VALUE!</v>
      </c>
      <c r="FF341" t="e">
        <f>'North America'!F1049+"$F;@!2&amp;Y"</f>
        <v>#VALUE!</v>
      </c>
      <c r="FG341" t="e">
        <f>'North America'!G1049+"$F;@!2&amp;Z"</f>
        <v>#VALUE!</v>
      </c>
      <c r="FH341" t="e">
        <f>'North America'!H1049+"$F;@!2&amp;["</f>
        <v>#VALUE!</v>
      </c>
      <c r="FI341" t="e">
        <f>'North America'!A1050+"$F;@!2&amp;\"</f>
        <v>#VALUE!</v>
      </c>
      <c r="FJ341" t="e">
        <f>'North America'!B1050+"$F;@!2&amp;]"</f>
        <v>#VALUE!</v>
      </c>
      <c r="FK341" t="e">
        <f>'North America'!C1050+"$F;@!2&amp;^"</f>
        <v>#VALUE!</v>
      </c>
      <c r="FL341" t="e">
        <f>'North America'!D1050+"$F;@!2&amp;_"</f>
        <v>#VALUE!</v>
      </c>
      <c r="FM341" t="e">
        <f>'North America'!E1050+"$F;@!2&amp;`"</f>
        <v>#VALUE!</v>
      </c>
      <c r="FN341" t="e">
        <f>'North America'!F1050+"$F;@!2&amp;a"</f>
        <v>#VALUE!</v>
      </c>
      <c r="FO341" t="e">
        <f>'North America'!G1050+"$F;@!2&amp;b"</f>
        <v>#VALUE!</v>
      </c>
      <c r="FP341" t="e">
        <f>'North America'!H1050+"$F;@!2&amp;c"</f>
        <v>#VALUE!</v>
      </c>
      <c r="FQ341" t="e">
        <f>'North America'!A1051+"$F;@!2&amp;d"</f>
        <v>#VALUE!</v>
      </c>
      <c r="FR341" t="e">
        <f>'North America'!B1051+"$F;@!2&amp;e"</f>
        <v>#VALUE!</v>
      </c>
      <c r="FS341" t="e">
        <f>'North America'!C1051+"$F;@!2&amp;f"</f>
        <v>#VALUE!</v>
      </c>
      <c r="FT341" t="e">
        <f>'North America'!D1051+"$F;@!2&amp;g"</f>
        <v>#VALUE!</v>
      </c>
      <c r="FU341" t="e">
        <f>'North America'!E1051+"$F;@!2&amp;h"</f>
        <v>#VALUE!</v>
      </c>
      <c r="FV341" t="e">
        <f>'North America'!F1051+"$F;@!2&amp;i"</f>
        <v>#VALUE!</v>
      </c>
      <c r="FW341" t="e">
        <f>'North America'!G1051+"$F;@!2&amp;j"</f>
        <v>#VALUE!</v>
      </c>
      <c r="FX341" t="e">
        <f>'North America'!H1051+"$F;@!2&amp;k"</f>
        <v>#VALUE!</v>
      </c>
      <c r="FY341" t="e">
        <f>'North America'!A1052+"$F;@!2&amp;l"</f>
        <v>#VALUE!</v>
      </c>
      <c r="FZ341" t="e">
        <f>'North America'!B1052+"$F;@!2&amp;m"</f>
        <v>#VALUE!</v>
      </c>
      <c r="GA341" t="e">
        <f>'North America'!C1052+"$F;@!2&amp;n"</f>
        <v>#VALUE!</v>
      </c>
      <c r="GB341" t="e">
        <f>'North America'!D1052+"$F;@!2&amp;o"</f>
        <v>#VALUE!</v>
      </c>
      <c r="GC341" t="e">
        <f>'North America'!E1052+"$F;@!2&amp;p"</f>
        <v>#VALUE!</v>
      </c>
      <c r="GD341" t="e">
        <f>'North America'!F1052+"$F;@!2&amp;q"</f>
        <v>#VALUE!</v>
      </c>
      <c r="GE341" t="e">
        <f>'North America'!G1052+"$F;@!2&amp;r"</f>
        <v>#VALUE!</v>
      </c>
      <c r="GF341" t="e">
        <f>'North America'!H1052+"$F;@!2&amp;s"</f>
        <v>#VALUE!</v>
      </c>
      <c r="GG341" t="e">
        <f>'North America'!A1053+"$F;@!2&amp;t"</f>
        <v>#VALUE!</v>
      </c>
      <c r="GH341" t="e">
        <f>'North America'!B1053+"$F;@!2&amp;u"</f>
        <v>#VALUE!</v>
      </c>
      <c r="GI341" t="e">
        <f>'North America'!C1053+"$F;@!2&amp;v"</f>
        <v>#VALUE!</v>
      </c>
      <c r="GJ341" t="e">
        <f>'North America'!D1053+"$F;@!2&amp;w"</f>
        <v>#VALUE!</v>
      </c>
      <c r="GK341" t="e">
        <f>'North America'!E1053+"$F;@!2&amp;x"</f>
        <v>#VALUE!</v>
      </c>
      <c r="GL341" t="e">
        <f>'North America'!F1053+"$F;@!2&amp;y"</f>
        <v>#VALUE!</v>
      </c>
      <c r="GM341" t="e">
        <f>'North America'!G1053+"$F;@!2&amp;z"</f>
        <v>#VALUE!</v>
      </c>
      <c r="GN341" t="e">
        <f>'North America'!H1053+"$F;@!2&amp;{"</f>
        <v>#VALUE!</v>
      </c>
      <c r="GO341" t="e">
        <f>'North America'!A1054+"$F;@!2&amp;|"</f>
        <v>#VALUE!</v>
      </c>
      <c r="GP341" t="e">
        <f>'North America'!B1054+"$F;@!2&amp;}"</f>
        <v>#VALUE!</v>
      </c>
      <c r="GQ341" t="e">
        <f>'North America'!C1054+"$F;@!2&amp;~"</f>
        <v>#VALUE!</v>
      </c>
      <c r="GR341" t="e">
        <f>'North America'!D1054+"$F;@!2'#"</f>
        <v>#VALUE!</v>
      </c>
      <c r="GS341" t="e">
        <f>'North America'!E1054+"$F;@!2'$"</f>
        <v>#VALUE!</v>
      </c>
      <c r="GT341" t="e">
        <f>'North America'!F1054+"$F;@!2'%"</f>
        <v>#VALUE!</v>
      </c>
      <c r="GU341" t="e">
        <f>'North America'!G1054+"$F;@!2'&amp;"</f>
        <v>#VALUE!</v>
      </c>
      <c r="GV341" t="e">
        <f>'North America'!H1054+"$F;@!2''"</f>
        <v>#VALUE!</v>
      </c>
      <c r="GW341" t="e">
        <f>'North America'!A1055+"$F;@!2'("</f>
        <v>#VALUE!</v>
      </c>
      <c r="GX341" t="e">
        <f>'North America'!B1055+"$F;@!2')"</f>
        <v>#VALUE!</v>
      </c>
      <c r="GY341" t="e">
        <f>'North America'!C1055+"$F;@!2'."</f>
        <v>#VALUE!</v>
      </c>
      <c r="GZ341" t="e">
        <f>'North America'!D1055+"$F;@!2'/"</f>
        <v>#VALUE!</v>
      </c>
      <c r="HA341" t="e">
        <f>'North America'!E1055+"$F;@!2'0"</f>
        <v>#VALUE!</v>
      </c>
      <c r="HB341" t="e">
        <f>'North America'!F1055+"$F;@!2'1"</f>
        <v>#VALUE!</v>
      </c>
      <c r="HC341" t="e">
        <f>'North America'!G1055+"$F;@!2'2"</f>
        <v>#VALUE!</v>
      </c>
      <c r="HD341" t="e">
        <f>'North America'!H1055+"$F;@!2'3"</f>
        <v>#VALUE!</v>
      </c>
      <c r="HE341" t="e">
        <f>'North America'!A1056+"$F;@!2'4"</f>
        <v>#VALUE!</v>
      </c>
      <c r="HF341" t="e">
        <f>'North America'!B1056+"$F;@!2'5"</f>
        <v>#VALUE!</v>
      </c>
      <c r="HG341" t="e">
        <f>'North America'!C1056+"$F;@!2'6"</f>
        <v>#VALUE!</v>
      </c>
      <c r="HH341" t="e">
        <f>'North America'!D1056+"$F;@!2'7"</f>
        <v>#VALUE!</v>
      </c>
      <c r="HI341" t="e">
        <f>'North America'!E1056+"$F;@!2'8"</f>
        <v>#VALUE!</v>
      </c>
      <c r="HJ341" t="e">
        <f>'North America'!F1056+"$F;@!2'9"</f>
        <v>#VALUE!</v>
      </c>
      <c r="HK341" t="e">
        <f>'North America'!G1056+"$F;@!2':"</f>
        <v>#VALUE!</v>
      </c>
      <c r="HL341" t="e">
        <f>'North America'!H1056+"$F;@!2';"</f>
        <v>#VALUE!</v>
      </c>
      <c r="HM341" t="e">
        <f>'North America'!A1057+"$F;@!2'&lt;"</f>
        <v>#VALUE!</v>
      </c>
      <c r="HN341" t="e">
        <f>'North America'!B1057+"$F;@!2'="</f>
        <v>#VALUE!</v>
      </c>
      <c r="HO341" t="e">
        <f>'North America'!C1057+"$F;@!2'&gt;"</f>
        <v>#VALUE!</v>
      </c>
      <c r="HP341" t="e">
        <f>'North America'!D1057+"$F;@!2'?"</f>
        <v>#VALUE!</v>
      </c>
      <c r="HQ341" t="e">
        <f>'North America'!E1057+"$F;@!2'@"</f>
        <v>#VALUE!</v>
      </c>
      <c r="HR341" t="e">
        <f>'North America'!F1057+"$F;@!2'A"</f>
        <v>#VALUE!</v>
      </c>
      <c r="HS341" t="e">
        <f>'North America'!G1057+"$F;@!2'B"</f>
        <v>#VALUE!</v>
      </c>
      <c r="HT341" t="e">
        <f>'North America'!H1057+"$F;@!2'C"</f>
        <v>#VALUE!</v>
      </c>
      <c r="HU341" t="e">
        <f>'North America'!A1058+"$F;@!2'D"</f>
        <v>#VALUE!</v>
      </c>
      <c r="HV341" t="e">
        <f>'North America'!B1058+"$F;@!2'E"</f>
        <v>#VALUE!</v>
      </c>
      <c r="HW341" t="e">
        <f>'North America'!C1058+"$F;@!2'F"</f>
        <v>#VALUE!</v>
      </c>
      <c r="HX341" t="e">
        <f>'North America'!D1058+"$F;@!2'G"</f>
        <v>#VALUE!</v>
      </c>
      <c r="HY341" t="e">
        <f>'North America'!E1058+"$F;@!2'H"</f>
        <v>#VALUE!</v>
      </c>
      <c r="HZ341" t="e">
        <f>'North America'!F1058+"$F;@!2'I"</f>
        <v>#VALUE!</v>
      </c>
      <c r="IA341" t="e">
        <f>'North America'!G1058+"$F;@!2'J"</f>
        <v>#VALUE!</v>
      </c>
      <c r="IB341" t="e">
        <f>'North America'!H1058+"$F;@!2'K"</f>
        <v>#VALUE!</v>
      </c>
      <c r="IC341" t="e">
        <f>'North America'!A1059+"$F;@!2'L"</f>
        <v>#VALUE!</v>
      </c>
      <c r="ID341" t="e">
        <f>'North America'!B1059+"$F;@!2'M"</f>
        <v>#VALUE!</v>
      </c>
      <c r="IE341" t="e">
        <f>'North America'!C1059+"$F;@!2'N"</f>
        <v>#VALUE!</v>
      </c>
      <c r="IF341" t="e">
        <f>'North America'!D1059+"$F;@!2'O"</f>
        <v>#VALUE!</v>
      </c>
      <c r="IG341" t="e">
        <f>'North America'!E1059+"$F;@!2'P"</f>
        <v>#VALUE!</v>
      </c>
      <c r="IH341" t="e">
        <f>'North America'!F1059+"$F;@!2'Q"</f>
        <v>#VALUE!</v>
      </c>
      <c r="II341" t="e">
        <f>'North America'!G1059+"$F;@!2'R"</f>
        <v>#VALUE!</v>
      </c>
      <c r="IJ341" t="e">
        <f>'North America'!H1059+"$F;@!2'S"</f>
        <v>#VALUE!</v>
      </c>
      <c r="IK341" t="e">
        <f>'North America'!A1060+"$F;@!2'T"</f>
        <v>#VALUE!</v>
      </c>
      <c r="IL341" t="e">
        <f>'North America'!B1060+"$F;@!2'U"</f>
        <v>#VALUE!</v>
      </c>
      <c r="IM341" t="e">
        <f>'North America'!C1060+"$F;@!2'V"</f>
        <v>#VALUE!</v>
      </c>
      <c r="IN341" t="e">
        <f>'North America'!D1060+"$F;@!2'W"</f>
        <v>#VALUE!</v>
      </c>
      <c r="IO341" t="e">
        <f>'North America'!E1060+"$F;@!2'X"</f>
        <v>#VALUE!</v>
      </c>
      <c r="IP341" t="e">
        <f>'North America'!F1060+"$F;@!2'Y"</f>
        <v>#VALUE!</v>
      </c>
      <c r="IQ341" t="e">
        <f>'North America'!G1060+"$F;@!2'Z"</f>
        <v>#VALUE!</v>
      </c>
      <c r="IR341" t="e">
        <f>'North America'!H1060+"$F;@!2'["</f>
        <v>#VALUE!</v>
      </c>
      <c r="IS341" t="e">
        <f>'North America'!A1061+"$F;@!2'\"</f>
        <v>#VALUE!</v>
      </c>
      <c r="IT341" t="e">
        <f>'North America'!B1061+"$F;@!2']"</f>
        <v>#VALUE!</v>
      </c>
      <c r="IU341" t="e">
        <f>'North America'!C1061+"$F;@!2'^"</f>
        <v>#VALUE!</v>
      </c>
      <c r="IV341" t="e">
        <f>'North America'!D1061+"$F;@!2'_"</f>
        <v>#VALUE!</v>
      </c>
    </row>
    <row r="342" spans="6:256" x14ac:dyDescent="0.35">
      <c r="F342" t="e">
        <f>'North America'!E1061+"$F;@!2'`"</f>
        <v>#VALUE!</v>
      </c>
      <c r="G342" t="e">
        <f>'North America'!F1061+"$F;@!2'a"</f>
        <v>#VALUE!</v>
      </c>
      <c r="H342" t="e">
        <f>'North America'!G1061+"$F;@!2'b"</f>
        <v>#VALUE!</v>
      </c>
      <c r="I342" t="e">
        <f>'North America'!H1061+"$F;@!2'c"</f>
        <v>#VALUE!</v>
      </c>
      <c r="J342" t="e">
        <f>'North America'!A1062+"$F;@!2'd"</f>
        <v>#VALUE!</v>
      </c>
      <c r="K342" t="e">
        <f>'North America'!B1062+"$F;@!2'e"</f>
        <v>#VALUE!</v>
      </c>
      <c r="L342" t="e">
        <f>'North America'!C1062+"$F;@!2'f"</f>
        <v>#VALUE!</v>
      </c>
      <c r="M342" t="e">
        <f>'North America'!D1062+"$F;@!2'g"</f>
        <v>#VALUE!</v>
      </c>
      <c r="N342" t="e">
        <f>'North America'!E1062+"$F;@!2'h"</f>
        <v>#VALUE!</v>
      </c>
      <c r="O342" t="e">
        <f>'North America'!F1062+"$F;@!2'i"</f>
        <v>#VALUE!</v>
      </c>
      <c r="P342" t="e">
        <f>'North America'!G1062+"$F;@!2'j"</f>
        <v>#VALUE!</v>
      </c>
      <c r="Q342" t="e">
        <f>'North America'!H1062+"$F;@!2'k"</f>
        <v>#VALUE!</v>
      </c>
      <c r="R342" t="e">
        <f>'North America'!A1063+"$F;@!2'l"</f>
        <v>#VALUE!</v>
      </c>
      <c r="S342" t="e">
        <f>'North America'!B1063+"$F;@!2'm"</f>
        <v>#VALUE!</v>
      </c>
      <c r="T342" t="e">
        <f>'North America'!C1063+"$F;@!2'n"</f>
        <v>#VALUE!</v>
      </c>
      <c r="U342" t="e">
        <f>'North America'!D1063+"$F;@!2'o"</f>
        <v>#VALUE!</v>
      </c>
      <c r="V342" t="e">
        <f>'North America'!E1063+"$F;@!2'p"</f>
        <v>#VALUE!</v>
      </c>
      <c r="W342" t="e">
        <f>'North America'!F1063+"$F;@!2'q"</f>
        <v>#VALUE!</v>
      </c>
      <c r="X342" t="e">
        <f>'North America'!G1063+"$F;@!2'r"</f>
        <v>#VALUE!</v>
      </c>
      <c r="Y342" t="e">
        <f>'North America'!H1063+"$F;@!2's"</f>
        <v>#VALUE!</v>
      </c>
      <c r="Z342" t="e">
        <f>'North America'!A1064+"$F;@!2't"</f>
        <v>#VALUE!</v>
      </c>
      <c r="AA342" t="e">
        <f>'North America'!B1064+"$F;@!2'u"</f>
        <v>#VALUE!</v>
      </c>
      <c r="AB342" t="e">
        <f>'North America'!C1064+"$F;@!2'v"</f>
        <v>#VALUE!</v>
      </c>
      <c r="AC342" t="e">
        <f>'North America'!D1064+"$F;@!2'w"</f>
        <v>#VALUE!</v>
      </c>
      <c r="AD342" t="e">
        <f>'North America'!E1064+"$F;@!2'x"</f>
        <v>#VALUE!</v>
      </c>
      <c r="AE342" t="e">
        <f>'North America'!F1064+"$F;@!2'y"</f>
        <v>#VALUE!</v>
      </c>
      <c r="AF342" t="e">
        <f>'North America'!G1064+"$F;@!2'z"</f>
        <v>#VALUE!</v>
      </c>
      <c r="AG342" t="e">
        <f>'North America'!H1064+"$F;@!2'{"</f>
        <v>#VALUE!</v>
      </c>
      <c r="AH342" t="e">
        <f>'North America'!A1065+"$F;@!2'|"</f>
        <v>#VALUE!</v>
      </c>
      <c r="AI342" t="e">
        <f>'North America'!B1065+"$F;@!2'}"</f>
        <v>#VALUE!</v>
      </c>
      <c r="AJ342" t="e">
        <f>'North America'!C1065+"$F;@!2'~"</f>
        <v>#VALUE!</v>
      </c>
      <c r="AK342" t="e">
        <f>'North America'!D1065+"$F;@!2(#"</f>
        <v>#VALUE!</v>
      </c>
      <c r="AL342" t="e">
        <f>'North America'!E1065+"$F;@!2($"</f>
        <v>#VALUE!</v>
      </c>
      <c r="AM342" t="e">
        <f>'North America'!F1065+"$F;@!2(%"</f>
        <v>#VALUE!</v>
      </c>
      <c r="AN342" t="e">
        <f>'North America'!G1065+"$F;@!2(&amp;"</f>
        <v>#VALUE!</v>
      </c>
      <c r="AO342" t="e">
        <f>'North America'!H1065+"$F;@!2('"</f>
        <v>#VALUE!</v>
      </c>
      <c r="AP342" t="e">
        <f>'North America'!A1066+"$F;@!2(("</f>
        <v>#VALUE!</v>
      </c>
      <c r="AQ342" t="e">
        <f>'North America'!B1066+"$F;@!2()"</f>
        <v>#VALUE!</v>
      </c>
      <c r="AR342" t="e">
        <f>'North America'!C1066+"$F;@!2(."</f>
        <v>#VALUE!</v>
      </c>
      <c r="AS342" t="e">
        <f>'North America'!D1066+"$F;@!2(/"</f>
        <v>#VALUE!</v>
      </c>
      <c r="AT342" t="e">
        <f>'North America'!E1066+"$F;@!2(0"</f>
        <v>#VALUE!</v>
      </c>
      <c r="AU342" t="e">
        <f>'North America'!F1066+"$F;@!2(1"</f>
        <v>#VALUE!</v>
      </c>
      <c r="AV342" t="e">
        <f>'North America'!G1066+"$F;@!2(2"</f>
        <v>#VALUE!</v>
      </c>
      <c r="AW342" t="e">
        <f>'North America'!H1066+"$F;@!2(3"</f>
        <v>#VALUE!</v>
      </c>
      <c r="AX342" t="e">
        <f>'North America'!A1067+"$F;@!2(4"</f>
        <v>#VALUE!</v>
      </c>
      <c r="AY342" t="e">
        <f>'North America'!B1067+"$F;@!2(5"</f>
        <v>#VALUE!</v>
      </c>
      <c r="AZ342" t="e">
        <f>'North America'!C1067+"$F;@!2(6"</f>
        <v>#VALUE!</v>
      </c>
      <c r="BA342" t="e">
        <f>'North America'!D1067+"$F;@!2(7"</f>
        <v>#VALUE!</v>
      </c>
      <c r="BB342" t="e">
        <f>'North America'!E1067+"$F;@!2(8"</f>
        <v>#VALUE!</v>
      </c>
      <c r="BC342" t="e">
        <f>'North America'!F1067+"$F;@!2(9"</f>
        <v>#VALUE!</v>
      </c>
      <c r="BD342" t="e">
        <f>'North America'!G1067+"$F;@!2(:"</f>
        <v>#VALUE!</v>
      </c>
      <c r="BE342" t="e">
        <f>'North America'!H1067+"$F;@!2(;"</f>
        <v>#VALUE!</v>
      </c>
      <c r="BF342" t="e">
        <f>'North America'!A1068+"$F;@!2(&lt;"</f>
        <v>#VALUE!</v>
      </c>
      <c r="BG342" t="e">
        <f>'North America'!B1068+"$F;@!2(="</f>
        <v>#VALUE!</v>
      </c>
      <c r="BH342" t="e">
        <f>'North America'!C1068+"$F;@!2(&gt;"</f>
        <v>#VALUE!</v>
      </c>
      <c r="BI342" t="e">
        <f>'North America'!D1068+"$F;@!2(?"</f>
        <v>#VALUE!</v>
      </c>
      <c r="BJ342" t="e">
        <f>'North America'!E1068+"$F;@!2(@"</f>
        <v>#VALUE!</v>
      </c>
      <c r="BK342" t="e">
        <f>'North America'!F1068+"$F;@!2(A"</f>
        <v>#VALUE!</v>
      </c>
      <c r="BL342" t="e">
        <f>'North America'!G1068+"$F;@!2(B"</f>
        <v>#VALUE!</v>
      </c>
      <c r="BM342" t="e">
        <f>'North America'!H1068+"$F;@!2(C"</f>
        <v>#VALUE!</v>
      </c>
      <c r="BN342" t="e">
        <f>'North America'!A1069+"$F;@!2(D"</f>
        <v>#VALUE!</v>
      </c>
      <c r="BO342" t="e">
        <f>'North America'!B1069+"$F;@!2(E"</f>
        <v>#VALUE!</v>
      </c>
      <c r="BP342" t="e">
        <f>'North America'!C1069+"$F;@!2(F"</f>
        <v>#VALUE!</v>
      </c>
      <c r="BQ342" t="e">
        <f>'North America'!D1069+"$F;@!2(G"</f>
        <v>#VALUE!</v>
      </c>
      <c r="BR342" t="e">
        <f>'North America'!E1069+"$F;@!2(H"</f>
        <v>#VALUE!</v>
      </c>
      <c r="BS342" t="e">
        <f>'North America'!F1069+"$F;@!2(I"</f>
        <v>#VALUE!</v>
      </c>
      <c r="BT342" t="e">
        <f>'North America'!G1069+"$F;@!2(J"</f>
        <v>#VALUE!</v>
      </c>
      <c r="BU342" t="e">
        <f>'North America'!H1069+"$F;@!2(K"</f>
        <v>#VALUE!</v>
      </c>
      <c r="BV342" t="e">
        <f>'North America'!A1070+"$F;@!2(L"</f>
        <v>#VALUE!</v>
      </c>
      <c r="BW342" t="e">
        <f>'North America'!B1070+"$F;@!2(M"</f>
        <v>#VALUE!</v>
      </c>
      <c r="BX342" t="e">
        <f>'North America'!C1070+"$F;@!2(N"</f>
        <v>#VALUE!</v>
      </c>
      <c r="BY342" t="e">
        <f>'North America'!D1070+"$F;@!2(O"</f>
        <v>#VALUE!</v>
      </c>
      <c r="BZ342" t="e">
        <f>'North America'!E1070+"$F;@!2(P"</f>
        <v>#VALUE!</v>
      </c>
      <c r="CA342" t="e">
        <f>'North America'!F1070+"$F;@!2(Q"</f>
        <v>#VALUE!</v>
      </c>
      <c r="CB342" t="e">
        <f>'North America'!G1070+"$F;@!2(R"</f>
        <v>#VALUE!</v>
      </c>
      <c r="CC342" t="e">
        <f>'North America'!H1070+"$F;@!2(S"</f>
        <v>#VALUE!</v>
      </c>
      <c r="CD342" t="e">
        <f>'North America'!A1071+"$F;@!2(T"</f>
        <v>#VALUE!</v>
      </c>
      <c r="CE342" t="e">
        <f>'North America'!B1071+"$F;@!2(U"</f>
        <v>#VALUE!</v>
      </c>
      <c r="CF342" t="e">
        <f>'North America'!C1071+"$F;@!2(V"</f>
        <v>#VALUE!</v>
      </c>
      <c r="CG342" t="e">
        <f>'North America'!D1071+"$F;@!2(W"</f>
        <v>#VALUE!</v>
      </c>
      <c r="CH342" t="e">
        <f>'North America'!E1071+"$F;@!2(X"</f>
        <v>#VALUE!</v>
      </c>
      <c r="CI342" t="e">
        <f>'North America'!F1071+"$F;@!2(Y"</f>
        <v>#VALUE!</v>
      </c>
      <c r="CJ342" t="e">
        <f>'North America'!G1071+"$F;@!2(Z"</f>
        <v>#VALUE!</v>
      </c>
      <c r="CK342" t="e">
        <f>'North America'!H1071+"$F;@!2(["</f>
        <v>#VALUE!</v>
      </c>
      <c r="CL342" t="e">
        <f>'North America'!A1072+"$F;@!2(\"</f>
        <v>#VALUE!</v>
      </c>
      <c r="CM342" t="e">
        <f>'North America'!B1072+"$F;@!2(]"</f>
        <v>#VALUE!</v>
      </c>
      <c r="CN342" t="e">
        <f>'North America'!C1072+"$F;@!2(^"</f>
        <v>#VALUE!</v>
      </c>
      <c r="CO342" t="e">
        <f>'North America'!D1072+"$F;@!2(_"</f>
        <v>#VALUE!</v>
      </c>
      <c r="CP342" t="e">
        <f>'North America'!E1072+"$F;@!2(`"</f>
        <v>#VALUE!</v>
      </c>
      <c r="CQ342" t="e">
        <f>'North America'!F1072+"$F;@!2(a"</f>
        <v>#VALUE!</v>
      </c>
      <c r="CR342" t="e">
        <f>'North America'!G1072+"$F;@!2(b"</f>
        <v>#VALUE!</v>
      </c>
      <c r="CS342" t="e">
        <f>'North America'!H1072+"$F;@!2(c"</f>
        <v>#VALUE!</v>
      </c>
      <c r="CT342" t="e">
        <f>'North America'!A1073+"$F;@!2(d"</f>
        <v>#VALUE!</v>
      </c>
      <c r="CU342" t="e">
        <f>'North America'!B1073+"$F;@!2(e"</f>
        <v>#VALUE!</v>
      </c>
      <c r="CV342" t="e">
        <f>'North America'!C1073+"$F;@!2(f"</f>
        <v>#VALUE!</v>
      </c>
      <c r="CW342" t="e">
        <f>'North America'!D1073+"$F;@!2(g"</f>
        <v>#VALUE!</v>
      </c>
      <c r="CX342" t="e">
        <f>'North America'!E1073+"$F;@!2(h"</f>
        <v>#VALUE!</v>
      </c>
      <c r="CY342" t="e">
        <f>'North America'!F1073+"$F;@!2(i"</f>
        <v>#VALUE!</v>
      </c>
      <c r="CZ342" t="e">
        <f>'North America'!G1073+"$F;@!2(j"</f>
        <v>#VALUE!</v>
      </c>
      <c r="DA342" t="e">
        <f>'North America'!H1073+"$F;@!2(k"</f>
        <v>#VALUE!</v>
      </c>
      <c r="DB342" t="e">
        <f>'North America'!A1074+"$F;@!2(l"</f>
        <v>#VALUE!</v>
      </c>
      <c r="DC342" t="e">
        <f>'North America'!B1074+"$F;@!2(m"</f>
        <v>#VALUE!</v>
      </c>
      <c r="DD342" t="e">
        <f>'North America'!C1074+"$F;@!2(n"</f>
        <v>#VALUE!</v>
      </c>
      <c r="DE342" t="e">
        <f>'North America'!D1074+"$F;@!2(o"</f>
        <v>#VALUE!</v>
      </c>
      <c r="DF342" t="e">
        <f>'North America'!E1074+"$F;@!2(p"</f>
        <v>#VALUE!</v>
      </c>
      <c r="DG342" t="e">
        <f>'North America'!F1074+"$F;@!2(q"</f>
        <v>#VALUE!</v>
      </c>
      <c r="DH342" t="e">
        <f>'North America'!G1074+"$F;@!2(r"</f>
        <v>#VALUE!</v>
      </c>
      <c r="DI342" t="e">
        <f>'North America'!H1074+"$F;@!2(s"</f>
        <v>#VALUE!</v>
      </c>
      <c r="DJ342" t="e">
        <f>'North America'!A1075+"$F;@!2(t"</f>
        <v>#VALUE!</v>
      </c>
      <c r="DK342" t="e">
        <f>'North America'!B1075+"$F;@!2(u"</f>
        <v>#VALUE!</v>
      </c>
      <c r="DL342" t="e">
        <f>'North America'!C1075+"$F;@!2(v"</f>
        <v>#VALUE!</v>
      </c>
      <c r="DM342" t="e">
        <f>'North America'!D1075+"$F;@!2(w"</f>
        <v>#VALUE!</v>
      </c>
      <c r="DN342" t="e">
        <f>'North America'!E1075+"$F;@!2(x"</f>
        <v>#VALUE!</v>
      </c>
      <c r="DO342" t="e">
        <f>'North America'!F1075+"$F;@!2(y"</f>
        <v>#VALUE!</v>
      </c>
      <c r="DP342" t="e">
        <f>'North America'!G1075+"$F;@!2(z"</f>
        <v>#VALUE!</v>
      </c>
      <c r="DQ342" t="e">
        <f>'North America'!H1075+"$F;@!2({"</f>
        <v>#VALUE!</v>
      </c>
      <c r="DR342" t="e">
        <f>'North America'!A1076+"$F;@!2(|"</f>
        <v>#VALUE!</v>
      </c>
      <c r="DS342" t="e">
        <f>'North America'!B1076+"$F;@!2(}"</f>
        <v>#VALUE!</v>
      </c>
      <c r="DT342" t="e">
        <f>'North America'!C1076+"$F;@!2(~"</f>
        <v>#VALUE!</v>
      </c>
      <c r="DU342" t="e">
        <f>'North America'!D1076+"$F;@!2)#"</f>
        <v>#VALUE!</v>
      </c>
      <c r="DV342" t="e">
        <f>'North America'!E1076+"$F;@!2)$"</f>
        <v>#VALUE!</v>
      </c>
      <c r="DW342" t="e">
        <f>'North America'!F1076+"$F;@!2)%"</f>
        <v>#VALUE!</v>
      </c>
      <c r="DX342" t="e">
        <f>'North America'!G1076+"$F;@!2)&amp;"</f>
        <v>#VALUE!</v>
      </c>
      <c r="DY342" t="e">
        <f>'North America'!H1076+"$F;@!2)'"</f>
        <v>#VALUE!</v>
      </c>
      <c r="DZ342" t="e">
        <f>'North America'!A1077+"$F;@!2)("</f>
        <v>#VALUE!</v>
      </c>
      <c r="EA342" t="e">
        <f>'North America'!B1077+"$F;@!2))"</f>
        <v>#VALUE!</v>
      </c>
      <c r="EB342" t="e">
        <f>'North America'!C1077+"$F;@!2)."</f>
        <v>#VALUE!</v>
      </c>
      <c r="EC342" t="e">
        <f>'North America'!D1077+"$F;@!2)/"</f>
        <v>#VALUE!</v>
      </c>
      <c r="ED342" t="e">
        <f>'North America'!E1077+"$F;@!2)0"</f>
        <v>#VALUE!</v>
      </c>
      <c r="EE342" t="e">
        <f>'North America'!F1077+"$F;@!2)1"</f>
        <v>#VALUE!</v>
      </c>
      <c r="EF342" t="e">
        <f>'North America'!G1077+"$F;@!2)2"</f>
        <v>#VALUE!</v>
      </c>
      <c r="EG342" t="e">
        <f>'North America'!H1077+"$F;@!2)3"</f>
        <v>#VALUE!</v>
      </c>
      <c r="EH342" t="e">
        <f>'North America'!A1078+"$F;@!2)4"</f>
        <v>#VALUE!</v>
      </c>
      <c r="EI342" t="e">
        <f>'North America'!B1078+"$F;@!2)5"</f>
        <v>#VALUE!</v>
      </c>
      <c r="EJ342" t="e">
        <f>'North America'!C1078+"$F;@!2)6"</f>
        <v>#VALUE!</v>
      </c>
      <c r="EK342" t="e">
        <f>'North America'!D1078+"$F;@!2)7"</f>
        <v>#VALUE!</v>
      </c>
      <c r="EL342" t="e">
        <f>'North America'!E1078+"$F;@!2)8"</f>
        <v>#VALUE!</v>
      </c>
      <c r="EM342" t="e">
        <f>'North America'!F1078+"$F;@!2)9"</f>
        <v>#VALUE!</v>
      </c>
      <c r="EN342" t="e">
        <f>'North America'!G1078+"$F;@!2):"</f>
        <v>#VALUE!</v>
      </c>
      <c r="EO342" t="e">
        <f>'North America'!H1078+"$F;@!2);"</f>
        <v>#VALUE!</v>
      </c>
      <c r="EP342" t="e">
        <f>'North America'!A1079+"$F;@!2)&lt;"</f>
        <v>#VALUE!</v>
      </c>
      <c r="EQ342" t="e">
        <f>'North America'!B1079+"$F;@!2)="</f>
        <v>#VALUE!</v>
      </c>
      <c r="ER342" t="e">
        <f>'North America'!C1079+"$F;@!2)&gt;"</f>
        <v>#VALUE!</v>
      </c>
      <c r="ES342" t="e">
        <f>'North America'!D1079+"$F;@!2)?"</f>
        <v>#VALUE!</v>
      </c>
      <c r="ET342" t="e">
        <f>'North America'!E1079+"$F;@!2)@"</f>
        <v>#VALUE!</v>
      </c>
      <c r="EU342" t="e">
        <f>'North America'!F1079+"$F;@!2)A"</f>
        <v>#VALUE!</v>
      </c>
      <c r="EV342" t="e">
        <f>'North America'!G1079+"$F;@!2)B"</f>
        <v>#VALUE!</v>
      </c>
      <c r="EW342" t="e">
        <f>'North America'!H1079+"$F;@!2)C"</f>
        <v>#VALUE!</v>
      </c>
      <c r="EX342" t="e">
        <f>'North America'!A1080+"$F;@!2)D"</f>
        <v>#VALUE!</v>
      </c>
      <c r="EY342" t="e">
        <f>'North America'!B1080+"$F;@!2)E"</f>
        <v>#VALUE!</v>
      </c>
      <c r="EZ342" t="e">
        <f>'North America'!C1080+"$F;@!2)F"</f>
        <v>#VALUE!</v>
      </c>
      <c r="FA342" t="e">
        <f>'North America'!D1080+"$F;@!2)G"</f>
        <v>#VALUE!</v>
      </c>
      <c r="FB342" t="e">
        <f>'North America'!E1080+"$F;@!2)H"</f>
        <v>#VALUE!</v>
      </c>
      <c r="FC342" t="e">
        <f>'North America'!F1080+"$F;@!2)I"</f>
        <v>#VALUE!</v>
      </c>
      <c r="FD342" t="e">
        <f>'North America'!G1080+"$F;@!2)J"</f>
        <v>#VALUE!</v>
      </c>
      <c r="FE342" t="e">
        <f>'North America'!H1080+"$F;@!2)K"</f>
        <v>#VALUE!</v>
      </c>
      <c r="FF342" t="e">
        <f>'North America'!A1081+"$F;@!2)L"</f>
        <v>#VALUE!</v>
      </c>
      <c r="FG342" t="e">
        <f>'North America'!B1081+"$F;@!2)M"</f>
        <v>#VALUE!</v>
      </c>
      <c r="FH342" t="e">
        <f>'North America'!C1081+"$F;@!2)N"</f>
        <v>#VALUE!</v>
      </c>
      <c r="FI342" t="e">
        <f>'North America'!D1081+"$F;@!2)O"</f>
        <v>#VALUE!</v>
      </c>
      <c r="FJ342" t="e">
        <f>'North America'!E1081+"$F;@!2)P"</f>
        <v>#VALUE!</v>
      </c>
      <c r="FK342" t="e">
        <f>'North America'!F1081+"$F;@!2)Q"</f>
        <v>#VALUE!</v>
      </c>
      <c r="FL342" t="e">
        <f>'North America'!G1081+"$F;@!2)R"</f>
        <v>#VALUE!</v>
      </c>
      <c r="FM342" t="e">
        <f>'North America'!H1081+"$F;@!2)S"</f>
        <v>#VALUE!</v>
      </c>
      <c r="FN342" t="e">
        <f>'North America'!A1082+"$F;@!2)T"</f>
        <v>#VALUE!</v>
      </c>
      <c r="FO342" t="e">
        <f>'North America'!B1082+"$F;@!2)U"</f>
        <v>#VALUE!</v>
      </c>
      <c r="FP342" t="e">
        <f>'North America'!C1082+"$F;@!2)V"</f>
        <v>#VALUE!</v>
      </c>
      <c r="FQ342" t="e">
        <f>'North America'!D1082+"$F;@!2)W"</f>
        <v>#VALUE!</v>
      </c>
      <c r="FR342" t="e">
        <f>'North America'!E1082+"$F;@!2)X"</f>
        <v>#VALUE!</v>
      </c>
      <c r="FS342" t="e">
        <f>'North America'!F1082+"$F;@!2)Y"</f>
        <v>#VALUE!</v>
      </c>
      <c r="FT342" t="e">
        <f>'North America'!G1082+"$F;@!2)Z"</f>
        <v>#VALUE!</v>
      </c>
      <c r="FU342" t="e">
        <f>'North America'!H1082+"$F;@!2)["</f>
        <v>#VALUE!</v>
      </c>
      <c r="FV342" t="e">
        <f>'North America'!A1083+"$F;@!2)\"</f>
        <v>#VALUE!</v>
      </c>
      <c r="FW342" t="e">
        <f>'North America'!B1083+"$F;@!2)]"</f>
        <v>#VALUE!</v>
      </c>
      <c r="FX342" t="e">
        <f>'North America'!C1083+"$F;@!2)^"</f>
        <v>#VALUE!</v>
      </c>
      <c r="FY342" t="e">
        <f>'North America'!D1083+"$F;@!2)_"</f>
        <v>#VALUE!</v>
      </c>
      <c r="FZ342" t="e">
        <f>'North America'!E1083+"$F;@!2)`"</f>
        <v>#VALUE!</v>
      </c>
      <c r="GA342" t="e">
        <f>'North America'!F1083+"$F;@!2)a"</f>
        <v>#VALUE!</v>
      </c>
      <c r="GB342" t="e">
        <f>'North America'!G1083+"$F;@!2)b"</f>
        <v>#VALUE!</v>
      </c>
      <c r="GC342" t="e">
        <f>'North America'!H1083+"$F;@!2)c"</f>
        <v>#VALUE!</v>
      </c>
      <c r="GD342" t="e">
        <f>'North America'!A1084+"$F;@!2)d"</f>
        <v>#VALUE!</v>
      </c>
      <c r="GE342" t="e">
        <f>'North America'!B1084+"$F;@!2)e"</f>
        <v>#VALUE!</v>
      </c>
      <c r="GF342" t="e">
        <f>'North America'!C1084+"$F;@!2)f"</f>
        <v>#VALUE!</v>
      </c>
      <c r="GG342" t="e">
        <f>'North America'!D1084+"$F;@!2)g"</f>
        <v>#VALUE!</v>
      </c>
      <c r="GH342" t="e">
        <f>'North America'!E1084+"$F;@!2)h"</f>
        <v>#VALUE!</v>
      </c>
      <c r="GI342" t="e">
        <f>'North America'!F1084+"$F;@!2)i"</f>
        <v>#VALUE!</v>
      </c>
      <c r="GJ342" t="e">
        <f>'North America'!G1084+"$F;@!2)j"</f>
        <v>#VALUE!</v>
      </c>
      <c r="GK342" t="e">
        <f>'North America'!H1084+"$F;@!2)k"</f>
        <v>#VALUE!</v>
      </c>
      <c r="GL342" t="e">
        <f>'North America'!A1085+"$F;@!2)l"</f>
        <v>#VALUE!</v>
      </c>
      <c r="GM342" t="e">
        <f>'North America'!B1085+"$F;@!2)m"</f>
        <v>#VALUE!</v>
      </c>
      <c r="GN342" t="e">
        <f>'North America'!C1085+"$F;@!2)n"</f>
        <v>#VALUE!</v>
      </c>
      <c r="GO342" t="e">
        <f>'North America'!D1085+"$F;@!2)o"</f>
        <v>#VALUE!</v>
      </c>
      <c r="GP342" t="e">
        <f>'North America'!E1085+"$F;@!2)p"</f>
        <v>#VALUE!</v>
      </c>
      <c r="GQ342" t="e">
        <f>'North America'!F1085+"$F;@!2)q"</f>
        <v>#VALUE!</v>
      </c>
      <c r="GR342" t="e">
        <f>'North America'!G1085+"$F;@!2)r"</f>
        <v>#VALUE!</v>
      </c>
      <c r="GS342" t="e">
        <f>'North America'!H1085+"$F;@!2)s"</f>
        <v>#VALUE!</v>
      </c>
      <c r="GT342" t="e">
        <f>'North America'!A1086+"$F;@!2)t"</f>
        <v>#VALUE!</v>
      </c>
      <c r="GU342" t="e">
        <f>'North America'!B1086+"$F;@!2)u"</f>
        <v>#VALUE!</v>
      </c>
      <c r="GV342" t="e">
        <f>'North America'!C1086+"$F;@!2)v"</f>
        <v>#VALUE!</v>
      </c>
      <c r="GW342" t="e">
        <f>'North America'!D1086+"$F;@!2)w"</f>
        <v>#VALUE!</v>
      </c>
      <c r="GX342" t="e">
        <f>'North America'!E1086+"$F;@!2)x"</f>
        <v>#VALUE!</v>
      </c>
      <c r="GY342" t="e">
        <f>'North America'!F1086+"$F;@!2)y"</f>
        <v>#VALUE!</v>
      </c>
      <c r="GZ342" t="e">
        <f>'North America'!G1086+"$F;@!2)z"</f>
        <v>#VALUE!</v>
      </c>
      <c r="HA342" t="e">
        <f>'North America'!H1086+"$F;@!2){"</f>
        <v>#VALUE!</v>
      </c>
      <c r="HB342" t="e">
        <f>'North America'!A1087+"$F;@!2)|"</f>
        <v>#VALUE!</v>
      </c>
      <c r="HC342" t="e">
        <f>'North America'!B1087+"$F;@!2)}"</f>
        <v>#VALUE!</v>
      </c>
      <c r="HD342" t="e">
        <f>'North America'!C1087+"$F;@!2)~"</f>
        <v>#VALUE!</v>
      </c>
      <c r="HE342" t="e">
        <f>'North America'!D1087+"$F;@!2.#"</f>
        <v>#VALUE!</v>
      </c>
      <c r="HF342" t="e">
        <f>'North America'!E1087+"$F;@!2.$"</f>
        <v>#VALUE!</v>
      </c>
      <c r="HG342" t="e">
        <f>'North America'!F1087+"$F;@!2.%"</f>
        <v>#VALUE!</v>
      </c>
      <c r="HH342" t="e">
        <f>'North America'!G1087+"$F;@!2.&amp;"</f>
        <v>#VALUE!</v>
      </c>
      <c r="HI342" t="e">
        <f>'North America'!H1087+"$F;@!2.'"</f>
        <v>#VALUE!</v>
      </c>
      <c r="HJ342" t="e">
        <f>'North America'!A1088+"$F;@!2.("</f>
        <v>#VALUE!</v>
      </c>
      <c r="HK342" t="e">
        <f>'North America'!B1088+"$F;@!2.)"</f>
        <v>#VALUE!</v>
      </c>
      <c r="HL342" t="e">
        <f>'North America'!C1088+"$F;@!2.."</f>
        <v>#VALUE!</v>
      </c>
      <c r="HM342" t="e">
        <f>'North America'!D1088+"$F;@!2./"</f>
        <v>#VALUE!</v>
      </c>
      <c r="HN342" t="e">
        <f>'North America'!E1088+"$F;@!2.0"</f>
        <v>#VALUE!</v>
      </c>
      <c r="HO342" t="e">
        <f>'North America'!F1088+"$F;@!2.1"</f>
        <v>#VALUE!</v>
      </c>
      <c r="HP342" t="e">
        <f>'North America'!G1088+"$F;@!2.2"</f>
        <v>#VALUE!</v>
      </c>
      <c r="HQ342" t="e">
        <f>'North America'!H1088+"$F;@!2.3"</f>
        <v>#VALUE!</v>
      </c>
      <c r="HR342" t="e">
        <f>'North America'!A1089+"$F;@!2.4"</f>
        <v>#VALUE!</v>
      </c>
      <c r="HS342" t="e">
        <f>'North America'!B1089+"$F;@!2.5"</f>
        <v>#VALUE!</v>
      </c>
      <c r="HT342" t="e">
        <f>'North America'!C1089+"$F;@!2.6"</f>
        <v>#VALUE!</v>
      </c>
      <c r="HU342" t="e">
        <f>'North America'!D1089+"$F;@!2.7"</f>
        <v>#VALUE!</v>
      </c>
      <c r="HV342" t="e">
        <f>'North America'!E1089+"$F;@!2.8"</f>
        <v>#VALUE!</v>
      </c>
      <c r="HW342" t="e">
        <f>'North America'!F1089+"$F;@!2.9"</f>
        <v>#VALUE!</v>
      </c>
      <c r="HX342" t="e">
        <f>'North America'!G1089+"$F;@!2.:"</f>
        <v>#VALUE!</v>
      </c>
      <c r="HY342" t="e">
        <f>'North America'!H1089+"$F;@!2.;"</f>
        <v>#VALUE!</v>
      </c>
      <c r="HZ342" t="e">
        <f>'North America'!A1090+"$F;@!2.&lt;"</f>
        <v>#VALUE!</v>
      </c>
      <c r="IA342" t="e">
        <f>'North America'!B1090+"$F;@!2.="</f>
        <v>#VALUE!</v>
      </c>
      <c r="IB342" t="e">
        <f>'North America'!C1090+"$F;@!2.&gt;"</f>
        <v>#VALUE!</v>
      </c>
      <c r="IC342" t="e">
        <f>'North America'!D1090+"$F;@!2.?"</f>
        <v>#VALUE!</v>
      </c>
      <c r="ID342" t="e">
        <f>'North America'!E1090+"$F;@!2.@"</f>
        <v>#VALUE!</v>
      </c>
      <c r="IE342" t="e">
        <f>'North America'!F1090+"$F;@!2.A"</f>
        <v>#VALUE!</v>
      </c>
      <c r="IF342" t="e">
        <f>'North America'!G1090+"$F;@!2.B"</f>
        <v>#VALUE!</v>
      </c>
      <c r="IG342" t="e">
        <f>'North America'!H1090+"$F;@!2.C"</f>
        <v>#VALUE!</v>
      </c>
      <c r="IH342" t="e">
        <f>'North America'!A1091+"$F;@!2.D"</f>
        <v>#VALUE!</v>
      </c>
      <c r="II342" t="e">
        <f>'North America'!B1091+"$F;@!2.E"</f>
        <v>#VALUE!</v>
      </c>
      <c r="IJ342" t="e">
        <f>'North America'!C1091+"$F;@!2.F"</f>
        <v>#VALUE!</v>
      </c>
      <c r="IK342" t="e">
        <f>'North America'!D1091+"$F;@!2.G"</f>
        <v>#VALUE!</v>
      </c>
      <c r="IL342" t="e">
        <f>'North America'!E1091+"$F;@!2.H"</f>
        <v>#VALUE!</v>
      </c>
      <c r="IM342" t="e">
        <f>'North America'!F1091+"$F;@!2.I"</f>
        <v>#VALUE!</v>
      </c>
      <c r="IN342" t="e">
        <f>'North America'!G1091+"$F;@!2.J"</f>
        <v>#VALUE!</v>
      </c>
      <c r="IO342" t="e">
        <f>'North America'!H1091+"$F;@!2.K"</f>
        <v>#VALUE!</v>
      </c>
      <c r="IP342" t="e">
        <f>'North America'!A1092+"$F;@!2.L"</f>
        <v>#VALUE!</v>
      </c>
      <c r="IQ342" t="e">
        <f>'North America'!B1092+"$F;@!2.M"</f>
        <v>#VALUE!</v>
      </c>
      <c r="IR342" t="e">
        <f>'North America'!C1092+"$F;@!2.N"</f>
        <v>#VALUE!</v>
      </c>
      <c r="IS342" t="e">
        <f>'North America'!D1092+"$F;@!2.O"</f>
        <v>#VALUE!</v>
      </c>
      <c r="IT342" t="e">
        <f>'North America'!E1092+"$F;@!2.P"</f>
        <v>#VALUE!</v>
      </c>
      <c r="IU342" t="e">
        <f>'North America'!F1092+"$F;@!2.Q"</f>
        <v>#VALUE!</v>
      </c>
      <c r="IV342" t="e">
        <f>'North America'!G1092+"$F;@!2.R"</f>
        <v>#VALUE!</v>
      </c>
    </row>
    <row r="343" spans="6:256" x14ac:dyDescent="0.35">
      <c r="F343" t="e">
        <f>'North America'!H1092+"$F;@!2.S"</f>
        <v>#VALUE!</v>
      </c>
      <c r="G343" t="e">
        <f>'North America'!A1093+"$F;@!2.T"</f>
        <v>#VALUE!</v>
      </c>
      <c r="H343" t="e">
        <f>'North America'!B1093+"$F;@!2.U"</f>
        <v>#VALUE!</v>
      </c>
      <c r="I343" t="e">
        <f>'North America'!C1093+"$F;@!2.V"</f>
        <v>#VALUE!</v>
      </c>
      <c r="J343" t="e">
        <f>'North America'!D1093+"$F;@!2.W"</f>
        <v>#VALUE!</v>
      </c>
      <c r="K343" t="e">
        <f>'North America'!E1093+"$F;@!2.X"</f>
        <v>#VALUE!</v>
      </c>
      <c r="L343" t="e">
        <f>'North America'!F1093+"$F;@!2.Y"</f>
        <v>#VALUE!</v>
      </c>
      <c r="M343" t="e">
        <f>'North America'!G1093+"$F;@!2.Z"</f>
        <v>#VALUE!</v>
      </c>
      <c r="N343" t="e">
        <f>'North America'!H1093+"$F;@!2.["</f>
        <v>#VALUE!</v>
      </c>
      <c r="O343" t="e">
        <f>'North America'!A1094+"$F;@!2.\"</f>
        <v>#VALUE!</v>
      </c>
      <c r="P343" t="e">
        <f>'North America'!B1094+"$F;@!2.]"</f>
        <v>#VALUE!</v>
      </c>
      <c r="Q343" t="e">
        <f>'North America'!C1094+"$F;@!2.^"</f>
        <v>#VALUE!</v>
      </c>
      <c r="R343" t="e">
        <f>'North America'!D1094+"$F;@!2._"</f>
        <v>#VALUE!</v>
      </c>
      <c r="S343" t="e">
        <f>'North America'!E1094+"$F;@!2.`"</f>
        <v>#VALUE!</v>
      </c>
      <c r="T343" t="e">
        <f>'North America'!F1094+"$F;@!2.a"</f>
        <v>#VALUE!</v>
      </c>
      <c r="U343" t="e">
        <f>'North America'!G1094+"$F;@!2.b"</f>
        <v>#VALUE!</v>
      </c>
      <c r="V343" t="e">
        <f>'North America'!H1094+"$F;@!2.c"</f>
        <v>#VALUE!</v>
      </c>
      <c r="W343" t="e">
        <f>'North America'!A1095+"$F;@!2.d"</f>
        <v>#VALUE!</v>
      </c>
      <c r="X343" t="e">
        <f>'North America'!B1095+"$F;@!2.e"</f>
        <v>#VALUE!</v>
      </c>
      <c r="Y343" t="e">
        <f>'North America'!C1095+"$F;@!2.f"</f>
        <v>#VALUE!</v>
      </c>
      <c r="Z343" t="e">
        <f>'North America'!D1095+"$F;@!2.g"</f>
        <v>#VALUE!</v>
      </c>
      <c r="AA343" t="e">
        <f>'North America'!E1095+"$F;@!2.h"</f>
        <v>#VALUE!</v>
      </c>
      <c r="AB343" t="e">
        <f>'North America'!F1095+"$F;@!2.i"</f>
        <v>#VALUE!</v>
      </c>
      <c r="AC343" t="e">
        <f>'North America'!G1095+"$F;@!2.j"</f>
        <v>#VALUE!</v>
      </c>
      <c r="AD343" t="e">
        <f>'North America'!H1095+"$F;@!2.k"</f>
        <v>#VALUE!</v>
      </c>
      <c r="AE343" t="e">
        <f>'North America'!A1096+"$F;@!2.l"</f>
        <v>#VALUE!</v>
      </c>
      <c r="AF343" t="e">
        <f>'North America'!B1096+"$F;@!2.m"</f>
        <v>#VALUE!</v>
      </c>
      <c r="AG343" t="e">
        <f>'North America'!C1096+"$F;@!2.n"</f>
        <v>#VALUE!</v>
      </c>
      <c r="AH343" t="e">
        <f>'North America'!D1096+"$F;@!2.o"</f>
        <v>#VALUE!</v>
      </c>
      <c r="AI343" t="e">
        <f>'North America'!E1096+"$F;@!2.p"</f>
        <v>#VALUE!</v>
      </c>
      <c r="AJ343" t="e">
        <f>'North America'!F1096+"$F;@!2.q"</f>
        <v>#VALUE!</v>
      </c>
      <c r="AK343" t="e">
        <f>'North America'!G1096+"$F;@!2.r"</f>
        <v>#VALUE!</v>
      </c>
      <c r="AL343" t="e">
        <f>'North America'!H1096+"$F;@!2.s"</f>
        <v>#VALUE!</v>
      </c>
      <c r="AM343" t="e">
        <f>'North America'!A1097+"$F;@!2.t"</f>
        <v>#VALUE!</v>
      </c>
      <c r="AN343" t="e">
        <f>'North America'!B1097+"$F;@!2.u"</f>
        <v>#VALUE!</v>
      </c>
      <c r="AO343" t="e">
        <f>'North America'!C1097+"$F;@!2.v"</f>
        <v>#VALUE!</v>
      </c>
      <c r="AP343" t="e">
        <f>'North America'!D1097+"$F;@!2.w"</f>
        <v>#VALUE!</v>
      </c>
      <c r="AQ343" t="e">
        <f>'North America'!E1097+"$F;@!2.x"</f>
        <v>#VALUE!</v>
      </c>
      <c r="AR343" t="e">
        <f>'North America'!F1097+"$F;@!2.y"</f>
        <v>#VALUE!</v>
      </c>
      <c r="AS343" t="e">
        <f>'North America'!G1097+"$F;@!2.z"</f>
        <v>#VALUE!</v>
      </c>
      <c r="AT343" t="e">
        <f>'North America'!H1097+"$F;@!2.{"</f>
        <v>#VALUE!</v>
      </c>
      <c r="AU343" t="e">
        <f>'North America'!A1098+"$F;@!2.|"</f>
        <v>#VALUE!</v>
      </c>
      <c r="AV343" t="e">
        <f>'North America'!B1098+"$F;@!2.}"</f>
        <v>#VALUE!</v>
      </c>
      <c r="AW343" t="e">
        <f>'North America'!C1098+"$F;@!2.~"</f>
        <v>#VALUE!</v>
      </c>
      <c r="AX343" t="e">
        <f>'North America'!D1098+"$F;@!2/#"</f>
        <v>#VALUE!</v>
      </c>
      <c r="AY343" t="e">
        <f>'North America'!E1098+"$F;@!2/$"</f>
        <v>#VALUE!</v>
      </c>
      <c r="AZ343" t="e">
        <f>'North America'!F1098+"$F;@!2/%"</f>
        <v>#VALUE!</v>
      </c>
      <c r="BA343" t="e">
        <f>'North America'!G1098+"$F;@!2/&amp;"</f>
        <v>#VALUE!</v>
      </c>
      <c r="BB343" t="e">
        <f>'North America'!H1098+"$F;@!2/'"</f>
        <v>#VALUE!</v>
      </c>
      <c r="BC343" t="e">
        <f>'North America'!A1099+"$F;@!2/("</f>
        <v>#VALUE!</v>
      </c>
      <c r="BD343" t="e">
        <f>'North America'!B1099+"$F;@!2/)"</f>
        <v>#VALUE!</v>
      </c>
      <c r="BE343" t="e">
        <f>'North America'!C1099+"$F;@!2/."</f>
        <v>#VALUE!</v>
      </c>
      <c r="BF343" t="e">
        <f>'North America'!D1099+"$F;@!2//"</f>
        <v>#VALUE!</v>
      </c>
      <c r="BG343" t="e">
        <f>'North America'!E1099+"$F;@!2/0"</f>
        <v>#VALUE!</v>
      </c>
      <c r="BH343" t="e">
        <f>'North America'!F1099+"$F;@!2/1"</f>
        <v>#VALUE!</v>
      </c>
      <c r="BI343" t="e">
        <f>'North America'!G1099+"$F;@!2/2"</f>
        <v>#VALUE!</v>
      </c>
      <c r="BJ343" t="e">
        <f>'North America'!H1099+"$F;@!2/3"</f>
        <v>#VALUE!</v>
      </c>
      <c r="BK343" t="e">
        <f>'North America'!A1100+"$F;@!2/4"</f>
        <v>#VALUE!</v>
      </c>
      <c r="BL343" t="e">
        <f>'North America'!B1100+"$F;@!2/5"</f>
        <v>#VALUE!</v>
      </c>
      <c r="BM343" t="e">
        <f>'North America'!C1100+"$F;@!2/6"</f>
        <v>#VALUE!</v>
      </c>
      <c r="BN343" t="e">
        <f>'North America'!D1100+"$F;@!2/7"</f>
        <v>#VALUE!</v>
      </c>
      <c r="BO343" t="e">
        <f>'North America'!E1100+"$F;@!2/8"</f>
        <v>#VALUE!</v>
      </c>
      <c r="BP343" t="e">
        <f>'North America'!F1100+"$F;@!2/9"</f>
        <v>#VALUE!</v>
      </c>
      <c r="BQ343" t="e">
        <f>'North America'!G1100+"$F;@!2/:"</f>
        <v>#VALUE!</v>
      </c>
      <c r="BR343" t="e">
        <f>'North America'!H1100+"$F;@!2/;"</f>
        <v>#VALUE!</v>
      </c>
      <c r="BS343" t="e">
        <f>'North America'!A1101+"$F;@!2/&lt;"</f>
        <v>#VALUE!</v>
      </c>
      <c r="BT343" t="e">
        <f>'North America'!B1101+"$F;@!2/="</f>
        <v>#VALUE!</v>
      </c>
      <c r="BU343" t="e">
        <f>'North America'!C1101+"$F;@!2/&gt;"</f>
        <v>#VALUE!</v>
      </c>
      <c r="BV343" t="e">
        <f>'North America'!D1101+"$F;@!2/?"</f>
        <v>#VALUE!</v>
      </c>
      <c r="BW343" t="e">
        <f>'North America'!E1101+"$F;@!2/@"</f>
        <v>#VALUE!</v>
      </c>
      <c r="BX343" t="e">
        <f>'North America'!F1101+"$F;@!2/A"</f>
        <v>#VALUE!</v>
      </c>
      <c r="BY343" t="e">
        <f>'North America'!G1101+"$F;@!2/B"</f>
        <v>#VALUE!</v>
      </c>
      <c r="BZ343" t="e">
        <f>'North America'!H1101+"$F;@!2/C"</f>
        <v>#VALUE!</v>
      </c>
      <c r="CA343" t="e">
        <f>'North America'!A1102+"$F;@!2/D"</f>
        <v>#VALUE!</v>
      </c>
      <c r="CB343" t="e">
        <f>'North America'!B1102+"$F;@!2/E"</f>
        <v>#VALUE!</v>
      </c>
      <c r="CC343" t="e">
        <f>'North America'!C1102+"$F;@!2/F"</f>
        <v>#VALUE!</v>
      </c>
      <c r="CD343" t="e">
        <f>'North America'!D1102+"$F;@!2/G"</f>
        <v>#VALUE!</v>
      </c>
      <c r="CE343" t="e">
        <f>'North America'!E1102+"$F;@!2/H"</f>
        <v>#VALUE!</v>
      </c>
      <c r="CF343" t="e">
        <f>'North America'!F1102+"$F;@!2/I"</f>
        <v>#VALUE!</v>
      </c>
      <c r="CG343" t="e">
        <f>'North America'!G1102+"$F;@!2/J"</f>
        <v>#VALUE!</v>
      </c>
      <c r="CH343" t="e">
        <f>'North America'!H1102+"$F;@!2/K"</f>
        <v>#VALUE!</v>
      </c>
      <c r="CI343" t="e">
        <f>'North America'!A1103+"$F;@!2/L"</f>
        <v>#VALUE!</v>
      </c>
      <c r="CJ343" t="e">
        <f>'North America'!B1103+"$F;@!2/M"</f>
        <v>#VALUE!</v>
      </c>
      <c r="CK343" t="e">
        <f>'North America'!C1103+"$F;@!2/N"</f>
        <v>#VALUE!</v>
      </c>
      <c r="CL343" t="e">
        <f>'North America'!D1103+"$F;@!2/O"</f>
        <v>#VALUE!</v>
      </c>
      <c r="CM343" t="e">
        <f>'North America'!E1103+"$F;@!2/P"</f>
        <v>#VALUE!</v>
      </c>
      <c r="CN343" t="e">
        <f>'North America'!F1103+"$F;@!2/Q"</f>
        <v>#VALUE!</v>
      </c>
      <c r="CO343" t="e">
        <f>'North America'!G1103+"$F;@!2/R"</f>
        <v>#VALUE!</v>
      </c>
      <c r="CP343" t="e">
        <f>'North America'!H1103+"$F;@!2/S"</f>
        <v>#VALUE!</v>
      </c>
      <c r="CQ343" t="e">
        <f>'North America'!A1104+"$F;@!2/T"</f>
        <v>#VALUE!</v>
      </c>
      <c r="CR343" t="e">
        <f>'North America'!B1104+"$F;@!2/U"</f>
        <v>#VALUE!</v>
      </c>
      <c r="CS343" t="e">
        <f>'North America'!C1104+"$F;@!2/V"</f>
        <v>#VALUE!</v>
      </c>
      <c r="CT343" t="e">
        <f>'North America'!D1104+"$F;@!2/W"</f>
        <v>#VALUE!</v>
      </c>
      <c r="CU343" t="e">
        <f>'North America'!E1104+"$F;@!2/X"</f>
        <v>#VALUE!</v>
      </c>
      <c r="CV343" t="e">
        <f>'North America'!F1104+"$F;@!2/Y"</f>
        <v>#VALUE!</v>
      </c>
      <c r="CW343" t="e">
        <f>'North America'!G1104+"$F;@!2/Z"</f>
        <v>#VALUE!</v>
      </c>
      <c r="CX343" t="e">
        <f>'North America'!H1104+"$F;@!2/["</f>
        <v>#VALUE!</v>
      </c>
      <c r="CY343" t="e">
        <f>'North America'!A1105+"$F;@!2/\"</f>
        <v>#VALUE!</v>
      </c>
      <c r="CZ343" t="e">
        <f>'North America'!B1105+"$F;@!2/]"</f>
        <v>#VALUE!</v>
      </c>
      <c r="DA343" t="e">
        <f>'North America'!C1105+"$F;@!2/^"</f>
        <v>#VALUE!</v>
      </c>
      <c r="DB343" t="e">
        <f>'North America'!D1105+"$F;@!2/_"</f>
        <v>#VALUE!</v>
      </c>
      <c r="DC343" t="e">
        <f>'North America'!E1105+"$F;@!2/`"</f>
        <v>#VALUE!</v>
      </c>
      <c r="DD343" t="e">
        <f>'North America'!F1105+"$F;@!2/a"</f>
        <v>#VALUE!</v>
      </c>
      <c r="DE343" t="e">
        <f>'North America'!G1105+"$F;@!2/b"</f>
        <v>#VALUE!</v>
      </c>
      <c r="DF343" t="e">
        <f>'North America'!H1105+"$F;@!2/c"</f>
        <v>#VALUE!</v>
      </c>
      <c r="DG343" t="e">
        <f>'North America'!A1106+"$F;@!2/d"</f>
        <v>#VALUE!</v>
      </c>
      <c r="DH343" t="e">
        <f>'North America'!B1106+"$F;@!2/e"</f>
        <v>#VALUE!</v>
      </c>
      <c r="DI343" t="e">
        <f>'North America'!C1106+"$F;@!2/f"</f>
        <v>#VALUE!</v>
      </c>
      <c r="DJ343" t="e">
        <f>'North America'!D1106+"$F;@!2/g"</f>
        <v>#VALUE!</v>
      </c>
      <c r="DK343" t="e">
        <f>'North America'!E1106+"$F;@!2/h"</f>
        <v>#VALUE!</v>
      </c>
      <c r="DL343" t="e">
        <f>'North America'!F1106+"$F;@!2/i"</f>
        <v>#VALUE!</v>
      </c>
      <c r="DM343" t="e">
        <f>'North America'!G1106+"$F;@!2/j"</f>
        <v>#VALUE!</v>
      </c>
      <c r="DN343" t="e">
        <f>'North America'!H1106+"$F;@!2/k"</f>
        <v>#VALUE!</v>
      </c>
      <c r="DO343" t="e">
        <f>'North America'!A1107+"$F;@!2/l"</f>
        <v>#VALUE!</v>
      </c>
      <c r="DP343" t="e">
        <f>'North America'!B1107+"$F;@!2/m"</f>
        <v>#VALUE!</v>
      </c>
      <c r="DQ343" t="e">
        <f>'North America'!C1107+"$F;@!2/n"</f>
        <v>#VALUE!</v>
      </c>
      <c r="DR343" t="e">
        <f>'North America'!D1107+"$F;@!2/o"</f>
        <v>#VALUE!</v>
      </c>
      <c r="DS343" t="e">
        <f>'North America'!E1107+"$F;@!2/p"</f>
        <v>#VALUE!</v>
      </c>
      <c r="DT343" t="e">
        <f>'North America'!F1107+"$F;@!2/q"</f>
        <v>#VALUE!</v>
      </c>
      <c r="DU343" t="e">
        <f>'North America'!G1107+"$F;@!2/r"</f>
        <v>#VALUE!</v>
      </c>
      <c r="DV343" t="e">
        <f>'North America'!H1107+"$F;@!2/s"</f>
        <v>#VALUE!</v>
      </c>
      <c r="DW343" t="e">
        <f>'North America'!A1108+"$F;@!2/t"</f>
        <v>#VALUE!</v>
      </c>
      <c r="DX343" t="e">
        <f>'North America'!B1108+"$F;@!2/u"</f>
        <v>#VALUE!</v>
      </c>
      <c r="DY343" t="e">
        <f>'North America'!C1108+"$F;@!2/v"</f>
        <v>#VALUE!</v>
      </c>
      <c r="DZ343" t="e">
        <f>'North America'!D1108+"$F;@!2/w"</f>
        <v>#VALUE!</v>
      </c>
      <c r="EA343" t="e">
        <f>'North America'!E1108+"$F;@!2/x"</f>
        <v>#VALUE!</v>
      </c>
      <c r="EB343" t="e">
        <f>'North America'!F1108+"$F;@!2/y"</f>
        <v>#VALUE!</v>
      </c>
      <c r="EC343" t="e">
        <f>'North America'!G1108+"$F;@!2/z"</f>
        <v>#VALUE!</v>
      </c>
      <c r="ED343" t="e">
        <f>'North America'!H1108+"$F;@!2/{"</f>
        <v>#VALUE!</v>
      </c>
      <c r="EE343" t="e">
        <f>'North America'!A1109+"$F;@!2/|"</f>
        <v>#VALUE!</v>
      </c>
      <c r="EF343" t="e">
        <f>'North America'!B1109+"$F;@!2/}"</f>
        <v>#VALUE!</v>
      </c>
      <c r="EG343" t="e">
        <f>'North America'!C1109+"$F;@!2/~"</f>
        <v>#VALUE!</v>
      </c>
      <c r="EH343" t="e">
        <f>'North America'!D1109+"$F;@!20#"</f>
        <v>#VALUE!</v>
      </c>
      <c r="EI343" t="e">
        <f>'North America'!E1109+"$F;@!20$"</f>
        <v>#VALUE!</v>
      </c>
      <c r="EJ343" t="e">
        <f>'North America'!F1109+"$F;@!20%"</f>
        <v>#VALUE!</v>
      </c>
      <c r="EK343" t="e">
        <f>'North America'!G1109+"$F;@!20&amp;"</f>
        <v>#VALUE!</v>
      </c>
      <c r="EL343" t="e">
        <f>'North America'!H1109+"$F;@!20'"</f>
        <v>#VALUE!</v>
      </c>
      <c r="EM343" t="e">
        <f>'North America'!A1110+"$F;@!20("</f>
        <v>#VALUE!</v>
      </c>
      <c r="EN343" t="e">
        <f>'North America'!B1110+"$F;@!20)"</f>
        <v>#VALUE!</v>
      </c>
      <c r="EO343" t="e">
        <f>'North America'!C1110+"$F;@!20."</f>
        <v>#VALUE!</v>
      </c>
      <c r="EP343" t="e">
        <f>'North America'!D1110+"$F;@!20/"</f>
        <v>#VALUE!</v>
      </c>
      <c r="EQ343" t="e">
        <f>'North America'!E1110+"$F;@!200"</f>
        <v>#VALUE!</v>
      </c>
      <c r="ER343" t="e">
        <f>'North America'!F1110+"$F;@!201"</f>
        <v>#VALUE!</v>
      </c>
      <c r="ES343" t="e">
        <f>'North America'!G1110+"$F;@!202"</f>
        <v>#VALUE!</v>
      </c>
      <c r="ET343" t="e">
        <f>'North America'!H1110+"$F;@!203"</f>
        <v>#VALUE!</v>
      </c>
      <c r="EU343" t="e">
        <f>'North America'!A1111+"$F;@!204"</f>
        <v>#VALUE!</v>
      </c>
      <c r="EV343" t="e">
        <f>'North America'!B1111+"$F;@!205"</f>
        <v>#VALUE!</v>
      </c>
      <c r="EW343" t="e">
        <f>'North America'!C1111+"$F;@!206"</f>
        <v>#VALUE!</v>
      </c>
      <c r="EX343" t="e">
        <f>'North America'!D1111+"$F;@!207"</f>
        <v>#VALUE!</v>
      </c>
      <c r="EY343" t="e">
        <f>'North America'!E1111+"$F;@!208"</f>
        <v>#VALUE!</v>
      </c>
      <c r="EZ343" t="e">
        <f>'North America'!F1111+"$F;@!209"</f>
        <v>#VALUE!</v>
      </c>
      <c r="FA343" t="e">
        <f>'North America'!G1111+"$F;@!20:"</f>
        <v>#VALUE!</v>
      </c>
      <c r="FB343" t="e">
        <f>'North America'!H1111+"$F;@!20;"</f>
        <v>#VALUE!</v>
      </c>
      <c r="FC343" t="e">
        <f>'North America'!A1112+"$F;@!20&lt;"</f>
        <v>#VALUE!</v>
      </c>
      <c r="FD343" t="e">
        <f>'North America'!B1112+"$F;@!20="</f>
        <v>#VALUE!</v>
      </c>
      <c r="FE343" t="e">
        <f>'North America'!C1112+"$F;@!20&gt;"</f>
        <v>#VALUE!</v>
      </c>
      <c r="FF343" t="e">
        <f>'North America'!D1112+"$F;@!20?"</f>
        <v>#VALUE!</v>
      </c>
      <c r="FG343" t="e">
        <f>'North America'!E1112+"$F;@!20@"</f>
        <v>#VALUE!</v>
      </c>
      <c r="FH343" t="e">
        <f>'North America'!F1112+"$F;@!20A"</f>
        <v>#VALUE!</v>
      </c>
      <c r="FI343" t="e">
        <f>'North America'!G1112+"$F;@!20B"</f>
        <v>#VALUE!</v>
      </c>
      <c r="FJ343" t="e">
        <f>'North America'!H1112+"$F;@!20C"</f>
        <v>#VALUE!</v>
      </c>
      <c r="FK343" t="e">
        <f>'North America'!A1113+"$F;@!20D"</f>
        <v>#VALUE!</v>
      </c>
      <c r="FL343" t="e">
        <f>'North America'!B1113+"$F;@!20E"</f>
        <v>#VALUE!</v>
      </c>
      <c r="FM343" t="e">
        <f>'North America'!C1113+"$F;@!20F"</f>
        <v>#VALUE!</v>
      </c>
      <c r="FN343" t="e">
        <f>'North America'!D1113+"$F;@!20G"</f>
        <v>#VALUE!</v>
      </c>
      <c r="FO343" t="e">
        <f>'North America'!E1113+"$F;@!20H"</f>
        <v>#VALUE!</v>
      </c>
      <c r="FP343" t="e">
        <f>'North America'!F1113+"$F;@!20I"</f>
        <v>#VALUE!</v>
      </c>
      <c r="FQ343" t="e">
        <f>'North America'!G1113+"$F;@!20J"</f>
        <v>#VALUE!</v>
      </c>
      <c r="FR343" t="e">
        <f>'North America'!H1113+"$F;@!20K"</f>
        <v>#VALUE!</v>
      </c>
      <c r="FS343" t="e">
        <f>'North America'!A1114+"$F;@!20L"</f>
        <v>#VALUE!</v>
      </c>
      <c r="FT343" t="e">
        <f>'North America'!B1114+"$F;@!20M"</f>
        <v>#VALUE!</v>
      </c>
      <c r="FU343" t="e">
        <f>'North America'!C1114+"$F;@!20N"</f>
        <v>#VALUE!</v>
      </c>
      <c r="FV343" t="e">
        <f>'North America'!D1114+"$F;@!20O"</f>
        <v>#VALUE!</v>
      </c>
      <c r="FW343" t="e">
        <f>'North America'!E1114+"$F;@!20P"</f>
        <v>#VALUE!</v>
      </c>
      <c r="FX343" t="e">
        <f>'North America'!F1114+"$F;@!20Q"</f>
        <v>#VALUE!</v>
      </c>
      <c r="FY343" t="e">
        <f>'North America'!G1114+"$F;@!20R"</f>
        <v>#VALUE!</v>
      </c>
      <c r="FZ343" t="e">
        <f>'North America'!H1114+"$F;@!20S"</f>
        <v>#VALUE!</v>
      </c>
      <c r="GA343" t="e">
        <f>'North America'!A1115+"$F;@!20T"</f>
        <v>#VALUE!</v>
      </c>
      <c r="GB343" t="e">
        <f>'North America'!B1115+"$F;@!20U"</f>
        <v>#VALUE!</v>
      </c>
      <c r="GC343" t="e">
        <f>'North America'!C1115+"$F;@!20V"</f>
        <v>#VALUE!</v>
      </c>
      <c r="GD343" t="e">
        <f>'North America'!D1115+"$F;@!20W"</f>
        <v>#VALUE!</v>
      </c>
      <c r="GE343" t="e">
        <f>'North America'!E1115+"$F;@!20X"</f>
        <v>#VALUE!</v>
      </c>
      <c r="GF343" t="e">
        <f>'North America'!F1115+"$F;@!20Y"</f>
        <v>#VALUE!</v>
      </c>
      <c r="GG343" t="e">
        <f>'North America'!G1115+"$F;@!20Z"</f>
        <v>#VALUE!</v>
      </c>
      <c r="GH343" t="e">
        <f>'North America'!H1115+"$F;@!20["</f>
        <v>#VALUE!</v>
      </c>
      <c r="GI343" t="e">
        <f>'North America'!A1116+"$F;@!20\"</f>
        <v>#VALUE!</v>
      </c>
      <c r="GJ343" t="e">
        <f>'North America'!B1116+"$F;@!20]"</f>
        <v>#VALUE!</v>
      </c>
      <c r="GK343" t="e">
        <f>'North America'!C1116+"$F;@!20^"</f>
        <v>#VALUE!</v>
      </c>
      <c r="GL343" t="e">
        <f>'North America'!D1116+"$F;@!20_"</f>
        <v>#VALUE!</v>
      </c>
      <c r="GM343" t="e">
        <f>'North America'!E1116+"$F;@!20`"</f>
        <v>#VALUE!</v>
      </c>
      <c r="GN343" t="e">
        <f>'North America'!F1116+"$F;@!20a"</f>
        <v>#VALUE!</v>
      </c>
      <c r="GO343" t="e">
        <f>'North America'!G1116+"$F;@!20b"</f>
        <v>#VALUE!</v>
      </c>
      <c r="GP343" t="e">
        <f>'North America'!H1116+"$F;@!20c"</f>
        <v>#VALUE!</v>
      </c>
      <c r="GQ343" t="e">
        <f>'North America'!A1117+"$F;@!20d"</f>
        <v>#VALUE!</v>
      </c>
      <c r="GR343" t="e">
        <f>'North America'!B1117+"$F;@!20e"</f>
        <v>#VALUE!</v>
      </c>
      <c r="GS343" t="e">
        <f>'North America'!C1117+"$F;@!20f"</f>
        <v>#VALUE!</v>
      </c>
      <c r="GT343" t="e">
        <f>'North America'!D1117+"$F;@!20g"</f>
        <v>#VALUE!</v>
      </c>
      <c r="GU343" t="e">
        <f>'North America'!E1117+"$F;@!20h"</f>
        <v>#VALUE!</v>
      </c>
      <c r="GV343" t="e">
        <f>'North America'!F1117+"$F;@!20i"</f>
        <v>#VALUE!</v>
      </c>
      <c r="GW343" t="e">
        <f>'North America'!G1117+"$F;@!20j"</f>
        <v>#VALUE!</v>
      </c>
      <c r="GX343" t="e">
        <f>'North America'!H1117+"$F;@!20k"</f>
        <v>#VALUE!</v>
      </c>
      <c r="GY343" t="e">
        <f>'North America'!A1118+"$F;@!20l"</f>
        <v>#VALUE!</v>
      </c>
      <c r="GZ343" t="e">
        <f>'North America'!B1118+"$F;@!20m"</f>
        <v>#VALUE!</v>
      </c>
      <c r="HA343" t="e">
        <f>'North America'!C1118+"$F;@!20n"</f>
        <v>#VALUE!</v>
      </c>
      <c r="HB343" t="e">
        <f>'North America'!D1118+"$F;@!20o"</f>
        <v>#VALUE!</v>
      </c>
      <c r="HC343" t="e">
        <f>'North America'!E1118+"$F;@!20p"</f>
        <v>#VALUE!</v>
      </c>
      <c r="HD343" t="e">
        <f>'North America'!F1118+"$F;@!20q"</f>
        <v>#VALUE!</v>
      </c>
      <c r="HE343" t="e">
        <f>'North America'!G1118+"$F;@!20r"</f>
        <v>#VALUE!</v>
      </c>
      <c r="HF343" t="e">
        <f>'North America'!H1118+"$F;@!20s"</f>
        <v>#VALUE!</v>
      </c>
      <c r="HG343" t="e">
        <f>'North America'!A1119+"$F;@!20t"</f>
        <v>#VALUE!</v>
      </c>
      <c r="HH343" t="e">
        <f>'North America'!B1119+"$F;@!20u"</f>
        <v>#VALUE!</v>
      </c>
      <c r="HI343" t="e">
        <f>'North America'!C1119+"$F;@!20v"</f>
        <v>#VALUE!</v>
      </c>
      <c r="HJ343" t="e">
        <f>'North America'!D1119+"$F;@!20w"</f>
        <v>#VALUE!</v>
      </c>
      <c r="HK343" t="e">
        <f>'North America'!E1119+"$F;@!20x"</f>
        <v>#VALUE!</v>
      </c>
      <c r="HL343" t="e">
        <f>'North America'!F1119+"$F;@!20y"</f>
        <v>#VALUE!</v>
      </c>
      <c r="HM343" t="e">
        <f>'North America'!G1119+"$F;@!20z"</f>
        <v>#VALUE!</v>
      </c>
      <c r="HN343" t="e">
        <f>'North America'!H1119+"$F;@!20{"</f>
        <v>#VALUE!</v>
      </c>
      <c r="HO343" t="e">
        <f>'North America'!A1120+"$F;@!20|"</f>
        <v>#VALUE!</v>
      </c>
      <c r="HP343" t="e">
        <f>'North America'!B1120+"$F;@!20}"</f>
        <v>#VALUE!</v>
      </c>
      <c r="HQ343" t="e">
        <f>'North America'!C1120+"$F;@!20~"</f>
        <v>#VALUE!</v>
      </c>
      <c r="HR343" t="e">
        <f>'North America'!D1120+"$F;@!21#"</f>
        <v>#VALUE!</v>
      </c>
      <c r="HS343" t="e">
        <f>'North America'!E1120+"$F;@!21$"</f>
        <v>#VALUE!</v>
      </c>
      <c r="HT343" t="e">
        <f>'North America'!F1120+"$F;@!21%"</f>
        <v>#VALUE!</v>
      </c>
      <c r="HU343" t="e">
        <f>'North America'!G1120+"$F;@!21&amp;"</f>
        <v>#VALUE!</v>
      </c>
      <c r="HV343" t="e">
        <f>'North America'!H1120+"$F;@!21'"</f>
        <v>#VALUE!</v>
      </c>
      <c r="HW343" t="e">
        <f>'North America'!A1121+"$F;@!21("</f>
        <v>#VALUE!</v>
      </c>
      <c r="HX343" t="e">
        <f>'North America'!B1121+"$F;@!21)"</f>
        <v>#VALUE!</v>
      </c>
      <c r="HY343" t="e">
        <f>'North America'!C1121+"$F;@!21."</f>
        <v>#VALUE!</v>
      </c>
      <c r="HZ343" t="e">
        <f>'North America'!D1121+"$F;@!21/"</f>
        <v>#VALUE!</v>
      </c>
      <c r="IA343" t="e">
        <f>'North America'!E1121+"$F;@!210"</f>
        <v>#VALUE!</v>
      </c>
      <c r="IB343" t="e">
        <f>'North America'!F1121+"$F;@!211"</f>
        <v>#VALUE!</v>
      </c>
      <c r="IC343" t="e">
        <f>'North America'!G1121+"$F;@!212"</f>
        <v>#VALUE!</v>
      </c>
      <c r="ID343" t="e">
        <f>'North America'!H1121+"$F;@!213"</f>
        <v>#VALUE!</v>
      </c>
      <c r="IE343" t="e">
        <f>'North America'!A1122+"$F;@!214"</f>
        <v>#VALUE!</v>
      </c>
      <c r="IF343" t="e">
        <f>'North America'!B1122+"$F;@!215"</f>
        <v>#VALUE!</v>
      </c>
      <c r="IG343" t="e">
        <f>'North America'!C1122+"$F;@!216"</f>
        <v>#VALUE!</v>
      </c>
      <c r="IH343" t="e">
        <f>'North America'!D1122+"$F;@!217"</f>
        <v>#VALUE!</v>
      </c>
      <c r="II343" t="e">
        <f>'North America'!E1122+"$F;@!218"</f>
        <v>#VALUE!</v>
      </c>
      <c r="IJ343" t="e">
        <f>'North America'!F1122+"$F;@!219"</f>
        <v>#VALUE!</v>
      </c>
      <c r="IK343" t="e">
        <f>'North America'!G1122+"$F;@!21:"</f>
        <v>#VALUE!</v>
      </c>
      <c r="IL343" t="e">
        <f>'North America'!H1122+"$F;@!21;"</f>
        <v>#VALUE!</v>
      </c>
      <c r="IM343" t="e">
        <f>'North America'!A1123+"$F;@!21&lt;"</f>
        <v>#VALUE!</v>
      </c>
      <c r="IN343" t="e">
        <f>'North America'!B1123+"$F;@!21="</f>
        <v>#VALUE!</v>
      </c>
      <c r="IO343" t="e">
        <f>'North America'!C1123+"$F;@!21&gt;"</f>
        <v>#VALUE!</v>
      </c>
      <c r="IP343" t="e">
        <f>'North America'!D1123+"$F;@!21?"</f>
        <v>#VALUE!</v>
      </c>
      <c r="IQ343" t="e">
        <f>'North America'!E1123+"$F;@!21@"</f>
        <v>#VALUE!</v>
      </c>
      <c r="IR343" t="e">
        <f>'North America'!F1123+"$F;@!21A"</f>
        <v>#VALUE!</v>
      </c>
      <c r="IS343" t="e">
        <f>'North America'!G1123+"$F;@!21B"</f>
        <v>#VALUE!</v>
      </c>
      <c r="IT343" t="e">
        <f>'North America'!H1123+"$F;@!21C"</f>
        <v>#VALUE!</v>
      </c>
      <c r="IU343" t="e">
        <f>'North America'!A1124+"$F;@!21D"</f>
        <v>#VALUE!</v>
      </c>
      <c r="IV343" t="e">
        <f>'North America'!B1124+"$F;@!21E"</f>
        <v>#VALUE!</v>
      </c>
    </row>
    <row r="344" spans="6:256" x14ac:dyDescent="0.35">
      <c r="F344" t="e">
        <f>'North America'!C1124+"$F;@!21F"</f>
        <v>#VALUE!</v>
      </c>
      <c r="G344" t="e">
        <f>'North America'!D1124+"$F;@!21G"</f>
        <v>#VALUE!</v>
      </c>
      <c r="H344" t="e">
        <f>'North America'!E1124+"$F;@!21H"</f>
        <v>#VALUE!</v>
      </c>
      <c r="I344" t="e">
        <f>'North America'!F1124+"$F;@!21I"</f>
        <v>#VALUE!</v>
      </c>
      <c r="J344" t="e">
        <f>'North America'!G1124+"$F;@!21J"</f>
        <v>#VALUE!</v>
      </c>
      <c r="K344" t="e">
        <f>'North America'!H1124+"$F;@!21K"</f>
        <v>#VALUE!</v>
      </c>
      <c r="L344" t="e">
        <f>'North America'!A1125+"$F;@!21L"</f>
        <v>#VALUE!</v>
      </c>
      <c r="M344" t="e">
        <f>'North America'!B1125+"$F;@!21M"</f>
        <v>#VALUE!</v>
      </c>
      <c r="N344" t="e">
        <f>'North America'!C1125+"$F;@!21N"</f>
        <v>#VALUE!</v>
      </c>
      <c r="O344" t="e">
        <f>'North America'!D1125+"$F;@!21O"</f>
        <v>#VALUE!</v>
      </c>
      <c r="P344" t="e">
        <f>'North America'!E1125+"$F;@!21P"</f>
        <v>#VALUE!</v>
      </c>
      <c r="Q344" t="e">
        <f>'North America'!F1125+"$F;@!21Q"</f>
        <v>#VALUE!</v>
      </c>
      <c r="R344" t="e">
        <f>'North America'!G1125+"$F;@!21R"</f>
        <v>#VALUE!</v>
      </c>
      <c r="S344" t="e">
        <f>'North America'!H1125+"$F;@!21S"</f>
        <v>#VALUE!</v>
      </c>
      <c r="T344" t="e">
        <f>'North America'!A1126+"$F;@!21T"</f>
        <v>#VALUE!</v>
      </c>
      <c r="U344" t="e">
        <f>'North America'!B1126+"$F;@!21U"</f>
        <v>#VALUE!</v>
      </c>
      <c r="V344" t="e">
        <f>'North America'!C1126+"$F;@!21V"</f>
        <v>#VALUE!</v>
      </c>
      <c r="W344" t="e">
        <f>'North America'!D1126+"$F;@!21W"</f>
        <v>#VALUE!</v>
      </c>
      <c r="X344" t="e">
        <f>'North America'!E1126+"$F;@!21X"</f>
        <v>#VALUE!</v>
      </c>
      <c r="Y344" t="e">
        <f>'North America'!F1126+"$F;@!21Y"</f>
        <v>#VALUE!</v>
      </c>
      <c r="Z344" t="e">
        <f>'North America'!G1126+"$F;@!21Z"</f>
        <v>#VALUE!</v>
      </c>
      <c r="AA344" t="e">
        <f>'North America'!H1126+"$F;@!21["</f>
        <v>#VALUE!</v>
      </c>
      <c r="AB344" t="e">
        <f>'North America'!A1127+"$F;@!21\"</f>
        <v>#VALUE!</v>
      </c>
      <c r="AC344" t="e">
        <f>'North America'!B1127+"$F;@!21]"</f>
        <v>#VALUE!</v>
      </c>
      <c r="AD344" t="e">
        <f>'North America'!C1127+"$F;@!21^"</f>
        <v>#VALUE!</v>
      </c>
      <c r="AE344" t="e">
        <f>'North America'!D1127+"$F;@!21_"</f>
        <v>#VALUE!</v>
      </c>
      <c r="AF344" t="e">
        <f>'North America'!E1127+"$F;@!21`"</f>
        <v>#VALUE!</v>
      </c>
      <c r="AG344" t="e">
        <f>'North America'!F1127+"$F;@!21a"</f>
        <v>#VALUE!</v>
      </c>
      <c r="AH344" t="e">
        <f>'North America'!G1127+"$F;@!21b"</f>
        <v>#VALUE!</v>
      </c>
      <c r="AI344" t="e">
        <f>'North America'!H1127+"$F;@!21c"</f>
        <v>#VALUE!</v>
      </c>
      <c r="AJ344" t="e">
        <f>'North America'!A1128+"$F;@!21d"</f>
        <v>#VALUE!</v>
      </c>
      <c r="AK344" t="e">
        <f>'North America'!B1128+"$F;@!21e"</f>
        <v>#VALUE!</v>
      </c>
      <c r="AL344" t="e">
        <f>'North America'!C1128+"$F;@!21f"</f>
        <v>#VALUE!</v>
      </c>
      <c r="AM344" t="e">
        <f>'North America'!D1128+"$F;@!21g"</f>
        <v>#VALUE!</v>
      </c>
      <c r="AN344" t="e">
        <f>'North America'!E1128+"$F;@!21h"</f>
        <v>#VALUE!</v>
      </c>
      <c r="AO344" t="e">
        <f>'North America'!F1128+"$F;@!21i"</f>
        <v>#VALUE!</v>
      </c>
      <c r="AP344" t="e">
        <f>'North America'!G1128+"$F;@!21j"</f>
        <v>#VALUE!</v>
      </c>
      <c r="AQ344" t="e">
        <f>'North America'!H1128+"$F;@!21k"</f>
        <v>#VALUE!</v>
      </c>
      <c r="AR344" t="e">
        <f>'North America'!A1129+"$F;@!21l"</f>
        <v>#VALUE!</v>
      </c>
      <c r="AS344" t="e">
        <f>'North America'!B1129+"$F;@!21m"</f>
        <v>#VALUE!</v>
      </c>
      <c r="AT344" t="e">
        <f>'North America'!C1129+"$F;@!21n"</f>
        <v>#VALUE!</v>
      </c>
      <c r="AU344" t="e">
        <f>'North America'!D1129+"$F;@!21o"</f>
        <v>#VALUE!</v>
      </c>
      <c r="AV344" t="e">
        <f>'North America'!E1129+"$F;@!21p"</f>
        <v>#VALUE!</v>
      </c>
      <c r="AW344" t="e">
        <f>'North America'!F1129+"$F;@!21q"</f>
        <v>#VALUE!</v>
      </c>
      <c r="AX344" t="e">
        <f>'North America'!G1129+"$F;@!21r"</f>
        <v>#VALUE!</v>
      </c>
      <c r="AY344" t="e">
        <f>'North America'!H1129+"$F;@!21s"</f>
        <v>#VALUE!</v>
      </c>
      <c r="AZ344" t="e">
        <f>'North America'!A1130+"$F;@!21t"</f>
        <v>#VALUE!</v>
      </c>
      <c r="BA344" t="e">
        <f>'North America'!B1130+"$F;@!21u"</f>
        <v>#VALUE!</v>
      </c>
      <c r="BB344" t="e">
        <f>'North America'!C1130+"$F;@!21v"</f>
        <v>#VALUE!</v>
      </c>
      <c r="BC344" t="e">
        <f>'North America'!D1130+"$F;@!21w"</f>
        <v>#VALUE!</v>
      </c>
      <c r="BD344" t="e">
        <f>'North America'!E1130+"$F;@!21x"</f>
        <v>#VALUE!</v>
      </c>
      <c r="BE344" t="e">
        <f>'North America'!F1130+"$F;@!21y"</f>
        <v>#VALUE!</v>
      </c>
      <c r="BF344" t="e">
        <f>'North America'!G1130+"$F;@!21z"</f>
        <v>#VALUE!</v>
      </c>
      <c r="BG344" t="e">
        <f>'North America'!H1130+"$F;@!21{"</f>
        <v>#VALUE!</v>
      </c>
      <c r="BH344" t="e">
        <f>'North America'!A1131+"$F;@!21|"</f>
        <v>#VALUE!</v>
      </c>
      <c r="BI344" t="e">
        <f>'North America'!B1131+"$F;@!21}"</f>
        <v>#VALUE!</v>
      </c>
      <c r="BJ344" t="e">
        <f>'North America'!C1131+"$F;@!21~"</f>
        <v>#VALUE!</v>
      </c>
      <c r="BK344" t="e">
        <f>'North America'!D1131+"$F;@!22#"</f>
        <v>#VALUE!</v>
      </c>
      <c r="BL344" t="e">
        <f>'North America'!E1131+"$F;@!22$"</f>
        <v>#VALUE!</v>
      </c>
      <c r="BM344" t="e">
        <f>'North America'!F1131+"$F;@!22%"</f>
        <v>#VALUE!</v>
      </c>
      <c r="BN344" t="e">
        <f>'North America'!G1131+"$F;@!22&amp;"</f>
        <v>#VALUE!</v>
      </c>
      <c r="BO344" t="e">
        <f>'North America'!H1131+"$F;@!22'"</f>
        <v>#VALUE!</v>
      </c>
      <c r="BP344" t="e">
        <f>'North America'!A1132+"$F;@!22("</f>
        <v>#VALUE!</v>
      </c>
      <c r="BQ344" t="e">
        <f>'North America'!B1132+"$F;@!22)"</f>
        <v>#VALUE!</v>
      </c>
      <c r="BR344" t="e">
        <f>'North America'!C1132+"$F;@!22."</f>
        <v>#VALUE!</v>
      </c>
      <c r="BS344" t="e">
        <f>'North America'!D1132+"$F;@!22/"</f>
        <v>#VALUE!</v>
      </c>
      <c r="BT344" t="e">
        <f>'North America'!E1132+"$F;@!220"</f>
        <v>#VALUE!</v>
      </c>
      <c r="BU344" t="e">
        <f>'North America'!F1132+"$F;@!221"</f>
        <v>#VALUE!</v>
      </c>
      <c r="BV344" t="e">
        <f>'North America'!G1132+"$F;@!222"</f>
        <v>#VALUE!</v>
      </c>
      <c r="BW344" t="e">
        <f>'North America'!H1132+"$F;@!223"</f>
        <v>#VALUE!</v>
      </c>
      <c r="BX344" t="e">
        <f>'North America'!A1133+"$F;@!224"</f>
        <v>#VALUE!</v>
      </c>
      <c r="BY344" t="e">
        <f>'North America'!B1133+"$F;@!225"</f>
        <v>#VALUE!</v>
      </c>
      <c r="BZ344" t="e">
        <f>'North America'!C1133+"$F;@!226"</f>
        <v>#VALUE!</v>
      </c>
      <c r="CA344" t="e">
        <f>'North America'!D1133+"$F;@!227"</f>
        <v>#VALUE!</v>
      </c>
      <c r="CB344" t="e">
        <f>'North America'!E1133+"$F;@!228"</f>
        <v>#VALUE!</v>
      </c>
      <c r="CC344" t="e">
        <f>'North America'!F1133+"$F;@!229"</f>
        <v>#VALUE!</v>
      </c>
      <c r="CD344" t="e">
        <f>'North America'!G1133+"$F;@!22:"</f>
        <v>#VALUE!</v>
      </c>
      <c r="CE344" t="e">
        <f>'North America'!H1133+"$F;@!22;"</f>
        <v>#VALUE!</v>
      </c>
      <c r="CF344" t="e">
        <f>'North America'!A1134+"$F;@!22&lt;"</f>
        <v>#VALUE!</v>
      </c>
      <c r="CG344" t="e">
        <f>'North America'!B1134+"$F;@!22="</f>
        <v>#VALUE!</v>
      </c>
      <c r="CH344" t="e">
        <f>'North America'!C1134+"$F;@!22&gt;"</f>
        <v>#VALUE!</v>
      </c>
      <c r="CI344" t="e">
        <f>'North America'!D1134+"$F;@!22?"</f>
        <v>#VALUE!</v>
      </c>
      <c r="CJ344" t="e">
        <f>'North America'!E1134+"$F;@!22@"</f>
        <v>#VALUE!</v>
      </c>
      <c r="CK344" t="e">
        <f>'North America'!F1134+"$F;@!22A"</f>
        <v>#VALUE!</v>
      </c>
      <c r="CL344" t="e">
        <f>'North America'!G1134+"$F;@!22B"</f>
        <v>#VALUE!</v>
      </c>
      <c r="CM344" t="e">
        <f>'North America'!H1134+"$F;@!22C"</f>
        <v>#VALUE!</v>
      </c>
      <c r="CN344" t="e">
        <f>'North America'!A1135+"$F;@!22D"</f>
        <v>#VALUE!</v>
      </c>
      <c r="CO344" t="e">
        <f>'North America'!B1135+"$F;@!22E"</f>
        <v>#VALUE!</v>
      </c>
      <c r="CP344" t="e">
        <f>'North America'!C1135+"$F;@!22F"</f>
        <v>#VALUE!</v>
      </c>
      <c r="CQ344" t="e">
        <f>'North America'!D1135+"$F;@!22G"</f>
        <v>#VALUE!</v>
      </c>
      <c r="CR344" t="e">
        <f>'North America'!E1135+"$F;@!22H"</f>
        <v>#VALUE!</v>
      </c>
      <c r="CS344" t="e">
        <f>'North America'!F1135+"$F;@!22I"</f>
        <v>#VALUE!</v>
      </c>
      <c r="CT344" t="e">
        <f>'North America'!G1135+"$F;@!22J"</f>
        <v>#VALUE!</v>
      </c>
      <c r="CU344" t="e">
        <f>'North America'!H1135+"$F;@!22K"</f>
        <v>#VALUE!</v>
      </c>
      <c r="CV344" t="e">
        <f>'North America'!A1136+"$F;@!22L"</f>
        <v>#VALUE!</v>
      </c>
      <c r="CW344" t="e">
        <f>'North America'!B1136+"$F;@!22M"</f>
        <v>#VALUE!</v>
      </c>
      <c r="CX344" t="e">
        <f>'North America'!C1136+"$F;@!22N"</f>
        <v>#VALUE!</v>
      </c>
      <c r="CY344" t="e">
        <f>'North America'!D1136+"$F;@!22O"</f>
        <v>#VALUE!</v>
      </c>
      <c r="CZ344" t="e">
        <f>'North America'!E1136+"$F;@!22P"</f>
        <v>#VALUE!</v>
      </c>
      <c r="DA344" t="e">
        <f>'North America'!F1136+"$F;@!22Q"</f>
        <v>#VALUE!</v>
      </c>
      <c r="DB344" t="e">
        <f>'North America'!G1136+"$F;@!22R"</f>
        <v>#VALUE!</v>
      </c>
      <c r="DC344" t="e">
        <f>'North America'!H1136+"$F;@!22S"</f>
        <v>#VALUE!</v>
      </c>
      <c r="DD344" t="e">
        <f>'North America'!A1137+"$F;@!22T"</f>
        <v>#VALUE!</v>
      </c>
      <c r="DE344" t="e">
        <f>'North America'!B1137+"$F;@!22U"</f>
        <v>#VALUE!</v>
      </c>
      <c r="DF344" t="e">
        <f>'North America'!C1137+"$F;@!22V"</f>
        <v>#VALUE!</v>
      </c>
      <c r="DG344" t="e">
        <f>'North America'!D1137+"$F;@!22W"</f>
        <v>#VALUE!</v>
      </c>
      <c r="DH344" t="e">
        <f>'North America'!E1137+"$F;@!22X"</f>
        <v>#VALUE!</v>
      </c>
      <c r="DI344" t="e">
        <f>'North America'!F1137+"$F;@!22Y"</f>
        <v>#VALUE!</v>
      </c>
      <c r="DJ344" t="e">
        <f>'North America'!G1137+"$F;@!22Z"</f>
        <v>#VALUE!</v>
      </c>
      <c r="DK344" t="e">
        <f>'North America'!H1137+"$F;@!22["</f>
        <v>#VALUE!</v>
      </c>
      <c r="DL344" t="e">
        <f>'North America'!A1138+"$F;@!22\"</f>
        <v>#VALUE!</v>
      </c>
      <c r="DM344" t="e">
        <f>'North America'!B1138+"$F;@!22]"</f>
        <v>#VALUE!</v>
      </c>
      <c r="DN344" t="e">
        <f>'North America'!C1138+"$F;@!22^"</f>
        <v>#VALUE!</v>
      </c>
      <c r="DO344" t="e">
        <f>'North America'!D1138+"$F;@!22_"</f>
        <v>#VALUE!</v>
      </c>
      <c r="DP344" t="e">
        <f>'North America'!E1138+"$F;@!22`"</f>
        <v>#VALUE!</v>
      </c>
      <c r="DQ344" t="e">
        <f>'North America'!F1138+"$F;@!22a"</f>
        <v>#VALUE!</v>
      </c>
      <c r="DR344" t="e">
        <f>'North America'!G1138+"$F;@!22b"</f>
        <v>#VALUE!</v>
      </c>
      <c r="DS344" t="e">
        <f>'North America'!H1138+"$F;@!22c"</f>
        <v>#VALUE!</v>
      </c>
      <c r="DT344" t="e">
        <f>'North America'!A1139+"$F;@!22d"</f>
        <v>#VALUE!</v>
      </c>
      <c r="DU344" t="e">
        <f>'North America'!B1139+"$F;@!22e"</f>
        <v>#VALUE!</v>
      </c>
      <c r="DV344" t="e">
        <f>'North America'!C1139+"$F;@!22f"</f>
        <v>#VALUE!</v>
      </c>
      <c r="DW344" t="e">
        <f>'North America'!D1139+"$F;@!22g"</f>
        <v>#VALUE!</v>
      </c>
      <c r="DX344" t="e">
        <f>'North America'!E1139+"$F;@!22h"</f>
        <v>#VALUE!</v>
      </c>
      <c r="DY344" t="e">
        <f>'North America'!F1139+"$F;@!22i"</f>
        <v>#VALUE!</v>
      </c>
      <c r="DZ344" t="e">
        <f>'North America'!G1139+"$F;@!22j"</f>
        <v>#VALUE!</v>
      </c>
      <c r="EA344" t="e">
        <f>'North America'!H1139+"$F;@!22k"</f>
        <v>#VALUE!</v>
      </c>
      <c r="EB344" t="e">
        <f>'North America'!A1140+"$F;@!22l"</f>
        <v>#VALUE!</v>
      </c>
      <c r="EC344" t="e">
        <f>'North America'!B1140+"$F;@!22m"</f>
        <v>#VALUE!</v>
      </c>
      <c r="ED344" t="e">
        <f>'North America'!C1140+"$F;@!22n"</f>
        <v>#VALUE!</v>
      </c>
      <c r="EE344" t="e">
        <f>'North America'!D1140+"$F;@!22o"</f>
        <v>#VALUE!</v>
      </c>
      <c r="EF344" t="e">
        <f>'North America'!E1140+"$F;@!22p"</f>
        <v>#VALUE!</v>
      </c>
      <c r="EG344" t="e">
        <f>'North America'!F1140+"$F;@!22q"</f>
        <v>#VALUE!</v>
      </c>
      <c r="EH344" t="e">
        <f>'North America'!G1140+"$F;@!22r"</f>
        <v>#VALUE!</v>
      </c>
      <c r="EI344" t="e">
        <f>'North America'!H1140+"$F;@!22s"</f>
        <v>#VALUE!</v>
      </c>
      <c r="EJ344" t="e">
        <f>'North America'!A1141+"$F;@!22t"</f>
        <v>#VALUE!</v>
      </c>
      <c r="EK344" t="e">
        <f>'North America'!B1141+"$F;@!22u"</f>
        <v>#VALUE!</v>
      </c>
      <c r="EL344" t="e">
        <f>'North America'!C1141+"$F;@!22v"</f>
        <v>#VALUE!</v>
      </c>
      <c r="EM344" t="e">
        <f>'North America'!D1141+"$F;@!22w"</f>
        <v>#VALUE!</v>
      </c>
      <c r="EN344" t="e">
        <f>'North America'!E1141+"$F;@!22x"</f>
        <v>#VALUE!</v>
      </c>
      <c r="EO344" t="e">
        <f>'North America'!F1141+"$F;@!22y"</f>
        <v>#VALUE!</v>
      </c>
      <c r="EP344" t="e">
        <f>'North America'!G1141+"$F;@!22z"</f>
        <v>#VALUE!</v>
      </c>
      <c r="EQ344" t="e">
        <f>'North America'!H1141+"$F;@!22{"</f>
        <v>#VALUE!</v>
      </c>
      <c r="ER344" t="e">
        <f>'North America'!A1142+"$F;@!22|"</f>
        <v>#VALUE!</v>
      </c>
      <c r="ES344" t="e">
        <f>'North America'!B1142+"$F;@!22}"</f>
        <v>#VALUE!</v>
      </c>
      <c r="ET344" t="e">
        <f>'North America'!C1142+"$F;@!22~"</f>
        <v>#VALUE!</v>
      </c>
      <c r="EU344" t="e">
        <f>'North America'!D1142+"$F;@!23#"</f>
        <v>#VALUE!</v>
      </c>
      <c r="EV344" t="e">
        <f>'North America'!E1142+"$F;@!23$"</f>
        <v>#VALUE!</v>
      </c>
      <c r="EW344" t="e">
        <f>'North America'!F1142+"$F;@!23%"</f>
        <v>#VALUE!</v>
      </c>
      <c r="EX344" t="e">
        <f>'North America'!G1142+"$F;@!23&amp;"</f>
        <v>#VALUE!</v>
      </c>
      <c r="EY344" t="e">
        <f>'North America'!H1142+"$F;@!23'"</f>
        <v>#VALUE!</v>
      </c>
      <c r="EZ344" t="e">
        <f>'North America'!A1143+"$F;@!23("</f>
        <v>#VALUE!</v>
      </c>
      <c r="FA344" t="e">
        <f>'North America'!B1143+"$F;@!23)"</f>
        <v>#VALUE!</v>
      </c>
      <c r="FB344" t="e">
        <f>'North America'!C1143+"$F;@!23."</f>
        <v>#VALUE!</v>
      </c>
      <c r="FC344" t="e">
        <f>'North America'!D1143+"$F;@!23/"</f>
        <v>#VALUE!</v>
      </c>
      <c r="FD344" t="e">
        <f>'North America'!E1143+"$F;@!230"</f>
        <v>#VALUE!</v>
      </c>
      <c r="FE344" t="e">
        <f>'North America'!F1143+"$F;@!231"</f>
        <v>#VALUE!</v>
      </c>
      <c r="FF344" t="e">
        <f>'North America'!G1143+"$F;@!232"</f>
        <v>#VALUE!</v>
      </c>
      <c r="FG344" t="e">
        <f>'North America'!H1143+"$F;@!233"</f>
        <v>#VALUE!</v>
      </c>
      <c r="FH344" t="e">
        <f>'North America'!A1144+"$F;@!234"</f>
        <v>#VALUE!</v>
      </c>
      <c r="FI344" t="e">
        <f>'North America'!B1144+"$F;@!235"</f>
        <v>#VALUE!</v>
      </c>
      <c r="FJ344" t="e">
        <f>'North America'!C1144+"$F;@!236"</f>
        <v>#VALUE!</v>
      </c>
      <c r="FK344" t="e">
        <f>'North America'!D1144+"$F;@!237"</f>
        <v>#VALUE!</v>
      </c>
      <c r="FL344" t="e">
        <f>'North America'!E1144+"$F;@!238"</f>
        <v>#VALUE!</v>
      </c>
      <c r="FM344" t="e">
        <f>'North America'!F1144+"$F;@!239"</f>
        <v>#VALUE!</v>
      </c>
      <c r="FN344" t="e">
        <f>'North America'!G1144+"$F;@!23:"</f>
        <v>#VALUE!</v>
      </c>
      <c r="FO344" t="e">
        <f>'North America'!H1144+"$F;@!23;"</f>
        <v>#VALUE!</v>
      </c>
      <c r="FP344" t="e">
        <f>'North America'!A1145+"$F;@!23&lt;"</f>
        <v>#VALUE!</v>
      </c>
      <c r="FQ344" t="e">
        <f>'North America'!B1145+"$F;@!23="</f>
        <v>#VALUE!</v>
      </c>
      <c r="FR344" t="e">
        <f>'North America'!C1145+"$F;@!23&gt;"</f>
        <v>#VALUE!</v>
      </c>
      <c r="FS344" t="e">
        <f>'North America'!D1145+"$F;@!23?"</f>
        <v>#VALUE!</v>
      </c>
      <c r="FT344" t="e">
        <f>'North America'!E1145+"$F;@!23@"</f>
        <v>#VALUE!</v>
      </c>
      <c r="FU344" t="e">
        <f>'North America'!F1145+"$F;@!23A"</f>
        <v>#VALUE!</v>
      </c>
      <c r="FV344" t="e">
        <f>'North America'!G1145+"$F;@!23B"</f>
        <v>#VALUE!</v>
      </c>
      <c r="FW344" t="e">
        <f>'North America'!H1145+"$F;@!23C"</f>
        <v>#VALUE!</v>
      </c>
      <c r="FX344" t="e">
        <f>'North America'!A1146+"$F;@!23D"</f>
        <v>#VALUE!</v>
      </c>
      <c r="FY344" t="e">
        <f>'North America'!B1146+"$F;@!23E"</f>
        <v>#VALUE!</v>
      </c>
      <c r="FZ344" t="e">
        <f>'North America'!C1146+"$F;@!23F"</f>
        <v>#VALUE!</v>
      </c>
      <c r="GA344" t="e">
        <f>'North America'!D1146+"$F;@!23G"</f>
        <v>#VALUE!</v>
      </c>
      <c r="GB344" t="e">
        <f>'North America'!E1146+"$F;@!23H"</f>
        <v>#VALUE!</v>
      </c>
      <c r="GC344" t="e">
        <f>'North America'!F1146+"$F;@!23I"</f>
        <v>#VALUE!</v>
      </c>
      <c r="GD344" t="e">
        <f>'North America'!G1146+"$F;@!23J"</f>
        <v>#VALUE!</v>
      </c>
      <c r="GE344" t="e">
        <f>'North America'!H1146+"$F;@!23K"</f>
        <v>#VALUE!</v>
      </c>
      <c r="GF344" t="e">
        <f>'North America'!A1147+"$F;@!23L"</f>
        <v>#VALUE!</v>
      </c>
      <c r="GG344" t="e">
        <f>'North America'!B1147+"$F;@!23M"</f>
        <v>#VALUE!</v>
      </c>
      <c r="GH344" t="e">
        <f>'North America'!C1147+"$F;@!23N"</f>
        <v>#VALUE!</v>
      </c>
      <c r="GI344" t="e">
        <f>'North America'!D1147+"$F;@!23O"</f>
        <v>#VALUE!</v>
      </c>
      <c r="GJ344" t="e">
        <f>'North America'!E1147+"$F;@!23P"</f>
        <v>#VALUE!</v>
      </c>
      <c r="GK344" t="e">
        <f>'North America'!F1147+"$F;@!23Q"</f>
        <v>#VALUE!</v>
      </c>
      <c r="GL344" t="e">
        <f>'North America'!G1147+"$F;@!23R"</f>
        <v>#VALUE!</v>
      </c>
      <c r="GM344" t="e">
        <f>'North America'!H1147+"$F;@!23S"</f>
        <v>#VALUE!</v>
      </c>
      <c r="GN344" t="e">
        <f>'North America'!A1148+"$F;@!23T"</f>
        <v>#VALUE!</v>
      </c>
      <c r="GO344" t="e">
        <f>'North America'!B1148+"$F;@!23U"</f>
        <v>#VALUE!</v>
      </c>
      <c r="GP344" t="e">
        <f>'North America'!C1148+"$F;@!23V"</f>
        <v>#VALUE!</v>
      </c>
      <c r="GQ344" t="e">
        <f>'North America'!D1148+"$F;@!23W"</f>
        <v>#VALUE!</v>
      </c>
      <c r="GR344" t="e">
        <f>'North America'!E1148+"$F;@!23X"</f>
        <v>#VALUE!</v>
      </c>
      <c r="GS344" t="e">
        <f>'North America'!F1148+"$F;@!23Y"</f>
        <v>#VALUE!</v>
      </c>
      <c r="GT344" t="e">
        <f>'North America'!G1148+"$F;@!23Z"</f>
        <v>#VALUE!</v>
      </c>
      <c r="GU344" t="e">
        <f>'North America'!H1148+"$F;@!23["</f>
        <v>#VALUE!</v>
      </c>
      <c r="GV344" t="e">
        <f>'North America'!A1149+"$F;@!23\"</f>
        <v>#VALUE!</v>
      </c>
      <c r="GW344" t="e">
        <f>'North America'!B1149+"$F;@!23]"</f>
        <v>#VALUE!</v>
      </c>
      <c r="GX344" t="e">
        <f>'North America'!C1149+"$F;@!23^"</f>
        <v>#VALUE!</v>
      </c>
      <c r="GY344" t="e">
        <f>'North America'!D1149+"$F;@!23_"</f>
        <v>#VALUE!</v>
      </c>
      <c r="GZ344" t="e">
        <f>'North America'!E1149+"$F;@!23`"</f>
        <v>#VALUE!</v>
      </c>
      <c r="HA344" t="e">
        <f>'North America'!F1149+"$F;@!23a"</f>
        <v>#VALUE!</v>
      </c>
      <c r="HB344" t="e">
        <f>'North America'!G1149+"$F;@!23b"</f>
        <v>#VALUE!</v>
      </c>
      <c r="HC344" t="e">
        <f>'North America'!H1149+"$F;@!23c"</f>
        <v>#VALUE!</v>
      </c>
      <c r="HD344" t="e">
        <f>'North America'!A1150+"$F;@!23d"</f>
        <v>#VALUE!</v>
      </c>
      <c r="HE344" t="e">
        <f>'North America'!B1150+"$F;@!23e"</f>
        <v>#VALUE!</v>
      </c>
      <c r="HF344" t="e">
        <f>'North America'!C1150+"$F;@!23f"</f>
        <v>#VALUE!</v>
      </c>
      <c r="HG344" t="e">
        <f>'North America'!D1150+"$F;@!23g"</f>
        <v>#VALUE!</v>
      </c>
      <c r="HH344" t="e">
        <f>'North America'!E1150+"$F;@!23h"</f>
        <v>#VALUE!</v>
      </c>
      <c r="HI344" t="e">
        <f>'North America'!F1150+"$F;@!23i"</f>
        <v>#VALUE!</v>
      </c>
      <c r="HJ344" t="e">
        <f>'North America'!G1150+"$F;@!23j"</f>
        <v>#VALUE!</v>
      </c>
      <c r="HK344" t="e">
        <f>'North America'!H1150+"$F;@!23k"</f>
        <v>#VALUE!</v>
      </c>
      <c r="HL344" t="e">
        <f>'North America'!A1151+"$F;@!23l"</f>
        <v>#VALUE!</v>
      </c>
      <c r="HM344" t="e">
        <f>'North America'!B1151+"$F;@!23m"</f>
        <v>#VALUE!</v>
      </c>
      <c r="HN344" t="e">
        <f>'North America'!C1151+"$F;@!23n"</f>
        <v>#VALUE!</v>
      </c>
      <c r="HO344" t="e">
        <f>'North America'!D1151+"$F;@!23o"</f>
        <v>#VALUE!</v>
      </c>
      <c r="HP344" t="e">
        <f>'North America'!E1151+"$F;@!23p"</f>
        <v>#VALUE!</v>
      </c>
      <c r="HQ344" t="e">
        <f>'North America'!F1151+"$F;@!23q"</f>
        <v>#VALUE!</v>
      </c>
      <c r="HR344" t="e">
        <f>'North America'!G1151+"$F;@!23r"</f>
        <v>#VALUE!</v>
      </c>
      <c r="HS344" t="e">
        <f>'North America'!H1151+"$F;@!23s"</f>
        <v>#VALUE!</v>
      </c>
      <c r="HT344" t="e">
        <f>'North America'!A1152+"$F;@!23t"</f>
        <v>#VALUE!</v>
      </c>
      <c r="HU344" t="e">
        <f>'North America'!B1152+"$F;@!23u"</f>
        <v>#VALUE!</v>
      </c>
      <c r="HV344" t="e">
        <f>'North America'!C1152+"$F;@!23v"</f>
        <v>#VALUE!</v>
      </c>
      <c r="HW344" t="e">
        <f>'North America'!D1152+"$F;@!23w"</f>
        <v>#VALUE!</v>
      </c>
      <c r="HX344" t="e">
        <f>'North America'!E1152+"$F;@!23x"</f>
        <v>#VALUE!</v>
      </c>
      <c r="HY344" t="e">
        <f>'North America'!F1152+"$F;@!23y"</f>
        <v>#VALUE!</v>
      </c>
      <c r="HZ344" t="e">
        <f>'North America'!G1152+"$F;@!23z"</f>
        <v>#VALUE!</v>
      </c>
      <c r="IA344" t="e">
        <f>'North America'!H1152+"$F;@!23{"</f>
        <v>#VALUE!</v>
      </c>
      <c r="IB344" t="e">
        <f>'North America'!A1153+"$F;@!23|"</f>
        <v>#VALUE!</v>
      </c>
      <c r="IC344" t="e">
        <f>'North America'!B1153+"$F;@!23}"</f>
        <v>#VALUE!</v>
      </c>
      <c r="ID344" t="e">
        <f>'North America'!C1153+"$F;@!23~"</f>
        <v>#VALUE!</v>
      </c>
      <c r="IE344" t="e">
        <f>'North America'!D1153+"$F;@!24#"</f>
        <v>#VALUE!</v>
      </c>
      <c r="IF344" t="e">
        <f>'North America'!E1153+"$F;@!24$"</f>
        <v>#VALUE!</v>
      </c>
      <c r="IG344" t="e">
        <f>'North America'!F1153+"$F;@!24%"</f>
        <v>#VALUE!</v>
      </c>
      <c r="IH344" t="e">
        <f>'North America'!G1153+"$F;@!24&amp;"</f>
        <v>#VALUE!</v>
      </c>
      <c r="II344" t="e">
        <f>'North America'!H1153+"$F;@!24'"</f>
        <v>#VALUE!</v>
      </c>
      <c r="IJ344" t="e">
        <f>'North America'!A1154+"$F;@!24("</f>
        <v>#VALUE!</v>
      </c>
      <c r="IK344" t="e">
        <f>'North America'!B1154+"$F;@!24)"</f>
        <v>#VALUE!</v>
      </c>
      <c r="IL344" t="e">
        <f>'North America'!C1154+"$F;@!24."</f>
        <v>#VALUE!</v>
      </c>
      <c r="IM344" t="e">
        <f>'North America'!D1154+"$F;@!24/"</f>
        <v>#VALUE!</v>
      </c>
      <c r="IN344" t="e">
        <f>'North America'!E1154+"$F;@!240"</f>
        <v>#VALUE!</v>
      </c>
      <c r="IO344" t="e">
        <f>'North America'!F1154+"$F;@!241"</f>
        <v>#VALUE!</v>
      </c>
      <c r="IP344" t="e">
        <f>'North America'!G1154+"$F;@!242"</f>
        <v>#VALUE!</v>
      </c>
      <c r="IQ344" t="e">
        <f>'North America'!H1154+"$F;@!243"</f>
        <v>#VALUE!</v>
      </c>
      <c r="IR344" t="e">
        <f>'North America'!A1155+"$F;@!244"</f>
        <v>#VALUE!</v>
      </c>
      <c r="IS344" t="e">
        <f>'North America'!B1155+"$F;@!245"</f>
        <v>#VALUE!</v>
      </c>
      <c r="IT344" t="e">
        <f>'North America'!C1155+"$F;@!246"</f>
        <v>#VALUE!</v>
      </c>
      <c r="IU344" t="e">
        <f>'North America'!D1155+"$F;@!247"</f>
        <v>#VALUE!</v>
      </c>
      <c r="IV344" t="e">
        <f>'North America'!E1155+"$F;@!248"</f>
        <v>#VALUE!</v>
      </c>
    </row>
    <row r="345" spans="6:256" x14ac:dyDescent="0.35">
      <c r="F345" t="e">
        <f>'North America'!F1155+"$F;@!249"</f>
        <v>#VALUE!</v>
      </c>
      <c r="G345" t="e">
        <f>'North America'!G1155+"$F;@!24:"</f>
        <v>#VALUE!</v>
      </c>
      <c r="H345" t="e">
        <f>'North America'!H1155+"$F;@!24;"</f>
        <v>#VALUE!</v>
      </c>
      <c r="I345" t="e">
        <f>'North America'!A1156+"$F;@!24&lt;"</f>
        <v>#VALUE!</v>
      </c>
      <c r="J345" t="e">
        <f>'North America'!B1156+"$F;@!24="</f>
        <v>#VALUE!</v>
      </c>
      <c r="K345" t="e">
        <f>'North America'!C1156+"$F;@!24&gt;"</f>
        <v>#VALUE!</v>
      </c>
      <c r="L345" t="e">
        <f>'North America'!D1156+"$F;@!24?"</f>
        <v>#VALUE!</v>
      </c>
      <c r="M345" t="e">
        <f>'North America'!E1156+"$F;@!24@"</f>
        <v>#VALUE!</v>
      </c>
      <c r="N345" t="e">
        <f>'North America'!F1156+"$F;@!24A"</f>
        <v>#VALUE!</v>
      </c>
      <c r="O345" t="e">
        <f>'North America'!G1156+"$F;@!24B"</f>
        <v>#VALUE!</v>
      </c>
      <c r="P345" t="e">
        <f>'North America'!H1156+"$F;@!24C"</f>
        <v>#VALUE!</v>
      </c>
      <c r="Q345" t="e">
        <f>'North America'!A1157+"$F;@!24D"</f>
        <v>#VALUE!</v>
      </c>
      <c r="R345" t="e">
        <f>'North America'!B1157+"$F;@!24E"</f>
        <v>#VALUE!</v>
      </c>
      <c r="S345" t="e">
        <f>'North America'!C1157+"$F;@!24F"</f>
        <v>#VALUE!</v>
      </c>
      <c r="T345" t="e">
        <f>'North America'!D1157+"$F;@!24G"</f>
        <v>#VALUE!</v>
      </c>
      <c r="U345" t="e">
        <f>'North America'!E1157+"$F;@!24H"</f>
        <v>#VALUE!</v>
      </c>
      <c r="V345" t="e">
        <f>'North America'!F1157+"$F;@!24I"</f>
        <v>#VALUE!</v>
      </c>
      <c r="W345" t="e">
        <f>'North America'!G1157+"$F;@!24J"</f>
        <v>#VALUE!</v>
      </c>
      <c r="X345" t="e">
        <f>'North America'!H1157+"$F;@!24K"</f>
        <v>#VALUE!</v>
      </c>
      <c r="Y345" t="e">
        <f>'North America'!A1158+"$F;@!24L"</f>
        <v>#VALUE!</v>
      </c>
      <c r="Z345" t="e">
        <f>'North America'!B1158+"$F;@!24M"</f>
        <v>#VALUE!</v>
      </c>
      <c r="AA345" t="e">
        <f>'North America'!C1158+"$F;@!24N"</f>
        <v>#VALUE!</v>
      </c>
      <c r="AB345" t="e">
        <f>'North America'!D1158+"$F;@!24O"</f>
        <v>#VALUE!</v>
      </c>
      <c r="AC345" t="e">
        <f>'North America'!E1158+"$F;@!24P"</f>
        <v>#VALUE!</v>
      </c>
      <c r="AD345" t="e">
        <f>'North America'!F1158+"$F;@!24Q"</f>
        <v>#VALUE!</v>
      </c>
      <c r="AE345" t="e">
        <f>'North America'!G1158+"$F;@!24R"</f>
        <v>#VALUE!</v>
      </c>
      <c r="AF345" t="e">
        <f>'North America'!H1158+"$F;@!24S"</f>
        <v>#VALUE!</v>
      </c>
      <c r="AG345" t="e">
        <f>'North America'!A1159+"$F;@!24T"</f>
        <v>#VALUE!</v>
      </c>
      <c r="AH345" t="e">
        <f>'North America'!B1159+"$F;@!24U"</f>
        <v>#VALUE!</v>
      </c>
      <c r="AI345" t="e">
        <f>'North America'!C1159+"$F;@!24V"</f>
        <v>#VALUE!</v>
      </c>
      <c r="AJ345" t="e">
        <f>'North America'!D1159+"$F;@!24W"</f>
        <v>#VALUE!</v>
      </c>
      <c r="AK345" t="e">
        <f>'North America'!E1159+"$F;@!24X"</f>
        <v>#VALUE!</v>
      </c>
      <c r="AL345" t="e">
        <f>'North America'!F1159+"$F;@!24Y"</f>
        <v>#VALUE!</v>
      </c>
      <c r="AM345" t="e">
        <f>'North America'!G1159+"$F;@!24Z"</f>
        <v>#VALUE!</v>
      </c>
      <c r="AN345" t="e">
        <f>'North America'!H1159+"$F;@!24["</f>
        <v>#VALUE!</v>
      </c>
      <c r="AO345" t="e">
        <f>'North America'!A1160+"$F;@!24\"</f>
        <v>#VALUE!</v>
      </c>
      <c r="AP345" t="e">
        <f>'North America'!B1160+"$F;@!24]"</f>
        <v>#VALUE!</v>
      </c>
      <c r="AQ345" t="e">
        <f>'North America'!C1160+"$F;@!24^"</f>
        <v>#VALUE!</v>
      </c>
      <c r="AR345" t="e">
        <f>'North America'!D1160+"$F;@!24_"</f>
        <v>#VALUE!</v>
      </c>
      <c r="AS345" t="e">
        <f>'North America'!E1160+"$F;@!24`"</f>
        <v>#VALUE!</v>
      </c>
      <c r="AT345" t="e">
        <f>'North America'!F1160+"$F;@!24a"</f>
        <v>#VALUE!</v>
      </c>
      <c r="AU345" t="e">
        <f>'North America'!G1160+"$F;@!24b"</f>
        <v>#VALUE!</v>
      </c>
      <c r="AV345" t="e">
        <f>'North America'!H1160+"$F;@!24c"</f>
        <v>#VALUE!</v>
      </c>
      <c r="AW345" t="e">
        <f>'North America'!A1161+"$F;@!24d"</f>
        <v>#VALUE!</v>
      </c>
      <c r="AX345" t="e">
        <f>'North America'!B1161+"$F;@!24e"</f>
        <v>#VALUE!</v>
      </c>
      <c r="AY345" t="e">
        <f>'North America'!C1161+"$F;@!24f"</f>
        <v>#VALUE!</v>
      </c>
      <c r="AZ345" t="e">
        <f>'North America'!D1161+"$F;@!24g"</f>
        <v>#VALUE!</v>
      </c>
      <c r="BA345" t="e">
        <f>'North America'!E1161+"$F;@!24h"</f>
        <v>#VALUE!</v>
      </c>
      <c r="BB345" t="e">
        <f>'North America'!F1161+"$F;@!24i"</f>
        <v>#VALUE!</v>
      </c>
      <c r="BC345" t="e">
        <f>'North America'!G1161+"$F;@!24j"</f>
        <v>#VALUE!</v>
      </c>
      <c r="BD345" t="e">
        <f>'North America'!H1161+"$F;@!24k"</f>
        <v>#VALUE!</v>
      </c>
      <c r="BE345" t="e">
        <f>'North America'!A1162+"$F;@!24l"</f>
        <v>#VALUE!</v>
      </c>
      <c r="BF345" t="e">
        <f>'North America'!B1162+"$F;@!24m"</f>
        <v>#VALUE!</v>
      </c>
      <c r="BG345" t="e">
        <f>'North America'!C1162+"$F;@!24n"</f>
        <v>#VALUE!</v>
      </c>
      <c r="BH345" t="e">
        <f>'North America'!D1162+"$F;@!24o"</f>
        <v>#VALUE!</v>
      </c>
      <c r="BI345" t="e">
        <f>'North America'!E1162+"$F;@!24p"</f>
        <v>#VALUE!</v>
      </c>
      <c r="BJ345" t="e">
        <f>'North America'!F1162+"$F;@!24q"</f>
        <v>#VALUE!</v>
      </c>
      <c r="BK345" t="e">
        <f>'North America'!G1162+"$F;@!24r"</f>
        <v>#VALUE!</v>
      </c>
      <c r="BL345" t="e">
        <f>'North America'!H1162+"$F;@!24s"</f>
        <v>#VALUE!</v>
      </c>
      <c r="BM345" t="e">
        <f>'North America'!A1163+"$F;@!24t"</f>
        <v>#VALUE!</v>
      </c>
      <c r="BN345" t="e">
        <f>'North America'!B1163+"$F;@!24u"</f>
        <v>#VALUE!</v>
      </c>
      <c r="BO345" t="e">
        <f>'North America'!C1163+"$F;@!24v"</f>
        <v>#VALUE!</v>
      </c>
      <c r="BP345" t="e">
        <f>'North America'!D1163+"$F;@!24w"</f>
        <v>#VALUE!</v>
      </c>
      <c r="BQ345" t="e">
        <f>'North America'!E1163+"$F;@!24x"</f>
        <v>#VALUE!</v>
      </c>
      <c r="BR345" t="e">
        <f>'North America'!F1163+"$F;@!24y"</f>
        <v>#VALUE!</v>
      </c>
      <c r="BS345" t="e">
        <f>'North America'!G1163+"$F;@!24z"</f>
        <v>#VALUE!</v>
      </c>
      <c r="BT345" t="e">
        <f>'North America'!H1163+"$F;@!24{"</f>
        <v>#VALUE!</v>
      </c>
      <c r="BU345" t="e">
        <f>'North America'!A1164+"$F;@!24|"</f>
        <v>#VALUE!</v>
      </c>
      <c r="BV345" t="e">
        <f>'North America'!B1164+"$F;@!24}"</f>
        <v>#VALUE!</v>
      </c>
      <c r="BW345" t="e">
        <f>'North America'!C1164+"$F;@!24~"</f>
        <v>#VALUE!</v>
      </c>
      <c r="BX345" t="e">
        <f>'North America'!D1164+"$F;@!25#"</f>
        <v>#VALUE!</v>
      </c>
      <c r="BY345" t="e">
        <f>'North America'!E1164+"$F;@!25$"</f>
        <v>#VALUE!</v>
      </c>
      <c r="BZ345" t="e">
        <f>'North America'!F1164+"$F;@!25%"</f>
        <v>#VALUE!</v>
      </c>
      <c r="CA345" t="e">
        <f>'North America'!G1164+"$F;@!25&amp;"</f>
        <v>#VALUE!</v>
      </c>
      <c r="CB345" t="e">
        <f>'North America'!H1164+"$F;@!25'"</f>
        <v>#VALUE!</v>
      </c>
      <c r="CC345" t="e">
        <f>'North America'!A1165+"$F;@!25("</f>
        <v>#VALUE!</v>
      </c>
      <c r="CD345" t="e">
        <f>'North America'!B1165+"$F;@!25)"</f>
        <v>#VALUE!</v>
      </c>
      <c r="CE345" t="e">
        <f>'North America'!C1165+"$F;@!25."</f>
        <v>#VALUE!</v>
      </c>
      <c r="CF345" t="e">
        <f>'North America'!D1165+"$F;@!25/"</f>
        <v>#VALUE!</v>
      </c>
      <c r="CG345" t="e">
        <f>'North America'!E1165+"$F;@!250"</f>
        <v>#VALUE!</v>
      </c>
      <c r="CH345" t="e">
        <f>'North America'!F1165+"$F;@!251"</f>
        <v>#VALUE!</v>
      </c>
      <c r="CI345" t="e">
        <f>'North America'!G1165+"$F;@!252"</f>
        <v>#VALUE!</v>
      </c>
      <c r="CJ345" t="e">
        <f>'North America'!H1165+"$F;@!253"</f>
        <v>#VALUE!</v>
      </c>
      <c r="CK345" t="e">
        <f>'North America'!A1166+"$F;@!254"</f>
        <v>#VALUE!</v>
      </c>
      <c r="CL345" t="e">
        <f>'North America'!B1166+"$F;@!255"</f>
        <v>#VALUE!</v>
      </c>
      <c r="CM345" t="e">
        <f>'North America'!C1166+"$F;@!256"</f>
        <v>#VALUE!</v>
      </c>
      <c r="CN345" t="e">
        <f>'North America'!D1166+"$F;@!257"</f>
        <v>#VALUE!</v>
      </c>
      <c r="CO345" t="e">
        <f>'North America'!E1166+"$F;@!258"</f>
        <v>#VALUE!</v>
      </c>
      <c r="CP345" t="e">
        <f>'North America'!F1166+"$F;@!259"</f>
        <v>#VALUE!</v>
      </c>
      <c r="CQ345" t="e">
        <f>'North America'!G1166+"$F;@!25:"</f>
        <v>#VALUE!</v>
      </c>
      <c r="CR345" t="e">
        <f>'North America'!H1166+"$F;@!25;"</f>
        <v>#VALUE!</v>
      </c>
      <c r="CS345" t="e">
        <f>'North America'!A1167+"$F;@!25&lt;"</f>
        <v>#VALUE!</v>
      </c>
      <c r="CT345" t="e">
        <f>'North America'!B1167+"$F;@!25="</f>
        <v>#VALUE!</v>
      </c>
      <c r="CU345" t="e">
        <f>'North America'!C1167+"$F;@!25&gt;"</f>
        <v>#VALUE!</v>
      </c>
      <c r="CV345" t="e">
        <f>'North America'!D1167+"$F;@!25?"</f>
        <v>#VALUE!</v>
      </c>
      <c r="CW345" t="e">
        <f>'North America'!E1167+"$F;@!25@"</f>
        <v>#VALUE!</v>
      </c>
      <c r="CX345" t="e">
        <f>'North America'!F1167+"$F;@!25A"</f>
        <v>#VALUE!</v>
      </c>
      <c r="CY345" t="e">
        <f>'North America'!G1167+"$F;@!25B"</f>
        <v>#VALUE!</v>
      </c>
      <c r="CZ345" t="e">
        <f>'North America'!H1167+"$F;@!25C"</f>
        <v>#VALUE!</v>
      </c>
      <c r="DA345" t="e">
        <f>'North America'!A1168+"$F;@!25D"</f>
        <v>#VALUE!</v>
      </c>
      <c r="DB345" t="e">
        <f>'North America'!B1168+"$F;@!25E"</f>
        <v>#VALUE!</v>
      </c>
      <c r="DC345" t="e">
        <f>'North America'!C1168+"$F;@!25F"</f>
        <v>#VALUE!</v>
      </c>
      <c r="DD345" t="e">
        <f>'North America'!D1168+"$F;@!25G"</f>
        <v>#VALUE!</v>
      </c>
      <c r="DE345" t="e">
        <f>'North America'!E1168+"$F;@!25H"</f>
        <v>#VALUE!</v>
      </c>
      <c r="DF345" t="e">
        <f>'North America'!F1168+"$F;@!25I"</f>
        <v>#VALUE!</v>
      </c>
      <c r="DG345" t="e">
        <f>'North America'!G1168+"$F;@!25J"</f>
        <v>#VALUE!</v>
      </c>
      <c r="DH345" t="e">
        <f>'North America'!H1168+"$F;@!25K"</f>
        <v>#VALUE!</v>
      </c>
      <c r="DI345" t="e">
        <f>'North America'!A1169+"$F;@!25L"</f>
        <v>#VALUE!</v>
      </c>
      <c r="DJ345" t="e">
        <f>'North America'!B1169+"$F;@!25M"</f>
        <v>#VALUE!</v>
      </c>
      <c r="DK345" t="e">
        <f>'North America'!C1169+"$F;@!25N"</f>
        <v>#VALUE!</v>
      </c>
      <c r="DL345" t="e">
        <f>'North America'!D1169+"$F;@!25O"</f>
        <v>#VALUE!</v>
      </c>
      <c r="DM345" t="e">
        <f>'North America'!E1169+"$F;@!25P"</f>
        <v>#VALUE!</v>
      </c>
      <c r="DN345" t="e">
        <f>'North America'!F1169+"$F;@!25Q"</f>
        <v>#VALUE!</v>
      </c>
      <c r="DO345" t="e">
        <f>'North America'!G1169+"$F;@!25R"</f>
        <v>#VALUE!</v>
      </c>
      <c r="DP345" t="e">
        <f>'North America'!H1169+"$F;@!25S"</f>
        <v>#VALUE!</v>
      </c>
      <c r="DQ345" t="e">
        <f>'North America'!A1170+"$F;@!25T"</f>
        <v>#VALUE!</v>
      </c>
      <c r="DR345" t="e">
        <f>'North America'!B1170+"$F;@!25U"</f>
        <v>#VALUE!</v>
      </c>
      <c r="DS345" t="e">
        <f>'North America'!C1170+"$F;@!25V"</f>
        <v>#VALUE!</v>
      </c>
      <c r="DT345" t="e">
        <f>'North America'!D1170+"$F;@!25W"</f>
        <v>#VALUE!</v>
      </c>
      <c r="DU345" t="e">
        <f>'North America'!E1170+"$F;@!25X"</f>
        <v>#VALUE!</v>
      </c>
      <c r="DV345" t="e">
        <f>'North America'!F1170+"$F;@!25Y"</f>
        <v>#VALUE!</v>
      </c>
      <c r="DW345" t="e">
        <f>'North America'!G1170+"$F;@!25Z"</f>
        <v>#VALUE!</v>
      </c>
      <c r="DX345" t="e">
        <f>'North America'!H1170+"$F;@!25["</f>
        <v>#VALUE!</v>
      </c>
      <c r="DY345" t="e">
        <f>'North America'!A1171+"$F;@!25\"</f>
        <v>#VALUE!</v>
      </c>
      <c r="DZ345" t="e">
        <f>'North America'!B1171+"$F;@!25]"</f>
        <v>#VALUE!</v>
      </c>
      <c r="EA345" t="e">
        <f>'North America'!C1171+"$F;@!25^"</f>
        <v>#VALUE!</v>
      </c>
      <c r="EB345" t="e">
        <f>'North America'!D1171+"$F;@!25_"</f>
        <v>#VALUE!</v>
      </c>
      <c r="EC345" t="e">
        <f>'North America'!E1171+"$F;@!25`"</f>
        <v>#VALUE!</v>
      </c>
      <c r="ED345" t="e">
        <f>'North America'!F1171+"$F;@!25a"</f>
        <v>#VALUE!</v>
      </c>
      <c r="EE345" t="e">
        <f>'North America'!G1171+"$F;@!25b"</f>
        <v>#VALUE!</v>
      </c>
      <c r="EF345" t="e">
        <f>'North America'!H1171+"$F;@!25c"</f>
        <v>#VALUE!</v>
      </c>
      <c r="EG345" t="e">
        <f>'North America'!A1172+"$F;@!25d"</f>
        <v>#VALUE!</v>
      </c>
      <c r="EH345" t="e">
        <f>'North America'!B1172+"$F;@!25e"</f>
        <v>#VALUE!</v>
      </c>
      <c r="EI345" t="e">
        <f>'North America'!C1172+"$F;@!25f"</f>
        <v>#VALUE!</v>
      </c>
      <c r="EJ345" t="e">
        <f>'North America'!D1172+"$F;@!25g"</f>
        <v>#VALUE!</v>
      </c>
      <c r="EK345" t="e">
        <f>'North America'!E1172+"$F;@!25h"</f>
        <v>#VALUE!</v>
      </c>
      <c r="EL345" t="e">
        <f>'North America'!F1172+"$F;@!25i"</f>
        <v>#VALUE!</v>
      </c>
      <c r="EM345" t="e">
        <f>'North America'!G1172+"$F;@!25j"</f>
        <v>#VALUE!</v>
      </c>
      <c r="EN345" t="e">
        <f>'North America'!H1172+"$F;@!25k"</f>
        <v>#VALUE!</v>
      </c>
      <c r="EO345" t="e">
        <f>'North America'!A1173+"$F;@!25l"</f>
        <v>#VALUE!</v>
      </c>
      <c r="EP345" t="e">
        <f>'North America'!B1173+"$F;@!25m"</f>
        <v>#VALUE!</v>
      </c>
      <c r="EQ345" t="e">
        <f>'North America'!C1173+"$F;@!25n"</f>
        <v>#VALUE!</v>
      </c>
      <c r="ER345" t="e">
        <f>'North America'!D1173+"$F;@!25o"</f>
        <v>#VALUE!</v>
      </c>
      <c r="ES345" t="e">
        <f>'North America'!E1173+"$F;@!25p"</f>
        <v>#VALUE!</v>
      </c>
      <c r="ET345" t="e">
        <f>'North America'!F1173+"$F;@!25q"</f>
        <v>#VALUE!</v>
      </c>
      <c r="EU345" t="e">
        <f>'North America'!G1173+"$F;@!25r"</f>
        <v>#VALUE!</v>
      </c>
      <c r="EV345" t="e">
        <f>'North America'!H1173+"$F;@!25s"</f>
        <v>#VALUE!</v>
      </c>
      <c r="EW345" t="e">
        <f>'North America'!A1174+"$F;@!25t"</f>
        <v>#VALUE!</v>
      </c>
      <c r="EX345" t="e">
        <f>'North America'!B1174+"$F;@!25u"</f>
        <v>#VALUE!</v>
      </c>
      <c r="EY345" t="e">
        <f>'North America'!C1174+"$F;@!25v"</f>
        <v>#VALUE!</v>
      </c>
      <c r="EZ345" t="e">
        <f>'North America'!D1174+"$F;@!25w"</f>
        <v>#VALUE!</v>
      </c>
      <c r="FA345" t="e">
        <f>'North America'!E1174+"$F;@!25x"</f>
        <v>#VALUE!</v>
      </c>
      <c r="FB345" t="e">
        <f>'North America'!F1174+"$F;@!25y"</f>
        <v>#VALUE!</v>
      </c>
      <c r="FC345" t="e">
        <f>'North America'!G1174+"$F;@!25z"</f>
        <v>#VALUE!</v>
      </c>
      <c r="FD345" t="e">
        <f>'North America'!H1174+"$F;@!25{"</f>
        <v>#VALUE!</v>
      </c>
      <c r="FE345" t="e">
        <f>'North America'!A1175+"$F;@!25|"</f>
        <v>#VALUE!</v>
      </c>
      <c r="FF345" t="e">
        <f>'North America'!B1175+"$F;@!25}"</f>
        <v>#VALUE!</v>
      </c>
      <c r="FG345" t="e">
        <f>'North America'!C1175+"$F;@!25~"</f>
        <v>#VALUE!</v>
      </c>
      <c r="FH345" t="e">
        <f>'North America'!D1175+"$F;@!26#"</f>
        <v>#VALUE!</v>
      </c>
      <c r="FI345" t="e">
        <f>'North America'!E1175+"$F;@!26$"</f>
        <v>#VALUE!</v>
      </c>
      <c r="FJ345" t="e">
        <f>'North America'!F1175+"$F;@!26%"</f>
        <v>#VALUE!</v>
      </c>
      <c r="FK345" t="e">
        <f>'North America'!G1175+"$F;@!26&amp;"</f>
        <v>#VALUE!</v>
      </c>
      <c r="FL345" t="e">
        <f>'North America'!H1175+"$F;@!26'"</f>
        <v>#VALUE!</v>
      </c>
      <c r="FM345" t="e">
        <f>'North America'!A1176+"$F;@!26("</f>
        <v>#VALUE!</v>
      </c>
      <c r="FN345" t="e">
        <f>'North America'!B1176+"$F;@!26)"</f>
        <v>#VALUE!</v>
      </c>
      <c r="FO345" t="e">
        <f>'North America'!C1176+"$F;@!26."</f>
        <v>#VALUE!</v>
      </c>
      <c r="FP345" t="e">
        <f>'North America'!D1176+"$F;@!26/"</f>
        <v>#VALUE!</v>
      </c>
      <c r="FQ345" t="e">
        <f>'North America'!E1176+"$F;@!260"</f>
        <v>#VALUE!</v>
      </c>
      <c r="FR345" t="e">
        <f>'North America'!F1176+"$F;@!261"</f>
        <v>#VALUE!</v>
      </c>
      <c r="FS345" t="e">
        <f>'North America'!G1176+"$F;@!262"</f>
        <v>#VALUE!</v>
      </c>
      <c r="FT345" t="e">
        <f>'North America'!H1176+"$F;@!263"</f>
        <v>#VALUE!</v>
      </c>
      <c r="FU345" t="e">
        <f>'North America'!A1177+"$F;@!264"</f>
        <v>#VALUE!</v>
      </c>
      <c r="FV345" t="e">
        <f>'North America'!B1177+"$F;@!265"</f>
        <v>#VALUE!</v>
      </c>
      <c r="FW345" t="e">
        <f>'North America'!C1177+"$F;@!266"</f>
        <v>#VALUE!</v>
      </c>
      <c r="FX345" t="e">
        <f>'North America'!D1177+"$F;@!267"</f>
        <v>#VALUE!</v>
      </c>
      <c r="FY345" t="e">
        <f>'North America'!E1177+"$F;@!268"</f>
        <v>#VALUE!</v>
      </c>
      <c r="FZ345" t="e">
        <f>'North America'!F1177+"$F;@!269"</f>
        <v>#VALUE!</v>
      </c>
      <c r="GA345" t="e">
        <f>'North America'!G1177+"$F;@!26:"</f>
        <v>#VALUE!</v>
      </c>
      <c r="GB345" t="e">
        <f>'North America'!H1177+"$F;@!26;"</f>
        <v>#VALUE!</v>
      </c>
      <c r="GC345" t="e">
        <f>'North America'!A1178+"$F;@!26&lt;"</f>
        <v>#VALUE!</v>
      </c>
      <c r="GD345" t="e">
        <f>'North America'!B1178+"$F;@!26="</f>
        <v>#VALUE!</v>
      </c>
      <c r="GE345" t="e">
        <f>'North America'!C1178+"$F;@!26&gt;"</f>
        <v>#VALUE!</v>
      </c>
      <c r="GF345" t="e">
        <f>'North America'!D1178+"$F;@!26?"</f>
        <v>#VALUE!</v>
      </c>
      <c r="GG345" t="e">
        <f>'North America'!E1178+"$F;@!26@"</f>
        <v>#VALUE!</v>
      </c>
      <c r="GH345" t="e">
        <f>'North America'!F1178+"$F;@!26A"</f>
        <v>#VALUE!</v>
      </c>
      <c r="GI345" t="e">
        <f>'North America'!G1178+"$F;@!26B"</f>
        <v>#VALUE!</v>
      </c>
      <c r="GJ345" t="e">
        <f>'North America'!H1178+"$F;@!26C"</f>
        <v>#VALUE!</v>
      </c>
      <c r="GK345" t="e">
        <f>'North America'!A1179+"$F;@!26D"</f>
        <v>#VALUE!</v>
      </c>
      <c r="GL345" t="e">
        <f>'North America'!B1179+"$F;@!26E"</f>
        <v>#VALUE!</v>
      </c>
      <c r="GM345" t="e">
        <f>'North America'!C1179+"$F;@!26F"</f>
        <v>#VALUE!</v>
      </c>
      <c r="GN345" t="e">
        <f>'North America'!D1179+"$F;@!26G"</f>
        <v>#VALUE!</v>
      </c>
      <c r="GO345" t="e">
        <f>'North America'!E1179+"$F;@!26H"</f>
        <v>#VALUE!</v>
      </c>
      <c r="GP345" t="e">
        <f>'North America'!F1179+"$F;@!26I"</f>
        <v>#VALUE!</v>
      </c>
      <c r="GQ345" t="e">
        <f>'North America'!G1179+"$F;@!26J"</f>
        <v>#VALUE!</v>
      </c>
      <c r="GR345" t="e">
        <f>'North America'!H1179+"$F;@!26K"</f>
        <v>#VALUE!</v>
      </c>
      <c r="GS345" t="e">
        <f>'North America'!A1180+"$F;@!26L"</f>
        <v>#VALUE!</v>
      </c>
      <c r="GT345" t="e">
        <f>'North America'!B1180+"$F;@!26M"</f>
        <v>#VALUE!</v>
      </c>
      <c r="GU345" t="e">
        <f>'North America'!C1180+"$F;@!26N"</f>
        <v>#VALUE!</v>
      </c>
      <c r="GV345" t="e">
        <f>'North America'!D1180+"$F;@!26O"</f>
        <v>#VALUE!</v>
      </c>
      <c r="GW345" t="e">
        <f>'North America'!E1180+"$F;@!26P"</f>
        <v>#VALUE!</v>
      </c>
      <c r="GX345" t="e">
        <f>'North America'!F1180+"$F;@!26Q"</f>
        <v>#VALUE!</v>
      </c>
      <c r="GY345" t="e">
        <f>'North America'!G1180+"$F;@!26R"</f>
        <v>#VALUE!</v>
      </c>
      <c r="GZ345" t="e">
        <f>'North America'!H1180+"$F;@!26S"</f>
        <v>#VALUE!</v>
      </c>
      <c r="HA345" t="e">
        <f>'North America'!A1181+"$F;@!26T"</f>
        <v>#VALUE!</v>
      </c>
      <c r="HB345" t="e">
        <f>'North America'!B1181+"$F;@!26U"</f>
        <v>#VALUE!</v>
      </c>
      <c r="HC345" t="e">
        <f>'North America'!C1181+"$F;@!26V"</f>
        <v>#VALUE!</v>
      </c>
      <c r="HD345" t="e">
        <f>'North America'!D1181+"$F;@!26W"</f>
        <v>#VALUE!</v>
      </c>
      <c r="HE345" t="e">
        <f>'North America'!E1181+"$F;@!26X"</f>
        <v>#VALUE!</v>
      </c>
      <c r="HF345" t="e">
        <f>'North America'!F1181+"$F;@!26Y"</f>
        <v>#VALUE!</v>
      </c>
      <c r="HG345" t="e">
        <f>'North America'!G1181+"$F;@!26Z"</f>
        <v>#VALUE!</v>
      </c>
      <c r="HH345" t="e">
        <f>'North America'!H1181+"$F;@!26["</f>
        <v>#VALUE!</v>
      </c>
      <c r="HI345" t="e">
        <f>'North America'!A1182+"$F;@!26\"</f>
        <v>#VALUE!</v>
      </c>
      <c r="HJ345" t="e">
        <f>'North America'!B1182+"$F;@!26]"</f>
        <v>#VALUE!</v>
      </c>
      <c r="HK345" t="e">
        <f>'North America'!C1182+"$F;@!26^"</f>
        <v>#VALUE!</v>
      </c>
      <c r="HL345" t="e">
        <f>'North America'!D1182+"$F;@!26_"</f>
        <v>#VALUE!</v>
      </c>
      <c r="HM345" t="e">
        <f>'North America'!E1182+"$F;@!26`"</f>
        <v>#VALUE!</v>
      </c>
      <c r="HN345" t="e">
        <f>'North America'!F1182+"$F;@!26a"</f>
        <v>#VALUE!</v>
      </c>
      <c r="HO345" t="e">
        <f>'North America'!G1182+"$F;@!26b"</f>
        <v>#VALUE!</v>
      </c>
      <c r="HP345" t="e">
        <f>'North America'!H1182+"$F;@!26c"</f>
        <v>#VALUE!</v>
      </c>
      <c r="HQ345" t="e">
        <f>'North America'!A1183+"$F;@!26d"</f>
        <v>#VALUE!</v>
      </c>
      <c r="HR345" t="e">
        <f>'North America'!B1183+"$F;@!26e"</f>
        <v>#VALUE!</v>
      </c>
      <c r="HS345" t="e">
        <f>'North America'!C1183+"$F;@!26f"</f>
        <v>#VALUE!</v>
      </c>
      <c r="HT345" t="e">
        <f>'North America'!D1183+"$F;@!26g"</f>
        <v>#VALUE!</v>
      </c>
      <c r="HU345" t="e">
        <f>'North America'!E1183+"$F;@!26h"</f>
        <v>#VALUE!</v>
      </c>
      <c r="HV345" t="e">
        <f>'North America'!F1183+"$F;@!26i"</f>
        <v>#VALUE!</v>
      </c>
      <c r="HW345" t="e">
        <f>'North America'!G1183+"$F;@!26j"</f>
        <v>#VALUE!</v>
      </c>
      <c r="HX345" t="e">
        <f>'North America'!H1183+"$F;@!26k"</f>
        <v>#VALUE!</v>
      </c>
      <c r="HY345" t="e">
        <f>'North America'!A1184+"$F;@!26l"</f>
        <v>#VALUE!</v>
      </c>
      <c r="HZ345" t="e">
        <f>'North America'!B1184+"$F;@!26m"</f>
        <v>#VALUE!</v>
      </c>
      <c r="IA345" t="e">
        <f>'North America'!C1184+"$F;@!26n"</f>
        <v>#VALUE!</v>
      </c>
      <c r="IB345" t="e">
        <f>'North America'!D1184+"$F;@!26o"</f>
        <v>#VALUE!</v>
      </c>
      <c r="IC345" t="e">
        <f>'North America'!E1184+"$F;@!26p"</f>
        <v>#VALUE!</v>
      </c>
      <c r="ID345" t="e">
        <f>'North America'!F1184+"$F;@!26q"</f>
        <v>#VALUE!</v>
      </c>
      <c r="IE345" t="e">
        <f>'North America'!G1184+"$F;@!26r"</f>
        <v>#VALUE!</v>
      </c>
      <c r="IF345" t="e">
        <f>'North America'!H1184+"$F;@!26s"</f>
        <v>#VALUE!</v>
      </c>
      <c r="IG345" t="e">
        <f>'North America'!A1185+"$F;@!26t"</f>
        <v>#VALUE!</v>
      </c>
      <c r="IH345" t="e">
        <f>'North America'!B1185+"$F;@!26u"</f>
        <v>#VALUE!</v>
      </c>
      <c r="II345" t="e">
        <f>'North America'!C1185+"$F;@!26v"</f>
        <v>#VALUE!</v>
      </c>
      <c r="IJ345" t="e">
        <f>'North America'!D1185+"$F;@!26w"</f>
        <v>#VALUE!</v>
      </c>
      <c r="IK345" t="e">
        <f>'North America'!E1185+"$F;@!26x"</f>
        <v>#VALUE!</v>
      </c>
      <c r="IL345" t="e">
        <f>'North America'!F1185+"$F;@!26y"</f>
        <v>#VALUE!</v>
      </c>
      <c r="IM345" t="e">
        <f>'North America'!G1185+"$F;@!26z"</f>
        <v>#VALUE!</v>
      </c>
      <c r="IN345" t="e">
        <f>'North America'!H1185+"$F;@!26{"</f>
        <v>#VALUE!</v>
      </c>
      <c r="IO345" t="e">
        <f>'North America'!A1186+"$F;@!26|"</f>
        <v>#VALUE!</v>
      </c>
      <c r="IP345" t="e">
        <f>'North America'!B1186+"$F;@!26}"</f>
        <v>#VALUE!</v>
      </c>
      <c r="IQ345" t="e">
        <f>'North America'!C1186+"$F;@!26~"</f>
        <v>#VALUE!</v>
      </c>
      <c r="IR345" t="e">
        <f>'North America'!D1186+"$F;@!27#"</f>
        <v>#VALUE!</v>
      </c>
      <c r="IS345" t="e">
        <f>'North America'!E1186+"$F;@!27$"</f>
        <v>#VALUE!</v>
      </c>
      <c r="IT345" t="e">
        <f>'North America'!F1186+"$F;@!27%"</f>
        <v>#VALUE!</v>
      </c>
      <c r="IU345" t="e">
        <f>'North America'!G1186+"$F;@!27&amp;"</f>
        <v>#VALUE!</v>
      </c>
      <c r="IV345" t="e">
        <f>'North America'!H1186+"$F;@!27'"</f>
        <v>#VALUE!</v>
      </c>
    </row>
    <row r="346" spans="6:256" x14ac:dyDescent="0.35">
      <c r="F346" t="e">
        <f>'North America'!A1187+"$F;@!27("</f>
        <v>#VALUE!</v>
      </c>
      <c r="G346" t="e">
        <f>'North America'!B1187+"$F;@!27)"</f>
        <v>#VALUE!</v>
      </c>
      <c r="H346" t="e">
        <f>'North America'!C1187+"$F;@!27."</f>
        <v>#VALUE!</v>
      </c>
      <c r="I346" t="e">
        <f>'North America'!D1187+"$F;@!27/"</f>
        <v>#VALUE!</v>
      </c>
      <c r="J346" t="e">
        <f>'North America'!E1187+"$F;@!270"</f>
        <v>#VALUE!</v>
      </c>
      <c r="K346" t="e">
        <f>'North America'!F1187+"$F;@!271"</f>
        <v>#VALUE!</v>
      </c>
      <c r="L346" t="e">
        <f>'North America'!G1187+"$F;@!272"</f>
        <v>#VALUE!</v>
      </c>
      <c r="M346" t="e">
        <f>'North America'!H1187+"$F;@!273"</f>
        <v>#VALUE!</v>
      </c>
      <c r="N346" t="e">
        <f>'North America'!A1188+"$F;@!274"</f>
        <v>#VALUE!</v>
      </c>
      <c r="O346" t="e">
        <f>'North America'!B1188+"$F;@!275"</f>
        <v>#VALUE!</v>
      </c>
      <c r="P346" t="e">
        <f>'North America'!C1188+"$F;@!276"</f>
        <v>#VALUE!</v>
      </c>
      <c r="Q346" t="e">
        <f>'North America'!D1188+"$F;@!277"</f>
        <v>#VALUE!</v>
      </c>
      <c r="R346" t="e">
        <f>'North America'!E1188+"$F;@!278"</f>
        <v>#VALUE!</v>
      </c>
      <c r="S346" t="e">
        <f>'North America'!F1188+"$F;@!279"</f>
        <v>#VALUE!</v>
      </c>
      <c r="T346" t="e">
        <f>'North America'!G1188+"$F;@!27:"</f>
        <v>#VALUE!</v>
      </c>
      <c r="U346" t="e">
        <f>'North America'!H1188+"$F;@!27;"</f>
        <v>#VALUE!</v>
      </c>
      <c r="V346" t="e">
        <f>'North America'!A1189+"$F;@!27&lt;"</f>
        <v>#VALUE!</v>
      </c>
      <c r="W346" t="e">
        <f>'North America'!B1189+"$F;@!27="</f>
        <v>#VALUE!</v>
      </c>
      <c r="X346" t="e">
        <f>'North America'!C1189+"$F;@!27&gt;"</f>
        <v>#VALUE!</v>
      </c>
      <c r="Y346" t="e">
        <f>'North America'!D1189+"$F;@!27?"</f>
        <v>#VALUE!</v>
      </c>
      <c r="Z346" t="e">
        <f>'North America'!E1189+"$F;@!27@"</f>
        <v>#VALUE!</v>
      </c>
      <c r="AA346" t="e">
        <f>'North America'!F1189+"$F;@!27A"</f>
        <v>#VALUE!</v>
      </c>
      <c r="AB346" t="e">
        <f>'North America'!G1189+"$F;@!27B"</f>
        <v>#VALUE!</v>
      </c>
      <c r="AC346" t="e">
        <f>'North America'!H1189+"$F;@!27C"</f>
        <v>#VALUE!</v>
      </c>
      <c r="AD346" t="e">
        <f>'North America'!A1190+"$F;@!27D"</f>
        <v>#VALUE!</v>
      </c>
      <c r="AE346" t="e">
        <f>'North America'!B1190+"$F;@!27E"</f>
        <v>#VALUE!</v>
      </c>
      <c r="AF346" t="e">
        <f>'North America'!C1190+"$F;@!27F"</f>
        <v>#VALUE!</v>
      </c>
      <c r="AG346" t="e">
        <f>'North America'!D1190+"$F;@!27G"</f>
        <v>#VALUE!</v>
      </c>
      <c r="AH346" t="e">
        <f>'North America'!E1190+"$F;@!27H"</f>
        <v>#VALUE!</v>
      </c>
      <c r="AI346" t="e">
        <f>'North America'!F1190+"$F;@!27I"</f>
        <v>#VALUE!</v>
      </c>
      <c r="AJ346" t="e">
        <f>'North America'!G1190+"$F;@!27J"</f>
        <v>#VALUE!</v>
      </c>
      <c r="AK346" t="e">
        <f>'North America'!H1190+"$F;@!27K"</f>
        <v>#VALUE!</v>
      </c>
      <c r="AL346" t="e">
        <f>'North America'!A1191+"$F;@!27L"</f>
        <v>#VALUE!</v>
      </c>
      <c r="AM346" t="e">
        <f>'North America'!B1191+"$F;@!27M"</f>
        <v>#VALUE!</v>
      </c>
      <c r="AN346" t="e">
        <f>'North America'!C1191+"$F;@!27N"</f>
        <v>#VALUE!</v>
      </c>
      <c r="AO346" t="e">
        <f>'North America'!D1191+"$F;@!27O"</f>
        <v>#VALUE!</v>
      </c>
      <c r="AP346" t="e">
        <f>'North America'!E1191+"$F;@!27P"</f>
        <v>#VALUE!</v>
      </c>
      <c r="AQ346" t="e">
        <f>'North America'!F1191+"$F;@!27Q"</f>
        <v>#VALUE!</v>
      </c>
      <c r="AR346" t="e">
        <f>'North America'!G1191+"$F;@!27R"</f>
        <v>#VALUE!</v>
      </c>
      <c r="AS346" t="e">
        <f>'North America'!H1191+"$F;@!27S"</f>
        <v>#VALUE!</v>
      </c>
      <c r="AT346" t="e">
        <f>'North America'!A1192+"$F;@!27T"</f>
        <v>#VALUE!</v>
      </c>
      <c r="AU346" t="e">
        <f>'North America'!B1192+"$F;@!27U"</f>
        <v>#VALUE!</v>
      </c>
      <c r="AV346" t="e">
        <f>'North America'!C1192+"$F;@!27V"</f>
        <v>#VALUE!</v>
      </c>
      <c r="AW346" t="e">
        <f>'North America'!D1192+"$F;@!27W"</f>
        <v>#VALUE!</v>
      </c>
      <c r="AX346" t="e">
        <f>'North America'!E1192+"$F;@!27X"</f>
        <v>#VALUE!</v>
      </c>
      <c r="AY346" t="e">
        <f>'North America'!F1192+"$F;@!27Y"</f>
        <v>#VALUE!</v>
      </c>
      <c r="AZ346" t="e">
        <f>'North America'!G1192+"$F;@!27Z"</f>
        <v>#VALUE!</v>
      </c>
      <c r="BA346" t="e">
        <f>'North America'!H1192+"$F;@!27["</f>
        <v>#VALUE!</v>
      </c>
      <c r="BB346" t="e">
        <f>'North America'!A1193+"$F;@!27\"</f>
        <v>#VALUE!</v>
      </c>
      <c r="BC346" t="e">
        <f>'North America'!B1193+"$F;@!27]"</f>
        <v>#VALUE!</v>
      </c>
      <c r="BD346" t="e">
        <f>'North America'!C1193+"$F;@!27^"</f>
        <v>#VALUE!</v>
      </c>
      <c r="BE346" t="e">
        <f>'North America'!D1193+"$F;@!27_"</f>
        <v>#VALUE!</v>
      </c>
      <c r="BF346" t="e">
        <f>'North America'!E1193+"$F;@!27`"</f>
        <v>#VALUE!</v>
      </c>
      <c r="BG346" t="e">
        <f>'North America'!F1193+"$F;@!27a"</f>
        <v>#VALUE!</v>
      </c>
      <c r="BH346" t="e">
        <f>'North America'!G1193+"$F;@!27b"</f>
        <v>#VALUE!</v>
      </c>
      <c r="BI346" t="e">
        <f>'North America'!H1193+"$F;@!27c"</f>
        <v>#VALUE!</v>
      </c>
      <c r="BJ346" t="e">
        <f>'North America'!A1194+"$F;@!27d"</f>
        <v>#VALUE!</v>
      </c>
      <c r="BK346" t="e">
        <f>'North America'!B1194+"$F;@!27e"</f>
        <v>#VALUE!</v>
      </c>
      <c r="BL346" t="e">
        <f>'North America'!C1194+"$F;@!27f"</f>
        <v>#VALUE!</v>
      </c>
      <c r="BM346" t="e">
        <f>'North America'!D1194+"$F;@!27g"</f>
        <v>#VALUE!</v>
      </c>
      <c r="BN346" t="e">
        <f>'North America'!E1194+"$F;@!27h"</f>
        <v>#VALUE!</v>
      </c>
      <c r="BO346" t="e">
        <f>'North America'!F1194+"$F;@!27i"</f>
        <v>#VALUE!</v>
      </c>
      <c r="BP346" t="e">
        <f>'North America'!G1194+"$F;@!27j"</f>
        <v>#VALUE!</v>
      </c>
      <c r="BQ346" t="e">
        <f>'North America'!H1194+"$F;@!27k"</f>
        <v>#VALUE!</v>
      </c>
      <c r="BR346" t="e">
        <f>'North America'!A1195+"$F;@!27l"</f>
        <v>#VALUE!</v>
      </c>
      <c r="BS346" t="e">
        <f>'North America'!B1195+"$F;@!27m"</f>
        <v>#VALUE!</v>
      </c>
      <c r="BT346" t="e">
        <f>'North America'!C1195+"$F;@!27n"</f>
        <v>#VALUE!</v>
      </c>
      <c r="BU346" t="e">
        <f>'North America'!D1195+"$F;@!27o"</f>
        <v>#VALUE!</v>
      </c>
      <c r="BV346" t="e">
        <f>'North America'!E1195+"$F;@!27p"</f>
        <v>#VALUE!</v>
      </c>
      <c r="BW346" t="e">
        <f>'North America'!F1195+"$F;@!27q"</f>
        <v>#VALUE!</v>
      </c>
      <c r="BX346" t="e">
        <f>'North America'!G1195+"$F;@!27r"</f>
        <v>#VALUE!</v>
      </c>
      <c r="BY346" t="e">
        <f>'North America'!H1195+"$F;@!27s"</f>
        <v>#VALUE!</v>
      </c>
      <c r="BZ346" t="e">
        <f>'North America'!A1196+"$F;@!27t"</f>
        <v>#VALUE!</v>
      </c>
      <c r="CA346" t="e">
        <f>'North America'!B1196+"$F;@!27u"</f>
        <v>#VALUE!</v>
      </c>
      <c r="CB346" t="e">
        <f>'North America'!C1196+"$F;@!27v"</f>
        <v>#VALUE!</v>
      </c>
      <c r="CC346" t="e">
        <f>'North America'!D1196+"$F;@!27w"</f>
        <v>#VALUE!</v>
      </c>
      <c r="CD346" t="e">
        <f>'North America'!E1196+"$F;@!27x"</f>
        <v>#VALUE!</v>
      </c>
      <c r="CE346" t="e">
        <f>'North America'!F1196+"$F;@!27y"</f>
        <v>#VALUE!</v>
      </c>
      <c r="CF346" t="e">
        <f>'North America'!G1196+"$F;@!27z"</f>
        <v>#VALUE!</v>
      </c>
      <c r="CG346" t="e">
        <f>'North America'!H1196+"$F;@!27{"</f>
        <v>#VALUE!</v>
      </c>
      <c r="CH346" t="e">
        <f>'North America'!A1197+"$F;@!27|"</f>
        <v>#VALUE!</v>
      </c>
      <c r="CI346" t="e">
        <f>'North America'!B1197+"$F;@!27}"</f>
        <v>#VALUE!</v>
      </c>
      <c r="CJ346" t="e">
        <f>'North America'!C1197+"$F;@!27~"</f>
        <v>#VALUE!</v>
      </c>
      <c r="CK346" t="e">
        <f>'North America'!D1197+"$F;@!28#"</f>
        <v>#VALUE!</v>
      </c>
      <c r="CL346" t="e">
        <f>'North America'!E1197+"$F;@!28$"</f>
        <v>#VALUE!</v>
      </c>
      <c r="CM346" t="e">
        <f>'North America'!F1197+"$F;@!28%"</f>
        <v>#VALUE!</v>
      </c>
      <c r="CN346" t="e">
        <f>'North America'!G1197+"$F;@!28&amp;"</f>
        <v>#VALUE!</v>
      </c>
      <c r="CO346" t="e">
        <f>'North America'!H1197+"$F;@!28'"</f>
        <v>#VALUE!</v>
      </c>
      <c r="CP346" t="e">
        <f>'North America'!A1198+"$F;@!28("</f>
        <v>#VALUE!</v>
      </c>
      <c r="CQ346" t="e">
        <f>'North America'!B1198+"$F;@!28)"</f>
        <v>#VALUE!</v>
      </c>
      <c r="CR346" t="e">
        <f>'North America'!C1198+"$F;@!28."</f>
        <v>#VALUE!</v>
      </c>
      <c r="CS346" t="e">
        <f>'North America'!D1198+"$F;@!28/"</f>
        <v>#VALUE!</v>
      </c>
      <c r="CT346" t="e">
        <f>'North America'!E1198+"$F;@!280"</f>
        <v>#VALUE!</v>
      </c>
      <c r="CU346" t="e">
        <f>'North America'!F1198+"$F;@!281"</f>
        <v>#VALUE!</v>
      </c>
      <c r="CV346" t="e">
        <f>'North America'!G1198+"$F;@!282"</f>
        <v>#VALUE!</v>
      </c>
      <c r="CW346" t="e">
        <f>'North America'!H1198+"$F;@!283"</f>
        <v>#VALUE!</v>
      </c>
      <c r="CX346" t="e">
        <f>'North America'!A1199+"$F;@!284"</f>
        <v>#VALUE!</v>
      </c>
      <c r="CY346" t="e">
        <f>'North America'!B1199+"$F;@!285"</f>
        <v>#VALUE!</v>
      </c>
      <c r="CZ346" t="e">
        <f>'North America'!C1199+"$F;@!286"</f>
        <v>#VALUE!</v>
      </c>
      <c r="DA346" t="e">
        <f>'North America'!D1199+"$F;@!287"</f>
        <v>#VALUE!</v>
      </c>
      <c r="DB346" t="e">
        <f>'North America'!E1199+"$F;@!288"</f>
        <v>#VALUE!</v>
      </c>
      <c r="DC346" t="e">
        <f>'North America'!F1199+"$F;@!289"</f>
        <v>#VALUE!</v>
      </c>
      <c r="DD346" t="e">
        <f>'North America'!G1199+"$F;@!28:"</f>
        <v>#VALUE!</v>
      </c>
      <c r="DE346" t="e">
        <f>'North America'!H1199+"$F;@!28;"</f>
        <v>#VALUE!</v>
      </c>
      <c r="DF346" t="e">
        <f>'North America'!A1200+"$F;@!28&lt;"</f>
        <v>#VALUE!</v>
      </c>
      <c r="DG346" t="e">
        <f>'North America'!B1200+"$F;@!28="</f>
        <v>#VALUE!</v>
      </c>
      <c r="DH346" t="e">
        <f>'North America'!C1200+"$F;@!28&gt;"</f>
        <v>#VALUE!</v>
      </c>
      <c r="DI346" t="e">
        <f>'North America'!D1200+"$F;@!28?"</f>
        <v>#VALUE!</v>
      </c>
      <c r="DJ346" t="e">
        <f>'North America'!E1200+"$F;@!28@"</f>
        <v>#VALUE!</v>
      </c>
      <c r="DK346" t="e">
        <f>'North America'!F1200+"$F;@!28A"</f>
        <v>#VALUE!</v>
      </c>
      <c r="DL346" t="e">
        <f>'North America'!G1200+"$F;@!28B"</f>
        <v>#VALUE!</v>
      </c>
      <c r="DM346" t="e">
        <f>'North America'!H1200+"$F;@!28C"</f>
        <v>#VALUE!</v>
      </c>
      <c r="DN346" t="e">
        <f>'North America'!A1201+"$F;@!28D"</f>
        <v>#VALUE!</v>
      </c>
      <c r="DO346" t="e">
        <f>'North America'!B1201+"$F;@!28E"</f>
        <v>#VALUE!</v>
      </c>
      <c r="DP346" t="e">
        <f>'North America'!C1201+"$F;@!28F"</f>
        <v>#VALUE!</v>
      </c>
      <c r="DQ346" t="e">
        <f>'North America'!D1201+"$F;@!28G"</f>
        <v>#VALUE!</v>
      </c>
      <c r="DR346" t="e">
        <f>'North America'!E1201+"$F;@!28H"</f>
        <v>#VALUE!</v>
      </c>
      <c r="DS346" t="e">
        <f>'North America'!F1201+"$F;@!28I"</f>
        <v>#VALUE!</v>
      </c>
      <c r="DT346" t="e">
        <f>'North America'!G1201+"$F;@!28J"</f>
        <v>#VALUE!</v>
      </c>
      <c r="DU346" t="e">
        <f>'North America'!H1201+"$F;@!28K"</f>
        <v>#VALUE!</v>
      </c>
      <c r="DV346" t="e">
        <f>'North America'!A1202+"$F;@!28L"</f>
        <v>#VALUE!</v>
      </c>
      <c r="DW346" t="e">
        <f>'North America'!B1202+"$F;@!28M"</f>
        <v>#VALUE!</v>
      </c>
      <c r="DX346" t="e">
        <f>'North America'!C1202+"$F;@!28N"</f>
        <v>#VALUE!</v>
      </c>
      <c r="DY346" t="e">
        <f>'North America'!D1202+"$F;@!28O"</f>
        <v>#VALUE!</v>
      </c>
      <c r="DZ346" t="e">
        <f>'North America'!E1202+"$F;@!28P"</f>
        <v>#VALUE!</v>
      </c>
      <c r="EA346" t="e">
        <f>'North America'!F1202+"$F;@!28Q"</f>
        <v>#VALUE!</v>
      </c>
      <c r="EB346" t="e">
        <f>'North America'!G1202+"$F;@!28R"</f>
        <v>#VALUE!</v>
      </c>
      <c r="EC346" t="e">
        <f>'North America'!H1202+"$F;@!28S"</f>
        <v>#VALUE!</v>
      </c>
      <c r="ED346" t="e">
        <f>'North America'!A1203+"$F;@!28T"</f>
        <v>#VALUE!</v>
      </c>
      <c r="EE346" t="e">
        <f>'North America'!B1203+"$F;@!28U"</f>
        <v>#VALUE!</v>
      </c>
      <c r="EF346" t="e">
        <f>'North America'!C1203+"$F;@!28V"</f>
        <v>#VALUE!</v>
      </c>
      <c r="EG346" t="e">
        <f>'North America'!D1203+"$F;@!28W"</f>
        <v>#VALUE!</v>
      </c>
      <c r="EH346" t="e">
        <f>'North America'!E1203+"$F;@!28X"</f>
        <v>#VALUE!</v>
      </c>
      <c r="EI346" t="e">
        <f>'North America'!F1203+"$F;@!28Y"</f>
        <v>#VALUE!</v>
      </c>
      <c r="EJ346" t="e">
        <f>'North America'!G1203+"$F;@!28Z"</f>
        <v>#VALUE!</v>
      </c>
      <c r="EK346" t="e">
        <f>'North America'!H1203+"$F;@!28["</f>
        <v>#VALUE!</v>
      </c>
      <c r="EL346" t="e">
        <f>'North America'!A1204+"$F;@!28\"</f>
        <v>#VALUE!</v>
      </c>
      <c r="EM346" t="e">
        <f>'North America'!B1204+"$F;@!28]"</f>
        <v>#VALUE!</v>
      </c>
      <c r="EN346" t="e">
        <f>'North America'!C1204+"$F;@!28^"</f>
        <v>#VALUE!</v>
      </c>
      <c r="EO346" t="e">
        <f>'North America'!D1204+"$F;@!28_"</f>
        <v>#VALUE!</v>
      </c>
      <c r="EP346" t="e">
        <f>'North America'!E1204+"$F;@!28`"</f>
        <v>#VALUE!</v>
      </c>
      <c r="EQ346" t="e">
        <f>'North America'!F1204+"$F;@!28a"</f>
        <v>#VALUE!</v>
      </c>
      <c r="ER346" t="e">
        <f>'North America'!G1204+"$F;@!28b"</f>
        <v>#VALUE!</v>
      </c>
      <c r="ES346" t="e">
        <f>'North America'!H1204+"$F;@!28c"</f>
        <v>#VALUE!</v>
      </c>
      <c r="ET346" t="e">
        <f>'North America'!A1205+"$F;@!28d"</f>
        <v>#VALUE!</v>
      </c>
      <c r="EU346" t="e">
        <f>'North America'!B1205+"$F;@!28e"</f>
        <v>#VALUE!</v>
      </c>
      <c r="EV346" t="e">
        <f>'North America'!C1205+"$F;@!28f"</f>
        <v>#VALUE!</v>
      </c>
      <c r="EW346" t="e">
        <f>'North America'!D1205+"$F;@!28g"</f>
        <v>#VALUE!</v>
      </c>
      <c r="EX346" t="e">
        <f>'North America'!E1205+"$F;@!28h"</f>
        <v>#VALUE!</v>
      </c>
      <c r="EY346" t="e">
        <f>'North America'!F1205+"$F;@!28i"</f>
        <v>#VALUE!</v>
      </c>
      <c r="EZ346" t="e">
        <f>'North America'!G1205+"$F;@!28j"</f>
        <v>#VALUE!</v>
      </c>
      <c r="FA346" t="e">
        <f>'North America'!H1205+"$F;@!28k"</f>
        <v>#VALUE!</v>
      </c>
      <c r="FB346" t="e">
        <f>'North America'!A1206+"$F;@!28l"</f>
        <v>#VALUE!</v>
      </c>
      <c r="FC346" t="e">
        <f>'North America'!B1206+"$F;@!28m"</f>
        <v>#VALUE!</v>
      </c>
      <c r="FD346" t="e">
        <f>'North America'!C1206+"$F;@!28n"</f>
        <v>#VALUE!</v>
      </c>
      <c r="FE346" t="e">
        <f>'North America'!D1206+"$F;@!28o"</f>
        <v>#VALUE!</v>
      </c>
      <c r="FF346" t="e">
        <f>'North America'!E1206+"$F;@!28p"</f>
        <v>#VALUE!</v>
      </c>
      <c r="FG346" t="e">
        <f>'North America'!F1206+"$F;@!28q"</f>
        <v>#VALUE!</v>
      </c>
      <c r="FH346" t="e">
        <f>'North America'!G1206+"$F;@!28r"</f>
        <v>#VALUE!</v>
      </c>
      <c r="FI346" t="e">
        <f>'North America'!H1206+"$F;@!28s"</f>
        <v>#VALUE!</v>
      </c>
      <c r="FJ346" t="e">
        <f>'North America'!A1207+"$F;@!28t"</f>
        <v>#VALUE!</v>
      </c>
      <c r="FK346" t="e">
        <f>'North America'!B1207+"$F;@!28u"</f>
        <v>#VALUE!</v>
      </c>
      <c r="FL346" t="e">
        <f>'North America'!C1207+"$F;@!28v"</f>
        <v>#VALUE!</v>
      </c>
      <c r="FM346" t="e">
        <f>'North America'!D1207+"$F;@!28w"</f>
        <v>#VALUE!</v>
      </c>
      <c r="FN346" t="e">
        <f>'North America'!E1207+"$F;@!28x"</f>
        <v>#VALUE!</v>
      </c>
      <c r="FO346" t="e">
        <f>'North America'!F1207+"$F;@!28y"</f>
        <v>#VALUE!</v>
      </c>
      <c r="FP346" t="e">
        <f>'North America'!G1207+"$F;@!28z"</f>
        <v>#VALUE!</v>
      </c>
      <c r="FQ346" t="e">
        <f>'North America'!H1207+"$F;@!28{"</f>
        <v>#VALUE!</v>
      </c>
      <c r="FR346" t="e">
        <f>'North America'!A1208+"$F;@!28|"</f>
        <v>#VALUE!</v>
      </c>
      <c r="FS346" t="e">
        <f>'North America'!B1208+"$F;@!28}"</f>
        <v>#VALUE!</v>
      </c>
      <c r="FT346" t="e">
        <f>'North America'!C1208+"$F;@!28~"</f>
        <v>#VALUE!</v>
      </c>
      <c r="FU346" t="e">
        <f>'North America'!D1208+"$F;@!29#"</f>
        <v>#VALUE!</v>
      </c>
      <c r="FV346" t="e">
        <f>'North America'!E1208+"$F;@!29$"</f>
        <v>#VALUE!</v>
      </c>
      <c r="FW346" t="e">
        <f>'North America'!F1208+"$F;@!29%"</f>
        <v>#VALUE!</v>
      </c>
      <c r="FX346" t="e">
        <f>'North America'!G1208+"$F;@!29&amp;"</f>
        <v>#VALUE!</v>
      </c>
      <c r="FY346" t="e">
        <f>'North America'!H1208+"$F;@!29'"</f>
        <v>#VALUE!</v>
      </c>
      <c r="FZ346" t="e">
        <f>'North America'!A1209+"$F;@!29("</f>
        <v>#VALUE!</v>
      </c>
      <c r="GA346" t="e">
        <f>'North America'!B1209+"$F;@!29)"</f>
        <v>#VALUE!</v>
      </c>
      <c r="GB346" t="e">
        <f>'North America'!C1209+"$F;@!29."</f>
        <v>#VALUE!</v>
      </c>
      <c r="GC346" t="e">
        <f>'North America'!D1209+"$F;@!29/"</f>
        <v>#VALUE!</v>
      </c>
      <c r="GD346" t="e">
        <f>'North America'!E1209+"$F;@!290"</f>
        <v>#VALUE!</v>
      </c>
      <c r="GE346" t="e">
        <f>'North America'!F1209+"$F;@!291"</f>
        <v>#VALUE!</v>
      </c>
      <c r="GF346" t="e">
        <f>'North America'!G1209+"$F;@!292"</f>
        <v>#VALUE!</v>
      </c>
      <c r="GG346" t="e">
        <f>'North America'!H1209+"$F;@!293"</f>
        <v>#VALUE!</v>
      </c>
      <c r="GH346" t="e">
        <f>'North America'!A1210+"$F;@!294"</f>
        <v>#VALUE!</v>
      </c>
      <c r="GI346" t="e">
        <f>'North America'!B1210+"$F;@!295"</f>
        <v>#VALUE!</v>
      </c>
      <c r="GJ346" t="e">
        <f>'North America'!C1210+"$F;@!296"</f>
        <v>#VALUE!</v>
      </c>
      <c r="GK346" t="e">
        <f>'North America'!D1210+"$F;@!297"</f>
        <v>#VALUE!</v>
      </c>
      <c r="GL346" t="e">
        <f>'North America'!E1210+"$F;@!298"</f>
        <v>#VALUE!</v>
      </c>
      <c r="GM346" t="e">
        <f>'North America'!F1210+"$F;@!299"</f>
        <v>#VALUE!</v>
      </c>
      <c r="GN346" t="e">
        <f>'North America'!G1210+"$F;@!29:"</f>
        <v>#VALUE!</v>
      </c>
      <c r="GO346" t="e">
        <f>'North America'!H1210+"$F;@!29;"</f>
        <v>#VALUE!</v>
      </c>
      <c r="GP346" t="e">
        <f>'North America'!A1211+"$F;@!29&lt;"</f>
        <v>#VALUE!</v>
      </c>
      <c r="GQ346" t="e">
        <f>'North America'!B1211+"$F;@!29="</f>
        <v>#VALUE!</v>
      </c>
      <c r="GR346" t="e">
        <f>'North America'!C1211+"$F;@!29&gt;"</f>
        <v>#VALUE!</v>
      </c>
      <c r="GS346" t="e">
        <f>'North America'!D1211+"$F;@!29?"</f>
        <v>#VALUE!</v>
      </c>
      <c r="GT346" t="e">
        <f>'North America'!E1211+"$F;@!29@"</f>
        <v>#VALUE!</v>
      </c>
      <c r="GU346" t="e">
        <f>'North America'!F1211+"$F;@!29A"</f>
        <v>#VALUE!</v>
      </c>
      <c r="GV346" t="e">
        <f>'North America'!G1211+"$F;@!29B"</f>
        <v>#VALUE!</v>
      </c>
      <c r="GW346" t="e">
        <f>'North America'!H1211+"$F;@!29C"</f>
        <v>#VALUE!</v>
      </c>
      <c r="GX346" t="e">
        <f>'North America'!A1212+"$F;@!29D"</f>
        <v>#VALUE!</v>
      </c>
      <c r="GY346" t="e">
        <f>'North America'!B1212+"$F;@!29E"</f>
        <v>#VALUE!</v>
      </c>
      <c r="GZ346" t="e">
        <f>'North America'!C1212+"$F;@!29F"</f>
        <v>#VALUE!</v>
      </c>
      <c r="HA346" t="e">
        <f>'North America'!D1212+"$F;@!29G"</f>
        <v>#VALUE!</v>
      </c>
      <c r="HB346" t="e">
        <f>'North America'!E1212+"$F;@!29H"</f>
        <v>#VALUE!</v>
      </c>
      <c r="HC346" t="e">
        <f>'North America'!F1212+"$F;@!29I"</f>
        <v>#VALUE!</v>
      </c>
      <c r="HD346" t="e">
        <f>'North America'!G1212+"$F;@!29J"</f>
        <v>#VALUE!</v>
      </c>
      <c r="HE346" t="e">
        <f>'North America'!H1212+"$F;@!29K"</f>
        <v>#VALUE!</v>
      </c>
      <c r="HF346" t="e">
        <f>'North America'!A1213+"$F;@!29L"</f>
        <v>#VALUE!</v>
      </c>
      <c r="HG346" t="e">
        <f>'North America'!B1213+"$F;@!29M"</f>
        <v>#VALUE!</v>
      </c>
      <c r="HH346" t="e">
        <f>'North America'!C1213+"$F;@!29N"</f>
        <v>#VALUE!</v>
      </c>
      <c r="HI346" t="e">
        <f>'North America'!D1213+"$F;@!29O"</f>
        <v>#VALUE!</v>
      </c>
      <c r="HJ346" t="e">
        <f>'North America'!E1213+"$F;@!29P"</f>
        <v>#VALUE!</v>
      </c>
      <c r="HK346" t="e">
        <f>'North America'!F1213+"$F;@!29Q"</f>
        <v>#VALUE!</v>
      </c>
      <c r="HL346" t="e">
        <f>'North America'!G1213+"$F;@!29R"</f>
        <v>#VALUE!</v>
      </c>
      <c r="HM346" t="e">
        <f>'North America'!H1213+"$F;@!29S"</f>
        <v>#VALUE!</v>
      </c>
      <c r="HN346" t="e">
        <f>'North America'!A1214+"$F;@!29T"</f>
        <v>#VALUE!</v>
      </c>
      <c r="HO346" t="e">
        <f>'North America'!B1214+"$F;@!29U"</f>
        <v>#VALUE!</v>
      </c>
      <c r="HP346" t="e">
        <f>'North America'!C1214+"$F;@!29V"</f>
        <v>#VALUE!</v>
      </c>
      <c r="HQ346" t="e">
        <f>'North America'!D1214+"$F;@!29W"</f>
        <v>#VALUE!</v>
      </c>
      <c r="HR346" t="e">
        <f>'North America'!E1214+"$F;@!29X"</f>
        <v>#VALUE!</v>
      </c>
      <c r="HS346" t="e">
        <f>'North America'!F1214+"$F;@!29Y"</f>
        <v>#VALUE!</v>
      </c>
      <c r="HT346" t="e">
        <f>'North America'!G1214+"$F;@!29Z"</f>
        <v>#VALUE!</v>
      </c>
      <c r="HU346" t="e">
        <f>'North America'!H1214+"$F;@!29["</f>
        <v>#VALUE!</v>
      </c>
      <c r="HV346" t="e">
        <f>'North America'!A1215+"$F;@!29\"</f>
        <v>#VALUE!</v>
      </c>
      <c r="HW346" t="e">
        <f>'North America'!B1215+"$F;@!29]"</f>
        <v>#VALUE!</v>
      </c>
      <c r="HX346" t="e">
        <f>'North America'!C1215+"$F;@!29^"</f>
        <v>#VALUE!</v>
      </c>
      <c r="HY346" t="e">
        <f>'North America'!D1215+"$F;@!29_"</f>
        <v>#VALUE!</v>
      </c>
      <c r="HZ346" t="e">
        <f>'North America'!E1215+"$F;@!29`"</f>
        <v>#VALUE!</v>
      </c>
      <c r="IA346" t="e">
        <f>'North America'!F1215+"$F;@!29a"</f>
        <v>#VALUE!</v>
      </c>
      <c r="IB346" t="e">
        <f>'North America'!G1215+"$F;@!29b"</f>
        <v>#VALUE!</v>
      </c>
      <c r="IC346" t="e">
        <f>'North America'!H1215+"$F;@!29c"</f>
        <v>#VALUE!</v>
      </c>
      <c r="ID346" t="e">
        <f>'North America'!A1216+"$F;@!29d"</f>
        <v>#VALUE!</v>
      </c>
      <c r="IE346" t="e">
        <f>'North America'!B1216+"$F;@!29e"</f>
        <v>#VALUE!</v>
      </c>
      <c r="IF346" t="e">
        <f>'North America'!C1216+"$F;@!29f"</f>
        <v>#VALUE!</v>
      </c>
      <c r="IG346" t="e">
        <f>'North America'!D1216+"$F;@!29g"</f>
        <v>#VALUE!</v>
      </c>
      <c r="IH346" t="e">
        <f>'North America'!E1216+"$F;@!29h"</f>
        <v>#VALUE!</v>
      </c>
      <c r="II346" t="e">
        <f>'North America'!F1216+"$F;@!29i"</f>
        <v>#VALUE!</v>
      </c>
      <c r="IJ346" t="e">
        <f>'North America'!G1216+"$F;@!29j"</f>
        <v>#VALUE!</v>
      </c>
      <c r="IK346" t="e">
        <f>'North America'!H1216+"$F;@!29k"</f>
        <v>#VALUE!</v>
      </c>
      <c r="IL346" t="e">
        <f>'North America'!A1217+"$F;@!29l"</f>
        <v>#VALUE!</v>
      </c>
      <c r="IM346" t="e">
        <f>'North America'!B1217+"$F;@!29m"</f>
        <v>#VALUE!</v>
      </c>
      <c r="IN346" t="e">
        <f>'North America'!C1217+"$F;@!29n"</f>
        <v>#VALUE!</v>
      </c>
      <c r="IO346" t="e">
        <f>'North America'!D1217+"$F;@!29o"</f>
        <v>#VALUE!</v>
      </c>
      <c r="IP346" t="e">
        <f>'North America'!E1217+"$F;@!29p"</f>
        <v>#VALUE!</v>
      </c>
      <c r="IQ346" t="e">
        <f>'North America'!F1217+"$F;@!29q"</f>
        <v>#VALUE!</v>
      </c>
      <c r="IR346" t="e">
        <f>'North America'!G1217+"$F;@!29r"</f>
        <v>#VALUE!</v>
      </c>
      <c r="IS346" t="e">
        <f>'North America'!H1217+"$F;@!29s"</f>
        <v>#VALUE!</v>
      </c>
      <c r="IT346" t="e">
        <f>'North America'!A1218+"$F;@!29t"</f>
        <v>#VALUE!</v>
      </c>
      <c r="IU346" t="e">
        <f>'North America'!B1218+"$F;@!29u"</f>
        <v>#VALUE!</v>
      </c>
      <c r="IV346" t="e">
        <f>'North America'!C1218+"$F;@!29v"</f>
        <v>#VALUE!</v>
      </c>
    </row>
    <row r="347" spans="6:256" x14ac:dyDescent="0.35">
      <c r="F347" t="e">
        <f>'North America'!D1218+"$F;@!29w"</f>
        <v>#VALUE!</v>
      </c>
      <c r="G347" t="e">
        <f>'North America'!E1218+"$F;@!29x"</f>
        <v>#VALUE!</v>
      </c>
      <c r="H347" t="e">
        <f>'North America'!F1218+"$F;@!29y"</f>
        <v>#VALUE!</v>
      </c>
      <c r="I347" t="e">
        <f>'North America'!G1218+"$F;@!29z"</f>
        <v>#VALUE!</v>
      </c>
      <c r="J347" t="e">
        <f>'North America'!H1218+"$F;@!29{"</f>
        <v>#VALUE!</v>
      </c>
      <c r="K347" t="e">
        <f>'North America'!A1219+"$F;@!29|"</f>
        <v>#VALUE!</v>
      </c>
      <c r="L347" t="e">
        <f>'North America'!B1219+"$F;@!29}"</f>
        <v>#VALUE!</v>
      </c>
      <c r="M347" t="e">
        <f>'North America'!C1219+"$F;@!29~"</f>
        <v>#VALUE!</v>
      </c>
      <c r="N347" t="e">
        <f>'North America'!D1219+"$F;@!2:#"</f>
        <v>#VALUE!</v>
      </c>
      <c r="O347" t="e">
        <f>'North America'!E1219+"$F;@!2:$"</f>
        <v>#VALUE!</v>
      </c>
      <c r="P347" t="e">
        <f>'North America'!F1219+"$F;@!2:%"</f>
        <v>#VALUE!</v>
      </c>
      <c r="Q347" t="e">
        <f>'North America'!G1219+"$F;@!2:&amp;"</f>
        <v>#VALUE!</v>
      </c>
      <c r="R347" t="e">
        <f>'North America'!H1219+"$F;@!2:'"</f>
        <v>#VALUE!</v>
      </c>
      <c r="S347" t="e">
        <f>'North America'!A1220+"$F;@!2:("</f>
        <v>#VALUE!</v>
      </c>
      <c r="T347" t="e">
        <f>'North America'!B1220+"$F;@!2:)"</f>
        <v>#VALUE!</v>
      </c>
      <c r="U347" t="e">
        <f>'North America'!C1220+"$F;@!2:."</f>
        <v>#VALUE!</v>
      </c>
      <c r="V347" t="e">
        <f>'North America'!D1220+"$F;@!2:/"</f>
        <v>#VALUE!</v>
      </c>
      <c r="W347" t="e">
        <f>'North America'!E1220+"$F;@!2:0"</f>
        <v>#VALUE!</v>
      </c>
      <c r="X347" t="e">
        <f>'North America'!F1220+"$F;@!2:1"</f>
        <v>#VALUE!</v>
      </c>
      <c r="Y347" t="e">
        <f>'North America'!G1220+"$F;@!2:2"</f>
        <v>#VALUE!</v>
      </c>
      <c r="Z347" t="e">
        <f>'North America'!H1220+"$F;@!2:3"</f>
        <v>#VALUE!</v>
      </c>
      <c r="AA347" t="e">
        <f>'North America'!A1221+"$F;@!2:4"</f>
        <v>#VALUE!</v>
      </c>
      <c r="AB347" t="e">
        <f>'North America'!B1221+"$F;@!2:5"</f>
        <v>#VALUE!</v>
      </c>
      <c r="AC347" t="e">
        <f>'North America'!C1221+"$F;@!2:6"</f>
        <v>#VALUE!</v>
      </c>
      <c r="AD347" t="e">
        <f>'North America'!D1221+"$F;@!2:7"</f>
        <v>#VALUE!</v>
      </c>
      <c r="AE347" t="e">
        <f>'North America'!E1221+"$F;@!2:8"</f>
        <v>#VALUE!</v>
      </c>
      <c r="AF347" t="e">
        <f>'North America'!F1221+"$F;@!2:9"</f>
        <v>#VALUE!</v>
      </c>
      <c r="AG347" t="e">
        <f>'North America'!G1221+"$F;@!2::"</f>
        <v>#VALUE!</v>
      </c>
      <c r="AH347" t="e">
        <f>'North America'!H1221+"$F;@!2:;"</f>
        <v>#VALUE!</v>
      </c>
      <c r="AI347" t="e">
        <f>'North America'!A1222+"$F;@!2:&lt;"</f>
        <v>#VALUE!</v>
      </c>
      <c r="AJ347" t="e">
        <f>'North America'!B1222+"$F;@!2:="</f>
        <v>#VALUE!</v>
      </c>
      <c r="AK347" t="e">
        <f>'North America'!C1222+"$F;@!2:&gt;"</f>
        <v>#VALUE!</v>
      </c>
      <c r="AL347" t="e">
        <f>'North America'!D1222+"$F;@!2:?"</f>
        <v>#VALUE!</v>
      </c>
      <c r="AM347" t="e">
        <f>'North America'!E1222+"$F;@!2:@"</f>
        <v>#VALUE!</v>
      </c>
      <c r="AN347" t="e">
        <f>'North America'!F1222+"$F;@!2:A"</f>
        <v>#VALUE!</v>
      </c>
      <c r="AO347" t="e">
        <f>'North America'!G1222+"$F;@!2:B"</f>
        <v>#VALUE!</v>
      </c>
      <c r="AP347" t="e">
        <f>'North America'!H1222+"$F;@!2:C"</f>
        <v>#VALUE!</v>
      </c>
      <c r="AQ347" t="e">
        <f>'North America'!A1223+"$F;@!2:D"</f>
        <v>#VALUE!</v>
      </c>
      <c r="AR347" t="e">
        <f>'North America'!B1223+"$F;@!2:E"</f>
        <v>#VALUE!</v>
      </c>
      <c r="AS347" t="e">
        <f>'North America'!C1223+"$F;@!2:F"</f>
        <v>#VALUE!</v>
      </c>
      <c r="AT347" t="e">
        <f>'North America'!D1223+"$F;@!2:G"</f>
        <v>#VALUE!</v>
      </c>
      <c r="AU347" t="e">
        <f>'North America'!E1223+"$F;@!2:H"</f>
        <v>#VALUE!</v>
      </c>
      <c r="AV347" t="e">
        <f>'North America'!F1223+"$F;@!2:I"</f>
        <v>#VALUE!</v>
      </c>
      <c r="AW347" t="e">
        <f>'North America'!G1223+"$F;@!2:J"</f>
        <v>#VALUE!</v>
      </c>
      <c r="AX347" t="e">
        <f>'North America'!H1223+"$F;@!2:K"</f>
        <v>#VALUE!</v>
      </c>
      <c r="AY347" t="e">
        <f>'North America'!A1224+"$F;@!2:L"</f>
        <v>#VALUE!</v>
      </c>
      <c r="AZ347" t="e">
        <f>'North America'!B1224+"$F;@!2:M"</f>
        <v>#VALUE!</v>
      </c>
      <c r="BA347" t="e">
        <f>'North America'!C1224+"$F;@!2:N"</f>
        <v>#VALUE!</v>
      </c>
      <c r="BB347" t="e">
        <f>'North America'!D1224+"$F;@!2:O"</f>
        <v>#VALUE!</v>
      </c>
      <c r="BC347" t="e">
        <f>'North America'!E1224+"$F;@!2:P"</f>
        <v>#VALUE!</v>
      </c>
      <c r="BD347" t="e">
        <f>'North America'!F1224+"$F;@!2:Q"</f>
        <v>#VALUE!</v>
      </c>
      <c r="BE347" t="e">
        <f>'North America'!G1224+"$F;@!2:R"</f>
        <v>#VALUE!</v>
      </c>
      <c r="BF347" t="e">
        <f>'North America'!H1224+"$F;@!2:S"</f>
        <v>#VALUE!</v>
      </c>
      <c r="BG347" t="e">
        <f>'North America'!A1225+"$F;@!2:T"</f>
        <v>#VALUE!</v>
      </c>
      <c r="BH347" t="e">
        <f>'North America'!B1225+"$F;@!2:U"</f>
        <v>#VALUE!</v>
      </c>
      <c r="BI347" t="e">
        <f>'North America'!C1225+"$F;@!2:V"</f>
        <v>#VALUE!</v>
      </c>
      <c r="BJ347" t="e">
        <f>'North America'!D1225+"$F;@!2:W"</f>
        <v>#VALUE!</v>
      </c>
      <c r="BK347" t="e">
        <f>'North America'!E1225+"$F;@!2:X"</f>
        <v>#VALUE!</v>
      </c>
      <c r="BL347" t="e">
        <f>'North America'!F1225+"$F;@!2:Y"</f>
        <v>#VALUE!</v>
      </c>
      <c r="BM347" t="e">
        <f>'North America'!G1225+"$F;@!2:Z"</f>
        <v>#VALUE!</v>
      </c>
      <c r="BN347" t="e">
        <f>'North America'!H1225+"$F;@!2:["</f>
        <v>#VALUE!</v>
      </c>
      <c r="BO347" t="e">
        <f>'North America'!A1226+"$F;@!2:\"</f>
        <v>#VALUE!</v>
      </c>
      <c r="BP347" t="e">
        <f>'North America'!B1226+"$F;@!2:]"</f>
        <v>#VALUE!</v>
      </c>
      <c r="BQ347" t="e">
        <f>'North America'!C1226+"$F;@!2:^"</f>
        <v>#VALUE!</v>
      </c>
      <c r="BR347" t="e">
        <f>'North America'!D1226+"$F;@!2:_"</f>
        <v>#VALUE!</v>
      </c>
      <c r="BS347" t="e">
        <f>'North America'!E1226+"$F;@!2:`"</f>
        <v>#VALUE!</v>
      </c>
      <c r="BT347" t="e">
        <f>'North America'!F1226+"$F;@!2:a"</f>
        <v>#VALUE!</v>
      </c>
      <c r="BU347" t="e">
        <f>'North America'!G1226+"$F;@!2:b"</f>
        <v>#VALUE!</v>
      </c>
      <c r="BV347" t="e">
        <f>'North America'!H1226+"$F;@!2:c"</f>
        <v>#VALUE!</v>
      </c>
      <c r="BW347" t="e">
        <f>'North America'!A1227+"$F;@!2:d"</f>
        <v>#VALUE!</v>
      </c>
      <c r="BX347" t="e">
        <f>'North America'!B1227+"$F;@!2:e"</f>
        <v>#VALUE!</v>
      </c>
      <c r="BY347" t="e">
        <f>'North America'!C1227+"$F;@!2:f"</f>
        <v>#VALUE!</v>
      </c>
      <c r="BZ347" t="e">
        <f>'North America'!D1227+"$F;@!2:g"</f>
        <v>#VALUE!</v>
      </c>
      <c r="CA347" t="e">
        <f>'North America'!E1227+"$F;@!2:h"</f>
        <v>#VALUE!</v>
      </c>
      <c r="CB347" t="e">
        <f>'North America'!F1227+"$F;@!2:i"</f>
        <v>#VALUE!</v>
      </c>
      <c r="CC347" t="e">
        <f>'North America'!G1227+"$F;@!2:j"</f>
        <v>#VALUE!</v>
      </c>
      <c r="CD347" t="e">
        <f>'North America'!H1227+"$F;@!2:k"</f>
        <v>#VALUE!</v>
      </c>
      <c r="CE347" t="e">
        <f>'North America'!A1228+"$F;@!2:l"</f>
        <v>#VALUE!</v>
      </c>
      <c r="CF347" t="e">
        <f>'North America'!B1228+"$F;@!2:m"</f>
        <v>#VALUE!</v>
      </c>
      <c r="CG347" t="e">
        <f>'North America'!C1228+"$F;@!2:n"</f>
        <v>#VALUE!</v>
      </c>
      <c r="CH347" t="e">
        <f>'North America'!D1228+"$F;@!2:o"</f>
        <v>#VALUE!</v>
      </c>
      <c r="CI347" t="e">
        <f>'North America'!E1228+"$F;@!2:p"</f>
        <v>#VALUE!</v>
      </c>
      <c r="CJ347" t="e">
        <f>'North America'!F1228+"$F;@!2:q"</f>
        <v>#VALUE!</v>
      </c>
      <c r="CK347" t="e">
        <f>'North America'!G1228+"$F;@!2:r"</f>
        <v>#VALUE!</v>
      </c>
      <c r="CL347" t="e">
        <f>'North America'!H1228+"$F;@!2:s"</f>
        <v>#VALUE!</v>
      </c>
      <c r="CM347" t="e">
        <f>'North America'!A1229+"$F;@!2:t"</f>
        <v>#VALUE!</v>
      </c>
      <c r="CN347" t="e">
        <f>'North America'!B1229+"$F;@!2:u"</f>
        <v>#VALUE!</v>
      </c>
      <c r="CO347" t="e">
        <f>'North America'!C1229+"$F;@!2:v"</f>
        <v>#VALUE!</v>
      </c>
      <c r="CP347" t="e">
        <f>'North America'!D1229+"$F;@!2:w"</f>
        <v>#VALUE!</v>
      </c>
      <c r="CQ347" t="e">
        <f>'North America'!E1229+"$F;@!2:x"</f>
        <v>#VALUE!</v>
      </c>
      <c r="CR347" t="e">
        <f>'North America'!F1229+"$F;@!2:y"</f>
        <v>#VALUE!</v>
      </c>
      <c r="CS347" t="e">
        <f>'North America'!G1229+"$F;@!2:z"</f>
        <v>#VALUE!</v>
      </c>
      <c r="CT347" t="e">
        <f>'North America'!H1229+"$F;@!2:{"</f>
        <v>#VALUE!</v>
      </c>
      <c r="CU347" t="e">
        <f>'North America'!A1230+"$F;@!2:|"</f>
        <v>#VALUE!</v>
      </c>
      <c r="CV347" t="e">
        <f>'North America'!B1230+"$F;@!2:}"</f>
        <v>#VALUE!</v>
      </c>
      <c r="CW347" t="e">
        <f>'North America'!C1230+"$F;@!2:~"</f>
        <v>#VALUE!</v>
      </c>
      <c r="CX347" t="e">
        <f>'North America'!D1230+"$F;@!2;#"</f>
        <v>#VALUE!</v>
      </c>
      <c r="CY347" t="e">
        <f>'North America'!E1230+"$F;@!2;$"</f>
        <v>#VALUE!</v>
      </c>
      <c r="CZ347" t="e">
        <f>'North America'!F1230+"$F;@!2;%"</f>
        <v>#VALUE!</v>
      </c>
      <c r="DA347" t="e">
        <f>'North America'!G1230+"$F;@!2;&amp;"</f>
        <v>#VALUE!</v>
      </c>
      <c r="DB347" t="e">
        <f>'North America'!H1230+"$F;@!2;'"</f>
        <v>#VALUE!</v>
      </c>
      <c r="DC347" t="e">
        <f>'North America'!A1231+"$F;@!2;("</f>
        <v>#VALUE!</v>
      </c>
      <c r="DD347" t="e">
        <f>'North America'!B1231+"$F;@!2;)"</f>
        <v>#VALUE!</v>
      </c>
      <c r="DE347" t="e">
        <f>'North America'!C1231+"$F;@!2;."</f>
        <v>#VALUE!</v>
      </c>
      <c r="DF347" t="e">
        <f>'North America'!D1231+"$F;@!2;/"</f>
        <v>#VALUE!</v>
      </c>
      <c r="DG347" t="e">
        <f>'North America'!E1231+"$F;@!2;0"</f>
        <v>#VALUE!</v>
      </c>
      <c r="DH347" t="e">
        <f>'North America'!F1231+"$F;@!2;1"</f>
        <v>#VALUE!</v>
      </c>
      <c r="DI347" t="e">
        <f>'North America'!G1231+"$F;@!2;2"</f>
        <v>#VALUE!</v>
      </c>
      <c r="DJ347" t="e">
        <f>'North America'!H1231+"$F;@!2;3"</f>
        <v>#VALUE!</v>
      </c>
      <c r="DK347" t="e">
        <f>'North America'!A1232+"$F;@!2;4"</f>
        <v>#VALUE!</v>
      </c>
      <c r="DL347" t="e">
        <f>'North America'!B1232+"$F;@!2;5"</f>
        <v>#VALUE!</v>
      </c>
      <c r="DM347" t="e">
        <f>'North America'!C1232+"$F;@!2;6"</f>
        <v>#VALUE!</v>
      </c>
      <c r="DN347" t="e">
        <f>'North America'!D1232+"$F;@!2;7"</f>
        <v>#VALUE!</v>
      </c>
      <c r="DO347" t="e">
        <f>'North America'!E1232+"$F;@!2;8"</f>
        <v>#VALUE!</v>
      </c>
      <c r="DP347" t="e">
        <f>'North America'!F1232+"$F;@!2;9"</f>
        <v>#VALUE!</v>
      </c>
      <c r="DQ347" t="e">
        <f>'North America'!G1232+"$F;@!2;:"</f>
        <v>#VALUE!</v>
      </c>
      <c r="DR347" t="e">
        <f>'North America'!H1232+"$F;@!2;;"</f>
        <v>#VALUE!</v>
      </c>
      <c r="DS347" t="e">
        <f>'North America'!A1233+"$F;@!2;&lt;"</f>
        <v>#VALUE!</v>
      </c>
      <c r="DT347" t="e">
        <f>'North America'!B1233+"$F;@!2;="</f>
        <v>#VALUE!</v>
      </c>
      <c r="DU347" t="e">
        <f>'North America'!C1233+"$F;@!2;&gt;"</f>
        <v>#VALUE!</v>
      </c>
      <c r="DV347" t="e">
        <f>'North America'!D1233+"$F;@!2;?"</f>
        <v>#VALUE!</v>
      </c>
      <c r="DW347" t="e">
        <f>'North America'!E1233+"$F;@!2;@"</f>
        <v>#VALUE!</v>
      </c>
      <c r="DX347" t="e">
        <f>'North America'!F1233+"$F;@!2;A"</f>
        <v>#VALUE!</v>
      </c>
      <c r="DY347" t="e">
        <f>'North America'!G1233+"$F;@!2;B"</f>
        <v>#VALUE!</v>
      </c>
      <c r="DZ347" t="e">
        <f>'North America'!H1233+"$F;@!2;C"</f>
        <v>#VALUE!</v>
      </c>
      <c r="EA347" t="e">
        <f>'North America'!A1234+"$F;@!2;D"</f>
        <v>#VALUE!</v>
      </c>
      <c r="EB347" t="e">
        <f>'North America'!B1234+"$F;@!2;E"</f>
        <v>#VALUE!</v>
      </c>
      <c r="EC347" t="e">
        <f>'North America'!C1234+"$F;@!2;F"</f>
        <v>#VALUE!</v>
      </c>
      <c r="ED347" t="e">
        <f>'North America'!D1234+"$F;@!2;G"</f>
        <v>#VALUE!</v>
      </c>
      <c r="EE347" t="e">
        <f>'North America'!E1234+"$F;@!2;H"</f>
        <v>#VALUE!</v>
      </c>
      <c r="EF347" t="e">
        <f>'North America'!F1234+"$F;@!2;I"</f>
        <v>#VALUE!</v>
      </c>
      <c r="EG347" t="e">
        <f>'North America'!G1234+"$F;@!2;J"</f>
        <v>#VALUE!</v>
      </c>
      <c r="EH347" t="e">
        <f>'North America'!H1234+"$F;@!2;K"</f>
        <v>#VALUE!</v>
      </c>
      <c r="EI347" t="e">
        <f>'North America'!A1235+"$F;@!2;L"</f>
        <v>#VALUE!</v>
      </c>
      <c r="EJ347" t="e">
        <f>'North America'!B1235+"$F;@!2;M"</f>
        <v>#VALUE!</v>
      </c>
      <c r="EK347" t="e">
        <f>'North America'!C1235+"$F;@!2;N"</f>
        <v>#VALUE!</v>
      </c>
      <c r="EL347" t="e">
        <f>'North America'!D1235+"$F;@!2;O"</f>
        <v>#VALUE!</v>
      </c>
      <c r="EM347" t="e">
        <f>'North America'!E1235+"$F;@!2;P"</f>
        <v>#VALUE!</v>
      </c>
      <c r="EN347" t="e">
        <f>'North America'!F1235+"$F;@!2;Q"</f>
        <v>#VALUE!</v>
      </c>
      <c r="EO347" t="e">
        <f>'North America'!G1235+"$F;@!2;R"</f>
        <v>#VALUE!</v>
      </c>
      <c r="EP347" t="e">
        <f>'North America'!H1235+"$F;@!2;S"</f>
        <v>#VALUE!</v>
      </c>
      <c r="EQ347" t="e">
        <f>'North America'!A1236+"$F;@!2;T"</f>
        <v>#VALUE!</v>
      </c>
      <c r="ER347" t="e">
        <f>'North America'!B1236+"$F;@!2;U"</f>
        <v>#VALUE!</v>
      </c>
      <c r="ES347" t="e">
        <f>'North America'!C1236+"$F;@!2;V"</f>
        <v>#VALUE!</v>
      </c>
      <c r="ET347" t="e">
        <f>'North America'!D1236+"$F;@!2;W"</f>
        <v>#VALUE!</v>
      </c>
      <c r="EU347" t="e">
        <f>'North America'!E1236+"$F;@!2;X"</f>
        <v>#VALUE!</v>
      </c>
      <c r="EV347" t="e">
        <f>'North America'!F1236+"$F;@!2;Y"</f>
        <v>#VALUE!</v>
      </c>
      <c r="EW347" t="e">
        <f>'North America'!G1236+"$F;@!2;Z"</f>
        <v>#VALUE!</v>
      </c>
      <c r="EX347" t="e">
        <f>'North America'!H1236+"$F;@!2;["</f>
        <v>#VALUE!</v>
      </c>
      <c r="EY347" t="e">
        <f>'North America'!A1237+"$F;@!2;\"</f>
        <v>#VALUE!</v>
      </c>
      <c r="EZ347" t="e">
        <f>'North America'!B1237+"$F;@!2;]"</f>
        <v>#VALUE!</v>
      </c>
      <c r="FA347" t="e">
        <f>'North America'!C1237+"$F;@!2;^"</f>
        <v>#VALUE!</v>
      </c>
      <c r="FB347" t="e">
        <f>'North America'!D1237+"$F;@!2;_"</f>
        <v>#VALUE!</v>
      </c>
      <c r="FC347" t="e">
        <f>'North America'!E1237+"$F;@!2;`"</f>
        <v>#VALUE!</v>
      </c>
      <c r="FD347" t="e">
        <f>'North America'!F1237+"$F;@!2;a"</f>
        <v>#VALUE!</v>
      </c>
      <c r="FE347" t="e">
        <f>'North America'!G1237+"$F;@!2;b"</f>
        <v>#VALUE!</v>
      </c>
      <c r="FF347" t="e">
        <f>'North America'!H1237+"$F;@!2;c"</f>
        <v>#VALUE!</v>
      </c>
      <c r="FG347" t="e">
        <f>'North America'!A1238+"$F;@!2;d"</f>
        <v>#VALUE!</v>
      </c>
      <c r="FH347" t="e">
        <f>'North America'!B1238+"$F;@!2;e"</f>
        <v>#VALUE!</v>
      </c>
      <c r="FI347" t="e">
        <f>'North America'!C1238+"$F;@!2;f"</f>
        <v>#VALUE!</v>
      </c>
      <c r="FJ347" t="e">
        <f>'North America'!D1238+"$F;@!2;g"</f>
        <v>#VALUE!</v>
      </c>
      <c r="FK347" t="e">
        <f>'North America'!E1238+"$F;@!2;h"</f>
        <v>#VALUE!</v>
      </c>
      <c r="FL347" t="e">
        <f>'North America'!F1238+"$F;@!2;i"</f>
        <v>#VALUE!</v>
      </c>
      <c r="FM347" t="e">
        <f>'North America'!G1238+"$F;@!2;j"</f>
        <v>#VALUE!</v>
      </c>
      <c r="FN347" t="e">
        <f>'North America'!H1238+"$F;@!2;k"</f>
        <v>#VALUE!</v>
      </c>
      <c r="FO347" t="e">
        <f>'North America'!A1239+"$F;@!2;l"</f>
        <v>#VALUE!</v>
      </c>
      <c r="FP347" t="e">
        <f>'North America'!B1239+"$F;@!2;m"</f>
        <v>#VALUE!</v>
      </c>
      <c r="FQ347" t="e">
        <f>'North America'!C1239+"$F;@!2;n"</f>
        <v>#VALUE!</v>
      </c>
      <c r="FR347" t="e">
        <f>'North America'!D1239+"$F;@!2;o"</f>
        <v>#VALUE!</v>
      </c>
      <c r="FS347" t="e">
        <f>'North America'!E1239+"$F;@!2;p"</f>
        <v>#VALUE!</v>
      </c>
      <c r="FT347" t="e">
        <f>'North America'!F1239+"$F;@!2;q"</f>
        <v>#VALUE!</v>
      </c>
      <c r="FU347" t="e">
        <f>'North America'!G1239+"$F;@!2;r"</f>
        <v>#VALUE!</v>
      </c>
      <c r="FV347" t="e">
        <f>'North America'!H1239+"$F;@!2;s"</f>
        <v>#VALUE!</v>
      </c>
      <c r="FW347" t="e">
        <f>'North America'!A1240+"$F;@!2;t"</f>
        <v>#VALUE!</v>
      </c>
      <c r="FX347" t="e">
        <f>'North America'!B1240+"$F;@!2;u"</f>
        <v>#VALUE!</v>
      </c>
      <c r="FY347" t="e">
        <f>'North America'!C1240+"$F;@!2;v"</f>
        <v>#VALUE!</v>
      </c>
      <c r="FZ347" t="e">
        <f>'North America'!D1240+"$F;@!2;w"</f>
        <v>#VALUE!</v>
      </c>
      <c r="GA347" t="e">
        <f>'North America'!E1240+"$F;@!2;x"</f>
        <v>#VALUE!</v>
      </c>
      <c r="GB347" t="e">
        <f>'North America'!F1240+"$F;@!2;y"</f>
        <v>#VALUE!</v>
      </c>
      <c r="GC347" t="e">
        <f>'North America'!G1240+"$F;@!2;z"</f>
        <v>#VALUE!</v>
      </c>
      <c r="GD347" t="e">
        <f>'North America'!H1240+"$F;@!2;{"</f>
        <v>#VALUE!</v>
      </c>
      <c r="GE347" t="e">
        <f>'North America'!A1241+"$F;@!2;|"</f>
        <v>#VALUE!</v>
      </c>
      <c r="GF347" t="e">
        <f>'North America'!B1241+"$F;@!2;}"</f>
        <v>#VALUE!</v>
      </c>
      <c r="GG347" t="e">
        <f>'North America'!C1241+"$F;@!2;~"</f>
        <v>#VALUE!</v>
      </c>
      <c r="GH347" t="e">
        <f>'North America'!D1241+"$F;@!2&lt;#"</f>
        <v>#VALUE!</v>
      </c>
      <c r="GI347" t="e">
        <f>'North America'!E1241+"$F;@!2&lt;$"</f>
        <v>#VALUE!</v>
      </c>
      <c r="GJ347" t="e">
        <f>'North America'!F1241+"$F;@!2&lt;%"</f>
        <v>#VALUE!</v>
      </c>
      <c r="GK347" t="e">
        <f>'North America'!G1241+"$F;@!2&lt;&amp;"</f>
        <v>#VALUE!</v>
      </c>
      <c r="GL347" t="e">
        <f>'North America'!H1241+"$F;@!2&lt;'"</f>
        <v>#VALUE!</v>
      </c>
      <c r="GM347" t="e">
        <f>'North America'!A1242+"$F;@!2&lt;("</f>
        <v>#VALUE!</v>
      </c>
      <c r="GN347" t="e">
        <f>'North America'!B1242+"$F;@!2&lt;)"</f>
        <v>#VALUE!</v>
      </c>
      <c r="GO347" t="e">
        <f>'North America'!C1242+"$F;@!2&lt;."</f>
        <v>#VALUE!</v>
      </c>
      <c r="GP347" t="e">
        <f>'North America'!D1242+"$F;@!2&lt;/"</f>
        <v>#VALUE!</v>
      </c>
      <c r="GQ347" t="e">
        <f>'North America'!E1242+"$F;@!2&lt;0"</f>
        <v>#VALUE!</v>
      </c>
      <c r="GR347" t="e">
        <f>'North America'!F1242+"$F;@!2&lt;1"</f>
        <v>#VALUE!</v>
      </c>
      <c r="GS347" t="e">
        <f>'North America'!G1242+"$F;@!2&lt;2"</f>
        <v>#VALUE!</v>
      </c>
      <c r="GT347" t="e">
        <f>'North America'!H1242+"$F;@!2&lt;3"</f>
        <v>#VALUE!</v>
      </c>
      <c r="GU347" t="e">
        <f>'North America'!A1243+"$F;@!2&lt;4"</f>
        <v>#VALUE!</v>
      </c>
      <c r="GV347" t="e">
        <f>'North America'!B1243+"$F;@!2&lt;5"</f>
        <v>#VALUE!</v>
      </c>
      <c r="GW347" t="e">
        <f>'North America'!C1243+"$F;@!2&lt;6"</f>
        <v>#VALUE!</v>
      </c>
      <c r="GX347" t="e">
        <f>'North America'!D1243+"$F;@!2&lt;7"</f>
        <v>#VALUE!</v>
      </c>
      <c r="GY347" t="e">
        <f>'North America'!E1243+"$F;@!2&lt;8"</f>
        <v>#VALUE!</v>
      </c>
      <c r="GZ347" t="e">
        <f>'North America'!F1243+"$F;@!2&lt;9"</f>
        <v>#VALUE!</v>
      </c>
      <c r="HA347" t="e">
        <f>'North America'!G1243+"$F;@!2&lt;:"</f>
        <v>#VALUE!</v>
      </c>
      <c r="HB347" t="e">
        <f>'North America'!H1243+"$F;@!2&lt;;"</f>
        <v>#VALUE!</v>
      </c>
      <c r="HC347" t="e">
        <f>'North America'!A1244+"$F;@!2&lt;&lt;"</f>
        <v>#VALUE!</v>
      </c>
      <c r="HD347" t="e">
        <f>'North America'!B1244+"$F;@!2&lt;="</f>
        <v>#VALUE!</v>
      </c>
      <c r="HE347" t="e">
        <f>'North America'!C1244+"$F;@!2&lt;&gt;"</f>
        <v>#VALUE!</v>
      </c>
      <c r="HF347" t="e">
        <f>'North America'!D1244+"$F;@!2&lt;?"</f>
        <v>#VALUE!</v>
      </c>
      <c r="HG347" t="e">
        <f>'North America'!E1244+"$F;@!2&lt;@"</f>
        <v>#VALUE!</v>
      </c>
      <c r="HH347" t="e">
        <f>'North America'!F1244+"$F;@!2&lt;A"</f>
        <v>#VALUE!</v>
      </c>
      <c r="HI347" t="e">
        <f>'North America'!G1244+"$F;@!2&lt;B"</f>
        <v>#VALUE!</v>
      </c>
      <c r="HJ347" t="e">
        <f>'North America'!H1244+"$F;@!2&lt;C"</f>
        <v>#VALUE!</v>
      </c>
      <c r="HK347" t="e">
        <f>'North America'!A1245+"$F;@!2&lt;D"</f>
        <v>#VALUE!</v>
      </c>
      <c r="HL347" t="e">
        <f>'North America'!B1245+"$F;@!2&lt;E"</f>
        <v>#VALUE!</v>
      </c>
      <c r="HM347" t="e">
        <f>'North America'!C1245+"$F;@!2&lt;F"</f>
        <v>#VALUE!</v>
      </c>
      <c r="HN347" t="e">
        <f>'North America'!D1245+"$F;@!2&lt;G"</f>
        <v>#VALUE!</v>
      </c>
      <c r="HO347" t="e">
        <f>'North America'!E1245+"$F;@!2&lt;H"</f>
        <v>#VALUE!</v>
      </c>
      <c r="HP347" t="e">
        <f>'North America'!F1245+"$F;@!2&lt;I"</f>
        <v>#VALUE!</v>
      </c>
      <c r="HQ347" t="e">
        <f>'North America'!G1245+"$F;@!2&lt;J"</f>
        <v>#VALUE!</v>
      </c>
      <c r="HR347" t="e">
        <f>'North America'!H1245+"$F;@!2&lt;K"</f>
        <v>#VALUE!</v>
      </c>
      <c r="HS347" t="e">
        <f>'North America'!A1246+"$F;@!2&lt;L"</f>
        <v>#VALUE!</v>
      </c>
      <c r="HT347" t="e">
        <f>'North America'!B1246+"$F;@!2&lt;M"</f>
        <v>#VALUE!</v>
      </c>
      <c r="HU347" t="e">
        <f>'North America'!C1246+"$F;@!2&lt;N"</f>
        <v>#VALUE!</v>
      </c>
      <c r="HV347" t="e">
        <f>'North America'!D1246+"$F;@!2&lt;O"</f>
        <v>#VALUE!</v>
      </c>
      <c r="HW347" t="e">
        <f>'North America'!E1246+"$F;@!2&lt;P"</f>
        <v>#VALUE!</v>
      </c>
      <c r="HX347" t="e">
        <f>'North America'!F1246+"$F;@!2&lt;Q"</f>
        <v>#VALUE!</v>
      </c>
      <c r="HY347" t="e">
        <f>'North America'!G1246+"$F;@!2&lt;R"</f>
        <v>#VALUE!</v>
      </c>
      <c r="HZ347" t="e">
        <f>'North America'!H1246+"$F;@!2&lt;S"</f>
        <v>#VALUE!</v>
      </c>
      <c r="IA347" t="e">
        <f>'North America'!A1247+"$F;@!2&lt;T"</f>
        <v>#VALUE!</v>
      </c>
      <c r="IB347" t="e">
        <f>'North America'!B1247+"$F;@!2&lt;U"</f>
        <v>#VALUE!</v>
      </c>
      <c r="IC347" t="e">
        <f>'North America'!C1247+"$F;@!2&lt;V"</f>
        <v>#VALUE!</v>
      </c>
      <c r="ID347" t="e">
        <f>'North America'!D1247+"$F;@!2&lt;W"</f>
        <v>#VALUE!</v>
      </c>
      <c r="IE347" t="e">
        <f>'North America'!E1247+"$F;@!2&lt;X"</f>
        <v>#VALUE!</v>
      </c>
      <c r="IF347" t="e">
        <f>'North America'!F1247+"$F;@!2&lt;Y"</f>
        <v>#VALUE!</v>
      </c>
      <c r="IG347" t="e">
        <f>'North America'!G1247+"$F;@!2&lt;Z"</f>
        <v>#VALUE!</v>
      </c>
      <c r="IH347" t="e">
        <f>'North America'!H1247+"$F;@!2&lt;["</f>
        <v>#VALUE!</v>
      </c>
      <c r="II347" t="e">
        <f>'North America'!A1248+"$F;@!2&lt;\"</f>
        <v>#VALUE!</v>
      </c>
      <c r="IJ347" t="e">
        <f>'North America'!B1248+"$F;@!2&lt;]"</f>
        <v>#VALUE!</v>
      </c>
      <c r="IK347" t="e">
        <f>'North America'!C1248+"$F;@!2&lt;^"</f>
        <v>#VALUE!</v>
      </c>
      <c r="IL347" t="e">
        <f>'North America'!D1248+"$F;@!2&lt;_"</f>
        <v>#VALUE!</v>
      </c>
      <c r="IM347" t="e">
        <f>'North America'!E1248+"$F;@!2&lt;`"</f>
        <v>#VALUE!</v>
      </c>
      <c r="IN347" t="e">
        <f>'North America'!F1248+"$F;@!2&lt;a"</f>
        <v>#VALUE!</v>
      </c>
      <c r="IO347" t="e">
        <f>'North America'!G1248+"$F;@!2&lt;b"</f>
        <v>#VALUE!</v>
      </c>
      <c r="IP347" t="e">
        <f>'North America'!H1248+"$F;@!2&lt;c"</f>
        <v>#VALUE!</v>
      </c>
      <c r="IQ347" t="e">
        <f>'North America'!A1249+"$F;@!2&lt;d"</f>
        <v>#VALUE!</v>
      </c>
      <c r="IR347" t="e">
        <f>'North America'!B1249+"$F;@!2&lt;e"</f>
        <v>#VALUE!</v>
      </c>
      <c r="IS347" t="e">
        <f>'North America'!C1249+"$F;@!2&lt;f"</f>
        <v>#VALUE!</v>
      </c>
      <c r="IT347" t="e">
        <f>'North America'!D1249+"$F;@!2&lt;g"</f>
        <v>#VALUE!</v>
      </c>
      <c r="IU347" t="e">
        <f>'North America'!E1249+"$F;@!2&lt;h"</f>
        <v>#VALUE!</v>
      </c>
      <c r="IV347" t="e">
        <f>'North America'!F1249+"$F;@!2&lt;i"</f>
        <v>#VALUE!</v>
      </c>
    </row>
    <row r="348" spans="6:256" x14ac:dyDescent="0.35">
      <c r="F348" t="e">
        <f>'North America'!G1249+"$F;@!2&lt;j"</f>
        <v>#VALUE!</v>
      </c>
      <c r="G348" t="e">
        <f>'North America'!H1249+"$F;@!2&lt;k"</f>
        <v>#VALUE!</v>
      </c>
      <c r="H348" t="e">
        <f>'North America'!A1250+"$F;@!2&lt;l"</f>
        <v>#VALUE!</v>
      </c>
      <c r="I348" t="e">
        <f>'North America'!B1250+"$F;@!2&lt;m"</f>
        <v>#VALUE!</v>
      </c>
      <c r="J348" t="e">
        <f>'North America'!C1250+"$F;@!2&lt;n"</f>
        <v>#VALUE!</v>
      </c>
      <c r="K348" t="e">
        <f>'North America'!D1250+"$F;@!2&lt;o"</f>
        <v>#VALUE!</v>
      </c>
      <c r="L348" t="e">
        <f>'North America'!E1250+"$F;@!2&lt;p"</f>
        <v>#VALUE!</v>
      </c>
      <c r="M348" t="e">
        <f>'North America'!F1250+"$F;@!2&lt;q"</f>
        <v>#VALUE!</v>
      </c>
      <c r="N348" t="e">
        <f>'North America'!G1250+"$F;@!2&lt;r"</f>
        <v>#VALUE!</v>
      </c>
      <c r="O348" t="e">
        <f>'North America'!H1250+"$F;@!2&lt;s"</f>
        <v>#VALUE!</v>
      </c>
      <c r="P348" t="e">
        <f>'North America'!A1251+"$F;@!2&lt;t"</f>
        <v>#VALUE!</v>
      </c>
      <c r="Q348" t="e">
        <f>'North America'!B1251+"$F;@!2&lt;u"</f>
        <v>#VALUE!</v>
      </c>
      <c r="R348" t="e">
        <f>'North America'!C1251+"$F;@!2&lt;v"</f>
        <v>#VALUE!</v>
      </c>
      <c r="S348" t="e">
        <f>'North America'!D1251+"$F;@!2&lt;w"</f>
        <v>#VALUE!</v>
      </c>
      <c r="T348" t="e">
        <f>'North America'!E1251+"$F;@!2&lt;x"</f>
        <v>#VALUE!</v>
      </c>
      <c r="U348" t="e">
        <f>'North America'!F1251+"$F;@!2&lt;y"</f>
        <v>#VALUE!</v>
      </c>
      <c r="V348" t="e">
        <f>'North America'!G1251+"$F;@!2&lt;z"</f>
        <v>#VALUE!</v>
      </c>
      <c r="W348" t="e">
        <f>'North America'!H1251+"$F;@!2&lt;{"</f>
        <v>#VALUE!</v>
      </c>
      <c r="X348" t="e">
        <f>'North America'!A1252+"$F;@!2&lt;|"</f>
        <v>#VALUE!</v>
      </c>
      <c r="Y348" t="e">
        <f>'North America'!B1252+"$F;@!2&lt;}"</f>
        <v>#VALUE!</v>
      </c>
      <c r="Z348" t="e">
        <f>'North America'!C1252+"$F;@!2&lt;~"</f>
        <v>#VALUE!</v>
      </c>
      <c r="AA348" t="e">
        <f>'North America'!D1252+"$F;@!2=#"</f>
        <v>#VALUE!</v>
      </c>
      <c r="AB348" t="e">
        <f>'North America'!E1252+"$F;@!2=$"</f>
        <v>#VALUE!</v>
      </c>
      <c r="AC348" t="e">
        <f>'North America'!F1252+"$F;@!2=%"</f>
        <v>#VALUE!</v>
      </c>
      <c r="AD348" t="e">
        <f>'North America'!G1252+"$F;@!2=&amp;"</f>
        <v>#VALUE!</v>
      </c>
      <c r="AE348" t="e">
        <f>'North America'!H1252+"$F;@!2='"</f>
        <v>#VALUE!</v>
      </c>
      <c r="AF348" t="e">
        <f>'North America'!A1253+"$F;@!2=("</f>
        <v>#VALUE!</v>
      </c>
      <c r="AG348" t="e">
        <f>'North America'!B1253+"$F;@!2=)"</f>
        <v>#VALUE!</v>
      </c>
      <c r="AH348" t="e">
        <f>'North America'!C1253+"$F;@!2=."</f>
        <v>#VALUE!</v>
      </c>
      <c r="AI348" t="e">
        <f>'North America'!D1253+"$F;@!2=/"</f>
        <v>#VALUE!</v>
      </c>
      <c r="AJ348" t="e">
        <f>'North America'!E1253+"$F;@!2=0"</f>
        <v>#VALUE!</v>
      </c>
      <c r="AK348" t="e">
        <f>'North America'!F1253+"$F;@!2=1"</f>
        <v>#VALUE!</v>
      </c>
      <c r="AL348" t="e">
        <f>'North America'!G1253+"$F;@!2=2"</f>
        <v>#VALUE!</v>
      </c>
      <c r="AM348" t="e">
        <f>'North America'!H1253+"$F;@!2=3"</f>
        <v>#VALUE!</v>
      </c>
      <c r="AN348" t="e">
        <f>'North America'!A1254+"$F;@!2=4"</f>
        <v>#VALUE!</v>
      </c>
      <c r="AO348" t="e">
        <f>'North America'!B1254+"$F;@!2=5"</f>
        <v>#VALUE!</v>
      </c>
      <c r="AP348" t="e">
        <f>'North America'!C1254+"$F;@!2=6"</f>
        <v>#VALUE!</v>
      </c>
      <c r="AQ348" t="e">
        <f>'North America'!D1254+"$F;@!2=7"</f>
        <v>#VALUE!</v>
      </c>
      <c r="AR348" t="e">
        <f>'North America'!E1254+"$F;@!2=8"</f>
        <v>#VALUE!</v>
      </c>
      <c r="AS348" t="e">
        <f>'North America'!F1254+"$F;@!2=9"</f>
        <v>#VALUE!</v>
      </c>
      <c r="AT348" t="e">
        <f>'North America'!G1254+"$F;@!2=:"</f>
        <v>#VALUE!</v>
      </c>
      <c r="AU348" t="e">
        <f>'North America'!H1254+"$F;@!2=;"</f>
        <v>#VALUE!</v>
      </c>
      <c r="AV348" t="e">
        <f>'North America'!A1255+"$F;@!2=&lt;"</f>
        <v>#VALUE!</v>
      </c>
      <c r="AW348" t="e">
        <f>'North America'!B1255+"$F;@!2=="</f>
        <v>#VALUE!</v>
      </c>
      <c r="AX348" t="e">
        <f>'North America'!C1255+"$F;@!2=&gt;"</f>
        <v>#VALUE!</v>
      </c>
      <c r="AY348" t="e">
        <f>'North America'!D1255+"$F;@!2=?"</f>
        <v>#VALUE!</v>
      </c>
      <c r="AZ348" t="e">
        <f>'North America'!E1255+"$F;@!2=@"</f>
        <v>#VALUE!</v>
      </c>
      <c r="BA348" t="e">
        <f>'North America'!F1255+"$F;@!2=A"</f>
        <v>#VALUE!</v>
      </c>
      <c r="BB348" t="e">
        <f>'North America'!G1255+"$F;@!2=B"</f>
        <v>#VALUE!</v>
      </c>
      <c r="BC348" t="e">
        <f>'North America'!H1255+"$F;@!2=C"</f>
        <v>#VALUE!</v>
      </c>
      <c r="BD348" t="e">
        <f>'North America'!A1256+"$F;@!2=D"</f>
        <v>#VALUE!</v>
      </c>
      <c r="BE348" t="e">
        <f>'North America'!B1256+"$F;@!2=E"</f>
        <v>#VALUE!</v>
      </c>
      <c r="BF348" t="e">
        <f>'North America'!C1256+"$F;@!2=F"</f>
        <v>#VALUE!</v>
      </c>
      <c r="BG348" t="e">
        <f>'North America'!D1256+"$F;@!2=G"</f>
        <v>#VALUE!</v>
      </c>
      <c r="BH348" t="e">
        <f>'North America'!E1256+"$F;@!2=H"</f>
        <v>#VALUE!</v>
      </c>
      <c r="BI348" t="e">
        <f>'North America'!F1256+"$F;@!2=I"</f>
        <v>#VALUE!</v>
      </c>
      <c r="BJ348" t="e">
        <f>'North America'!G1256+"$F;@!2=J"</f>
        <v>#VALUE!</v>
      </c>
      <c r="BK348" t="e">
        <f>'North America'!H1256+"$F;@!2=K"</f>
        <v>#VALUE!</v>
      </c>
      <c r="BL348" t="e">
        <f>'North America'!A1257+"$F;@!2=L"</f>
        <v>#VALUE!</v>
      </c>
      <c r="BM348" t="e">
        <f>'North America'!B1257+"$F;@!2=M"</f>
        <v>#VALUE!</v>
      </c>
      <c r="BN348" t="e">
        <f>'North America'!C1257+"$F;@!2=N"</f>
        <v>#VALUE!</v>
      </c>
      <c r="BO348" t="e">
        <f>'North America'!D1257+"$F;@!2=O"</f>
        <v>#VALUE!</v>
      </c>
      <c r="BP348" t="e">
        <f>'North America'!E1257+"$F;@!2=P"</f>
        <v>#VALUE!</v>
      </c>
      <c r="BQ348" t="e">
        <f>'North America'!F1257+"$F;@!2=Q"</f>
        <v>#VALUE!</v>
      </c>
      <c r="BR348" t="e">
        <f>'North America'!G1257+"$F;@!2=R"</f>
        <v>#VALUE!</v>
      </c>
      <c r="BS348" t="e">
        <f>'North America'!H1257+"$F;@!2=S"</f>
        <v>#VALUE!</v>
      </c>
      <c r="BT348" t="e">
        <f>'North America'!A1258+"$F;@!2=T"</f>
        <v>#VALUE!</v>
      </c>
      <c r="BU348" t="e">
        <f>'North America'!B1258+"$F;@!2=U"</f>
        <v>#VALUE!</v>
      </c>
      <c r="BV348" t="e">
        <f>'North America'!C1258+"$F;@!2=V"</f>
        <v>#VALUE!</v>
      </c>
      <c r="BW348" t="e">
        <f>'North America'!D1258+"$F;@!2=W"</f>
        <v>#VALUE!</v>
      </c>
      <c r="BX348" t="e">
        <f>'North America'!E1258+"$F;@!2=X"</f>
        <v>#VALUE!</v>
      </c>
      <c r="BY348" t="e">
        <f>'North America'!F1258+"$F;@!2=Y"</f>
        <v>#VALUE!</v>
      </c>
      <c r="BZ348" t="e">
        <f>'North America'!G1258+"$F;@!2=Z"</f>
        <v>#VALUE!</v>
      </c>
      <c r="CA348" t="e">
        <f>'North America'!H1258+"$F;@!2=["</f>
        <v>#VALUE!</v>
      </c>
      <c r="CB348" t="e">
        <f>'North America'!A1259+"$F;@!2=\"</f>
        <v>#VALUE!</v>
      </c>
      <c r="CC348" t="e">
        <f>'North America'!B1259+"$F;@!2=]"</f>
        <v>#VALUE!</v>
      </c>
      <c r="CD348" t="e">
        <f>'North America'!C1259+"$F;@!2=^"</f>
        <v>#VALUE!</v>
      </c>
      <c r="CE348" t="e">
        <f>'North America'!D1259+"$F;@!2=_"</f>
        <v>#VALUE!</v>
      </c>
      <c r="CF348" t="e">
        <f>'North America'!E1259+"$F;@!2=`"</f>
        <v>#VALUE!</v>
      </c>
      <c r="CG348" t="e">
        <f>'North America'!F1259+"$F;@!2=a"</f>
        <v>#VALUE!</v>
      </c>
      <c r="CH348" t="e">
        <f>'North America'!G1259+"$F;@!2=b"</f>
        <v>#VALUE!</v>
      </c>
      <c r="CI348" t="e">
        <f>'North America'!H1259+"$F;@!2=c"</f>
        <v>#VALUE!</v>
      </c>
      <c r="CJ348" t="e">
        <f>'North America'!A1260+"$F;@!2=d"</f>
        <v>#VALUE!</v>
      </c>
      <c r="CK348" t="e">
        <f>'North America'!B1260+"$F;@!2=e"</f>
        <v>#VALUE!</v>
      </c>
      <c r="CL348" t="e">
        <f>'North America'!C1260+"$F;@!2=f"</f>
        <v>#VALUE!</v>
      </c>
      <c r="CM348" t="e">
        <f>'North America'!D1260+"$F;@!2=g"</f>
        <v>#VALUE!</v>
      </c>
      <c r="CN348" t="e">
        <f>'North America'!E1260+"$F;@!2=h"</f>
        <v>#VALUE!</v>
      </c>
      <c r="CO348" t="e">
        <f>'North America'!F1260+"$F;@!2=i"</f>
        <v>#VALUE!</v>
      </c>
      <c r="CP348" t="e">
        <f>'North America'!G1260+"$F;@!2=j"</f>
        <v>#VALUE!</v>
      </c>
      <c r="CQ348" t="e">
        <f>'North America'!H1260+"$F;@!2=k"</f>
        <v>#VALUE!</v>
      </c>
      <c r="CR348" t="e">
        <f>'North America'!A1261+"$F;@!2=l"</f>
        <v>#VALUE!</v>
      </c>
      <c r="CS348" t="e">
        <f>'North America'!B1261+"$F;@!2=m"</f>
        <v>#VALUE!</v>
      </c>
      <c r="CT348" t="e">
        <f>'North America'!C1261+"$F;@!2=n"</f>
        <v>#VALUE!</v>
      </c>
      <c r="CU348" t="e">
        <f>'North America'!D1261+"$F;@!2=o"</f>
        <v>#VALUE!</v>
      </c>
      <c r="CV348" t="e">
        <f>'North America'!E1261+"$F;@!2=p"</f>
        <v>#VALUE!</v>
      </c>
      <c r="CW348" t="e">
        <f>'North America'!F1261+"$F;@!2=q"</f>
        <v>#VALUE!</v>
      </c>
      <c r="CX348" t="e">
        <f>'North America'!G1261+"$F;@!2=r"</f>
        <v>#VALUE!</v>
      </c>
      <c r="CY348" t="e">
        <f>'North America'!H1261+"$F;@!2=s"</f>
        <v>#VALUE!</v>
      </c>
      <c r="CZ348" t="e">
        <f>'North America'!A1262+"$F;@!2=t"</f>
        <v>#VALUE!</v>
      </c>
      <c r="DA348" t="e">
        <f>'North America'!B1262+"$F;@!2=u"</f>
        <v>#VALUE!</v>
      </c>
      <c r="DB348" t="e">
        <f>'North America'!C1262+"$F;@!2=v"</f>
        <v>#VALUE!</v>
      </c>
      <c r="DC348" t="e">
        <f>'North America'!D1262+"$F;@!2=w"</f>
        <v>#VALUE!</v>
      </c>
      <c r="DD348" t="e">
        <f>'North America'!E1262+"$F;@!2=x"</f>
        <v>#VALUE!</v>
      </c>
      <c r="DE348" t="e">
        <f>'North America'!F1262+"$F;@!2=y"</f>
        <v>#VALUE!</v>
      </c>
      <c r="DF348" t="e">
        <f>'North America'!G1262+"$F;@!2=z"</f>
        <v>#VALUE!</v>
      </c>
      <c r="DG348" t="e">
        <f>'North America'!H1262+"$F;@!2={"</f>
        <v>#VALUE!</v>
      </c>
      <c r="DH348" t="e">
        <f>'North America'!A1263+"$F;@!2=|"</f>
        <v>#VALUE!</v>
      </c>
      <c r="DI348" t="e">
        <f>'North America'!B1263+"$F;@!2=}"</f>
        <v>#VALUE!</v>
      </c>
      <c r="DJ348" t="e">
        <f>'North America'!C1263+"$F;@!2=~"</f>
        <v>#VALUE!</v>
      </c>
      <c r="DK348" t="e">
        <f>'North America'!D1263+"$F;@!2&gt;#"</f>
        <v>#VALUE!</v>
      </c>
      <c r="DL348" t="e">
        <f>'North America'!E1263+"$F;@!2&gt;$"</f>
        <v>#VALUE!</v>
      </c>
      <c r="DM348" t="e">
        <f>'North America'!F1263+"$F;@!2&gt;%"</f>
        <v>#VALUE!</v>
      </c>
      <c r="DN348" t="e">
        <f>'North America'!G1263+"$F;@!2&gt;&amp;"</f>
        <v>#VALUE!</v>
      </c>
      <c r="DO348" t="e">
        <f>'North America'!H1263+"$F;@!2&gt;'"</f>
        <v>#VALUE!</v>
      </c>
      <c r="DP348" t="e">
        <f>'North America'!A1264+"$F;@!2&gt;("</f>
        <v>#VALUE!</v>
      </c>
      <c r="DQ348" t="e">
        <f>'North America'!B1264+"$F;@!2&gt;)"</f>
        <v>#VALUE!</v>
      </c>
      <c r="DR348" t="e">
        <f>'North America'!C1264+"$F;@!2&gt;."</f>
        <v>#VALUE!</v>
      </c>
      <c r="DS348" t="e">
        <f>'North America'!D1264+"$F;@!2&gt;/"</f>
        <v>#VALUE!</v>
      </c>
      <c r="DT348" t="e">
        <f>'North America'!E1264+"$F;@!2&gt;0"</f>
        <v>#VALUE!</v>
      </c>
      <c r="DU348" t="e">
        <f>'North America'!F1264+"$F;@!2&gt;1"</f>
        <v>#VALUE!</v>
      </c>
      <c r="DV348" t="e">
        <f>'North America'!G1264+"$F;@!2&gt;2"</f>
        <v>#VALUE!</v>
      </c>
      <c r="DW348" t="e">
        <f>'North America'!H1264+"$F;@!2&gt;3"</f>
        <v>#VALUE!</v>
      </c>
      <c r="DX348" t="e">
        <f>'North America'!A1265+"$F;@!2&gt;4"</f>
        <v>#VALUE!</v>
      </c>
      <c r="DY348" t="e">
        <f>'North America'!B1265+"$F;@!2&gt;5"</f>
        <v>#VALUE!</v>
      </c>
      <c r="DZ348" t="e">
        <f>'North America'!C1265+"$F;@!2&gt;6"</f>
        <v>#VALUE!</v>
      </c>
      <c r="EA348" t="e">
        <f>'North America'!D1265+"$F;@!2&gt;7"</f>
        <v>#VALUE!</v>
      </c>
      <c r="EB348" t="e">
        <f>'North America'!E1265+"$F;@!2&gt;8"</f>
        <v>#VALUE!</v>
      </c>
      <c r="EC348" t="e">
        <f>'North America'!F1265+"$F;@!2&gt;9"</f>
        <v>#VALUE!</v>
      </c>
      <c r="ED348" t="e">
        <f>'North America'!G1265+"$F;@!2&gt;:"</f>
        <v>#VALUE!</v>
      </c>
      <c r="EE348" t="e">
        <f>'North America'!H1265+"$F;@!2&gt;;"</f>
        <v>#VALUE!</v>
      </c>
      <c r="EF348" t="e">
        <f>'North America'!A1266+"$F;@!2&gt;&lt;"</f>
        <v>#VALUE!</v>
      </c>
      <c r="EG348" t="e">
        <f>'North America'!B1266+"$F;@!2&gt;="</f>
        <v>#VALUE!</v>
      </c>
      <c r="EH348" t="e">
        <f>'North America'!C1266+"$F;@!2&gt;&gt;"</f>
        <v>#VALUE!</v>
      </c>
      <c r="EI348" t="e">
        <f>'North America'!D1266+"$F;@!2&gt;?"</f>
        <v>#VALUE!</v>
      </c>
      <c r="EJ348" t="e">
        <f>'North America'!E1266+"$F;@!2&gt;@"</f>
        <v>#VALUE!</v>
      </c>
      <c r="EK348" t="e">
        <f>'North America'!F1266+"$F;@!2&gt;A"</f>
        <v>#VALUE!</v>
      </c>
      <c r="EL348" t="e">
        <f>'North America'!G1266+"$F;@!2&gt;B"</f>
        <v>#VALUE!</v>
      </c>
      <c r="EM348" t="e">
        <f>'North America'!H1266+"$F;@!2&gt;C"</f>
        <v>#VALUE!</v>
      </c>
      <c r="EN348" t="e">
        <f>'North America'!A1267+"$F;@!2&gt;D"</f>
        <v>#VALUE!</v>
      </c>
      <c r="EO348" t="e">
        <f>'North America'!B1267+"$F;@!2&gt;E"</f>
        <v>#VALUE!</v>
      </c>
      <c r="EP348" t="e">
        <f>'North America'!C1267+"$F;@!2&gt;F"</f>
        <v>#VALUE!</v>
      </c>
      <c r="EQ348" t="e">
        <f>'North America'!D1267+"$F;@!2&gt;G"</f>
        <v>#VALUE!</v>
      </c>
      <c r="ER348" t="e">
        <f>'North America'!E1267+"$F;@!2&gt;H"</f>
        <v>#VALUE!</v>
      </c>
      <c r="ES348" t="e">
        <f>'North America'!F1267+"$F;@!2&gt;I"</f>
        <v>#VALUE!</v>
      </c>
      <c r="ET348" t="e">
        <f>'North America'!G1267+"$F;@!2&gt;J"</f>
        <v>#VALUE!</v>
      </c>
      <c r="EU348" t="e">
        <f>'North America'!H1267+"$F;@!2&gt;K"</f>
        <v>#VALUE!</v>
      </c>
      <c r="EV348" t="e">
        <f>'North America'!A1268+"$F;@!2&gt;L"</f>
        <v>#VALUE!</v>
      </c>
      <c r="EW348" t="e">
        <f>'North America'!B1268+"$F;@!2&gt;M"</f>
        <v>#VALUE!</v>
      </c>
      <c r="EX348" t="e">
        <f>'North America'!C1268+"$F;@!2&gt;N"</f>
        <v>#VALUE!</v>
      </c>
      <c r="EY348" t="e">
        <f>'North America'!D1268+"$F;@!2&gt;O"</f>
        <v>#VALUE!</v>
      </c>
      <c r="EZ348" t="e">
        <f>'North America'!E1268+"$F;@!2&gt;P"</f>
        <v>#VALUE!</v>
      </c>
      <c r="FA348" t="e">
        <f>'North America'!F1268+"$F;@!2&gt;Q"</f>
        <v>#VALUE!</v>
      </c>
      <c r="FB348" t="e">
        <f>'North America'!G1268+"$F;@!2&gt;R"</f>
        <v>#VALUE!</v>
      </c>
      <c r="FC348" t="e">
        <f>'North America'!H1268+"$F;@!2&gt;S"</f>
        <v>#VALUE!</v>
      </c>
      <c r="FD348" t="e">
        <f>'North America'!A1269+"$F;@!2&gt;T"</f>
        <v>#VALUE!</v>
      </c>
      <c r="FE348" t="e">
        <f>'North America'!B1269+"$F;@!2&gt;U"</f>
        <v>#VALUE!</v>
      </c>
      <c r="FF348" t="e">
        <f>'North America'!C1269+"$F;@!2&gt;V"</f>
        <v>#VALUE!</v>
      </c>
      <c r="FG348" t="e">
        <f>'North America'!D1269+"$F;@!2&gt;W"</f>
        <v>#VALUE!</v>
      </c>
      <c r="FH348" t="e">
        <f>'North America'!E1269+"$F;@!2&gt;X"</f>
        <v>#VALUE!</v>
      </c>
      <c r="FI348" t="e">
        <f>'North America'!F1269+"$F;@!2&gt;Y"</f>
        <v>#VALUE!</v>
      </c>
      <c r="FJ348" t="e">
        <f>'North America'!G1269+"$F;@!2&gt;Z"</f>
        <v>#VALUE!</v>
      </c>
      <c r="FK348" t="e">
        <f>'North America'!H1269+"$F;@!2&gt;["</f>
        <v>#VALUE!</v>
      </c>
      <c r="FL348" t="e">
        <f>'North America'!A1270+"$F;@!2&gt;\"</f>
        <v>#VALUE!</v>
      </c>
      <c r="FM348" t="e">
        <f>'North America'!B1270+"$F;@!2&gt;]"</f>
        <v>#VALUE!</v>
      </c>
      <c r="FN348" t="e">
        <f>'North America'!C1270+"$F;@!2&gt;^"</f>
        <v>#VALUE!</v>
      </c>
      <c r="FO348" t="e">
        <f>'North America'!D1270+"$F;@!2&gt;_"</f>
        <v>#VALUE!</v>
      </c>
      <c r="FP348" t="e">
        <f>'North America'!E1270+"$F;@!2&gt;`"</f>
        <v>#VALUE!</v>
      </c>
      <c r="FQ348" t="e">
        <f>'North America'!F1270+"$F;@!2&gt;a"</f>
        <v>#VALUE!</v>
      </c>
      <c r="FR348" t="e">
        <f>'North America'!G1270+"$F;@!2&gt;b"</f>
        <v>#VALUE!</v>
      </c>
      <c r="FS348" t="e">
        <f>'North America'!H1270+"$F;@!2&gt;c"</f>
        <v>#VALUE!</v>
      </c>
      <c r="FT348" t="e">
        <f>'North America'!A1271+"$F;@!2&gt;d"</f>
        <v>#VALUE!</v>
      </c>
      <c r="FU348" t="e">
        <f>'North America'!B1271+"$F;@!2&gt;e"</f>
        <v>#VALUE!</v>
      </c>
      <c r="FV348" t="e">
        <f>'North America'!C1271+"$F;@!2&gt;f"</f>
        <v>#VALUE!</v>
      </c>
      <c r="FW348" t="e">
        <f>'North America'!D1271+"$F;@!2&gt;g"</f>
        <v>#VALUE!</v>
      </c>
      <c r="FX348" t="e">
        <f>'North America'!E1271+"$F;@!2&gt;h"</f>
        <v>#VALUE!</v>
      </c>
      <c r="FY348" t="e">
        <f>'North America'!F1271+"$F;@!2&gt;i"</f>
        <v>#VALUE!</v>
      </c>
      <c r="FZ348" t="e">
        <f>'North America'!G1271+"$F;@!2&gt;j"</f>
        <v>#VALUE!</v>
      </c>
      <c r="GA348" t="e">
        <f>'North America'!H1271+"$F;@!2&gt;k"</f>
        <v>#VALUE!</v>
      </c>
      <c r="GB348" t="e">
        <f>'North America'!A1272+"$F;@!2&gt;l"</f>
        <v>#VALUE!</v>
      </c>
      <c r="GC348" t="e">
        <f>'North America'!B1272+"$F;@!2&gt;m"</f>
        <v>#VALUE!</v>
      </c>
      <c r="GD348" t="e">
        <f>'North America'!C1272+"$F;@!2&gt;n"</f>
        <v>#VALUE!</v>
      </c>
      <c r="GE348" t="e">
        <f>'North America'!D1272+"$F;@!2&gt;o"</f>
        <v>#VALUE!</v>
      </c>
      <c r="GF348" t="e">
        <f>'North America'!E1272+"$F;@!2&gt;p"</f>
        <v>#VALUE!</v>
      </c>
      <c r="GG348" t="e">
        <f>'North America'!F1272+"$F;@!2&gt;q"</f>
        <v>#VALUE!</v>
      </c>
      <c r="GH348" t="e">
        <f>'North America'!G1272+"$F;@!2&gt;r"</f>
        <v>#VALUE!</v>
      </c>
      <c r="GI348" t="e">
        <f>'North America'!H1272+"$F;@!2&gt;s"</f>
        <v>#VALUE!</v>
      </c>
      <c r="GJ348" t="e">
        <f>'North America'!A1273+"$F;@!2&gt;t"</f>
        <v>#VALUE!</v>
      </c>
      <c r="GK348" t="e">
        <f>'North America'!B1273+"$F;@!2&gt;u"</f>
        <v>#VALUE!</v>
      </c>
      <c r="GL348" t="e">
        <f>'North America'!C1273+"$F;@!2&gt;v"</f>
        <v>#VALUE!</v>
      </c>
      <c r="GM348" t="e">
        <f>'North America'!D1273+"$F;@!2&gt;w"</f>
        <v>#VALUE!</v>
      </c>
      <c r="GN348" t="e">
        <f>'North America'!E1273+"$F;@!2&gt;x"</f>
        <v>#VALUE!</v>
      </c>
      <c r="GO348" t="e">
        <f>'North America'!F1273+"$F;@!2&gt;y"</f>
        <v>#VALUE!</v>
      </c>
      <c r="GP348" t="e">
        <f>'North America'!G1273+"$F;@!2&gt;z"</f>
        <v>#VALUE!</v>
      </c>
      <c r="GQ348" t="e">
        <f>'North America'!H1273+"$F;@!2&gt;{"</f>
        <v>#VALUE!</v>
      </c>
      <c r="GR348" t="e">
        <f>'North America'!A1274+"$F;@!2&gt;|"</f>
        <v>#VALUE!</v>
      </c>
      <c r="GS348" t="e">
        <f>'North America'!B1274+"$F;@!2&gt;}"</f>
        <v>#VALUE!</v>
      </c>
      <c r="GT348" t="e">
        <f>'North America'!C1274+"$F;@!2&gt;~"</f>
        <v>#VALUE!</v>
      </c>
      <c r="GU348" t="e">
        <f>'North America'!D1274+"$F;@!2?#"</f>
        <v>#VALUE!</v>
      </c>
      <c r="GV348" t="e">
        <f>'North America'!E1274+"$F;@!2?$"</f>
        <v>#VALUE!</v>
      </c>
      <c r="GW348" t="e">
        <f>'North America'!F1274+"$F;@!2?%"</f>
        <v>#VALUE!</v>
      </c>
      <c r="GX348" t="e">
        <f>'North America'!G1274+"$F;@!2?&amp;"</f>
        <v>#VALUE!</v>
      </c>
      <c r="GY348" t="e">
        <f>'North America'!H1274+"$F;@!2?'"</f>
        <v>#VALUE!</v>
      </c>
      <c r="GZ348" t="e">
        <f>'North America'!A1275+"$F;@!2?("</f>
        <v>#VALUE!</v>
      </c>
      <c r="HA348" t="e">
        <f>'North America'!B1275+"$F;@!2?)"</f>
        <v>#VALUE!</v>
      </c>
      <c r="HB348" t="e">
        <f>'North America'!C1275+"$F;@!2?."</f>
        <v>#VALUE!</v>
      </c>
      <c r="HC348" t="e">
        <f>'North America'!D1275+"$F;@!2?/"</f>
        <v>#VALUE!</v>
      </c>
      <c r="HD348" t="e">
        <f>'North America'!E1275+"$F;@!2?0"</f>
        <v>#VALUE!</v>
      </c>
      <c r="HE348" t="e">
        <f>'North America'!F1275+"$F;@!2?1"</f>
        <v>#VALUE!</v>
      </c>
      <c r="HF348" t="e">
        <f>'North America'!G1275+"$F;@!2?2"</f>
        <v>#VALUE!</v>
      </c>
      <c r="HG348" t="e">
        <f>'North America'!H1275+"$F;@!2?3"</f>
        <v>#VALUE!</v>
      </c>
      <c r="HH348" t="e">
        <f>'North America'!A1276+"$F;@!2?4"</f>
        <v>#VALUE!</v>
      </c>
      <c r="HI348" t="e">
        <f>'North America'!B1276+"$F;@!2?5"</f>
        <v>#VALUE!</v>
      </c>
      <c r="HJ348" t="e">
        <f>'North America'!C1276+"$F;@!2?6"</f>
        <v>#VALUE!</v>
      </c>
      <c r="HK348" t="e">
        <f>'North America'!D1276+"$F;@!2?7"</f>
        <v>#VALUE!</v>
      </c>
      <c r="HL348" t="e">
        <f>'North America'!E1276+"$F;@!2?8"</f>
        <v>#VALUE!</v>
      </c>
      <c r="HM348" t="e">
        <f>'North America'!F1276+"$F;@!2?9"</f>
        <v>#VALUE!</v>
      </c>
      <c r="HN348" t="e">
        <f>'North America'!G1276+"$F;@!2?:"</f>
        <v>#VALUE!</v>
      </c>
      <c r="HO348" t="e">
        <f>'North America'!H1276+"$F;@!2?;"</f>
        <v>#VALUE!</v>
      </c>
      <c r="HP348" t="e">
        <f>'North America'!A1277+"$F;@!2?&lt;"</f>
        <v>#VALUE!</v>
      </c>
      <c r="HQ348" t="e">
        <f>'North America'!B1277+"$F;@!2?="</f>
        <v>#VALUE!</v>
      </c>
      <c r="HR348" t="e">
        <f>'North America'!C1277+"$F;@!2?&gt;"</f>
        <v>#VALUE!</v>
      </c>
      <c r="HS348" t="e">
        <f>'North America'!D1277+"$F;@!2??"</f>
        <v>#VALUE!</v>
      </c>
      <c r="HT348" t="e">
        <f>'North America'!E1277+"$F;@!2?@"</f>
        <v>#VALUE!</v>
      </c>
      <c r="HU348" t="e">
        <f>'North America'!F1277+"$F;@!2?A"</f>
        <v>#VALUE!</v>
      </c>
      <c r="HV348" t="e">
        <f>'North America'!G1277+"$F;@!2?B"</f>
        <v>#VALUE!</v>
      </c>
      <c r="HW348" t="e">
        <f>'North America'!H1277+"$F;@!2?C"</f>
        <v>#VALUE!</v>
      </c>
      <c r="HX348" t="e">
        <f>'North America'!A1278+"$F;@!2?D"</f>
        <v>#VALUE!</v>
      </c>
      <c r="HY348" t="e">
        <f>'North America'!B1278+"$F;@!2?E"</f>
        <v>#VALUE!</v>
      </c>
      <c r="HZ348" t="e">
        <f>'North America'!C1278+"$F;@!2?F"</f>
        <v>#VALUE!</v>
      </c>
      <c r="IA348" t="e">
        <f>'North America'!D1278+"$F;@!2?G"</f>
        <v>#VALUE!</v>
      </c>
      <c r="IB348" t="e">
        <f>'North America'!E1278+"$F;@!2?H"</f>
        <v>#VALUE!</v>
      </c>
      <c r="IC348" t="e">
        <f>'North America'!F1278+"$F;@!2?I"</f>
        <v>#VALUE!</v>
      </c>
      <c r="ID348" t="e">
        <f>'North America'!G1278+"$F;@!2?J"</f>
        <v>#VALUE!</v>
      </c>
      <c r="IE348" t="e">
        <f>'North America'!H1278+"$F;@!2?K"</f>
        <v>#VALUE!</v>
      </c>
      <c r="IF348" t="e">
        <f>'North America'!A1279+"$F;@!2?L"</f>
        <v>#VALUE!</v>
      </c>
      <c r="IG348" t="e">
        <f>'North America'!B1279+"$F;@!2?M"</f>
        <v>#VALUE!</v>
      </c>
      <c r="IH348" t="e">
        <f>'North America'!C1279+"$F;@!2?N"</f>
        <v>#VALUE!</v>
      </c>
      <c r="II348" t="e">
        <f>'North America'!D1279+"$F;@!2?O"</f>
        <v>#VALUE!</v>
      </c>
      <c r="IJ348" t="e">
        <f>'North America'!E1279+"$F;@!2?P"</f>
        <v>#VALUE!</v>
      </c>
      <c r="IK348" t="e">
        <f>'North America'!F1279+"$F;@!2?Q"</f>
        <v>#VALUE!</v>
      </c>
      <c r="IL348" t="e">
        <f>'North America'!G1279+"$F;@!2?R"</f>
        <v>#VALUE!</v>
      </c>
      <c r="IM348" t="e">
        <f>'North America'!H1279+"$F;@!2?S"</f>
        <v>#VALUE!</v>
      </c>
      <c r="IN348" t="e">
        <f>'North America'!A1280+"$F;@!2?T"</f>
        <v>#VALUE!</v>
      </c>
      <c r="IO348" t="e">
        <f>'North America'!B1280+"$F;@!2?U"</f>
        <v>#VALUE!</v>
      </c>
      <c r="IP348" t="e">
        <f>'North America'!C1280+"$F;@!2?V"</f>
        <v>#VALUE!</v>
      </c>
      <c r="IQ348" t="e">
        <f>'North America'!D1280+"$F;@!2?W"</f>
        <v>#VALUE!</v>
      </c>
      <c r="IR348" t="e">
        <f>'North America'!E1280+"$F;@!2?X"</f>
        <v>#VALUE!</v>
      </c>
      <c r="IS348" t="e">
        <f>'North America'!F1280+"$F;@!2?Y"</f>
        <v>#VALUE!</v>
      </c>
      <c r="IT348" t="e">
        <f>'North America'!G1280+"$F;@!2?Z"</f>
        <v>#VALUE!</v>
      </c>
      <c r="IU348" t="e">
        <f>'North America'!H1280+"$F;@!2?["</f>
        <v>#VALUE!</v>
      </c>
      <c r="IV348" t="e">
        <f>'North America'!A1281+"$F;@!2?\"</f>
        <v>#VALUE!</v>
      </c>
    </row>
    <row r="349" spans="6:256" x14ac:dyDescent="0.35">
      <c r="F349" t="e">
        <f>'North America'!B1281+"$F;@!2?]"</f>
        <v>#VALUE!</v>
      </c>
      <c r="G349" t="e">
        <f>'North America'!C1281+"$F;@!2?^"</f>
        <v>#VALUE!</v>
      </c>
      <c r="H349" t="e">
        <f>'North America'!D1281+"$F;@!2?_"</f>
        <v>#VALUE!</v>
      </c>
      <c r="I349" t="e">
        <f>'North America'!E1281+"$F;@!2?`"</f>
        <v>#VALUE!</v>
      </c>
      <c r="J349" t="e">
        <f>'North America'!F1281+"$F;@!2?a"</f>
        <v>#VALUE!</v>
      </c>
      <c r="K349" t="e">
        <f>'North America'!G1281+"$F;@!2?b"</f>
        <v>#VALUE!</v>
      </c>
      <c r="L349" t="e">
        <f>'North America'!H1281+"$F;@!2?c"</f>
        <v>#VALUE!</v>
      </c>
      <c r="M349" t="e">
        <f>'North America'!A1282+"$F;@!2?d"</f>
        <v>#VALUE!</v>
      </c>
      <c r="N349" t="e">
        <f>'North America'!B1282+"$F;@!2?e"</f>
        <v>#VALUE!</v>
      </c>
      <c r="O349" t="e">
        <f>'North America'!C1282+"$F;@!2?f"</f>
        <v>#VALUE!</v>
      </c>
      <c r="P349" t="e">
        <f>'North America'!D1282+"$F;@!2?g"</f>
        <v>#VALUE!</v>
      </c>
      <c r="Q349" t="e">
        <f>'North America'!E1282+"$F;@!2?h"</f>
        <v>#VALUE!</v>
      </c>
      <c r="R349" t="e">
        <f>'North America'!F1282+"$F;@!2?i"</f>
        <v>#VALUE!</v>
      </c>
      <c r="S349" t="e">
        <f>'North America'!G1282+"$F;@!2?j"</f>
        <v>#VALUE!</v>
      </c>
      <c r="T349" t="e">
        <f>'North America'!H1282+"$F;@!2?k"</f>
        <v>#VALUE!</v>
      </c>
      <c r="U349" t="e">
        <f>'North America'!A1283+"$F;@!2?l"</f>
        <v>#VALUE!</v>
      </c>
      <c r="V349" t="e">
        <f>'North America'!B1283+"$F;@!2?m"</f>
        <v>#VALUE!</v>
      </c>
      <c r="W349" t="e">
        <f>'North America'!C1283+"$F;@!2?n"</f>
        <v>#VALUE!</v>
      </c>
      <c r="X349" t="e">
        <f>'North America'!D1283+"$F;@!2?o"</f>
        <v>#VALUE!</v>
      </c>
      <c r="Y349" t="e">
        <f>'North America'!E1283+"$F;@!2?p"</f>
        <v>#VALUE!</v>
      </c>
      <c r="Z349" t="e">
        <f>'North America'!F1283+"$F;@!2?q"</f>
        <v>#VALUE!</v>
      </c>
      <c r="AA349" t="e">
        <f>'North America'!G1283+"$F;@!2?r"</f>
        <v>#VALUE!</v>
      </c>
      <c r="AB349" t="e">
        <f>'North America'!H1283+"$F;@!2?s"</f>
        <v>#VALUE!</v>
      </c>
      <c r="AC349" t="e">
        <f>'North America'!A1284+"$F;@!2?t"</f>
        <v>#VALUE!</v>
      </c>
      <c r="AD349" t="e">
        <f>'North America'!B1284+"$F;@!2?u"</f>
        <v>#VALUE!</v>
      </c>
      <c r="AE349" t="e">
        <f>'North America'!C1284+"$F;@!2?v"</f>
        <v>#VALUE!</v>
      </c>
      <c r="AF349" t="e">
        <f>'North America'!D1284+"$F;@!2?w"</f>
        <v>#VALUE!</v>
      </c>
      <c r="AG349" t="e">
        <f>'North America'!E1284+"$F;@!2?x"</f>
        <v>#VALUE!</v>
      </c>
      <c r="AH349" t="e">
        <f>'North America'!F1284+"$F;@!2?y"</f>
        <v>#VALUE!</v>
      </c>
      <c r="AI349" t="e">
        <f>'North America'!G1284+"$F;@!2?z"</f>
        <v>#VALUE!</v>
      </c>
      <c r="AJ349" t="e">
        <f>'North America'!H1284+"$F;@!2?{"</f>
        <v>#VALUE!</v>
      </c>
      <c r="AK349" t="e">
        <f>'North America'!A1285+"$F;@!2?|"</f>
        <v>#VALUE!</v>
      </c>
      <c r="AL349" t="e">
        <f>'North America'!B1285+"$F;@!2?}"</f>
        <v>#VALUE!</v>
      </c>
      <c r="AM349" t="e">
        <f>'North America'!C1285+"$F;@!2?~"</f>
        <v>#VALUE!</v>
      </c>
      <c r="AN349" t="e">
        <f>'North America'!D1285+"$F;@!2@#"</f>
        <v>#VALUE!</v>
      </c>
      <c r="AO349" t="e">
        <f>'North America'!E1285+"$F;@!2@$"</f>
        <v>#VALUE!</v>
      </c>
      <c r="AP349" t="e">
        <f>'North America'!F1285+"$F;@!2@%"</f>
        <v>#VALUE!</v>
      </c>
      <c r="AQ349" t="e">
        <f>'North America'!G1285+"$F;@!2@&amp;"</f>
        <v>#VALUE!</v>
      </c>
      <c r="AR349" t="e">
        <f>'North America'!H1285+"$F;@!2@'"</f>
        <v>#VALUE!</v>
      </c>
      <c r="AS349" t="e">
        <f>'North America'!A1286+"$F;@!2@("</f>
        <v>#VALUE!</v>
      </c>
      <c r="AT349" t="e">
        <f>'North America'!B1286+"$F;@!2@)"</f>
        <v>#VALUE!</v>
      </c>
      <c r="AU349" t="e">
        <f>'North America'!C1286+"$F;@!2@."</f>
        <v>#VALUE!</v>
      </c>
      <c r="AV349" t="e">
        <f>'North America'!D1286+"$F;@!2@/"</f>
        <v>#VALUE!</v>
      </c>
      <c r="AW349" t="e">
        <f>'North America'!E1286+"$F;@!2@0"</f>
        <v>#VALUE!</v>
      </c>
      <c r="AX349" t="e">
        <f>'North America'!F1286+"$F;@!2@1"</f>
        <v>#VALUE!</v>
      </c>
      <c r="AY349" t="e">
        <f>'North America'!G1286+"$F;@!2@2"</f>
        <v>#VALUE!</v>
      </c>
      <c r="AZ349" t="e">
        <f>'North America'!H1286+"$F;@!2@3"</f>
        <v>#VALUE!</v>
      </c>
      <c r="BA349" t="e">
        <f>'North America'!A1287+"$F;@!2@4"</f>
        <v>#VALUE!</v>
      </c>
      <c r="BB349" t="e">
        <f>'North America'!B1287+"$F;@!2@5"</f>
        <v>#VALUE!</v>
      </c>
      <c r="BC349" t="e">
        <f>'North America'!C1287+"$F;@!2@6"</f>
        <v>#VALUE!</v>
      </c>
      <c r="BD349" t="e">
        <f>'North America'!D1287+"$F;@!2@7"</f>
        <v>#VALUE!</v>
      </c>
      <c r="BE349" t="e">
        <f>'North America'!E1287+"$F;@!2@8"</f>
        <v>#VALUE!</v>
      </c>
      <c r="BF349" t="e">
        <f>'North America'!F1287+"$F;@!2@9"</f>
        <v>#VALUE!</v>
      </c>
      <c r="BG349" t="e">
        <f>'North America'!G1287+"$F;@!2@:"</f>
        <v>#VALUE!</v>
      </c>
      <c r="BH349" t="e">
        <f>'North America'!H1287+"$F;@!2@;"</f>
        <v>#VALUE!</v>
      </c>
      <c r="BI349" t="e">
        <f>'North America'!A1288+"$F;@!2@&lt;"</f>
        <v>#VALUE!</v>
      </c>
      <c r="BJ349" t="e">
        <f>'North America'!B1288+"$F;@!2@="</f>
        <v>#VALUE!</v>
      </c>
      <c r="BK349" t="e">
        <f>'North America'!C1288+"$F;@!2@&gt;"</f>
        <v>#VALUE!</v>
      </c>
      <c r="BL349" t="e">
        <f>'North America'!D1288+"$F;@!2@?"</f>
        <v>#VALUE!</v>
      </c>
      <c r="BM349" t="e">
        <f>'North America'!E1288+"$F;@!2@@"</f>
        <v>#VALUE!</v>
      </c>
      <c r="BN349" t="e">
        <f>'North America'!F1288+"$F;@!2@A"</f>
        <v>#VALUE!</v>
      </c>
      <c r="BO349" t="e">
        <f>'North America'!G1288+"$F;@!2@B"</f>
        <v>#VALUE!</v>
      </c>
      <c r="BP349" t="e">
        <f>'North America'!H1288+"$F;@!2@C"</f>
        <v>#VALUE!</v>
      </c>
      <c r="BQ349" t="e">
        <f>'North America'!A1289+"$F;@!2@D"</f>
        <v>#VALUE!</v>
      </c>
      <c r="BR349" t="e">
        <f>'North America'!B1289+"$F;@!2@E"</f>
        <v>#VALUE!</v>
      </c>
      <c r="BS349" t="e">
        <f>'North America'!C1289+"$F;@!2@F"</f>
        <v>#VALUE!</v>
      </c>
      <c r="BT349" t="e">
        <f>'North America'!D1289+"$F;@!2@G"</f>
        <v>#VALUE!</v>
      </c>
      <c r="BU349" t="e">
        <f>'North America'!E1289+"$F;@!2@H"</f>
        <v>#VALUE!</v>
      </c>
      <c r="BV349" t="e">
        <f>'North America'!F1289+"$F;@!2@I"</f>
        <v>#VALUE!</v>
      </c>
      <c r="BW349" t="e">
        <f>'North America'!G1289+"$F;@!2@J"</f>
        <v>#VALUE!</v>
      </c>
      <c r="BX349" t="e">
        <f>'North America'!H1289+"$F;@!2@K"</f>
        <v>#VALUE!</v>
      </c>
      <c r="BY349" t="e">
        <f>'North America'!A1290+"$F;@!2@L"</f>
        <v>#VALUE!</v>
      </c>
      <c r="BZ349" t="e">
        <f>'North America'!B1290+"$F;@!2@M"</f>
        <v>#VALUE!</v>
      </c>
      <c r="CA349" t="e">
        <f>'North America'!C1290+"$F;@!2@N"</f>
        <v>#VALUE!</v>
      </c>
      <c r="CB349" t="e">
        <f>'North America'!D1290+"$F;@!2@O"</f>
        <v>#VALUE!</v>
      </c>
      <c r="CC349" t="e">
        <f>'North America'!E1290+"$F;@!2@P"</f>
        <v>#VALUE!</v>
      </c>
      <c r="CD349" t="e">
        <f>'North America'!F1290+"$F;@!2@Q"</f>
        <v>#VALUE!</v>
      </c>
      <c r="CE349" t="e">
        <f>'North America'!G1290+"$F;@!2@R"</f>
        <v>#VALUE!</v>
      </c>
      <c r="CF349" t="e">
        <f>'North America'!H1290+"$F;@!2@S"</f>
        <v>#VALUE!</v>
      </c>
      <c r="CG349" t="e">
        <f>'North America'!A1291+"$F;@!2@T"</f>
        <v>#VALUE!</v>
      </c>
      <c r="CH349" t="e">
        <f>'North America'!B1291+"$F;@!2@U"</f>
        <v>#VALUE!</v>
      </c>
      <c r="CI349" t="e">
        <f>'North America'!C1291+"$F;@!2@V"</f>
        <v>#VALUE!</v>
      </c>
      <c r="CJ349" t="e">
        <f>'North America'!D1291+"$F;@!2@W"</f>
        <v>#VALUE!</v>
      </c>
      <c r="CK349" t="e">
        <f>'North America'!E1291+"$F;@!2@X"</f>
        <v>#VALUE!</v>
      </c>
      <c r="CL349" t="e">
        <f>'North America'!F1291+"$F;@!2@Y"</f>
        <v>#VALUE!</v>
      </c>
      <c r="CM349" t="e">
        <f>'North America'!G1291+"$F;@!2@Z"</f>
        <v>#VALUE!</v>
      </c>
      <c r="CN349" t="e">
        <f>'North America'!H1291+"$F;@!2@["</f>
        <v>#VALUE!</v>
      </c>
      <c r="CO349" t="e">
        <f>'North America'!A1292+"$F;@!2@\"</f>
        <v>#VALUE!</v>
      </c>
      <c r="CP349" t="e">
        <f>'North America'!B1292+"$F;@!2@]"</f>
        <v>#VALUE!</v>
      </c>
      <c r="CQ349" t="e">
        <f>'North America'!C1292+"$F;@!2@^"</f>
        <v>#VALUE!</v>
      </c>
      <c r="CR349" t="e">
        <f>'North America'!D1292+"$F;@!2@_"</f>
        <v>#VALUE!</v>
      </c>
      <c r="CS349" t="e">
        <f>'North America'!E1292+"$F;@!2@`"</f>
        <v>#VALUE!</v>
      </c>
      <c r="CT349" t="e">
        <f>'North America'!F1292+"$F;@!2@a"</f>
        <v>#VALUE!</v>
      </c>
      <c r="CU349" t="e">
        <f>'North America'!G1292+"$F;@!2@b"</f>
        <v>#VALUE!</v>
      </c>
      <c r="CV349" t="e">
        <f>'North America'!H1292+"$F;@!2@c"</f>
        <v>#VALUE!</v>
      </c>
      <c r="CW349" t="e">
        <f>'North America'!A1293+"$F;@!2@d"</f>
        <v>#VALUE!</v>
      </c>
      <c r="CX349" t="e">
        <f>'North America'!B1293+"$F;@!2@e"</f>
        <v>#VALUE!</v>
      </c>
      <c r="CY349" t="e">
        <f>'North America'!C1293+"$F;@!2@f"</f>
        <v>#VALUE!</v>
      </c>
      <c r="CZ349" t="e">
        <f>'North America'!D1293+"$F;@!2@g"</f>
        <v>#VALUE!</v>
      </c>
      <c r="DA349" t="e">
        <f>'North America'!E1293+"$F;@!2@h"</f>
        <v>#VALUE!</v>
      </c>
      <c r="DB349" t="e">
        <f>'North America'!F1293+"$F;@!2@i"</f>
        <v>#VALUE!</v>
      </c>
      <c r="DC349" t="e">
        <f>'North America'!G1293+"$F;@!2@j"</f>
        <v>#VALUE!</v>
      </c>
      <c r="DD349" t="e">
        <f>'North America'!H1293+"$F;@!2@k"</f>
        <v>#VALUE!</v>
      </c>
      <c r="DE349" t="e">
        <f>'North America'!A1294+"$F;@!2@l"</f>
        <v>#VALUE!</v>
      </c>
      <c r="DF349" t="e">
        <f>'North America'!B1294+"$F;@!2@m"</f>
        <v>#VALUE!</v>
      </c>
      <c r="DG349" t="e">
        <f>'North America'!C1294+"$F;@!2@n"</f>
        <v>#VALUE!</v>
      </c>
      <c r="DH349" t="e">
        <f>'North America'!D1294+"$F;@!2@o"</f>
        <v>#VALUE!</v>
      </c>
      <c r="DI349" t="e">
        <f>'North America'!E1294+"$F;@!2@p"</f>
        <v>#VALUE!</v>
      </c>
      <c r="DJ349" t="e">
        <f>'North America'!F1294+"$F;@!2@q"</f>
        <v>#VALUE!</v>
      </c>
      <c r="DK349" t="e">
        <f>'North America'!G1294+"$F;@!2@r"</f>
        <v>#VALUE!</v>
      </c>
      <c r="DL349" t="e">
        <f>'North America'!H1294+"$F;@!2@s"</f>
        <v>#VALUE!</v>
      </c>
      <c r="DM349" t="e">
        <f>'North America'!A1295+"$F;@!2@t"</f>
        <v>#VALUE!</v>
      </c>
      <c r="DN349" t="e">
        <f>'North America'!B1295+"$F;@!2@u"</f>
        <v>#VALUE!</v>
      </c>
      <c r="DO349" t="e">
        <f>'North America'!C1295+"$F;@!2@v"</f>
        <v>#VALUE!</v>
      </c>
      <c r="DP349" t="e">
        <f>'North America'!D1295+"$F;@!2@w"</f>
        <v>#VALUE!</v>
      </c>
      <c r="DQ349" t="e">
        <f>'North America'!E1295+"$F;@!2@x"</f>
        <v>#VALUE!</v>
      </c>
      <c r="DR349" t="e">
        <f>'North America'!F1295+"$F;@!2@y"</f>
        <v>#VALUE!</v>
      </c>
      <c r="DS349" t="e">
        <f>'North America'!G1295+"$F;@!2@z"</f>
        <v>#VALUE!</v>
      </c>
      <c r="DT349" t="e">
        <f>'North America'!H1295+"$F;@!2@{"</f>
        <v>#VALUE!</v>
      </c>
      <c r="DU349" t="e">
        <f>'North America'!A1296+"$F;@!2@|"</f>
        <v>#VALUE!</v>
      </c>
      <c r="DV349" t="e">
        <f>'North America'!B1296+"$F;@!2@}"</f>
        <v>#VALUE!</v>
      </c>
      <c r="DW349" t="e">
        <f>'North America'!C1296+"$F;@!2@~"</f>
        <v>#VALUE!</v>
      </c>
      <c r="DX349" t="e">
        <f>'North America'!D1296+"$F;@!2A#"</f>
        <v>#VALUE!</v>
      </c>
      <c r="DY349" t="e">
        <f>'North America'!E1296+"$F;@!2A$"</f>
        <v>#VALUE!</v>
      </c>
      <c r="DZ349" t="e">
        <f>'North America'!F1296+"$F;@!2A%"</f>
        <v>#VALUE!</v>
      </c>
      <c r="EA349" t="e">
        <f>'North America'!G1296+"$F;@!2A&amp;"</f>
        <v>#VALUE!</v>
      </c>
      <c r="EB349" t="e">
        <f>'North America'!H1296+"$F;@!2A'"</f>
        <v>#VALUE!</v>
      </c>
      <c r="EC349" t="e">
        <f>'North America'!A1297+"$F;@!2A("</f>
        <v>#VALUE!</v>
      </c>
      <c r="ED349" t="e">
        <f>'North America'!B1297+"$F;@!2A)"</f>
        <v>#VALUE!</v>
      </c>
      <c r="EE349" t="e">
        <f>'North America'!C1297+"$F;@!2A."</f>
        <v>#VALUE!</v>
      </c>
      <c r="EF349" t="e">
        <f>'North America'!D1297+"$F;@!2A/"</f>
        <v>#VALUE!</v>
      </c>
      <c r="EG349" t="e">
        <f>'North America'!E1297+"$F;@!2A0"</f>
        <v>#VALUE!</v>
      </c>
      <c r="EH349" t="e">
        <f>'North America'!F1297+"$F;@!2A1"</f>
        <v>#VALUE!</v>
      </c>
      <c r="EI349" t="e">
        <f>'North America'!G1297+"$F;@!2A2"</f>
        <v>#VALUE!</v>
      </c>
      <c r="EJ349" t="e">
        <f>'North America'!H1297+"$F;@!2A3"</f>
        <v>#VALUE!</v>
      </c>
      <c r="EK349" t="e">
        <f>'North America'!A1298+"$F;@!2A4"</f>
        <v>#VALUE!</v>
      </c>
      <c r="EL349" t="e">
        <f>'North America'!B1298+"$F;@!2A5"</f>
        <v>#VALUE!</v>
      </c>
      <c r="EM349" t="e">
        <f>'North America'!C1298+"$F;@!2A6"</f>
        <v>#VALUE!</v>
      </c>
      <c r="EN349" t="e">
        <f>'North America'!D1298+"$F;@!2A7"</f>
        <v>#VALUE!</v>
      </c>
      <c r="EO349" t="e">
        <f>'North America'!E1298+"$F;@!2A8"</f>
        <v>#VALUE!</v>
      </c>
      <c r="EP349" t="e">
        <f>'North America'!F1298+"$F;@!2A9"</f>
        <v>#VALUE!</v>
      </c>
      <c r="EQ349" t="e">
        <f>'North America'!G1298+"$F;@!2A:"</f>
        <v>#VALUE!</v>
      </c>
      <c r="ER349" t="e">
        <f>'North America'!H1298+"$F;@!2A;"</f>
        <v>#VALUE!</v>
      </c>
      <c r="ES349" t="e">
        <f>'North America'!A1299+"$F;@!2A&lt;"</f>
        <v>#VALUE!</v>
      </c>
      <c r="ET349" t="e">
        <f>'North America'!B1299+"$F;@!2A="</f>
        <v>#VALUE!</v>
      </c>
      <c r="EU349" t="e">
        <f>'North America'!C1299+"$F;@!2A&gt;"</f>
        <v>#VALUE!</v>
      </c>
      <c r="EV349" t="e">
        <f>'North America'!D1299+"$F;@!2A?"</f>
        <v>#VALUE!</v>
      </c>
      <c r="EW349" t="e">
        <f>'North America'!E1299+"$F;@!2A@"</f>
        <v>#VALUE!</v>
      </c>
      <c r="EX349" t="e">
        <f>'North America'!F1299+"$F;@!2AA"</f>
        <v>#VALUE!</v>
      </c>
      <c r="EY349" t="e">
        <f>'North America'!G1299+"$F;@!2AB"</f>
        <v>#VALUE!</v>
      </c>
      <c r="EZ349" t="e">
        <f>'North America'!H1299+"$F;@!2AC"</f>
        <v>#VALUE!</v>
      </c>
      <c r="FA349" t="e">
        <f>'North America'!A1300+"$F;@!2AD"</f>
        <v>#VALUE!</v>
      </c>
      <c r="FB349" t="e">
        <f>'North America'!B1300+"$F;@!2AE"</f>
        <v>#VALUE!</v>
      </c>
      <c r="FC349" t="e">
        <f>'North America'!C1300+"$F;@!2AF"</f>
        <v>#VALUE!</v>
      </c>
      <c r="FD349" t="e">
        <f>'North America'!D1300+"$F;@!2AG"</f>
        <v>#VALUE!</v>
      </c>
      <c r="FE349" t="e">
        <f>'North America'!E1300+"$F;@!2AH"</f>
        <v>#VALUE!</v>
      </c>
      <c r="FF349" t="e">
        <f>'North America'!F1300+"$F;@!2AI"</f>
        <v>#VALUE!</v>
      </c>
      <c r="FG349" t="e">
        <f>'North America'!G1300+"$F;@!2AJ"</f>
        <v>#VALUE!</v>
      </c>
      <c r="FH349" t="e">
        <f>'North America'!H1300+"$F;@!2AK"</f>
        <v>#VALUE!</v>
      </c>
      <c r="FI349" t="e">
        <f>'North America'!A1301+"$F;@!2AL"</f>
        <v>#VALUE!</v>
      </c>
      <c r="FJ349" t="e">
        <f>'North America'!B1301+"$F;@!2AM"</f>
        <v>#VALUE!</v>
      </c>
      <c r="FK349" t="e">
        <f>'North America'!C1301+"$F;@!2AN"</f>
        <v>#VALUE!</v>
      </c>
      <c r="FL349" t="e">
        <f>'North America'!D1301+"$F;@!2AO"</f>
        <v>#VALUE!</v>
      </c>
      <c r="FM349" t="e">
        <f>'North America'!E1301+"$F;@!2AP"</f>
        <v>#VALUE!</v>
      </c>
      <c r="FN349" t="e">
        <f>'North America'!F1301+"$F;@!2AQ"</f>
        <v>#VALUE!</v>
      </c>
      <c r="FO349" t="e">
        <f>'North America'!G1301+"$F;@!2AR"</f>
        <v>#VALUE!</v>
      </c>
      <c r="FP349" t="e">
        <f>'North America'!H1301+"$F;@!2AS"</f>
        <v>#VALUE!</v>
      </c>
      <c r="FQ349" t="e">
        <f>'North America'!A1302+"$F;@!2AT"</f>
        <v>#VALUE!</v>
      </c>
      <c r="FR349" t="e">
        <f>'North America'!B1302+"$F;@!2AU"</f>
        <v>#VALUE!</v>
      </c>
      <c r="FS349" t="e">
        <f>'North America'!C1302+"$F;@!2AV"</f>
        <v>#VALUE!</v>
      </c>
      <c r="FT349" t="e">
        <f>'North America'!D1302+"$F;@!2AW"</f>
        <v>#VALUE!</v>
      </c>
      <c r="FU349" t="e">
        <f>'North America'!E1302+"$F;@!2AX"</f>
        <v>#VALUE!</v>
      </c>
      <c r="FV349" t="e">
        <f>'North America'!F1302+"$F;@!2AY"</f>
        <v>#VALUE!</v>
      </c>
      <c r="FW349" t="e">
        <f>'North America'!G1302+"$F;@!2AZ"</f>
        <v>#VALUE!</v>
      </c>
      <c r="FX349" t="e">
        <f>'North America'!H1302+"$F;@!2A["</f>
        <v>#VALUE!</v>
      </c>
      <c r="FY349" t="e">
        <f>'North America'!A1303+"$F;@!2A\"</f>
        <v>#VALUE!</v>
      </c>
      <c r="FZ349" t="e">
        <f>'North America'!B1303+"$F;@!2A]"</f>
        <v>#VALUE!</v>
      </c>
      <c r="GA349" t="e">
        <f>'North America'!C1303+"$F;@!2A^"</f>
        <v>#VALUE!</v>
      </c>
      <c r="GB349" t="e">
        <f>'North America'!D1303+"$F;@!2A_"</f>
        <v>#VALUE!</v>
      </c>
      <c r="GC349" t="e">
        <f>'North America'!E1303+"$F;@!2A`"</f>
        <v>#VALUE!</v>
      </c>
      <c r="GD349" t="e">
        <f>'North America'!F1303+"$F;@!2Aa"</f>
        <v>#VALUE!</v>
      </c>
      <c r="GE349" t="e">
        <f>'North America'!G1303+"$F;@!2Ab"</f>
        <v>#VALUE!</v>
      </c>
      <c r="GF349" t="e">
        <f>'North America'!H1303+"$F;@!2Ac"</f>
        <v>#VALUE!</v>
      </c>
      <c r="GG349" t="e">
        <f>'North America'!A1304+"$F;@!2Ad"</f>
        <v>#VALUE!</v>
      </c>
      <c r="GH349" t="e">
        <f>'North America'!B1304+"$F;@!2Ae"</f>
        <v>#VALUE!</v>
      </c>
      <c r="GI349" t="e">
        <f>'North America'!C1304+"$F;@!2Af"</f>
        <v>#VALUE!</v>
      </c>
      <c r="GJ349" t="e">
        <f>'North America'!D1304+"$F;@!2Ag"</f>
        <v>#VALUE!</v>
      </c>
      <c r="GK349" t="e">
        <f>'North America'!E1304+"$F;@!2Ah"</f>
        <v>#VALUE!</v>
      </c>
      <c r="GL349" t="e">
        <f>'North America'!F1304+"$F;@!2Ai"</f>
        <v>#VALUE!</v>
      </c>
      <c r="GM349" t="e">
        <f>'North America'!G1304+"$F;@!2Aj"</f>
        <v>#VALUE!</v>
      </c>
      <c r="GN349" t="e">
        <f>'North America'!H1304+"$F;@!2Ak"</f>
        <v>#VALUE!</v>
      </c>
      <c r="GO349" t="e">
        <f>'North America'!A1305+"$F;@!2Al"</f>
        <v>#VALUE!</v>
      </c>
      <c r="GP349" t="e">
        <f>'North America'!B1305+"$F;@!2Am"</f>
        <v>#VALUE!</v>
      </c>
      <c r="GQ349" t="e">
        <f>'North America'!C1305+"$F;@!2An"</f>
        <v>#VALUE!</v>
      </c>
      <c r="GR349" t="e">
        <f>'North America'!D1305+"$F;@!2Ao"</f>
        <v>#VALUE!</v>
      </c>
      <c r="GS349" t="e">
        <f>'North America'!E1305+"$F;@!2Ap"</f>
        <v>#VALUE!</v>
      </c>
      <c r="GT349" t="e">
        <f>'North America'!F1305+"$F;@!2Aq"</f>
        <v>#VALUE!</v>
      </c>
      <c r="GU349" t="e">
        <f>'North America'!G1305+"$F;@!2Ar"</f>
        <v>#VALUE!</v>
      </c>
      <c r="GV349" t="e">
        <f>'North America'!H1305+"$F;@!2As"</f>
        <v>#VALUE!</v>
      </c>
      <c r="GW349" t="e">
        <f>'North America'!A1306+"$F;@!2At"</f>
        <v>#VALUE!</v>
      </c>
      <c r="GX349" t="e">
        <f>'North America'!B1306+"$F;@!2Au"</f>
        <v>#VALUE!</v>
      </c>
      <c r="GY349" t="e">
        <f>'North America'!C1306+"$F;@!2Av"</f>
        <v>#VALUE!</v>
      </c>
      <c r="GZ349" t="e">
        <f>'North America'!D1306+"$F;@!2Aw"</f>
        <v>#VALUE!</v>
      </c>
      <c r="HA349" t="e">
        <f>'North America'!E1306+"$F;@!2Ax"</f>
        <v>#VALUE!</v>
      </c>
      <c r="HB349" t="e">
        <f>'North America'!F1306+"$F;@!2Ay"</f>
        <v>#VALUE!</v>
      </c>
      <c r="HC349" t="e">
        <f>'North America'!G1306+"$F;@!2Az"</f>
        <v>#VALUE!</v>
      </c>
      <c r="HD349" t="e">
        <f>'North America'!H1306+"$F;@!2A{"</f>
        <v>#VALUE!</v>
      </c>
      <c r="HE349" t="e">
        <f>'North America'!A1307+"$F;@!2A|"</f>
        <v>#VALUE!</v>
      </c>
      <c r="HF349" t="e">
        <f>'North America'!B1307+"$F;@!2A}"</f>
        <v>#VALUE!</v>
      </c>
      <c r="HG349" t="e">
        <f>'North America'!C1307+"$F;@!2A~"</f>
        <v>#VALUE!</v>
      </c>
      <c r="HH349" t="e">
        <f>'North America'!D1307+"$F;@!2B#"</f>
        <v>#VALUE!</v>
      </c>
      <c r="HI349" t="e">
        <f>'North America'!E1307+"$F;@!2B$"</f>
        <v>#VALUE!</v>
      </c>
      <c r="HJ349" t="e">
        <f>'North America'!F1307+"$F;@!2B%"</f>
        <v>#VALUE!</v>
      </c>
      <c r="HK349" t="e">
        <f>'North America'!G1307+"$F;@!2B&amp;"</f>
        <v>#VALUE!</v>
      </c>
      <c r="HL349" t="e">
        <f>'North America'!H1307+"$F;@!2B'"</f>
        <v>#VALUE!</v>
      </c>
      <c r="HM349" t="e">
        <f>'North America'!A1308+"$F;@!2B("</f>
        <v>#VALUE!</v>
      </c>
      <c r="HN349" t="e">
        <f>'North America'!B1308+"$F;@!2B)"</f>
        <v>#VALUE!</v>
      </c>
      <c r="HO349" t="e">
        <f>'North America'!C1308+"$F;@!2B."</f>
        <v>#VALUE!</v>
      </c>
      <c r="HP349" t="e">
        <f>'North America'!D1308+"$F;@!2B/"</f>
        <v>#VALUE!</v>
      </c>
      <c r="HQ349" t="e">
        <f>'North America'!E1308+"$F;@!2B0"</f>
        <v>#VALUE!</v>
      </c>
      <c r="HR349" t="e">
        <f>'North America'!F1308+"$F;@!2B1"</f>
        <v>#VALUE!</v>
      </c>
      <c r="HS349" t="e">
        <f>'North America'!G1308+"$F;@!2B2"</f>
        <v>#VALUE!</v>
      </c>
      <c r="HT349" t="e">
        <f>'North America'!H1308+"$F;@!2B3"</f>
        <v>#VALUE!</v>
      </c>
      <c r="HU349" t="e">
        <f>'North America'!A1309+"$F;@!2B4"</f>
        <v>#VALUE!</v>
      </c>
      <c r="HV349" t="e">
        <f>'North America'!B1309+"$F;@!2B5"</f>
        <v>#VALUE!</v>
      </c>
      <c r="HW349" t="e">
        <f>'North America'!C1309+"$F;@!2B6"</f>
        <v>#VALUE!</v>
      </c>
      <c r="HX349" t="e">
        <f>'North America'!D1309+"$F;@!2B7"</f>
        <v>#VALUE!</v>
      </c>
      <c r="HY349" t="e">
        <f>'North America'!E1309+"$F;@!2B8"</f>
        <v>#VALUE!</v>
      </c>
      <c r="HZ349" t="e">
        <f>'North America'!F1309+"$F;@!2B9"</f>
        <v>#VALUE!</v>
      </c>
      <c r="IA349" t="e">
        <f>'North America'!G1309+"$F;@!2B:"</f>
        <v>#VALUE!</v>
      </c>
      <c r="IB349" t="e">
        <f>'North America'!H1309+"$F;@!2B;"</f>
        <v>#VALUE!</v>
      </c>
      <c r="IC349" t="e">
        <f>'North America'!A1310+"$F;@!2B&lt;"</f>
        <v>#VALUE!</v>
      </c>
      <c r="ID349" t="e">
        <f>'North America'!B1310+"$F;@!2B="</f>
        <v>#VALUE!</v>
      </c>
      <c r="IE349" t="e">
        <f>'North America'!C1310+"$F;@!2B&gt;"</f>
        <v>#VALUE!</v>
      </c>
      <c r="IF349" t="e">
        <f>'North America'!D1310+"$F;@!2B?"</f>
        <v>#VALUE!</v>
      </c>
      <c r="IG349" t="e">
        <f>'North America'!E1310+"$F;@!2B@"</f>
        <v>#VALUE!</v>
      </c>
      <c r="IH349" t="e">
        <f>'North America'!F1310+"$F;@!2BA"</f>
        <v>#VALUE!</v>
      </c>
      <c r="II349" t="e">
        <f>'North America'!G1310+"$F;@!2BB"</f>
        <v>#VALUE!</v>
      </c>
      <c r="IJ349" t="e">
        <f>'North America'!H1310+"$F;@!2BC"</f>
        <v>#VALUE!</v>
      </c>
      <c r="IK349" t="e">
        <f>'North America'!A1311+"$F;@!2BD"</f>
        <v>#VALUE!</v>
      </c>
      <c r="IL349" t="e">
        <f>'North America'!B1311+"$F;@!2BE"</f>
        <v>#VALUE!</v>
      </c>
      <c r="IM349" t="e">
        <f>'North America'!C1311+"$F;@!2BF"</f>
        <v>#VALUE!</v>
      </c>
      <c r="IN349" t="e">
        <f>'North America'!D1311+"$F;@!2BG"</f>
        <v>#VALUE!</v>
      </c>
      <c r="IO349" t="e">
        <f>'North America'!E1311+"$F;@!2BH"</f>
        <v>#VALUE!</v>
      </c>
      <c r="IP349" t="e">
        <f>'North America'!F1311+"$F;@!2BI"</f>
        <v>#VALUE!</v>
      </c>
      <c r="IQ349" t="e">
        <f>'North America'!G1311+"$F;@!2BJ"</f>
        <v>#VALUE!</v>
      </c>
      <c r="IR349" t="e">
        <f>'North America'!H1311+"$F;@!2BK"</f>
        <v>#VALUE!</v>
      </c>
      <c r="IS349" t="e">
        <f>'North America'!A1312+"$F;@!2BL"</f>
        <v>#VALUE!</v>
      </c>
      <c r="IT349" t="e">
        <f>'North America'!B1312+"$F;@!2BM"</f>
        <v>#VALUE!</v>
      </c>
      <c r="IU349" t="e">
        <f>'North America'!C1312+"$F;@!2BN"</f>
        <v>#VALUE!</v>
      </c>
      <c r="IV349" t="e">
        <f>'North America'!D1312+"$F;@!2BO"</f>
        <v>#VALUE!</v>
      </c>
    </row>
    <row r="350" spans="6:256" x14ac:dyDescent="0.35">
      <c r="F350" t="e">
        <f>'North America'!E1312+"$F;@!2BP"</f>
        <v>#VALUE!</v>
      </c>
      <c r="G350" t="e">
        <f>'North America'!F1312+"$F;@!2BQ"</f>
        <v>#VALUE!</v>
      </c>
      <c r="H350" t="e">
        <f>'North America'!G1312+"$F;@!2BR"</f>
        <v>#VALUE!</v>
      </c>
      <c r="I350" t="e">
        <f>'North America'!H1312+"$F;@!2BS"</f>
        <v>#VALUE!</v>
      </c>
      <c r="J350" t="e">
        <f>'North America'!A1313+"$F;@!2BT"</f>
        <v>#VALUE!</v>
      </c>
      <c r="K350" t="e">
        <f>'North America'!B1313+"$F;@!2BU"</f>
        <v>#VALUE!</v>
      </c>
      <c r="L350" t="e">
        <f>'North America'!C1313+"$F;@!2BV"</f>
        <v>#VALUE!</v>
      </c>
      <c r="M350" t="e">
        <f>'North America'!D1313+"$F;@!2BW"</f>
        <v>#VALUE!</v>
      </c>
      <c r="N350" t="e">
        <f>'North America'!E1313+"$F;@!2BX"</f>
        <v>#VALUE!</v>
      </c>
      <c r="O350" t="e">
        <f>'North America'!F1313+"$F;@!2BY"</f>
        <v>#VALUE!</v>
      </c>
      <c r="P350" t="e">
        <f>'North America'!G1313+"$F;@!2BZ"</f>
        <v>#VALUE!</v>
      </c>
      <c r="Q350" t="e">
        <f>'North America'!H1313+"$F;@!2B["</f>
        <v>#VALUE!</v>
      </c>
      <c r="R350" t="e">
        <f>'North America'!A1314+"$F;@!2B\"</f>
        <v>#VALUE!</v>
      </c>
      <c r="S350" t="e">
        <f>'North America'!B1314+"$F;@!2B]"</f>
        <v>#VALUE!</v>
      </c>
      <c r="T350" t="e">
        <f>'North America'!C1314+"$F;@!2B^"</f>
        <v>#VALUE!</v>
      </c>
      <c r="U350" t="e">
        <f>'North America'!D1314+"$F;@!2B_"</f>
        <v>#VALUE!</v>
      </c>
      <c r="V350" t="e">
        <f>'North America'!E1314+"$F;@!2B`"</f>
        <v>#VALUE!</v>
      </c>
      <c r="W350" t="e">
        <f>'North America'!F1314+"$F;@!2Ba"</f>
        <v>#VALUE!</v>
      </c>
      <c r="X350" t="e">
        <f>'North America'!G1314+"$F;@!2Bb"</f>
        <v>#VALUE!</v>
      </c>
      <c r="Y350" t="e">
        <f>'North America'!H1314+"$F;@!2Bc"</f>
        <v>#VALUE!</v>
      </c>
      <c r="Z350" t="e">
        <f>'North America'!A1315+"$F;@!2Bd"</f>
        <v>#VALUE!</v>
      </c>
      <c r="AA350" t="e">
        <f>'North America'!B1315+"$F;@!2Be"</f>
        <v>#VALUE!</v>
      </c>
      <c r="AB350" t="e">
        <f>'North America'!C1315+"$F;@!2Bf"</f>
        <v>#VALUE!</v>
      </c>
      <c r="AC350" t="e">
        <f>'North America'!D1315+"$F;@!2Bg"</f>
        <v>#VALUE!</v>
      </c>
      <c r="AD350" t="e">
        <f>'North America'!E1315+"$F;@!2Bh"</f>
        <v>#VALUE!</v>
      </c>
      <c r="AE350" t="e">
        <f>'North America'!F1315+"$F;@!2Bi"</f>
        <v>#VALUE!</v>
      </c>
      <c r="AF350" t="e">
        <f>'North America'!G1315+"$F;@!2Bj"</f>
        <v>#VALUE!</v>
      </c>
      <c r="AG350" t="e">
        <f>'North America'!H1315+"$F;@!2Bk"</f>
        <v>#VALUE!</v>
      </c>
      <c r="AH350" t="e">
        <f>'North America'!A1316+"$F;@!2Bl"</f>
        <v>#VALUE!</v>
      </c>
      <c r="AI350" t="e">
        <f>'North America'!B1316+"$F;@!2Bm"</f>
        <v>#VALUE!</v>
      </c>
      <c r="AJ350" t="e">
        <f>'North America'!C1316+"$F;@!2Bn"</f>
        <v>#VALUE!</v>
      </c>
      <c r="AK350" t="e">
        <f>'North America'!D1316+"$F;@!2Bo"</f>
        <v>#VALUE!</v>
      </c>
      <c r="AL350" t="e">
        <f>'North America'!E1316+"$F;@!2Bp"</f>
        <v>#VALUE!</v>
      </c>
      <c r="AM350" t="e">
        <f>'North America'!F1316+"$F;@!2Bq"</f>
        <v>#VALUE!</v>
      </c>
      <c r="AN350" t="e">
        <f>'North America'!G1316+"$F;@!2Br"</f>
        <v>#VALUE!</v>
      </c>
      <c r="AO350" t="e">
        <f>'North America'!H1316+"$F;@!2Bs"</f>
        <v>#VALUE!</v>
      </c>
      <c r="AP350" t="e">
        <f>'North America'!A1317+"$F;@!2Bt"</f>
        <v>#VALUE!</v>
      </c>
      <c r="AQ350" t="e">
        <f>'North America'!B1317+"$F;@!2Bu"</f>
        <v>#VALUE!</v>
      </c>
      <c r="AR350" t="e">
        <f>'North America'!C1317+"$F;@!2Bv"</f>
        <v>#VALUE!</v>
      </c>
      <c r="AS350" t="e">
        <f>'North America'!D1317+"$F;@!2Bw"</f>
        <v>#VALUE!</v>
      </c>
      <c r="AT350" t="e">
        <f>'North America'!E1317+"$F;@!2Bx"</f>
        <v>#VALUE!</v>
      </c>
      <c r="AU350" t="e">
        <f>'North America'!F1317+"$F;@!2By"</f>
        <v>#VALUE!</v>
      </c>
      <c r="AV350" t="e">
        <f>'North America'!G1317+"$F;@!2Bz"</f>
        <v>#VALUE!</v>
      </c>
      <c r="AW350" t="e">
        <f>'North America'!H1317+"$F;@!2B{"</f>
        <v>#VALUE!</v>
      </c>
      <c r="AX350" t="e">
        <f>'North America'!A1318+"$F;@!2B|"</f>
        <v>#VALUE!</v>
      </c>
      <c r="AY350" t="e">
        <f>'North America'!B1318+"$F;@!2B}"</f>
        <v>#VALUE!</v>
      </c>
      <c r="AZ350" t="e">
        <f>'North America'!C1318+"$F;@!2B~"</f>
        <v>#VALUE!</v>
      </c>
      <c r="BA350" t="e">
        <f>'North America'!D1318+"$F;@!2C#"</f>
        <v>#VALUE!</v>
      </c>
      <c r="BB350" t="e">
        <f>'North America'!E1318+"$F;@!2C$"</f>
        <v>#VALUE!</v>
      </c>
      <c r="BC350" t="e">
        <f>'North America'!F1318+"$F;@!2C%"</f>
        <v>#VALUE!</v>
      </c>
      <c r="BD350" t="e">
        <f>'North America'!G1318+"$F;@!2C&amp;"</f>
        <v>#VALUE!</v>
      </c>
      <c r="BE350" t="e">
        <f>'North America'!H1318+"$F;@!2C'"</f>
        <v>#VALUE!</v>
      </c>
      <c r="BF350" t="e">
        <f>'North America'!A1319+"$F;@!2C("</f>
        <v>#VALUE!</v>
      </c>
      <c r="BG350" t="e">
        <f>'North America'!B1319+"$F;@!2C)"</f>
        <v>#VALUE!</v>
      </c>
      <c r="BH350" t="e">
        <f>'North America'!C1319+"$F;@!2C."</f>
        <v>#VALUE!</v>
      </c>
      <c r="BI350" t="e">
        <f>'North America'!D1319+"$F;@!2C/"</f>
        <v>#VALUE!</v>
      </c>
      <c r="BJ350" t="e">
        <f>'North America'!E1319+"$F;@!2C0"</f>
        <v>#VALUE!</v>
      </c>
      <c r="BK350" t="e">
        <f>'North America'!F1319+"$F;@!2C1"</f>
        <v>#VALUE!</v>
      </c>
      <c r="BL350" t="e">
        <f>'North America'!G1319+"$F;@!2C2"</f>
        <v>#VALUE!</v>
      </c>
      <c r="BM350" t="e">
        <f>'North America'!H1319+"$F;@!2C3"</f>
        <v>#VALUE!</v>
      </c>
      <c r="BN350" t="e">
        <f>'North America'!A1320+"$F;@!2C4"</f>
        <v>#VALUE!</v>
      </c>
      <c r="BO350" t="e">
        <f>'North America'!B1320+"$F;@!2C5"</f>
        <v>#VALUE!</v>
      </c>
      <c r="BP350" t="e">
        <f>'North America'!C1320+"$F;@!2C6"</f>
        <v>#VALUE!</v>
      </c>
      <c r="BQ350" t="e">
        <f>'North America'!D1320+"$F;@!2C7"</f>
        <v>#VALUE!</v>
      </c>
      <c r="BR350" t="e">
        <f>'North America'!E1320+"$F;@!2C8"</f>
        <v>#VALUE!</v>
      </c>
      <c r="BS350" t="e">
        <f>'North America'!F1320+"$F;@!2C9"</f>
        <v>#VALUE!</v>
      </c>
      <c r="BT350" t="e">
        <f>'North America'!G1320+"$F;@!2C:"</f>
        <v>#VALUE!</v>
      </c>
      <c r="BU350" t="e">
        <f>'North America'!H1320+"$F;@!2C;"</f>
        <v>#VALUE!</v>
      </c>
      <c r="BV350" t="e">
        <f>'North America'!A1321+"$F;@!2C&lt;"</f>
        <v>#VALUE!</v>
      </c>
      <c r="BW350" t="e">
        <f>'North America'!B1321+"$F;@!2C="</f>
        <v>#VALUE!</v>
      </c>
      <c r="BX350" t="e">
        <f>'North America'!C1321+"$F;@!2C&gt;"</f>
        <v>#VALUE!</v>
      </c>
      <c r="BY350" t="e">
        <f>'North America'!D1321+"$F;@!2C?"</f>
        <v>#VALUE!</v>
      </c>
      <c r="BZ350" t="e">
        <f>'North America'!E1321+"$F;@!2C@"</f>
        <v>#VALUE!</v>
      </c>
      <c r="CA350" t="e">
        <f>'North America'!F1321+"$F;@!2CA"</f>
        <v>#VALUE!</v>
      </c>
      <c r="CB350" t="e">
        <f>'North America'!G1321+"$F;@!2CB"</f>
        <v>#VALUE!</v>
      </c>
      <c r="CC350" t="e">
        <f>'North America'!H1321+"$F;@!2CC"</f>
        <v>#VALUE!</v>
      </c>
      <c r="CD350" t="e">
        <f>'North America'!A1322+"$F;@!2CD"</f>
        <v>#VALUE!</v>
      </c>
      <c r="CE350" t="e">
        <f>'North America'!B1322+"$F;@!2CE"</f>
        <v>#VALUE!</v>
      </c>
      <c r="CF350" t="e">
        <f>'North America'!C1322+"$F;@!2CF"</f>
        <v>#VALUE!</v>
      </c>
      <c r="CG350" t="e">
        <f>'North America'!D1322+"$F;@!2CG"</f>
        <v>#VALUE!</v>
      </c>
      <c r="CH350" t="e">
        <f>'North America'!E1322+"$F;@!2CH"</f>
        <v>#VALUE!</v>
      </c>
      <c r="CI350" t="e">
        <f>'North America'!F1322+"$F;@!2CI"</f>
        <v>#VALUE!</v>
      </c>
      <c r="CJ350" t="e">
        <f>'North America'!G1322+"$F;@!2CJ"</f>
        <v>#VALUE!</v>
      </c>
      <c r="CK350" t="e">
        <f>'North America'!H1322+"$F;@!2CK"</f>
        <v>#VALUE!</v>
      </c>
      <c r="CL350" t="e">
        <f>'North America'!A1323+"$F;@!2CL"</f>
        <v>#VALUE!</v>
      </c>
      <c r="CM350" t="e">
        <f>'North America'!B1323+"$F;@!2CM"</f>
        <v>#VALUE!</v>
      </c>
      <c r="CN350" t="e">
        <f>'North America'!C1323+"$F;@!2CN"</f>
        <v>#VALUE!</v>
      </c>
      <c r="CO350" t="e">
        <f>'North America'!D1323+"$F;@!2CO"</f>
        <v>#VALUE!</v>
      </c>
      <c r="CP350" t="e">
        <f>'North America'!E1323+"$F;@!2CP"</f>
        <v>#VALUE!</v>
      </c>
      <c r="CQ350" t="e">
        <f>'North America'!F1323+"$F;@!2CQ"</f>
        <v>#VALUE!</v>
      </c>
      <c r="CR350" t="e">
        <f>'North America'!G1323+"$F;@!2CR"</f>
        <v>#VALUE!</v>
      </c>
      <c r="CS350" t="e">
        <f>'North America'!H1323+"$F;@!2CS"</f>
        <v>#VALUE!</v>
      </c>
      <c r="CT350" t="e">
        <f>'North America'!A1324+"$F;@!2CT"</f>
        <v>#VALUE!</v>
      </c>
      <c r="CU350" t="e">
        <f>'North America'!B1324+"$F;@!2CU"</f>
        <v>#VALUE!</v>
      </c>
      <c r="CV350" t="e">
        <f>'North America'!C1324+"$F;@!2CV"</f>
        <v>#VALUE!</v>
      </c>
      <c r="CW350" t="e">
        <f>'North America'!D1324+"$F;@!2CW"</f>
        <v>#VALUE!</v>
      </c>
      <c r="CX350" t="e">
        <f>'North America'!E1324+"$F;@!2CX"</f>
        <v>#VALUE!</v>
      </c>
      <c r="CY350" t="e">
        <f>'North America'!F1324+"$F;@!2CY"</f>
        <v>#VALUE!</v>
      </c>
      <c r="CZ350" t="e">
        <f>'North America'!G1324+"$F;@!2CZ"</f>
        <v>#VALUE!</v>
      </c>
      <c r="DA350" t="e">
        <f>'North America'!H1324+"$F;@!2C["</f>
        <v>#VALUE!</v>
      </c>
      <c r="DB350" t="e">
        <f>'North America'!A1325+"$F;@!2C\"</f>
        <v>#VALUE!</v>
      </c>
      <c r="DC350" t="e">
        <f>'North America'!B1325+"$F;@!2C]"</f>
        <v>#VALUE!</v>
      </c>
      <c r="DD350" t="e">
        <f>'North America'!C1325+"$F;@!2C^"</f>
        <v>#VALUE!</v>
      </c>
      <c r="DE350" t="e">
        <f>'North America'!D1325+"$F;@!2C_"</f>
        <v>#VALUE!</v>
      </c>
      <c r="DF350" t="e">
        <f>'North America'!E1325+"$F;@!2C`"</f>
        <v>#VALUE!</v>
      </c>
      <c r="DG350" t="e">
        <f>'North America'!F1325+"$F;@!2Ca"</f>
        <v>#VALUE!</v>
      </c>
      <c r="DH350" t="e">
        <f>'North America'!G1325+"$F;@!2Cb"</f>
        <v>#VALUE!</v>
      </c>
      <c r="DI350" t="e">
        <f>'North America'!H1325+"$F;@!2Cc"</f>
        <v>#VALUE!</v>
      </c>
      <c r="DJ350" t="e">
        <f>'North America'!A1326+"$F;@!2Cd"</f>
        <v>#VALUE!</v>
      </c>
      <c r="DK350" t="e">
        <f>'North America'!B1326+"$F;@!2Ce"</f>
        <v>#VALUE!</v>
      </c>
      <c r="DL350" t="e">
        <f>'North America'!C1326+"$F;@!2Cf"</f>
        <v>#VALUE!</v>
      </c>
      <c r="DM350" t="e">
        <f>'North America'!D1326+"$F;@!2Cg"</f>
        <v>#VALUE!</v>
      </c>
      <c r="DN350" t="e">
        <f>'North America'!E1326+"$F;@!2Ch"</f>
        <v>#VALUE!</v>
      </c>
      <c r="DO350" t="e">
        <f>'North America'!F1326+"$F;@!2Ci"</f>
        <v>#VALUE!</v>
      </c>
      <c r="DP350" t="e">
        <f>'North America'!G1326+"$F;@!2Cj"</f>
        <v>#VALUE!</v>
      </c>
      <c r="DQ350" t="e">
        <f>'North America'!H1326+"$F;@!2Ck"</f>
        <v>#VALUE!</v>
      </c>
      <c r="DR350" t="e">
        <f>'North America'!A1327+"$F;@!2Cl"</f>
        <v>#VALUE!</v>
      </c>
      <c r="DS350" t="e">
        <f>'North America'!B1327+"$F;@!2Cm"</f>
        <v>#VALUE!</v>
      </c>
      <c r="DT350" t="e">
        <f>'North America'!C1327+"$F;@!2Cn"</f>
        <v>#VALUE!</v>
      </c>
      <c r="DU350" t="e">
        <f>'North America'!D1327+"$F;@!2Co"</f>
        <v>#VALUE!</v>
      </c>
      <c r="DV350" t="e">
        <f>'North America'!E1327+"$F;@!2Cp"</f>
        <v>#VALUE!</v>
      </c>
      <c r="DW350" t="e">
        <f>'North America'!F1327+"$F;@!2Cq"</f>
        <v>#VALUE!</v>
      </c>
      <c r="DX350" t="e">
        <f>'North America'!G1327+"$F;@!2Cr"</f>
        <v>#VALUE!</v>
      </c>
      <c r="DY350" t="e">
        <f>'North America'!H1327+"$F;@!2Cs"</f>
        <v>#VALUE!</v>
      </c>
      <c r="DZ350" t="e">
        <f>'North America'!A1328+"$F;@!2Ct"</f>
        <v>#VALUE!</v>
      </c>
      <c r="EA350" t="e">
        <f>'North America'!B1328+"$F;@!2Cu"</f>
        <v>#VALUE!</v>
      </c>
      <c r="EB350" t="e">
        <f>'North America'!C1328+"$F;@!2Cv"</f>
        <v>#VALUE!</v>
      </c>
      <c r="EC350" t="e">
        <f>'North America'!D1328+"$F;@!2Cw"</f>
        <v>#VALUE!</v>
      </c>
      <c r="ED350" t="e">
        <f>'North America'!E1328+"$F;@!2Cx"</f>
        <v>#VALUE!</v>
      </c>
      <c r="EE350" t="e">
        <f>'North America'!F1328+"$F;@!2Cy"</f>
        <v>#VALUE!</v>
      </c>
      <c r="EF350" t="e">
        <f>'North America'!G1328+"$F;@!2Cz"</f>
        <v>#VALUE!</v>
      </c>
      <c r="EG350" t="e">
        <f>'North America'!H1328+"$F;@!2C{"</f>
        <v>#VALUE!</v>
      </c>
      <c r="EH350" t="e">
        <f>'North America'!A1329+"$F;@!2C|"</f>
        <v>#VALUE!</v>
      </c>
      <c r="EI350" t="e">
        <f>'North America'!B1329+"$F;@!2C}"</f>
        <v>#VALUE!</v>
      </c>
      <c r="EJ350" t="e">
        <f>'North America'!C1329+"$F;@!2C~"</f>
        <v>#VALUE!</v>
      </c>
      <c r="EK350" t="e">
        <f>'North America'!D1329+"$F;@!2D#"</f>
        <v>#VALUE!</v>
      </c>
      <c r="EL350" t="e">
        <f>'North America'!E1329+"$F;@!2D$"</f>
        <v>#VALUE!</v>
      </c>
      <c r="EM350" t="e">
        <f>'North America'!F1329+"$F;@!2D%"</f>
        <v>#VALUE!</v>
      </c>
      <c r="EN350" t="e">
        <f>'North America'!G1329+"$F;@!2D&amp;"</f>
        <v>#VALUE!</v>
      </c>
      <c r="EO350" t="e">
        <f>'North America'!H1329+"$F;@!2D'"</f>
        <v>#VALUE!</v>
      </c>
      <c r="EP350" t="e">
        <f>'North America'!A1330+"$F;@!2D("</f>
        <v>#VALUE!</v>
      </c>
      <c r="EQ350" t="e">
        <f>'North America'!B1330+"$F;@!2D)"</f>
        <v>#VALUE!</v>
      </c>
      <c r="ER350" t="e">
        <f>'North America'!C1330+"$F;@!2D."</f>
        <v>#VALUE!</v>
      </c>
      <c r="ES350" t="e">
        <f>'North America'!D1330+"$F;@!2D/"</f>
        <v>#VALUE!</v>
      </c>
      <c r="ET350" t="e">
        <f>'North America'!E1330+"$F;@!2D0"</f>
        <v>#VALUE!</v>
      </c>
      <c r="EU350" t="e">
        <f>'North America'!F1330+"$F;@!2D1"</f>
        <v>#VALUE!</v>
      </c>
      <c r="EV350" t="e">
        <f>'North America'!G1330+"$F;@!2D2"</f>
        <v>#VALUE!</v>
      </c>
      <c r="EW350" t="e">
        <f>'North America'!H1330+"$F;@!2D3"</f>
        <v>#VALUE!</v>
      </c>
      <c r="EX350" t="e">
        <f>'North America'!A1331+"$F;@!2D4"</f>
        <v>#VALUE!</v>
      </c>
      <c r="EY350" t="e">
        <f>'North America'!B1331+"$F;@!2D5"</f>
        <v>#VALUE!</v>
      </c>
      <c r="EZ350" t="e">
        <f>'North America'!C1331+"$F;@!2D6"</f>
        <v>#VALUE!</v>
      </c>
      <c r="FA350" t="e">
        <f>'North America'!D1331+"$F;@!2D7"</f>
        <v>#VALUE!</v>
      </c>
      <c r="FB350" t="e">
        <f>'North America'!E1331+"$F;@!2D8"</f>
        <v>#VALUE!</v>
      </c>
      <c r="FC350" t="e">
        <f>'North America'!F1331+"$F;@!2D9"</f>
        <v>#VALUE!</v>
      </c>
      <c r="FD350" t="e">
        <f>'North America'!G1331+"$F;@!2D:"</f>
        <v>#VALUE!</v>
      </c>
      <c r="FE350" t="e">
        <f>'North America'!H1331+"$F;@!2D;"</f>
        <v>#VALUE!</v>
      </c>
      <c r="FF350" t="e">
        <f>'North America'!A1332+"$F;@!2D&lt;"</f>
        <v>#VALUE!</v>
      </c>
      <c r="FG350" t="e">
        <f>'North America'!B1332+"$F;@!2D="</f>
        <v>#VALUE!</v>
      </c>
      <c r="FH350" t="e">
        <f>'North America'!C1332+"$F;@!2D&gt;"</f>
        <v>#VALUE!</v>
      </c>
      <c r="FI350" t="e">
        <f>'North America'!D1332+"$F;@!2D?"</f>
        <v>#VALUE!</v>
      </c>
      <c r="FJ350" t="e">
        <f>'North America'!E1332+"$F;@!2D@"</f>
        <v>#VALUE!</v>
      </c>
      <c r="FK350" t="e">
        <f>'North America'!F1332+"$F;@!2DA"</f>
        <v>#VALUE!</v>
      </c>
      <c r="FL350" t="e">
        <f>'North America'!G1332+"$F;@!2DB"</f>
        <v>#VALUE!</v>
      </c>
      <c r="FM350" t="e">
        <f>'North America'!H1332+"$F;@!2DC"</f>
        <v>#VALUE!</v>
      </c>
      <c r="FN350" t="e">
        <f>'North America'!A1333+"$F;@!2DD"</f>
        <v>#VALUE!</v>
      </c>
      <c r="FO350" t="e">
        <f>'North America'!B1333+"$F;@!2DE"</f>
        <v>#VALUE!</v>
      </c>
      <c r="FP350" t="e">
        <f>'North America'!C1333+"$F;@!2DF"</f>
        <v>#VALUE!</v>
      </c>
      <c r="FQ350" t="e">
        <f>'North America'!D1333+"$F;@!2DG"</f>
        <v>#VALUE!</v>
      </c>
      <c r="FR350" t="e">
        <f>'North America'!E1333+"$F;@!2DH"</f>
        <v>#VALUE!</v>
      </c>
      <c r="FS350" t="e">
        <f>'North America'!F1333+"$F;@!2DI"</f>
        <v>#VALUE!</v>
      </c>
      <c r="FT350" t="e">
        <f>'North America'!G1333+"$F;@!2DJ"</f>
        <v>#VALUE!</v>
      </c>
      <c r="FU350" t="e">
        <f>'North America'!H1333+"$F;@!2DK"</f>
        <v>#VALUE!</v>
      </c>
      <c r="FV350" t="e">
        <f>'North America'!A1334+"$F;@!2DL"</f>
        <v>#VALUE!</v>
      </c>
      <c r="FW350" t="e">
        <f>'North America'!B1334+"$F;@!2DM"</f>
        <v>#VALUE!</v>
      </c>
      <c r="FX350" t="e">
        <f>'North America'!C1334+"$F;@!2DN"</f>
        <v>#VALUE!</v>
      </c>
      <c r="FY350" t="e">
        <f>'North America'!D1334+"$F;@!2DO"</f>
        <v>#VALUE!</v>
      </c>
      <c r="FZ350" t="e">
        <f>'North America'!E1334+"$F;@!2DP"</f>
        <v>#VALUE!</v>
      </c>
      <c r="GA350" t="e">
        <f>'North America'!F1334+"$F;@!2DQ"</f>
        <v>#VALUE!</v>
      </c>
      <c r="GB350" t="e">
        <f>'North America'!G1334+"$F;@!2DR"</f>
        <v>#VALUE!</v>
      </c>
      <c r="GC350" t="e">
        <f>'North America'!H1334+"$F;@!2DS"</f>
        <v>#VALUE!</v>
      </c>
      <c r="GD350" t="e">
        <f>'North America'!A1335+"$F;@!2DT"</f>
        <v>#VALUE!</v>
      </c>
      <c r="GE350" t="e">
        <f>'North America'!B1335+"$F;@!2DU"</f>
        <v>#VALUE!</v>
      </c>
      <c r="GF350" t="e">
        <f>'North America'!C1335+"$F;@!2DV"</f>
        <v>#VALUE!</v>
      </c>
      <c r="GG350" t="e">
        <f>'North America'!D1335+"$F;@!2DW"</f>
        <v>#VALUE!</v>
      </c>
      <c r="GH350" t="e">
        <f>'North America'!E1335+"$F;@!2DX"</f>
        <v>#VALUE!</v>
      </c>
      <c r="GI350" t="e">
        <f>'North America'!F1335+"$F;@!2DY"</f>
        <v>#VALUE!</v>
      </c>
      <c r="GJ350" t="e">
        <f>'North America'!G1335+"$F;@!2DZ"</f>
        <v>#VALUE!</v>
      </c>
      <c r="GK350" t="e">
        <f>'North America'!H1335+"$F;@!2D["</f>
        <v>#VALUE!</v>
      </c>
      <c r="GL350" t="e">
        <f>'North America'!A1336+"$F;@!2D\"</f>
        <v>#VALUE!</v>
      </c>
      <c r="GM350" t="e">
        <f>'North America'!B1336+"$F;@!2D]"</f>
        <v>#VALUE!</v>
      </c>
      <c r="GN350" t="e">
        <f>'North America'!C1336+"$F;@!2D^"</f>
        <v>#VALUE!</v>
      </c>
      <c r="GO350" t="e">
        <f>'North America'!D1336+"$F;@!2D_"</f>
        <v>#VALUE!</v>
      </c>
      <c r="GP350" t="e">
        <f>'North America'!E1336+"$F;@!2D`"</f>
        <v>#VALUE!</v>
      </c>
      <c r="GQ350" t="e">
        <f>'North America'!F1336+"$F;@!2Da"</f>
        <v>#VALUE!</v>
      </c>
      <c r="GR350" t="e">
        <f>'North America'!G1336+"$F;@!2Db"</f>
        <v>#VALUE!</v>
      </c>
      <c r="GS350" t="e">
        <f>'North America'!H1336+"$F;@!2Dc"</f>
        <v>#VALUE!</v>
      </c>
      <c r="GT350" t="e">
        <f>'North America'!A1337+"$F;@!2Dd"</f>
        <v>#VALUE!</v>
      </c>
      <c r="GU350" t="e">
        <f>'North America'!B1337+"$F;@!2De"</f>
        <v>#VALUE!</v>
      </c>
      <c r="GV350" t="e">
        <f>'North America'!C1337+"$F;@!2Df"</f>
        <v>#VALUE!</v>
      </c>
      <c r="GW350" t="e">
        <f>'North America'!D1337+"$F;@!2Dg"</f>
        <v>#VALUE!</v>
      </c>
      <c r="GX350" t="e">
        <f>'North America'!E1337+"$F;@!2Dh"</f>
        <v>#VALUE!</v>
      </c>
      <c r="GY350" t="e">
        <f>'North America'!F1337+"$F;@!2Di"</f>
        <v>#VALUE!</v>
      </c>
      <c r="GZ350" t="e">
        <f>'North America'!G1337+"$F;@!2Dj"</f>
        <v>#VALUE!</v>
      </c>
      <c r="HA350" t="e">
        <f>'North America'!H1337+"$F;@!2Dk"</f>
        <v>#VALUE!</v>
      </c>
      <c r="HB350" t="e">
        <f>'North America'!A1338+"$F;@!2Dl"</f>
        <v>#VALUE!</v>
      </c>
      <c r="HC350" t="e">
        <f>'North America'!B1338+"$F;@!2Dm"</f>
        <v>#VALUE!</v>
      </c>
      <c r="HD350" t="e">
        <f>'North America'!C1338+"$F;@!2Dn"</f>
        <v>#VALUE!</v>
      </c>
      <c r="HE350" t="e">
        <f>'North America'!D1338+"$F;@!2Do"</f>
        <v>#VALUE!</v>
      </c>
      <c r="HF350" t="e">
        <f>'North America'!E1338+"$F;@!2Dp"</f>
        <v>#VALUE!</v>
      </c>
      <c r="HG350" t="e">
        <f>'North America'!F1338+"$F;@!2Dq"</f>
        <v>#VALUE!</v>
      </c>
      <c r="HH350" t="e">
        <f>'North America'!G1338+"$F;@!2Dr"</f>
        <v>#VALUE!</v>
      </c>
      <c r="HI350" t="e">
        <f>'North America'!H1338+"$F;@!2Ds"</f>
        <v>#VALUE!</v>
      </c>
      <c r="HJ350" t="e">
        <f>'North America'!A1339+"$F;@!2Dt"</f>
        <v>#VALUE!</v>
      </c>
      <c r="HK350" t="e">
        <f>'North America'!B1339+"$F;@!2Du"</f>
        <v>#VALUE!</v>
      </c>
      <c r="HL350" t="e">
        <f>'North America'!C1339+"$F;@!2Dv"</f>
        <v>#VALUE!</v>
      </c>
      <c r="HM350" t="e">
        <f>'North America'!D1339+"$F;@!2Dw"</f>
        <v>#VALUE!</v>
      </c>
      <c r="HN350" t="e">
        <f>'North America'!E1339+"$F;@!2Dx"</f>
        <v>#VALUE!</v>
      </c>
      <c r="HO350" t="e">
        <f>'North America'!F1339+"$F;@!2Dy"</f>
        <v>#VALUE!</v>
      </c>
      <c r="HP350" t="e">
        <f>'North America'!G1339+"$F;@!2Dz"</f>
        <v>#VALUE!</v>
      </c>
      <c r="HQ350" t="e">
        <f>'North America'!H1339+"$F;@!2D{"</f>
        <v>#VALUE!</v>
      </c>
      <c r="HR350" t="e">
        <f>'North America'!A1340+"$F;@!2D|"</f>
        <v>#VALUE!</v>
      </c>
      <c r="HS350" t="e">
        <f>'North America'!B1340+"$F;@!2D}"</f>
        <v>#VALUE!</v>
      </c>
      <c r="HT350" t="e">
        <f>'North America'!C1340+"$F;@!2D~"</f>
        <v>#VALUE!</v>
      </c>
      <c r="HU350" t="e">
        <f>'North America'!D1340+"$F;@!2E#"</f>
        <v>#VALUE!</v>
      </c>
      <c r="HV350" t="e">
        <f>'North America'!E1340+"$F;@!2E$"</f>
        <v>#VALUE!</v>
      </c>
      <c r="HW350" t="e">
        <f>'North America'!F1340+"$F;@!2E%"</f>
        <v>#VALUE!</v>
      </c>
      <c r="HX350" t="e">
        <f>'North America'!G1340+"$F;@!2E&amp;"</f>
        <v>#VALUE!</v>
      </c>
      <c r="HY350" t="e">
        <f>'North America'!H1340+"$F;@!2E'"</f>
        <v>#VALUE!</v>
      </c>
      <c r="HZ350" t="e">
        <f>'North America'!A1341+"$F;@!2E("</f>
        <v>#VALUE!</v>
      </c>
      <c r="IA350" t="e">
        <f>'North America'!B1341+"$F;@!2E)"</f>
        <v>#VALUE!</v>
      </c>
      <c r="IB350" t="e">
        <f>'North America'!C1341+"$F;@!2E."</f>
        <v>#VALUE!</v>
      </c>
      <c r="IC350" t="e">
        <f>'North America'!D1341+"$F;@!2E/"</f>
        <v>#VALUE!</v>
      </c>
      <c r="ID350" t="e">
        <f>'North America'!E1341+"$F;@!2E0"</f>
        <v>#VALUE!</v>
      </c>
      <c r="IE350" t="e">
        <f>'North America'!F1341+"$F;@!2E1"</f>
        <v>#VALUE!</v>
      </c>
      <c r="IF350" t="e">
        <f>'North America'!G1341+"$F;@!2E2"</f>
        <v>#VALUE!</v>
      </c>
      <c r="IG350" t="e">
        <f>'North America'!H1341+"$F;@!2E3"</f>
        <v>#VALUE!</v>
      </c>
      <c r="IH350" t="e">
        <f>'North America'!A1342+"$F;@!2E4"</f>
        <v>#VALUE!</v>
      </c>
      <c r="II350" t="e">
        <f>'North America'!B1342+"$F;@!2E5"</f>
        <v>#VALUE!</v>
      </c>
      <c r="IJ350" t="e">
        <f>'North America'!C1342+"$F;@!2E6"</f>
        <v>#VALUE!</v>
      </c>
      <c r="IK350" t="e">
        <f>'North America'!D1342+"$F;@!2E7"</f>
        <v>#VALUE!</v>
      </c>
      <c r="IL350" t="e">
        <f>'North America'!E1342+"$F;@!2E8"</f>
        <v>#VALUE!</v>
      </c>
      <c r="IM350" t="e">
        <f>'North America'!F1342+"$F;@!2E9"</f>
        <v>#VALUE!</v>
      </c>
      <c r="IN350" t="e">
        <f>'North America'!G1342+"$F;@!2E:"</f>
        <v>#VALUE!</v>
      </c>
      <c r="IO350" t="e">
        <f>'North America'!H1342+"$F;@!2E;"</f>
        <v>#VALUE!</v>
      </c>
      <c r="IP350" t="e">
        <f>'North America'!A1343+"$F;@!2E&lt;"</f>
        <v>#VALUE!</v>
      </c>
      <c r="IQ350" t="e">
        <f>'North America'!B1343+"$F;@!2E="</f>
        <v>#VALUE!</v>
      </c>
      <c r="IR350" t="e">
        <f>'North America'!C1343+"$F;@!2E&gt;"</f>
        <v>#VALUE!</v>
      </c>
      <c r="IS350" t="e">
        <f>'North America'!D1343+"$F;@!2E?"</f>
        <v>#VALUE!</v>
      </c>
      <c r="IT350" t="e">
        <f>'North America'!E1343+"$F;@!2E@"</f>
        <v>#VALUE!</v>
      </c>
      <c r="IU350" t="e">
        <f>'North America'!F1343+"$F;@!2EA"</f>
        <v>#VALUE!</v>
      </c>
      <c r="IV350" t="e">
        <f>'North America'!G1343+"$F;@!2EB"</f>
        <v>#VALUE!</v>
      </c>
    </row>
    <row r="351" spans="6:256" x14ac:dyDescent="0.35">
      <c r="F351" t="e">
        <f>'North America'!H1343+"$F;@!2EC"</f>
        <v>#VALUE!</v>
      </c>
      <c r="G351" t="e">
        <f>'North America'!A1344+"$F;@!2ED"</f>
        <v>#VALUE!</v>
      </c>
      <c r="H351" t="e">
        <f>'North America'!B1344+"$F;@!2EE"</f>
        <v>#VALUE!</v>
      </c>
      <c r="I351" t="e">
        <f>'North America'!C1344+"$F;@!2EF"</f>
        <v>#VALUE!</v>
      </c>
      <c r="J351" t="e">
        <f>'North America'!D1344+"$F;@!2EG"</f>
        <v>#VALUE!</v>
      </c>
      <c r="K351" t="e">
        <f>'North America'!E1344+"$F;@!2EH"</f>
        <v>#VALUE!</v>
      </c>
      <c r="L351" t="e">
        <f>'North America'!F1344+"$F;@!2EI"</f>
        <v>#VALUE!</v>
      </c>
      <c r="M351" t="e">
        <f>'North America'!G1344+"$F;@!2EJ"</f>
        <v>#VALUE!</v>
      </c>
      <c r="N351" t="e">
        <f>'North America'!H1344+"$F;@!2EK"</f>
        <v>#VALUE!</v>
      </c>
      <c r="O351" t="e">
        <f>'North America'!A1345+"$F;@!2EL"</f>
        <v>#VALUE!</v>
      </c>
      <c r="P351" t="e">
        <f>'North America'!B1345+"$F;@!2EM"</f>
        <v>#VALUE!</v>
      </c>
      <c r="Q351" t="e">
        <f>'North America'!C1345+"$F;@!2EN"</f>
        <v>#VALUE!</v>
      </c>
      <c r="R351" t="e">
        <f>'North America'!D1345+"$F;@!2EO"</f>
        <v>#VALUE!</v>
      </c>
      <c r="S351" t="e">
        <f>'North America'!E1345+"$F;@!2EP"</f>
        <v>#VALUE!</v>
      </c>
      <c r="T351" t="e">
        <f>'North America'!F1345+"$F;@!2EQ"</f>
        <v>#VALUE!</v>
      </c>
      <c r="U351" t="e">
        <f>'North America'!G1345+"$F;@!2ER"</f>
        <v>#VALUE!</v>
      </c>
      <c r="V351" t="e">
        <f>'North America'!H1345+"$F;@!2ES"</f>
        <v>#VALUE!</v>
      </c>
      <c r="W351" t="e">
        <f>'North America'!A1346+"$F;@!2ET"</f>
        <v>#VALUE!</v>
      </c>
      <c r="X351" t="e">
        <f>'North America'!B1346+"$F;@!2EU"</f>
        <v>#VALUE!</v>
      </c>
      <c r="Y351" t="e">
        <f>'North America'!C1346+"$F;@!2EV"</f>
        <v>#VALUE!</v>
      </c>
      <c r="Z351" t="e">
        <f>'North America'!D1346+"$F;@!2EW"</f>
        <v>#VALUE!</v>
      </c>
      <c r="AA351" t="e">
        <f>'North America'!E1346+"$F;@!2EX"</f>
        <v>#VALUE!</v>
      </c>
      <c r="AB351" t="e">
        <f>'North America'!F1346+"$F;@!2EY"</f>
        <v>#VALUE!</v>
      </c>
      <c r="AC351" t="e">
        <f>'North America'!G1346+"$F;@!2EZ"</f>
        <v>#VALUE!</v>
      </c>
      <c r="AD351" t="e">
        <f>'North America'!H1346+"$F;@!2E["</f>
        <v>#VALUE!</v>
      </c>
      <c r="AE351" t="e">
        <f>'North America'!A1347+"$F;@!2E\"</f>
        <v>#VALUE!</v>
      </c>
      <c r="AF351" t="e">
        <f>'North America'!B1347+"$F;@!2E]"</f>
        <v>#VALUE!</v>
      </c>
      <c r="AG351" t="e">
        <f>'North America'!C1347+"$F;@!2E^"</f>
        <v>#VALUE!</v>
      </c>
      <c r="AH351" t="e">
        <f>'North America'!D1347+"$F;@!2E_"</f>
        <v>#VALUE!</v>
      </c>
      <c r="AI351" t="e">
        <f>'North America'!E1347+"$F;@!2E`"</f>
        <v>#VALUE!</v>
      </c>
      <c r="AJ351" t="e">
        <f>'North America'!F1347+"$F;@!2Ea"</f>
        <v>#VALUE!</v>
      </c>
      <c r="AK351" t="e">
        <f>'North America'!G1347+"$F;@!2Eb"</f>
        <v>#VALUE!</v>
      </c>
      <c r="AL351" t="e">
        <f>'North America'!H1347+"$F;@!2Ec"</f>
        <v>#VALUE!</v>
      </c>
      <c r="AM351" t="e">
        <f>'North America'!A1348+"$F;@!2Ed"</f>
        <v>#VALUE!</v>
      </c>
      <c r="AN351" t="e">
        <f>'North America'!B1348+"$F;@!2Ee"</f>
        <v>#VALUE!</v>
      </c>
      <c r="AO351" t="e">
        <f>'North America'!C1348+"$F;@!2Ef"</f>
        <v>#VALUE!</v>
      </c>
      <c r="AP351" t="e">
        <f>'North America'!D1348+"$F;@!2Eg"</f>
        <v>#VALUE!</v>
      </c>
      <c r="AQ351" t="e">
        <f>'North America'!E1348+"$F;@!2Eh"</f>
        <v>#VALUE!</v>
      </c>
      <c r="AR351" t="e">
        <f>'North America'!F1348+"$F;@!2Ei"</f>
        <v>#VALUE!</v>
      </c>
      <c r="AS351" t="e">
        <f>'North America'!G1348+"$F;@!2Ej"</f>
        <v>#VALUE!</v>
      </c>
      <c r="AT351" t="e">
        <f>'North America'!H1348+"$F;@!2Ek"</f>
        <v>#VALUE!</v>
      </c>
      <c r="AU351" t="e">
        <f>'North America'!A1349+"$F;@!2El"</f>
        <v>#VALUE!</v>
      </c>
      <c r="AV351" t="e">
        <f>'North America'!B1349+"$F;@!2Em"</f>
        <v>#VALUE!</v>
      </c>
      <c r="AW351" t="e">
        <f>'North America'!C1349+"$F;@!2En"</f>
        <v>#VALUE!</v>
      </c>
      <c r="AX351" t="e">
        <f>'North America'!D1349+"$F;@!2Eo"</f>
        <v>#VALUE!</v>
      </c>
      <c r="AY351" t="e">
        <f>'North America'!E1349+"$F;@!2Ep"</f>
        <v>#VALUE!</v>
      </c>
      <c r="AZ351" t="e">
        <f>'North America'!F1349+"$F;@!2Eq"</f>
        <v>#VALUE!</v>
      </c>
      <c r="BA351" t="e">
        <f>'North America'!G1349+"$F;@!2Er"</f>
        <v>#VALUE!</v>
      </c>
      <c r="BB351" t="e">
        <f>'North America'!H1349+"$F;@!2Es"</f>
        <v>#VALUE!</v>
      </c>
      <c r="BC351" t="e">
        <f>'North America'!A1350+"$F;@!2Et"</f>
        <v>#VALUE!</v>
      </c>
      <c r="BD351" t="e">
        <f>'North America'!B1350+"$F;@!2Eu"</f>
        <v>#VALUE!</v>
      </c>
      <c r="BE351" t="e">
        <f>'North America'!C1350+"$F;@!2Ev"</f>
        <v>#VALUE!</v>
      </c>
      <c r="BF351" t="e">
        <f>'North America'!D1350+"$F;@!2Ew"</f>
        <v>#VALUE!</v>
      </c>
      <c r="BG351" t="e">
        <f>'North America'!E1350+"$F;@!2Ex"</f>
        <v>#VALUE!</v>
      </c>
      <c r="BH351" t="e">
        <f>'North America'!F1350+"$F;@!2Ey"</f>
        <v>#VALUE!</v>
      </c>
      <c r="BI351" t="e">
        <f>'North America'!G1350+"$F;@!2Ez"</f>
        <v>#VALUE!</v>
      </c>
      <c r="BJ351" t="e">
        <f>'North America'!H1350+"$F;@!2E{"</f>
        <v>#VALUE!</v>
      </c>
      <c r="BK351" t="e">
        <f>'North America'!A1351+"$F;@!2E|"</f>
        <v>#VALUE!</v>
      </c>
      <c r="BL351" t="e">
        <f>'North America'!B1351+"$F;@!2E}"</f>
        <v>#VALUE!</v>
      </c>
      <c r="BM351" t="e">
        <f>'North America'!C1351+"$F;@!2E~"</f>
        <v>#VALUE!</v>
      </c>
      <c r="BN351" t="e">
        <f>'North America'!D1351+"$F;@!2F#"</f>
        <v>#VALUE!</v>
      </c>
      <c r="BO351" t="e">
        <f>'North America'!E1351+"$F;@!2F$"</f>
        <v>#VALUE!</v>
      </c>
      <c r="BP351" t="e">
        <f>'North America'!F1351+"$F;@!2F%"</f>
        <v>#VALUE!</v>
      </c>
      <c r="BQ351" t="e">
        <f>'North America'!G1351+"$F;@!2F&amp;"</f>
        <v>#VALUE!</v>
      </c>
      <c r="BR351" t="e">
        <f>'North America'!H1351+"$F;@!2F'"</f>
        <v>#VALUE!</v>
      </c>
      <c r="BS351" t="e">
        <f>'North America'!A1352+"$F;@!2F("</f>
        <v>#VALUE!</v>
      </c>
      <c r="BT351" t="e">
        <f>'North America'!B1352+"$F;@!2F)"</f>
        <v>#VALUE!</v>
      </c>
      <c r="BU351" t="e">
        <f>'North America'!C1352+"$F;@!2F."</f>
        <v>#VALUE!</v>
      </c>
      <c r="BV351" t="e">
        <f>'North America'!D1352+"$F;@!2F/"</f>
        <v>#VALUE!</v>
      </c>
      <c r="BW351" t="e">
        <f>'North America'!E1352+"$F;@!2F0"</f>
        <v>#VALUE!</v>
      </c>
      <c r="BX351" t="e">
        <f>'North America'!F1352+"$F;@!2F1"</f>
        <v>#VALUE!</v>
      </c>
      <c r="BY351" t="e">
        <f>'North America'!G1352+"$F;@!2F2"</f>
        <v>#VALUE!</v>
      </c>
      <c r="BZ351" t="e">
        <f>'North America'!H1352+"$F;@!2F3"</f>
        <v>#VALUE!</v>
      </c>
      <c r="CA351" t="e">
        <f>'North America'!A1353+"$F;@!2F4"</f>
        <v>#VALUE!</v>
      </c>
      <c r="CB351" t="e">
        <f>'North America'!B1353+"$F;@!2F5"</f>
        <v>#VALUE!</v>
      </c>
      <c r="CC351" t="e">
        <f>'North America'!C1353+"$F;@!2F6"</f>
        <v>#VALUE!</v>
      </c>
      <c r="CD351" t="e">
        <f>'North America'!D1353+"$F;@!2F7"</f>
        <v>#VALUE!</v>
      </c>
      <c r="CE351" t="e">
        <f>'North America'!E1353+"$F;@!2F8"</f>
        <v>#VALUE!</v>
      </c>
      <c r="CF351" t="e">
        <f>'North America'!F1353+"$F;@!2F9"</f>
        <v>#VALUE!</v>
      </c>
      <c r="CG351" t="e">
        <f>'North America'!G1353+"$F;@!2F:"</f>
        <v>#VALUE!</v>
      </c>
      <c r="CH351" t="e">
        <f>'North America'!H1353+"$F;@!2F;"</f>
        <v>#VALUE!</v>
      </c>
      <c r="CI351" t="e">
        <f>'North America'!A1354+"$F;@!2F&lt;"</f>
        <v>#VALUE!</v>
      </c>
      <c r="CJ351" t="e">
        <f>'North America'!B1354+"$F;@!2F="</f>
        <v>#VALUE!</v>
      </c>
      <c r="CK351" t="e">
        <f>'North America'!C1354+"$F;@!2F&gt;"</f>
        <v>#VALUE!</v>
      </c>
      <c r="CL351" t="e">
        <f>'North America'!D1354+"$F;@!2F?"</f>
        <v>#VALUE!</v>
      </c>
      <c r="CM351" t="e">
        <f>'North America'!E1354+"$F;@!2F@"</f>
        <v>#VALUE!</v>
      </c>
      <c r="CN351" t="e">
        <f>'North America'!F1354+"$F;@!2FA"</f>
        <v>#VALUE!</v>
      </c>
      <c r="CO351" t="e">
        <f>'North America'!G1354+"$F;@!2FB"</f>
        <v>#VALUE!</v>
      </c>
      <c r="CP351" t="e">
        <f>'North America'!H1354+"$F;@!2FC"</f>
        <v>#VALUE!</v>
      </c>
      <c r="CQ351" t="e">
        <f>'North America'!A1355+"$F;@!2FD"</f>
        <v>#VALUE!</v>
      </c>
      <c r="CR351" t="e">
        <f>'North America'!B1355+"$F;@!2FE"</f>
        <v>#VALUE!</v>
      </c>
      <c r="CS351" t="e">
        <f>'North America'!C1355+"$F;@!2FF"</f>
        <v>#VALUE!</v>
      </c>
      <c r="CT351" t="e">
        <f>'North America'!D1355+"$F;@!2FG"</f>
        <v>#VALUE!</v>
      </c>
      <c r="CU351" t="e">
        <f>'North America'!E1355+"$F;@!2FH"</f>
        <v>#VALUE!</v>
      </c>
      <c r="CV351" t="e">
        <f>'North America'!F1355+"$F;@!2FI"</f>
        <v>#VALUE!</v>
      </c>
      <c r="CW351" t="e">
        <f>'North America'!G1355+"$F;@!2FJ"</f>
        <v>#VALUE!</v>
      </c>
      <c r="CX351" t="e">
        <f>'North America'!H1355+"$F;@!2FK"</f>
        <v>#VALUE!</v>
      </c>
      <c r="CY351" t="e">
        <f>'North America'!A1356+"$F;@!2FL"</f>
        <v>#VALUE!</v>
      </c>
      <c r="CZ351" t="e">
        <f>'North America'!B1356+"$F;@!2FM"</f>
        <v>#VALUE!</v>
      </c>
      <c r="DA351" t="e">
        <f>'North America'!C1356+"$F;@!2FN"</f>
        <v>#VALUE!</v>
      </c>
      <c r="DB351" t="e">
        <f>'North America'!D1356+"$F;@!2FO"</f>
        <v>#VALUE!</v>
      </c>
      <c r="DC351" t="e">
        <f>'North America'!E1356+"$F;@!2FP"</f>
        <v>#VALUE!</v>
      </c>
      <c r="DD351" t="e">
        <f>'North America'!F1356+"$F;@!2FQ"</f>
        <v>#VALUE!</v>
      </c>
      <c r="DE351" t="e">
        <f>'North America'!G1356+"$F;@!2FR"</f>
        <v>#VALUE!</v>
      </c>
      <c r="DF351" t="e">
        <f>'North America'!H1356+"$F;@!2FS"</f>
        <v>#VALUE!</v>
      </c>
      <c r="DG351" t="e">
        <f>'North America'!A1357+"$F;@!2FT"</f>
        <v>#VALUE!</v>
      </c>
      <c r="DH351" t="e">
        <f>'North America'!B1357+"$F;@!2FU"</f>
        <v>#VALUE!</v>
      </c>
      <c r="DI351" t="e">
        <f>'North America'!C1357+"$F;@!2FV"</f>
        <v>#VALUE!</v>
      </c>
      <c r="DJ351" t="e">
        <f>'North America'!D1357+"$F;@!2FW"</f>
        <v>#VALUE!</v>
      </c>
      <c r="DK351" t="e">
        <f>'North America'!E1357+"$F;@!2FX"</f>
        <v>#VALUE!</v>
      </c>
      <c r="DL351" t="e">
        <f>'North America'!F1357+"$F;@!2FY"</f>
        <v>#VALUE!</v>
      </c>
      <c r="DM351" t="e">
        <f>'North America'!G1357+"$F;@!2FZ"</f>
        <v>#VALUE!</v>
      </c>
      <c r="DN351" t="e">
        <f>'North America'!H1357+"$F;@!2F["</f>
        <v>#VALUE!</v>
      </c>
      <c r="DO351" t="e">
        <f>'North America'!A1358+"$F;@!2F\"</f>
        <v>#VALUE!</v>
      </c>
      <c r="DP351" t="e">
        <f>'North America'!B1358+"$F;@!2F]"</f>
        <v>#VALUE!</v>
      </c>
      <c r="DQ351" t="e">
        <f>'North America'!C1358+"$F;@!2F^"</f>
        <v>#VALUE!</v>
      </c>
      <c r="DR351" t="e">
        <f>'North America'!D1358+"$F;@!2F_"</f>
        <v>#VALUE!</v>
      </c>
      <c r="DS351" t="e">
        <f>'North America'!E1358+"$F;@!2F`"</f>
        <v>#VALUE!</v>
      </c>
      <c r="DT351" t="e">
        <f>'North America'!F1358+"$F;@!2Fa"</f>
        <v>#VALUE!</v>
      </c>
      <c r="DU351" t="e">
        <f>'North America'!G1358+"$F;@!2Fb"</f>
        <v>#VALUE!</v>
      </c>
      <c r="DV351" t="e">
        <f>'North America'!H1358+"$F;@!2Fc"</f>
        <v>#VALUE!</v>
      </c>
      <c r="DW351" t="e">
        <f>'North America'!A1359+"$F;@!2Fd"</f>
        <v>#VALUE!</v>
      </c>
      <c r="DX351" t="e">
        <f>'North America'!B1359+"$F;@!2Fe"</f>
        <v>#VALUE!</v>
      </c>
      <c r="DY351" t="e">
        <f>'North America'!C1359+"$F;@!2Ff"</f>
        <v>#VALUE!</v>
      </c>
      <c r="DZ351" t="e">
        <f>'North America'!D1359+"$F;@!2Fg"</f>
        <v>#VALUE!</v>
      </c>
      <c r="EA351" t="e">
        <f>'North America'!E1359+"$F;@!2Fh"</f>
        <v>#VALUE!</v>
      </c>
      <c r="EB351" t="e">
        <f>'North America'!F1359+"$F;@!2Fi"</f>
        <v>#VALUE!</v>
      </c>
      <c r="EC351" t="e">
        <f>'North America'!G1359+"$F;@!2Fj"</f>
        <v>#VALUE!</v>
      </c>
      <c r="ED351" t="e">
        <f>'North America'!H1359+"$F;@!2Fk"</f>
        <v>#VALUE!</v>
      </c>
      <c r="EE351" t="e">
        <f>'North America'!A1360+"$F;@!2Fl"</f>
        <v>#VALUE!</v>
      </c>
      <c r="EF351" t="e">
        <f>'North America'!B1360+"$F;@!2Fm"</f>
        <v>#VALUE!</v>
      </c>
      <c r="EG351" t="e">
        <f>'North America'!C1360+"$F;@!2Fn"</f>
        <v>#VALUE!</v>
      </c>
      <c r="EH351" t="e">
        <f>'North America'!D1360+"$F;@!2Fo"</f>
        <v>#VALUE!</v>
      </c>
      <c r="EI351" t="e">
        <f>'North America'!E1360+"$F;@!2Fp"</f>
        <v>#VALUE!</v>
      </c>
      <c r="EJ351" t="e">
        <f>'North America'!F1360+"$F;@!2Fq"</f>
        <v>#VALUE!</v>
      </c>
      <c r="EK351" t="e">
        <f>'North America'!G1360+"$F;@!2Fr"</f>
        <v>#VALUE!</v>
      </c>
      <c r="EL351" t="e">
        <f>'North America'!H1360+"$F;@!2Fs"</f>
        <v>#VALUE!</v>
      </c>
      <c r="EM351" t="e">
        <f>'North America'!A1361+"$F;@!2Ft"</f>
        <v>#VALUE!</v>
      </c>
      <c r="EN351" t="e">
        <f>'North America'!B1361+"$F;@!2Fu"</f>
        <v>#VALUE!</v>
      </c>
      <c r="EO351" t="e">
        <f>'North America'!C1361+"$F;@!2Fv"</f>
        <v>#VALUE!</v>
      </c>
      <c r="EP351" t="e">
        <f>'North America'!D1361+"$F;@!2Fw"</f>
        <v>#VALUE!</v>
      </c>
      <c r="EQ351" t="e">
        <f>'North America'!E1361+"$F;@!2Fx"</f>
        <v>#VALUE!</v>
      </c>
      <c r="ER351" t="e">
        <f>'North America'!F1361+"$F;@!2Fy"</f>
        <v>#VALUE!</v>
      </c>
      <c r="ES351" t="e">
        <f>'North America'!G1361+"$F;@!2Fz"</f>
        <v>#VALUE!</v>
      </c>
      <c r="ET351" t="e">
        <f>'North America'!H1361+"$F;@!2F{"</f>
        <v>#VALUE!</v>
      </c>
      <c r="EU351" t="e">
        <f>'North America'!A1362+"$F;@!2F|"</f>
        <v>#VALUE!</v>
      </c>
      <c r="EV351" t="e">
        <f>'North America'!B1362+"$F;@!2F}"</f>
        <v>#VALUE!</v>
      </c>
      <c r="EW351" t="e">
        <f>'North America'!C1362+"$F;@!2F~"</f>
        <v>#VALUE!</v>
      </c>
      <c r="EX351" t="e">
        <f>'North America'!D1362+"$F;@!2G#"</f>
        <v>#VALUE!</v>
      </c>
      <c r="EY351" t="e">
        <f>'North America'!E1362+"$F;@!2G$"</f>
        <v>#VALUE!</v>
      </c>
      <c r="EZ351" t="e">
        <f>'North America'!F1362+"$F;@!2G%"</f>
        <v>#VALUE!</v>
      </c>
      <c r="FA351" t="e">
        <f>'North America'!G1362+"$F;@!2G&amp;"</f>
        <v>#VALUE!</v>
      </c>
      <c r="FB351" t="e">
        <f>'North America'!H1362+"$F;@!2G'"</f>
        <v>#VALUE!</v>
      </c>
      <c r="FC351" t="e">
        <f>'North America'!A1363+"$F;@!2G("</f>
        <v>#VALUE!</v>
      </c>
      <c r="FD351" t="e">
        <f>'North America'!B1363+"$F;@!2G)"</f>
        <v>#VALUE!</v>
      </c>
      <c r="FE351" t="e">
        <f>'North America'!C1363+"$F;@!2G."</f>
        <v>#VALUE!</v>
      </c>
      <c r="FF351" t="e">
        <f>'North America'!D1363+"$F;@!2G/"</f>
        <v>#VALUE!</v>
      </c>
      <c r="FG351" t="e">
        <f>'North America'!E1363+"$F;@!2G0"</f>
        <v>#VALUE!</v>
      </c>
      <c r="FH351" t="e">
        <f>'North America'!F1363+"$F;@!2G1"</f>
        <v>#VALUE!</v>
      </c>
      <c r="FI351" t="e">
        <f>'North America'!G1363+"$F;@!2G2"</f>
        <v>#VALUE!</v>
      </c>
      <c r="FJ351" t="e">
        <f>'North America'!H1363+"$F;@!2G3"</f>
        <v>#VALUE!</v>
      </c>
      <c r="FK351" t="e">
        <f>'North America'!A1364+"$F;@!2G4"</f>
        <v>#VALUE!</v>
      </c>
      <c r="FL351" t="e">
        <f>'North America'!B1364+"$F;@!2G5"</f>
        <v>#VALUE!</v>
      </c>
      <c r="FM351" t="e">
        <f>'North America'!C1364+"$F;@!2G6"</f>
        <v>#VALUE!</v>
      </c>
      <c r="FN351" t="e">
        <f>'North America'!D1364+"$F;@!2G7"</f>
        <v>#VALUE!</v>
      </c>
      <c r="FO351" t="e">
        <f>'North America'!E1364+"$F;@!2G8"</f>
        <v>#VALUE!</v>
      </c>
      <c r="FP351" t="e">
        <f>'North America'!F1364+"$F;@!2G9"</f>
        <v>#VALUE!</v>
      </c>
      <c r="FQ351" t="e">
        <f>'North America'!G1364+"$F;@!2G:"</f>
        <v>#VALUE!</v>
      </c>
      <c r="FR351" t="e">
        <f>'North America'!H1364+"$F;@!2G;"</f>
        <v>#VALUE!</v>
      </c>
      <c r="FS351" t="e">
        <f>'North America'!A1365+"$F;@!2G&lt;"</f>
        <v>#VALUE!</v>
      </c>
      <c r="FT351" t="e">
        <f>'North America'!B1365+"$F;@!2G="</f>
        <v>#VALUE!</v>
      </c>
      <c r="FU351" t="e">
        <f>'North America'!C1365+"$F;@!2G&gt;"</f>
        <v>#VALUE!</v>
      </c>
      <c r="FV351" t="e">
        <f>'North America'!D1365+"$F;@!2G?"</f>
        <v>#VALUE!</v>
      </c>
      <c r="FW351" t="e">
        <f>'North America'!E1365+"$F;@!2G@"</f>
        <v>#VALUE!</v>
      </c>
      <c r="FX351" t="e">
        <f>'North America'!F1365+"$F;@!2GA"</f>
        <v>#VALUE!</v>
      </c>
      <c r="FY351" t="e">
        <f>'North America'!G1365+"$F;@!2GB"</f>
        <v>#VALUE!</v>
      </c>
      <c r="FZ351" t="e">
        <f>'North America'!H1365+"$F;@!2GC"</f>
        <v>#VALUE!</v>
      </c>
      <c r="GA351" t="e">
        <f>'North America'!A1366+"$F;@!2GD"</f>
        <v>#VALUE!</v>
      </c>
      <c r="GB351" t="e">
        <f>'North America'!B1366+"$F;@!2GE"</f>
        <v>#VALUE!</v>
      </c>
      <c r="GC351" t="e">
        <f>'North America'!C1366+"$F;@!2GF"</f>
        <v>#VALUE!</v>
      </c>
      <c r="GD351" t="e">
        <f>'North America'!D1366+"$F;@!2GG"</f>
        <v>#VALUE!</v>
      </c>
      <c r="GE351" t="e">
        <f>'North America'!E1366+"$F;@!2GH"</f>
        <v>#VALUE!</v>
      </c>
      <c r="GF351" t="e">
        <f>'North America'!F1366+"$F;@!2GI"</f>
        <v>#VALUE!</v>
      </c>
      <c r="GG351" t="e">
        <f>'North America'!G1366+"$F;@!2GJ"</f>
        <v>#VALUE!</v>
      </c>
      <c r="GH351" t="e">
        <f>'North America'!H1366+"$F;@!2GK"</f>
        <v>#VALUE!</v>
      </c>
      <c r="GI351" t="e">
        <f>'North America'!A1367+"$F;@!2GL"</f>
        <v>#VALUE!</v>
      </c>
      <c r="GJ351" t="e">
        <f>'North America'!B1367+"$F;@!2GM"</f>
        <v>#VALUE!</v>
      </c>
      <c r="GK351" t="e">
        <f>'North America'!C1367+"$F;@!2GN"</f>
        <v>#VALUE!</v>
      </c>
      <c r="GL351" t="e">
        <f>'North America'!D1367+"$F;@!2GO"</f>
        <v>#VALUE!</v>
      </c>
      <c r="GM351" t="e">
        <f>'North America'!E1367+"$F;@!2GP"</f>
        <v>#VALUE!</v>
      </c>
      <c r="GN351" t="e">
        <f>'North America'!F1367+"$F;@!2GQ"</f>
        <v>#VALUE!</v>
      </c>
      <c r="GO351" t="e">
        <f>'North America'!G1367+"$F;@!2GR"</f>
        <v>#VALUE!</v>
      </c>
      <c r="GP351" t="e">
        <f>'North America'!H1367+"$F;@!2GS"</f>
        <v>#VALUE!</v>
      </c>
      <c r="GQ351" t="e">
        <f>'North America'!A1368+"$F;@!2GT"</f>
        <v>#VALUE!</v>
      </c>
      <c r="GR351" t="e">
        <f>'North America'!B1368+"$F;@!2GU"</f>
        <v>#VALUE!</v>
      </c>
      <c r="GS351" t="e">
        <f>'North America'!C1368+"$F;@!2GV"</f>
        <v>#VALUE!</v>
      </c>
      <c r="GT351" t="e">
        <f>'North America'!D1368+"$F;@!2GW"</f>
        <v>#VALUE!</v>
      </c>
      <c r="GU351" t="e">
        <f>'North America'!E1368+"$F;@!2GX"</f>
        <v>#VALUE!</v>
      </c>
      <c r="GV351" t="e">
        <f>'North America'!F1368+"$F;@!2GY"</f>
        <v>#VALUE!</v>
      </c>
      <c r="GW351" t="e">
        <f>'North America'!G1368+"$F;@!2GZ"</f>
        <v>#VALUE!</v>
      </c>
      <c r="GX351" t="e">
        <f>'North America'!H1368+"$F;@!2G["</f>
        <v>#VALUE!</v>
      </c>
      <c r="GY351" t="e">
        <f>'North America'!A1369+"$F;@!2G\"</f>
        <v>#VALUE!</v>
      </c>
      <c r="GZ351" t="e">
        <f>'North America'!B1369+"$F;@!2G]"</f>
        <v>#VALUE!</v>
      </c>
      <c r="HA351" t="e">
        <f>'North America'!C1369+"$F;@!2G^"</f>
        <v>#VALUE!</v>
      </c>
      <c r="HB351" t="e">
        <f>'North America'!D1369+"$F;@!2G_"</f>
        <v>#VALUE!</v>
      </c>
      <c r="HC351" t="e">
        <f>'North America'!E1369+"$F;@!2G`"</f>
        <v>#VALUE!</v>
      </c>
      <c r="HD351" t="e">
        <f>'North America'!F1369+"$F;@!2Ga"</f>
        <v>#VALUE!</v>
      </c>
      <c r="HE351" t="e">
        <f>'North America'!G1369+"$F;@!2Gb"</f>
        <v>#VALUE!</v>
      </c>
      <c r="HF351" t="e">
        <f>'North America'!H1369+"$F;@!2Gc"</f>
        <v>#VALUE!</v>
      </c>
      <c r="HG351" t="e">
        <f>'North America'!A1370+"$F;@!2Gd"</f>
        <v>#VALUE!</v>
      </c>
      <c r="HH351" t="e">
        <f>'North America'!B1370+"$F;@!2Ge"</f>
        <v>#VALUE!</v>
      </c>
      <c r="HI351" t="e">
        <f>'North America'!C1370+"$F;@!2Gf"</f>
        <v>#VALUE!</v>
      </c>
      <c r="HJ351" t="e">
        <f>'North America'!D1370+"$F;@!2Gg"</f>
        <v>#VALUE!</v>
      </c>
      <c r="HK351" t="e">
        <f>'North America'!E1370+"$F;@!2Gh"</f>
        <v>#VALUE!</v>
      </c>
      <c r="HL351" t="e">
        <f>'North America'!F1370+"$F;@!2Gi"</f>
        <v>#VALUE!</v>
      </c>
      <c r="HM351" t="e">
        <f>'North America'!G1370+"$F;@!2Gj"</f>
        <v>#VALUE!</v>
      </c>
      <c r="HN351" t="e">
        <f>'North America'!H1370+"$F;@!2Gk"</f>
        <v>#VALUE!</v>
      </c>
      <c r="HO351" t="e">
        <f>'North America'!A1371+"$F;@!2Gl"</f>
        <v>#VALUE!</v>
      </c>
      <c r="HP351" t="e">
        <f>'North America'!B1371+"$F;@!2Gm"</f>
        <v>#VALUE!</v>
      </c>
      <c r="HQ351" t="e">
        <f>'North America'!C1371+"$F;@!2Gn"</f>
        <v>#VALUE!</v>
      </c>
      <c r="HR351" t="e">
        <f>'North America'!D1371+"$F;@!2Go"</f>
        <v>#VALUE!</v>
      </c>
      <c r="HS351" t="e">
        <f>'North America'!E1371+"$F;@!2Gp"</f>
        <v>#VALUE!</v>
      </c>
      <c r="HT351" t="e">
        <f>'North America'!F1371+"$F;@!2Gq"</f>
        <v>#VALUE!</v>
      </c>
      <c r="HU351" t="e">
        <f>'North America'!G1371+"$F;@!2Gr"</f>
        <v>#VALUE!</v>
      </c>
      <c r="HV351" t="e">
        <f>'North America'!H1371+"$F;@!2Gs"</f>
        <v>#VALUE!</v>
      </c>
      <c r="HW351" t="e">
        <f>'North America'!A1372+"$F;@!2Gt"</f>
        <v>#VALUE!</v>
      </c>
      <c r="HX351" t="e">
        <f>'North America'!B1372+"$F;@!2Gu"</f>
        <v>#VALUE!</v>
      </c>
      <c r="HY351" t="e">
        <f>'North America'!C1372+"$F;@!2Gv"</f>
        <v>#VALUE!</v>
      </c>
      <c r="HZ351" t="e">
        <f>'North America'!D1372+"$F;@!2Gw"</f>
        <v>#VALUE!</v>
      </c>
      <c r="IA351" t="e">
        <f>'North America'!E1372+"$F;@!2Gx"</f>
        <v>#VALUE!</v>
      </c>
      <c r="IB351" t="e">
        <f>'North America'!F1372+"$F;@!2Gy"</f>
        <v>#VALUE!</v>
      </c>
      <c r="IC351" t="e">
        <f>'North America'!G1372+"$F;@!2Gz"</f>
        <v>#VALUE!</v>
      </c>
      <c r="ID351" t="e">
        <f>'North America'!H1372+"$F;@!2G{"</f>
        <v>#VALUE!</v>
      </c>
      <c r="IE351" t="e">
        <f>'North America'!A1373+"$F;@!2G|"</f>
        <v>#VALUE!</v>
      </c>
      <c r="IF351" t="e">
        <f>'North America'!B1373+"$F;@!2G}"</f>
        <v>#VALUE!</v>
      </c>
      <c r="IG351" t="e">
        <f>'North America'!C1373+"$F;@!2G~"</f>
        <v>#VALUE!</v>
      </c>
      <c r="IH351" t="e">
        <f>'North America'!D1373+"$F;@!2H#"</f>
        <v>#VALUE!</v>
      </c>
      <c r="II351" t="e">
        <f>'North America'!E1373+"$F;@!2H$"</f>
        <v>#VALUE!</v>
      </c>
      <c r="IJ351" t="e">
        <f>'North America'!F1373+"$F;@!2H%"</f>
        <v>#VALUE!</v>
      </c>
      <c r="IK351" t="e">
        <f>'North America'!G1373+"$F;@!2H&amp;"</f>
        <v>#VALUE!</v>
      </c>
      <c r="IL351" t="e">
        <f>'North America'!H1373+"$F;@!2H'"</f>
        <v>#VALUE!</v>
      </c>
      <c r="IM351" t="e">
        <f>'North America'!A1374+"$F;@!2H("</f>
        <v>#VALUE!</v>
      </c>
      <c r="IN351" t="e">
        <f>'North America'!B1374+"$F;@!2H)"</f>
        <v>#VALUE!</v>
      </c>
      <c r="IO351" t="e">
        <f>'North America'!C1374+"$F;@!2H."</f>
        <v>#VALUE!</v>
      </c>
      <c r="IP351" t="e">
        <f>'North America'!D1374+"$F;@!2H/"</f>
        <v>#VALUE!</v>
      </c>
      <c r="IQ351" t="e">
        <f>'North America'!E1374+"$F;@!2H0"</f>
        <v>#VALUE!</v>
      </c>
      <c r="IR351" t="e">
        <f>'North America'!F1374+"$F;@!2H1"</f>
        <v>#VALUE!</v>
      </c>
      <c r="IS351" t="e">
        <f>'North America'!G1374+"$F;@!2H2"</f>
        <v>#VALUE!</v>
      </c>
      <c r="IT351" t="e">
        <f>'North America'!H1374+"$F;@!2H3"</f>
        <v>#VALUE!</v>
      </c>
      <c r="IU351" t="e">
        <f>'North America'!A1375+"$F;@!2H4"</f>
        <v>#VALUE!</v>
      </c>
      <c r="IV351" t="e">
        <f>'North America'!B1375+"$F;@!2H5"</f>
        <v>#VALUE!</v>
      </c>
    </row>
    <row r="352" spans="6:256" x14ac:dyDescent="0.35">
      <c r="F352" t="e">
        <f>'North America'!C1375+"$F;@!2H6"</f>
        <v>#VALUE!</v>
      </c>
      <c r="G352" t="e">
        <f>'North America'!D1375+"$F;@!2H7"</f>
        <v>#VALUE!</v>
      </c>
      <c r="H352" t="e">
        <f>'North America'!E1375+"$F;@!2H8"</f>
        <v>#VALUE!</v>
      </c>
      <c r="I352" t="e">
        <f>'North America'!F1375+"$F;@!2H9"</f>
        <v>#VALUE!</v>
      </c>
      <c r="J352" t="e">
        <f>'North America'!G1375+"$F;@!2H:"</f>
        <v>#VALUE!</v>
      </c>
      <c r="K352" t="e">
        <f>'North America'!H1375+"$F;@!2H;"</f>
        <v>#VALUE!</v>
      </c>
      <c r="L352" t="e">
        <f>'North America'!A1376+"$F;@!2H&lt;"</f>
        <v>#VALUE!</v>
      </c>
      <c r="M352" t="e">
        <f>'North America'!B1376+"$F;@!2H="</f>
        <v>#VALUE!</v>
      </c>
      <c r="N352" t="e">
        <f>'North America'!C1376+"$F;@!2H&gt;"</f>
        <v>#VALUE!</v>
      </c>
      <c r="O352" t="e">
        <f>'North America'!D1376+"$F;@!2H?"</f>
        <v>#VALUE!</v>
      </c>
      <c r="P352" t="e">
        <f>'North America'!E1376+"$F;@!2H@"</f>
        <v>#VALUE!</v>
      </c>
      <c r="Q352" t="e">
        <f>'North America'!F1376+"$F;@!2HA"</f>
        <v>#VALUE!</v>
      </c>
      <c r="R352" t="e">
        <f>'North America'!G1376+"$F;@!2HB"</f>
        <v>#VALUE!</v>
      </c>
      <c r="S352" t="e">
        <f>'North America'!H1376+"$F;@!2HC"</f>
        <v>#VALUE!</v>
      </c>
      <c r="T352" t="e">
        <f>'North America'!A1377+"$F;@!2HD"</f>
        <v>#VALUE!</v>
      </c>
      <c r="U352" t="e">
        <f>'North America'!B1377+"$F;@!2HE"</f>
        <v>#VALUE!</v>
      </c>
      <c r="V352" t="e">
        <f>'North America'!C1377+"$F;@!2HF"</f>
        <v>#VALUE!</v>
      </c>
      <c r="W352" t="e">
        <f>'North America'!D1377+"$F;@!2HG"</f>
        <v>#VALUE!</v>
      </c>
      <c r="X352" t="e">
        <f>'North America'!E1377+"$F;@!2HH"</f>
        <v>#VALUE!</v>
      </c>
      <c r="Y352" t="e">
        <f>'North America'!F1377+"$F;@!2HI"</f>
        <v>#VALUE!</v>
      </c>
      <c r="Z352" t="e">
        <f>'North America'!G1377+"$F;@!2HJ"</f>
        <v>#VALUE!</v>
      </c>
      <c r="AA352" t="e">
        <f>'North America'!H1377+"$F;@!2HK"</f>
        <v>#VALUE!</v>
      </c>
      <c r="AB352" t="e">
        <f>'North America'!A1378+"$F;@!2HL"</f>
        <v>#VALUE!</v>
      </c>
      <c r="AC352" t="e">
        <f>'North America'!B1378+"$F;@!2HM"</f>
        <v>#VALUE!</v>
      </c>
      <c r="AD352" t="e">
        <f>'North America'!C1378+"$F;@!2HN"</f>
        <v>#VALUE!</v>
      </c>
      <c r="AE352" t="e">
        <f>'North America'!D1378+"$F;@!2HO"</f>
        <v>#VALUE!</v>
      </c>
      <c r="AF352" t="e">
        <f>'North America'!E1378+"$F;@!2HP"</f>
        <v>#VALUE!</v>
      </c>
      <c r="AG352" t="e">
        <f>'North America'!F1378+"$F;@!2HQ"</f>
        <v>#VALUE!</v>
      </c>
      <c r="AH352" t="e">
        <f>'North America'!G1378+"$F;@!2HR"</f>
        <v>#VALUE!</v>
      </c>
      <c r="AI352" t="e">
        <f>'North America'!H1378+"$F;@!2HS"</f>
        <v>#VALUE!</v>
      </c>
      <c r="AJ352" t="e">
        <f>'North America'!A1379+"$F;@!2HT"</f>
        <v>#VALUE!</v>
      </c>
      <c r="AK352" t="e">
        <f>'North America'!B1379+"$F;@!2HU"</f>
        <v>#VALUE!</v>
      </c>
      <c r="AL352" t="e">
        <f>'North America'!C1379+"$F;@!2HV"</f>
        <v>#VALUE!</v>
      </c>
      <c r="AM352" t="e">
        <f>'North America'!D1379+"$F;@!2HW"</f>
        <v>#VALUE!</v>
      </c>
      <c r="AN352" t="e">
        <f>'North America'!E1379+"$F;@!2HX"</f>
        <v>#VALUE!</v>
      </c>
      <c r="AO352" t="e">
        <f>'North America'!F1379+"$F;@!2HY"</f>
        <v>#VALUE!</v>
      </c>
      <c r="AP352" t="e">
        <f>'North America'!G1379+"$F;@!2HZ"</f>
        <v>#VALUE!</v>
      </c>
      <c r="AQ352" t="e">
        <f>'North America'!H1379+"$F;@!2H["</f>
        <v>#VALUE!</v>
      </c>
      <c r="AR352" t="e">
        <f>'North America'!A1380+"$F;@!2H\"</f>
        <v>#VALUE!</v>
      </c>
      <c r="AS352" t="e">
        <f>'North America'!B1380+"$F;@!2H]"</f>
        <v>#VALUE!</v>
      </c>
      <c r="AT352" t="e">
        <f>'North America'!C1380+"$F;@!2H^"</f>
        <v>#VALUE!</v>
      </c>
      <c r="AU352" t="e">
        <f>'North America'!D1380+"$F;@!2H_"</f>
        <v>#VALUE!</v>
      </c>
      <c r="AV352" t="e">
        <f>'North America'!E1380+"$F;@!2H`"</f>
        <v>#VALUE!</v>
      </c>
      <c r="AW352" t="e">
        <f>'North America'!F1380+"$F;@!2Ha"</f>
        <v>#VALUE!</v>
      </c>
      <c r="AX352" t="e">
        <f>'North America'!G1380+"$F;@!2Hb"</f>
        <v>#VALUE!</v>
      </c>
      <c r="AY352" t="e">
        <f>'North America'!H1380+"$F;@!2Hc"</f>
        <v>#VALUE!</v>
      </c>
      <c r="AZ352" t="e">
        <f>'North America'!A1381+"$F;@!2Hd"</f>
        <v>#VALUE!</v>
      </c>
      <c r="BA352" t="e">
        <f>'North America'!B1381+"$F;@!2He"</f>
        <v>#VALUE!</v>
      </c>
      <c r="BB352" t="e">
        <f>'North America'!C1381+"$F;@!2Hf"</f>
        <v>#VALUE!</v>
      </c>
      <c r="BC352" t="e">
        <f>'North America'!D1381+"$F;@!2Hg"</f>
        <v>#VALUE!</v>
      </c>
      <c r="BD352" t="e">
        <f>'North America'!E1381+"$F;@!2Hh"</f>
        <v>#VALUE!</v>
      </c>
      <c r="BE352" t="e">
        <f>'North America'!F1381+"$F;@!2Hi"</f>
        <v>#VALUE!</v>
      </c>
      <c r="BF352" t="e">
        <f>'North America'!G1381+"$F;@!2Hj"</f>
        <v>#VALUE!</v>
      </c>
      <c r="BG352" t="e">
        <f>'North America'!H1381+"$F;@!2Hk"</f>
        <v>#VALUE!</v>
      </c>
      <c r="BH352" t="e">
        <f>'North America'!A1382+"$F;@!2Hl"</f>
        <v>#VALUE!</v>
      </c>
      <c r="BI352" t="e">
        <f>'North America'!B1382+"$F;@!2Hm"</f>
        <v>#VALUE!</v>
      </c>
      <c r="BJ352" t="e">
        <f>'North America'!C1382+"$F;@!2Hn"</f>
        <v>#VALUE!</v>
      </c>
      <c r="BK352" t="e">
        <f>'North America'!D1382+"$F;@!2Ho"</f>
        <v>#VALUE!</v>
      </c>
      <c r="BL352" t="e">
        <f>'North America'!E1382+"$F;@!2Hp"</f>
        <v>#VALUE!</v>
      </c>
      <c r="BM352" t="e">
        <f>'North America'!F1382+"$F;@!2Hq"</f>
        <v>#VALUE!</v>
      </c>
      <c r="BN352" t="e">
        <f>'North America'!G1382+"$F;@!2Hr"</f>
        <v>#VALUE!</v>
      </c>
      <c r="BO352" t="e">
        <f>'North America'!H1382+"$F;@!2Hs"</f>
        <v>#VALUE!</v>
      </c>
      <c r="BP352" t="e">
        <f>'North America'!A1383+"$F;@!2Ht"</f>
        <v>#VALUE!</v>
      </c>
      <c r="BQ352" t="e">
        <f>'North America'!B1383+"$F;@!2Hu"</f>
        <v>#VALUE!</v>
      </c>
      <c r="BR352" t="e">
        <f>'North America'!C1383+"$F;@!2Hv"</f>
        <v>#VALUE!</v>
      </c>
      <c r="BS352" t="e">
        <f>'North America'!D1383+"$F;@!2Hw"</f>
        <v>#VALUE!</v>
      </c>
      <c r="BT352" t="e">
        <f>'North America'!E1383+"$F;@!2Hx"</f>
        <v>#VALUE!</v>
      </c>
      <c r="BU352" t="e">
        <f>'North America'!F1383+"$F;@!2Hy"</f>
        <v>#VALUE!</v>
      </c>
      <c r="BV352" t="e">
        <f>'North America'!G1383+"$F;@!2Hz"</f>
        <v>#VALUE!</v>
      </c>
      <c r="BW352" t="e">
        <f>'North America'!H1383+"$F;@!2H{"</f>
        <v>#VALUE!</v>
      </c>
      <c r="BX352" t="e">
        <f>'North America'!A1384+"$F;@!2H|"</f>
        <v>#VALUE!</v>
      </c>
      <c r="BY352" t="e">
        <f>'North America'!B1384+"$F;@!2H}"</f>
        <v>#VALUE!</v>
      </c>
      <c r="BZ352" t="e">
        <f>'North America'!C1384+"$F;@!2H~"</f>
        <v>#VALUE!</v>
      </c>
      <c r="CA352" t="e">
        <f>'North America'!D1384+"$F;@!2I#"</f>
        <v>#VALUE!</v>
      </c>
      <c r="CB352" t="e">
        <f>'North America'!E1384+"$F;@!2I$"</f>
        <v>#VALUE!</v>
      </c>
      <c r="CC352" t="e">
        <f>'North America'!F1384+"$F;@!2I%"</f>
        <v>#VALUE!</v>
      </c>
      <c r="CD352" t="e">
        <f>'North America'!G1384+"$F;@!2I&amp;"</f>
        <v>#VALUE!</v>
      </c>
      <c r="CE352" t="e">
        <f>'North America'!H1384+"$F;@!2I'"</f>
        <v>#VALUE!</v>
      </c>
      <c r="CF352" t="e">
        <f>'North America'!A1385+"$F;@!2I("</f>
        <v>#VALUE!</v>
      </c>
      <c r="CG352" t="e">
        <f>'North America'!B1385+"$F;@!2I)"</f>
        <v>#VALUE!</v>
      </c>
      <c r="CH352" t="e">
        <f>'North America'!C1385+"$F;@!2I."</f>
        <v>#VALUE!</v>
      </c>
      <c r="CI352" t="e">
        <f>'North America'!D1385+"$F;@!2I/"</f>
        <v>#VALUE!</v>
      </c>
      <c r="CJ352" t="e">
        <f>'North America'!E1385+"$F;@!2I0"</f>
        <v>#VALUE!</v>
      </c>
      <c r="CK352" t="e">
        <f>'North America'!F1385+"$F;@!2I1"</f>
        <v>#VALUE!</v>
      </c>
      <c r="CL352" t="e">
        <f>'North America'!G1385+"$F;@!2I2"</f>
        <v>#VALUE!</v>
      </c>
      <c r="CM352" t="e">
        <f>'North America'!H1385+"$F;@!2I3"</f>
        <v>#VALUE!</v>
      </c>
      <c r="CN352" t="e">
        <f>'North America'!A1386+"$F;@!2I4"</f>
        <v>#VALUE!</v>
      </c>
      <c r="CO352" t="e">
        <f>'North America'!B1386+"$F;@!2I5"</f>
        <v>#VALUE!</v>
      </c>
      <c r="CP352" t="e">
        <f>'North America'!C1386+"$F;@!2I6"</f>
        <v>#VALUE!</v>
      </c>
      <c r="CQ352" t="e">
        <f>'North America'!D1386+"$F;@!2I7"</f>
        <v>#VALUE!</v>
      </c>
      <c r="CR352" t="e">
        <f>'North America'!E1386+"$F;@!2I8"</f>
        <v>#VALUE!</v>
      </c>
      <c r="CS352" t="e">
        <f>'North America'!F1386+"$F;@!2I9"</f>
        <v>#VALUE!</v>
      </c>
      <c r="CT352" t="e">
        <f>'North America'!G1386+"$F;@!2I:"</f>
        <v>#VALUE!</v>
      </c>
      <c r="CU352" t="e">
        <f>'North America'!H1386+"$F;@!2I;"</f>
        <v>#VALUE!</v>
      </c>
      <c r="CV352" t="e">
        <f>'North America'!A1387+"$F;@!2I&lt;"</f>
        <v>#VALUE!</v>
      </c>
      <c r="CW352" t="e">
        <f>'North America'!B1387+"$F;@!2I="</f>
        <v>#VALUE!</v>
      </c>
      <c r="CX352" t="e">
        <f>'North America'!C1387+"$F;@!2I&gt;"</f>
        <v>#VALUE!</v>
      </c>
      <c r="CY352" t="e">
        <f>'North America'!D1387+"$F;@!2I?"</f>
        <v>#VALUE!</v>
      </c>
      <c r="CZ352" t="e">
        <f>'North America'!E1387+"$F;@!2I@"</f>
        <v>#VALUE!</v>
      </c>
      <c r="DA352" t="e">
        <f>'North America'!F1387+"$F;@!2IA"</f>
        <v>#VALUE!</v>
      </c>
      <c r="DB352" t="e">
        <f>'North America'!G1387+"$F;@!2IB"</f>
        <v>#VALUE!</v>
      </c>
      <c r="DC352" t="e">
        <f>'North America'!H1387+"$F;@!2IC"</f>
        <v>#VALUE!</v>
      </c>
      <c r="DD352" t="e">
        <f>'North America'!A1388+"$F;@!2ID"</f>
        <v>#VALUE!</v>
      </c>
      <c r="DE352" t="e">
        <f>'North America'!B1388+"$F;@!2IE"</f>
        <v>#VALUE!</v>
      </c>
      <c r="DF352" t="e">
        <f>'North America'!C1388+"$F;@!2IF"</f>
        <v>#VALUE!</v>
      </c>
      <c r="DG352" t="e">
        <f>'North America'!D1388+"$F;@!2IG"</f>
        <v>#VALUE!</v>
      </c>
      <c r="DH352" t="e">
        <f>'North America'!E1388+"$F;@!2IH"</f>
        <v>#VALUE!</v>
      </c>
      <c r="DI352" t="e">
        <f>'North America'!F1388+"$F;@!2II"</f>
        <v>#VALUE!</v>
      </c>
      <c r="DJ352" t="e">
        <f>'North America'!G1388+"$F;@!2IJ"</f>
        <v>#VALUE!</v>
      </c>
      <c r="DK352" t="e">
        <f>'North America'!H1388+"$F;@!2IK"</f>
        <v>#VALUE!</v>
      </c>
      <c r="DL352" t="e">
        <f>'North America'!A1389+"$F;@!2IL"</f>
        <v>#VALUE!</v>
      </c>
      <c r="DM352" t="e">
        <f>'North America'!B1389+"$F;@!2IM"</f>
        <v>#VALUE!</v>
      </c>
      <c r="DN352" t="e">
        <f>'North America'!C1389+"$F;@!2IN"</f>
        <v>#VALUE!</v>
      </c>
      <c r="DO352" t="e">
        <f>'North America'!D1389+"$F;@!2IO"</f>
        <v>#VALUE!</v>
      </c>
      <c r="DP352" t="e">
        <f>'North America'!E1389+"$F;@!2IP"</f>
        <v>#VALUE!</v>
      </c>
      <c r="DQ352" t="e">
        <f>'North America'!F1389+"$F;@!2IQ"</f>
        <v>#VALUE!</v>
      </c>
      <c r="DR352" t="e">
        <f>'North America'!G1389+"$F;@!2IR"</f>
        <v>#VALUE!</v>
      </c>
      <c r="DS352" t="e">
        <f>'North America'!H1389+"$F;@!2IS"</f>
        <v>#VALUE!</v>
      </c>
      <c r="DT352" t="e">
        <f>'North America'!A1390+"$F;@!2IT"</f>
        <v>#VALUE!</v>
      </c>
      <c r="DU352" t="e">
        <f>'North America'!B1390+"$F;@!2IU"</f>
        <v>#VALUE!</v>
      </c>
      <c r="DV352" t="e">
        <f>'North America'!C1390+"$F;@!2IV"</f>
        <v>#VALUE!</v>
      </c>
      <c r="DW352" t="e">
        <f>'North America'!D1390+"$F;@!2IW"</f>
        <v>#VALUE!</v>
      </c>
      <c r="DX352" t="e">
        <f>'North America'!E1390+"$F;@!2IX"</f>
        <v>#VALUE!</v>
      </c>
      <c r="DY352" t="e">
        <f>'North America'!G1390+"$F;@!2IY"</f>
        <v>#VALUE!</v>
      </c>
      <c r="DZ352" t="e">
        <f>'North America'!H1390+"$F;@!2IZ"</f>
        <v>#VALUE!</v>
      </c>
      <c r="EA352" t="e">
        <f>'North America'!A1391+"$F;@!2I["</f>
        <v>#VALUE!</v>
      </c>
      <c r="EB352" t="e">
        <f>'North America'!B1391+"$F;@!2I\"</f>
        <v>#VALUE!</v>
      </c>
      <c r="EC352" t="e">
        <f>'North America'!C1391+"$F;@!2I]"</f>
        <v>#VALUE!</v>
      </c>
      <c r="ED352" t="e">
        <f>'North America'!D1391+"$F;@!2I^"</f>
        <v>#VALUE!</v>
      </c>
      <c r="EE352" t="e">
        <f>'North America'!E1391+"$F;@!2I_"</f>
        <v>#VALUE!</v>
      </c>
      <c r="EF352" t="e">
        <f>'North America'!F1391+"$F;@!2I`"</f>
        <v>#VALUE!</v>
      </c>
      <c r="EG352" t="e">
        <f>'North America'!G1391+"$F;@!2Ia"</f>
        <v>#VALUE!</v>
      </c>
      <c r="EH352" t="e">
        <f>'North America'!H1391+"$F;@!2Ib"</f>
        <v>#VALUE!</v>
      </c>
      <c r="EI352" t="e">
        <f>'North America'!A1392+"$F;@!2Ic"</f>
        <v>#VALUE!</v>
      </c>
      <c r="EJ352" t="e">
        <f>'North America'!B1392+"$F;@!2Id"</f>
        <v>#VALUE!</v>
      </c>
      <c r="EK352" t="e">
        <f>'North America'!C1392+"$F;@!2Ie"</f>
        <v>#VALUE!</v>
      </c>
      <c r="EL352" t="e">
        <f>'North America'!D1392+"$F;@!2If"</f>
        <v>#VALUE!</v>
      </c>
      <c r="EM352" t="e">
        <f>'North America'!E1392+"$F;@!2Ig"</f>
        <v>#VALUE!</v>
      </c>
      <c r="EN352" t="e">
        <f>'North America'!F1392+"$F;@!2Ih"</f>
        <v>#VALUE!</v>
      </c>
      <c r="EO352" t="e">
        <f>'North America'!G1392+"$F;@!2Ii"</f>
        <v>#VALUE!</v>
      </c>
      <c r="EP352" t="e">
        <f>'North America'!H1392+"$F;@!2Ij"</f>
        <v>#VALUE!</v>
      </c>
      <c r="EQ352" t="e">
        <f>'North America'!A1393+"$F;@!2Ik"</f>
        <v>#VALUE!</v>
      </c>
      <c r="ER352" t="e">
        <f>'North America'!B1393+"$F;@!2Il"</f>
        <v>#VALUE!</v>
      </c>
      <c r="ES352" t="e">
        <f>'North America'!C1393+"$F;@!2Im"</f>
        <v>#VALUE!</v>
      </c>
      <c r="ET352" t="e">
        <f>'North America'!D1393+"$F;@!2In"</f>
        <v>#VALUE!</v>
      </c>
      <c r="EU352" t="e">
        <f>'North America'!E1393+"$F;@!2Io"</f>
        <v>#VALUE!</v>
      </c>
      <c r="EV352" t="e">
        <f>'North America'!F1393+"$F;@!2Ip"</f>
        <v>#VALUE!</v>
      </c>
      <c r="EW352" t="e">
        <f>'North America'!G1393+"$F;@!2Iq"</f>
        <v>#VALUE!</v>
      </c>
      <c r="EX352" t="e">
        <f>'North America'!H1393+"$F;@!2Ir"</f>
        <v>#VALUE!</v>
      </c>
      <c r="EY352" t="e">
        <f>'North America'!A1394+"$F;@!2Is"</f>
        <v>#VALUE!</v>
      </c>
      <c r="EZ352" t="e">
        <f>'North America'!B1394+"$F;@!2It"</f>
        <v>#VALUE!</v>
      </c>
      <c r="FA352" t="e">
        <f>'North America'!C1394+"$F;@!2Iu"</f>
        <v>#VALUE!</v>
      </c>
      <c r="FB352" t="e">
        <f>'North America'!D1394+"$F;@!2Iv"</f>
        <v>#VALUE!</v>
      </c>
      <c r="FC352" t="e">
        <f>'North America'!E1394+"$F;@!2Iw"</f>
        <v>#VALUE!</v>
      </c>
      <c r="FD352" t="e">
        <f>'North America'!F1394+"$F;@!2Ix"</f>
        <v>#VALUE!</v>
      </c>
      <c r="FE352" t="e">
        <f>'North America'!G1394+"$F;@!2Iy"</f>
        <v>#VALUE!</v>
      </c>
      <c r="FF352" t="e">
        <f>'North America'!H1394+"$F;@!2Iz"</f>
        <v>#VALUE!</v>
      </c>
      <c r="FG352" t="e">
        <f>'North America'!A1395+"$F;@!2I{"</f>
        <v>#VALUE!</v>
      </c>
      <c r="FH352" t="e">
        <f>'North America'!B1395+"$F;@!2I|"</f>
        <v>#VALUE!</v>
      </c>
      <c r="FI352" t="e">
        <f>'North America'!C1395+"$F;@!2I}"</f>
        <v>#VALUE!</v>
      </c>
      <c r="FJ352" t="e">
        <f>'North America'!D1395+"$F;@!2I~"</f>
        <v>#VALUE!</v>
      </c>
      <c r="FK352" t="e">
        <f>'North America'!E1395+"$F;@!2J#"</f>
        <v>#VALUE!</v>
      </c>
      <c r="FL352" t="e">
        <f>'North America'!F1395+"$F;@!2J$"</f>
        <v>#VALUE!</v>
      </c>
      <c r="FM352" t="e">
        <f>'North America'!G1395+"$F;@!2J%"</f>
        <v>#VALUE!</v>
      </c>
      <c r="FN352" t="e">
        <f>'North America'!H1395+"$F;@!2J&amp;"</f>
        <v>#VALUE!</v>
      </c>
      <c r="FO352" t="e">
        <f>'North America'!A1396+"$F;@!2J'"</f>
        <v>#VALUE!</v>
      </c>
      <c r="FP352" t="e">
        <f>'North America'!B1396+"$F;@!2J("</f>
        <v>#VALUE!</v>
      </c>
      <c r="FQ352" t="e">
        <f>'North America'!C1396+"$F;@!2J)"</f>
        <v>#VALUE!</v>
      </c>
      <c r="FR352" t="e">
        <f>'North America'!D1396+"$F;@!2J."</f>
        <v>#VALUE!</v>
      </c>
      <c r="FS352" t="e">
        <f>'North America'!E1396+"$F;@!2J/"</f>
        <v>#VALUE!</v>
      </c>
      <c r="FT352" t="e">
        <f>'North America'!F1396+"$F;@!2J0"</f>
        <v>#VALUE!</v>
      </c>
      <c r="FU352" t="e">
        <f>'North America'!G1396+"$F;@!2J1"</f>
        <v>#VALUE!</v>
      </c>
      <c r="FV352" t="e">
        <f>'North America'!H1396+"$F;@!2J2"</f>
        <v>#VALUE!</v>
      </c>
      <c r="FW352" t="e">
        <f>'North America'!A1397+"$F;@!2J3"</f>
        <v>#VALUE!</v>
      </c>
      <c r="FX352" t="e">
        <f>'North America'!B1397+"$F;@!2J4"</f>
        <v>#VALUE!</v>
      </c>
      <c r="FY352" t="e">
        <f>'North America'!C1397+"$F;@!2J5"</f>
        <v>#VALUE!</v>
      </c>
      <c r="FZ352" t="e">
        <f>'North America'!D1397+"$F;@!2J6"</f>
        <v>#VALUE!</v>
      </c>
      <c r="GA352" t="e">
        <f>'North America'!E1397+"$F;@!2J7"</f>
        <v>#VALUE!</v>
      </c>
      <c r="GB352" t="e">
        <f>'North America'!F1397+"$F;@!2J8"</f>
        <v>#VALUE!</v>
      </c>
      <c r="GC352" t="e">
        <f>'North America'!G1397+"$F;@!2J9"</f>
        <v>#VALUE!</v>
      </c>
      <c r="GD352" t="e">
        <f>'North America'!H1397+"$F;@!2J:"</f>
        <v>#VALUE!</v>
      </c>
      <c r="GE352" t="e">
        <f>'North America'!A1398+"$F;@!2J;"</f>
        <v>#VALUE!</v>
      </c>
      <c r="GF352" t="e">
        <f>'North America'!B1398+"$F;@!2J&lt;"</f>
        <v>#VALUE!</v>
      </c>
      <c r="GG352" t="e">
        <f>'North America'!C1398+"$F;@!2J="</f>
        <v>#VALUE!</v>
      </c>
      <c r="GH352" t="e">
        <f>'North America'!D1398+"$F;@!2J&gt;"</f>
        <v>#VALUE!</v>
      </c>
      <c r="GI352" t="e">
        <f>'North America'!E1398+"$F;@!2J?"</f>
        <v>#VALUE!</v>
      </c>
      <c r="GJ352" t="e">
        <f>'North America'!F1398+"$F;@!2J@"</f>
        <v>#VALUE!</v>
      </c>
      <c r="GK352" t="e">
        <f>'North America'!G1398+"$F;@!2JA"</f>
        <v>#VALUE!</v>
      </c>
      <c r="GL352" t="e">
        <f>'North America'!H1398+"$F;@!2JB"</f>
        <v>#VALUE!</v>
      </c>
      <c r="GM352" t="e">
        <f>'North America'!A1399+"$F;@!2JC"</f>
        <v>#VALUE!</v>
      </c>
      <c r="GN352" t="e">
        <f>'North America'!B1399+"$F;@!2JD"</f>
        <v>#VALUE!</v>
      </c>
      <c r="GO352" t="e">
        <f>'North America'!C1399+"$F;@!2JE"</f>
        <v>#VALUE!</v>
      </c>
      <c r="GP352" t="e">
        <f>'North America'!D1399+"$F;@!2JF"</f>
        <v>#VALUE!</v>
      </c>
      <c r="GQ352" t="e">
        <f>'North America'!E1399+"$F;@!2JG"</f>
        <v>#VALUE!</v>
      </c>
      <c r="GR352" t="e">
        <f>'North America'!F1399+"$F;@!2JH"</f>
        <v>#VALUE!</v>
      </c>
      <c r="GS352" t="e">
        <f>'North America'!G1399+"$F;@!2JI"</f>
        <v>#VALUE!</v>
      </c>
      <c r="GT352" t="e">
        <f>'North America'!H1399+"$F;@!2JJ"</f>
        <v>#VALUE!</v>
      </c>
      <c r="GU352" t="e">
        <f>'North America'!A1400+"$F;@!2JK"</f>
        <v>#VALUE!</v>
      </c>
      <c r="GV352" t="e">
        <f>'North America'!B1400+"$F;@!2JL"</f>
        <v>#VALUE!</v>
      </c>
      <c r="GW352" t="e">
        <f>'North America'!C1400+"$F;@!2JM"</f>
        <v>#VALUE!</v>
      </c>
      <c r="GX352" t="e">
        <f>'North America'!D1400+"$F;@!2JN"</f>
        <v>#VALUE!</v>
      </c>
      <c r="GY352" t="e">
        <f>'North America'!E1400+"$F;@!2JO"</f>
        <v>#VALUE!</v>
      </c>
      <c r="GZ352" t="e">
        <f>'North America'!F1400+"$F;@!2JP"</f>
        <v>#VALUE!</v>
      </c>
      <c r="HA352" t="e">
        <f>'North America'!G1400+"$F;@!2JQ"</f>
        <v>#VALUE!</v>
      </c>
      <c r="HB352" t="e">
        <f>'North America'!H1400+"$F;@!2JR"</f>
        <v>#VALUE!</v>
      </c>
      <c r="HC352" t="e">
        <f>'North America'!A1401+"$F;@!2JS"</f>
        <v>#VALUE!</v>
      </c>
      <c r="HD352" t="e">
        <f>'North America'!B1401+"$F;@!2JT"</f>
        <v>#VALUE!</v>
      </c>
      <c r="HE352" t="e">
        <f>'North America'!C1401+"$F;@!2JU"</f>
        <v>#VALUE!</v>
      </c>
      <c r="HF352" t="e">
        <f>'North America'!D1401+"$F;@!2JV"</f>
        <v>#VALUE!</v>
      </c>
      <c r="HG352" t="e">
        <f>'North America'!E1401+"$F;@!2JW"</f>
        <v>#VALUE!</v>
      </c>
      <c r="HH352" t="e">
        <f>'North America'!F1401+"$F;@!2JX"</f>
        <v>#VALUE!</v>
      </c>
      <c r="HI352" t="e">
        <f>'North America'!G1401+"$F;@!2JY"</f>
        <v>#VALUE!</v>
      </c>
      <c r="HJ352" t="e">
        <f>'North America'!H1401+"$F;@!2JZ"</f>
        <v>#VALUE!</v>
      </c>
      <c r="HK352" t="e">
        <f>'North America'!A1402+"$F;@!2J["</f>
        <v>#VALUE!</v>
      </c>
      <c r="HL352" t="e">
        <f>'North America'!B1402+"$F;@!2J\"</f>
        <v>#VALUE!</v>
      </c>
      <c r="HM352" t="e">
        <f>'North America'!C1402+"$F;@!2J]"</f>
        <v>#VALUE!</v>
      </c>
      <c r="HN352" t="e">
        <f>'North America'!D1402+"$F;@!2J^"</f>
        <v>#VALUE!</v>
      </c>
      <c r="HO352" t="e">
        <f>'North America'!E1402+"$F;@!2J_"</f>
        <v>#VALUE!</v>
      </c>
      <c r="HP352" t="e">
        <f>'North America'!F1402+"$F;@!2J`"</f>
        <v>#VALUE!</v>
      </c>
      <c r="HQ352" t="e">
        <f>'North America'!G1402+"$F;@!2Ja"</f>
        <v>#VALUE!</v>
      </c>
      <c r="HR352" t="e">
        <f>'North America'!H1402+"$F;@!2Jb"</f>
        <v>#VALUE!</v>
      </c>
      <c r="HS352" t="e">
        <f>'North America'!A1403+"$F;@!2Jc"</f>
        <v>#VALUE!</v>
      </c>
      <c r="HT352" t="e">
        <f>'North America'!B1403+"$F;@!2Jd"</f>
        <v>#VALUE!</v>
      </c>
      <c r="HU352" t="e">
        <f>'North America'!C1403+"$F;@!2Je"</f>
        <v>#VALUE!</v>
      </c>
      <c r="HV352" t="e">
        <f>'North America'!D1403+"$F;@!2Jf"</f>
        <v>#VALUE!</v>
      </c>
      <c r="HW352" t="e">
        <f>'North America'!E1403+"$F;@!2Jg"</f>
        <v>#VALUE!</v>
      </c>
      <c r="HX352" t="e">
        <f>'North America'!F1403+"$F;@!2Jh"</f>
        <v>#VALUE!</v>
      </c>
      <c r="HY352" t="e">
        <f>'North America'!G1403+"$F;@!2Ji"</f>
        <v>#VALUE!</v>
      </c>
      <c r="HZ352" t="e">
        <f>'North America'!H1403+"$F;@!2Jj"</f>
        <v>#VALUE!</v>
      </c>
      <c r="IA352" t="e">
        <f>'North America'!A1404+"$F;@!2Jk"</f>
        <v>#VALUE!</v>
      </c>
      <c r="IB352" t="e">
        <f>'North America'!B1404+"$F;@!2Jl"</f>
        <v>#VALUE!</v>
      </c>
      <c r="IC352" t="e">
        <f>'North America'!C1404+"$F;@!2Jm"</f>
        <v>#VALUE!</v>
      </c>
      <c r="ID352" t="e">
        <f>'North America'!D1404+"$F;@!2Jn"</f>
        <v>#VALUE!</v>
      </c>
      <c r="IE352" t="e">
        <f>'North America'!E1404+"$F;@!2Jo"</f>
        <v>#VALUE!</v>
      </c>
      <c r="IF352" t="e">
        <f>'North America'!F1404+"$F;@!2Jp"</f>
        <v>#VALUE!</v>
      </c>
      <c r="IG352" t="e">
        <f>'North America'!G1404+"$F;@!2Jq"</f>
        <v>#VALUE!</v>
      </c>
      <c r="IH352" t="e">
        <f>'North America'!H1404+"$F;@!2Jr"</f>
        <v>#VALUE!</v>
      </c>
      <c r="II352" t="e">
        <f>'North America'!A1405+"$F;@!2Js"</f>
        <v>#VALUE!</v>
      </c>
      <c r="IJ352" t="e">
        <f>'North America'!B1405+"$F;@!2Jt"</f>
        <v>#VALUE!</v>
      </c>
      <c r="IK352" t="e">
        <f>'North America'!C1405+"$F;@!2Ju"</f>
        <v>#VALUE!</v>
      </c>
      <c r="IL352" t="e">
        <f>'North America'!D1405+"$F;@!2Jv"</f>
        <v>#VALUE!</v>
      </c>
      <c r="IM352" t="e">
        <f>'North America'!E1405+"$F;@!2Jw"</f>
        <v>#VALUE!</v>
      </c>
      <c r="IN352" t="e">
        <f>'North America'!F1405+"$F;@!2Jx"</f>
        <v>#VALUE!</v>
      </c>
      <c r="IO352" t="e">
        <f>'North America'!G1405+"$F;@!2Jy"</f>
        <v>#VALUE!</v>
      </c>
      <c r="IP352" t="e">
        <f>'North America'!H1405+"$F;@!2Jz"</f>
        <v>#VALUE!</v>
      </c>
      <c r="IQ352" t="e">
        <f>'North America'!A1406+"$F;@!2J{"</f>
        <v>#VALUE!</v>
      </c>
      <c r="IR352" t="e">
        <f>'North America'!B1406+"$F;@!2J|"</f>
        <v>#VALUE!</v>
      </c>
      <c r="IS352" t="e">
        <f>'North America'!C1406+"$F;@!2J}"</f>
        <v>#VALUE!</v>
      </c>
      <c r="IT352" t="e">
        <f>'North America'!D1406+"$F;@!2J~"</f>
        <v>#VALUE!</v>
      </c>
      <c r="IU352" t="e">
        <f>'North America'!E1406+"$F;@!2K#"</f>
        <v>#VALUE!</v>
      </c>
      <c r="IV352" t="e">
        <f>'North America'!F1406+"$F;@!2K$"</f>
        <v>#VALUE!</v>
      </c>
    </row>
    <row r="353" spans="6:256" x14ac:dyDescent="0.35">
      <c r="F353" t="e">
        <f>'North America'!G1406+"$F;@!2K%"</f>
        <v>#VALUE!</v>
      </c>
      <c r="G353" t="e">
        <f>'North America'!H1406+"$F;@!2K&amp;"</f>
        <v>#VALUE!</v>
      </c>
      <c r="H353" t="e">
        <f>'North America'!A1407+"$F;@!2K'"</f>
        <v>#VALUE!</v>
      </c>
      <c r="I353" t="e">
        <f>'North America'!B1407+"$F;@!2K("</f>
        <v>#VALUE!</v>
      </c>
      <c r="J353" t="e">
        <f>'North America'!C1407+"$F;@!2K)"</f>
        <v>#VALUE!</v>
      </c>
      <c r="K353" t="e">
        <f>'North America'!D1407+"$F;@!2K."</f>
        <v>#VALUE!</v>
      </c>
      <c r="L353" t="e">
        <f>'North America'!E1407+"$F;@!2K/"</f>
        <v>#VALUE!</v>
      </c>
      <c r="M353" t="e">
        <f>'North America'!F1407+"$F;@!2K0"</f>
        <v>#VALUE!</v>
      </c>
      <c r="N353" t="e">
        <f>'North America'!G1407+"$F;@!2K1"</f>
        <v>#VALUE!</v>
      </c>
      <c r="O353" t="e">
        <f>'North America'!H1407+"$F;@!2K2"</f>
        <v>#VALUE!</v>
      </c>
      <c r="P353" t="e">
        <f>'North America'!A1408+"$F;@!2K3"</f>
        <v>#VALUE!</v>
      </c>
      <c r="Q353" t="e">
        <f>'North America'!B1408+"$F;@!2K4"</f>
        <v>#VALUE!</v>
      </c>
      <c r="R353" t="e">
        <f>'North America'!C1408+"$F;@!2K5"</f>
        <v>#VALUE!</v>
      </c>
      <c r="S353" t="e">
        <f>'North America'!D1408+"$F;@!2K6"</f>
        <v>#VALUE!</v>
      </c>
      <c r="T353" t="e">
        <f>'North America'!E1408+"$F;@!2K7"</f>
        <v>#VALUE!</v>
      </c>
      <c r="U353" t="e">
        <f>'North America'!F1408+"$F;@!2K8"</f>
        <v>#VALUE!</v>
      </c>
      <c r="V353" t="e">
        <f>'North America'!G1408+"$F;@!2K9"</f>
        <v>#VALUE!</v>
      </c>
      <c r="W353" t="e">
        <f>'North America'!H1408+"$F;@!2K:"</f>
        <v>#VALUE!</v>
      </c>
      <c r="X353" t="e">
        <f>'North America'!A1409+"$F;@!2K;"</f>
        <v>#VALUE!</v>
      </c>
      <c r="Y353" t="e">
        <f>'North America'!B1409+"$F;@!2K&lt;"</f>
        <v>#VALUE!</v>
      </c>
      <c r="Z353" t="e">
        <f>'North America'!C1409+"$F;@!2K="</f>
        <v>#VALUE!</v>
      </c>
      <c r="AA353" t="e">
        <f>'North America'!D1409+"$F;@!2K&gt;"</f>
        <v>#VALUE!</v>
      </c>
      <c r="AB353" t="e">
        <f>'North America'!E1409+"$F;@!2K?"</f>
        <v>#VALUE!</v>
      </c>
      <c r="AC353" t="e">
        <f>'North America'!F1409+"$F;@!2K@"</f>
        <v>#VALUE!</v>
      </c>
      <c r="AD353" t="e">
        <f>'North America'!G1409+"$F;@!2KA"</f>
        <v>#VALUE!</v>
      </c>
      <c r="AE353" t="e">
        <f>'North America'!H1409+"$F;@!2KB"</f>
        <v>#VALUE!</v>
      </c>
      <c r="AF353" t="e">
        <f>'North America'!A1410+"$F;@!2KC"</f>
        <v>#VALUE!</v>
      </c>
      <c r="AG353" t="e">
        <f>'North America'!B1410+"$F;@!2KD"</f>
        <v>#VALUE!</v>
      </c>
      <c r="AH353" t="e">
        <f>'North America'!C1410+"$F;@!2KE"</f>
        <v>#VALUE!</v>
      </c>
      <c r="AI353" t="e">
        <f>'North America'!D1410+"$F;@!2KF"</f>
        <v>#VALUE!</v>
      </c>
      <c r="AJ353" t="e">
        <f>'North America'!E1410+"$F;@!2KG"</f>
        <v>#VALUE!</v>
      </c>
      <c r="AK353" t="e">
        <f>'North America'!F1410+"$F;@!2KH"</f>
        <v>#VALUE!</v>
      </c>
      <c r="AL353" t="e">
        <f>'North America'!G1410+"$F;@!2KI"</f>
        <v>#VALUE!</v>
      </c>
      <c r="AM353" t="e">
        <f>'North America'!H1410+"$F;@!2KJ"</f>
        <v>#VALUE!</v>
      </c>
      <c r="AN353" t="e">
        <f>'North America'!A1411+"$F;@!2KK"</f>
        <v>#VALUE!</v>
      </c>
      <c r="AO353" t="e">
        <f>'North America'!B1411+"$F;@!2KL"</f>
        <v>#VALUE!</v>
      </c>
      <c r="AP353" t="e">
        <f>'North America'!C1411+"$F;@!2KM"</f>
        <v>#VALUE!</v>
      </c>
      <c r="AQ353" t="e">
        <f>'North America'!D1411+"$F;@!2KN"</f>
        <v>#VALUE!</v>
      </c>
      <c r="AR353" t="e">
        <f>'North America'!E1411+"$F;@!2KO"</f>
        <v>#VALUE!</v>
      </c>
      <c r="AS353" t="e">
        <f>'North America'!F1411+"$F;@!2KP"</f>
        <v>#VALUE!</v>
      </c>
      <c r="AT353" t="e">
        <f>'North America'!G1411+"$F;@!2KQ"</f>
        <v>#VALUE!</v>
      </c>
      <c r="AU353" t="e">
        <f>'North America'!H1411+"$F;@!2KR"</f>
        <v>#VALUE!</v>
      </c>
      <c r="AV353" t="e">
        <f>'North America'!A1412+"$F;@!2KS"</f>
        <v>#VALUE!</v>
      </c>
      <c r="AW353" t="e">
        <f>'North America'!B1412+"$F;@!2KT"</f>
        <v>#VALUE!</v>
      </c>
      <c r="AX353" t="e">
        <f>'North America'!C1412+"$F;@!2KU"</f>
        <v>#VALUE!</v>
      </c>
      <c r="AY353" t="e">
        <f>'North America'!D1412+"$F;@!2KV"</f>
        <v>#VALUE!</v>
      </c>
      <c r="AZ353" t="e">
        <f>'North America'!E1412+"$F;@!2KW"</f>
        <v>#VALUE!</v>
      </c>
      <c r="BA353" t="e">
        <f>'North America'!F1412+"$F;@!2KX"</f>
        <v>#VALUE!</v>
      </c>
      <c r="BB353" t="e">
        <f>'North America'!G1412+"$F;@!2KY"</f>
        <v>#VALUE!</v>
      </c>
      <c r="BC353" t="e">
        <f>'North America'!H1412+"$F;@!2KZ"</f>
        <v>#VALUE!</v>
      </c>
      <c r="BD353" t="e">
        <f>'North America'!A1413+"$F;@!2K["</f>
        <v>#VALUE!</v>
      </c>
      <c r="BE353" t="e">
        <f>'North America'!B1413+"$F;@!2K\"</f>
        <v>#VALUE!</v>
      </c>
      <c r="BF353" t="e">
        <f>'North America'!C1413+"$F;@!2K]"</f>
        <v>#VALUE!</v>
      </c>
      <c r="BG353" t="e">
        <f>'North America'!D1413+"$F;@!2K^"</f>
        <v>#VALUE!</v>
      </c>
      <c r="BH353" t="e">
        <f>'North America'!E1413+"$F;@!2K_"</f>
        <v>#VALUE!</v>
      </c>
      <c r="BI353" t="e">
        <f>'North America'!F1413+"$F;@!2K`"</f>
        <v>#VALUE!</v>
      </c>
      <c r="BJ353" t="e">
        <f>'North America'!G1413+"$F;@!2Ka"</f>
        <v>#VALUE!</v>
      </c>
      <c r="BK353" t="e">
        <f>'North America'!H1413+"$F;@!2Kb"</f>
        <v>#VALUE!</v>
      </c>
      <c r="BL353" t="e">
        <f>'North America'!A1414+"$F;@!2Kc"</f>
        <v>#VALUE!</v>
      </c>
      <c r="BM353" t="e">
        <f>'North America'!B1414+"$F;@!2Kd"</f>
        <v>#VALUE!</v>
      </c>
      <c r="BN353" t="e">
        <f>'North America'!C1414+"$F;@!2Ke"</f>
        <v>#VALUE!</v>
      </c>
      <c r="BO353" t="e">
        <f>'North America'!D1414+"$F;@!2Kf"</f>
        <v>#VALUE!</v>
      </c>
      <c r="BP353" t="e">
        <f>'North America'!E1414+"$F;@!2Kg"</f>
        <v>#VALUE!</v>
      </c>
      <c r="BQ353" t="e">
        <f>'North America'!F1414+"$F;@!2Kh"</f>
        <v>#VALUE!</v>
      </c>
      <c r="BR353" t="e">
        <f>'North America'!G1414+"$F;@!2Ki"</f>
        <v>#VALUE!</v>
      </c>
      <c r="BS353" t="e">
        <f>'North America'!H1414+"$F;@!2Kj"</f>
        <v>#VALUE!</v>
      </c>
      <c r="BT353" t="e">
        <f>'North America'!A1415+"$F;@!2Kk"</f>
        <v>#VALUE!</v>
      </c>
      <c r="BU353" t="e">
        <f>'North America'!B1415+"$F;@!2Kl"</f>
        <v>#VALUE!</v>
      </c>
      <c r="BV353" t="e">
        <f>'North America'!C1415+"$F;@!2Km"</f>
        <v>#VALUE!</v>
      </c>
      <c r="BW353" t="e">
        <f>'North America'!D1415+"$F;@!2Kn"</f>
        <v>#VALUE!</v>
      </c>
      <c r="BX353" t="e">
        <f>'North America'!E1415+"$F;@!2Ko"</f>
        <v>#VALUE!</v>
      </c>
      <c r="BY353" t="e">
        <f>'North America'!F1415+"$F;@!2Kp"</f>
        <v>#VALUE!</v>
      </c>
      <c r="BZ353" t="e">
        <f>'North America'!G1415+"$F;@!2Kq"</f>
        <v>#VALUE!</v>
      </c>
      <c r="CA353" t="e">
        <f>'North America'!H1415+"$F;@!2Kr"</f>
        <v>#VALUE!</v>
      </c>
      <c r="CB353" t="e">
        <f>'North America'!A1416+"$F;@!2Ks"</f>
        <v>#VALUE!</v>
      </c>
      <c r="CC353" t="e">
        <f>'North America'!B1416+"$F;@!2Kt"</f>
        <v>#VALUE!</v>
      </c>
      <c r="CD353" t="e">
        <f>'North America'!C1416+"$F;@!2Ku"</f>
        <v>#VALUE!</v>
      </c>
      <c r="CE353" t="e">
        <f>'North America'!D1416+"$F;@!2Kv"</f>
        <v>#VALUE!</v>
      </c>
      <c r="CF353" t="e">
        <f>'North America'!E1416+"$F;@!2Kw"</f>
        <v>#VALUE!</v>
      </c>
      <c r="CG353" t="e">
        <f>'North America'!F1416+"$F;@!2Kx"</f>
        <v>#VALUE!</v>
      </c>
      <c r="CH353" t="e">
        <f>'North America'!G1416+"$F;@!2Ky"</f>
        <v>#VALUE!</v>
      </c>
      <c r="CI353" t="e">
        <f>'North America'!H1416+"$F;@!2Kz"</f>
        <v>#VALUE!</v>
      </c>
      <c r="CJ353" t="e">
        <f>'North America'!A1417+"$F;@!2K{"</f>
        <v>#VALUE!</v>
      </c>
      <c r="CK353" t="e">
        <f>'North America'!B1417+"$F;@!2K|"</f>
        <v>#VALUE!</v>
      </c>
      <c r="CL353" t="e">
        <f>'North America'!C1417+"$F;@!2K}"</f>
        <v>#VALUE!</v>
      </c>
      <c r="CM353" t="e">
        <f>'North America'!D1417+"$F;@!2K~"</f>
        <v>#VALUE!</v>
      </c>
      <c r="CN353" t="e">
        <f>'North America'!E1417+"$F;@!2L#"</f>
        <v>#VALUE!</v>
      </c>
      <c r="CO353" t="e">
        <f>'North America'!F1417+"$F;@!2L$"</f>
        <v>#VALUE!</v>
      </c>
      <c r="CP353" t="e">
        <f>'North America'!G1417+"$F;@!2L%"</f>
        <v>#VALUE!</v>
      </c>
      <c r="CQ353" t="e">
        <f>'North America'!H1417+"$F;@!2L&amp;"</f>
        <v>#VALUE!</v>
      </c>
      <c r="CR353" t="e">
        <f>'North America'!A1418+"$F;@!2L'"</f>
        <v>#VALUE!</v>
      </c>
      <c r="CS353" t="e">
        <f>'North America'!B1418+"$F;@!2L("</f>
        <v>#VALUE!</v>
      </c>
      <c r="CT353" t="e">
        <f>'North America'!C1418+"$F;@!2L)"</f>
        <v>#VALUE!</v>
      </c>
      <c r="CU353" t="e">
        <f>'North America'!D1418+"$F;@!2L."</f>
        <v>#VALUE!</v>
      </c>
      <c r="CV353" t="e">
        <f>'North America'!E1418+"$F;@!2L/"</f>
        <v>#VALUE!</v>
      </c>
      <c r="CW353" t="e">
        <f>'North America'!F1418+"$F;@!2L0"</f>
        <v>#VALUE!</v>
      </c>
      <c r="CX353" t="e">
        <f>'North America'!G1418+"$F;@!2L1"</f>
        <v>#VALUE!</v>
      </c>
      <c r="CY353" t="e">
        <f>'North America'!H1418+"$F;@!2L2"</f>
        <v>#VALUE!</v>
      </c>
      <c r="CZ353" t="e">
        <f>'North America'!A1419+"$F;@!2L3"</f>
        <v>#VALUE!</v>
      </c>
      <c r="DA353" t="e">
        <f>'North America'!B1419+"$F;@!2L4"</f>
        <v>#VALUE!</v>
      </c>
      <c r="DB353" t="e">
        <f>'North America'!C1419+"$F;@!2L5"</f>
        <v>#VALUE!</v>
      </c>
      <c r="DC353" t="e">
        <f>'North America'!D1419+"$F;@!2L6"</f>
        <v>#VALUE!</v>
      </c>
      <c r="DD353" t="e">
        <f>'North America'!E1419+"$F;@!2L7"</f>
        <v>#VALUE!</v>
      </c>
      <c r="DE353" t="e">
        <f>'North America'!F1419+"$F;@!2L8"</f>
        <v>#VALUE!</v>
      </c>
      <c r="DF353" t="e">
        <f>'North America'!G1419+"$F;@!2L9"</f>
        <v>#VALUE!</v>
      </c>
      <c r="DG353" t="e">
        <f>'North America'!H1419+"$F;@!2L:"</f>
        <v>#VALUE!</v>
      </c>
      <c r="DH353" t="e">
        <f>'North America'!A1420+"$F;@!2L;"</f>
        <v>#VALUE!</v>
      </c>
      <c r="DI353" t="e">
        <f>'North America'!B1420+"$F;@!2L&lt;"</f>
        <v>#VALUE!</v>
      </c>
      <c r="DJ353" t="e">
        <f>'North America'!C1420+"$F;@!2L="</f>
        <v>#VALUE!</v>
      </c>
      <c r="DK353" t="e">
        <f>'North America'!D1420+"$F;@!2L&gt;"</f>
        <v>#VALUE!</v>
      </c>
      <c r="DL353" t="e">
        <f>'North America'!E1420+"$F;@!2L?"</f>
        <v>#VALUE!</v>
      </c>
      <c r="DM353" t="e">
        <f>'North America'!F1420+"$F;@!2L@"</f>
        <v>#VALUE!</v>
      </c>
      <c r="DN353" t="e">
        <f>'North America'!G1420+"$F;@!2LA"</f>
        <v>#VALUE!</v>
      </c>
      <c r="DO353" t="e">
        <f>'North America'!H1420+"$F;@!2LB"</f>
        <v>#VALUE!</v>
      </c>
      <c r="DP353" t="e">
        <f>'North America'!A1421+"$F;@!2LC"</f>
        <v>#VALUE!</v>
      </c>
      <c r="DQ353" t="e">
        <f>'North America'!B1421+"$F;@!2LD"</f>
        <v>#VALUE!</v>
      </c>
      <c r="DR353" t="e">
        <f>'North America'!C1421+"$F;@!2LE"</f>
        <v>#VALUE!</v>
      </c>
      <c r="DS353" t="e">
        <f>'North America'!D1421+"$F;@!2LF"</f>
        <v>#VALUE!</v>
      </c>
      <c r="DT353" t="e">
        <f>'North America'!E1421+"$F;@!2LG"</f>
        <v>#VALUE!</v>
      </c>
      <c r="DU353" t="e">
        <f>'North America'!F1421+"$F;@!2LH"</f>
        <v>#VALUE!</v>
      </c>
      <c r="DV353" t="e">
        <f>'North America'!G1421+"$F;@!2LI"</f>
        <v>#VALUE!</v>
      </c>
      <c r="DW353" t="e">
        <f>'North America'!H1421+"$F;@!2LJ"</f>
        <v>#VALUE!</v>
      </c>
      <c r="DX353" t="e">
        <f>'North America'!A1422+"$F;@!2LK"</f>
        <v>#VALUE!</v>
      </c>
      <c r="DY353" t="e">
        <f>'North America'!B1422+"$F;@!2LL"</f>
        <v>#VALUE!</v>
      </c>
      <c r="DZ353" t="e">
        <f>'North America'!C1422+"$F;@!2LM"</f>
        <v>#VALUE!</v>
      </c>
      <c r="EA353" t="e">
        <f>'North America'!D1422+"$F;@!2LN"</f>
        <v>#VALUE!</v>
      </c>
      <c r="EB353" t="e">
        <f>'North America'!E1422+"$F;@!2LO"</f>
        <v>#VALUE!</v>
      </c>
      <c r="EC353" t="e">
        <f>'North America'!F1422+"$F;@!2LP"</f>
        <v>#VALUE!</v>
      </c>
      <c r="ED353" t="e">
        <f>'North America'!G1422+"$F;@!2LQ"</f>
        <v>#VALUE!</v>
      </c>
      <c r="EE353" t="e">
        <f>'North America'!H1422+"$F;@!2LR"</f>
        <v>#VALUE!</v>
      </c>
      <c r="EF353" t="e">
        <f>'North America'!A1423+"$F;@!2LS"</f>
        <v>#VALUE!</v>
      </c>
      <c r="EG353" t="e">
        <f>'North America'!B1423+"$F;@!2LT"</f>
        <v>#VALUE!</v>
      </c>
      <c r="EH353" t="e">
        <f>'North America'!C1423+"$F;@!2LU"</f>
        <v>#VALUE!</v>
      </c>
      <c r="EI353" t="e">
        <f>'North America'!D1423+"$F;@!2LV"</f>
        <v>#VALUE!</v>
      </c>
      <c r="EJ353" t="e">
        <f>'North America'!E1423+"$F;@!2LW"</f>
        <v>#VALUE!</v>
      </c>
      <c r="EK353" t="e">
        <f>'North America'!F1423+"$F;@!2LX"</f>
        <v>#VALUE!</v>
      </c>
      <c r="EL353" t="e">
        <f>'North America'!G1423+"$F;@!2LY"</f>
        <v>#VALUE!</v>
      </c>
      <c r="EM353" t="e">
        <f>'North America'!H1423+"$F;@!2LZ"</f>
        <v>#VALUE!</v>
      </c>
      <c r="EN353" t="e">
        <f>'North America'!A1424+"$F;@!2L["</f>
        <v>#VALUE!</v>
      </c>
      <c r="EO353" t="e">
        <f>'North America'!B1424+"$F;@!2L\"</f>
        <v>#VALUE!</v>
      </c>
      <c r="EP353" t="e">
        <f>'North America'!C1424+"$F;@!2L]"</f>
        <v>#VALUE!</v>
      </c>
      <c r="EQ353" t="e">
        <f>'North America'!D1424+"$F;@!2L^"</f>
        <v>#VALUE!</v>
      </c>
      <c r="ER353" t="e">
        <f>'North America'!E1424+"$F;@!2L_"</f>
        <v>#VALUE!</v>
      </c>
      <c r="ES353" t="e">
        <f>'North America'!F1424+"$F;@!2L`"</f>
        <v>#VALUE!</v>
      </c>
      <c r="ET353" t="e">
        <f>'North America'!G1424+"$F;@!2La"</f>
        <v>#VALUE!</v>
      </c>
      <c r="EU353" t="e">
        <f>'North America'!H1424+"$F;@!2Lb"</f>
        <v>#VALUE!</v>
      </c>
      <c r="EV353" t="e">
        <f>'North America'!A1425+"$F;@!2Lc"</f>
        <v>#VALUE!</v>
      </c>
      <c r="EW353" t="e">
        <f>'North America'!B1425+"$F;@!2Ld"</f>
        <v>#VALUE!</v>
      </c>
      <c r="EX353" t="e">
        <f>'North America'!C1425+"$F;@!2Le"</f>
        <v>#VALUE!</v>
      </c>
      <c r="EY353" t="e">
        <f>'North America'!D1425+"$F;@!2Lf"</f>
        <v>#VALUE!</v>
      </c>
      <c r="EZ353" t="e">
        <f>'North America'!E1425+"$F;@!2Lg"</f>
        <v>#VALUE!</v>
      </c>
      <c r="FA353" t="e">
        <f>'North America'!F1425+"$F;@!2Lh"</f>
        <v>#VALUE!</v>
      </c>
      <c r="FB353" t="e">
        <f>'North America'!G1425+"$F;@!2Li"</f>
        <v>#VALUE!</v>
      </c>
      <c r="FC353" t="e">
        <f>'North America'!H1425+"$F;@!2Lj"</f>
        <v>#VALUE!</v>
      </c>
      <c r="FD353" t="e">
        <f>'North America'!A1426+"$F;@!2Lk"</f>
        <v>#VALUE!</v>
      </c>
      <c r="FE353" t="e">
        <f>'North America'!B1426+"$F;@!2Ll"</f>
        <v>#VALUE!</v>
      </c>
      <c r="FF353" t="e">
        <f>'North America'!C1426+"$F;@!2Lm"</f>
        <v>#VALUE!</v>
      </c>
      <c r="FG353" t="e">
        <f>'North America'!D1426+"$F;@!2Ln"</f>
        <v>#VALUE!</v>
      </c>
      <c r="FH353" t="e">
        <f>'North America'!E1426+"$F;@!2Lo"</f>
        <v>#VALUE!</v>
      </c>
      <c r="FI353" t="e">
        <f>'North America'!F1426+"$F;@!2Lp"</f>
        <v>#VALUE!</v>
      </c>
      <c r="FJ353" t="e">
        <f>'North America'!G1426+"$F;@!2Lq"</f>
        <v>#VALUE!</v>
      </c>
      <c r="FK353" t="e">
        <f>'North America'!H1426+"$F;@!2Lr"</f>
        <v>#VALUE!</v>
      </c>
      <c r="FL353" t="e">
        <f>'North America'!A1427+"$F;@!2Ls"</f>
        <v>#VALUE!</v>
      </c>
      <c r="FM353" t="e">
        <f>'North America'!B1427+"$F;@!2Lt"</f>
        <v>#VALUE!</v>
      </c>
      <c r="FN353" t="e">
        <f>'North America'!C1427+"$F;@!2Lu"</f>
        <v>#VALUE!</v>
      </c>
      <c r="FO353" t="e">
        <f>'North America'!D1427+"$F;@!2Lv"</f>
        <v>#VALUE!</v>
      </c>
      <c r="FP353" t="e">
        <f>'North America'!E1427+"$F;@!2Lw"</f>
        <v>#VALUE!</v>
      </c>
      <c r="FQ353" t="e">
        <f>'North America'!F1427+"$F;@!2Lx"</f>
        <v>#VALUE!</v>
      </c>
      <c r="FR353" t="e">
        <f>'North America'!G1427+"$F;@!2Ly"</f>
        <v>#VALUE!</v>
      </c>
      <c r="FS353" t="e">
        <f>'North America'!H1427+"$F;@!2Lz"</f>
        <v>#VALUE!</v>
      </c>
      <c r="FT353" t="e">
        <f>'North America'!A1428+"$F;@!2L{"</f>
        <v>#VALUE!</v>
      </c>
      <c r="FU353" t="e">
        <f>'North America'!B1428+"$F;@!2L|"</f>
        <v>#VALUE!</v>
      </c>
      <c r="FV353" t="e">
        <f>'North America'!C1428+"$F;@!2L}"</f>
        <v>#VALUE!</v>
      </c>
      <c r="FW353" t="e">
        <f>'North America'!D1428+"$F;@!2L~"</f>
        <v>#VALUE!</v>
      </c>
      <c r="FX353" t="e">
        <f>'North America'!E1428+"$F;@!2M#"</f>
        <v>#VALUE!</v>
      </c>
      <c r="FY353" t="e">
        <f>'North America'!F1428+"$F;@!2M$"</f>
        <v>#VALUE!</v>
      </c>
      <c r="FZ353" t="e">
        <f>'North America'!G1428+"$F;@!2M%"</f>
        <v>#VALUE!</v>
      </c>
      <c r="GA353" t="e">
        <f>'North America'!H1428+"$F;@!2M&amp;"</f>
        <v>#VALUE!</v>
      </c>
      <c r="GB353" t="e">
        <f>'North America'!A1429+"$F;@!2M'"</f>
        <v>#VALUE!</v>
      </c>
      <c r="GC353" t="e">
        <f>'North America'!B1429+"$F;@!2M("</f>
        <v>#VALUE!</v>
      </c>
      <c r="GD353" t="e">
        <f>'North America'!C1429+"$F;@!2M)"</f>
        <v>#VALUE!</v>
      </c>
      <c r="GE353" t="e">
        <f>'North America'!D1429+"$F;@!2M."</f>
        <v>#VALUE!</v>
      </c>
      <c r="GF353" t="e">
        <f>'North America'!E1429+"$F;@!2M/"</f>
        <v>#VALUE!</v>
      </c>
      <c r="GG353" t="e">
        <f>'North America'!F1429+"$F;@!2M0"</f>
        <v>#VALUE!</v>
      </c>
      <c r="GH353" t="e">
        <f>'North America'!G1429+"$F;@!2M1"</f>
        <v>#VALUE!</v>
      </c>
      <c r="GI353" t="e">
        <f>'North America'!H1429+"$F;@!2M2"</f>
        <v>#VALUE!</v>
      </c>
      <c r="GJ353" t="e">
        <f>'North America'!A1430+"$F;@!2M3"</f>
        <v>#VALUE!</v>
      </c>
      <c r="GK353" t="e">
        <f>'North America'!B1430+"$F;@!2M4"</f>
        <v>#VALUE!</v>
      </c>
      <c r="GL353" t="e">
        <f>'North America'!C1430+"$F;@!2M5"</f>
        <v>#VALUE!</v>
      </c>
      <c r="GM353" t="e">
        <f>'North America'!D1430+"$F;@!2M6"</f>
        <v>#VALUE!</v>
      </c>
      <c r="GN353" t="e">
        <f>'North America'!E1430+"$F;@!2M7"</f>
        <v>#VALUE!</v>
      </c>
      <c r="GO353" t="e">
        <f>'North America'!F1430+"$F;@!2M8"</f>
        <v>#VALUE!</v>
      </c>
      <c r="GP353" t="e">
        <f>'North America'!G1430+"$F;@!2M9"</f>
        <v>#VALUE!</v>
      </c>
      <c r="GQ353" t="e">
        <f>'North America'!H1430+"$F;@!2M:"</f>
        <v>#VALUE!</v>
      </c>
      <c r="GR353" t="e">
        <f>'North America'!A1431+"$F;@!2M;"</f>
        <v>#VALUE!</v>
      </c>
      <c r="GS353" t="e">
        <f>'North America'!B1431+"$F;@!2M&lt;"</f>
        <v>#VALUE!</v>
      </c>
      <c r="GT353" t="e">
        <f>'North America'!C1431+"$F;@!2M="</f>
        <v>#VALUE!</v>
      </c>
      <c r="GU353" t="e">
        <f>'North America'!D1431+"$F;@!2M&gt;"</f>
        <v>#VALUE!</v>
      </c>
      <c r="GV353" t="e">
        <f>'North America'!E1431+"$F;@!2M?"</f>
        <v>#VALUE!</v>
      </c>
      <c r="GW353" t="e">
        <f>'North America'!F1431+"$F;@!2M@"</f>
        <v>#VALUE!</v>
      </c>
      <c r="GX353" t="e">
        <f>'North America'!G1431+"$F;@!2MA"</f>
        <v>#VALUE!</v>
      </c>
      <c r="GY353" t="e">
        <f>'North America'!H1431+"$F;@!2MB"</f>
        <v>#VALUE!</v>
      </c>
      <c r="GZ353" t="e">
        <f>'North America'!A1432+"$F;@!2MC"</f>
        <v>#VALUE!</v>
      </c>
      <c r="HA353" t="e">
        <f>'North America'!B1432+"$F;@!2MD"</f>
        <v>#VALUE!</v>
      </c>
      <c r="HB353" t="e">
        <f>'North America'!C1432+"$F;@!2ME"</f>
        <v>#VALUE!</v>
      </c>
      <c r="HC353" t="e">
        <f>'North America'!D1432+"$F;@!2MF"</f>
        <v>#VALUE!</v>
      </c>
      <c r="HD353" t="e">
        <f>'North America'!E1432+"$F;@!2MG"</f>
        <v>#VALUE!</v>
      </c>
      <c r="HE353" t="e">
        <f>'North America'!F1432+"$F;@!2MH"</f>
        <v>#VALUE!</v>
      </c>
      <c r="HF353" t="e">
        <f>'North America'!G1432+"$F;@!2MI"</f>
        <v>#VALUE!</v>
      </c>
      <c r="HG353" t="e">
        <f>'North America'!H1432+"$F;@!2MJ"</f>
        <v>#VALUE!</v>
      </c>
      <c r="HH353" t="e">
        <f>'North America'!A1433+"$F;@!2MK"</f>
        <v>#VALUE!</v>
      </c>
      <c r="HI353" t="e">
        <f>'North America'!B1433+"$F;@!2ML"</f>
        <v>#VALUE!</v>
      </c>
      <c r="HJ353" t="e">
        <f>'North America'!C1433+"$F;@!2MM"</f>
        <v>#VALUE!</v>
      </c>
      <c r="HK353" t="e">
        <f>'North America'!D1433+"$F;@!2MN"</f>
        <v>#VALUE!</v>
      </c>
      <c r="HL353" t="e">
        <f>'North America'!E1433+"$F;@!2MO"</f>
        <v>#VALUE!</v>
      </c>
      <c r="HM353" t="e">
        <f>'North America'!F1433+"$F;@!2MP"</f>
        <v>#VALUE!</v>
      </c>
      <c r="HN353" t="e">
        <f>'North America'!G1433+"$F;@!2MQ"</f>
        <v>#VALUE!</v>
      </c>
      <c r="HO353" t="e">
        <f>'North America'!H1433+"$F;@!2MR"</f>
        <v>#VALUE!</v>
      </c>
      <c r="HP353" t="e">
        <f>'North America'!A1434+"$F;@!2MS"</f>
        <v>#VALUE!</v>
      </c>
      <c r="HQ353" t="e">
        <f>'North America'!B1434+"$F;@!2MT"</f>
        <v>#VALUE!</v>
      </c>
      <c r="HR353" t="e">
        <f>'North America'!C1434+"$F;@!2MU"</f>
        <v>#VALUE!</v>
      </c>
      <c r="HS353" t="e">
        <f>'North America'!D1434+"$F;@!2MV"</f>
        <v>#VALUE!</v>
      </c>
      <c r="HT353" t="e">
        <f>'North America'!E1434+"$F;@!2MW"</f>
        <v>#VALUE!</v>
      </c>
      <c r="HU353" t="e">
        <f>'North America'!F1434+"$F;@!2MX"</f>
        <v>#VALUE!</v>
      </c>
      <c r="HV353" t="e">
        <f>'North America'!G1434+"$F;@!2MY"</f>
        <v>#VALUE!</v>
      </c>
      <c r="HW353" t="e">
        <f>'North America'!H1434+"$F;@!2MZ"</f>
        <v>#VALUE!</v>
      </c>
      <c r="HX353" t="e">
        <f>'North America'!A1435+"$F;@!2M["</f>
        <v>#VALUE!</v>
      </c>
      <c r="HY353" t="e">
        <f>'North America'!B1435+"$F;@!2M\"</f>
        <v>#VALUE!</v>
      </c>
      <c r="HZ353" t="e">
        <f>'North America'!C1435+"$F;@!2M]"</f>
        <v>#VALUE!</v>
      </c>
      <c r="IA353" t="e">
        <f>'North America'!D1435+"$F;@!2M^"</f>
        <v>#VALUE!</v>
      </c>
      <c r="IB353" t="e">
        <f>'North America'!E1435+"$F;@!2M_"</f>
        <v>#VALUE!</v>
      </c>
      <c r="IC353" t="e">
        <f>'North America'!F1435+"$F;@!2M`"</f>
        <v>#VALUE!</v>
      </c>
      <c r="ID353" t="e">
        <f>'North America'!G1435+"$F;@!2Ma"</f>
        <v>#VALUE!</v>
      </c>
      <c r="IE353" t="e">
        <f>'North America'!H1435+"$F;@!2Mb"</f>
        <v>#VALUE!</v>
      </c>
      <c r="IF353" t="e">
        <f>'North America'!A1436+"$F;@!2Mc"</f>
        <v>#VALUE!</v>
      </c>
      <c r="IG353" t="e">
        <f>'North America'!B1436+"$F;@!2Md"</f>
        <v>#VALUE!</v>
      </c>
      <c r="IH353" t="e">
        <f>'North America'!C1436+"$F;@!2Me"</f>
        <v>#VALUE!</v>
      </c>
      <c r="II353" t="e">
        <f>'North America'!D1436+"$F;@!2Mf"</f>
        <v>#VALUE!</v>
      </c>
      <c r="IJ353" t="e">
        <f>'North America'!E1436+"$F;@!2Mg"</f>
        <v>#VALUE!</v>
      </c>
      <c r="IK353" t="e">
        <f>'North America'!F1436+"$F;@!2Mh"</f>
        <v>#VALUE!</v>
      </c>
      <c r="IL353" t="e">
        <f>'North America'!G1436+"$F;@!2Mi"</f>
        <v>#VALUE!</v>
      </c>
      <c r="IM353" t="e">
        <f>'North America'!H1436+"$F;@!2Mj"</f>
        <v>#VALUE!</v>
      </c>
      <c r="IN353" t="e">
        <f>'North America'!A1437+"$F;@!2Mk"</f>
        <v>#VALUE!</v>
      </c>
      <c r="IO353" t="e">
        <f>'North America'!B1437+"$F;@!2Ml"</f>
        <v>#VALUE!</v>
      </c>
      <c r="IP353" t="e">
        <f>'North America'!C1437+"$F;@!2Mm"</f>
        <v>#VALUE!</v>
      </c>
      <c r="IQ353" t="e">
        <f>'North America'!D1437+"$F;@!2Mn"</f>
        <v>#VALUE!</v>
      </c>
      <c r="IR353" t="e">
        <f>'North America'!E1437+"$F;@!2Mo"</f>
        <v>#VALUE!</v>
      </c>
      <c r="IS353" t="e">
        <f>'North America'!F1437+"$F;@!2Mp"</f>
        <v>#VALUE!</v>
      </c>
      <c r="IT353" t="e">
        <f>'North America'!G1437+"$F;@!2Mq"</f>
        <v>#VALUE!</v>
      </c>
      <c r="IU353" t="e">
        <f>'North America'!H1437+"$F;@!2Mr"</f>
        <v>#VALUE!</v>
      </c>
      <c r="IV353" t="e">
        <f>'North America'!A1438+"$F;@!2Ms"</f>
        <v>#VALUE!</v>
      </c>
    </row>
    <row r="354" spans="6:256" x14ac:dyDescent="0.35">
      <c r="F354" t="e">
        <f>'North America'!B1438+"$F;@!2Mt"</f>
        <v>#VALUE!</v>
      </c>
      <c r="G354" t="e">
        <f>'North America'!C1438+"$F;@!2Mu"</f>
        <v>#VALUE!</v>
      </c>
      <c r="H354" t="e">
        <f>'North America'!D1438+"$F;@!2Mv"</f>
        <v>#VALUE!</v>
      </c>
      <c r="I354" t="e">
        <f>'North America'!E1438+"$F;@!2Mw"</f>
        <v>#VALUE!</v>
      </c>
      <c r="J354" t="e">
        <f>'North America'!F1438+"$F;@!2Mx"</f>
        <v>#VALUE!</v>
      </c>
      <c r="K354" t="e">
        <f>'North America'!G1438+"$F;@!2My"</f>
        <v>#VALUE!</v>
      </c>
      <c r="L354" t="e">
        <f>'North America'!H1438+"$F;@!2Mz"</f>
        <v>#VALUE!</v>
      </c>
      <c r="M354" t="e">
        <f>'North America'!A1439+"$F;@!2M{"</f>
        <v>#VALUE!</v>
      </c>
      <c r="N354" t="e">
        <f>'North America'!B1439+"$F;@!2M|"</f>
        <v>#VALUE!</v>
      </c>
      <c r="O354" t="e">
        <f>'North America'!C1439+"$F;@!2M}"</f>
        <v>#VALUE!</v>
      </c>
      <c r="P354" t="e">
        <f>'North America'!D1439+"$F;@!2M~"</f>
        <v>#VALUE!</v>
      </c>
      <c r="Q354" t="e">
        <f>'North America'!E1439+"$F;@!2N#"</f>
        <v>#VALUE!</v>
      </c>
      <c r="R354" t="e">
        <f>'North America'!F1439+"$F;@!2N$"</f>
        <v>#VALUE!</v>
      </c>
      <c r="S354" t="e">
        <f>'North America'!G1439+"$F;@!2N%"</f>
        <v>#VALUE!</v>
      </c>
      <c r="T354" t="e">
        <f>'North America'!H1439+"$F;@!2N&amp;"</f>
        <v>#VALUE!</v>
      </c>
      <c r="U354" t="e">
        <f>'North America'!A1440+"$F;@!2N'"</f>
        <v>#VALUE!</v>
      </c>
      <c r="V354" t="e">
        <f>'North America'!B1440+"$F;@!2N("</f>
        <v>#VALUE!</v>
      </c>
      <c r="W354" t="e">
        <f>'North America'!C1440+"$F;@!2N)"</f>
        <v>#VALUE!</v>
      </c>
      <c r="X354" t="e">
        <f>'North America'!D1440+"$F;@!2N."</f>
        <v>#VALUE!</v>
      </c>
      <c r="Y354" t="e">
        <f>'North America'!E1440+"$F;@!2N/"</f>
        <v>#VALUE!</v>
      </c>
      <c r="Z354" t="e">
        <f>'North America'!F1440+"$F;@!2N0"</f>
        <v>#VALUE!</v>
      </c>
      <c r="AA354" t="e">
        <f>'North America'!G1440+"$F;@!2N1"</f>
        <v>#VALUE!</v>
      </c>
      <c r="AB354" t="e">
        <f>'North America'!H1440+"$F;@!2N2"</f>
        <v>#VALUE!</v>
      </c>
      <c r="AC354" t="e">
        <f>'North America'!A1441+"$F;@!2N3"</f>
        <v>#VALUE!</v>
      </c>
      <c r="AD354" t="e">
        <f>'North America'!B1441+"$F;@!2N4"</f>
        <v>#VALUE!</v>
      </c>
      <c r="AE354" t="e">
        <f>'North America'!C1441+"$F;@!2N5"</f>
        <v>#VALUE!</v>
      </c>
      <c r="AF354" t="e">
        <f>'North America'!D1441+"$F;@!2N6"</f>
        <v>#VALUE!</v>
      </c>
      <c r="AG354" t="e">
        <f>'North America'!E1441+"$F;@!2N7"</f>
        <v>#VALUE!</v>
      </c>
      <c r="AH354" t="e">
        <f>'North America'!F1441+"$F;@!2N8"</f>
        <v>#VALUE!</v>
      </c>
      <c r="AI354" t="e">
        <f>'North America'!G1441+"$F;@!2N9"</f>
        <v>#VALUE!</v>
      </c>
      <c r="AJ354" t="e">
        <f>'North America'!H1441+"$F;@!2N:"</f>
        <v>#VALUE!</v>
      </c>
      <c r="AK354" t="e">
        <f>'North America'!A1442+"$F;@!2N;"</f>
        <v>#VALUE!</v>
      </c>
      <c r="AL354" t="e">
        <f>'North America'!B1442+"$F;@!2N&lt;"</f>
        <v>#VALUE!</v>
      </c>
      <c r="AM354" t="e">
        <f>'North America'!C1442+"$F;@!2N="</f>
        <v>#VALUE!</v>
      </c>
      <c r="AN354" t="e">
        <f>'North America'!D1442+"$F;@!2N&gt;"</f>
        <v>#VALUE!</v>
      </c>
      <c r="AO354" t="e">
        <f>'North America'!E1442+"$F;@!2N?"</f>
        <v>#VALUE!</v>
      </c>
      <c r="AP354" t="e">
        <f>'North America'!F1442+"$F;@!2N@"</f>
        <v>#VALUE!</v>
      </c>
      <c r="AQ354" t="e">
        <f>'North America'!G1442+"$F;@!2NA"</f>
        <v>#VALUE!</v>
      </c>
      <c r="AR354" t="e">
        <f>'North America'!H1442+"$F;@!2NB"</f>
        <v>#VALUE!</v>
      </c>
      <c r="AS354" t="e">
        <f>'North America'!A1443+"$F;@!2NC"</f>
        <v>#VALUE!</v>
      </c>
      <c r="AT354" t="e">
        <f>'North America'!B1443+"$F;@!2ND"</f>
        <v>#VALUE!</v>
      </c>
      <c r="AU354" t="e">
        <f>'North America'!C1443+"$F;@!2NE"</f>
        <v>#VALUE!</v>
      </c>
      <c r="AV354" t="e">
        <f>'North America'!D1443+"$F;@!2NF"</f>
        <v>#VALUE!</v>
      </c>
      <c r="AW354" t="e">
        <f>'North America'!E1443+"$F;@!2NG"</f>
        <v>#VALUE!</v>
      </c>
      <c r="AX354" t="e">
        <f>'North America'!F1443+"$F;@!2NH"</f>
        <v>#VALUE!</v>
      </c>
      <c r="AY354" t="e">
        <f>'North America'!G1443+"$F;@!2NI"</f>
        <v>#VALUE!</v>
      </c>
      <c r="AZ354" t="e">
        <f>'North America'!H1443+"$F;@!2NJ"</f>
        <v>#VALUE!</v>
      </c>
      <c r="BA354" t="e">
        <f>'North America'!A1444+"$F;@!2NK"</f>
        <v>#VALUE!</v>
      </c>
      <c r="BB354" t="e">
        <f>'North America'!B1444+"$F;@!2NL"</f>
        <v>#VALUE!</v>
      </c>
      <c r="BC354" t="e">
        <f>'North America'!C1444+"$F;@!2NM"</f>
        <v>#VALUE!</v>
      </c>
      <c r="BD354" t="e">
        <f>'North America'!D1444+"$F;@!2NN"</f>
        <v>#VALUE!</v>
      </c>
      <c r="BE354" t="e">
        <f>'North America'!E1444+"$F;@!2NO"</f>
        <v>#VALUE!</v>
      </c>
      <c r="BF354" t="e">
        <f>'North America'!F1444+"$F;@!2NP"</f>
        <v>#VALUE!</v>
      </c>
      <c r="BG354" t="e">
        <f>'North America'!G1444+"$F;@!2NQ"</f>
        <v>#VALUE!</v>
      </c>
      <c r="BH354" t="e">
        <f>'North America'!H1444+"$F;@!2NR"</f>
        <v>#VALUE!</v>
      </c>
      <c r="BI354" t="e">
        <f>'North America'!A1445+"$F;@!2NS"</f>
        <v>#VALUE!</v>
      </c>
      <c r="BJ354" t="e">
        <f>'North America'!B1445+"$F;@!2NT"</f>
        <v>#VALUE!</v>
      </c>
      <c r="BK354" t="e">
        <f>'North America'!C1445+"$F;@!2NU"</f>
        <v>#VALUE!</v>
      </c>
      <c r="BL354" t="e">
        <f>'North America'!D1445+"$F;@!2NV"</f>
        <v>#VALUE!</v>
      </c>
      <c r="BM354" t="e">
        <f>'North America'!E1445+"$F;@!2NW"</f>
        <v>#VALUE!</v>
      </c>
      <c r="BN354" t="e">
        <f>'North America'!F1445+"$F;@!2NX"</f>
        <v>#VALUE!</v>
      </c>
      <c r="BO354" t="e">
        <f>'North America'!G1445+"$F;@!2NY"</f>
        <v>#VALUE!</v>
      </c>
      <c r="BP354" t="e">
        <f>'North America'!H1445+"$F;@!2NZ"</f>
        <v>#VALUE!</v>
      </c>
      <c r="BQ354" t="e">
        <f>'North America'!A1446+"$F;@!2N["</f>
        <v>#VALUE!</v>
      </c>
      <c r="BR354" t="e">
        <f>'North America'!B1446+"$F;@!2N\"</f>
        <v>#VALUE!</v>
      </c>
      <c r="BS354" t="e">
        <f>'North America'!C1446+"$F;@!2N]"</f>
        <v>#VALUE!</v>
      </c>
      <c r="BT354" t="e">
        <f>'North America'!D1446+"$F;@!2N^"</f>
        <v>#VALUE!</v>
      </c>
      <c r="BU354" t="e">
        <f>'North America'!E1446+"$F;@!2N_"</f>
        <v>#VALUE!</v>
      </c>
      <c r="BV354" t="e">
        <f>'North America'!F1446+"$F;@!2N`"</f>
        <v>#VALUE!</v>
      </c>
      <c r="BW354" t="e">
        <f>'North America'!G1446+"$F;@!2Na"</f>
        <v>#VALUE!</v>
      </c>
      <c r="BX354" t="e">
        <f>'North America'!H1446+"$F;@!2Nb"</f>
        <v>#VALUE!</v>
      </c>
      <c r="BY354" t="e">
        <f>'North America'!A1447+"$F;@!2Nc"</f>
        <v>#VALUE!</v>
      </c>
      <c r="BZ354" t="e">
        <f>'North America'!B1447+"$F;@!2Nd"</f>
        <v>#VALUE!</v>
      </c>
      <c r="CA354" t="e">
        <f>'North America'!C1447+"$F;@!2Ne"</f>
        <v>#VALUE!</v>
      </c>
      <c r="CB354" t="e">
        <f>'North America'!D1447+"$F;@!2Nf"</f>
        <v>#VALUE!</v>
      </c>
      <c r="CC354" t="e">
        <f>'North America'!E1447+"$F;@!2Ng"</f>
        <v>#VALUE!</v>
      </c>
      <c r="CD354" t="e">
        <f>'North America'!F1447+"$F;@!2Nh"</f>
        <v>#VALUE!</v>
      </c>
      <c r="CE354" t="e">
        <f>'North America'!G1447+"$F;@!2Ni"</f>
        <v>#VALUE!</v>
      </c>
      <c r="CF354" t="e">
        <f>'North America'!H1447+"$F;@!2Nj"</f>
        <v>#VALUE!</v>
      </c>
      <c r="CG354" t="e">
        <f>'North America'!A1448+"$F;@!2Nk"</f>
        <v>#VALUE!</v>
      </c>
      <c r="CH354" t="e">
        <f>'North America'!B1448+"$F;@!2Nl"</f>
        <v>#VALUE!</v>
      </c>
      <c r="CI354" t="e">
        <f>'North America'!C1448+"$F;@!2Nm"</f>
        <v>#VALUE!</v>
      </c>
      <c r="CJ354" t="e">
        <f>'North America'!D1448+"$F;@!2Nn"</f>
        <v>#VALUE!</v>
      </c>
      <c r="CK354" t="e">
        <f>'North America'!E1448+"$F;@!2No"</f>
        <v>#VALUE!</v>
      </c>
      <c r="CL354" t="e">
        <f>'North America'!F1448+"$F;@!2Np"</f>
        <v>#VALUE!</v>
      </c>
      <c r="CM354" t="e">
        <f>'North America'!G1448+"$F;@!2Nq"</f>
        <v>#VALUE!</v>
      </c>
      <c r="CN354" t="e">
        <f>'North America'!H1448+"$F;@!2Nr"</f>
        <v>#VALUE!</v>
      </c>
      <c r="CO354" t="e">
        <f>'North America'!A1449+"$F;@!2Ns"</f>
        <v>#VALUE!</v>
      </c>
      <c r="CP354" t="e">
        <f>'North America'!B1449+"$F;@!2Nt"</f>
        <v>#VALUE!</v>
      </c>
      <c r="CQ354" t="e">
        <f>'North America'!C1449+"$F;@!2Nu"</f>
        <v>#VALUE!</v>
      </c>
      <c r="CR354" t="e">
        <f>'North America'!D1449+"$F;@!2Nv"</f>
        <v>#VALUE!</v>
      </c>
      <c r="CS354" t="e">
        <f>'North America'!E1449+"$F;@!2Nw"</f>
        <v>#VALUE!</v>
      </c>
      <c r="CT354" t="e">
        <f>'North America'!F1449+"$F;@!2Nx"</f>
        <v>#VALUE!</v>
      </c>
      <c r="CU354" t="e">
        <f>'North America'!G1449+"$F;@!2Ny"</f>
        <v>#VALUE!</v>
      </c>
      <c r="CV354" t="e">
        <f>'North America'!H1449+"$F;@!2Nz"</f>
        <v>#VALUE!</v>
      </c>
      <c r="CW354" t="e">
        <f>'North America'!A1450+"$F;@!2N{"</f>
        <v>#VALUE!</v>
      </c>
      <c r="CX354" t="e">
        <f>'North America'!B1450+"$F;@!2N|"</f>
        <v>#VALUE!</v>
      </c>
      <c r="CY354" t="e">
        <f>'North America'!C1450+"$F;@!2N}"</f>
        <v>#VALUE!</v>
      </c>
      <c r="CZ354" t="e">
        <f>'North America'!D1450+"$F;@!2N~"</f>
        <v>#VALUE!</v>
      </c>
      <c r="DA354" t="e">
        <f>'North America'!E1450+"$F;@!2O#"</f>
        <v>#VALUE!</v>
      </c>
      <c r="DB354" t="e">
        <f>'North America'!F1450+"$F;@!2O$"</f>
        <v>#VALUE!</v>
      </c>
      <c r="DC354" t="e">
        <f>'North America'!G1450+"$F;@!2O%"</f>
        <v>#VALUE!</v>
      </c>
      <c r="DD354" t="e">
        <f>'North America'!H1450+"$F;@!2O&amp;"</f>
        <v>#VALUE!</v>
      </c>
      <c r="DE354" t="e">
        <f>'North America'!A1451+"$F;@!2O'"</f>
        <v>#VALUE!</v>
      </c>
      <c r="DF354" t="e">
        <f>'North America'!B1451+"$F;@!2O("</f>
        <v>#VALUE!</v>
      </c>
      <c r="DG354" t="e">
        <f>'North America'!C1451+"$F;@!2O)"</f>
        <v>#VALUE!</v>
      </c>
      <c r="DH354" t="e">
        <f>'North America'!D1451+"$F;@!2O."</f>
        <v>#VALUE!</v>
      </c>
      <c r="DI354" t="e">
        <f>'North America'!E1451+"$F;@!2O/"</f>
        <v>#VALUE!</v>
      </c>
      <c r="DJ354" t="e">
        <f>'North America'!F1451+"$F;@!2O0"</f>
        <v>#VALUE!</v>
      </c>
      <c r="DK354" t="e">
        <f>'North America'!G1451+"$F;@!2O1"</f>
        <v>#VALUE!</v>
      </c>
      <c r="DL354" t="e">
        <f>'North America'!H1451+"$F;@!2O2"</f>
        <v>#VALUE!</v>
      </c>
      <c r="DM354" t="e">
        <f>'North America'!A1452+"$F;@!2O3"</f>
        <v>#VALUE!</v>
      </c>
      <c r="DN354" t="e">
        <f>'North America'!B1452+"$F;@!2O4"</f>
        <v>#VALUE!</v>
      </c>
      <c r="DO354" t="e">
        <f>'North America'!C1452+"$F;@!2O5"</f>
        <v>#VALUE!</v>
      </c>
      <c r="DP354" t="e">
        <f>'North America'!D1452+"$F;@!2O6"</f>
        <v>#VALUE!</v>
      </c>
      <c r="DQ354" t="e">
        <f>'North America'!E1452+"$F;@!2O7"</f>
        <v>#VALUE!</v>
      </c>
      <c r="DR354" t="e">
        <f>'North America'!F1452+"$F;@!2O8"</f>
        <v>#VALUE!</v>
      </c>
      <c r="DS354" t="e">
        <f>'North America'!G1452+"$F;@!2O9"</f>
        <v>#VALUE!</v>
      </c>
      <c r="DT354" t="e">
        <f>'North America'!H1452+"$F;@!2O:"</f>
        <v>#VALUE!</v>
      </c>
      <c r="DU354" t="e">
        <f>'North America'!A1453+"$F;@!2O;"</f>
        <v>#VALUE!</v>
      </c>
      <c r="DV354" t="e">
        <f>'North America'!B1453+"$F;@!2O&lt;"</f>
        <v>#VALUE!</v>
      </c>
      <c r="DW354" t="e">
        <f>'North America'!C1453+"$F;@!2O="</f>
        <v>#VALUE!</v>
      </c>
      <c r="DX354" t="e">
        <f>'North America'!D1453+"$F;@!2O&gt;"</f>
        <v>#VALUE!</v>
      </c>
      <c r="DY354" t="e">
        <f>'North America'!E1453+"$F;@!2O?"</f>
        <v>#VALUE!</v>
      </c>
      <c r="DZ354" t="e">
        <f>'North America'!F1453+"$F;@!2O@"</f>
        <v>#VALUE!</v>
      </c>
      <c r="EA354" t="e">
        <f>'North America'!G1453+"$F;@!2OA"</f>
        <v>#VALUE!</v>
      </c>
      <c r="EB354" t="e">
        <f>'North America'!H1453+"$F;@!2OB"</f>
        <v>#VALUE!</v>
      </c>
      <c r="EC354" t="e">
        <f>'North America'!A1454+"$F;@!2OC"</f>
        <v>#VALUE!</v>
      </c>
      <c r="ED354" t="e">
        <f>'North America'!B1454+"$F;@!2OD"</f>
        <v>#VALUE!</v>
      </c>
      <c r="EE354" t="e">
        <f>'North America'!C1454+"$F;@!2OE"</f>
        <v>#VALUE!</v>
      </c>
      <c r="EF354" t="e">
        <f>'North America'!D1454+"$F;@!2OF"</f>
        <v>#VALUE!</v>
      </c>
      <c r="EG354" t="e">
        <f>'North America'!E1454+"$F;@!2OG"</f>
        <v>#VALUE!</v>
      </c>
      <c r="EH354" t="e">
        <f>'North America'!F1454+"$F;@!2OH"</f>
        <v>#VALUE!</v>
      </c>
      <c r="EI354" t="e">
        <f>'North America'!G1454+"$F;@!2OI"</f>
        <v>#VALUE!</v>
      </c>
      <c r="EJ354" t="e">
        <f>'North America'!H1454+"$F;@!2OJ"</f>
        <v>#VALUE!</v>
      </c>
      <c r="EK354" t="e">
        <f>'North America'!A1455+"$F;@!2OK"</f>
        <v>#VALUE!</v>
      </c>
      <c r="EL354" t="e">
        <f>'North America'!B1455+"$F;@!2OL"</f>
        <v>#VALUE!</v>
      </c>
      <c r="EM354" t="e">
        <f>'North America'!C1455+"$F;@!2OM"</f>
        <v>#VALUE!</v>
      </c>
      <c r="EN354" t="e">
        <f>'North America'!D1455+"$F;@!2ON"</f>
        <v>#VALUE!</v>
      </c>
      <c r="EO354" t="e">
        <f>'North America'!E1455+"$F;@!2OO"</f>
        <v>#VALUE!</v>
      </c>
      <c r="EP354" t="e">
        <f>'North America'!F1455+"$F;@!2OP"</f>
        <v>#VALUE!</v>
      </c>
      <c r="EQ354" t="e">
        <f>'North America'!G1455+"$F;@!2OQ"</f>
        <v>#VALUE!</v>
      </c>
      <c r="ER354" t="e">
        <f>'North America'!H1455+"$F;@!2OR"</f>
        <v>#VALUE!</v>
      </c>
      <c r="ES354" t="e">
        <f>'North America'!A1456+"$F;@!2OS"</f>
        <v>#VALUE!</v>
      </c>
      <c r="ET354" t="e">
        <f>'North America'!B1456+"$F;@!2OT"</f>
        <v>#VALUE!</v>
      </c>
      <c r="EU354" t="e">
        <f>'North America'!C1456+"$F;@!2OU"</f>
        <v>#VALUE!</v>
      </c>
      <c r="EV354" t="e">
        <f>'North America'!D1456+"$F;@!2OV"</f>
        <v>#VALUE!</v>
      </c>
      <c r="EW354" t="e">
        <f>'North America'!E1456+"$F;@!2OW"</f>
        <v>#VALUE!</v>
      </c>
      <c r="EX354" t="e">
        <f>'North America'!F1456+"$F;@!2OX"</f>
        <v>#VALUE!</v>
      </c>
      <c r="EY354" t="e">
        <f>'North America'!G1456+"$F;@!2OY"</f>
        <v>#VALUE!</v>
      </c>
      <c r="EZ354" t="e">
        <f>'North America'!H1456+"$F;@!2OZ"</f>
        <v>#VALUE!</v>
      </c>
      <c r="FA354" t="e">
        <f>'North America'!A1457+"$F;@!2O["</f>
        <v>#VALUE!</v>
      </c>
      <c r="FB354" t="e">
        <f>'North America'!B1457+"$F;@!2O\"</f>
        <v>#VALUE!</v>
      </c>
      <c r="FC354" t="e">
        <f>'North America'!C1457+"$F;@!2O]"</f>
        <v>#VALUE!</v>
      </c>
      <c r="FD354" t="e">
        <f>'North America'!D1457+"$F;@!2O^"</f>
        <v>#VALUE!</v>
      </c>
      <c r="FE354" t="e">
        <f>'North America'!E1457+"$F;@!2O_"</f>
        <v>#VALUE!</v>
      </c>
      <c r="FF354" t="e">
        <f>'North America'!F1457+"$F;@!2O`"</f>
        <v>#VALUE!</v>
      </c>
      <c r="FG354" t="e">
        <f>'North America'!G1457+"$F;@!2Oa"</f>
        <v>#VALUE!</v>
      </c>
      <c r="FH354" t="e">
        <f>'North America'!H1457+"$F;@!2Ob"</f>
        <v>#VALUE!</v>
      </c>
      <c r="FI354" t="e">
        <f>'North America'!A1458+"$F;@!2Oc"</f>
        <v>#VALUE!</v>
      </c>
      <c r="FJ354" t="e">
        <f>'North America'!B1458+"$F;@!2Od"</f>
        <v>#VALUE!</v>
      </c>
      <c r="FK354" t="e">
        <f>'North America'!C1458+"$F;@!2Oe"</f>
        <v>#VALUE!</v>
      </c>
      <c r="FL354" t="e">
        <f>'North America'!D1458+"$F;@!2Of"</f>
        <v>#VALUE!</v>
      </c>
      <c r="FM354" t="e">
        <f>'North America'!E1458+"$F;@!2Og"</f>
        <v>#VALUE!</v>
      </c>
      <c r="FN354" t="e">
        <f>'North America'!F1458+"$F;@!2Oh"</f>
        <v>#VALUE!</v>
      </c>
      <c r="FO354" t="e">
        <f>'North America'!G1458+"$F;@!2Oi"</f>
        <v>#VALUE!</v>
      </c>
      <c r="FP354" t="e">
        <f>'North America'!H1458+"$F;@!2Oj"</f>
        <v>#VALUE!</v>
      </c>
      <c r="FQ354" t="e">
        <f>'North America'!A1459+"$F;@!2Ok"</f>
        <v>#VALUE!</v>
      </c>
      <c r="FR354" t="e">
        <f>'North America'!B1459+"$F;@!2Ol"</f>
        <v>#VALUE!</v>
      </c>
      <c r="FS354" t="e">
        <f>'North America'!C1459+"$F;@!2Om"</f>
        <v>#VALUE!</v>
      </c>
      <c r="FT354" t="e">
        <f>'North America'!D1459+"$F;@!2On"</f>
        <v>#VALUE!</v>
      </c>
      <c r="FU354" t="e">
        <f>'North America'!E1459+"$F;@!2Oo"</f>
        <v>#VALUE!</v>
      </c>
      <c r="FV354" t="e">
        <f>'North America'!F1459+"$F;@!2Op"</f>
        <v>#VALUE!</v>
      </c>
      <c r="FW354" t="e">
        <f>'North America'!G1459+"$F;@!2Oq"</f>
        <v>#VALUE!</v>
      </c>
      <c r="FX354" t="e">
        <f>'North America'!H1459+"$F;@!2Or"</f>
        <v>#VALUE!</v>
      </c>
      <c r="FY354" t="e">
        <f>'North America'!A1460+"$F;@!2Os"</f>
        <v>#VALUE!</v>
      </c>
      <c r="FZ354" t="e">
        <f>'North America'!B1460+"$F;@!2Ot"</f>
        <v>#VALUE!</v>
      </c>
      <c r="GA354" t="e">
        <f>'North America'!C1460+"$F;@!2Ou"</f>
        <v>#VALUE!</v>
      </c>
      <c r="GB354" t="e">
        <f>'North America'!D1460+"$F;@!2Ov"</f>
        <v>#VALUE!</v>
      </c>
      <c r="GC354" t="e">
        <f>'North America'!E1460+"$F;@!2Ow"</f>
        <v>#VALUE!</v>
      </c>
      <c r="GD354" t="e">
        <f>'North America'!F1460+"$F;@!2Ox"</f>
        <v>#VALUE!</v>
      </c>
      <c r="GE354" t="e">
        <f>'North America'!G1460+"$F;@!2Oy"</f>
        <v>#VALUE!</v>
      </c>
      <c r="GF354" t="e">
        <f>'North America'!H1460+"$F;@!2Oz"</f>
        <v>#VALUE!</v>
      </c>
      <c r="GG354" t="e">
        <f>'North America'!A1461+"$F;@!2O{"</f>
        <v>#VALUE!</v>
      </c>
      <c r="GH354" t="e">
        <f>'North America'!B1461+"$F;@!2O|"</f>
        <v>#VALUE!</v>
      </c>
      <c r="GI354" t="e">
        <f>'North America'!C1461+"$F;@!2O}"</f>
        <v>#VALUE!</v>
      </c>
      <c r="GJ354" t="e">
        <f>'North America'!D1461+"$F;@!2O~"</f>
        <v>#VALUE!</v>
      </c>
      <c r="GK354" t="e">
        <f>'North America'!E1461+"$F;@!2P#"</f>
        <v>#VALUE!</v>
      </c>
      <c r="GL354" t="e">
        <f>'North America'!F1461+"$F;@!2P$"</f>
        <v>#VALUE!</v>
      </c>
      <c r="GM354" t="e">
        <f>'North America'!G1461+"$F;@!2P%"</f>
        <v>#VALUE!</v>
      </c>
      <c r="GN354" t="e">
        <f>'North America'!H1461+"$F;@!2P&amp;"</f>
        <v>#VALUE!</v>
      </c>
      <c r="GO354" t="e">
        <f>'North America'!A1462+"$F;@!2P'"</f>
        <v>#VALUE!</v>
      </c>
      <c r="GP354" t="e">
        <f>'North America'!B1462+"$F;@!2P("</f>
        <v>#VALUE!</v>
      </c>
      <c r="GQ354" t="e">
        <f>'North America'!C1462+"$F;@!2P)"</f>
        <v>#VALUE!</v>
      </c>
      <c r="GR354" t="e">
        <f>'North America'!D1462+"$F;@!2P."</f>
        <v>#VALUE!</v>
      </c>
      <c r="GS354" t="e">
        <f>'North America'!E1462+"$F;@!2P/"</f>
        <v>#VALUE!</v>
      </c>
      <c r="GT354" t="e">
        <f>'North America'!F1462+"$F;@!2P0"</f>
        <v>#VALUE!</v>
      </c>
      <c r="GU354" t="e">
        <f>'North America'!G1462+"$F;@!2P1"</f>
        <v>#VALUE!</v>
      </c>
      <c r="GV354" t="e">
        <f>'North America'!H1462+"$F;@!2P2"</f>
        <v>#VALUE!</v>
      </c>
      <c r="GW354" t="e">
        <f>'North America'!A1463+"$F;@!2P3"</f>
        <v>#VALUE!</v>
      </c>
      <c r="GX354" t="e">
        <f>'North America'!B1463+"$F;@!2P4"</f>
        <v>#VALUE!</v>
      </c>
      <c r="GY354" t="e">
        <f>'North America'!C1463+"$F;@!2P5"</f>
        <v>#VALUE!</v>
      </c>
      <c r="GZ354" t="e">
        <f>'North America'!D1463+"$F;@!2P6"</f>
        <v>#VALUE!</v>
      </c>
      <c r="HA354" t="e">
        <f>'North America'!E1463+"$F;@!2P7"</f>
        <v>#VALUE!</v>
      </c>
      <c r="HB354" t="e">
        <f>'North America'!F1463+"$F;@!2P8"</f>
        <v>#VALUE!</v>
      </c>
      <c r="HC354" t="e">
        <f>'North America'!G1463+"$F;@!2P9"</f>
        <v>#VALUE!</v>
      </c>
      <c r="HD354" t="e">
        <f>'North America'!H1463+"$F;@!2P:"</f>
        <v>#VALUE!</v>
      </c>
      <c r="HE354" t="e">
        <f>'North America'!A1464+"$F;@!2P;"</f>
        <v>#VALUE!</v>
      </c>
      <c r="HF354" t="e">
        <f>'North America'!B1464+"$F;@!2P&lt;"</f>
        <v>#VALUE!</v>
      </c>
      <c r="HG354" t="e">
        <f>'North America'!C1464+"$F;@!2P="</f>
        <v>#VALUE!</v>
      </c>
      <c r="HH354" t="e">
        <f>'North America'!D1464+"$F;@!2P&gt;"</f>
        <v>#VALUE!</v>
      </c>
      <c r="HI354" t="e">
        <f>'North America'!E1464+"$F;@!2P?"</f>
        <v>#VALUE!</v>
      </c>
      <c r="HJ354" t="e">
        <f>'North America'!F1464+"$F;@!2P@"</f>
        <v>#VALUE!</v>
      </c>
      <c r="HK354" t="e">
        <f>'North America'!G1464+"$F;@!2PA"</f>
        <v>#VALUE!</v>
      </c>
      <c r="HL354" t="e">
        <f>'North America'!H1464+"$F;@!2PB"</f>
        <v>#VALUE!</v>
      </c>
      <c r="HM354" t="e">
        <f>'North America'!A1465+"$F;@!2PC"</f>
        <v>#VALUE!</v>
      </c>
      <c r="HN354" t="e">
        <f>'North America'!B1465+"$F;@!2PD"</f>
        <v>#VALUE!</v>
      </c>
      <c r="HO354" t="e">
        <f>'North America'!C1465+"$F;@!2PE"</f>
        <v>#VALUE!</v>
      </c>
      <c r="HP354" t="e">
        <f>'North America'!D1465+"$F;@!2PF"</f>
        <v>#VALUE!</v>
      </c>
      <c r="HQ354" t="e">
        <f>'North America'!E1465+"$F;@!2PG"</f>
        <v>#VALUE!</v>
      </c>
      <c r="HR354" t="e">
        <f>'North America'!F1465+"$F;@!2PH"</f>
        <v>#VALUE!</v>
      </c>
      <c r="HS354" t="e">
        <f>'North America'!G1465+"$F;@!2PI"</f>
        <v>#VALUE!</v>
      </c>
      <c r="HT354" t="e">
        <f>'North America'!H1465+"$F;@!2PJ"</f>
        <v>#VALUE!</v>
      </c>
      <c r="HU354" t="e">
        <f>'North America'!A1466+"$F;@!2PK"</f>
        <v>#VALUE!</v>
      </c>
      <c r="HV354" t="e">
        <f>'North America'!B1466+"$F;@!2PL"</f>
        <v>#VALUE!</v>
      </c>
      <c r="HW354" t="e">
        <f>'North America'!C1466+"$F;@!2PM"</f>
        <v>#VALUE!</v>
      </c>
      <c r="HX354" t="e">
        <f>'North America'!D1466+"$F;@!2PN"</f>
        <v>#VALUE!</v>
      </c>
      <c r="HY354" t="e">
        <f>'North America'!E1466+"$F;@!2PO"</f>
        <v>#VALUE!</v>
      </c>
      <c r="HZ354" t="e">
        <f>'North America'!F1466+"$F;@!2PP"</f>
        <v>#VALUE!</v>
      </c>
      <c r="IA354" t="e">
        <f>'North America'!G1466+"$F;@!2PQ"</f>
        <v>#VALUE!</v>
      </c>
      <c r="IB354" t="e">
        <f>'North America'!H1466+"$F;@!2PR"</f>
        <v>#VALUE!</v>
      </c>
      <c r="IC354" t="e">
        <f>'North America'!A1467+"$F;@!2PS"</f>
        <v>#VALUE!</v>
      </c>
      <c r="ID354" t="e">
        <f>'North America'!B1467+"$F;@!2PT"</f>
        <v>#VALUE!</v>
      </c>
      <c r="IE354" t="e">
        <f>'North America'!C1467+"$F;@!2PU"</f>
        <v>#VALUE!</v>
      </c>
      <c r="IF354" t="e">
        <f>'North America'!D1467+"$F;@!2PV"</f>
        <v>#VALUE!</v>
      </c>
      <c r="IG354" t="e">
        <f>'North America'!E1467+"$F;@!2PW"</f>
        <v>#VALUE!</v>
      </c>
      <c r="IH354" t="e">
        <f>'North America'!F1467+"$F;@!2PX"</f>
        <v>#VALUE!</v>
      </c>
      <c r="II354" t="e">
        <f>'North America'!G1467+"$F;@!2PY"</f>
        <v>#VALUE!</v>
      </c>
      <c r="IJ354" t="e">
        <f>'North America'!H1467+"$F;@!2PZ"</f>
        <v>#VALUE!</v>
      </c>
      <c r="IK354" t="e">
        <f>'North America'!A1468+"$F;@!2P["</f>
        <v>#VALUE!</v>
      </c>
      <c r="IL354" t="e">
        <f>'North America'!B1468+"$F;@!2P\"</f>
        <v>#VALUE!</v>
      </c>
      <c r="IM354" t="e">
        <f>'North America'!C1468+"$F;@!2P]"</f>
        <v>#VALUE!</v>
      </c>
      <c r="IN354" t="e">
        <f>'North America'!D1468+"$F;@!2P^"</f>
        <v>#VALUE!</v>
      </c>
      <c r="IO354" t="e">
        <f>'North America'!E1468+"$F;@!2P_"</f>
        <v>#VALUE!</v>
      </c>
      <c r="IP354" t="e">
        <f>'North America'!F1468+"$F;@!2P`"</f>
        <v>#VALUE!</v>
      </c>
      <c r="IQ354" t="e">
        <f>'North America'!G1468+"$F;@!2Pa"</f>
        <v>#VALUE!</v>
      </c>
      <c r="IR354" t="e">
        <f>'North America'!H1468+"$F;@!2Pb"</f>
        <v>#VALUE!</v>
      </c>
      <c r="IS354" t="e">
        <f>'North America'!A1469+"$F;@!2Pc"</f>
        <v>#VALUE!</v>
      </c>
      <c r="IT354" t="e">
        <f>'North America'!B1469+"$F;@!2Pd"</f>
        <v>#VALUE!</v>
      </c>
      <c r="IU354" t="e">
        <f>'North America'!C1469+"$F;@!2Pe"</f>
        <v>#VALUE!</v>
      </c>
      <c r="IV354" t="e">
        <f>'North America'!D1469+"$F;@!2Pf"</f>
        <v>#VALUE!</v>
      </c>
    </row>
    <row r="355" spans="6:256" x14ac:dyDescent="0.35">
      <c r="F355" t="e">
        <f>'North America'!E1469+"$F;@!2Pg"</f>
        <v>#VALUE!</v>
      </c>
      <c r="G355" t="e">
        <f>'North America'!F1469+"$F;@!2Ph"</f>
        <v>#VALUE!</v>
      </c>
      <c r="H355" t="e">
        <f>'North America'!G1469+"$F;@!2Pi"</f>
        <v>#VALUE!</v>
      </c>
      <c r="I355" t="e">
        <f>'North America'!H1469+"$F;@!2Pj"</f>
        <v>#VALUE!</v>
      </c>
      <c r="J355" t="e">
        <f>'North America'!A1470+"$F;@!2Pk"</f>
        <v>#VALUE!</v>
      </c>
      <c r="K355" t="e">
        <f>'North America'!B1470+"$F;@!2Pl"</f>
        <v>#VALUE!</v>
      </c>
      <c r="L355" t="e">
        <f>'North America'!C1470+"$F;@!2Pm"</f>
        <v>#VALUE!</v>
      </c>
      <c r="M355" t="e">
        <f>'North America'!D1470+"$F;@!2Pn"</f>
        <v>#VALUE!</v>
      </c>
      <c r="N355" t="e">
        <f>'North America'!E1470+"$F;@!2Po"</f>
        <v>#VALUE!</v>
      </c>
      <c r="O355" t="e">
        <f>'North America'!F1470+"$F;@!2Pp"</f>
        <v>#VALUE!</v>
      </c>
      <c r="P355" t="e">
        <f>'North America'!G1470+"$F;@!2Pq"</f>
        <v>#VALUE!</v>
      </c>
      <c r="Q355" t="e">
        <f>'North America'!H1470+"$F;@!2Pr"</f>
        <v>#VALUE!</v>
      </c>
      <c r="R355" t="e">
        <f>'North America'!A1471+"$F;@!2Ps"</f>
        <v>#VALUE!</v>
      </c>
      <c r="S355" t="e">
        <f>'North America'!B1471+"$F;@!2Pt"</f>
        <v>#VALUE!</v>
      </c>
      <c r="T355" t="e">
        <f>'North America'!C1471+"$F;@!2Pu"</f>
        <v>#VALUE!</v>
      </c>
      <c r="U355" t="e">
        <f>'North America'!D1471+"$F;@!2Pv"</f>
        <v>#VALUE!</v>
      </c>
      <c r="V355" t="e">
        <f>'North America'!E1471+"$F;@!2Pw"</f>
        <v>#VALUE!</v>
      </c>
      <c r="W355" t="e">
        <f>'North America'!F1471+"$F;@!2Px"</f>
        <v>#VALUE!</v>
      </c>
      <c r="X355" t="e">
        <f>'North America'!G1471+"$F;@!2Py"</f>
        <v>#VALUE!</v>
      </c>
      <c r="Y355" t="e">
        <f>'North America'!H1471+"$F;@!2Pz"</f>
        <v>#VALUE!</v>
      </c>
      <c r="Z355" t="e">
        <f>'North America'!A1472+"$F;@!2P{"</f>
        <v>#VALUE!</v>
      </c>
      <c r="AA355" t="e">
        <f>'North America'!B1472+"$F;@!2P|"</f>
        <v>#VALUE!</v>
      </c>
      <c r="AB355" t="e">
        <f>'North America'!C1472+"$F;@!2P}"</f>
        <v>#VALUE!</v>
      </c>
      <c r="AC355" t="e">
        <f>'North America'!D1472+"$F;@!2P~"</f>
        <v>#VALUE!</v>
      </c>
      <c r="AD355" t="e">
        <f>'North America'!E1472+"$F;@!2Q#"</f>
        <v>#VALUE!</v>
      </c>
      <c r="AE355" t="e">
        <f>'North America'!F1472+"$F;@!2Q$"</f>
        <v>#VALUE!</v>
      </c>
      <c r="AF355" t="e">
        <f>'North America'!G1472+"$F;@!2Q%"</f>
        <v>#VALUE!</v>
      </c>
      <c r="AG355" t="e">
        <f>'North America'!H1472+"$F;@!2Q&amp;"</f>
        <v>#VALUE!</v>
      </c>
      <c r="AH355" t="e">
        <f>'North America'!A1473+"$F;@!2Q'"</f>
        <v>#VALUE!</v>
      </c>
      <c r="AI355" t="e">
        <f>'North America'!B1473+"$F;@!2Q("</f>
        <v>#VALUE!</v>
      </c>
      <c r="AJ355" t="e">
        <f>'North America'!C1473+"$F;@!2Q)"</f>
        <v>#VALUE!</v>
      </c>
      <c r="AK355" t="e">
        <f>'North America'!D1473+"$F;@!2Q."</f>
        <v>#VALUE!</v>
      </c>
      <c r="AL355" t="e">
        <f>'North America'!E1473+"$F;@!2Q/"</f>
        <v>#VALUE!</v>
      </c>
      <c r="AM355" t="e">
        <f>'North America'!F1473+"$F;@!2Q0"</f>
        <v>#VALUE!</v>
      </c>
      <c r="AN355" t="e">
        <f>'North America'!G1473+"$F;@!2Q1"</f>
        <v>#VALUE!</v>
      </c>
      <c r="AO355" t="e">
        <f>'North America'!H1473+"$F;@!2Q2"</f>
        <v>#VALUE!</v>
      </c>
      <c r="AP355" t="e">
        <f>'North America'!A1474+"$F;@!2Q3"</f>
        <v>#VALUE!</v>
      </c>
      <c r="AQ355" t="e">
        <f>'North America'!B1474+"$F;@!2Q4"</f>
        <v>#VALUE!</v>
      </c>
      <c r="AR355" t="e">
        <f>'North America'!C1474+"$F;@!2Q5"</f>
        <v>#VALUE!</v>
      </c>
      <c r="AS355" t="e">
        <f>'North America'!D1474+"$F;@!2Q6"</f>
        <v>#VALUE!</v>
      </c>
      <c r="AT355" t="e">
        <f>'North America'!E1474+"$F;@!2Q7"</f>
        <v>#VALUE!</v>
      </c>
      <c r="AU355" t="e">
        <f>'North America'!F1474+"$F;@!2Q8"</f>
        <v>#VALUE!</v>
      </c>
      <c r="AV355" t="e">
        <f>'North America'!G1474+"$F;@!2Q9"</f>
        <v>#VALUE!</v>
      </c>
      <c r="AW355" t="e">
        <f>'North America'!H1474+"$F;@!2Q:"</f>
        <v>#VALUE!</v>
      </c>
      <c r="AX355" t="e">
        <f>'North America'!A1475+"$F;@!2Q;"</f>
        <v>#VALUE!</v>
      </c>
      <c r="AY355" t="e">
        <f>'North America'!B1475+"$F;@!2Q&lt;"</f>
        <v>#VALUE!</v>
      </c>
      <c r="AZ355" t="e">
        <f>'North America'!C1475+"$F;@!2Q="</f>
        <v>#VALUE!</v>
      </c>
      <c r="BA355" t="e">
        <f>'North America'!D1475+"$F;@!2Q&gt;"</f>
        <v>#VALUE!</v>
      </c>
      <c r="BB355" t="e">
        <f>'North America'!E1475+"$F;@!2Q?"</f>
        <v>#VALUE!</v>
      </c>
      <c r="BC355" t="e">
        <f>'North America'!F1475+"$F;@!2Q@"</f>
        <v>#VALUE!</v>
      </c>
      <c r="BD355" t="e">
        <f>'North America'!G1475+"$F;@!2QA"</f>
        <v>#VALUE!</v>
      </c>
      <c r="BE355" t="e">
        <f>'North America'!H1475+"$F;@!2QB"</f>
        <v>#VALUE!</v>
      </c>
      <c r="BF355" t="e">
        <f>'North America'!A1476+"$F;@!2QC"</f>
        <v>#VALUE!</v>
      </c>
      <c r="BG355" t="e">
        <f>'North America'!B1476+"$F;@!2QD"</f>
        <v>#VALUE!</v>
      </c>
      <c r="BH355" t="e">
        <f>'North America'!C1476+"$F;@!2QE"</f>
        <v>#VALUE!</v>
      </c>
      <c r="BI355" t="e">
        <f>'North America'!D1476+"$F;@!2QF"</f>
        <v>#VALUE!</v>
      </c>
      <c r="BJ355" t="e">
        <f>'North America'!E1476+"$F;@!2QG"</f>
        <v>#VALUE!</v>
      </c>
      <c r="BK355" t="e">
        <f>'North America'!F1476+"$F;@!2QH"</f>
        <v>#VALUE!</v>
      </c>
      <c r="BL355" t="e">
        <f>'North America'!G1476+"$F;@!2QI"</f>
        <v>#VALUE!</v>
      </c>
      <c r="BM355" t="e">
        <f>'North America'!H1476+"$F;@!2QJ"</f>
        <v>#VALUE!</v>
      </c>
      <c r="BN355" t="e">
        <f>'North America'!A1477+"$F;@!2QK"</f>
        <v>#VALUE!</v>
      </c>
      <c r="BO355" t="e">
        <f>'North America'!B1477+"$F;@!2QL"</f>
        <v>#VALUE!</v>
      </c>
      <c r="BP355" t="e">
        <f>'North America'!C1477+"$F;@!2QM"</f>
        <v>#VALUE!</v>
      </c>
      <c r="BQ355" t="e">
        <f>'North America'!D1477+"$F;@!2QN"</f>
        <v>#VALUE!</v>
      </c>
      <c r="BR355" t="e">
        <f>'North America'!E1477+"$F;@!2QO"</f>
        <v>#VALUE!</v>
      </c>
      <c r="BS355" t="e">
        <f>'North America'!F1477+"$F;@!2QP"</f>
        <v>#VALUE!</v>
      </c>
      <c r="BT355" t="e">
        <f>'North America'!G1477+"$F;@!2QQ"</f>
        <v>#VALUE!</v>
      </c>
      <c r="BU355" t="e">
        <f>'North America'!H1477+"$F;@!2QR"</f>
        <v>#VALUE!</v>
      </c>
      <c r="BV355" t="e">
        <f>'North America'!A1478+"$F;@!2QS"</f>
        <v>#VALUE!</v>
      </c>
      <c r="BW355" t="e">
        <f>'North America'!B1478+"$F;@!2QT"</f>
        <v>#VALUE!</v>
      </c>
      <c r="BX355" t="e">
        <f>'North America'!C1478+"$F;@!2QU"</f>
        <v>#VALUE!</v>
      </c>
      <c r="BY355" t="e">
        <f>'North America'!D1478+"$F;@!2QV"</f>
        <v>#VALUE!</v>
      </c>
      <c r="BZ355" t="e">
        <f>'North America'!E1478+"$F;@!2QW"</f>
        <v>#VALUE!</v>
      </c>
      <c r="CA355" t="e">
        <f>'North America'!F1478+"$F;@!2QX"</f>
        <v>#VALUE!</v>
      </c>
      <c r="CB355" t="e">
        <f>'North America'!G1478+"$F;@!2QY"</f>
        <v>#VALUE!</v>
      </c>
      <c r="CC355" t="e">
        <f>'North America'!H1478+"$F;@!2QZ"</f>
        <v>#VALUE!</v>
      </c>
      <c r="CD355" t="e">
        <f>'North America'!A1479+"$F;@!2Q["</f>
        <v>#VALUE!</v>
      </c>
      <c r="CE355" t="e">
        <f>'North America'!B1479+"$F;@!2Q\"</f>
        <v>#VALUE!</v>
      </c>
      <c r="CF355" t="e">
        <f>'North America'!C1479+"$F;@!2Q]"</f>
        <v>#VALUE!</v>
      </c>
      <c r="CG355" t="e">
        <f>'North America'!D1479+"$F;@!2Q^"</f>
        <v>#VALUE!</v>
      </c>
      <c r="CH355" t="e">
        <f>'North America'!E1479+"$F;@!2Q_"</f>
        <v>#VALUE!</v>
      </c>
      <c r="CI355" t="e">
        <f>'North America'!F1479+"$F;@!2Q`"</f>
        <v>#VALUE!</v>
      </c>
      <c r="CJ355" t="e">
        <f>'North America'!G1479+"$F;@!2Qa"</f>
        <v>#VALUE!</v>
      </c>
      <c r="CK355" t="e">
        <f>'North America'!H1479+"$F;@!2Qb"</f>
        <v>#VALUE!</v>
      </c>
      <c r="CL355" t="e">
        <f>'North America'!A1480+"$F;@!2Qc"</f>
        <v>#VALUE!</v>
      </c>
      <c r="CM355" t="e">
        <f>'North America'!B1480+"$F;@!2Qd"</f>
        <v>#VALUE!</v>
      </c>
      <c r="CN355" t="e">
        <f>'North America'!C1480+"$F;@!2Qe"</f>
        <v>#VALUE!</v>
      </c>
      <c r="CO355" t="e">
        <f>'North America'!D1480+"$F;@!2Qf"</f>
        <v>#VALUE!</v>
      </c>
      <c r="CP355" t="e">
        <f>'North America'!E1480+"$F;@!2Qg"</f>
        <v>#VALUE!</v>
      </c>
      <c r="CQ355" t="e">
        <f>'North America'!F1480+"$F;@!2Qh"</f>
        <v>#VALUE!</v>
      </c>
      <c r="CR355" t="e">
        <f>'North America'!G1480+"$F;@!2Qi"</f>
        <v>#VALUE!</v>
      </c>
      <c r="CS355" t="e">
        <f>'North America'!H1480+"$F;@!2Qj"</f>
        <v>#VALUE!</v>
      </c>
      <c r="CT355" t="e">
        <f>'North America'!A1481+"$F;@!2Qk"</f>
        <v>#VALUE!</v>
      </c>
      <c r="CU355" t="e">
        <f>'North America'!B1481+"$F;@!2Ql"</f>
        <v>#VALUE!</v>
      </c>
      <c r="CV355" t="e">
        <f>'North America'!C1481+"$F;@!2Qm"</f>
        <v>#VALUE!</v>
      </c>
      <c r="CW355" t="e">
        <f>'North America'!D1481+"$F;@!2Qn"</f>
        <v>#VALUE!</v>
      </c>
      <c r="CX355" t="e">
        <f>'North America'!E1481+"$F;@!2Qo"</f>
        <v>#VALUE!</v>
      </c>
      <c r="CY355" t="e">
        <f>'North America'!F1481+"$F;@!2Qp"</f>
        <v>#VALUE!</v>
      </c>
      <c r="CZ355" t="e">
        <f>'North America'!G1481+"$F;@!2Qq"</f>
        <v>#VALUE!</v>
      </c>
      <c r="DA355" t="e">
        <f>'North America'!H1481+"$F;@!2Qr"</f>
        <v>#VALUE!</v>
      </c>
      <c r="DB355" t="e">
        <f>'North America'!A1482+"$F;@!2Qs"</f>
        <v>#VALUE!</v>
      </c>
      <c r="DC355" t="e">
        <f>'North America'!B1482+"$F;@!2Qt"</f>
        <v>#VALUE!</v>
      </c>
      <c r="DD355" t="e">
        <f>'North America'!C1482+"$F;@!2Qu"</f>
        <v>#VALUE!</v>
      </c>
      <c r="DE355" t="e">
        <f>'North America'!D1482+"$F;@!2Qv"</f>
        <v>#VALUE!</v>
      </c>
      <c r="DF355" t="e">
        <f>'North America'!E1482+"$F;@!2Qw"</f>
        <v>#VALUE!</v>
      </c>
      <c r="DG355" t="e">
        <f>'North America'!F1482+"$F;@!2Qx"</f>
        <v>#VALUE!</v>
      </c>
      <c r="DH355" t="e">
        <f>'North America'!G1482+"$F;@!2Qy"</f>
        <v>#VALUE!</v>
      </c>
      <c r="DI355" t="e">
        <f>'North America'!H1482+"$F;@!2Qz"</f>
        <v>#VALUE!</v>
      </c>
      <c r="DJ355" t="e">
        <f>'North America'!A1483+"$F;@!2Q{"</f>
        <v>#VALUE!</v>
      </c>
      <c r="DK355" t="e">
        <f>'North America'!B1483+"$F;@!2Q|"</f>
        <v>#VALUE!</v>
      </c>
      <c r="DL355" t="e">
        <f>'North America'!C1483+"$F;@!2Q}"</f>
        <v>#VALUE!</v>
      </c>
      <c r="DM355" t="e">
        <f>'North America'!D1483+"$F;@!2Q~"</f>
        <v>#VALUE!</v>
      </c>
      <c r="DN355" t="e">
        <f>'North America'!E1483+"$F;@!2R#"</f>
        <v>#VALUE!</v>
      </c>
      <c r="DO355" t="e">
        <f>'North America'!F1483+"$F;@!2R$"</f>
        <v>#VALUE!</v>
      </c>
      <c r="DP355" t="e">
        <f>'North America'!G1483+"$F;@!2R%"</f>
        <v>#VALUE!</v>
      </c>
      <c r="DQ355" t="e">
        <f>'North America'!H1483+"$F;@!2R&amp;"</f>
        <v>#VALUE!</v>
      </c>
      <c r="DR355" t="e">
        <f>'North America'!A1484+"$F;@!2R'"</f>
        <v>#VALUE!</v>
      </c>
      <c r="DS355" t="e">
        <f>'North America'!B1484+"$F;@!2R("</f>
        <v>#VALUE!</v>
      </c>
      <c r="DT355" t="e">
        <f>'North America'!C1484+"$F;@!2R)"</f>
        <v>#VALUE!</v>
      </c>
      <c r="DU355" t="e">
        <f>'North America'!D1484+"$F;@!2R."</f>
        <v>#VALUE!</v>
      </c>
      <c r="DV355" t="e">
        <f>'North America'!E1484+"$F;@!2R/"</f>
        <v>#VALUE!</v>
      </c>
      <c r="DW355" t="e">
        <f>'North America'!F1484+"$F;@!2R0"</f>
        <v>#VALUE!</v>
      </c>
      <c r="DX355" t="e">
        <f>'North America'!G1484+"$F;@!2R1"</f>
        <v>#VALUE!</v>
      </c>
      <c r="DY355" t="e">
        <f>'North America'!H1484+"$F;@!2R2"</f>
        <v>#VALUE!</v>
      </c>
      <c r="DZ355" t="e">
        <f>'North America'!A1485+"$F;@!2R3"</f>
        <v>#VALUE!</v>
      </c>
      <c r="EA355" t="e">
        <f>'North America'!B1485+"$F;@!2R4"</f>
        <v>#VALUE!</v>
      </c>
      <c r="EB355" t="e">
        <f>'North America'!C1485+"$F;@!2R5"</f>
        <v>#VALUE!</v>
      </c>
      <c r="EC355" t="e">
        <f>'North America'!D1485+"$F;@!2R6"</f>
        <v>#VALUE!</v>
      </c>
      <c r="ED355" t="e">
        <f>'North America'!E1485+"$F;@!2R7"</f>
        <v>#VALUE!</v>
      </c>
      <c r="EE355" t="e">
        <f>'North America'!F1485+"$F;@!2R8"</f>
        <v>#VALUE!</v>
      </c>
      <c r="EF355" t="e">
        <f>'North America'!G1485+"$F;@!2R9"</f>
        <v>#VALUE!</v>
      </c>
      <c r="EG355" t="e">
        <f>'North America'!H1485+"$F;@!2R:"</f>
        <v>#VALUE!</v>
      </c>
      <c r="EH355" t="e">
        <f>'North America'!A1486+"$F;@!2R;"</f>
        <v>#VALUE!</v>
      </c>
      <c r="EI355" t="e">
        <f>'North America'!B1486+"$F;@!2R&lt;"</f>
        <v>#VALUE!</v>
      </c>
      <c r="EJ355" t="e">
        <f>'North America'!C1486+"$F;@!2R="</f>
        <v>#VALUE!</v>
      </c>
      <c r="EK355" t="e">
        <f>'North America'!D1486+"$F;@!2R&gt;"</f>
        <v>#VALUE!</v>
      </c>
      <c r="EL355" t="e">
        <f>'North America'!E1486+"$F;@!2R?"</f>
        <v>#VALUE!</v>
      </c>
      <c r="EM355" t="e">
        <f>'North America'!F1486+"$F;@!2R@"</f>
        <v>#VALUE!</v>
      </c>
      <c r="EN355" t="e">
        <f>'North America'!G1486+"$F;@!2RA"</f>
        <v>#VALUE!</v>
      </c>
      <c r="EO355" t="e">
        <f>'North America'!H1486+"$F;@!2RB"</f>
        <v>#VALUE!</v>
      </c>
      <c r="EP355" t="e">
        <f>'North America'!A1487+"$F;@!2RC"</f>
        <v>#VALUE!</v>
      </c>
      <c r="EQ355" t="e">
        <f>'North America'!B1487+"$F;@!2RD"</f>
        <v>#VALUE!</v>
      </c>
      <c r="ER355" t="e">
        <f>'North America'!C1487+"$F;@!2RE"</f>
        <v>#VALUE!</v>
      </c>
      <c r="ES355" t="e">
        <f>'North America'!D1487+"$F;@!2RF"</f>
        <v>#VALUE!</v>
      </c>
      <c r="ET355" t="e">
        <f>'North America'!E1487+"$F;@!2RG"</f>
        <v>#VALUE!</v>
      </c>
      <c r="EU355" t="e">
        <f>'North America'!F1487+"$F;@!2RH"</f>
        <v>#VALUE!</v>
      </c>
      <c r="EV355" t="e">
        <f>'North America'!G1487+"$F;@!2RI"</f>
        <v>#VALUE!</v>
      </c>
      <c r="EW355" t="e">
        <f>'North America'!H1487+"$F;@!2RJ"</f>
        <v>#VALUE!</v>
      </c>
      <c r="EX355" t="e">
        <f>'North America'!A1488+"$F;@!2RK"</f>
        <v>#VALUE!</v>
      </c>
      <c r="EY355" t="e">
        <f>'North America'!B1488+"$F;@!2RL"</f>
        <v>#VALUE!</v>
      </c>
      <c r="EZ355" t="e">
        <f>'North America'!C1488+"$F;@!2RM"</f>
        <v>#VALUE!</v>
      </c>
      <c r="FA355" t="e">
        <f>'North America'!D1488+"$F;@!2RN"</f>
        <v>#VALUE!</v>
      </c>
      <c r="FB355" t="e">
        <f>'North America'!E1488+"$F;@!2RO"</f>
        <v>#VALUE!</v>
      </c>
      <c r="FC355" t="e">
        <f>'North America'!F1488+"$F;@!2RP"</f>
        <v>#VALUE!</v>
      </c>
      <c r="FD355" t="e">
        <f>'North America'!G1488+"$F;@!2RQ"</f>
        <v>#VALUE!</v>
      </c>
      <c r="FE355" t="e">
        <f>'North America'!H1488+"$F;@!2RR"</f>
        <v>#VALUE!</v>
      </c>
      <c r="FF355" t="e">
        <f>'North America'!A1489+"$F;@!2RS"</f>
        <v>#VALUE!</v>
      </c>
      <c r="FG355" t="e">
        <f>'North America'!B1489+"$F;@!2RT"</f>
        <v>#VALUE!</v>
      </c>
      <c r="FH355" t="e">
        <f>'North America'!C1489+"$F;@!2RU"</f>
        <v>#VALUE!</v>
      </c>
      <c r="FI355" t="e">
        <f>'North America'!D1489+"$F;@!2RV"</f>
        <v>#VALUE!</v>
      </c>
      <c r="FJ355" t="e">
        <f>'North America'!E1489+"$F;@!2RW"</f>
        <v>#VALUE!</v>
      </c>
      <c r="FK355" t="e">
        <f>'North America'!F1489+"$F;@!2RX"</f>
        <v>#VALUE!</v>
      </c>
      <c r="FL355" t="e">
        <f>'North America'!G1489+"$F;@!2RY"</f>
        <v>#VALUE!</v>
      </c>
      <c r="FM355" t="e">
        <f>'North America'!H1489+"$F;@!2RZ"</f>
        <v>#VALUE!</v>
      </c>
      <c r="FN355" t="e">
        <f>'North America'!A1490+"$F;@!2R["</f>
        <v>#VALUE!</v>
      </c>
      <c r="FO355" t="e">
        <f>'North America'!B1490+"$F;@!2R\"</f>
        <v>#VALUE!</v>
      </c>
      <c r="FP355" t="e">
        <f>'North America'!C1490+"$F;@!2R]"</f>
        <v>#VALUE!</v>
      </c>
      <c r="FQ355" t="e">
        <f>'North America'!D1490+"$F;@!2R^"</f>
        <v>#VALUE!</v>
      </c>
      <c r="FR355" t="e">
        <f>'North America'!E1490+"$F;@!2R_"</f>
        <v>#VALUE!</v>
      </c>
      <c r="FS355" t="e">
        <f>'North America'!F1490+"$F;@!2R`"</f>
        <v>#VALUE!</v>
      </c>
      <c r="FT355" t="e">
        <f>'North America'!G1490+"$F;@!2Ra"</f>
        <v>#VALUE!</v>
      </c>
      <c r="FU355" t="e">
        <f>'North America'!H1490+"$F;@!2Rb"</f>
        <v>#VALUE!</v>
      </c>
      <c r="FV355" t="e">
        <f>'North America'!A1491+"$F;@!2Rc"</f>
        <v>#VALUE!</v>
      </c>
      <c r="FW355" t="e">
        <f>'North America'!B1491+"$F;@!2Rd"</f>
        <v>#VALUE!</v>
      </c>
      <c r="FX355" t="e">
        <f>'North America'!C1491+"$F;@!2Re"</f>
        <v>#VALUE!</v>
      </c>
      <c r="FY355" t="e">
        <f>'North America'!D1491+"$F;@!2Rf"</f>
        <v>#VALUE!</v>
      </c>
      <c r="FZ355" t="e">
        <f>'North America'!E1491+"$F;@!2Rg"</f>
        <v>#VALUE!</v>
      </c>
      <c r="GA355" t="e">
        <f>'North America'!F1491+"$F;@!2Rh"</f>
        <v>#VALUE!</v>
      </c>
      <c r="GB355" t="e">
        <f>'North America'!G1491+"$F;@!2Ri"</f>
        <v>#VALUE!</v>
      </c>
      <c r="GC355" t="e">
        <f>'North America'!H1491+"$F;@!2Rj"</f>
        <v>#VALUE!</v>
      </c>
      <c r="GD355" t="e">
        <f>'North America'!A1492+"$F;@!2Rk"</f>
        <v>#VALUE!</v>
      </c>
      <c r="GE355" t="e">
        <f>'North America'!B1492+"$F;@!2Rl"</f>
        <v>#VALUE!</v>
      </c>
      <c r="GF355" t="e">
        <f>'North America'!C1492+"$F;@!2Rm"</f>
        <v>#VALUE!</v>
      </c>
      <c r="GG355" t="e">
        <f>'North America'!D1492+"$F;@!2Rn"</f>
        <v>#VALUE!</v>
      </c>
      <c r="GH355" t="e">
        <f>'North America'!E1492+"$F;@!2Ro"</f>
        <v>#VALUE!</v>
      </c>
      <c r="GI355" t="e">
        <f>'North America'!F1492+"$F;@!2Rp"</f>
        <v>#VALUE!</v>
      </c>
      <c r="GJ355" t="e">
        <f>'North America'!G1492+"$F;@!2Rq"</f>
        <v>#VALUE!</v>
      </c>
      <c r="GK355" t="e">
        <f>'North America'!H1492+"$F;@!2Rr"</f>
        <v>#VALUE!</v>
      </c>
      <c r="GL355" t="e">
        <f>'North America'!A1493+"$F;@!2Rs"</f>
        <v>#VALUE!</v>
      </c>
      <c r="GM355" t="e">
        <f>'North America'!B1493+"$F;@!2Rt"</f>
        <v>#VALUE!</v>
      </c>
      <c r="GN355" t="e">
        <f>'North America'!C1493+"$F;@!2Ru"</f>
        <v>#VALUE!</v>
      </c>
      <c r="GO355" t="e">
        <f>'North America'!D1493+"$F;@!2Rv"</f>
        <v>#VALUE!</v>
      </c>
      <c r="GP355" t="e">
        <f>'North America'!E1493+"$F;@!2Rw"</f>
        <v>#VALUE!</v>
      </c>
      <c r="GQ355" t="e">
        <f>'North America'!F1493+"$F;@!2Rx"</f>
        <v>#VALUE!</v>
      </c>
      <c r="GR355" t="e">
        <f>'North America'!G1493+"$F;@!2Ry"</f>
        <v>#VALUE!</v>
      </c>
      <c r="GS355" t="e">
        <f>'North America'!H1493+"$F;@!2Rz"</f>
        <v>#VALUE!</v>
      </c>
      <c r="GT355" t="e">
        <f>'North America'!A1494+"$F;@!2R{"</f>
        <v>#VALUE!</v>
      </c>
      <c r="GU355" t="e">
        <f>'North America'!B1494+"$F;@!2R|"</f>
        <v>#VALUE!</v>
      </c>
      <c r="GV355" t="e">
        <f>'North America'!C1494+"$F;@!2R}"</f>
        <v>#VALUE!</v>
      </c>
      <c r="GW355" t="e">
        <f>'North America'!D1494+"$F;@!2R~"</f>
        <v>#VALUE!</v>
      </c>
      <c r="GX355" t="e">
        <f>'North America'!E1494+"$F;@!2S#"</f>
        <v>#VALUE!</v>
      </c>
      <c r="GY355" t="e">
        <f>'North America'!F1494+"$F;@!2S$"</f>
        <v>#VALUE!</v>
      </c>
      <c r="GZ355" t="e">
        <f>'North America'!G1494+"$F;@!2S%"</f>
        <v>#VALUE!</v>
      </c>
      <c r="HA355" t="e">
        <f>'North America'!H1494+"$F;@!2S&amp;"</f>
        <v>#VALUE!</v>
      </c>
      <c r="HB355" t="e">
        <f>'North America'!A1495+"$F;@!2S'"</f>
        <v>#VALUE!</v>
      </c>
      <c r="HC355" t="e">
        <f>'North America'!B1495+"$F;@!2S("</f>
        <v>#VALUE!</v>
      </c>
      <c r="HD355" t="e">
        <f>'North America'!C1495+"$F;@!2S)"</f>
        <v>#VALUE!</v>
      </c>
      <c r="HE355" t="e">
        <f>'North America'!D1495+"$F;@!2S."</f>
        <v>#VALUE!</v>
      </c>
      <c r="HF355" t="e">
        <f>'North America'!E1495+"$F;@!2S/"</f>
        <v>#VALUE!</v>
      </c>
      <c r="HG355" t="e">
        <f>'North America'!F1495+"$F;@!2S0"</f>
        <v>#VALUE!</v>
      </c>
      <c r="HH355" t="e">
        <f>'North America'!G1495+"$F;@!2S1"</f>
        <v>#VALUE!</v>
      </c>
      <c r="HI355" t="e">
        <f>'North America'!H1495+"$F;@!2S2"</f>
        <v>#VALUE!</v>
      </c>
      <c r="HJ355" t="e">
        <f>'North America'!A1496+"$F;@!2S3"</f>
        <v>#VALUE!</v>
      </c>
      <c r="HK355" t="e">
        <f>'North America'!B1496+"$F;@!2S4"</f>
        <v>#VALUE!</v>
      </c>
      <c r="HL355" t="e">
        <f>'North America'!C1496+"$F;@!2S5"</f>
        <v>#VALUE!</v>
      </c>
      <c r="HM355" t="e">
        <f>'North America'!D1496+"$F;@!2S6"</f>
        <v>#VALUE!</v>
      </c>
      <c r="HN355" t="e">
        <f>'North America'!E1496+"$F;@!2S7"</f>
        <v>#VALUE!</v>
      </c>
      <c r="HO355" t="e">
        <f>'North America'!F1496+"$F;@!2S8"</f>
        <v>#VALUE!</v>
      </c>
      <c r="HP355" t="e">
        <f>'North America'!G1496+"$F;@!2S9"</f>
        <v>#VALUE!</v>
      </c>
      <c r="HQ355" t="e">
        <f>'North America'!H1496+"$F;@!2S:"</f>
        <v>#VALUE!</v>
      </c>
      <c r="HR355" t="e">
        <f>'North America'!A1497+"$F;@!2S;"</f>
        <v>#VALUE!</v>
      </c>
      <c r="HS355" t="e">
        <f>'North America'!B1497+"$F;@!2S&lt;"</f>
        <v>#VALUE!</v>
      </c>
      <c r="HT355" t="e">
        <f>'North America'!C1497+"$F;@!2S="</f>
        <v>#VALUE!</v>
      </c>
      <c r="HU355" t="e">
        <f>'North America'!D1497+"$F;@!2S&gt;"</f>
        <v>#VALUE!</v>
      </c>
      <c r="HV355" t="e">
        <f>'North America'!E1497+"$F;@!2S?"</f>
        <v>#VALUE!</v>
      </c>
      <c r="HW355" t="e">
        <f>'North America'!F1497+"$F;@!2S@"</f>
        <v>#VALUE!</v>
      </c>
      <c r="HX355" t="e">
        <f>'North America'!G1497+"$F;@!2SA"</f>
        <v>#VALUE!</v>
      </c>
      <c r="HY355" t="e">
        <f>'North America'!H1497+"$F;@!2SB"</f>
        <v>#VALUE!</v>
      </c>
      <c r="HZ355" t="e">
        <f>'North America'!A1498+"$F;@!2SC"</f>
        <v>#VALUE!</v>
      </c>
      <c r="IA355" t="e">
        <f>'North America'!B1498+"$F;@!2SD"</f>
        <v>#VALUE!</v>
      </c>
      <c r="IB355" t="e">
        <f>'North America'!C1498+"$F;@!2SE"</f>
        <v>#VALUE!</v>
      </c>
      <c r="IC355" t="e">
        <f>'North America'!D1498+"$F;@!2SF"</f>
        <v>#VALUE!</v>
      </c>
      <c r="ID355" t="e">
        <f>'North America'!E1498+"$F;@!2SG"</f>
        <v>#VALUE!</v>
      </c>
      <c r="IE355" t="e">
        <f>'North America'!F1498+"$F;@!2SH"</f>
        <v>#VALUE!</v>
      </c>
      <c r="IF355" t="e">
        <f>'North America'!G1498+"$F;@!2SI"</f>
        <v>#VALUE!</v>
      </c>
      <c r="IG355" t="e">
        <f>'North America'!H1498+"$F;@!2SJ"</f>
        <v>#VALUE!</v>
      </c>
      <c r="IH355" t="e">
        <f>'North America'!A1499+"$F;@!2SK"</f>
        <v>#VALUE!</v>
      </c>
      <c r="II355" t="e">
        <f>'North America'!B1499+"$F;@!2SL"</f>
        <v>#VALUE!</v>
      </c>
      <c r="IJ355" t="e">
        <f>'North America'!C1499+"$F;@!2SM"</f>
        <v>#VALUE!</v>
      </c>
      <c r="IK355" t="e">
        <f>'North America'!D1499+"$F;@!2SN"</f>
        <v>#VALUE!</v>
      </c>
      <c r="IL355" t="e">
        <f>'North America'!E1499+"$F;@!2SO"</f>
        <v>#VALUE!</v>
      </c>
      <c r="IM355" t="e">
        <f>'North America'!F1499+"$F;@!2SP"</f>
        <v>#VALUE!</v>
      </c>
      <c r="IN355" t="e">
        <f>'North America'!G1499+"$F;@!2SQ"</f>
        <v>#VALUE!</v>
      </c>
      <c r="IO355" t="e">
        <f>'North America'!H1499+"$F;@!2SR"</f>
        <v>#VALUE!</v>
      </c>
      <c r="IP355" t="e">
        <f>'North America'!A1500+"$F;@!2SS"</f>
        <v>#VALUE!</v>
      </c>
      <c r="IQ355" t="e">
        <f>'North America'!B1500+"$F;@!2ST"</f>
        <v>#VALUE!</v>
      </c>
      <c r="IR355" t="e">
        <f>'North America'!C1500+"$F;@!2SU"</f>
        <v>#VALUE!</v>
      </c>
      <c r="IS355" t="e">
        <f>'North America'!D1500+"$F;@!2SV"</f>
        <v>#VALUE!</v>
      </c>
      <c r="IT355" t="e">
        <f>'North America'!E1500+"$F;@!2SW"</f>
        <v>#VALUE!</v>
      </c>
      <c r="IU355" t="e">
        <f>'North America'!F1500+"$F;@!2SX"</f>
        <v>#VALUE!</v>
      </c>
      <c r="IV355" t="e">
        <f>'North America'!G1500+"$F;@!2SY"</f>
        <v>#VALUE!</v>
      </c>
    </row>
    <row r="356" spans="6:256" x14ac:dyDescent="0.35">
      <c r="F356" t="e">
        <f>'North America'!H1500+"$F;@!2SZ"</f>
        <v>#VALUE!</v>
      </c>
      <c r="G356" t="e">
        <f>'North America'!A1501+"$F;@!2S["</f>
        <v>#VALUE!</v>
      </c>
      <c r="H356" t="e">
        <f>'North America'!B1501+"$F;@!2S\"</f>
        <v>#VALUE!</v>
      </c>
      <c r="I356" t="e">
        <f>'North America'!C1501+"$F;@!2S]"</f>
        <v>#VALUE!</v>
      </c>
      <c r="J356" t="e">
        <f>'North America'!D1501+"$F;@!2S^"</f>
        <v>#VALUE!</v>
      </c>
      <c r="K356" t="e">
        <f>'North America'!E1501+"$F;@!2S_"</f>
        <v>#VALUE!</v>
      </c>
      <c r="L356" t="e">
        <f>'North America'!F1501+"$F;@!2S`"</f>
        <v>#VALUE!</v>
      </c>
      <c r="M356" t="e">
        <f>'North America'!G1501+"$F;@!2Sa"</f>
        <v>#VALUE!</v>
      </c>
      <c r="N356" t="e">
        <f>'North America'!H1501+"$F;@!2Sb"</f>
        <v>#VALUE!</v>
      </c>
      <c r="O356" t="e">
        <f>'North America'!A1502+"$F;@!2Sc"</f>
        <v>#VALUE!</v>
      </c>
      <c r="P356" t="e">
        <f>'North America'!B1502+"$F;@!2Sd"</f>
        <v>#VALUE!</v>
      </c>
      <c r="Q356" t="e">
        <f>'North America'!C1502+"$F;@!2Se"</f>
        <v>#VALUE!</v>
      </c>
      <c r="R356" t="e">
        <f>'North America'!D1502+"$F;@!2Sf"</f>
        <v>#VALUE!</v>
      </c>
      <c r="S356" t="e">
        <f>'North America'!E1502+"$F;@!2Sg"</f>
        <v>#VALUE!</v>
      </c>
      <c r="T356" t="e">
        <f>'North America'!F1502+"$F;@!2Sh"</f>
        <v>#VALUE!</v>
      </c>
      <c r="U356" t="e">
        <f>'North America'!G1502+"$F;@!2Si"</f>
        <v>#VALUE!</v>
      </c>
      <c r="V356" t="e">
        <f>'North America'!H1502+"$F;@!2Sj"</f>
        <v>#VALUE!</v>
      </c>
      <c r="W356" t="e">
        <f>'North America'!A1503+"$F;@!2Sk"</f>
        <v>#VALUE!</v>
      </c>
      <c r="X356" t="e">
        <f>'North America'!B1503+"$F;@!2Sl"</f>
        <v>#VALUE!</v>
      </c>
      <c r="Y356" t="e">
        <f>'North America'!C1503+"$F;@!2Sm"</f>
        <v>#VALUE!</v>
      </c>
      <c r="Z356" t="e">
        <f>'North America'!D1503+"$F;@!2Sn"</f>
        <v>#VALUE!</v>
      </c>
      <c r="AA356" t="e">
        <f>'North America'!E1503+"$F;@!2So"</f>
        <v>#VALUE!</v>
      </c>
      <c r="AB356" t="e">
        <f>'North America'!F1503+"$F;@!2Sp"</f>
        <v>#VALUE!</v>
      </c>
      <c r="AC356" t="e">
        <f>'North America'!G1503+"$F;@!2Sq"</f>
        <v>#VALUE!</v>
      </c>
      <c r="AD356" t="e">
        <f>'North America'!H1503+"$F;@!2Sr"</f>
        <v>#VALUE!</v>
      </c>
      <c r="AE356" t="e">
        <f>'North America'!A1504+"$F;@!2Ss"</f>
        <v>#VALUE!</v>
      </c>
      <c r="AF356" t="e">
        <f>'North America'!B1504+"$F;@!2St"</f>
        <v>#VALUE!</v>
      </c>
      <c r="AG356" t="e">
        <f>'North America'!C1504+"$F;@!2Su"</f>
        <v>#VALUE!</v>
      </c>
      <c r="AH356" t="e">
        <f>'North America'!D1504+"$F;@!2Sv"</f>
        <v>#VALUE!</v>
      </c>
      <c r="AI356" t="e">
        <f>'North America'!E1504+"$F;@!2Sw"</f>
        <v>#VALUE!</v>
      </c>
      <c r="AJ356" t="e">
        <f>'North America'!F1504+"$F;@!2Sx"</f>
        <v>#VALUE!</v>
      </c>
      <c r="AK356" t="e">
        <f>'North America'!G1504+"$F;@!2Sy"</f>
        <v>#VALUE!</v>
      </c>
      <c r="AL356" t="e">
        <f>'North America'!H1504+"$F;@!2Sz"</f>
        <v>#VALUE!</v>
      </c>
      <c r="AM356" t="e">
        <f>'North America'!A1505+"$F;@!2S{"</f>
        <v>#VALUE!</v>
      </c>
      <c r="AN356" t="e">
        <f>'North America'!B1505+"$F;@!2S|"</f>
        <v>#VALUE!</v>
      </c>
      <c r="AO356" t="e">
        <f>'North America'!C1505+"$F;@!2S}"</f>
        <v>#VALUE!</v>
      </c>
      <c r="AP356" t="e">
        <f>'North America'!D1505+"$F;@!2S~"</f>
        <v>#VALUE!</v>
      </c>
      <c r="AQ356" t="e">
        <f>'North America'!E1505+"$F;@!2T#"</f>
        <v>#VALUE!</v>
      </c>
      <c r="AR356" t="e">
        <f>'North America'!F1505+"$F;@!2T$"</f>
        <v>#VALUE!</v>
      </c>
      <c r="AS356" t="e">
        <f>'North America'!G1505+"$F;@!2T%"</f>
        <v>#VALUE!</v>
      </c>
      <c r="AT356" t="e">
        <f>'North America'!H1505+"$F;@!2T&amp;"</f>
        <v>#VALUE!</v>
      </c>
      <c r="AU356" t="e">
        <f>'North America'!A1506+"$F;@!2T'"</f>
        <v>#VALUE!</v>
      </c>
      <c r="AV356" t="e">
        <f>'North America'!B1506+"$F;@!2T("</f>
        <v>#VALUE!</v>
      </c>
      <c r="AW356" t="e">
        <f>'North America'!C1506+"$F;@!2T)"</f>
        <v>#VALUE!</v>
      </c>
      <c r="AX356" t="e">
        <f>'North America'!D1506+"$F;@!2T."</f>
        <v>#VALUE!</v>
      </c>
      <c r="AY356" t="e">
        <f>'North America'!E1506+"$F;@!2T/"</f>
        <v>#VALUE!</v>
      </c>
      <c r="AZ356" t="e">
        <f>'North America'!F1506+"$F;@!2T0"</f>
        <v>#VALUE!</v>
      </c>
      <c r="BA356" t="e">
        <f>'North America'!G1506+"$F;@!2T1"</f>
        <v>#VALUE!</v>
      </c>
      <c r="BB356" t="e">
        <f>'North America'!H1506+"$F;@!2T2"</f>
        <v>#VALUE!</v>
      </c>
      <c r="BC356" t="e">
        <f>'North America'!A1507+"$F;@!2T3"</f>
        <v>#VALUE!</v>
      </c>
      <c r="BD356" t="e">
        <f>'North America'!B1507+"$F;@!2T4"</f>
        <v>#VALUE!</v>
      </c>
      <c r="BE356" t="e">
        <f>'North America'!C1507+"$F;@!2T5"</f>
        <v>#VALUE!</v>
      </c>
      <c r="BF356" t="e">
        <f>'North America'!D1507+"$F;@!2T6"</f>
        <v>#VALUE!</v>
      </c>
      <c r="BG356" t="e">
        <f>'North America'!E1507+"$F;@!2T7"</f>
        <v>#VALUE!</v>
      </c>
      <c r="BH356" t="e">
        <f>'North America'!F1507+"$F;@!2T8"</f>
        <v>#VALUE!</v>
      </c>
      <c r="BI356" t="e">
        <f>'North America'!G1507+"$F;@!2T9"</f>
        <v>#VALUE!</v>
      </c>
      <c r="BJ356" t="e">
        <f>'North America'!H1507+"$F;@!2T:"</f>
        <v>#VALUE!</v>
      </c>
      <c r="BK356" t="e">
        <f>'North America'!A1508+"$F;@!2T;"</f>
        <v>#VALUE!</v>
      </c>
      <c r="BL356" t="e">
        <f>'North America'!B1508+"$F;@!2T&lt;"</f>
        <v>#VALUE!</v>
      </c>
      <c r="BM356" t="e">
        <f>'North America'!C1508+"$F;@!2T="</f>
        <v>#VALUE!</v>
      </c>
      <c r="BN356" t="e">
        <f>'North America'!D1508+"$F;@!2T&gt;"</f>
        <v>#VALUE!</v>
      </c>
      <c r="BO356" t="e">
        <f>'North America'!E1508+"$F;@!2T?"</f>
        <v>#VALUE!</v>
      </c>
      <c r="BP356" t="e">
        <f>'North America'!F1508+"$F;@!2T@"</f>
        <v>#VALUE!</v>
      </c>
      <c r="BQ356" t="e">
        <f>'North America'!G1508+"$F;@!2TA"</f>
        <v>#VALUE!</v>
      </c>
      <c r="BR356" t="e">
        <f>'North America'!H1508+"$F;@!2TB"</f>
        <v>#VALUE!</v>
      </c>
      <c r="BS356" t="e">
        <f>'North America'!A1509+"$F;@!2TC"</f>
        <v>#VALUE!</v>
      </c>
      <c r="BT356" t="e">
        <f>'North America'!B1509+"$F;@!2TD"</f>
        <v>#VALUE!</v>
      </c>
      <c r="BU356" t="e">
        <f>'North America'!C1509+"$F;@!2TE"</f>
        <v>#VALUE!</v>
      </c>
      <c r="BV356" t="e">
        <f>'North America'!D1509+"$F;@!2TF"</f>
        <v>#VALUE!</v>
      </c>
      <c r="BW356" t="e">
        <f>'North America'!E1509+"$F;@!2TG"</f>
        <v>#VALUE!</v>
      </c>
      <c r="BX356" t="e">
        <f>'North America'!F1509+"$F;@!2TH"</f>
        <v>#VALUE!</v>
      </c>
      <c r="BY356" t="e">
        <f>'North America'!G1509+"$F;@!2TI"</f>
        <v>#VALUE!</v>
      </c>
      <c r="BZ356" t="e">
        <f>'North America'!H1509+"$F;@!2TJ"</f>
        <v>#VALUE!</v>
      </c>
      <c r="CA356" t="e">
        <f>'North America'!A1510+"$F;@!2TK"</f>
        <v>#VALUE!</v>
      </c>
      <c r="CB356" t="e">
        <f>'North America'!B1510+"$F;@!2TL"</f>
        <v>#VALUE!</v>
      </c>
      <c r="CC356" t="e">
        <f>'North America'!C1510+"$F;@!2TM"</f>
        <v>#VALUE!</v>
      </c>
      <c r="CD356" t="e">
        <f>'North America'!D1510+"$F;@!2TN"</f>
        <v>#VALUE!</v>
      </c>
      <c r="CE356" t="e">
        <f>'North America'!E1510+"$F;@!2TO"</f>
        <v>#VALUE!</v>
      </c>
      <c r="CF356" t="e">
        <f>'North America'!F1510+"$F;@!2TP"</f>
        <v>#VALUE!</v>
      </c>
      <c r="CG356" t="e">
        <f>'North America'!G1510+"$F;@!2TQ"</f>
        <v>#VALUE!</v>
      </c>
      <c r="CH356" t="e">
        <f>'North America'!H1510+"$F;@!2TR"</f>
        <v>#VALUE!</v>
      </c>
      <c r="CI356" t="e">
        <f>'North America'!A1511+"$F;@!2TS"</f>
        <v>#VALUE!</v>
      </c>
      <c r="CJ356" t="e">
        <f>'North America'!B1511+"$F;@!2TT"</f>
        <v>#VALUE!</v>
      </c>
      <c r="CK356" t="e">
        <f>'North America'!C1511+"$F;@!2TU"</f>
        <v>#VALUE!</v>
      </c>
      <c r="CL356" t="e">
        <f>'North America'!D1511+"$F;@!2TV"</f>
        <v>#VALUE!</v>
      </c>
      <c r="CM356" t="e">
        <f>'North America'!E1511+"$F;@!2TW"</f>
        <v>#VALUE!</v>
      </c>
      <c r="CN356" t="e">
        <f>'North America'!F1511+"$F;@!2TX"</f>
        <v>#VALUE!</v>
      </c>
      <c r="CO356" t="e">
        <f>'North America'!G1511+"$F;@!2TY"</f>
        <v>#VALUE!</v>
      </c>
      <c r="CP356" t="e">
        <f>'North America'!H1511+"$F;@!2TZ"</f>
        <v>#VALUE!</v>
      </c>
      <c r="CQ356" t="e">
        <f>'North America'!A1512+"$F;@!2T["</f>
        <v>#VALUE!</v>
      </c>
      <c r="CR356" t="e">
        <f>'North America'!B1512+"$F;@!2T\"</f>
        <v>#VALUE!</v>
      </c>
      <c r="CS356" t="e">
        <f>'North America'!C1512+"$F;@!2T]"</f>
        <v>#VALUE!</v>
      </c>
      <c r="CT356" t="e">
        <f>'North America'!D1512+"$F;@!2T^"</f>
        <v>#VALUE!</v>
      </c>
      <c r="CU356" t="e">
        <f>'North America'!E1512+"$F;@!2T_"</f>
        <v>#VALUE!</v>
      </c>
      <c r="CV356" t="e">
        <f>'North America'!F1512+"$F;@!2T`"</f>
        <v>#VALUE!</v>
      </c>
      <c r="CW356" t="e">
        <f>'North America'!G1512+"$F;@!2Ta"</f>
        <v>#VALUE!</v>
      </c>
      <c r="CX356" t="e">
        <f>'North America'!H1512+"$F;@!2Tb"</f>
        <v>#VALUE!</v>
      </c>
      <c r="CY356" t="e">
        <f>'North America'!A1513+"$F;@!2Tc"</f>
        <v>#VALUE!</v>
      </c>
      <c r="CZ356" t="e">
        <f>'North America'!B1513+"$F;@!2Td"</f>
        <v>#VALUE!</v>
      </c>
      <c r="DA356" t="e">
        <f>'North America'!C1513+"$F;@!2Te"</f>
        <v>#VALUE!</v>
      </c>
      <c r="DB356" t="e">
        <f>'North America'!D1513+"$F;@!2Tf"</f>
        <v>#VALUE!</v>
      </c>
      <c r="DC356" t="e">
        <f>'North America'!E1513+"$F;@!2Tg"</f>
        <v>#VALUE!</v>
      </c>
      <c r="DD356" t="e">
        <f>'North America'!F1513+"$F;@!2Th"</f>
        <v>#VALUE!</v>
      </c>
      <c r="DE356" t="e">
        <f>'North America'!G1513+"$F;@!2Ti"</f>
        <v>#VALUE!</v>
      </c>
      <c r="DF356" t="e">
        <f>'North America'!H1513+"$F;@!2Tj"</f>
        <v>#VALUE!</v>
      </c>
      <c r="DG356" t="e">
        <f>'North America'!A1514+"$F;@!2Tk"</f>
        <v>#VALUE!</v>
      </c>
      <c r="DH356" t="e">
        <f>'North America'!B1514+"$F;@!2Tl"</f>
        <v>#VALUE!</v>
      </c>
      <c r="DI356" t="e">
        <f>'North America'!C1514+"$F;@!2Tm"</f>
        <v>#VALUE!</v>
      </c>
      <c r="DJ356" t="e">
        <f>'North America'!D1514+"$F;@!2Tn"</f>
        <v>#VALUE!</v>
      </c>
      <c r="DK356" t="e">
        <f>'North America'!E1514+"$F;@!2To"</f>
        <v>#VALUE!</v>
      </c>
      <c r="DL356" t="e">
        <f>'North America'!F1514+"$F;@!2Tp"</f>
        <v>#VALUE!</v>
      </c>
      <c r="DM356" t="e">
        <f>'North America'!G1514+"$F;@!2Tq"</f>
        <v>#VALUE!</v>
      </c>
      <c r="DN356" t="e">
        <f>'North America'!H1514+"$F;@!2Tr"</f>
        <v>#VALUE!</v>
      </c>
      <c r="DO356" t="e">
        <f>'North America'!A1515+"$F;@!2Ts"</f>
        <v>#VALUE!</v>
      </c>
      <c r="DP356" t="e">
        <f>'North America'!B1515+"$F;@!2Tt"</f>
        <v>#VALUE!</v>
      </c>
      <c r="DQ356" t="e">
        <f>'North America'!C1515+"$F;@!2Tu"</f>
        <v>#VALUE!</v>
      </c>
      <c r="DR356" t="e">
        <f>'North America'!D1515+"$F;@!2Tv"</f>
        <v>#VALUE!</v>
      </c>
      <c r="DS356" t="e">
        <f>'North America'!E1515+"$F;@!2Tw"</f>
        <v>#VALUE!</v>
      </c>
      <c r="DT356" t="e">
        <f>'North America'!F1515+"$F;@!2Tx"</f>
        <v>#VALUE!</v>
      </c>
      <c r="DU356" t="e">
        <f>'North America'!G1515+"$F;@!2Ty"</f>
        <v>#VALUE!</v>
      </c>
      <c r="DV356" t="e">
        <f>'North America'!H1515+"$F;@!2Tz"</f>
        <v>#VALUE!</v>
      </c>
      <c r="DW356" t="e">
        <f>'North America'!A1516+"$F;@!2T{"</f>
        <v>#VALUE!</v>
      </c>
      <c r="DX356" t="e">
        <f>'North America'!B1516+"$F;@!2T|"</f>
        <v>#VALUE!</v>
      </c>
      <c r="DY356" t="e">
        <f>'North America'!C1516+"$F;@!2T}"</f>
        <v>#VALUE!</v>
      </c>
      <c r="DZ356" t="e">
        <f>'North America'!D1516+"$F;@!2T~"</f>
        <v>#VALUE!</v>
      </c>
      <c r="EA356" t="e">
        <f>'North America'!E1516+"$F;@!2U#"</f>
        <v>#VALUE!</v>
      </c>
      <c r="EB356" t="e">
        <f>'North America'!F1516+"$F;@!2U$"</f>
        <v>#VALUE!</v>
      </c>
      <c r="EC356" t="e">
        <f>'North America'!G1516+"$F;@!2U%"</f>
        <v>#VALUE!</v>
      </c>
      <c r="ED356" t="e">
        <f>'North America'!H1516+"$F;@!2U&amp;"</f>
        <v>#VALUE!</v>
      </c>
      <c r="EE356" t="e">
        <f>'North America'!A1517+"$F;@!2U'"</f>
        <v>#VALUE!</v>
      </c>
      <c r="EF356" t="e">
        <f>'North America'!B1517+"$F;@!2U("</f>
        <v>#VALUE!</v>
      </c>
      <c r="EG356" t="e">
        <f>'North America'!C1517+"$F;@!2U)"</f>
        <v>#VALUE!</v>
      </c>
      <c r="EH356" t="e">
        <f>'North America'!D1517+"$F;@!2U."</f>
        <v>#VALUE!</v>
      </c>
      <c r="EI356" t="e">
        <f>'North America'!E1517+"$F;@!2U/"</f>
        <v>#VALUE!</v>
      </c>
      <c r="EJ356" t="e">
        <f>'North America'!F1517+"$F;@!2U0"</f>
        <v>#VALUE!</v>
      </c>
      <c r="EK356" t="e">
        <f>'North America'!G1517+"$F;@!2U1"</f>
        <v>#VALUE!</v>
      </c>
      <c r="EL356" t="e">
        <f>'North America'!H1517+"$F;@!2U2"</f>
        <v>#VALUE!</v>
      </c>
      <c r="EM356" t="e">
        <f>'North America'!A1518+"$F;@!2U3"</f>
        <v>#VALUE!</v>
      </c>
      <c r="EN356" t="e">
        <f>'North America'!B1518+"$F;@!2U4"</f>
        <v>#VALUE!</v>
      </c>
      <c r="EO356" t="e">
        <f>'North America'!C1518+"$F;@!2U5"</f>
        <v>#VALUE!</v>
      </c>
      <c r="EP356" t="e">
        <f>'North America'!D1518+"$F;@!2U6"</f>
        <v>#VALUE!</v>
      </c>
      <c r="EQ356" t="e">
        <f>'North America'!E1518+"$F;@!2U7"</f>
        <v>#VALUE!</v>
      </c>
      <c r="ER356" t="e">
        <f>'North America'!F1518+"$F;@!2U8"</f>
        <v>#VALUE!</v>
      </c>
      <c r="ES356" t="e">
        <f>'North America'!G1518+"$F;@!2U9"</f>
        <v>#VALUE!</v>
      </c>
      <c r="ET356" t="e">
        <f>'North America'!H1518+"$F;@!2U:"</f>
        <v>#VALUE!</v>
      </c>
      <c r="EU356" t="e">
        <f>'North America'!A1519+"$F;@!2U;"</f>
        <v>#VALUE!</v>
      </c>
      <c r="EV356" t="e">
        <f>'North America'!B1519+"$F;@!2U&lt;"</f>
        <v>#VALUE!</v>
      </c>
      <c r="EW356" t="e">
        <f>'North America'!C1519+"$F;@!2U="</f>
        <v>#VALUE!</v>
      </c>
      <c r="EX356" t="e">
        <f>'North America'!D1519+"$F;@!2U&gt;"</f>
        <v>#VALUE!</v>
      </c>
      <c r="EY356" t="e">
        <f>'North America'!E1519+"$F;@!2U?"</f>
        <v>#VALUE!</v>
      </c>
      <c r="EZ356" t="e">
        <f>'North America'!F1519+"$F;@!2U@"</f>
        <v>#VALUE!</v>
      </c>
      <c r="FA356" t="e">
        <f>'North America'!G1519+"$F;@!2UA"</f>
        <v>#VALUE!</v>
      </c>
      <c r="FB356" t="e">
        <f>'North America'!H1519+"$F;@!2UB"</f>
        <v>#VALUE!</v>
      </c>
      <c r="FC356" t="e">
        <f>'North America'!A1520+"$F;@!2UC"</f>
        <v>#VALUE!</v>
      </c>
      <c r="FD356" t="e">
        <f>'North America'!B1520+"$F;@!2UD"</f>
        <v>#VALUE!</v>
      </c>
      <c r="FE356" t="e">
        <f>'North America'!C1520+"$F;@!2UE"</f>
        <v>#VALUE!</v>
      </c>
      <c r="FF356" t="e">
        <f>'North America'!D1520+"$F;@!2UF"</f>
        <v>#VALUE!</v>
      </c>
      <c r="FG356" t="e">
        <f>'North America'!E1520+"$F;@!2UG"</f>
        <v>#VALUE!</v>
      </c>
      <c r="FH356" t="e">
        <f>'North America'!F1520+"$F;@!2UH"</f>
        <v>#VALUE!</v>
      </c>
      <c r="FI356" t="e">
        <f>'North America'!G1520+"$F;@!2UI"</f>
        <v>#VALUE!</v>
      </c>
      <c r="FJ356" t="e">
        <f>'North America'!H1520+"$F;@!2UJ"</f>
        <v>#VALUE!</v>
      </c>
      <c r="FK356" t="e">
        <f>'North America'!A1521+"$F;@!2UK"</f>
        <v>#VALUE!</v>
      </c>
      <c r="FL356" t="e">
        <f>'North America'!B1521+"$F;@!2UL"</f>
        <v>#VALUE!</v>
      </c>
      <c r="FM356" t="e">
        <f>'North America'!C1521+"$F;@!2UM"</f>
        <v>#VALUE!</v>
      </c>
      <c r="FN356" t="e">
        <f>'North America'!D1521+"$F;@!2UN"</f>
        <v>#VALUE!</v>
      </c>
      <c r="FO356" t="e">
        <f>'North America'!E1521+"$F;@!2UO"</f>
        <v>#VALUE!</v>
      </c>
      <c r="FP356" t="e">
        <f>'North America'!F1521+"$F;@!2UP"</f>
        <v>#VALUE!</v>
      </c>
      <c r="FQ356" t="e">
        <f>'North America'!G1521+"$F;@!2UQ"</f>
        <v>#VALUE!</v>
      </c>
      <c r="FR356" t="e">
        <f>'North America'!H1521+"$F;@!2UR"</f>
        <v>#VALUE!</v>
      </c>
      <c r="FS356" t="e">
        <f>'North America'!A1522+"$F;@!2US"</f>
        <v>#VALUE!</v>
      </c>
      <c r="FT356" t="e">
        <f>'North America'!B1522+"$F;@!2UT"</f>
        <v>#VALUE!</v>
      </c>
      <c r="FU356" t="e">
        <f>'North America'!C1522+"$F;@!2UU"</f>
        <v>#VALUE!</v>
      </c>
      <c r="FV356" t="e">
        <f>'North America'!D1522+"$F;@!2UV"</f>
        <v>#VALUE!</v>
      </c>
      <c r="FW356" t="e">
        <f>'North America'!E1522+"$F;@!2UW"</f>
        <v>#VALUE!</v>
      </c>
      <c r="FX356" t="e">
        <f>'North America'!F1522+"$F;@!2UX"</f>
        <v>#VALUE!</v>
      </c>
      <c r="FY356" t="e">
        <f>'North America'!G1522+"$F;@!2UY"</f>
        <v>#VALUE!</v>
      </c>
      <c r="FZ356" t="e">
        <f>'North America'!H1522+"$F;@!2UZ"</f>
        <v>#VALUE!</v>
      </c>
      <c r="GA356" t="e">
        <f>'North America'!A1523+"$F;@!2U["</f>
        <v>#VALUE!</v>
      </c>
      <c r="GB356" t="e">
        <f>'North America'!B1523+"$F;@!2U\"</f>
        <v>#VALUE!</v>
      </c>
      <c r="GC356" t="e">
        <f>'North America'!C1523+"$F;@!2U]"</f>
        <v>#VALUE!</v>
      </c>
      <c r="GD356" t="e">
        <f>'North America'!D1523+"$F;@!2U^"</f>
        <v>#VALUE!</v>
      </c>
      <c r="GE356" t="e">
        <f>'North America'!E1523+"$F;@!2U_"</f>
        <v>#VALUE!</v>
      </c>
      <c r="GF356" t="e">
        <f>'North America'!F1523+"$F;@!2U`"</f>
        <v>#VALUE!</v>
      </c>
      <c r="GG356" t="e">
        <f>'North America'!G1523+"$F;@!2Ua"</f>
        <v>#VALUE!</v>
      </c>
      <c r="GH356" t="e">
        <f>'North America'!H1523+"$F;@!2Ub"</f>
        <v>#VALUE!</v>
      </c>
      <c r="GI356" t="e">
        <f>'North America'!A1524+"$F;@!2Uc"</f>
        <v>#VALUE!</v>
      </c>
      <c r="GJ356" t="e">
        <f>'North America'!B1524+"$F;@!2Ud"</f>
        <v>#VALUE!</v>
      </c>
      <c r="GK356" t="e">
        <f>'North America'!C1524+"$F;@!2Ue"</f>
        <v>#VALUE!</v>
      </c>
      <c r="GL356" t="e">
        <f>'North America'!D1524+"$F;@!2Uf"</f>
        <v>#VALUE!</v>
      </c>
      <c r="GM356" t="e">
        <f>'North America'!E1524+"$F;@!2Ug"</f>
        <v>#VALUE!</v>
      </c>
      <c r="GN356" t="e">
        <f>'North America'!F1524+"$F;@!2Uh"</f>
        <v>#VALUE!</v>
      </c>
      <c r="GO356" t="e">
        <f>'North America'!G1524+"$F;@!2Ui"</f>
        <v>#VALUE!</v>
      </c>
      <c r="GP356" t="e">
        <f>'North America'!H1524+"$F;@!2Uj"</f>
        <v>#VALUE!</v>
      </c>
      <c r="GQ356" t="e">
        <f>'North America'!A1525+"$F;@!2Uk"</f>
        <v>#VALUE!</v>
      </c>
      <c r="GR356" t="e">
        <f>'North America'!B1525+"$F;@!2Ul"</f>
        <v>#VALUE!</v>
      </c>
      <c r="GS356" t="e">
        <f>'North America'!C1525+"$F;@!2Um"</f>
        <v>#VALUE!</v>
      </c>
      <c r="GT356" t="e">
        <f>'North America'!D1525+"$F;@!2Un"</f>
        <v>#VALUE!</v>
      </c>
      <c r="GU356" t="e">
        <f>'North America'!E1525+"$F;@!2Uo"</f>
        <v>#VALUE!</v>
      </c>
      <c r="GV356" t="e">
        <f>'North America'!F1525+"$F;@!2Up"</f>
        <v>#VALUE!</v>
      </c>
      <c r="GW356" t="e">
        <f>'North America'!G1525+"$F;@!2Uq"</f>
        <v>#VALUE!</v>
      </c>
      <c r="GX356" t="e">
        <f>'North America'!H1525+"$F;@!2Ur"</f>
        <v>#VALUE!</v>
      </c>
      <c r="GY356" t="e">
        <f>'North America'!A1526+"$F;@!2Us"</f>
        <v>#VALUE!</v>
      </c>
      <c r="GZ356" t="e">
        <f>'North America'!B1526+"$F;@!2Ut"</f>
        <v>#VALUE!</v>
      </c>
      <c r="HA356" t="e">
        <f>'North America'!C1526+"$F;@!2Uu"</f>
        <v>#VALUE!</v>
      </c>
      <c r="HB356" t="e">
        <f>'North America'!D1526+"$F;@!2Uv"</f>
        <v>#VALUE!</v>
      </c>
      <c r="HC356" t="e">
        <f>'North America'!E1526+"$F;@!2Uw"</f>
        <v>#VALUE!</v>
      </c>
      <c r="HD356" t="e">
        <f>'North America'!F1526+"$F;@!2Ux"</f>
        <v>#VALUE!</v>
      </c>
      <c r="HE356" t="e">
        <f>'North America'!G1526+"$F;@!2Uy"</f>
        <v>#VALUE!</v>
      </c>
      <c r="HF356" t="e">
        <f>'North America'!H1526+"$F;@!2Uz"</f>
        <v>#VALUE!</v>
      </c>
      <c r="HG356" t="e">
        <f>'North America'!A1527+"$F;@!2U{"</f>
        <v>#VALUE!</v>
      </c>
      <c r="HH356" t="e">
        <f>'North America'!B1527+"$F;@!2U|"</f>
        <v>#VALUE!</v>
      </c>
      <c r="HI356" t="e">
        <f>'North America'!C1527+"$F;@!2U}"</f>
        <v>#VALUE!</v>
      </c>
      <c r="HJ356" t="e">
        <f>'North America'!D1527+"$F;@!2U~"</f>
        <v>#VALUE!</v>
      </c>
      <c r="HK356" t="e">
        <f>'North America'!E1527+"$F;@!2V#"</f>
        <v>#VALUE!</v>
      </c>
      <c r="HL356" t="e">
        <f>'North America'!F1527+"$F;@!2V$"</f>
        <v>#VALUE!</v>
      </c>
      <c r="HM356" t="e">
        <f>'North America'!G1527+"$F;@!2V%"</f>
        <v>#VALUE!</v>
      </c>
      <c r="HN356" t="e">
        <f>'North America'!H1527+"$F;@!2V&amp;"</f>
        <v>#VALUE!</v>
      </c>
      <c r="HO356" t="e">
        <f>'North America'!A1528+"$F;@!2V'"</f>
        <v>#VALUE!</v>
      </c>
      <c r="HP356" t="e">
        <f>'North America'!B1528+"$F;@!2V("</f>
        <v>#VALUE!</v>
      </c>
      <c r="HQ356" t="e">
        <f>'North America'!C1528+"$F;@!2V)"</f>
        <v>#VALUE!</v>
      </c>
      <c r="HR356" t="e">
        <f>'North America'!D1528+"$F;@!2V."</f>
        <v>#VALUE!</v>
      </c>
      <c r="HS356" t="e">
        <f>'North America'!E1528+"$F;@!2V/"</f>
        <v>#VALUE!</v>
      </c>
      <c r="HT356" t="e">
        <f>'North America'!F1528+"$F;@!2V0"</f>
        <v>#VALUE!</v>
      </c>
      <c r="HU356" t="e">
        <f>'North America'!G1528+"$F;@!2V1"</f>
        <v>#VALUE!</v>
      </c>
      <c r="HV356" t="e">
        <f>'North America'!H1528+"$F;@!2V2"</f>
        <v>#VALUE!</v>
      </c>
      <c r="HW356" t="e">
        <f>'North America'!A1529+"$F;@!2V3"</f>
        <v>#VALUE!</v>
      </c>
      <c r="HX356" t="e">
        <f>'North America'!B1529+"$F;@!2V4"</f>
        <v>#VALUE!</v>
      </c>
      <c r="HY356" t="e">
        <f>'North America'!C1529+"$F;@!2V5"</f>
        <v>#VALUE!</v>
      </c>
      <c r="HZ356" t="e">
        <f>'North America'!D1529+"$F;@!2V6"</f>
        <v>#VALUE!</v>
      </c>
      <c r="IA356" t="e">
        <f>'North America'!E1529+"$F;@!2V7"</f>
        <v>#VALUE!</v>
      </c>
      <c r="IB356" t="e">
        <f>'North America'!F1529+"$F;@!2V8"</f>
        <v>#VALUE!</v>
      </c>
      <c r="IC356" t="e">
        <f>'North America'!G1529+"$F;@!2V9"</f>
        <v>#VALUE!</v>
      </c>
      <c r="ID356" t="e">
        <f>'North America'!H1529+"$F;@!2V:"</f>
        <v>#VALUE!</v>
      </c>
      <c r="IE356" t="e">
        <f>'North America'!A1530+"$F;@!2V;"</f>
        <v>#VALUE!</v>
      </c>
      <c r="IF356" t="e">
        <f>'North America'!B1530+"$F;@!2V&lt;"</f>
        <v>#VALUE!</v>
      </c>
      <c r="IG356" t="e">
        <f>'North America'!C1530+"$F;@!2V="</f>
        <v>#VALUE!</v>
      </c>
      <c r="IH356" t="e">
        <f>'North America'!D1530+"$F;@!2V&gt;"</f>
        <v>#VALUE!</v>
      </c>
      <c r="II356" t="e">
        <f>'North America'!E1530+"$F;@!2V?"</f>
        <v>#VALUE!</v>
      </c>
      <c r="IJ356" t="e">
        <f>'North America'!F1530+"$F;@!2V@"</f>
        <v>#VALUE!</v>
      </c>
      <c r="IK356" t="e">
        <f>'North America'!G1530+"$F;@!2VA"</f>
        <v>#VALUE!</v>
      </c>
      <c r="IL356" t="e">
        <f>'North America'!H1530+"$F;@!2VB"</f>
        <v>#VALUE!</v>
      </c>
      <c r="IM356" t="e">
        <f>'North America'!A1531+"$F;@!2VC"</f>
        <v>#VALUE!</v>
      </c>
      <c r="IN356" t="e">
        <f>'North America'!B1531+"$F;@!2VD"</f>
        <v>#VALUE!</v>
      </c>
      <c r="IO356" t="e">
        <f>'North America'!C1531+"$F;@!2VE"</f>
        <v>#VALUE!</v>
      </c>
      <c r="IP356" t="e">
        <f>'North America'!D1531+"$F;@!2VF"</f>
        <v>#VALUE!</v>
      </c>
      <c r="IQ356" t="e">
        <f>'North America'!E1531+"$F;@!2VG"</f>
        <v>#VALUE!</v>
      </c>
      <c r="IR356" t="e">
        <f>'North America'!F1531+"$F;@!2VH"</f>
        <v>#VALUE!</v>
      </c>
      <c r="IS356" t="e">
        <f>'North America'!G1531+"$F;@!2VI"</f>
        <v>#VALUE!</v>
      </c>
      <c r="IT356" t="e">
        <f>'North America'!H1531+"$F;@!2VJ"</f>
        <v>#VALUE!</v>
      </c>
      <c r="IU356" t="e">
        <f>'North America'!A1532+"$F;@!2VK"</f>
        <v>#VALUE!</v>
      </c>
      <c r="IV356" t="e">
        <f>'North America'!B1532+"$F;@!2VL"</f>
        <v>#VALUE!</v>
      </c>
    </row>
    <row r="357" spans="6:256" x14ac:dyDescent="0.35">
      <c r="F357" t="e">
        <f>'North America'!C1532+"$F;@!2VM"</f>
        <v>#VALUE!</v>
      </c>
      <c r="G357" t="e">
        <f>'North America'!D1532+"$F;@!2VN"</f>
        <v>#VALUE!</v>
      </c>
      <c r="H357" t="e">
        <f>'North America'!E1532+"$F;@!2VO"</f>
        <v>#VALUE!</v>
      </c>
      <c r="I357" t="e">
        <f>'North America'!F1532+"$F;@!2VP"</f>
        <v>#VALUE!</v>
      </c>
      <c r="J357" t="e">
        <f>'North America'!G1532+"$F;@!2VQ"</f>
        <v>#VALUE!</v>
      </c>
      <c r="K357" t="e">
        <f>'North America'!H1532+"$F;@!2VR"</f>
        <v>#VALUE!</v>
      </c>
      <c r="L357" t="e">
        <f>'North America'!A1533+"$F;@!2VS"</f>
        <v>#VALUE!</v>
      </c>
      <c r="M357" t="e">
        <f>'North America'!B1533+"$F;@!2VT"</f>
        <v>#VALUE!</v>
      </c>
      <c r="N357" t="e">
        <f>'North America'!C1533+"$F;@!2VU"</f>
        <v>#VALUE!</v>
      </c>
      <c r="O357" t="e">
        <f>'North America'!D1533+"$F;@!2VV"</f>
        <v>#VALUE!</v>
      </c>
      <c r="P357" t="e">
        <f>'North America'!E1533+"$F;@!2VW"</f>
        <v>#VALUE!</v>
      </c>
      <c r="Q357" t="e">
        <f>'North America'!F1533+"$F;@!2VX"</f>
        <v>#VALUE!</v>
      </c>
      <c r="R357" t="e">
        <f>'North America'!G1533+"$F;@!2VY"</f>
        <v>#VALUE!</v>
      </c>
      <c r="S357" t="e">
        <f>'North America'!H1533+"$F;@!2VZ"</f>
        <v>#VALUE!</v>
      </c>
      <c r="T357" t="e">
        <f>'North America'!A:A*"$F;@!2V["</f>
        <v>#VALUE!</v>
      </c>
      <c r="U357" t="e">
        <f>'North America'!B:B*"$F;@!2V\"</f>
        <v>#VALUE!</v>
      </c>
      <c r="V357" t="e">
        <f>'North America'!C:C*"$F;@!2V]"</f>
        <v>#VALUE!</v>
      </c>
      <c r="W357" t="e">
        <f>'North America'!D:D*"$F;@!2V^"</f>
        <v>#VALUE!</v>
      </c>
      <c r="X357" t="e">
        <f>'North America'!E:E*"$F;@!2V_"</f>
        <v>#VALUE!</v>
      </c>
      <c r="Y357" t="e">
        <f>'North America'!F:F*"$F;@!2V`"</f>
        <v>#VALUE!</v>
      </c>
      <c r="Z357" t="e">
        <f>'North America'!G:G*"$F;@!2Va"</f>
        <v>#VALUE!</v>
      </c>
      <c r="AA357" t="e">
        <f>'North America'!H:H*"$F;@!2Vb"</f>
        <v>#VALUE!</v>
      </c>
      <c r="AB357" t="e">
        <f>'North America'!I:I*"$F;@!2Vc"</f>
        <v>#VALUE!</v>
      </c>
      <c r="AC357" t="e">
        <f>'North America'!J:J*"$F;@!2Vd"</f>
        <v>#VALUE!</v>
      </c>
      <c r="AD357" t="e">
        <f>'North America'!K:K*"$F;@!2Ve"</f>
        <v>#VALUE!</v>
      </c>
      <c r="AE357" t="e">
        <f>'North America'!L:L*"$F;@!2Vf"</f>
        <v>#VALUE!</v>
      </c>
      <c r="AF357" t="e">
        <f>'North America'!M:M*"$F;@!2Vg"</f>
        <v>#VALUE!</v>
      </c>
      <c r="AG357" t="e">
        <f>'North America'!N:N*"$F;@!2Vh"</f>
        <v>#VALUE!</v>
      </c>
      <c r="AH357" t="e">
        <f>'North America'!O:O*"$F;@!2Vi"</f>
        <v>#VALUE!</v>
      </c>
      <c r="AI357" t="e">
        <f>'North America'!P:P*"$F;@!2Vj"</f>
        <v>#VALUE!</v>
      </c>
      <c r="AJ357" t="e">
        <f>'North America'!Q:Q*"$F;@!2Vk"</f>
        <v>#VALUE!</v>
      </c>
      <c r="AK357" t="e">
        <f>'North America'!R:R*"$F;@!2Vl"</f>
        <v>#VALUE!</v>
      </c>
      <c r="AL357" t="e">
        <f>'North America'!S:S*"$F;@!2Vm"</f>
        <v>#VALUE!</v>
      </c>
      <c r="AM357" t="e">
        <f>'North America'!T:T*"$F;@!2Vn"</f>
        <v>#VALUE!</v>
      </c>
      <c r="AN357" t="e">
        <f>'North America'!U:U*"$F;@!2Vo"</f>
        <v>#VALUE!</v>
      </c>
      <c r="AO357" t="e">
        <f>'North America'!V:V*"$F;@!2Vp"</f>
        <v>#VALUE!</v>
      </c>
      <c r="AP357" t="e">
        <f>'North America'!W:W*"$F;@!2Vq"</f>
        <v>#VALUE!</v>
      </c>
      <c r="AQ357" t="e">
        <f>'North America'!X:X*"$F;@!2Vr"</f>
        <v>#VALUE!</v>
      </c>
      <c r="AR357" t="e">
        <f>'North America'!Y:Y*"$F;@!2Vs"</f>
        <v>#VALUE!</v>
      </c>
      <c r="AS357" t="e">
        <f>'North America'!Z:Z*"$F;@!2Vt"</f>
        <v>#VALUE!</v>
      </c>
      <c r="AT357" t="e">
        <f>'North America'!AA:AA*"$F;@!2Vu"</f>
        <v>#VALUE!</v>
      </c>
      <c r="AU357" t="e">
        <f>'North America'!AB:AB*"$F;@!2Vv"</f>
        <v>#VALUE!</v>
      </c>
      <c r="AV357" t="e">
        <f>'North America'!AC:AC*"$F;@!2Vw"</f>
        <v>#VALUE!</v>
      </c>
      <c r="AW357" t="e">
        <f>'North America'!AD:AD*"$F;@!2Vx"</f>
        <v>#VALUE!</v>
      </c>
      <c r="AX357" t="e">
        <f>'North America'!AE:AE*"$F;@!2Vy"</f>
        <v>#VALUE!</v>
      </c>
      <c r="AY357" t="e">
        <f>'North America'!AF:AF*"$F;@!2Vz"</f>
        <v>#VALUE!</v>
      </c>
      <c r="AZ357" t="e">
        <f>'North America'!AG:AG*"$F;@!2V{"</f>
        <v>#VALUE!</v>
      </c>
      <c r="BA357" t="e">
        <f>'North America'!AH:AH*"$F;@!2V|"</f>
        <v>#VALUE!</v>
      </c>
      <c r="BB357" t="e">
        <f>'North America'!AI:AI*"$F;@!2V}"</f>
        <v>#VALUE!</v>
      </c>
      <c r="BC357" t="e">
        <f>'North America'!AJ:AJ*"$F;@!2V~"</f>
        <v>#VALUE!</v>
      </c>
      <c r="BD357" t="e">
        <f>'North America'!AK:AK*"$F;@!2W#"</f>
        <v>#VALUE!</v>
      </c>
      <c r="BE357" t="e">
        <f>'North America'!AL:AL*"$F;@!2W$"</f>
        <v>#VALUE!</v>
      </c>
      <c r="BF357" t="e">
        <f>'North America'!AM:AM*"$F;@!2W%"</f>
        <v>#VALUE!</v>
      </c>
      <c r="BG357" t="e">
        <f>'North America'!AN:AN*"$F;@!2W&amp;"</f>
        <v>#VALUE!</v>
      </c>
      <c r="BH357" t="e">
        <f>'North America'!AO:AO*"$F;@!2W'"</f>
        <v>#VALUE!</v>
      </c>
      <c r="BI357" t="e">
        <f>'North America'!AP:AP*"$F;@!2W("</f>
        <v>#VALUE!</v>
      </c>
      <c r="BJ357" t="e">
        <f>'North America'!AQ:AQ*"$F;@!2W)"</f>
        <v>#VALUE!</v>
      </c>
      <c r="BK357" t="e">
        <f>'North America'!AR:AR*"$F;@!2W."</f>
        <v>#VALUE!</v>
      </c>
      <c r="BL357" t="e">
        <f>'North America'!AS:AS*"$F;@!2W/"</f>
        <v>#VALUE!</v>
      </c>
      <c r="BM357" t="e">
        <f>'North America'!AT:AT*"$F;@!2W0"</f>
        <v>#VALUE!</v>
      </c>
      <c r="BN357" t="e">
        <f>'North America'!AU:AU*"$F;@!2W1"</f>
        <v>#VALUE!</v>
      </c>
      <c r="BO357" t="e">
        <f>'North America'!AV:AV*"$F;@!2W2"</f>
        <v>#VALUE!</v>
      </c>
      <c r="BP357" t="e">
        <f>'North America'!AW:AW*"$F;@!2W3"</f>
        <v>#VALUE!</v>
      </c>
      <c r="BQ357" t="e">
        <f>'North America'!AX:AX*"$F;@!2W4"</f>
        <v>#VALUE!</v>
      </c>
      <c r="BR357" t="e">
        <f>'North America'!AY:AY*"$F;@!2W5"</f>
        <v>#VALUE!</v>
      </c>
      <c r="BS357" t="e">
        <f>'North America'!AZ:AZ*"$F;@!2W6"</f>
        <v>#VALUE!</v>
      </c>
      <c r="BT357" t="e">
        <f>'North America'!BA:BA*"$F;@!2W7"</f>
        <v>#VALUE!</v>
      </c>
      <c r="BU357" t="e">
        <f>'North America'!BB:BB*"$F;@!2W8"</f>
        <v>#VALUE!</v>
      </c>
      <c r="BV357" t="e">
        <f>'North America'!BC:BC*"$F;@!2W9"</f>
        <v>#VALUE!</v>
      </c>
      <c r="BW357" t="e">
        <f>'North America'!BD:BD*"$F;@!2W:"</f>
        <v>#VALUE!</v>
      </c>
      <c r="BX357" t="e">
        <f>'North America'!BE:BE*"$F;@!2W;"</f>
        <v>#VALUE!</v>
      </c>
      <c r="BY357" t="e">
        <f>'North America'!BF:BF*"$F;@!2W&lt;"</f>
        <v>#VALUE!</v>
      </c>
      <c r="BZ357" t="e">
        <f>'North America'!1:1-"$F;@!2W="</f>
        <v>#VALUE!</v>
      </c>
      <c r="CA357" t="e">
        <f>'North America'!2:2-"$F;@!2W&gt;"</f>
        <v>#VALUE!</v>
      </c>
      <c r="CB357" t="e">
        <f>'North America'!3:3-"$F;@!2W?"</f>
        <v>#VALUE!</v>
      </c>
      <c r="CC357" t="e">
        <f>'North America'!4:4-"$F;@!2W@"</f>
        <v>#VALUE!</v>
      </c>
      <c r="CD357" t="e">
        <f>'North America'!5:5-"$F;@!2WA"</f>
        <v>#VALUE!</v>
      </c>
      <c r="CE357" t="e">
        <f>'North America'!6:6-"$F;@!2WB"</f>
        <v>#VALUE!</v>
      </c>
      <c r="CF357" t="e">
        <f>'North America'!7:7-"$F;@!2WC"</f>
        <v>#VALUE!</v>
      </c>
      <c r="CG357" t="e">
        <f>'North America'!8:8-"$F;@!2WD"</f>
        <v>#VALUE!</v>
      </c>
      <c r="CH357" t="e">
        <f>'North America'!9:9-"$F;@!2WE"</f>
        <v>#VALUE!</v>
      </c>
      <c r="CI357" t="e">
        <f>'North America'!10:10-"$F;@!2WF"</f>
        <v>#VALUE!</v>
      </c>
      <c r="CJ357" t="e">
        <f>'North America'!11:11-"$F;@!2WG"</f>
        <v>#VALUE!</v>
      </c>
      <c r="CK357" t="e">
        <f>'North America'!12:12-"$F;@!2WH"</f>
        <v>#VALUE!</v>
      </c>
      <c r="CL357" t="e">
        <f>'North America'!13:13-"$F;@!2WI"</f>
        <v>#VALUE!</v>
      </c>
      <c r="CM357" t="e">
        <f>'North America'!14:14-"$F;@!2WJ"</f>
        <v>#VALUE!</v>
      </c>
      <c r="CN357" t="e">
        <f>'North America'!15:15-"$F;@!2WK"</f>
        <v>#VALUE!</v>
      </c>
      <c r="CO357" t="e">
        <f>'North America'!16:16-"$F;@!2WL"</f>
        <v>#VALUE!</v>
      </c>
      <c r="CP357" t="e">
        <f>'North America'!17:17-"$F;@!2WM"</f>
        <v>#VALUE!</v>
      </c>
      <c r="CQ357" t="e">
        <f>'North America'!18:18-"$F;@!2WN"</f>
        <v>#VALUE!</v>
      </c>
      <c r="CR357" t="e">
        <f>'North America'!19:19-"$F;@!2WO"</f>
        <v>#VALUE!</v>
      </c>
      <c r="CS357" t="e">
        <f>'North America'!20:20-"$F;@!2WP"</f>
        <v>#VALUE!</v>
      </c>
      <c r="CT357" t="e">
        <f>'North America'!21:21-"$F;@!2WQ"</f>
        <v>#VALUE!</v>
      </c>
      <c r="CU357" t="e">
        <f>'North America'!22:22-"$F;@!2WR"</f>
        <v>#VALUE!</v>
      </c>
      <c r="CV357" t="e">
        <f>'North America'!23:23-"$F;@!2WS"</f>
        <v>#VALUE!</v>
      </c>
      <c r="CW357" t="e">
        <f>'North America'!24:24-"$F;@!2WT"</f>
        <v>#VALUE!</v>
      </c>
      <c r="CX357" t="e">
        <f>'North America'!25:25-"$F;@!2WU"</f>
        <v>#VALUE!</v>
      </c>
      <c r="CY357" t="e">
        <f>'North America'!26:26-"$F;@!2WV"</f>
        <v>#VALUE!</v>
      </c>
      <c r="CZ357" t="e">
        <f>'North America'!27:27-"$F;@!2WW"</f>
        <v>#VALUE!</v>
      </c>
      <c r="DA357" t="e">
        <f>'North America'!28:28-"$F;@!2WX"</f>
        <v>#VALUE!</v>
      </c>
      <c r="DB357" t="e">
        <f>'North America'!29:29-"$F;@!2WY"</f>
        <v>#VALUE!</v>
      </c>
      <c r="DC357" t="e">
        <f>'North America'!30:30-"$F;@!2WZ"</f>
        <v>#VALUE!</v>
      </c>
      <c r="DD357" t="e">
        <f>'North America'!31:31-"$F;@!2W["</f>
        <v>#VALUE!</v>
      </c>
      <c r="DE357" t="e">
        <f>'North America'!32:32-"$F;@!2W\"</f>
        <v>#VALUE!</v>
      </c>
      <c r="DF357" t="e">
        <f>'North America'!33:33-"$F;@!2W]"</f>
        <v>#VALUE!</v>
      </c>
      <c r="DG357" t="e">
        <f>'North America'!34:34-"$F;@!2W^"</f>
        <v>#VALUE!</v>
      </c>
      <c r="DH357" t="e">
        <f>'North America'!35:35-"$F;@!2W_"</f>
        <v>#VALUE!</v>
      </c>
      <c r="DI357" t="e">
        <f>'North America'!36:36-"$F;@!2W`"</f>
        <v>#VALUE!</v>
      </c>
      <c r="DJ357" t="e">
        <f>'North America'!37:37-"$F;@!2Wa"</f>
        <v>#VALUE!</v>
      </c>
      <c r="DK357" t="e">
        <f>'North America'!38:38-"$F;@!2Wb"</f>
        <v>#VALUE!</v>
      </c>
      <c r="DL357" t="e">
        <f>'North America'!39:39-"$F;@!2Wc"</f>
        <v>#VALUE!</v>
      </c>
      <c r="DM357" t="e">
        <f>'North America'!40:40-"$F;@!2Wd"</f>
        <v>#VALUE!</v>
      </c>
      <c r="DN357" t="e">
        <f>'North America'!41:41-"$F;@!2We"</f>
        <v>#VALUE!</v>
      </c>
      <c r="DO357" t="e">
        <f>'North America'!42:42-"$F;@!2Wf"</f>
        <v>#VALUE!</v>
      </c>
      <c r="DP357" t="e">
        <f>'North America'!43:43-"$F;@!2Wg"</f>
        <v>#VALUE!</v>
      </c>
      <c r="DQ357" t="e">
        <f>'North America'!44:44-"$F;@!2Wh"</f>
        <v>#VALUE!</v>
      </c>
      <c r="DR357" t="e">
        <f>'North America'!45:45-"$F;@!2Wi"</f>
        <v>#VALUE!</v>
      </c>
      <c r="DS357" t="e">
        <f>'North America'!46:46-"$F;@!2Wj"</f>
        <v>#VALUE!</v>
      </c>
      <c r="DT357" t="e">
        <f>'North America'!47:47-"$F;@!2Wk"</f>
        <v>#VALUE!</v>
      </c>
      <c r="DU357" t="e">
        <f>'North America'!48:48-"$F;@!2Wl"</f>
        <v>#VALUE!</v>
      </c>
      <c r="DV357" t="e">
        <f>'North America'!49:49-"$F;@!2Wm"</f>
        <v>#VALUE!</v>
      </c>
      <c r="DW357" t="e">
        <f>'North America'!50:50-"$F;@!2Wn"</f>
        <v>#VALUE!</v>
      </c>
      <c r="DX357" t="e">
        <f>'North America'!51:51-"$F;@!2Wo"</f>
        <v>#VALUE!</v>
      </c>
      <c r="DY357" t="e">
        <f>'North America'!52:52-"$F;@!2Wp"</f>
        <v>#VALUE!</v>
      </c>
      <c r="DZ357" t="e">
        <f>'North America'!53:53-"$F;@!2Wq"</f>
        <v>#VALUE!</v>
      </c>
      <c r="EA357" t="e">
        <f>'North America'!54:54-"$F;@!2Wr"</f>
        <v>#VALUE!</v>
      </c>
      <c r="EB357" t="e">
        <f>'North America'!55:55-"$F;@!2Ws"</f>
        <v>#VALUE!</v>
      </c>
      <c r="EC357" t="e">
        <f>'North America'!56:56-"$F;@!2Wt"</f>
        <v>#VALUE!</v>
      </c>
      <c r="ED357" t="e">
        <f>'North America'!57:57-"$F;@!2Wu"</f>
        <v>#VALUE!</v>
      </c>
      <c r="EE357" t="e">
        <f>'North America'!58:58-"$F;@!2Wv"</f>
        <v>#VALUE!</v>
      </c>
      <c r="EF357" t="e">
        <f>'North America'!59:59-"$F;@!2Ww"</f>
        <v>#VALUE!</v>
      </c>
      <c r="EG357" t="e">
        <f>'North America'!60:60-"$F;@!2Wx"</f>
        <v>#VALUE!</v>
      </c>
      <c r="EH357" t="e">
        <f>'North America'!61:61-"$F;@!2Wy"</f>
        <v>#VALUE!</v>
      </c>
      <c r="EI357" t="e">
        <f>'North America'!62:62-"$F;@!2Wz"</f>
        <v>#VALUE!</v>
      </c>
      <c r="EJ357" t="e">
        <f>'North America'!63:63-"$F;@!2W{"</f>
        <v>#VALUE!</v>
      </c>
      <c r="EK357" t="e">
        <f>'North America'!64:64-"$F;@!2W|"</f>
        <v>#VALUE!</v>
      </c>
      <c r="EL357" t="e">
        <f>'North America'!65:65-"$F;@!2W}"</f>
        <v>#VALUE!</v>
      </c>
      <c r="EM357" t="e">
        <f>'North America'!66:66-"$F;@!2W~"</f>
        <v>#VALUE!</v>
      </c>
      <c r="EN357" t="e">
        <f>'North America'!67:67-"$F;@!2X#"</f>
        <v>#VALUE!</v>
      </c>
      <c r="EO357" t="e">
        <f>'North America'!68:68-"$F;@!2X$"</f>
        <v>#VALUE!</v>
      </c>
      <c r="EP357" t="e">
        <f>'North America'!69:69-"$F;@!2X%"</f>
        <v>#VALUE!</v>
      </c>
      <c r="EQ357" t="e">
        <f>'North America'!70:70-"$F;@!2X&amp;"</f>
        <v>#VALUE!</v>
      </c>
      <c r="ER357" t="e">
        <f>'North America'!71:71-"$F;@!2X'"</f>
        <v>#VALUE!</v>
      </c>
      <c r="ES357" t="e">
        <f>'North America'!72:72-"$F;@!2X("</f>
        <v>#VALUE!</v>
      </c>
      <c r="ET357" t="e">
        <f>'North America'!73:73-"$F;@!2X)"</f>
        <v>#VALUE!</v>
      </c>
      <c r="EU357" t="e">
        <f>'North America'!74:74-"$F;@!2X."</f>
        <v>#VALUE!</v>
      </c>
      <c r="EV357" t="e">
        <f>'North America'!75:75-"$F;@!2X/"</f>
        <v>#VALUE!</v>
      </c>
      <c r="EW357" t="e">
        <f>'North America'!76:76-"$F;@!2X0"</f>
        <v>#VALUE!</v>
      </c>
      <c r="EX357" t="e">
        <f>'North America'!77:77-"$F;@!2X1"</f>
        <v>#VALUE!</v>
      </c>
      <c r="EY357" t="e">
        <f>'North America'!78:78-"$F;@!2X2"</f>
        <v>#VALUE!</v>
      </c>
      <c r="EZ357" t="e">
        <f>'North America'!79:79-"$F;@!2X3"</f>
        <v>#VALUE!</v>
      </c>
      <c r="FA357" t="e">
        <f>'North America'!80:80-"$F;@!2X4"</f>
        <v>#VALUE!</v>
      </c>
      <c r="FB357" t="e">
        <f>'North America'!81:81-"$F;@!2X5"</f>
        <v>#VALUE!</v>
      </c>
      <c r="FC357" t="e">
        <f>'North America'!82:82-"$F;@!2X6"</f>
        <v>#VALUE!</v>
      </c>
      <c r="FD357" t="e">
        <f>'North America'!83:83-"$F;@!2X7"</f>
        <v>#VALUE!</v>
      </c>
      <c r="FE357" t="e">
        <f>'North America'!84:84-"$F;@!2X8"</f>
        <v>#VALUE!</v>
      </c>
      <c r="FF357" t="e">
        <f>'North America'!85:85-"$F;@!2X9"</f>
        <v>#VALUE!</v>
      </c>
      <c r="FG357" t="e">
        <f>'North America'!86:86-"$F;@!2X:"</f>
        <v>#VALUE!</v>
      </c>
      <c r="FH357" t="e">
        <f>'North America'!87:87-"$F;@!2X;"</f>
        <v>#VALUE!</v>
      </c>
      <c r="FI357" t="e">
        <f>'North America'!88:88-"$F;@!2X&lt;"</f>
        <v>#VALUE!</v>
      </c>
      <c r="FJ357" t="e">
        <f>'North America'!89:89-"$F;@!2X="</f>
        <v>#VALUE!</v>
      </c>
      <c r="FK357" t="e">
        <f>'North America'!90:90-"$F;@!2X&gt;"</f>
        <v>#VALUE!</v>
      </c>
      <c r="FL357" t="e">
        <f>'North America'!91:91-"$F;@!2X?"</f>
        <v>#VALUE!</v>
      </c>
      <c r="FM357" t="e">
        <f>'North America'!92:92-"$F;@!2X@"</f>
        <v>#VALUE!</v>
      </c>
      <c r="FN357" t="e">
        <f>'North America'!93:93-"$F;@!2XA"</f>
        <v>#VALUE!</v>
      </c>
      <c r="FO357" t="e">
        <f>'North America'!94:94-"$F;@!2XB"</f>
        <v>#VALUE!</v>
      </c>
      <c r="FP357" t="e">
        <f>'North America'!95:95-"$F;@!2XC"</f>
        <v>#VALUE!</v>
      </c>
      <c r="FQ357" t="e">
        <f>'North America'!96:96-"$F;@!2XD"</f>
        <v>#VALUE!</v>
      </c>
      <c r="FR357" t="e">
        <f>'North America'!97:97-"$F;@!2XE"</f>
        <v>#VALUE!</v>
      </c>
      <c r="FS357" t="e">
        <f>'North America'!98:98-"$F;@!2XF"</f>
        <v>#VALUE!</v>
      </c>
      <c r="FT357" t="e">
        <f>'North America'!99:99-"$F;@!2XG"</f>
        <v>#VALUE!</v>
      </c>
      <c r="FU357" t="e">
        <f>'North America'!100:100-"$F;@!2XH"</f>
        <v>#VALUE!</v>
      </c>
      <c r="FV357" t="e">
        <f>'North America'!101:101-"$F;@!2XI"</f>
        <v>#VALUE!</v>
      </c>
      <c r="FW357" t="e">
        <f>'North America'!102:102-"$F;@!2XJ"</f>
        <v>#VALUE!</v>
      </c>
      <c r="FX357" t="e">
        <f>'North America'!103:103-"$F;@!2XK"</f>
        <v>#VALUE!</v>
      </c>
      <c r="FY357" t="e">
        <f>'North America'!104:104-"$F;@!2XL"</f>
        <v>#VALUE!</v>
      </c>
      <c r="FZ357" t="e">
        <f>'North America'!105:105-"$F;@!2XM"</f>
        <v>#VALUE!</v>
      </c>
      <c r="GA357" t="e">
        <f>'North America'!106:106-"$F;@!2XN"</f>
        <v>#VALUE!</v>
      </c>
      <c r="GB357" t="e">
        <f>'North America'!107:107-"$F;@!2XO"</f>
        <v>#VALUE!</v>
      </c>
      <c r="GC357" t="e">
        <f>'North America'!108:108-"$F;@!2XP"</f>
        <v>#VALUE!</v>
      </c>
      <c r="GD357" t="e">
        <f>'North America'!109:109-"$F;@!2XQ"</f>
        <v>#VALUE!</v>
      </c>
      <c r="GE357" t="e">
        <f>'North America'!110:110-"$F;@!2XR"</f>
        <v>#VALUE!</v>
      </c>
      <c r="GF357" t="e">
        <f>'North America'!111:111-"$F;@!2XS"</f>
        <v>#VALUE!</v>
      </c>
      <c r="GG357" t="e">
        <f>'North America'!112:112-"$F;@!2XT"</f>
        <v>#VALUE!</v>
      </c>
      <c r="GH357" t="e">
        <f>'North America'!113:113-"$F;@!2XU"</f>
        <v>#VALUE!</v>
      </c>
      <c r="GI357" t="e">
        <f>'North America'!114:114-"$F;@!2XV"</f>
        <v>#VALUE!</v>
      </c>
      <c r="GJ357" t="e">
        <f>'North America'!115:115-"$F;@!2XW"</f>
        <v>#VALUE!</v>
      </c>
      <c r="GK357" t="e">
        <f>'North America'!116:116-"$F;@!2XX"</f>
        <v>#VALUE!</v>
      </c>
      <c r="GL357" t="e">
        <f>'North America'!117:117-"$F;@!2XY"</f>
        <v>#VALUE!</v>
      </c>
      <c r="GM357" t="e">
        <f>'North America'!118:118-"$F;@!2XZ"</f>
        <v>#VALUE!</v>
      </c>
      <c r="GN357" t="e">
        <f>'North America'!119:119-"$F;@!2X["</f>
        <v>#VALUE!</v>
      </c>
      <c r="GO357" t="e">
        <f>'North America'!120:120-"$F;@!2X\"</f>
        <v>#VALUE!</v>
      </c>
      <c r="GP357" t="e">
        <f>'North America'!121:121-"$F;@!2X]"</f>
        <v>#VALUE!</v>
      </c>
      <c r="GQ357" t="e">
        <f>'North America'!122:122-"$F;@!2X^"</f>
        <v>#VALUE!</v>
      </c>
      <c r="GR357" t="e">
        <f>'North America'!123:123-"$F;@!2X_"</f>
        <v>#VALUE!</v>
      </c>
      <c r="GS357" t="e">
        <f>'North America'!124:124-"$F;@!2X`"</f>
        <v>#VALUE!</v>
      </c>
      <c r="GT357" t="e">
        <f>'North America'!125:125-"$F;@!2Xa"</f>
        <v>#VALUE!</v>
      </c>
      <c r="GU357" t="e">
        <f>'North America'!126:126-"$F;@!2Xb"</f>
        <v>#VALUE!</v>
      </c>
      <c r="GV357" t="e">
        <f>'North America'!127:127-"$F;@!2Xc"</f>
        <v>#VALUE!</v>
      </c>
      <c r="GW357" t="e">
        <f>'North America'!128:128-"$F;@!2Xd"</f>
        <v>#VALUE!</v>
      </c>
      <c r="GX357" t="e">
        <f>'North America'!129:129-"$F;@!2Xe"</f>
        <v>#VALUE!</v>
      </c>
      <c r="GY357" t="e">
        <f>'North America'!130:130-"$F;@!2Xf"</f>
        <v>#VALUE!</v>
      </c>
      <c r="GZ357" t="e">
        <f>'North America'!131:131-"$F;@!2Xg"</f>
        <v>#VALUE!</v>
      </c>
      <c r="HA357" t="e">
        <f>'North America'!132:132-"$F;@!2Xh"</f>
        <v>#VALUE!</v>
      </c>
      <c r="HB357" t="e">
        <f>'North America'!133:133-"$F;@!2Xi"</f>
        <v>#VALUE!</v>
      </c>
      <c r="HC357" t="e">
        <f>'North America'!134:134-"$F;@!2Xj"</f>
        <v>#VALUE!</v>
      </c>
      <c r="HD357" t="e">
        <f>'North America'!135:135-"$F;@!2Xk"</f>
        <v>#VALUE!</v>
      </c>
      <c r="HE357" t="e">
        <f>'North America'!136:136-"$F;@!2Xl"</f>
        <v>#VALUE!</v>
      </c>
      <c r="HF357" t="e">
        <f>'North America'!137:137-"$F;@!2Xm"</f>
        <v>#VALUE!</v>
      </c>
      <c r="HG357" t="e">
        <f>'North America'!138:138-"$F;@!2Xn"</f>
        <v>#VALUE!</v>
      </c>
      <c r="HH357" t="e">
        <f>'North America'!139:139-"$F;@!2Xo"</f>
        <v>#VALUE!</v>
      </c>
      <c r="HI357" t="e">
        <f>'North America'!140:140-"$F;@!2Xp"</f>
        <v>#VALUE!</v>
      </c>
      <c r="HJ357" t="e">
        <f>'North America'!141:141-"$F;@!2Xq"</f>
        <v>#VALUE!</v>
      </c>
      <c r="HK357" t="e">
        <f>'North America'!142:142-"$F;@!2Xr"</f>
        <v>#VALUE!</v>
      </c>
      <c r="HL357" t="e">
        <f>'North America'!143:143-"$F;@!2Xs"</f>
        <v>#VALUE!</v>
      </c>
      <c r="HM357" t="e">
        <f>'North America'!144:144-"$F;@!2Xt"</f>
        <v>#VALUE!</v>
      </c>
      <c r="HN357" t="e">
        <f>'North America'!145:145-"$F;@!2Xu"</f>
        <v>#VALUE!</v>
      </c>
      <c r="HO357" t="e">
        <f>'North America'!146:146-"$F;@!2Xv"</f>
        <v>#VALUE!</v>
      </c>
      <c r="HP357" t="e">
        <f>'North America'!147:147-"$F;@!2Xw"</f>
        <v>#VALUE!</v>
      </c>
      <c r="HQ357" t="e">
        <f>'North America'!148:148-"$F;@!2Xx"</f>
        <v>#VALUE!</v>
      </c>
      <c r="HR357" t="e">
        <f>'North America'!149:149-"$F;@!2Xy"</f>
        <v>#VALUE!</v>
      </c>
      <c r="HS357" t="e">
        <f>'North America'!150:150-"$F;@!2Xz"</f>
        <v>#VALUE!</v>
      </c>
      <c r="HT357" t="e">
        <f>'North America'!151:151-"$F;@!2X{"</f>
        <v>#VALUE!</v>
      </c>
      <c r="HU357" t="e">
        <f>'North America'!152:152-"$F;@!2X|"</f>
        <v>#VALUE!</v>
      </c>
      <c r="HV357" t="e">
        <f>'North America'!153:153-"$F;@!2X}"</f>
        <v>#VALUE!</v>
      </c>
      <c r="HW357" t="e">
        <f>'North America'!154:154-"$F;@!2X~"</f>
        <v>#VALUE!</v>
      </c>
      <c r="HX357" t="e">
        <f>'North America'!155:155-"$F;@!2Y#"</f>
        <v>#VALUE!</v>
      </c>
      <c r="HY357" t="e">
        <f>'North America'!156:156-"$F;@!2Y$"</f>
        <v>#VALUE!</v>
      </c>
      <c r="HZ357" t="e">
        <f>'North America'!157:157-"$F;@!2Y%"</f>
        <v>#VALUE!</v>
      </c>
      <c r="IA357" t="e">
        <f>'North America'!158:158-"$F;@!2Y&amp;"</f>
        <v>#VALUE!</v>
      </c>
      <c r="IB357" t="e">
        <f>'North America'!159:159-"$F;@!2Y'"</f>
        <v>#VALUE!</v>
      </c>
      <c r="IC357" t="e">
        <f>'North America'!160:160-"$F;@!2Y("</f>
        <v>#VALUE!</v>
      </c>
      <c r="ID357" t="e">
        <f>'North America'!161:161-"$F;@!2Y)"</f>
        <v>#VALUE!</v>
      </c>
      <c r="IE357" t="e">
        <f>'North America'!162:162-"$F;@!2Y."</f>
        <v>#VALUE!</v>
      </c>
      <c r="IF357" t="e">
        <f>'North America'!163:163-"$F;@!2Y/"</f>
        <v>#VALUE!</v>
      </c>
      <c r="IG357" t="e">
        <f>'North America'!164:164-"$F;@!2Y0"</f>
        <v>#VALUE!</v>
      </c>
      <c r="IH357" t="e">
        <f>'North America'!165:165-"$F;@!2Y1"</f>
        <v>#VALUE!</v>
      </c>
      <c r="II357" t="e">
        <f>'North America'!166:166-"$F;@!2Y2"</f>
        <v>#VALUE!</v>
      </c>
      <c r="IJ357" t="e">
        <f>'North America'!167:167-"$F;@!2Y3"</f>
        <v>#VALUE!</v>
      </c>
      <c r="IK357" t="e">
        <f>'North America'!168:168-"$F;@!2Y4"</f>
        <v>#VALUE!</v>
      </c>
      <c r="IL357" t="e">
        <f>'North America'!169:169-"$F;@!2Y5"</f>
        <v>#VALUE!</v>
      </c>
      <c r="IM357" t="e">
        <f>'North America'!170:170-"$F;@!2Y6"</f>
        <v>#VALUE!</v>
      </c>
      <c r="IN357" t="e">
        <f>'North America'!171:171-"$F;@!2Y7"</f>
        <v>#VALUE!</v>
      </c>
      <c r="IO357" t="e">
        <f>'North America'!172:172-"$F;@!2Y8"</f>
        <v>#VALUE!</v>
      </c>
      <c r="IP357" t="e">
        <f>'North America'!173:173-"$F;@!2Y9"</f>
        <v>#VALUE!</v>
      </c>
      <c r="IQ357" t="e">
        <f>'North America'!174:174-"$F;@!2Y:"</f>
        <v>#VALUE!</v>
      </c>
      <c r="IR357" t="e">
        <f>'North America'!175:175-"$F;@!2Y;"</f>
        <v>#VALUE!</v>
      </c>
      <c r="IS357" t="e">
        <f>'North America'!176:176-"$F;@!2Y&lt;"</f>
        <v>#VALUE!</v>
      </c>
      <c r="IT357" t="e">
        <f>'North America'!177:177-"$F;@!2Y="</f>
        <v>#VALUE!</v>
      </c>
      <c r="IU357" t="e">
        <f>'North America'!178:178-"$F;@!2Y&gt;"</f>
        <v>#VALUE!</v>
      </c>
      <c r="IV357" t="e">
        <f>'North America'!179:179-"$F;@!2Y?"</f>
        <v>#VALUE!</v>
      </c>
    </row>
    <row r="358" spans="6:256" x14ac:dyDescent="0.35">
      <c r="F358" t="e">
        <f>'North America'!180:180-"$F;@!2Y@"</f>
        <v>#VALUE!</v>
      </c>
      <c r="G358" t="e">
        <f>'North America'!181:181-"$F;@!2YA"</f>
        <v>#VALUE!</v>
      </c>
      <c r="H358" t="e">
        <f>'North America'!182:182-"$F;@!2YB"</f>
        <v>#VALUE!</v>
      </c>
      <c r="I358" t="e">
        <f>'North America'!183:183-"$F;@!2YC"</f>
        <v>#VALUE!</v>
      </c>
      <c r="J358" t="e">
        <f>'North America'!184:184-"$F;@!2YD"</f>
        <v>#VALUE!</v>
      </c>
      <c r="K358" t="e">
        <f>'North America'!185:185-"$F;@!2YE"</f>
        <v>#VALUE!</v>
      </c>
      <c r="L358" t="e">
        <f>'North America'!186:186-"$F;@!2YF"</f>
        <v>#VALUE!</v>
      </c>
      <c r="M358" t="e">
        <f>'North America'!187:187-"$F;@!2YG"</f>
        <v>#VALUE!</v>
      </c>
      <c r="N358" t="e">
        <f>'North America'!188:188-"$F;@!2YH"</f>
        <v>#VALUE!</v>
      </c>
      <c r="O358" t="e">
        <f>'North America'!189:189-"$F;@!2YI"</f>
        <v>#VALUE!</v>
      </c>
      <c r="P358" t="e">
        <f>'North America'!190:190-"$F;@!2YJ"</f>
        <v>#VALUE!</v>
      </c>
      <c r="Q358" t="e">
        <f>'North America'!191:191-"$F;@!2YK"</f>
        <v>#VALUE!</v>
      </c>
      <c r="R358" t="e">
        <f>'North America'!192:192-"$F;@!2YL"</f>
        <v>#VALUE!</v>
      </c>
      <c r="S358" t="e">
        <f>'North America'!193:193-"$F;@!2YM"</f>
        <v>#VALUE!</v>
      </c>
      <c r="T358" t="e">
        <f>'North America'!194:194-"$F;@!2YN"</f>
        <v>#VALUE!</v>
      </c>
      <c r="U358" t="e">
        <f>'North America'!195:195-"$F;@!2YO"</f>
        <v>#VALUE!</v>
      </c>
      <c r="V358" t="e">
        <f>'North America'!196:196-"$F;@!2YP"</f>
        <v>#VALUE!</v>
      </c>
      <c r="W358" t="e">
        <f>'North America'!197:197-"$F;@!2YQ"</f>
        <v>#VALUE!</v>
      </c>
      <c r="X358" t="e">
        <f>'North America'!198:198-"$F;@!2YR"</f>
        <v>#VALUE!</v>
      </c>
      <c r="Y358" t="e">
        <f>'North America'!199:199-"$F;@!2YS"</f>
        <v>#VALUE!</v>
      </c>
      <c r="Z358" t="e">
        <f>'North America'!200:200-"$F;@!2YT"</f>
        <v>#VALUE!</v>
      </c>
      <c r="AA358" t="e">
        <f>'North America'!201:201-"$F;@!2YU"</f>
        <v>#VALUE!</v>
      </c>
      <c r="AB358" t="e">
        <f>'North America'!202:202-"$F;@!2YV"</f>
        <v>#VALUE!</v>
      </c>
      <c r="AC358" t="e">
        <f>'North America'!203:203-"$F;@!2YW"</f>
        <v>#VALUE!</v>
      </c>
      <c r="AD358" t="e">
        <f>'North America'!204:204-"$F;@!2YX"</f>
        <v>#VALUE!</v>
      </c>
      <c r="AE358" t="e">
        <f>'North America'!205:205-"$F;@!2YY"</f>
        <v>#VALUE!</v>
      </c>
      <c r="AF358" t="e">
        <f>'North America'!206:206-"$F;@!2YZ"</f>
        <v>#VALUE!</v>
      </c>
      <c r="AG358" t="e">
        <f>'North America'!207:207-"$F;@!2Y["</f>
        <v>#VALUE!</v>
      </c>
      <c r="AH358" t="e">
        <f>'North America'!208:208-"$F;@!2Y\"</f>
        <v>#VALUE!</v>
      </c>
      <c r="AI358" t="e">
        <f>'North America'!209:209-"$F;@!2Y]"</f>
        <v>#VALUE!</v>
      </c>
      <c r="AJ358" t="e">
        <f>'North America'!210:210-"$F;@!2Y^"</f>
        <v>#VALUE!</v>
      </c>
      <c r="AK358" t="e">
        <f>'North America'!211:211-"$F;@!2Y_"</f>
        <v>#VALUE!</v>
      </c>
      <c r="AL358" t="e">
        <f>'North America'!212:212-"$F;@!2Y`"</f>
        <v>#VALUE!</v>
      </c>
      <c r="AM358" t="e">
        <f>'North America'!213:213-"$F;@!2Ya"</f>
        <v>#VALUE!</v>
      </c>
      <c r="AN358" t="e">
        <f>'North America'!214:214-"$F;@!2Yb"</f>
        <v>#VALUE!</v>
      </c>
      <c r="AO358" t="e">
        <f>'North America'!215:215-"$F;@!2Yc"</f>
        <v>#VALUE!</v>
      </c>
      <c r="AP358" t="e">
        <f>'North America'!216:216-"$F;@!2Yd"</f>
        <v>#VALUE!</v>
      </c>
      <c r="AQ358" t="e">
        <f>'North America'!217:217-"$F;@!2Ye"</f>
        <v>#VALUE!</v>
      </c>
      <c r="AR358" t="e">
        <f>'North America'!218:218-"$F;@!2Yf"</f>
        <v>#VALUE!</v>
      </c>
      <c r="AS358" t="e">
        <f>'North America'!219:219-"$F;@!2Yg"</f>
        <v>#VALUE!</v>
      </c>
      <c r="AT358" t="e">
        <f>'North America'!220:220-"$F;@!2Yh"</f>
        <v>#VALUE!</v>
      </c>
      <c r="AU358" t="e">
        <f>'North America'!221:221-"$F;@!2Yi"</f>
        <v>#VALUE!</v>
      </c>
      <c r="AV358" t="e">
        <f>'North America'!222:222-"$F;@!2Yj"</f>
        <v>#VALUE!</v>
      </c>
      <c r="AW358" t="e">
        <f>'North America'!223:223-"$F;@!2Yk"</f>
        <v>#VALUE!</v>
      </c>
      <c r="AX358" t="e">
        <f>'North America'!224:224-"$F;@!2Yl"</f>
        <v>#VALUE!</v>
      </c>
      <c r="AY358" t="e">
        <f>'North America'!225:225-"$F;@!2Ym"</f>
        <v>#VALUE!</v>
      </c>
      <c r="AZ358" t="e">
        <f>'North America'!226:226-"$F;@!2Yn"</f>
        <v>#VALUE!</v>
      </c>
      <c r="BA358" t="e">
        <f>'North America'!227:227-"$F;@!2Yo"</f>
        <v>#VALUE!</v>
      </c>
      <c r="BB358" t="e">
        <f>'North America'!228:228-"$F;@!2Yp"</f>
        <v>#VALUE!</v>
      </c>
      <c r="BC358" t="e">
        <f>'North America'!229:229-"$F;@!2Yq"</f>
        <v>#VALUE!</v>
      </c>
      <c r="BD358" t="e">
        <f>'North America'!230:230-"$F;@!2Yr"</f>
        <v>#VALUE!</v>
      </c>
      <c r="BE358" t="e">
        <f>'North America'!231:231-"$F;@!2Ys"</f>
        <v>#VALUE!</v>
      </c>
      <c r="BF358" t="e">
        <f>'North America'!232:232-"$F;@!2Yt"</f>
        <v>#VALUE!</v>
      </c>
      <c r="BG358" t="e">
        <f>'North America'!233:233-"$F;@!2Yu"</f>
        <v>#VALUE!</v>
      </c>
      <c r="BH358" t="e">
        <f>'North America'!234:234-"$F;@!2Yv"</f>
        <v>#VALUE!</v>
      </c>
      <c r="BI358" t="e">
        <f>'North America'!235:235-"$F;@!2Yw"</f>
        <v>#VALUE!</v>
      </c>
      <c r="BJ358" t="e">
        <f>'North America'!236:236-"$F;@!2Yx"</f>
        <v>#VALUE!</v>
      </c>
      <c r="BK358" t="e">
        <f>'North America'!237:237-"$F;@!2Yy"</f>
        <v>#VALUE!</v>
      </c>
      <c r="BL358" t="e">
        <f>'North America'!238:238-"$F;@!2Yz"</f>
        <v>#VALUE!</v>
      </c>
      <c r="BM358" t="e">
        <f>'North America'!239:239-"$F;@!2Y{"</f>
        <v>#VALUE!</v>
      </c>
      <c r="BN358" t="e">
        <f>'North America'!240:240-"$F;@!2Y|"</f>
        <v>#VALUE!</v>
      </c>
      <c r="BO358" t="e">
        <f>'North America'!241:241-"$F;@!2Y}"</f>
        <v>#VALUE!</v>
      </c>
      <c r="BP358" t="e">
        <f>'North America'!242:242-"$F;@!2Y~"</f>
        <v>#VALUE!</v>
      </c>
      <c r="BQ358" t="e">
        <f>'North America'!243:243-"$F;@!2Z#"</f>
        <v>#VALUE!</v>
      </c>
      <c r="BR358" t="e">
        <f>'North America'!244:244-"$F;@!2Z$"</f>
        <v>#VALUE!</v>
      </c>
      <c r="BS358" t="e">
        <f>'North America'!245:245-"$F;@!2Z%"</f>
        <v>#VALUE!</v>
      </c>
      <c r="BT358" t="e">
        <f>'North America'!246:246-"$F;@!2Z&amp;"</f>
        <v>#VALUE!</v>
      </c>
      <c r="BU358" t="e">
        <f>'North America'!247:247-"$F;@!2Z'"</f>
        <v>#VALUE!</v>
      </c>
      <c r="BV358" t="e">
        <f>'North America'!248:248-"$F;@!2Z("</f>
        <v>#VALUE!</v>
      </c>
      <c r="BW358" t="e">
        <f>'North America'!249:249-"$F;@!2Z)"</f>
        <v>#VALUE!</v>
      </c>
      <c r="BX358" t="e">
        <f>'North America'!250:250-"$F;@!2Z."</f>
        <v>#VALUE!</v>
      </c>
      <c r="BY358" t="e">
        <f>'North America'!251:251-"$F;@!2Z/"</f>
        <v>#VALUE!</v>
      </c>
      <c r="BZ358" t="e">
        <f>'North America'!252:252-"$F;@!2Z0"</f>
        <v>#VALUE!</v>
      </c>
      <c r="CA358" t="e">
        <f>'North America'!253:253-"$F;@!2Z1"</f>
        <v>#VALUE!</v>
      </c>
      <c r="CB358" t="e">
        <f>'North America'!254:254-"$F;@!2Z2"</f>
        <v>#VALUE!</v>
      </c>
      <c r="CC358" t="e">
        <f>'North America'!255:255-"$F;@!2Z3"</f>
        <v>#VALUE!</v>
      </c>
      <c r="CD358" t="e">
        <f>'North America'!256:256-"$F;@!2Z4"</f>
        <v>#VALUE!</v>
      </c>
      <c r="CE358" t="e">
        <f>'North America'!257:257-"$F;@!2Z5"</f>
        <v>#VALUE!</v>
      </c>
      <c r="CF358" t="e">
        <f>'North America'!258:258-"$F;@!2Z6"</f>
        <v>#VALUE!</v>
      </c>
      <c r="CG358" t="e">
        <f>'North America'!259:259-"$F;@!2Z7"</f>
        <v>#VALUE!</v>
      </c>
      <c r="CH358" t="e">
        <f>'North America'!260:260-"$F;@!2Z8"</f>
        <v>#VALUE!</v>
      </c>
      <c r="CI358" t="e">
        <f>'North America'!261:261-"$F;@!2Z9"</f>
        <v>#VALUE!</v>
      </c>
      <c r="CJ358" t="e">
        <f>'North America'!262:262-"$F;@!2Z:"</f>
        <v>#VALUE!</v>
      </c>
      <c r="CK358" t="e">
        <f>'North America'!263:263-"$F;@!2Z;"</f>
        <v>#VALUE!</v>
      </c>
      <c r="CL358" t="e">
        <f>'North America'!264:264-"$F;@!2Z&lt;"</f>
        <v>#VALUE!</v>
      </c>
      <c r="CM358" t="e">
        <f>'North America'!265:265-"$F;@!2Z="</f>
        <v>#VALUE!</v>
      </c>
      <c r="CN358" t="e">
        <f>'North America'!266:266-"$F;@!2Z&gt;"</f>
        <v>#VALUE!</v>
      </c>
      <c r="CO358" t="e">
        <f>'North America'!267:267-"$F;@!2Z?"</f>
        <v>#VALUE!</v>
      </c>
      <c r="CP358" t="e">
        <f>'North America'!268:268-"$F;@!2Z@"</f>
        <v>#VALUE!</v>
      </c>
      <c r="CQ358" t="e">
        <f>'North America'!269:269-"$F;@!2ZA"</f>
        <v>#VALUE!</v>
      </c>
      <c r="CR358" t="e">
        <f>'North America'!270:270-"$F;@!2ZB"</f>
        <v>#VALUE!</v>
      </c>
      <c r="CS358" t="e">
        <f>'North America'!271:271-"$F;@!2ZC"</f>
        <v>#VALUE!</v>
      </c>
      <c r="CT358" t="e">
        <f>'North America'!272:272-"$F;@!2ZD"</f>
        <v>#VALUE!</v>
      </c>
      <c r="CU358" t="e">
        <f>'North America'!273:273-"$F;@!2ZE"</f>
        <v>#VALUE!</v>
      </c>
      <c r="CV358" t="e">
        <f>'North America'!274:274-"$F;@!2ZF"</f>
        <v>#VALUE!</v>
      </c>
      <c r="CW358" t="e">
        <f>'North America'!275:275-"$F;@!2ZG"</f>
        <v>#VALUE!</v>
      </c>
      <c r="CX358" t="e">
        <f>'North America'!276:276-"$F;@!2ZH"</f>
        <v>#VALUE!</v>
      </c>
      <c r="CY358" t="e">
        <f>'North America'!277:277-"$F;@!2ZI"</f>
        <v>#VALUE!</v>
      </c>
      <c r="CZ358" t="e">
        <f>'North America'!278:278-"$F;@!2ZJ"</f>
        <v>#VALUE!</v>
      </c>
      <c r="DA358" t="e">
        <f>'North America'!279:279-"$F;@!2ZK"</f>
        <v>#VALUE!</v>
      </c>
      <c r="DB358" t="e">
        <f>'North America'!280:280-"$F;@!2ZL"</f>
        <v>#VALUE!</v>
      </c>
      <c r="DC358" t="e">
        <f>'North America'!281:281-"$F;@!2ZM"</f>
        <v>#VALUE!</v>
      </c>
      <c r="DD358" t="e">
        <f>'North America'!282:282-"$F;@!2ZN"</f>
        <v>#VALUE!</v>
      </c>
      <c r="DE358" t="e">
        <f>'North America'!283:283-"$F;@!2ZO"</f>
        <v>#VALUE!</v>
      </c>
      <c r="DF358" t="e">
        <f>'North America'!284:284-"$F;@!2ZP"</f>
        <v>#VALUE!</v>
      </c>
      <c r="DG358" t="e">
        <f>'North America'!285:285-"$F;@!2ZQ"</f>
        <v>#VALUE!</v>
      </c>
      <c r="DH358" t="e">
        <f>'North America'!286:286-"$F;@!2ZR"</f>
        <v>#VALUE!</v>
      </c>
      <c r="DI358" t="e">
        <f>'North America'!287:287-"$F;@!2ZS"</f>
        <v>#VALUE!</v>
      </c>
      <c r="DJ358" t="e">
        <f>'North America'!288:288-"$F;@!2ZT"</f>
        <v>#VALUE!</v>
      </c>
      <c r="DK358" t="e">
        <f>'North America'!289:289-"$F;@!2ZU"</f>
        <v>#VALUE!</v>
      </c>
      <c r="DL358" t="e">
        <f>'North America'!290:290-"$F;@!2ZV"</f>
        <v>#VALUE!</v>
      </c>
      <c r="DM358" t="e">
        <f>'North America'!291:291-"$F;@!2ZW"</f>
        <v>#VALUE!</v>
      </c>
      <c r="DN358" t="e">
        <f>'North America'!292:292-"$F;@!2ZX"</f>
        <v>#VALUE!</v>
      </c>
      <c r="DO358" t="e">
        <f>'North America'!293:293-"$F;@!2ZY"</f>
        <v>#VALUE!</v>
      </c>
      <c r="DP358" t="e">
        <f>'North America'!294:294-"$F;@!2ZZ"</f>
        <v>#VALUE!</v>
      </c>
      <c r="DQ358" t="e">
        <f>'North America'!295:295-"$F;@!2Z["</f>
        <v>#VALUE!</v>
      </c>
      <c r="DR358" t="e">
        <f>'North America'!296:296-"$F;@!2Z\"</f>
        <v>#VALUE!</v>
      </c>
      <c r="DS358" t="e">
        <f>'North America'!297:297-"$F;@!2Z]"</f>
        <v>#VALUE!</v>
      </c>
      <c r="DT358" t="e">
        <f>'North America'!298:298-"$F;@!2Z^"</f>
        <v>#VALUE!</v>
      </c>
      <c r="DU358" t="e">
        <f>'North America'!299:299-"$F;@!2Z_"</f>
        <v>#VALUE!</v>
      </c>
      <c r="DV358" t="e">
        <f>'North America'!300:300-"$F;@!2Z`"</f>
        <v>#VALUE!</v>
      </c>
      <c r="DW358" t="e">
        <f>'North America'!301:301-"$F;@!2Za"</f>
        <v>#VALUE!</v>
      </c>
      <c r="DX358" t="e">
        <f>'North America'!302:302-"$F;@!2Zb"</f>
        <v>#VALUE!</v>
      </c>
      <c r="DY358" t="e">
        <f>'North America'!303:303-"$F;@!2Zc"</f>
        <v>#VALUE!</v>
      </c>
      <c r="DZ358" t="e">
        <f>'North America'!304:304-"$F;@!2Zd"</f>
        <v>#VALUE!</v>
      </c>
      <c r="EA358" t="e">
        <f>'North America'!305:305-"$F;@!2Ze"</f>
        <v>#VALUE!</v>
      </c>
      <c r="EB358" t="e">
        <f>'North America'!306:306-"$F;@!2Zf"</f>
        <v>#VALUE!</v>
      </c>
      <c r="EC358" t="e">
        <f>'North America'!307:307-"$F;@!2Zg"</f>
        <v>#VALUE!</v>
      </c>
      <c r="ED358" t="e">
        <f>'North America'!308:308-"$F;@!2Zh"</f>
        <v>#VALUE!</v>
      </c>
      <c r="EE358" t="e">
        <f>'North America'!309:309-"$F;@!2Zi"</f>
        <v>#VALUE!</v>
      </c>
      <c r="EF358" t="e">
        <f>'North America'!310:310-"$F;@!2Zj"</f>
        <v>#VALUE!</v>
      </c>
      <c r="EG358" t="e">
        <f>'North America'!311:311-"$F;@!2Zk"</f>
        <v>#VALUE!</v>
      </c>
      <c r="EH358" t="e">
        <f>'North America'!312:312-"$F;@!2Zl"</f>
        <v>#VALUE!</v>
      </c>
      <c r="EI358" t="e">
        <f>'North America'!313:313-"$F;@!2Zm"</f>
        <v>#VALUE!</v>
      </c>
      <c r="EJ358" t="e">
        <f>'North America'!314:314-"$F;@!2Zn"</f>
        <v>#VALUE!</v>
      </c>
      <c r="EK358" t="e">
        <f>'North America'!315:315-"$F;@!2Zo"</f>
        <v>#VALUE!</v>
      </c>
      <c r="EL358" t="e">
        <f>'North America'!316:316-"$F;@!2Zp"</f>
        <v>#VALUE!</v>
      </c>
      <c r="EM358" t="e">
        <f>'North America'!317:317-"$F;@!2Zq"</f>
        <v>#VALUE!</v>
      </c>
      <c r="EN358" t="e">
        <f>'North America'!318:318-"$F;@!2Zr"</f>
        <v>#VALUE!</v>
      </c>
      <c r="EO358" t="e">
        <f>'North America'!319:319-"$F;@!2Zs"</f>
        <v>#VALUE!</v>
      </c>
      <c r="EP358" t="e">
        <f>'North America'!320:320-"$F;@!2Zt"</f>
        <v>#VALUE!</v>
      </c>
      <c r="EQ358" t="e">
        <f>'North America'!321:321-"$F;@!2Zu"</f>
        <v>#VALUE!</v>
      </c>
      <c r="ER358" t="e">
        <f>'North America'!322:322-"$F;@!2Zv"</f>
        <v>#VALUE!</v>
      </c>
      <c r="ES358" t="e">
        <f>'North America'!323:323-"$F;@!2Zw"</f>
        <v>#VALUE!</v>
      </c>
      <c r="ET358" t="e">
        <f>'North America'!324:324-"$F;@!2Zx"</f>
        <v>#VALUE!</v>
      </c>
      <c r="EU358" t="e">
        <f>'North America'!325:325-"$F;@!2Zy"</f>
        <v>#VALUE!</v>
      </c>
      <c r="EV358" t="e">
        <f>'North America'!326:326-"$F;@!2Zz"</f>
        <v>#VALUE!</v>
      </c>
      <c r="EW358" t="e">
        <f>'North America'!327:327-"$F;@!2Z{"</f>
        <v>#VALUE!</v>
      </c>
      <c r="EX358" t="e">
        <f>'North America'!328:328-"$F;@!2Z|"</f>
        <v>#VALUE!</v>
      </c>
      <c r="EY358" t="e">
        <f>'North America'!329:329-"$F;@!2Z}"</f>
        <v>#VALUE!</v>
      </c>
      <c r="EZ358" t="e">
        <f>'North America'!330:330-"$F;@!2Z~"</f>
        <v>#VALUE!</v>
      </c>
      <c r="FA358" t="e">
        <f>'North America'!331:331-"$F;@!2[#"</f>
        <v>#VALUE!</v>
      </c>
      <c r="FB358" t="e">
        <f>'North America'!332:332-"$F;@!2[$"</f>
        <v>#VALUE!</v>
      </c>
      <c r="FC358" t="e">
        <f>'North America'!333:333-"$F;@!2[%"</f>
        <v>#VALUE!</v>
      </c>
      <c r="FD358" t="e">
        <f>'North America'!334:334-"$F;@!2[&amp;"</f>
        <v>#VALUE!</v>
      </c>
      <c r="FE358" t="e">
        <f>'North America'!335:335-"$F;@!2['"</f>
        <v>#VALUE!</v>
      </c>
      <c r="FF358" t="e">
        <f>'North America'!336:336-"$F;@!2[("</f>
        <v>#VALUE!</v>
      </c>
      <c r="FG358" t="e">
        <f>'North America'!337:337-"$F;@!2[)"</f>
        <v>#VALUE!</v>
      </c>
      <c r="FH358" t="e">
        <f>'North America'!338:338-"$F;@!2[."</f>
        <v>#VALUE!</v>
      </c>
      <c r="FI358" t="e">
        <f>'North America'!339:339-"$F;@!2[/"</f>
        <v>#VALUE!</v>
      </c>
      <c r="FJ358" t="e">
        <f>'North America'!340:340-"$F;@!2[0"</f>
        <v>#VALUE!</v>
      </c>
      <c r="FK358" t="e">
        <f>'North America'!341:341-"$F;@!2[1"</f>
        <v>#VALUE!</v>
      </c>
      <c r="FL358" t="e">
        <f>'North America'!342:342-"$F;@!2[2"</f>
        <v>#VALUE!</v>
      </c>
      <c r="FM358" t="e">
        <f>'North America'!343:343-"$F;@!2[3"</f>
        <v>#VALUE!</v>
      </c>
      <c r="FN358" t="e">
        <f>'North America'!344:344-"$F;@!2[4"</f>
        <v>#VALUE!</v>
      </c>
      <c r="FO358" t="e">
        <f>'North America'!345:345-"$F;@!2[5"</f>
        <v>#VALUE!</v>
      </c>
      <c r="FP358" t="e">
        <f>'North America'!346:346-"$F;@!2[6"</f>
        <v>#VALUE!</v>
      </c>
      <c r="FQ358" t="e">
        <f>'North America'!347:347-"$F;@!2[7"</f>
        <v>#VALUE!</v>
      </c>
      <c r="FR358" t="e">
        <f>'North America'!348:348-"$F;@!2[8"</f>
        <v>#VALUE!</v>
      </c>
      <c r="FS358" t="e">
        <f>'North America'!349:349-"$F;@!2[9"</f>
        <v>#VALUE!</v>
      </c>
      <c r="FT358" t="e">
        <f>'North America'!350:350-"$F;@!2[:"</f>
        <v>#VALUE!</v>
      </c>
      <c r="FU358" t="e">
        <f>'North America'!351:351-"$F;@!2[;"</f>
        <v>#VALUE!</v>
      </c>
      <c r="FV358" t="e">
        <f>'North America'!352:352-"$F;@!2[&lt;"</f>
        <v>#VALUE!</v>
      </c>
      <c r="FW358" t="e">
        <f>'North America'!353:353-"$F;@!2[="</f>
        <v>#VALUE!</v>
      </c>
      <c r="FX358" t="e">
        <f>'North America'!354:354-"$F;@!2[&gt;"</f>
        <v>#VALUE!</v>
      </c>
      <c r="FY358" t="e">
        <f>'North America'!355:355-"$F;@!2[?"</f>
        <v>#VALUE!</v>
      </c>
      <c r="FZ358" t="e">
        <f>'North America'!356:356-"$F;@!2[@"</f>
        <v>#VALUE!</v>
      </c>
      <c r="GA358" t="e">
        <f>'North America'!357:357-"$F;@!2[A"</f>
        <v>#VALUE!</v>
      </c>
      <c r="GB358" t="e">
        <f>'North America'!358:358-"$F;@!2[B"</f>
        <v>#VALUE!</v>
      </c>
      <c r="GC358" t="e">
        <f>'North America'!359:359-"$F;@!2[C"</f>
        <v>#VALUE!</v>
      </c>
      <c r="GD358" t="e">
        <f>'North America'!360:360-"$F;@!2[D"</f>
        <v>#VALUE!</v>
      </c>
      <c r="GE358" t="e">
        <f>'North America'!361:361-"$F;@!2[E"</f>
        <v>#VALUE!</v>
      </c>
      <c r="GF358" t="e">
        <f>'North America'!362:362-"$F;@!2[F"</f>
        <v>#VALUE!</v>
      </c>
      <c r="GG358" t="e">
        <f>'North America'!363:363-"$F;@!2[G"</f>
        <v>#VALUE!</v>
      </c>
      <c r="GH358" t="e">
        <f>'North America'!364:364-"$F;@!2[H"</f>
        <v>#VALUE!</v>
      </c>
      <c r="GI358" t="e">
        <f>'North America'!365:365-"$F;@!2[I"</f>
        <v>#VALUE!</v>
      </c>
      <c r="GJ358" t="e">
        <f>'North America'!366:366-"$F;@!2[J"</f>
        <v>#VALUE!</v>
      </c>
      <c r="GK358" t="e">
        <f>'North America'!367:367-"$F;@!2[K"</f>
        <v>#VALUE!</v>
      </c>
      <c r="GL358" t="e">
        <f>'North America'!368:368-"$F;@!2[L"</f>
        <v>#VALUE!</v>
      </c>
      <c r="GM358" t="e">
        <f>'North America'!369:369-"$F;@!2[M"</f>
        <v>#VALUE!</v>
      </c>
      <c r="GN358" t="e">
        <f>'North America'!370:370-"$F;@!2[N"</f>
        <v>#VALUE!</v>
      </c>
      <c r="GO358" t="e">
        <f>'North America'!371:371-"$F;@!2[O"</f>
        <v>#VALUE!</v>
      </c>
      <c r="GP358" t="e">
        <f>'North America'!372:372-"$F;@!2[P"</f>
        <v>#VALUE!</v>
      </c>
      <c r="GQ358" t="e">
        <f>'North America'!373:373-"$F;@!2[Q"</f>
        <v>#VALUE!</v>
      </c>
      <c r="GR358" t="e">
        <f>'North America'!374:374-"$F;@!2[R"</f>
        <v>#VALUE!</v>
      </c>
      <c r="GS358" t="e">
        <f>'North America'!375:375-"$F;@!2[S"</f>
        <v>#VALUE!</v>
      </c>
      <c r="GT358" t="e">
        <f>'North America'!376:376-"$F;@!2[T"</f>
        <v>#VALUE!</v>
      </c>
      <c r="GU358" t="e">
        <f>'North America'!377:377-"$F;@!2[U"</f>
        <v>#VALUE!</v>
      </c>
      <c r="GV358" t="e">
        <f>'North America'!378:378-"$F;@!2[V"</f>
        <v>#VALUE!</v>
      </c>
      <c r="GW358" t="e">
        <f>'North America'!379:379-"$F;@!2[W"</f>
        <v>#VALUE!</v>
      </c>
      <c r="GX358" t="e">
        <f>'North America'!380:380-"$F;@!2[X"</f>
        <v>#VALUE!</v>
      </c>
      <c r="GY358" t="e">
        <f>'North America'!381:381-"$F;@!2[Y"</f>
        <v>#VALUE!</v>
      </c>
      <c r="GZ358" t="e">
        <f>'North America'!382:382-"$F;@!2[Z"</f>
        <v>#VALUE!</v>
      </c>
      <c r="HA358" t="e">
        <f>'North America'!383:383-"$F;@!2[["</f>
        <v>#VALUE!</v>
      </c>
      <c r="HB358" t="e">
        <f>'North America'!384:384-"$F;@!2[\"</f>
        <v>#VALUE!</v>
      </c>
      <c r="HC358" t="e">
        <f>'North America'!385:385-"$F;@!2[]"</f>
        <v>#VALUE!</v>
      </c>
      <c r="HD358" t="e">
        <f>'North America'!386:386-"$F;@!2[^"</f>
        <v>#VALUE!</v>
      </c>
      <c r="HE358" t="e">
        <f>'North America'!387:387-"$F;@!2[_"</f>
        <v>#VALUE!</v>
      </c>
      <c r="HF358" t="e">
        <f>'North America'!388:388-"$F;@!2[`"</f>
        <v>#VALUE!</v>
      </c>
      <c r="HG358" t="e">
        <f>'North America'!389:389-"$F;@!2[a"</f>
        <v>#VALUE!</v>
      </c>
      <c r="HH358" t="e">
        <f>'North America'!390:390-"$F;@!2[b"</f>
        <v>#VALUE!</v>
      </c>
      <c r="HI358" t="e">
        <f>'North America'!391:391-"$F;@!2[c"</f>
        <v>#VALUE!</v>
      </c>
      <c r="HJ358" t="e">
        <f>'North America'!392:392-"$F;@!2[d"</f>
        <v>#VALUE!</v>
      </c>
      <c r="HK358" t="e">
        <f>'North America'!393:393-"$F;@!2[e"</f>
        <v>#VALUE!</v>
      </c>
      <c r="HL358" t="e">
        <f>'North America'!394:394-"$F;@!2[f"</f>
        <v>#VALUE!</v>
      </c>
      <c r="HM358" t="e">
        <f>'North America'!395:395-"$F;@!2[g"</f>
        <v>#VALUE!</v>
      </c>
      <c r="HN358" t="e">
        <f>'North America'!396:396-"$F;@!2[h"</f>
        <v>#VALUE!</v>
      </c>
      <c r="HO358" t="e">
        <f>'North America'!397:397-"$F;@!2[i"</f>
        <v>#VALUE!</v>
      </c>
      <c r="HP358" t="e">
        <f>'North America'!398:398-"$F;@!2[j"</f>
        <v>#VALUE!</v>
      </c>
      <c r="HQ358" t="e">
        <f>'North America'!399:399-"$F;@!2[k"</f>
        <v>#VALUE!</v>
      </c>
      <c r="HR358" t="e">
        <f>'North America'!400:400-"$F;@!2[l"</f>
        <v>#VALUE!</v>
      </c>
      <c r="HS358" t="e">
        <f>'North America'!401:401-"$F;@!2[m"</f>
        <v>#VALUE!</v>
      </c>
      <c r="HT358" t="e">
        <f>'North America'!402:402-"$F;@!2[n"</f>
        <v>#VALUE!</v>
      </c>
      <c r="HU358" t="e">
        <f>'North America'!403:403-"$F;@!2[o"</f>
        <v>#VALUE!</v>
      </c>
      <c r="HV358" t="e">
        <f>'North America'!404:404-"$F;@!2[p"</f>
        <v>#VALUE!</v>
      </c>
      <c r="HW358" t="e">
        <f>'North America'!405:405-"$F;@!2[q"</f>
        <v>#VALUE!</v>
      </c>
      <c r="HX358" t="e">
        <f>'North America'!406:406-"$F;@!2[r"</f>
        <v>#VALUE!</v>
      </c>
      <c r="HY358" t="e">
        <f>'North America'!407:407-"$F;@!2[s"</f>
        <v>#VALUE!</v>
      </c>
      <c r="HZ358" t="e">
        <f>'North America'!408:408-"$F;@!2[t"</f>
        <v>#VALUE!</v>
      </c>
      <c r="IA358" t="e">
        <f>'North America'!409:409-"$F;@!2[u"</f>
        <v>#VALUE!</v>
      </c>
      <c r="IB358" t="e">
        <f>'North America'!410:410-"$F;@!2[v"</f>
        <v>#VALUE!</v>
      </c>
      <c r="IC358" t="e">
        <f>'North America'!411:411-"$F;@!2[w"</f>
        <v>#VALUE!</v>
      </c>
      <c r="ID358" t="e">
        <f>'North America'!412:412-"$F;@!2[x"</f>
        <v>#VALUE!</v>
      </c>
      <c r="IE358" t="e">
        <f>'North America'!413:413-"$F;@!2[y"</f>
        <v>#VALUE!</v>
      </c>
      <c r="IF358" t="e">
        <f>'North America'!414:414-"$F;@!2[z"</f>
        <v>#VALUE!</v>
      </c>
      <c r="IG358" t="e">
        <f>'North America'!415:415-"$F;@!2[{"</f>
        <v>#VALUE!</v>
      </c>
      <c r="IH358" t="e">
        <f>'North America'!416:416-"$F;@!2[|"</f>
        <v>#VALUE!</v>
      </c>
      <c r="II358" t="e">
        <f>'North America'!417:417-"$F;@!2[}"</f>
        <v>#VALUE!</v>
      </c>
      <c r="IJ358" t="e">
        <f>'North America'!418:418-"$F;@!2[~"</f>
        <v>#VALUE!</v>
      </c>
      <c r="IK358" t="e">
        <f>'North America'!419:419-"$F;@!2\#"</f>
        <v>#VALUE!</v>
      </c>
      <c r="IL358" t="e">
        <f>'North America'!420:420-"$F;@!2\$"</f>
        <v>#VALUE!</v>
      </c>
      <c r="IM358" t="e">
        <f>'North America'!421:421-"$F;@!2\%"</f>
        <v>#VALUE!</v>
      </c>
      <c r="IN358" t="e">
        <f>'North America'!422:422-"$F;@!2\&amp;"</f>
        <v>#VALUE!</v>
      </c>
      <c r="IO358" t="e">
        <f>'North America'!423:423-"$F;@!2\'"</f>
        <v>#VALUE!</v>
      </c>
      <c r="IP358" t="e">
        <f>'North America'!424:424-"$F;@!2\("</f>
        <v>#VALUE!</v>
      </c>
      <c r="IQ358" t="e">
        <f>'North America'!425:425-"$F;@!2\)"</f>
        <v>#VALUE!</v>
      </c>
      <c r="IR358" t="e">
        <f>'North America'!426:426-"$F;@!2\."</f>
        <v>#VALUE!</v>
      </c>
      <c r="IS358" t="e">
        <f>'North America'!427:427-"$F;@!2\/"</f>
        <v>#VALUE!</v>
      </c>
      <c r="IT358" t="e">
        <f>'North America'!428:428-"$F;@!2\0"</f>
        <v>#VALUE!</v>
      </c>
      <c r="IU358" t="e">
        <f>'North America'!429:429-"$F;@!2\1"</f>
        <v>#VALUE!</v>
      </c>
      <c r="IV358" t="e">
        <f>'North America'!430:430-"$F;@!2\2"</f>
        <v>#VALUE!</v>
      </c>
    </row>
    <row r="359" spans="6:256" x14ac:dyDescent="0.35">
      <c r="F359" t="e">
        <f>'North America'!431:431-"$F;@!2\3"</f>
        <v>#VALUE!</v>
      </c>
      <c r="G359" t="e">
        <f>'North America'!432:432-"$F;@!2\4"</f>
        <v>#VALUE!</v>
      </c>
      <c r="H359" t="e">
        <f>'North America'!433:433-"$F;@!2\5"</f>
        <v>#VALUE!</v>
      </c>
      <c r="I359" t="e">
        <f>'North America'!434:434-"$F;@!2\6"</f>
        <v>#VALUE!</v>
      </c>
      <c r="J359" t="e">
        <f>'North America'!435:435-"$F;@!2\7"</f>
        <v>#VALUE!</v>
      </c>
      <c r="K359" t="e">
        <f>'North America'!436:436-"$F;@!2\8"</f>
        <v>#VALUE!</v>
      </c>
      <c r="L359" t="e">
        <f>'North America'!437:437-"$F;@!2\9"</f>
        <v>#VALUE!</v>
      </c>
      <c r="M359" t="e">
        <f>'North America'!438:438-"$F;@!2\:"</f>
        <v>#VALUE!</v>
      </c>
      <c r="N359" t="e">
        <f>'North America'!439:439-"$F;@!2\;"</f>
        <v>#VALUE!</v>
      </c>
      <c r="O359" t="e">
        <f>'North America'!440:440-"$F;@!2\&lt;"</f>
        <v>#VALUE!</v>
      </c>
      <c r="P359" t="e">
        <f>'North America'!441:441-"$F;@!2\="</f>
        <v>#VALUE!</v>
      </c>
      <c r="Q359" t="e">
        <f>'North America'!442:442-"$F;@!2\&gt;"</f>
        <v>#VALUE!</v>
      </c>
      <c r="R359" t="e">
        <f>'North America'!443:443-"$F;@!2\?"</f>
        <v>#VALUE!</v>
      </c>
      <c r="S359" t="e">
        <f>'North America'!444:444-"$F;@!2\@"</f>
        <v>#VALUE!</v>
      </c>
      <c r="T359" t="e">
        <f>'North America'!445:445-"$F;@!2\A"</f>
        <v>#VALUE!</v>
      </c>
      <c r="U359" t="e">
        <f>'North America'!446:446-"$F;@!2\B"</f>
        <v>#VALUE!</v>
      </c>
      <c r="V359" t="e">
        <f>'North America'!447:447-"$F;@!2\C"</f>
        <v>#VALUE!</v>
      </c>
      <c r="W359" t="e">
        <f>'North America'!448:448-"$F;@!2\D"</f>
        <v>#VALUE!</v>
      </c>
      <c r="X359" t="e">
        <f>'North America'!449:449-"$F;@!2\E"</f>
        <v>#VALUE!</v>
      </c>
      <c r="Y359" t="e">
        <f>'North America'!450:450-"$F;@!2\F"</f>
        <v>#VALUE!</v>
      </c>
      <c r="Z359" t="e">
        <f>'North America'!451:451-"$F;@!2\G"</f>
        <v>#VALUE!</v>
      </c>
      <c r="AA359" t="e">
        <f>'North America'!452:452-"$F;@!2\H"</f>
        <v>#VALUE!</v>
      </c>
      <c r="AB359" t="e">
        <f>'North America'!453:453-"$F;@!2\I"</f>
        <v>#VALUE!</v>
      </c>
      <c r="AC359" t="e">
        <f>'North America'!454:454-"$F;@!2\J"</f>
        <v>#VALUE!</v>
      </c>
      <c r="AD359" t="e">
        <f>'North America'!455:455-"$F;@!2\K"</f>
        <v>#VALUE!</v>
      </c>
      <c r="AE359" t="e">
        <f>'North America'!456:456-"$F;@!2\L"</f>
        <v>#VALUE!</v>
      </c>
      <c r="AF359" t="e">
        <f>'North America'!457:457-"$F;@!2\M"</f>
        <v>#VALUE!</v>
      </c>
      <c r="AG359" t="e">
        <f>'North America'!458:458-"$F;@!2\N"</f>
        <v>#VALUE!</v>
      </c>
      <c r="AH359" t="e">
        <f>'North America'!459:459-"$F;@!2\O"</f>
        <v>#VALUE!</v>
      </c>
      <c r="AI359" t="e">
        <f>'North America'!460:460-"$F;@!2\P"</f>
        <v>#VALUE!</v>
      </c>
      <c r="AJ359" t="e">
        <f>'North America'!461:461-"$F;@!2\Q"</f>
        <v>#VALUE!</v>
      </c>
      <c r="AK359" t="e">
        <f>'North America'!462:462-"$F;@!2\R"</f>
        <v>#VALUE!</v>
      </c>
      <c r="AL359" t="e">
        <f>'North America'!463:463-"$F;@!2\S"</f>
        <v>#VALUE!</v>
      </c>
      <c r="AM359" t="e">
        <f>'North America'!464:464-"$F;@!2\T"</f>
        <v>#VALUE!</v>
      </c>
      <c r="AN359" t="e">
        <f>'North America'!465:465-"$F;@!2\U"</f>
        <v>#VALUE!</v>
      </c>
      <c r="AO359" t="e">
        <f>'North America'!466:466-"$F;@!2\V"</f>
        <v>#VALUE!</v>
      </c>
      <c r="AP359" t="e">
        <f>'North America'!467:467-"$F;@!2\W"</f>
        <v>#VALUE!</v>
      </c>
      <c r="AQ359" t="e">
        <f>'North America'!468:468-"$F;@!2\X"</f>
        <v>#VALUE!</v>
      </c>
      <c r="AR359" t="e">
        <f>'North America'!469:469-"$F;@!2\Y"</f>
        <v>#VALUE!</v>
      </c>
      <c r="AS359" t="e">
        <f>'North America'!470:470-"$F;@!2\Z"</f>
        <v>#VALUE!</v>
      </c>
      <c r="AT359" t="e">
        <f>'North America'!471:471-"$F;@!2\["</f>
        <v>#VALUE!</v>
      </c>
      <c r="AU359" t="e">
        <f>'North America'!472:472-"$F;@!2\\"</f>
        <v>#VALUE!</v>
      </c>
      <c r="AV359" t="e">
        <f>'North America'!473:473-"$F;@!2\]"</f>
        <v>#VALUE!</v>
      </c>
      <c r="AW359" t="e">
        <f>'North America'!474:474-"$F;@!2\^"</f>
        <v>#VALUE!</v>
      </c>
      <c r="AX359" t="e">
        <f>'North America'!475:475-"$F;@!2\_"</f>
        <v>#VALUE!</v>
      </c>
      <c r="AY359" t="e">
        <f>'North America'!476:476-"$F;@!2\`"</f>
        <v>#VALUE!</v>
      </c>
      <c r="AZ359" t="e">
        <f>'North America'!477:477-"$F;@!2\a"</f>
        <v>#VALUE!</v>
      </c>
      <c r="BA359" t="e">
        <f>'North America'!478:478-"$F;@!2\b"</f>
        <v>#VALUE!</v>
      </c>
      <c r="BB359" t="e">
        <f>'North America'!479:479-"$F;@!2\c"</f>
        <v>#VALUE!</v>
      </c>
      <c r="BC359" t="e">
        <f>'North America'!480:480-"$F;@!2\d"</f>
        <v>#VALUE!</v>
      </c>
      <c r="BD359" t="e">
        <f>'North America'!481:481-"$F;@!2\e"</f>
        <v>#VALUE!</v>
      </c>
      <c r="BE359" t="e">
        <f>'North America'!482:482-"$F;@!2\f"</f>
        <v>#VALUE!</v>
      </c>
      <c r="BF359" t="e">
        <f>'North America'!483:483-"$F;@!2\g"</f>
        <v>#VALUE!</v>
      </c>
      <c r="BG359" t="e">
        <f>'North America'!484:484-"$F;@!2\h"</f>
        <v>#VALUE!</v>
      </c>
      <c r="BH359" t="e">
        <f>'North America'!485:485-"$F;@!2\i"</f>
        <v>#VALUE!</v>
      </c>
      <c r="BI359" t="e">
        <f>'North America'!486:486-"$F;@!2\j"</f>
        <v>#VALUE!</v>
      </c>
      <c r="BJ359" t="e">
        <f>'North America'!487:487-"$F;@!2\k"</f>
        <v>#VALUE!</v>
      </c>
      <c r="BK359" t="e">
        <f>'North America'!488:488-"$F;@!2\l"</f>
        <v>#VALUE!</v>
      </c>
      <c r="BL359" t="e">
        <f>'North America'!489:489-"$F;@!2\m"</f>
        <v>#VALUE!</v>
      </c>
      <c r="BM359" t="e">
        <f>'North America'!490:490-"$F;@!2\n"</f>
        <v>#VALUE!</v>
      </c>
      <c r="BN359" t="e">
        <f>'North America'!491:491-"$F;@!2\o"</f>
        <v>#VALUE!</v>
      </c>
      <c r="BO359" t="e">
        <f>'North America'!492:492-"$F;@!2\p"</f>
        <v>#VALUE!</v>
      </c>
      <c r="BP359" t="e">
        <f>'North America'!493:493-"$F;@!2\q"</f>
        <v>#VALUE!</v>
      </c>
      <c r="BQ359" t="e">
        <f>'North America'!494:494-"$F;@!2\r"</f>
        <v>#VALUE!</v>
      </c>
      <c r="BR359" t="e">
        <f>'North America'!495:495-"$F;@!2\s"</f>
        <v>#VALUE!</v>
      </c>
      <c r="BS359" t="e">
        <f>'North America'!496:496-"$F;@!2\t"</f>
        <v>#VALUE!</v>
      </c>
      <c r="BT359" t="e">
        <f>'North America'!497:497-"$F;@!2\u"</f>
        <v>#VALUE!</v>
      </c>
      <c r="BU359" t="e">
        <f>'North America'!498:498-"$F;@!2\v"</f>
        <v>#VALUE!</v>
      </c>
      <c r="BV359" t="e">
        <f>'North America'!499:499-"$F;@!2\w"</f>
        <v>#VALUE!</v>
      </c>
      <c r="BW359" t="e">
        <f>'North America'!500:500-"$F;@!2\x"</f>
        <v>#VALUE!</v>
      </c>
      <c r="BX359" t="e">
        <f>'North America'!501:501-"$F;@!2\y"</f>
        <v>#VALUE!</v>
      </c>
      <c r="BY359" t="e">
        <f>'North America'!502:502-"$F;@!2\z"</f>
        <v>#VALUE!</v>
      </c>
      <c r="BZ359" t="e">
        <f>'North America'!503:503-"$F;@!2\{"</f>
        <v>#VALUE!</v>
      </c>
      <c r="CA359" t="e">
        <f>'North America'!504:504-"$F;@!2\|"</f>
        <v>#VALUE!</v>
      </c>
      <c r="CB359" t="e">
        <f>'North America'!505:505-"$F;@!2\}"</f>
        <v>#VALUE!</v>
      </c>
      <c r="CC359" t="e">
        <f>'North America'!506:506-"$F;@!2\~"</f>
        <v>#VALUE!</v>
      </c>
      <c r="CD359" t="e">
        <f>'North America'!507:507-"$F;@!2]#"</f>
        <v>#VALUE!</v>
      </c>
      <c r="CE359" t="e">
        <f>'North America'!508:508-"$F;@!2]$"</f>
        <v>#VALUE!</v>
      </c>
      <c r="CF359" t="e">
        <f>'North America'!509:509-"$F;@!2]%"</f>
        <v>#VALUE!</v>
      </c>
      <c r="CG359" t="e">
        <f>'North America'!510:510-"$F;@!2]&amp;"</f>
        <v>#VALUE!</v>
      </c>
      <c r="CH359" t="e">
        <f>'North America'!511:511-"$F;@!2]'"</f>
        <v>#VALUE!</v>
      </c>
      <c r="CI359" t="e">
        <f>'North America'!512:512-"$F;@!2]("</f>
        <v>#VALUE!</v>
      </c>
      <c r="CJ359" t="e">
        <f>'North America'!513:513-"$F;@!2])"</f>
        <v>#VALUE!</v>
      </c>
      <c r="CK359" t="e">
        <f>'North America'!514:514-"$F;@!2]."</f>
        <v>#VALUE!</v>
      </c>
      <c r="CL359" t="e">
        <f>'North America'!515:515-"$F;@!2]/"</f>
        <v>#VALUE!</v>
      </c>
      <c r="CM359" t="e">
        <f>'North America'!516:516-"$F;@!2]0"</f>
        <v>#VALUE!</v>
      </c>
      <c r="CN359" t="e">
        <f>'North America'!517:517-"$F;@!2]1"</f>
        <v>#VALUE!</v>
      </c>
      <c r="CO359" t="e">
        <f>'North America'!518:518-"$F;@!2]2"</f>
        <v>#VALUE!</v>
      </c>
      <c r="CP359" t="e">
        <f>'North America'!519:519-"$F;@!2]3"</f>
        <v>#VALUE!</v>
      </c>
      <c r="CQ359" t="e">
        <f>'North America'!520:520-"$F;@!2]4"</f>
        <v>#VALUE!</v>
      </c>
      <c r="CR359" t="e">
        <f>'North America'!521:521-"$F;@!2]5"</f>
        <v>#VALUE!</v>
      </c>
      <c r="CS359" t="e">
        <f>'North America'!522:522-"$F;@!2]6"</f>
        <v>#VALUE!</v>
      </c>
      <c r="CT359" t="e">
        <f>'North America'!523:523-"$F;@!2]7"</f>
        <v>#VALUE!</v>
      </c>
      <c r="CU359" t="e">
        <f>'North America'!524:524-"$F;@!2]8"</f>
        <v>#VALUE!</v>
      </c>
      <c r="CV359" t="e">
        <f>'North America'!525:525-"$F;@!2]9"</f>
        <v>#VALUE!</v>
      </c>
      <c r="CW359" t="e">
        <f>'North America'!526:526-"$F;@!2]:"</f>
        <v>#VALUE!</v>
      </c>
      <c r="CX359" t="e">
        <f>'North America'!527:527-"$F;@!2];"</f>
        <v>#VALUE!</v>
      </c>
      <c r="CY359" t="e">
        <f>'North America'!528:528-"$F;@!2]&lt;"</f>
        <v>#VALUE!</v>
      </c>
      <c r="CZ359" t="e">
        <f>'North America'!529:529-"$F;@!2]="</f>
        <v>#VALUE!</v>
      </c>
      <c r="DA359" t="e">
        <f>'North America'!530:530-"$F;@!2]&gt;"</f>
        <v>#VALUE!</v>
      </c>
      <c r="DB359" t="e">
        <f>'North America'!531:531-"$F;@!2]?"</f>
        <v>#VALUE!</v>
      </c>
      <c r="DC359" t="e">
        <f>'North America'!532:532-"$F;@!2]@"</f>
        <v>#VALUE!</v>
      </c>
      <c r="DD359" t="e">
        <f>'North America'!533:533-"$F;@!2]A"</f>
        <v>#VALUE!</v>
      </c>
      <c r="DE359" t="e">
        <f>'North America'!534:534-"$F;@!2]B"</f>
        <v>#VALUE!</v>
      </c>
      <c r="DF359" t="e">
        <f>'North America'!535:535-"$F;@!2]C"</f>
        <v>#VALUE!</v>
      </c>
      <c r="DG359" t="e">
        <f>'North America'!536:536-"$F;@!2]D"</f>
        <v>#VALUE!</v>
      </c>
      <c r="DH359" t="e">
        <f>'North America'!537:537-"$F;@!2]E"</f>
        <v>#VALUE!</v>
      </c>
      <c r="DI359" t="e">
        <f>'North America'!538:538-"$F;@!2]F"</f>
        <v>#VALUE!</v>
      </c>
      <c r="DJ359" t="e">
        <f>'North America'!539:539-"$F;@!2]G"</f>
        <v>#VALUE!</v>
      </c>
      <c r="DK359" t="e">
        <f>'North America'!540:540-"$F;@!2]H"</f>
        <v>#VALUE!</v>
      </c>
      <c r="DL359" t="e">
        <f>'North America'!541:541-"$F;@!2]I"</f>
        <v>#VALUE!</v>
      </c>
      <c r="DM359" t="e">
        <f>'North America'!542:542-"$F;@!2]J"</f>
        <v>#VALUE!</v>
      </c>
      <c r="DN359" t="e">
        <f>'North America'!543:543-"$F;@!2]K"</f>
        <v>#VALUE!</v>
      </c>
      <c r="DO359" t="e">
        <f>'North America'!544:544-"$F;@!2]L"</f>
        <v>#VALUE!</v>
      </c>
      <c r="DP359" t="e">
        <f>'North America'!545:545-"$F;@!2]M"</f>
        <v>#VALUE!</v>
      </c>
      <c r="DQ359" t="e">
        <f>'North America'!546:546-"$F;@!2]N"</f>
        <v>#VALUE!</v>
      </c>
      <c r="DR359" t="e">
        <f>'North America'!547:547-"$F;@!2]O"</f>
        <v>#VALUE!</v>
      </c>
      <c r="DS359" t="e">
        <f>'North America'!548:548-"$F;@!2]P"</f>
        <v>#VALUE!</v>
      </c>
      <c r="DT359" t="e">
        <f>'North America'!549:549-"$F;@!2]Q"</f>
        <v>#VALUE!</v>
      </c>
      <c r="DU359" t="e">
        <f>'North America'!550:550-"$F;@!2]R"</f>
        <v>#VALUE!</v>
      </c>
      <c r="DV359" t="e">
        <f>'North America'!551:551-"$F;@!2]S"</f>
        <v>#VALUE!</v>
      </c>
      <c r="DW359" t="e">
        <f>'North America'!552:552-"$F;@!2]T"</f>
        <v>#VALUE!</v>
      </c>
      <c r="DX359" t="e">
        <f>'North America'!553:553-"$F;@!2]U"</f>
        <v>#VALUE!</v>
      </c>
      <c r="DY359" t="e">
        <f>'North America'!554:554-"$F;@!2]V"</f>
        <v>#VALUE!</v>
      </c>
      <c r="DZ359" t="e">
        <f>'North America'!555:555-"$F;@!2]W"</f>
        <v>#VALUE!</v>
      </c>
      <c r="EA359" t="e">
        <f>'North America'!556:556-"$F;@!2]X"</f>
        <v>#VALUE!</v>
      </c>
      <c r="EB359" t="e">
        <f>'North America'!557:557-"$F;@!2]Y"</f>
        <v>#VALUE!</v>
      </c>
      <c r="EC359" t="e">
        <f>'North America'!558:558-"$F;@!2]Z"</f>
        <v>#VALUE!</v>
      </c>
      <c r="ED359" t="e">
        <f>'North America'!559:559-"$F;@!2]["</f>
        <v>#VALUE!</v>
      </c>
      <c r="EE359" t="e">
        <f>'North America'!560:560-"$F;@!2]\"</f>
        <v>#VALUE!</v>
      </c>
      <c r="EF359" t="e">
        <f>'North America'!561:561-"$F;@!2]]"</f>
        <v>#VALUE!</v>
      </c>
      <c r="EG359" t="e">
        <f>'North America'!562:562-"$F;@!2]^"</f>
        <v>#VALUE!</v>
      </c>
      <c r="EH359" t="e">
        <f>'North America'!563:563-"$F;@!2]_"</f>
        <v>#VALUE!</v>
      </c>
      <c r="EI359" t="e">
        <f>'North America'!564:564-"$F;@!2]`"</f>
        <v>#VALUE!</v>
      </c>
      <c r="EJ359" t="e">
        <f>'North America'!565:565-"$F;@!2]a"</f>
        <v>#VALUE!</v>
      </c>
      <c r="EK359" t="e">
        <f>'North America'!566:566-"$F;@!2]b"</f>
        <v>#VALUE!</v>
      </c>
      <c r="EL359" t="e">
        <f>'North America'!567:567-"$F;@!2]c"</f>
        <v>#VALUE!</v>
      </c>
      <c r="EM359" t="e">
        <f>'North America'!568:568-"$F;@!2]d"</f>
        <v>#VALUE!</v>
      </c>
      <c r="EN359" t="e">
        <f>'North America'!569:569-"$F;@!2]e"</f>
        <v>#VALUE!</v>
      </c>
      <c r="EO359" t="e">
        <f>'North America'!570:570-"$F;@!2]f"</f>
        <v>#VALUE!</v>
      </c>
      <c r="EP359" t="e">
        <f>'North America'!571:571-"$F;@!2]g"</f>
        <v>#VALUE!</v>
      </c>
      <c r="EQ359" t="e">
        <f>'North America'!572:572-"$F;@!2]h"</f>
        <v>#VALUE!</v>
      </c>
      <c r="ER359" t="e">
        <f>'North America'!573:573-"$F;@!2]i"</f>
        <v>#VALUE!</v>
      </c>
      <c r="ES359" t="e">
        <f>'North America'!574:574-"$F;@!2]j"</f>
        <v>#VALUE!</v>
      </c>
      <c r="ET359" t="e">
        <f>'North America'!575:575-"$F;@!2]k"</f>
        <v>#VALUE!</v>
      </c>
      <c r="EU359" t="e">
        <f>'North America'!576:576-"$F;@!2]l"</f>
        <v>#VALUE!</v>
      </c>
      <c r="EV359" t="e">
        <f>'North America'!577:577-"$F;@!2]m"</f>
        <v>#VALUE!</v>
      </c>
      <c r="EW359" t="e">
        <f>'North America'!578:578-"$F;@!2]n"</f>
        <v>#VALUE!</v>
      </c>
      <c r="EX359" t="e">
        <f>'North America'!579:579-"$F;@!2]o"</f>
        <v>#VALUE!</v>
      </c>
      <c r="EY359" t="e">
        <f>'North America'!580:580-"$F;@!2]p"</f>
        <v>#VALUE!</v>
      </c>
      <c r="EZ359" t="e">
        <f>'North America'!581:581-"$F;@!2]q"</f>
        <v>#VALUE!</v>
      </c>
      <c r="FA359" t="e">
        <f>'North America'!582:582-"$F;@!2]r"</f>
        <v>#VALUE!</v>
      </c>
      <c r="FB359" t="e">
        <f>'North America'!583:583-"$F;@!2]s"</f>
        <v>#VALUE!</v>
      </c>
      <c r="FC359" t="e">
        <f>'North America'!584:584-"$F;@!2]t"</f>
        <v>#VALUE!</v>
      </c>
      <c r="FD359" t="e">
        <f>'North America'!585:585-"$F;@!2]u"</f>
        <v>#VALUE!</v>
      </c>
      <c r="FE359" t="e">
        <f>'North America'!586:586-"$F;@!2]v"</f>
        <v>#VALUE!</v>
      </c>
      <c r="FF359" t="e">
        <f>'North America'!587:587-"$F;@!2]w"</f>
        <v>#VALUE!</v>
      </c>
      <c r="FG359" t="e">
        <f>'North America'!588:588-"$F;@!2]x"</f>
        <v>#VALUE!</v>
      </c>
      <c r="FH359" t="e">
        <f>'North America'!589:589-"$F;@!2]y"</f>
        <v>#VALUE!</v>
      </c>
      <c r="FI359" t="e">
        <f>'North America'!590:590-"$F;@!2]z"</f>
        <v>#VALUE!</v>
      </c>
      <c r="FJ359" t="e">
        <f>'North America'!591:591-"$F;@!2]{"</f>
        <v>#VALUE!</v>
      </c>
      <c r="FK359" t="e">
        <f>'North America'!592:592-"$F;@!2]|"</f>
        <v>#VALUE!</v>
      </c>
      <c r="FL359" t="e">
        <f>'North America'!593:593-"$F;@!2]}"</f>
        <v>#VALUE!</v>
      </c>
      <c r="FM359" t="e">
        <f>'North America'!594:594-"$F;@!2]~"</f>
        <v>#VALUE!</v>
      </c>
      <c r="FN359" t="e">
        <f>'North America'!595:595-"$F;@!2^#"</f>
        <v>#VALUE!</v>
      </c>
      <c r="FO359" t="e">
        <f>'North America'!596:596-"$F;@!2^$"</f>
        <v>#VALUE!</v>
      </c>
      <c r="FP359" t="e">
        <f>'North America'!597:597-"$F;@!2^%"</f>
        <v>#VALUE!</v>
      </c>
      <c r="FQ359" t="e">
        <f>'North America'!598:598-"$F;@!2^&amp;"</f>
        <v>#VALUE!</v>
      </c>
      <c r="FR359" t="e">
        <f>'North America'!599:599-"$F;@!2^'"</f>
        <v>#VALUE!</v>
      </c>
      <c r="FS359" t="e">
        <f>'North America'!600:600-"$F;@!2^("</f>
        <v>#VALUE!</v>
      </c>
      <c r="FT359" t="e">
        <f>'North America'!601:601-"$F;@!2^)"</f>
        <v>#VALUE!</v>
      </c>
      <c r="FU359" t="e">
        <f>'North America'!602:602-"$F;@!2^."</f>
        <v>#VALUE!</v>
      </c>
      <c r="FV359" t="e">
        <f>'North America'!603:603-"$F;@!2^/"</f>
        <v>#VALUE!</v>
      </c>
      <c r="FW359" t="e">
        <f>'North America'!604:604-"$F;@!2^0"</f>
        <v>#VALUE!</v>
      </c>
      <c r="FX359" t="e">
        <f>'North America'!605:605-"$F;@!2^1"</f>
        <v>#VALUE!</v>
      </c>
      <c r="FY359" t="e">
        <f>'North America'!606:606-"$F;@!2^2"</f>
        <v>#VALUE!</v>
      </c>
      <c r="FZ359" t="e">
        <f>'North America'!607:607-"$F;@!2^3"</f>
        <v>#VALUE!</v>
      </c>
      <c r="GA359" t="e">
        <f>'North America'!608:608-"$F;@!2^4"</f>
        <v>#VALUE!</v>
      </c>
      <c r="GB359" t="e">
        <f>'North America'!609:609-"$F;@!2^5"</f>
        <v>#VALUE!</v>
      </c>
      <c r="GC359" t="e">
        <f>'North America'!610:610-"$F;@!2^6"</f>
        <v>#VALUE!</v>
      </c>
      <c r="GD359" t="e">
        <f>'North America'!611:611-"$F;@!2^7"</f>
        <v>#VALUE!</v>
      </c>
      <c r="GE359" t="e">
        <f>'North America'!612:612-"$F;@!2^8"</f>
        <v>#VALUE!</v>
      </c>
      <c r="GF359" t="e">
        <f>'North America'!613:613-"$F;@!2^9"</f>
        <v>#VALUE!</v>
      </c>
      <c r="GG359" t="e">
        <f>'North America'!614:614-"$F;@!2^:"</f>
        <v>#VALUE!</v>
      </c>
      <c r="GH359" t="e">
        <f>'North America'!615:615-"$F;@!2^;"</f>
        <v>#VALUE!</v>
      </c>
      <c r="GI359" t="e">
        <f>'North America'!616:616-"$F;@!2^&lt;"</f>
        <v>#VALUE!</v>
      </c>
      <c r="GJ359" t="e">
        <f>'North America'!617:617-"$F;@!2^="</f>
        <v>#VALUE!</v>
      </c>
      <c r="GK359" t="e">
        <f>'North America'!618:618-"$F;@!2^&gt;"</f>
        <v>#VALUE!</v>
      </c>
      <c r="GL359" t="e">
        <f>'North America'!619:619-"$F;@!2^?"</f>
        <v>#VALUE!</v>
      </c>
      <c r="GM359" t="e">
        <f>'North America'!620:620-"$F;@!2^@"</f>
        <v>#VALUE!</v>
      </c>
      <c r="GN359" t="e">
        <f>'North America'!621:621-"$F;@!2^A"</f>
        <v>#VALUE!</v>
      </c>
      <c r="GO359" t="e">
        <f>'North America'!622:622-"$F;@!2^B"</f>
        <v>#VALUE!</v>
      </c>
      <c r="GP359" t="e">
        <f>'North America'!623:623-"$F;@!2^C"</f>
        <v>#VALUE!</v>
      </c>
      <c r="GQ359" t="e">
        <f>'North America'!624:624-"$F;@!2^D"</f>
        <v>#VALUE!</v>
      </c>
      <c r="GR359" t="e">
        <f>'North America'!625:625-"$F;@!2^E"</f>
        <v>#VALUE!</v>
      </c>
      <c r="GS359" t="e">
        <f>'North America'!626:626-"$F;@!2^F"</f>
        <v>#VALUE!</v>
      </c>
      <c r="GT359" t="e">
        <f>'North America'!627:627-"$F;@!2^G"</f>
        <v>#VALUE!</v>
      </c>
      <c r="GU359" t="e">
        <f>'North America'!628:628-"$F;@!2^H"</f>
        <v>#VALUE!</v>
      </c>
      <c r="GV359" t="e">
        <f>'North America'!629:629-"$F;@!2^I"</f>
        <v>#VALUE!</v>
      </c>
      <c r="GW359" t="e">
        <f>'North America'!630:630-"$F;@!2^J"</f>
        <v>#VALUE!</v>
      </c>
      <c r="GX359" t="e">
        <f>'North America'!631:631-"$F;@!2^K"</f>
        <v>#VALUE!</v>
      </c>
      <c r="GY359" t="e">
        <f>'North America'!632:632-"$F;@!2^L"</f>
        <v>#VALUE!</v>
      </c>
      <c r="GZ359" t="e">
        <f>'North America'!633:633-"$F;@!2^M"</f>
        <v>#VALUE!</v>
      </c>
      <c r="HA359" t="e">
        <f>'North America'!634:634-"$F;@!2^N"</f>
        <v>#VALUE!</v>
      </c>
      <c r="HB359" t="e">
        <f>'North America'!635:635-"$F;@!2^O"</f>
        <v>#VALUE!</v>
      </c>
      <c r="HC359" t="e">
        <f>'North America'!636:636-"$F;@!2^P"</f>
        <v>#VALUE!</v>
      </c>
      <c r="HD359" t="e">
        <f>'North America'!637:637-"$F;@!2^Q"</f>
        <v>#VALUE!</v>
      </c>
      <c r="HE359" t="e">
        <f>'North America'!638:638-"$F;@!2^R"</f>
        <v>#VALUE!</v>
      </c>
      <c r="HF359" t="e">
        <f>'North America'!639:639-"$F;@!2^S"</f>
        <v>#VALUE!</v>
      </c>
      <c r="HG359" t="e">
        <f>'North America'!640:640-"$F;@!2^T"</f>
        <v>#VALUE!</v>
      </c>
      <c r="HH359" t="e">
        <f>'North America'!641:641-"$F;@!2^U"</f>
        <v>#VALUE!</v>
      </c>
      <c r="HI359" t="e">
        <f>'North America'!642:642-"$F;@!2^V"</f>
        <v>#VALUE!</v>
      </c>
      <c r="HJ359" t="e">
        <f>'North America'!643:643-"$F;@!2^W"</f>
        <v>#VALUE!</v>
      </c>
      <c r="HK359" t="e">
        <f>'North America'!644:644-"$F;@!2^X"</f>
        <v>#VALUE!</v>
      </c>
      <c r="HL359" t="e">
        <f>'North America'!645:645-"$F;@!2^Y"</f>
        <v>#VALUE!</v>
      </c>
      <c r="HM359" t="e">
        <f>'North America'!646:646-"$F;@!2^Z"</f>
        <v>#VALUE!</v>
      </c>
      <c r="HN359" t="e">
        <f>'North America'!647:647-"$F;@!2^["</f>
        <v>#VALUE!</v>
      </c>
      <c r="HO359" t="e">
        <f>'North America'!648:648-"$F;@!2^\"</f>
        <v>#VALUE!</v>
      </c>
      <c r="HP359" t="e">
        <f>'North America'!649:649-"$F;@!2^]"</f>
        <v>#VALUE!</v>
      </c>
      <c r="HQ359" t="e">
        <f>'North America'!650:650-"$F;@!2^^"</f>
        <v>#VALUE!</v>
      </c>
      <c r="HR359" t="e">
        <f>'North America'!651:651-"$F;@!2^_"</f>
        <v>#VALUE!</v>
      </c>
      <c r="HS359" t="e">
        <f>'North America'!652:652-"$F;@!2^`"</f>
        <v>#VALUE!</v>
      </c>
      <c r="HT359" t="e">
        <f>'North America'!653:653-"$F;@!2^a"</f>
        <v>#VALUE!</v>
      </c>
      <c r="HU359" t="e">
        <f>'North America'!654:654-"$F;@!2^b"</f>
        <v>#VALUE!</v>
      </c>
      <c r="HV359" t="e">
        <f>'North America'!655:655-"$F;@!2^c"</f>
        <v>#VALUE!</v>
      </c>
      <c r="HW359" t="e">
        <f>'North America'!656:656-"$F;@!2^d"</f>
        <v>#VALUE!</v>
      </c>
      <c r="HX359" t="e">
        <f>'North America'!657:657-"$F;@!2^e"</f>
        <v>#VALUE!</v>
      </c>
      <c r="HY359" t="e">
        <f>'North America'!658:658-"$F;@!2^f"</f>
        <v>#VALUE!</v>
      </c>
      <c r="HZ359" t="e">
        <f>'North America'!659:659-"$F;@!2^g"</f>
        <v>#VALUE!</v>
      </c>
      <c r="IA359" t="e">
        <f>'North America'!660:660-"$F;@!2^h"</f>
        <v>#VALUE!</v>
      </c>
      <c r="IB359" t="e">
        <f>'North America'!661:661-"$F;@!2^i"</f>
        <v>#VALUE!</v>
      </c>
      <c r="IC359" t="e">
        <f>'North America'!662:662-"$F;@!2^j"</f>
        <v>#VALUE!</v>
      </c>
      <c r="ID359" t="e">
        <f>'North America'!663:663-"$F;@!2^k"</f>
        <v>#VALUE!</v>
      </c>
      <c r="IE359" t="e">
        <f>'North America'!664:664-"$F;@!2^l"</f>
        <v>#VALUE!</v>
      </c>
      <c r="IF359" t="e">
        <f>'North America'!665:665-"$F;@!2^m"</f>
        <v>#VALUE!</v>
      </c>
      <c r="IG359" t="e">
        <f>'North America'!666:666-"$F;@!2^n"</f>
        <v>#VALUE!</v>
      </c>
      <c r="IH359" t="e">
        <f>'North America'!667:667-"$F;@!2^o"</f>
        <v>#VALUE!</v>
      </c>
      <c r="II359" t="e">
        <f>'North America'!668:668-"$F;@!2^p"</f>
        <v>#VALUE!</v>
      </c>
      <c r="IJ359" t="e">
        <f>'North America'!669:669-"$F;@!2^q"</f>
        <v>#VALUE!</v>
      </c>
      <c r="IK359" t="e">
        <f>'North America'!670:670-"$F;@!2^r"</f>
        <v>#VALUE!</v>
      </c>
      <c r="IL359" t="e">
        <f>'North America'!671:671-"$F;@!2^s"</f>
        <v>#VALUE!</v>
      </c>
      <c r="IM359" t="e">
        <f>'North America'!672:672-"$F;@!2^t"</f>
        <v>#VALUE!</v>
      </c>
      <c r="IN359" t="e">
        <f>'North America'!673:673-"$F;@!2^u"</f>
        <v>#VALUE!</v>
      </c>
      <c r="IO359" t="e">
        <f>'North America'!674:674-"$F;@!2^v"</f>
        <v>#VALUE!</v>
      </c>
      <c r="IP359" t="e">
        <f>'North America'!675:675-"$F;@!2^w"</f>
        <v>#VALUE!</v>
      </c>
      <c r="IQ359" t="e">
        <f>'North America'!676:676-"$F;@!2^x"</f>
        <v>#VALUE!</v>
      </c>
      <c r="IR359" t="e">
        <f>'North America'!677:677-"$F;@!2^y"</f>
        <v>#VALUE!</v>
      </c>
      <c r="IS359" t="e">
        <f>'North America'!678:678-"$F;@!2^z"</f>
        <v>#VALUE!</v>
      </c>
      <c r="IT359" t="e">
        <f>'North America'!679:679-"$F;@!2^{"</f>
        <v>#VALUE!</v>
      </c>
      <c r="IU359" t="e">
        <f>'North America'!680:680-"$F;@!2^|"</f>
        <v>#VALUE!</v>
      </c>
      <c r="IV359" t="e">
        <f>'North America'!681:681-"$F;@!2^}"</f>
        <v>#VALUE!</v>
      </c>
    </row>
    <row r="360" spans="6:256" x14ac:dyDescent="0.35">
      <c r="F360" t="e">
        <f>'North America'!682:682-"$F;@!2^~"</f>
        <v>#VALUE!</v>
      </c>
      <c r="G360" t="e">
        <f>'North America'!683:683-"$F;@!2_#"</f>
        <v>#VALUE!</v>
      </c>
      <c r="H360" t="e">
        <f>'North America'!684:684-"$F;@!2_$"</f>
        <v>#VALUE!</v>
      </c>
      <c r="I360" t="e">
        <f>'North America'!685:685-"$F;@!2_%"</f>
        <v>#VALUE!</v>
      </c>
      <c r="J360" t="e">
        <f>'North America'!686:686-"$F;@!2_&amp;"</f>
        <v>#VALUE!</v>
      </c>
      <c r="K360" t="e">
        <f>'North America'!687:687-"$F;@!2_'"</f>
        <v>#VALUE!</v>
      </c>
      <c r="L360" t="e">
        <f>'North America'!688:688-"$F;@!2_("</f>
        <v>#VALUE!</v>
      </c>
      <c r="M360" t="e">
        <f>'North America'!689:689-"$F;@!2_)"</f>
        <v>#VALUE!</v>
      </c>
      <c r="N360" t="e">
        <f>'North America'!690:690-"$F;@!2_."</f>
        <v>#VALUE!</v>
      </c>
      <c r="O360" t="e">
        <f>'North America'!691:691-"$F;@!2_/"</f>
        <v>#VALUE!</v>
      </c>
      <c r="P360" t="e">
        <f>'North America'!692:692-"$F;@!2_0"</f>
        <v>#VALUE!</v>
      </c>
      <c r="Q360" t="e">
        <f>'North America'!693:693-"$F;@!2_1"</f>
        <v>#VALUE!</v>
      </c>
      <c r="R360" t="e">
        <f>'North America'!694:694-"$F;@!2_2"</f>
        <v>#VALUE!</v>
      </c>
      <c r="S360" t="e">
        <f>'North America'!695:695-"$F;@!2_3"</f>
        <v>#VALUE!</v>
      </c>
      <c r="T360" t="e">
        <f>'North America'!696:696-"$F;@!2_4"</f>
        <v>#VALUE!</v>
      </c>
      <c r="U360" t="e">
        <f>'North America'!697:697-"$F;@!2_5"</f>
        <v>#VALUE!</v>
      </c>
      <c r="V360" t="e">
        <f>'North America'!698:698-"$F;@!2_6"</f>
        <v>#VALUE!</v>
      </c>
      <c r="W360" t="e">
        <f>'North America'!699:699-"$F;@!2_7"</f>
        <v>#VALUE!</v>
      </c>
      <c r="X360" t="e">
        <f>'North America'!700:700-"$F;@!2_8"</f>
        <v>#VALUE!</v>
      </c>
      <c r="Y360" t="e">
        <f>'North America'!701:701-"$F;@!2_9"</f>
        <v>#VALUE!</v>
      </c>
      <c r="Z360" t="e">
        <f>'North America'!702:702-"$F;@!2_:"</f>
        <v>#VALUE!</v>
      </c>
      <c r="AA360" t="e">
        <f>'North America'!703:703-"$F;@!2_;"</f>
        <v>#VALUE!</v>
      </c>
      <c r="AB360" t="e">
        <f>'North America'!704:704-"$F;@!2_&lt;"</f>
        <v>#VALUE!</v>
      </c>
      <c r="AC360" t="e">
        <f>'North America'!705:705-"$F;@!2_="</f>
        <v>#VALUE!</v>
      </c>
      <c r="AD360" t="e">
        <f>'North America'!706:706-"$F;@!2_&gt;"</f>
        <v>#VALUE!</v>
      </c>
      <c r="AE360" t="e">
        <f>'North America'!707:707-"$F;@!2_?"</f>
        <v>#VALUE!</v>
      </c>
      <c r="AF360" t="e">
        <f>'North America'!708:708-"$F;@!2_@"</f>
        <v>#VALUE!</v>
      </c>
      <c r="AG360" t="e">
        <f>'North America'!709:709-"$F;@!2_A"</f>
        <v>#VALUE!</v>
      </c>
      <c r="AH360" t="e">
        <f>'North America'!710:710-"$F;@!2_B"</f>
        <v>#VALUE!</v>
      </c>
      <c r="AI360" t="e">
        <f>'North America'!711:711-"$F;@!2_C"</f>
        <v>#VALUE!</v>
      </c>
      <c r="AJ360" t="e">
        <f>'North America'!712:712-"$F;@!2_D"</f>
        <v>#VALUE!</v>
      </c>
      <c r="AK360" t="e">
        <f>'North America'!713:713-"$F;@!2_E"</f>
        <v>#VALUE!</v>
      </c>
      <c r="AL360" t="e">
        <f>'North America'!714:714-"$F;@!2_F"</f>
        <v>#VALUE!</v>
      </c>
      <c r="AM360" t="e">
        <f>'North America'!715:715-"$F;@!2_G"</f>
        <v>#VALUE!</v>
      </c>
      <c r="AN360" t="e">
        <f>'North America'!716:716-"$F;@!2_H"</f>
        <v>#VALUE!</v>
      </c>
      <c r="AO360" t="e">
        <f>'North America'!717:717-"$F;@!2_I"</f>
        <v>#VALUE!</v>
      </c>
      <c r="AP360" t="e">
        <f>'North America'!718:718-"$F;@!2_J"</f>
        <v>#VALUE!</v>
      </c>
      <c r="AQ360" t="e">
        <f>'North America'!719:719-"$F;@!2_K"</f>
        <v>#VALUE!</v>
      </c>
      <c r="AR360" t="e">
        <f>'North America'!720:720-"$F;@!2_L"</f>
        <v>#VALUE!</v>
      </c>
      <c r="AS360" t="e">
        <f>'North America'!721:721-"$F;@!2_M"</f>
        <v>#VALUE!</v>
      </c>
      <c r="AT360" t="e">
        <f>'North America'!722:722-"$F;@!2_N"</f>
        <v>#VALUE!</v>
      </c>
      <c r="AU360" t="e">
        <f>'North America'!723:723-"$F;@!2_O"</f>
        <v>#VALUE!</v>
      </c>
      <c r="AV360" t="e">
        <f>'North America'!724:724-"$F;@!2_P"</f>
        <v>#VALUE!</v>
      </c>
      <c r="AW360" t="e">
        <f>'North America'!725:725-"$F;@!2_Q"</f>
        <v>#VALUE!</v>
      </c>
      <c r="AX360" t="e">
        <f>'North America'!726:726-"$F;@!2_R"</f>
        <v>#VALUE!</v>
      </c>
      <c r="AY360" t="e">
        <f>'North America'!727:727-"$F;@!2_S"</f>
        <v>#VALUE!</v>
      </c>
      <c r="AZ360" t="e">
        <f>'North America'!728:728-"$F;@!2_T"</f>
        <v>#VALUE!</v>
      </c>
      <c r="BA360" t="e">
        <f>'North America'!729:729-"$F;@!2_U"</f>
        <v>#VALUE!</v>
      </c>
      <c r="BB360" t="e">
        <f>'North America'!730:730-"$F;@!2_V"</f>
        <v>#VALUE!</v>
      </c>
      <c r="BC360" t="e">
        <f>'North America'!731:731-"$F;@!2_W"</f>
        <v>#VALUE!</v>
      </c>
      <c r="BD360" t="e">
        <f>'North America'!732:732-"$F;@!2_X"</f>
        <v>#VALUE!</v>
      </c>
      <c r="BE360" t="e">
        <f>'North America'!733:733-"$F;@!2_Y"</f>
        <v>#VALUE!</v>
      </c>
      <c r="BF360" t="e">
        <f>'North America'!734:734-"$F;@!2_Z"</f>
        <v>#VALUE!</v>
      </c>
      <c r="BG360" t="e">
        <f>'North America'!735:735-"$F;@!2_["</f>
        <v>#VALUE!</v>
      </c>
      <c r="BH360" t="e">
        <f>'North America'!736:736-"$F;@!2_\"</f>
        <v>#VALUE!</v>
      </c>
      <c r="BI360" t="e">
        <f>'North America'!737:737-"$F;@!2_]"</f>
        <v>#VALUE!</v>
      </c>
      <c r="BJ360" t="e">
        <f>'North America'!738:738-"$F;@!2_^"</f>
        <v>#VALUE!</v>
      </c>
      <c r="BK360" t="e">
        <f>'North America'!739:739-"$F;@!2__"</f>
        <v>#VALUE!</v>
      </c>
      <c r="BL360" t="e">
        <f>'North America'!740:740-"$F;@!2_`"</f>
        <v>#VALUE!</v>
      </c>
      <c r="BM360" t="e">
        <f>'North America'!741:741-"$F;@!2_a"</f>
        <v>#VALUE!</v>
      </c>
      <c r="BN360" t="e">
        <f>'North America'!742:742-"$F;@!2_b"</f>
        <v>#VALUE!</v>
      </c>
      <c r="BO360" t="e">
        <f>'North America'!743:743-"$F;@!2_c"</f>
        <v>#VALUE!</v>
      </c>
      <c r="BP360" t="e">
        <f>'North America'!744:744-"$F;@!2_d"</f>
        <v>#VALUE!</v>
      </c>
      <c r="BQ360" t="e">
        <f>'North America'!745:745-"$F;@!2_e"</f>
        <v>#VALUE!</v>
      </c>
      <c r="BR360" t="e">
        <f>'North America'!746:746-"$F;@!2_f"</f>
        <v>#VALUE!</v>
      </c>
      <c r="BS360" t="e">
        <f>'North America'!747:747-"$F;@!2_g"</f>
        <v>#VALUE!</v>
      </c>
      <c r="BT360" t="e">
        <f>'North America'!748:748-"$F;@!2_h"</f>
        <v>#VALUE!</v>
      </c>
      <c r="BU360" t="e">
        <f>'North America'!749:749-"$F;@!2_i"</f>
        <v>#VALUE!</v>
      </c>
      <c r="BV360" t="e">
        <f>'North America'!750:750-"$F;@!2_j"</f>
        <v>#VALUE!</v>
      </c>
      <c r="BW360" t="e">
        <f>'North America'!751:751-"$F;@!2_k"</f>
        <v>#VALUE!</v>
      </c>
      <c r="BX360" t="e">
        <f>'North America'!752:752-"$F;@!2_l"</f>
        <v>#VALUE!</v>
      </c>
      <c r="BY360" t="e">
        <f>'North America'!753:753-"$F;@!2_m"</f>
        <v>#VALUE!</v>
      </c>
      <c r="BZ360" t="e">
        <f>'North America'!754:754-"$F;@!2_n"</f>
        <v>#VALUE!</v>
      </c>
      <c r="CA360" t="e">
        <f>'North America'!755:755-"$F;@!2_o"</f>
        <v>#VALUE!</v>
      </c>
      <c r="CB360" t="e">
        <f>'North America'!756:756-"$F;@!2_p"</f>
        <v>#VALUE!</v>
      </c>
      <c r="CC360" t="e">
        <f>'North America'!757:757-"$F;@!2_q"</f>
        <v>#VALUE!</v>
      </c>
      <c r="CD360" t="e">
        <f>'North America'!758:758-"$F;@!2_r"</f>
        <v>#VALUE!</v>
      </c>
      <c r="CE360" t="e">
        <f>'North America'!759:759-"$F;@!2_s"</f>
        <v>#VALUE!</v>
      </c>
      <c r="CF360" t="e">
        <f>'North America'!760:760-"$F;@!2_t"</f>
        <v>#VALUE!</v>
      </c>
      <c r="CG360" t="e">
        <f>'North America'!761:761-"$F;@!2_u"</f>
        <v>#VALUE!</v>
      </c>
      <c r="CH360" t="e">
        <f>'North America'!762:762-"$F;@!2_v"</f>
        <v>#VALUE!</v>
      </c>
      <c r="CI360" t="e">
        <f>'North America'!763:763-"$F;@!2_w"</f>
        <v>#VALUE!</v>
      </c>
      <c r="CJ360" t="e">
        <f>'North America'!764:764-"$F;@!2_x"</f>
        <v>#VALUE!</v>
      </c>
      <c r="CK360" t="e">
        <f>'North America'!765:765-"$F;@!2_y"</f>
        <v>#VALUE!</v>
      </c>
      <c r="CL360" t="e">
        <f>'North America'!766:766-"$F;@!2_z"</f>
        <v>#VALUE!</v>
      </c>
      <c r="CM360" t="e">
        <f>'North America'!767:767-"$F;@!2_{"</f>
        <v>#VALUE!</v>
      </c>
      <c r="CN360" t="e">
        <f>'North America'!768:768-"$F;@!2_|"</f>
        <v>#VALUE!</v>
      </c>
      <c r="CO360" t="e">
        <f>'North America'!769:769-"$F;@!2_}"</f>
        <v>#VALUE!</v>
      </c>
      <c r="CP360" t="e">
        <f>'North America'!770:770-"$F;@!2_~"</f>
        <v>#VALUE!</v>
      </c>
      <c r="CQ360" t="e">
        <f>'North America'!771:771-"$F;@!2`#"</f>
        <v>#VALUE!</v>
      </c>
      <c r="CR360" t="e">
        <f>'North America'!772:772-"$F;@!2`$"</f>
        <v>#VALUE!</v>
      </c>
      <c r="CS360" t="e">
        <f>'North America'!773:773-"$F;@!2`%"</f>
        <v>#VALUE!</v>
      </c>
      <c r="CT360" t="e">
        <f>'North America'!774:774-"$F;@!2`&amp;"</f>
        <v>#VALUE!</v>
      </c>
      <c r="CU360" t="e">
        <f>'North America'!775:775-"$F;@!2`'"</f>
        <v>#VALUE!</v>
      </c>
      <c r="CV360" t="e">
        <f>'North America'!776:776-"$F;@!2`("</f>
        <v>#VALUE!</v>
      </c>
      <c r="CW360" t="e">
        <f>'North America'!777:777-"$F;@!2`)"</f>
        <v>#VALUE!</v>
      </c>
      <c r="CX360" t="e">
        <f>'North America'!778:778-"$F;@!2`."</f>
        <v>#VALUE!</v>
      </c>
      <c r="CY360" t="e">
        <f>'North America'!779:779-"$F;@!2`/"</f>
        <v>#VALUE!</v>
      </c>
      <c r="CZ360" t="e">
        <f>'North America'!780:780-"$F;@!2`0"</f>
        <v>#VALUE!</v>
      </c>
      <c r="DA360" t="e">
        <f>'North America'!781:781-"$F;@!2`1"</f>
        <v>#VALUE!</v>
      </c>
      <c r="DB360" t="e">
        <f>'North America'!782:782-"$F;@!2`2"</f>
        <v>#VALUE!</v>
      </c>
      <c r="DC360" t="e">
        <f>'North America'!783:783-"$F;@!2`3"</f>
        <v>#VALUE!</v>
      </c>
      <c r="DD360" t="e">
        <f>'North America'!784:784-"$F;@!2`4"</f>
        <v>#VALUE!</v>
      </c>
      <c r="DE360" t="e">
        <f>'North America'!785:785-"$F;@!2`5"</f>
        <v>#VALUE!</v>
      </c>
      <c r="DF360" t="e">
        <f>'North America'!786:786-"$F;@!2`6"</f>
        <v>#VALUE!</v>
      </c>
      <c r="DG360" t="e">
        <f>'North America'!787:787-"$F;@!2`7"</f>
        <v>#VALUE!</v>
      </c>
      <c r="DH360" t="e">
        <f>'North America'!788:788-"$F;@!2`8"</f>
        <v>#VALUE!</v>
      </c>
      <c r="DI360" t="e">
        <f>'North America'!789:789-"$F;@!2`9"</f>
        <v>#VALUE!</v>
      </c>
      <c r="DJ360" t="e">
        <f>'North America'!790:790-"$F;@!2`:"</f>
        <v>#VALUE!</v>
      </c>
      <c r="DK360" t="e">
        <f>'North America'!791:791-"$F;@!2`;"</f>
        <v>#VALUE!</v>
      </c>
      <c r="DL360" t="e">
        <f>'North America'!792:792-"$F;@!2`&lt;"</f>
        <v>#VALUE!</v>
      </c>
      <c r="DM360" t="e">
        <f>'North America'!793:793-"$F;@!2`="</f>
        <v>#VALUE!</v>
      </c>
      <c r="DN360" t="e">
        <f>'North America'!794:794-"$F;@!2`&gt;"</f>
        <v>#VALUE!</v>
      </c>
      <c r="DO360" t="e">
        <f>'North America'!795:795-"$F;@!2`?"</f>
        <v>#VALUE!</v>
      </c>
      <c r="DP360" t="e">
        <f>'North America'!796:796-"$F;@!2`@"</f>
        <v>#VALUE!</v>
      </c>
      <c r="DQ360" t="e">
        <f>'North America'!797:797-"$F;@!2`A"</f>
        <v>#VALUE!</v>
      </c>
      <c r="DR360" t="e">
        <f>'North America'!798:798-"$F;@!2`B"</f>
        <v>#VALUE!</v>
      </c>
      <c r="DS360" t="e">
        <f>'North America'!799:799-"$F;@!2`C"</f>
        <v>#VALUE!</v>
      </c>
      <c r="DT360" t="e">
        <f>'North America'!800:800-"$F;@!2`D"</f>
        <v>#VALUE!</v>
      </c>
      <c r="DU360" t="e">
        <f>'North America'!801:801-"$F;@!2`E"</f>
        <v>#VALUE!</v>
      </c>
      <c r="DV360" t="e">
        <f>'North America'!802:802-"$F;@!2`F"</f>
        <v>#VALUE!</v>
      </c>
      <c r="DW360" t="e">
        <f>'North America'!803:803-"$F;@!2`G"</f>
        <v>#VALUE!</v>
      </c>
      <c r="DX360" t="e">
        <f>'North America'!804:804-"$F;@!2`H"</f>
        <v>#VALUE!</v>
      </c>
      <c r="DY360" t="e">
        <f>'North America'!805:805-"$F;@!2`I"</f>
        <v>#VALUE!</v>
      </c>
      <c r="DZ360" t="e">
        <f>'North America'!806:806-"$F;@!2`J"</f>
        <v>#VALUE!</v>
      </c>
      <c r="EA360" t="e">
        <f>'North America'!807:807-"$F;@!2`K"</f>
        <v>#VALUE!</v>
      </c>
      <c r="EB360" t="e">
        <f>'North America'!808:808-"$F;@!2`L"</f>
        <v>#VALUE!</v>
      </c>
      <c r="EC360" t="e">
        <f>'North America'!809:809-"$F;@!2`M"</f>
        <v>#VALUE!</v>
      </c>
      <c r="ED360" t="e">
        <f>'North America'!810:810-"$F;@!2`N"</f>
        <v>#VALUE!</v>
      </c>
      <c r="EE360" t="e">
        <f>'North America'!811:811-"$F;@!2`O"</f>
        <v>#VALUE!</v>
      </c>
      <c r="EF360" t="e">
        <f>'North America'!812:812-"$F;@!2`P"</f>
        <v>#VALUE!</v>
      </c>
      <c r="EG360" t="e">
        <f>'North America'!813:813-"$F;@!2`Q"</f>
        <v>#VALUE!</v>
      </c>
      <c r="EH360" t="e">
        <f>'North America'!814:814-"$F;@!2`R"</f>
        <v>#VALUE!</v>
      </c>
      <c r="EI360" t="e">
        <f>'North America'!815:815-"$F;@!2`S"</f>
        <v>#VALUE!</v>
      </c>
      <c r="EJ360" t="e">
        <f>'North America'!816:816-"$F;@!2`T"</f>
        <v>#VALUE!</v>
      </c>
      <c r="EK360" t="e">
        <f>'North America'!817:817-"$F;@!2`U"</f>
        <v>#VALUE!</v>
      </c>
      <c r="EL360" t="e">
        <f>'North America'!818:818-"$F;@!2`V"</f>
        <v>#VALUE!</v>
      </c>
      <c r="EM360" t="e">
        <f>'North America'!819:819-"$F;@!2`W"</f>
        <v>#VALUE!</v>
      </c>
      <c r="EN360" t="e">
        <f>'North America'!820:820-"$F;@!2`X"</f>
        <v>#VALUE!</v>
      </c>
      <c r="EO360" t="e">
        <f>'North America'!821:821-"$F;@!2`Y"</f>
        <v>#VALUE!</v>
      </c>
      <c r="EP360" t="e">
        <f>'North America'!822:822-"$F;@!2`Z"</f>
        <v>#VALUE!</v>
      </c>
      <c r="EQ360" t="e">
        <f>'North America'!823:823-"$F;@!2`["</f>
        <v>#VALUE!</v>
      </c>
      <c r="ER360" t="e">
        <f>'North America'!824:824-"$F;@!2`\"</f>
        <v>#VALUE!</v>
      </c>
      <c r="ES360" t="e">
        <f>'North America'!825:825-"$F;@!2`]"</f>
        <v>#VALUE!</v>
      </c>
      <c r="ET360" t="e">
        <f>'North America'!826:826-"$F;@!2`^"</f>
        <v>#VALUE!</v>
      </c>
      <c r="EU360" t="e">
        <f>'North America'!827:827-"$F;@!2`_"</f>
        <v>#VALUE!</v>
      </c>
      <c r="EV360" t="e">
        <f>'North America'!828:828-"$F;@!2``"</f>
        <v>#VALUE!</v>
      </c>
      <c r="EW360" t="e">
        <f>'North America'!829:829-"$F;@!2`a"</f>
        <v>#VALUE!</v>
      </c>
      <c r="EX360" t="e">
        <f>'North America'!830:830-"$F;@!2`b"</f>
        <v>#VALUE!</v>
      </c>
      <c r="EY360" t="e">
        <f>'North America'!831:831-"$F;@!2`c"</f>
        <v>#VALUE!</v>
      </c>
      <c r="EZ360" t="e">
        <f>'North America'!832:832-"$F;@!2`d"</f>
        <v>#VALUE!</v>
      </c>
      <c r="FA360" t="e">
        <f>'North America'!833:833-"$F;@!2`e"</f>
        <v>#VALUE!</v>
      </c>
      <c r="FB360" t="e">
        <f>'North America'!834:834-"$F;@!2`f"</f>
        <v>#VALUE!</v>
      </c>
      <c r="FC360" t="e">
        <f>'North America'!835:835-"$F;@!2`g"</f>
        <v>#VALUE!</v>
      </c>
      <c r="FD360" t="e">
        <f>'North America'!836:836-"$F;@!2`h"</f>
        <v>#VALUE!</v>
      </c>
      <c r="FE360" t="e">
        <f>'North America'!837:837-"$F;@!2`i"</f>
        <v>#VALUE!</v>
      </c>
      <c r="FF360" t="e">
        <f>'North America'!838:838-"$F;@!2`j"</f>
        <v>#VALUE!</v>
      </c>
      <c r="FG360" t="e">
        <f>'North America'!839:839-"$F;@!2`k"</f>
        <v>#VALUE!</v>
      </c>
      <c r="FH360" t="e">
        <f>'North America'!840:840-"$F;@!2`l"</f>
        <v>#VALUE!</v>
      </c>
      <c r="FI360" t="e">
        <f>'North America'!841:841-"$F;@!2`m"</f>
        <v>#VALUE!</v>
      </c>
      <c r="FJ360" t="e">
        <f>'North America'!842:842-"$F;@!2`n"</f>
        <v>#VALUE!</v>
      </c>
      <c r="FK360" t="e">
        <f>'North America'!843:843-"$F;@!2`o"</f>
        <v>#VALUE!</v>
      </c>
      <c r="FL360" t="e">
        <f>'North America'!844:844-"$F;@!2`p"</f>
        <v>#VALUE!</v>
      </c>
      <c r="FM360" t="e">
        <f>'North America'!845:845-"$F;@!2`q"</f>
        <v>#VALUE!</v>
      </c>
      <c r="FN360" t="e">
        <f>'North America'!846:846-"$F;@!2`r"</f>
        <v>#VALUE!</v>
      </c>
      <c r="FO360" t="e">
        <f>'North America'!847:847-"$F;@!2`s"</f>
        <v>#VALUE!</v>
      </c>
      <c r="FP360" t="e">
        <f>'North America'!848:848-"$F;@!2`t"</f>
        <v>#VALUE!</v>
      </c>
      <c r="FQ360" t="e">
        <f>'North America'!849:849-"$F;@!2`u"</f>
        <v>#VALUE!</v>
      </c>
      <c r="FR360" t="e">
        <f>'North America'!850:850-"$F;@!2`v"</f>
        <v>#VALUE!</v>
      </c>
      <c r="FS360" t="e">
        <f>'North America'!851:851-"$F;@!2`w"</f>
        <v>#VALUE!</v>
      </c>
      <c r="FT360" t="e">
        <f>'North America'!852:852-"$F;@!2`x"</f>
        <v>#VALUE!</v>
      </c>
      <c r="FU360" t="e">
        <f>'North America'!853:853-"$F;@!2`y"</f>
        <v>#VALUE!</v>
      </c>
      <c r="FV360" t="e">
        <f>'North America'!854:854-"$F;@!2`z"</f>
        <v>#VALUE!</v>
      </c>
      <c r="FW360" t="e">
        <f>'North America'!855:855-"$F;@!2`{"</f>
        <v>#VALUE!</v>
      </c>
      <c r="FX360" t="e">
        <f>'North America'!856:856-"$F;@!2`|"</f>
        <v>#VALUE!</v>
      </c>
      <c r="FY360" t="e">
        <f>'North America'!857:857-"$F;@!2`}"</f>
        <v>#VALUE!</v>
      </c>
      <c r="FZ360" t="e">
        <f>'North America'!858:858-"$F;@!2`~"</f>
        <v>#VALUE!</v>
      </c>
      <c r="GA360" t="e">
        <f>'North America'!859:859-"$F;@!2a#"</f>
        <v>#VALUE!</v>
      </c>
      <c r="GB360" t="e">
        <f>'North America'!860:860-"$F;@!2a$"</f>
        <v>#VALUE!</v>
      </c>
      <c r="GC360" t="e">
        <f>'North America'!861:861-"$F;@!2a%"</f>
        <v>#VALUE!</v>
      </c>
      <c r="GD360" t="e">
        <f>'North America'!862:862-"$F;@!2a&amp;"</f>
        <v>#VALUE!</v>
      </c>
      <c r="GE360" t="e">
        <f>'North America'!863:863-"$F;@!2a'"</f>
        <v>#VALUE!</v>
      </c>
      <c r="GF360" t="e">
        <f>'North America'!864:864-"$F;@!2a("</f>
        <v>#VALUE!</v>
      </c>
      <c r="GG360" t="e">
        <f>'North America'!865:865-"$F;@!2a)"</f>
        <v>#VALUE!</v>
      </c>
      <c r="GH360" t="e">
        <f>'North America'!866:866-"$F;@!2a."</f>
        <v>#VALUE!</v>
      </c>
      <c r="GI360" t="e">
        <f>'North America'!867:867-"$F;@!2a/"</f>
        <v>#VALUE!</v>
      </c>
      <c r="GJ360" t="e">
        <f>'North America'!868:868-"$F;@!2a0"</f>
        <v>#VALUE!</v>
      </c>
      <c r="GK360" t="e">
        <f>'North America'!869:869-"$F;@!2a1"</f>
        <v>#VALUE!</v>
      </c>
      <c r="GL360" t="e">
        <f>'North America'!870:870-"$F;@!2a2"</f>
        <v>#VALUE!</v>
      </c>
      <c r="GM360" t="e">
        <f>'North America'!871:871-"$F;@!2a3"</f>
        <v>#VALUE!</v>
      </c>
      <c r="GN360" t="e">
        <f>'North America'!872:872-"$F;@!2a4"</f>
        <v>#VALUE!</v>
      </c>
      <c r="GO360" t="e">
        <f>'North America'!873:873-"$F;@!2a5"</f>
        <v>#VALUE!</v>
      </c>
      <c r="GP360" t="e">
        <f>'North America'!874:874-"$F;@!2a6"</f>
        <v>#VALUE!</v>
      </c>
      <c r="GQ360" t="e">
        <f>'North America'!875:875-"$F;@!2a7"</f>
        <v>#VALUE!</v>
      </c>
      <c r="GR360" t="e">
        <f>'North America'!876:876-"$F;@!2a8"</f>
        <v>#VALUE!</v>
      </c>
      <c r="GS360" t="e">
        <f>'North America'!877:877-"$F;@!2a9"</f>
        <v>#VALUE!</v>
      </c>
      <c r="GT360" t="e">
        <f>'North America'!878:878-"$F;@!2a:"</f>
        <v>#VALUE!</v>
      </c>
      <c r="GU360" t="e">
        <f>'North America'!879:879-"$F;@!2a;"</f>
        <v>#VALUE!</v>
      </c>
      <c r="GV360" t="e">
        <f>'North America'!880:880-"$F;@!2a&lt;"</f>
        <v>#VALUE!</v>
      </c>
      <c r="GW360" t="e">
        <f>'North America'!881:881-"$F;@!2a="</f>
        <v>#VALUE!</v>
      </c>
      <c r="GX360" t="e">
        <f>'North America'!882:882-"$F;@!2a&gt;"</f>
        <v>#VALUE!</v>
      </c>
      <c r="GY360" t="e">
        <f>'North America'!883:883-"$F;@!2a?"</f>
        <v>#VALUE!</v>
      </c>
      <c r="GZ360" t="e">
        <f>'North America'!884:884-"$F;@!2a@"</f>
        <v>#VALUE!</v>
      </c>
      <c r="HA360" t="e">
        <f>'North America'!885:885-"$F;@!2aA"</f>
        <v>#VALUE!</v>
      </c>
      <c r="HB360" t="e">
        <f>'North America'!886:886-"$F;@!2aB"</f>
        <v>#VALUE!</v>
      </c>
      <c r="HC360" t="e">
        <f>'North America'!887:887-"$F;@!2aC"</f>
        <v>#VALUE!</v>
      </c>
      <c r="HD360" t="e">
        <f>'North America'!888:888-"$F;@!2aD"</f>
        <v>#VALUE!</v>
      </c>
      <c r="HE360" t="e">
        <f>'North America'!889:889-"$F;@!2aE"</f>
        <v>#VALUE!</v>
      </c>
      <c r="HF360" t="e">
        <f>'North America'!890:890-"$F;@!2aF"</f>
        <v>#VALUE!</v>
      </c>
      <c r="HG360" t="e">
        <f>'North America'!891:891-"$F;@!2aG"</f>
        <v>#VALUE!</v>
      </c>
      <c r="HH360" t="e">
        <f>'North America'!892:892-"$F;@!2aH"</f>
        <v>#VALUE!</v>
      </c>
      <c r="HI360" t="e">
        <f>'North America'!893:893-"$F;@!2aI"</f>
        <v>#VALUE!</v>
      </c>
      <c r="HJ360" t="e">
        <f>'North America'!894:894-"$F;@!2aJ"</f>
        <v>#VALUE!</v>
      </c>
      <c r="HK360" t="e">
        <f>'North America'!895:895-"$F;@!2aK"</f>
        <v>#VALUE!</v>
      </c>
      <c r="HL360" t="e">
        <f>'North America'!896:896-"$F;@!2aL"</f>
        <v>#VALUE!</v>
      </c>
      <c r="HM360" t="e">
        <f>'North America'!897:897-"$F;@!2aM"</f>
        <v>#VALUE!</v>
      </c>
      <c r="HN360" t="e">
        <f>'North America'!898:898-"$F;@!2aN"</f>
        <v>#VALUE!</v>
      </c>
      <c r="HO360" t="e">
        <f>'North America'!899:899-"$F;@!2aO"</f>
        <v>#VALUE!</v>
      </c>
      <c r="HP360" t="e">
        <f>'North America'!900:900-"$F;@!2aP"</f>
        <v>#VALUE!</v>
      </c>
      <c r="HQ360" t="e">
        <f>'North America'!901:901-"$F;@!2aQ"</f>
        <v>#VALUE!</v>
      </c>
      <c r="HR360" t="e">
        <f>'North America'!902:902-"$F;@!2aR"</f>
        <v>#VALUE!</v>
      </c>
      <c r="HS360" t="e">
        <f>'North America'!903:903-"$F;@!2aS"</f>
        <v>#VALUE!</v>
      </c>
      <c r="HT360" t="e">
        <f>'North America'!904:904-"$F;@!2aT"</f>
        <v>#VALUE!</v>
      </c>
      <c r="HU360" t="e">
        <f>'North America'!905:905-"$F;@!2aU"</f>
        <v>#VALUE!</v>
      </c>
      <c r="HV360" t="e">
        <f>'North America'!906:906-"$F;@!2aV"</f>
        <v>#VALUE!</v>
      </c>
      <c r="HW360" t="e">
        <f>'North America'!907:907-"$F;@!2aW"</f>
        <v>#VALUE!</v>
      </c>
      <c r="HX360" t="e">
        <f>'North America'!908:908-"$F;@!2aX"</f>
        <v>#VALUE!</v>
      </c>
      <c r="HY360" t="e">
        <f>'North America'!909:909-"$F;@!2aY"</f>
        <v>#VALUE!</v>
      </c>
      <c r="HZ360" t="e">
        <f>'North America'!910:910-"$F;@!2aZ"</f>
        <v>#VALUE!</v>
      </c>
      <c r="IA360" t="e">
        <f>'North America'!911:911-"$F;@!2a["</f>
        <v>#VALUE!</v>
      </c>
      <c r="IB360" t="e">
        <f>'North America'!912:912-"$F;@!2a\"</f>
        <v>#VALUE!</v>
      </c>
      <c r="IC360" t="e">
        <f>'North America'!913:913-"$F;@!2a]"</f>
        <v>#VALUE!</v>
      </c>
      <c r="ID360" t="e">
        <f>'North America'!914:914-"$F;@!2a^"</f>
        <v>#VALUE!</v>
      </c>
      <c r="IE360" t="e">
        <f>'North America'!915:915-"$F;@!2a_"</f>
        <v>#VALUE!</v>
      </c>
      <c r="IF360" t="e">
        <f>'North America'!916:916-"$F;@!2a`"</f>
        <v>#VALUE!</v>
      </c>
      <c r="IG360" t="e">
        <f>'North America'!917:917-"$F;@!2aa"</f>
        <v>#VALUE!</v>
      </c>
      <c r="IH360" t="e">
        <f>'North America'!918:918-"$F;@!2ab"</f>
        <v>#VALUE!</v>
      </c>
      <c r="II360" t="e">
        <f>'North America'!919:919-"$F;@!2ac"</f>
        <v>#VALUE!</v>
      </c>
      <c r="IJ360" t="e">
        <f>'North America'!920:920-"$F;@!2ad"</f>
        <v>#VALUE!</v>
      </c>
      <c r="IK360" t="e">
        <f>'North America'!921:921-"$F;@!2ae"</f>
        <v>#VALUE!</v>
      </c>
      <c r="IL360" t="e">
        <f>'North America'!922:922-"$F;@!2af"</f>
        <v>#VALUE!</v>
      </c>
      <c r="IM360" t="e">
        <f>'North America'!923:923-"$F;@!2ag"</f>
        <v>#VALUE!</v>
      </c>
      <c r="IN360" t="e">
        <f>'North America'!924:924-"$F;@!2ah"</f>
        <v>#VALUE!</v>
      </c>
      <c r="IO360" t="e">
        <f>'North America'!925:925-"$F;@!2ai"</f>
        <v>#VALUE!</v>
      </c>
      <c r="IP360" t="e">
        <f>'North America'!926:926-"$F;@!2aj"</f>
        <v>#VALUE!</v>
      </c>
      <c r="IQ360" t="e">
        <f>'North America'!927:927-"$F;@!2ak"</f>
        <v>#VALUE!</v>
      </c>
      <c r="IR360" t="e">
        <f>'North America'!928:928-"$F;@!2al"</f>
        <v>#VALUE!</v>
      </c>
      <c r="IS360" t="e">
        <f>'North America'!929:929-"$F;@!2am"</f>
        <v>#VALUE!</v>
      </c>
      <c r="IT360" t="e">
        <f>'North America'!930:930-"$F;@!2an"</f>
        <v>#VALUE!</v>
      </c>
      <c r="IU360" t="e">
        <f>'North America'!931:931-"$F;@!2ao"</f>
        <v>#VALUE!</v>
      </c>
      <c r="IV360" t="e">
        <f>'North America'!932:932-"$F;@!2ap"</f>
        <v>#VALUE!</v>
      </c>
    </row>
    <row r="361" spans="6:256" x14ac:dyDescent="0.35">
      <c r="F361" t="e">
        <f>'North America'!933:933-"$F;@!2aq"</f>
        <v>#VALUE!</v>
      </c>
      <c r="G361" t="e">
        <f>'North America'!934:934-"$F;@!2ar"</f>
        <v>#VALUE!</v>
      </c>
      <c r="H361" t="e">
        <f>'North America'!935:935-"$F;@!2as"</f>
        <v>#VALUE!</v>
      </c>
      <c r="I361" t="e">
        <f>'North America'!936:936-"$F;@!2at"</f>
        <v>#VALUE!</v>
      </c>
      <c r="J361" t="e">
        <f>'North America'!937:937-"$F;@!2au"</f>
        <v>#VALUE!</v>
      </c>
      <c r="K361" t="e">
        <f>'North America'!938:938-"$F;@!2av"</f>
        <v>#VALUE!</v>
      </c>
      <c r="L361" t="e">
        <f>'North America'!939:939-"$F;@!2aw"</f>
        <v>#VALUE!</v>
      </c>
      <c r="M361" t="e">
        <f>'North America'!940:940-"$F;@!2ax"</f>
        <v>#VALUE!</v>
      </c>
      <c r="N361" t="e">
        <f>'North America'!941:941-"$F;@!2ay"</f>
        <v>#VALUE!</v>
      </c>
      <c r="O361" t="e">
        <f>'North America'!942:942-"$F;@!2az"</f>
        <v>#VALUE!</v>
      </c>
      <c r="P361" t="e">
        <f>'North America'!943:943-"$F;@!2a{"</f>
        <v>#VALUE!</v>
      </c>
      <c r="Q361" t="e">
        <f>'North America'!944:944-"$F;@!2a|"</f>
        <v>#VALUE!</v>
      </c>
      <c r="R361" t="e">
        <f>'North America'!945:945-"$F;@!2a}"</f>
        <v>#VALUE!</v>
      </c>
      <c r="S361" t="e">
        <f>'North America'!946:946-"$F;@!2a~"</f>
        <v>#VALUE!</v>
      </c>
      <c r="T361" t="e">
        <f>'North America'!947:947-"$F;@!2b#"</f>
        <v>#VALUE!</v>
      </c>
      <c r="U361" t="e">
        <f>'North America'!948:948-"$F;@!2b$"</f>
        <v>#VALUE!</v>
      </c>
      <c r="V361" t="e">
        <f>'North America'!949:949-"$F;@!2b%"</f>
        <v>#VALUE!</v>
      </c>
      <c r="W361" t="e">
        <f>'North America'!950:950-"$F;@!2b&amp;"</f>
        <v>#VALUE!</v>
      </c>
      <c r="X361" t="e">
        <f>'North America'!951:951-"$F;@!2b'"</f>
        <v>#VALUE!</v>
      </c>
      <c r="Y361" t="e">
        <f>'North America'!952:952-"$F;@!2b("</f>
        <v>#VALUE!</v>
      </c>
      <c r="Z361" t="e">
        <f>'North America'!953:953-"$F;@!2b)"</f>
        <v>#VALUE!</v>
      </c>
      <c r="AA361" t="e">
        <f>'North America'!954:954-"$F;@!2b."</f>
        <v>#VALUE!</v>
      </c>
      <c r="AB361" t="e">
        <f>'North America'!955:955-"$F;@!2b/"</f>
        <v>#VALUE!</v>
      </c>
      <c r="AC361" t="e">
        <f>'North America'!956:956-"$F;@!2b0"</f>
        <v>#VALUE!</v>
      </c>
      <c r="AD361" t="e">
        <f>'North America'!957:957-"$F;@!2b1"</f>
        <v>#VALUE!</v>
      </c>
      <c r="AE361" t="e">
        <f>'North America'!958:958-"$F;@!2b2"</f>
        <v>#VALUE!</v>
      </c>
      <c r="AF361" t="e">
        <f>'North America'!959:959-"$F;@!2b3"</f>
        <v>#VALUE!</v>
      </c>
      <c r="AG361" t="e">
        <f>'North America'!960:960-"$F;@!2b4"</f>
        <v>#VALUE!</v>
      </c>
      <c r="AH361" t="e">
        <f>'North America'!961:961-"$F;@!2b5"</f>
        <v>#VALUE!</v>
      </c>
      <c r="AI361" t="e">
        <f>'North America'!962:962-"$F;@!2b6"</f>
        <v>#VALUE!</v>
      </c>
      <c r="AJ361" t="e">
        <f>'North America'!963:963-"$F;@!2b7"</f>
        <v>#VALUE!</v>
      </c>
      <c r="AK361" t="e">
        <f>'North America'!964:964-"$F;@!2b8"</f>
        <v>#VALUE!</v>
      </c>
      <c r="AL361" t="e">
        <f>'North America'!965:965-"$F;@!2b9"</f>
        <v>#VALUE!</v>
      </c>
      <c r="AM361" t="e">
        <f>'North America'!966:966-"$F;@!2b:"</f>
        <v>#VALUE!</v>
      </c>
      <c r="AN361" t="e">
        <f>'North America'!967:967-"$F;@!2b;"</f>
        <v>#VALUE!</v>
      </c>
      <c r="AO361" t="e">
        <f>'North America'!968:968-"$F;@!2b&lt;"</f>
        <v>#VALUE!</v>
      </c>
      <c r="AP361" t="e">
        <f>'North America'!969:969-"$F;@!2b="</f>
        <v>#VALUE!</v>
      </c>
      <c r="AQ361" t="e">
        <f>'North America'!970:970-"$F;@!2b&gt;"</f>
        <v>#VALUE!</v>
      </c>
      <c r="AR361" t="e">
        <f>'North America'!971:971-"$F;@!2b?"</f>
        <v>#VALUE!</v>
      </c>
      <c r="AS361" t="e">
        <f>'North America'!972:972-"$F;@!2b@"</f>
        <v>#VALUE!</v>
      </c>
      <c r="AT361" t="e">
        <f>'North America'!973:973-"$F;@!2bA"</f>
        <v>#VALUE!</v>
      </c>
      <c r="AU361" t="e">
        <f>'North America'!974:974-"$F;@!2bB"</f>
        <v>#VALUE!</v>
      </c>
      <c r="AV361" t="e">
        <f>'North America'!975:975-"$F;@!2bC"</f>
        <v>#VALUE!</v>
      </c>
      <c r="AW361" t="e">
        <f>'North America'!976:976-"$F;@!2bD"</f>
        <v>#VALUE!</v>
      </c>
      <c r="AX361" t="e">
        <f>'North America'!977:977-"$F;@!2bE"</f>
        <v>#VALUE!</v>
      </c>
      <c r="AY361" t="e">
        <f>'North America'!978:978-"$F;@!2bF"</f>
        <v>#VALUE!</v>
      </c>
      <c r="AZ361" t="e">
        <f>'North America'!979:979-"$F;@!2bG"</f>
        <v>#VALUE!</v>
      </c>
      <c r="BA361" t="e">
        <f>'North America'!980:980-"$F;@!2bH"</f>
        <v>#VALUE!</v>
      </c>
      <c r="BB361" t="e">
        <f>'North America'!981:981-"$F;@!2bI"</f>
        <v>#VALUE!</v>
      </c>
      <c r="BC361" t="e">
        <f>'North America'!982:982-"$F;@!2bJ"</f>
        <v>#VALUE!</v>
      </c>
      <c r="BD361" t="e">
        <f>'North America'!983:983-"$F;@!2bK"</f>
        <v>#VALUE!</v>
      </c>
      <c r="BE361" t="e">
        <f>'North America'!984:984-"$F;@!2bL"</f>
        <v>#VALUE!</v>
      </c>
      <c r="BF361" t="e">
        <f>'North America'!985:985-"$F;@!2bM"</f>
        <v>#VALUE!</v>
      </c>
      <c r="BG361" t="e">
        <f>'North America'!986:986-"$F;@!2bN"</f>
        <v>#VALUE!</v>
      </c>
      <c r="BH361" t="e">
        <f>'North America'!987:987-"$F;@!2bO"</f>
        <v>#VALUE!</v>
      </c>
      <c r="BI361" t="e">
        <f>'North America'!988:988-"$F;@!2bP"</f>
        <v>#VALUE!</v>
      </c>
      <c r="BJ361" t="e">
        <f>'North America'!989:989-"$F;@!2bQ"</f>
        <v>#VALUE!</v>
      </c>
      <c r="BK361" t="e">
        <f>'North America'!990:990-"$F;@!2bR"</f>
        <v>#VALUE!</v>
      </c>
      <c r="BL361" t="e">
        <f>'North America'!991:991-"$F;@!2bS"</f>
        <v>#VALUE!</v>
      </c>
      <c r="BM361" t="e">
        <f>'North America'!992:992-"$F;@!2bT"</f>
        <v>#VALUE!</v>
      </c>
      <c r="BN361" t="e">
        <f>'North America'!993:993-"$F;@!2bU"</f>
        <v>#VALUE!</v>
      </c>
      <c r="BO361" t="e">
        <f>'North America'!994:994-"$F;@!2bV"</f>
        <v>#VALUE!</v>
      </c>
      <c r="BP361" t="e">
        <f>'North America'!995:995-"$F;@!2bW"</f>
        <v>#VALUE!</v>
      </c>
      <c r="BQ361" t="e">
        <f>'North America'!996:996-"$F;@!2bX"</f>
        <v>#VALUE!</v>
      </c>
      <c r="BR361" t="e">
        <f>'North America'!997:997-"$F;@!2bY"</f>
        <v>#VALUE!</v>
      </c>
      <c r="BS361" t="e">
        <f>'North America'!998:998-"$F;@!2bZ"</f>
        <v>#VALUE!</v>
      </c>
      <c r="BT361" t="e">
        <f>'North America'!999:999-"$F;@!2b["</f>
        <v>#VALUE!</v>
      </c>
      <c r="BU361" t="e">
        <f>'North America'!1000:1000-"$F;@!2b\"</f>
        <v>#VALUE!</v>
      </c>
      <c r="BV361" t="e">
        <f>'North America'!1001:1001-"$F;@!2b]"</f>
        <v>#VALUE!</v>
      </c>
      <c r="BW361" t="e">
        <f>'North America'!1002:1002-"$F;@!2b^"</f>
        <v>#VALUE!</v>
      </c>
      <c r="BX361" t="e">
        <f>'North America'!1003:1003-"$F;@!2b_"</f>
        <v>#VALUE!</v>
      </c>
      <c r="BY361" t="e">
        <f>'North America'!1004:1004-"$F;@!2b`"</f>
        <v>#VALUE!</v>
      </c>
      <c r="BZ361" t="e">
        <f>'North America'!1005:1005-"$F;@!2ba"</f>
        <v>#VALUE!</v>
      </c>
      <c r="CA361" t="e">
        <f>'North America'!1006:1006-"$F;@!2bb"</f>
        <v>#VALUE!</v>
      </c>
      <c r="CB361" t="e">
        <f>'North America'!1007:1007-"$F;@!2bc"</f>
        <v>#VALUE!</v>
      </c>
      <c r="CC361" t="e">
        <f>'North America'!1008:1008-"$F;@!2bd"</f>
        <v>#VALUE!</v>
      </c>
      <c r="CD361" t="e">
        <f>'North America'!1009:1009-"$F;@!2be"</f>
        <v>#VALUE!</v>
      </c>
      <c r="CE361" t="e">
        <f>'North America'!1010:1010-"$F;@!2bf"</f>
        <v>#VALUE!</v>
      </c>
      <c r="CF361" t="e">
        <f>'North America'!1011:1011-"$F;@!2bg"</f>
        <v>#VALUE!</v>
      </c>
      <c r="CG361" t="e">
        <f>'North America'!1012:1012-"$F;@!2bh"</f>
        <v>#VALUE!</v>
      </c>
      <c r="CH361" t="e">
        <f>'North America'!1013:1013-"$F;@!2bi"</f>
        <v>#VALUE!</v>
      </c>
      <c r="CI361" t="e">
        <f>'North America'!1014:1014-"$F;@!2bj"</f>
        <v>#VALUE!</v>
      </c>
      <c r="CJ361" t="e">
        <f>'North America'!1015:1015-"$F;@!2bk"</f>
        <v>#VALUE!</v>
      </c>
      <c r="CK361" t="e">
        <f>'North America'!1016:1016-"$F;@!2bl"</f>
        <v>#VALUE!</v>
      </c>
      <c r="CL361" t="e">
        <f>'North America'!1017:1017-"$F;@!2bm"</f>
        <v>#VALUE!</v>
      </c>
      <c r="CM361" t="e">
        <f>'North America'!1018:1018-"$F;@!2bn"</f>
        <v>#VALUE!</v>
      </c>
      <c r="CN361" t="e">
        <f>'North America'!1019:1019-"$F;@!2bo"</f>
        <v>#VALUE!</v>
      </c>
      <c r="CO361" t="e">
        <f>'North America'!1020:1020-"$F;@!2bp"</f>
        <v>#VALUE!</v>
      </c>
      <c r="CP361" t="e">
        <f>'North America'!1021:1021-"$F;@!2bq"</f>
        <v>#VALUE!</v>
      </c>
      <c r="CQ361" t="e">
        <f>'North America'!1022:1022-"$F;@!2br"</f>
        <v>#VALUE!</v>
      </c>
      <c r="CR361" t="e">
        <f>'North America'!1023:1023-"$F;@!2bs"</f>
        <v>#VALUE!</v>
      </c>
      <c r="CS361" t="e">
        <f>'North America'!1024:1024-"$F;@!2bt"</f>
        <v>#VALUE!</v>
      </c>
      <c r="CT361" t="e">
        <f>'North America'!1025:1025-"$F;@!2bu"</f>
        <v>#VALUE!</v>
      </c>
      <c r="CU361" t="e">
        <f>'North America'!1026:1026-"$F;@!2bv"</f>
        <v>#VALUE!</v>
      </c>
      <c r="CV361" t="e">
        <f>'North America'!1027:1027-"$F;@!2bw"</f>
        <v>#VALUE!</v>
      </c>
      <c r="CW361" t="e">
        <f>'North America'!1028:1028-"$F;@!2bx"</f>
        <v>#VALUE!</v>
      </c>
      <c r="CX361" t="e">
        <f>'North America'!1029:1029-"$F;@!2by"</f>
        <v>#VALUE!</v>
      </c>
      <c r="CY361" t="e">
        <f>'North America'!1030:1030-"$F;@!2bz"</f>
        <v>#VALUE!</v>
      </c>
      <c r="CZ361" t="e">
        <f>'North America'!1031:1031-"$F;@!2b{"</f>
        <v>#VALUE!</v>
      </c>
      <c r="DA361" t="e">
        <f>'North America'!1032:1032-"$F;@!2b|"</f>
        <v>#VALUE!</v>
      </c>
      <c r="DB361" t="e">
        <f>'North America'!1033:1033-"$F;@!2b}"</f>
        <v>#VALUE!</v>
      </c>
      <c r="DC361" t="e">
        <f>'North America'!1034:1034-"$F;@!2b~"</f>
        <v>#VALUE!</v>
      </c>
      <c r="DD361" t="e">
        <f>'North America'!1035:1035-"$F;@!2c#"</f>
        <v>#VALUE!</v>
      </c>
      <c r="DE361" t="e">
        <f>'North America'!1036:1036-"$F;@!2c$"</f>
        <v>#VALUE!</v>
      </c>
      <c r="DF361" t="e">
        <f>'North America'!1037:1037-"$F;@!2c%"</f>
        <v>#VALUE!</v>
      </c>
      <c r="DG361" t="e">
        <f>'North America'!1038:1038-"$F;@!2c&amp;"</f>
        <v>#VALUE!</v>
      </c>
      <c r="DH361" t="e">
        <f>'North America'!1039:1039-"$F;@!2c'"</f>
        <v>#VALUE!</v>
      </c>
      <c r="DI361" t="e">
        <f>'North America'!1040:1040-"$F;@!2c("</f>
        <v>#VALUE!</v>
      </c>
      <c r="DJ361" t="e">
        <f>'North America'!1041:1041-"$F;@!2c)"</f>
        <v>#VALUE!</v>
      </c>
      <c r="DK361" t="e">
        <f>'North America'!1042:1042-"$F;@!2c."</f>
        <v>#VALUE!</v>
      </c>
      <c r="DL361" t="e">
        <f>'North America'!1043:1043-"$F;@!2c/"</f>
        <v>#VALUE!</v>
      </c>
      <c r="DM361" t="e">
        <f>'North America'!1044:1044-"$F;@!2c0"</f>
        <v>#VALUE!</v>
      </c>
      <c r="DN361" t="e">
        <f>'North America'!1045:1045-"$F;@!2c1"</f>
        <v>#VALUE!</v>
      </c>
      <c r="DO361" t="e">
        <f>'North America'!1046:1046-"$F;@!2c2"</f>
        <v>#VALUE!</v>
      </c>
      <c r="DP361" t="e">
        <f>'North America'!1047:1047-"$F;@!2c3"</f>
        <v>#VALUE!</v>
      </c>
      <c r="DQ361" t="e">
        <f>'North America'!1048:1048-"$F;@!2c4"</f>
        <v>#VALUE!</v>
      </c>
      <c r="DR361" t="e">
        <f>'North America'!1049:1049-"$F;@!2c5"</f>
        <v>#VALUE!</v>
      </c>
      <c r="DS361" t="e">
        <f>'North America'!1050:1050-"$F;@!2c6"</f>
        <v>#VALUE!</v>
      </c>
      <c r="DT361" t="e">
        <f>'North America'!1051:1051-"$F;@!2c7"</f>
        <v>#VALUE!</v>
      </c>
      <c r="DU361" t="e">
        <f>'North America'!1052:1052-"$F;@!2c8"</f>
        <v>#VALUE!</v>
      </c>
      <c r="DV361" t="e">
        <f>'North America'!1053:1053-"$F;@!2c9"</f>
        <v>#VALUE!</v>
      </c>
      <c r="DW361" t="e">
        <f>'North America'!1054:1054-"$F;@!2c:"</f>
        <v>#VALUE!</v>
      </c>
      <c r="DX361" t="e">
        <f>'North America'!1055:1055-"$F;@!2c;"</f>
        <v>#VALUE!</v>
      </c>
      <c r="DY361" t="e">
        <f>'North America'!1056:1056-"$F;@!2c&lt;"</f>
        <v>#VALUE!</v>
      </c>
      <c r="DZ361" t="e">
        <f>'North America'!1057:1057-"$F;@!2c="</f>
        <v>#VALUE!</v>
      </c>
      <c r="EA361" t="e">
        <f>'North America'!1058:1058-"$F;@!2c&gt;"</f>
        <v>#VALUE!</v>
      </c>
      <c r="EB361" t="e">
        <f>'North America'!1059:1059-"$F;@!2c?"</f>
        <v>#VALUE!</v>
      </c>
      <c r="EC361" t="e">
        <f>'North America'!1060:1060-"$F;@!2c@"</f>
        <v>#VALUE!</v>
      </c>
      <c r="ED361" t="e">
        <f>'North America'!1061:1061-"$F;@!2cA"</f>
        <v>#VALUE!</v>
      </c>
      <c r="EE361" t="e">
        <f>'North America'!1062:1062-"$F;@!2cB"</f>
        <v>#VALUE!</v>
      </c>
      <c r="EF361" t="e">
        <f>'North America'!1063:1063-"$F;@!2cC"</f>
        <v>#VALUE!</v>
      </c>
      <c r="EG361" t="e">
        <f>'North America'!1064:1064-"$F;@!2cD"</f>
        <v>#VALUE!</v>
      </c>
      <c r="EH361" t="e">
        <f>'North America'!1065:1065-"$F;@!2cE"</f>
        <v>#VALUE!</v>
      </c>
      <c r="EI361" t="e">
        <f>'North America'!1066:1066-"$F;@!2cF"</f>
        <v>#VALUE!</v>
      </c>
      <c r="EJ361" t="e">
        <f>'North America'!1067:1067-"$F;@!2cG"</f>
        <v>#VALUE!</v>
      </c>
      <c r="EK361" t="e">
        <f>'North America'!1068:1068-"$F;@!2cH"</f>
        <v>#VALUE!</v>
      </c>
      <c r="EL361" t="e">
        <f>'North America'!1069:1069-"$F;@!2cI"</f>
        <v>#VALUE!</v>
      </c>
      <c r="EM361" t="e">
        <f>'North America'!1070:1070-"$F;@!2cJ"</f>
        <v>#VALUE!</v>
      </c>
      <c r="EN361" t="e">
        <f>'North America'!1071:1071-"$F;@!2cK"</f>
        <v>#VALUE!</v>
      </c>
      <c r="EO361" t="e">
        <f>'North America'!1072:1072-"$F;@!2cL"</f>
        <v>#VALUE!</v>
      </c>
      <c r="EP361" t="e">
        <f>'North America'!1073:1073-"$F;@!2cM"</f>
        <v>#VALUE!</v>
      </c>
      <c r="EQ361" t="e">
        <f>'North America'!1074:1074-"$F;@!2cN"</f>
        <v>#VALUE!</v>
      </c>
      <c r="ER361" t="e">
        <f>'North America'!1075:1075-"$F;@!2cO"</f>
        <v>#VALUE!</v>
      </c>
      <c r="ES361" t="e">
        <f>'North America'!1076:1076-"$F;@!2cP"</f>
        <v>#VALUE!</v>
      </c>
      <c r="ET361" t="e">
        <f>'North America'!1077:1077-"$F;@!2cQ"</f>
        <v>#VALUE!</v>
      </c>
      <c r="EU361" t="e">
        <f>'North America'!1078:1078-"$F;@!2cR"</f>
        <v>#VALUE!</v>
      </c>
      <c r="EV361" t="e">
        <f>'North America'!1079:1079-"$F;@!2cS"</f>
        <v>#VALUE!</v>
      </c>
      <c r="EW361" t="e">
        <f>'North America'!1080:1080-"$F;@!2cT"</f>
        <v>#VALUE!</v>
      </c>
      <c r="EX361" t="e">
        <f>'North America'!1081:1081-"$F;@!2cU"</f>
        <v>#VALUE!</v>
      </c>
      <c r="EY361" t="e">
        <f>'North America'!1082:1082-"$F;@!2cV"</f>
        <v>#VALUE!</v>
      </c>
      <c r="EZ361" t="e">
        <f>'North America'!1083:1083-"$F;@!2cW"</f>
        <v>#VALUE!</v>
      </c>
      <c r="FA361" t="e">
        <f>'North America'!1084:1084-"$F;@!2cX"</f>
        <v>#VALUE!</v>
      </c>
      <c r="FB361" t="e">
        <f>'North America'!1085:1085-"$F;@!2cY"</f>
        <v>#VALUE!</v>
      </c>
      <c r="FC361" t="e">
        <f>'North America'!1086:1086-"$F;@!2cZ"</f>
        <v>#VALUE!</v>
      </c>
      <c r="FD361" t="e">
        <f>'North America'!1087:1087-"$F;@!2c["</f>
        <v>#VALUE!</v>
      </c>
      <c r="FE361" t="e">
        <f>'North America'!1088:1088-"$F;@!2c\"</f>
        <v>#VALUE!</v>
      </c>
      <c r="FF361" t="e">
        <f>'North America'!1089:1089-"$F;@!2c]"</f>
        <v>#VALUE!</v>
      </c>
      <c r="FG361" t="e">
        <f>'North America'!1090:1090-"$F;@!2c^"</f>
        <v>#VALUE!</v>
      </c>
      <c r="FH361" t="e">
        <f>'North America'!1091:1091-"$F;@!2c_"</f>
        <v>#VALUE!</v>
      </c>
      <c r="FI361" t="e">
        <f>'North America'!1092:1092-"$F;@!2c`"</f>
        <v>#VALUE!</v>
      </c>
      <c r="FJ361" t="e">
        <f>'North America'!1093:1093-"$F;@!2ca"</f>
        <v>#VALUE!</v>
      </c>
      <c r="FK361" t="e">
        <f>'North America'!1094:1094-"$F;@!2cb"</f>
        <v>#VALUE!</v>
      </c>
      <c r="FL361" t="e">
        <f>'North America'!1095:1095-"$F;@!2cc"</f>
        <v>#VALUE!</v>
      </c>
      <c r="FM361" t="e">
        <f>'North America'!1096:1096-"$F;@!2cd"</f>
        <v>#VALUE!</v>
      </c>
      <c r="FN361" t="e">
        <f>'North America'!1097:1097-"$F;@!2ce"</f>
        <v>#VALUE!</v>
      </c>
      <c r="FO361" t="e">
        <f>'North America'!1098:1098-"$F;@!2cf"</f>
        <v>#VALUE!</v>
      </c>
      <c r="FP361" t="e">
        <f>'North America'!1099:1099-"$F;@!2cg"</f>
        <v>#VALUE!</v>
      </c>
      <c r="FQ361" t="e">
        <f>'North America'!1100:1100-"$F;@!2ch"</f>
        <v>#VALUE!</v>
      </c>
      <c r="FR361" t="e">
        <f>'North America'!1101:1101-"$F;@!2ci"</f>
        <v>#VALUE!</v>
      </c>
      <c r="FS361" t="e">
        <f>'North America'!1102:1102-"$F;@!2cj"</f>
        <v>#VALUE!</v>
      </c>
      <c r="FT361" t="e">
        <f>'North America'!1103:1103-"$F;@!2ck"</f>
        <v>#VALUE!</v>
      </c>
      <c r="FU361" t="e">
        <f>'North America'!1104:1104-"$F;@!2cl"</f>
        <v>#VALUE!</v>
      </c>
      <c r="FV361" t="e">
        <f>'North America'!1105:1105-"$F;@!2cm"</f>
        <v>#VALUE!</v>
      </c>
      <c r="FW361" t="e">
        <f>'North America'!1106:1106-"$F;@!2cn"</f>
        <v>#VALUE!</v>
      </c>
      <c r="FX361" t="e">
        <f>'North America'!1107:1107-"$F;@!2co"</f>
        <v>#VALUE!</v>
      </c>
      <c r="FY361" t="e">
        <f>'North America'!1108:1108-"$F;@!2cp"</f>
        <v>#VALUE!</v>
      </c>
      <c r="FZ361" t="e">
        <f>'North America'!1109:1109-"$F;@!2cq"</f>
        <v>#VALUE!</v>
      </c>
      <c r="GA361" t="e">
        <f>'North America'!1110:1110-"$F;@!2cr"</f>
        <v>#VALUE!</v>
      </c>
      <c r="GB361" t="e">
        <f>'North America'!1111:1111-"$F;@!2cs"</f>
        <v>#VALUE!</v>
      </c>
      <c r="GC361" t="e">
        <f>'North America'!1112:1112-"$F;@!2ct"</f>
        <v>#VALUE!</v>
      </c>
      <c r="GD361" t="e">
        <f>'North America'!1113:1113-"$F;@!2cu"</f>
        <v>#VALUE!</v>
      </c>
      <c r="GE361" t="e">
        <f>'North America'!1114:1114-"$F;@!2cv"</f>
        <v>#VALUE!</v>
      </c>
      <c r="GF361" t="e">
        <f>'North America'!1115:1115-"$F;@!2cw"</f>
        <v>#VALUE!</v>
      </c>
      <c r="GG361" t="e">
        <f>'North America'!1116:1116-"$F;@!2cx"</f>
        <v>#VALUE!</v>
      </c>
      <c r="GH361" t="e">
        <f>'North America'!1117:1117-"$F;@!2cy"</f>
        <v>#VALUE!</v>
      </c>
      <c r="GI361" t="e">
        <f>'North America'!1118:1118-"$F;@!2cz"</f>
        <v>#VALUE!</v>
      </c>
      <c r="GJ361" t="e">
        <f>'North America'!1119:1119-"$F;@!2c{"</f>
        <v>#VALUE!</v>
      </c>
      <c r="GK361" t="e">
        <f>'North America'!1120:1120-"$F;@!2c|"</f>
        <v>#VALUE!</v>
      </c>
      <c r="GL361" t="e">
        <f>'North America'!1121:1121-"$F;@!2c}"</f>
        <v>#VALUE!</v>
      </c>
      <c r="GM361" t="e">
        <f>'North America'!1122:1122-"$F;@!2c~"</f>
        <v>#VALUE!</v>
      </c>
      <c r="GN361" t="e">
        <f>'North America'!1123:1123-"$F;@!2d#"</f>
        <v>#VALUE!</v>
      </c>
      <c r="GO361" t="e">
        <f>'North America'!1124:1124-"$F;@!2d$"</f>
        <v>#VALUE!</v>
      </c>
      <c r="GP361" t="e">
        <f>'North America'!1125:1125-"$F;@!2d%"</f>
        <v>#VALUE!</v>
      </c>
      <c r="GQ361" t="e">
        <f>'North America'!1126:1126-"$F;@!2d&amp;"</f>
        <v>#VALUE!</v>
      </c>
      <c r="GR361" t="e">
        <f>'North America'!1127:1127-"$F;@!2d'"</f>
        <v>#VALUE!</v>
      </c>
      <c r="GS361" t="e">
        <f>'North America'!1128:1128-"$F;@!2d("</f>
        <v>#VALUE!</v>
      </c>
      <c r="GT361" t="e">
        <f>'North America'!1129:1129-"$F;@!2d)"</f>
        <v>#VALUE!</v>
      </c>
      <c r="GU361" t="e">
        <f>'North America'!1130:1130-"$F;@!2d."</f>
        <v>#VALUE!</v>
      </c>
      <c r="GV361" t="e">
        <f>'North America'!1131:1131-"$F;@!2d/"</f>
        <v>#VALUE!</v>
      </c>
      <c r="GW361" t="e">
        <f>'North America'!1132:1132-"$F;@!2d0"</f>
        <v>#VALUE!</v>
      </c>
      <c r="GX361" t="e">
        <f>'North America'!1133:1133-"$F;@!2d1"</f>
        <v>#VALUE!</v>
      </c>
      <c r="GY361" t="e">
        <f>'North America'!1134:1134-"$F;@!2d2"</f>
        <v>#VALUE!</v>
      </c>
      <c r="GZ361" t="e">
        <f>'North America'!1135:1135-"$F;@!2d3"</f>
        <v>#VALUE!</v>
      </c>
      <c r="HA361" t="e">
        <f>'North America'!1136:1136-"$F;@!2d4"</f>
        <v>#VALUE!</v>
      </c>
      <c r="HB361" t="e">
        <f>'North America'!1137:1137-"$F;@!2d5"</f>
        <v>#VALUE!</v>
      </c>
      <c r="HC361" t="e">
        <f>'North America'!1138:1138-"$F;@!2d6"</f>
        <v>#VALUE!</v>
      </c>
      <c r="HD361" t="e">
        <f>'North America'!1139:1139-"$F;@!2d7"</f>
        <v>#VALUE!</v>
      </c>
      <c r="HE361" t="e">
        <f>'North America'!1140:1140-"$F;@!2d8"</f>
        <v>#VALUE!</v>
      </c>
      <c r="HF361" t="e">
        <f>'North America'!1141:1141-"$F;@!2d9"</f>
        <v>#VALUE!</v>
      </c>
      <c r="HG361" t="e">
        <f>'North America'!1142:1142-"$F;@!2d:"</f>
        <v>#VALUE!</v>
      </c>
      <c r="HH361" t="e">
        <f>'North America'!1143:1143-"$F;@!2d;"</f>
        <v>#VALUE!</v>
      </c>
      <c r="HI361" t="e">
        <f>'North America'!1144:1144-"$F;@!2d&lt;"</f>
        <v>#VALUE!</v>
      </c>
      <c r="HJ361" t="e">
        <f>'North America'!1145:1145-"$F;@!2d="</f>
        <v>#VALUE!</v>
      </c>
      <c r="HK361" t="e">
        <f>'North America'!1146:1146-"$F;@!2d&gt;"</f>
        <v>#VALUE!</v>
      </c>
      <c r="HL361" t="e">
        <f>'North America'!1147:1147-"$F;@!2d?"</f>
        <v>#VALUE!</v>
      </c>
      <c r="HM361" t="e">
        <f>'North America'!1148:1148-"$F;@!2d@"</f>
        <v>#VALUE!</v>
      </c>
      <c r="HN361" t="e">
        <f>'North America'!1149:1149-"$F;@!2dA"</f>
        <v>#VALUE!</v>
      </c>
      <c r="HO361" t="e">
        <f>'North America'!1150:1150-"$F;@!2dB"</f>
        <v>#VALUE!</v>
      </c>
      <c r="HP361" t="e">
        <f>'North America'!1151:1151-"$F;@!2dC"</f>
        <v>#VALUE!</v>
      </c>
      <c r="HQ361" t="e">
        <f>'North America'!1152:1152-"$F;@!2dD"</f>
        <v>#VALUE!</v>
      </c>
      <c r="HR361" t="e">
        <f>'North America'!1153:1153-"$F;@!2dE"</f>
        <v>#VALUE!</v>
      </c>
      <c r="HS361" t="e">
        <f>'North America'!1154:1154-"$F;@!2dF"</f>
        <v>#VALUE!</v>
      </c>
      <c r="HT361" t="e">
        <f>'North America'!1155:1155-"$F;@!2dG"</f>
        <v>#VALUE!</v>
      </c>
      <c r="HU361" t="e">
        <f>'North America'!1156:1156-"$F;@!2dH"</f>
        <v>#VALUE!</v>
      </c>
      <c r="HV361" t="e">
        <f>'North America'!1157:1157-"$F;@!2dI"</f>
        <v>#VALUE!</v>
      </c>
      <c r="HW361" t="e">
        <f>'North America'!1158:1158-"$F;@!2dJ"</f>
        <v>#VALUE!</v>
      </c>
      <c r="HX361" t="e">
        <f>'North America'!1159:1159-"$F;@!2dK"</f>
        <v>#VALUE!</v>
      </c>
      <c r="HY361" t="e">
        <f>'North America'!1160:1160-"$F;@!2dL"</f>
        <v>#VALUE!</v>
      </c>
      <c r="HZ361" t="e">
        <f>'North America'!1161:1161-"$F;@!2dM"</f>
        <v>#VALUE!</v>
      </c>
      <c r="IA361" t="e">
        <f>'North America'!1162:1162-"$F;@!2dN"</f>
        <v>#VALUE!</v>
      </c>
      <c r="IB361" t="e">
        <f>'North America'!1163:1163-"$F;@!2dO"</f>
        <v>#VALUE!</v>
      </c>
      <c r="IC361" t="e">
        <f>'North America'!1164:1164-"$F;@!2dP"</f>
        <v>#VALUE!</v>
      </c>
      <c r="ID361" t="e">
        <f>'North America'!1165:1165-"$F;@!2dQ"</f>
        <v>#VALUE!</v>
      </c>
      <c r="IE361" t="e">
        <f>'North America'!1166:1166-"$F;@!2dR"</f>
        <v>#VALUE!</v>
      </c>
      <c r="IF361" t="e">
        <f>'North America'!1167:1167-"$F;@!2dS"</f>
        <v>#VALUE!</v>
      </c>
      <c r="IG361" t="e">
        <f>'North America'!1168:1168-"$F;@!2dT"</f>
        <v>#VALUE!</v>
      </c>
      <c r="IH361" t="e">
        <f>'North America'!1169:1169-"$F;@!2dU"</f>
        <v>#VALUE!</v>
      </c>
      <c r="II361" t="e">
        <f>'North America'!1170:1170-"$F;@!2dV"</f>
        <v>#VALUE!</v>
      </c>
      <c r="IJ361" t="e">
        <f>'North America'!1171:1171-"$F;@!2dW"</f>
        <v>#VALUE!</v>
      </c>
      <c r="IK361" t="e">
        <f>'North America'!1172:1172-"$F;@!2dX"</f>
        <v>#VALUE!</v>
      </c>
      <c r="IL361" t="e">
        <f>'North America'!1173:1173-"$F;@!2dY"</f>
        <v>#VALUE!</v>
      </c>
      <c r="IM361" t="e">
        <f>'North America'!1174:1174-"$F;@!2dZ"</f>
        <v>#VALUE!</v>
      </c>
      <c r="IN361" t="e">
        <f>'North America'!1175:1175-"$F;@!2d["</f>
        <v>#VALUE!</v>
      </c>
      <c r="IO361" t="e">
        <f>'North America'!1176:1176-"$F;@!2d\"</f>
        <v>#VALUE!</v>
      </c>
      <c r="IP361" t="e">
        <f>'North America'!1177:1177-"$F;@!2d]"</f>
        <v>#VALUE!</v>
      </c>
      <c r="IQ361" t="e">
        <f>'North America'!1178:1178-"$F;@!2d^"</f>
        <v>#VALUE!</v>
      </c>
      <c r="IR361" t="e">
        <f>'North America'!1179:1179-"$F;@!2d_"</f>
        <v>#VALUE!</v>
      </c>
      <c r="IS361" t="e">
        <f>'North America'!1180:1180-"$F;@!2d`"</f>
        <v>#VALUE!</v>
      </c>
      <c r="IT361" t="e">
        <f>'North America'!1181:1181-"$F;@!2da"</f>
        <v>#VALUE!</v>
      </c>
      <c r="IU361" t="e">
        <f>'North America'!1182:1182-"$F;@!2db"</f>
        <v>#VALUE!</v>
      </c>
      <c r="IV361" t="e">
        <f>'North America'!1183:1183-"$F;@!2dc"</f>
        <v>#VALUE!</v>
      </c>
    </row>
    <row r="362" spans="6:256" x14ac:dyDescent="0.35">
      <c r="F362" t="e">
        <f>'North America'!1184:1184-"$F;@!2dd"</f>
        <v>#VALUE!</v>
      </c>
      <c r="G362" t="e">
        <f>'North America'!1185:1185-"$F;@!2de"</f>
        <v>#VALUE!</v>
      </c>
      <c r="H362" t="e">
        <f>'North America'!1186:1186-"$F;@!2df"</f>
        <v>#VALUE!</v>
      </c>
      <c r="I362" t="e">
        <f>'North America'!1187:1187-"$F;@!2dg"</f>
        <v>#VALUE!</v>
      </c>
      <c r="J362" t="e">
        <f>'North America'!1188:1188-"$F;@!2dh"</f>
        <v>#VALUE!</v>
      </c>
      <c r="K362" t="e">
        <f>'North America'!1189:1189-"$F;@!2di"</f>
        <v>#VALUE!</v>
      </c>
      <c r="L362" t="e">
        <f>'North America'!1190:1190-"$F;@!2dj"</f>
        <v>#VALUE!</v>
      </c>
      <c r="M362" t="e">
        <f>'North America'!1191:1191-"$F;@!2dk"</f>
        <v>#VALUE!</v>
      </c>
      <c r="N362" t="e">
        <f>'North America'!1192:1192-"$F;@!2dl"</f>
        <v>#VALUE!</v>
      </c>
      <c r="O362" t="e">
        <f>'North America'!1193:1193-"$F;@!2dm"</f>
        <v>#VALUE!</v>
      </c>
      <c r="P362" t="e">
        <f>'North America'!1194:1194-"$F;@!2dn"</f>
        <v>#VALUE!</v>
      </c>
      <c r="Q362" t="e">
        <f>'North America'!1195:1195-"$F;@!2do"</f>
        <v>#VALUE!</v>
      </c>
      <c r="R362" t="e">
        <f>'North America'!1196:1196-"$F;@!2dp"</f>
        <v>#VALUE!</v>
      </c>
      <c r="S362" t="e">
        <f>'North America'!1197:1197-"$F;@!2dq"</f>
        <v>#VALUE!</v>
      </c>
      <c r="T362" t="e">
        <f>'North America'!1198:1198-"$F;@!2dr"</f>
        <v>#VALUE!</v>
      </c>
      <c r="U362" t="e">
        <f>'North America'!1199:1199-"$F;@!2ds"</f>
        <v>#VALUE!</v>
      </c>
      <c r="V362" t="e">
        <f>'North America'!1200:1200-"$F;@!2dt"</f>
        <v>#VALUE!</v>
      </c>
      <c r="W362" t="e">
        <f>'North America'!1201:1201-"$F;@!2du"</f>
        <v>#VALUE!</v>
      </c>
      <c r="X362" t="e">
        <f>'North America'!1202:1202-"$F;@!2dv"</f>
        <v>#VALUE!</v>
      </c>
      <c r="Y362" t="e">
        <f>'North America'!1203:1203-"$F;@!2dw"</f>
        <v>#VALUE!</v>
      </c>
      <c r="Z362" t="e">
        <f>'North America'!1204:1204-"$F;@!2dx"</f>
        <v>#VALUE!</v>
      </c>
      <c r="AA362" t="e">
        <f>'North America'!1205:1205-"$F;@!2dy"</f>
        <v>#VALUE!</v>
      </c>
      <c r="AB362" t="e">
        <f>'North America'!1206:1206-"$F;@!2dz"</f>
        <v>#VALUE!</v>
      </c>
      <c r="AC362" t="e">
        <f>'North America'!1207:1207-"$F;@!2d{"</f>
        <v>#VALUE!</v>
      </c>
      <c r="AD362" t="e">
        <f>'North America'!1208:1208-"$F;@!2d|"</f>
        <v>#VALUE!</v>
      </c>
      <c r="AE362" t="e">
        <f>'North America'!1209:1209-"$F;@!2d}"</f>
        <v>#VALUE!</v>
      </c>
      <c r="AF362" t="e">
        <f>'North America'!1210:1210-"$F;@!2d~"</f>
        <v>#VALUE!</v>
      </c>
      <c r="AG362" t="e">
        <f>'North America'!1211:1211-"$F;@!2e#"</f>
        <v>#VALUE!</v>
      </c>
      <c r="AH362" t="e">
        <f>'North America'!1212:1212-"$F;@!2e$"</f>
        <v>#VALUE!</v>
      </c>
      <c r="AI362" t="e">
        <f>'North America'!1213:1213-"$F;@!2e%"</f>
        <v>#VALUE!</v>
      </c>
      <c r="AJ362" t="e">
        <f>'North America'!1214:1214-"$F;@!2e&amp;"</f>
        <v>#VALUE!</v>
      </c>
      <c r="AK362" t="e">
        <f>'North America'!1215:1215-"$F;@!2e'"</f>
        <v>#VALUE!</v>
      </c>
      <c r="AL362" t="e">
        <f>'North America'!1216:1216-"$F;@!2e("</f>
        <v>#VALUE!</v>
      </c>
      <c r="AM362" t="e">
        <f>'North America'!1217:1217-"$F;@!2e)"</f>
        <v>#VALUE!</v>
      </c>
      <c r="AN362" t="e">
        <f>'North America'!1218:1218-"$F;@!2e."</f>
        <v>#VALUE!</v>
      </c>
      <c r="AO362" t="e">
        <f>'North America'!1219:1219-"$F;@!2e/"</f>
        <v>#VALUE!</v>
      </c>
      <c r="AP362" t="e">
        <f>'North America'!1220:1220-"$F;@!2e0"</f>
        <v>#VALUE!</v>
      </c>
      <c r="AQ362" t="e">
        <f>'North America'!1221:1221-"$F;@!2e1"</f>
        <v>#VALUE!</v>
      </c>
      <c r="AR362" t="e">
        <f>'North America'!1222:1222-"$F;@!2e2"</f>
        <v>#VALUE!</v>
      </c>
      <c r="AS362" t="e">
        <f>'North America'!1223:1223-"$F;@!2e3"</f>
        <v>#VALUE!</v>
      </c>
      <c r="AT362" t="e">
        <f>'North America'!1224:1224-"$F;@!2e4"</f>
        <v>#VALUE!</v>
      </c>
      <c r="AU362" t="e">
        <f>'North America'!1225:1225-"$F;@!2e5"</f>
        <v>#VALUE!</v>
      </c>
      <c r="AV362" t="e">
        <f>'North America'!1226:1226-"$F;@!2e6"</f>
        <v>#VALUE!</v>
      </c>
      <c r="AW362" t="e">
        <f>'North America'!1227:1227-"$F;@!2e7"</f>
        <v>#VALUE!</v>
      </c>
      <c r="AX362" t="e">
        <f>'North America'!1228:1228-"$F;@!2e8"</f>
        <v>#VALUE!</v>
      </c>
      <c r="AY362" t="e">
        <f>'North America'!1229:1229-"$F;@!2e9"</f>
        <v>#VALUE!</v>
      </c>
      <c r="AZ362" t="e">
        <f>'North America'!1230:1230-"$F;@!2e:"</f>
        <v>#VALUE!</v>
      </c>
      <c r="BA362" t="e">
        <f>'North America'!1231:1231-"$F;@!2e;"</f>
        <v>#VALUE!</v>
      </c>
      <c r="BB362" t="e">
        <f>'North America'!1232:1232-"$F;@!2e&lt;"</f>
        <v>#VALUE!</v>
      </c>
      <c r="BC362" t="e">
        <f>'North America'!1233:1233-"$F;@!2e="</f>
        <v>#VALUE!</v>
      </c>
      <c r="BD362" t="e">
        <f>'North America'!1234:1234-"$F;@!2e&gt;"</f>
        <v>#VALUE!</v>
      </c>
      <c r="BE362" t="e">
        <f>'North America'!1235:1235-"$F;@!2e?"</f>
        <v>#VALUE!</v>
      </c>
      <c r="BF362" t="e">
        <f>'North America'!1236:1236-"$F;@!2e@"</f>
        <v>#VALUE!</v>
      </c>
      <c r="BG362" t="e">
        <f>'North America'!1237:1237-"$F;@!2eA"</f>
        <v>#VALUE!</v>
      </c>
      <c r="BH362" t="e">
        <f>'North America'!1238:1238-"$F;@!2eB"</f>
        <v>#VALUE!</v>
      </c>
      <c r="BI362" t="e">
        <f>'North America'!1239:1239-"$F;@!2eC"</f>
        <v>#VALUE!</v>
      </c>
      <c r="BJ362" t="e">
        <f>'North America'!1240:1240-"$F;@!2eD"</f>
        <v>#VALUE!</v>
      </c>
      <c r="BK362" t="e">
        <f>'North America'!1241:1241-"$F;@!2eE"</f>
        <v>#VALUE!</v>
      </c>
      <c r="BL362" t="e">
        <f>'North America'!1242:1242-"$F;@!2eF"</f>
        <v>#VALUE!</v>
      </c>
      <c r="BM362" t="e">
        <f>'North America'!1243:1243-"$F;@!2eG"</f>
        <v>#VALUE!</v>
      </c>
      <c r="BN362" t="e">
        <f>'North America'!1244:1244-"$F;@!2eH"</f>
        <v>#VALUE!</v>
      </c>
      <c r="BO362" t="e">
        <f>'North America'!1245:1245-"$F;@!2eI"</f>
        <v>#VALUE!</v>
      </c>
      <c r="BP362" t="e">
        <f>'North America'!1246:1246-"$F;@!2eJ"</f>
        <v>#VALUE!</v>
      </c>
      <c r="BQ362" t="e">
        <f>'North America'!1247:1247-"$F;@!2eK"</f>
        <v>#VALUE!</v>
      </c>
      <c r="BR362" t="e">
        <f>'North America'!1248:1248-"$F;@!2eL"</f>
        <v>#VALUE!</v>
      </c>
      <c r="BS362" t="e">
        <f>'North America'!1249:1249-"$F;@!2eM"</f>
        <v>#VALUE!</v>
      </c>
      <c r="BT362" t="e">
        <f>'North America'!1250:1250-"$F;@!2eN"</f>
        <v>#VALUE!</v>
      </c>
      <c r="BU362" t="e">
        <f>'North America'!1251:1251-"$F;@!2eO"</f>
        <v>#VALUE!</v>
      </c>
      <c r="BV362" t="e">
        <f>'North America'!1252:1252-"$F;@!2eP"</f>
        <v>#VALUE!</v>
      </c>
      <c r="BW362" t="e">
        <f>'North America'!1253:1253-"$F;@!2eQ"</f>
        <v>#VALUE!</v>
      </c>
      <c r="BX362" t="e">
        <f>'North America'!1254:1254-"$F;@!2eR"</f>
        <v>#VALUE!</v>
      </c>
      <c r="BY362" t="e">
        <f>'North America'!1255:1255-"$F;@!2eS"</f>
        <v>#VALUE!</v>
      </c>
      <c r="BZ362" t="e">
        <f>'North America'!1256:1256-"$F;@!2eT"</f>
        <v>#VALUE!</v>
      </c>
      <c r="CA362" t="e">
        <f>'North America'!1257:1257-"$F;@!2eU"</f>
        <v>#VALUE!</v>
      </c>
      <c r="CB362" t="e">
        <f>'North America'!1258:1258-"$F;@!2eV"</f>
        <v>#VALUE!</v>
      </c>
      <c r="CC362" t="e">
        <f>'North America'!1259:1259-"$F;@!2eW"</f>
        <v>#VALUE!</v>
      </c>
      <c r="CD362" t="e">
        <f>'North America'!1260:1260-"$F;@!2eX"</f>
        <v>#VALUE!</v>
      </c>
      <c r="CE362" t="e">
        <f>'North America'!1261:1261-"$F;@!2eY"</f>
        <v>#VALUE!</v>
      </c>
      <c r="CF362" t="e">
        <f>'North America'!1262:1262-"$F;@!2eZ"</f>
        <v>#VALUE!</v>
      </c>
      <c r="CG362" t="e">
        <f>'North America'!1263:1263-"$F;@!2e["</f>
        <v>#VALUE!</v>
      </c>
      <c r="CH362" t="e">
        <f>'North America'!1264:1264-"$F;@!2e\"</f>
        <v>#VALUE!</v>
      </c>
      <c r="CI362" t="e">
        <f>'North America'!1265:1265-"$F;@!2e]"</f>
        <v>#VALUE!</v>
      </c>
      <c r="CJ362" t="e">
        <f>'North America'!1266:1266-"$F;@!2e^"</f>
        <v>#VALUE!</v>
      </c>
      <c r="CK362" t="e">
        <f>'North America'!1267:1267-"$F;@!2e_"</f>
        <v>#VALUE!</v>
      </c>
      <c r="CL362" t="e">
        <f>'North America'!1268:1268-"$F;@!2e`"</f>
        <v>#VALUE!</v>
      </c>
      <c r="CM362" t="e">
        <f>'North America'!1269:1269-"$F;@!2ea"</f>
        <v>#VALUE!</v>
      </c>
      <c r="CN362" t="e">
        <f>'North America'!1270:1270-"$F;@!2eb"</f>
        <v>#VALUE!</v>
      </c>
      <c r="CO362" t="e">
        <f>'North America'!1271:1271-"$F;@!2ec"</f>
        <v>#VALUE!</v>
      </c>
      <c r="CP362" t="e">
        <f>'North America'!1272:1272-"$F;@!2ed"</f>
        <v>#VALUE!</v>
      </c>
      <c r="CQ362" t="e">
        <f>'North America'!1273:1273-"$F;@!2ee"</f>
        <v>#VALUE!</v>
      </c>
      <c r="CR362" t="e">
        <f>'North America'!1274:1274-"$F;@!2ef"</f>
        <v>#VALUE!</v>
      </c>
      <c r="CS362" t="e">
        <f>'North America'!1275:1275-"$F;@!2eg"</f>
        <v>#VALUE!</v>
      </c>
      <c r="CT362" t="e">
        <f>'North America'!1276:1276-"$F;@!2eh"</f>
        <v>#VALUE!</v>
      </c>
      <c r="CU362" t="e">
        <f>'North America'!1277:1277-"$F;@!2ei"</f>
        <v>#VALUE!</v>
      </c>
      <c r="CV362" t="e">
        <f>'North America'!1278:1278-"$F;@!2ej"</f>
        <v>#VALUE!</v>
      </c>
      <c r="CW362" t="e">
        <f>'North America'!1279:1279-"$F;@!2ek"</f>
        <v>#VALUE!</v>
      </c>
      <c r="CX362" t="e">
        <f>'North America'!1280:1280-"$F;@!2el"</f>
        <v>#VALUE!</v>
      </c>
      <c r="CY362" t="e">
        <f>'North America'!1281:1281-"$F;@!2em"</f>
        <v>#VALUE!</v>
      </c>
      <c r="CZ362" t="e">
        <f>'North America'!1282:1282-"$F;@!2en"</f>
        <v>#VALUE!</v>
      </c>
      <c r="DA362" t="e">
        <f>'North America'!1283:1283-"$F;@!2eo"</f>
        <v>#VALUE!</v>
      </c>
      <c r="DB362" t="e">
        <f>'North America'!1284:1284-"$F;@!2ep"</f>
        <v>#VALUE!</v>
      </c>
      <c r="DC362" t="e">
        <f>'North America'!1285:1285-"$F;@!2eq"</f>
        <v>#VALUE!</v>
      </c>
      <c r="DD362" t="e">
        <f>'North America'!1286:1286-"$F;@!2er"</f>
        <v>#VALUE!</v>
      </c>
      <c r="DE362" t="e">
        <f>'North America'!1287:1287-"$F;@!2es"</f>
        <v>#VALUE!</v>
      </c>
      <c r="DF362" t="e">
        <f>'North America'!1288:1288-"$F;@!2et"</f>
        <v>#VALUE!</v>
      </c>
      <c r="DG362" t="e">
        <f>'North America'!1289:1289-"$F;@!2eu"</f>
        <v>#VALUE!</v>
      </c>
      <c r="DH362" t="e">
        <f>'North America'!1290:1290-"$F;@!2ev"</f>
        <v>#VALUE!</v>
      </c>
      <c r="DI362" t="e">
        <f>'North America'!1291:1291-"$F;@!2ew"</f>
        <v>#VALUE!</v>
      </c>
      <c r="DJ362" t="e">
        <f>'North America'!1292:1292-"$F;@!2ex"</f>
        <v>#VALUE!</v>
      </c>
      <c r="DK362" t="e">
        <f>'North America'!1293:1293-"$F;@!2ey"</f>
        <v>#VALUE!</v>
      </c>
      <c r="DL362" t="e">
        <f>'North America'!1294:1294-"$F;@!2ez"</f>
        <v>#VALUE!</v>
      </c>
      <c r="DM362" t="e">
        <f>'North America'!1295:1295-"$F;@!2e{"</f>
        <v>#VALUE!</v>
      </c>
      <c r="DN362" t="e">
        <f>'North America'!1296:1296-"$F;@!2e|"</f>
        <v>#VALUE!</v>
      </c>
      <c r="DO362" t="e">
        <f>'North America'!1297:1297-"$F;@!2e}"</f>
        <v>#VALUE!</v>
      </c>
      <c r="DP362" t="e">
        <f>'North America'!1298:1298-"$F;@!2e~"</f>
        <v>#VALUE!</v>
      </c>
      <c r="DQ362" t="e">
        <f>'North America'!1299:1299-"$F;@!2f#"</f>
        <v>#VALUE!</v>
      </c>
      <c r="DR362" t="e">
        <f>'North America'!1300:1300-"$F;@!2f$"</f>
        <v>#VALUE!</v>
      </c>
      <c r="DS362" t="e">
        <f>'North America'!1301:1301-"$F;@!2f%"</f>
        <v>#VALUE!</v>
      </c>
      <c r="DT362" t="e">
        <f>'North America'!1302:1302-"$F;@!2f&amp;"</f>
        <v>#VALUE!</v>
      </c>
      <c r="DU362" t="e">
        <f>'North America'!1303:1303-"$F;@!2f'"</f>
        <v>#VALUE!</v>
      </c>
      <c r="DV362" t="e">
        <f>'North America'!1304:1304-"$F;@!2f("</f>
        <v>#VALUE!</v>
      </c>
      <c r="DW362" t="e">
        <f>'North America'!1305:1305-"$F;@!2f)"</f>
        <v>#VALUE!</v>
      </c>
      <c r="DX362" t="e">
        <f>'North America'!1306:1306-"$F;@!2f."</f>
        <v>#VALUE!</v>
      </c>
      <c r="DY362" t="e">
        <f>'North America'!1307:1307-"$F;@!2f/"</f>
        <v>#VALUE!</v>
      </c>
      <c r="DZ362" t="e">
        <f>'North America'!1308:1308-"$F;@!2f0"</f>
        <v>#VALUE!</v>
      </c>
      <c r="EA362" t="e">
        <f>'North America'!1309:1309-"$F;@!2f1"</f>
        <v>#VALUE!</v>
      </c>
      <c r="EB362" t="e">
        <f>'North America'!1310:1310-"$F;@!2f2"</f>
        <v>#VALUE!</v>
      </c>
      <c r="EC362" t="e">
        <f>'North America'!1311:1311-"$F;@!2f3"</f>
        <v>#VALUE!</v>
      </c>
      <c r="ED362" t="e">
        <f>'North America'!1312:1312-"$F;@!2f4"</f>
        <v>#VALUE!</v>
      </c>
      <c r="EE362" t="e">
        <f>'North America'!1313:1313-"$F;@!2f5"</f>
        <v>#VALUE!</v>
      </c>
      <c r="EF362" t="e">
        <f>'North America'!1314:1314-"$F;@!2f6"</f>
        <v>#VALUE!</v>
      </c>
      <c r="EG362" t="e">
        <f>'North America'!1315:1315-"$F;@!2f7"</f>
        <v>#VALUE!</v>
      </c>
      <c r="EH362" t="e">
        <f>'North America'!1316:1316-"$F;@!2f8"</f>
        <v>#VALUE!</v>
      </c>
      <c r="EI362" t="e">
        <f>'North America'!1317:1317-"$F;@!2f9"</f>
        <v>#VALUE!</v>
      </c>
      <c r="EJ362" t="e">
        <f>'North America'!1318:1318-"$F;@!2f:"</f>
        <v>#VALUE!</v>
      </c>
      <c r="EK362" t="e">
        <f>'North America'!1319:1319-"$F;@!2f;"</f>
        <v>#VALUE!</v>
      </c>
      <c r="EL362" t="e">
        <f>'North America'!1320:1320-"$F;@!2f&lt;"</f>
        <v>#VALUE!</v>
      </c>
      <c r="EM362" t="e">
        <f>'North America'!1321:1321-"$F;@!2f="</f>
        <v>#VALUE!</v>
      </c>
      <c r="EN362" t="e">
        <f>'North America'!1322:1322-"$F;@!2f&gt;"</f>
        <v>#VALUE!</v>
      </c>
      <c r="EO362" t="e">
        <f>'North America'!1323:1323-"$F;@!2f?"</f>
        <v>#VALUE!</v>
      </c>
      <c r="EP362" t="e">
        <f>'North America'!1324:1324-"$F;@!2f@"</f>
        <v>#VALUE!</v>
      </c>
      <c r="EQ362" t="e">
        <f>'North America'!1325:1325-"$F;@!2fA"</f>
        <v>#VALUE!</v>
      </c>
      <c r="ER362" t="e">
        <f>'North America'!1326:1326-"$F;@!2fB"</f>
        <v>#VALUE!</v>
      </c>
      <c r="ES362" t="e">
        <f>'North America'!1327:1327-"$F;@!2fC"</f>
        <v>#VALUE!</v>
      </c>
      <c r="ET362" t="e">
        <f>'North America'!1328:1328-"$F;@!2fD"</f>
        <v>#VALUE!</v>
      </c>
      <c r="EU362" t="e">
        <f>'North America'!1329:1329-"$F;@!2fE"</f>
        <v>#VALUE!</v>
      </c>
      <c r="EV362" t="e">
        <f>'North America'!1330:1330-"$F;@!2fF"</f>
        <v>#VALUE!</v>
      </c>
      <c r="EW362" t="e">
        <f>'North America'!1331:1331-"$F;@!2fG"</f>
        <v>#VALUE!</v>
      </c>
      <c r="EX362" t="e">
        <f>'North America'!1332:1332-"$F;@!2fH"</f>
        <v>#VALUE!</v>
      </c>
      <c r="EY362" t="e">
        <f>'North America'!1333:1333-"$F;@!2fI"</f>
        <v>#VALUE!</v>
      </c>
      <c r="EZ362" t="e">
        <f>'North America'!1334:1334-"$F;@!2fJ"</f>
        <v>#VALUE!</v>
      </c>
      <c r="FA362" t="e">
        <f>'North America'!1335:1335-"$F;@!2fK"</f>
        <v>#VALUE!</v>
      </c>
      <c r="FB362" t="e">
        <f>'North America'!1336:1336-"$F;@!2fL"</f>
        <v>#VALUE!</v>
      </c>
      <c r="FC362" t="e">
        <f>'North America'!1337:1337-"$F;@!2fM"</f>
        <v>#VALUE!</v>
      </c>
      <c r="FD362" t="e">
        <f>'North America'!1338:1338-"$F;@!2fN"</f>
        <v>#VALUE!</v>
      </c>
      <c r="FE362" t="e">
        <f>'North America'!1339:1339-"$F;@!2fO"</f>
        <v>#VALUE!</v>
      </c>
      <c r="FF362" t="e">
        <f>'North America'!1340:1340-"$F;@!2fP"</f>
        <v>#VALUE!</v>
      </c>
      <c r="FG362" t="e">
        <f>'North America'!1341:1341-"$F;@!2fQ"</f>
        <v>#VALUE!</v>
      </c>
      <c r="FH362" t="e">
        <f>'North America'!1342:1342-"$F;@!2fR"</f>
        <v>#VALUE!</v>
      </c>
      <c r="FI362" t="e">
        <f>'North America'!1343:1343-"$F;@!2fS"</f>
        <v>#VALUE!</v>
      </c>
      <c r="FJ362" t="e">
        <f>'North America'!1344:1344-"$F;@!2fT"</f>
        <v>#VALUE!</v>
      </c>
      <c r="FK362" t="e">
        <f>'North America'!1345:1345-"$F;@!2fU"</f>
        <v>#VALUE!</v>
      </c>
      <c r="FL362" t="e">
        <f>'North America'!1346:1346-"$F;@!2fV"</f>
        <v>#VALUE!</v>
      </c>
      <c r="FM362" t="e">
        <f>'North America'!1347:1347-"$F;@!2fW"</f>
        <v>#VALUE!</v>
      </c>
      <c r="FN362" t="e">
        <f>'North America'!1348:1348-"$F;@!2fX"</f>
        <v>#VALUE!</v>
      </c>
      <c r="FO362" t="e">
        <f>'North America'!1349:1349-"$F;@!2fY"</f>
        <v>#VALUE!</v>
      </c>
      <c r="FP362" t="e">
        <f>'North America'!1350:1350-"$F;@!2fZ"</f>
        <v>#VALUE!</v>
      </c>
      <c r="FQ362" t="e">
        <f>'North America'!1351:1351-"$F;@!2f["</f>
        <v>#VALUE!</v>
      </c>
      <c r="FR362" t="e">
        <f>'North America'!1352:1352-"$F;@!2f\"</f>
        <v>#VALUE!</v>
      </c>
      <c r="FS362" t="e">
        <f>'North America'!1353:1353-"$F;@!2f]"</f>
        <v>#VALUE!</v>
      </c>
      <c r="FT362" t="e">
        <f>'North America'!1354:1354-"$F;@!2f^"</f>
        <v>#VALUE!</v>
      </c>
      <c r="FU362" t="e">
        <f>'North America'!1355:1355-"$F;@!2f_"</f>
        <v>#VALUE!</v>
      </c>
      <c r="FV362" t="e">
        <f>'North America'!1356:1356-"$F;@!2f`"</f>
        <v>#VALUE!</v>
      </c>
      <c r="FW362" t="e">
        <f>'North America'!1357:1357-"$F;@!2fa"</f>
        <v>#VALUE!</v>
      </c>
      <c r="FX362" t="e">
        <f>'North America'!1358:1358-"$F;@!2fb"</f>
        <v>#VALUE!</v>
      </c>
      <c r="FY362" t="e">
        <f>'North America'!1359:1359-"$F;@!2fc"</f>
        <v>#VALUE!</v>
      </c>
      <c r="FZ362" t="e">
        <f>'North America'!1360:1360-"$F;@!2fd"</f>
        <v>#VALUE!</v>
      </c>
      <c r="GA362" t="e">
        <f>'North America'!1361:1361-"$F;@!2fe"</f>
        <v>#VALUE!</v>
      </c>
      <c r="GB362" t="e">
        <f>'North America'!1362:1362-"$F;@!2ff"</f>
        <v>#VALUE!</v>
      </c>
      <c r="GC362" t="e">
        <f>'North America'!1363:1363-"$F;@!2fg"</f>
        <v>#VALUE!</v>
      </c>
      <c r="GD362" t="e">
        <f>'North America'!1364:1364-"$F;@!2fh"</f>
        <v>#VALUE!</v>
      </c>
      <c r="GE362" t="e">
        <f>'North America'!1365:1365-"$F;@!2fi"</f>
        <v>#VALUE!</v>
      </c>
      <c r="GF362" t="e">
        <f>'North America'!1366:1366-"$F;@!2fj"</f>
        <v>#VALUE!</v>
      </c>
      <c r="GG362" t="e">
        <f>'North America'!1367:1367-"$F;@!2fk"</f>
        <v>#VALUE!</v>
      </c>
      <c r="GH362" t="e">
        <f>'North America'!1368:1368-"$F;@!2fl"</f>
        <v>#VALUE!</v>
      </c>
      <c r="GI362" t="e">
        <f>'North America'!1369:1369-"$F;@!2fm"</f>
        <v>#VALUE!</v>
      </c>
      <c r="GJ362" t="e">
        <f>'North America'!1370:1370-"$F;@!2fn"</f>
        <v>#VALUE!</v>
      </c>
      <c r="GK362" t="e">
        <f>'North America'!1371:1371-"$F;@!2fo"</f>
        <v>#VALUE!</v>
      </c>
      <c r="GL362" t="e">
        <f>'North America'!1372:1372-"$F;@!2fp"</f>
        <v>#VALUE!</v>
      </c>
      <c r="GM362" t="e">
        <f>'North America'!1373:1373-"$F;@!2fq"</f>
        <v>#VALUE!</v>
      </c>
      <c r="GN362" t="e">
        <f>'North America'!1374:1374-"$F;@!2fr"</f>
        <v>#VALUE!</v>
      </c>
      <c r="GO362" t="e">
        <f>'North America'!1375:1375-"$F;@!2fs"</f>
        <v>#VALUE!</v>
      </c>
      <c r="GP362" t="e">
        <f>'North America'!1376:1376-"$F;@!2ft"</f>
        <v>#VALUE!</v>
      </c>
      <c r="GQ362" t="e">
        <f>'North America'!1377:1377-"$F;@!2fu"</f>
        <v>#VALUE!</v>
      </c>
      <c r="GR362" t="e">
        <f>'North America'!1378:1378-"$F;@!2fv"</f>
        <v>#VALUE!</v>
      </c>
      <c r="GS362" t="e">
        <f>'North America'!1379:1379-"$F;@!2fw"</f>
        <v>#VALUE!</v>
      </c>
      <c r="GT362" t="e">
        <f>'North America'!1380:1380-"$F;@!2fx"</f>
        <v>#VALUE!</v>
      </c>
      <c r="GU362" t="e">
        <f>'North America'!1381:1381-"$F;@!2fy"</f>
        <v>#VALUE!</v>
      </c>
      <c r="GV362" t="e">
        <f>'North America'!1382:1382-"$F;@!2fz"</f>
        <v>#VALUE!</v>
      </c>
      <c r="GW362" t="e">
        <f>'North America'!1383:1383-"$F;@!2f{"</f>
        <v>#VALUE!</v>
      </c>
      <c r="GX362" t="e">
        <f>'North America'!1384:1384-"$F;@!2f|"</f>
        <v>#VALUE!</v>
      </c>
      <c r="GY362" t="e">
        <f>'North America'!1385:1385-"$F;@!2f}"</f>
        <v>#VALUE!</v>
      </c>
      <c r="GZ362" t="e">
        <f>'North America'!1386:1386-"$F;@!2f~"</f>
        <v>#VALUE!</v>
      </c>
      <c r="HA362" t="e">
        <f>'North America'!1387:1387-"$F;@!2g#"</f>
        <v>#VALUE!</v>
      </c>
      <c r="HB362" t="e">
        <f>'North America'!1388:1388-"$F;@!2g$"</f>
        <v>#VALUE!</v>
      </c>
      <c r="HC362" t="e">
        <f>'North America'!1389:1389-"$F;@!2g%"</f>
        <v>#VALUE!</v>
      </c>
      <c r="HD362" t="e">
        <f>'North America'!1390:1390-"$F;@!2g&amp;"</f>
        <v>#VALUE!</v>
      </c>
      <c r="HE362" t="e">
        <f>'North America'!1391:1391-"$F;@!2g'"</f>
        <v>#VALUE!</v>
      </c>
      <c r="HF362" t="e">
        <f>'North America'!1392:1392-"$F;@!2g("</f>
        <v>#VALUE!</v>
      </c>
      <c r="HG362" t="e">
        <f>'North America'!1393:1393-"$F;@!2g)"</f>
        <v>#VALUE!</v>
      </c>
      <c r="HH362" t="e">
        <f>'North America'!1394:1394-"$F;@!2g."</f>
        <v>#VALUE!</v>
      </c>
      <c r="HI362" t="e">
        <f>'North America'!1395:1395-"$F;@!2g/"</f>
        <v>#VALUE!</v>
      </c>
      <c r="HJ362" t="e">
        <f>'North America'!1396:1396-"$F;@!2g0"</f>
        <v>#VALUE!</v>
      </c>
      <c r="HK362" t="e">
        <f>'North America'!1397:1397-"$F;@!2g1"</f>
        <v>#VALUE!</v>
      </c>
      <c r="HL362" t="e">
        <f>'North America'!1398:1398-"$F;@!2g2"</f>
        <v>#VALUE!</v>
      </c>
      <c r="HM362" t="e">
        <f>'North America'!1399:1399-"$F;@!2g3"</f>
        <v>#VALUE!</v>
      </c>
      <c r="HN362" t="e">
        <f>'North America'!1400:1400-"$F;@!2g4"</f>
        <v>#VALUE!</v>
      </c>
      <c r="HO362" t="e">
        <f>'North America'!1401:1401-"$F;@!2g5"</f>
        <v>#VALUE!</v>
      </c>
      <c r="HP362" t="e">
        <f>'North America'!1402:1402-"$F;@!2g6"</f>
        <v>#VALUE!</v>
      </c>
      <c r="HQ362" t="e">
        <f>'North America'!1403:1403-"$F;@!2g7"</f>
        <v>#VALUE!</v>
      </c>
      <c r="HR362" t="e">
        <f>'North America'!1404:1404-"$F;@!2g8"</f>
        <v>#VALUE!</v>
      </c>
      <c r="HS362" t="e">
        <f>'North America'!1405:1405-"$F;@!2g9"</f>
        <v>#VALUE!</v>
      </c>
      <c r="HT362" t="e">
        <f>'North America'!1406:1406-"$F;@!2g:"</f>
        <v>#VALUE!</v>
      </c>
      <c r="HU362" t="e">
        <f>'North America'!1407:1407-"$F;@!2g;"</f>
        <v>#VALUE!</v>
      </c>
      <c r="HV362" t="e">
        <f>'North America'!1408:1408-"$F;@!2g&lt;"</f>
        <v>#VALUE!</v>
      </c>
      <c r="HW362" t="e">
        <f>'North America'!1409:1409-"$F;@!2g="</f>
        <v>#VALUE!</v>
      </c>
      <c r="HX362" t="e">
        <f>'North America'!1410:1410-"$F;@!2g&gt;"</f>
        <v>#VALUE!</v>
      </c>
      <c r="HY362" t="e">
        <f>'North America'!1411:1411-"$F;@!2g?"</f>
        <v>#VALUE!</v>
      </c>
      <c r="HZ362" t="e">
        <f>'North America'!1412:1412-"$F;@!2g@"</f>
        <v>#VALUE!</v>
      </c>
      <c r="IA362" t="e">
        <f>'North America'!1413:1413-"$F;@!2gA"</f>
        <v>#VALUE!</v>
      </c>
      <c r="IB362" t="e">
        <f>'North America'!1414:1414-"$F;@!2gB"</f>
        <v>#VALUE!</v>
      </c>
      <c r="IC362" t="e">
        <f>'North America'!1415:1415-"$F;@!2gC"</f>
        <v>#VALUE!</v>
      </c>
      <c r="ID362" t="e">
        <f>'North America'!1416:1416-"$F;@!2gD"</f>
        <v>#VALUE!</v>
      </c>
      <c r="IE362" t="e">
        <f>'North America'!1417:1417-"$F;@!2gE"</f>
        <v>#VALUE!</v>
      </c>
      <c r="IF362" t="e">
        <f>'North America'!1418:1418-"$F;@!2gF"</f>
        <v>#VALUE!</v>
      </c>
      <c r="IG362" t="e">
        <f>'North America'!1419:1419-"$F;@!2gG"</f>
        <v>#VALUE!</v>
      </c>
      <c r="IH362" t="e">
        <f>'North America'!1420:1420-"$F;@!2gH"</f>
        <v>#VALUE!</v>
      </c>
      <c r="II362" t="e">
        <f>'North America'!1421:1421-"$F;@!2gI"</f>
        <v>#VALUE!</v>
      </c>
      <c r="IJ362" t="e">
        <f>'North America'!1422:1422-"$F;@!2gJ"</f>
        <v>#VALUE!</v>
      </c>
      <c r="IK362" t="e">
        <f>'North America'!1423:1423-"$F;@!2gK"</f>
        <v>#VALUE!</v>
      </c>
      <c r="IL362" t="e">
        <f>'North America'!1424:1424-"$F;@!2gL"</f>
        <v>#VALUE!</v>
      </c>
      <c r="IM362" t="e">
        <f>'North America'!1425:1425-"$F;@!2gM"</f>
        <v>#VALUE!</v>
      </c>
      <c r="IN362" t="e">
        <f>'North America'!1426:1426-"$F;@!2gN"</f>
        <v>#VALUE!</v>
      </c>
      <c r="IO362" t="e">
        <f>'North America'!1427:1427-"$F;@!2gO"</f>
        <v>#VALUE!</v>
      </c>
      <c r="IP362" t="e">
        <f>'North America'!1428:1428-"$F;@!2gP"</f>
        <v>#VALUE!</v>
      </c>
      <c r="IQ362" t="e">
        <f>'North America'!1429:1429-"$F;@!2gQ"</f>
        <v>#VALUE!</v>
      </c>
      <c r="IR362" t="e">
        <f>'North America'!1430:1430-"$F;@!2gR"</f>
        <v>#VALUE!</v>
      </c>
      <c r="IS362" t="e">
        <f>'North America'!1431:1431-"$F;@!2gS"</f>
        <v>#VALUE!</v>
      </c>
      <c r="IT362" t="e">
        <f>'North America'!1432:1432-"$F;@!2gT"</f>
        <v>#VALUE!</v>
      </c>
      <c r="IU362" t="e">
        <f>'North America'!1433:1433-"$F;@!2gU"</f>
        <v>#VALUE!</v>
      </c>
      <c r="IV362" t="e">
        <f>'North America'!1434:1434-"$F;@!2gV"</f>
        <v>#VALUE!</v>
      </c>
    </row>
    <row r="363" spans="6:256" x14ac:dyDescent="0.35">
      <c r="F363" t="e">
        <f>'North America'!1435:1435-"$F;@!2gW"</f>
        <v>#VALUE!</v>
      </c>
      <c r="G363" t="e">
        <f>'North America'!1436:1436-"$F;@!2gX"</f>
        <v>#VALUE!</v>
      </c>
      <c r="H363" t="e">
        <f>'North America'!1437:1437-"$F;@!2gY"</f>
        <v>#VALUE!</v>
      </c>
      <c r="I363" t="e">
        <f>'North America'!1438:1438-"$F;@!2gZ"</f>
        <v>#VALUE!</v>
      </c>
      <c r="J363" t="e">
        <f>'North America'!1439:1439-"$F;@!2g["</f>
        <v>#VALUE!</v>
      </c>
      <c r="K363" t="e">
        <f>'North America'!1440:1440-"$F;@!2g\"</f>
        <v>#VALUE!</v>
      </c>
      <c r="L363" t="e">
        <f>'North America'!1441:1441-"$F;@!2g]"</f>
        <v>#VALUE!</v>
      </c>
      <c r="M363" t="e">
        <f>'North America'!1442:1442-"$F;@!2g^"</f>
        <v>#VALUE!</v>
      </c>
      <c r="N363" t="e">
        <f>'North America'!1443:1443-"$F;@!2g_"</f>
        <v>#VALUE!</v>
      </c>
      <c r="O363" t="e">
        <f>'North America'!1444:1444-"$F;@!2g`"</f>
        <v>#VALUE!</v>
      </c>
      <c r="P363" t="e">
        <f>'North America'!1445:1445-"$F;@!2ga"</f>
        <v>#VALUE!</v>
      </c>
      <c r="Q363" t="e">
        <f>'North America'!1446:1446-"$F;@!2gb"</f>
        <v>#VALUE!</v>
      </c>
      <c r="R363" t="e">
        <f>'North America'!1447:1447-"$F;@!2gc"</f>
        <v>#VALUE!</v>
      </c>
      <c r="S363" t="e">
        <f>'North America'!1448:1448-"$F;@!2gd"</f>
        <v>#VALUE!</v>
      </c>
      <c r="T363" t="e">
        <f>'North America'!1449:1449-"$F;@!2ge"</f>
        <v>#VALUE!</v>
      </c>
      <c r="U363" t="e">
        <f>'North America'!1450:1450-"$F;@!2gf"</f>
        <v>#VALUE!</v>
      </c>
      <c r="V363" t="e">
        <f>'North America'!1451:1451-"$F;@!2gg"</f>
        <v>#VALUE!</v>
      </c>
      <c r="W363" t="e">
        <f>'North America'!1452:1452-"$F;@!2gh"</f>
        <v>#VALUE!</v>
      </c>
      <c r="X363" t="e">
        <f>'North America'!1453:1453-"$F;@!2gi"</f>
        <v>#VALUE!</v>
      </c>
      <c r="Y363" t="e">
        <f>'North America'!1454:1454-"$F;@!2gj"</f>
        <v>#VALUE!</v>
      </c>
      <c r="Z363" t="e">
        <f>'North America'!1455:1455-"$F;@!2gk"</f>
        <v>#VALUE!</v>
      </c>
      <c r="AA363" t="e">
        <f>'North America'!1456:1456-"$F;@!2gl"</f>
        <v>#VALUE!</v>
      </c>
      <c r="AB363" t="e">
        <f>'North America'!1457:1457-"$F;@!2gm"</f>
        <v>#VALUE!</v>
      </c>
      <c r="AC363" t="e">
        <f>'North America'!1458:1458-"$F;@!2gn"</f>
        <v>#VALUE!</v>
      </c>
      <c r="AD363" t="e">
        <f>'North America'!1459:1459-"$F;@!2go"</f>
        <v>#VALUE!</v>
      </c>
      <c r="AE363" t="e">
        <f>'North America'!1460:1460-"$F;@!2gp"</f>
        <v>#VALUE!</v>
      </c>
      <c r="AF363" t="e">
        <f>'North America'!1461:1461-"$F;@!2gq"</f>
        <v>#VALUE!</v>
      </c>
      <c r="AG363" t="e">
        <f>'North America'!1462:1462-"$F;@!2gr"</f>
        <v>#VALUE!</v>
      </c>
      <c r="AH363" t="e">
        <f>'North America'!1463:1463-"$F;@!2gs"</f>
        <v>#VALUE!</v>
      </c>
      <c r="AI363" t="e">
        <f>'North America'!1464:1464-"$F;@!2gt"</f>
        <v>#VALUE!</v>
      </c>
      <c r="AJ363" t="e">
        <f>'North America'!1465:1465-"$F;@!2gu"</f>
        <v>#VALUE!</v>
      </c>
      <c r="AK363" t="e">
        <f>'North America'!1466:1466-"$F;@!2gv"</f>
        <v>#VALUE!</v>
      </c>
      <c r="AL363" t="e">
        <f>'North America'!1467:1467-"$F;@!2gw"</f>
        <v>#VALUE!</v>
      </c>
      <c r="AM363" t="e">
        <f>'North America'!1468:1468-"$F;@!2gx"</f>
        <v>#VALUE!</v>
      </c>
      <c r="AN363" t="e">
        <f>'North America'!1469:1469-"$F;@!2gy"</f>
        <v>#VALUE!</v>
      </c>
      <c r="AO363" t="e">
        <f>'North America'!1470:1470-"$F;@!2gz"</f>
        <v>#VALUE!</v>
      </c>
      <c r="AP363" t="e">
        <f>'North America'!1471:1471-"$F;@!2g{"</f>
        <v>#VALUE!</v>
      </c>
      <c r="AQ363" t="e">
        <f>'North America'!1472:1472-"$F;@!2g|"</f>
        <v>#VALUE!</v>
      </c>
      <c r="AR363" t="e">
        <f>'North America'!1473:1473-"$F;@!2g}"</f>
        <v>#VALUE!</v>
      </c>
      <c r="AS363" t="e">
        <f>'North America'!1474:1474-"$F;@!2g~"</f>
        <v>#VALUE!</v>
      </c>
      <c r="AT363" t="e">
        <f>'North America'!1475:1475-"$F;@!2h#"</f>
        <v>#VALUE!</v>
      </c>
      <c r="AU363" t="e">
        <f>'North America'!1476:1476-"$F;@!2h$"</f>
        <v>#VALUE!</v>
      </c>
      <c r="AV363" t="e">
        <f>'North America'!1477:1477-"$F;@!2h%"</f>
        <v>#VALUE!</v>
      </c>
      <c r="AW363" t="e">
        <f>'North America'!1478:1478-"$F;@!2h&amp;"</f>
        <v>#VALUE!</v>
      </c>
      <c r="AX363" t="e">
        <f>'North America'!1479:1479-"$F;@!2h'"</f>
        <v>#VALUE!</v>
      </c>
      <c r="AY363" t="e">
        <f>'North America'!1480:1480-"$F;@!2h("</f>
        <v>#VALUE!</v>
      </c>
      <c r="AZ363" t="e">
        <f>'North America'!1481:1481-"$F;@!2h)"</f>
        <v>#VALUE!</v>
      </c>
      <c r="BA363" t="e">
        <f>'North America'!1482:1482-"$F;@!2h."</f>
        <v>#VALUE!</v>
      </c>
      <c r="BB363" t="e">
        <f>'North America'!1483:1483-"$F;@!2h/"</f>
        <v>#VALUE!</v>
      </c>
      <c r="BC363" t="e">
        <f>'North America'!1484:1484-"$F;@!2h0"</f>
        <v>#VALUE!</v>
      </c>
      <c r="BD363" t="e">
        <f>'North America'!1485:1485-"$F;@!2h1"</f>
        <v>#VALUE!</v>
      </c>
      <c r="BE363" t="e">
        <f>'North America'!1486:1486-"$F;@!2h2"</f>
        <v>#VALUE!</v>
      </c>
      <c r="BF363" t="e">
        <f>'North America'!1487:1487-"$F;@!2h3"</f>
        <v>#VALUE!</v>
      </c>
      <c r="BG363" t="e">
        <f>'North America'!1488:1488-"$F;@!2h4"</f>
        <v>#VALUE!</v>
      </c>
      <c r="BH363" t="e">
        <f>'North America'!1489:1489-"$F;@!2h5"</f>
        <v>#VALUE!</v>
      </c>
      <c r="BI363" t="e">
        <f>'North America'!1490:1490-"$F;@!2h6"</f>
        <v>#VALUE!</v>
      </c>
      <c r="BJ363" t="e">
        <f>'North America'!1491:1491-"$F;@!2h7"</f>
        <v>#VALUE!</v>
      </c>
      <c r="BK363" t="e">
        <f>'North America'!1492:1492-"$F;@!2h8"</f>
        <v>#VALUE!</v>
      </c>
      <c r="BL363" t="e">
        <f>'North America'!1493:1493-"$F;@!2h9"</f>
        <v>#VALUE!</v>
      </c>
      <c r="BM363" t="e">
        <f>'North America'!1494:1494-"$F;@!2h:"</f>
        <v>#VALUE!</v>
      </c>
      <c r="BN363" t="e">
        <f>'North America'!1495:1495-"$F;@!2h;"</f>
        <v>#VALUE!</v>
      </c>
      <c r="BO363" t="e">
        <f>'North America'!1496:1496-"$F;@!2h&lt;"</f>
        <v>#VALUE!</v>
      </c>
      <c r="BP363" t="e">
        <f>'North America'!1497:1497-"$F;@!2h="</f>
        <v>#VALUE!</v>
      </c>
      <c r="BQ363" t="e">
        <f>'North America'!1498:1498-"$F;@!2h&gt;"</f>
        <v>#VALUE!</v>
      </c>
      <c r="BR363" t="e">
        <f>'North America'!1499:1499-"$F;@!2h?"</f>
        <v>#VALUE!</v>
      </c>
      <c r="BS363" t="e">
        <f>'North America'!1500:1500-"$F;@!2h@"</f>
        <v>#VALUE!</v>
      </c>
      <c r="BT363" t="e">
        <f>'North America'!1501:1501-"$F;@!2hA"</f>
        <v>#VALUE!</v>
      </c>
      <c r="BU363" t="e">
        <f>'North America'!1502:1502-"$F;@!2hB"</f>
        <v>#VALUE!</v>
      </c>
      <c r="BV363" t="e">
        <f>'North America'!1503:1503-"$F;@!2hC"</f>
        <v>#VALUE!</v>
      </c>
      <c r="BW363" t="e">
        <f>'North America'!1504:1504-"$F;@!2hD"</f>
        <v>#VALUE!</v>
      </c>
      <c r="BX363" t="e">
        <f>'North America'!1505:1505-"$F;@!2hE"</f>
        <v>#VALUE!</v>
      </c>
      <c r="BY363" t="e">
        <f>'North America'!1506:1506-"$F;@!2hF"</f>
        <v>#VALUE!</v>
      </c>
      <c r="BZ363" t="e">
        <f>'North America'!1507:1507-"$F;@!2hG"</f>
        <v>#VALUE!</v>
      </c>
      <c r="CA363" t="e">
        <f>'North America'!1508:1508-"$F;@!2hH"</f>
        <v>#VALUE!</v>
      </c>
      <c r="CB363" t="e">
        <f>'North America'!1509:1509-"$F;@!2hI"</f>
        <v>#VALUE!</v>
      </c>
      <c r="CC363" t="e">
        <f>'North America'!1510:1510-"$F;@!2hJ"</f>
        <v>#VALUE!</v>
      </c>
      <c r="CD363" t="e">
        <f>'North America'!1511:1511-"$F;@!2hK"</f>
        <v>#VALUE!</v>
      </c>
      <c r="CE363" t="e">
        <f>'North America'!1512:1512-"$F;@!2hL"</f>
        <v>#VALUE!</v>
      </c>
      <c r="CF363" t="e">
        <f>'North America'!1513:1513-"$F;@!2hM"</f>
        <v>#VALUE!</v>
      </c>
      <c r="CG363" t="e">
        <f>'North America'!1514:1514-"$F;@!2hN"</f>
        <v>#VALUE!</v>
      </c>
      <c r="CH363" t="e">
        <f>'North America'!1515:1515-"$F;@!2hO"</f>
        <v>#VALUE!</v>
      </c>
      <c r="CI363" t="e">
        <f>'North America'!1516:1516-"$F;@!2hP"</f>
        <v>#VALUE!</v>
      </c>
      <c r="CJ363" t="e">
        <f>'North America'!1517:1517-"$F;@!2hQ"</f>
        <v>#VALUE!</v>
      </c>
      <c r="CK363" t="e">
        <f>'North America'!1518:1518-"$F;@!2hR"</f>
        <v>#VALUE!</v>
      </c>
      <c r="CL363" t="e">
        <f>'North America'!1519:1519-"$F;@!2hS"</f>
        <v>#VALUE!</v>
      </c>
      <c r="CM363" t="e">
        <f>'North America'!1520:1520-"$F;@!2hT"</f>
        <v>#VALUE!</v>
      </c>
      <c r="CN363" t="e">
        <f>'North America'!1521:1521-"$F;@!2hU"</f>
        <v>#VALUE!</v>
      </c>
      <c r="CO363" t="e">
        <f>'North America'!1522:1522-"$F;@!2hV"</f>
        <v>#VALUE!</v>
      </c>
      <c r="CP363" t="e">
        <f>'North America'!1523:1523-"$F;@!2hW"</f>
        <v>#VALUE!</v>
      </c>
      <c r="CQ363" t="e">
        <f>'North America'!1524:1524-"$F;@!2hX"</f>
        <v>#VALUE!</v>
      </c>
      <c r="CR363" t="e">
        <f>'North America'!1525:1525-"$F;@!2hY"</f>
        <v>#VALUE!</v>
      </c>
      <c r="CS363" t="e">
        <f>'North America'!1526:1526-"$F;@!2hZ"</f>
        <v>#VALUE!</v>
      </c>
      <c r="CT363" t="e">
        <f>'North America'!1527:1527-"$F;@!2h["</f>
        <v>#VALUE!</v>
      </c>
      <c r="CU363" t="e">
        <f>'North America'!1528:1528-"$F;@!2h\"</f>
        <v>#VALUE!</v>
      </c>
      <c r="CV363" t="e">
        <f>'North America'!1529:1529-"$F;@!2h]"</f>
        <v>#VALUE!</v>
      </c>
      <c r="CW363" t="e">
        <f>'North America'!1530:1530-"$F;@!2h^"</f>
        <v>#VALUE!</v>
      </c>
      <c r="CX363" t="e">
        <f>'North America'!1531:1531-"$F;@!2h_"</f>
        <v>#VALUE!</v>
      </c>
      <c r="CY363" t="e">
        <f>'North America'!1532:1532-"$F;@!2h`"</f>
        <v>#VALUE!</v>
      </c>
      <c r="CZ363" t="e">
        <f>'North America'!1533:1533-"$F;@!2ha"</f>
        <v>#VALUE!</v>
      </c>
      <c r="DA363" t="e">
        <f>'North America'!1534:1534-"$F;@!2hb"</f>
        <v>#VALUE!</v>
      </c>
      <c r="DB363" t="e">
        <f>'North America'!1535:1535-"$F;@!2hc"</f>
        <v>#VALUE!</v>
      </c>
      <c r="DC363" t="e">
        <f>'North America'!1536:1536-"$F;@!2hd"</f>
        <v>#VALUE!</v>
      </c>
      <c r="DD363" t="e">
        <f>'North America'!1537:1537-"$F;@!2he"</f>
        <v>#VALUE!</v>
      </c>
      <c r="DE363" t="e">
        <f>'North America'!1538:1538-"$F;@!2hf"</f>
        <v>#VALUE!</v>
      </c>
      <c r="DF363" t="e">
        <f>'North America'!1539:1539-"$F;@!2hg"</f>
        <v>#VALUE!</v>
      </c>
      <c r="DG363" t="e">
        <f>'North America'!1540:1540-"$F;@!2hh"</f>
        <v>#VALUE!</v>
      </c>
      <c r="DH363" t="e">
        <f>'North America'!1541:1541-"$F;@!2hi"</f>
        <v>#VALUE!</v>
      </c>
      <c r="DI363" t="e">
        <f>'North America'!1542:1542-"$F;@!2hj"</f>
        <v>#VALUE!</v>
      </c>
      <c r="DJ363" t="e">
        <f>'North America'!1543:1543-"$F;@!2hk"</f>
        <v>#VALUE!</v>
      </c>
      <c r="DK363" t="e">
        <f>'North America'!1544:1544-"$F;@!2hl"</f>
        <v>#VALUE!</v>
      </c>
      <c r="DL363" t="e">
        <f>'North America'!1545:1545-"$F;@!2hm"</f>
        <v>#VALUE!</v>
      </c>
      <c r="DM363" t="e">
        <f>'North America'!1546:1546-"$F;@!2hn"</f>
        <v>#VALUE!</v>
      </c>
      <c r="DN363" t="e">
        <f>'North America'!1547:1547-"$F;@!2ho"</f>
        <v>#VALUE!</v>
      </c>
      <c r="DO363" t="e">
        <f>'North America'!1548:1548-"$F;@!2hp"</f>
        <v>#VALUE!</v>
      </c>
      <c r="DP363" t="e">
        <f>'North America'!1549:1549-"$F;@!2hq"</f>
        <v>#VALUE!</v>
      </c>
      <c r="DQ363" t="e">
        <f>'North America'!1550:1550-"$F;@!2hr"</f>
        <v>#VALUE!</v>
      </c>
      <c r="DR363" t="e">
        <f>'North America'!1551:1551-"$F;@!2hs"</f>
        <v>#VALUE!</v>
      </c>
      <c r="DS363" t="e">
        <f>'North America'!1552:1552-"$F;@!2ht"</f>
        <v>#VALUE!</v>
      </c>
      <c r="DT363" t="e">
        <f>'North America'!1553:1553-"$F;@!2hu"</f>
        <v>#VALUE!</v>
      </c>
      <c r="DU363" t="e">
        <f>'North America'!1554:1554-"$F;@!2hv"</f>
        <v>#VALUE!</v>
      </c>
      <c r="DV363" t="e">
        <f>'North America'!1555:1555-"$F;@!2hw"</f>
        <v>#VALUE!</v>
      </c>
      <c r="DW363" t="e">
        <f>'North America'!1556:1556-"$F;@!2hx"</f>
        <v>#VALUE!</v>
      </c>
      <c r="DX363" t="e">
        <f>'North America'!1557:1557-"$F;@!2hy"</f>
        <v>#VALUE!</v>
      </c>
      <c r="DY363" t="e">
        <f>'North America'!1558:1558-"$F;@!2hz"</f>
        <v>#VALUE!</v>
      </c>
      <c r="DZ363" t="e">
        <f>'North America'!1559:1559-"$F;@!2h{"</f>
        <v>#VALUE!</v>
      </c>
      <c r="EA363" t="e">
        <f>'North America'!1560:1560-"$F;@!2h|"</f>
        <v>#VALUE!</v>
      </c>
      <c r="EB363" t="e">
        <f>'North America'!1561:1561-"$F;@!2h}"</f>
        <v>#VALUE!</v>
      </c>
      <c r="EC363" t="e">
        <f>'North America'!1562:1562-"$F;@!2h~"</f>
        <v>#VALUE!</v>
      </c>
      <c r="ED363" t="e">
        <f>'North America'!1563:1563-"$F;@!2i#"</f>
        <v>#VALUE!</v>
      </c>
      <c r="EE363" t="e">
        <f>'North America'!1564:1564-"$F;@!2i$"</f>
        <v>#VALUE!</v>
      </c>
      <c r="EF363" t="e">
        <f>'North America'!1565:1565-"$F;@!2i%"</f>
        <v>#VALUE!</v>
      </c>
      <c r="EG363" t="e">
        <f>'North America'!1566:1566-"$F;@!2i&amp;"</f>
        <v>#VALUE!</v>
      </c>
      <c r="EH363" t="e">
        <f>'North America'!1567:1567-"$F;@!2i'"</f>
        <v>#VALUE!</v>
      </c>
      <c r="EI363" t="e">
        <f>'North America'!1568:1568-"$F;@!2i("</f>
        <v>#VALUE!</v>
      </c>
      <c r="EJ363" t="e">
        <f>'North America'!1569:1569-"$F;@!2i)"</f>
        <v>#VALUE!</v>
      </c>
      <c r="EK363" t="e">
        <f>'North America'!1570:1570-"$F;@!2i."</f>
        <v>#VALUE!</v>
      </c>
      <c r="EL363" t="e">
        <f>'North America'!1571:1571-"$F;@!2i/"</f>
        <v>#VALUE!</v>
      </c>
      <c r="EM363" t="e">
        <f>'North America'!1572:1572-"$F;@!2i0"</f>
        <v>#VALUE!</v>
      </c>
      <c r="EN363" t="e">
        <f>'North America'!1573:1573-"$F;@!2i1"</f>
        <v>#VALUE!</v>
      </c>
      <c r="EO363" t="e">
        <f>'North America'!1574:1574-"$F;@!2i2"</f>
        <v>#VALUE!</v>
      </c>
      <c r="EP363" t="e">
        <f>'North America'!1575:1575-"$F;@!2i3"</f>
        <v>#VALUE!</v>
      </c>
      <c r="EQ363" t="e">
        <f>'North America'!1576:1576-"$F;@!2i4"</f>
        <v>#VALUE!</v>
      </c>
      <c r="ER363" t="e">
        <f>'North America'!1577:1577-"$F;@!2i5"</f>
        <v>#VALUE!</v>
      </c>
      <c r="ES363" t="e">
        <f>'North America'!1578:1578-"$F;@!2i6"</f>
        <v>#VALUE!</v>
      </c>
      <c r="ET363" t="e">
        <f>'North America'!1579:1579-"$F;@!2i7"</f>
        <v>#VALUE!</v>
      </c>
      <c r="EU363" t="e">
        <f>'North America'!1580:1580-"$F;@!2i8"</f>
        <v>#VALUE!</v>
      </c>
      <c r="EV363" t="e">
        <f>'North America'!1581:1581-"$F;@!2i9"</f>
        <v>#VALUE!</v>
      </c>
      <c r="EW363" t="e">
        <f>'North America'!1582:1582-"$F;@!2i:"</f>
        <v>#VALUE!</v>
      </c>
      <c r="EX363" t="e">
        <f>'North America'!1583:1583-"$F;@!2i;"</f>
        <v>#VALUE!</v>
      </c>
      <c r="EY363" t="e">
        <f>'North America'!1584:1584-"$F;@!2i&lt;"</f>
        <v>#VALUE!</v>
      </c>
      <c r="EZ363" t="e">
        <f>'North America'!1585:1585-"$F;@!2i="</f>
        <v>#VALUE!</v>
      </c>
      <c r="FA363" t="e">
        <f>'North America'!1586:1586-"$F;@!2i&gt;"</f>
        <v>#VALUE!</v>
      </c>
      <c r="FB363" t="e">
        <f>'North America'!1587:1587-"$F;@!2i?"</f>
        <v>#VALUE!</v>
      </c>
      <c r="FC363" t="e">
        <f>'North America'!1588:1588-"$F;@!2i@"</f>
        <v>#VALUE!</v>
      </c>
      <c r="FD363" t="e">
        <f>'North America'!1589:1589-"$F;@!2iA"</f>
        <v>#VALUE!</v>
      </c>
      <c r="FE363" t="e">
        <f>'North America'!1590:1590-"$F;@!2iB"</f>
        <v>#VALUE!</v>
      </c>
      <c r="FF363" t="e">
        <f>'North America'!1591:1591-"$F;@!2iC"</f>
        <v>#VALUE!</v>
      </c>
      <c r="FG363" t="e">
        <f>'North America'!1592:1592-"$F;@!2iD"</f>
        <v>#VALUE!</v>
      </c>
      <c r="FH363" t="e">
        <f>'North America'!1593:1593-"$F;@!2iE"</f>
        <v>#VALUE!</v>
      </c>
      <c r="FI363" t="e">
        <f>'North America'!1594:1594-"$F;@!2iF"</f>
        <v>#VALUE!</v>
      </c>
      <c r="FJ363" t="e">
        <f>'North America'!1595:1595-"$F;@!2iG"</f>
        <v>#VALUE!</v>
      </c>
      <c r="FK363" t="e">
        <f>'North America'!1596:1596-"$F;@!2iH"</f>
        <v>#VALUE!</v>
      </c>
      <c r="FL363" t="e">
        <f>'North America'!1597:1597-"$F;@!2iI"</f>
        <v>#VALUE!</v>
      </c>
      <c r="FM363" t="e">
        <f>'North America'!1598:1598-"$F;@!2iJ"</f>
        <v>#VALUE!</v>
      </c>
      <c r="FN363" t="e">
        <f>'North America'!1599:1599-"$F;@!2iK"</f>
        <v>#VALUE!</v>
      </c>
      <c r="FO363" t="e">
        <f>'North America'!1600:1600-"$F;@!2iL"</f>
        <v>#VALUE!</v>
      </c>
      <c r="FP363" t="e">
        <f>'North America'!1601:1601-"$F;@!2iM"</f>
        <v>#VALUE!</v>
      </c>
      <c r="FQ363" t="e">
        <f>'North America'!1602:1602-"$F;@!2iN"</f>
        <v>#VALUE!</v>
      </c>
      <c r="FR363" t="e">
        <f>'North America'!1603:1603-"$F;@!2iO"</f>
        <v>#VALUE!</v>
      </c>
      <c r="FS363" t="e">
        <f>'North America'!1604:1604-"$F;@!2iP"</f>
        <v>#VALUE!</v>
      </c>
      <c r="FT363" t="e">
        <f>'North America'!1605:1605-"$F;@!2iQ"</f>
        <v>#VALUE!</v>
      </c>
      <c r="FU363" t="e">
        <f>'North America'!1606:1606-"$F;@!2iR"</f>
        <v>#VALUE!</v>
      </c>
      <c r="FV363" t="e">
        <f>'North America'!1607:1607-"$F;@!2iS"</f>
        <v>#VALUE!</v>
      </c>
      <c r="FW363" t="e">
        <f>'North America'!1608:1608-"$F;@!2iT"</f>
        <v>#VALUE!</v>
      </c>
      <c r="FX363" t="e">
        <f>'North America'!1609:1609-"$F;@!2iU"</f>
        <v>#VALUE!</v>
      </c>
      <c r="FY363" t="e">
        <f>'North America'!1610:1610-"$F;@!2iV"</f>
        <v>#VALUE!</v>
      </c>
      <c r="FZ363" t="e">
        <f>'North America'!1611:1611-"$F;@!2iW"</f>
        <v>#VALUE!</v>
      </c>
      <c r="GA363" t="e">
        <f>'North America'!1612:1612-"$F;@!2iX"</f>
        <v>#VALUE!</v>
      </c>
      <c r="GB363" t="e">
        <f>'North America'!1613:1613-"$F;@!2iY"</f>
        <v>#VALUE!</v>
      </c>
      <c r="GC363" t="e">
        <f>'North America'!1614:1614-"$F;@!2iZ"</f>
        <v>#VALUE!</v>
      </c>
      <c r="GD363" t="e">
        <f>'North America'!1615:1615-"$F;@!2i["</f>
        <v>#VALUE!</v>
      </c>
      <c r="GE363" t="e">
        <f>'North America'!1616:1616-"$F;@!2i\"</f>
        <v>#VALUE!</v>
      </c>
      <c r="GF363" t="e">
        <f>'North America'!1617:1617-"$F;@!2i]"</f>
        <v>#VALUE!</v>
      </c>
      <c r="GG363" t="e">
        <f>'North America'!1618:1618-"$F;@!2i^"</f>
        <v>#VALUE!</v>
      </c>
      <c r="GH363" t="e">
        <f>'North America'!1619:1619-"$F;@!2i_"</f>
        <v>#VALUE!</v>
      </c>
      <c r="GI363" t="e">
        <f>'North America'!1620:1620-"$F;@!2i`"</f>
        <v>#VALUE!</v>
      </c>
      <c r="GJ363" t="e">
        <f>'North America'!1621:1621-"$F;@!2ia"</f>
        <v>#VALUE!</v>
      </c>
      <c r="GK363" t="e">
        <f>'North America'!1622:1622-"$F;@!2ib"</f>
        <v>#VALUE!</v>
      </c>
      <c r="GL363" t="e">
        <f>'North America'!1623:1623-"$F;@!2ic"</f>
        <v>#VALUE!</v>
      </c>
      <c r="GM363" t="e">
        <f>'North America'!1624:1624-"$F;@!2id"</f>
        <v>#VALUE!</v>
      </c>
      <c r="GN363" t="e">
        <f>'North America'!1625:1625-"$F;@!2ie"</f>
        <v>#VALUE!</v>
      </c>
      <c r="GO363" t="e">
        <f>'North America'!1626:1626-"$F;@!2if"</f>
        <v>#VALUE!</v>
      </c>
      <c r="GP363" t="e">
        <f>'North America'!1627:1627-"$F;@!2ig"</f>
        <v>#VALUE!</v>
      </c>
      <c r="GQ363" t="e">
        <f>'North America'!1628:1628-"$F;@!2ih"</f>
        <v>#VALUE!</v>
      </c>
      <c r="GR363" t="e">
        <f>'North America'!1629:1629-"$F;@!2ii"</f>
        <v>#VALUE!</v>
      </c>
      <c r="GS363" t="e">
        <f>'North America'!1630:1630-"$F;@!2ij"</f>
        <v>#VALUE!</v>
      </c>
      <c r="GT363" t="e">
        <f>'North America'!1631:1631-"$F;@!2ik"</f>
        <v>#VALUE!</v>
      </c>
      <c r="GU363" t="e">
        <f>'North America'!1632:1632-"$F;@!2il"</f>
        <v>#VALUE!</v>
      </c>
      <c r="GV363" t="e">
        <f>'North America'!1633:1633-"$F;@!2im"</f>
        <v>#VALUE!</v>
      </c>
      <c r="GW363" t="e">
        <f>'North America'!1634:1634-"$F;@!2in"</f>
        <v>#VALUE!</v>
      </c>
      <c r="GX363" t="e">
        <f>'North America'!1635:1635-"$F;@!2io"</f>
        <v>#VALUE!</v>
      </c>
      <c r="GY363" t="e">
        <f>'North America'!1636:1636-"$F;@!2ip"</f>
        <v>#VALUE!</v>
      </c>
      <c r="GZ363" t="e">
        <f>'North America'!1637:1637-"$F;@!2iq"</f>
        <v>#VALUE!</v>
      </c>
      <c r="HA363" t="e">
        <f>'North America'!1638:1638-"$F;@!2ir"</f>
        <v>#VALUE!</v>
      </c>
      <c r="HB363" t="e">
        <f>'North America'!1639:1639-"$F;@!2is"</f>
        <v>#VALUE!</v>
      </c>
      <c r="HC363" t="e">
        <f>'North America'!1640:1640-"$F;@!2it"</f>
        <v>#VALUE!</v>
      </c>
      <c r="HD363" t="e">
        <f>'North America'!1641:1641-"$F;@!2iu"</f>
        <v>#VALUE!</v>
      </c>
      <c r="HE363" t="e">
        <f>'North America'!1642:1642-"$F;@!2iv"</f>
        <v>#VALUE!</v>
      </c>
      <c r="HF363" t="e">
        <f>'North America'!1643:1643-"$F;@!2iw"</f>
        <v>#VALUE!</v>
      </c>
      <c r="HG363" t="e">
        <f>'North America'!1644:1644-"$F;@!2ix"</f>
        <v>#VALUE!</v>
      </c>
      <c r="HH363" t="e">
        <f>'North America'!1645:1645-"$F;@!2iy"</f>
        <v>#VALUE!</v>
      </c>
      <c r="HI363" t="e">
        <f>'North America'!1646:1646-"$F;@!2iz"</f>
        <v>#VALUE!</v>
      </c>
      <c r="HJ363" t="e">
        <f>'North America'!1647:1647-"$F;@!2i{"</f>
        <v>#VALUE!</v>
      </c>
      <c r="HK363" t="e">
        <f>'North America'!1648:1648-"$F;@!2i|"</f>
        <v>#VALUE!</v>
      </c>
      <c r="HL363" t="e">
        <f>'North America'!1649:1649-"$F;@!2i}"</f>
        <v>#VALUE!</v>
      </c>
      <c r="HM363" t="e">
        <f>'North America'!1650:1650-"$F;@!2i~"</f>
        <v>#VALUE!</v>
      </c>
      <c r="HN363" t="e">
        <f>'North America'!1651:1651-"$F;@!2j#"</f>
        <v>#VALUE!</v>
      </c>
      <c r="HO363" t="e">
        <f>'North America'!1652:1652-"$F;@!2j$"</f>
        <v>#VALUE!</v>
      </c>
      <c r="HP363" t="e">
        <f>'North America'!1653:1653-"$F;@!2j%"</f>
        <v>#VALUE!</v>
      </c>
      <c r="HQ363" t="e">
        <f>'North America'!1654:1654-"$F;@!2j&amp;"</f>
        <v>#VALUE!</v>
      </c>
      <c r="HR363" t="e">
        <f>'North America'!1655:1655-"$F;@!2j'"</f>
        <v>#VALUE!</v>
      </c>
      <c r="HS363" t="e">
        <f>'North America'!1656:1656-"$F;@!2j("</f>
        <v>#VALUE!</v>
      </c>
      <c r="HT363" t="e">
        <f>'North America'!1657:1657-"$F;@!2j)"</f>
        <v>#VALUE!</v>
      </c>
      <c r="HU363" t="e">
        <f>'North America'!1658:1658-"$F;@!2j."</f>
        <v>#VALUE!</v>
      </c>
      <c r="HV363" t="e">
        <f>'North America'!1659:1659-"$F;@!2j/"</f>
        <v>#VALUE!</v>
      </c>
      <c r="HW363" t="e">
        <f>'North America'!1660:1660-"$F;@!2j0"</f>
        <v>#VALUE!</v>
      </c>
      <c r="HX363" t="e">
        <f>'North America'!1661:1661-"$F;@!2j1"</f>
        <v>#VALUE!</v>
      </c>
      <c r="HY363" t="e">
        <f>'North America'!1662:1662-"$F;@!2j2"</f>
        <v>#VALUE!</v>
      </c>
      <c r="HZ363" t="e">
        <f>'North America'!1663:1663-"$F;@!2j3"</f>
        <v>#VALUE!</v>
      </c>
      <c r="IA363" t="e">
        <f>'North America'!1664:1664-"$F;@!2j4"</f>
        <v>#VALUE!</v>
      </c>
      <c r="IB363" t="e">
        <f>'North America'!1665:1665-"$F;@!2j5"</f>
        <v>#VALUE!</v>
      </c>
      <c r="IC363" t="e">
        <f>'North America'!1666:1666-"$F;@!2j6"</f>
        <v>#VALUE!</v>
      </c>
      <c r="ID363" t="e">
        <f>'North America'!1667:1667-"$F;@!2j7"</f>
        <v>#VALUE!</v>
      </c>
      <c r="IE363" t="e">
        <f>'North America'!1668:1668-"$F;@!2j8"</f>
        <v>#VALUE!</v>
      </c>
      <c r="IF363" t="e">
        <f>'North America'!1669:1669-"$F;@!2j9"</f>
        <v>#VALUE!</v>
      </c>
      <c r="IG363" t="e">
        <f>'North America'!1670:1670-"$F;@!2j:"</f>
        <v>#VALUE!</v>
      </c>
      <c r="IH363" t="e">
        <f>'North America'!1671:1671-"$F;@!2j;"</f>
        <v>#VALUE!</v>
      </c>
      <c r="II363" t="e">
        <f>'North America'!1672:1672-"$F;@!2j&lt;"</f>
        <v>#VALUE!</v>
      </c>
      <c r="IJ363" t="e">
        <f>'North America'!1673:1673-"$F;@!2j="</f>
        <v>#VALUE!</v>
      </c>
      <c r="IK363" t="e">
        <f>'North America'!1674:1674-"$F;@!2j&gt;"</f>
        <v>#VALUE!</v>
      </c>
      <c r="IL363" t="e">
        <f>'North America'!1675:1675-"$F;@!2j?"</f>
        <v>#VALUE!</v>
      </c>
      <c r="IM363" t="e">
        <f>'North America'!1676:1676-"$F;@!2j@"</f>
        <v>#VALUE!</v>
      </c>
      <c r="IN363" t="e">
        <f>'North America'!1677:1677-"$F;@!2jA"</f>
        <v>#VALUE!</v>
      </c>
      <c r="IO363" t="e">
        <f>'North America'!1678:1678-"$F;@!2jB"</f>
        <v>#VALUE!</v>
      </c>
      <c r="IP363" t="e">
        <f>'North America'!1679:1679-"$F;@!2jC"</f>
        <v>#VALUE!</v>
      </c>
      <c r="IQ363" t="e">
        <f>'North America'!1680:1680-"$F;@!2jD"</f>
        <v>#VALUE!</v>
      </c>
      <c r="IR363" t="e">
        <f>'North America'!1681:1681-"$F;@!2jE"</f>
        <v>#VALUE!</v>
      </c>
      <c r="IS363" t="e">
        <f>'North America'!1682:1682-"$F;@!2jF"</f>
        <v>#VALUE!</v>
      </c>
      <c r="IT363" t="e">
        <f>'North America'!1683:1683-"$F;@!2jG"</f>
        <v>#VALUE!</v>
      </c>
      <c r="IU363" t="e">
        <f>'North America'!1684:1684-"$F;@!2jH"</f>
        <v>#VALUE!</v>
      </c>
      <c r="IV363" t="e">
        <f>'North America'!1685:1685-"$F;@!2jI"</f>
        <v>#VALUE!</v>
      </c>
    </row>
    <row r="364" spans="6:256" x14ac:dyDescent="0.35">
      <c r="F364" t="e">
        <f>'North America'!1686:1686-"$F;@!2jJ"</f>
        <v>#VALUE!</v>
      </c>
      <c r="G364" t="e">
        <f>'North America'!1687:1687-"$F;@!2jK"</f>
        <v>#VALUE!</v>
      </c>
      <c r="H364" t="e">
        <f>'North America'!1688:1688-"$F;@!2jL"</f>
        <v>#VALUE!</v>
      </c>
      <c r="I364" t="e">
        <f>'North America'!1689:1689-"$F;@!2jM"</f>
        <v>#VALUE!</v>
      </c>
      <c r="J364" t="e">
        <f>'North America'!1690:1690-"$F;@!2jN"</f>
        <v>#VALUE!</v>
      </c>
      <c r="K364" t="e">
        <f>'North America'!1691:1691-"$F;@!2jO"</f>
        <v>#VALUE!</v>
      </c>
      <c r="L364" t="e">
        <f>'North America'!1692:1692-"$F;@!2jP"</f>
        <v>#VALUE!</v>
      </c>
      <c r="M364" t="e">
        <f>'North America'!1693:1693-"$F;@!2jQ"</f>
        <v>#VALUE!</v>
      </c>
      <c r="N364" t="e">
        <f>'North America'!1694:1694-"$F;@!2jR"</f>
        <v>#VALUE!</v>
      </c>
      <c r="O364" t="e">
        <f>'North America'!1695:1695-"$F;@!2jS"</f>
        <v>#VALUE!</v>
      </c>
      <c r="P364" t="e">
        <f>'North America'!1696:1696-"$F;@!2jT"</f>
        <v>#VALUE!</v>
      </c>
      <c r="Q364" t="e">
        <f>'North America'!1697:1697-"$F;@!2jU"</f>
        <v>#VALUE!</v>
      </c>
      <c r="R364" t="e">
        <f>'North America'!1698:1698-"$F;@!2jV"</f>
        <v>#VALUE!</v>
      </c>
      <c r="S364" t="e">
        <f>'North America'!1699:1699-"$F;@!2jW"</f>
        <v>#VALUE!</v>
      </c>
      <c r="T364" t="e">
        <f>'North America'!1700:1700-"$F;@!2jX"</f>
        <v>#VALUE!</v>
      </c>
      <c r="U364" t="e">
        <f>'North America'!1701:1701-"$F;@!2jY"</f>
        <v>#VALUE!</v>
      </c>
      <c r="V364" t="e">
        <f>'North America'!1702:1702-"$F;@!2jZ"</f>
        <v>#VALUE!</v>
      </c>
      <c r="W364" t="e">
        <f>'North America'!1703:1703-"$F;@!2j["</f>
        <v>#VALUE!</v>
      </c>
      <c r="X364" t="e">
        <f>'North America'!1704:1704-"$F;@!2j\"</f>
        <v>#VALUE!</v>
      </c>
      <c r="Y364" t="e">
        <f>'North America'!1705:1705-"$F;@!2j]"</f>
        <v>#VALUE!</v>
      </c>
      <c r="Z364" t="e">
        <f>'North America'!1706:1706-"$F;@!2j^"</f>
        <v>#VALUE!</v>
      </c>
      <c r="AA364" t="e">
        <f>'North America'!1707:1707-"$F;@!2j_"</f>
        <v>#VALUE!</v>
      </c>
      <c r="AB364" t="e">
        <f>'North America'!1708:1708-"$F;@!2j`"</f>
        <v>#VALUE!</v>
      </c>
      <c r="AC364" t="e">
        <f>'North America'!1709:1709-"$F;@!2ja"</f>
        <v>#VALUE!</v>
      </c>
      <c r="AD364" t="e">
        <f>'North America'!1710:1710-"$F;@!2jb"</f>
        <v>#VALUE!</v>
      </c>
      <c r="AE364" t="e">
        <f>'North America'!1711:1711-"$F;@!2jc"</f>
        <v>#VALUE!</v>
      </c>
      <c r="AF364" t="e">
        <f>'North America'!1712:1712-"$F;@!2jd"</f>
        <v>#VALUE!</v>
      </c>
      <c r="AG364" t="e">
        <f>'North America'!1713:1713-"$F;@!2je"</f>
        <v>#VALUE!</v>
      </c>
      <c r="AH364" t="e">
        <f>'North America'!1714:1714-"$F;@!2jf"</f>
        <v>#VALUE!</v>
      </c>
      <c r="AI364" t="e">
        <f>'North America'!1715:1715-"$F;@!2jg"</f>
        <v>#VALUE!</v>
      </c>
      <c r="AJ364" t="e">
        <f>'North America'!1716:1716-"$F;@!2jh"</f>
        <v>#VALUE!</v>
      </c>
      <c r="AK364" t="e">
        <f>'North America'!1717:1717-"$F;@!2ji"</f>
        <v>#VALUE!</v>
      </c>
      <c r="AL364" t="e">
        <f>'North America'!1718:1718-"$F;@!2jj"</f>
        <v>#VALUE!</v>
      </c>
      <c r="AM364" t="e">
        <f>'North America'!1719:1719-"$F;@!2jk"</f>
        <v>#VALUE!</v>
      </c>
      <c r="AN364" t="e">
        <f>'North America'!1720:1720-"$F;@!2jl"</f>
        <v>#VALUE!</v>
      </c>
      <c r="AO364" t="e">
        <f>'North America'!1721:1721-"$F;@!2jm"</f>
        <v>#VALUE!</v>
      </c>
      <c r="AP364" t="e">
        <f>'North America'!1722:1722-"$F;@!2jn"</f>
        <v>#VALUE!</v>
      </c>
      <c r="AQ364" t="e">
        <f>'North America'!1723:1723-"$F;@!2jo"</f>
        <v>#VALUE!</v>
      </c>
      <c r="AR364" t="e">
        <f>'North America'!1724:1724-"$F;@!2jp"</f>
        <v>#VALUE!</v>
      </c>
      <c r="AS364" t="e">
        <f>'North America'!1725:1725-"$F;@!2jq"</f>
        <v>#VALUE!</v>
      </c>
      <c r="AT364" t="e">
        <f>'North America'!1726:1726-"$F;@!2jr"</f>
        <v>#VALUE!</v>
      </c>
      <c r="AU364" t="e">
        <f>'North America'!1727:1727-"$F;@!2js"</f>
        <v>#VALUE!</v>
      </c>
      <c r="AV364" t="e">
        <f>'North America'!1728:1728-"$F;@!2jt"</f>
        <v>#VALUE!</v>
      </c>
      <c r="AW364" t="e">
        <f>'North America'!1729:1729-"$F;@!2ju"</f>
        <v>#VALUE!</v>
      </c>
      <c r="AX364" t="e">
        <f>'North America'!1730:1730-"$F;@!2jv"</f>
        <v>#VALUE!</v>
      </c>
      <c r="AY364" t="e">
        <f>'North America'!1731:1731-"$F;@!2jw"</f>
        <v>#VALUE!</v>
      </c>
      <c r="AZ364" t="e">
        <f>'North America'!1732:1732-"$F;@!2jx"</f>
        <v>#VALUE!</v>
      </c>
      <c r="BA364" t="e">
        <f>'North America'!1733:1733-"$F;@!2jy"</f>
        <v>#VALUE!</v>
      </c>
      <c r="BB364" t="e">
        <f>Asia!A1+"$F;@!2jz"</f>
        <v>#VALUE!</v>
      </c>
      <c r="BC364" t="e">
        <f>Asia!B1+"$F;@!2j{"</f>
        <v>#VALUE!</v>
      </c>
      <c r="BD364" t="e">
        <f>Asia!C1+"$F;@!2j|"</f>
        <v>#VALUE!</v>
      </c>
      <c r="BE364" t="e">
        <f>Asia!D1+"$F;@!2j}"</f>
        <v>#VALUE!</v>
      </c>
      <c r="BF364" t="e">
        <f>Asia!E1+"$F;@!2j~"</f>
        <v>#VALUE!</v>
      </c>
      <c r="BG364" t="e">
        <f>Asia!F1+"$F;@!2k#"</f>
        <v>#VALUE!</v>
      </c>
      <c r="BH364" t="e">
        <f>Asia!G1+"$F;@!2k$"</f>
        <v>#VALUE!</v>
      </c>
      <c r="BI364" t="e">
        <f>Asia!H1+"$F;@!2k%"</f>
        <v>#VALUE!</v>
      </c>
      <c r="BJ364" t="e">
        <f>Asia!A2+"$F;@!2k&amp;"</f>
        <v>#VALUE!</v>
      </c>
      <c r="BK364" t="e">
        <f>Asia!B2+"$F;@!2k'"</f>
        <v>#VALUE!</v>
      </c>
      <c r="BL364" t="e">
        <f>Asia!C2+"$F;@!2k("</f>
        <v>#VALUE!</v>
      </c>
      <c r="BM364" t="e">
        <f>Asia!D2+"$F;@!2k)"</f>
        <v>#VALUE!</v>
      </c>
      <c r="BN364" t="e">
        <f>Asia!E2+"$F;@!2k."</f>
        <v>#VALUE!</v>
      </c>
      <c r="BO364" t="e">
        <f>Asia!F2+"$F;@!2k/"</f>
        <v>#VALUE!</v>
      </c>
      <c r="BP364" t="e">
        <f>Asia!G2+"$F;@!2k0"</f>
        <v>#VALUE!</v>
      </c>
      <c r="BQ364" t="e">
        <f>Asia!H2+"$F;@!2k1"</f>
        <v>#VALUE!</v>
      </c>
      <c r="BR364" t="e">
        <f>Asia!A3+"$F;@!2k2"</f>
        <v>#VALUE!</v>
      </c>
      <c r="BS364" t="e">
        <f>Asia!B3+"$F;@!2k3"</f>
        <v>#VALUE!</v>
      </c>
      <c r="BT364" t="e">
        <f>Asia!C3+"$F;@!2k4"</f>
        <v>#VALUE!</v>
      </c>
      <c r="BU364" t="e">
        <f>Asia!D3+"$F;@!2k5"</f>
        <v>#VALUE!</v>
      </c>
      <c r="BV364" t="e">
        <f>Asia!E3+"$F;@!2k6"</f>
        <v>#VALUE!</v>
      </c>
      <c r="BW364" t="e">
        <f>Asia!F3+"$F;@!2k7"</f>
        <v>#VALUE!</v>
      </c>
      <c r="BX364" t="e">
        <f>Asia!G3+"$F;@!2k8"</f>
        <v>#VALUE!</v>
      </c>
      <c r="BY364" t="e">
        <f>Asia!H3+"$F;@!2k9"</f>
        <v>#VALUE!</v>
      </c>
      <c r="BZ364" t="e">
        <f>Asia!A4+"$F;@!2k:"</f>
        <v>#VALUE!</v>
      </c>
      <c r="CA364" t="e">
        <f>Asia!B4+"$F;@!2k;"</f>
        <v>#VALUE!</v>
      </c>
      <c r="CB364" t="e">
        <f>Asia!C4+"$F;@!2k&lt;"</f>
        <v>#VALUE!</v>
      </c>
      <c r="CC364" t="e">
        <f>Asia!D4+"$F;@!2k="</f>
        <v>#VALUE!</v>
      </c>
      <c r="CD364" t="e">
        <f>Asia!E4+"$F;@!2k&gt;"</f>
        <v>#VALUE!</v>
      </c>
      <c r="CE364" t="e">
        <f>Asia!F4+"$F;@!2k?"</f>
        <v>#VALUE!</v>
      </c>
      <c r="CF364" t="e">
        <f>Asia!G4+"$F;@!2k@"</f>
        <v>#VALUE!</v>
      </c>
      <c r="CG364" t="e">
        <f>Asia!H4+"$F;@!2kA"</f>
        <v>#VALUE!</v>
      </c>
      <c r="CH364" t="e">
        <f>Asia!A5+"$F;@!2kB"</f>
        <v>#VALUE!</v>
      </c>
      <c r="CI364" t="e">
        <f>Asia!B5+"$F;@!2kC"</f>
        <v>#VALUE!</v>
      </c>
      <c r="CJ364" t="e">
        <f>Asia!C5+"$F;@!2kD"</f>
        <v>#VALUE!</v>
      </c>
      <c r="CK364" t="e">
        <f>Asia!D5+"$F;@!2kE"</f>
        <v>#VALUE!</v>
      </c>
      <c r="CL364" t="e">
        <f>Asia!E5+"$F;@!2kF"</f>
        <v>#VALUE!</v>
      </c>
      <c r="CM364" t="e">
        <f>Asia!F5+"$F;@!2kG"</f>
        <v>#VALUE!</v>
      </c>
      <c r="CN364" t="e">
        <f>Asia!G5+"$F;@!2kH"</f>
        <v>#VALUE!</v>
      </c>
      <c r="CO364" t="e">
        <f>Asia!H5+"$F;@!2kI"</f>
        <v>#VALUE!</v>
      </c>
      <c r="CP364" t="e">
        <f>Asia!A6+"$F;@!2kJ"</f>
        <v>#VALUE!</v>
      </c>
      <c r="CQ364" t="e">
        <f>Asia!B6+"$F;@!2kK"</f>
        <v>#VALUE!</v>
      </c>
      <c r="CR364" t="e">
        <f>Asia!C6+"$F;@!2kL"</f>
        <v>#VALUE!</v>
      </c>
      <c r="CS364" t="e">
        <f>Asia!D6+"$F;@!2kM"</f>
        <v>#VALUE!</v>
      </c>
      <c r="CT364" t="e">
        <f>Asia!E6+"$F;@!2kN"</f>
        <v>#VALUE!</v>
      </c>
      <c r="CU364" t="e">
        <f>Asia!F6+"$F;@!2kO"</f>
        <v>#VALUE!</v>
      </c>
      <c r="CV364" t="e">
        <f>Asia!G6+"$F;@!2kP"</f>
        <v>#VALUE!</v>
      </c>
      <c r="CW364" t="e">
        <f>Asia!H6+"$F;@!2kQ"</f>
        <v>#VALUE!</v>
      </c>
      <c r="CX364" t="e">
        <f>Asia!A7+"$F;@!2kR"</f>
        <v>#VALUE!</v>
      </c>
      <c r="CY364" t="e">
        <f>Asia!B7+"$F;@!2kS"</f>
        <v>#VALUE!</v>
      </c>
      <c r="CZ364" t="e">
        <f>Asia!C7+"$F;@!2kT"</f>
        <v>#VALUE!</v>
      </c>
      <c r="DA364" t="e">
        <f>Asia!D7+"$F;@!2kU"</f>
        <v>#VALUE!</v>
      </c>
      <c r="DB364" t="e">
        <f>Asia!E7+"$F;@!2kV"</f>
        <v>#VALUE!</v>
      </c>
      <c r="DC364" t="e">
        <f>Asia!F7+"$F;@!2kW"</f>
        <v>#VALUE!</v>
      </c>
      <c r="DD364" t="e">
        <f>Asia!G7+"$F;@!2kX"</f>
        <v>#VALUE!</v>
      </c>
      <c r="DE364" t="e">
        <f>Asia!H7+"$F;@!2kY"</f>
        <v>#VALUE!</v>
      </c>
      <c r="DF364" t="e">
        <f>Asia!A8+"$F;@!2kZ"</f>
        <v>#VALUE!</v>
      </c>
      <c r="DG364" t="e">
        <f>Asia!B8+"$F;@!2k["</f>
        <v>#VALUE!</v>
      </c>
      <c r="DH364" t="e">
        <f>Asia!C8+"$F;@!2k\"</f>
        <v>#VALUE!</v>
      </c>
      <c r="DI364" t="e">
        <f>Asia!D8+"$F;@!2k]"</f>
        <v>#VALUE!</v>
      </c>
      <c r="DJ364" t="e">
        <f>Asia!E8+"$F;@!2k^"</f>
        <v>#VALUE!</v>
      </c>
      <c r="DK364" t="e">
        <f>Asia!F8+"$F;@!2k_"</f>
        <v>#VALUE!</v>
      </c>
      <c r="DL364" t="e">
        <f>Asia!G8+"$F;@!2k`"</f>
        <v>#VALUE!</v>
      </c>
      <c r="DM364" t="e">
        <f>Asia!H8+"$F;@!2ka"</f>
        <v>#VALUE!</v>
      </c>
      <c r="DN364" t="e">
        <f>Asia!A9+"$F;@!2kb"</f>
        <v>#VALUE!</v>
      </c>
      <c r="DO364" t="e">
        <f>Asia!B9+"$F;@!2kc"</f>
        <v>#VALUE!</v>
      </c>
      <c r="DP364" t="e">
        <f>Asia!C9+"$F;@!2kd"</f>
        <v>#VALUE!</v>
      </c>
      <c r="DQ364" t="e">
        <f>Asia!D9+"$F;@!2ke"</f>
        <v>#VALUE!</v>
      </c>
      <c r="DR364" t="e">
        <f>Asia!E9+"$F;@!2kf"</f>
        <v>#VALUE!</v>
      </c>
      <c r="DS364" t="e">
        <f>Asia!F9+"$F;@!2kg"</f>
        <v>#VALUE!</v>
      </c>
      <c r="DT364" t="e">
        <f>Asia!G9+"$F;@!2kh"</f>
        <v>#VALUE!</v>
      </c>
      <c r="DU364" t="e">
        <f>Asia!H9+"$F;@!2ki"</f>
        <v>#VALUE!</v>
      </c>
      <c r="DV364" t="e">
        <f>Asia!A10+"$F;@!2kj"</f>
        <v>#VALUE!</v>
      </c>
      <c r="DW364" t="e">
        <f>Asia!B10+"$F;@!2kk"</f>
        <v>#VALUE!</v>
      </c>
      <c r="DX364" t="e">
        <f>Asia!C10+"$F;@!2kl"</f>
        <v>#VALUE!</v>
      </c>
      <c r="DY364" t="e">
        <f>Asia!D10+"$F;@!2km"</f>
        <v>#VALUE!</v>
      </c>
      <c r="DZ364" t="e">
        <f>Asia!E10+"$F;@!2kn"</f>
        <v>#VALUE!</v>
      </c>
      <c r="EA364" t="e">
        <f>Asia!F10+"$F;@!2ko"</f>
        <v>#VALUE!</v>
      </c>
      <c r="EB364" t="e">
        <f>Asia!G10+"$F;@!2kp"</f>
        <v>#VALUE!</v>
      </c>
      <c r="EC364" t="e">
        <f>Asia!H10+"$F;@!2kq"</f>
        <v>#VALUE!</v>
      </c>
      <c r="ED364" t="e">
        <f>Asia!A11+"$F;@!2kr"</f>
        <v>#VALUE!</v>
      </c>
      <c r="EE364" t="e">
        <f>Asia!B11+"$F;@!2ks"</f>
        <v>#VALUE!</v>
      </c>
      <c r="EF364" t="e">
        <f>Asia!C11+"$F;@!2kt"</f>
        <v>#VALUE!</v>
      </c>
      <c r="EG364" t="e">
        <f>Asia!D11+"$F;@!2ku"</f>
        <v>#VALUE!</v>
      </c>
      <c r="EH364" t="e">
        <f>Asia!E11+"$F;@!2kv"</f>
        <v>#VALUE!</v>
      </c>
      <c r="EI364" t="e">
        <f>Asia!F11+"$F;@!2kw"</f>
        <v>#VALUE!</v>
      </c>
      <c r="EJ364" t="e">
        <f>Asia!G11+"$F;@!2kx"</f>
        <v>#VALUE!</v>
      </c>
      <c r="EK364" t="e">
        <f>Asia!H11+"$F;@!2ky"</f>
        <v>#VALUE!</v>
      </c>
      <c r="EL364" t="e">
        <f>Asia!A12+"$F;@!2kz"</f>
        <v>#VALUE!</v>
      </c>
      <c r="EM364" t="e">
        <f>Asia!B12+"$F;@!2k{"</f>
        <v>#VALUE!</v>
      </c>
      <c r="EN364" t="e">
        <f>Asia!C12+"$F;@!2k|"</f>
        <v>#VALUE!</v>
      </c>
      <c r="EO364" t="e">
        <f>Asia!D12+"$F;@!2k}"</f>
        <v>#VALUE!</v>
      </c>
      <c r="EP364" t="e">
        <f>Asia!E12+"$F;@!2k~"</f>
        <v>#VALUE!</v>
      </c>
      <c r="EQ364" t="e">
        <f>Asia!F12+"$F;@!2l#"</f>
        <v>#VALUE!</v>
      </c>
      <c r="ER364" t="e">
        <f>Asia!G12+"$F;@!2l$"</f>
        <v>#VALUE!</v>
      </c>
      <c r="ES364" t="e">
        <f>Asia!H12+"$F;@!2l%"</f>
        <v>#VALUE!</v>
      </c>
      <c r="ET364" t="e">
        <f>Asia!A13+"$F;@!2l&amp;"</f>
        <v>#VALUE!</v>
      </c>
      <c r="EU364" t="e">
        <f>Asia!B13+"$F;@!2l'"</f>
        <v>#VALUE!</v>
      </c>
      <c r="EV364" t="e">
        <f>Asia!C13+"$F;@!2l("</f>
        <v>#VALUE!</v>
      </c>
      <c r="EW364" t="e">
        <f>Asia!D13+"$F;@!2l)"</f>
        <v>#VALUE!</v>
      </c>
      <c r="EX364" t="e">
        <f>Asia!E13+"$F;@!2l."</f>
        <v>#VALUE!</v>
      </c>
      <c r="EY364" t="e">
        <f>Asia!F13+"$F;@!2l/"</f>
        <v>#VALUE!</v>
      </c>
      <c r="EZ364" t="e">
        <f>Asia!G13+"$F;@!2l0"</f>
        <v>#VALUE!</v>
      </c>
      <c r="FA364" t="e">
        <f>Asia!H13+"$F;@!2l1"</f>
        <v>#VALUE!</v>
      </c>
      <c r="FB364" t="e">
        <f>Asia!A14+"$F;@!2l2"</f>
        <v>#VALUE!</v>
      </c>
      <c r="FC364" t="e">
        <f>Asia!B14+"$F;@!2l3"</f>
        <v>#VALUE!</v>
      </c>
      <c r="FD364" t="e">
        <f>Asia!C14+"$F;@!2l4"</f>
        <v>#VALUE!</v>
      </c>
      <c r="FE364" t="e">
        <f>Asia!D14+"$F;@!2l5"</f>
        <v>#VALUE!</v>
      </c>
      <c r="FF364" t="e">
        <f>Asia!E14+"$F;@!2l6"</f>
        <v>#VALUE!</v>
      </c>
      <c r="FG364" t="e">
        <f>Asia!F14+"$F;@!2l7"</f>
        <v>#VALUE!</v>
      </c>
      <c r="FH364" t="e">
        <f>Asia!G14+"$F;@!2l8"</f>
        <v>#VALUE!</v>
      </c>
      <c r="FI364" t="e">
        <f>Asia!H14+"$F;@!2l9"</f>
        <v>#VALUE!</v>
      </c>
      <c r="FJ364" t="e">
        <f>Asia!A15+"$F;@!2l:"</f>
        <v>#VALUE!</v>
      </c>
      <c r="FK364" t="e">
        <f>Asia!B15+"$F;@!2l;"</f>
        <v>#VALUE!</v>
      </c>
      <c r="FL364" t="e">
        <f>Asia!C15+"$F;@!2l&lt;"</f>
        <v>#VALUE!</v>
      </c>
      <c r="FM364" t="e">
        <f>Asia!D15+"$F;@!2l="</f>
        <v>#VALUE!</v>
      </c>
      <c r="FN364" t="e">
        <f>Asia!E15+"$F;@!2l&gt;"</f>
        <v>#VALUE!</v>
      </c>
      <c r="FO364" t="e">
        <f>Asia!F15+"$F;@!2l?"</f>
        <v>#VALUE!</v>
      </c>
      <c r="FP364" t="e">
        <f>Asia!G15+"$F;@!2l@"</f>
        <v>#VALUE!</v>
      </c>
      <c r="FQ364" t="e">
        <f>Asia!H15+"$F;@!2lA"</f>
        <v>#VALUE!</v>
      </c>
      <c r="FR364" t="e">
        <f>Asia!A16+"$F;@!2lB"</f>
        <v>#VALUE!</v>
      </c>
      <c r="FS364" t="e">
        <f>Asia!B16+"$F;@!2lC"</f>
        <v>#VALUE!</v>
      </c>
      <c r="FT364" t="e">
        <f>Asia!C16+"$F;@!2lD"</f>
        <v>#VALUE!</v>
      </c>
      <c r="FU364" t="e">
        <f>Asia!D16+"$F;@!2lE"</f>
        <v>#VALUE!</v>
      </c>
      <c r="FV364" t="e">
        <f>Asia!E16+"$F;@!2lF"</f>
        <v>#VALUE!</v>
      </c>
      <c r="FW364" t="e">
        <f>Asia!F16+"$F;@!2lG"</f>
        <v>#VALUE!</v>
      </c>
      <c r="FX364" t="e">
        <f>Asia!G16+"$F;@!2lH"</f>
        <v>#VALUE!</v>
      </c>
      <c r="FY364" t="e">
        <f>Asia!H16+"$F;@!2lI"</f>
        <v>#VALUE!</v>
      </c>
      <c r="FZ364" t="e">
        <f>Asia!A17+"$F;@!2lJ"</f>
        <v>#VALUE!</v>
      </c>
      <c r="GA364" t="e">
        <f>Asia!B17+"$F;@!2lK"</f>
        <v>#VALUE!</v>
      </c>
      <c r="GB364" t="e">
        <f>Asia!C17+"$F;@!2lL"</f>
        <v>#VALUE!</v>
      </c>
      <c r="GC364" t="e">
        <f>Asia!D17+"$F;@!2lM"</f>
        <v>#VALUE!</v>
      </c>
      <c r="GD364" t="e">
        <f>Asia!E17+"$F;@!2lN"</f>
        <v>#VALUE!</v>
      </c>
      <c r="GE364" t="e">
        <f>Asia!F17+"$F;@!2lO"</f>
        <v>#VALUE!</v>
      </c>
      <c r="GF364" t="e">
        <f>Asia!G17+"$F;@!2lP"</f>
        <v>#VALUE!</v>
      </c>
      <c r="GG364" t="e">
        <f>Asia!H17+"$F;@!2lQ"</f>
        <v>#VALUE!</v>
      </c>
      <c r="GH364" t="e">
        <f>Asia!A18+"$F;@!2lR"</f>
        <v>#VALUE!</v>
      </c>
      <c r="GI364" t="e">
        <f>Asia!B18+"$F;@!2lS"</f>
        <v>#VALUE!</v>
      </c>
      <c r="GJ364" t="e">
        <f>Asia!C18+"$F;@!2lT"</f>
        <v>#VALUE!</v>
      </c>
      <c r="GK364" t="e">
        <f>Asia!D18+"$F;@!2lU"</f>
        <v>#VALUE!</v>
      </c>
      <c r="GL364" t="e">
        <f>Asia!E18+"$F;@!2lV"</f>
        <v>#VALUE!</v>
      </c>
      <c r="GM364" t="e">
        <f>Asia!F18+"$F;@!2lW"</f>
        <v>#VALUE!</v>
      </c>
      <c r="GN364" t="e">
        <f>Asia!G18+"$F;@!2lX"</f>
        <v>#VALUE!</v>
      </c>
      <c r="GO364" t="e">
        <f>Asia!H18+"$F;@!2lY"</f>
        <v>#VALUE!</v>
      </c>
      <c r="GP364" t="e">
        <f>Asia!A19+"$F;@!2lZ"</f>
        <v>#VALUE!</v>
      </c>
      <c r="GQ364" t="e">
        <f>Asia!B19+"$F;@!2l["</f>
        <v>#VALUE!</v>
      </c>
      <c r="GR364" t="e">
        <f>Asia!C19+"$F;@!2l\"</f>
        <v>#VALUE!</v>
      </c>
      <c r="GS364" t="e">
        <f>Asia!D19+"$F;@!2l]"</f>
        <v>#VALUE!</v>
      </c>
      <c r="GT364" t="e">
        <f>Asia!E19+"$F;@!2l^"</f>
        <v>#VALUE!</v>
      </c>
      <c r="GU364" t="e">
        <f>Asia!F19+"$F;@!2l_"</f>
        <v>#VALUE!</v>
      </c>
      <c r="GV364" t="e">
        <f>Asia!G19+"$F;@!2l`"</f>
        <v>#VALUE!</v>
      </c>
      <c r="GW364" t="e">
        <f>Asia!H19+"$F;@!2la"</f>
        <v>#VALUE!</v>
      </c>
      <c r="GX364" t="e">
        <f>Asia!A20+"$F;@!2lb"</f>
        <v>#VALUE!</v>
      </c>
      <c r="GY364" t="e">
        <f>Asia!B20+"$F;@!2lc"</f>
        <v>#VALUE!</v>
      </c>
      <c r="GZ364" t="e">
        <f>Asia!C20+"$F;@!2ld"</f>
        <v>#VALUE!</v>
      </c>
      <c r="HA364" t="e">
        <f>Asia!D20+"$F;@!2le"</f>
        <v>#VALUE!</v>
      </c>
      <c r="HB364" t="e">
        <f>Asia!E20+"$F;@!2lf"</f>
        <v>#VALUE!</v>
      </c>
      <c r="HC364" t="e">
        <f>Asia!F20+"$F;@!2lg"</f>
        <v>#VALUE!</v>
      </c>
      <c r="HD364" t="e">
        <f>Asia!G20+"$F;@!2lh"</f>
        <v>#VALUE!</v>
      </c>
      <c r="HE364" t="e">
        <f>Asia!H20+"$F;@!2li"</f>
        <v>#VALUE!</v>
      </c>
      <c r="HF364" t="e">
        <f>Asia!A21+"$F;@!2lj"</f>
        <v>#VALUE!</v>
      </c>
      <c r="HG364" t="e">
        <f>Asia!B21+"$F;@!2lk"</f>
        <v>#VALUE!</v>
      </c>
      <c r="HH364" t="e">
        <f>Asia!C21+"$F;@!2ll"</f>
        <v>#VALUE!</v>
      </c>
      <c r="HI364" t="e">
        <f>Asia!D21+"$F;@!2lm"</f>
        <v>#VALUE!</v>
      </c>
      <c r="HJ364" t="e">
        <f>Asia!E21+"$F;@!2ln"</f>
        <v>#VALUE!</v>
      </c>
      <c r="HK364" t="e">
        <f>Asia!F21+"$F;@!2lo"</f>
        <v>#VALUE!</v>
      </c>
      <c r="HL364" t="e">
        <f>Asia!G21+"$F;@!2lp"</f>
        <v>#VALUE!</v>
      </c>
      <c r="HM364" t="e">
        <f>Asia!H21+"$F;@!2lq"</f>
        <v>#VALUE!</v>
      </c>
      <c r="HN364" t="e">
        <f>Asia!A22+"$F;@!2lr"</f>
        <v>#VALUE!</v>
      </c>
      <c r="HO364" t="e">
        <f>Asia!B22+"$F;@!2ls"</f>
        <v>#VALUE!</v>
      </c>
      <c r="HP364" t="e">
        <f>Asia!C22+"$F;@!2lt"</f>
        <v>#VALUE!</v>
      </c>
      <c r="HQ364" t="e">
        <f>Asia!D22+"$F;@!2lu"</f>
        <v>#VALUE!</v>
      </c>
      <c r="HR364" t="e">
        <f>Asia!E22+"$F;@!2lv"</f>
        <v>#VALUE!</v>
      </c>
      <c r="HS364" t="e">
        <f>Asia!F22+"$F;@!2lw"</f>
        <v>#VALUE!</v>
      </c>
      <c r="HT364" t="e">
        <f>Asia!G22+"$F;@!2lx"</f>
        <v>#VALUE!</v>
      </c>
      <c r="HU364" t="e">
        <f>Asia!H22+"$F;@!2ly"</f>
        <v>#VALUE!</v>
      </c>
      <c r="HV364" t="e">
        <f>Asia!A23+"$F;@!2lz"</f>
        <v>#VALUE!</v>
      </c>
      <c r="HW364" t="e">
        <f>Asia!B23+"$F;@!2l{"</f>
        <v>#VALUE!</v>
      </c>
      <c r="HX364" t="e">
        <f>Asia!C23+"$F;@!2l|"</f>
        <v>#VALUE!</v>
      </c>
      <c r="HY364" t="e">
        <f>Asia!D23+"$F;@!2l}"</f>
        <v>#VALUE!</v>
      </c>
      <c r="HZ364" t="e">
        <f>Asia!E23+"$F;@!2l~"</f>
        <v>#VALUE!</v>
      </c>
      <c r="IA364" t="e">
        <f>Asia!F23+"$F;@!2m#"</f>
        <v>#VALUE!</v>
      </c>
      <c r="IB364" t="e">
        <f>Asia!G23+"$F;@!2m$"</f>
        <v>#VALUE!</v>
      </c>
      <c r="IC364" t="e">
        <f>Asia!H23+"$F;@!2m%"</f>
        <v>#VALUE!</v>
      </c>
      <c r="ID364" t="e">
        <f>Asia!A24+"$F;@!2m&amp;"</f>
        <v>#VALUE!</v>
      </c>
      <c r="IE364" t="e">
        <f>Asia!B24+"$F;@!2m'"</f>
        <v>#VALUE!</v>
      </c>
      <c r="IF364" t="e">
        <f>Asia!C24+"$F;@!2m("</f>
        <v>#VALUE!</v>
      </c>
      <c r="IG364" t="e">
        <f>Asia!D24+"$F;@!2m)"</f>
        <v>#VALUE!</v>
      </c>
      <c r="IH364" t="e">
        <f>Asia!E24+"$F;@!2m."</f>
        <v>#VALUE!</v>
      </c>
      <c r="II364" t="e">
        <f>Asia!F24+"$F;@!2m/"</f>
        <v>#VALUE!</v>
      </c>
      <c r="IJ364" t="e">
        <f>Asia!G24+"$F;@!2m0"</f>
        <v>#VALUE!</v>
      </c>
      <c r="IK364" t="e">
        <f>Asia!H24+"$F;@!2m1"</f>
        <v>#VALUE!</v>
      </c>
      <c r="IL364" t="e">
        <f>Asia!A25+"$F;@!2m2"</f>
        <v>#VALUE!</v>
      </c>
      <c r="IM364" t="e">
        <f>Asia!B25+"$F;@!2m3"</f>
        <v>#VALUE!</v>
      </c>
      <c r="IN364" t="e">
        <f>Asia!C25+"$F;@!2m4"</f>
        <v>#VALUE!</v>
      </c>
      <c r="IO364" t="e">
        <f>Asia!D25+"$F;@!2m5"</f>
        <v>#VALUE!</v>
      </c>
      <c r="IP364" t="e">
        <f>Asia!E25+"$F;@!2m6"</f>
        <v>#VALUE!</v>
      </c>
      <c r="IQ364" t="e">
        <f>Asia!F25+"$F;@!2m7"</f>
        <v>#VALUE!</v>
      </c>
      <c r="IR364" t="e">
        <f>Asia!G25+"$F;@!2m8"</f>
        <v>#VALUE!</v>
      </c>
      <c r="IS364" t="e">
        <f>Asia!H25+"$F;@!2m9"</f>
        <v>#VALUE!</v>
      </c>
      <c r="IT364" t="e">
        <f>Asia!A26+"$F;@!2m:"</f>
        <v>#VALUE!</v>
      </c>
      <c r="IU364" t="e">
        <f>Asia!B26+"$F;@!2m;"</f>
        <v>#VALUE!</v>
      </c>
      <c r="IV364" t="e">
        <f>Asia!C26+"$F;@!2m&lt;"</f>
        <v>#VALUE!</v>
      </c>
    </row>
    <row r="365" spans="6:256" x14ac:dyDescent="0.35">
      <c r="F365" t="e">
        <f>Asia!D26+"$F;@!2m="</f>
        <v>#VALUE!</v>
      </c>
      <c r="G365" t="e">
        <f>Asia!E26+"$F;@!2m&gt;"</f>
        <v>#VALUE!</v>
      </c>
      <c r="H365" t="e">
        <f>Asia!F26+"$F;@!2m?"</f>
        <v>#VALUE!</v>
      </c>
      <c r="I365" t="e">
        <f>Asia!G26+"$F;@!2m@"</f>
        <v>#VALUE!</v>
      </c>
      <c r="J365" t="e">
        <f>Asia!H26+"$F;@!2mA"</f>
        <v>#VALUE!</v>
      </c>
      <c r="K365" t="e">
        <f>Asia!A27+"$F;@!2mB"</f>
        <v>#VALUE!</v>
      </c>
      <c r="L365" t="e">
        <f>Asia!B27+"$F;@!2mC"</f>
        <v>#VALUE!</v>
      </c>
      <c r="M365" t="e">
        <f>Asia!C27+"$F;@!2mD"</f>
        <v>#VALUE!</v>
      </c>
      <c r="N365" t="e">
        <f>Asia!D27+"$F;@!2mE"</f>
        <v>#VALUE!</v>
      </c>
      <c r="O365" t="e">
        <f>Asia!E27+"$F;@!2mF"</f>
        <v>#VALUE!</v>
      </c>
      <c r="P365" t="e">
        <f>Asia!F27+"$F;@!2mG"</f>
        <v>#VALUE!</v>
      </c>
      <c r="Q365" t="e">
        <f>Asia!G27+"$F;@!2mH"</f>
        <v>#VALUE!</v>
      </c>
      <c r="R365" t="e">
        <f>Asia!H27+"$F;@!2mI"</f>
        <v>#VALUE!</v>
      </c>
      <c r="S365" t="e">
        <f>Asia!A28+"$F;@!2mJ"</f>
        <v>#VALUE!</v>
      </c>
      <c r="T365" t="e">
        <f>Asia!B28+"$F;@!2mK"</f>
        <v>#VALUE!</v>
      </c>
      <c r="U365" t="e">
        <f>Asia!C28+"$F;@!2mL"</f>
        <v>#VALUE!</v>
      </c>
      <c r="V365" t="e">
        <f>Asia!D28+"$F;@!2mM"</f>
        <v>#VALUE!</v>
      </c>
      <c r="W365" t="e">
        <f>Asia!E28+"$F;@!2mN"</f>
        <v>#VALUE!</v>
      </c>
      <c r="X365" t="e">
        <f>Asia!F28+"$F;@!2mO"</f>
        <v>#VALUE!</v>
      </c>
      <c r="Y365" t="e">
        <f>Asia!G28+"$F;@!2mP"</f>
        <v>#VALUE!</v>
      </c>
      <c r="Z365" t="e">
        <f>Asia!H28+"$F;@!2mQ"</f>
        <v>#VALUE!</v>
      </c>
      <c r="AA365" t="e">
        <f>Asia!A29+"$F;@!2mR"</f>
        <v>#VALUE!</v>
      </c>
      <c r="AB365" t="e">
        <f>Asia!B29+"$F;@!2mS"</f>
        <v>#VALUE!</v>
      </c>
      <c r="AC365" t="e">
        <f>Asia!C29+"$F;@!2mT"</f>
        <v>#VALUE!</v>
      </c>
      <c r="AD365" t="e">
        <f>Asia!D29+"$F;@!2mU"</f>
        <v>#VALUE!</v>
      </c>
      <c r="AE365" t="e">
        <f>Asia!E29+"$F;@!2mV"</f>
        <v>#VALUE!</v>
      </c>
      <c r="AF365" t="e">
        <f>Asia!F29+"$F;@!2mW"</f>
        <v>#VALUE!</v>
      </c>
      <c r="AG365" t="e">
        <f>Asia!G29+"$F;@!2mX"</f>
        <v>#VALUE!</v>
      </c>
      <c r="AH365" t="e">
        <f>Asia!H29+"$F;@!2mY"</f>
        <v>#VALUE!</v>
      </c>
      <c r="AI365" t="e">
        <f>Asia!A30+"$F;@!2mZ"</f>
        <v>#VALUE!</v>
      </c>
      <c r="AJ365" t="e">
        <f>Asia!B30+"$F;@!2m["</f>
        <v>#VALUE!</v>
      </c>
      <c r="AK365" t="e">
        <f>Asia!C30+"$F;@!2m\"</f>
        <v>#VALUE!</v>
      </c>
      <c r="AL365" t="e">
        <f>Asia!D30+"$F;@!2m]"</f>
        <v>#VALUE!</v>
      </c>
      <c r="AM365" t="e">
        <f>Asia!E30+"$F;@!2m^"</f>
        <v>#VALUE!</v>
      </c>
      <c r="AN365" t="e">
        <f>Asia!F30+"$F;@!2m_"</f>
        <v>#VALUE!</v>
      </c>
      <c r="AO365" t="e">
        <f>Asia!G30+"$F;@!2m`"</f>
        <v>#VALUE!</v>
      </c>
      <c r="AP365" t="e">
        <f>Asia!H30+"$F;@!2ma"</f>
        <v>#VALUE!</v>
      </c>
      <c r="AQ365" t="e">
        <f>Asia!A31+"$F;@!2mb"</f>
        <v>#VALUE!</v>
      </c>
      <c r="AR365" t="e">
        <f>Asia!B31+"$F;@!2mc"</f>
        <v>#VALUE!</v>
      </c>
      <c r="AS365" t="e">
        <f>Asia!C31+"$F;@!2md"</f>
        <v>#VALUE!</v>
      </c>
      <c r="AT365" t="e">
        <f>Asia!D31+"$F;@!2me"</f>
        <v>#VALUE!</v>
      </c>
      <c r="AU365" t="e">
        <f>Asia!E31+"$F;@!2mf"</f>
        <v>#VALUE!</v>
      </c>
      <c r="AV365" t="e">
        <f>Asia!F31+"$F;@!2mg"</f>
        <v>#VALUE!</v>
      </c>
      <c r="AW365" t="e">
        <f>Asia!G31+"$F;@!2mh"</f>
        <v>#VALUE!</v>
      </c>
      <c r="AX365" t="e">
        <f>Asia!H31+"$F;@!2mi"</f>
        <v>#VALUE!</v>
      </c>
      <c r="AY365" t="e">
        <f>Asia!A32+"$F;@!2mj"</f>
        <v>#VALUE!</v>
      </c>
      <c r="AZ365" t="e">
        <f>Asia!B32+"$F;@!2mk"</f>
        <v>#VALUE!</v>
      </c>
      <c r="BA365" t="e">
        <f>Asia!C32+"$F;@!2ml"</f>
        <v>#VALUE!</v>
      </c>
      <c r="BB365" t="e">
        <f>Asia!D32+"$F;@!2mm"</f>
        <v>#VALUE!</v>
      </c>
      <c r="BC365" t="e">
        <f>Asia!E32+"$F;@!2mn"</f>
        <v>#VALUE!</v>
      </c>
      <c r="BD365" t="e">
        <f>Asia!F32+"$F;@!2mo"</f>
        <v>#VALUE!</v>
      </c>
      <c r="BE365" t="e">
        <f>Asia!G32+"$F;@!2mp"</f>
        <v>#VALUE!</v>
      </c>
      <c r="BF365" t="e">
        <f>Asia!H32+"$F;@!2mq"</f>
        <v>#VALUE!</v>
      </c>
      <c r="BG365" t="e">
        <f>Asia!A33+"$F;@!2mr"</f>
        <v>#VALUE!</v>
      </c>
      <c r="BH365" t="e">
        <f>Asia!B33+"$F;@!2ms"</f>
        <v>#VALUE!</v>
      </c>
      <c r="BI365" t="e">
        <f>Asia!C33+"$F;@!2mt"</f>
        <v>#VALUE!</v>
      </c>
      <c r="BJ365" t="e">
        <f>Asia!D33+"$F;@!2mu"</f>
        <v>#VALUE!</v>
      </c>
      <c r="BK365" t="e">
        <f>Asia!E33+"$F;@!2mv"</f>
        <v>#VALUE!</v>
      </c>
      <c r="BL365" t="e">
        <f>Asia!F33+"$F;@!2mw"</f>
        <v>#VALUE!</v>
      </c>
      <c r="BM365" t="e">
        <f>Asia!G33+"$F;@!2mx"</f>
        <v>#VALUE!</v>
      </c>
      <c r="BN365" t="e">
        <f>Asia!H33+"$F;@!2my"</f>
        <v>#VALUE!</v>
      </c>
      <c r="BO365" t="e">
        <f>Asia!A34+"$F;@!2mz"</f>
        <v>#VALUE!</v>
      </c>
      <c r="BP365" t="e">
        <f>Asia!B34+"$F;@!2m{"</f>
        <v>#VALUE!</v>
      </c>
      <c r="BQ365" t="e">
        <f>Asia!C34+"$F;@!2m|"</f>
        <v>#VALUE!</v>
      </c>
      <c r="BR365" t="e">
        <f>Asia!D34+"$F;@!2m}"</f>
        <v>#VALUE!</v>
      </c>
      <c r="BS365" t="e">
        <f>Asia!E34+"$F;@!2m~"</f>
        <v>#VALUE!</v>
      </c>
      <c r="BT365" t="e">
        <f>Asia!F34+"$F;@!2n#"</f>
        <v>#VALUE!</v>
      </c>
      <c r="BU365" t="e">
        <f>Asia!G34+"$F;@!2n$"</f>
        <v>#VALUE!</v>
      </c>
      <c r="BV365" t="e">
        <f>Asia!H34+"$F;@!2n%"</f>
        <v>#VALUE!</v>
      </c>
      <c r="BW365" t="e">
        <f>Asia!A35+"$F;@!2n&amp;"</f>
        <v>#VALUE!</v>
      </c>
      <c r="BX365" t="e">
        <f>Asia!B35+"$F;@!2n'"</f>
        <v>#VALUE!</v>
      </c>
      <c r="BY365" t="e">
        <f>Asia!C35+"$F;@!2n("</f>
        <v>#VALUE!</v>
      </c>
      <c r="BZ365" t="e">
        <f>Asia!D35+"$F;@!2n)"</f>
        <v>#VALUE!</v>
      </c>
      <c r="CA365" t="e">
        <f>Asia!E35+"$F;@!2n."</f>
        <v>#VALUE!</v>
      </c>
      <c r="CB365" t="e">
        <f>Asia!F35+"$F;@!2n/"</f>
        <v>#VALUE!</v>
      </c>
      <c r="CC365" t="e">
        <f>Asia!G35+"$F;@!2n0"</f>
        <v>#VALUE!</v>
      </c>
      <c r="CD365" t="e">
        <f>Asia!H35+"$F;@!2n1"</f>
        <v>#VALUE!</v>
      </c>
      <c r="CE365" t="e">
        <f>Asia!A36+"$F;@!2n2"</f>
        <v>#VALUE!</v>
      </c>
      <c r="CF365" t="e">
        <f>Asia!B36+"$F;@!2n3"</f>
        <v>#VALUE!</v>
      </c>
      <c r="CG365" t="e">
        <f>Asia!C36+"$F;@!2n4"</f>
        <v>#VALUE!</v>
      </c>
      <c r="CH365" t="e">
        <f>Asia!D36+"$F;@!2n5"</f>
        <v>#VALUE!</v>
      </c>
      <c r="CI365" t="e">
        <f>Asia!E36+"$F;@!2n6"</f>
        <v>#VALUE!</v>
      </c>
      <c r="CJ365" t="e">
        <f>Asia!F36+"$F;@!2n7"</f>
        <v>#VALUE!</v>
      </c>
      <c r="CK365" t="e">
        <f>Asia!G36+"$F;@!2n8"</f>
        <v>#VALUE!</v>
      </c>
      <c r="CL365" t="e">
        <f>Asia!H36+"$F;@!2n9"</f>
        <v>#VALUE!</v>
      </c>
      <c r="CM365" t="e">
        <f>Asia!A37+"$F;@!2n:"</f>
        <v>#VALUE!</v>
      </c>
      <c r="CN365" t="e">
        <f>Asia!B37+"$F;@!2n;"</f>
        <v>#VALUE!</v>
      </c>
      <c r="CO365" t="e">
        <f>Asia!C37+"$F;@!2n&lt;"</f>
        <v>#VALUE!</v>
      </c>
      <c r="CP365" t="e">
        <f>Asia!D37+"$F;@!2n="</f>
        <v>#VALUE!</v>
      </c>
      <c r="CQ365" t="e">
        <f>Asia!E37+"$F;@!2n&gt;"</f>
        <v>#VALUE!</v>
      </c>
      <c r="CR365" t="e">
        <f>Asia!F37+"$F;@!2n?"</f>
        <v>#VALUE!</v>
      </c>
      <c r="CS365" t="e">
        <f>Asia!G37+"$F;@!2n@"</f>
        <v>#VALUE!</v>
      </c>
      <c r="CT365" t="e">
        <f>Asia!H37+"$F;@!2nA"</f>
        <v>#VALUE!</v>
      </c>
      <c r="CU365" t="e">
        <f>Asia!A38+"$F;@!2nB"</f>
        <v>#VALUE!</v>
      </c>
      <c r="CV365" t="e">
        <f>Asia!B38+"$F;@!2nC"</f>
        <v>#VALUE!</v>
      </c>
      <c r="CW365" t="e">
        <f>Asia!C38+"$F;@!2nD"</f>
        <v>#VALUE!</v>
      </c>
      <c r="CX365" t="e">
        <f>Asia!D38+"$F;@!2nE"</f>
        <v>#VALUE!</v>
      </c>
      <c r="CY365" t="e">
        <f>Asia!E38+"$F;@!2nF"</f>
        <v>#VALUE!</v>
      </c>
      <c r="CZ365" t="e">
        <f>Asia!F38+"$F;@!2nG"</f>
        <v>#VALUE!</v>
      </c>
      <c r="DA365" t="e">
        <f>Asia!G38+"$F;@!2nH"</f>
        <v>#VALUE!</v>
      </c>
      <c r="DB365" t="e">
        <f>Asia!H38+"$F;@!2nI"</f>
        <v>#VALUE!</v>
      </c>
      <c r="DC365" t="e">
        <f>Asia!A39+"$F;@!2nJ"</f>
        <v>#VALUE!</v>
      </c>
      <c r="DD365" t="e">
        <f>Asia!B39+"$F;@!2nK"</f>
        <v>#VALUE!</v>
      </c>
      <c r="DE365" t="e">
        <f>Asia!C39+"$F;@!2nL"</f>
        <v>#VALUE!</v>
      </c>
      <c r="DF365" t="e">
        <f>Asia!D39+"$F;@!2nM"</f>
        <v>#VALUE!</v>
      </c>
      <c r="DG365" t="e">
        <f>Asia!E39+"$F;@!2nN"</f>
        <v>#VALUE!</v>
      </c>
      <c r="DH365" t="e">
        <f>Asia!F39+"$F;@!2nO"</f>
        <v>#VALUE!</v>
      </c>
      <c r="DI365" t="e">
        <f>Asia!G39+"$F;@!2nP"</f>
        <v>#VALUE!</v>
      </c>
      <c r="DJ365" t="e">
        <f>Asia!H39+"$F;@!2nQ"</f>
        <v>#VALUE!</v>
      </c>
      <c r="DK365" t="e">
        <f>Asia!A40+"$F;@!2nR"</f>
        <v>#VALUE!</v>
      </c>
      <c r="DL365" t="e">
        <f>Asia!B40+"$F;@!2nS"</f>
        <v>#VALUE!</v>
      </c>
      <c r="DM365" t="e">
        <f>Asia!C40+"$F;@!2nT"</f>
        <v>#VALUE!</v>
      </c>
      <c r="DN365" t="e">
        <f>Asia!D40+"$F;@!2nU"</f>
        <v>#VALUE!</v>
      </c>
      <c r="DO365" t="e">
        <f>Asia!E40+"$F;@!2nV"</f>
        <v>#VALUE!</v>
      </c>
      <c r="DP365" t="e">
        <f>Asia!F40+"$F;@!2nW"</f>
        <v>#VALUE!</v>
      </c>
      <c r="DQ365" t="e">
        <f>Asia!G40+"$F;@!2nX"</f>
        <v>#VALUE!</v>
      </c>
      <c r="DR365" t="e">
        <f>Asia!H40+"$F;@!2nY"</f>
        <v>#VALUE!</v>
      </c>
      <c r="DS365" t="e">
        <f>Asia!A41+"$F;@!2nZ"</f>
        <v>#VALUE!</v>
      </c>
      <c r="DT365" t="e">
        <f>Asia!B41+"$F;@!2n["</f>
        <v>#VALUE!</v>
      </c>
      <c r="DU365" t="e">
        <f>Asia!C41+"$F;@!2n\"</f>
        <v>#VALUE!</v>
      </c>
      <c r="DV365" t="e">
        <f>Asia!D41+"$F;@!2n]"</f>
        <v>#VALUE!</v>
      </c>
      <c r="DW365" t="e">
        <f>Asia!E41+"$F;@!2n^"</f>
        <v>#VALUE!</v>
      </c>
      <c r="DX365" t="e">
        <f>Asia!F41+"$F;@!2n_"</f>
        <v>#VALUE!</v>
      </c>
      <c r="DY365" t="e">
        <f>Asia!G41+"$F;@!2n`"</f>
        <v>#VALUE!</v>
      </c>
      <c r="DZ365" t="e">
        <f>Asia!H41+"$F;@!2na"</f>
        <v>#VALUE!</v>
      </c>
      <c r="EA365" t="e">
        <f>Asia!A42+"$F;@!2nb"</f>
        <v>#VALUE!</v>
      </c>
      <c r="EB365" t="e">
        <f>Asia!B42+"$F;@!2nc"</f>
        <v>#VALUE!</v>
      </c>
      <c r="EC365" t="e">
        <f>Asia!C42+"$F;@!2nd"</f>
        <v>#VALUE!</v>
      </c>
      <c r="ED365" t="e">
        <f>Asia!D42+"$F;@!2ne"</f>
        <v>#VALUE!</v>
      </c>
      <c r="EE365" t="e">
        <f>Asia!E42+"$F;@!2nf"</f>
        <v>#VALUE!</v>
      </c>
      <c r="EF365" t="e">
        <f>Asia!F42+"$F;@!2ng"</f>
        <v>#VALUE!</v>
      </c>
      <c r="EG365" t="e">
        <f>Asia!G42+"$F;@!2nh"</f>
        <v>#VALUE!</v>
      </c>
      <c r="EH365" t="e">
        <f>Asia!H42+"$F;@!2ni"</f>
        <v>#VALUE!</v>
      </c>
      <c r="EI365" t="e">
        <f>Asia!A43+"$F;@!2nj"</f>
        <v>#VALUE!</v>
      </c>
      <c r="EJ365" t="e">
        <f>Asia!B43+"$F;@!2nk"</f>
        <v>#VALUE!</v>
      </c>
      <c r="EK365" t="e">
        <f>Asia!C43+"$F;@!2nl"</f>
        <v>#VALUE!</v>
      </c>
      <c r="EL365" t="e">
        <f>Asia!D43+"$F;@!2nm"</f>
        <v>#VALUE!</v>
      </c>
      <c r="EM365" t="e">
        <f>Asia!E43+"$F;@!2nn"</f>
        <v>#VALUE!</v>
      </c>
      <c r="EN365" t="e">
        <f>Asia!F43+"$F;@!2no"</f>
        <v>#VALUE!</v>
      </c>
      <c r="EO365" t="e">
        <f>Asia!G43+"$F;@!2np"</f>
        <v>#VALUE!</v>
      </c>
      <c r="EP365" t="e">
        <f>Asia!H43+"$F;@!2nq"</f>
        <v>#VALUE!</v>
      </c>
      <c r="EQ365" t="e">
        <f>Asia!A44+"$F;@!2nr"</f>
        <v>#VALUE!</v>
      </c>
      <c r="ER365" t="e">
        <f>Asia!B44+"$F;@!2ns"</f>
        <v>#VALUE!</v>
      </c>
      <c r="ES365" t="e">
        <f>Asia!C44+"$F;@!2nt"</f>
        <v>#VALUE!</v>
      </c>
      <c r="ET365" t="e">
        <f>Asia!D44+"$F;@!2nu"</f>
        <v>#VALUE!</v>
      </c>
      <c r="EU365" t="e">
        <f>Asia!E44+"$F;@!2nv"</f>
        <v>#VALUE!</v>
      </c>
      <c r="EV365" t="e">
        <f>Asia!F44+"$F;@!2nw"</f>
        <v>#VALUE!</v>
      </c>
      <c r="EW365" t="e">
        <f>Asia!G44+"$F;@!2nx"</f>
        <v>#VALUE!</v>
      </c>
      <c r="EX365" t="e">
        <f>Asia!H44+"$F;@!2ny"</f>
        <v>#VALUE!</v>
      </c>
      <c r="EY365" t="e">
        <f>Asia!A45+"$F;@!2nz"</f>
        <v>#VALUE!</v>
      </c>
      <c r="EZ365" t="e">
        <f>Asia!B45+"$F;@!2n{"</f>
        <v>#VALUE!</v>
      </c>
      <c r="FA365" t="e">
        <f>Asia!C45+"$F;@!2n|"</f>
        <v>#VALUE!</v>
      </c>
      <c r="FB365" t="e">
        <f>Asia!D45+"$F;@!2n}"</f>
        <v>#VALUE!</v>
      </c>
      <c r="FC365" t="e">
        <f>Asia!E45+"$F;@!2n~"</f>
        <v>#VALUE!</v>
      </c>
      <c r="FD365" t="e">
        <f>Asia!F45+"$F;@!2o#"</f>
        <v>#VALUE!</v>
      </c>
      <c r="FE365" t="e">
        <f>Asia!G45+"$F;@!2o$"</f>
        <v>#VALUE!</v>
      </c>
      <c r="FF365" t="e">
        <f>Asia!H45+"$F;@!2o%"</f>
        <v>#VALUE!</v>
      </c>
      <c r="FG365" t="e">
        <f>Asia!A46+"$F;@!2o&amp;"</f>
        <v>#VALUE!</v>
      </c>
      <c r="FH365" t="e">
        <f>Asia!B46+"$F;@!2o'"</f>
        <v>#VALUE!</v>
      </c>
      <c r="FI365" t="e">
        <f>Asia!C46+"$F;@!2o("</f>
        <v>#VALUE!</v>
      </c>
      <c r="FJ365" t="e">
        <f>Asia!D46+"$F;@!2o)"</f>
        <v>#VALUE!</v>
      </c>
      <c r="FK365" t="e">
        <f>Asia!E46+"$F;@!2o."</f>
        <v>#VALUE!</v>
      </c>
      <c r="FL365" t="e">
        <f>Asia!F46+"$F;@!2o/"</f>
        <v>#VALUE!</v>
      </c>
      <c r="FM365" t="e">
        <f>Asia!G46+"$F;@!2o0"</f>
        <v>#VALUE!</v>
      </c>
      <c r="FN365" t="e">
        <f>Asia!H46+"$F;@!2o1"</f>
        <v>#VALUE!</v>
      </c>
      <c r="FO365" t="e">
        <f>Asia!A47+"$F;@!2o2"</f>
        <v>#VALUE!</v>
      </c>
      <c r="FP365" t="e">
        <f>Asia!B47+"$F;@!2o3"</f>
        <v>#VALUE!</v>
      </c>
      <c r="FQ365" t="e">
        <f>Asia!C47+"$F;@!2o4"</f>
        <v>#VALUE!</v>
      </c>
      <c r="FR365" t="e">
        <f>Asia!D47+"$F;@!2o5"</f>
        <v>#VALUE!</v>
      </c>
      <c r="FS365" t="e">
        <f>Asia!E47+"$F;@!2o6"</f>
        <v>#VALUE!</v>
      </c>
      <c r="FT365" t="e">
        <f>Asia!F47+"$F;@!2o7"</f>
        <v>#VALUE!</v>
      </c>
      <c r="FU365" t="e">
        <f>Asia!G47+"$F;@!2o8"</f>
        <v>#VALUE!</v>
      </c>
      <c r="FV365" t="e">
        <f>Asia!H47+"$F;@!2o9"</f>
        <v>#VALUE!</v>
      </c>
      <c r="FW365" t="e">
        <f>Asia!A48+"$F;@!2o:"</f>
        <v>#VALUE!</v>
      </c>
      <c r="FX365" t="e">
        <f>Asia!B48+"$F;@!2o;"</f>
        <v>#VALUE!</v>
      </c>
      <c r="FY365" t="e">
        <f>Asia!C48+"$F;@!2o&lt;"</f>
        <v>#VALUE!</v>
      </c>
      <c r="FZ365" t="e">
        <f>Asia!D48+"$F;@!2o="</f>
        <v>#VALUE!</v>
      </c>
      <c r="GA365" t="e">
        <f>Asia!E48+"$F;@!2o&gt;"</f>
        <v>#VALUE!</v>
      </c>
      <c r="GB365" t="e">
        <f>Asia!F48+"$F;@!2o?"</f>
        <v>#VALUE!</v>
      </c>
      <c r="GC365" t="e">
        <f>Asia!G48+"$F;@!2o@"</f>
        <v>#VALUE!</v>
      </c>
      <c r="GD365" t="e">
        <f>Asia!H48+"$F;@!2oA"</f>
        <v>#VALUE!</v>
      </c>
      <c r="GE365" t="e">
        <f>Asia!A49+"$F;@!2oB"</f>
        <v>#VALUE!</v>
      </c>
      <c r="GF365" t="e">
        <f>Asia!B49+"$F;@!2oC"</f>
        <v>#VALUE!</v>
      </c>
      <c r="GG365" t="e">
        <f>Asia!C49+"$F;@!2oD"</f>
        <v>#VALUE!</v>
      </c>
      <c r="GH365" t="e">
        <f>Asia!D49+"$F;@!2oE"</f>
        <v>#VALUE!</v>
      </c>
      <c r="GI365" t="e">
        <f>Asia!E49+"$F;@!2oF"</f>
        <v>#VALUE!</v>
      </c>
      <c r="GJ365" t="e">
        <f>Asia!F49+"$F;@!2oG"</f>
        <v>#VALUE!</v>
      </c>
      <c r="GK365" t="e">
        <f>Asia!G49+"$F;@!2oH"</f>
        <v>#VALUE!</v>
      </c>
      <c r="GL365" t="e">
        <f>Asia!H49+"$F;@!2oI"</f>
        <v>#VALUE!</v>
      </c>
      <c r="GM365" t="e">
        <f>Asia!A50+"$F;@!2oJ"</f>
        <v>#VALUE!</v>
      </c>
      <c r="GN365" t="e">
        <f>Asia!B50+"$F;@!2oK"</f>
        <v>#VALUE!</v>
      </c>
      <c r="GO365" t="e">
        <f>Asia!C50+"$F;@!2oL"</f>
        <v>#VALUE!</v>
      </c>
      <c r="GP365" t="e">
        <f>Asia!D50+"$F;@!2oM"</f>
        <v>#VALUE!</v>
      </c>
      <c r="GQ365" t="e">
        <f>Asia!E50+"$F;@!2oN"</f>
        <v>#VALUE!</v>
      </c>
      <c r="GR365" t="e">
        <f>Asia!F50+"$F;@!2oO"</f>
        <v>#VALUE!</v>
      </c>
      <c r="GS365" t="e">
        <f>Asia!G50+"$F;@!2oP"</f>
        <v>#VALUE!</v>
      </c>
      <c r="GT365" t="e">
        <f>Asia!H50+"$F;@!2oQ"</f>
        <v>#VALUE!</v>
      </c>
      <c r="GU365" t="e">
        <f>Asia!A51+"$F;@!2oR"</f>
        <v>#VALUE!</v>
      </c>
      <c r="GV365" t="e">
        <f>Asia!B51+"$F;@!2oS"</f>
        <v>#VALUE!</v>
      </c>
      <c r="GW365" t="e">
        <f>Asia!C51+"$F;@!2oT"</f>
        <v>#VALUE!</v>
      </c>
      <c r="GX365" t="e">
        <f>Asia!D51+"$F;@!2oU"</f>
        <v>#VALUE!</v>
      </c>
      <c r="GY365" t="e">
        <f>Asia!E51+"$F;@!2oV"</f>
        <v>#VALUE!</v>
      </c>
      <c r="GZ365" t="e">
        <f>Asia!F51+"$F;@!2oW"</f>
        <v>#VALUE!</v>
      </c>
      <c r="HA365" t="e">
        <f>Asia!G51+"$F;@!2oX"</f>
        <v>#VALUE!</v>
      </c>
      <c r="HB365" t="e">
        <f>Asia!H51+"$F;@!2oY"</f>
        <v>#VALUE!</v>
      </c>
      <c r="HC365" t="e">
        <f>Asia!A52+"$F;@!2oZ"</f>
        <v>#VALUE!</v>
      </c>
      <c r="HD365" t="e">
        <f>Asia!B52+"$F;@!2o["</f>
        <v>#VALUE!</v>
      </c>
      <c r="HE365" t="e">
        <f>Asia!C52+"$F;@!2o\"</f>
        <v>#VALUE!</v>
      </c>
      <c r="HF365" t="e">
        <f>Asia!D52+"$F;@!2o]"</f>
        <v>#VALUE!</v>
      </c>
      <c r="HG365" t="e">
        <f>Asia!E52+"$F;@!2o^"</f>
        <v>#VALUE!</v>
      </c>
      <c r="HH365" t="e">
        <f>Asia!F52+"$F;@!2o_"</f>
        <v>#VALUE!</v>
      </c>
      <c r="HI365" t="e">
        <f>Asia!G52+"$F;@!2o`"</f>
        <v>#VALUE!</v>
      </c>
      <c r="HJ365" t="e">
        <f>Asia!H52+"$F;@!2oa"</f>
        <v>#VALUE!</v>
      </c>
      <c r="HK365" t="e">
        <f>Asia!A53+"$F;@!2ob"</f>
        <v>#VALUE!</v>
      </c>
      <c r="HL365" t="e">
        <f>Asia!B53+"$F;@!2oc"</f>
        <v>#VALUE!</v>
      </c>
      <c r="HM365" t="e">
        <f>Asia!C53+"$F;@!2od"</f>
        <v>#VALUE!</v>
      </c>
      <c r="HN365" t="e">
        <f>Asia!D53+"$F;@!2oe"</f>
        <v>#VALUE!</v>
      </c>
      <c r="HO365" t="e">
        <f>Asia!E53+"$F;@!2of"</f>
        <v>#VALUE!</v>
      </c>
      <c r="HP365" t="e">
        <f>Asia!F53+"$F;@!2og"</f>
        <v>#VALUE!</v>
      </c>
      <c r="HQ365" t="e">
        <f>Asia!G53+"$F;@!2oh"</f>
        <v>#VALUE!</v>
      </c>
      <c r="HR365" t="e">
        <f>Asia!H53+"$F;@!2oi"</f>
        <v>#VALUE!</v>
      </c>
      <c r="HS365" t="e">
        <f>Asia!A54+"$F;@!2oj"</f>
        <v>#VALUE!</v>
      </c>
      <c r="HT365" t="e">
        <f>Asia!B54+"$F;@!2ok"</f>
        <v>#VALUE!</v>
      </c>
      <c r="HU365" t="e">
        <f>Asia!C54+"$F;@!2ol"</f>
        <v>#VALUE!</v>
      </c>
      <c r="HV365" t="e">
        <f>Asia!D54+"$F;@!2om"</f>
        <v>#VALUE!</v>
      </c>
      <c r="HW365" t="e">
        <f>Asia!E54+"$F;@!2on"</f>
        <v>#VALUE!</v>
      </c>
      <c r="HX365" t="e">
        <f>Asia!F54+"$F;@!2oo"</f>
        <v>#VALUE!</v>
      </c>
      <c r="HY365" t="e">
        <f>Asia!G54+"$F;@!2op"</f>
        <v>#VALUE!</v>
      </c>
      <c r="HZ365" t="e">
        <f>Asia!H54+"$F;@!2oq"</f>
        <v>#VALUE!</v>
      </c>
      <c r="IA365" t="e">
        <f>Asia!A55+"$F;@!2or"</f>
        <v>#VALUE!</v>
      </c>
      <c r="IB365" t="e">
        <f>Asia!B55+"$F;@!2os"</f>
        <v>#VALUE!</v>
      </c>
      <c r="IC365" t="e">
        <f>Asia!C55+"$F;@!2ot"</f>
        <v>#VALUE!</v>
      </c>
      <c r="ID365" t="e">
        <f>Asia!D55+"$F;@!2ou"</f>
        <v>#VALUE!</v>
      </c>
      <c r="IE365" t="e">
        <f>Asia!E55+"$F;@!2ov"</f>
        <v>#VALUE!</v>
      </c>
      <c r="IF365" t="e">
        <f>Asia!F55+"$F;@!2ow"</f>
        <v>#VALUE!</v>
      </c>
      <c r="IG365" t="e">
        <f>Asia!G55+"$F;@!2ox"</f>
        <v>#VALUE!</v>
      </c>
      <c r="IH365" t="e">
        <f>Asia!H55+"$F;@!2oy"</f>
        <v>#VALUE!</v>
      </c>
      <c r="II365" t="e">
        <f>Asia!A56+"$F;@!2oz"</f>
        <v>#VALUE!</v>
      </c>
      <c r="IJ365" t="e">
        <f>Asia!B56+"$F;@!2o{"</f>
        <v>#VALUE!</v>
      </c>
      <c r="IK365" t="e">
        <f>Asia!C56+"$F;@!2o|"</f>
        <v>#VALUE!</v>
      </c>
      <c r="IL365" t="e">
        <f>Asia!D56+"$F;@!2o}"</f>
        <v>#VALUE!</v>
      </c>
      <c r="IM365" t="e">
        <f>Asia!E56+"$F;@!2o~"</f>
        <v>#VALUE!</v>
      </c>
      <c r="IN365" t="e">
        <f>Asia!F56+"$F;@!2p#"</f>
        <v>#VALUE!</v>
      </c>
      <c r="IO365" t="e">
        <f>Asia!G56+"$F;@!2p$"</f>
        <v>#VALUE!</v>
      </c>
      <c r="IP365" t="e">
        <f>Asia!H56+"$F;@!2p%"</f>
        <v>#VALUE!</v>
      </c>
      <c r="IQ365" t="e">
        <f>Asia!A57+"$F;@!2p&amp;"</f>
        <v>#VALUE!</v>
      </c>
      <c r="IR365" t="e">
        <f>Asia!B57+"$F;@!2p'"</f>
        <v>#VALUE!</v>
      </c>
      <c r="IS365" t="e">
        <f>Asia!C57+"$F;@!2p("</f>
        <v>#VALUE!</v>
      </c>
      <c r="IT365" t="e">
        <f>Asia!D57+"$F;@!2p)"</f>
        <v>#VALUE!</v>
      </c>
      <c r="IU365" t="e">
        <f>Asia!E57+"$F;@!2p."</f>
        <v>#VALUE!</v>
      </c>
      <c r="IV365" t="e">
        <f>Asia!F57+"$F;@!2p/"</f>
        <v>#VALUE!</v>
      </c>
    </row>
    <row r="366" spans="6:256" x14ac:dyDescent="0.35">
      <c r="F366" t="e">
        <f>Asia!G57+"$F;@!2p0"</f>
        <v>#VALUE!</v>
      </c>
      <c r="G366" t="e">
        <f>Asia!H57+"$F;@!2p1"</f>
        <v>#VALUE!</v>
      </c>
      <c r="H366" t="e">
        <f>Asia!A58+"$F;@!2p2"</f>
        <v>#VALUE!</v>
      </c>
      <c r="I366" t="e">
        <f>Asia!B58+"$F;@!2p3"</f>
        <v>#VALUE!</v>
      </c>
      <c r="J366" t="e">
        <f>Asia!C58+"$F;@!2p4"</f>
        <v>#VALUE!</v>
      </c>
      <c r="K366" t="e">
        <f>Asia!D58+"$F;@!2p5"</f>
        <v>#VALUE!</v>
      </c>
      <c r="L366" t="e">
        <f>Asia!E58+"$F;@!2p6"</f>
        <v>#VALUE!</v>
      </c>
      <c r="M366" t="e">
        <f>Asia!F58+"$F;@!2p7"</f>
        <v>#VALUE!</v>
      </c>
      <c r="N366" t="e">
        <f>Asia!G58+"$F;@!2p8"</f>
        <v>#VALUE!</v>
      </c>
      <c r="O366" t="e">
        <f>Asia!H58+"$F;@!2p9"</f>
        <v>#VALUE!</v>
      </c>
      <c r="P366" t="e">
        <f>Asia!A59+"$F;@!2p:"</f>
        <v>#VALUE!</v>
      </c>
      <c r="Q366" t="e">
        <f>Asia!B59+"$F;@!2p;"</f>
        <v>#VALUE!</v>
      </c>
      <c r="R366" t="e">
        <f>Asia!C59+"$F;@!2p&lt;"</f>
        <v>#VALUE!</v>
      </c>
      <c r="S366" t="e">
        <f>Asia!D59+"$F;@!2p="</f>
        <v>#VALUE!</v>
      </c>
      <c r="T366" t="e">
        <f>Asia!E59+"$F;@!2p&gt;"</f>
        <v>#VALUE!</v>
      </c>
      <c r="U366" t="e">
        <f>Asia!F59+"$F;@!2p?"</f>
        <v>#VALUE!</v>
      </c>
      <c r="V366" t="e">
        <f>Asia!G59+"$F;@!2p@"</f>
        <v>#VALUE!</v>
      </c>
      <c r="W366" t="e">
        <f>Asia!H59+"$F;@!2pA"</f>
        <v>#VALUE!</v>
      </c>
      <c r="X366" t="e">
        <f>Asia!A60+"$F;@!2pB"</f>
        <v>#VALUE!</v>
      </c>
      <c r="Y366" t="e">
        <f>Asia!B60+"$F;@!2pC"</f>
        <v>#VALUE!</v>
      </c>
      <c r="Z366" t="e">
        <f>Asia!C60+"$F;@!2pD"</f>
        <v>#VALUE!</v>
      </c>
      <c r="AA366" t="e">
        <f>Asia!D60+"$F;@!2pE"</f>
        <v>#VALUE!</v>
      </c>
      <c r="AB366" t="e">
        <f>Asia!E60+"$F;@!2pF"</f>
        <v>#VALUE!</v>
      </c>
      <c r="AC366" t="e">
        <f>Asia!F60+"$F;@!2pG"</f>
        <v>#VALUE!</v>
      </c>
      <c r="AD366" t="e">
        <f>Asia!G60+"$F;@!2pH"</f>
        <v>#VALUE!</v>
      </c>
      <c r="AE366" t="e">
        <f>Asia!H60+"$F;@!2pI"</f>
        <v>#VALUE!</v>
      </c>
      <c r="AF366" t="e">
        <f>Asia!A61+"$F;@!2pJ"</f>
        <v>#VALUE!</v>
      </c>
      <c r="AG366" t="e">
        <f>Asia!B61+"$F;@!2pK"</f>
        <v>#VALUE!</v>
      </c>
      <c r="AH366" t="e">
        <f>Asia!C61+"$F;@!2pL"</f>
        <v>#VALUE!</v>
      </c>
      <c r="AI366" t="e">
        <f>Asia!D61+"$F;@!2pM"</f>
        <v>#VALUE!</v>
      </c>
      <c r="AJ366" t="e">
        <f>Asia!E61+"$F;@!2pN"</f>
        <v>#VALUE!</v>
      </c>
      <c r="AK366" t="e">
        <f>Asia!F61+"$F;@!2pO"</f>
        <v>#VALUE!</v>
      </c>
      <c r="AL366" t="e">
        <f>Asia!G61+"$F;@!2pP"</f>
        <v>#VALUE!</v>
      </c>
      <c r="AM366" t="e">
        <f>Asia!H61+"$F;@!2pQ"</f>
        <v>#VALUE!</v>
      </c>
      <c r="AN366" t="e">
        <f>Asia!A62+"$F;@!2pR"</f>
        <v>#VALUE!</v>
      </c>
      <c r="AO366" t="e">
        <f>Asia!B62+"$F;@!2pS"</f>
        <v>#VALUE!</v>
      </c>
      <c r="AP366" t="e">
        <f>Asia!C62+"$F;@!2pT"</f>
        <v>#VALUE!</v>
      </c>
      <c r="AQ366" t="e">
        <f>Asia!D62+"$F;@!2pU"</f>
        <v>#VALUE!</v>
      </c>
      <c r="AR366" t="e">
        <f>Asia!E62+"$F;@!2pV"</f>
        <v>#VALUE!</v>
      </c>
      <c r="AS366" t="e">
        <f>Asia!F62+"$F;@!2pW"</f>
        <v>#VALUE!</v>
      </c>
      <c r="AT366" t="e">
        <f>Asia!G62+"$F;@!2pX"</f>
        <v>#VALUE!</v>
      </c>
      <c r="AU366" t="e">
        <f>Asia!H62+"$F;@!2pY"</f>
        <v>#VALUE!</v>
      </c>
      <c r="AV366" t="e">
        <f>Asia!A63+"$F;@!2pZ"</f>
        <v>#VALUE!</v>
      </c>
      <c r="AW366" t="e">
        <f>Asia!B63+"$F;@!2p["</f>
        <v>#VALUE!</v>
      </c>
      <c r="AX366" t="e">
        <f>Asia!C63+"$F;@!2p\"</f>
        <v>#VALUE!</v>
      </c>
      <c r="AY366" t="e">
        <f>Asia!D63+"$F;@!2p]"</f>
        <v>#VALUE!</v>
      </c>
      <c r="AZ366" t="e">
        <f>Asia!E63+"$F;@!2p^"</f>
        <v>#VALUE!</v>
      </c>
      <c r="BA366" t="e">
        <f>Asia!F63+"$F;@!2p_"</f>
        <v>#VALUE!</v>
      </c>
      <c r="BB366" t="e">
        <f>Asia!G63+"$F;@!2p`"</f>
        <v>#VALUE!</v>
      </c>
      <c r="BC366" t="e">
        <f>Asia!H63+"$F;@!2pa"</f>
        <v>#VALUE!</v>
      </c>
      <c r="BD366" t="e">
        <f>Asia!A64+"$F;@!2pb"</f>
        <v>#VALUE!</v>
      </c>
      <c r="BE366" t="e">
        <f>Asia!B64+"$F;@!2pc"</f>
        <v>#VALUE!</v>
      </c>
      <c r="BF366" t="e">
        <f>Asia!C64+"$F;@!2pd"</f>
        <v>#VALUE!</v>
      </c>
      <c r="BG366" t="e">
        <f>Asia!D64+"$F;@!2pe"</f>
        <v>#VALUE!</v>
      </c>
      <c r="BH366" t="e">
        <f>Asia!E64+"$F;@!2pf"</f>
        <v>#VALUE!</v>
      </c>
      <c r="BI366" t="e">
        <f>Asia!F64+"$F;@!2pg"</f>
        <v>#VALUE!</v>
      </c>
      <c r="BJ366" t="e">
        <f>Asia!G64+"$F;@!2ph"</f>
        <v>#VALUE!</v>
      </c>
      <c r="BK366" t="e">
        <f>Asia!H64+"$F;@!2pi"</f>
        <v>#VALUE!</v>
      </c>
      <c r="BL366" t="e">
        <f>Asia!A65+"$F;@!2pj"</f>
        <v>#VALUE!</v>
      </c>
      <c r="BM366" t="e">
        <f>Asia!B65+"$F;@!2pk"</f>
        <v>#VALUE!</v>
      </c>
      <c r="BN366" t="e">
        <f>Asia!C65+"$F;@!2pl"</f>
        <v>#VALUE!</v>
      </c>
      <c r="BO366" t="e">
        <f>Asia!D65+"$F;@!2pm"</f>
        <v>#VALUE!</v>
      </c>
      <c r="BP366" t="e">
        <f>Asia!E65+"$F;@!2pn"</f>
        <v>#VALUE!</v>
      </c>
      <c r="BQ366" t="e">
        <f>Asia!F65+"$F;@!2po"</f>
        <v>#VALUE!</v>
      </c>
      <c r="BR366" t="e">
        <f>Asia!G65+"$F;@!2pp"</f>
        <v>#VALUE!</v>
      </c>
      <c r="BS366" t="e">
        <f>Asia!H65+"$F;@!2pq"</f>
        <v>#VALUE!</v>
      </c>
      <c r="BT366" t="e">
        <f>Asia!A66+"$F;@!2pr"</f>
        <v>#VALUE!</v>
      </c>
      <c r="BU366" t="e">
        <f>Asia!B66+"$F;@!2ps"</f>
        <v>#VALUE!</v>
      </c>
      <c r="BV366" t="e">
        <f>Asia!C66+"$F;@!2pt"</f>
        <v>#VALUE!</v>
      </c>
      <c r="BW366" t="e">
        <f>Asia!D66+"$F;@!2pu"</f>
        <v>#VALUE!</v>
      </c>
      <c r="BX366" t="e">
        <f>Asia!E66+"$F;@!2pv"</f>
        <v>#VALUE!</v>
      </c>
      <c r="BY366" t="e">
        <f>Asia!F66+"$F;@!2pw"</f>
        <v>#VALUE!</v>
      </c>
      <c r="BZ366" t="e">
        <f>Asia!G66+"$F;@!2px"</f>
        <v>#VALUE!</v>
      </c>
      <c r="CA366" t="e">
        <f>Asia!H66+"$F;@!2py"</f>
        <v>#VALUE!</v>
      </c>
      <c r="CB366" t="e">
        <f>Asia!A67+"$F;@!2pz"</f>
        <v>#VALUE!</v>
      </c>
      <c r="CC366" t="e">
        <f>Asia!B67+"$F;@!2p{"</f>
        <v>#VALUE!</v>
      </c>
      <c r="CD366" t="e">
        <f>Asia!C67+"$F;@!2p|"</f>
        <v>#VALUE!</v>
      </c>
      <c r="CE366" t="e">
        <f>Asia!D67+"$F;@!2p}"</f>
        <v>#VALUE!</v>
      </c>
      <c r="CF366" t="e">
        <f>Asia!E67+"$F;@!2p~"</f>
        <v>#VALUE!</v>
      </c>
      <c r="CG366" t="e">
        <f>Asia!F67+"$F;@!2q#"</f>
        <v>#VALUE!</v>
      </c>
      <c r="CH366" t="e">
        <f>Asia!G67+"$F;@!2q$"</f>
        <v>#VALUE!</v>
      </c>
      <c r="CI366" t="e">
        <f>Asia!H67+"$F;@!2q%"</f>
        <v>#VALUE!</v>
      </c>
      <c r="CJ366" t="e">
        <f>Asia!A68+"$F;@!2q&amp;"</f>
        <v>#VALUE!</v>
      </c>
      <c r="CK366" t="e">
        <f>Asia!B68+"$F;@!2q'"</f>
        <v>#VALUE!</v>
      </c>
      <c r="CL366" t="e">
        <f>Asia!C68+"$F;@!2q("</f>
        <v>#VALUE!</v>
      </c>
      <c r="CM366" t="e">
        <f>Asia!D68+"$F;@!2q)"</f>
        <v>#VALUE!</v>
      </c>
      <c r="CN366" t="e">
        <f>Asia!E68+"$F;@!2q."</f>
        <v>#VALUE!</v>
      </c>
      <c r="CO366" t="e">
        <f>Asia!F68+"$F;@!2q/"</f>
        <v>#VALUE!</v>
      </c>
      <c r="CP366" t="e">
        <f>Asia!G68+"$F;@!2q0"</f>
        <v>#VALUE!</v>
      </c>
      <c r="CQ366" t="e">
        <f>Asia!H68+"$F;@!2q1"</f>
        <v>#VALUE!</v>
      </c>
      <c r="CR366" t="e">
        <f>Asia!A69+"$F;@!2q2"</f>
        <v>#VALUE!</v>
      </c>
      <c r="CS366" t="e">
        <f>Asia!B69+"$F;@!2q3"</f>
        <v>#VALUE!</v>
      </c>
      <c r="CT366" t="e">
        <f>Asia!C69+"$F;@!2q4"</f>
        <v>#VALUE!</v>
      </c>
      <c r="CU366" t="e">
        <f>Asia!D69+"$F;@!2q5"</f>
        <v>#VALUE!</v>
      </c>
      <c r="CV366" t="e">
        <f>Asia!E69+"$F;@!2q6"</f>
        <v>#VALUE!</v>
      </c>
      <c r="CW366" t="e">
        <f>Asia!F69+"$F;@!2q7"</f>
        <v>#VALUE!</v>
      </c>
      <c r="CX366" t="e">
        <f>Asia!G69+"$F;@!2q8"</f>
        <v>#VALUE!</v>
      </c>
      <c r="CY366" t="e">
        <f>Asia!H69+"$F;@!2q9"</f>
        <v>#VALUE!</v>
      </c>
      <c r="CZ366" t="e">
        <f>Asia!A70+"$F;@!2q:"</f>
        <v>#VALUE!</v>
      </c>
      <c r="DA366" t="e">
        <f>Asia!B70+"$F;@!2q;"</f>
        <v>#VALUE!</v>
      </c>
      <c r="DB366" t="e">
        <f>Asia!C70+"$F;@!2q&lt;"</f>
        <v>#VALUE!</v>
      </c>
      <c r="DC366" t="e">
        <f>Asia!D70+"$F;@!2q="</f>
        <v>#VALUE!</v>
      </c>
      <c r="DD366" t="e">
        <f>Asia!E70+"$F;@!2q&gt;"</f>
        <v>#VALUE!</v>
      </c>
      <c r="DE366" t="e">
        <f>Asia!F70+"$F;@!2q?"</f>
        <v>#VALUE!</v>
      </c>
      <c r="DF366" t="e">
        <f>Asia!G70+"$F;@!2q@"</f>
        <v>#VALUE!</v>
      </c>
      <c r="DG366" t="e">
        <f>Asia!H70+"$F;@!2qA"</f>
        <v>#VALUE!</v>
      </c>
      <c r="DH366" t="e">
        <f>Asia!A71+"$F;@!2qB"</f>
        <v>#VALUE!</v>
      </c>
      <c r="DI366" t="e">
        <f>Asia!B71+"$F;@!2qC"</f>
        <v>#VALUE!</v>
      </c>
      <c r="DJ366" t="e">
        <f>Asia!C71+"$F;@!2qD"</f>
        <v>#VALUE!</v>
      </c>
      <c r="DK366" t="e">
        <f>Asia!D71+"$F;@!2qE"</f>
        <v>#VALUE!</v>
      </c>
      <c r="DL366" t="e">
        <f>Asia!E71+"$F;@!2qF"</f>
        <v>#VALUE!</v>
      </c>
      <c r="DM366" t="e">
        <f>Asia!F71+"$F;@!2qG"</f>
        <v>#VALUE!</v>
      </c>
      <c r="DN366" t="e">
        <f>Asia!G71+"$F;@!2qH"</f>
        <v>#VALUE!</v>
      </c>
      <c r="DO366" t="e">
        <f>Asia!H71+"$F;@!2qI"</f>
        <v>#VALUE!</v>
      </c>
      <c r="DP366" t="e">
        <f>Asia!A72+"$F;@!2qJ"</f>
        <v>#VALUE!</v>
      </c>
      <c r="DQ366" t="e">
        <f>Asia!B72+"$F;@!2qK"</f>
        <v>#VALUE!</v>
      </c>
      <c r="DR366" t="e">
        <f>Asia!C72+"$F;@!2qL"</f>
        <v>#VALUE!</v>
      </c>
      <c r="DS366" t="e">
        <f>Asia!D72+"$F;@!2qM"</f>
        <v>#VALUE!</v>
      </c>
      <c r="DT366" t="e">
        <f>Asia!E72+"$F;@!2qN"</f>
        <v>#VALUE!</v>
      </c>
      <c r="DU366" t="e">
        <f>Asia!F72+"$F;@!2qO"</f>
        <v>#VALUE!</v>
      </c>
      <c r="DV366" t="e">
        <f>Asia!G72+"$F;@!2qP"</f>
        <v>#VALUE!</v>
      </c>
      <c r="DW366" t="e">
        <f>Asia!H72+"$F;@!2qQ"</f>
        <v>#VALUE!</v>
      </c>
      <c r="DX366" t="e">
        <f>Asia!A73+"$F;@!2qR"</f>
        <v>#VALUE!</v>
      </c>
      <c r="DY366" t="e">
        <f>Asia!B73+"$F;@!2qS"</f>
        <v>#VALUE!</v>
      </c>
      <c r="DZ366" t="e">
        <f>Asia!C73+"$F;@!2qT"</f>
        <v>#VALUE!</v>
      </c>
      <c r="EA366" t="e">
        <f>Asia!D73+"$F;@!2qU"</f>
        <v>#VALUE!</v>
      </c>
      <c r="EB366" t="e">
        <f>Asia!E73+"$F;@!2qV"</f>
        <v>#VALUE!</v>
      </c>
      <c r="EC366" t="e">
        <f>Asia!F73+"$F;@!2qW"</f>
        <v>#VALUE!</v>
      </c>
      <c r="ED366" t="e">
        <f>Asia!G73+"$F;@!2qX"</f>
        <v>#VALUE!</v>
      </c>
      <c r="EE366" t="e">
        <f>Asia!H73+"$F;@!2qY"</f>
        <v>#VALUE!</v>
      </c>
      <c r="EF366" t="e">
        <f>Asia!A74+"$F;@!2qZ"</f>
        <v>#VALUE!</v>
      </c>
      <c r="EG366" t="e">
        <f>Asia!B74+"$F;@!2q["</f>
        <v>#VALUE!</v>
      </c>
      <c r="EH366" t="e">
        <f>Asia!C74+"$F;@!2q\"</f>
        <v>#VALUE!</v>
      </c>
      <c r="EI366" t="e">
        <f>Asia!D74+"$F;@!2q]"</f>
        <v>#VALUE!</v>
      </c>
      <c r="EJ366" t="e">
        <f>Asia!E74+"$F;@!2q^"</f>
        <v>#VALUE!</v>
      </c>
      <c r="EK366" t="e">
        <f>Asia!F74+"$F;@!2q_"</f>
        <v>#VALUE!</v>
      </c>
      <c r="EL366" t="e">
        <f>Asia!G74+"$F;@!2q`"</f>
        <v>#VALUE!</v>
      </c>
      <c r="EM366" t="e">
        <f>Asia!H74+"$F;@!2qa"</f>
        <v>#VALUE!</v>
      </c>
      <c r="EN366" t="e">
        <f>Asia!A75+"$F;@!2qb"</f>
        <v>#VALUE!</v>
      </c>
      <c r="EO366" t="e">
        <f>Asia!B75+"$F;@!2qc"</f>
        <v>#VALUE!</v>
      </c>
      <c r="EP366" t="e">
        <f>Asia!C75+"$F;@!2qd"</f>
        <v>#VALUE!</v>
      </c>
      <c r="EQ366" t="e">
        <f>Asia!D75+"$F;@!2qe"</f>
        <v>#VALUE!</v>
      </c>
      <c r="ER366" t="e">
        <f>Asia!E75+"$F;@!2qf"</f>
        <v>#VALUE!</v>
      </c>
      <c r="ES366" t="e">
        <f>Asia!F75+"$F;@!2qg"</f>
        <v>#VALUE!</v>
      </c>
      <c r="ET366" t="e">
        <f>Asia!G75+"$F;@!2qh"</f>
        <v>#VALUE!</v>
      </c>
      <c r="EU366" t="e">
        <f>Asia!H75+"$F;@!2qi"</f>
        <v>#VALUE!</v>
      </c>
      <c r="EV366" t="e">
        <f>Asia!A76+"$F;@!2qj"</f>
        <v>#VALUE!</v>
      </c>
      <c r="EW366" t="e">
        <f>Asia!B76+"$F;@!2qk"</f>
        <v>#VALUE!</v>
      </c>
      <c r="EX366" t="e">
        <f>Asia!C76+"$F;@!2ql"</f>
        <v>#VALUE!</v>
      </c>
      <c r="EY366" t="e">
        <f>Asia!D76+"$F;@!2qm"</f>
        <v>#VALUE!</v>
      </c>
      <c r="EZ366" t="e">
        <f>Asia!E76+"$F;@!2qn"</f>
        <v>#VALUE!</v>
      </c>
      <c r="FA366" t="e">
        <f>Asia!F76+"$F;@!2qo"</f>
        <v>#VALUE!</v>
      </c>
      <c r="FB366" t="e">
        <f>Asia!G76+"$F;@!2qp"</f>
        <v>#VALUE!</v>
      </c>
      <c r="FC366" t="e">
        <f>Asia!H76+"$F;@!2qq"</f>
        <v>#VALUE!</v>
      </c>
      <c r="FD366" t="e">
        <f>Asia!A77+"$F;@!2qr"</f>
        <v>#VALUE!</v>
      </c>
      <c r="FE366" t="e">
        <f>Asia!B77+"$F;@!2qs"</f>
        <v>#VALUE!</v>
      </c>
      <c r="FF366" t="e">
        <f>Asia!C77+"$F;@!2qt"</f>
        <v>#VALUE!</v>
      </c>
      <c r="FG366" t="e">
        <f>Asia!D77+"$F;@!2qu"</f>
        <v>#VALUE!</v>
      </c>
      <c r="FH366" t="e">
        <f>Asia!E77+"$F;@!2qv"</f>
        <v>#VALUE!</v>
      </c>
      <c r="FI366" t="e">
        <f>Asia!F77+"$F;@!2qw"</f>
        <v>#VALUE!</v>
      </c>
      <c r="FJ366" t="e">
        <f>Asia!G77+"$F;@!2qx"</f>
        <v>#VALUE!</v>
      </c>
      <c r="FK366" t="e">
        <f>Asia!H77+"$F;@!2qy"</f>
        <v>#VALUE!</v>
      </c>
      <c r="FL366" t="e">
        <f>Asia!A78+"$F;@!2qz"</f>
        <v>#VALUE!</v>
      </c>
      <c r="FM366" t="e">
        <f>Asia!B78+"$F;@!2q{"</f>
        <v>#VALUE!</v>
      </c>
      <c r="FN366" t="e">
        <f>Asia!C78+"$F;@!2q|"</f>
        <v>#VALUE!</v>
      </c>
      <c r="FO366" t="e">
        <f>Asia!D78+"$F;@!2q}"</f>
        <v>#VALUE!</v>
      </c>
      <c r="FP366" t="e">
        <f>Asia!E78+"$F;@!2q~"</f>
        <v>#VALUE!</v>
      </c>
      <c r="FQ366" t="e">
        <f>Asia!F78+"$F;@!2r#"</f>
        <v>#VALUE!</v>
      </c>
      <c r="FR366" t="e">
        <f>Asia!G78+"$F;@!2r$"</f>
        <v>#VALUE!</v>
      </c>
      <c r="FS366" t="e">
        <f>Asia!H78+"$F;@!2r%"</f>
        <v>#VALUE!</v>
      </c>
      <c r="FT366" t="e">
        <f>Asia!A79+"$F;@!2r&amp;"</f>
        <v>#VALUE!</v>
      </c>
      <c r="FU366" t="e">
        <f>Asia!B79+"$F;@!2r'"</f>
        <v>#VALUE!</v>
      </c>
      <c r="FV366" t="e">
        <f>Asia!C79+"$F;@!2r("</f>
        <v>#VALUE!</v>
      </c>
      <c r="FW366" t="e">
        <f>Asia!D79+"$F;@!2r)"</f>
        <v>#VALUE!</v>
      </c>
      <c r="FX366" t="e">
        <f>Asia!E79+"$F;@!2r."</f>
        <v>#VALUE!</v>
      </c>
      <c r="FY366" t="e">
        <f>Asia!F79+"$F;@!2r/"</f>
        <v>#VALUE!</v>
      </c>
      <c r="FZ366" t="e">
        <f>Asia!G79+"$F;@!2r0"</f>
        <v>#VALUE!</v>
      </c>
      <c r="GA366" t="e">
        <f>Asia!H79+"$F;@!2r1"</f>
        <v>#VALUE!</v>
      </c>
      <c r="GB366" t="e">
        <f>Asia!A80+"$F;@!2r2"</f>
        <v>#VALUE!</v>
      </c>
      <c r="GC366" t="e">
        <f>Asia!B80+"$F;@!2r3"</f>
        <v>#VALUE!</v>
      </c>
      <c r="GD366" t="e">
        <f>Asia!C80+"$F;@!2r4"</f>
        <v>#VALUE!</v>
      </c>
      <c r="GE366" t="e">
        <f>Asia!D80+"$F;@!2r5"</f>
        <v>#VALUE!</v>
      </c>
      <c r="GF366" t="e">
        <f>Asia!E80+"$F;@!2r6"</f>
        <v>#VALUE!</v>
      </c>
      <c r="GG366" t="e">
        <f>Asia!F80+"$F;@!2r7"</f>
        <v>#VALUE!</v>
      </c>
      <c r="GH366" t="e">
        <f>Asia!G80+"$F;@!2r8"</f>
        <v>#VALUE!</v>
      </c>
      <c r="GI366" t="e">
        <f>Asia!H80+"$F;@!2r9"</f>
        <v>#VALUE!</v>
      </c>
      <c r="GJ366" t="e">
        <f>Asia!A81+"$F;@!2r:"</f>
        <v>#VALUE!</v>
      </c>
      <c r="GK366" t="e">
        <f>Asia!B81+"$F;@!2r;"</f>
        <v>#VALUE!</v>
      </c>
      <c r="GL366" t="e">
        <f>Asia!C81+"$F;@!2r&lt;"</f>
        <v>#VALUE!</v>
      </c>
      <c r="GM366" t="e">
        <f>Asia!D81+"$F;@!2r="</f>
        <v>#VALUE!</v>
      </c>
      <c r="GN366" t="e">
        <f>Asia!E81+"$F;@!2r&gt;"</f>
        <v>#VALUE!</v>
      </c>
      <c r="GO366" t="e">
        <f>Asia!F81+"$F;@!2r?"</f>
        <v>#VALUE!</v>
      </c>
      <c r="GP366" t="e">
        <f>Asia!G81+"$F;@!2r@"</f>
        <v>#VALUE!</v>
      </c>
      <c r="GQ366" t="e">
        <f>Asia!H81+"$F;@!2rA"</f>
        <v>#VALUE!</v>
      </c>
      <c r="GR366" t="e">
        <f>Asia!A82+"$F;@!2rB"</f>
        <v>#VALUE!</v>
      </c>
      <c r="GS366" t="e">
        <f>Asia!B82+"$F;@!2rC"</f>
        <v>#VALUE!</v>
      </c>
      <c r="GT366" t="e">
        <f>Asia!C82+"$F;@!2rD"</f>
        <v>#VALUE!</v>
      </c>
      <c r="GU366" t="e">
        <f>Asia!D82+"$F;@!2rE"</f>
        <v>#VALUE!</v>
      </c>
      <c r="GV366" t="e">
        <f>Asia!E82+"$F;@!2rF"</f>
        <v>#VALUE!</v>
      </c>
      <c r="GW366" t="e">
        <f>Asia!F82+"$F;@!2rG"</f>
        <v>#VALUE!</v>
      </c>
      <c r="GX366" t="e">
        <f>Asia!G82+"$F;@!2rH"</f>
        <v>#VALUE!</v>
      </c>
      <c r="GY366" t="e">
        <f>Asia!H82+"$F;@!2rI"</f>
        <v>#VALUE!</v>
      </c>
      <c r="GZ366" t="e">
        <f>Asia!A83+"$F;@!2rJ"</f>
        <v>#VALUE!</v>
      </c>
      <c r="HA366" t="e">
        <f>Asia!B83+"$F;@!2rK"</f>
        <v>#VALUE!</v>
      </c>
      <c r="HB366" t="e">
        <f>Asia!C83+"$F;@!2rL"</f>
        <v>#VALUE!</v>
      </c>
      <c r="HC366" t="e">
        <f>Asia!D83+"$F;@!2rM"</f>
        <v>#VALUE!</v>
      </c>
      <c r="HD366" t="e">
        <f>Asia!E83+"$F;@!2rN"</f>
        <v>#VALUE!</v>
      </c>
      <c r="HE366" t="e">
        <f>Asia!F83+"$F;@!2rO"</f>
        <v>#VALUE!</v>
      </c>
      <c r="HF366" t="e">
        <f>Asia!G83+"$F;@!2rP"</f>
        <v>#VALUE!</v>
      </c>
      <c r="HG366" t="e">
        <f>Asia!H83+"$F;@!2rQ"</f>
        <v>#VALUE!</v>
      </c>
      <c r="HH366" t="e">
        <f>Asia!A84+"$F;@!2rR"</f>
        <v>#VALUE!</v>
      </c>
      <c r="HI366" t="e">
        <f>Asia!B84+"$F;@!2rS"</f>
        <v>#VALUE!</v>
      </c>
      <c r="HJ366" t="e">
        <f>Asia!C84+"$F;@!2rT"</f>
        <v>#VALUE!</v>
      </c>
      <c r="HK366" t="e">
        <f>Asia!D84+"$F;@!2rU"</f>
        <v>#VALUE!</v>
      </c>
      <c r="HL366" t="e">
        <f>Asia!E84+"$F;@!2rV"</f>
        <v>#VALUE!</v>
      </c>
      <c r="HM366" t="e">
        <f>Asia!F84+"$F;@!2rW"</f>
        <v>#VALUE!</v>
      </c>
      <c r="HN366" t="e">
        <f>Asia!G84+"$F;@!2rX"</f>
        <v>#VALUE!</v>
      </c>
      <c r="HO366" t="e">
        <f>Asia!H84+"$F;@!2rY"</f>
        <v>#VALUE!</v>
      </c>
      <c r="HP366" t="e">
        <f>Asia!A85+"$F;@!2rZ"</f>
        <v>#VALUE!</v>
      </c>
      <c r="HQ366" t="e">
        <f>Asia!B85+"$F;@!2r["</f>
        <v>#VALUE!</v>
      </c>
      <c r="HR366" t="e">
        <f>Asia!C85+"$F;@!2r\"</f>
        <v>#VALUE!</v>
      </c>
      <c r="HS366" t="e">
        <f>Asia!D85+"$F;@!2r]"</f>
        <v>#VALUE!</v>
      </c>
      <c r="HT366" t="e">
        <f>Asia!E85+"$F;@!2r^"</f>
        <v>#VALUE!</v>
      </c>
      <c r="HU366" t="e">
        <f>Asia!F85+"$F;@!2r_"</f>
        <v>#VALUE!</v>
      </c>
      <c r="HV366" t="e">
        <f>Asia!G85+"$F;@!2r`"</f>
        <v>#VALUE!</v>
      </c>
      <c r="HW366" t="e">
        <f>Asia!H85+"$F;@!2ra"</f>
        <v>#VALUE!</v>
      </c>
      <c r="HX366" t="e">
        <f>Asia!A86+"$F;@!2rb"</f>
        <v>#VALUE!</v>
      </c>
      <c r="HY366" t="e">
        <f>Asia!B86+"$F;@!2rc"</f>
        <v>#VALUE!</v>
      </c>
      <c r="HZ366" t="e">
        <f>Asia!C86+"$F;@!2rd"</f>
        <v>#VALUE!</v>
      </c>
      <c r="IA366" t="e">
        <f>Asia!D86+"$F;@!2re"</f>
        <v>#VALUE!</v>
      </c>
      <c r="IB366" t="e">
        <f>Asia!E86+"$F;@!2rf"</f>
        <v>#VALUE!</v>
      </c>
      <c r="IC366" t="e">
        <f>Asia!F86+"$F;@!2rg"</f>
        <v>#VALUE!</v>
      </c>
      <c r="ID366" t="e">
        <f>Asia!G86+"$F;@!2rh"</f>
        <v>#VALUE!</v>
      </c>
      <c r="IE366" t="e">
        <f>Asia!H86+"$F;@!2ri"</f>
        <v>#VALUE!</v>
      </c>
      <c r="IF366" t="e">
        <f>Asia!A87+"$F;@!2rj"</f>
        <v>#VALUE!</v>
      </c>
      <c r="IG366" t="e">
        <f>Asia!B87+"$F;@!2rk"</f>
        <v>#VALUE!</v>
      </c>
      <c r="IH366" t="e">
        <f>Asia!C87+"$F;@!2rl"</f>
        <v>#VALUE!</v>
      </c>
      <c r="II366" t="e">
        <f>Asia!D87+"$F;@!2rm"</f>
        <v>#VALUE!</v>
      </c>
      <c r="IJ366" t="e">
        <f>Asia!E87+"$F;@!2rn"</f>
        <v>#VALUE!</v>
      </c>
      <c r="IK366" t="e">
        <f>Asia!F87+"$F;@!2ro"</f>
        <v>#VALUE!</v>
      </c>
      <c r="IL366" t="e">
        <f>Asia!G87+"$F;@!2rp"</f>
        <v>#VALUE!</v>
      </c>
      <c r="IM366" t="e">
        <f>Asia!H87+"$F;@!2rq"</f>
        <v>#VALUE!</v>
      </c>
      <c r="IN366" t="e">
        <f>Asia!A88+"$F;@!2rr"</f>
        <v>#VALUE!</v>
      </c>
      <c r="IO366" t="e">
        <f>Asia!B88+"$F;@!2rs"</f>
        <v>#VALUE!</v>
      </c>
      <c r="IP366" t="e">
        <f>Asia!C88+"$F;@!2rt"</f>
        <v>#VALUE!</v>
      </c>
      <c r="IQ366" t="e">
        <f>Asia!D88+"$F;@!2ru"</f>
        <v>#VALUE!</v>
      </c>
      <c r="IR366" t="e">
        <f>Asia!E88+"$F;@!2rv"</f>
        <v>#VALUE!</v>
      </c>
      <c r="IS366" t="e">
        <f>Asia!F88+"$F;@!2rw"</f>
        <v>#VALUE!</v>
      </c>
      <c r="IT366" t="e">
        <f>Asia!G88+"$F;@!2rx"</f>
        <v>#VALUE!</v>
      </c>
      <c r="IU366" t="e">
        <f>Asia!H88+"$F;@!2ry"</f>
        <v>#VALUE!</v>
      </c>
      <c r="IV366" t="e">
        <f>Asia!A89+"$F;@!2rz"</f>
        <v>#VALUE!</v>
      </c>
    </row>
    <row r="367" spans="6:256" x14ac:dyDescent="0.35">
      <c r="F367" t="e">
        <f>Asia!B89+"$F;@!2r{"</f>
        <v>#VALUE!</v>
      </c>
      <c r="G367" t="e">
        <f>Asia!C89+"$F;@!2r|"</f>
        <v>#VALUE!</v>
      </c>
      <c r="H367" t="e">
        <f>Asia!D89+"$F;@!2r}"</f>
        <v>#VALUE!</v>
      </c>
      <c r="I367" t="e">
        <f>Asia!E89+"$F;@!2r~"</f>
        <v>#VALUE!</v>
      </c>
      <c r="J367" t="e">
        <f>Asia!F89+"$F;@!2s#"</f>
        <v>#VALUE!</v>
      </c>
      <c r="K367" t="e">
        <f>Asia!G89+"$F;@!2s$"</f>
        <v>#VALUE!</v>
      </c>
      <c r="L367" t="e">
        <f>Asia!H89+"$F;@!2s%"</f>
        <v>#VALUE!</v>
      </c>
      <c r="M367" t="e">
        <f>Asia!A90+"$F;@!2s&amp;"</f>
        <v>#VALUE!</v>
      </c>
      <c r="N367" t="e">
        <f>Asia!B90+"$F;@!2s'"</f>
        <v>#VALUE!</v>
      </c>
      <c r="O367" t="e">
        <f>Asia!C90+"$F;@!2s("</f>
        <v>#VALUE!</v>
      </c>
      <c r="P367" t="e">
        <f>Asia!D90+"$F;@!2s)"</f>
        <v>#VALUE!</v>
      </c>
      <c r="Q367" t="e">
        <f>Asia!E90+"$F;@!2s."</f>
        <v>#VALUE!</v>
      </c>
      <c r="R367" t="e">
        <f>Asia!F90+"$F;@!2s/"</f>
        <v>#VALUE!</v>
      </c>
      <c r="S367" t="e">
        <f>Asia!G90+"$F;@!2s0"</f>
        <v>#VALUE!</v>
      </c>
      <c r="T367" t="e">
        <f>Asia!H90+"$F;@!2s1"</f>
        <v>#VALUE!</v>
      </c>
      <c r="U367" t="e">
        <f>Asia!A91+"$F;@!2s2"</f>
        <v>#VALUE!</v>
      </c>
      <c r="V367" t="e">
        <f>Asia!B91+"$F;@!2s3"</f>
        <v>#VALUE!</v>
      </c>
      <c r="W367" t="e">
        <f>Asia!C91+"$F;@!2s4"</f>
        <v>#VALUE!</v>
      </c>
      <c r="X367" t="e">
        <f>Asia!D91+"$F;@!2s5"</f>
        <v>#VALUE!</v>
      </c>
      <c r="Y367" t="e">
        <f>Asia!E91+"$F;@!2s6"</f>
        <v>#VALUE!</v>
      </c>
      <c r="Z367" t="e">
        <f>Asia!F91+"$F;@!2s7"</f>
        <v>#VALUE!</v>
      </c>
      <c r="AA367" t="e">
        <f>Asia!G91+"$F;@!2s8"</f>
        <v>#VALUE!</v>
      </c>
      <c r="AB367" t="e">
        <f>Asia!H91+"$F;@!2s9"</f>
        <v>#VALUE!</v>
      </c>
      <c r="AC367" t="e">
        <f>Asia!A92+"$F;@!2s:"</f>
        <v>#VALUE!</v>
      </c>
      <c r="AD367" t="e">
        <f>Asia!B92+"$F;@!2s;"</f>
        <v>#VALUE!</v>
      </c>
      <c r="AE367" t="e">
        <f>Asia!C92+"$F;@!2s&lt;"</f>
        <v>#VALUE!</v>
      </c>
      <c r="AF367" t="e">
        <f>Asia!D92+"$F;@!2s="</f>
        <v>#VALUE!</v>
      </c>
      <c r="AG367" t="e">
        <f>Asia!E92+"$F;@!2s&gt;"</f>
        <v>#VALUE!</v>
      </c>
      <c r="AH367" t="e">
        <f>Asia!F92+"$F;@!2s?"</f>
        <v>#VALUE!</v>
      </c>
      <c r="AI367" t="e">
        <f>Asia!G92+"$F;@!2s@"</f>
        <v>#VALUE!</v>
      </c>
      <c r="AJ367" t="e">
        <f>Asia!H92+"$F;@!2sA"</f>
        <v>#VALUE!</v>
      </c>
      <c r="AK367" t="e">
        <f>Asia!A93+"$F;@!2sB"</f>
        <v>#VALUE!</v>
      </c>
      <c r="AL367" t="e">
        <f>Asia!B93+"$F;@!2sC"</f>
        <v>#VALUE!</v>
      </c>
      <c r="AM367" t="e">
        <f>Asia!C93+"$F;@!2sD"</f>
        <v>#VALUE!</v>
      </c>
      <c r="AN367" t="e">
        <f>Asia!D93+"$F;@!2sE"</f>
        <v>#VALUE!</v>
      </c>
      <c r="AO367" t="e">
        <f>Asia!E93+"$F;@!2sF"</f>
        <v>#VALUE!</v>
      </c>
      <c r="AP367" t="e">
        <f>Asia!F93+"$F;@!2sG"</f>
        <v>#VALUE!</v>
      </c>
      <c r="AQ367" t="e">
        <f>Asia!G93+"$F;@!2sH"</f>
        <v>#VALUE!</v>
      </c>
      <c r="AR367" t="e">
        <f>Asia!H93+"$F;@!2sI"</f>
        <v>#VALUE!</v>
      </c>
      <c r="AS367" t="e">
        <f>Asia!A94+"$F;@!2sJ"</f>
        <v>#VALUE!</v>
      </c>
      <c r="AT367" t="e">
        <f>Asia!B94+"$F;@!2sK"</f>
        <v>#VALUE!</v>
      </c>
      <c r="AU367" t="e">
        <f>Asia!C94+"$F;@!2sL"</f>
        <v>#VALUE!</v>
      </c>
      <c r="AV367" t="e">
        <f>Asia!D94+"$F;@!2sM"</f>
        <v>#VALUE!</v>
      </c>
      <c r="AW367" t="e">
        <f>Asia!E94+"$F;@!2sN"</f>
        <v>#VALUE!</v>
      </c>
      <c r="AX367" t="e">
        <f>Asia!F94+"$F;@!2sO"</f>
        <v>#VALUE!</v>
      </c>
      <c r="AY367" t="e">
        <f>Asia!G94+"$F;@!2sP"</f>
        <v>#VALUE!</v>
      </c>
      <c r="AZ367" t="e">
        <f>Asia!H94+"$F;@!2sQ"</f>
        <v>#VALUE!</v>
      </c>
      <c r="BA367" t="e">
        <f>Asia!A95+"$F;@!2sR"</f>
        <v>#VALUE!</v>
      </c>
      <c r="BB367" t="e">
        <f>Asia!B95+"$F;@!2sS"</f>
        <v>#VALUE!</v>
      </c>
      <c r="BC367" t="e">
        <f>Asia!C95+"$F;@!2sT"</f>
        <v>#VALUE!</v>
      </c>
      <c r="BD367" t="e">
        <f>Asia!D95+"$F;@!2sU"</f>
        <v>#VALUE!</v>
      </c>
      <c r="BE367" t="e">
        <f>Asia!E95+"$F;@!2sV"</f>
        <v>#VALUE!</v>
      </c>
      <c r="BF367" t="e">
        <f>Asia!F95+"$F;@!2sW"</f>
        <v>#VALUE!</v>
      </c>
      <c r="BG367" t="e">
        <f>Asia!G95+"$F;@!2sX"</f>
        <v>#VALUE!</v>
      </c>
      <c r="BH367" t="e">
        <f>Asia!H95+"$F;@!2sY"</f>
        <v>#VALUE!</v>
      </c>
      <c r="BI367" t="e">
        <f>Asia!A96+"$F;@!2sZ"</f>
        <v>#VALUE!</v>
      </c>
      <c r="BJ367" t="e">
        <f>Asia!B96+"$F;@!2s["</f>
        <v>#VALUE!</v>
      </c>
      <c r="BK367" t="e">
        <f>Asia!C96+"$F;@!2s\"</f>
        <v>#VALUE!</v>
      </c>
      <c r="BL367" t="e">
        <f>Asia!D96+"$F;@!2s]"</f>
        <v>#VALUE!</v>
      </c>
      <c r="BM367" t="e">
        <f>Asia!E96+"$F;@!2s^"</f>
        <v>#VALUE!</v>
      </c>
      <c r="BN367" t="e">
        <f>Asia!F96+"$F;@!2s_"</f>
        <v>#VALUE!</v>
      </c>
      <c r="BO367" t="e">
        <f>Asia!G96+"$F;@!2s`"</f>
        <v>#VALUE!</v>
      </c>
      <c r="BP367" t="e">
        <f>Asia!H96+"$F;@!2sa"</f>
        <v>#VALUE!</v>
      </c>
      <c r="BQ367" t="e">
        <f>Asia!A97+"$F;@!2sb"</f>
        <v>#VALUE!</v>
      </c>
      <c r="BR367" t="e">
        <f>Asia!B97+"$F;@!2sc"</f>
        <v>#VALUE!</v>
      </c>
      <c r="BS367" t="e">
        <f>Asia!C97+"$F;@!2sd"</f>
        <v>#VALUE!</v>
      </c>
      <c r="BT367" t="e">
        <f>Asia!D97+"$F;@!2se"</f>
        <v>#VALUE!</v>
      </c>
      <c r="BU367" t="e">
        <f>Asia!E97+"$F;@!2sf"</f>
        <v>#VALUE!</v>
      </c>
      <c r="BV367" t="e">
        <f>Asia!F97+"$F;@!2sg"</f>
        <v>#VALUE!</v>
      </c>
      <c r="BW367" t="e">
        <f>Asia!G97+"$F;@!2sh"</f>
        <v>#VALUE!</v>
      </c>
      <c r="BX367" t="e">
        <f>Asia!H97+"$F;@!2si"</f>
        <v>#VALUE!</v>
      </c>
      <c r="BY367" t="e">
        <f>Asia!A98+"$F;@!2sj"</f>
        <v>#VALUE!</v>
      </c>
      <c r="BZ367" t="e">
        <f>Asia!B98+"$F;@!2sk"</f>
        <v>#VALUE!</v>
      </c>
      <c r="CA367" t="e">
        <f>Asia!C98+"$F;@!2sl"</f>
        <v>#VALUE!</v>
      </c>
      <c r="CB367" t="e">
        <f>Asia!D98+"$F;@!2sm"</f>
        <v>#VALUE!</v>
      </c>
      <c r="CC367" t="e">
        <f>Asia!E98+"$F;@!2sn"</f>
        <v>#VALUE!</v>
      </c>
      <c r="CD367" t="e">
        <f>Asia!F98+"$F;@!2so"</f>
        <v>#VALUE!</v>
      </c>
      <c r="CE367" t="e">
        <f>Asia!G98+"$F;@!2sp"</f>
        <v>#VALUE!</v>
      </c>
      <c r="CF367" t="e">
        <f>Asia!H98+"$F;@!2sq"</f>
        <v>#VALUE!</v>
      </c>
      <c r="CG367" t="e">
        <f>Asia!A99+"$F;@!2sr"</f>
        <v>#VALUE!</v>
      </c>
      <c r="CH367" t="e">
        <f>Asia!B99+"$F;@!2ss"</f>
        <v>#VALUE!</v>
      </c>
      <c r="CI367" t="e">
        <f>Asia!C99+"$F;@!2st"</f>
        <v>#VALUE!</v>
      </c>
      <c r="CJ367" t="e">
        <f>Asia!D99+"$F;@!2su"</f>
        <v>#VALUE!</v>
      </c>
      <c r="CK367" t="e">
        <f>Asia!E99+"$F;@!2sv"</f>
        <v>#VALUE!</v>
      </c>
      <c r="CL367" t="e">
        <f>Asia!F99+"$F;@!2sw"</f>
        <v>#VALUE!</v>
      </c>
      <c r="CM367" t="e">
        <f>Asia!G99+"$F;@!2sx"</f>
        <v>#VALUE!</v>
      </c>
      <c r="CN367" t="e">
        <f>Asia!H99+"$F;@!2sy"</f>
        <v>#VALUE!</v>
      </c>
      <c r="CO367" t="e">
        <f>Asia!A100+"$F;@!2sz"</f>
        <v>#VALUE!</v>
      </c>
      <c r="CP367" t="e">
        <f>Asia!B100+"$F;@!2s{"</f>
        <v>#VALUE!</v>
      </c>
      <c r="CQ367" t="e">
        <f>Asia!C100+"$F;@!2s|"</f>
        <v>#VALUE!</v>
      </c>
      <c r="CR367" t="e">
        <f>Asia!D100+"$F;@!2s}"</f>
        <v>#VALUE!</v>
      </c>
      <c r="CS367" t="e">
        <f>Asia!E100+"$F;@!2s~"</f>
        <v>#VALUE!</v>
      </c>
      <c r="CT367" t="e">
        <f>Asia!F100+"$F;@!2t#"</f>
        <v>#VALUE!</v>
      </c>
      <c r="CU367" t="e">
        <f>Asia!G100+"$F;@!2t$"</f>
        <v>#VALUE!</v>
      </c>
      <c r="CV367" t="e">
        <f>Asia!H100+"$F;@!2t%"</f>
        <v>#VALUE!</v>
      </c>
      <c r="CW367" t="e">
        <f>Asia!A101+"$F;@!2t&amp;"</f>
        <v>#VALUE!</v>
      </c>
      <c r="CX367" t="e">
        <f>Asia!B101+"$F;@!2t'"</f>
        <v>#VALUE!</v>
      </c>
      <c r="CY367" t="e">
        <f>Asia!C101+"$F;@!2t("</f>
        <v>#VALUE!</v>
      </c>
      <c r="CZ367" t="e">
        <f>Asia!D101+"$F;@!2t)"</f>
        <v>#VALUE!</v>
      </c>
      <c r="DA367" t="e">
        <f>Asia!E101+"$F;@!2t."</f>
        <v>#VALUE!</v>
      </c>
      <c r="DB367" t="e">
        <f>Asia!F101+"$F;@!2t/"</f>
        <v>#VALUE!</v>
      </c>
      <c r="DC367" t="e">
        <f>Asia!G101+"$F;@!2t0"</f>
        <v>#VALUE!</v>
      </c>
      <c r="DD367" t="e">
        <f>Asia!H101+"$F;@!2t1"</f>
        <v>#VALUE!</v>
      </c>
      <c r="DE367" t="e">
        <f>Asia!A102+"$F;@!2t2"</f>
        <v>#VALUE!</v>
      </c>
      <c r="DF367" t="e">
        <f>Asia!B102+"$F;@!2t3"</f>
        <v>#VALUE!</v>
      </c>
      <c r="DG367" t="e">
        <f>Asia!C102+"$F;@!2t4"</f>
        <v>#VALUE!</v>
      </c>
      <c r="DH367" t="e">
        <f>Asia!D102+"$F;@!2t5"</f>
        <v>#VALUE!</v>
      </c>
      <c r="DI367" t="e">
        <f>Asia!E102+"$F;@!2t6"</f>
        <v>#VALUE!</v>
      </c>
      <c r="DJ367" t="e">
        <f>Asia!F102+"$F;@!2t7"</f>
        <v>#VALUE!</v>
      </c>
      <c r="DK367" t="e">
        <f>Asia!G102+"$F;@!2t8"</f>
        <v>#VALUE!</v>
      </c>
      <c r="DL367" t="e">
        <f>Asia!H102+"$F;@!2t9"</f>
        <v>#VALUE!</v>
      </c>
      <c r="DM367" t="e">
        <f>Asia!A103+"$F;@!2t:"</f>
        <v>#VALUE!</v>
      </c>
      <c r="DN367" t="e">
        <f>Asia!B103+"$F;@!2t;"</f>
        <v>#VALUE!</v>
      </c>
      <c r="DO367" t="e">
        <f>Asia!C103+"$F;@!2t&lt;"</f>
        <v>#VALUE!</v>
      </c>
      <c r="DP367" t="e">
        <f>Asia!D103+"$F;@!2t="</f>
        <v>#VALUE!</v>
      </c>
      <c r="DQ367" t="e">
        <f>Asia!E103+"$F;@!2t&gt;"</f>
        <v>#VALUE!</v>
      </c>
      <c r="DR367" t="e">
        <f>Asia!F103+"$F;@!2t?"</f>
        <v>#VALUE!</v>
      </c>
      <c r="DS367" t="e">
        <f>Asia!G103+"$F;@!2t@"</f>
        <v>#VALUE!</v>
      </c>
      <c r="DT367" t="e">
        <f>Asia!H103+"$F;@!2tA"</f>
        <v>#VALUE!</v>
      </c>
      <c r="DU367" t="e">
        <f>Asia!A104+"$F;@!2tB"</f>
        <v>#VALUE!</v>
      </c>
      <c r="DV367" t="e">
        <f>Asia!B104+"$F;@!2tC"</f>
        <v>#VALUE!</v>
      </c>
      <c r="DW367" t="e">
        <f>Asia!C104+"$F;@!2tD"</f>
        <v>#VALUE!</v>
      </c>
      <c r="DX367" t="e">
        <f>Asia!D104+"$F;@!2tE"</f>
        <v>#VALUE!</v>
      </c>
      <c r="DY367" t="e">
        <f>Asia!E104+"$F;@!2tF"</f>
        <v>#VALUE!</v>
      </c>
      <c r="DZ367" t="e">
        <f>Asia!F104+"$F;@!2tG"</f>
        <v>#VALUE!</v>
      </c>
      <c r="EA367" t="e">
        <f>Asia!G104+"$F;@!2tH"</f>
        <v>#VALUE!</v>
      </c>
      <c r="EB367" t="e">
        <f>Asia!H104+"$F;@!2tI"</f>
        <v>#VALUE!</v>
      </c>
      <c r="EC367" t="e">
        <f>Asia!A105+"$F;@!2tJ"</f>
        <v>#VALUE!</v>
      </c>
      <c r="ED367" t="e">
        <f>Asia!B105+"$F;@!2tK"</f>
        <v>#VALUE!</v>
      </c>
      <c r="EE367" t="e">
        <f>Asia!C105+"$F;@!2tL"</f>
        <v>#VALUE!</v>
      </c>
      <c r="EF367" t="e">
        <f>Asia!D105+"$F;@!2tM"</f>
        <v>#VALUE!</v>
      </c>
      <c r="EG367" t="e">
        <f>Asia!E105+"$F;@!2tN"</f>
        <v>#VALUE!</v>
      </c>
      <c r="EH367" t="e">
        <f>Asia!F105+"$F;@!2tO"</f>
        <v>#VALUE!</v>
      </c>
      <c r="EI367" t="e">
        <f>Asia!G105+"$F;@!2tP"</f>
        <v>#VALUE!</v>
      </c>
      <c r="EJ367" t="e">
        <f>Asia!H105+"$F;@!2tQ"</f>
        <v>#VALUE!</v>
      </c>
      <c r="EK367" t="e">
        <f>Asia!A106+"$F;@!2tR"</f>
        <v>#VALUE!</v>
      </c>
      <c r="EL367" t="e">
        <f>Asia!B106+"$F;@!2tS"</f>
        <v>#VALUE!</v>
      </c>
      <c r="EM367" t="e">
        <f>Asia!C106+"$F;@!2tT"</f>
        <v>#VALUE!</v>
      </c>
      <c r="EN367" t="e">
        <f>Asia!D106+"$F;@!2tU"</f>
        <v>#VALUE!</v>
      </c>
      <c r="EO367" t="e">
        <f>Asia!E106+"$F;@!2tV"</f>
        <v>#VALUE!</v>
      </c>
      <c r="EP367" t="e">
        <f>Asia!F106+"$F;@!2tW"</f>
        <v>#VALUE!</v>
      </c>
      <c r="EQ367" t="e">
        <f>Asia!G106+"$F;@!2tX"</f>
        <v>#VALUE!</v>
      </c>
      <c r="ER367" t="e">
        <f>Asia!H106+"$F;@!2tY"</f>
        <v>#VALUE!</v>
      </c>
      <c r="ES367" t="e">
        <f>Asia!A107+"$F;@!2tZ"</f>
        <v>#VALUE!</v>
      </c>
      <c r="ET367" t="e">
        <f>Asia!B107+"$F;@!2t["</f>
        <v>#VALUE!</v>
      </c>
      <c r="EU367" t="e">
        <f>Asia!C107+"$F;@!2t\"</f>
        <v>#VALUE!</v>
      </c>
      <c r="EV367" t="e">
        <f>Asia!D107+"$F;@!2t]"</f>
        <v>#VALUE!</v>
      </c>
      <c r="EW367" t="e">
        <f>Asia!E107+"$F;@!2t^"</f>
        <v>#VALUE!</v>
      </c>
      <c r="EX367" t="e">
        <f>Asia!F107+"$F;@!2t_"</f>
        <v>#VALUE!</v>
      </c>
      <c r="EY367" t="e">
        <f>Asia!G107+"$F;@!2t`"</f>
        <v>#VALUE!</v>
      </c>
      <c r="EZ367" t="e">
        <f>Asia!H107+"$F;@!2ta"</f>
        <v>#VALUE!</v>
      </c>
      <c r="FA367" t="e">
        <f>Asia!A108+"$F;@!2tb"</f>
        <v>#VALUE!</v>
      </c>
      <c r="FB367" t="e">
        <f>Asia!B108+"$F;@!2tc"</f>
        <v>#VALUE!</v>
      </c>
      <c r="FC367" t="e">
        <f>Asia!C108+"$F;@!2td"</f>
        <v>#VALUE!</v>
      </c>
      <c r="FD367" t="e">
        <f>Asia!D108+"$F;@!2te"</f>
        <v>#VALUE!</v>
      </c>
      <c r="FE367" t="e">
        <f>Asia!E108+"$F;@!2tf"</f>
        <v>#VALUE!</v>
      </c>
      <c r="FF367" t="e">
        <f>Asia!F108+"$F;@!2tg"</f>
        <v>#VALUE!</v>
      </c>
      <c r="FG367" t="e">
        <f>Asia!G108+"$F;@!2th"</f>
        <v>#VALUE!</v>
      </c>
      <c r="FH367" t="e">
        <f>Asia!H108+"$F;@!2ti"</f>
        <v>#VALUE!</v>
      </c>
      <c r="FI367" t="e">
        <f>Asia!A109+"$F;@!2tj"</f>
        <v>#VALUE!</v>
      </c>
      <c r="FJ367" t="e">
        <f>Asia!B109+"$F;@!2tk"</f>
        <v>#VALUE!</v>
      </c>
      <c r="FK367" t="e">
        <f>Asia!C109+"$F;@!2tl"</f>
        <v>#VALUE!</v>
      </c>
      <c r="FL367" t="e">
        <f>Asia!D109+"$F;@!2tm"</f>
        <v>#VALUE!</v>
      </c>
      <c r="FM367" t="e">
        <f>Asia!E109+"$F;@!2tn"</f>
        <v>#VALUE!</v>
      </c>
      <c r="FN367" t="e">
        <f>Asia!F109+"$F;@!2to"</f>
        <v>#VALUE!</v>
      </c>
      <c r="FO367" t="e">
        <f>Asia!G109+"$F;@!2tp"</f>
        <v>#VALUE!</v>
      </c>
      <c r="FP367" t="e">
        <f>Asia!H109+"$F;@!2tq"</f>
        <v>#VALUE!</v>
      </c>
      <c r="FQ367" t="e">
        <f>Asia!A110+"$F;@!2tr"</f>
        <v>#VALUE!</v>
      </c>
      <c r="FR367" t="e">
        <f>Asia!B110+"$F;@!2ts"</f>
        <v>#VALUE!</v>
      </c>
      <c r="FS367" t="e">
        <f>Asia!C110+"$F;@!2tt"</f>
        <v>#VALUE!</v>
      </c>
      <c r="FT367" t="e">
        <f>Asia!D110+"$F;@!2tu"</f>
        <v>#VALUE!</v>
      </c>
      <c r="FU367" t="e">
        <f>Asia!E110+"$F;@!2tv"</f>
        <v>#VALUE!</v>
      </c>
      <c r="FV367" t="e">
        <f>Asia!F110+"$F;@!2tw"</f>
        <v>#VALUE!</v>
      </c>
      <c r="FW367" t="e">
        <f>Asia!G110+"$F;@!2tx"</f>
        <v>#VALUE!</v>
      </c>
      <c r="FX367" t="e">
        <f>Asia!H110+"$F;@!2ty"</f>
        <v>#VALUE!</v>
      </c>
      <c r="FY367" t="e">
        <f>Asia!A111+"$F;@!2tz"</f>
        <v>#VALUE!</v>
      </c>
      <c r="FZ367" t="e">
        <f>Asia!B111+"$F;@!2t{"</f>
        <v>#VALUE!</v>
      </c>
      <c r="GA367" t="e">
        <f>Asia!C111+"$F;@!2t|"</f>
        <v>#VALUE!</v>
      </c>
      <c r="GB367" t="e">
        <f>Asia!D111+"$F;@!2t}"</f>
        <v>#VALUE!</v>
      </c>
      <c r="GC367" t="e">
        <f>Asia!E111+"$F;@!2t~"</f>
        <v>#VALUE!</v>
      </c>
      <c r="GD367" t="e">
        <f>Asia!F111+"$F;@!2u#"</f>
        <v>#VALUE!</v>
      </c>
      <c r="GE367" t="e">
        <f>Asia!G111+"$F;@!2u$"</f>
        <v>#VALUE!</v>
      </c>
      <c r="GF367" t="e">
        <f>Asia!H111+"$F;@!2u%"</f>
        <v>#VALUE!</v>
      </c>
      <c r="GG367" t="e">
        <f>Asia!A112+"$F;@!2u&amp;"</f>
        <v>#VALUE!</v>
      </c>
      <c r="GH367" t="e">
        <f>Asia!B112+"$F;@!2u'"</f>
        <v>#VALUE!</v>
      </c>
      <c r="GI367" t="e">
        <f>Asia!C112+"$F;@!2u("</f>
        <v>#VALUE!</v>
      </c>
      <c r="GJ367" t="e">
        <f>Asia!D112+"$F;@!2u)"</f>
        <v>#VALUE!</v>
      </c>
      <c r="GK367" t="e">
        <f>Asia!E112+"$F;@!2u."</f>
        <v>#VALUE!</v>
      </c>
      <c r="GL367" t="e">
        <f>Asia!F112+"$F;@!2u/"</f>
        <v>#VALUE!</v>
      </c>
      <c r="GM367" t="e">
        <f>Asia!G112+"$F;@!2u0"</f>
        <v>#VALUE!</v>
      </c>
      <c r="GN367" t="e">
        <f>Asia!H112+"$F;@!2u1"</f>
        <v>#VALUE!</v>
      </c>
      <c r="GO367" t="e">
        <f>Asia!A113+"$F;@!2u2"</f>
        <v>#VALUE!</v>
      </c>
      <c r="GP367" t="e">
        <f>Asia!B113+"$F;@!2u3"</f>
        <v>#VALUE!</v>
      </c>
      <c r="GQ367" t="e">
        <f>Asia!C113+"$F;@!2u4"</f>
        <v>#VALUE!</v>
      </c>
      <c r="GR367" t="e">
        <f>Asia!D113+"$F;@!2u5"</f>
        <v>#VALUE!</v>
      </c>
      <c r="GS367" t="e">
        <f>Asia!E113+"$F;@!2u6"</f>
        <v>#VALUE!</v>
      </c>
      <c r="GT367" t="e">
        <f>Asia!F113+"$F;@!2u7"</f>
        <v>#VALUE!</v>
      </c>
      <c r="GU367" t="e">
        <f>Asia!G113+"$F;@!2u8"</f>
        <v>#VALUE!</v>
      </c>
      <c r="GV367" t="e">
        <f>Asia!H113+"$F;@!2u9"</f>
        <v>#VALUE!</v>
      </c>
      <c r="GW367" t="e">
        <f>Asia!A114+"$F;@!2u:"</f>
        <v>#VALUE!</v>
      </c>
      <c r="GX367" t="e">
        <f>Asia!B114+"$F;@!2u;"</f>
        <v>#VALUE!</v>
      </c>
      <c r="GY367" t="e">
        <f>Asia!C114+"$F;@!2u&lt;"</f>
        <v>#VALUE!</v>
      </c>
      <c r="GZ367" t="e">
        <f>Asia!D114+"$F;@!2u="</f>
        <v>#VALUE!</v>
      </c>
      <c r="HA367" t="e">
        <f>Asia!E114+"$F;@!2u&gt;"</f>
        <v>#VALUE!</v>
      </c>
      <c r="HB367" t="e">
        <f>Asia!F114+"$F;@!2u?"</f>
        <v>#VALUE!</v>
      </c>
      <c r="HC367" t="e">
        <f>Asia!G114+"$F;@!2u@"</f>
        <v>#VALUE!</v>
      </c>
      <c r="HD367" t="e">
        <f>Asia!H114+"$F;@!2uA"</f>
        <v>#VALUE!</v>
      </c>
      <c r="HE367" t="e">
        <f>Asia!A115+"$F;@!2uB"</f>
        <v>#VALUE!</v>
      </c>
      <c r="HF367" t="e">
        <f>Asia!B115+"$F;@!2uC"</f>
        <v>#VALUE!</v>
      </c>
      <c r="HG367" t="e">
        <f>Asia!C115+"$F;@!2uD"</f>
        <v>#VALUE!</v>
      </c>
      <c r="HH367" t="e">
        <f>Asia!D115+"$F;@!2uE"</f>
        <v>#VALUE!</v>
      </c>
      <c r="HI367" t="e">
        <f>Asia!E115+"$F;@!2uF"</f>
        <v>#VALUE!</v>
      </c>
      <c r="HJ367" t="e">
        <f>Asia!F115+"$F;@!2uG"</f>
        <v>#VALUE!</v>
      </c>
      <c r="HK367" t="e">
        <f>Asia!G115+"$F;@!2uH"</f>
        <v>#VALUE!</v>
      </c>
      <c r="HL367" t="e">
        <f>Asia!H115+"$F;@!2uI"</f>
        <v>#VALUE!</v>
      </c>
      <c r="HM367" t="e">
        <f>Asia!A116+"$F;@!2uJ"</f>
        <v>#VALUE!</v>
      </c>
      <c r="HN367" t="e">
        <f>Asia!B116+"$F;@!2uK"</f>
        <v>#VALUE!</v>
      </c>
      <c r="HO367" t="e">
        <f>Asia!C116+"$F;@!2uL"</f>
        <v>#VALUE!</v>
      </c>
      <c r="HP367" t="e">
        <f>Asia!D116+"$F;@!2uM"</f>
        <v>#VALUE!</v>
      </c>
      <c r="HQ367" t="e">
        <f>Asia!E116+"$F;@!2uN"</f>
        <v>#VALUE!</v>
      </c>
      <c r="HR367" t="e">
        <f>Asia!F116+"$F;@!2uO"</f>
        <v>#VALUE!</v>
      </c>
      <c r="HS367" t="e">
        <f>Asia!G116+"$F;@!2uP"</f>
        <v>#VALUE!</v>
      </c>
      <c r="HT367" t="e">
        <f>Asia!H116+"$F;@!2uQ"</f>
        <v>#VALUE!</v>
      </c>
      <c r="HU367" t="e">
        <f>Asia!A117+"$F;@!2uR"</f>
        <v>#VALUE!</v>
      </c>
      <c r="HV367" t="e">
        <f>Asia!B117+"$F;@!2uS"</f>
        <v>#VALUE!</v>
      </c>
      <c r="HW367" t="e">
        <f>Asia!C117+"$F;@!2uT"</f>
        <v>#VALUE!</v>
      </c>
      <c r="HX367" t="e">
        <f>Asia!D117+"$F;@!2uU"</f>
        <v>#VALUE!</v>
      </c>
      <c r="HY367" t="e">
        <f>Asia!E117+"$F;@!2uV"</f>
        <v>#VALUE!</v>
      </c>
      <c r="HZ367" t="e">
        <f>Asia!F117+"$F;@!2uW"</f>
        <v>#VALUE!</v>
      </c>
      <c r="IA367" t="e">
        <f>Asia!G117+"$F;@!2uX"</f>
        <v>#VALUE!</v>
      </c>
      <c r="IB367" t="e">
        <f>Asia!H117+"$F;@!2uY"</f>
        <v>#VALUE!</v>
      </c>
      <c r="IC367" t="e">
        <f>Asia!A118+"$F;@!2uZ"</f>
        <v>#VALUE!</v>
      </c>
      <c r="ID367" t="e">
        <f>Asia!B118+"$F;@!2u["</f>
        <v>#VALUE!</v>
      </c>
      <c r="IE367" t="e">
        <f>Asia!C118+"$F;@!2u\"</f>
        <v>#VALUE!</v>
      </c>
      <c r="IF367" t="e">
        <f>Asia!D118+"$F;@!2u]"</f>
        <v>#VALUE!</v>
      </c>
      <c r="IG367" t="e">
        <f>Asia!E118+"$F;@!2u^"</f>
        <v>#VALUE!</v>
      </c>
      <c r="IH367" t="e">
        <f>Asia!F118+"$F;@!2u_"</f>
        <v>#VALUE!</v>
      </c>
      <c r="II367" t="e">
        <f>Asia!G118+"$F;@!2u`"</f>
        <v>#VALUE!</v>
      </c>
      <c r="IJ367" t="e">
        <f>Asia!H118+"$F;@!2ua"</f>
        <v>#VALUE!</v>
      </c>
      <c r="IK367" t="e">
        <f>Asia!A119+"$F;@!2ub"</f>
        <v>#VALUE!</v>
      </c>
      <c r="IL367" t="e">
        <f>Asia!B119+"$F;@!2uc"</f>
        <v>#VALUE!</v>
      </c>
      <c r="IM367" t="e">
        <f>Asia!C119+"$F;@!2ud"</f>
        <v>#VALUE!</v>
      </c>
      <c r="IN367" t="e">
        <f>Asia!D119+"$F;@!2ue"</f>
        <v>#VALUE!</v>
      </c>
      <c r="IO367" t="e">
        <f>Asia!E119+"$F;@!2uf"</f>
        <v>#VALUE!</v>
      </c>
      <c r="IP367" t="e">
        <f>Asia!F119+"$F;@!2ug"</f>
        <v>#VALUE!</v>
      </c>
      <c r="IQ367" t="e">
        <f>Asia!G119+"$F;@!2uh"</f>
        <v>#VALUE!</v>
      </c>
      <c r="IR367" t="e">
        <f>Asia!H119+"$F;@!2ui"</f>
        <v>#VALUE!</v>
      </c>
      <c r="IS367" t="e">
        <f>Asia!A120+"$F;@!2uj"</f>
        <v>#VALUE!</v>
      </c>
      <c r="IT367" t="e">
        <f>Asia!B120+"$F;@!2uk"</f>
        <v>#VALUE!</v>
      </c>
      <c r="IU367" t="e">
        <f>Asia!C120+"$F;@!2ul"</f>
        <v>#VALUE!</v>
      </c>
      <c r="IV367" t="e">
        <f>Asia!D120+"$F;@!2um"</f>
        <v>#VALUE!</v>
      </c>
    </row>
    <row r="368" spans="6:256" x14ac:dyDescent="0.35">
      <c r="F368" t="e">
        <f>Asia!E120+"$F;@!2un"</f>
        <v>#VALUE!</v>
      </c>
      <c r="G368" t="e">
        <f>Asia!F120+"$F;@!2uo"</f>
        <v>#VALUE!</v>
      </c>
      <c r="H368" t="e">
        <f>Asia!G120+"$F;@!2up"</f>
        <v>#VALUE!</v>
      </c>
      <c r="I368" t="e">
        <f>Asia!H120+"$F;@!2uq"</f>
        <v>#VALUE!</v>
      </c>
      <c r="J368" t="e">
        <f>Asia!A121+"$F;@!2ur"</f>
        <v>#VALUE!</v>
      </c>
      <c r="K368" t="e">
        <f>Asia!B121+"$F;@!2us"</f>
        <v>#VALUE!</v>
      </c>
      <c r="L368" t="e">
        <f>Asia!C121+"$F;@!2ut"</f>
        <v>#VALUE!</v>
      </c>
      <c r="M368" t="e">
        <f>Asia!D121+"$F;@!2uu"</f>
        <v>#VALUE!</v>
      </c>
      <c r="N368" t="e">
        <f>Asia!E121+"$F;@!2uv"</f>
        <v>#VALUE!</v>
      </c>
      <c r="O368" t="e">
        <f>Asia!F121+"$F;@!2uw"</f>
        <v>#VALUE!</v>
      </c>
      <c r="P368" t="e">
        <f>Asia!G121+"$F;@!2ux"</f>
        <v>#VALUE!</v>
      </c>
      <c r="Q368" t="e">
        <f>Asia!H121+"$F;@!2uy"</f>
        <v>#VALUE!</v>
      </c>
      <c r="R368" t="e">
        <f>Asia!A122+"$F;@!2uz"</f>
        <v>#VALUE!</v>
      </c>
      <c r="S368" t="e">
        <f>Asia!B122+"$F;@!2u{"</f>
        <v>#VALUE!</v>
      </c>
      <c r="T368" t="e">
        <f>Asia!C122+"$F;@!2u|"</f>
        <v>#VALUE!</v>
      </c>
      <c r="U368" t="e">
        <f>Asia!D122+"$F;@!2u}"</f>
        <v>#VALUE!</v>
      </c>
      <c r="V368" t="e">
        <f>Asia!E122+"$F;@!2u~"</f>
        <v>#VALUE!</v>
      </c>
      <c r="W368" t="e">
        <f>Asia!F122+"$F;@!2v#"</f>
        <v>#VALUE!</v>
      </c>
      <c r="X368" t="e">
        <f>Asia!G122+"$F;@!2v$"</f>
        <v>#VALUE!</v>
      </c>
      <c r="Y368" t="e">
        <f>Asia!H122+"$F;@!2v%"</f>
        <v>#VALUE!</v>
      </c>
      <c r="Z368" t="e">
        <f>Asia!A123+"$F;@!2v&amp;"</f>
        <v>#VALUE!</v>
      </c>
      <c r="AA368" t="e">
        <f>Asia!B123+"$F;@!2v'"</f>
        <v>#VALUE!</v>
      </c>
      <c r="AB368" t="e">
        <f>Asia!C123+"$F;@!2v("</f>
        <v>#VALUE!</v>
      </c>
      <c r="AC368" t="e">
        <f>Asia!D123+"$F;@!2v)"</f>
        <v>#VALUE!</v>
      </c>
      <c r="AD368" t="e">
        <f>Asia!E123+"$F;@!2v."</f>
        <v>#VALUE!</v>
      </c>
      <c r="AE368" t="e">
        <f>Asia!F123+"$F;@!2v/"</f>
        <v>#VALUE!</v>
      </c>
      <c r="AF368" t="e">
        <f>Asia!G123+"$F;@!2v0"</f>
        <v>#VALUE!</v>
      </c>
      <c r="AG368" t="e">
        <f>Asia!H123+"$F;@!2v1"</f>
        <v>#VALUE!</v>
      </c>
      <c r="AH368" t="e">
        <f>Asia!A124+"$F;@!2v2"</f>
        <v>#VALUE!</v>
      </c>
      <c r="AI368" t="e">
        <f>Asia!B124+"$F;@!2v3"</f>
        <v>#VALUE!</v>
      </c>
      <c r="AJ368" t="e">
        <f>Asia!C124+"$F;@!2v4"</f>
        <v>#VALUE!</v>
      </c>
      <c r="AK368" t="e">
        <f>Asia!D124+"$F;@!2v5"</f>
        <v>#VALUE!</v>
      </c>
      <c r="AL368" t="e">
        <f>Asia!E124+"$F;@!2v6"</f>
        <v>#VALUE!</v>
      </c>
      <c r="AM368" t="e">
        <f>Asia!F124+"$F;@!2v7"</f>
        <v>#VALUE!</v>
      </c>
      <c r="AN368" t="e">
        <f>Asia!G124+"$F;@!2v8"</f>
        <v>#VALUE!</v>
      </c>
      <c r="AO368" t="e">
        <f>Asia!H124+"$F;@!2v9"</f>
        <v>#VALUE!</v>
      </c>
      <c r="AP368" t="e">
        <f>Asia!A125+"$F;@!2v:"</f>
        <v>#VALUE!</v>
      </c>
      <c r="AQ368" t="e">
        <f>Asia!B125+"$F;@!2v;"</f>
        <v>#VALUE!</v>
      </c>
      <c r="AR368" t="e">
        <f>Asia!C125+"$F;@!2v&lt;"</f>
        <v>#VALUE!</v>
      </c>
      <c r="AS368" t="e">
        <f>Asia!D125+"$F;@!2v="</f>
        <v>#VALUE!</v>
      </c>
      <c r="AT368" t="e">
        <f>Asia!E125+"$F;@!2v&gt;"</f>
        <v>#VALUE!</v>
      </c>
      <c r="AU368" t="e">
        <f>Asia!F125+"$F;@!2v?"</f>
        <v>#VALUE!</v>
      </c>
      <c r="AV368" t="e">
        <f>Asia!G125+"$F;@!2v@"</f>
        <v>#VALUE!</v>
      </c>
      <c r="AW368" t="e">
        <f>Asia!H125+"$F;@!2vA"</f>
        <v>#VALUE!</v>
      </c>
      <c r="AX368" t="e">
        <f>Asia!A126+"$F;@!2vB"</f>
        <v>#VALUE!</v>
      </c>
      <c r="AY368" t="e">
        <f>Asia!B126+"$F;@!2vC"</f>
        <v>#VALUE!</v>
      </c>
      <c r="AZ368" t="e">
        <f>Asia!C126+"$F;@!2vD"</f>
        <v>#VALUE!</v>
      </c>
      <c r="BA368" t="e">
        <f>Asia!D126+"$F;@!2vE"</f>
        <v>#VALUE!</v>
      </c>
      <c r="BB368" t="e">
        <f>Asia!E126+"$F;@!2vF"</f>
        <v>#VALUE!</v>
      </c>
      <c r="BC368" t="e">
        <f>Asia!F126+"$F;@!2vG"</f>
        <v>#VALUE!</v>
      </c>
      <c r="BD368" t="e">
        <f>Asia!G126+"$F;@!2vH"</f>
        <v>#VALUE!</v>
      </c>
      <c r="BE368" t="e">
        <f>Asia!H126+"$F;@!2vI"</f>
        <v>#VALUE!</v>
      </c>
      <c r="BF368" t="e">
        <f>Asia!A127+"$F;@!2vJ"</f>
        <v>#VALUE!</v>
      </c>
      <c r="BG368" t="e">
        <f>Asia!B127+"$F;@!2vK"</f>
        <v>#VALUE!</v>
      </c>
      <c r="BH368" t="e">
        <f>Asia!C127+"$F;@!2vL"</f>
        <v>#VALUE!</v>
      </c>
      <c r="BI368" t="e">
        <f>Asia!D127+"$F;@!2vM"</f>
        <v>#VALUE!</v>
      </c>
      <c r="BJ368" t="e">
        <f>Asia!E127+"$F;@!2vN"</f>
        <v>#VALUE!</v>
      </c>
      <c r="BK368" t="e">
        <f>Asia!F127+"$F;@!2vO"</f>
        <v>#VALUE!</v>
      </c>
      <c r="BL368" t="e">
        <f>Asia!G127+"$F;@!2vP"</f>
        <v>#VALUE!</v>
      </c>
      <c r="BM368" t="e">
        <f>Asia!H127+"$F;@!2vQ"</f>
        <v>#VALUE!</v>
      </c>
      <c r="BN368" t="e">
        <f>Asia!A128+"$F;@!2vR"</f>
        <v>#VALUE!</v>
      </c>
      <c r="BO368" t="e">
        <f>Asia!B128+"$F;@!2vS"</f>
        <v>#VALUE!</v>
      </c>
      <c r="BP368" t="e">
        <f>Asia!C128+"$F;@!2vT"</f>
        <v>#VALUE!</v>
      </c>
      <c r="BQ368" t="e">
        <f>Asia!D128+"$F;@!2vU"</f>
        <v>#VALUE!</v>
      </c>
      <c r="BR368" t="e">
        <f>Asia!E128+"$F;@!2vV"</f>
        <v>#VALUE!</v>
      </c>
      <c r="BS368" t="e">
        <f>Asia!F128+"$F;@!2vW"</f>
        <v>#VALUE!</v>
      </c>
      <c r="BT368" t="e">
        <f>Asia!G128+"$F;@!2vX"</f>
        <v>#VALUE!</v>
      </c>
      <c r="BU368" t="e">
        <f>Asia!H128+"$F;@!2vY"</f>
        <v>#VALUE!</v>
      </c>
      <c r="BV368" t="e">
        <f>Asia!A129+"$F;@!2vZ"</f>
        <v>#VALUE!</v>
      </c>
      <c r="BW368" t="e">
        <f>Asia!B129+"$F;@!2v["</f>
        <v>#VALUE!</v>
      </c>
      <c r="BX368" t="e">
        <f>Asia!C129+"$F;@!2v\"</f>
        <v>#VALUE!</v>
      </c>
      <c r="BY368" t="e">
        <f>Asia!D129+"$F;@!2v]"</f>
        <v>#VALUE!</v>
      </c>
      <c r="BZ368" t="e">
        <f>Asia!E129+"$F;@!2v^"</f>
        <v>#VALUE!</v>
      </c>
      <c r="CA368" t="e">
        <f>Asia!F129+"$F;@!2v_"</f>
        <v>#VALUE!</v>
      </c>
      <c r="CB368" t="e">
        <f>Asia!G129+"$F;@!2v`"</f>
        <v>#VALUE!</v>
      </c>
      <c r="CC368" t="e">
        <f>Asia!H129+"$F;@!2va"</f>
        <v>#VALUE!</v>
      </c>
      <c r="CD368" t="e">
        <f>Asia!A130+"$F;@!2vb"</f>
        <v>#VALUE!</v>
      </c>
      <c r="CE368" t="e">
        <f>Asia!B130+"$F;@!2vc"</f>
        <v>#VALUE!</v>
      </c>
      <c r="CF368" t="e">
        <f>Asia!C130+"$F;@!2vd"</f>
        <v>#VALUE!</v>
      </c>
      <c r="CG368" t="e">
        <f>Asia!D130+"$F;@!2ve"</f>
        <v>#VALUE!</v>
      </c>
      <c r="CH368" t="e">
        <f>Asia!E130+"$F;@!2vf"</f>
        <v>#VALUE!</v>
      </c>
      <c r="CI368" t="e">
        <f>Asia!F130+"$F;@!2vg"</f>
        <v>#VALUE!</v>
      </c>
      <c r="CJ368" t="e">
        <f>Asia!G130+"$F;@!2vh"</f>
        <v>#VALUE!</v>
      </c>
      <c r="CK368" t="e">
        <f>Asia!H130+"$F;@!2vi"</f>
        <v>#VALUE!</v>
      </c>
      <c r="CL368" t="e">
        <f>Asia!A131+"$F;@!2vj"</f>
        <v>#VALUE!</v>
      </c>
      <c r="CM368" t="e">
        <f>Asia!B131+"$F;@!2vk"</f>
        <v>#VALUE!</v>
      </c>
      <c r="CN368" t="e">
        <f>Asia!C131+"$F;@!2vl"</f>
        <v>#VALUE!</v>
      </c>
      <c r="CO368" t="e">
        <f>Asia!D131+"$F;@!2vm"</f>
        <v>#VALUE!</v>
      </c>
      <c r="CP368" t="e">
        <f>Asia!E131+"$F;@!2vn"</f>
        <v>#VALUE!</v>
      </c>
      <c r="CQ368" t="e">
        <f>Asia!F131+"$F;@!2vo"</f>
        <v>#VALUE!</v>
      </c>
      <c r="CR368" t="e">
        <f>Asia!G131+"$F;@!2vp"</f>
        <v>#VALUE!</v>
      </c>
      <c r="CS368" t="e">
        <f>Asia!H131+"$F;@!2vq"</f>
        <v>#VALUE!</v>
      </c>
      <c r="CT368" t="e">
        <f>Asia!A132+"$F;@!2vr"</f>
        <v>#VALUE!</v>
      </c>
      <c r="CU368" t="e">
        <f>Asia!B132+"$F;@!2vs"</f>
        <v>#VALUE!</v>
      </c>
      <c r="CV368" t="e">
        <f>Asia!C132+"$F;@!2vt"</f>
        <v>#VALUE!</v>
      </c>
      <c r="CW368" t="e">
        <f>Asia!D132+"$F;@!2vu"</f>
        <v>#VALUE!</v>
      </c>
      <c r="CX368" t="e">
        <f>Asia!E132+"$F;@!2vv"</f>
        <v>#VALUE!</v>
      </c>
      <c r="CY368" t="e">
        <f>Asia!F132+"$F;@!2vw"</f>
        <v>#VALUE!</v>
      </c>
      <c r="CZ368" t="e">
        <f>Asia!G132+"$F;@!2vx"</f>
        <v>#VALUE!</v>
      </c>
      <c r="DA368" t="e">
        <f>Asia!H132+"$F;@!2vy"</f>
        <v>#VALUE!</v>
      </c>
      <c r="DB368" t="e">
        <f>Asia!A133+"$F;@!2vz"</f>
        <v>#VALUE!</v>
      </c>
      <c r="DC368" t="e">
        <f>Asia!B133+"$F;@!2v{"</f>
        <v>#VALUE!</v>
      </c>
      <c r="DD368" t="e">
        <f>Asia!C133+"$F;@!2v|"</f>
        <v>#VALUE!</v>
      </c>
      <c r="DE368" t="e">
        <f>Asia!D133+"$F;@!2v}"</f>
        <v>#VALUE!</v>
      </c>
      <c r="DF368" t="e">
        <f>Asia!E133+"$F;@!2v~"</f>
        <v>#VALUE!</v>
      </c>
      <c r="DG368" t="e">
        <f>Asia!F133+"$F;@!2w#"</f>
        <v>#VALUE!</v>
      </c>
      <c r="DH368" t="e">
        <f>Asia!G133+"$F;@!2w$"</f>
        <v>#VALUE!</v>
      </c>
      <c r="DI368" t="e">
        <f>Asia!H133+"$F;@!2w%"</f>
        <v>#VALUE!</v>
      </c>
      <c r="DJ368" t="e">
        <f>Asia!A134+"$F;@!2w&amp;"</f>
        <v>#VALUE!</v>
      </c>
      <c r="DK368" t="e">
        <f>Asia!B134+"$F;@!2w'"</f>
        <v>#VALUE!</v>
      </c>
      <c r="DL368" t="e">
        <f>Asia!C134+"$F;@!2w("</f>
        <v>#VALUE!</v>
      </c>
      <c r="DM368" t="e">
        <f>Asia!D134+"$F;@!2w)"</f>
        <v>#VALUE!</v>
      </c>
      <c r="DN368" t="e">
        <f>Asia!E134+"$F;@!2w."</f>
        <v>#VALUE!</v>
      </c>
      <c r="DO368" t="e">
        <f>Asia!F134+"$F;@!2w/"</f>
        <v>#VALUE!</v>
      </c>
      <c r="DP368" t="e">
        <f>Asia!G134+"$F;@!2w0"</f>
        <v>#VALUE!</v>
      </c>
      <c r="DQ368" t="e">
        <f>Asia!H134+"$F;@!2w1"</f>
        <v>#VALUE!</v>
      </c>
      <c r="DR368" t="e">
        <f>Asia!A135+"$F;@!2w2"</f>
        <v>#VALUE!</v>
      </c>
      <c r="DS368" t="e">
        <f>Asia!B135+"$F;@!2w3"</f>
        <v>#VALUE!</v>
      </c>
      <c r="DT368" t="e">
        <f>Asia!C135+"$F;@!2w4"</f>
        <v>#VALUE!</v>
      </c>
      <c r="DU368" t="e">
        <f>Asia!D135+"$F;@!2w5"</f>
        <v>#VALUE!</v>
      </c>
      <c r="DV368" t="e">
        <f>Asia!E135+"$F;@!2w6"</f>
        <v>#VALUE!</v>
      </c>
      <c r="DW368" t="e">
        <f>Asia!F135+"$F;@!2w7"</f>
        <v>#VALUE!</v>
      </c>
      <c r="DX368" t="e">
        <f>Asia!G135+"$F;@!2w8"</f>
        <v>#VALUE!</v>
      </c>
      <c r="DY368" t="e">
        <f>Asia!H135+"$F;@!2w9"</f>
        <v>#VALUE!</v>
      </c>
      <c r="DZ368" t="e">
        <f>Asia!A136+"$F;@!2w:"</f>
        <v>#VALUE!</v>
      </c>
      <c r="EA368" t="e">
        <f>Asia!B136+"$F;@!2w;"</f>
        <v>#VALUE!</v>
      </c>
      <c r="EB368" t="e">
        <f>Asia!C136+"$F;@!2w&lt;"</f>
        <v>#VALUE!</v>
      </c>
      <c r="EC368" t="e">
        <f>Asia!D136+"$F;@!2w="</f>
        <v>#VALUE!</v>
      </c>
      <c r="ED368" t="e">
        <f>Asia!E136+"$F;@!2w&gt;"</f>
        <v>#VALUE!</v>
      </c>
      <c r="EE368" t="e">
        <f>Asia!F136+"$F;@!2w?"</f>
        <v>#VALUE!</v>
      </c>
      <c r="EF368" t="e">
        <f>Asia!G136+"$F;@!2w@"</f>
        <v>#VALUE!</v>
      </c>
      <c r="EG368" t="e">
        <f>Asia!H136+"$F;@!2wA"</f>
        <v>#VALUE!</v>
      </c>
      <c r="EH368" t="e">
        <f>Asia!A137+"$F;@!2wB"</f>
        <v>#VALUE!</v>
      </c>
      <c r="EI368" t="e">
        <f>Asia!B137+"$F;@!2wC"</f>
        <v>#VALUE!</v>
      </c>
      <c r="EJ368" t="e">
        <f>Asia!C137+"$F;@!2wD"</f>
        <v>#VALUE!</v>
      </c>
      <c r="EK368" t="e">
        <f>Asia!D137+"$F;@!2wE"</f>
        <v>#VALUE!</v>
      </c>
      <c r="EL368" t="e">
        <f>Asia!E137+"$F;@!2wF"</f>
        <v>#VALUE!</v>
      </c>
      <c r="EM368" t="e">
        <f>Asia!F137+"$F;@!2wG"</f>
        <v>#VALUE!</v>
      </c>
      <c r="EN368" t="e">
        <f>Asia!G137+"$F;@!2wH"</f>
        <v>#VALUE!</v>
      </c>
      <c r="EO368" t="e">
        <f>Asia!H137+"$F;@!2wI"</f>
        <v>#VALUE!</v>
      </c>
      <c r="EP368" t="e">
        <f>Asia!A138+"$F;@!2wJ"</f>
        <v>#VALUE!</v>
      </c>
      <c r="EQ368" t="e">
        <f>Asia!B138+"$F;@!2wK"</f>
        <v>#VALUE!</v>
      </c>
      <c r="ER368" t="e">
        <f>Asia!C138+"$F;@!2wL"</f>
        <v>#VALUE!</v>
      </c>
      <c r="ES368" t="e">
        <f>Asia!D138+"$F;@!2wM"</f>
        <v>#VALUE!</v>
      </c>
      <c r="ET368" t="e">
        <f>Asia!E138+"$F;@!2wN"</f>
        <v>#VALUE!</v>
      </c>
      <c r="EU368" t="e">
        <f>Asia!F138+"$F;@!2wO"</f>
        <v>#VALUE!</v>
      </c>
      <c r="EV368" t="e">
        <f>Asia!G138+"$F;@!2wP"</f>
        <v>#VALUE!</v>
      </c>
      <c r="EW368" t="e">
        <f>Asia!H138+"$F;@!2wQ"</f>
        <v>#VALUE!</v>
      </c>
      <c r="EX368" t="e">
        <f>Asia!A139+"$F;@!2wR"</f>
        <v>#VALUE!</v>
      </c>
      <c r="EY368" t="e">
        <f>Asia!B139+"$F;@!2wS"</f>
        <v>#VALUE!</v>
      </c>
      <c r="EZ368" t="e">
        <f>Asia!C139+"$F;@!2wT"</f>
        <v>#VALUE!</v>
      </c>
      <c r="FA368" t="e">
        <f>Asia!D139+"$F;@!2wU"</f>
        <v>#VALUE!</v>
      </c>
      <c r="FB368" t="e">
        <f>Asia!E139+"$F;@!2wV"</f>
        <v>#VALUE!</v>
      </c>
      <c r="FC368" t="e">
        <f>Asia!F139+"$F;@!2wW"</f>
        <v>#VALUE!</v>
      </c>
      <c r="FD368" t="e">
        <f>Asia!G139+"$F;@!2wX"</f>
        <v>#VALUE!</v>
      </c>
      <c r="FE368" t="e">
        <f>Asia!H139+"$F;@!2wY"</f>
        <v>#VALUE!</v>
      </c>
      <c r="FF368" t="e">
        <f>Asia!A140+"$F;@!2wZ"</f>
        <v>#VALUE!</v>
      </c>
      <c r="FG368" t="e">
        <f>Asia!B140+"$F;@!2w["</f>
        <v>#VALUE!</v>
      </c>
      <c r="FH368" t="e">
        <f>Asia!C140+"$F;@!2w\"</f>
        <v>#VALUE!</v>
      </c>
      <c r="FI368" t="e">
        <f>Asia!D140+"$F;@!2w]"</f>
        <v>#VALUE!</v>
      </c>
      <c r="FJ368" t="e">
        <f>Asia!E140+"$F;@!2w^"</f>
        <v>#VALUE!</v>
      </c>
      <c r="FK368" t="e">
        <f>Asia!F140+"$F;@!2w_"</f>
        <v>#VALUE!</v>
      </c>
      <c r="FL368" t="e">
        <f>Asia!G140+"$F;@!2w`"</f>
        <v>#VALUE!</v>
      </c>
      <c r="FM368" t="e">
        <f>Asia!H140+"$F;@!2wa"</f>
        <v>#VALUE!</v>
      </c>
      <c r="FN368" t="e">
        <f>Asia!A141+"$F;@!2wb"</f>
        <v>#VALUE!</v>
      </c>
      <c r="FO368" t="e">
        <f>Asia!B141+"$F;@!2wc"</f>
        <v>#VALUE!</v>
      </c>
      <c r="FP368" t="e">
        <f>Asia!C141+"$F;@!2wd"</f>
        <v>#VALUE!</v>
      </c>
      <c r="FQ368" t="e">
        <f>Asia!D141+"$F;@!2we"</f>
        <v>#VALUE!</v>
      </c>
      <c r="FR368" t="e">
        <f>Asia!E141+"$F;@!2wf"</f>
        <v>#VALUE!</v>
      </c>
      <c r="FS368" t="e">
        <f>Asia!F141+"$F;@!2wg"</f>
        <v>#VALUE!</v>
      </c>
      <c r="FT368" t="e">
        <f>Asia!G141+"$F;@!2wh"</f>
        <v>#VALUE!</v>
      </c>
      <c r="FU368" t="e">
        <f>Asia!H141+"$F;@!2wi"</f>
        <v>#VALUE!</v>
      </c>
      <c r="FV368" t="e">
        <f>Asia!A142+"$F;@!2wj"</f>
        <v>#VALUE!</v>
      </c>
      <c r="FW368" t="e">
        <f>Asia!B142+"$F;@!2wk"</f>
        <v>#VALUE!</v>
      </c>
      <c r="FX368" t="e">
        <f>Asia!C142+"$F;@!2wl"</f>
        <v>#VALUE!</v>
      </c>
      <c r="FY368" t="e">
        <f>Asia!D142+"$F;@!2wm"</f>
        <v>#VALUE!</v>
      </c>
      <c r="FZ368" t="e">
        <f>Asia!E142+"$F;@!2wn"</f>
        <v>#VALUE!</v>
      </c>
      <c r="GA368" t="e">
        <f>Asia!F142+"$F;@!2wo"</f>
        <v>#VALUE!</v>
      </c>
      <c r="GB368" t="e">
        <f>Asia!G142+"$F;@!2wp"</f>
        <v>#VALUE!</v>
      </c>
      <c r="GC368" t="e">
        <f>Asia!H142+"$F;@!2wq"</f>
        <v>#VALUE!</v>
      </c>
      <c r="GD368" t="e">
        <f>Asia!A143+"$F;@!2wr"</f>
        <v>#VALUE!</v>
      </c>
      <c r="GE368" t="e">
        <f>Asia!B143+"$F;@!2ws"</f>
        <v>#VALUE!</v>
      </c>
      <c r="GF368" t="e">
        <f>Asia!C143+"$F;@!2wt"</f>
        <v>#VALUE!</v>
      </c>
      <c r="GG368" t="e">
        <f>Asia!D143+"$F;@!2wu"</f>
        <v>#VALUE!</v>
      </c>
      <c r="GH368" t="e">
        <f>Asia!E143+"$F;@!2wv"</f>
        <v>#VALUE!</v>
      </c>
      <c r="GI368" t="e">
        <f>Asia!F143+"$F;@!2ww"</f>
        <v>#VALUE!</v>
      </c>
      <c r="GJ368" t="e">
        <f>Asia!G143+"$F;@!2wx"</f>
        <v>#VALUE!</v>
      </c>
      <c r="GK368" t="e">
        <f>Asia!H143+"$F;@!2wy"</f>
        <v>#VALUE!</v>
      </c>
      <c r="GL368" t="e">
        <f>Asia!A144+"$F;@!2wz"</f>
        <v>#VALUE!</v>
      </c>
      <c r="GM368" t="e">
        <f>Asia!B144+"$F;@!2w{"</f>
        <v>#VALUE!</v>
      </c>
      <c r="GN368" t="e">
        <f>Asia!C144+"$F;@!2w|"</f>
        <v>#VALUE!</v>
      </c>
      <c r="GO368" t="e">
        <f>Asia!D144+"$F;@!2w}"</f>
        <v>#VALUE!</v>
      </c>
      <c r="GP368" t="e">
        <f>Asia!E144+"$F;@!2w~"</f>
        <v>#VALUE!</v>
      </c>
      <c r="GQ368" t="e">
        <f>Asia!F144+"$F;@!2x#"</f>
        <v>#VALUE!</v>
      </c>
      <c r="GR368" t="e">
        <f>Asia!G144+"$F;@!2x$"</f>
        <v>#VALUE!</v>
      </c>
      <c r="GS368" t="e">
        <f>Asia!H144+"$F;@!2x%"</f>
        <v>#VALUE!</v>
      </c>
      <c r="GT368" t="e">
        <f>Asia!A145+"$F;@!2x&amp;"</f>
        <v>#VALUE!</v>
      </c>
      <c r="GU368" t="e">
        <f>Asia!B145+"$F;@!2x'"</f>
        <v>#VALUE!</v>
      </c>
      <c r="GV368" t="e">
        <f>Asia!C145+"$F;@!2x("</f>
        <v>#VALUE!</v>
      </c>
      <c r="GW368" t="e">
        <f>Asia!D145+"$F;@!2x)"</f>
        <v>#VALUE!</v>
      </c>
      <c r="GX368" t="e">
        <f>Asia!E145+"$F;@!2x."</f>
        <v>#VALUE!</v>
      </c>
      <c r="GY368" t="e">
        <f>Asia!F145+"$F;@!2x/"</f>
        <v>#VALUE!</v>
      </c>
      <c r="GZ368" t="e">
        <f>Asia!G145+"$F;@!2x0"</f>
        <v>#VALUE!</v>
      </c>
      <c r="HA368" t="e">
        <f>Asia!H145+"$F;@!2x1"</f>
        <v>#VALUE!</v>
      </c>
      <c r="HB368" t="e">
        <f>Asia!A146+"$F;@!2x2"</f>
        <v>#VALUE!</v>
      </c>
      <c r="HC368" t="e">
        <f>Asia!B146+"$F;@!2x3"</f>
        <v>#VALUE!</v>
      </c>
      <c r="HD368" t="e">
        <f>Asia!C146+"$F;@!2x4"</f>
        <v>#VALUE!</v>
      </c>
      <c r="HE368" t="e">
        <f>Asia!D146+"$F;@!2x5"</f>
        <v>#VALUE!</v>
      </c>
      <c r="HF368" t="e">
        <f>Asia!E146+"$F;@!2x6"</f>
        <v>#VALUE!</v>
      </c>
      <c r="HG368" t="e">
        <f>Asia!F146+"$F;@!2x7"</f>
        <v>#VALUE!</v>
      </c>
      <c r="HH368" t="e">
        <f>Asia!G146+"$F;@!2x8"</f>
        <v>#VALUE!</v>
      </c>
      <c r="HI368" t="e">
        <f>Asia!H146+"$F;@!2x9"</f>
        <v>#VALUE!</v>
      </c>
      <c r="HJ368" t="e">
        <f>Asia!A147+"$F;@!2x:"</f>
        <v>#VALUE!</v>
      </c>
      <c r="HK368" t="e">
        <f>Asia!B147+"$F;@!2x;"</f>
        <v>#VALUE!</v>
      </c>
      <c r="HL368" t="e">
        <f>Asia!C147+"$F;@!2x&lt;"</f>
        <v>#VALUE!</v>
      </c>
      <c r="HM368" t="e">
        <f>Asia!D147+"$F;@!2x="</f>
        <v>#VALUE!</v>
      </c>
      <c r="HN368" t="e">
        <f>Asia!E147+"$F;@!2x&gt;"</f>
        <v>#VALUE!</v>
      </c>
      <c r="HO368" t="e">
        <f>Asia!F147+"$F;@!2x?"</f>
        <v>#VALUE!</v>
      </c>
      <c r="HP368" t="e">
        <f>Asia!G147+"$F;@!2x@"</f>
        <v>#VALUE!</v>
      </c>
      <c r="HQ368" t="e">
        <f>Asia!H147+"$F;@!2xA"</f>
        <v>#VALUE!</v>
      </c>
      <c r="HR368" t="e">
        <f>Asia!A148+"$F;@!2xB"</f>
        <v>#VALUE!</v>
      </c>
      <c r="HS368" t="e">
        <f>Asia!B148+"$F;@!2xC"</f>
        <v>#VALUE!</v>
      </c>
      <c r="HT368" t="e">
        <f>Asia!C148+"$F;@!2xD"</f>
        <v>#VALUE!</v>
      </c>
      <c r="HU368" t="e">
        <f>Asia!D148+"$F;@!2xE"</f>
        <v>#VALUE!</v>
      </c>
      <c r="HV368" t="e">
        <f>Asia!E148+"$F;@!2xF"</f>
        <v>#VALUE!</v>
      </c>
      <c r="HW368" t="e">
        <f>Asia!F148+"$F;@!2xG"</f>
        <v>#VALUE!</v>
      </c>
      <c r="HX368" t="e">
        <f>Asia!G148+"$F;@!2xH"</f>
        <v>#VALUE!</v>
      </c>
      <c r="HY368" t="e">
        <f>Asia!H148+"$F;@!2xI"</f>
        <v>#VALUE!</v>
      </c>
      <c r="HZ368" t="e">
        <f>Asia!A149+"$F;@!2xJ"</f>
        <v>#VALUE!</v>
      </c>
      <c r="IA368" t="e">
        <f>Asia!B149+"$F;@!2xK"</f>
        <v>#VALUE!</v>
      </c>
      <c r="IB368" t="e">
        <f>Asia!C149+"$F;@!2xL"</f>
        <v>#VALUE!</v>
      </c>
      <c r="IC368" t="e">
        <f>Asia!D149+"$F;@!2xM"</f>
        <v>#VALUE!</v>
      </c>
      <c r="ID368" t="e">
        <f>Asia!E149+"$F;@!2xN"</f>
        <v>#VALUE!</v>
      </c>
      <c r="IE368" t="e">
        <f>Asia!F149+"$F;@!2xO"</f>
        <v>#VALUE!</v>
      </c>
      <c r="IF368" t="e">
        <f>Asia!G149+"$F;@!2xP"</f>
        <v>#VALUE!</v>
      </c>
      <c r="IG368" t="e">
        <f>Asia!H149+"$F;@!2xQ"</f>
        <v>#VALUE!</v>
      </c>
      <c r="IH368" t="e">
        <f>Asia!A150+"$F;@!2xR"</f>
        <v>#VALUE!</v>
      </c>
      <c r="II368" t="e">
        <f>Asia!B150+"$F;@!2xS"</f>
        <v>#VALUE!</v>
      </c>
      <c r="IJ368" t="e">
        <f>Asia!C150+"$F;@!2xT"</f>
        <v>#VALUE!</v>
      </c>
      <c r="IK368" t="e">
        <f>Asia!D150+"$F;@!2xU"</f>
        <v>#VALUE!</v>
      </c>
      <c r="IL368" t="e">
        <f>Asia!E150+"$F;@!2xV"</f>
        <v>#VALUE!</v>
      </c>
      <c r="IM368" t="e">
        <f>Asia!F150+"$F;@!2xW"</f>
        <v>#VALUE!</v>
      </c>
      <c r="IN368" t="e">
        <f>Asia!G150+"$F;@!2xX"</f>
        <v>#VALUE!</v>
      </c>
      <c r="IO368" t="e">
        <f>Asia!H150+"$F;@!2xY"</f>
        <v>#VALUE!</v>
      </c>
      <c r="IP368" t="e">
        <f>Asia!A151+"$F;@!2xZ"</f>
        <v>#VALUE!</v>
      </c>
      <c r="IQ368" t="e">
        <f>Asia!B151+"$F;@!2x["</f>
        <v>#VALUE!</v>
      </c>
      <c r="IR368" t="e">
        <f>Asia!C151+"$F;@!2x\"</f>
        <v>#VALUE!</v>
      </c>
      <c r="IS368" t="e">
        <f>Asia!D151+"$F;@!2x]"</f>
        <v>#VALUE!</v>
      </c>
      <c r="IT368" t="e">
        <f>Asia!E151+"$F;@!2x^"</f>
        <v>#VALUE!</v>
      </c>
      <c r="IU368" t="e">
        <f>Asia!F151+"$F;@!2x_"</f>
        <v>#VALUE!</v>
      </c>
      <c r="IV368" t="e">
        <f>Asia!G151+"$F;@!2x`"</f>
        <v>#VALUE!</v>
      </c>
    </row>
    <row r="369" spans="6:256" x14ac:dyDescent="0.35">
      <c r="F369" t="e">
        <f>Asia!H151+"$F;@!2xa"</f>
        <v>#VALUE!</v>
      </c>
      <c r="G369" t="e">
        <f>Asia!A152+"$F;@!2xb"</f>
        <v>#VALUE!</v>
      </c>
      <c r="H369" t="e">
        <f>Asia!B152+"$F;@!2xc"</f>
        <v>#VALUE!</v>
      </c>
      <c r="I369" t="e">
        <f>Asia!C152+"$F;@!2xd"</f>
        <v>#VALUE!</v>
      </c>
      <c r="J369" t="e">
        <f>Asia!D152+"$F;@!2xe"</f>
        <v>#VALUE!</v>
      </c>
      <c r="K369" t="e">
        <f>Asia!E152+"$F;@!2xf"</f>
        <v>#VALUE!</v>
      </c>
      <c r="L369" t="e">
        <f>Asia!F152+"$F;@!2xg"</f>
        <v>#VALUE!</v>
      </c>
      <c r="M369" t="e">
        <f>Asia!G152+"$F;@!2xh"</f>
        <v>#VALUE!</v>
      </c>
      <c r="N369" t="e">
        <f>Asia!H152+"$F;@!2xi"</f>
        <v>#VALUE!</v>
      </c>
      <c r="O369" t="e">
        <f>Asia!A153+"$F;@!2xj"</f>
        <v>#VALUE!</v>
      </c>
      <c r="P369" t="e">
        <f>Asia!B153+"$F;@!2xk"</f>
        <v>#VALUE!</v>
      </c>
      <c r="Q369" t="e">
        <f>Asia!C153+"$F;@!2xl"</f>
        <v>#VALUE!</v>
      </c>
      <c r="R369" t="e">
        <f>Asia!D153+"$F;@!2xm"</f>
        <v>#VALUE!</v>
      </c>
      <c r="S369" t="e">
        <f>Asia!E153+"$F;@!2xn"</f>
        <v>#VALUE!</v>
      </c>
      <c r="T369" t="e">
        <f>Asia!F153+"$F;@!2xo"</f>
        <v>#VALUE!</v>
      </c>
      <c r="U369" t="e">
        <f>Asia!G153+"$F;@!2xp"</f>
        <v>#VALUE!</v>
      </c>
      <c r="V369" t="e">
        <f>Asia!H153+"$F;@!2xq"</f>
        <v>#VALUE!</v>
      </c>
      <c r="W369" t="e">
        <f>Asia!A154+"$F;@!2xr"</f>
        <v>#VALUE!</v>
      </c>
      <c r="X369" t="e">
        <f>Asia!B154+"$F;@!2xs"</f>
        <v>#VALUE!</v>
      </c>
      <c r="Y369" t="e">
        <f>Asia!C154+"$F;@!2xt"</f>
        <v>#VALUE!</v>
      </c>
      <c r="Z369" t="e">
        <f>Asia!D154+"$F;@!2xu"</f>
        <v>#VALUE!</v>
      </c>
      <c r="AA369" t="e">
        <f>Asia!E154+"$F;@!2xv"</f>
        <v>#VALUE!</v>
      </c>
      <c r="AB369" t="e">
        <f>Asia!F154+"$F;@!2xw"</f>
        <v>#VALUE!</v>
      </c>
      <c r="AC369" t="e">
        <f>Asia!G154+"$F;@!2xx"</f>
        <v>#VALUE!</v>
      </c>
      <c r="AD369" t="e">
        <f>Asia!H154+"$F;@!2xy"</f>
        <v>#VALUE!</v>
      </c>
      <c r="AE369" t="e">
        <f>Asia!A155+"$F;@!2xz"</f>
        <v>#VALUE!</v>
      </c>
      <c r="AF369" t="e">
        <f>Asia!B155+"$F;@!2x{"</f>
        <v>#VALUE!</v>
      </c>
      <c r="AG369" t="e">
        <f>Asia!C155+"$F;@!2x|"</f>
        <v>#VALUE!</v>
      </c>
      <c r="AH369" t="e">
        <f>Asia!D155+"$F;@!2x}"</f>
        <v>#VALUE!</v>
      </c>
      <c r="AI369" t="e">
        <f>Asia!E155+"$F;@!2x~"</f>
        <v>#VALUE!</v>
      </c>
      <c r="AJ369" t="e">
        <f>Asia!F155+"$F;@!2y#"</f>
        <v>#VALUE!</v>
      </c>
      <c r="AK369" t="e">
        <f>Asia!G155+"$F;@!2y$"</f>
        <v>#VALUE!</v>
      </c>
      <c r="AL369" t="e">
        <f>Asia!H155+"$F;@!2y%"</f>
        <v>#VALUE!</v>
      </c>
      <c r="AM369" t="e">
        <f>Asia!A156+"$F;@!2y&amp;"</f>
        <v>#VALUE!</v>
      </c>
      <c r="AN369" t="e">
        <f>Asia!B156+"$F;@!2y'"</f>
        <v>#VALUE!</v>
      </c>
      <c r="AO369" t="e">
        <f>Asia!C156+"$F;@!2y("</f>
        <v>#VALUE!</v>
      </c>
      <c r="AP369" t="e">
        <f>Asia!D156+"$F;@!2y)"</f>
        <v>#VALUE!</v>
      </c>
      <c r="AQ369" t="e">
        <f>Asia!E156+"$F;@!2y."</f>
        <v>#VALUE!</v>
      </c>
      <c r="AR369" t="e">
        <f>Asia!F156+"$F;@!2y/"</f>
        <v>#VALUE!</v>
      </c>
      <c r="AS369" t="e">
        <f>Asia!G156+"$F;@!2y0"</f>
        <v>#VALUE!</v>
      </c>
      <c r="AT369" t="e">
        <f>Asia!H156+"$F;@!2y1"</f>
        <v>#VALUE!</v>
      </c>
      <c r="AU369" t="e">
        <f>Asia!A157+"$F;@!2y2"</f>
        <v>#VALUE!</v>
      </c>
      <c r="AV369" t="e">
        <f>Asia!B157+"$F;@!2y3"</f>
        <v>#VALUE!</v>
      </c>
      <c r="AW369" t="e">
        <f>Asia!C157+"$F;@!2y4"</f>
        <v>#VALUE!</v>
      </c>
      <c r="AX369" t="e">
        <f>Asia!D157+"$F;@!2y5"</f>
        <v>#VALUE!</v>
      </c>
      <c r="AY369" t="e">
        <f>Asia!E157+"$F;@!2y6"</f>
        <v>#VALUE!</v>
      </c>
      <c r="AZ369" t="e">
        <f>Asia!F157+"$F;@!2y7"</f>
        <v>#VALUE!</v>
      </c>
      <c r="BA369" t="e">
        <f>Asia!G157+"$F;@!2y8"</f>
        <v>#VALUE!</v>
      </c>
      <c r="BB369" t="e">
        <f>Asia!H157+"$F;@!2y9"</f>
        <v>#VALUE!</v>
      </c>
      <c r="BC369" t="e">
        <f>Asia!A158+"$F;@!2y:"</f>
        <v>#VALUE!</v>
      </c>
      <c r="BD369" t="e">
        <f>Asia!B158+"$F;@!2y;"</f>
        <v>#VALUE!</v>
      </c>
      <c r="BE369" t="e">
        <f>Asia!C158+"$F;@!2y&lt;"</f>
        <v>#VALUE!</v>
      </c>
      <c r="BF369" t="e">
        <f>Asia!D158+"$F;@!2y="</f>
        <v>#VALUE!</v>
      </c>
      <c r="BG369" t="e">
        <f>Asia!E158+"$F;@!2y&gt;"</f>
        <v>#VALUE!</v>
      </c>
      <c r="BH369" t="e">
        <f>Asia!F158+"$F;@!2y?"</f>
        <v>#VALUE!</v>
      </c>
      <c r="BI369" t="e">
        <f>Asia!G158+"$F;@!2y@"</f>
        <v>#VALUE!</v>
      </c>
      <c r="BJ369" t="e">
        <f>Asia!H158+"$F;@!2yA"</f>
        <v>#VALUE!</v>
      </c>
      <c r="BK369" t="e">
        <f>Asia!A159+"$F;@!2yB"</f>
        <v>#VALUE!</v>
      </c>
      <c r="BL369" t="e">
        <f>Asia!B159+"$F;@!2yC"</f>
        <v>#VALUE!</v>
      </c>
      <c r="BM369" t="e">
        <f>Asia!C159+"$F;@!2yD"</f>
        <v>#VALUE!</v>
      </c>
      <c r="BN369" t="e">
        <f>Asia!D159+"$F;@!2yE"</f>
        <v>#VALUE!</v>
      </c>
      <c r="BO369" t="e">
        <f>Asia!E159+"$F;@!2yF"</f>
        <v>#VALUE!</v>
      </c>
      <c r="BP369" t="e">
        <f>Asia!F159+"$F;@!2yG"</f>
        <v>#VALUE!</v>
      </c>
      <c r="BQ369" t="e">
        <f>Asia!G159+"$F;@!2yH"</f>
        <v>#VALUE!</v>
      </c>
      <c r="BR369" t="e">
        <f>Asia!H159+"$F;@!2yI"</f>
        <v>#VALUE!</v>
      </c>
      <c r="BS369" t="e">
        <f>Asia!A160+"$F;@!2yJ"</f>
        <v>#VALUE!</v>
      </c>
      <c r="BT369" t="e">
        <f>Asia!B160+"$F;@!2yK"</f>
        <v>#VALUE!</v>
      </c>
      <c r="BU369" t="e">
        <f>Asia!C160+"$F;@!2yL"</f>
        <v>#VALUE!</v>
      </c>
      <c r="BV369" t="e">
        <f>Asia!D160+"$F;@!2yM"</f>
        <v>#VALUE!</v>
      </c>
      <c r="BW369" t="e">
        <f>Asia!E160+"$F;@!2yN"</f>
        <v>#VALUE!</v>
      </c>
      <c r="BX369" t="e">
        <f>Asia!F160+"$F;@!2yO"</f>
        <v>#VALUE!</v>
      </c>
      <c r="BY369" t="e">
        <f>Asia!G160+"$F;@!2yP"</f>
        <v>#VALUE!</v>
      </c>
      <c r="BZ369" t="e">
        <f>Asia!H160+"$F;@!2yQ"</f>
        <v>#VALUE!</v>
      </c>
      <c r="CA369" t="e">
        <f>Asia!A161+"$F;@!2yR"</f>
        <v>#VALUE!</v>
      </c>
      <c r="CB369" t="e">
        <f>Asia!B161+"$F;@!2yS"</f>
        <v>#VALUE!</v>
      </c>
      <c r="CC369" t="e">
        <f>Asia!C161+"$F;@!2yT"</f>
        <v>#VALUE!</v>
      </c>
      <c r="CD369" t="e">
        <f>Asia!D161+"$F;@!2yU"</f>
        <v>#VALUE!</v>
      </c>
      <c r="CE369" t="e">
        <f>Asia!E161+"$F;@!2yV"</f>
        <v>#VALUE!</v>
      </c>
      <c r="CF369" t="e">
        <f>Asia!F161+"$F;@!2yW"</f>
        <v>#VALUE!</v>
      </c>
      <c r="CG369" t="e">
        <f>Asia!G161+"$F;@!2yX"</f>
        <v>#VALUE!</v>
      </c>
      <c r="CH369" t="e">
        <f>Asia!H161+"$F;@!2yY"</f>
        <v>#VALUE!</v>
      </c>
      <c r="CI369" t="e">
        <f>Asia!A162+"$F;@!2yZ"</f>
        <v>#VALUE!</v>
      </c>
      <c r="CJ369" t="e">
        <f>Asia!B162+"$F;@!2y["</f>
        <v>#VALUE!</v>
      </c>
      <c r="CK369" t="e">
        <f>Asia!C162+"$F;@!2y\"</f>
        <v>#VALUE!</v>
      </c>
      <c r="CL369" t="e">
        <f>Asia!D162+"$F;@!2y]"</f>
        <v>#VALUE!</v>
      </c>
      <c r="CM369" t="e">
        <f>Asia!E162+"$F;@!2y^"</f>
        <v>#VALUE!</v>
      </c>
      <c r="CN369" t="e">
        <f>Asia!F162+"$F;@!2y_"</f>
        <v>#VALUE!</v>
      </c>
      <c r="CO369" t="e">
        <f>Asia!G162+"$F;@!2y`"</f>
        <v>#VALUE!</v>
      </c>
      <c r="CP369" t="e">
        <f>Asia!H162+"$F;@!2ya"</f>
        <v>#VALUE!</v>
      </c>
      <c r="CQ369" t="e">
        <f>Asia!A163+"$F;@!2yb"</f>
        <v>#VALUE!</v>
      </c>
      <c r="CR369" t="e">
        <f>Asia!B163+"$F;@!2yc"</f>
        <v>#VALUE!</v>
      </c>
      <c r="CS369" t="e">
        <f>Asia!C163+"$F;@!2yd"</f>
        <v>#VALUE!</v>
      </c>
      <c r="CT369" t="e">
        <f>Asia!D163+"$F;@!2ye"</f>
        <v>#VALUE!</v>
      </c>
      <c r="CU369" t="e">
        <f>Asia!E163+"$F;@!2yf"</f>
        <v>#VALUE!</v>
      </c>
      <c r="CV369" t="e">
        <f>Asia!F163+"$F;@!2yg"</f>
        <v>#VALUE!</v>
      </c>
      <c r="CW369" t="e">
        <f>Asia!G163+"$F;@!2yh"</f>
        <v>#VALUE!</v>
      </c>
      <c r="CX369" t="e">
        <f>Asia!H163+"$F;@!2yi"</f>
        <v>#VALUE!</v>
      </c>
      <c r="CY369" t="e">
        <f>Asia!A164+"$F;@!2yj"</f>
        <v>#VALUE!</v>
      </c>
      <c r="CZ369" t="e">
        <f>Asia!B164+"$F;@!2yk"</f>
        <v>#VALUE!</v>
      </c>
      <c r="DA369" t="e">
        <f>Asia!C164+"$F;@!2yl"</f>
        <v>#VALUE!</v>
      </c>
      <c r="DB369" t="e">
        <f>Asia!D164+"$F;@!2ym"</f>
        <v>#VALUE!</v>
      </c>
      <c r="DC369" t="e">
        <f>Asia!E164+"$F;@!2yn"</f>
        <v>#VALUE!</v>
      </c>
      <c r="DD369" t="e">
        <f>Asia!F164+"$F;@!2yo"</f>
        <v>#VALUE!</v>
      </c>
      <c r="DE369" t="e">
        <f>Asia!G164+"$F;@!2yp"</f>
        <v>#VALUE!</v>
      </c>
      <c r="DF369" t="e">
        <f>Asia!H164+"$F;@!2yq"</f>
        <v>#VALUE!</v>
      </c>
      <c r="DG369" t="e">
        <f>Asia!A165+"$F;@!2yr"</f>
        <v>#VALUE!</v>
      </c>
      <c r="DH369" t="e">
        <f>Asia!B165+"$F;@!2ys"</f>
        <v>#VALUE!</v>
      </c>
      <c r="DI369" t="e">
        <f>Asia!C165+"$F;@!2yt"</f>
        <v>#VALUE!</v>
      </c>
      <c r="DJ369" t="e">
        <f>Asia!D165+"$F;@!2yu"</f>
        <v>#VALUE!</v>
      </c>
      <c r="DK369" t="e">
        <f>Asia!E165+"$F;@!2yv"</f>
        <v>#VALUE!</v>
      </c>
      <c r="DL369" t="e">
        <f>Asia!F165+"$F;@!2yw"</f>
        <v>#VALUE!</v>
      </c>
      <c r="DM369" t="e">
        <f>Asia!G165+"$F;@!2yx"</f>
        <v>#VALUE!</v>
      </c>
      <c r="DN369" t="e">
        <f>Asia!H165+"$F;@!2yy"</f>
        <v>#VALUE!</v>
      </c>
      <c r="DO369" t="e">
        <f>Asia!A166+"$F;@!2yz"</f>
        <v>#VALUE!</v>
      </c>
      <c r="DP369" t="e">
        <f>Asia!B166+"$F;@!2y{"</f>
        <v>#VALUE!</v>
      </c>
      <c r="DQ369" t="e">
        <f>Asia!C166+"$F;@!2y|"</f>
        <v>#VALUE!</v>
      </c>
      <c r="DR369" t="e">
        <f>Asia!D166+"$F;@!2y}"</f>
        <v>#VALUE!</v>
      </c>
      <c r="DS369" t="e">
        <f>Asia!E166+"$F;@!2y~"</f>
        <v>#VALUE!</v>
      </c>
      <c r="DT369" t="e">
        <f>Asia!F166+"$F;@!2z#"</f>
        <v>#VALUE!</v>
      </c>
      <c r="DU369" t="e">
        <f>Asia!G166+"$F;@!2z$"</f>
        <v>#VALUE!</v>
      </c>
      <c r="DV369" t="e">
        <f>Asia!H166+"$F;@!2z%"</f>
        <v>#VALUE!</v>
      </c>
      <c r="DW369" t="e">
        <f>Asia!A167+"$F;@!2z&amp;"</f>
        <v>#VALUE!</v>
      </c>
      <c r="DX369" t="e">
        <f>Asia!B167+"$F;@!2z'"</f>
        <v>#VALUE!</v>
      </c>
      <c r="DY369" t="e">
        <f>Asia!C167+"$F;@!2z("</f>
        <v>#VALUE!</v>
      </c>
      <c r="DZ369" t="e">
        <f>Asia!D167+"$F;@!2z)"</f>
        <v>#VALUE!</v>
      </c>
      <c r="EA369" t="e">
        <f>Asia!E167+"$F;@!2z."</f>
        <v>#VALUE!</v>
      </c>
      <c r="EB369" t="e">
        <f>Asia!F167+"$F;@!2z/"</f>
        <v>#VALUE!</v>
      </c>
      <c r="EC369" t="e">
        <f>Asia!G167+"$F;@!2z0"</f>
        <v>#VALUE!</v>
      </c>
      <c r="ED369" t="e">
        <f>Asia!H167+"$F;@!2z1"</f>
        <v>#VALUE!</v>
      </c>
      <c r="EE369" t="e">
        <f>Asia!A168+"$F;@!2z2"</f>
        <v>#VALUE!</v>
      </c>
      <c r="EF369" t="e">
        <f>Asia!B168+"$F;@!2z3"</f>
        <v>#VALUE!</v>
      </c>
      <c r="EG369" t="e">
        <f>Asia!C168+"$F;@!2z4"</f>
        <v>#VALUE!</v>
      </c>
      <c r="EH369" t="e">
        <f>Asia!D168+"$F;@!2z5"</f>
        <v>#VALUE!</v>
      </c>
      <c r="EI369" t="e">
        <f>Asia!E168+"$F;@!2z6"</f>
        <v>#VALUE!</v>
      </c>
      <c r="EJ369" t="e">
        <f>Asia!F168+"$F;@!2z7"</f>
        <v>#VALUE!</v>
      </c>
      <c r="EK369" t="e">
        <f>Asia!G168+"$F;@!2z8"</f>
        <v>#VALUE!</v>
      </c>
      <c r="EL369" t="e">
        <f>Asia!H168+"$F;@!2z9"</f>
        <v>#VALUE!</v>
      </c>
      <c r="EM369" t="e">
        <f>Asia!A169+"$F;@!2z:"</f>
        <v>#VALUE!</v>
      </c>
      <c r="EN369" t="e">
        <f>Asia!B169+"$F;@!2z;"</f>
        <v>#VALUE!</v>
      </c>
      <c r="EO369" t="e">
        <f>Asia!C169+"$F;@!2z&lt;"</f>
        <v>#VALUE!</v>
      </c>
      <c r="EP369" t="e">
        <f>Asia!D169+"$F;@!2z="</f>
        <v>#VALUE!</v>
      </c>
      <c r="EQ369" t="e">
        <f>Asia!E169+"$F;@!2z&gt;"</f>
        <v>#VALUE!</v>
      </c>
      <c r="ER369" t="e">
        <f>Asia!F169+"$F;@!2z?"</f>
        <v>#VALUE!</v>
      </c>
      <c r="ES369" t="e">
        <f>Asia!G169+"$F;@!2z@"</f>
        <v>#VALUE!</v>
      </c>
      <c r="ET369" t="e">
        <f>Asia!H169+"$F;@!2zA"</f>
        <v>#VALUE!</v>
      </c>
      <c r="EU369" t="e">
        <f>Asia!A170+"$F;@!2zB"</f>
        <v>#VALUE!</v>
      </c>
      <c r="EV369" t="e">
        <f>Asia!B170+"$F;@!2zC"</f>
        <v>#VALUE!</v>
      </c>
      <c r="EW369" t="e">
        <f>Asia!C170+"$F;@!2zD"</f>
        <v>#VALUE!</v>
      </c>
      <c r="EX369" t="e">
        <f>Asia!D170+"$F;@!2zE"</f>
        <v>#VALUE!</v>
      </c>
      <c r="EY369" t="e">
        <f>Asia!E170+"$F;@!2zF"</f>
        <v>#VALUE!</v>
      </c>
      <c r="EZ369" t="e">
        <f>Asia!F170+"$F;@!2zG"</f>
        <v>#VALUE!</v>
      </c>
      <c r="FA369" t="e">
        <f>Asia!G170+"$F;@!2zH"</f>
        <v>#VALUE!</v>
      </c>
      <c r="FB369" t="e">
        <f>Asia!H170+"$F;@!2zI"</f>
        <v>#VALUE!</v>
      </c>
      <c r="FC369" t="e">
        <f>Asia!A171+"$F;@!2zJ"</f>
        <v>#VALUE!</v>
      </c>
      <c r="FD369" t="e">
        <f>Asia!B171+"$F;@!2zK"</f>
        <v>#VALUE!</v>
      </c>
      <c r="FE369" t="e">
        <f>Asia!C171+"$F;@!2zL"</f>
        <v>#VALUE!</v>
      </c>
      <c r="FF369" t="e">
        <f>Asia!D171+"$F;@!2zM"</f>
        <v>#VALUE!</v>
      </c>
      <c r="FG369" t="e">
        <f>Asia!E171+"$F;@!2zN"</f>
        <v>#VALUE!</v>
      </c>
      <c r="FH369" t="e">
        <f>Asia!F171+"$F;@!2zO"</f>
        <v>#VALUE!</v>
      </c>
      <c r="FI369" t="e">
        <f>Asia!G171+"$F;@!2zP"</f>
        <v>#VALUE!</v>
      </c>
      <c r="FJ369" t="e">
        <f>Asia!H171+"$F;@!2zQ"</f>
        <v>#VALUE!</v>
      </c>
      <c r="FK369" t="e">
        <f>Asia!A172+"$F;@!2zR"</f>
        <v>#VALUE!</v>
      </c>
      <c r="FL369" t="e">
        <f>Asia!B172+"$F;@!2zS"</f>
        <v>#VALUE!</v>
      </c>
      <c r="FM369" t="e">
        <f>Asia!C172+"$F;@!2zT"</f>
        <v>#VALUE!</v>
      </c>
      <c r="FN369" t="e">
        <f>Asia!D172+"$F;@!2zU"</f>
        <v>#VALUE!</v>
      </c>
      <c r="FO369" t="e">
        <f>Asia!E172+"$F;@!2zV"</f>
        <v>#VALUE!</v>
      </c>
      <c r="FP369" t="e">
        <f>Asia!F172+"$F;@!2zW"</f>
        <v>#VALUE!</v>
      </c>
      <c r="FQ369" t="e">
        <f>Asia!G172+"$F;@!2zX"</f>
        <v>#VALUE!</v>
      </c>
      <c r="FR369" t="e">
        <f>Asia!H172+"$F;@!2zY"</f>
        <v>#VALUE!</v>
      </c>
      <c r="FS369" t="e">
        <f>Asia!A173+"$F;@!2zZ"</f>
        <v>#VALUE!</v>
      </c>
      <c r="FT369" t="e">
        <f>Asia!B173+"$F;@!2z["</f>
        <v>#VALUE!</v>
      </c>
      <c r="FU369" t="e">
        <f>Asia!C173+"$F;@!2z\"</f>
        <v>#VALUE!</v>
      </c>
      <c r="FV369" t="e">
        <f>Asia!D173+"$F;@!2z]"</f>
        <v>#VALUE!</v>
      </c>
      <c r="FW369" t="e">
        <f>Asia!E173+"$F;@!2z^"</f>
        <v>#VALUE!</v>
      </c>
      <c r="FX369" t="e">
        <f>Asia!F173+"$F;@!2z_"</f>
        <v>#VALUE!</v>
      </c>
      <c r="FY369" t="e">
        <f>Asia!G173+"$F;@!2z`"</f>
        <v>#VALUE!</v>
      </c>
      <c r="FZ369" t="e">
        <f>Asia!H173+"$F;@!2za"</f>
        <v>#VALUE!</v>
      </c>
      <c r="GA369" t="e">
        <f>Asia!A174+"$F;@!2zb"</f>
        <v>#VALUE!</v>
      </c>
      <c r="GB369" t="e">
        <f>Asia!B174+"$F;@!2zc"</f>
        <v>#VALUE!</v>
      </c>
      <c r="GC369" t="e">
        <f>Asia!C174+"$F;@!2zd"</f>
        <v>#VALUE!</v>
      </c>
      <c r="GD369" t="e">
        <f>Asia!D174+"$F;@!2ze"</f>
        <v>#VALUE!</v>
      </c>
      <c r="GE369" t="e">
        <f>Asia!E174+"$F;@!2zf"</f>
        <v>#VALUE!</v>
      </c>
      <c r="GF369" t="e">
        <f>Asia!F174+"$F;@!2zg"</f>
        <v>#VALUE!</v>
      </c>
      <c r="GG369" t="e">
        <f>Asia!G174+"$F;@!2zh"</f>
        <v>#VALUE!</v>
      </c>
      <c r="GH369" t="e">
        <f>Asia!H174+"$F;@!2zi"</f>
        <v>#VALUE!</v>
      </c>
      <c r="GI369" t="e">
        <f>Asia!A175+"$F;@!2zj"</f>
        <v>#VALUE!</v>
      </c>
      <c r="GJ369" t="e">
        <f>Asia!B175+"$F;@!2zk"</f>
        <v>#VALUE!</v>
      </c>
      <c r="GK369" t="e">
        <f>Asia!C175+"$F;@!2zl"</f>
        <v>#VALUE!</v>
      </c>
      <c r="GL369" t="e">
        <f>Asia!D175+"$F;@!2zm"</f>
        <v>#VALUE!</v>
      </c>
      <c r="GM369" t="e">
        <f>Asia!E175+"$F;@!2zn"</f>
        <v>#VALUE!</v>
      </c>
      <c r="GN369" t="e">
        <f>Asia!F175+"$F;@!2zo"</f>
        <v>#VALUE!</v>
      </c>
      <c r="GO369" t="e">
        <f>Asia!G175+"$F;@!2zp"</f>
        <v>#VALUE!</v>
      </c>
      <c r="GP369" t="e">
        <f>Asia!H175+"$F;@!2zq"</f>
        <v>#VALUE!</v>
      </c>
      <c r="GQ369" t="e">
        <f>Asia!A176+"$F;@!2zr"</f>
        <v>#VALUE!</v>
      </c>
      <c r="GR369" t="e">
        <f>Asia!B176+"$F;@!2zs"</f>
        <v>#VALUE!</v>
      </c>
      <c r="GS369" t="e">
        <f>Asia!C176+"$F;@!2zt"</f>
        <v>#VALUE!</v>
      </c>
      <c r="GT369" t="e">
        <f>Asia!D176+"$F;@!2zu"</f>
        <v>#VALUE!</v>
      </c>
      <c r="GU369" t="e">
        <f>Asia!E176+"$F;@!2zv"</f>
        <v>#VALUE!</v>
      </c>
      <c r="GV369" t="e">
        <f>Asia!F176+"$F;@!2zw"</f>
        <v>#VALUE!</v>
      </c>
      <c r="GW369" t="e">
        <f>Asia!G176+"$F;@!2zx"</f>
        <v>#VALUE!</v>
      </c>
      <c r="GX369" t="e">
        <f>Asia!H176+"$F;@!2zy"</f>
        <v>#VALUE!</v>
      </c>
      <c r="GY369" t="e">
        <f>Asia!A177+"$F;@!2zz"</f>
        <v>#VALUE!</v>
      </c>
      <c r="GZ369" t="e">
        <f>Asia!B177+"$F;@!2z{"</f>
        <v>#VALUE!</v>
      </c>
      <c r="HA369" t="e">
        <f>Asia!C177+"$F;@!2z|"</f>
        <v>#VALUE!</v>
      </c>
      <c r="HB369" t="e">
        <f>Asia!D177+"$F;@!2z}"</f>
        <v>#VALUE!</v>
      </c>
      <c r="HC369" t="e">
        <f>Asia!E177+"$F;@!2z~"</f>
        <v>#VALUE!</v>
      </c>
      <c r="HD369" t="e">
        <f>Asia!F177+"$F;@!2{#"</f>
        <v>#VALUE!</v>
      </c>
      <c r="HE369" t="e">
        <f>Asia!G177+"$F;@!2{$"</f>
        <v>#VALUE!</v>
      </c>
      <c r="HF369" t="e">
        <f>Asia!H177+"$F;@!2{%"</f>
        <v>#VALUE!</v>
      </c>
      <c r="HG369" t="e">
        <f>Asia!A178+"$F;@!2{&amp;"</f>
        <v>#VALUE!</v>
      </c>
      <c r="HH369" t="e">
        <f>Asia!B178+"$F;@!2{'"</f>
        <v>#VALUE!</v>
      </c>
      <c r="HI369" t="e">
        <f>Asia!C178+"$F;@!2{("</f>
        <v>#VALUE!</v>
      </c>
      <c r="HJ369" t="e">
        <f>Asia!D178+"$F;@!2{)"</f>
        <v>#VALUE!</v>
      </c>
      <c r="HK369" t="e">
        <f>Asia!E178+"$F;@!2{."</f>
        <v>#VALUE!</v>
      </c>
      <c r="HL369" t="e">
        <f>Asia!F178+"$F;@!2{/"</f>
        <v>#VALUE!</v>
      </c>
      <c r="HM369" t="e">
        <f>Asia!G178+"$F;@!2{0"</f>
        <v>#VALUE!</v>
      </c>
      <c r="HN369" t="e">
        <f>Asia!H178+"$F;@!2{1"</f>
        <v>#VALUE!</v>
      </c>
      <c r="HO369" t="e">
        <f>Asia!A179+"$F;@!2{2"</f>
        <v>#VALUE!</v>
      </c>
      <c r="HP369" t="e">
        <f>Asia!B179+"$F;@!2{3"</f>
        <v>#VALUE!</v>
      </c>
      <c r="HQ369" t="e">
        <f>Asia!C179+"$F;@!2{4"</f>
        <v>#VALUE!</v>
      </c>
      <c r="HR369" t="e">
        <f>Asia!D179+"$F;@!2{5"</f>
        <v>#VALUE!</v>
      </c>
      <c r="HS369" t="e">
        <f>Asia!E179+"$F;@!2{6"</f>
        <v>#VALUE!</v>
      </c>
      <c r="HT369" t="e">
        <f>Asia!F179+"$F;@!2{7"</f>
        <v>#VALUE!</v>
      </c>
      <c r="HU369" t="e">
        <f>Asia!G179+"$F;@!2{8"</f>
        <v>#VALUE!</v>
      </c>
      <c r="HV369" t="e">
        <f>Asia!H179+"$F;@!2{9"</f>
        <v>#VALUE!</v>
      </c>
      <c r="HW369" t="e">
        <f>Asia!A180+"$F;@!2{:"</f>
        <v>#VALUE!</v>
      </c>
      <c r="HX369" t="e">
        <f>Asia!B180+"$F;@!2{;"</f>
        <v>#VALUE!</v>
      </c>
      <c r="HY369" t="e">
        <f>Asia!C180+"$F;@!2{&lt;"</f>
        <v>#VALUE!</v>
      </c>
      <c r="HZ369" t="e">
        <f>Asia!D180+"$F;@!2{="</f>
        <v>#VALUE!</v>
      </c>
      <c r="IA369" t="e">
        <f>Asia!E180+"$F;@!2{&gt;"</f>
        <v>#VALUE!</v>
      </c>
      <c r="IB369" t="e">
        <f>Asia!F180+"$F;@!2{?"</f>
        <v>#VALUE!</v>
      </c>
      <c r="IC369" t="e">
        <f>Asia!G180+"$F;@!2{@"</f>
        <v>#VALUE!</v>
      </c>
      <c r="ID369" t="e">
        <f>Asia!H180+"$F;@!2{A"</f>
        <v>#VALUE!</v>
      </c>
      <c r="IE369" t="e">
        <f>Asia!A181+"$F;@!2{B"</f>
        <v>#VALUE!</v>
      </c>
      <c r="IF369" t="e">
        <f>Asia!B181+"$F;@!2{C"</f>
        <v>#VALUE!</v>
      </c>
      <c r="IG369" t="e">
        <f>Asia!C181+"$F;@!2{D"</f>
        <v>#VALUE!</v>
      </c>
      <c r="IH369" t="e">
        <f>Asia!D181+"$F;@!2{E"</f>
        <v>#VALUE!</v>
      </c>
      <c r="II369" t="e">
        <f>Asia!E181+"$F;@!2{F"</f>
        <v>#VALUE!</v>
      </c>
      <c r="IJ369" t="e">
        <f>Asia!F181+"$F;@!2{G"</f>
        <v>#VALUE!</v>
      </c>
      <c r="IK369" t="e">
        <f>Asia!G181+"$F;@!2{H"</f>
        <v>#VALUE!</v>
      </c>
      <c r="IL369" t="e">
        <f>Asia!H181+"$F;@!2{I"</f>
        <v>#VALUE!</v>
      </c>
      <c r="IM369" t="e">
        <f>Asia!A182+"$F;@!2{J"</f>
        <v>#VALUE!</v>
      </c>
      <c r="IN369" t="e">
        <f>Asia!B182+"$F;@!2{K"</f>
        <v>#VALUE!</v>
      </c>
      <c r="IO369" t="e">
        <f>Asia!C182+"$F;@!2{L"</f>
        <v>#VALUE!</v>
      </c>
      <c r="IP369" t="e">
        <f>Asia!D182+"$F;@!2{M"</f>
        <v>#VALUE!</v>
      </c>
      <c r="IQ369" t="e">
        <f>Asia!E182+"$F;@!2{N"</f>
        <v>#VALUE!</v>
      </c>
      <c r="IR369" t="e">
        <f>Asia!F182+"$F;@!2{O"</f>
        <v>#VALUE!</v>
      </c>
      <c r="IS369" t="e">
        <f>Asia!G182+"$F;@!2{P"</f>
        <v>#VALUE!</v>
      </c>
      <c r="IT369" t="e">
        <f>Asia!H182+"$F;@!2{Q"</f>
        <v>#VALUE!</v>
      </c>
      <c r="IU369" t="e">
        <f>Asia!A183+"$F;@!2{R"</f>
        <v>#VALUE!</v>
      </c>
      <c r="IV369" t="e">
        <f>Asia!B183+"$F;@!2{S"</f>
        <v>#VALUE!</v>
      </c>
    </row>
    <row r="370" spans="6:256" x14ac:dyDescent="0.35">
      <c r="F370" t="e">
        <f>Asia!C183+"$F;@!2{T"</f>
        <v>#VALUE!</v>
      </c>
      <c r="G370" t="e">
        <f>Asia!D183+"$F;@!2{U"</f>
        <v>#VALUE!</v>
      </c>
      <c r="H370" t="e">
        <f>Asia!E183+"$F;@!2{V"</f>
        <v>#VALUE!</v>
      </c>
      <c r="I370" t="e">
        <f>Asia!F183+"$F;@!2{W"</f>
        <v>#VALUE!</v>
      </c>
      <c r="J370" t="e">
        <f>Asia!G183+"$F;@!2{X"</f>
        <v>#VALUE!</v>
      </c>
      <c r="K370" t="e">
        <f>Asia!H183+"$F;@!2{Y"</f>
        <v>#VALUE!</v>
      </c>
      <c r="L370" t="e">
        <f>Asia!A184+"$F;@!2{Z"</f>
        <v>#VALUE!</v>
      </c>
      <c r="M370" t="e">
        <f>Asia!B184+"$F;@!2{["</f>
        <v>#VALUE!</v>
      </c>
      <c r="N370" t="e">
        <f>Asia!C184+"$F;@!2{\"</f>
        <v>#VALUE!</v>
      </c>
      <c r="O370" t="e">
        <f>Asia!D184+"$F;@!2{]"</f>
        <v>#VALUE!</v>
      </c>
      <c r="P370" t="e">
        <f>Asia!E184+"$F;@!2{^"</f>
        <v>#VALUE!</v>
      </c>
      <c r="Q370" t="e">
        <f>Asia!F184+"$F;@!2{_"</f>
        <v>#VALUE!</v>
      </c>
      <c r="R370" t="e">
        <f>Asia!G184+"$F;@!2{`"</f>
        <v>#VALUE!</v>
      </c>
      <c r="S370" t="e">
        <f>Asia!H184+"$F;@!2{a"</f>
        <v>#VALUE!</v>
      </c>
      <c r="T370" t="e">
        <f>Asia!A185+"$F;@!2{b"</f>
        <v>#VALUE!</v>
      </c>
      <c r="U370" t="e">
        <f>Asia!B185+"$F;@!2{c"</f>
        <v>#VALUE!</v>
      </c>
      <c r="V370" t="e">
        <f>Asia!C185+"$F;@!2{d"</f>
        <v>#VALUE!</v>
      </c>
      <c r="W370" t="e">
        <f>Asia!D185+"$F;@!2{e"</f>
        <v>#VALUE!</v>
      </c>
      <c r="X370" t="e">
        <f>Asia!E185+"$F;@!2{f"</f>
        <v>#VALUE!</v>
      </c>
      <c r="Y370" t="e">
        <f>Asia!F185+"$F;@!2{g"</f>
        <v>#VALUE!</v>
      </c>
      <c r="Z370" t="e">
        <f>Asia!G185+"$F;@!2{h"</f>
        <v>#VALUE!</v>
      </c>
      <c r="AA370" t="e">
        <f>Asia!H185+"$F;@!2{i"</f>
        <v>#VALUE!</v>
      </c>
      <c r="AB370" t="e">
        <f>Asia!A186+"$F;@!2{j"</f>
        <v>#VALUE!</v>
      </c>
      <c r="AC370" t="e">
        <f>Asia!B186+"$F;@!2{k"</f>
        <v>#VALUE!</v>
      </c>
      <c r="AD370" t="e">
        <f>Asia!C186+"$F;@!2{l"</f>
        <v>#VALUE!</v>
      </c>
      <c r="AE370" t="e">
        <f>Asia!D186+"$F;@!2{m"</f>
        <v>#VALUE!</v>
      </c>
      <c r="AF370" t="e">
        <f>Asia!E186+"$F;@!2{n"</f>
        <v>#VALUE!</v>
      </c>
      <c r="AG370" t="e">
        <f>Asia!F186+"$F;@!2{o"</f>
        <v>#VALUE!</v>
      </c>
      <c r="AH370" t="e">
        <f>Asia!G186+"$F;@!2{p"</f>
        <v>#VALUE!</v>
      </c>
      <c r="AI370" t="e">
        <f>Asia!H186+"$F;@!2{q"</f>
        <v>#VALUE!</v>
      </c>
      <c r="AJ370" t="e">
        <f>Asia!A187+"$F;@!2{r"</f>
        <v>#VALUE!</v>
      </c>
      <c r="AK370" t="e">
        <f>Asia!B187+"$F;@!2{s"</f>
        <v>#VALUE!</v>
      </c>
      <c r="AL370" t="e">
        <f>Asia!C187+"$F;@!2{t"</f>
        <v>#VALUE!</v>
      </c>
      <c r="AM370" t="e">
        <f>Asia!D187+"$F;@!2{u"</f>
        <v>#VALUE!</v>
      </c>
      <c r="AN370" t="e">
        <f>Asia!E187+"$F;@!2{v"</f>
        <v>#VALUE!</v>
      </c>
      <c r="AO370" t="e">
        <f>Asia!F187+"$F;@!2{w"</f>
        <v>#VALUE!</v>
      </c>
      <c r="AP370" t="e">
        <f>Asia!G187+"$F;@!2{x"</f>
        <v>#VALUE!</v>
      </c>
      <c r="AQ370" t="e">
        <f>Asia!H187+"$F;@!2{y"</f>
        <v>#VALUE!</v>
      </c>
      <c r="AR370" t="e">
        <f>Asia!A188+"$F;@!2{z"</f>
        <v>#VALUE!</v>
      </c>
      <c r="AS370" t="e">
        <f>Asia!B188+"$F;@!2{{"</f>
        <v>#VALUE!</v>
      </c>
      <c r="AT370" t="e">
        <f>Asia!C188+"$F;@!2{|"</f>
        <v>#VALUE!</v>
      </c>
      <c r="AU370" t="e">
        <f>Asia!D188+"$F;@!2{}"</f>
        <v>#VALUE!</v>
      </c>
      <c r="AV370" t="e">
        <f>Asia!E188+"$F;@!2{~"</f>
        <v>#VALUE!</v>
      </c>
      <c r="AW370" t="e">
        <f>Asia!F188+"$F;@!2|#"</f>
        <v>#VALUE!</v>
      </c>
      <c r="AX370" t="e">
        <f>Asia!G188+"$F;@!2|$"</f>
        <v>#VALUE!</v>
      </c>
      <c r="AY370" t="e">
        <f>Asia!H188+"$F;@!2|%"</f>
        <v>#VALUE!</v>
      </c>
      <c r="AZ370" t="e">
        <f>Asia!A189+"$F;@!2|&amp;"</f>
        <v>#VALUE!</v>
      </c>
      <c r="BA370" t="e">
        <f>Asia!B189+"$F;@!2|'"</f>
        <v>#VALUE!</v>
      </c>
      <c r="BB370" t="e">
        <f>Asia!C189+"$F;@!2|("</f>
        <v>#VALUE!</v>
      </c>
      <c r="BC370" t="e">
        <f>Asia!D189+"$F;@!2|)"</f>
        <v>#VALUE!</v>
      </c>
      <c r="BD370" t="e">
        <f>Asia!E189+"$F;@!2|."</f>
        <v>#VALUE!</v>
      </c>
      <c r="BE370" t="e">
        <f>Asia!F189+"$F;@!2|/"</f>
        <v>#VALUE!</v>
      </c>
      <c r="BF370" t="e">
        <f>Asia!G189+"$F;@!2|0"</f>
        <v>#VALUE!</v>
      </c>
      <c r="BG370" t="e">
        <f>Asia!H189+"$F;@!2|1"</f>
        <v>#VALUE!</v>
      </c>
      <c r="BH370" t="e">
        <f>Asia!A190+"$F;@!2|2"</f>
        <v>#VALUE!</v>
      </c>
      <c r="BI370" t="e">
        <f>Asia!B190+"$F;@!2|3"</f>
        <v>#VALUE!</v>
      </c>
      <c r="BJ370" t="e">
        <f>Asia!C190+"$F;@!2|4"</f>
        <v>#VALUE!</v>
      </c>
      <c r="BK370" t="e">
        <f>Asia!D190+"$F;@!2|5"</f>
        <v>#VALUE!</v>
      </c>
      <c r="BL370" t="e">
        <f>Asia!E190+"$F;@!2|6"</f>
        <v>#VALUE!</v>
      </c>
      <c r="BM370" t="e">
        <f>Asia!F190+"$F;@!2|7"</f>
        <v>#VALUE!</v>
      </c>
      <c r="BN370" t="e">
        <f>Asia!G190+"$F;@!2|8"</f>
        <v>#VALUE!</v>
      </c>
      <c r="BO370" t="e">
        <f>Asia!H190+"$F;@!2|9"</f>
        <v>#VALUE!</v>
      </c>
      <c r="BP370" t="e">
        <f>Asia!A191+"$F;@!2|:"</f>
        <v>#VALUE!</v>
      </c>
      <c r="BQ370" t="e">
        <f>Asia!B191+"$F;@!2|;"</f>
        <v>#VALUE!</v>
      </c>
      <c r="BR370" t="e">
        <f>Asia!C191+"$F;@!2|&lt;"</f>
        <v>#VALUE!</v>
      </c>
      <c r="BS370" t="e">
        <f>Asia!D191+"$F;@!2|="</f>
        <v>#VALUE!</v>
      </c>
      <c r="BT370" t="e">
        <f>Asia!E191+"$F;@!2|&gt;"</f>
        <v>#VALUE!</v>
      </c>
      <c r="BU370" t="e">
        <f>Asia!F191+"$F;@!2|?"</f>
        <v>#VALUE!</v>
      </c>
      <c r="BV370" t="e">
        <f>Asia!G191+"$F;@!2|@"</f>
        <v>#VALUE!</v>
      </c>
      <c r="BW370" t="e">
        <f>Asia!H191+"$F;@!2|A"</f>
        <v>#VALUE!</v>
      </c>
      <c r="BX370" t="e">
        <f>Asia!A192+"$F;@!2|B"</f>
        <v>#VALUE!</v>
      </c>
      <c r="BY370" t="e">
        <f>Asia!B192+"$F;@!2|C"</f>
        <v>#VALUE!</v>
      </c>
      <c r="BZ370" t="e">
        <f>Asia!C192+"$F;@!2|D"</f>
        <v>#VALUE!</v>
      </c>
      <c r="CA370" t="e">
        <f>Asia!D192+"$F;@!2|E"</f>
        <v>#VALUE!</v>
      </c>
      <c r="CB370" t="e">
        <f>Asia!E192+"$F;@!2|F"</f>
        <v>#VALUE!</v>
      </c>
      <c r="CC370" t="e">
        <f>Asia!F192+"$F;@!2|G"</f>
        <v>#VALUE!</v>
      </c>
      <c r="CD370" t="e">
        <f>Asia!G192+"$F;@!2|H"</f>
        <v>#VALUE!</v>
      </c>
      <c r="CE370" t="e">
        <f>Asia!H192+"$F;@!2|I"</f>
        <v>#VALUE!</v>
      </c>
      <c r="CF370" t="e">
        <f>Asia!A193+"$F;@!2|J"</f>
        <v>#VALUE!</v>
      </c>
      <c r="CG370" t="e">
        <f>Asia!B193+"$F;@!2|K"</f>
        <v>#VALUE!</v>
      </c>
      <c r="CH370" t="e">
        <f>Asia!C193+"$F;@!2|L"</f>
        <v>#VALUE!</v>
      </c>
      <c r="CI370" t="e">
        <f>Asia!D193+"$F;@!2|M"</f>
        <v>#VALUE!</v>
      </c>
      <c r="CJ370" t="e">
        <f>Asia!E193+"$F;@!2|N"</f>
        <v>#VALUE!</v>
      </c>
      <c r="CK370" t="e">
        <f>Asia!F193+"$F;@!2|O"</f>
        <v>#VALUE!</v>
      </c>
      <c r="CL370" t="e">
        <f>Asia!G193+"$F;@!2|P"</f>
        <v>#VALUE!</v>
      </c>
      <c r="CM370" t="e">
        <f>Asia!H193+"$F;@!2|Q"</f>
        <v>#VALUE!</v>
      </c>
      <c r="CN370" t="e">
        <f>Asia!A194+"$F;@!2|R"</f>
        <v>#VALUE!</v>
      </c>
      <c r="CO370" t="e">
        <f>Asia!B194+"$F;@!2|S"</f>
        <v>#VALUE!</v>
      </c>
      <c r="CP370" t="e">
        <f>Asia!C194+"$F;@!2|T"</f>
        <v>#VALUE!</v>
      </c>
      <c r="CQ370" t="e">
        <f>Asia!D194+"$F;@!2|U"</f>
        <v>#VALUE!</v>
      </c>
      <c r="CR370" t="e">
        <f>Asia!E194+"$F;@!2|V"</f>
        <v>#VALUE!</v>
      </c>
      <c r="CS370" t="e">
        <f>Asia!F194+"$F;@!2|W"</f>
        <v>#VALUE!</v>
      </c>
      <c r="CT370" t="e">
        <f>Asia!G194+"$F;@!2|X"</f>
        <v>#VALUE!</v>
      </c>
      <c r="CU370" t="e">
        <f>Asia!H194+"$F;@!2|Y"</f>
        <v>#VALUE!</v>
      </c>
      <c r="CV370" t="e">
        <f>Asia!A195+"$F;@!2|Z"</f>
        <v>#VALUE!</v>
      </c>
      <c r="CW370" t="e">
        <f>Asia!B195+"$F;@!2|["</f>
        <v>#VALUE!</v>
      </c>
      <c r="CX370" t="e">
        <f>Asia!C195+"$F;@!2|\"</f>
        <v>#VALUE!</v>
      </c>
      <c r="CY370" t="e">
        <f>Asia!D195+"$F;@!2|]"</f>
        <v>#VALUE!</v>
      </c>
      <c r="CZ370" t="e">
        <f>Asia!E195+"$F;@!2|^"</f>
        <v>#VALUE!</v>
      </c>
      <c r="DA370" t="e">
        <f>Asia!F195+"$F;@!2|_"</f>
        <v>#VALUE!</v>
      </c>
      <c r="DB370" t="e">
        <f>Asia!G195+"$F;@!2|`"</f>
        <v>#VALUE!</v>
      </c>
      <c r="DC370" t="e">
        <f>Asia!H195+"$F;@!2|a"</f>
        <v>#VALUE!</v>
      </c>
      <c r="DD370" t="e">
        <f>Asia!A196+"$F;@!2|b"</f>
        <v>#VALUE!</v>
      </c>
      <c r="DE370" t="e">
        <f>Asia!B196+"$F;@!2|c"</f>
        <v>#VALUE!</v>
      </c>
      <c r="DF370" t="e">
        <f>Asia!C196+"$F;@!2|d"</f>
        <v>#VALUE!</v>
      </c>
      <c r="DG370" t="e">
        <f>Asia!D196+"$F;@!2|e"</f>
        <v>#VALUE!</v>
      </c>
      <c r="DH370" t="e">
        <f>Asia!E196+"$F;@!2|f"</f>
        <v>#VALUE!</v>
      </c>
      <c r="DI370" t="e">
        <f>Asia!F196+"$F;@!2|g"</f>
        <v>#VALUE!</v>
      </c>
      <c r="DJ370" t="e">
        <f>Asia!G196+"$F;@!2|h"</f>
        <v>#VALUE!</v>
      </c>
      <c r="DK370" t="e">
        <f>Asia!H196+"$F;@!2|i"</f>
        <v>#VALUE!</v>
      </c>
      <c r="DL370" t="e">
        <f>Asia!A197+"$F;@!2|j"</f>
        <v>#VALUE!</v>
      </c>
      <c r="DM370" t="e">
        <f>Asia!B197+"$F;@!2|k"</f>
        <v>#VALUE!</v>
      </c>
      <c r="DN370" t="e">
        <f>Asia!C197+"$F;@!2|l"</f>
        <v>#VALUE!</v>
      </c>
      <c r="DO370" t="e">
        <f>Asia!D197+"$F;@!2|m"</f>
        <v>#VALUE!</v>
      </c>
      <c r="DP370" t="e">
        <f>Asia!E197+"$F;@!2|n"</f>
        <v>#VALUE!</v>
      </c>
      <c r="DQ370" t="e">
        <f>Asia!F197+"$F;@!2|o"</f>
        <v>#VALUE!</v>
      </c>
      <c r="DR370" t="e">
        <f>Asia!G197+"$F;@!2|p"</f>
        <v>#VALUE!</v>
      </c>
      <c r="DS370" t="e">
        <f>Asia!H197+"$F;@!2|q"</f>
        <v>#VALUE!</v>
      </c>
      <c r="DT370" t="e">
        <f>Asia!A198+"$F;@!2|r"</f>
        <v>#VALUE!</v>
      </c>
      <c r="DU370" t="e">
        <f>Asia!B198+"$F;@!2|s"</f>
        <v>#VALUE!</v>
      </c>
      <c r="DV370" t="e">
        <f>Asia!C198+"$F;@!2|t"</f>
        <v>#VALUE!</v>
      </c>
      <c r="DW370" t="e">
        <f>Asia!D198+"$F;@!2|u"</f>
        <v>#VALUE!</v>
      </c>
      <c r="DX370" t="e">
        <f>Asia!E198+"$F;@!2|v"</f>
        <v>#VALUE!</v>
      </c>
      <c r="DY370" t="e">
        <f>Asia!F198+"$F;@!2|w"</f>
        <v>#VALUE!</v>
      </c>
      <c r="DZ370" t="e">
        <f>Asia!G198+"$F;@!2|x"</f>
        <v>#VALUE!</v>
      </c>
      <c r="EA370" t="e">
        <f>Asia!H198+"$F;@!2|y"</f>
        <v>#VALUE!</v>
      </c>
      <c r="EB370" t="e">
        <f>Asia!A199+"$F;@!2|z"</f>
        <v>#VALUE!</v>
      </c>
      <c r="EC370" t="e">
        <f>Asia!B199+"$F;@!2|{"</f>
        <v>#VALUE!</v>
      </c>
      <c r="ED370" t="e">
        <f>Asia!C199+"$F;@!2||"</f>
        <v>#VALUE!</v>
      </c>
      <c r="EE370" t="e">
        <f>Asia!D199+"$F;@!2|}"</f>
        <v>#VALUE!</v>
      </c>
      <c r="EF370" t="e">
        <f>Asia!E199+"$F;@!2|~"</f>
        <v>#VALUE!</v>
      </c>
      <c r="EG370" t="e">
        <f>Asia!F199+"$F;@!2}#"</f>
        <v>#VALUE!</v>
      </c>
      <c r="EH370" t="e">
        <f>Asia!G199+"$F;@!2}$"</f>
        <v>#VALUE!</v>
      </c>
      <c r="EI370" t="e">
        <f>Asia!H199+"$F;@!2}%"</f>
        <v>#VALUE!</v>
      </c>
      <c r="EJ370" t="e">
        <f>Asia!A200+"$F;@!2}&amp;"</f>
        <v>#VALUE!</v>
      </c>
      <c r="EK370" t="e">
        <f>Asia!B200+"$F;@!2}'"</f>
        <v>#VALUE!</v>
      </c>
      <c r="EL370" t="e">
        <f>Asia!C200+"$F;@!2}("</f>
        <v>#VALUE!</v>
      </c>
      <c r="EM370" t="e">
        <f>Asia!D200+"$F;@!2})"</f>
        <v>#VALUE!</v>
      </c>
      <c r="EN370" t="e">
        <f>Asia!E200+"$F;@!2}."</f>
        <v>#VALUE!</v>
      </c>
      <c r="EO370" t="e">
        <f>Asia!F200+"$F;@!2}/"</f>
        <v>#VALUE!</v>
      </c>
      <c r="EP370" t="e">
        <f>Asia!G200+"$F;@!2}0"</f>
        <v>#VALUE!</v>
      </c>
      <c r="EQ370" t="e">
        <f>Asia!H200+"$F;@!2}1"</f>
        <v>#VALUE!</v>
      </c>
      <c r="ER370" t="e">
        <f>Asia!A201+"$F;@!2}2"</f>
        <v>#VALUE!</v>
      </c>
      <c r="ES370" t="e">
        <f>Asia!B201+"$F;@!2}3"</f>
        <v>#VALUE!</v>
      </c>
      <c r="ET370" t="e">
        <f>Asia!C201+"$F;@!2}4"</f>
        <v>#VALUE!</v>
      </c>
      <c r="EU370" t="e">
        <f>Asia!D201+"$F;@!2}5"</f>
        <v>#VALUE!</v>
      </c>
      <c r="EV370" t="e">
        <f>Asia!E201+"$F;@!2}6"</f>
        <v>#VALUE!</v>
      </c>
      <c r="EW370" t="e">
        <f>Asia!F201+"$F;@!2}7"</f>
        <v>#VALUE!</v>
      </c>
      <c r="EX370" t="e">
        <f>Asia!G201+"$F;@!2}8"</f>
        <v>#VALUE!</v>
      </c>
      <c r="EY370" t="e">
        <f>Asia!H201+"$F;@!2}9"</f>
        <v>#VALUE!</v>
      </c>
      <c r="EZ370" t="e">
        <f>Asia!A202+"$F;@!2}:"</f>
        <v>#VALUE!</v>
      </c>
      <c r="FA370" t="e">
        <f>Asia!B202+"$F;@!2};"</f>
        <v>#VALUE!</v>
      </c>
      <c r="FB370" t="e">
        <f>Asia!C202+"$F;@!2}&lt;"</f>
        <v>#VALUE!</v>
      </c>
      <c r="FC370" t="e">
        <f>Asia!D202+"$F;@!2}="</f>
        <v>#VALUE!</v>
      </c>
      <c r="FD370" t="e">
        <f>Asia!E202+"$F;@!2}&gt;"</f>
        <v>#VALUE!</v>
      </c>
      <c r="FE370" t="e">
        <f>Asia!F202+"$F;@!2}?"</f>
        <v>#VALUE!</v>
      </c>
      <c r="FF370" t="e">
        <f>Asia!G202+"$F;@!2}@"</f>
        <v>#VALUE!</v>
      </c>
      <c r="FG370" t="e">
        <f>Asia!H202+"$F;@!2}A"</f>
        <v>#VALUE!</v>
      </c>
      <c r="FH370" t="e">
        <f>Asia!A203+"$F;@!2}B"</f>
        <v>#VALUE!</v>
      </c>
      <c r="FI370" t="e">
        <f>Asia!B203+"$F;@!2}C"</f>
        <v>#VALUE!</v>
      </c>
      <c r="FJ370" t="e">
        <f>Asia!C203+"$F;@!2}D"</f>
        <v>#VALUE!</v>
      </c>
      <c r="FK370" t="e">
        <f>Asia!D203+"$F;@!2}E"</f>
        <v>#VALUE!</v>
      </c>
      <c r="FL370" t="e">
        <f>Asia!E203+"$F;@!2}F"</f>
        <v>#VALUE!</v>
      </c>
      <c r="FM370" t="e">
        <f>Asia!F203+"$F;@!2}G"</f>
        <v>#VALUE!</v>
      </c>
      <c r="FN370" t="e">
        <f>Asia!G203+"$F;@!2}H"</f>
        <v>#VALUE!</v>
      </c>
      <c r="FO370" t="e">
        <f>Asia!H203+"$F;@!2}I"</f>
        <v>#VALUE!</v>
      </c>
      <c r="FP370" t="e">
        <f>Asia!A204+"$F;@!2}J"</f>
        <v>#VALUE!</v>
      </c>
      <c r="FQ370" t="e">
        <f>Asia!B204+"$F;@!2}K"</f>
        <v>#VALUE!</v>
      </c>
      <c r="FR370" t="e">
        <f>Asia!C204+"$F;@!2}L"</f>
        <v>#VALUE!</v>
      </c>
      <c r="FS370" t="e">
        <f>Asia!D204+"$F;@!2}M"</f>
        <v>#VALUE!</v>
      </c>
      <c r="FT370" t="e">
        <f>Asia!E204+"$F;@!2}N"</f>
        <v>#VALUE!</v>
      </c>
      <c r="FU370" t="e">
        <f>Asia!F204+"$F;@!2}O"</f>
        <v>#VALUE!</v>
      </c>
      <c r="FV370" t="e">
        <f>Asia!G204+"$F;@!2}P"</f>
        <v>#VALUE!</v>
      </c>
      <c r="FW370" t="e">
        <f>Asia!H204+"$F;@!2}Q"</f>
        <v>#VALUE!</v>
      </c>
      <c r="FX370" t="e">
        <f>Asia!A205+"$F;@!2}R"</f>
        <v>#VALUE!</v>
      </c>
      <c r="FY370" t="e">
        <f>Asia!B205+"$F;@!2}S"</f>
        <v>#VALUE!</v>
      </c>
      <c r="FZ370" t="e">
        <f>Asia!C205+"$F;@!2}T"</f>
        <v>#VALUE!</v>
      </c>
      <c r="GA370" t="e">
        <f>Asia!D205+"$F;@!2}U"</f>
        <v>#VALUE!</v>
      </c>
      <c r="GB370" t="e">
        <f>Asia!E205+"$F;@!2}V"</f>
        <v>#VALUE!</v>
      </c>
      <c r="GC370" t="e">
        <f>Asia!F205+"$F;@!2}W"</f>
        <v>#VALUE!</v>
      </c>
      <c r="GD370" t="e">
        <f>Asia!G205+"$F;@!2}X"</f>
        <v>#VALUE!</v>
      </c>
      <c r="GE370" t="e">
        <f>Asia!H205+"$F;@!2}Y"</f>
        <v>#VALUE!</v>
      </c>
      <c r="GF370" t="e">
        <f>Asia!A206+"$F;@!2}Z"</f>
        <v>#VALUE!</v>
      </c>
      <c r="GG370" t="e">
        <f>Asia!B206+"$F;@!2}["</f>
        <v>#VALUE!</v>
      </c>
      <c r="GH370" t="e">
        <f>Asia!C206+"$F;@!2}\"</f>
        <v>#VALUE!</v>
      </c>
      <c r="GI370" t="e">
        <f>Asia!D206+"$F;@!2}]"</f>
        <v>#VALUE!</v>
      </c>
      <c r="GJ370" t="e">
        <f>Asia!E206+"$F;@!2}^"</f>
        <v>#VALUE!</v>
      </c>
      <c r="GK370" t="e">
        <f>Asia!F206+"$F;@!2}_"</f>
        <v>#VALUE!</v>
      </c>
      <c r="GL370" t="e">
        <f>Asia!G206+"$F;@!2}`"</f>
        <v>#VALUE!</v>
      </c>
      <c r="GM370" t="e">
        <f>Asia!H206+"$F;@!2}a"</f>
        <v>#VALUE!</v>
      </c>
      <c r="GN370" t="e">
        <f>Asia!A207+"$F;@!2}b"</f>
        <v>#VALUE!</v>
      </c>
      <c r="GO370" t="e">
        <f>Asia!B207+"$F;@!2}c"</f>
        <v>#VALUE!</v>
      </c>
      <c r="GP370" t="e">
        <f>Asia!C207+"$F;@!2}d"</f>
        <v>#VALUE!</v>
      </c>
      <c r="GQ370" t="e">
        <f>Asia!D207+"$F;@!2}e"</f>
        <v>#VALUE!</v>
      </c>
      <c r="GR370" t="e">
        <f>Asia!E207+"$F;@!2}f"</f>
        <v>#VALUE!</v>
      </c>
      <c r="GS370" t="e">
        <f>Asia!F207+"$F;@!2}g"</f>
        <v>#VALUE!</v>
      </c>
      <c r="GT370" t="e">
        <f>Asia!G207+"$F;@!2}h"</f>
        <v>#VALUE!</v>
      </c>
      <c r="GU370" t="e">
        <f>Asia!H207+"$F;@!2}i"</f>
        <v>#VALUE!</v>
      </c>
      <c r="GV370" t="e">
        <f>Asia!A208+"$F;@!2}j"</f>
        <v>#VALUE!</v>
      </c>
      <c r="GW370" t="e">
        <f>Asia!B208+"$F;@!2}k"</f>
        <v>#VALUE!</v>
      </c>
      <c r="GX370" t="e">
        <f>Asia!C208+"$F;@!2}l"</f>
        <v>#VALUE!</v>
      </c>
      <c r="GY370" t="e">
        <f>Asia!D208+"$F;@!2}m"</f>
        <v>#VALUE!</v>
      </c>
      <c r="GZ370" t="e">
        <f>Asia!E208+"$F;@!2}n"</f>
        <v>#VALUE!</v>
      </c>
      <c r="HA370" t="e">
        <f>Asia!F208+"$F;@!2}o"</f>
        <v>#VALUE!</v>
      </c>
      <c r="HB370" t="e">
        <f>Asia!G208+"$F;@!2}p"</f>
        <v>#VALUE!</v>
      </c>
      <c r="HC370" t="e">
        <f>Asia!H208+"$F;@!2}q"</f>
        <v>#VALUE!</v>
      </c>
      <c r="HD370" t="e">
        <f>Asia!A209+"$F;@!2}r"</f>
        <v>#VALUE!</v>
      </c>
      <c r="HE370" t="e">
        <f>Asia!B209+"$F;@!2}s"</f>
        <v>#VALUE!</v>
      </c>
      <c r="HF370" t="e">
        <f>Asia!C209+"$F;@!2}t"</f>
        <v>#VALUE!</v>
      </c>
      <c r="HG370" t="e">
        <f>Asia!D209+"$F;@!2}u"</f>
        <v>#VALUE!</v>
      </c>
      <c r="HH370" t="e">
        <f>Asia!E209+"$F;@!2}v"</f>
        <v>#VALUE!</v>
      </c>
      <c r="HI370" t="e">
        <f>Asia!F209+"$F;@!2}w"</f>
        <v>#VALUE!</v>
      </c>
      <c r="HJ370" t="e">
        <f>Asia!G209+"$F;@!2}x"</f>
        <v>#VALUE!</v>
      </c>
      <c r="HK370" t="e">
        <f>Asia!H209+"$F;@!2}y"</f>
        <v>#VALUE!</v>
      </c>
      <c r="HL370" t="e">
        <f>Asia!A210+"$F;@!2}z"</f>
        <v>#VALUE!</v>
      </c>
      <c r="HM370" t="e">
        <f>Asia!B210+"$F;@!2}{"</f>
        <v>#VALUE!</v>
      </c>
      <c r="HN370" t="e">
        <f>Asia!C210+"$F;@!2}|"</f>
        <v>#VALUE!</v>
      </c>
      <c r="HO370" t="e">
        <f>Asia!D210+"$F;@!2}}"</f>
        <v>#VALUE!</v>
      </c>
      <c r="HP370" t="e">
        <f>Asia!E210+"$F;@!2}~"</f>
        <v>#VALUE!</v>
      </c>
      <c r="HQ370" t="e">
        <f>Asia!F210+"$F;@!2~#"</f>
        <v>#VALUE!</v>
      </c>
      <c r="HR370" t="e">
        <f>Asia!G210+"$F;@!2~$"</f>
        <v>#VALUE!</v>
      </c>
      <c r="HS370" t="e">
        <f>Asia!H210+"$F;@!2~%"</f>
        <v>#VALUE!</v>
      </c>
      <c r="HT370" t="e">
        <f>Asia!A211+"$F;@!2~&amp;"</f>
        <v>#VALUE!</v>
      </c>
      <c r="HU370" t="e">
        <f>Asia!B211+"$F;@!2~'"</f>
        <v>#VALUE!</v>
      </c>
      <c r="HV370" t="e">
        <f>Asia!C211+"$F;@!2~("</f>
        <v>#VALUE!</v>
      </c>
      <c r="HW370" t="e">
        <f>Asia!D211+"$F;@!2~)"</f>
        <v>#VALUE!</v>
      </c>
      <c r="HX370" t="e">
        <f>Asia!E211+"$F;@!2~."</f>
        <v>#VALUE!</v>
      </c>
      <c r="HY370" t="e">
        <f>Asia!F211+"$F;@!2~/"</f>
        <v>#VALUE!</v>
      </c>
      <c r="HZ370" t="e">
        <f>Asia!G211+"$F;@!2~0"</f>
        <v>#VALUE!</v>
      </c>
      <c r="IA370" t="e">
        <f>Asia!H211+"$F;@!2~1"</f>
        <v>#VALUE!</v>
      </c>
      <c r="IB370" t="e">
        <f>Asia!A212+"$F;@!2~2"</f>
        <v>#VALUE!</v>
      </c>
      <c r="IC370" t="e">
        <f>Asia!B212+"$F;@!2~3"</f>
        <v>#VALUE!</v>
      </c>
      <c r="ID370" t="e">
        <f>Asia!C212+"$F;@!2~4"</f>
        <v>#VALUE!</v>
      </c>
      <c r="IE370" t="e">
        <f>Asia!D212+"$F;@!2~5"</f>
        <v>#VALUE!</v>
      </c>
      <c r="IF370" t="e">
        <f>Asia!E212+"$F;@!2~6"</f>
        <v>#VALUE!</v>
      </c>
      <c r="IG370" t="e">
        <f>Asia!F212+"$F;@!2~7"</f>
        <v>#VALUE!</v>
      </c>
      <c r="IH370" t="e">
        <f>Asia!G212+"$F;@!2~8"</f>
        <v>#VALUE!</v>
      </c>
      <c r="II370" t="e">
        <f>Asia!H212+"$F;@!2~9"</f>
        <v>#VALUE!</v>
      </c>
      <c r="IJ370" t="e">
        <f>Asia!A213+"$F;@!2~:"</f>
        <v>#VALUE!</v>
      </c>
      <c r="IK370" t="e">
        <f>Asia!B213+"$F;@!2~;"</f>
        <v>#VALUE!</v>
      </c>
      <c r="IL370" t="e">
        <f>Asia!C213+"$F;@!2~&lt;"</f>
        <v>#VALUE!</v>
      </c>
      <c r="IM370" t="e">
        <f>Asia!D213+"$F;@!2~="</f>
        <v>#VALUE!</v>
      </c>
      <c r="IN370" t="e">
        <f>Asia!E213+"$F;@!2~&gt;"</f>
        <v>#VALUE!</v>
      </c>
      <c r="IO370" t="e">
        <f>Asia!F213+"$F;@!2~?"</f>
        <v>#VALUE!</v>
      </c>
      <c r="IP370" t="e">
        <f>Asia!G213+"$F;@!2~@"</f>
        <v>#VALUE!</v>
      </c>
      <c r="IQ370" t="e">
        <f>Asia!H213+"$F;@!2~A"</f>
        <v>#VALUE!</v>
      </c>
      <c r="IR370" t="e">
        <f>Asia!A214+"$F;@!2~B"</f>
        <v>#VALUE!</v>
      </c>
      <c r="IS370" t="e">
        <f>Asia!B214+"$F;@!2~C"</f>
        <v>#VALUE!</v>
      </c>
      <c r="IT370" t="e">
        <f>Asia!C214+"$F;@!2~D"</f>
        <v>#VALUE!</v>
      </c>
      <c r="IU370" t="e">
        <f>Asia!D214+"$F;@!2~E"</f>
        <v>#VALUE!</v>
      </c>
      <c r="IV370" t="e">
        <f>Asia!E214+"$F;@!2~F"</f>
        <v>#VALUE!</v>
      </c>
    </row>
    <row r="371" spans="6:256" x14ac:dyDescent="0.35">
      <c r="F371" t="e">
        <f>Asia!F214+"$F;@!2~G"</f>
        <v>#VALUE!</v>
      </c>
      <c r="G371" t="e">
        <f>Asia!G214+"$F;@!2~H"</f>
        <v>#VALUE!</v>
      </c>
      <c r="H371" t="e">
        <f>Asia!H214+"$F;@!2~I"</f>
        <v>#VALUE!</v>
      </c>
      <c r="I371" t="e">
        <f>Asia!A215+"$F;@!2~J"</f>
        <v>#VALUE!</v>
      </c>
      <c r="J371" t="e">
        <f>Asia!B215+"$F;@!2~K"</f>
        <v>#VALUE!</v>
      </c>
      <c r="K371" t="e">
        <f>Asia!C215+"$F;@!2~L"</f>
        <v>#VALUE!</v>
      </c>
      <c r="L371" t="e">
        <f>Asia!D215+"$F;@!2~M"</f>
        <v>#VALUE!</v>
      </c>
      <c r="M371" t="e">
        <f>Asia!E215+"$F;@!2~N"</f>
        <v>#VALUE!</v>
      </c>
      <c r="N371" t="e">
        <f>Asia!F215+"$F;@!2~O"</f>
        <v>#VALUE!</v>
      </c>
      <c r="O371" t="e">
        <f>Asia!G215+"$F;@!2~P"</f>
        <v>#VALUE!</v>
      </c>
      <c r="P371" t="e">
        <f>Asia!H215+"$F;@!2~Q"</f>
        <v>#VALUE!</v>
      </c>
      <c r="Q371" t="e">
        <f>Asia!A216+"$F;@!2~R"</f>
        <v>#VALUE!</v>
      </c>
      <c r="R371" t="e">
        <f>Asia!B216+"$F;@!2~S"</f>
        <v>#VALUE!</v>
      </c>
      <c r="S371" t="e">
        <f>Asia!C216+"$F;@!2~T"</f>
        <v>#VALUE!</v>
      </c>
      <c r="T371" t="e">
        <f>Asia!D216+"$F;@!2~U"</f>
        <v>#VALUE!</v>
      </c>
      <c r="U371" t="e">
        <f>Asia!E216+"$F;@!2~V"</f>
        <v>#VALUE!</v>
      </c>
      <c r="V371" t="e">
        <f>Asia!F216+"$F;@!2~W"</f>
        <v>#VALUE!</v>
      </c>
      <c r="W371" t="e">
        <f>Asia!G216+"$F;@!2~X"</f>
        <v>#VALUE!</v>
      </c>
      <c r="X371" t="e">
        <f>Asia!H216+"$F;@!2~Y"</f>
        <v>#VALUE!</v>
      </c>
      <c r="Y371" t="e">
        <f>Asia!A217+"$F;@!2~Z"</f>
        <v>#VALUE!</v>
      </c>
      <c r="Z371" t="e">
        <f>Asia!B217+"$F;@!2~["</f>
        <v>#VALUE!</v>
      </c>
      <c r="AA371" t="e">
        <f>Asia!C217+"$F;@!2~\"</f>
        <v>#VALUE!</v>
      </c>
      <c r="AB371" t="e">
        <f>Asia!D217+"$F;@!2~]"</f>
        <v>#VALUE!</v>
      </c>
      <c r="AC371" t="e">
        <f>Asia!E217+"$F;@!2~^"</f>
        <v>#VALUE!</v>
      </c>
      <c r="AD371" t="e">
        <f>Asia!F217+"$F;@!2~_"</f>
        <v>#VALUE!</v>
      </c>
      <c r="AE371" t="e">
        <f>Asia!G217+"$F;@!2~`"</f>
        <v>#VALUE!</v>
      </c>
      <c r="AF371" t="e">
        <f>Asia!H217+"$F;@!2~a"</f>
        <v>#VALUE!</v>
      </c>
      <c r="AG371" t="e">
        <f>Asia!A218+"$F;@!2~b"</f>
        <v>#VALUE!</v>
      </c>
      <c r="AH371" t="e">
        <f>Asia!B218+"$F;@!2~c"</f>
        <v>#VALUE!</v>
      </c>
      <c r="AI371" t="e">
        <f>Asia!C218+"$F;@!2~d"</f>
        <v>#VALUE!</v>
      </c>
      <c r="AJ371" t="e">
        <f>Asia!D218+"$F;@!2~e"</f>
        <v>#VALUE!</v>
      </c>
      <c r="AK371" t="e">
        <f>Asia!E218+"$F;@!2~f"</f>
        <v>#VALUE!</v>
      </c>
      <c r="AL371" t="e">
        <f>Asia!F218+"$F;@!2~g"</f>
        <v>#VALUE!</v>
      </c>
      <c r="AM371" t="e">
        <f>Asia!G218+"$F;@!2~h"</f>
        <v>#VALUE!</v>
      </c>
      <c r="AN371" t="e">
        <f>Asia!H218+"$F;@!2~i"</f>
        <v>#VALUE!</v>
      </c>
      <c r="AO371" t="e">
        <f>Asia!A219+"$F;@!2~j"</f>
        <v>#VALUE!</v>
      </c>
      <c r="AP371" t="e">
        <f>Asia!B219+"$F;@!2~k"</f>
        <v>#VALUE!</v>
      </c>
      <c r="AQ371" t="e">
        <f>Asia!C219+"$F;@!2~l"</f>
        <v>#VALUE!</v>
      </c>
      <c r="AR371" t="e">
        <f>Asia!D219+"$F;@!2~m"</f>
        <v>#VALUE!</v>
      </c>
      <c r="AS371" t="e">
        <f>Asia!E219+"$F;@!2~n"</f>
        <v>#VALUE!</v>
      </c>
      <c r="AT371" t="e">
        <f>Asia!F219+"$F;@!2~o"</f>
        <v>#VALUE!</v>
      </c>
      <c r="AU371" t="e">
        <f>Asia!G219+"$F;@!2~p"</f>
        <v>#VALUE!</v>
      </c>
      <c r="AV371" t="e">
        <f>Asia!H219+"$F;@!2~q"</f>
        <v>#VALUE!</v>
      </c>
      <c r="AW371" t="e">
        <f>Asia!A220+"$F;@!2~r"</f>
        <v>#VALUE!</v>
      </c>
      <c r="AX371" t="e">
        <f>Asia!B220+"$F;@!2~s"</f>
        <v>#VALUE!</v>
      </c>
      <c r="AY371" t="e">
        <f>Asia!C220+"$F;@!2~t"</f>
        <v>#VALUE!</v>
      </c>
      <c r="AZ371" t="e">
        <f>Asia!D220+"$F;@!2~u"</f>
        <v>#VALUE!</v>
      </c>
      <c r="BA371" t="e">
        <f>Asia!E220+"$F;@!2~v"</f>
        <v>#VALUE!</v>
      </c>
      <c r="BB371" t="e">
        <f>Asia!F220+"$F;@!2~w"</f>
        <v>#VALUE!</v>
      </c>
      <c r="BC371" t="e">
        <f>Asia!G220+"$F;@!2~x"</f>
        <v>#VALUE!</v>
      </c>
      <c r="BD371" t="e">
        <f>Asia!H220+"$F;@!2~y"</f>
        <v>#VALUE!</v>
      </c>
      <c r="BE371" t="e">
        <f>Asia!A221+"$F;@!2~z"</f>
        <v>#VALUE!</v>
      </c>
      <c r="BF371" t="e">
        <f>Asia!B221+"$F;@!2~{"</f>
        <v>#VALUE!</v>
      </c>
      <c r="BG371" t="e">
        <f>Asia!C221+"$F;@!2~|"</f>
        <v>#VALUE!</v>
      </c>
      <c r="BH371" t="e">
        <f>Asia!D221+"$F;@!2~}"</f>
        <v>#VALUE!</v>
      </c>
      <c r="BI371" t="e">
        <f>Asia!E221+"$F;@!2~~"</f>
        <v>#VALUE!</v>
      </c>
      <c r="BJ371" t="e">
        <f>Asia!F221+"$F;@!3##"</f>
        <v>#VALUE!</v>
      </c>
      <c r="BK371" t="e">
        <f>Asia!G221+"$F;@!3#$"</f>
        <v>#VALUE!</v>
      </c>
      <c r="BL371" t="e">
        <f>Asia!H221+"$F;@!3#%"</f>
        <v>#VALUE!</v>
      </c>
      <c r="BM371" t="e">
        <f>Asia!A222+"$F;@!3#&amp;"</f>
        <v>#VALUE!</v>
      </c>
      <c r="BN371" t="e">
        <f>Asia!B222+"$F;@!3#'"</f>
        <v>#VALUE!</v>
      </c>
      <c r="BO371" t="e">
        <f>Asia!C222+"$F;@!3#("</f>
        <v>#VALUE!</v>
      </c>
      <c r="BP371" t="e">
        <f>Asia!D222+"$F;@!3#)"</f>
        <v>#VALUE!</v>
      </c>
      <c r="BQ371" t="e">
        <f>Asia!E222+"$F;@!3#."</f>
        <v>#VALUE!</v>
      </c>
      <c r="BR371" t="e">
        <f>Asia!F222+"$F;@!3#/"</f>
        <v>#VALUE!</v>
      </c>
      <c r="BS371" t="e">
        <f>Asia!G222+"$F;@!3#0"</f>
        <v>#VALUE!</v>
      </c>
      <c r="BT371" t="e">
        <f>Asia!H222+"$F;@!3#1"</f>
        <v>#VALUE!</v>
      </c>
      <c r="BU371" t="e">
        <f>Asia!A223+"$F;@!3#2"</f>
        <v>#VALUE!</v>
      </c>
      <c r="BV371" t="e">
        <f>Asia!B223+"$F;@!3#3"</f>
        <v>#VALUE!</v>
      </c>
      <c r="BW371" t="e">
        <f>Asia!C223+"$F;@!3#4"</f>
        <v>#VALUE!</v>
      </c>
      <c r="BX371" t="e">
        <f>Asia!D223+"$F;@!3#5"</f>
        <v>#VALUE!</v>
      </c>
      <c r="BY371" t="e">
        <f>Asia!E223+"$F;@!3#6"</f>
        <v>#VALUE!</v>
      </c>
      <c r="BZ371" t="e">
        <f>Asia!F223+"$F;@!3#7"</f>
        <v>#VALUE!</v>
      </c>
      <c r="CA371" t="e">
        <f>Asia!G223+"$F;@!3#8"</f>
        <v>#VALUE!</v>
      </c>
      <c r="CB371" t="e">
        <f>Asia!H223+"$F;@!3#9"</f>
        <v>#VALUE!</v>
      </c>
      <c r="CC371" t="e">
        <f>Asia!A224+"$F;@!3#:"</f>
        <v>#VALUE!</v>
      </c>
      <c r="CD371" t="e">
        <f>Asia!B224+"$F;@!3#;"</f>
        <v>#VALUE!</v>
      </c>
      <c r="CE371" t="e">
        <f>Asia!C224+"$F;@!3#&lt;"</f>
        <v>#VALUE!</v>
      </c>
      <c r="CF371" t="e">
        <f>Asia!D224+"$F;@!3#="</f>
        <v>#VALUE!</v>
      </c>
      <c r="CG371" t="e">
        <f>Asia!E224+"$F;@!3#&gt;"</f>
        <v>#VALUE!</v>
      </c>
      <c r="CH371" t="e">
        <f>Asia!F224+"$F;@!3#?"</f>
        <v>#VALUE!</v>
      </c>
      <c r="CI371" t="e">
        <f>Asia!G224+"$F;@!3#@"</f>
        <v>#VALUE!</v>
      </c>
      <c r="CJ371" t="e">
        <f>Asia!H224+"$F;@!3#A"</f>
        <v>#VALUE!</v>
      </c>
      <c r="CK371" t="e">
        <f>Asia!A225+"$F;@!3#B"</f>
        <v>#VALUE!</v>
      </c>
      <c r="CL371" t="e">
        <f>Asia!B225+"$F;@!3#C"</f>
        <v>#VALUE!</v>
      </c>
      <c r="CM371" t="e">
        <f>Asia!C225+"$F;@!3#D"</f>
        <v>#VALUE!</v>
      </c>
      <c r="CN371" t="e">
        <f>Asia!D225+"$F;@!3#E"</f>
        <v>#VALUE!</v>
      </c>
      <c r="CO371" t="e">
        <f>Asia!E225+"$F;@!3#F"</f>
        <v>#VALUE!</v>
      </c>
      <c r="CP371" t="e">
        <f>Asia!F225+"$F;@!3#G"</f>
        <v>#VALUE!</v>
      </c>
      <c r="CQ371" t="e">
        <f>Asia!G225+"$F;@!3#H"</f>
        <v>#VALUE!</v>
      </c>
      <c r="CR371" t="e">
        <f>Asia!H225+"$F;@!3#I"</f>
        <v>#VALUE!</v>
      </c>
      <c r="CS371" t="e">
        <f>Asia!A226+"$F;@!3#J"</f>
        <v>#VALUE!</v>
      </c>
      <c r="CT371" t="e">
        <f>Asia!B226+"$F;@!3#K"</f>
        <v>#VALUE!</v>
      </c>
      <c r="CU371" t="e">
        <f>Asia!C226+"$F;@!3#L"</f>
        <v>#VALUE!</v>
      </c>
      <c r="CV371" t="e">
        <f>Asia!D226+"$F;@!3#M"</f>
        <v>#VALUE!</v>
      </c>
      <c r="CW371" t="e">
        <f>Asia!E226+"$F;@!3#N"</f>
        <v>#VALUE!</v>
      </c>
      <c r="CX371" t="e">
        <f>Asia!F226+"$F;@!3#O"</f>
        <v>#VALUE!</v>
      </c>
      <c r="CY371" t="e">
        <f>Asia!G226+"$F;@!3#P"</f>
        <v>#VALUE!</v>
      </c>
      <c r="CZ371" t="e">
        <f>Asia!H226+"$F;@!3#Q"</f>
        <v>#VALUE!</v>
      </c>
      <c r="DA371" t="e">
        <f>Asia!A227+"$F;@!3#R"</f>
        <v>#VALUE!</v>
      </c>
      <c r="DB371" t="e">
        <f>Asia!B227+"$F;@!3#S"</f>
        <v>#VALUE!</v>
      </c>
      <c r="DC371" t="e">
        <f>Asia!C227+"$F;@!3#T"</f>
        <v>#VALUE!</v>
      </c>
      <c r="DD371" t="e">
        <f>Asia!D227+"$F;@!3#U"</f>
        <v>#VALUE!</v>
      </c>
      <c r="DE371" t="e">
        <f>Asia!E227+"$F;@!3#V"</f>
        <v>#VALUE!</v>
      </c>
      <c r="DF371" t="e">
        <f>Asia!F227+"$F;@!3#W"</f>
        <v>#VALUE!</v>
      </c>
      <c r="DG371" t="e">
        <f>Asia!G227+"$F;@!3#X"</f>
        <v>#VALUE!</v>
      </c>
      <c r="DH371" t="e">
        <f>Asia!H227+"$F;@!3#Y"</f>
        <v>#VALUE!</v>
      </c>
      <c r="DI371" t="e">
        <f>Asia!A228+"$F;@!3#Z"</f>
        <v>#VALUE!</v>
      </c>
      <c r="DJ371" t="e">
        <f>Asia!B228+"$F;@!3#["</f>
        <v>#VALUE!</v>
      </c>
      <c r="DK371" t="e">
        <f>Asia!C228+"$F;@!3#\"</f>
        <v>#VALUE!</v>
      </c>
      <c r="DL371" t="e">
        <f>Asia!D228+"$F;@!3#]"</f>
        <v>#VALUE!</v>
      </c>
      <c r="DM371" t="e">
        <f>Asia!E228+"$F;@!3#^"</f>
        <v>#VALUE!</v>
      </c>
      <c r="DN371" t="e">
        <f>Asia!F228+"$F;@!3#_"</f>
        <v>#VALUE!</v>
      </c>
      <c r="DO371" t="e">
        <f>Asia!G228+"$F;@!3#`"</f>
        <v>#VALUE!</v>
      </c>
      <c r="DP371" t="e">
        <f>Asia!H228+"$F;@!3#a"</f>
        <v>#VALUE!</v>
      </c>
      <c r="DQ371" t="e">
        <f>Asia!A229+"$F;@!3#b"</f>
        <v>#VALUE!</v>
      </c>
      <c r="DR371" t="e">
        <f>Asia!B229+"$F;@!3#c"</f>
        <v>#VALUE!</v>
      </c>
      <c r="DS371" t="e">
        <f>Asia!C229+"$F;@!3#d"</f>
        <v>#VALUE!</v>
      </c>
      <c r="DT371" t="e">
        <f>Asia!D229+"$F;@!3#e"</f>
        <v>#VALUE!</v>
      </c>
      <c r="DU371" t="e">
        <f>Asia!E229+"$F;@!3#f"</f>
        <v>#VALUE!</v>
      </c>
      <c r="DV371" t="e">
        <f>Asia!F229+"$F;@!3#g"</f>
        <v>#VALUE!</v>
      </c>
      <c r="DW371" t="e">
        <f>Asia!G229+"$F;@!3#h"</f>
        <v>#VALUE!</v>
      </c>
      <c r="DX371" t="e">
        <f>Asia!H229+"$F;@!3#i"</f>
        <v>#VALUE!</v>
      </c>
      <c r="DY371" t="e">
        <f>Asia!A230+"$F;@!3#j"</f>
        <v>#VALUE!</v>
      </c>
      <c r="DZ371" t="e">
        <f>Asia!B230+"$F;@!3#k"</f>
        <v>#VALUE!</v>
      </c>
      <c r="EA371" t="e">
        <f>Asia!C230+"$F;@!3#l"</f>
        <v>#VALUE!</v>
      </c>
      <c r="EB371" t="e">
        <f>Asia!D230+"$F;@!3#m"</f>
        <v>#VALUE!</v>
      </c>
      <c r="EC371" t="e">
        <f>Asia!E230+"$F;@!3#n"</f>
        <v>#VALUE!</v>
      </c>
      <c r="ED371" t="e">
        <f>Asia!F230+"$F;@!3#o"</f>
        <v>#VALUE!</v>
      </c>
      <c r="EE371" t="e">
        <f>Asia!G230+"$F;@!3#p"</f>
        <v>#VALUE!</v>
      </c>
      <c r="EF371" t="e">
        <f>Asia!H230+"$F;@!3#q"</f>
        <v>#VALUE!</v>
      </c>
      <c r="EG371" t="e">
        <f>Asia!A231+"$F;@!3#r"</f>
        <v>#VALUE!</v>
      </c>
      <c r="EH371" t="e">
        <f>Asia!B231+"$F;@!3#s"</f>
        <v>#VALUE!</v>
      </c>
      <c r="EI371" t="e">
        <f>Asia!C231+"$F;@!3#t"</f>
        <v>#VALUE!</v>
      </c>
      <c r="EJ371" t="e">
        <f>Asia!D231+"$F;@!3#u"</f>
        <v>#VALUE!</v>
      </c>
      <c r="EK371" t="e">
        <f>Asia!E231+"$F;@!3#v"</f>
        <v>#VALUE!</v>
      </c>
      <c r="EL371" t="e">
        <f>Asia!F231+"$F;@!3#w"</f>
        <v>#VALUE!</v>
      </c>
      <c r="EM371" t="e">
        <f>Asia!G231+"$F;@!3#x"</f>
        <v>#VALUE!</v>
      </c>
      <c r="EN371" t="e">
        <f>Asia!H231+"$F;@!3#y"</f>
        <v>#VALUE!</v>
      </c>
      <c r="EO371" t="e">
        <f>Asia!A232+"$F;@!3#z"</f>
        <v>#VALUE!</v>
      </c>
      <c r="EP371" t="e">
        <f>Asia!B232+"$F;@!3#{"</f>
        <v>#VALUE!</v>
      </c>
      <c r="EQ371" t="e">
        <f>Asia!C232+"$F;@!3#|"</f>
        <v>#VALUE!</v>
      </c>
      <c r="ER371" t="e">
        <f>Asia!D232+"$F;@!3#}"</f>
        <v>#VALUE!</v>
      </c>
      <c r="ES371" t="e">
        <f>Asia!E232+"$F;@!3#~"</f>
        <v>#VALUE!</v>
      </c>
      <c r="ET371" t="e">
        <f>Asia!F232+"$F;@!3$#"</f>
        <v>#VALUE!</v>
      </c>
      <c r="EU371" t="e">
        <f>Asia!G232+"$F;@!3$$"</f>
        <v>#VALUE!</v>
      </c>
      <c r="EV371" t="e">
        <f>Asia!H232+"$F;@!3$%"</f>
        <v>#VALUE!</v>
      </c>
      <c r="EW371" t="e">
        <f>Asia!A233+"$F;@!3$&amp;"</f>
        <v>#VALUE!</v>
      </c>
      <c r="EX371" t="e">
        <f>Asia!B233+"$F;@!3$'"</f>
        <v>#VALUE!</v>
      </c>
      <c r="EY371" t="e">
        <f>Asia!C233+"$F;@!3$("</f>
        <v>#VALUE!</v>
      </c>
      <c r="EZ371" t="e">
        <f>Asia!D233+"$F;@!3$)"</f>
        <v>#VALUE!</v>
      </c>
      <c r="FA371" t="e">
        <f>Asia!E233+"$F;@!3$."</f>
        <v>#VALUE!</v>
      </c>
      <c r="FB371" t="e">
        <f>Asia!F233+"$F;@!3$/"</f>
        <v>#VALUE!</v>
      </c>
      <c r="FC371" t="e">
        <f>Asia!G233+"$F;@!3$0"</f>
        <v>#VALUE!</v>
      </c>
      <c r="FD371" t="e">
        <f>Asia!H233+"$F;@!3$1"</f>
        <v>#VALUE!</v>
      </c>
      <c r="FE371" t="e">
        <f>Asia!A234+"$F;@!3$2"</f>
        <v>#VALUE!</v>
      </c>
      <c r="FF371" t="e">
        <f>Asia!B234+"$F;@!3$3"</f>
        <v>#VALUE!</v>
      </c>
      <c r="FG371" t="e">
        <f>Asia!C234+"$F;@!3$4"</f>
        <v>#VALUE!</v>
      </c>
      <c r="FH371" t="e">
        <f>Asia!D234+"$F;@!3$5"</f>
        <v>#VALUE!</v>
      </c>
      <c r="FI371" t="e">
        <f>Asia!E234+"$F;@!3$6"</f>
        <v>#VALUE!</v>
      </c>
      <c r="FJ371" t="e">
        <f>Asia!F234+"$F;@!3$7"</f>
        <v>#VALUE!</v>
      </c>
      <c r="FK371" t="e">
        <f>Asia!G234+"$F;@!3$8"</f>
        <v>#VALUE!</v>
      </c>
      <c r="FL371" t="e">
        <f>Asia!H234+"$F;@!3$9"</f>
        <v>#VALUE!</v>
      </c>
      <c r="FM371" t="e">
        <f>Asia!A235+"$F;@!3$:"</f>
        <v>#VALUE!</v>
      </c>
      <c r="FN371" t="e">
        <f>Asia!B235+"$F;@!3$;"</f>
        <v>#VALUE!</v>
      </c>
      <c r="FO371" t="e">
        <f>Asia!C235+"$F;@!3$&lt;"</f>
        <v>#VALUE!</v>
      </c>
      <c r="FP371" t="e">
        <f>Asia!D235+"$F;@!3$="</f>
        <v>#VALUE!</v>
      </c>
      <c r="FQ371" t="e">
        <f>Asia!E235+"$F;@!3$&gt;"</f>
        <v>#VALUE!</v>
      </c>
      <c r="FR371" t="e">
        <f>Asia!F235+"$F;@!3$?"</f>
        <v>#VALUE!</v>
      </c>
      <c r="FS371" t="e">
        <f>Asia!G235+"$F;@!3$@"</f>
        <v>#VALUE!</v>
      </c>
      <c r="FT371" t="e">
        <f>Asia!H235+"$F;@!3$A"</f>
        <v>#VALUE!</v>
      </c>
      <c r="FU371" t="e">
        <f>Asia!A236+"$F;@!3$B"</f>
        <v>#VALUE!</v>
      </c>
      <c r="FV371" t="e">
        <f>Asia!B236+"$F;@!3$C"</f>
        <v>#VALUE!</v>
      </c>
      <c r="FW371" t="e">
        <f>Asia!C236+"$F;@!3$D"</f>
        <v>#VALUE!</v>
      </c>
      <c r="FX371" t="e">
        <f>Asia!D236+"$F;@!3$E"</f>
        <v>#VALUE!</v>
      </c>
      <c r="FY371" t="e">
        <f>Asia!E236+"$F;@!3$F"</f>
        <v>#VALUE!</v>
      </c>
      <c r="FZ371" t="e">
        <f>Asia!F236+"$F;@!3$G"</f>
        <v>#VALUE!</v>
      </c>
      <c r="GA371" t="e">
        <f>Asia!G236+"$F;@!3$H"</f>
        <v>#VALUE!</v>
      </c>
      <c r="GB371" t="e">
        <f>Asia!H236+"$F;@!3$I"</f>
        <v>#VALUE!</v>
      </c>
      <c r="GC371" t="e">
        <f>Asia!A237+"$F;@!3$J"</f>
        <v>#VALUE!</v>
      </c>
      <c r="GD371" t="e">
        <f>Asia!B237+"$F;@!3$K"</f>
        <v>#VALUE!</v>
      </c>
      <c r="GE371" t="e">
        <f>Asia!C237+"$F;@!3$L"</f>
        <v>#VALUE!</v>
      </c>
      <c r="GF371" t="e">
        <f>Asia!D237+"$F;@!3$M"</f>
        <v>#VALUE!</v>
      </c>
      <c r="GG371" t="e">
        <f>Asia!E237+"$F;@!3$N"</f>
        <v>#VALUE!</v>
      </c>
      <c r="GH371" t="e">
        <f>Asia!F237+"$F;@!3$O"</f>
        <v>#VALUE!</v>
      </c>
      <c r="GI371" t="e">
        <f>Asia!G237+"$F;@!3$P"</f>
        <v>#VALUE!</v>
      </c>
      <c r="GJ371" t="e">
        <f>Asia!H237+"$F;@!3$Q"</f>
        <v>#VALUE!</v>
      </c>
      <c r="GK371" t="e">
        <f>Asia!A238+"$F;@!3$R"</f>
        <v>#VALUE!</v>
      </c>
      <c r="GL371" t="e">
        <f>Asia!B238+"$F;@!3$S"</f>
        <v>#VALUE!</v>
      </c>
      <c r="GM371" t="e">
        <f>Asia!C238+"$F;@!3$T"</f>
        <v>#VALUE!</v>
      </c>
      <c r="GN371" t="e">
        <f>Asia!D238+"$F;@!3$U"</f>
        <v>#VALUE!</v>
      </c>
      <c r="GO371" t="e">
        <f>Asia!E238+"$F;@!3$V"</f>
        <v>#VALUE!</v>
      </c>
      <c r="GP371" t="e">
        <f>Asia!F238+"$F;@!3$W"</f>
        <v>#VALUE!</v>
      </c>
      <c r="GQ371" t="e">
        <f>Asia!G238+"$F;@!3$X"</f>
        <v>#VALUE!</v>
      </c>
      <c r="GR371" t="e">
        <f>Asia!H238+"$F;@!3$Y"</f>
        <v>#VALUE!</v>
      </c>
      <c r="GS371" t="e">
        <f>Asia!A239+"$F;@!3$Z"</f>
        <v>#VALUE!</v>
      </c>
      <c r="GT371" t="e">
        <f>Asia!B239+"$F;@!3$["</f>
        <v>#VALUE!</v>
      </c>
      <c r="GU371" t="e">
        <f>Asia!C239+"$F;@!3$\"</f>
        <v>#VALUE!</v>
      </c>
      <c r="GV371" t="e">
        <f>Asia!D239+"$F;@!3$]"</f>
        <v>#VALUE!</v>
      </c>
      <c r="GW371" t="e">
        <f>Asia!E239+"$F;@!3$^"</f>
        <v>#VALUE!</v>
      </c>
      <c r="GX371" t="e">
        <f>Asia!F239+"$F;@!3$_"</f>
        <v>#VALUE!</v>
      </c>
      <c r="GY371" t="e">
        <f>Asia!G239+"$F;@!3$`"</f>
        <v>#VALUE!</v>
      </c>
      <c r="GZ371" t="e">
        <f>Asia!H239+"$F;@!3$a"</f>
        <v>#VALUE!</v>
      </c>
      <c r="HA371" t="e">
        <f>Asia!A240+"$F;@!3$b"</f>
        <v>#VALUE!</v>
      </c>
      <c r="HB371" t="e">
        <f>Asia!B240+"$F;@!3$c"</f>
        <v>#VALUE!</v>
      </c>
      <c r="HC371" t="e">
        <f>Asia!C240+"$F;@!3$d"</f>
        <v>#VALUE!</v>
      </c>
      <c r="HD371" t="e">
        <f>Asia!D240+"$F;@!3$e"</f>
        <v>#VALUE!</v>
      </c>
      <c r="HE371" t="e">
        <f>Asia!E240+"$F;@!3$f"</f>
        <v>#VALUE!</v>
      </c>
      <c r="HF371" t="e">
        <f>Asia!F240+"$F;@!3$g"</f>
        <v>#VALUE!</v>
      </c>
      <c r="HG371" t="e">
        <f>Asia!G240+"$F;@!3$h"</f>
        <v>#VALUE!</v>
      </c>
      <c r="HH371" t="e">
        <f>Asia!H240+"$F;@!3$i"</f>
        <v>#VALUE!</v>
      </c>
      <c r="HI371" t="e">
        <f>Asia!A241+"$F;@!3$j"</f>
        <v>#VALUE!</v>
      </c>
      <c r="HJ371" t="e">
        <f>Asia!B241+"$F;@!3$k"</f>
        <v>#VALUE!</v>
      </c>
      <c r="HK371" t="e">
        <f>Asia!C241+"$F;@!3$l"</f>
        <v>#VALUE!</v>
      </c>
      <c r="HL371" t="e">
        <f>Asia!D241+"$F;@!3$m"</f>
        <v>#VALUE!</v>
      </c>
      <c r="HM371" t="e">
        <f>Asia!E241+"$F;@!3$n"</f>
        <v>#VALUE!</v>
      </c>
      <c r="HN371" t="e">
        <f>Asia!F241+"$F;@!3$o"</f>
        <v>#VALUE!</v>
      </c>
      <c r="HO371" t="e">
        <f>Asia!G241+"$F;@!3$p"</f>
        <v>#VALUE!</v>
      </c>
      <c r="HP371" t="e">
        <f>Asia!H241+"$F;@!3$q"</f>
        <v>#VALUE!</v>
      </c>
      <c r="HQ371" t="e">
        <f>Asia!A242+"$F;@!3$r"</f>
        <v>#VALUE!</v>
      </c>
      <c r="HR371" t="e">
        <f>Asia!B242+"$F;@!3$s"</f>
        <v>#VALUE!</v>
      </c>
      <c r="HS371" t="e">
        <f>Asia!C242+"$F;@!3$t"</f>
        <v>#VALUE!</v>
      </c>
      <c r="HT371" t="e">
        <f>Asia!D242+"$F;@!3$u"</f>
        <v>#VALUE!</v>
      </c>
      <c r="HU371" t="e">
        <f>Asia!E242+"$F;@!3$v"</f>
        <v>#VALUE!</v>
      </c>
      <c r="HV371" t="e">
        <f>Asia!F242+"$F;@!3$w"</f>
        <v>#VALUE!</v>
      </c>
      <c r="HW371" t="e">
        <f>Asia!G242+"$F;@!3$x"</f>
        <v>#VALUE!</v>
      </c>
      <c r="HX371" t="e">
        <f>Asia!H242+"$F;@!3$y"</f>
        <v>#VALUE!</v>
      </c>
      <c r="HY371" t="e">
        <f>Asia!A243+"$F;@!3$z"</f>
        <v>#VALUE!</v>
      </c>
      <c r="HZ371" t="e">
        <f>Asia!B243+"$F;@!3${"</f>
        <v>#VALUE!</v>
      </c>
      <c r="IA371" t="e">
        <f>Asia!C243+"$F;@!3$|"</f>
        <v>#VALUE!</v>
      </c>
      <c r="IB371" t="e">
        <f>Asia!D243+"$F;@!3$}"</f>
        <v>#VALUE!</v>
      </c>
      <c r="IC371" t="e">
        <f>Asia!E243+"$F;@!3$~"</f>
        <v>#VALUE!</v>
      </c>
      <c r="ID371" t="e">
        <f>Asia!F243+"$F;@!3%#"</f>
        <v>#VALUE!</v>
      </c>
      <c r="IE371" t="e">
        <f>Asia!G243+"$F;@!3%$"</f>
        <v>#VALUE!</v>
      </c>
      <c r="IF371" t="e">
        <f>Asia!H243+"$F;@!3%%"</f>
        <v>#VALUE!</v>
      </c>
      <c r="IG371" t="e">
        <f>Asia!A244+"$F;@!3%&amp;"</f>
        <v>#VALUE!</v>
      </c>
      <c r="IH371" t="e">
        <f>Asia!B244+"$F;@!3%'"</f>
        <v>#VALUE!</v>
      </c>
      <c r="II371" t="e">
        <f>Asia!C244+"$F;@!3%("</f>
        <v>#VALUE!</v>
      </c>
      <c r="IJ371" t="e">
        <f>Asia!D244+"$F;@!3%)"</f>
        <v>#VALUE!</v>
      </c>
      <c r="IK371" t="e">
        <f>Asia!E244+"$F;@!3%."</f>
        <v>#VALUE!</v>
      </c>
      <c r="IL371" t="e">
        <f>Asia!F244+"$F;@!3%/"</f>
        <v>#VALUE!</v>
      </c>
      <c r="IM371" t="e">
        <f>Asia!G244+"$F;@!3%0"</f>
        <v>#VALUE!</v>
      </c>
      <c r="IN371" t="e">
        <f>Asia!H244+"$F;@!3%1"</f>
        <v>#VALUE!</v>
      </c>
      <c r="IO371" t="e">
        <f>Asia!A245+"$F;@!3%2"</f>
        <v>#VALUE!</v>
      </c>
      <c r="IP371" t="e">
        <f>Asia!B245+"$F;@!3%3"</f>
        <v>#VALUE!</v>
      </c>
      <c r="IQ371" t="e">
        <f>Asia!C245+"$F;@!3%4"</f>
        <v>#VALUE!</v>
      </c>
      <c r="IR371" t="e">
        <f>Asia!D245+"$F;@!3%5"</f>
        <v>#VALUE!</v>
      </c>
      <c r="IS371" t="e">
        <f>Asia!E245+"$F;@!3%6"</f>
        <v>#VALUE!</v>
      </c>
      <c r="IT371" t="e">
        <f>Asia!F245+"$F;@!3%7"</f>
        <v>#VALUE!</v>
      </c>
      <c r="IU371" t="e">
        <f>Asia!G245+"$F;@!3%8"</f>
        <v>#VALUE!</v>
      </c>
      <c r="IV371" t="e">
        <f>Asia!H245+"$F;@!3%9"</f>
        <v>#VALUE!</v>
      </c>
    </row>
    <row r="372" spans="6:256" x14ac:dyDescent="0.35">
      <c r="F372" t="e">
        <f>Asia!A246+"$F;@!3%:"</f>
        <v>#VALUE!</v>
      </c>
      <c r="G372" t="e">
        <f>Asia!B246+"$F;@!3%;"</f>
        <v>#VALUE!</v>
      </c>
      <c r="H372" t="e">
        <f>Asia!C246+"$F;@!3%&lt;"</f>
        <v>#VALUE!</v>
      </c>
      <c r="I372" t="e">
        <f>Asia!D246+"$F;@!3%="</f>
        <v>#VALUE!</v>
      </c>
      <c r="J372" t="e">
        <f>Asia!E246+"$F;@!3%&gt;"</f>
        <v>#VALUE!</v>
      </c>
      <c r="K372" t="e">
        <f>Asia!F246+"$F;@!3%?"</f>
        <v>#VALUE!</v>
      </c>
      <c r="L372" t="e">
        <f>Asia!G246+"$F;@!3%@"</f>
        <v>#VALUE!</v>
      </c>
      <c r="M372" t="e">
        <f>Asia!H246+"$F;@!3%A"</f>
        <v>#VALUE!</v>
      </c>
      <c r="N372" t="e">
        <f>Asia!A247+"$F;@!3%B"</f>
        <v>#VALUE!</v>
      </c>
      <c r="O372" t="e">
        <f>Asia!B247+"$F;@!3%C"</f>
        <v>#VALUE!</v>
      </c>
      <c r="P372" t="e">
        <f>Asia!C247+"$F;@!3%D"</f>
        <v>#VALUE!</v>
      </c>
      <c r="Q372" t="e">
        <f>Asia!D247+"$F;@!3%E"</f>
        <v>#VALUE!</v>
      </c>
      <c r="R372" t="e">
        <f>Asia!E247+"$F;@!3%F"</f>
        <v>#VALUE!</v>
      </c>
      <c r="S372" t="e">
        <f>Asia!F247+"$F;@!3%G"</f>
        <v>#VALUE!</v>
      </c>
      <c r="T372" t="e">
        <f>Asia!G247+"$F;@!3%H"</f>
        <v>#VALUE!</v>
      </c>
      <c r="U372" t="e">
        <f>Asia!H247+"$F;@!3%I"</f>
        <v>#VALUE!</v>
      </c>
      <c r="V372" t="e">
        <f>Asia!A248+"$F;@!3%J"</f>
        <v>#VALUE!</v>
      </c>
      <c r="W372" t="e">
        <f>Asia!B248+"$F;@!3%K"</f>
        <v>#VALUE!</v>
      </c>
      <c r="X372" t="e">
        <f>Asia!C248+"$F;@!3%L"</f>
        <v>#VALUE!</v>
      </c>
      <c r="Y372" t="e">
        <f>Asia!D248+"$F;@!3%M"</f>
        <v>#VALUE!</v>
      </c>
      <c r="Z372" t="e">
        <f>Asia!E248+"$F;@!3%N"</f>
        <v>#VALUE!</v>
      </c>
      <c r="AA372" t="e">
        <f>Asia!F248+"$F;@!3%O"</f>
        <v>#VALUE!</v>
      </c>
      <c r="AB372" t="e">
        <f>Asia!G248+"$F;@!3%P"</f>
        <v>#VALUE!</v>
      </c>
      <c r="AC372" t="e">
        <f>Asia!H248+"$F;@!3%Q"</f>
        <v>#VALUE!</v>
      </c>
      <c r="AD372" t="e">
        <f>Asia!A249+"$F;@!3%R"</f>
        <v>#VALUE!</v>
      </c>
      <c r="AE372" t="e">
        <f>Asia!B249+"$F;@!3%S"</f>
        <v>#VALUE!</v>
      </c>
      <c r="AF372" t="e">
        <f>Asia!C249+"$F;@!3%T"</f>
        <v>#VALUE!</v>
      </c>
      <c r="AG372" t="e">
        <f>Asia!D249+"$F;@!3%U"</f>
        <v>#VALUE!</v>
      </c>
      <c r="AH372" t="e">
        <f>Asia!E249+"$F;@!3%V"</f>
        <v>#VALUE!</v>
      </c>
      <c r="AI372" t="e">
        <f>Asia!F249+"$F;@!3%W"</f>
        <v>#VALUE!</v>
      </c>
      <c r="AJ372" t="e">
        <f>Asia!G249+"$F;@!3%X"</f>
        <v>#VALUE!</v>
      </c>
      <c r="AK372" t="e">
        <f>Asia!H249+"$F;@!3%Y"</f>
        <v>#VALUE!</v>
      </c>
      <c r="AL372" t="e">
        <f>Asia!A250+"$F;@!3%Z"</f>
        <v>#VALUE!</v>
      </c>
      <c r="AM372" t="e">
        <f>Asia!B250+"$F;@!3%["</f>
        <v>#VALUE!</v>
      </c>
      <c r="AN372" t="e">
        <f>Asia!C250+"$F;@!3%\"</f>
        <v>#VALUE!</v>
      </c>
      <c r="AO372" t="e">
        <f>Asia!D250+"$F;@!3%]"</f>
        <v>#VALUE!</v>
      </c>
      <c r="AP372" t="e">
        <f>Asia!E250+"$F;@!3%^"</f>
        <v>#VALUE!</v>
      </c>
      <c r="AQ372" t="e">
        <f>Asia!F250+"$F;@!3%_"</f>
        <v>#VALUE!</v>
      </c>
      <c r="AR372" t="e">
        <f>Asia!G250+"$F;@!3%`"</f>
        <v>#VALUE!</v>
      </c>
      <c r="AS372" t="e">
        <f>Asia!H250+"$F;@!3%a"</f>
        <v>#VALUE!</v>
      </c>
      <c r="AT372" t="e">
        <f>Asia!A251+"$F;@!3%b"</f>
        <v>#VALUE!</v>
      </c>
      <c r="AU372" t="e">
        <f>Asia!B251+"$F;@!3%c"</f>
        <v>#VALUE!</v>
      </c>
      <c r="AV372" t="e">
        <f>Asia!C251+"$F;@!3%d"</f>
        <v>#VALUE!</v>
      </c>
      <c r="AW372" t="e">
        <f>Asia!D251+"$F;@!3%e"</f>
        <v>#VALUE!</v>
      </c>
      <c r="AX372" t="e">
        <f>Asia!E251+"$F;@!3%f"</f>
        <v>#VALUE!</v>
      </c>
      <c r="AY372" t="e">
        <f>Asia!F251+"$F;@!3%g"</f>
        <v>#VALUE!</v>
      </c>
      <c r="AZ372" t="e">
        <f>Asia!G251+"$F;@!3%h"</f>
        <v>#VALUE!</v>
      </c>
      <c r="BA372" t="e">
        <f>Asia!H251+"$F;@!3%i"</f>
        <v>#VALUE!</v>
      </c>
      <c r="BB372" t="e">
        <f>Asia!A252+"$F;@!3%j"</f>
        <v>#VALUE!</v>
      </c>
      <c r="BC372" t="e">
        <f>Asia!B252+"$F;@!3%k"</f>
        <v>#VALUE!</v>
      </c>
      <c r="BD372" t="e">
        <f>Asia!C252+"$F;@!3%l"</f>
        <v>#VALUE!</v>
      </c>
      <c r="BE372" t="e">
        <f>Asia!D252+"$F;@!3%m"</f>
        <v>#VALUE!</v>
      </c>
      <c r="BF372" t="e">
        <f>Asia!E252+"$F;@!3%n"</f>
        <v>#VALUE!</v>
      </c>
      <c r="BG372" t="e">
        <f>Asia!F252+"$F;@!3%o"</f>
        <v>#VALUE!</v>
      </c>
      <c r="BH372" t="e">
        <f>Asia!G252+"$F;@!3%p"</f>
        <v>#VALUE!</v>
      </c>
      <c r="BI372" t="e">
        <f>Asia!H252+"$F;@!3%q"</f>
        <v>#VALUE!</v>
      </c>
      <c r="BJ372" t="e">
        <f>Asia!A253+"$F;@!3%r"</f>
        <v>#VALUE!</v>
      </c>
      <c r="BK372" t="e">
        <f>Asia!B253+"$F;@!3%s"</f>
        <v>#VALUE!</v>
      </c>
      <c r="BL372" t="e">
        <f>Asia!C253+"$F;@!3%t"</f>
        <v>#VALUE!</v>
      </c>
      <c r="BM372" t="e">
        <f>Asia!D253+"$F;@!3%u"</f>
        <v>#VALUE!</v>
      </c>
      <c r="BN372" t="e">
        <f>Asia!E253+"$F;@!3%v"</f>
        <v>#VALUE!</v>
      </c>
      <c r="BO372" t="e">
        <f>Asia!F253+"$F;@!3%w"</f>
        <v>#VALUE!</v>
      </c>
      <c r="BP372" t="e">
        <f>Asia!G253+"$F;@!3%x"</f>
        <v>#VALUE!</v>
      </c>
      <c r="BQ372" t="e">
        <f>Asia!H253+"$F;@!3%y"</f>
        <v>#VALUE!</v>
      </c>
      <c r="BR372" t="e">
        <f>Asia!A254+"$F;@!3%z"</f>
        <v>#VALUE!</v>
      </c>
      <c r="BS372" t="e">
        <f>Asia!B254+"$F;@!3%{"</f>
        <v>#VALUE!</v>
      </c>
      <c r="BT372" t="e">
        <f>Asia!C254+"$F;@!3%|"</f>
        <v>#VALUE!</v>
      </c>
      <c r="BU372" t="e">
        <f>Asia!D254+"$F;@!3%}"</f>
        <v>#VALUE!</v>
      </c>
      <c r="BV372" t="e">
        <f>Asia!E254+"$F;@!3%~"</f>
        <v>#VALUE!</v>
      </c>
      <c r="BW372" t="e">
        <f>Asia!F254+"$F;@!3&amp;#"</f>
        <v>#VALUE!</v>
      </c>
      <c r="BX372" t="e">
        <f>Asia!G254+"$F;@!3&amp;$"</f>
        <v>#VALUE!</v>
      </c>
      <c r="BY372" t="e">
        <f>Asia!H254+"$F;@!3&amp;%"</f>
        <v>#VALUE!</v>
      </c>
      <c r="BZ372" t="e">
        <f>Asia!A255+"$F;@!3&amp;&amp;"</f>
        <v>#VALUE!</v>
      </c>
      <c r="CA372" t="e">
        <f>Asia!B255+"$F;@!3&amp;'"</f>
        <v>#VALUE!</v>
      </c>
      <c r="CB372" t="e">
        <f>Asia!C255+"$F;@!3&amp;("</f>
        <v>#VALUE!</v>
      </c>
      <c r="CC372" t="e">
        <f>Asia!D255+"$F;@!3&amp;)"</f>
        <v>#VALUE!</v>
      </c>
      <c r="CD372" t="e">
        <f>Asia!E255+"$F;@!3&amp;."</f>
        <v>#VALUE!</v>
      </c>
      <c r="CE372" t="e">
        <f>Asia!F255+"$F;@!3&amp;/"</f>
        <v>#VALUE!</v>
      </c>
      <c r="CF372" t="e">
        <f>Asia!G255+"$F;@!3&amp;0"</f>
        <v>#VALUE!</v>
      </c>
      <c r="CG372" t="e">
        <f>Asia!H255+"$F;@!3&amp;1"</f>
        <v>#VALUE!</v>
      </c>
      <c r="CH372" t="e">
        <f>Asia!A256+"$F;@!3&amp;2"</f>
        <v>#VALUE!</v>
      </c>
      <c r="CI372" t="e">
        <f>Asia!B256+"$F;@!3&amp;3"</f>
        <v>#VALUE!</v>
      </c>
      <c r="CJ372" t="e">
        <f>Asia!C256+"$F;@!3&amp;4"</f>
        <v>#VALUE!</v>
      </c>
      <c r="CK372" t="e">
        <f>Asia!D256+"$F;@!3&amp;5"</f>
        <v>#VALUE!</v>
      </c>
      <c r="CL372" t="e">
        <f>Asia!E256+"$F;@!3&amp;6"</f>
        <v>#VALUE!</v>
      </c>
      <c r="CM372" t="e">
        <f>Asia!F256+"$F;@!3&amp;7"</f>
        <v>#VALUE!</v>
      </c>
      <c r="CN372" t="e">
        <f>Asia!G256+"$F;@!3&amp;8"</f>
        <v>#VALUE!</v>
      </c>
      <c r="CO372" t="e">
        <f>Asia!H256+"$F;@!3&amp;9"</f>
        <v>#VALUE!</v>
      </c>
      <c r="CP372" t="e">
        <f>Asia!A257+"$F;@!3&amp;:"</f>
        <v>#VALUE!</v>
      </c>
      <c r="CQ372" t="e">
        <f>Asia!B257+"$F;@!3&amp;;"</f>
        <v>#VALUE!</v>
      </c>
      <c r="CR372" t="e">
        <f>Asia!C257+"$F;@!3&amp;&lt;"</f>
        <v>#VALUE!</v>
      </c>
      <c r="CS372" t="e">
        <f>Asia!D257+"$F;@!3&amp;="</f>
        <v>#VALUE!</v>
      </c>
      <c r="CT372" t="e">
        <f>Asia!E257+"$F;@!3&amp;&gt;"</f>
        <v>#VALUE!</v>
      </c>
      <c r="CU372" t="e">
        <f>Asia!F257+"$F;@!3&amp;?"</f>
        <v>#VALUE!</v>
      </c>
      <c r="CV372" t="e">
        <f>Asia!G257+"$F;@!3&amp;@"</f>
        <v>#VALUE!</v>
      </c>
      <c r="CW372" t="e">
        <f>Asia!H257+"$F;@!3&amp;A"</f>
        <v>#VALUE!</v>
      </c>
      <c r="CX372" t="e">
        <f>Asia!A258+"$F;@!3&amp;B"</f>
        <v>#VALUE!</v>
      </c>
      <c r="CY372" t="e">
        <f>Asia!B258+"$F;@!3&amp;C"</f>
        <v>#VALUE!</v>
      </c>
      <c r="CZ372" t="e">
        <f>Asia!C258+"$F;@!3&amp;D"</f>
        <v>#VALUE!</v>
      </c>
      <c r="DA372" t="e">
        <f>Asia!D258+"$F;@!3&amp;E"</f>
        <v>#VALUE!</v>
      </c>
      <c r="DB372" t="e">
        <f>Asia!E258+"$F;@!3&amp;F"</f>
        <v>#VALUE!</v>
      </c>
      <c r="DC372" t="e">
        <f>Asia!F258+"$F;@!3&amp;G"</f>
        <v>#VALUE!</v>
      </c>
      <c r="DD372" t="e">
        <f>Asia!G258+"$F;@!3&amp;H"</f>
        <v>#VALUE!</v>
      </c>
      <c r="DE372" t="e">
        <f>Asia!H258+"$F;@!3&amp;I"</f>
        <v>#VALUE!</v>
      </c>
      <c r="DF372" t="e">
        <f>Asia!A259+"$F;@!3&amp;J"</f>
        <v>#VALUE!</v>
      </c>
      <c r="DG372" t="e">
        <f>Asia!B259+"$F;@!3&amp;K"</f>
        <v>#VALUE!</v>
      </c>
      <c r="DH372" t="e">
        <f>Asia!C259+"$F;@!3&amp;L"</f>
        <v>#VALUE!</v>
      </c>
      <c r="DI372" t="e">
        <f>Asia!D259+"$F;@!3&amp;M"</f>
        <v>#VALUE!</v>
      </c>
      <c r="DJ372" t="e">
        <f>Asia!E259+"$F;@!3&amp;N"</f>
        <v>#VALUE!</v>
      </c>
      <c r="DK372" t="e">
        <f>Asia!F259+"$F;@!3&amp;O"</f>
        <v>#VALUE!</v>
      </c>
      <c r="DL372" t="e">
        <f>Asia!G259+"$F;@!3&amp;P"</f>
        <v>#VALUE!</v>
      </c>
      <c r="DM372" t="e">
        <f>Asia!H259+"$F;@!3&amp;Q"</f>
        <v>#VALUE!</v>
      </c>
      <c r="DN372" t="e">
        <f>Asia!A260+"$F;@!3&amp;R"</f>
        <v>#VALUE!</v>
      </c>
      <c r="DO372" t="e">
        <f>Asia!B260+"$F;@!3&amp;S"</f>
        <v>#VALUE!</v>
      </c>
      <c r="DP372" t="e">
        <f>Asia!C260+"$F;@!3&amp;T"</f>
        <v>#VALUE!</v>
      </c>
      <c r="DQ372" t="e">
        <f>Asia!D260+"$F;@!3&amp;U"</f>
        <v>#VALUE!</v>
      </c>
      <c r="DR372" t="e">
        <f>Asia!E260+"$F;@!3&amp;V"</f>
        <v>#VALUE!</v>
      </c>
      <c r="DS372" t="e">
        <f>Asia!F260+"$F;@!3&amp;W"</f>
        <v>#VALUE!</v>
      </c>
      <c r="DT372" t="e">
        <f>Asia!G260+"$F;@!3&amp;X"</f>
        <v>#VALUE!</v>
      </c>
      <c r="DU372" t="e">
        <f>Asia!H260+"$F;@!3&amp;Y"</f>
        <v>#VALUE!</v>
      </c>
      <c r="DV372" t="e">
        <f>Asia!A261+"$F;@!3&amp;Z"</f>
        <v>#VALUE!</v>
      </c>
      <c r="DW372" t="e">
        <f>Asia!B261+"$F;@!3&amp;["</f>
        <v>#VALUE!</v>
      </c>
      <c r="DX372" t="e">
        <f>Asia!C261+"$F;@!3&amp;\"</f>
        <v>#VALUE!</v>
      </c>
      <c r="DY372" t="e">
        <f>Asia!D261+"$F;@!3&amp;]"</f>
        <v>#VALUE!</v>
      </c>
      <c r="DZ372" t="e">
        <f>Asia!E261+"$F;@!3&amp;^"</f>
        <v>#VALUE!</v>
      </c>
      <c r="EA372" t="e">
        <f>Asia!F261+"$F;@!3&amp;_"</f>
        <v>#VALUE!</v>
      </c>
      <c r="EB372" t="e">
        <f>Asia!G261+"$F;@!3&amp;`"</f>
        <v>#VALUE!</v>
      </c>
      <c r="EC372" t="e">
        <f>Asia!H261+"$F;@!3&amp;a"</f>
        <v>#VALUE!</v>
      </c>
      <c r="ED372" t="e">
        <f>Asia!A262+"$F;@!3&amp;b"</f>
        <v>#VALUE!</v>
      </c>
      <c r="EE372" t="e">
        <f>Asia!B262+"$F;@!3&amp;c"</f>
        <v>#VALUE!</v>
      </c>
      <c r="EF372" t="e">
        <f>Asia!C262+"$F;@!3&amp;d"</f>
        <v>#VALUE!</v>
      </c>
      <c r="EG372" t="e">
        <f>Asia!D262+"$F;@!3&amp;e"</f>
        <v>#VALUE!</v>
      </c>
      <c r="EH372" t="e">
        <f>Asia!E262+"$F;@!3&amp;f"</f>
        <v>#VALUE!</v>
      </c>
      <c r="EI372" t="e">
        <f>Asia!F262+"$F;@!3&amp;g"</f>
        <v>#VALUE!</v>
      </c>
      <c r="EJ372" t="e">
        <f>Asia!G262+"$F;@!3&amp;h"</f>
        <v>#VALUE!</v>
      </c>
      <c r="EK372" t="e">
        <f>Asia!H262+"$F;@!3&amp;i"</f>
        <v>#VALUE!</v>
      </c>
      <c r="EL372" t="e">
        <f>Asia!A263+"$F;@!3&amp;j"</f>
        <v>#VALUE!</v>
      </c>
      <c r="EM372" t="e">
        <f>Asia!B263+"$F;@!3&amp;k"</f>
        <v>#VALUE!</v>
      </c>
      <c r="EN372" t="e">
        <f>Asia!C263+"$F;@!3&amp;l"</f>
        <v>#VALUE!</v>
      </c>
      <c r="EO372" t="e">
        <f>Asia!D263+"$F;@!3&amp;m"</f>
        <v>#VALUE!</v>
      </c>
      <c r="EP372" t="e">
        <f>Asia!E263+"$F;@!3&amp;n"</f>
        <v>#VALUE!</v>
      </c>
      <c r="EQ372" t="e">
        <f>Asia!F263+"$F;@!3&amp;o"</f>
        <v>#VALUE!</v>
      </c>
      <c r="ER372" t="e">
        <f>Asia!G263+"$F;@!3&amp;p"</f>
        <v>#VALUE!</v>
      </c>
      <c r="ES372" t="e">
        <f>Asia!H263+"$F;@!3&amp;q"</f>
        <v>#VALUE!</v>
      </c>
      <c r="ET372" t="e">
        <f>Asia!A264+"$F;@!3&amp;r"</f>
        <v>#VALUE!</v>
      </c>
      <c r="EU372" t="e">
        <f>Asia!B264+"$F;@!3&amp;s"</f>
        <v>#VALUE!</v>
      </c>
      <c r="EV372" t="e">
        <f>Asia!C264+"$F;@!3&amp;t"</f>
        <v>#VALUE!</v>
      </c>
      <c r="EW372" t="e">
        <f>Asia!D264+"$F;@!3&amp;u"</f>
        <v>#VALUE!</v>
      </c>
      <c r="EX372" t="e">
        <f>Asia!E264+"$F;@!3&amp;v"</f>
        <v>#VALUE!</v>
      </c>
      <c r="EY372" t="e">
        <f>Asia!F264+"$F;@!3&amp;w"</f>
        <v>#VALUE!</v>
      </c>
      <c r="EZ372" t="e">
        <f>Asia!G264+"$F;@!3&amp;x"</f>
        <v>#VALUE!</v>
      </c>
      <c r="FA372" t="e">
        <f>Asia!H264+"$F;@!3&amp;y"</f>
        <v>#VALUE!</v>
      </c>
      <c r="FB372" t="e">
        <f>Asia!A265+"$F;@!3&amp;z"</f>
        <v>#VALUE!</v>
      </c>
      <c r="FC372" t="e">
        <f>Asia!B265+"$F;@!3&amp;{"</f>
        <v>#VALUE!</v>
      </c>
      <c r="FD372" t="e">
        <f>Asia!C265+"$F;@!3&amp;|"</f>
        <v>#VALUE!</v>
      </c>
      <c r="FE372" t="e">
        <f>Asia!D265+"$F;@!3&amp;}"</f>
        <v>#VALUE!</v>
      </c>
      <c r="FF372" t="e">
        <f>Asia!E265+"$F;@!3&amp;~"</f>
        <v>#VALUE!</v>
      </c>
      <c r="FG372" t="e">
        <f>Asia!F265+"$F;@!3'#"</f>
        <v>#VALUE!</v>
      </c>
      <c r="FH372" t="e">
        <f>Asia!G265+"$F;@!3'$"</f>
        <v>#VALUE!</v>
      </c>
      <c r="FI372" t="e">
        <f>Asia!H265+"$F;@!3'%"</f>
        <v>#VALUE!</v>
      </c>
      <c r="FJ372" t="e">
        <f>Asia!A266+"$F;@!3'&amp;"</f>
        <v>#VALUE!</v>
      </c>
      <c r="FK372" t="e">
        <f>Asia!B266+"$F;@!3''"</f>
        <v>#VALUE!</v>
      </c>
      <c r="FL372" t="e">
        <f>Asia!C266+"$F;@!3'("</f>
        <v>#VALUE!</v>
      </c>
      <c r="FM372" t="e">
        <f>Asia!D266+"$F;@!3')"</f>
        <v>#VALUE!</v>
      </c>
      <c r="FN372" t="e">
        <f>Asia!E266+"$F;@!3'."</f>
        <v>#VALUE!</v>
      </c>
      <c r="FO372" t="e">
        <f>Asia!F266+"$F;@!3'/"</f>
        <v>#VALUE!</v>
      </c>
      <c r="FP372" t="e">
        <f>Asia!G266+"$F;@!3'0"</f>
        <v>#VALUE!</v>
      </c>
      <c r="FQ372" t="e">
        <f>Asia!H266+"$F;@!3'1"</f>
        <v>#VALUE!</v>
      </c>
      <c r="FR372" t="e">
        <f>Asia!A267+"$F;@!3'2"</f>
        <v>#VALUE!</v>
      </c>
      <c r="FS372" t="e">
        <f>Asia!B267+"$F;@!3'3"</f>
        <v>#VALUE!</v>
      </c>
      <c r="FT372" t="e">
        <f>Asia!C267+"$F;@!3'4"</f>
        <v>#VALUE!</v>
      </c>
      <c r="FU372" t="e">
        <f>Asia!D267+"$F;@!3'5"</f>
        <v>#VALUE!</v>
      </c>
      <c r="FV372" t="e">
        <f>Asia!E267+"$F;@!3'6"</f>
        <v>#VALUE!</v>
      </c>
      <c r="FW372" t="e">
        <f>Asia!F267+"$F;@!3'7"</f>
        <v>#VALUE!</v>
      </c>
      <c r="FX372" t="e">
        <f>Asia!G267+"$F;@!3'8"</f>
        <v>#VALUE!</v>
      </c>
      <c r="FY372" t="e">
        <f>Asia!H267+"$F;@!3'9"</f>
        <v>#VALUE!</v>
      </c>
      <c r="FZ372" t="e">
        <f>Asia!A268+"$F;@!3':"</f>
        <v>#VALUE!</v>
      </c>
      <c r="GA372" t="e">
        <f>Asia!B268+"$F;@!3';"</f>
        <v>#VALUE!</v>
      </c>
      <c r="GB372" t="e">
        <f>Asia!C268+"$F;@!3'&lt;"</f>
        <v>#VALUE!</v>
      </c>
      <c r="GC372" t="e">
        <f>Asia!D268+"$F;@!3'="</f>
        <v>#VALUE!</v>
      </c>
      <c r="GD372" t="e">
        <f>Asia!E268+"$F;@!3'&gt;"</f>
        <v>#VALUE!</v>
      </c>
      <c r="GE372" t="e">
        <f>Asia!F268+"$F;@!3'?"</f>
        <v>#VALUE!</v>
      </c>
      <c r="GF372" t="e">
        <f>Asia!G268+"$F;@!3'@"</f>
        <v>#VALUE!</v>
      </c>
      <c r="GG372" t="e">
        <f>Asia!H268+"$F;@!3'A"</f>
        <v>#VALUE!</v>
      </c>
      <c r="GH372" t="e">
        <f>Asia!A269+"$F;@!3'B"</f>
        <v>#VALUE!</v>
      </c>
      <c r="GI372" t="e">
        <f>Asia!B269+"$F;@!3'C"</f>
        <v>#VALUE!</v>
      </c>
      <c r="GJ372" t="e">
        <f>Asia!C269+"$F;@!3'D"</f>
        <v>#VALUE!</v>
      </c>
      <c r="GK372" t="e">
        <f>Asia!D269+"$F;@!3'E"</f>
        <v>#VALUE!</v>
      </c>
      <c r="GL372" t="e">
        <f>Asia!E269+"$F;@!3'F"</f>
        <v>#VALUE!</v>
      </c>
      <c r="GM372" t="e">
        <f>Asia!F269+"$F;@!3'G"</f>
        <v>#VALUE!</v>
      </c>
      <c r="GN372" t="e">
        <f>Asia!G269+"$F;@!3'H"</f>
        <v>#VALUE!</v>
      </c>
      <c r="GO372" t="e">
        <f>Asia!H269+"$F;@!3'I"</f>
        <v>#VALUE!</v>
      </c>
      <c r="GP372" t="e">
        <f>Asia!A270+"$F;@!3'J"</f>
        <v>#VALUE!</v>
      </c>
      <c r="GQ372" t="e">
        <f>Asia!B270+"$F;@!3'K"</f>
        <v>#VALUE!</v>
      </c>
      <c r="GR372" t="e">
        <f>Asia!C270+"$F;@!3'L"</f>
        <v>#VALUE!</v>
      </c>
      <c r="GS372" t="e">
        <f>Asia!D270+"$F;@!3'M"</f>
        <v>#VALUE!</v>
      </c>
      <c r="GT372" t="e">
        <f>Asia!E270+"$F;@!3'N"</f>
        <v>#VALUE!</v>
      </c>
      <c r="GU372" t="e">
        <f>Asia!F270+"$F;@!3'O"</f>
        <v>#VALUE!</v>
      </c>
      <c r="GV372" t="e">
        <f>Asia!G270+"$F;@!3'P"</f>
        <v>#VALUE!</v>
      </c>
      <c r="GW372" t="e">
        <f>Asia!H270+"$F;@!3'Q"</f>
        <v>#VALUE!</v>
      </c>
      <c r="GX372" t="e">
        <f>Asia!A271+"$F;@!3'R"</f>
        <v>#VALUE!</v>
      </c>
      <c r="GY372" t="e">
        <f>Asia!B271+"$F;@!3'S"</f>
        <v>#VALUE!</v>
      </c>
      <c r="GZ372" t="e">
        <f>Asia!C271+"$F;@!3'T"</f>
        <v>#VALUE!</v>
      </c>
      <c r="HA372" t="e">
        <f>Asia!D271+"$F;@!3'U"</f>
        <v>#VALUE!</v>
      </c>
      <c r="HB372" t="e">
        <f>Asia!E271+"$F;@!3'V"</f>
        <v>#VALUE!</v>
      </c>
      <c r="HC372" t="e">
        <f>Asia!F271+"$F;@!3'W"</f>
        <v>#VALUE!</v>
      </c>
      <c r="HD372" t="e">
        <f>Asia!G271+"$F;@!3'X"</f>
        <v>#VALUE!</v>
      </c>
      <c r="HE372" t="e">
        <f>Asia!H271+"$F;@!3'Y"</f>
        <v>#VALUE!</v>
      </c>
      <c r="HF372" t="e">
        <f>Asia!A272+"$F;@!3'Z"</f>
        <v>#VALUE!</v>
      </c>
      <c r="HG372" t="e">
        <f>Asia!B272+"$F;@!3'["</f>
        <v>#VALUE!</v>
      </c>
      <c r="HH372" t="e">
        <f>Asia!C272+"$F;@!3'\"</f>
        <v>#VALUE!</v>
      </c>
      <c r="HI372" t="e">
        <f>Asia!D272+"$F;@!3']"</f>
        <v>#VALUE!</v>
      </c>
      <c r="HJ372" t="e">
        <f>Asia!E272+"$F;@!3'^"</f>
        <v>#VALUE!</v>
      </c>
      <c r="HK372" t="e">
        <f>Asia!F272+"$F;@!3'_"</f>
        <v>#VALUE!</v>
      </c>
      <c r="HL372" t="e">
        <f>Asia!G272+"$F;@!3'`"</f>
        <v>#VALUE!</v>
      </c>
      <c r="HM372" t="e">
        <f>Asia!H272+"$F;@!3'a"</f>
        <v>#VALUE!</v>
      </c>
      <c r="HN372" t="e">
        <f>Asia!A273+"$F;@!3'b"</f>
        <v>#VALUE!</v>
      </c>
      <c r="HO372" t="e">
        <f>Asia!B273+"$F;@!3'c"</f>
        <v>#VALUE!</v>
      </c>
      <c r="HP372" t="e">
        <f>Asia!C273+"$F;@!3'd"</f>
        <v>#VALUE!</v>
      </c>
      <c r="HQ372" t="e">
        <f>Asia!D273+"$F;@!3'e"</f>
        <v>#VALUE!</v>
      </c>
      <c r="HR372" t="e">
        <f>Asia!E273+"$F;@!3'f"</f>
        <v>#VALUE!</v>
      </c>
      <c r="HS372" t="e">
        <f>Asia!F273+"$F;@!3'g"</f>
        <v>#VALUE!</v>
      </c>
      <c r="HT372" t="e">
        <f>Asia!G273+"$F;@!3'h"</f>
        <v>#VALUE!</v>
      </c>
      <c r="HU372" t="e">
        <f>Asia!H273+"$F;@!3'i"</f>
        <v>#VALUE!</v>
      </c>
      <c r="HV372" t="e">
        <f>Asia!A274+"$F;@!3'j"</f>
        <v>#VALUE!</v>
      </c>
      <c r="HW372" t="e">
        <f>Asia!B274+"$F;@!3'k"</f>
        <v>#VALUE!</v>
      </c>
      <c r="HX372" t="e">
        <f>Asia!C274+"$F;@!3'l"</f>
        <v>#VALUE!</v>
      </c>
      <c r="HY372" t="e">
        <f>Asia!D274+"$F;@!3'm"</f>
        <v>#VALUE!</v>
      </c>
      <c r="HZ372" t="e">
        <f>Asia!E274+"$F;@!3'n"</f>
        <v>#VALUE!</v>
      </c>
      <c r="IA372" t="e">
        <f>Asia!F274+"$F;@!3'o"</f>
        <v>#VALUE!</v>
      </c>
      <c r="IB372" t="e">
        <f>Asia!G274+"$F;@!3'p"</f>
        <v>#VALUE!</v>
      </c>
      <c r="IC372" t="e">
        <f>Asia!H274+"$F;@!3'q"</f>
        <v>#VALUE!</v>
      </c>
      <c r="ID372" t="e">
        <f>Asia!A275+"$F;@!3'r"</f>
        <v>#VALUE!</v>
      </c>
      <c r="IE372" t="e">
        <f>Asia!B275+"$F;@!3's"</f>
        <v>#VALUE!</v>
      </c>
      <c r="IF372" t="e">
        <f>Asia!C275+"$F;@!3't"</f>
        <v>#VALUE!</v>
      </c>
      <c r="IG372" t="e">
        <f>Asia!D275+"$F;@!3'u"</f>
        <v>#VALUE!</v>
      </c>
      <c r="IH372" t="e">
        <f>Asia!E275+"$F;@!3'v"</f>
        <v>#VALUE!</v>
      </c>
      <c r="II372" t="e">
        <f>Asia!F275+"$F;@!3'w"</f>
        <v>#VALUE!</v>
      </c>
      <c r="IJ372" t="e">
        <f>Asia!G275+"$F;@!3'x"</f>
        <v>#VALUE!</v>
      </c>
      <c r="IK372" t="e">
        <f>Asia!H275+"$F;@!3'y"</f>
        <v>#VALUE!</v>
      </c>
      <c r="IL372" t="e">
        <f>Asia!A276+"$F;@!3'z"</f>
        <v>#VALUE!</v>
      </c>
      <c r="IM372" t="e">
        <f>Asia!B276+"$F;@!3'{"</f>
        <v>#VALUE!</v>
      </c>
      <c r="IN372" t="e">
        <f>Asia!C276+"$F;@!3'|"</f>
        <v>#VALUE!</v>
      </c>
      <c r="IO372" t="e">
        <f>Asia!D276+"$F;@!3'}"</f>
        <v>#VALUE!</v>
      </c>
      <c r="IP372" t="e">
        <f>Asia!E276+"$F;@!3'~"</f>
        <v>#VALUE!</v>
      </c>
      <c r="IQ372" t="e">
        <f>Asia!F276+"$F;@!3(#"</f>
        <v>#VALUE!</v>
      </c>
      <c r="IR372" t="e">
        <f>Asia!G276+"$F;@!3($"</f>
        <v>#VALUE!</v>
      </c>
      <c r="IS372" t="e">
        <f>Asia!H276+"$F;@!3(%"</f>
        <v>#VALUE!</v>
      </c>
      <c r="IT372" t="e">
        <f>Asia!A277+"$F;@!3(&amp;"</f>
        <v>#VALUE!</v>
      </c>
      <c r="IU372" t="e">
        <f>Asia!B277+"$F;@!3('"</f>
        <v>#VALUE!</v>
      </c>
      <c r="IV372" t="e">
        <f>Asia!C277+"$F;@!3(("</f>
        <v>#VALUE!</v>
      </c>
    </row>
    <row r="373" spans="6:256" x14ac:dyDescent="0.35">
      <c r="F373" t="e">
        <f>Asia!D277+"$F;@!3()"</f>
        <v>#VALUE!</v>
      </c>
      <c r="G373" t="e">
        <f>Asia!E277+"$F;@!3(."</f>
        <v>#VALUE!</v>
      </c>
      <c r="H373" t="e">
        <f>Asia!F277+"$F;@!3(/"</f>
        <v>#VALUE!</v>
      </c>
      <c r="I373" t="e">
        <f>Asia!G277+"$F;@!3(0"</f>
        <v>#VALUE!</v>
      </c>
      <c r="J373" t="e">
        <f>Asia!H277+"$F;@!3(1"</f>
        <v>#VALUE!</v>
      </c>
      <c r="K373" t="e">
        <f>Asia!A278+"$F;@!3(2"</f>
        <v>#VALUE!</v>
      </c>
      <c r="L373" t="e">
        <f>Asia!B278+"$F;@!3(3"</f>
        <v>#VALUE!</v>
      </c>
      <c r="M373" t="e">
        <f>Asia!C278+"$F;@!3(4"</f>
        <v>#VALUE!</v>
      </c>
      <c r="N373" t="e">
        <f>Asia!D278+"$F;@!3(5"</f>
        <v>#VALUE!</v>
      </c>
      <c r="O373" t="e">
        <f>Asia!E278+"$F;@!3(6"</f>
        <v>#VALUE!</v>
      </c>
      <c r="P373" t="e">
        <f>Asia!F278+"$F;@!3(7"</f>
        <v>#VALUE!</v>
      </c>
      <c r="Q373" t="e">
        <f>Asia!G278+"$F;@!3(8"</f>
        <v>#VALUE!</v>
      </c>
      <c r="R373" t="e">
        <f>Asia!H278+"$F;@!3(9"</f>
        <v>#VALUE!</v>
      </c>
      <c r="S373" t="e">
        <f>Asia!A279+"$F;@!3(:"</f>
        <v>#VALUE!</v>
      </c>
      <c r="T373" t="e">
        <f>Asia!B279+"$F;@!3(;"</f>
        <v>#VALUE!</v>
      </c>
      <c r="U373" t="e">
        <f>Asia!C279+"$F;@!3(&lt;"</f>
        <v>#VALUE!</v>
      </c>
      <c r="V373" t="e">
        <f>Asia!D279+"$F;@!3(="</f>
        <v>#VALUE!</v>
      </c>
      <c r="W373" t="e">
        <f>Asia!E279+"$F;@!3(&gt;"</f>
        <v>#VALUE!</v>
      </c>
      <c r="X373" t="e">
        <f>Asia!F279+"$F;@!3(?"</f>
        <v>#VALUE!</v>
      </c>
      <c r="Y373" t="e">
        <f>Asia!G279+"$F;@!3(@"</f>
        <v>#VALUE!</v>
      </c>
      <c r="Z373" t="e">
        <f>Asia!H279+"$F;@!3(A"</f>
        <v>#VALUE!</v>
      </c>
      <c r="AA373" t="e">
        <f>Asia!A280+"$F;@!3(B"</f>
        <v>#VALUE!</v>
      </c>
      <c r="AB373" t="e">
        <f>Asia!B280+"$F;@!3(C"</f>
        <v>#VALUE!</v>
      </c>
      <c r="AC373" t="e">
        <f>Asia!C280+"$F;@!3(D"</f>
        <v>#VALUE!</v>
      </c>
      <c r="AD373" t="e">
        <f>Asia!D280+"$F;@!3(E"</f>
        <v>#VALUE!</v>
      </c>
      <c r="AE373" t="e">
        <f>Asia!E280+"$F;@!3(F"</f>
        <v>#VALUE!</v>
      </c>
      <c r="AF373" t="e">
        <f>Asia!F280+"$F;@!3(G"</f>
        <v>#VALUE!</v>
      </c>
      <c r="AG373" t="e">
        <f>Asia!G280+"$F;@!3(H"</f>
        <v>#VALUE!</v>
      </c>
      <c r="AH373" t="e">
        <f>Asia!H280+"$F;@!3(I"</f>
        <v>#VALUE!</v>
      </c>
      <c r="AI373" t="e">
        <f>Asia!A281+"$F;@!3(J"</f>
        <v>#VALUE!</v>
      </c>
      <c r="AJ373" t="e">
        <f>Asia!B281+"$F;@!3(K"</f>
        <v>#VALUE!</v>
      </c>
      <c r="AK373" t="e">
        <f>Asia!C281+"$F;@!3(L"</f>
        <v>#VALUE!</v>
      </c>
      <c r="AL373" t="e">
        <f>Asia!D281+"$F;@!3(M"</f>
        <v>#VALUE!</v>
      </c>
      <c r="AM373" t="e">
        <f>Asia!E281+"$F;@!3(N"</f>
        <v>#VALUE!</v>
      </c>
      <c r="AN373" t="e">
        <f>Asia!F281+"$F;@!3(O"</f>
        <v>#VALUE!</v>
      </c>
      <c r="AO373" t="e">
        <f>Asia!G281+"$F;@!3(P"</f>
        <v>#VALUE!</v>
      </c>
      <c r="AP373" t="e">
        <f>Asia!H281+"$F;@!3(Q"</f>
        <v>#VALUE!</v>
      </c>
      <c r="AQ373" t="e">
        <f>Asia!A282+"$F;@!3(R"</f>
        <v>#VALUE!</v>
      </c>
      <c r="AR373" t="e">
        <f>Asia!B282+"$F;@!3(S"</f>
        <v>#VALUE!</v>
      </c>
      <c r="AS373" t="e">
        <f>Asia!C282+"$F;@!3(T"</f>
        <v>#VALUE!</v>
      </c>
      <c r="AT373" t="e">
        <f>Asia!D282+"$F;@!3(U"</f>
        <v>#VALUE!</v>
      </c>
      <c r="AU373" t="e">
        <f>Asia!E282+"$F;@!3(V"</f>
        <v>#VALUE!</v>
      </c>
      <c r="AV373" t="e">
        <f>Asia!F282+"$F;@!3(W"</f>
        <v>#VALUE!</v>
      </c>
      <c r="AW373" t="e">
        <f>Asia!G282+"$F;@!3(X"</f>
        <v>#VALUE!</v>
      </c>
      <c r="AX373" t="e">
        <f>Asia!H282+"$F;@!3(Y"</f>
        <v>#VALUE!</v>
      </c>
      <c r="AY373" t="e">
        <f>Asia!A283+"$F;@!3(Z"</f>
        <v>#VALUE!</v>
      </c>
      <c r="AZ373" t="e">
        <f>Asia!B283+"$F;@!3(["</f>
        <v>#VALUE!</v>
      </c>
      <c r="BA373" t="e">
        <f>Asia!C283+"$F;@!3(\"</f>
        <v>#VALUE!</v>
      </c>
      <c r="BB373" t="e">
        <f>Asia!D283+"$F;@!3(]"</f>
        <v>#VALUE!</v>
      </c>
      <c r="BC373" t="e">
        <f>Asia!E283+"$F;@!3(^"</f>
        <v>#VALUE!</v>
      </c>
      <c r="BD373" t="e">
        <f>Asia!F283+"$F;@!3(_"</f>
        <v>#VALUE!</v>
      </c>
      <c r="BE373" t="e">
        <f>Asia!G283+"$F;@!3(`"</f>
        <v>#VALUE!</v>
      </c>
      <c r="BF373" t="e">
        <f>Asia!H283+"$F;@!3(a"</f>
        <v>#VALUE!</v>
      </c>
      <c r="BG373" t="e">
        <f>Asia!A284+"$F;@!3(b"</f>
        <v>#VALUE!</v>
      </c>
      <c r="BH373" t="e">
        <f>Asia!B284+"$F;@!3(c"</f>
        <v>#VALUE!</v>
      </c>
      <c r="BI373" t="e">
        <f>Asia!C284+"$F;@!3(d"</f>
        <v>#VALUE!</v>
      </c>
      <c r="BJ373" t="e">
        <f>Asia!D284+"$F;@!3(e"</f>
        <v>#VALUE!</v>
      </c>
      <c r="BK373" t="e">
        <f>Asia!E284+"$F;@!3(f"</f>
        <v>#VALUE!</v>
      </c>
      <c r="BL373" t="e">
        <f>Asia!F284+"$F;@!3(g"</f>
        <v>#VALUE!</v>
      </c>
      <c r="BM373" t="e">
        <f>Asia!G284+"$F;@!3(h"</f>
        <v>#VALUE!</v>
      </c>
      <c r="BN373" t="e">
        <f>Asia!H284+"$F;@!3(i"</f>
        <v>#VALUE!</v>
      </c>
      <c r="BO373" t="e">
        <f>Asia!A285+"$F;@!3(j"</f>
        <v>#VALUE!</v>
      </c>
      <c r="BP373" t="e">
        <f>Asia!B285+"$F;@!3(k"</f>
        <v>#VALUE!</v>
      </c>
      <c r="BQ373" t="e">
        <f>Asia!C285+"$F;@!3(l"</f>
        <v>#VALUE!</v>
      </c>
      <c r="BR373" t="e">
        <f>Asia!D285+"$F;@!3(m"</f>
        <v>#VALUE!</v>
      </c>
      <c r="BS373" t="e">
        <f>Asia!E285+"$F;@!3(n"</f>
        <v>#VALUE!</v>
      </c>
      <c r="BT373" t="e">
        <f>Asia!F285+"$F;@!3(o"</f>
        <v>#VALUE!</v>
      </c>
      <c r="BU373" t="e">
        <f>Asia!G285+"$F;@!3(p"</f>
        <v>#VALUE!</v>
      </c>
      <c r="BV373" t="e">
        <f>Asia!H285+"$F;@!3(q"</f>
        <v>#VALUE!</v>
      </c>
      <c r="BW373" t="e">
        <f>Asia!A286+"$F;@!3(r"</f>
        <v>#VALUE!</v>
      </c>
      <c r="BX373" t="e">
        <f>Asia!B286+"$F;@!3(s"</f>
        <v>#VALUE!</v>
      </c>
      <c r="BY373" t="e">
        <f>Asia!C286+"$F;@!3(t"</f>
        <v>#VALUE!</v>
      </c>
      <c r="BZ373" t="e">
        <f>Asia!D286+"$F;@!3(u"</f>
        <v>#VALUE!</v>
      </c>
      <c r="CA373" t="e">
        <f>Asia!E286+"$F;@!3(v"</f>
        <v>#VALUE!</v>
      </c>
      <c r="CB373" t="e">
        <f>Asia!F286+"$F;@!3(w"</f>
        <v>#VALUE!</v>
      </c>
      <c r="CC373" t="e">
        <f>Asia!G286+"$F;@!3(x"</f>
        <v>#VALUE!</v>
      </c>
      <c r="CD373" t="e">
        <f>Asia!H286+"$F;@!3(y"</f>
        <v>#VALUE!</v>
      </c>
      <c r="CE373" t="e">
        <f>Asia!A287+"$F;@!3(z"</f>
        <v>#VALUE!</v>
      </c>
      <c r="CF373" t="e">
        <f>Asia!B287+"$F;@!3({"</f>
        <v>#VALUE!</v>
      </c>
      <c r="CG373" t="e">
        <f>Asia!C287+"$F;@!3(|"</f>
        <v>#VALUE!</v>
      </c>
      <c r="CH373" t="e">
        <f>Asia!D287+"$F;@!3(}"</f>
        <v>#VALUE!</v>
      </c>
      <c r="CI373" t="e">
        <f>Asia!E287+"$F;@!3(~"</f>
        <v>#VALUE!</v>
      </c>
      <c r="CJ373" t="e">
        <f>Asia!F287+"$F;@!3)#"</f>
        <v>#VALUE!</v>
      </c>
      <c r="CK373" t="e">
        <f>Asia!G287+"$F;@!3)$"</f>
        <v>#VALUE!</v>
      </c>
      <c r="CL373" t="e">
        <f>Asia!H287+"$F;@!3)%"</f>
        <v>#VALUE!</v>
      </c>
      <c r="CM373" t="e">
        <f>Asia!A288+"$F;@!3)&amp;"</f>
        <v>#VALUE!</v>
      </c>
      <c r="CN373" t="e">
        <f>Asia!B288+"$F;@!3)'"</f>
        <v>#VALUE!</v>
      </c>
      <c r="CO373" t="e">
        <f>Asia!C288+"$F;@!3)("</f>
        <v>#VALUE!</v>
      </c>
      <c r="CP373" t="e">
        <f>Asia!D288+"$F;@!3))"</f>
        <v>#VALUE!</v>
      </c>
      <c r="CQ373" t="e">
        <f>Asia!E288+"$F;@!3)."</f>
        <v>#VALUE!</v>
      </c>
      <c r="CR373" t="e">
        <f>Asia!F288+"$F;@!3)/"</f>
        <v>#VALUE!</v>
      </c>
      <c r="CS373" t="e">
        <f>Asia!G288+"$F;@!3)0"</f>
        <v>#VALUE!</v>
      </c>
      <c r="CT373" t="e">
        <f>Asia!H288+"$F;@!3)1"</f>
        <v>#VALUE!</v>
      </c>
      <c r="CU373" t="e">
        <f>Asia!A289+"$F;@!3)2"</f>
        <v>#VALUE!</v>
      </c>
      <c r="CV373" t="e">
        <f>Asia!B289+"$F;@!3)3"</f>
        <v>#VALUE!</v>
      </c>
      <c r="CW373" t="e">
        <f>Asia!C289+"$F;@!3)4"</f>
        <v>#VALUE!</v>
      </c>
      <c r="CX373" t="e">
        <f>Asia!D289+"$F;@!3)5"</f>
        <v>#VALUE!</v>
      </c>
      <c r="CY373" t="e">
        <f>Asia!E289+"$F;@!3)6"</f>
        <v>#VALUE!</v>
      </c>
      <c r="CZ373" t="e">
        <f>Asia!F289+"$F;@!3)7"</f>
        <v>#VALUE!</v>
      </c>
      <c r="DA373" t="e">
        <f>Asia!G289+"$F;@!3)8"</f>
        <v>#VALUE!</v>
      </c>
      <c r="DB373" t="e">
        <f>Asia!H289+"$F;@!3)9"</f>
        <v>#VALUE!</v>
      </c>
      <c r="DC373" t="e">
        <f>Asia!A290+"$F;@!3):"</f>
        <v>#VALUE!</v>
      </c>
      <c r="DD373" t="e">
        <f>Asia!B290+"$F;@!3);"</f>
        <v>#VALUE!</v>
      </c>
      <c r="DE373" t="e">
        <f>Asia!C290+"$F;@!3)&lt;"</f>
        <v>#VALUE!</v>
      </c>
      <c r="DF373" t="e">
        <f>Asia!D290+"$F;@!3)="</f>
        <v>#VALUE!</v>
      </c>
      <c r="DG373" t="e">
        <f>Asia!E290+"$F;@!3)&gt;"</f>
        <v>#VALUE!</v>
      </c>
      <c r="DH373" t="e">
        <f>Asia!F290+"$F;@!3)?"</f>
        <v>#VALUE!</v>
      </c>
      <c r="DI373" t="e">
        <f>Asia!G290+"$F;@!3)@"</f>
        <v>#VALUE!</v>
      </c>
      <c r="DJ373" t="e">
        <f>Asia!H290+"$F;@!3)A"</f>
        <v>#VALUE!</v>
      </c>
      <c r="DK373" t="e">
        <f>Asia!A291+"$F;@!3)B"</f>
        <v>#VALUE!</v>
      </c>
      <c r="DL373" t="e">
        <f>Asia!B291+"$F;@!3)C"</f>
        <v>#VALUE!</v>
      </c>
      <c r="DM373" t="e">
        <f>Asia!C291+"$F;@!3)D"</f>
        <v>#VALUE!</v>
      </c>
      <c r="DN373" t="e">
        <f>Asia!D291+"$F;@!3)E"</f>
        <v>#VALUE!</v>
      </c>
      <c r="DO373" t="e">
        <f>Asia!E291+"$F;@!3)F"</f>
        <v>#VALUE!</v>
      </c>
      <c r="DP373" t="e">
        <f>Asia!F291+"$F;@!3)G"</f>
        <v>#VALUE!</v>
      </c>
      <c r="DQ373" t="e">
        <f>Asia!G291+"$F;@!3)H"</f>
        <v>#VALUE!</v>
      </c>
      <c r="DR373" t="e">
        <f>Asia!H291+"$F;@!3)I"</f>
        <v>#VALUE!</v>
      </c>
      <c r="DS373" t="e">
        <f>Asia!A292+"$F;@!3)J"</f>
        <v>#VALUE!</v>
      </c>
      <c r="DT373" t="e">
        <f>Asia!B292+"$F;@!3)K"</f>
        <v>#VALUE!</v>
      </c>
      <c r="DU373" t="e">
        <f>Asia!C292+"$F;@!3)L"</f>
        <v>#VALUE!</v>
      </c>
      <c r="DV373" t="e">
        <f>Asia!D292+"$F;@!3)M"</f>
        <v>#VALUE!</v>
      </c>
      <c r="DW373" t="e">
        <f>Asia!E292+"$F;@!3)N"</f>
        <v>#VALUE!</v>
      </c>
      <c r="DX373" t="e">
        <f>Asia!F292+"$F;@!3)O"</f>
        <v>#VALUE!</v>
      </c>
      <c r="DY373" t="e">
        <f>Asia!G292+"$F;@!3)P"</f>
        <v>#VALUE!</v>
      </c>
      <c r="DZ373" t="e">
        <f>Asia!H292+"$F;@!3)Q"</f>
        <v>#VALUE!</v>
      </c>
      <c r="EA373" t="e">
        <f>Asia!A293+"$F;@!3)R"</f>
        <v>#VALUE!</v>
      </c>
      <c r="EB373" t="e">
        <f>Asia!B293+"$F;@!3)S"</f>
        <v>#VALUE!</v>
      </c>
      <c r="EC373" t="e">
        <f>Asia!C293+"$F;@!3)T"</f>
        <v>#VALUE!</v>
      </c>
      <c r="ED373" t="e">
        <f>Asia!D293+"$F;@!3)U"</f>
        <v>#VALUE!</v>
      </c>
      <c r="EE373" t="e">
        <f>Asia!E293+"$F;@!3)V"</f>
        <v>#VALUE!</v>
      </c>
      <c r="EF373" t="e">
        <f>Asia!F293+"$F;@!3)W"</f>
        <v>#VALUE!</v>
      </c>
      <c r="EG373" t="e">
        <f>Asia!G293+"$F;@!3)X"</f>
        <v>#VALUE!</v>
      </c>
      <c r="EH373" t="e">
        <f>Asia!H293+"$F;@!3)Y"</f>
        <v>#VALUE!</v>
      </c>
      <c r="EI373" t="e">
        <f>Asia!A294+"$F;@!3)Z"</f>
        <v>#VALUE!</v>
      </c>
      <c r="EJ373" t="e">
        <f>Asia!B294+"$F;@!3)["</f>
        <v>#VALUE!</v>
      </c>
      <c r="EK373" t="e">
        <f>Asia!C294+"$F;@!3)\"</f>
        <v>#VALUE!</v>
      </c>
      <c r="EL373" t="e">
        <f>Asia!D294+"$F;@!3)]"</f>
        <v>#VALUE!</v>
      </c>
      <c r="EM373" t="e">
        <f>Asia!E294+"$F;@!3)^"</f>
        <v>#VALUE!</v>
      </c>
      <c r="EN373" t="e">
        <f>Asia!F294+"$F;@!3)_"</f>
        <v>#VALUE!</v>
      </c>
      <c r="EO373" t="e">
        <f>Asia!G294+"$F;@!3)`"</f>
        <v>#VALUE!</v>
      </c>
      <c r="EP373" t="e">
        <f>Asia!H294+"$F;@!3)a"</f>
        <v>#VALUE!</v>
      </c>
      <c r="EQ373" t="e">
        <f>Asia!A295+"$F;@!3)b"</f>
        <v>#VALUE!</v>
      </c>
      <c r="ER373" t="e">
        <f>Asia!B295+"$F;@!3)c"</f>
        <v>#VALUE!</v>
      </c>
      <c r="ES373" t="e">
        <f>Asia!C295+"$F;@!3)d"</f>
        <v>#VALUE!</v>
      </c>
      <c r="ET373" t="e">
        <f>Asia!D295+"$F;@!3)e"</f>
        <v>#VALUE!</v>
      </c>
      <c r="EU373" t="e">
        <f>Asia!E295+"$F;@!3)f"</f>
        <v>#VALUE!</v>
      </c>
      <c r="EV373" t="e">
        <f>Asia!F295+"$F;@!3)g"</f>
        <v>#VALUE!</v>
      </c>
      <c r="EW373" t="e">
        <f>Asia!G295+"$F;@!3)h"</f>
        <v>#VALUE!</v>
      </c>
      <c r="EX373" t="e">
        <f>Asia!H295+"$F;@!3)i"</f>
        <v>#VALUE!</v>
      </c>
      <c r="EY373" t="e">
        <f>Asia!A296+"$F;@!3)j"</f>
        <v>#VALUE!</v>
      </c>
      <c r="EZ373" t="e">
        <f>Asia!B296+"$F;@!3)k"</f>
        <v>#VALUE!</v>
      </c>
      <c r="FA373" t="e">
        <f>Asia!C296+"$F;@!3)l"</f>
        <v>#VALUE!</v>
      </c>
      <c r="FB373" t="e">
        <f>Asia!D296+"$F;@!3)m"</f>
        <v>#VALUE!</v>
      </c>
      <c r="FC373" t="e">
        <f>Asia!E296+"$F;@!3)n"</f>
        <v>#VALUE!</v>
      </c>
      <c r="FD373" t="e">
        <f>Asia!F296+"$F;@!3)o"</f>
        <v>#VALUE!</v>
      </c>
      <c r="FE373" t="e">
        <f>Asia!G296+"$F;@!3)p"</f>
        <v>#VALUE!</v>
      </c>
      <c r="FF373" t="e">
        <f>Asia!H296+"$F;@!3)q"</f>
        <v>#VALUE!</v>
      </c>
      <c r="FG373" t="e">
        <f>Asia!A297+"$F;@!3)r"</f>
        <v>#VALUE!</v>
      </c>
      <c r="FH373" t="e">
        <f>Asia!B297+"$F;@!3)s"</f>
        <v>#VALUE!</v>
      </c>
      <c r="FI373" t="e">
        <f>Asia!C297+"$F;@!3)t"</f>
        <v>#VALUE!</v>
      </c>
      <c r="FJ373" t="e">
        <f>Asia!D297+"$F;@!3)u"</f>
        <v>#VALUE!</v>
      </c>
      <c r="FK373" t="e">
        <f>Asia!E297+"$F;@!3)v"</f>
        <v>#VALUE!</v>
      </c>
      <c r="FL373" t="e">
        <f>Asia!F297+"$F;@!3)w"</f>
        <v>#VALUE!</v>
      </c>
      <c r="FM373" t="e">
        <f>Asia!G297+"$F;@!3)x"</f>
        <v>#VALUE!</v>
      </c>
      <c r="FN373" t="e">
        <f>Asia!H297+"$F;@!3)y"</f>
        <v>#VALUE!</v>
      </c>
      <c r="FO373" t="e">
        <f>Asia!A298+"$F;@!3)z"</f>
        <v>#VALUE!</v>
      </c>
      <c r="FP373" t="e">
        <f>Asia!B298+"$F;@!3){"</f>
        <v>#VALUE!</v>
      </c>
      <c r="FQ373" t="e">
        <f>Asia!C298+"$F;@!3)|"</f>
        <v>#VALUE!</v>
      </c>
      <c r="FR373" t="e">
        <f>Asia!D298+"$F;@!3)}"</f>
        <v>#VALUE!</v>
      </c>
      <c r="FS373" t="e">
        <f>Asia!E298+"$F;@!3)~"</f>
        <v>#VALUE!</v>
      </c>
      <c r="FT373" t="e">
        <f>Asia!F298+"$F;@!3.#"</f>
        <v>#VALUE!</v>
      </c>
      <c r="FU373" t="e">
        <f>Asia!G298+"$F;@!3.$"</f>
        <v>#VALUE!</v>
      </c>
      <c r="FV373" t="e">
        <f>Asia!H298+"$F;@!3.%"</f>
        <v>#VALUE!</v>
      </c>
      <c r="FW373" t="e">
        <f>Asia!A299+"$F;@!3.&amp;"</f>
        <v>#VALUE!</v>
      </c>
      <c r="FX373" t="e">
        <f>Asia!B299+"$F;@!3.'"</f>
        <v>#VALUE!</v>
      </c>
      <c r="FY373" t="e">
        <f>Asia!C299+"$F;@!3.("</f>
        <v>#VALUE!</v>
      </c>
      <c r="FZ373" t="e">
        <f>Asia!D299+"$F;@!3.)"</f>
        <v>#VALUE!</v>
      </c>
      <c r="GA373" t="e">
        <f>Asia!E299+"$F;@!3.."</f>
        <v>#VALUE!</v>
      </c>
      <c r="GB373" t="e">
        <f>Asia!F299+"$F;@!3./"</f>
        <v>#VALUE!</v>
      </c>
      <c r="GC373" t="e">
        <f>Asia!G299+"$F;@!3.0"</f>
        <v>#VALUE!</v>
      </c>
      <c r="GD373" t="e">
        <f>Asia!H299+"$F;@!3.1"</f>
        <v>#VALUE!</v>
      </c>
      <c r="GE373" t="e">
        <f>Asia!A300+"$F;@!3.2"</f>
        <v>#VALUE!</v>
      </c>
      <c r="GF373" t="e">
        <f>Asia!B300+"$F;@!3.3"</f>
        <v>#VALUE!</v>
      </c>
      <c r="GG373" t="e">
        <f>Asia!C300+"$F;@!3.4"</f>
        <v>#VALUE!</v>
      </c>
      <c r="GH373" t="e">
        <f>Asia!D300+"$F;@!3.5"</f>
        <v>#VALUE!</v>
      </c>
      <c r="GI373" t="e">
        <f>Asia!E300+"$F;@!3.6"</f>
        <v>#VALUE!</v>
      </c>
      <c r="GJ373" t="e">
        <f>Asia!F300+"$F;@!3.7"</f>
        <v>#VALUE!</v>
      </c>
      <c r="GK373" t="e">
        <f>Asia!G300+"$F;@!3.8"</f>
        <v>#VALUE!</v>
      </c>
      <c r="GL373" t="e">
        <f>Asia!H300+"$F;@!3.9"</f>
        <v>#VALUE!</v>
      </c>
      <c r="GM373" t="e">
        <f>Asia!A301+"$F;@!3.:"</f>
        <v>#VALUE!</v>
      </c>
      <c r="GN373" t="e">
        <f>Asia!B301+"$F;@!3.;"</f>
        <v>#VALUE!</v>
      </c>
      <c r="GO373" t="e">
        <f>Asia!C301+"$F;@!3.&lt;"</f>
        <v>#VALUE!</v>
      </c>
      <c r="GP373" t="e">
        <f>Asia!D301+"$F;@!3.="</f>
        <v>#VALUE!</v>
      </c>
      <c r="GQ373" t="e">
        <f>Asia!E301+"$F;@!3.&gt;"</f>
        <v>#VALUE!</v>
      </c>
      <c r="GR373" t="e">
        <f>Asia!F301+"$F;@!3.?"</f>
        <v>#VALUE!</v>
      </c>
      <c r="GS373" t="e">
        <f>Asia!G301+"$F;@!3.@"</f>
        <v>#VALUE!</v>
      </c>
      <c r="GT373" t="e">
        <f>Asia!H301+"$F;@!3.A"</f>
        <v>#VALUE!</v>
      </c>
      <c r="GU373" t="e">
        <f>Asia!A302+"$F;@!3.B"</f>
        <v>#VALUE!</v>
      </c>
      <c r="GV373" t="e">
        <f>Asia!B302+"$F;@!3.C"</f>
        <v>#VALUE!</v>
      </c>
      <c r="GW373" t="e">
        <f>Asia!C302+"$F;@!3.D"</f>
        <v>#VALUE!</v>
      </c>
      <c r="GX373" t="e">
        <f>Asia!D302+"$F;@!3.E"</f>
        <v>#VALUE!</v>
      </c>
      <c r="GY373" t="e">
        <f>Asia!E302+"$F;@!3.F"</f>
        <v>#VALUE!</v>
      </c>
      <c r="GZ373" t="e">
        <f>Asia!F302+"$F;@!3.G"</f>
        <v>#VALUE!</v>
      </c>
      <c r="HA373" t="e">
        <f>Asia!G302+"$F;@!3.H"</f>
        <v>#VALUE!</v>
      </c>
      <c r="HB373" t="e">
        <f>Asia!H302+"$F;@!3.I"</f>
        <v>#VALUE!</v>
      </c>
      <c r="HC373" t="e">
        <f>Asia!A303+"$F;@!3.J"</f>
        <v>#VALUE!</v>
      </c>
      <c r="HD373" t="e">
        <f>Asia!B303+"$F;@!3.K"</f>
        <v>#VALUE!</v>
      </c>
      <c r="HE373" t="e">
        <f>Asia!C303+"$F;@!3.L"</f>
        <v>#VALUE!</v>
      </c>
      <c r="HF373" t="e">
        <f>Asia!D303+"$F;@!3.M"</f>
        <v>#VALUE!</v>
      </c>
      <c r="HG373" t="e">
        <f>Asia!E303+"$F;@!3.N"</f>
        <v>#VALUE!</v>
      </c>
      <c r="HH373" t="e">
        <f>Asia!F303+"$F;@!3.O"</f>
        <v>#VALUE!</v>
      </c>
      <c r="HI373" t="e">
        <f>Asia!G303+"$F;@!3.P"</f>
        <v>#VALUE!</v>
      </c>
      <c r="HJ373" t="e">
        <f>Asia!H303+"$F;@!3.Q"</f>
        <v>#VALUE!</v>
      </c>
      <c r="HK373" t="e">
        <f>Asia!A304+"$F;@!3.R"</f>
        <v>#VALUE!</v>
      </c>
      <c r="HL373" t="e">
        <f>Asia!B304+"$F;@!3.S"</f>
        <v>#VALUE!</v>
      </c>
      <c r="HM373" t="e">
        <f>Asia!C304+"$F;@!3.T"</f>
        <v>#VALUE!</v>
      </c>
      <c r="HN373" t="e">
        <f>Asia!D304+"$F;@!3.U"</f>
        <v>#VALUE!</v>
      </c>
      <c r="HO373" t="e">
        <f>Asia!E304+"$F;@!3.V"</f>
        <v>#VALUE!</v>
      </c>
      <c r="HP373" t="e">
        <f>Asia!F304+"$F;@!3.W"</f>
        <v>#VALUE!</v>
      </c>
      <c r="HQ373" t="e">
        <f>Asia!G304+"$F;@!3.X"</f>
        <v>#VALUE!</v>
      </c>
      <c r="HR373" t="e">
        <f>Asia!H304+"$F;@!3.Y"</f>
        <v>#VALUE!</v>
      </c>
      <c r="HS373" t="e">
        <f>Asia!A305+"$F;@!3.Z"</f>
        <v>#VALUE!</v>
      </c>
      <c r="HT373" t="e">
        <f>Asia!B305+"$F;@!3.["</f>
        <v>#VALUE!</v>
      </c>
      <c r="HU373" t="e">
        <f>Asia!C305+"$F;@!3.\"</f>
        <v>#VALUE!</v>
      </c>
      <c r="HV373" t="e">
        <f>Asia!D305+"$F;@!3.]"</f>
        <v>#VALUE!</v>
      </c>
      <c r="HW373" t="e">
        <f>Asia!E305+"$F;@!3.^"</f>
        <v>#VALUE!</v>
      </c>
      <c r="HX373" t="e">
        <f>Asia!F305+"$F;@!3._"</f>
        <v>#VALUE!</v>
      </c>
      <c r="HY373" t="e">
        <f>Asia!G305+"$F;@!3.`"</f>
        <v>#VALUE!</v>
      </c>
      <c r="HZ373" t="e">
        <f>Asia!H305+"$F;@!3.a"</f>
        <v>#VALUE!</v>
      </c>
      <c r="IA373" t="e">
        <f>Asia!A306+"$F;@!3.b"</f>
        <v>#VALUE!</v>
      </c>
      <c r="IB373" t="e">
        <f>Asia!B306+"$F;@!3.c"</f>
        <v>#VALUE!</v>
      </c>
      <c r="IC373" t="e">
        <f>Asia!C306+"$F;@!3.d"</f>
        <v>#VALUE!</v>
      </c>
      <c r="ID373" t="e">
        <f>Asia!D306+"$F;@!3.e"</f>
        <v>#VALUE!</v>
      </c>
      <c r="IE373" t="e">
        <f>Asia!E306+"$F;@!3.f"</f>
        <v>#VALUE!</v>
      </c>
      <c r="IF373" t="e">
        <f>Asia!F306+"$F;@!3.g"</f>
        <v>#VALUE!</v>
      </c>
      <c r="IG373" t="e">
        <f>Asia!G306+"$F;@!3.h"</f>
        <v>#VALUE!</v>
      </c>
      <c r="IH373" t="e">
        <f>Asia!H306+"$F;@!3.i"</f>
        <v>#VALUE!</v>
      </c>
      <c r="II373" t="e">
        <f>Asia!A307+"$F;@!3.j"</f>
        <v>#VALUE!</v>
      </c>
      <c r="IJ373" t="e">
        <f>Asia!B307+"$F;@!3.k"</f>
        <v>#VALUE!</v>
      </c>
      <c r="IK373" t="e">
        <f>Asia!C307+"$F;@!3.l"</f>
        <v>#VALUE!</v>
      </c>
      <c r="IL373" t="e">
        <f>Asia!D307+"$F;@!3.m"</f>
        <v>#VALUE!</v>
      </c>
      <c r="IM373" t="e">
        <f>Asia!E307+"$F;@!3.n"</f>
        <v>#VALUE!</v>
      </c>
      <c r="IN373" t="e">
        <f>Asia!F307+"$F;@!3.o"</f>
        <v>#VALUE!</v>
      </c>
      <c r="IO373" t="e">
        <f>Asia!G307+"$F;@!3.p"</f>
        <v>#VALUE!</v>
      </c>
      <c r="IP373" t="e">
        <f>Asia!H307+"$F;@!3.q"</f>
        <v>#VALUE!</v>
      </c>
      <c r="IQ373" t="e">
        <f>Asia!A308+"$F;@!3.r"</f>
        <v>#VALUE!</v>
      </c>
      <c r="IR373" t="e">
        <f>Asia!B308+"$F;@!3.s"</f>
        <v>#VALUE!</v>
      </c>
      <c r="IS373" t="e">
        <f>Asia!C308+"$F;@!3.t"</f>
        <v>#VALUE!</v>
      </c>
      <c r="IT373" t="e">
        <f>Asia!D308+"$F;@!3.u"</f>
        <v>#VALUE!</v>
      </c>
      <c r="IU373" t="e">
        <f>Asia!E308+"$F;@!3.v"</f>
        <v>#VALUE!</v>
      </c>
      <c r="IV373" t="e">
        <f>Asia!F308+"$F;@!3.w"</f>
        <v>#VALUE!</v>
      </c>
    </row>
    <row r="374" spans="6:256" x14ac:dyDescent="0.35">
      <c r="F374" t="e">
        <f>Asia!G308+"$F;@!3.x"</f>
        <v>#VALUE!</v>
      </c>
      <c r="G374" t="e">
        <f>Asia!H308+"$F;@!3.y"</f>
        <v>#VALUE!</v>
      </c>
      <c r="H374" t="e">
        <f>Asia!A309+"$F;@!3.z"</f>
        <v>#VALUE!</v>
      </c>
      <c r="I374" t="e">
        <f>Asia!B309+"$F;@!3.{"</f>
        <v>#VALUE!</v>
      </c>
      <c r="J374" t="e">
        <f>Asia!C309+"$F;@!3.|"</f>
        <v>#VALUE!</v>
      </c>
      <c r="K374" t="e">
        <f>Asia!D309+"$F;@!3.}"</f>
        <v>#VALUE!</v>
      </c>
      <c r="L374" t="e">
        <f>Asia!E309+"$F;@!3.~"</f>
        <v>#VALUE!</v>
      </c>
      <c r="M374" t="e">
        <f>Asia!F309+"$F;@!3/#"</f>
        <v>#VALUE!</v>
      </c>
      <c r="N374" t="e">
        <f>Asia!G309+"$F;@!3/$"</f>
        <v>#VALUE!</v>
      </c>
      <c r="O374" t="e">
        <f>Asia!H309+"$F;@!3/%"</f>
        <v>#VALUE!</v>
      </c>
      <c r="P374" t="e">
        <f>Asia!A310+"$F;@!3/&amp;"</f>
        <v>#VALUE!</v>
      </c>
      <c r="Q374" t="e">
        <f>Asia!B310+"$F;@!3/'"</f>
        <v>#VALUE!</v>
      </c>
      <c r="R374" t="e">
        <f>Asia!C310+"$F;@!3/("</f>
        <v>#VALUE!</v>
      </c>
      <c r="S374" t="e">
        <f>Asia!D310+"$F;@!3/)"</f>
        <v>#VALUE!</v>
      </c>
      <c r="T374" t="e">
        <f>Asia!E310+"$F;@!3/."</f>
        <v>#VALUE!</v>
      </c>
      <c r="U374" t="e">
        <f>Asia!F310+"$F;@!3//"</f>
        <v>#VALUE!</v>
      </c>
      <c r="V374" t="e">
        <f>Asia!G310+"$F;@!3/0"</f>
        <v>#VALUE!</v>
      </c>
      <c r="W374" t="e">
        <f>Asia!H310+"$F;@!3/1"</f>
        <v>#VALUE!</v>
      </c>
      <c r="X374" t="e">
        <f>Asia!A311+"$F;@!3/2"</f>
        <v>#VALUE!</v>
      </c>
      <c r="Y374" t="e">
        <f>Asia!B311+"$F;@!3/3"</f>
        <v>#VALUE!</v>
      </c>
      <c r="Z374" t="e">
        <f>Asia!C311+"$F;@!3/4"</f>
        <v>#VALUE!</v>
      </c>
      <c r="AA374" t="e">
        <f>Asia!D311+"$F;@!3/5"</f>
        <v>#VALUE!</v>
      </c>
      <c r="AB374" t="e">
        <f>Asia!E311+"$F;@!3/6"</f>
        <v>#VALUE!</v>
      </c>
      <c r="AC374" t="e">
        <f>Asia!F311+"$F;@!3/7"</f>
        <v>#VALUE!</v>
      </c>
      <c r="AD374" t="e">
        <f>Asia!G311+"$F;@!3/8"</f>
        <v>#VALUE!</v>
      </c>
      <c r="AE374" t="e">
        <f>Asia!H311+"$F;@!3/9"</f>
        <v>#VALUE!</v>
      </c>
      <c r="AF374" t="e">
        <f>Asia!A312+"$F;@!3/:"</f>
        <v>#VALUE!</v>
      </c>
      <c r="AG374" t="e">
        <f>Asia!B312+"$F;@!3/;"</f>
        <v>#VALUE!</v>
      </c>
      <c r="AH374" t="e">
        <f>Asia!C312+"$F;@!3/&lt;"</f>
        <v>#VALUE!</v>
      </c>
      <c r="AI374" t="e">
        <f>Asia!D312+"$F;@!3/="</f>
        <v>#VALUE!</v>
      </c>
      <c r="AJ374" t="e">
        <f>Asia!E312+"$F;@!3/&gt;"</f>
        <v>#VALUE!</v>
      </c>
      <c r="AK374" t="e">
        <f>Asia!F312+"$F;@!3/?"</f>
        <v>#VALUE!</v>
      </c>
      <c r="AL374" t="e">
        <f>Asia!G312+"$F;@!3/@"</f>
        <v>#VALUE!</v>
      </c>
      <c r="AM374" t="e">
        <f>Asia!H312+"$F;@!3/A"</f>
        <v>#VALUE!</v>
      </c>
      <c r="AN374" t="e">
        <f>Asia!A313+"$F;@!3/B"</f>
        <v>#VALUE!</v>
      </c>
      <c r="AO374" t="e">
        <f>Asia!B313+"$F;@!3/C"</f>
        <v>#VALUE!</v>
      </c>
      <c r="AP374" t="e">
        <f>Asia!C313+"$F;@!3/D"</f>
        <v>#VALUE!</v>
      </c>
      <c r="AQ374" t="e">
        <f>Asia!D313+"$F;@!3/E"</f>
        <v>#VALUE!</v>
      </c>
      <c r="AR374" t="e">
        <f>Asia!E313+"$F;@!3/F"</f>
        <v>#VALUE!</v>
      </c>
      <c r="AS374" t="e">
        <f>Asia!F313+"$F;@!3/G"</f>
        <v>#VALUE!</v>
      </c>
      <c r="AT374" t="e">
        <f>Asia!G313+"$F;@!3/H"</f>
        <v>#VALUE!</v>
      </c>
      <c r="AU374" t="e">
        <f>Asia!H313+"$F;@!3/I"</f>
        <v>#VALUE!</v>
      </c>
      <c r="AV374" t="e">
        <f>Asia!A314+"$F;@!3/J"</f>
        <v>#VALUE!</v>
      </c>
      <c r="AW374" t="e">
        <f>Asia!B314+"$F;@!3/K"</f>
        <v>#VALUE!</v>
      </c>
      <c r="AX374" t="e">
        <f>Asia!C314+"$F;@!3/L"</f>
        <v>#VALUE!</v>
      </c>
      <c r="AY374" t="e">
        <f>Asia!D314+"$F;@!3/M"</f>
        <v>#VALUE!</v>
      </c>
      <c r="AZ374" t="e">
        <f>Asia!E314+"$F;@!3/N"</f>
        <v>#VALUE!</v>
      </c>
      <c r="BA374" t="e">
        <f>Asia!F314+"$F;@!3/O"</f>
        <v>#VALUE!</v>
      </c>
      <c r="BB374" t="e">
        <f>Asia!G314+"$F;@!3/P"</f>
        <v>#VALUE!</v>
      </c>
      <c r="BC374" t="e">
        <f>Asia!H314+"$F;@!3/Q"</f>
        <v>#VALUE!</v>
      </c>
      <c r="BD374" t="e">
        <f>Asia!A315+"$F;@!3/R"</f>
        <v>#VALUE!</v>
      </c>
      <c r="BE374" t="e">
        <f>Asia!B315+"$F;@!3/S"</f>
        <v>#VALUE!</v>
      </c>
      <c r="BF374" t="e">
        <f>Asia!C315+"$F;@!3/T"</f>
        <v>#VALUE!</v>
      </c>
      <c r="BG374" t="e">
        <f>Asia!D315+"$F;@!3/U"</f>
        <v>#VALUE!</v>
      </c>
      <c r="BH374" t="e">
        <f>Asia!E315+"$F;@!3/V"</f>
        <v>#VALUE!</v>
      </c>
      <c r="BI374" t="e">
        <f>Asia!F315+"$F;@!3/W"</f>
        <v>#VALUE!</v>
      </c>
      <c r="BJ374" t="e">
        <f>Asia!G315+"$F;@!3/X"</f>
        <v>#VALUE!</v>
      </c>
      <c r="BK374" t="e">
        <f>Asia!H315+"$F;@!3/Y"</f>
        <v>#VALUE!</v>
      </c>
      <c r="BL374" t="e">
        <f>Asia!A316+"$F;@!3/Z"</f>
        <v>#VALUE!</v>
      </c>
      <c r="BM374" t="e">
        <f>Asia!B316+"$F;@!3/["</f>
        <v>#VALUE!</v>
      </c>
      <c r="BN374" t="e">
        <f>Asia!C316+"$F;@!3/\"</f>
        <v>#VALUE!</v>
      </c>
      <c r="BO374" t="e">
        <f>Asia!D316+"$F;@!3/]"</f>
        <v>#VALUE!</v>
      </c>
      <c r="BP374" t="e">
        <f>Asia!E316+"$F;@!3/^"</f>
        <v>#VALUE!</v>
      </c>
      <c r="BQ374" t="e">
        <f>Asia!F316+"$F;@!3/_"</f>
        <v>#VALUE!</v>
      </c>
      <c r="BR374" t="e">
        <f>Asia!G316+"$F;@!3/`"</f>
        <v>#VALUE!</v>
      </c>
      <c r="BS374" t="e">
        <f>Asia!H316+"$F;@!3/a"</f>
        <v>#VALUE!</v>
      </c>
      <c r="BT374" t="e">
        <f>Asia!A317+"$F;@!3/b"</f>
        <v>#VALUE!</v>
      </c>
      <c r="BU374" t="e">
        <f>Asia!B317+"$F;@!3/c"</f>
        <v>#VALUE!</v>
      </c>
      <c r="BV374" t="e">
        <f>Asia!C317+"$F;@!3/d"</f>
        <v>#VALUE!</v>
      </c>
      <c r="BW374" t="e">
        <f>Asia!D317+"$F;@!3/e"</f>
        <v>#VALUE!</v>
      </c>
      <c r="BX374" t="e">
        <f>Asia!E317+"$F;@!3/f"</f>
        <v>#VALUE!</v>
      </c>
      <c r="BY374" t="e">
        <f>Asia!F317+"$F;@!3/g"</f>
        <v>#VALUE!</v>
      </c>
      <c r="BZ374" t="e">
        <f>Asia!G317+"$F;@!3/h"</f>
        <v>#VALUE!</v>
      </c>
      <c r="CA374" t="e">
        <f>Asia!H317+"$F;@!3/i"</f>
        <v>#VALUE!</v>
      </c>
      <c r="CB374" t="e">
        <f>Asia!A318+"$F;@!3/j"</f>
        <v>#VALUE!</v>
      </c>
      <c r="CC374" t="e">
        <f>Asia!B318+"$F;@!3/k"</f>
        <v>#VALUE!</v>
      </c>
      <c r="CD374" t="e">
        <f>Asia!C318+"$F;@!3/l"</f>
        <v>#VALUE!</v>
      </c>
      <c r="CE374" t="e">
        <f>Asia!D318+"$F;@!3/m"</f>
        <v>#VALUE!</v>
      </c>
      <c r="CF374" t="e">
        <f>Asia!E318+"$F;@!3/n"</f>
        <v>#VALUE!</v>
      </c>
      <c r="CG374" t="e">
        <f>Asia!F318+"$F;@!3/o"</f>
        <v>#VALUE!</v>
      </c>
      <c r="CH374" t="e">
        <f>Asia!G318+"$F;@!3/p"</f>
        <v>#VALUE!</v>
      </c>
      <c r="CI374" t="e">
        <f>Asia!H318+"$F;@!3/q"</f>
        <v>#VALUE!</v>
      </c>
      <c r="CJ374" t="e">
        <f>Asia!A319+"$F;@!3/r"</f>
        <v>#VALUE!</v>
      </c>
      <c r="CK374" t="e">
        <f>Asia!B319+"$F;@!3/s"</f>
        <v>#VALUE!</v>
      </c>
      <c r="CL374" t="e">
        <f>Asia!C319+"$F;@!3/t"</f>
        <v>#VALUE!</v>
      </c>
      <c r="CM374" t="e">
        <f>Asia!D319+"$F;@!3/u"</f>
        <v>#VALUE!</v>
      </c>
      <c r="CN374" t="e">
        <f>Asia!E319+"$F;@!3/v"</f>
        <v>#VALUE!</v>
      </c>
      <c r="CO374" t="e">
        <f>Asia!F319+"$F;@!3/w"</f>
        <v>#VALUE!</v>
      </c>
      <c r="CP374" t="e">
        <f>Asia!G319+"$F;@!3/x"</f>
        <v>#VALUE!</v>
      </c>
      <c r="CQ374" t="e">
        <f>Asia!H319+"$F;@!3/y"</f>
        <v>#VALUE!</v>
      </c>
      <c r="CR374" t="e">
        <f>Asia!A320+"$F;@!3/z"</f>
        <v>#VALUE!</v>
      </c>
      <c r="CS374" t="e">
        <f>Asia!B320+"$F;@!3/{"</f>
        <v>#VALUE!</v>
      </c>
      <c r="CT374" t="e">
        <f>Asia!C320+"$F;@!3/|"</f>
        <v>#VALUE!</v>
      </c>
      <c r="CU374" t="e">
        <f>Asia!D320+"$F;@!3/}"</f>
        <v>#VALUE!</v>
      </c>
      <c r="CV374" t="e">
        <f>Asia!E320+"$F;@!3/~"</f>
        <v>#VALUE!</v>
      </c>
      <c r="CW374" t="e">
        <f>Asia!F320+"$F;@!30#"</f>
        <v>#VALUE!</v>
      </c>
      <c r="CX374" t="e">
        <f>Asia!G320+"$F;@!30$"</f>
        <v>#VALUE!</v>
      </c>
      <c r="CY374" t="e">
        <f>Asia!H320+"$F;@!30%"</f>
        <v>#VALUE!</v>
      </c>
      <c r="CZ374" t="e">
        <f>Asia!A321+"$F;@!30&amp;"</f>
        <v>#VALUE!</v>
      </c>
      <c r="DA374" t="e">
        <f>Asia!B321+"$F;@!30'"</f>
        <v>#VALUE!</v>
      </c>
      <c r="DB374" t="e">
        <f>Asia!C321+"$F;@!30("</f>
        <v>#VALUE!</v>
      </c>
      <c r="DC374" t="e">
        <f>Asia!D321+"$F;@!30)"</f>
        <v>#VALUE!</v>
      </c>
      <c r="DD374" t="e">
        <f>Asia!E321+"$F;@!30."</f>
        <v>#VALUE!</v>
      </c>
      <c r="DE374" t="e">
        <f>Asia!F321+"$F;@!30/"</f>
        <v>#VALUE!</v>
      </c>
      <c r="DF374" t="e">
        <f>Asia!G321+"$F;@!300"</f>
        <v>#VALUE!</v>
      </c>
      <c r="DG374" t="e">
        <f>Asia!H321+"$F;@!301"</f>
        <v>#VALUE!</v>
      </c>
      <c r="DH374" t="e">
        <f>Asia!A322+"$F;@!302"</f>
        <v>#VALUE!</v>
      </c>
      <c r="DI374" t="e">
        <f>Asia!B322+"$F;@!303"</f>
        <v>#VALUE!</v>
      </c>
      <c r="DJ374" t="e">
        <f>Asia!C322+"$F;@!304"</f>
        <v>#VALUE!</v>
      </c>
      <c r="DK374" t="e">
        <f>Asia!D322+"$F;@!305"</f>
        <v>#VALUE!</v>
      </c>
      <c r="DL374" t="e">
        <f>Asia!E322+"$F;@!306"</f>
        <v>#VALUE!</v>
      </c>
      <c r="DM374" t="e">
        <f>Asia!F322+"$F;@!307"</f>
        <v>#VALUE!</v>
      </c>
      <c r="DN374" t="e">
        <f>Asia!G322+"$F;@!308"</f>
        <v>#VALUE!</v>
      </c>
      <c r="DO374" t="e">
        <f>Asia!H322+"$F;@!309"</f>
        <v>#VALUE!</v>
      </c>
      <c r="DP374" t="e">
        <f>Asia!A323+"$F;@!30:"</f>
        <v>#VALUE!</v>
      </c>
      <c r="DQ374" t="e">
        <f>Asia!B323+"$F;@!30;"</f>
        <v>#VALUE!</v>
      </c>
      <c r="DR374" t="e">
        <f>Asia!C323+"$F;@!30&lt;"</f>
        <v>#VALUE!</v>
      </c>
      <c r="DS374" t="e">
        <f>Asia!D323+"$F;@!30="</f>
        <v>#VALUE!</v>
      </c>
      <c r="DT374" t="e">
        <f>Asia!E323+"$F;@!30&gt;"</f>
        <v>#VALUE!</v>
      </c>
      <c r="DU374" t="e">
        <f>Asia!F323+"$F;@!30?"</f>
        <v>#VALUE!</v>
      </c>
      <c r="DV374" t="e">
        <f>Asia!G323+"$F;@!30@"</f>
        <v>#VALUE!</v>
      </c>
      <c r="DW374" t="e">
        <f>Asia!H323+"$F;@!30A"</f>
        <v>#VALUE!</v>
      </c>
      <c r="DX374" t="e">
        <f>Asia!A324+"$F;@!30B"</f>
        <v>#VALUE!</v>
      </c>
      <c r="DY374" t="e">
        <f>Asia!B324+"$F;@!30C"</f>
        <v>#VALUE!</v>
      </c>
      <c r="DZ374" t="e">
        <f>Asia!C324+"$F;@!30D"</f>
        <v>#VALUE!</v>
      </c>
      <c r="EA374" t="e">
        <f>Asia!D324+"$F;@!30E"</f>
        <v>#VALUE!</v>
      </c>
      <c r="EB374" t="e">
        <f>Asia!E324+"$F;@!30F"</f>
        <v>#VALUE!</v>
      </c>
      <c r="EC374" t="e">
        <f>Asia!F324+"$F;@!30G"</f>
        <v>#VALUE!</v>
      </c>
      <c r="ED374" t="e">
        <f>Asia!G324+"$F;@!30H"</f>
        <v>#VALUE!</v>
      </c>
      <c r="EE374" t="e">
        <f>Asia!H324+"$F;@!30I"</f>
        <v>#VALUE!</v>
      </c>
      <c r="EF374" t="e">
        <f>Asia!A325+"$F;@!30J"</f>
        <v>#VALUE!</v>
      </c>
      <c r="EG374" t="e">
        <f>Asia!B325+"$F;@!30K"</f>
        <v>#VALUE!</v>
      </c>
      <c r="EH374" t="e">
        <f>Asia!C325+"$F;@!30L"</f>
        <v>#VALUE!</v>
      </c>
      <c r="EI374" t="e">
        <f>Asia!D325+"$F;@!30M"</f>
        <v>#VALUE!</v>
      </c>
      <c r="EJ374" t="e">
        <f>Asia!E325+"$F;@!30N"</f>
        <v>#VALUE!</v>
      </c>
      <c r="EK374" t="e">
        <f>Asia!F325+"$F;@!30O"</f>
        <v>#VALUE!</v>
      </c>
      <c r="EL374" t="e">
        <f>Asia!G325+"$F;@!30P"</f>
        <v>#VALUE!</v>
      </c>
      <c r="EM374" t="e">
        <f>Asia!H325+"$F;@!30Q"</f>
        <v>#VALUE!</v>
      </c>
      <c r="EN374" t="e">
        <f>Asia!A326+"$F;@!30R"</f>
        <v>#VALUE!</v>
      </c>
      <c r="EO374" t="e">
        <f>Asia!B326+"$F;@!30S"</f>
        <v>#VALUE!</v>
      </c>
      <c r="EP374" t="e">
        <f>Asia!C326+"$F;@!30T"</f>
        <v>#VALUE!</v>
      </c>
      <c r="EQ374" t="e">
        <f>Asia!D326+"$F;@!30U"</f>
        <v>#VALUE!</v>
      </c>
      <c r="ER374" t="e">
        <f>Asia!E326+"$F;@!30V"</f>
        <v>#VALUE!</v>
      </c>
      <c r="ES374" t="e">
        <f>Asia!F326+"$F;@!30W"</f>
        <v>#VALUE!</v>
      </c>
      <c r="ET374" t="e">
        <f>Asia!G326+"$F;@!30X"</f>
        <v>#VALUE!</v>
      </c>
      <c r="EU374" t="e">
        <f>Asia!H326+"$F;@!30Y"</f>
        <v>#VALUE!</v>
      </c>
      <c r="EV374" t="e">
        <f>Asia!A327+"$F;@!30Z"</f>
        <v>#VALUE!</v>
      </c>
      <c r="EW374" t="e">
        <f>Asia!B327+"$F;@!30["</f>
        <v>#VALUE!</v>
      </c>
      <c r="EX374" t="e">
        <f>Asia!C327+"$F;@!30\"</f>
        <v>#VALUE!</v>
      </c>
      <c r="EY374" t="e">
        <f>Asia!D327+"$F;@!30]"</f>
        <v>#VALUE!</v>
      </c>
      <c r="EZ374" t="e">
        <f>Asia!E327+"$F;@!30^"</f>
        <v>#VALUE!</v>
      </c>
      <c r="FA374" t="e">
        <f>Asia!F327+"$F;@!30_"</f>
        <v>#VALUE!</v>
      </c>
      <c r="FB374" t="e">
        <f>Asia!G327+"$F;@!30`"</f>
        <v>#VALUE!</v>
      </c>
      <c r="FC374" t="e">
        <f>Asia!H327+"$F;@!30a"</f>
        <v>#VALUE!</v>
      </c>
      <c r="FD374" t="e">
        <f>Asia!A328+"$F;@!30b"</f>
        <v>#VALUE!</v>
      </c>
      <c r="FE374" t="e">
        <f>Asia!B328+"$F;@!30c"</f>
        <v>#VALUE!</v>
      </c>
      <c r="FF374" t="e">
        <f>Asia!C328+"$F;@!30d"</f>
        <v>#VALUE!</v>
      </c>
      <c r="FG374" t="e">
        <f>Asia!D328+"$F;@!30e"</f>
        <v>#VALUE!</v>
      </c>
      <c r="FH374" t="e">
        <f>Asia!E328+"$F;@!30f"</f>
        <v>#VALUE!</v>
      </c>
      <c r="FI374" t="e">
        <f>Asia!F328+"$F;@!30g"</f>
        <v>#VALUE!</v>
      </c>
      <c r="FJ374" t="e">
        <f>Asia!G328+"$F;@!30h"</f>
        <v>#VALUE!</v>
      </c>
      <c r="FK374" t="e">
        <f>Asia!H328+"$F;@!30i"</f>
        <v>#VALUE!</v>
      </c>
      <c r="FL374" t="e">
        <f>Asia!A329+"$F;@!30j"</f>
        <v>#VALUE!</v>
      </c>
      <c r="FM374" t="e">
        <f>Asia!B329+"$F;@!30k"</f>
        <v>#VALUE!</v>
      </c>
      <c r="FN374" t="e">
        <f>Asia!C329+"$F;@!30l"</f>
        <v>#VALUE!</v>
      </c>
      <c r="FO374" t="e">
        <f>Asia!D329+"$F;@!30m"</f>
        <v>#VALUE!</v>
      </c>
      <c r="FP374" t="e">
        <f>Asia!E329+"$F;@!30n"</f>
        <v>#VALUE!</v>
      </c>
      <c r="FQ374" t="e">
        <f>Asia!F329+"$F;@!30o"</f>
        <v>#VALUE!</v>
      </c>
      <c r="FR374" t="e">
        <f>Asia!G329+"$F;@!30p"</f>
        <v>#VALUE!</v>
      </c>
      <c r="FS374" t="e">
        <f>Asia!H329+"$F;@!30q"</f>
        <v>#VALUE!</v>
      </c>
      <c r="FT374" t="e">
        <f>Asia!A330+"$F;@!30r"</f>
        <v>#VALUE!</v>
      </c>
      <c r="FU374" t="e">
        <f>Asia!B330+"$F;@!30s"</f>
        <v>#VALUE!</v>
      </c>
      <c r="FV374" t="e">
        <f>Asia!C330+"$F;@!30t"</f>
        <v>#VALUE!</v>
      </c>
      <c r="FW374" t="e">
        <f>Asia!D330+"$F;@!30u"</f>
        <v>#VALUE!</v>
      </c>
      <c r="FX374" t="e">
        <f>Asia!E330+"$F;@!30v"</f>
        <v>#VALUE!</v>
      </c>
      <c r="FY374" t="e">
        <f>Asia!F330+"$F;@!30w"</f>
        <v>#VALUE!</v>
      </c>
      <c r="FZ374" t="e">
        <f>Asia!G330+"$F;@!30x"</f>
        <v>#VALUE!</v>
      </c>
      <c r="GA374" t="e">
        <f>Asia!H330+"$F;@!30y"</f>
        <v>#VALUE!</v>
      </c>
      <c r="GB374" t="e">
        <f>Asia!A331+"$F;@!30z"</f>
        <v>#VALUE!</v>
      </c>
      <c r="GC374" t="e">
        <f>Asia!B331+"$F;@!30{"</f>
        <v>#VALUE!</v>
      </c>
      <c r="GD374" t="e">
        <f>Asia!C331+"$F;@!30|"</f>
        <v>#VALUE!</v>
      </c>
      <c r="GE374" t="e">
        <f>Asia!D331+"$F;@!30}"</f>
        <v>#VALUE!</v>
      </c>
      <c r="GF374" t="e">
        <f>Asia!E331+"$F;@!30~"</f>
        <v>#VALUE!</v>
      </c>
      <c r="GG374" t="e">
        <f>Asia!F331+"$F;@!31#"</f>
        <v>#VALUE!</v>
      </c>
      <c r="GH374" t="e">
        <f>Asia!G331+"$F;@!31$"</f>
        <v>#VALUE!</v>
      </c>
      <c r="GI374" t="e">
        <f>Asia!H331+"$F;@!31%"</f>
        <v>#VALUE!</v>
      </c>
      <c r="GJ374" t="e">
        <f>Asia!A332+"$F;@!31&amp;"</f>
        <v>#VALUE!</v>
      </c>
      <c r="GK374" t="e">
        <f>Asia!B332+"$F;@!31'"</f>
        <v>#VALUE!</v>
      </c>
      <c r="GL374" t="e">
        <f>Asia!C332+"$F;@!31("</f>
        <v>#VALUE!</v>
      </c>
      <c r="GM374" t="e">
        <f>Asia!D332+"$F;@!31)"</f>
        <v>#VALUE!</v>
      </c>
      <c r="GN374" t="e">
        <f>Asia!E332+"$F;@!31."</f>
        <v>#VALUE!</v>
      </c>
      <c r="GO374" t="e">
        <f>Asia!F332+"$F;@!31/"</f>
        <v>#VALUE!</v>
      </c>
      <c r="GP374" t="e">
        <f>Asia!G332+"$F;@!310"</f>
        <v>#VALUE!</v>
      </c>
      <c r="GQ374" t="e">
        <f>Asia!H332+"$F;@!311"</f>
        <v>#VALUE!</v>
      </c>
      <c r="GR374" t="e">
        <f>Asia!A333+"$F;@!312"</f>
        <v>#VALUE!</v>
      </c>
      <c r="GS374" t="e">
        <f>Asia!B333+"$F;@!313"</f>
        <v>#VALUE!</v>
      </c>
      <c r="GT374" t="e">
        <f>Asia!C333+"$F;@!314"</f>
        <v>#VALUE!</v>
      </c>
      <c r="GU374" t="e">
        <f>Asia!D333+"$F;@!315"</f>
        <v>#VALUE!</v>
      </c>
      <c r="GV374" t="e">
        <f>Asia!E333+"$F;@!316"</f>
        <v>#VALUE!</v>
      </c>
      <c r="GW374" t="e">
        <f>Asia!F333+"$F;@!317"</f>
        <v>#VALUE!</v>
      </c>
      <c r="GX374" t="e">
        <f>Asia!G333+"$F;@!318"</f>
        <v>#VALUE!</v>
      </c>
      <c r="GY374" t="e">
        <f>Asia!H333+"$F;@!319"</f>
        <v>#VALUE!</v>
      </c>
      <c r="GZ374" t="e">
        <f>Asia!A334+"$F;@!31:"</f>
        <v>#VALUE!</v>
      </c>
      <c r="HA374" t="e">
        <f>Asia!B334+"$F;@!31;"</f>
        <v>#VALUE!</v>
      </c>
      <c r="HB374" t="e">
        <f>Asia!C334+"$F;@!31&lt;"</f>
        <v>#VALUE!</v>
      </c>
      <c r="HC374" t="e">
        <f>Asia!D334+"$F;@!31="</f>
        <v>#VALUE!</v>
      </c>
      <c r="HD374" t="e">
        <f>Asia!E334+"$F;@!31&gt;"</f>
        <v>#VALUE!</v>
      </c>
      <c r="HE374" t="e">
        <f>Asia!F334+"$F;@!31?"</f>
        <v>#VALUE!</v>
      </c>
      <c r="HF374" t="e">
        <f>Asia!G334+"$F;@!31@"</f>
        <v>#VALUE!</v>
      </c>
      <c r="HG374" t="e">
        <f>Asia!H334+"$F;@!31A"</f>
        <v>#VALUE!</v>
      </c>
      <c r="HH374" t="e">
        <f>Asia!A335+"$F;@!31B"</f>
        <v>#VALUE!</v>
      </c>
      <c r="HI374" t="e">
        <f>Asia!B335+"$F;@!31C"</f>
        <v>#VALUE!</v>
      </c>
      <c r="HJ374" t="e">
        <f>Asia!C335+"$F;@!31D"</f>
        <v>#VALUE!</v>
      </c>
      <c r="HK374" t="e">
        <f>Asia!D335+"$F;@!31E"</f>
        <v>#VALUE!</v>
      </c>
      <c r="HL374" t="e">
        <f>Asia!E335+"$F;@!31F"</f>
        <v>#VALUE!</v>
      </c>
      <c r="HM374" t="e">
        <f>Asia!F335+"$F;@!31G"</f>
        <v>#VALUE!</v>
      </c>
      <c r="HN374" t="e">
        <f>Asia!G335+"$F;@!31H"</f>
        <v>#VALUE!</v>
      </c>
      <c r="HO374" t="e">
        <f>Asia!H335+"$F;@!31I"</f>
        <v>#VALUE!</v>
      </c>
      <c r="HP374" t="e">
        <f>Asia!A336+"$F;@!31J"</f>
        <v>#VALUE!</v>
      </c>
      <c r="HQ374" t="e">
        <f>Asia!B336+"$F;@!31K"</f>
        <v>#VALUE!</v>
      </c>
      <c r="HR374" t="e">
        <f>Asia!C336+"$F;@!31L"</f>
        <v>#VALUE!</v>
      </c>
      <c r="HS374" t="e">
        <f>Asia!D336+"$F;@!31M"</f>
        <v>#VALUE!</v>
      </c>
      <c r="HT374" t="e">
        <f>Asia!E336+"$F;@!31N"</f>
        <v>#VALUE!</v>
      </c>
      <c r="HU374" t="e">
        <f>Asia!F336+"$F;@!31O"</f>
        <v>#VALUE!</v>
      </c>
      <c r="HV374" t="e">
        <f>Asia!G336+"$F;@!31P"</f>
        <v>#VALUE!</v>
      </c>
      <c r="HW374" t="e">
        <f>Asia!H336+"$F;@!31Q"</f>
        <v>#VALUE!</v>
      </c>
      <c r="HX374" t="e">
        <f>Asia!A337+"$F;@!31R"</f>
        <v>#VALUE!</v>
      </c>
      <c r="HY374" t="e">
        <f>Asia!B337+"$F;@!31S"</f>
        <v>#VALUE!</v>
      </c>
      <c r="HZ374" t="e">
        <f>Asia!C337+"$F;@!31T"</f>
        <v>#VALUE!</v>
      </c>
      <c r="IA374" t="e">
        <f>Asia!D337+"$F;@!31U"</f>
        <v>#VALUE!</v>
      </c>
      <c r="IB374" t="e">
        <f>Asia!E337+"$F;@!31V"</f>
        <v>#VALUE!</v>
      </c>
      <c r="IC374" t="e">
        <f>Asia!F337+"$F;@!31W"</f>
        <v>#VALUE!</v>
      </c>
      <c r="ID374" t="e">
        <f>Asia!G337+"$F;@!31X"</f>
        <v>#VALUE!</v>
      </c>
      <c r="IE374" t="e">
        <f>Asia!H337+"$F;@!31Y"</f>
        <v>#VALUE!</v>
      </c>
      <c r="IF374" t="e">
        <f>Asia!A338+"$F;@!31Z"</f>
        <v>#VALUE!</v>
      </c>
      <c r="IG374" t="e">
        <f>Asia!B338+"$F;@!31["</f>
        <v>#VALUE!</v>
      </c>
      <c r="IH374" t="e">
        <f>Asia!C338+"$F;@!31\"</f>
        <v>#VALUE!</v>
      </c>
      <c r="II374" t="e">
        <f>Asia!D338+"$F;@!31]"</f>
        <v>#VALUE!</v>
      </c>
      <c r="IJ374" t="e">
        <f>Asia!E338+"$F;@!31^"</f>
        <v>#VALUE!</v>
      </c>
      <c r="IK374" t="e">
        <f>Asia!F338+"$F;@!31_"</f>
        <v>#VALUE!</v>
      </c>
      <c r="IL374" t="e">
        <f>Asia!G338+"$F;@!31`"</f>
        <v>#VALUE!</v>
      </c>
      <c r="IM374" t="e">
        <f>Asia!H338+"$F;@!31a"</f>
        <v>#VALUE!</v>
      </c>
      <c r="IN374" t="e">
        <f>Asia!A339+"$F;@!31b"</f>
        <v>#VALUE!</v>
      </c>
      <c r="IO374" t="e">
        <f>Asia!B339+"$F;@!31c"</f>
        <v>#VALUE!</v>
      </c>
      <c r="IP374" t="e">
        <f>Asia!C339+"$F;@!31d"</f>
        <v>#VALUE!</v>
      </c>
      <c r="IQ374" t="e">
        <f>Asia!D339+"$F;@!31e"</f>
        <v>#VALUE!</v>
      </c>
      <c r="IR374" t="e">
        <f>Asia!E339+"$F;@!31f"</f>
        <v>#VALUE!</v>
      </c>
      <c r="IS374" t="e">
        <f>Asia!F339+"$F;@!31g"</f>
        <v>#VALUE!</v>
      </c>
      <c r="IT374" t="e">
        <f>Asia!G339+"$F;@!31h"</f>
        <v>#VALUE!</v>
      </c>
      <c r="IU374" t="e">
        <f>Asia!H339+"$F;@!31i"</f>
        <v>#VALUE!</v>
      </c>
      <c r="IV374" t="e">
        <f>Asia!A340+"$F;@!31j"</f>
        <v>#VALUE!</v>
      </c>
    </row>
    <row r="375" spans="6:256" x14ac:dyDescent="0.35">
      <c r="F375" t="e">
        <f>Asia!B340+"$F;@!31k"</f>
        <v>#VALUE!</v>
      </c>
      <c r="G375" t="e">
        <f>Asia!C340+"$F;@!31l"</f>
        <v>#VALUE!</v>
      </c>
      <c r="H375" t="e">
        <f>Asia!D340+"$F;@!31m"</f>
        <v>#VALUE!</v>
      </c>
      <c r="I375" t="e">
        <f>Asia!E340+"$F;@!31n"</f>
        <v>#VALUE!</v>
      </c>
      <c r="J375" t="e">
        <f>Asia!F340+"$F;@!31o"</f>
        <v>#VALUE!</v>
      </c>
      <c r="K375" t="e">
        <f>Asia!G340+"$F;@!31p"</f>
        <v>#VALUE!</v>
      </c>
      <c r="L375" t="e">
        <f>Asia!H340+"$F;@!31q"</f>
        <v>#VALUE!</v>
      </c>
      <c r="M375" t="e">
        <f>Asia!A341+"$F;@!31r"</f>
        <v>#VALUE!</v>
      </c>
      <c r="N375" t="e">
        <f>Asia!B341+"$F;@!31s"</f>
        <v>#VALUE!</v>
      </c>
      <c r="O375" t="e">
        <f>Asia!C341+"$F;@!31t"</f>
        <v>#VALUE!</v>
      </c>
      <c r="P375" t="e">
        <f>Asia!D341+"$F;@!31u"</f>
        <v>#VALUE!</v>
      </c>
      <c r="Q375" t="e">
        <f>Asia!E341+"$F;@!31v"</f>
        <v>#VALUE!</v>
      </c>
      <c r="R375" t="e">
        <f>Asia!F341+"$F;@!31w"</f>
        <v>#VALUE!</v>
      </c>
      <c r="S375" t="e">
        <f>Asia!G341+"$F;@!31x"</f>
        <v>#VALUE!</v>
      </c>
      <c r="T375" t="e">
        <f>Asia!H341+"$F;@!31y"</f>
        <v>#VALUE!</v>
      </c>
      <c r="U375" t="e">
        <f>Asia!A342+"$F;@!31z"</f>
        <v>#VALUE!</v>
      </c>
      <c r="V375" t="e">
        <f>Asia!B342+"$F;@!31{"</f>
        <v>#VALUE!</v>
      </c>
      <c r="W375" t="e">
        <f>Asia!C342+"$F;@!31|"</f>
        <v>#VALUE!</v>
      </c>
      <c r="X375" t="e">
        <f>Asia!D342+"$F;@!31}"</f>
        <v>#VALUE!</v>
      </c>
      <c r="Y375" t="e">
        <f>Asia!E342+"$F;@!31~"</f>
        <v>#VALUE!</v>
      </c>
      <c r="Z375" t="e">
        <f>Asia!F342+"$F;@!32#"</f>
        <v>#VALUE!</v>
      </c>
      <c r="AA375" t="e">
        <f>Asia!G342+"$F;@!32$"</f>
        <v>#VALUE!</v>
      </c>
      <c r="AB375" t="e">
        <f>Asia!H342+"$F;@!32%"</f>
        <v>#VALUE!</v>
      </c>
      <c r="AC375" t="e">
        <f>Asia!A343+"$F;@!32&amp;"</f>
        <v>#VALUE!</v>
      </c>
      <c r="AD375" t="e">
        <f>Asia!B343+"$F;@!32'"</f>
        <v>#VALUE!</v>
      </c>
      <c r="AE375" t="e">
        <f>Asia!C343+"$F;@!32("</f>
        <v>#VALUE!</v>
      </c>
      <c r="AF375" t="e">
        <f>Asia!D343+"$F;@!32)"</f>
        <v>#VALUE!</v>
      </c>
      <c r="AG375" t="e">
        <f>Asia!E343+"$F;@!32."</f>
        <v>#VALUE!</v>
      </c>
      <c r="AH375" t="e">
        <f>Asia!F343+"$F;@!32/"</f>
        <v>#VALUE!</v>
      </c>
      <c r="AI375" t="e">
        <f>Asia!G343+"$F;@!320"</f>
        <v>#VALUE!</v>
      </c>
      <c r="AJ375" t="e">
        <f>Asia!H343+"$F;@!321"</f>
        <v>#VALUE!</v>
      </c>
      <c r="AK375" t="e">
        <f>Asia!A344+"$F;@!322"</f>
        <v>#VALUE!</v>
      </c>
      <c r="AL375" t="e">
        <f>Asia!B344+"$F;@!323"</f>
        <v>#VALUE!</v>
      </c>
      <c r="AM375" t="e">
        <f>Asia!C344+"$F;@!324"</f>
        <v>#VALUE!</v>
      </c>
      <c r="AN375" t="e">
        <f>Asia!D344+"$F;@!325"</f>
        <v>#VALUE!</v>
      </c>
      <c r="AO375" t="e">
        <f>Asia!E344+"$F;@!326"</f>
        <v>#VALUE!</v>
      </c>
      <c r="AP375" t="e">
        <f>Asia!F344+"$F;@!327"</f>
        <v>#VALUE!</v>
      </c>
      <c r="AQ375" t="e">
        <f>Asia!G344+"$F;@!328"</f>
        <v>#VALUE!</v>
      </c>
      <c r="AR375" t="e">
        <f>Asia!H344+"$F;@!329"</f>
        <v>#VALUE!</v>
      </c>
      <c r="AS375" t="e">
        <f>Asia!A345+"$F;@!32:"</f>
        <v>#VALUE!</v>
      </c>
      <c r="AT375" t="e">
        <f>Asia!B345+"$F;@!32;"</f>
        <v>#VALUE!</v>
      </c>
      <c r="AU375" t="e">
        <f>Asia!C345+"$F;@!32&lt;"</f>
        <v>#VALUE!</v>
      </c>
      <c r="AV375" t="e">
        <f>Asia!D345+"$F;@!32="</f>
        <v>#VALUE!</v>
      </c>
      <c r="AW375" t="e">
        <f>Asia!E345+"$F;@!32&gt;"</f>
        <v>#VALUE!</v>
      </c>
      <c r="AX375" t="e">
        <f>Asia!F345+"$F;@!32?"</f>
        <v>#VALUE!</v>
      </c>
      <c r="AY375" t="e">
        <f>Asia!G345+"$F;@!32@"</f>
        <v>#VALUE!</v>
      </c>
      <c r="AZ375" t="e">
        <f>Asia!H345+"$F;@!32A"</f>
        <v>#VALUE!</v>
      </c>
      <c r="BA375" t="e">
        <f>Asia!A346+"$F;@!32B"</f>
        <v>#VALUE!</v>
      </c>
      <c r="BB375" t="e">
        <f>Asia!B346+"$F;@!32C"</f>
        <v>#VALUE!</v>
      </c>
      <c r="BC375" t="e">
        <f>Asia!C346+"$F;@!32D"</f>
        <v>#VALUE!</v>
      </c>
      <c r="BD375" t="e">
        <f>Asia!D346+"$F;@!32E"</f>
        <v>#VALUE!</v>
      </c>
      <c r="BE375" t="e">
        <f>Asia!E346+"$F;@!32F"</f>
        <v>#VALUE!</v>
      </c>
      <c r="BF375" t="e">
        <f>Asia!F346+"$F;@!32G"</f>
        <v>#VALUE!</v>
      </c>
      <c r="BG375" t="e">
        <f>Asia!G346+"$F;@!32H"</f>
        <v>#VALUE!</v>
      </c>
      <c r="BH375" t="e">
        <f>Asia!H346+"$F;@!32I"</f>
        <v>#VALUE!</v>
      </c>
      <c r="BI375" t="e">
        <f>Asia!A347+"$F;@!32J"</f>
        <v>#VALUE!</v>
      </c>
      <c r="BJ375" t="e">
        <f>Asia!B347+"$F;@!32K"</f>
        <v>#VALUE!</v>
      </c>
      <c r="BK375" t="e">
        <f>Asia!C347+"$F;@!32L"</f>
        <v>#VALUE!</v>
      </c>
      <c r="BL375" t="e">
        <f>Asia!D347+"$F;@!32M"</f>
        <v>#VALUE!</v>
      </c>
      <c r="BM375" t="e">
        <f>Asia!E347+"$F;@!32N"</f>
        <v>#VALUE!</v>
      </c>
      <c r="BN375" t="e">
        <f>Asia!F347+"$F;@!32O"</f>
        <v>#VALUE!</v>
      </c>
      <c r="BO375" t="e">
        <f>Asia!G347+"$F;@!32P"</f>
        <v>#VALUE!</v>
      </c>
      <c r="BP375" t="e">
        <f>Asia!H347+"$F;@!32Q"</f>
        <v>#VALUE!</v>
      </c>
      <c r="BQ375" t="e">
        <f>Asia!A348+"$F;@!32R"</f>
        <v>#VALUE!</v>
      </c>
      <c r="BR375" t="e">
        <f>Asia!B348+"$F;@!32S"</f>
        <v>#VALUE!</v>
      </c>
      <c r="BS375" t="e">
        <f>Asia!C348+"$F;@!32T"</f>
        <v>#VALUE!</v>
      </c>
      <c r="BT375" t="e">
        <f>Asia!D348+"$F;@!32U"</f>
        <v>#VALUE!</v>
      </c>
      <c r="BU375" t="e">
        <f>Asia!E348+"$F;@!32V"</f>
        <v>#VALUE!</v>
      </c>
      <c r="BV375" t="e">
        <f>Asia!F348+"$F;@!32W"</f>
        <v>#VALUE!</v>
      </c>
      <c r="BW375" t="e">
        <f>Asia!G348+"$F;@!32X"</f>
        <v>#VALUE!</v>
      </c>
      <c r="BX375" t="e">
        <f>Asia!H348+"$F;@!32Y"</f>
        <v>#VALUE!</v>
      </c>
      <c r="BY375" t="e">
        <f>Asia!A349+"$F;@!32Z"</f>
        <v>#VALUE!</v>
      </c>
      <c r="BZ375" t="e">
        <f>Asia!B349+"$F;@!32["</f>
        <v>#VALUE!</v>
      </c>
      <c r="CA375" t="e">
        <f>Asia!C349+"$F;@!32\"</f>
        <v>#VALUE!</v>
      </c>
      <c r="CB375" t="e">
        <f>Asia!D349+"$F;@!32]"</f>
        <v>#VALUE!</v>
      </c>
      <c r="CC375" t="e">
        <f>Asia!E349+"$F;@!32^"</f>
        <v>#VALUE!</v>
      </c>
      <c r="CD375" t="e">
        <f>Asia!F349+"$F;@!32_"</f>
        <v>#VALUE!</v>
      </c>
      <c r="CE375" t="e">
        <f>Asia!G349+"$F;@!32`"</f>
        <v>#VALUE!</v>
      </c>
      <c r="CF375" t="e">
        <f>Asia!H349+"$F;@!32a"</f>
        <v>#VALUE!</v>
      </c>
      <c r="CG375" t="e">
        <f>Asia!A350+"$F;@!32b"</f>
        <v>#VALUE!</v>
      </c>
      <c r="CH375" t="e">
        <f>Asia!B350+"$F;@!32c"</f>
        <v>#VALUE!</v>
      </c>
      <c r="CI375" t="e">
        <f>Asia!C350+"$F;@!32d"</f>
        <v>#VALUE!</v>
      </c>
      <c r="CJ375" t="e">
        <f>Asia!D350+"$F;@!32e"</f>
        <v>#VALUE!</v>
      </c>
      <c r="CK375" t="e">
        <f>Asia!E350+"$F;@!32f"</f>
        <v>#VALUE!</v>
      </c>
      <c r="CL375" t="e">
        <f>Asia!F350+"$F;@!32g"</f>
        <v>#VALUE!</v>
      </c>
      <c r="CM375" t="e">
        <f>Asia!G350+"$F;@!32h"</f>
        <v>#VALUE!</v>
      </c>
      <c r="CN375" t="e">
        <f>Asia!H350+"$F;@!32i"</f>
        <v>#VALUE!</v>
      </c>
      <c r="CO375" t="e">
        <f>Asia!A351+"$F;@!32j"</f>
        <v>#VALUE!</v>
      </c>
      <c r="CP375" t="e">
        <f>Asia!B351+"$F;@!32k"</f>
        <v>#VALUE!</v>
      </c>
      <c r="CQ375" t="e">
        <f>Asia!C351+"$F;@!32l"</f>
        <v>#VALUE!</v>
      </c>
      <c r="CR375" t="e">
        <f>Asia!D351+"$F;@!32m"</f>
        <v>#VALUE!</v>
      </c>
      <c r="CS375" t="e">
        <f>Asia!E351+"$F;@!32n"</f>
        <v>#VALUE!</v>
      </c>
      <c r="CT375" t="e">
        <f>Asia!F351+"$F;@!32o"</f>
        <v>#VALUE!</v>
      </c>
      <c r="CU375" t="e">
        <f>Asia!G351+"$F;@!32p"</f>
        <v>#VALUE!</v>
      </c>
      <c r="CV375" t="e">
        <f>Asia!H351+"$F;@!32q"</f>
        <v>#VALUE!</v>
      </c>
      <c r="CW375" t="e">
        <f>Asia!A352+"$F;@!32r"</f>
        <v>#VALUE!</v>
      </c>
      <c r="CX375" t="e">
        <f>Asia!B352+"$F;@!32s"</f>
        <v>#VALUE!</v>
      </c>
      <c r="CY375" t="e">
        <f>Asia!C352+"$F;@!32t"</f>
        <v>#VALUE!</v>
      </c>
      <c r="CZ375" t="e">
        <f>Asia!D352+"$F;@!32u"</f>
        <v>#VALUE!</v>
      </c>
      <c r="DA375" t="e">
        <f>Asia!E352+"$F;@!32v"</f>
        <v>#VALUE!</v>
      </c>
      <c r="DB375" t="e">
        <f>Asia!F352+"$F;@!32w"</f>
        <v>#VALUE!</v>
      </c>
      <c r="DC375" t="e">
        <f>Asia!G352+"$F;@!32x"</f>
        <v>#VALUE!</v>
      </c>
      <c r="DD375" t="e">
        <f>Asia!H352+"$F;@!32y"</f>
        <v>#VALUE!</v>
      </c>
      <c r="DE375" t="e">
        <f>Asia!A353+"$F;@!32z"</f>
        <v>#VALUE!</v>
      </c>
      <c r="DF375" t="e">
        <f>Asia!B353+"$F;@!32{"</f>
        <v>#VALUE!</v>
      </c>
      <c r="DG375" t="e">
        <f>Asia!C353+"$F;@!32|"</f>
        <v>#VALUE!</v>
      </c>
      <c r="DH375" t="e">
        <f>Asia!D353+"$F;@!32}"</f>
        <v>#VALUE!</v>
      </c>
      <c r="DI375" t="e">
        <f>Asia!E353+"$F;@!32~"</f>
        <v>#VALUE!</v>
      </c>
      <c r="DJ375" t="e">
        <f>Asia!F353+"$F;@!33#"</f>
        <v>#VALUE!</v>
      </c>
      <c r="DK375" t="e">
        <f>Asia!G353+"$F;@!33$"</f>
        <v>#VALUE!</v>
      </c>
      <c r="DL375" t="e">
        <f>Asia!H353+"$F;@!33%"</f>
        <v>#VALUE!</v>
      </c>
      <c r="DM375" t="e">
        <f>Asia!A354+"$F;@!33&amp;"</f>
        <v>#VALUE!</v>
      </c>
      <c r="DN375" t="e">
        <f>Asia!B354+"$F;@!33'"</f>
        <v>#VALUE!</v>
      </c>
      <c r="DO375" t="e">
        <f>Asia!C354+"$F;@!33("</f>
        <v>#VALUE!</v>
      </c>
      <c r="DP375" t="e">
        <f>Asia!D354+"$F;@!33)"</f>
        <v>#VALUE!</v>
      </c>
      <c r="DQ375" t="e">
        <f>Asia!E354+"$F;@!33."</f>
        <v>#VALUE!</v>
      </c>
      <c r="DR375" t="e">
        <f>Asia!F354+"$F;@!33/"</f>
        <v>#VALUE!</v>
      </c>
      <c r="DS375" t="e">
        <f>Asia!G354+"$F;@!330"</f>
        <v>#VALUE!</v>
      </c>
      <c r="DT375" t="e">
        <f>Asia!H354+"$F;@!331"</f>
        <v>#VALUE!</v>
      </c>
      <c r="DU375" t="e">
        <f>Asia!A355+"$F;@!332"</f>
        <v>#VALUE!</v>
      </c>
      <c r="DV375" t="e">
        <f>Asia!B355+"$F;@!333"</f>
        <v>#VALUE!</v>
      </c>
      <c r="DW375" t="e">
        <f>Asia!C355+"$F;@!334"</f>
        <v>#VALUE!</v>
      </c>
      <c r="DX375" t="e">
        <f>Asia!D355+"$F;@!335"</f>
        <v>#VALUE!</v>
      </c>
      <c r="DY375" t="e">
        <f>Asia!E355+"$F;@!336"</f>
        <v>#VALUE!</v>
      </c>
      <c r="DZ375" t="e">
        <f>Asia!F355+"$F;@!337"</f>
        <v>#VALUE!</v>
      </c>
      <c r="EA375" t="e">
        <f>Asia!G355+"$F;@!338"</f>
        <v>#VALUE!</v>
      </c>
      <c r="EB375" t="e">
        <f>Asia!H355+"$F;@!339"</f>
        <v>#VALUE!</v>
      </c>
      <c r="EC375" t="e">
        <f>Asia!A356+"$F;@!33:"</f>
        <v>#VALUE!</v>
      </c>
      <c r="ED375" t="e">
        <f>Asia!B356+"$F;@!33;"</f>
        <v>#VALUE!</v>
      </c>
      <c r="EE375" t="e">
        <f>Asia!C356+"$F;@!33&lt;"</f>
        <v>#VALUE!</v>
      </c>
      <c r="EF375" t="e">
        <f>Asia!D356+"$F;@!33="</f>
        <v>#VALUE!</v>
      </c>
      <c r="EG375" t="e">
        <f>Asia!E356+"$F;@!33&gt;"</f>
        <v>#VALUE!</v>
      </c>
      <c r="EH375" t="e">
        <f>Asia!F356+"$F;@!33?"</f>
        <v>#VALUE!</v>
      </c>
      <c r="EI375" t="e">
        <f>Asia!G356+"$F;@!33@"</f>
        <v>#VALUE!</v>
      </c>
      <c r="EJ375" t="e">
        <f>Asia!H356+"$F;@!33A"</f>
        <v>#VALUE!</v>
      </c>
      <c r="EK375" t="e">
        <f>Asia!A357+"$F;@!33B"</f>
        <v>#VALUE!</v>
      </c>
      <c r="EL375" t="e">
        <f>Asia!B357+"$F;@!33C"</f>
        <v>#VALUE!</v>
      </c>
      <c r="EM375" t="e">
        <f>Asia!C357+"$F;@!33D"</f>
        <v>#VALUE!</v>
      </c>
      <c r="EN375" t="e">
        <f>Asia!D357+"$F;@!33E"</f>
        <v>#VALUE!</v>
      </c>
      <c r="EO375" t="e">
        <f>Asia!E357+"$F;@!33F"</f>
        <v>#VALUE!</v>
      </c>
      <c r="EP375" t="e">
        <f>Asia!F357+"$F;@!33G"</f>
        <v>#VALUE!</v>
      </c>
      <c r="EQ375" t="e">
        <f>Asia!G357+"$F;@!33H"</f>
        <v>#VALUE!</v>
      </c>
      <c r="ER375" t="e">
        <f>Asia!H357+"$F;@!33I"</f>
        <v>#VALUE!</v>
      </c>
      <c r="ES375" t="e">
        <f>Asia!A358+"$F;@!33J"</f>
        <v>#VALUE!</v>
      </c>
      <c r="ET375" t="e">
        <f>Asia!B358+"$F;@!33K"</f>
        <v>#VALUE!</v>
      </c>
      <c r="EU375" t="e">
        <f>Asia!C358+"$F;@!33L"</f>
        <v>#VALUE!</v>
      </c>
      <c r="EV375" t="e">
        <f>Asia!D358+"$F;@!33M"</f>
        <v>#VALUE!</v>
      </c>
      <c r="EW375" t="e">
        <f>Asia!E358+"$F;@!33N"</f>
        <v>#VALUE!</v>
      </c>
      <c r="EX375" t="e">
        <f>Asia!F358+"$F;@!33O"</f>
        <v>#VALUE!</v>
      </c>
      <c r="EY375" t="e">
        <f>Asia!G358+"$F;@!33P"</f>
        <v>#VALUE!</v>
      </c>
      <c r="EZ375" t="e">
        <f>Asia!H358+"$F;@!33Q"</f>
        <v>#VALUE!</v>
      </c>
      <c r="FA375" t="e">
        <f>Asia!A359+"$F;@!33R"</f>
        <v>#VALUE!</v>
      </c>
      <c r="FB375" t="e">
        <f>Asia!B359+"$F;@!33S"</f>
        <v>#VALUE!</v>
      </c>
      <c r="FC375" t="e">
        <f>Asia!C359+"$F;@!33T"</f>
        <v>#VALUE!</v>
      </c>
      <c r="FD375" t="e">
        <f>Asia!D359+"$F;@!33U"</f>
        <v>#VALUE!</v>
      </c>
      <c r="FE375" t="e">
        <f>Asia!E359+"$F;@!33V"</f>
        <v>#VALUE!</v>
      </c>
      <c r="FF375" t="e">
        <f>Asia!F359+"$F;@!33W"</f>
        <v>#VALUE!</v>
      </c>
      <c r="FG375" t="e">
        <f>Asia!G359+"$F;@!33X"</f>
        <v>#VALUE!</v>
      </c>
      <c r="FH375" t="e">
        <f>Asia!H359+"$F;@!33Y"</f>
        <v>#VALUE!</v>
      </c>
      <c r="FI375" t="e">
        <f>Asia!A360+"$F;@!33Z"</f>
        <v>#VALUE!</v>
      </c>
      <c r="FJ375" t="e">
        <f>Asia!B360+"$F;@!33["</f>
        <v>#VALUE!</v>
      </c>
      <c r="FK375" t="e">
        <f>Asia!C360+"$F;@!33\"</f>
        <v>#VALUE!</v>
      </c>
      <c r="FL375" t="e">
        <f>Asia!D360+"$F;@!33]"</f>
        <v>#VALUE!</v>
      </c>
      <c r="FM375" t="e">
        <f>Asia!E360+"$F;@!33^"</f>
        <v>#VALUE!</v>
      </c>
      <c r="FN375" t="e">
        <f>Asia!F360+"$F;@!33_"</f>
        <v>#VALUE!</v>
      </c>
      <c r="FO375" t="e">
        <f>Asia!G360+"$F;@!33`"</f>
        <v>#VALUE!</v>
      </c>
      <c r="FP375" t="e">
        <f>Asia!H360+"$F;@!33a"</f>
        <v>#VALUE!</v>
      </c>
      <c r="FQ375" t="e">
        <f>Asia!A361+"$F;@!33b"</f>
        <v>#VALUE!</v>
      </c>
      <c r="FR375" t="e">
        <f>Asia!B361+"$F;@!33c"</f>
        <v>#VALUE!</v>
      </c>
      <c r="FS375" t="e">
        <f>Asia!C361+"$F;@!33d"</f>
        <v>#VALUE!</v>
      </c>
      <c r="FT375" t="e">
        <f>Asia!D361+"$F;@!33e"</f>
        <v>#VALUE!</v>
      </c>
      <c r="FU375" t="e">
        <f>Asia!E361+"$F;@!33f"</f>
        <v>#VALUE!</v>
      </c>
      <c r="FV375" t="e">
        <f>Asia!F361+"$F;@!33g"</f>
        <v>#VALUE!</v>
      </c>
      <c r="FW375" t="e">
        <f>Asia!G361+"$F;@!33h"</f>
        <v>#VALUE!</v>
      </c>
      <c r="FX375" t="e">
        <f>Asia!H361+"$F;@!33i"</f>
        <v>#VALUE!</v>
      </c>
      <c r="FY375" t="e">
        <f>Asia!A362+"$F;@!33j"</f>
        <v>#VALUE!</v>
      </c>
      <c r="FZ375" t="e">
        <f>Asia!B362+"$F;@!33k"</f>
        <v>#VALUE!</v>
      </c>
      <c r="GA375" t="e">
        <f>Asia!C362+"$F;@!33l"</f>
        <v>#VALUE!</v>
      </c>
      <c r="GB375" t="e">
        <f>Asia!D362+"$F;@!33m"</f>
        <v>#VALUE!</v>
      </c>
      <c r="GC375" t="e">
        <f>Asia!E362+"$F;@!33n"</f>
        <v>#VALUE!</v>
      </c>
      <c r="GD375" t="e">
        <f>Asia!F362+"$F;@!33o"</f>
        <v>#VALUE!</v>
      </c>
      <c r="GE375" t="e">
        <f>Asia!G362+"$F;@!33p"</f>
        <v>#VALUE!</v>
      </c>
      <c r="GF375" t="e">
        <f>Asia!H362+"$F;@!33q"</f>
        <v>#VALUE!</v>
      </c>
      <c r="GG375" t="e">
        <f>Asia!A363+"$F;@!33r"</f>
        <v>#VALUE!</v>
      </c>
      <c r="GH375" t="e">
        <f>Asia!B363+"$F;@!33s"</f>
        <v>#VALUE!</v>
      </c>
      <c r="GI375" t="e">
        <f>Asia!C363+"$F;@!33t"</f>
        <v>#VALUE!</v>
      </c>
      <c r="GJ375" t="e">
        <f>Asia!D363+"$F;@!33u"</f>
        <v>#VALUE!</v>
      </c>
      <c r="GK375" t="e">
        <f>Asia!E363+"$F;@!33v"</f>
        <v>#VALUE!</v>
      </c>
      <c r="GL375" t="e">
        <f>Asia!F363+"$F;@!33w"</f>
        <v>#VALUE!</v>
      </c>
      <c r="GM375" t="e">
        <f>Asia!G363+"$F;@!33x"</f>
        <v>#VALUE!</v>
      </c>
      <c r="GN375" t="e">
        <f>Asia!H363+"$F;@!33y"</f>
        <v>#VALUE!</v>
      </c>
      <c r="GO375" t="e">
        <f>Asia!A364+"$F;@!33z"</f>
        <v>#VALUE!</v>
      </c>
      <c r="GP375" t="e">
        <f>Asia!B364+"$F;@!33{"</f>
        <v>#VALUE!</v>
      </c>
      <c r="GQ375" t="e">
        <f>Asia!C364+"$F;@!33|"</f>
        <v>#VALUE!</v>
      </c>
      <c r="GR375" t="e">
        <f>Asia!D364+"$F;@!33}"</f>
        <v>#VALUE!</v>
      </c>
      <c r="GS375" t="e">
        <f>Asia!E364+"$F;@!33~"</f>
        <v>#VALUE!</v>
      </c>
      <c r="GT375" t="e">
        <f>Asia!F364+"$F;@!34#"</f>
        <v>#VALUE!</v>
      </c>
      <c r="GU375" t="e">
        <f>Asia!G364+"$F;@!34$"</f>
        <v>#VALUE!</v>
      </c>
      <c r="GV375" t="e">
        <f>Asia!H364+"$F;@!34%"</f>
        <v>#VALUE!</v>
      </c>
      <c r="GW375" t="e">
        <f>Asia!A365+"$F;@!34&amp;"</f>
        <v>#VALUE!</v>
      </c>
      <c r="GX375" t="e">
        <f>Asia!B365+"$F;@!34'"</f>
        <v>#VALUE!</v>
      </c>
      <c r="GY375" t="e">
        <f>Asia!C365+"$F;@!34("</f>
        <v>#VALUE!</v>
      </c>
      <c r="GZ375" t="e">
        <f>Asia!D365+"$F;@!34)"</f>
        <v>#VALUE!</v>
      </c>
      <c r="HA375" t="e">
        <f>Asia!E365+"$F;@!34."</f>
        <v>#VALUE!</v>
      </c>
      <c r="HB375" t="e">
        <f>Asia!F365+"$F;@!34/"</f>
        <v>#VALUE!</v>
      </c>
      <c r="HC375" t="e">
        <f>Asia!G365+"$F;@!340"</f>
        <v>#VALUE!</v>
      </c>
      <c r="HD375" t="e">
        <f>Asia!H365+"$F;@!341"</f>
        <v>#VALUE!</v>
      </c>
      <c r="HE375" t="e">
        <f>Asia!A366+"$F;@!342"</f>
        <v>#VALUE!</v>
      </c>
      <c r="HF375" t="e">
        <f>Asia!B366+"$F;@!343"</f>
        <v>#VALUE!</v>
      </c>
      <c r="HG375" t="e">
        <f>Asia!C366+"$F;@!344"</f>
        <v>#VALUE!</v>
      </c>
      <c r="HH375" t="e">
        <f>Asia!D366+"$F;@!345"</f>
        <v>#VALUE!</v>
      </c>
      <c r="HI375" t="e">
        <f>Asia!E366+"$F;@!346"</f>
        <v>#VALUE!</v>
      </c>
      <c r="HJ375" t="e">
        <f>Asia!F366+"$F;@!347"</f>
        <v>#VALUE!</v>
      </c>
      <c r="HK375" t="e">
        <f>Asia!G366+"$F;@!348"</f>
        <v>#VALUE!</v>
      </c>
      <c r="HL375" t="e">
        <f>Asia!H366+"$F;@!349"</f>
        <v>#VALUE!</v>
      </c>
      <c r="HM375" t="e">
        <f>Asia!A367+"$F;@!34:"</f>
        <v>#VALUE!</v>
      </c>
      <c r="HN375" t="e">
        <f>Asia!B367+"$F;@!34;"</f>
        <v>#VALUE!</v>
      </c>
      <c r="HO375" t="e">
        <f>Asia!C367+"$F;@!34&lt;"</f>
        <v>#VALUE!</v>
      </c>
      <c r="HP375" t="e">
        <f>Asia!D367+"$F;@!34="</f>
        <v>#VALUE!</v>
      </c>
      <c r="HQ375" t="e">
        <f>Asia!E367+"$F;@!34&gt;"</f>
        <v>#VALUE!</v>
      </c>
      <c r="HR375" t="e">
        <f>Asia!F367+"$F;@!34?"</f>
        <v>#VALUE!</v>
      </c>
      <c r="HS375" t="e">
        <f>Asia!G367+"$F;@!34@"</f>
        <v>#VALUE!</v>
      </c>
      <c r="HT375" t="e">
        <f>Asia!H367+"$F;@!34A"</f>
        <v>#VALUE!</v>
      </c>
      <c r="HU375" t="e">
        <f>Asia!A368+"$F;@!34B"</f>
        <v>#VALUE!</v>
      </c>
      <c r="HV375" t="e">
        <f>Asia!B368+"$F;@!34C"</f>
        <v>#VALUE!</v>
      </c>
      <c r="HW375" t="e">
        <f>Asia!C368+"$F;@!34D"</f>
        <v>#VALUE!</v>
      </c>
      <c r="HX375" t="e">
        <f>Asia!D368+"$F;@!34E"</f>
        <v>#VALUE!</v>
      </c>
      <c r="HY375" t="e">
        <f>Asia!E368+"$F;@!34F"</f>
        <v>#VALUE!</v>
      </c>
      <c r="HZ375" t="e">
        <f>Asia!F368+"$F;@!34G"</f>
        <v>#VALUE!</v>
      </c>
      <c r="IA375" t="e">
        <f>Asia!G368+"$F;@!34H"</f>
        <v>#VALUE!</v>
      </c>
      <c r="IB375" t="e">
        <f>Asia!H368+"$F;@!34I"</f>
        <v>#VALUE!</v>
      </c>
      <c r="IC375" t="e">
        <f>Asia!A369+"$F;@!34J"</f>
        <v>#VALUE!</v>
      </c>
      <c r="ID375" t="e">
        <f>Asia!B369+"$F;@!34K"</f>
        <v>#VALUE!</v>
      </c>
      <c r="IE375" t="e">
        <f>Asia!C369+"$F;@!34L"</f>
        <v>#VALUE!</v>
      </c>
      <c r="IF375" t="e">
        <f>Asia!D369+"$F;@!34M"</f>
        <v>#VALUE!</v>
      </c>
      <c r="IG375" t="e">
        <f>Asia!E369+"$F;@!34N"</f>
        <v>#VALUE!</v>
      </c>
      <c r="IH375" t="e">
        <f>Asia!F369+"$F;@!34O"</f>
        <v>#VALUE!</v>
      </c>
      <c r="II375" t="e">
        <f>Asia!G369+"$F;@!34P"</f>
        <v>#VALUE!</v>
      </c>
      <c r="IJ375" t="e">
        <f>Asia!H369+"$F;@!34Q"</f>
        <v>#VALUE!</v>
      </c>
      <c r="IK375" t="e">
        <f>Asia!A370+"$F;@!34R"</f>
        <v>#VALUE!</v>
      </c>
      <c r="IL375" t="e">
        <f>Asia!B370+"$F;@!34S"</f>
        <v>#VALUE!</v>
      </c>
      <c r="IM375" t="e">
        <f>Asia!C370+"$F;@!34T"</f>
        <v>#VALUE!</v>
      </c>
      <c r="IN375" t="e">
        <f>Asia!D370+"$F;@!34U"</f>
        <v>#VALUE!</v>
      </c>
      <c r="IO375" t="e">
        <f>Asia!E370+"$F;@!34V"</f>
        <v>#VALUE!</v>
      </c>
      <c r="IP375" t="e">
        <f>Asia!F370+"$F;@!34W"</f>
        <v>#VALUE!</v>
      </c>
      <c r="IQ375" t="e">
        <f>Asia!G370+"$F;@!34X"</f>
        <v>#VALUE!</v>
      </c>
      <c r="IR375" t="e">
        <f>Asia!H370+"$F;@!34Y"</f>
        <v>#VALUE!</v>
      </c>
      <c r="IS375" t="e">
        <f>Asia!A371+"$F;@!34Z"</f>
        <v>#VALUE!</v>
      </c>
      <c r="IT375" t="e">
        <f>Asia!B371+"$F;@!34["</f>
        <v>#VALUE!</v>
      </c>
      <c r="IU375" t="e">
        <f>Asia!C371+"$F;@!34\"</f>
        <v>#VALUE!</v>
      </c>
      <c r="IV375" t="e">
        <f>Asia!D371+"$F;@!34]"</f>
        <v>#VALUE!</v>
      </c>
    </row>
    <row r="376" spans="6:256" x14ac:dyDescent="0.35">
      <c r="F376" t="e">
        <f>Asia!E371+"$F;@!34^"</f>
        <v>#VALUE!</v>
      </c>
      <c r="G376" t="e">
        <f>Asia!F371+"$F;@!34_"</f>
        <v>#VALUE!</v>
      </c>
      <c r="H376" t="e">
        <f>Asia!G371+"$F;@!34`"</f>
        <v>#VALUE!</v>
      </c>
      <c r="I376" t="e">
        <f>Asia!H371+"$F;@!34a"</f>
        <v>#VALUE!</v>
      </c>
      <c r="J376" t="e">
        <f>Asia!A372+"$F;@!34b"</f>
        <v>#VALUE!</v>
      </c>
      <c r="K376" t="e">
        <f>Asia!B372+"$F;@!34c"</f>
        <v>#VALUE!</v>
      </c>
      <c r="L376" t="e">
        <f>Asia!C372+"$F;@!34d"</f>
        <v>#VALUE!</v>
      </c>
      <c r="M376" t="e">
        <f>Asia!D372+"$F;@!34e"</f>
        <v>#VALUE!</v>
      </c>
      <c r="N376" t="e">
        <f>Asia!E372+"$F;@!34f"</f>
        <v>#VALUE!</v>
      </c>
      <c r="O376" t="e">
        <f>Asia!F372+"$F;@!34g"</f>
        <v>#VALUE!</v>
      </c>
      <c r="P376" t="e">
        <f>Asia!G372+"$F;@!34h"</f>
        <v>#VALUE!</v>
      </c>
      <c r="Q376" t="e">
        <f>Asia!H372+"$F;@!34i"</f>
        <v>#VALUE!</v>
      </c>
      <c r="R376" t="e">
        <f>Asia!A373+"$F;@!34j"</f>
        <v>#VALUE!</v>
      </c>
      <c r="S376" t="e">
        <f>Asia!B373+"$F;@!34k"</f>
        <v>#VALUE!</v>
      </c>
      <c r="T376" t="e">
        <f>Asia!C373+"$F;@!34l"</f>
        <v>#VALUE!</v>
      </c>
      <c r="U376" t="e">
        <f>Asia!D373+"$F;@!34m"</f>
        <v>#VALUE!</v>
      </c>
      <c r="V376" t="e">
        <f>Asia!E373+"$F;@!34n"</f>
        <v>#VALUE!</v>
      </c>
      <c r="W376" t="e">
        <f>Asia!F373+"$F;@!34o"</f>
        <v>#VALUE!</v>
      </c>
      <c r="X376" t="e">
        <f>Asia!G373+"$F;@!34p"</f>
        <v>#VALUE!</v>
      </c>
      <c r="Y376" t="e">
        <f>Asia!H373+"$F;@!34q"</f>
        <v>#VALUE!</v>
      </c>
      <c r="Z376" t="e">
        <f>Asia!A374+"$F;@!34r"</f>
        <v>#VALUE!</v>
      </c>
      <c r="AA376" t="e">
        <f>Asia!B374+"$F;@!34s"</f>
        <v>#VALUE!</v>
      </c>
      <c r="AB376" t="e">
        <f>Asia!C374+"$F;@!34t"</f>
        <v>#VALUE!</v>
      </c>
      <c r="AC376" t="e">
        <f>Asia!D374+"$F;@!34u"</f>
        <v>#VALUE!</v>
      </c>
      <c r="AD376" t="e">
        <f>Asia!E374+"$F;@!34v"</f>
        <v>#VALUE!</v>
      </c>
      <c r="AE376" t="e">
        <f>Asia!F374+"$F;@!34w"</f>
        <v>#VALUE!</v>
      </c>
      <c r="AF376" t="e">
        <f>Asia!G374+"$F;@!34x"</f>
        <v>#VALUE!</v>
      </c>
      <c r="AG376" t="e">
        <f>Asia!H374+"$F;@!34y"</f>
        <v>#VALUE!</v>
      </c>
      <c r="AH376" t="e">
        <f>Asia!A375+"$F;@!34z"</f>
        <v>#VALUE!</v>
      </c>
      <c r="AI376" t="e">
        <f>Asia!B375+"$F;@!34{"</f>
        <v>#VALUE!</v>
      </c>
      <c r="AJ376" t="e">
        <f>Asia!C375+"$F;@!34|"</f>
        <v>#VALUE!</v>
      </c>
      <c r="AK376" t="e">
        <f>Asia!D375+"$F;@!34}"</f>
        <v>#VALUE!</v>
      </c>
      <c r="AL376" t="e">
        <f>Asia!E375+"$F;@!34~"</f>
        <v>#VALUE!</v>
      </c>
      <c r="AM376" t="e">
        <f>Asia!F375+"$F;@!35#"</f>
        <v>#VALUE!</v>
      </c>
      <c r="AN376" t="e">
        <f>Asia!G375+"$F;@!35$"</f>
        <v>#VALUE!</v>
      </c>
      <c r="AO376" t="e">
        <f>Asia!H375+"$F;@!35%"</f>
        <v>#VALUE!</v>
      </c>
      <c r="AP376" t="e">
        <f>Asia!A376+"$F;@!35&amp;"</f>
        <v>#VALUE!</v>
      </c>
      <c r="AQ376" t="e">
        <f>Asia!B376+"$F;@!35'"</f>
        <v>#VALUE!</v>
      </c>
      <c r="AR376" t="e">
        <f>Asia!C376+"$F;@!35("</f>
        <v>#VALUE!</v>
      </c>
      <c r="AS376" t="e">
        <f>Asia!D376+"$F;@!35)"</f>
        <v>#VALUE!</v>
      </c>
      <c r="AT376" t="e">
        <f>Asia!E376+"$F;@!35."</f>
        <v>#VALUE!</v>
      </c>
      <c r="AU376" t="e">
        <f>Asia!F376+"$F;@!35/"</f>
        <v>#VALUE!</v>
      </c>
      <c r="AV376" t="e">
        <f>Asia!G376+"$F;@!350"</f>
        <v>#VALUE!</v>
      </c>
      <c r="AW376" t="e">
        <f>Asia!H376+"$F;@!351"</f>
        <v>#VALUE!</v>
      </c>
      <c r="AX376" t="e">
        <f>Asia!A377+"$F;@!352"</f>
        <v>#VALUE!</v>
      </c>
      <c r="AY376" t="e">
        <f>Asia!B377+"$F;@!353"</f>
        <v>#VALUE!</v>
      </c>
      <c r="AZ376" t="e">
        <f>Asia!C377+"$F;@!354"</f>
        <v>#VALUE!</v>
      </c>
      <c r="BA376" t="e">
        <f>Asia!D377+"$F;@!355"</f>
        <v>#VALUE!</v>
      </c>
      <c r="BB376" t="e">
        <f>Asia!E377+"$F;@!356"</f>
        <v>#VALUE!</v>
      </c>
      <c r="BC376" t="e">
        <f>Asia!F377+"$F;@!357"</f>
        <v>#VALUE!</v>
      </c>
      <c r="BD376" t="e">
        <f>Asia!G377+"$F;@!358"</f>
        <v>#VALUE!</v>
      </c>
      <c r="BE376" t="e">
        <f>Asia!H377+"$F;@!359"</f>
        <v>#VALUE!</v>
      </c>
      <c r="BF376" t="e">
        <f>Asia!A378+"$F;@!35:"</f>
        <v>#VALUE!</v>
      </c>
      <c r="BG376" t="e">
        <f>Asia!B378+"$F;@!35;"</f>
        <v>#VALUE!</v>
      </c>
      <c r="BH376" t="e">
        <f>Asia!C378+"$F;@!35&lt;"</f>
        <v>#VALUE!</v>
      </c>
      <c r="BI376" t="e">
        <f>Asia!D378+"$F;@!35="</f>
        <v>#VALUE!</v>
      </c>
      <c r="BJ376" t="e">
        <f>Asia!E378+"$F;@!35&gt;"</f>
        <v>#VALUE!</v>
      </c>
      <c r="BK376" t="e">
        <f>Asia!F378+"$F;@!35?"</f>
        <v>#VALUE!</v>
      </c>
      <c r="BL376" t="e">
        <f>Asia!G378+"$F;@!35@"</f>
        <v>#VALUE!</v>
      </c>
      <c r="BM376" t="e">
        <f>Asia!H378+"$F;@!35A"</f>
        <v>#VALUE!</v>
      </c>
      <c r="BN376" t="e">
        <f>Asia!A379+"$F;@!35B"</f>
        <v>#VALUE!</v>
      </c>
      <c r="BO376" t="e">
        <f>Asia!B379+"$F;@!35C"</f>
        <v>#VALUE!</v>
      </c>
      <c r="BP376" t="e">
        <f>Asia!C379+"$F;@!35D"</f>
        <v>#VALUE!</v>
      </c>
      <c r="BQ376" t="e">
        <f>Asia!D379+"$F;@!35E"</f>
        <v>#VALUE!</v>
      </c>
      <c r="BR376" t="e">
        <f>Asia!E379+"$F;@!35F"</f>
        <v>#VALUE!</v>
      </c>
      <c r="BS376" t="e">
        <f>Asia!F379+"$F;@!35G"</f>
        <v>#VALUE!</v>
      </c>
      <c r="BT376" t="e">
        <f>Asia!G379+"$F;@!35H"</f>
        <v>#VALUE!</v>
      </c>
      <c r="BU376" t="e">
        <f>Asia!H379+"$F;@!35I"</f>
        <v>#VALUE!</v>
      </c>
      <c r="BV376" t="e">
        <f>Asia!A380+"$F;@!35J"</f>
        <v>#VALUE!</v>
      </c>
      <c r="BW376" t="e">
        <f>Asia!B380+"$F;@!35K"</f>
        <v>#VALUE!</v>
      </c>
      <c r="BX376" t="e">
        <f>Asia!C380+"$F;@!35L"</f>
        <v>#VALUE!</v>
      </c>
      <c r="BY376" t="e">
        <f>Asia!D380+"$F;@!35M"</f>
        <v>#VALUE!</v>
      </c>
      <c r="BZ376" t="e">
        <f>Asia!E380+"$F;@!35N"</f>
        <v>#VALUE!</v>
      </c>
      <c r="CA376" t="e">
        <f>Asia!F380+"$F;@!35O"</f>
        <v>#VALUE!</v>
      </c>
      <c r="CB376" t="e">
        <f>Asia!G380+"$F;@!35P"</f>
        <v>#VALUE!</v>
      </c>
      <c r="CC376" t="e">
        <f>Asia!H380+"$F;@!35Q"</f>
        <v>#VALUE!</v>
      </c>
      <c r="CD376" t="e">
        <f>Asia!A381+"$F;@!35R"</f>
        <v>#VALUE!</v>
      </c>
      <c r="CE376" t="e">
        <f>Asia!B381+"$F;@!35S"</f>
        <v>#VALUE!</v>
      </c>
      <c r="CF376" t="e">
        <f>Asia!C381+"$F;@!35T"</f>
        <v>#VALUE!</v>
      </c>
      <c r="CG376" t="e">
        <f>Asia!D381+"$F;@!35U"</f>
        <v>#VALUE!</v>
      </c>
      <c r="CH376" t="e">
        <f>Asia!E381+"$F;@!35V"</f>
        <v>#VALUE!</v>
      </c>
      <c r="CI376" t="e">
        <f>Asia!F381+"$F;@!35W"</f>
        <v>#VALUE!</v>
      </c>
      <c r="CJ376" t="e">
        <f>Asia!G381+"$F;@!35X"</f>
        <v>#VALUE!</v>
      </c>
      <c r="CK376" t="e">
        <f>Asia!H381+"$F;@!35Y"</f>
        <v>#VALUE!</v>
      </c>
      <c r="CL376" t="e">
        <f>Asia!A382+"$F;@!35Z"</f>
        <v>#VALUE!</v>
      </c>
      <c r="CM376" t="e">
        <f>Asia!B382+"$F;@!35["</f>
        <v>#VALUE!</v>
      </c>
      <c r="CN376" t="e">
        <f>Asia!C382+"$F;@!35\"</f>
        <v>#VALUE!</v>
      </c>
      <c r="CO376" t="e">
        <f>Asia!D382+"$F;@!35]"</f>
        <v>#VALUE!</v>
      </c>
      <c r="CP376" t="e">
        <f>Asia!E382+"$F;@!35^"</f>
        <v>#VALUE!</v>
      </c>
      <c r="CQ376" t="e">
        <f>Asia!F382+"$F;@!35_"</f>
        <v>#VALUE!</v>
      </c>
      <c r="CR376" t="e">
        <f>Asia!G382+"$F;@!35`"</f>
        <v>#VALUE!</v>
      </c>
      <c r="CS376" t="e">
        <f>Asia!H382+"$F;@!35a"</f>
        <v>#VALUE!</v>
      </c>
      <c r="CT376" t="e">
        <f>Asia!A383+"$F;@!35b"</f>
        <v>#VALUE!</v>
      </c>
      <c r="CU376" t="e">
        <f>Asia!B383+"$F;@!35c"</f>
        <v>#VALUE!</v>
      </c>
      <c r="CV376" t="e">
        <f>Asia!C383+"$F;@!35d"</f>
        <v>#VALUE!</v>
      </c>
      <c r="CW376" t="e">
        <f>Asia!D383+"$F;@!35e"</f>
        <v>#VALUE!</v>
      </c>
      <c r="CX376" t="e">
        <f>Asia!E383+"$F;@!35f"</f>
        <v>#VALUE!</v>
      </c>
      <c r="CY376" t="e">
        <f>Asia!F383+"$F;@!35g"</f>
        <v>#VALUE!</v>
      </c>
      <c r="CZ376" t="e">
        <f>Asia!G383+"$F;@!35h"</f>
        <v>#VALUE!</v>
      </c>
      <c r="DA376" t="e">
        <f>Asia!H383+"$F;@!35i"</f>
        <v>#VALUE!</v>
      </c>
      <c r="DB376" t="e">
        <f>Asia!A384+"$F;@!35j"</f>
        <v>#VALUE!</v>
      </c>
      <c r="DC376" t="e">
        <f>Asia!B384+"$F;@!35k"</f>
        <v>#VALUE!</v>
      </c>
      <c r="DD376" t="e">
        <f>Asia!C384+"$F;@!35l"</f>
        <v>#VALUE!</v>
      </c>
      <c r="DE376" t="e">
        <f>Asia!D384+"$F;@!35m"</f>
        <v>#VALUE!</v>
      </c>
      <c r="DF376" t="e">
        <f>Asia!E384+"$F;@!35n"</f>
        <v>#VALUE!</v>
      </c>
      <c r="DG376" t="e">
        <f>Asia!F384+"$F;@!35o"</f>
        <v>#VALUE!</v>
      </c>
      <c r="DH376" t="e">
        <f>Asia!G384+"$F;@!35p"</f>
        <v>#VALUE!</v>
      </c>
      <c r="DI376" t="e">
        <f>Asia!H384+"$F;@!35q"</f>
        <v>#VALUE!</v>
      </c>
      <c r="DJ376" t="e">
        <f>Asia!A385+"$F;@!35r"</f>
        <v>#VALUE!</v>
      </c>
      <c r="DK376" t="e">
        <f>Asia!B385+"$F;@!35s"</f>
        <v>#VALUE!</v>
      </c>
      <c r="DL376" t="e">
        <f>Asia!C385+"$F;@!35t"</f>
        <v>#VALUE!</v>
      </c>
      <c r="DM376" t="e">
        <f>Asia!D385+"$F;@!35u"</f>
        <v>#VALUE!</v>
      </c>
      <c r="DN376" t="e">
        <f>Asia!E385+"$F;@!35v"</f>
        <v>#VALUE!</v>
      </c>
      <c r="DO376" t="e">
        <f>Asia!F385+"$F;@!35w"</f>
        <v>#VALUE!</v>
      </c>
      <c r="DP376" t="e">
        <f>Asia!G385+"$F;@!35x"</f>
        <v>#VALUE!</v>
      </c>
      <c r="DQ376" t="e">
        <f>Asia!H385+"$F;@!35y"</f>
        <v>#VALUE!</v>
      </c>
      <c r="DR376" t="e">
        <f>Asia!A386+"$F;@!35z"</f>
        <v>#VALUE!</v>
      </c>
      <c r="DS376" t="e">
        <f>Asia!B386+"$F;@!35{"</f>
        <v>#VALUE!</v>
      </c>
      <c r="DT376" t="e">
        <f>Asia!C386+"$F;@!35|"</f>
        <v>#VALUE!</v>
      </c>
      <c r="DU376" t="e">
        <f>Asia!D386+"$F;@!35}"</f>
        <v>#VALUE!</v>
      </c>
      <c r="DV376" t="e">
        <f>Asia!E386+"$F;@!35~"</f>
        <v>#VALUE!</v>
      </c>
      <c r="DW376" t="e">
        <f>Asia!F386+"$F;@!36#"</f>
        <v>#VALUE!</v>
      </c>
      <c r="DX376" t="e">
        <f>Asia!G386+"$F;@!36$"</f>
        <v>#VALUE!</v>
      </c>
      <c r="DY376" t="e">
        <f>Asia!H386+"$F;@!36%"</f>
        <v>#VALUE!</v>
      </c>
      <c r="DZ376" t="e">
        <f>Asia!A387+"$F;@!36&amp;"</f>
        <v>#VALUE!</v>
      </c>
      <c r="EA376" t="e">
        <f>Asia!B387+"$F;@!36'"</f>
        <v>#VALUE!</v>
      </c>
      <c r="EB376" t="e">
        <f>Asia!C387+"$F;@!36("</f>
        <v>#VALUE!</v>
      </c>
      <c r="EC376" t="e">
        <f>Asia!D387+"$F;@!36)"</f>
        <v>#VALUE!</v>
      </c>
      <c r="ED376" t="e">
        <f>Asia!E387+"$F;@!36."</f>
        <v>#VALUE!</v>
      </c>
      <c r="EE376" t="e">
        <f>Asia!F387+"$F;@!36/"</f>
        <v>#VALUE!</v>
      </c>
      <c r="EF376" t="e">
        <f>Asia!G387+"$F;@!360"</f>
        <v>#VALUE!</v>
      </c>
      <c r="EG376" t="e">
        <f>Asia!H387+"$F;@!361"</f>
        <v>#VALUE!</v>
      </c>
      <c r="EH376" t="e">
        <f>Asia!A388+"$F;@!362"</f>
        <v>#VALUE!</v>
      </c>
      <c r="EI376" t="e">
        <f>Asia!B388+"$F;@!363"</f>
        <v>#VALUE!</v>
      </c>
      <c r="EJ376" t="e">
        <f>Asia!C388+"$F;@!364"</f>
        <v>#VALUE!</v>
      </c>
      <c r="EK376" t="e">
        <f>Asia!D388+"$F;@!365"</f>
        <v>#VALUE!</v>
      </c>
      <c r="EL376" t="e">
        <f>Asia!E388+"$F;@!366"</f>
        <v>#VALUE!</v>
      </c>
      <c r="EM376" t="e">
        <f>Asia!F388+"$F;@!367"</f>
        <v>#VALUE!</v>
      </c>
      <c r="EN376" t="e">
        <f>Asia!G388+"$F;@!368"</f>
        <v>#VALUE!</v>
      </c>
      <c r="EO376" t="e">
        <f>Asia!H388+"$F;@!369"</f>
        <v>#VALUE!</v>
      </c>
      <c r="EP376" t="e">
        <f>Asia!A389+"$F;@!36:"</f>
        <v>#VALUE!</v>
      </c>
      <c r="EQ376" t="e">
        <f>Asia!B389+"$F;@!36;"</f>
        <v>#VALUE!</v>
      </c>
      <c r="ER376" t="e">
        <f>Asia!C389+"$F;@!36&lt;"</f>
        <v>#VALUE!</v>
      </c>
      <c r="ES376" t="e">
        <f>Asia!D389+"$F;@!36="</f>
        <v>#VALUE!</v>
      </c>
      <c r="ET376" t="e">
        <f>Asia!E389+"$F;@!36&gt;"</f>
        <v>#VALUE!</v>
      </c>
      <c r="EU376" t="e">
        <f>Asia!F389+"$F;@!36?"</f>
        <v>#VALUE!</v>
      </c>
      <c r="EV376" t="e">
        <f>Asia!G389+"$F;@!36@"</f>
        <v>#VALUE!</v>
      </c>
      <c r="EW376" t="e">
        <f>Asia!H389+"$F;@!36A"</f>
        <v>#VALUE!</v>
      </c>
      <c r="EX376" t="e">
        <f>Asia!A390+"$F;@!36B"</f>
        <v>#VALUE!</v>
      </c>
      <c r="EY376" t="e">
        <f>Asia!B390+"$F;@!36C"</f>
        <v>#VALUE!</v>
      </c>
      <c r="EZ376" t="e">
        <f>Asia!C390+"$F;@!36D"</f>
        <v>#VALUE!</v>
      </c>
      <c r="FA376" t="e">
        <f>Asia!D390+"$F;@!36E"</f>
        <v>#VALUE!</v>
      </c>
      <c r="FB376" t="e">
        <f>Asia!E390+"$F;@!36F"</f>
        <v>#VALUE!</v>
      </c>
      <c r="FC376" t="e">
        <f>Asia!F390+"$F;@!36G"</f>
        <v>#VALUE!</v>
      </c>
      <c r="FD376" t="e">
        <f>Asia!G390+"$F;@!36H"</f>
        <v>#VALUE!</v>
      </c>
      <c r="FE376" t="e">
        <f>Asia!H390+"$F;@!36I"</f>
        <v>#VALUE!</v>
      </c>
      <c r="FF376" t="e">
        <f>Asia!A391+"$F;@!36J"</f>
        <v>#VALUE!</v>
      </c>
      <c r="FG376" t="e">
        <f>Asia!B391+"$F;@!36K"</f>
        <v>#VALUE!</v>
      </c>
      <c r="FH376" t="e">
        <f>Asia!C391+"$F;@!36L"</f>
        <v>#VALUE!</v>
      </c>
      <c r="FI376" t="e">
        <f>Asia!D391+"$F;@!36M"</f>
        <v>#VALUE!</v>
      </c>
      <c r="FJ376" t="e">
        <f>Asia!E391+"$F;@!36N"</f>
        <v>#VALUE!</v>
      </c>
      <c r="FK376" t="e">
        <f>Asia!F391+"$F;@!36O"</f>
        <v>#VALUE!</v>
      </c>
      <c r="FL376" t="e">
        <f>Asia!G391+"$F;@!36P"</f>
        <v>#VALUE!</v>
      </c>
      <c r="FM376" t="e">
        <f>Asia!H391+"$F;@!36Q"</f>
        <v>#VALUE!</v>
      </c>
      <c r="FN376" t="e">
        <f>Asia!A392+"$F;@!36R"</f>
        <v>#VALUE!</v>
      </c>
      <c r="FO376" t="e">
        <f>Asia!B392+"$F;@!36S"</f>
        <v>#VALUE!</v>
      </c>
      <c r="FP376" t="e">
        <f>Asia!C392+"$F;@!36T"</f>
        <v>#VALUE!</v>
      </c>
      <c r="FQ376" t="e">
        <f>Asia!D392+"$F;@!36U"</f>
        <v>#VALUE!</v>
      </c>
      <c r="FR376" t="e">
        <f>Asia!E392+"$F;@!36V"</f>
        <v>#VALUE!</v>
      </c>
      <c r="FS376" t="e">
        <f>Asia!F392+"$F;@!36W"</f>
        <v>#VALUE!</v>
      </c>
      <c r="FT376" t="e">
        <f>Asia!G392+"$F;@!36X"</f>
        <v>#VALUE!</v>
      </c>
      <c r="FU376" t="e">
        <f>Asia!H392+"$F;@!36Y"</f>
        <v>#VALUE!</v>
      </c>
      <c r="FV376" t="e">
        <f>Asia!A393+"$F;@!36Z"</f>
        <v>#VALUE!</v>
      </c>
      <c r="FW376" t="e">
        <f>Asia!B393+"$F;@!36["</f>
        <v>#VALUE!</v>
      </c>
      <c r="FX376" t="e">
        <f>Asia!C393+"$F;@!36\"</f>
        <v>#VALUE!</v>
      </c>
      <c r="FY376" t="e">
        <f>Asia!D393+"$F;@!36]"</f>
        <v>#VALUE!</v>
      </c>
      <c r="FZ376" t="e">
        <f>Asia!E393+"$F;@!36^"</f>
        <v>#VALUE!</v>
      </c>
      <c r="GA376" t="e">
        <f>Asia!F393+"$F;@!36_"</f>
        <v>#VALUE!</v>
      </c>
      <c r="GB376" t="e">
        <f>Asia!G393+"$F;@!36`"</f>
        <v>#VALUE!</v>
      </c>
      <c r="GC376" t="e">
        <f>Asia!H393+"$F;@!36a"</f>
        <v>#VALUE!</v>
      </c>
      <c r="GD376" t="e">
        <f>Asia!A394+"$F;@!36b"</f>
        <v>#VALUE!</v>
      </c>
      <c r="GE376" t="e">
        <f>Asia!B394+"$F;@!36c"</f>
        <v>#VALUE!</v>
      </c>
      <c r="GF376" t="e">
        <f>Asia!C394+"$F;@!36d"</f>
        <v>#VALUE!</v>
      </c>
      <c r="GG376" t="e">
        <f>Asia!D394+"$F;@!36e"</f>
        <v>#VALUE!</v>
      </c>
      <c r="GH376" t="e">
        <f>Asia!E394+"$F;@!36f"</f>
        <v>#VALUE!</v>
      </c>
      <c r="GI376" t="e">
        <f>Asia!F394+"$F;@!36g"</f>
        <v>#VALUE!</v>
      </c>
      <c r="GJ376" t="e">
        <f>Asia!G394+"$F;@!36h"</f>
        <v>#VALUE!</v>
      </c>
      <c r="GK376" t="e">
        <f>Asia!H394+"$F;@!36i"</f>
        <v>#VALUE!</v>
      </c>
      <c r="GL376" t="e">
        <f>Asia!A395+"$F;@!36j"</f>
        <v>#VALUE!</v>
      </c>
      <c r="GM376" t="e">
        <f>Asia!B395+"$F;@!36k"</f>
        <v>#VALUE!</v>
      </c>
      <c r="GN376" t="e">
        <f>Asia!C395+"$F;@!36l"</f>
        <v>#VALUE!</v>
      </c>
      <c r="GO376" t="e">
        <f>Asia!D395+"$F;@!36m"</f>
        <v>#VALUE!</v>
      </c>
      <c r="GP376" t="e">
        <f>Asia!E395+"$F;@!36n"</f>
        <v>#VALUE!</v>
      </c>
      <c r="GQ376" t="e">
        <f>Asia!F395+"$F;@!36o"</f>
        <v>#VALUE!</v>
      </c>
      <c r="GR376" t="e">
        <f>Asia!G395+"$F;@!36p"</f>
        <v>#VALUE!</v>
      </c>
      <c r="GS376" t="e">
        <f>Asia!H395+"$F;@!36q"</f>
        <v>#VALUE!</v>
      </c>
      <c r="GT376" t="e">
        <f>Asia!A396+"$F;@!36r"</f>
        <v>#VALUE!</v>
      </c>
      <c r="GU376" t="e">
        <f>Asia!B396+"$F;@!36s"</f>
        <v>#VALUE!</v>
      </c>
      <c r="GV376" t="e">
        <f>Asia!C396+"$F;@!36t"</f>
        <v>#VALUE!</v>
      </c>
      <c r="GW376" t="e">
        <f>Asia!D396+"$F;@!36u"</f>
        <v>#VALUE!</v>
      </c>
      <c r="GX376" t="e">
        <f>Asia!E396+"$F;@!36v"</f>
        <v>#VALUE!</v>
      </c>
      <c r="GY376" t="e">
        <f>Asia!F396+"$F;@!36w"</f>
        <v>#VALUE!</v>
      </c>
      <c r="GZ376" t="e">
        <f>Asia!G396+"$F;@!36x"</f>
        <v>#VALUE!</v>
      </c>
      <c r="HA376" t="e">
        <f>Asia!H396+"$F;@!36y"</f>
        <v>#VALUE!</v>
      </c>
      <c r="HB376" t="e">
        <f>Asia!A397+"$F;@!36z"</f>
        <v>#VALUE!</v>
      </c>
      <c r="HC376" t="e">
        <f>Asia!B397+"$F;@!36{"</f>
        <v>#VALUE!</v>
      </c>
      <c r="HD376" t="e">
        <f>Asia!C397+"$F;@!36|"</f>
        <v>#VALUE!</v>
      </c>
      <c r="HE376" t="e">
        <f>Asia!D397+"$F;@!36}"</f>
        <v>#VALUE!</v>
      </c>
      <c r="HF376" t="e">
        <f>Asia!E397+"$F;@!36~"</f>
        <v>#VALUE!</v>
      </c>
      <c r="HG376" t="e">
        <f>Asia!F397+"$F;@!37#"</f>
        <v>#VALUE!</v>
      </c>
      <c r="HH376" t="e">
        <f>Asia!G397+"$F;@!37$"</f>
        <v>#VALUE!</v>
      </c>
      <c r="HI376" t="e">
        <f>Asia!H397+"$F;@!37%"</f>
        <v>#VALUE!</v>
      </c>
      <c r="HJ376" t="e">
        <f>Asia!A398+"$F;@!37&amp;"</f>
        <v>#VALUE!</v>
      </c>
      <c r="HK376" t="e">
        <f>Asia!B398+"$F;@!37'"</f>
        <v>#VALUE!</v>
      </c>
      <c r="HL376" t="e">
        <f>Asia!C398+"$F;@!37("</f>
        <v>#VALUE!</v>
      </c>
      <c r="HM376" t="e">
        <f>Asia!D398+"$F;@!37)"</f>
        <v>#VALUE!</v>
      </c>
      <c r="HN376" t="e">
        <f>Asia!E398+"$F;@!37."</f>
        <v>#VALUE!</v>
      </c>
      <c r="HO376" t="e">
        <f>Asia!F398+"$F;@!37/"</f>
        <v>#VALUE!</v>
      </c>
      <c r="HP376" t="e">
        <f>Asia!G398+"$F;@!370"</f>
        <v>#VALUE!</v>
      </c>
      <c r="HQ376" t="e">
        <f>Asia!H398+"$F;@!371"</f>
        <v>#VALUE!</v>
      </c>
      <c r="HR376" t="e">
        <f>Asia!A399+"$F;@!372"</f>
        <v>#VALUE!</v>
      </c>
      <c r="HS376" t="e">
        <f>Asia!B399+"$F;@!373"</f>
        <v>#VALUE!</v>
      </c>
      <c r="HT376" t="e">
        <f>Asia!C399+"$F;@!374"</f>
        <v>#VALUE!</v>
      </c>
      <c r="HU376" t="e">
        <f>Asia!D399+"$F;@!375"</f>
        <v>#VALUE!</v>
      </c>
      <c r="HV376" t="e">
        <f>Asia!E399+"$F;@!376"</f>
        <v>#VALUE!</v>
      </c>
      <c r="HW376" t="e">
        <f>Asia!F399+"$F;@!377"</f>
        <v>#VALUE!</v>
      </c>
      <c r="HX376" t="e">
        <f>Asia!G399+"$F;@!378"</f>
        <v>#VALUE!</v>
      </c>
      <c r="HY376" t="e">
        <f>Asia!H399+"$F;@!379"</f>
        <v>#VALUE!</v>
      </c>
      <c r="HZ376" t="e">
        <f>Asia!A400+"$F;@!37:"</f>
        <v>#VALUE!</v>
      </c>
      <c r="IA376" t="e">
        <f>Asia!B400+"$F;@!37;"</f>
        <v>#VALUE!</v>
      </c>
      <c r="IB376" t="e">
        <f>Asia!C400+"$F;@!37&lt;"</f>
        <v>#VALUE!</v>
      </c>
      <c r="IC376" t="e">
        <f>Asia!D400+"$F;@!37="</f>
        <v>#VALUE!</v>
      </c>
      <c r="ID376" t="e">
        <f>Asia!E400+"$F;@!37&gt;"</f>
        <v>#VALUE!</v>
      </c>
      <c r="IE376" t="e">
        <f>Asia!F400+"$F;@!37?"</f>
        <v>#VALUE!</v>
      </c>
      <c r="IF376" t="e">
        <f>Asia!G400+"$F;@!37@"</f>
        <v>#VALUE!</v>
      </c>
      <c r="IG376" t="e">
        <f>Asia!H400+"$F;@!37A"</f>
        <v>#VALUE!</v>
      </c>
      <c r="IH376" t="e">
        <f>Asia!A401+"$F;@!37B"</f>
        <v>#VALUE!</v>
      </c>
      <c r="II376" t="e">
        <f>Asia!B401+"$F;@!37C"</f>
        <v>#VALUE!</v>
      </c>
      <c r="IJ376" t="e">
        <f>Asia!C401+"$F;@!37D"</f>
        <v>#VALUE!</v>
      </c>
      <c r="IK376" t="e">
        <f>Asia!D401+"$F;@!37E"</f>
        <v>#VALUE!</v>
      </c>
      <c r="IL376" t="e">
        <f>Asia!E401+"$F;@!37F"</f>
        <v>#VALUE!</v>
      </c>
      <c r="IM376" t="e">
        <f>Asia!F401+"$F;@!37G"</f>
        <v>#VALUE!</v>
      </c>
      <c r="IN376" t="e">
        <f>Asia!G401+"$F;@!37H"</f>
        <v>#VALUE!</v>
      </c>
      <c r="IO376" t="e">
        <f>Asia!H401+"$F;@!37I"</f>
        <v>#VALUE!</v>
      </c>
      <c r="IP376" t="e">
        <f>Asia!A402+"$F;@!37J"</f>
        <v>#VALUE!</v>
      </c>
      <c r="IQ376" t="e">
        <f>Asia!B402+"$F;@!37K"</f>
        <v>#VALUE!</v>
      </c>
      <c r="IR376" t="e">
        <f>Asia!C402+"$F;@!37L"</f>
        <v>#VALUE!</v>
      </c>
      <c r="IS376" t="e">
        <f>Asia!D402+"$F;@!37M"</f>
        <v>#VALUE!</v>
      </c>
      <c r="IT376" t="e">
        <f>Asia!E402+"$F;@!37N"</f>
        <v>#VALUE!</v>
      </c>
      <c r="IU376" t="e">
        <f>Asia!F402+"$F;@!37O"</f>
        <v>#VALUE!</v>
      </c>
      <c r="IV376" t="e">
        <f>Asia!G402+"$F;@!37P"</f>
        <v>#VALUE!</v>
      </c>
    </row>
    <row r="377" spans="6:256" x14ac:dyDescent="0.35">
      <c r="F377" t="e">
        <f>Asia!H402+"$F;@!37Q"</f>
        <v>#VALUE!</v>
      </c>
      <c r="G377" t="e">
        <f>Asia!A403+"$F;@!37R"</f>
        <v>#VALUE!</v>
      </c>
      <c r="H377" t="e">
        <f>Asia!B403+"$F;@!37S"</f>
        <v>#VALUE!</v>
      </c>
      <c r="I377" t="e">
        <f>Asia!C403+"$F;@!37T"</f>
        <v>#VALUE!</v>
      </c>
      <c r="J377" t="e">
        <f>Asia!D403+"$F;@!37U"</f>
        <v>#VALUE!</v>
      </c>
      <c r="K377" t="e">
        <f>Asia!E403+"$F;@!37V"</f>
        <v>#VALUE!</v>
      </c>
      <c r="L377" t="e">
        <f>Asia!F403+"$F;@!37W"</f>
        <v>#VALUE!</v>
      </c>
      <c r="M377" t="e">
        <f>Asia!G403+"$F;@!37X"</f>
        <v>#VALUE!</v>
      </c>
      <c r="N377" t="e">
        <f>Asia!H403+"$F;@!37Y"</f>
        <v>#VALUE!</v>
      </c>
      <c r="O377" t="e">
        <f>Asia!A404+"$F;@!37Z"</f>
        <v>#VALUE!</v>
      </c>
      <c r="P377" t="e">
        <f>Asia!B404+"$F;@!37["</f>
        <v>#VALUE!</v>
      </c>
      <c r="Q377" t="e">
        <f>Asia!C404+"$F;@!37\"</f>
        <v>#VALUE!</v>
      </c>
      <c r="R377" t="e">
        <f>Asia!D404+"$F;@!37]"</f>
        <v>#VALUE!</v>
      </c>
      <c r="S377" t="e">
        <f>Asia!E404+"$F;@!37^"</f>
        <v>#VALUE!</v>
      </c>
      <c r="T377" t="e">
        <f>Asia!F404+"$F;@!37_"</f>
        <v>#VALUE!</v>
      </c>
      <c r="U377" t="e">
        <f>Asia!G404+"$F;@!37`"</f>
        <v>#VALUE!</v>
      </c>
      <c r="V377" t="e">
        <f>Asia!H404+"$F;@!37a"</f>
        <v>#VALUE!</v>
      </c>
      <c r="W377" t="e">
        <f>Asia!A405+"$F;@!37b"</f>
        <v>#VALUE!</v>
      </c>
      <c r="X377" t="e">
        <f>Asia!B405+"$F;@!37c"</f>
        <v>#VALUE!</v>
      </c>
      <c r="Y377" t="e">
        <f>Asia!C405+"$F;@!37d"</f>
        <v>#VALUE!</v>
      </c>
      <c r="Z377" t="e">
        <f>Asia!D405+"$F;@!37e"</f>
        <v>#VALUE!</v>
      </c>
      <c r="AA377" t="e">
        <f>Asia!E405+"$F;@!37f"</f>
        <v>#VALUE!</v>
      </c>
      <c r="AB377" t="e">
        <f>Asia!F405+"$F;@!37g"</f>
        <v>#VALUE!</v>
      </c>
      <c r="AC377" t="e">
        <f>Asia!G405+"$F;@!37h"</f>
        <v>#VALUE!</v>
      </c>
      <c r="AD377" t="e">
        <f>Asia!H405+"$F;@!37i"</f>
        <v>#VALUE!</v>
      </c>
      <c r="AE377" t="e">
        <f>Asia!A406+"$F;@!37j"</f>
        <v>#VALUE!</v>
      </c>
      <c r="AF377" t="e">
        <f>Asia!B406+"$F;@!37k"</f>
        <v>#VALUE!</v>
      </c>
      <c r="AG377" t="e">
        <f>Asia!C406+"$F;@!37l"</f>
        <v>#VALUE!</v>
      </c>
      <c r="AH377" t="e">
        <f>Asia!D406+"$F;@!37m"</f>
        <v>#VALUE!</v>
      </c>
      <c r="AI377" t="e">
        <f>Asia!E406+"$F;@!37n"</f>
        <v>#VALUE!</v>
      </c>
      <c r="AJ377" t="e">
        <f>Asia!F406+"$F;@!37o"</f>
        <v>#VALUE!</v>
      </c>
      <c r="AK377" t="e">
        <f>Asia!G406+"$F;@!37p"</f>
        <v>#VALUE!</v>
      </c>
      <c r="AL377" t="e">
        <f>Asia!H406+"$F;@!37q"</f>
        <v>#VALUE!</v>
      </c>
      <c r="AM377" t="e">
        <f>Asia!A407+"$F;@!37r"</f>
        <v>#VALUE!</v>
      </c>
      <c r="AN377" t="e">
        <f>Asia!B407+"$F;@!37s"</f>
        <v>#VALUE!</v>
      </c>
      <c r="AO377" t="e">
        <f>Asia!C407+"$F;@!37t"</f>
        <v>#VALUE!</v>
      </c>
      <c r="AP377" t="e">
        <f>Asia!D407+"$F;@!37u"</f>
        <v>#VALUE!</v>
      </c>
      <c r="AQ377" t="e">
        <f>Asia!E407+"$F;@!37v"</f>
        <v>#VALUE!</v>
      </c>
      <c r="AR377" t="e">
        <f>Asia!F407+"$F;@!37w"</f>
        <v>#VALUE!</v>
      </c>
      <c r="AS377" t="e">
        <f>Asia!G407+"$F;@!37x"</f>
        <v>#VALUE!</v>
      </c>
      <c r="AT377" t="e">
        <f>Asia!H407+"$F;@!37y"</f>
        <v>#VALUE!</v>
      </c>
      <c r="AU377" t="e">
        <f>Asia!A408+"$F;@!37z"</f>
        <v>#VALUE!</v>
      </c>
      <c r="AV377" t="e">
        <f>Asia!B408+"$F;@!37{"</f>
        <v>#VALUE!</v>
      </c>
      <c r="AW377" t="e">
        <f>Asia!C408+"$F;@!37|"</f>
        <v>#VALUE!</v>
      </c>
      <c r="AX377" t="e">
        <f>Asia!D408+"$F;@!37}"</f>
        <v>#VALUE!</v>
      </c>
      <c r="AY377" t="e">
        <f>Asia!E408+"$F;@!37~"</f>
        <v>#VALUE!</v>
      </c>
      <c r="AZ377" t="e">
        <f>Asia!F408+"$F;@!38#"</f>
        <v>#VALUE!</v>
      </c>
      <c r="BA377" t="e">
        <f>Asia!G408+"$F;@!38$"</f>
        <v>#VALUE!</v>
      </c>
      <c r="BB377" t="e">
        <f>Asia!H408+"$F;@!38%"</f>
        <v>#VALUE!</v>
      </c>
      <c r="BC377" t="e">
        <f>Asia!A409+"$F;@!38&amp;"</f>
        <v>#VALUE!</v>
      </c>
      <c r="BD377" t="e">
        <f>Asia!B409+"$F;@!38'"</f>
        <v>#VALUE!</v>
      </c>
      <c r="BE377" t="e">
        <f>Asia!C409+"$F;@!38("</f>
        <v>#VALUE!</v>
      </c>
      <c r="BF377" t="e">
        <f>Asia!D409+"$F;@!38)"</f>
        <v>#VALUE!</v>
      </c>
      <c r="BG377" t="e">
        <f>Asia!E409+"$F;@!38."</f>
        <v>#VALUE!</v>
      </c>
      <c r="BH377" t="e">
        <f>Asia!F409+"$F;@!38/"</f>
        <v>#VALUE!</v>
      </c>
      <c r="BI377" t="e">
        <f>Asia!G409+"$F;@!380"</f>
        <v>#VALUE!</v>
      </c>
      <c r="BJ377" t="e">
        <f>Asia!H409+"$F;@!381"</f>
        <v>#VALUE!</v>
      </c>
      <c r="BK377" t="e">
        <f>Asia!A410+"$F;@!382"</f>
        <v>#VALUE!</v>
      </c>
      <c r="BL377" t="e">
        <f>Asia!B410+"$F;@!383"</f>
        <v>#VALUE!</v>
      </c>
      <c r="BM377" t="e">
        <f>Asia!C410+"$F;@!384"</f>
        <v>#VALUE!</v>
      </c>
      <c r="BN377" t="e">
        <f>Asia!D410+"$F;@!385"</f>
        <v>#VALUE!</v>
      </c>
      <c r="BO377" t="e">
        <f>Asia!E410+"$F;@!386"</f>
        <v>#VALUE!</v>
      </c>
      <c r="BP377" t="e">
        <f>Asia!F410+"$F;@!387"</f>
        <v>#VALUE!</v>
      </c>
      <c r="BQ377" t="e">
        <f>Asia!G410+"$F;@!388"</f>
        <v>#VALUE!</v>
      </c>
      <c r="BR377" t="e">
        <f>Asia!H410+"$F;@!389"</f>
        <v>#VALUE!</v>
      </c>
      <c r="BS377" t="e">
        <f>Asia!A411+"$F;@!38:"</f>
        <v>#VALUE!</v>
      </c>
      <c r="BT377" t="e">
        <f>Asia!B411+"$F;@!38;"</f>
        <v>#VALUE!</v>
      </c>
      <c r="BU377" t="e">
        <f>Asia!C411+"$F;@!38&lt;"</f>
        <v>#VALUE!</v>
      </c>
      <c r="BV377" t="e">
        <f>Asia!D411+"$F;@!38="</f>
        <v>#VALUE!</v>
      </c>
      <c r="BW377" t="e">
        <f>Asia!E411+"$F;@!38&gt;"</f>
        <v>#VALUE!</v>
      </c>
      <c r="BX377" t="e">
        <f>Asia!F411+"$F;@!38?"</f>
        <v>#VALUE!</v>
      </c>
      <c r="BY377" t="e">
        <f>Asia!G411+"$F;@!38@"</f>
        <v>#VALUE!</v>
      </c>
      <c r="BZ377" t="e">
        <f>Asia!H411+"$F;@!38A"</f>
        <v>#VALUE!</v>
      </c>
      <c r="CA377" t="e">
        <f>Asia!A412+"$F;@!38B"</f>
        <v>#VALUE!</v>
      </c>
      <c r="CB377" t="e">
        <f>Asia!B412+"$F;@!38C"</f>
        <v>#VALUE!</v>
      </c>
      <c r="CC377" t="e">
        <f>Asia!C412+"$F;@!38D"</f>
        <v>#VALUE!</v>
      </c>
      <c r="CD377" t="e">
        <f>Asia!D412+"$F;@!38E"</f>
        <v>#VALUE!</v>
      </c>
      <c r="CE377" t="e">
        <f>Asia!E412+"$F;@!38F"</f>
        <v>#VALUE!</v>
      </c>
      <c r="CF377" t="e">
        <f>Asia!F412+"$F;@!38G"</f>
        <v>#VALUE!</v>
      </c>
      <c r="CG377" t="e">
        <f>Asia!G412+"$F;@!38H"</f>
        <v>#VALUE!</v>
      </c>
      <c r="CH377" t="e">
        <f>Asia!H412+"$F;@!38I"</f>
        <v>#VALUE!</v>
      </c>
      <c r="CI377" t="e">
        <f>Asia!A413+"$F;@!38J"</f>
        <v>#VALUE!</v>
      </c>
      <c r="CJ377" t="e">
        <f>Asia!B413+"$F;@!38K"</f>
        <v>#VALUE!</v>
      </c>
      <c r="CK377" t="e">
        <f>Asia!C413+"$F;@!38L"</f>
        <v>#VALUE!</v>
      </c>
      <c r="CL377" t="e">
        <f>Asia!D413+"$F;@!38M"</f>
        <v>#VALUE!</v>
      </c>
      <c r="CM377" t="e">
        <f>Asia!E413+"$F;@!38N"</f>
        <v>#VALUE!</v>
      </c>
      <c r="CN377" t="e">
        <f>Asia!F413+"$F;@!38O"</f>
        <v>#VALUE!</v>
      </c>
      <c r="CO377" t="e">
        <f>Asia!G413+"$F;@!38P"</f>
        <v>#VALUE!</v>
      </c>
      <c r="CP377" t="e">
        <f>Asia!H413+"$F;@!38Q"</f>
        <v>#VALUE!</v>
      </c>
      <c r="CQ377" t="e">
        <f>Asia!A414+"$F;@!38R"</f>
        <v>#VALUE!</v>
      </c>
      <c r="CR377" t="e">
        <f>Asia!B414+"$F;@!38S"</f>
        <v>#VALUE!</v>
      </c>
      <c r="CS377" t="e">
        <f>Asia!C414+"$F;@!38T"</f>
        <v>#VALUE!</v>
      </c>
      <c r="CT377" t="e">
        <f>Asia!D414+"$F;@!38U"</f>
        <v>#VALUE!</v>
      </c>
      <c r="CU377" t="e">
        <f>Asia!E414+"$F;@!38V"</f>
        <v>#VALUE!</v>
      </c>
      <c r="CV377" t="e">
        <f>Asia!F414+"$F;@!38W"</f>
        <v>#VALUE!</v>
      </c>
      <c r="CW377" t="e">
        <f>Asia!G414+"$F;@!38X"</f>
        <v>#VALUE!</v>
      </c>
      <c r="CX377" t="e">
        <f>Asia!H414+"$F;@!38Y"</f>
        <v>#VALUE!</v>
      </c>
      <c r="CY377" t="e">
        <f>Asia!A415+"$F;@!38Z"</f>
        <v>#VALUE!</v>
      </c>
      <c r="CZ377" t="e">
        <f>Asia!B415+"$F;@!38["</f>
        <v>#VALUE!</v>
      </c>
      <c r="DA377" t="e">
        <f>Asia!C415+"$F;@!38\"</f>
        <v>#VALUE!</v>
      </c>
      <c r="DB377" t="e">
        <f>Asia!D415+"$F;@!38]"</f>
        <v>#VALUE!</v>
      </c>
      <c r="DC377" t="e">
        <f>Asia!E415+"$F;@!38^"</f>
        <v>#VALUE!</v>
      </c>
      <c r="DD377" t="e">
        <f>Asia!F415+"$F;@!38_"</f>
        <v>#VALUE!</v>
      </c>
      <c r="DE377" t="e">
        <f>Asia!G415+"$F;@!38`"</f>
        <v>#VALUE!</v>
      </c>
      <c r="DF377" t="e">
        <f>Asia!H415+"$F;@!38a"</f>
        <v>#VALUE!</v>
      </c>
      <c r="DG377" t="e">
        <f>Asia!A416+"$F;@!38b"</f>
        <v>#VALUE!</v>
      </c>
      <c r="DH377" t="e">
        <f>Asia!B416+"$F;@!38c"</f>
        <v>#VALUE!</v>
      </c>
      <c r="DI377" t="e">
        <f>Asia!C416+"$F;@!38d"</f>
        <v>#VALUE!</v>
      </c>
      <c r="DJ377" t="e">
        <f>Asia!D416+"$F;@!38e"</f>
        <v>#VALUE!</v>
      </c>
      <c r="DK377" t="e">
        <f>Asia!E416+"$F;@!38f"</f>
        <v>#VALUE!</v>
      </c>
      <c r="DL377" t="e">
        <f>Asia!F416+"$F;@!38g"</f>
        <v>#VALUE!</v>
      </c>
      <c r="DM377" t="e">
        <f>Asia!G416+"$F;@!38h"</f>
        <v>#VALUE!</v>
      </c>
      <c r="DN377" t="e">
        <f>Asia!H416+"$F;@!38i"</f>
        <v>#VALUE!</v>
      </c>
      <c r="DO377" t="e">
        <f>Asia!A417+"$F;@!38j"</f>
        <v>#VALUE!</v>
      </c>
      <c r="DP377" t="e">
        <f>Asia!B417+"$F;@!38k"</f>
        <v>#VALUE!</v>
      </c>
      <c r="DQ377" t="e">
        <f>Asia!C417+"$F;@!38l"</f>
        <v>#VALUE!</v>
      </c>
      <c r="DR377" t="e">
        <f>Asia!D417+"$F;@!38m"</f>
        <v>#VALUE!</v>
      </c>
      <c r="DS377" t="e">
        <f>Asia!E417+"$F;@!38n"</f>
        <v>#VALUE!</v>
      </c>
      <c r="DT377" t="e">
        <f>Asia!F417+"$F;@!38o"</f>
        <v>#VALUE!</v>
      </c>
      <c r="DU377" t="e">
        <f>Asia!G417+"$F;@!38p"</f>
        <v>#VALUE!</v>
      </c>
      <c r="DV377" t="e">
        <f>Asia!H417+"$F;@!38q"</f>
        <v>#VALUE!</v>
      </c>
      <c r="DW377" t="e">
        <f>Asia!A418+"$F;@!38r"</f>
        <v>#VALUE!</v>
      </c>
      <c r="DX377" t="e">
        <f>Asia!B418+"$F;@!38s"</f>
        <v>#VALUE!</v>
      </c>
      <c r="DY377" t="e">
        <f>Asia!C418+"$F;@!38t"</f>
        <v>#VALUE!</v>
      </c>
      <c r="DZ377" t="e">
        <f>Asia!D418+"$F;@!38u"</f>
        <v>#VALUE!</v>
      </c>
      <c r="EA377" t="e">
        <f>Asia!E418+"$F;@!38v"</f>
        <v>#VALUE!</v>
      </c>
      <c r="EB377" t="e">
        <f>Asia!F418+"$F;@!38w"</f>
        <v>#VALUE!</v>
      </c>
      <c r="EC377" t="e">
        <f>Asia!G418+"$F;@!38x"</f>
        <v>#VALUE!</v>
      </c>
      <c r="ED377" t="e">
        <f>Asia!H418+"$F;@!38y"</f>
        <v>#VALUE!</v>
      </c>
      <c r="EE377" t="e">
        <f>Asia!A419+"$F;@!38z"</f>
        <v>#VALUE!</v>
      </c>
      <c r="EF377" t="e">
        <f>Asia!B419+"$F;@!38{"</f>
        <v>#VALUE!</v>
      </c>
      <c r="EG377" t="e">
        <f>Asia!C419+"$F;@!38|"</f>
        <v>#VALUE!</v>
      </c>
      <c r="EH377" t="e">
        <f>Asia!D419+"$F;@!38}"</f>
        <v>#VALUE!</v>
      </c>
      <c r="EI377" t="e">
        <f>Asia!E419+"$F;@!38~"</f>
        <v>#VALUE!</v>
      </c>
      <c r="EJ377" t="e">
        <f>Asia!F419+"$F;@!39#"</f>
        <v>#VALUE!</v>
      </c>
      <c r="EK377" t="e">
        <f>Asia!G419+"$F;@!39$"</f>
        <v>#VALUE!</v>
      </c>
      <c r="EL377" t="e">
        <f>Asia!H419+"$F;@!39%"</f>
        <v>#VALUE!</v>
      </c>
      <c r="EM377" t="e">
        <f>Asia!A420+"$F;@!39&amp;"</f>
        <v>#VALUE!</v>
      </c>
      <c r="EN377" t="e">
        <f>Asia!B420+"$F;@!39'"</f>
        <v>#VALUE!</v>
      </c>
      <c r="EO377" t="e">
        <f>Asia!C420+"$F;@!39("</f>
        <v>#VALUE!</v>
      </c>
      <c r="EP377" t="e">
        <f>Asia!D420+"$F;@!39)"</f>
        <v>#VALUE!</v>
      </c>
      <c r="EQ377" t="e">
        <f>Asia!E420+"$F;@!39."</f>
        <v>#VALUE!</v>
      </c>
      <c r="ER377" t="e">
        <f>Asia!F420+"$F;@!39/"</f>
        <v>#VALUE!</v>
      </c>
      <c r="ES377" t="e">
        <f>Asia!G420+"$F;@!390"</f>
        <v>#VALUE!</v>
      </c>
      <c r="ET377" t="e">
        <f>Asia!H420+"$F;@!391"</f>
        <v>#VALUE!</v>
      </c>
      <c r="EU377" t="e">
        <f>Asia!A421+"$F;@!392"</f>
        <v>#VALUE!</v>
      </c>
      <c r="EV377" t="e">
        <f>Asia!B421+"$F;@!393"</f>
        <v>#VALUE!</v>
      </c>
      <c r="EW377" t="e">
        <f>Asia!C421+"$F;@!394"</f>
        <v>#VALUE!</v>
      </c>
      <c r="EX377" t="e">
        <f>Asia!D421+"$F;@!395"</f>
        <v>#VALUE!</v>
      </c>
      <c r="EY377" t="e">
        <f>Asia!E421+"$F;@!396"</f>
        <v>#VALUE!</v>
      </c>
      <c r="EZ377" t="e">
        <f>Asia!F421+"$F;@!397"</f>
        <v>#VALUE!</v>
      </c>
      <c r="FA377" t="e">
        <f>Asia!G421+"$F;@!398"</f>
        <v>#VALUE!</v>
      </c>
      <c r="FB377" t="e">
        <f>Asia!H421+"$F;@!399"</f>
        <v>#VALUE!</v>
      </c>
      <c r="FC377" t="e">
        <f>Asia!A422+"$F;@!39:"</f>
        <v>#VALUE!</v>
      </c>
      <c r="FD377" t="e">
        <f>Asia!B422+"$F;@!39;"</f>
        <v>#VALUE!</v>
      </c>
      <c r="FE377" t="e">
        <f>Asia!C422+"$F;@!39&lt;"</f>
        <v>#VALUE!</v>
      </c>
      <c r="FF377" t="e">
        <f>Asia!D422+"$F;@!39="</f>
        <v>#VALUE!</v>
      </c>
      <c r="FG377" t="e">
        <f>Asia!E422+"$F;@!39&gt;"</f>
        <v>#VALUE!</v>
      </c>
      <c r="FH377" t="e">
        <f>Asia!F422+"$F;@!39?"</f>
        <v>#VALUE!</v>
      </c>
      <c r="FI377" t="e">
        <f>Asia!G422+"$F;@!39@"</f>
        <v>#VALUE!</v>
      </c>
      <c r="FJ377" t="e">
        <f>Asia!H422+"$F;@!39A"</f>
        <v>#VALUE!</v>
      </c>
      <c r="FK377" t="e">
        <f>Asia!A423+"$F;@!39B"</f>
        <v>#VALUE!</v>
      </c>
      <c r="FL377" t="e">
        <f>Asia!B423+"$F;@!39C"</f>
        <v>#VALUE!</v>
      </c>
      <c r="FM377" t="e">
        <f>Asia!C423+"$F;@!39D"</f>
        <v>#VALUE!</v>
      </c>
      <c r="FN377" t="e">
        <f>Asia!D423+"$F;@!39E"</f>
        <v>#VALUE!</v>
      </c>
      <c r="FO377" t="e">
        <f>Asia!E423+"$F;@!39F"</f>
        <v>#VALUE!</v>
      </c>
      <c r="FP377" t="e">
        <f>Asia!F423+"$F;@!39G"</f>
        <v>#VALUE!</v>
      </c>
      <c r="FQ377" t="e">
        <f>Asia!G423+"$F;@!39H"</f>
        <v>#VALUE!</v>
      </c>
      <c r="FR377" t="e">
        <f>Asia!H423+"$F;@!39I"</f>
        <v>#VALUE!</v>
      </c>
      <c r="FS377" t="e">
        <f>Asia!A424+"$F;@!39J"</f>
        <v>#VALUE!</v>
      </c>
      <c r="FT377" t="e">
        <f>Asia!B424+"$F;@!39K"</f>
        <v>#VALUE!</v>
      </c>
      <c r="FU377" t="e">
        <f>Asia!C424+"$F;@!39L"</f>
        <v>#VALUE!</v>
      </c>
      <c r="FV377" t="e">
        <f>Asia!D424+"$F;@!39M"</f>
        <v>#VALUE!</v>
      </c>
      <c r="FW377" t="e">
        <f>Asia!E424+"$F;@!39N"</f>
        <v>#VALUE!</v>
      </c>
      <c r="FX377" t="e">
        <f>Asia!F424+"$F;@!39O"</f>
        <v>#VALUE!</v>
      </c>
      <c r="FY377" t="e">
        <f>Asia!G424+"$F;@!39P"</f>
        <v>#VALUE!</v>
      </c>
      <c r="FZ377" t="e">
        <f>Asia!H424+"$F;@!39Q"</f>
        <v>#VALUE!</v>
      </c>
      <c r="GA377" t="e">
        <f>Asia!A425+"$F;@!39R"</f>
        <v>#VALUE!</v>
      </c>
      <c r="GB377" t="e">
        <f>Asia!B425+"$F;@!39S"</f>
        <v>#VALUE!</v>
      </c>
      <c r="GC377" t="e">
        <f>Asia!C425+"$F;@!39T"</f>
        <v>#VALUE!</v>
      </c>
      <c r="GD377" t="e">
        <f>Asia!D425+"$F;@!39U"</f>
        <v>#VALUE!</v>
      </c>
      <c r="GE377" t="e">
        <f>Asia!E425+"$F;@!39V"</f>
        <v>#VALUE!</v>
      </c>
      <c r="GF377" t="e">
        <f>Asia!F425+"$F;@!39W"</f>
        <v>#VALUE!</v>
      </c>
      <c r="GG377" t="e">
        <f>Asia!G425+"$F;@!39X"</f>
        <v>#VALUE!</v>
      </c>
      <c r="GH377" t="e">
        <f>Asia!H425+"$F;@!39Y"</f>
        <v>#VALUE!</v>
      </c>
      <c r="GI377" t="e">
        <f>Asia!A426+"$F;@!39Z"</f>
        <v>#VALUE!</v>
      </c>
      <c r="GJ377" t="e">
        <f>Asia!B426+"$F;@!39["</f>
        <v>#VALUE!</v>
      </c>
      <c r="GK377" t="e">
        <f>Asia!C426+"$F;@!39\"</f>
        <v>#VALUE!</v>
      </c>
      <c r="GL377" t="e">
        <f>Asia!D426+"$F;@!39]"</f>
        <v>#VALUE!</v>
      </c>
      <c r="GM377" t="e">
        <f>Asia!E426+"$F;@!39^"</f>
        <v>#VALUE!</v>
      </c>
      <c r="GN377" t="e">
        <f>Asia!F426+"$F;@!39_"</f>
        <v>#VALUE!</v>
      </c>
      <c r="GO377" t="e">
        <f>Asia!G426+"$F;@!39`"</f>
        <v>#VALUE!</v>
      </c>
      <c r="GP377" t="e">
        <f>Asia!H426+"$F;@!39a"</f>
        <v>#VALUE!</v>
      </c>
      <c r="GQ377" t="e">
        <f>Asia!A427+"$F;@!39b"</f>
        <v>#VALUE!</v>
      </c>
      <c r="GR377" t="e">
        <f>Asia!B427+"$F;@!39c"</f>
        <v>#VALUE!</v>
      </c>
      <c r="GS377" t="e">
        <f>Asia!C427+"$F;@!39d"</f>
        <v>#VALUE!</v>
      </c>
      <c r="GT377" t="e">
        <f>Asia!D427+"$F;@!39e"</f>
        <v>#VALUE!</v>
      </c>
      <c r="GU377" t="e">
        <f>Asia!E427+"$F;@!39f"</f>
        <v>#VALUE!</v>
      </c>
      <c r="GV377" t="e">
        <f>Asia!F427+"$F;@!39g"</f>
        <v>#VALUE!</v>
      </c>
      <c r="GW377" t="e">
        <f>Asia!G427+"$F;@!39h"</f>
        <v>#VALUE!</v>
      </c>
      <c r="GX377" t="e">
        <f>Asia!H427+"$F;@!39i"</f>
        <v>#VALUE!</v>
      </c>
      <c r="GY377" t="e">
        <f>Asia!A428+"$F;@!39j"</f>
        <v>#VALUE!</v>
      </c>
      <c r="GZ377" t="e">
        <f>Asia!B428+"$F;@!39k"</f>
        <v>#VALUE!</v>
      </c>
      <c r="HA377" t="e">
        <f>Asia!C428+"$F;@!39l"</f>
        <v>#VALUE!</v>
      </c>
      <c r="HB377" t="e">
        <f>Asia!D428+"$F;@!39m"</f>
        <v>#VALUE!</v>
      </c>
      <c r="HC377" t="e">
        <f>Asia!E428+"$F;@!39n"</f>
        <v>#VALUE!</v>
      </c>
      <c r="HD377" t="e">
        <f>Asia!F428+"$F;@!39o"</f>
        <v>#VALUE!</v>
      </c>
      <c r="HE377" t="e">
        <f>Asia!G428+"$F;@!39p"</f>
        <v>#VALUE!</v>
      </c>
      <c r="HF377" t="e">
        <f>Asia!H428+"$F;@!39q"</f>
        <v>#VALUE!</v>
      </c>
      <c r="HG377" t="e">
        <f>Asia!A429+"$F;@!39r"</f>
        <v>#VALUE!</v>
      </c>
      <c r="HH377" t="e">
        <f>Asia!B429+"$F;@!39s"</f>
        <v>#VALUE!</v>
      </c>
      <c r="HI377" t="e">
        <f>Asia!C429+"$F;@!39t"</f>
        <v>#VALUE!</v>
      </c>
      <c r="HJ377" t="e">
        <f>Asia!D429+"$F;@!39u"</f>
        <v>#VALUE!</v>
      </c>
      <c r="HK377" t="e">
        <f>Asia!E429+"$F;@!39v"</f>
        <v>#VALUE!</v>
      </c>
      <c r="HL377" t="e">
        <f>Asia!F429+"$F;@!39w"</f>
        <v>#VALUE!</v>
      </c>
      <c r="HM377" t="e">
        <f>Asia!G429+"$F;@!39x"</f>
        <v>#VALUE!</v>
      </c>
      <c r="HN377" t="e">
        <f>Asia!H429+"$F;@!39y"</f>
        <v>#VALUE!</v>
      </c>
      <c r="HO377" t="e">
        <f>Asia!A430+"$F;@!39z"</f>
        <v>#VALUE!</v>
      </c>
      <c r="HP377" t="e">
        <f>Asia!B430+"$F;@!39{"</f>
        <v>#VALUE!</v>
      </c>
      <c r="HQ377" t="e">
        <f>Asia!C430+"$F;@!39|"</f>
        <v>#VALUE!</v>
      </c>
      <c r="HR377" t="e">
        <f>Asia!D430+"$F;@!39}"</f>
        <v>#VALUE!</v>
      </c>
      <c r="HS377" t="e">
        <f>Asia!E430+"$F;@!39~"</f>
        <v>#VALUE!</v>
      </c>
      <c r="HT377" t="e">
        <f>Asia!F430+"$F;@!3:#"</f>
        <v>#VALUE!</v>
      </c>
      <c r="HU377" t="e">
        <f>Asia!G430+"$F;@!3:$"</f>
        <v>#VALUE!</v>
      </c>
      <c r="HV377" t="e">
        <f>Asia!H430+"$F;@!3:%"</f>
        <v>#VALUE!</v>
      </c>
      <c r="HW377" t="e">
        <f>Asia!A431+"$F;@!3:&amp;"</f>
        <v>#VALUE!</v>
      </c>
      <c r="HX377" t="e">
        <f>Asia!B431+"$F;@!3:'"</f>
        <v>#VALUE!</v>
      </c>
      <c r="HY377" t="e">
        <f>Asia!C431+"$F;@!3:("</f>
        <v>#VALUE!</v>
      </c>
      <c r="HZ377" t="e">
        <f>Asia!D431+"$F;@!3:)"</f>
        <v>#VALUE!</v>
      </c>
      <c r="IA377" t="e">
        <f>Asia!E431+"$F;@!3:."</f>
        <v>#VALUE!</v>
      </c>
      <c r="IB377" t="e">
        <f>Asia!F431+"$F;@!3:/"</f>
        <v>#VALUE!</v>
      </c>
      <c r="IC377" t="e">
        <f>Asia!G431+"$F;@!3:0"</f>
        <v>#VALUE!</v>
      </c>
      <c r="ID377" t="e">
        <f>Asia!H431+"$F;@!3:1"</f>
        <v>#VALUE!</v>
      </c>
      <c r="IE377" t="e">
        <f>Asia!A432+"$F;@!3:2"</f>
        <v>#VALUE!</v>
      </c>
      <c r="IF377" t="e">
        <f>Asia!B432+"$F;@!3:3"</f>
        <v>#VALUE!</v>
      </c>
      <c r="IG377" t="e">
        <f>Asia!C432+"$F;@!3:4"</f>
        <v>#VALUE!</v>
      </c>
      <c r="IH377" t="e">
        <f>Asia!D432+"$F;@!3:5"</f>
        <v>#VALUE!</v>
      </c>
      <c r="II377" t="e">
        <f>Asia!E432+"$F;@!3:6"</f>
        <v>#VALUE!</v>
      </c>
      <c r="IJ377" t="e">
        <f>Asia!F432+"$F;@!3:7"</f>
        <v>#VALUE!</v>
      </c>
      <c r="IK377" t="e">
        <f>Asia!G432+"$F;@!3:8"</f>
        <v>#VALUE!</v>
      </c>
      <c r="IL377" t="e">
        <f>Asia!H432+"$F;@!3:9"</f>
        <v>#VALUE!</v>
      </c>
      <c r="IM377" t="e">
        <f>Asia!A433+"$F;@!3::"</f>
        <v>#VALUE!</v>
      </c>
      <c r="IN377" t="e">
        <f>Asia!B433+"$F;@!3:;"</f>
        <v>#VALUE!</v>
      </c>
      <c r="IO377" t="e">
        <f>Asia!C433+"$F;@!3:&lt;"</f>
        <v>#VALUE!</v>
      </c>
      <c r="IP377" t="e">
        <f>Asia!D433+"$F;@!3:="</f>
        <v>#VALUE!</v>
      </c>
      <c r="IQ377" t="e">
        <f>Asia!E433+"$F;@!3:&gt;"</f>
        <v>#VALUE!</v>
      </c>
      <c r="IR377" t="e">
        <f>Asia!F433+"$F;@!3:?"</f>
        <v>#VALUE!</v>
      </c>
      <c r="IS377" t="e">
        <f>Asia!G433+"$F;@!3:@"</f>
        <v>#VALUE!</v>
      </c>
      <c r="IT377" t="e">
        <f>Asia!H433+"$F;@!3:A"</f>
        <v>#VALUE!</v>
      </c>
      <c r="IU377" t="e">
        <f>Asia!A434+"$F;@!3:B"</f>
        <v>#VALUE!</v>
      </c>
      <c r="IV377" t="e">
        <f>Asia!B434+"$F;@!3:C"</f>
        <v>#VALUE!</v>
      </c>
    </row>
    <row r="378" spans="6:256" x14ac:dyDescent="0.35">
      <c r="F378" t="e">
        <f>Asia!C434+"$F;@!3:D"</f>
        <v>#VALUE!</v>
      </c>
      <c r="G378" t="e">
        <f>Asia!D434+"$F;@!3:E"</f>
        <v>#VALUE!</v>
      </c>
      <c r="H378" t="e">
        <f>Asia!E434+"$F;@!3:F"</f>
        <v>#VALUE!</v>
      </c>
      <c r="I378" t="e">
        <f>Asia!F434+"$F;@!3:G"</f>
        <v>#VALUE!</v>
      </c>
      <c r="J378" t="e">
        <f>Asia!G434+"$F;@!3:H"</f>
        <v>#VALUE!</v>
      </c>
      <c r="K378" t="e">
        <f>Asia!H434+"$F;@!3:I"</f>
        <v>#VALUE!</v>
      </c>
      <c r="L378" t="e">
        <f>Asia!A435+"$F;@!3:J"</f>
        <v>#VALUE!</v>
      </c>
      <c r="M378" t="e">
        <f>Asia!B435+"$F;@!3:K"</f>
        <v>#VALUE!</v>
      </c>
      <c r="N378" t="e">
        <f>Asia!C435+"$F;@!3:L"</f>
        <v>#VALUE!</v>
      </c>
      <c r="O378" t="e">
        <f>Asia!D435+"$F;@!3:M"</f>
        <v>#VALUE!</v>
      </c>
      <c r="P378" t="e">
        <f>Asia!E435+"$F;@!3:N"</f>
        <v>#VALUE!</v>
      </c>
      <c r="Q378" t="e">
        <f>Asia!F435+"$F;@!3:O"</f>
        <v>#VALUE!</v>
      </c>
      <c r="R378" t="e">
        <f>Asia!G435+"$F;@!3:P"</f>
        <v>#VALUE!</v>
      </c>
      <c r="S378" t="e">
        <f>Asia!H435+"$F;@!3:Q"</f>
        <v>#VALUE!</v>
      </c>
      <c r="T378" t="e">
        <f>Asia!A436+"$F;@!3:R"</f>
        <v>#VALUE!</v>
      </c>
      <c r="U378" t="e">
        <f>Asia!B436+"$F;@!3:S"</f>
        <v>#VALUE!</v>
      </c>
      <c r="V378" t="e">
        <f>Asia!C436+"$F;@!3:T"</f>
        <v>#VALUE!</v>
      </c>
      <c r="W378" t="e">
        <f>Asia!D436+"$F;@!3:U"</f>
        <v>#VALUE!</v>
      </c>
      <c r="X378" t="e">
        <f>Asia!E436+"$F;@!3:V"</f>
        <v>#VALUE!</v>
      </c>
      <c r="Y378" t="e">
        <f>Asia!F436+"$F;@!3:W"</f>
        <v>#VALUE!</v>
      </c>
      <c r="Z378" t="e">
        <f>Asia!G436+"$F;@!3:X"</f>
        <v>#VALUE!</v>
      </c>
      <c r="AA378" t="e">
        <f>Asia!H436+"$F;@!3:Y"</f>
        <v>#VALUE!</v>
      </c>
      <c r="AB378" t="e">
        <f>Asia!A437+"$F;@!3:Z"</f>
        <v>#VALUE!</v>
      </c>
      <c r="AC378" t="e">
        <f>Asia!B437+"$F;@!3:["</f>
        <v>#VALUE!</v>
      </c>
      <c r="AD378" t="e">
        <f>Asia!C437+"$F;@!3:\"</f>
        <v>#VALUE!</v>
      </c>
      <c r="AE378" t="e">
        <f>Asia!D437+"$F;@!3:]"</f>
        <v>#VALUE!</v>
      </c>
      <c r="AF378" t="e">
        <f>Asia!E437+"$F;@!3:^"</f>
        <v>#VALUE!</v>
      </c>
      <c r="AG378" t="e">
        <f>Asia!F437+"$F;@!3:_"</f>
        <v>#VALUE!</v>
      </c>
      <c r="AH378" t="e">
        <f>Asia!G437+"$F;@!3:`"</f>
        <v>#VALUE!</v>
      </c>
      <c r="AI378" t="e">
        <f>Asia!H437+"$F;@!3:a"</f>
        <v>#VALUE!</v>
      </c>
      <c r="AJ378" t="e">
        <f>Asia!A438+"$F;@!3:b"</f>
        <v>#VALUE!</v>
      </c>
      <c r="AK378" t="e">
        <f>Asia!B438+"$F;@!3:c"</f>
        <v>#VALUE!</v>
      </c>
      <c r="AL378" t="e">
        <f>Asia!C438+"$F;@!3:d"</f>
        <v>#VALUE!</v>
      </c>
      <c r="AM378" t="e">
        <f>Asia!D438+"$F;@!3:e"</f>
        <v>#VALUE!</v>
      </c>
      <c r="AN378" t="e">
        <f>Asia!E438+"$F;@!3:f"</f>
        <v>#VALUE!</v>
      </c>
      <c r="AO378" t="e">
        <f>Asia!F438+"$F;@!3:g"</f>
        <v>#VALUE!</v>
      </c>
      <c r="AP378" t="e">
        <f>Asia!G438+"$F;@!3:h"</f>
        <v>#VALUE!</v>
      </c>
      <c r="AQ378" t="e">
        <f>Asia!H438+"$F;@!3:i"</f>
        <v>#VALUE!</v>
      </c>
      <c r="AR378" t="e">
        <f>Asia!A439+"$F;@!3:j"</f>
        <v>#VALUE!</v>
      </c>
      <c r="AS378" t="e">
        <f>Asia!B439+"$F;@!3:k"</f>
        <v>#VALUE!</v>
      </c>
      <c r="AT378" t="e">
        <f>Asia!C439+"$F;@!3:l"</f>
        <v>#VALUE!</v>
      </c>
      <c r="AU378" t="e">
        <f>Asia!D439+"$F;@!3:m"</f>
        <v>#VALUE!</v>
      </c>
      <c r="AV378" t="e">
        <f>Asia!E439+"$F;@!3:n"</f>
        <v>#VALUE!</v>
      </c>
      <c r="AW378" t="e">
        <f>Asia!F439+"$F;@!3:o"</f>
        <v>#VALUE!</v>
      </c>
      <c r="AX378" t="e">
        <f>Asia!G439+"$F;@!3:p"</f>
        <v>#VALUE!</v>
      </c>
      <c r="AY378" t="e">
        <f>Asia!H439+"$F;@!3:q"</f>
        <v>#VALUE!</v>
      </c>
      <c r="AZ378" t="e">
        <f>Asia!A440+"$F;@!3:r"</f>
        <v>#VALUE!</v>
      </c>
      <c r="BA378" t="e">
        <f>Asia!B440+"$F;@!3:s"</f>
        <v>#VALUE!</v>
      </c>
      <c r="BB378" t="e">
        <f>Asia!C440+"$F;@!3:t"</f>
        <v>#VALUE!</v>
      </c>
      <c r="BC378" t="e">
        <f>Asia!D440+"$F;@!3:u"</f>
        <v>#VALUE!</v>
      </c>
      <c r="BD378" t="e">
        <f>Asia!E440+"$F;@!3:v"</f>
        <v>#VALUE!</v>
      </c>
      <c r="BE378" t="e">
        <f>Asia!F440+"$F;@!3:w"</f>
        <v>#VALUE!</v>
      </c>
      <c r="BF378" t="e">
        <f>Asia!G440+"$F;@!3:x"</f>
        <v>#VALUE!</v>
      </c>
      <c r="BG378" t="e">
        <f>Asia!H440+"$F;@!3:y"</f>
        <v>#VALUE!</v>
      </c>
      <c r="BH378" t="e">
        <f>Asia!A441+"$F;@!3:z"</f>
        <v>#VALUE!</v>
      </c>
      <c r="BI378" t="e">
        <f>Asia!B441+"$F;@!3:{"</f>
        <v>#VALUE!</v>
      </c>
      <c r="BJ378" t="e">
        <f>Asia!C441+"$F;@!3:|"</f>
        <v>#VALUE!</v>
      </c>
      <c r="BK378" t="e">
        <f>Asia!D441+"$F;@!3:}"</f>
        <v>#VALUE!</v>
      </c>
      <c r="BL378" t="e">
        <f>Asia!E441+"$F;@!3:~"</f>
        <v>#VALUE!</v>
      </c>
      <c r="BM378" t="e">
        <f>Asia!F441+"$F;@!3;#"</f>
        <v>#VALUE!</v>
      </c>
      <c r="BN378" t="e">
        <f>Asia!G441+"$F;@!3;$"</f>
        <v>#VALUE!</v>
      </c>
      <c r="BO378" t="e">
        <f>Asia!H441+"$F;@!3;%"</f>
        <v>#VALUE!</v>
      </c>
      <c r="BP378" t="e">
        <f>Asia!A442+"$F;@!3;&amp;"</f>
        <v>#VALUE!</v>
      </c>
      <c r="BQ378" t="e">
        <f>Asia!B442+"$F;@!3;'"</f>
        <v>#VALUE!</v>
      </c>
      <c r="BR378" t="e">
        <f>Asia!C442+"$F;@!3;("</f>
        <v>#VALUE!</v>
      </c>
      <c r="BS378" t="e">
        <f>Asia!D442+"$F;@!3;)"</f>
        <v>#VALUE!</v>
      </c>
      <c r="BT378" t="e">
        <f>Asia!E442+"$F;@!3;."</f>
        <v>#VALUE!</v>
      </c>
      <c r="BU378" t="e">
        <f>Asia!F442+"$F;@!3;/"</f>
        <v>#VALUE!</v>
      </c>
      <c r="BV378" t="e">
        <f>Asia!G442+"$F;@!3;0"</f>
        <v>#VALUE!</v>
      </c>
      <c r="BW378" t="e">
        <f>Asia!H442+"$F;@!3;1"</f>
        <v>#VALUE!</v>
      </c>
      <c r="BX378" t="e">
        <f>Asia!A443+"$F;@!3;2"</f>
        <v>#VALUE!</v>
      </c>
      <c r="BY378" t="e">
        <f>Asia!B443+"$F;@!3;3"</f>
        <v>#VALUE!</v>
      </c>
      <c r="BZ378" t="e">
        <f>Asia!C443+"$F;@!3;4"</f>
        <v>#VALUE!</v>
      </c>
      <c r="CA378" t="e">
        <f>Asia!D443+"$F;@!3;5"</f>
        <v>#VALUE!</v>
      </c>
      <c r="CB378" t="e">
        <f>Asia!E443+"$F;@!3;6"</f>
        <v>#VALUE!</v>
      </c>
      <c r="CC378" t="e">
        <f>Asia!F443+"$F;@!3;7"</f>
        <v>#VALUE!</v>
      </c>
      <c r="CD378" t="e">
        <f>Asia!G443+"$F;@!3;8"</f>
        <v>#VALUE!</v>
      </c>
      <c r="CE378" t="e">
        <f>Asia!H443+"$F;@!3;9"</f>
        <v>#VALUE!</v>
      </c>
      <c r="CF378" t="e">
        <f>Asia!A444+"$F;@!3;:"</f>
        <v>#VALUE!</v>
      </c>
      <c r="CG378" t="e">
        <f>Asia!B444+"$F;@!3;;"</f>
        <v>#VALUE!</v>
      </c>
      <c r="CH378" t="e">
        <f>Asia!C444+"$F;@!3;&lt;"</f>
        <v>#VALUE!</v>
      </c>
      <c r="CI378" t="e">
        <f>Asia!D444+"$F;@!3;="</f>
        <v>#VALUE!</v>
      </c>
      <c r="CJ378" t="e">
        <f>Asia!E444+"$F;@!3;&gt;"</f>
        <v>#VALUE!</v>
      </c>
      <c r="CK378" t="e">
        <f>Asia!F444+"$F;@!3;?"</f>
        <v>#VALUE!</v>
      </c>
      <c r="CL378" t="e">
        <f>Asia!G444+"$F;@!3;@"</f>
        <v>#VALUE!</v>
      </c>
      <c r="CM378" t="e">
        <f>Asia!H444+"$F;@!3;A"</f>
        <v>#VALUE!</v>
      </c>
      <c r="CN378" t="e">
        <f>Asia!A445+"$F;@!3;B"</f>
        <v>#VALUE!</v>
      </c>
      <c r="CO378" t="e">
        <f>Asia!B445+"$F;@!3;C"</f>
        <v>#VALUE!</v>
      </c>
      <c r="CP378" t="e">
        <f>Asia!C445+"$F;@!3;D"</f>
        <v>#VALUE!</v>
      </c>
      <c r="CQ378" t="e">
        <f>Asia!D445+"$F;@!3;E"</f>
        <v>#VALUE!</v>
      </c>
      <c r="CR378" t="e">
        <f>Asia!E445+"$F;@!3;F"</f>
        <v>#VALUE!</v>
      </c>
      <c r="CS378" t="e">
        <f>Asia!F445+"$F;@!3;G"</f>
        <v>#VALUE!</v>
      </c>
      <c r="CT378" t="e">
        <f>Asia!G445+"$F;@!3;H"</f>
        <v>#VALUE!</v>
      </c>
      <c r="CU378" t="e">
        <f>Asia!H445+"$F;@!3;I"</f>
        <v>#VALUE!</v>
      </c>
      <c r="CV378" t="e">
        <f>Asia!A446+"$F;@!3;J"</f>
        <v>#VALUE!</v>
      </c>
      <c r="CW378" t="e">
        <f>Asia!B446+"$F;@!3;K"</f>
        <v>#VALUE!</v>
      </c>
      <c r="CX378" t="e">
        <f>Asia!C446+"$F;@!3;L"</f>
        <v>#VALUE!</v>
      </c>
      <c r="CY378" t="e">
        <f>Asia!D446+"$F;@!3;M"</f>
        <v>#VALUE!</v>
      </c>
      <c r="CZ378" t="e">
        <f>Asia!E446+"$F;@!3;N"</f>
        <v>#VALUE!</v>
      </c>
      <c r="DA378" t="e">
        <f>Asia!F446+"$F;@!3;O"</f>
        <v>#VALUE!</v>
      </c>
      <c r="DB378" t="e">
        <f>Asia!G446+"$F;@!3;P"</f>
        <v>#VALUE!</v>
      </c>
      <c r="DC378" t="e">
        <f>Asia!H446+"$F;@!3;Q"</f>
        <v>#VALUE!</v>
      </c>
      <c r="DD378" t="e">
        <f>Asia!A447+"$F;@!3;R"</f>
        <v>#VALUE!</v>
      </c>
      <c r="DE378" t="e">
        <f>Asia!B447+"$F;@!3;S"</f>
        <v>#VALUE!</v>
      </c>
      <c r="DF378" t="e">
        <f>Asia!C447+"$F;@!3;T"</f>
        <v>#VALUE!</v>
      </c>
      <c r="DG378" t="e">
        <f>Asia!D447+"$F;@!3;U"</f>
        <v>#VALUE!</v>
      </c>
      <c r="DH378" t="e">
        <f>Asia!E447+"$F;@!3;V"</f>
        <v>#VALUE!</v>
      </c>
      <c r="DI378" t="e">
        <f>Asia!F447+"$F;@!3;W"</f>
        <v>#VALUE!</v>
      </c>
      <c r="DJ378" t="e">
        <f>Asia!G447+"$F;@!3;X"</f>
        <v>#VALUE!</v>
      </c>
      <c r="DK378" t="e">
        <f>Asia!H447+"$F;@!3;Y"</f>
        <v>#VALUE!</v>
      </c>
      <c r="DL378" t="e">
        <f>Asia!A448+"$F;@!3;Z"</f>
        <v>#VALUE!</v>
      </c>
      <c r="DM378" t="e">
        <f>Asia!B448+"$F;@!3;["</f>
        <v>#VALUE!</v>
      </c>
      <c r="DN378" t="e">
        <f>Asia!C448+"$F;@!3;\"</f>
        <v>#VALUE!</v>
      </c>
      <c r="DO378" t="e">
        <f>Asia!D448+"$F;@!3;]"</f>
        <v>#VALUE!</v>
      </c>
      <c r="DP378" t="e">
        <f>Asia!E448+"$F;@!3;^"</f>
        <v>#VALUE!</v>
      </c>
      <c r="DQ378" t="e">
        <f>Asia!F448+"$F;@!3;_"</f>
        <v>#VALUE!</v>
      </c>
      <c r="DR378" t="e">
        <f>Asia!G448+"$F;@!3;`"</f>
        <v>#VALUE!</v>
      </c>
      <c r="DS378" t="e">
        <f>Asia!H448+"$F;@!3;a"</f>
        <v>#VALUE!</v>
      </c>
      <c r="DT378" t="e">
        <f>Asia!A449+"$F;@!3;b"</f>
        <v>#VALUE!</v>
      </c>
      <c r="DU378" t="e">
        <f>Asia!B449+"$F;@!3;c"</f>
        <v>#VALUE!</v>
      </c>
      <c r="DV378" t="e">
        <f>Asia!C449+"$F;@!3;d"</f>
        <v>#VALUE!</v>
      </c>
      <c r="DW378" t="e">
        <f>Asia!D449+"$F;@!3;e"</f>
        <v>#VALUE!</v>
      </c>
      <c r="DX378" t="e">
        <f>Asia!E449+"$F;@!3;f"</f>
        <v>#VALUE!</v>
      </c>
      <c r="DY378" t="e">
        <f>Asia!F449+"$F;@!3;g"</f>
        <v>#VALUE!</v>
      </c>
      <c r="DZ378" t="e">
        <f>Asia!G449+"$F;@!3;h"</f>
        <v>#VALUE!</v>
      </c>
      <c r="EA378" t="e">
        <f>Asia!H449+"$F;@!3;i"</f>
        <v>#VALUE!</v>
      </c>
      <c r="EB378" t="e">
        <f>Asia!A450+"$F;@!3;j"</f>
        <v>#VALUE!</v>
      </c>
      <c r="EC378" t="e">
        <f>Asia!B450+"$F;@!3;k"</f>
        <v>#VALUE!</v>
      </c>
      <c r="ED378" t="e">
        <f>Asia!C450+"$F;@!3;l"</f>
        <v>#VALUE!</v>
      </c>
      <c r="EE378" t="e">
        <f>Asia!D450+"$F;@!3;m"</f>
        <v>#VALUE!</v>
      </c>
      <c r="EF378" t="e">
        <f>Asia!E450+"$F;@!3;n"</f>
        <v>#VALUE!</v>
      </c>
      <c r="EG378" t="e">
        <f>Asia!F450+"$F;@!3;o"</f>
        <v>#VALUE!</v>
      </c>
      <c r="EH378" t="e">
        <f>Asia!G450+"$F;@!3;p"</f>
        <v>#VALUE!</v>
      </c>
      <c r="EI378" t="e">
        <f>Asia!H450+"$F;@!3;q"</f>
        <v>#VALUE!</v>
      </c>
      <c r="EJ378" t="e">
        <f>Asia!A451+"$F;@!3;r"</f>
        <v>#VALUE!</v>
      </c>
      <c r="EK378" t="e">
        <f>Asia!B451+"$F;@!3;s"</f>
        <v>#VALUE!</v>
      </c>
      <c r="EL378" t="e">
        <f>Asia!C451+"$F;@!3;t"</f>
        <v>#VALUE!</v>
      </c>
      <c r="EM378" t="e">
        <f>Asia!D451+"$F;@!3;u"</f>
        <v>#VALUE!</v>
      </c>
      <c r="EN378" t="e">
        <f>Asia!E451+"$F;@!3;v"</f>
        <v>#VALUE!</v>
      </c>
      <c r="EO378" t="e">
        <f>Asia!F451+"$F;@!3;w"</f>
        <v>#VALUE!</v>
      </c>
      <c r="EP378" t="e">
        <f>Asia!G451+"$F;@!3;x"</f>
        <v>#VALUE!</v>
      </c>
      <c r="EQ378" t="e">
        <f>Asia!H451+"$F;@!3;y"</f>
        <v>#VALUE!</v>
      </c>
      <c r="ER378" t="e">
        <f>Asia!A452+"$F;@!3;z"</f>
        <v>#VALUE!</v>
      </c>
      <c r="ES378" t="e">
        <f>Asia!B452+"$F;@!3;{"</f>
        <v>#VALUE!</v>
      </c>
      <c r="ET378" t="e">
        <f>Asia!C452+"$F;@!3;|"</f>
        <v>#VALUE!</v>
      </c>
      <c r="EU378" t="e">
        <f>Asia!D452+"$F;@!3;}"</f>
        <v>#VALUE!</v>
      </c>
      <c r="EV378" t="e">
        <f>Asia!E452+"$F;@!3;~"</f>
        <v>#VALUE!</v>
      </c>
      <c r="EW378" t="e">
        <f>Asia!F452+"$F;@!3&lt;#"</f>
        <v>#VALUE!</v>
      </c>
      <c r="EX378" t="e">
        <f>Asia!G452+"$F;@!3&lt;$"</f>
        <v>#VALUE!</v>
      </c>
      <c r="EY378" t="e">
        <f>Asia!H452+"$F;@!3&lt;%"</f>
        <v>#VALUE!</v>
      </c>
      <c r="EZ378" t="e">
        <f>Asia!A453+"$F;@!3&lt;&amp;"</f>
        <v>#VALUE!</v>
      </c>
      <c r="FA378" t="e">
        <f>Asia!B453+"$F;@!3&lt;'"</f>
        <v>#VALUE!</v>
      </c>
      <c r="FB378" t="e">
        <f>Asia!C453+"$F;@!3&lt;("</f>
        <v>#VALUE!</v>
      </c>
      <c r="FC378" t="e">
        <f>Asia!D453+"$F;@!3&lt;)"</f>
        <v>#VALUE!</v>
      </c>
      <c r="FD378" t="e">
        <f>Asia!E453+"$F;@!3&lt;."</f>
        <v>#VALUE!</v>
      </c>
      <c r="FE378" t="e">
        <f>Asia!F453+"$F;@!3&lt;/"</f>
        <v>#VALUE!</v>
      </c>
      <c r="FF378" t="e">
        <f>Asia!G453+"$F;@!3&lt;0"</f>
        <v>#VALUE!</v>
      </c>
      <c r="FG378" t="e">
        <f>Asia!H453+"$F;@!3&lt;1"</f>
        <v>#VALUE!</v>
      </c>
      <c r="FH378" t="e">
        <f>Asia!A454+"$F;@!3&lt;2"</f>
        <v>#VALUE!</v>
      </c>
      <c r="FI378" t="e">
        <f>Asia!B454+"$F;@!3&lt;3"</f>
        <v>#VALUE!</v>
      </c>
      <c r="FJ378" t="e">
        <f>Asia!C454+"$F;@!3&lt;4"</f>
        <v>#VALUE!</v>
      </c>
      <c r="FK378" t="e">
        <f>Asia!D454+"$F;@!3&lt;5"</f>
        <v>#VALUE!</v>
      </c>
      <c r="FL378" t="e">
        <f>Asia!E454+"$F;@!3&lt;6"</f>
        <v>#VALUE!</v>
      </c>
      <c r="FM378" t="e">
        <f>Asia!F454+"$F;@!3&lt;7"</f>
        <v>#VALUE!</v>
      </c>
      <c r="FN378" t="e">
        <f>Asia!G454+"$F;@!3&lt;8"</f>
        <v>#VALUE!</v>
      </c>
      <c r="FO378" t="e">
        <f>Asia!H454+"$F;@!3&lt;9"</f>
        <v>#VALUE!</v>
      </c>
      <c r="FP378" t="e">
        <f>Asia!A455+"$F;@!3&lt;:"</f>
        <v>#VALUE!</v>
      </c>
      <c r="FQ378" t="e">
        <f>Asia!B455+"$F;@!3&lt;;"</f>
        <v>#VALUE!</v>
      </c>
      <c r="FR378" t="e">
        <f>Asia!C455+"$F;@!3&lt;&lt;"</f>
        <v>#VALUE!</v>
      </c>
      <c r="FS378" t="e">
        <f>Asia!D455+"$F;@!3&lt;="</f>
        <v>#VALUE!</v>
      </c>
      <c r="FT378" t="e">
        <f>Asia!E455+"$F;@!3&lt;&gt;"</f>
        <v>#VALUE!</v>
      </c>
      <c r="FU378" t="e">
        <f>Asia!F455+"$F;@!3&lt;?"</f>
        <v>#VALUE!</v>
      </c>
      <c r="FV378" t="e">
        <f>Asia!G455+"$F;@!3&lt;@"</f>
        <v>#VALUE!</v>
      </c>
      <c r="FW378" t="e">
        <f>Asia!H455+"$F;@!3&lt;A"</f>
        <v>#VALUE!</v>
      </c>
      <c r="FX378" t="e">
        <f>Asia!A456+"$F;@!3&lt;B"</f>
        <v>#VALUE!</v>
      </c>
      <c r="FY378" t="e">
        <f>Asia!B456+"$F;@!3&lt;C"</f>
        <v>#VALUE!</v>
      </c>
      <c r="FZ378" t="e">
        <f>Asia!C456+"$F;@!3&lt;D"</f>
        <v>#VALUE!</v>
      </c>
      <c r="GA378" t="e">
        <f>Asia!D456+"$F;@!3&lt;E"</f>
        <v>#VALUE!</v>
      </c>
      <c r="GB378" t="e">
        <f>Asia!E456+"$F;@!3&lt;F"</f>
        <v>#VALUE!</v>
      </c>
      <c r="GC378" t="e">
        <f>Asia!F456+"$F;@!3&lt;G"</f>
        <v>#VALUE!</v>
      </c>
      <c r="GD378" t="e">
        <f>Asia!G456+"$F;@!3&lt;H"</f>
        <v>#VALUE!</v>
      </c>
      <c r="GE378" t="e">
        <f>Asia!H456+"$F;@!3&lt;I"</f>
        <v>#VALUE!</v>
      </c>
      <c r="GF378" t="e">
        <f>Asia!A457+"$F;@!3&lt;J"</f>
        <v>#VALUE!</v>
      </c>
      <c r="GG378" t="e">
        <f>Asia!B457+"$F;@!3&lt;K"</f>
        <v>#VALUE!</v>
      </c>
      <c r="GH378" t="e">
        <f>Asia!C457+"$F;@!3&lt;L"</f>
        <v>#VALUE!</v>
      </c>
      <c r="GI378" t="e">
        <f>Asia!D457+"$F;@!3&lt;M"</f>
        <v>#VALUE!</v>
      </c>
      <c r="GJ378" t="e">
        <f>Asia!E457+"$F;@!3&lt;N"</f>
        <v>#VALUE!</v>
      </c>
      <c r="GK378" t="e">
        <f>Asia!F457+"$F;@!3&lt;O"</f>
        <v>#VALUE!</v>
      </c>
      <c r="GL378" t="e">
        <f>Asia!G457+"$F;@!3&lt;P"</f>
        <v>#VALUE!</v>
      </c>
      <c r="GM378" t="e">
        <f>Asia!H457+"$F;@!3&lt;Q"</f>
        <v>#VALUE!</v>
      </c>
      <c r="GN378" t="e">
        <f>Asia!A458+"$F;@!3&lt;R"</f>
        <v>#VALUE!</v>
      </c>
      <c r="GO378" t="e">
        <f>Asia!B458+"$F;@!3&lt;S"</f>
        <v>#VALUE!</v>
      </c>
      <c r="GP378" t="e">
        <f>Asia!C458+"$F;@!3&lt;T"</f>
        <v>#VALUE!</v>
      </c>
      <c r="GQ378" t="e">
        <f>Asia!D458+"$F;@!3&lt;U"</f>
        <v>#VALUE!</v>
      </c>
      <c r="GR378" t="e">
        <f>Asia!E458+"$F;@!3&lt;V"</f>
        <v>#VALUE!</v>
      </c>
      <c r="GS378" t="e">
        <f>Asia!F458+"$F;@!3&lt;W"</f>
        <v>#VALUE!</v>
      </c>
      <c r="GT378" t="e">
        <f>Asia!G458+"$F;@!3&lt;X"</f>
        <v>#VALUE!</v>
      </c>
      <c r="GU378" t="e">
        <f>Asia!H458+"$F;@!3&lt;Y"</f>
        <v>#VALUE!</v>
      </c>
      <c r="GV378" t="e">
        <f>Asia!A459+"$F;@!3&lt;Z"</f>
        <v>#VALUE!</v>
      </c>
      <c r="GW378" t="e">
        <f>Asia!B459+"$F;@!3&lt;["</f>
        <v>#VALUE!</v>
      </c>
      <c r="GX378" t="e">
        <f>Asia!C459+"$F;@!3&lt;\"</f>
        <v>#VALUE!</v>
      </c>
      <c r="GY378" t="e">
        <f>Asia!D459+"$F;@!3&lt;]"</f>
        <v>#VALUE!</v>
      </c>
      <c r="GZ378" t="e">
        <f>Asia!E459+"$F;@!3&lt;^"</f>
        <v>#VALUE!</v>
      </c>
      <c r="HA378" t="e">
        <f>Asia!F459+"$F;@!3&lt;_"</f>
        <v>#VALUE!</v>
      </c>
      <c r="HB378" t="e">
        <f>Asia!G459+"$F;@!3&lt;`"</f>
        <v>#VALUE!</v>
      </c>
      <c r="HC378" t="e">
        <f>Asia!H459+"$F;@!3&lt;a"</f>
        <v>#VALUE!</v>
      </c>
      <c r="HD378" t="e">
        <f>Asia!A460+"$F;@!3&lt;b"</f>
        <v>#VALUE!</v>
      </c>
      <c r="HE378" t="e">
        <f>Asia!B460+"$F;@!3&lt;c"</f>
        <v>#VALUE!</v>
      </c>
      <c r="HF378" t="e">
        <f>Asia!C460+"$F;@!3&lt;d"</f>
        <v>#VALUE!</v>
      </c>
      <c r="HG378" t="e">
        <f>Asia!D460+"$F;@!3&lt;e"</f>
        <v>#VALUE!</v>
      </c>
      <c r="HH378" t="e">
        <f>Asia!E460+"$F;@!3&lt;f"</f>
        <v>#VALUE!</v>
      </c>
      <c r="HI378" t="e">
        <f>Asia!F460+"$F;@!3&lt;g"</f>
        <v>#VALUE!</v>
      </c>
      <c r="HJ378" t="e">
        <f>Asia!G460+"$F;@!3&lt;h"</f>
        <v>#VALUE!</v>
      </c>
      <c r="HK378" t="e">
        <f>Asia!H460+"$F;@!3&lt;i"</f>
        <v>#VALUE!</v>
      </c>
      <c r="HL378" t="e">
        <f>Asia!A461+"$F;@!3&lt;j"</f>
        <v>#VALUE!</v>
      </c>
      <c r="HM378" t="e">
        <f>Asia!B461+"$F;@!3&lt;k"</f>
        <v>#VALUE!</v>
      </c>
      <c r="HN378" t="e">
        <f>Asia!C461+"$F;@!3&lt;l"</f>
        <v>#VALUE!</v>
      </c>
      <c r="HO378" t="e">
        <f>Asia!D461+"$F;@!3&lt;m"</f>
        <v>#VALUE!</v>
      </c>
      <c r="HP378" t="e">
        <f>Asia!E461+"$F;@!3&lt;n"</f>
        <v>#VALUE!</v>
      </c>
      <c r="HQ378" t="e">
        <f>Asia!F461+"$F;@!3&lt;o"</f>
        <v>#VALUE!</v>
      </c>
      <c r="HR378" t="e">
        <f>Asia!G461+"$F;@!3&lt;p"</f>
        <v>#VALUE!</v>
      </c>
      <c r="HS378" t="e">
        <f>Asia!H461+"$F;@!3&lt;q"</f>
        <v>#VALUE!</v>
      </c>
      <c r="HT378" t="e">
        <f>Asia!A462+"$F;@!3&lt;r"</f>
        <v>#VALUE!</v>
      </c>
      <c r="HU378" t="e">
        <f>Asia!B462+"$F;@!3&lt;s"</f>
        <v>#VALUE!</v>
      </c>
      <c r="HV378" t="e">
        <f>Asia!C462+"$F;@!3&lt;t"</f>
        <v>#VALUE!</v>
      </c>
      <c r="HW378" t="e">
        <f>Asia!D462+"$F;@!3&lt;u"</f>
        <v>#VALUE!</v>
      </c>
      <c r="HX378" t="e">
        <f>Asia!E462+"$F;@!3&lt;v"</f>
        <v>#VALUE!</v>
      </c>
      <c r="HY378" t="e">
        <f>Asia!F462+"$F;@!3&lt;w"</f>
        <v>#VALUE!</v>
      </c>
      <c r="HZ378" t="e">
        <f>Asia!G462+"$F;@!3&lt;x"</f>
        <v>#VALUE!</v>
      </c>
      <c r="IA378" t="e">
        <f>Asia!H462+"$F;@!3&lt;y"</f>
        <v>#VALUE!</v>
      </c>
      <c r="IB378" t="e">
        <f>Asia!A463+"$F;@!3&lt;z"</f>
        <v>#VALUE!</v>
      </c>
      <c r="IC378" t="e">
        <f>Asia!B463+"$F;@!3&lt;{"</f>
        <v>#VALUE!</v>
      </c>
      <c r="ID378" t="e">
        <f>Asia!C463+"$F;@!3&lt;|"</f>
        <v>#VALUE!</v>
      </c>
      <c r="IE378" t="e">
        <f>Asia!D463+"$F;@!3&lt;}"</f>
        <v>#VALUE!</v>
      </c>
      <c r="IF378" t="e">
        <f>Asia!E463+"$F;@!3&lt;~"</f>
        <v>#VALUE!</v>
      </c>
      <c r="IG378" t="e">
        <f>Asia!F463+"$F;@!3=#"</f>
        <v>#VALUE!</v>
      </c>
      <c r="IH378" t="e">
        <f>Asia!G463+"$F;@!3=$"</f>
        <v>#VALUE!</v>
      </c>
      <c r="II378" t="e">
        <f>Asia!H463+"$F;@!3=%"</f>
        <v>#VALUE!</v>
      </c>
      <c r="IJ378" t="e">
        <f>Asia!A464+"$F;@!3=&amp;"</f>
        <v>#VALUE!</v>
      </c>
      <c r="IK378" t="e">
        <f>Asia!B464+"$F;@!3='"</f>
        <v>#VALUE!</v>
      </c>
      <c r="IL378" t="e">
        <f>Asia!C464+"$F;@!3=("</f>
        <v>#VALUE!</v>
      </c>
      <c r="IM378" t="e">
        <f>Asia!D464+"$F;@!3=)"</f>
        <v>#VALUE!</v>
      </c>
      <c r="IN378" t="e">
        <f>Asia!E464+"$F;@!3=."</f>
        <v>#VALUE!</v>
      </c>
      <c r="IO378" t="e">
        <f>Asia!F464+"$F;@!3=/"</f>
        <v>#VALUE!</v>
      </c>
      <c r="IP378" t="e">
        <f>Asia!G464+"$F;@!3=0"</f>
        <v>#VALUE!</v>
      </c>
      <c r="IQ378" t="e">
        <f>Asia!H464+"$F;@!3=1"</f>
        <v>#VALUE!</v>
      </c>
      <c r="IR378" t="e">
        <f>Asia!A465+"$F;@!3=2"</f>
        <v>#VALUE!</v>
      </c>
      <c r="IS378" t="e">
        <f>Asia!B465+"$F;@!3=3"</f>
        <v>#VALUE!</v>
      </c>
      <c r="IT378" t="e">
        <f>Asia!C465+"$F;@!3=4"</f>
        <v>#VALUE!</v>
      </c>
      <c r="IU378" t="e">
        <f>Asia!D465+"$F;@!3=5"</f>
        <v>#VALUE!</v>
      </c>
      <c r="IV378" t="e">
        <f>Asia!E465+"$F;@!3=6"</f>
        <v>#VALUE!</v>
      </c>
    </row>
    <row r="379" spans="6:256" x14ac:dyDescent="0.35">
      <c r="F379" t="e">
        <f>Asia!F465+"$F;@!3=7"</f>
        <v>#VALUE!</v>
      </c>
      <c r="G379" t="e">
        <f>Asia!G465+"$F;@!3=8"</f>
        <v>#VALUE!</v>
      </c>
      <c r="H379" t="e">
        <f>Asia!H465+"$F;@!3=9"</f>
        <v>#VALUE!</v>
      </c>
      <c r="I379" t="e">
        <f>Asia!A466+"$F;@!3=:"</f>
        <v>#VALUE!</v>
      </c>
      <c r="J379" t="e">
        <f>Asia!B466+"$F;@!3=;"</f>
        <v>#VALUE!</v>
      </c>
      <c r="K379" t="e">
        <f>Asia!C466+"$F;@!3=&lt;"</f>
        <v>#VALUE!</v>
      </c>
      <c r="L379" t="e">
        <f>Asia!D466+"$F;@!3=="</f>
        <v>#VALUE!</v>
      </c>
      <c r="M379" t="e">
        <f>Asia!E466+"$F;@!3=&gt;"</f>
        <v>#VALUE!</v>
      </c>
      <c r="N379" t="e">
        <f>Asia!F466+"$F;@!3=?"</f>
        <v>#VALUE!</v>
      </c>
      <c r="O379" t="e">
        <f>Asia!G466+"$F;@!3=@"</f>
        <v>#VALUE!</v>
      </c>
      <c r="P379" t="e">
        <f>Asia!H466+"$F;@!3=A"</f>
        <v>#VALUE!</v>
      </c>
      <c r="Q379" t="e">
        <f>Asia!A467+"$F;@!3=B"</f>
        <v>#VALUE!</v>
      </c>
      <c r="R379" t="e">
        <f>Asia!B467+"$F;@!3=C"</f>
        <v>#VALUE!</v>
      </c>
      <c r="S379" t="e">
        <f>Asia!C467+"$F;@!3=D"</f>
        <v>#VALUE!</v>
      </c>
      <c r="T379" t="e">
        <f>Asia!D467+"$F;@!3=E"</f>
        <v>#VALUE!</v>
      </c>
      <c r="U379" t="e">
        <f>Asia!E467+"$F;@!3=F"</f>
        <v>#VALUE!</v>
      </c>
      <c r="V379" t="e">
        <f>Asia!F467+"$F;@!3=G"</f>
        <v>#VALUE!</v>
      </c>
      <c r="W379" t="e">
        <f>Asia!G467+"$F;@!3=H"</f>
        <v>#VALUE!</v>
      </c>
      <c r="X379" t="e">
        <f>Asia!H467+"$F;@!3=I"</f>
        <v>#VALUE!</v>
      </c>
      <c r="Y379" t="e">
        <f>Asia!A468+"$F;@!3=J"</f>
        <v>#VALUE!</v>
      </c>
      <c r="Z379" t="e">
        <f>Asia!B468+"$F;@!3=K"</f>
        <v>#VALUE!</v>
      </c>
      <c r="AA379" t="e">
        <f>Asia!C468+"$F;@!3=L"</f>
        <v>#VALUE!</v>
      </c>
      <c r="AB379" t="e">
        <f>Asia!D468+"$F;@!3=M"</f>
        <v>#VALUE!</v>
      </c>
      <c r="AC379" t="e">
        <f>Asia!E468+"$F;@!3=N"</f>
        <v>#VALUE!</v>
      </c>
      <c r="AD379" t="e">
        <f>Asia!F468+"$F;@!3=O"</f>
        <v>#VALUE!</v>
      </c>
      <c r="AE379" t="e">
        <f>Asia!G468+"$F;@!3=P"</f>
        <v>#VALUE!</v>
      </c>
      <c r="AF379" t="e">
        <f>Asia!H468+"$F;@!3=Q"</f>
        <v>#VALUE!</v>
      </c>
      <c r="AG379" t="e">
        <f>Asia!A469+"$F;@!3=R"</f>
        <v>#VALUE!</v>
      </c>
      <c r="AH379" t="e">
        <f>Asia!B469+"$F;@!3=S"</f>
        <v>#VALUE!</v>
      </c>
      <c r="AI379" t="e">
        <f>Asia!C469+"$F;@!3=T"</f>
        <v>#VALUE!</v>
      </c>
      <c r="AJ379" t="e">
        <f>Asia!D469+"$F;@!3=U"</f>
        <v>#VALUE!</v>
      </c>
      <c r="AK379" t="e">
        <f>Asia!E469+"$F;@!3=V"</f>
        <v>#VALUE!</v>
      </c>
      <c r="AL379" t="e">
        <f>Asia!F469+"$F;@!3=W"</f>
        <v>#VALUE!</v>
      </c>
      <c r="AM379" t="e">
        <f>Asia!G469+"$F;@!3=X"</f>
        <v>#VALUE!</v>
      </c>
      <c r="AN379" t="e">
        <f>Asia!H469+"$F;@!3=Y"</f>
        <v>#VALUE!</v>
      </c>
      <c r="AO379" t="e">
        <f>Asia!A470+"$F;@!3=Z"</f>
        <v>#VALUE!</v>
      </c>
      <c r="AP379" t="e">
        <f>Asia!B470+"$F;@!3=["</f>
        <v>#VALUE!</v>
      </c>
      <c r="AQ379" t="e">
        <f>Asia!C470+"$F;@!3=\"</f>
        <v>#VALUE!</v>
      </c>
      <c r="AR379" t="e">
        <f>Asia!D470+"$F;@!3=]"</f>
        <v>#VALUE!</v>
      </c>
      <c r="AS379" t="e">
        <f>Asia!E470+"$F;@!3=^"</f>
        <v>#VALUE!</v>
      </c>
      <c r="AT379" t="e">
        <f>Asia!F470+"$F;@!3=_"</f>
        <v>#VALUE!</v>
      </c>
      <c r="AU379" t="e">
        <f>Asia!G470+"$F;@!3=`"</f>
        <v>#VALUE!</v>
      </c>
      <c r="AV379" t="e">
        <f>Asia!H470+"$F;@!3=a"</f>
        <v>#VALUE!</v>
      </c>
      <c r="AW379" t="e">
        <f>Asia!A471+"$F;@!3=b"</f>
        <v>#VALUE!</v>
      </c>
      <c r="AX379" t="e">
        <f>Asia!B471+"$F;@!3=c"</f>
        <v>#VALUE!</v>
      </c>
      <c r="AY379" t="e">
        <f>Asia!C471+"$F;@!3=d"</f>
        <v>#VALUE!</v>
      </c>
      <c r="AZ379" t="e">
        <f>Asia!D471+"$F;@!3=e"</f>
        <v>#VALUE!</v>
      </c>
      <c r="BA379" t="e">
        <f>Asia!E471+"$F;@!3=f"</f>
        <v>#VALUE!</v>
      </c>
      <c r="BB379" t="e">
        <f>Asia!F471+"$F;@!3=g"</f>
        <v>#VALUE!</v>
      </c>
      <c r="BC379" t="e">
        <f>Asia!G471+"$F;@!3=h"</f>
        <v>#VALUE!</v>
      </c>
      <c r="BD379" t="e">
        <f>Asia!H471+"$F;@!3=i"</f>
        <v>#VALUE!</v>
      </c>
      <c r="BE379" t="e">
        <f>Asia!A472+"$F;@!3=j"</f>
        <v>#VALUE!</v>
      </c>
      <c r="BF379" t="e">
        <f>Asia!B472+"$F;@!3=k"</f>
        <v>#VALUE!</v>
      </c>
      <c r="BG379" t="e">
        <f>Asia!C472+"$F;@!3=l"</f>
        <v>#VALUE!</v>
      </c>
      <c r="BH379" t="e">
        <f>Asia!D472+"$F;@!3=m"</f>
        <v>#VALUE!</v>
      </c>
      <c r="BI379" t="e">
        <f>Asia!E472+"$F;@!3=n"</f>
        <v>#VALUE!</v>
      </c>
      <c r="BJ379" t="e">
        <f>Asia!F472+"$F;@!3=o"</f>
        <v>#VALUE!</v>
      </c>
      <c r="BK379" t="e">
        <f>Asia!G472+"$F;@!3=p"</f>
        <v>#VALUE!</v>
      </c>
      <c r="BL379" t="e">
        <f>Asia!H472+"$F;@!3=q"</f>
        <v>#VALUE!</v>
      </c>
      <c r="BM379" t="e">
        <f>Asia!A473+"$F;@!3=r"</f>
        <v>#VALUE!</v>
      </c>
      <c r="BN379" t="e">
        <f>Asia!B473+"$F;@!3=s"</f>
        <v>#VALUE!</v>
      </c>
      <c r="BO379" t="e">
        <f>Asia!C473+"$F;@!3=t"</f>
        <v>#VALUE!</v>
      </c>
      <c r="BP379" t="e">
        <f>Asia!D473+"$F;@!3=u"</f>
        <v>#VALUE!</v>
      </c>
      <c r="BQ379" t="e">
        <f>Asia!E473+"$F;@!3=v"</f>
        <v>#VALUE!</v>
      </c>
      <c r="BR379" t="e">
        <f>Asia!F473+"$F;@!3=w"</f>
        <v>#VALUE!</v>
      </c>
      <c r="BS379" t="e">
        <f>Asia!G473+"$F;@!3=x"</f>
        <v>#VALUE!</v>
      </c>
      <c r="BT379" t="e">
        <f>Asia!H473+"$F;@!3=y"</f>
        <v>#VALUE!</v>
      </c>
      <c r="BU379" t="e">
        <f>Asia!A474+"$F;@!3=z"</f>
        <v>#VALUE!</v>
      </c>
      <c r="BV379" t="e">
        <f>Asia!B474+"$F;@!3={"</f>
        <v>#VALUE!</v>
      </c>
      <c r="BW379" t="e">
        <f>Asia!C474+"$F;@!3=|"</f>
        <v>#VALUE!</v>
      </c>
      <c r="BX379" t="e">
        <f>Asia!D474+"$F;@!3=}"</f>
        <v>#VALUE!</v>
      </c>
      <c r="BY379" t="e">
        <f>Asia!E474+"$F;@!3=~"</f>
        <v>#VALUE!</v>
      </c>
      <c r="BZ379" t="e">
        <f>Asia!F474+"$F;@!3&gt;#"</f>
        <v>#VALUE!</v>
      </c>
      <c r="CA379" t="e">
        <f>Asia!G474+"$F;@!3&gt;$"</f>
        <v>#VALUE!</v>
      </c>
      <c r="CB379" t="e">
        <f>Asia!H474+"$F;@!3&gt;%"</f>
        <v>#VALUE!</v>
      </c>
      <c r="CC379" t="e">
        <f>Asia!A475+"$F;@!3&gt;&amp;"</f>
        <v>#VALUE!</v>
      </c>
      <c r="CD379" t="e">
        <f>Asia!B475+"$F;@!3&gt;'"</f>
        <v>#VALUE!</v>
      </c>
      <c r="CE379" t="e">
        <f>Asia!C475+"$F;@!3&gt;("</f>
        <v>#VALUE!</v>
      </c>
      <c r="CF379" t="e">
        <f>Asia!D475+"$F;@!3&gt;)"</f>
        <v>#VALUE!</v>
      </c>
      <c r="CG379" t="e">
        <f>Asia!E475+"$F;@!3&gt;."</f>
        <v>#VALUE!</v>
      </c>
      <c r="CH379" t="e">
        <f>Asia!F475+"$F;@!3&gt;/"</f>
        <v>#VALUE!</v>
      </c>
      <c r="CI379" t="e">
        <f>Asia!G475+"$F;@!3&gt;0"</f>
        <v>#VALUE!</v>
      </c>
      <c r="CJ379" t="e">
        <f>Asia!H475+"$F;@!3&gt;1"</f>
        <v>#VALUE!</v>
      </c>
      <c r="CK379" t="e">
        <f>Asia!A476+"$F;@!3&gt;2"</f>
        <v>#VALUE!</v>
      </c>
      <c r="CL379" t="e">
        <f>Asia!B476+"$F;@!3&gt;3"</f>
        <v>#VALUE!</v>
      </c>
      <c r="CM379" t="e">
        <f>Asia!C476+"$F;@!3&gt;4"</f>
        <v>#VALUE!</v>
      </c>
      <c r="CN379" t="e">
        <f>Asia!D476+"$F;@!3&gt;5"</f>
        <v>#VALUE!</v>
      </c>
      <c r="CO379" t="e">
        <f>Asia!E476+"$F;@!3&gt;6"</f>
        <v>#VALUE!</v>
      </c>
      <c r="CP379" t="e">
        <f>Asia!F476+"$F;@!3&gt;7"</f>
        <v>#VALUE!</v>
      </c>
      <c r="CQ379" t="e">
        <f>Asia!G476+"$F;@!3&gt;8"</f>
        <v>#VALUE!</v>
      </c>
      <c r="CR379" t="e">
        <f>Asia!H476+"$F;@!3&gt;9"</f>
        <v>#VALUE!</v>
      </c>
      <c r="CS379" t="e">
        <f>Asia!A477+"$F;@!3&gt;:"</f>
        <v>#VALUE!</v>
      </c>
      <c r="CT379" t="e">
        <f>Asia!B477+"$F;@!3&gt;;"</f>
        <v>#VALUE!</v>
      </c>
      <c r="CU379" t="e">
        <f>Asia!C477+"$F;@!3&gt;&lt;"</f>
        <v>#VALUE!</v>
      </c>
      <c r="CV379" t="e">
        <f>Asia!D477+"$F;@!3&gt;="</f>
        <v>#VALUE!</v>
      </c>
      <c r="CW379" t="e">
        <f>Asia!E477+"$F;@!3&gt;&gt;"</f>
        <v>#VALUE!</v>
      </c>
      <c r="CX379" t="e">
        <f>Asia!F477+"$F;@!3&gt;?"</f>
        <v>#VALUE!</v>
      </c>
      <c r="CY379" t="e">
        <f>Asia!G477+"$F;@!3&gt;@"</f>
        <v>#VALUE!</v>
      </c>
      <c r="CZ379" t="e">
        <f>Asia!H477+"$F;@!3&gt;A"</f>
        <v>#VALUE!</v>
      </c>
      <c r="DA379" t="e">
        <f>Asia!A478+"$F;@!3&gt;B"</f>
        <v>#VALUE!</v>
      </c>
      <c r="DB379" t="e">
        <f>Asia!B478+"$F;@!3&gt;C"</f>
        <v>#VALUE!</v>
      </c>
      <c r="DC379" t="e">
        <f>Asia!C478+"$F;@!3&gt;D"</f>
        <v>#VALUE!</v>
      </c>
      <c r="DD379" t="e">
        <f>Asia!D478+"$F;@!3&gt;E"</f>
        <v>#VALUE!</v>
      </c>
      <c r="DE379" t="e">
        <f>Asia!E478+"$F;@!3&gt;F"</f>
        <v>#VALUE!</v>
      </c>
      <c r="DF379" t="e">
        <f>Asia!F478+"$F;@!3&gt;G"</f>
        <v>#VALUE!</v>
      </c>
      <c r="DG379" t="e">
        <f>Asia!G478+"$F;@!3&gt;H"</f>
        <v>#VALUE!</v>
      </c>
      <c r="DH379" t="e">
        <f>Asia!H478+"$F;@!3&gt;I"</f>
        <v>#VALUE!</v>
      </c>
      <c r="DI379" t="e">
        <f>Asia!A479+"$F;@!3&gt;J"</f>
        <v>#VALUE!</v>
      </c>
      <c r="DJ379" t="e">
        <f>Asia!B479+"$F;@!3&gt;K"</f>
        <v>#VALUE!</v>
      </c>
      <c r="DK379" t="e">
        <f>Asia!C479+"$F;@!3&gt;L"</f>
        <v>#VALUE!</v>
      </c>
      <c r="DL379" t="e">
        <f>Asia!D479+"$F;@!3&gt;M"</f>
        <v>#VALUE!</v>
      </c>
      <c r="DM379" t="e">
        <f>Asia!E479+"$F;@!3&gt;N"</f>
        <v>#VALUE!</v>
      </c>
      <c r="DN379" t="e">
        <f>Asia!F479+"$F;@!3&gt;O"</f>
        <v>#VALUE!</v>
      </c>
      <c r="DO379" t="e">
        <f>Asia!G479+"$F;@!3&gt;P"</f>
        <v>#VALUE!</v>
      </c>
      <c r="DP379" t="e">
        <f>Asia!H479+"$F;@!3&gt;Q"</f>
        <v>#VALUE!</v>
      </c>
      <c r="DQ379" t="e">
        <f>Asia!A480+"$F;@!3&gt;R"</f>
        <v>#VALUE!</v>
      </c>
      <c r="DR379" t="e">
        <f>Asia!B480+"$F;@!3&gt;S"</f>
        <v>#VALUE!</v>
      </c>
      <c r="DS379" t="e">
        <f>Asia!C480+"$F;@!3&gt;T"</f>
        <v>#VALUE!</v>
      </c>
      <c r="DT379" t="e">
        <f>Asia!D480+"$F;@!3&gt;U"</f>
        <v>#VALUE!</v>
      </c>
      <c r="DU379" t="e">
        <f>Asia!E480+"$F;@!3&gt;V"</f>
        <v>#VALUE!</v>
      </c>
      <c r="DV379" t="e">
        <f>Asia!F480+"$F;@!3&gt;W"</f>
        <v>#VALUE!</v>
      </c>
      <c r="DW379" t="e">
        <f>Asia!G480+"$F;@!3&gt;X"</f>
        <v>#VALUE!</v>
      </c>
      <c r="DX379" t="e">
        <f>Asia!H480+"$F;@!3&gt;Y"</f>
        <v>#VALUE!</v>
      </c>
      <c r="DY379" t="e">
        <f>Asia!A481+"$F;@!3&gt;Z"</f>
        <v>#VALUE!</v>
      </c>
      <c r="DZ379" t="e">
        <f>Asia!B481+"$F;@!3&gt;["</f>
        <v>#VALUE!</v>
      </c>
      <c r="EA379" t="e">
        <f>Asia!C481+"$F;@!3&gt;\"</f>
        <v>#VALUE!</v>
      </c>
      <c r="EB379" t="e">
        <f>Asia!D481+"$F;@!3&gt;]"</f>
        <v>#VALUE!</v>
      </c>
      <c r="EC379" t="e">
        <f>Asia!E481+"$F;@!3&gt;^"</f>
        <v>#VALUE!</v>
      </c>
      <c r="ED379" t="e">
        <f>Asia!F481+"$F;@!3&gt;_"</f>
        <v>#VALUE!</v>
      </c>
      <c r="EE379" t="e">
        <f>Asia!G481+"$F;@!3&gt;`"</f>
        <v>#VALUE!</v>
      </c>
      <c r="EF379" t="e">
        <f>Asia!H481+"$F;@!3&gt;a"</f>
        <v>#VALUE!</v>
      </c>
      <c r="EG379" t="e">
        <f>Asia!A482+"$F;@!3&gt;b"</f>
        <v>#VALUE!</v>
      </c>
      <c r="EH379" t="e">
        <f>Asia!B482+"$F;@!3&gt;c"</f>
        <v>#VALUE!</v>
      </c>
      <c r="EI379" t="e">
        <f>Asia!C482+"$F;@!3&gt;d"</f>
        <v>#VALUE!</v>
      </c>
      <c r="EJ379" t="e">
        <f>Asia!D482+"$F;@!3&gt;e"</f>
        <v>#VALUE!</v>
      </c>
      <c r="EK379" t="e">
        <f>Asia!E482+"$F;@!3&gt;f"</f>
        <v>#VALUE!</v>
      </c>
      <c r="EL379" t="e">
        <f>Asia!F482+"$F;@!3&gt;g"</f>
        <v>#VALUE!</v>
      </c>
      <c r="EM379" t="e">
        <f>Asia!G482+"$F;@!3&gt;h"</f>
        <v>#VALUE!</v>
      </c>
      <c r="EN379" t="e">
        <f>Asia!H482+"$F;@!3&gt;i"</f>
        <v>#VALUE!</v>
      </c>
      <c r="EO379" t="e">
        <f>Asia!A483+"$F;@!3&gt;j"</f>
        <v>#VALUE!</v>
      </c>
      <c r="EP379" t="e">
        <f>Asia!B483+"$F;@!3&gt;k"</f>
        <v>#VALUE!</v>
      </c>
      <c r="EQ379" t="e">
        <f>Asia!C483+"$F;@!3&gt;l"</f>
        <v>#VALUE!</v>
      </c>
      <c r="ER379" t="e">
        <f>Asia!D483+"$F;@!3&gt;m"</f>
        <v>#VALUE!</v>
      </c>
      <c r="ES379" t="e">
        <f>Asia!E483+"$F;@!3&gt;n"</f>
        <v>#VALUE!</v>
      </c>
      <c r="ET379" t="e">
        <f>Asia!F483+"$F;@!3&gt;o"</f>
        <v>#VALUE!</v>
      </c>
      <c r="EU379" t="e">
        <f>Asia!G483+"$F;@!3&gt;p"</f>
        <v>#VALUE!</v>
      </c>
      <c r="EV379" t="e">
        <f>Asia!H483+"$F;@!3&gt;q"</f>
        <v>#VALUE!</v>
      </c>
      <c r="EW379" t="e">
        <f>Asia!A484+"$F;@!3&gt;r"</f>
        <v>#VALUE!</v>
      </c>
      <c r="EX379" t="e">
        <f>Asia!B484+"$F;@!3&gt;s"</f>
        <v>#VALUE!</v>
      </c>
      <c r="EY379" t="e">
        <f>Asia!C484+"$F;@!3&gt;t"</f>
        <v>#VALUE!</v>
      </c>
      <c r="EZ379" t="e">
        <f>Asia!D484+"$F;@!3&gt;u"</f>
        <v>#VALUE!</v>
      </c>
      <c r="FA379" t="e">
        <f>Asia!E484+"$F;@!3&gt;v"</f>
        <v>#VALUE!</v>
      </c>
      <c r="FB379" t="e">
        <f>Asia!F484+"$F;@!3&gt;w"</f>
        <v>#VALUE!</v>
      </c>
      <c r="FC379" t="e">
        <f>Asia!G484+"$F;@!3&gt;x"</f>
        <v>#VALUE!</v>
      </c>
      <c r="FD379" t="e">
        <f>Asia!H484+"$F;@!3&gt;y"</f>
        <v>#VALUE!</v>
      </c>
      <c r="FE379" t="e">
        <f>Asia!A485+"$F;@!3&gt;z"</f>
        <v>#VALUE!</v>
      </c>
      <c r="FF379" t="e">
        <f>Asia!B485+"$F;@!3&gt;{"</f>
        <v>#VALUE!</v>
      </c>
      <c r="FG379" t="e">
        <f>Asia!C485+"$F;@!3&gt;|"</f>
        <v>#VALUE!</v>
      </c>
      <c r="FH379" t="e">
        <f>Asia!D485+"$F;@!3&gt;}"</f>
        <v>#VALUE!</v>
      </c>
      <c r="FI379" t="e">
        <f>Asia!E485+"$F;@!3&gt;~"</f>
        <v>#VALUE!</v>
      </c>
      <c r="FJ379" t="e">
        <f>Asia!F485+"$F;@!3?#"</f>
        <v>#VALUE!</v>
      </c>
      <c r="FK379" t="e">
        <f>Asia!G485+"$F;@!3?$"</f>
        <v>#VALUE!</v>
      </c>
      <c r="FL379" t="e">
        <f>Asia!H485+"$F;@!3?%"</f>
        <v>#VALUE!</v>
      </c>
      <c r="FM379" t="e">
        <f>Asia!A486+"$F;@!3?&amp;"</f>
        <v>#VALUE!</v>
      </c>
      <c r="FN379" t="e">
        <f>Asia!B486+"$F;@!3?'"</f>
        <v>#VALUE!</v>
      </c>
      <c r="FO379" t="e">
        <f>Asia!C486+"$F;@!3?("</f>
        <v>#VALUE!</v>
      </c>
      <c r="FP379" t="e">
        <f>Asia!D486+"$F;@!3?)"</f>
        <v>#VALUE!</v>
      </c>
      <c r="FQ379" t="e">
        <f>Asia!E486+"$F;@!3?."</f>
        <v>#VALUE!</v>
      </c>
      <c r="FR379" t="e">
        <f>Asia!F486+"$F;@!3?/"</f>
        <v>#VALUE!</v>
      </c>
      <c r="FS379" t="e">
        <f>Asia!G486+"$F;@!3?0"</f>
        <v>#VALUE!</v>
      </c>
      <c r="FT379" t="e">
        <f>Asia!H486+"$F;@!3?1"</f>
        <v>#VALUE!</v>
      </c>
      <c r="FU379" t="e">
        <f>Asia!A487+"$F;@!3?2"</f>
        <v>#VALUE!</v>
      </c>
      <c r="FV379" t="e">
        <f>Asia!B487+"$F;@!3?3"</f>
        <v>#VALUE!</v>
      </c>
      <c r="FW379" t="e">
        <f>Asia!C487+"$F;@!3?4"</f>
        <v>#VALUE!</v>
      </c>
      <c r="FX379" t="e">
        <f>Asia!D487+"$F;@!3?5"</f>
        <v>#VALUE!</v>
      </c>
      <c r="FY379" t="e">
        <f>Asia!E487+"$F;@!3?6"</f>
        <v>#VALUE!</v>
      </c>
      <c r="FZ379" t="e">
        <f>Asia!F487+"$F;@!3?7"</f>
        <v>#VALUE!</v>
      </c>
      <c r="GA379" t="e">
        <f>Asia!G487+"$F;@!3?8"</f>
        <v>#VALUE!</v>
      </c>
      <c r="GB379" t="e">
        <f>Asia!H487+"$F;@!3?9"</f>
        <v>#VALUE!</v>
      </c>
      <c r="GC379" t="e">
        <f>Asia!A488+"$F;@!3?:"</f>
        <v>#VALUE!</v>
      </c>
      <c r="GD379" t="e">
        <f>Asia!B488+"$F;@!3?;"</f>
        <v>#VALUE!</v>
      </c>
      <c r="GE379" t="e">
        <f>Asia!C488+"$F;@!3?&lt;"</f>
        <v>#VALUE!</v>
      </c>
      <c r="GF379" t="e">
        <f>Asia!D488+"$F;@!3?="</f>
        <v>#VALUE!</v>
      </c>
      <c r="GG379" t="e">
        <f>Asia!E488+"$F;@!3?&gt;"</f>
        <v>#VALUE!</v>
      </c>
      <c r="GH379" t="e">
        <f>Asia!F488+"$F;@!3??"</f>
        <v>#VALUE!</v>
      </c>
      <c r="GI379" t="e">
        <f>Asia!G488+"$F;@!3?@"</f>
        <v>#VALUE!</v>
      </c>
      <c r="GJ379" t="e">
        <f>Asia!H488+"$F;@!3?A"</f>
        <v>#VALUE!</v>
      </c>
      <c r="GK379" t="e">
        <f>Asia!A489+"$F;@!3?B"</f>
        <v>#VALUE!</v>
      </c>
      <c r="GL379" t="e">
        <f>Asia!B489+"$F;@!3?C"</f>
        <v>#VALUE!</v>
      </c>
      <c r="GM379" t="e">
        <f>Asia!C489+"$F;@!3?D"</f>
        <v>#VALUE!</v>
      </c>
      <c r="GN379" t="e">
        <f>Asia!D489+"$F;@!3?E"</f>
        <v>#VALUE!</v>
      </c>
      <c r="GO379" t="e">
        <f>Asia!E489+"$F;@!3?F"</f>
        <v>#VALUE!</v>
      </c>
      <c r="GP379" t="e">
        <f>Asia!F489+"$F;@!3?G"</f>
        <v>#VALUE!</v>
      </c>
      <c r="GQ379" t="e">
        <f>Asia!G489+"$F;@!3?H"</f>
        <v>#VALUE!</v>
      </c>
      <c r="GR379" t="e">
        <f>Asia!H489+"$F;@!3?I"</f>
        <v>#VALUE!</v>
      </c>
      <c r="GS379" t="e">
        <f>Asia!A490+"$F;@!3?J"</f>
        <v>#VALUE!</v>
      </c>
      <c r="GT379" t="e">
        <f>Asia!B490+"$F;@!3?K"</f>
        <v>#VALUE!</v>
      </c>
      <c r="GU379" t="e">
        <f>Asia!C490+"$F;@!3?L"</f>
        <v>#VALUE!</v>
      </c>
      <c r="GV379" t="e">
        <f>Asia!D490+"$F;@!3?M"</f>
        <v>#VALUE!</v>
      </c>
      <c r="GW379" t="e">
        <f>Asia!E490+"$F;@!3?N"</f>
        <v>#VALUE!</v>
      </c>
      <c r="GX379" t="e">
        <f>Asia!F490+"$F;@!3?O"</f>
        <v>#VALUE!</v>
      </c>
      <c r="GY379" t="e">
        <f>Asia!G490+"$F;@!3?P"</f>
        <v>#VALUE!</v>
      </c>
      <c r="GZ379" t="e">
        <f>Asia!H490+"$F;@!3?Q"</f>
        <v>#VALUE!</v>
      </c>
      <c r="HA379" t="e">
        <f>Asia!A491+"$F;@!3?R"</f>
        <v>#VALUE!</v>
      </c>
      <c r="HB379" t="e">
        <f>Asia!B491+"$F;@!3?S"</f>
        <v>#VALUE!</v>
      </c>
      <c r="HC379" t="e">
        <f>Asia!C491+"$F;@!3?T"</f>
        <v>#VALUE!</v>
      </c>
      <c r="HD379" t="e">
        <f>Asia!D491+"$F;@!3?U"</f>
        <v>#VALUE!</v>
      </c>
      <c r="HE379" t="e">
        <f>Asia!E491+"$F;@!3?V"</f>
        <v>#VALUE!</v>
      </c>
      <c r="HF379" t="e">
        <f>Asia!F491+"$F;@!3?W"</f>
        <v>#VALUE!</v>
      </c>
      <c r="HG379" t="e">
        <f>Asia!G491+"$F;@!3?X"</f>
        <v>#VALUE!</v>
      </c>
      <c r="HH379" t="e">
        <f>Asia!H491+"$F;@!3?Y"</f>
        <v>#VALUE!</v>
      </c>
      <c r="HI379" t="e">
        <f>Asia!A492+"$F;@!3?Z"</f>
        <v>#VALUE!</v>
      </c>
      <c r="HJ379" t="e">
        <f>Asia!B492+"$F;@!3?["</f>
        <v>#VALUE!</v>
      </c>
      <c r="HK379" t="e">
        <f>Asia!C492+"$F;@!3?\"</f>
        <v>#VALUE!</v>
      </c>
      <c r="HL379" t="e">
        <f>Asia!D492+"$F;@!3?]"</f>
        <v>#VALUE!</v>
      </c>
      <c r="HM379" t="e">
        <f>Asia!E492+"$F;@!3?^"</f>
        <v>#VALUE!</v>
      </c>
      <c r="HN379" t="e">
        <f>Asia!F492+"$F;@!3?_"</f>
        <v>#VALUE!</v>
      </c>
      <c r="HO379" t="e">
        <f>Asia!G492+"$F;@!3?`"</f>
        <v>#VALUE!</v>
      </c>
      <c r="HP379" t="e">
        <f>Asia!H492+"$F;@!3?a"</f>
        <v>#VALUE!</v>
      </c>
      <c r="HQ379" t="e">
        <f>Asia!A493+"$F;@!3?b"</f>
        <v>#VALUE!</v>
      </c>
      <c r="HR379" t="e">
        <f>Asia!B493+"$F;@!3?c"</f>
        <v>#VALUE!</v>
      </c>
      <c r="HS379" t="e">
        <f>Asia!C493+"$F;@!3?d"</f>
        <v>#VALUE!</v>
      </c>
      <c r="HT379" t="e">
        <f>Asia!D493+"$F;@!3?e"</f>
        <v>#VALUE!</v>
      </c>
      <c r="HU379" t="e">
        <f>Asia!E493+"$F;@!3?f"</f>
        <v>#VALUE!</v>
      </c>
      <c r="HV379" t="e">
        <f>Asia!F493+"$F;@!3?g"</f>
        <v>#VALUE!</v>
      </c>
      <c r="HW379" t="e">
        <f>Asia!G493+"$F;@!3?h"</f>
        <v>#VALUE!</v>
      </c>
      <c r="HX379" t="e">
        <f>Asia!H493+"$F;@!3?i"</f>
        <v>#VALUE!</v>
      </c>
      <c r="HY379" t="e">
        <f>Asia!A494+"$F;@!3?j"</f>
        <v>#VALUE!</v>
      </c>
      <c r="HZ379" t="e">
        <f>Asia!B494+"$F;@!3?k"</f>
        <v>#VALUE!</v>
      </c>
      <c r="IA379" t="e">
        <f>Asia!C494+"$F;@!3?l"</f>
        <v>#VALUE!</v>
      </c>
      <c r="IB379" t="e">
        <f>Asia!D494+"$F;@!3?m"</f>
        <v>#VALUE!</v>
      </c>
      <c r="IC379" t="e">
        <f>Asia!E494+"$F;@!3?n"</f>
        <v>#VALUE!</v>
      </c>
      <c r="ID379" t="e">
        <f>Asia!F494+"$F;@!3?o"</f>
        <v>#VALUE!</v>
      </c>
      <c r="IE379" t="e">
        <f>Asia!G494+"$F;@!3?p"</f>
        <v>#VALUE!</v>
      </c>
      <c r="IF379" t="e">
        <f>Asia!H494+"$F;@!3?q"</f>
        <v>#VALUE!</v>
      </c>
      <c r="IG379" t="e">
        <f>Asia!A495+"$F;@!3?r"</f>
        <v>#VALUE!</v>
      </c>
      <c r="IH379" t="e">
        <f>Asia!B495+"$F;@!3?s"</f>
        <v>#VALUE!</v>
      </c>
      <c r="II379" t="e">
        <f>Asia!C495+"$F;@!3?t"</f>
        <v>#VALUE!</v>
      </c>
      <c r="IJ379" t="e">
        <f>Asia!D495+"$F;@!3?u"</f>
        <v>#VALUE!</v>
      </c>
      <c r="IK379" t="e">
        <f>Asia!E495+"$F;@!3?v"</f>
        <v>#VALUE!</v>
      </c>
      <c r="IL379" t="e">
        <f>Asia!F495+"$F;@!3?w"</f>
        <v>#VALUE!</v>
      </c>
      <c r="IM379" t="e">
        <f>Asia!G495+"$F;@!3?x"</f>
        <v>#VALUE!</v>
      </c>
      <c r="IN379" t="e">
        <f>Asia!H495+"$F;@!3?y"</f>
        <v>#VALUE!</v>
      </c>
      <c r="IO379" t="e">
        <f>Asia!A496+"$F;@!3?z"</f>
        <v>#VALUE!</v>
      </c>
      <c r="IP379" t="e">
        <f>Asia!B496+"$F;@!3?{"</f>
        <v>#VALUE!</v>
      </c>
      <c r="IQ379" t="e">
        <f>Asia!C496+"$F;@!3?|"</f>
        <v>#VALUE!</v>
      </c>
      <c r="IR379" t="e">
        <f>Asia!D496+"$F;@!3?}"</f>
        <v>#VALUE!</v>
      </c>
      <c r="IS379" t="e">
        <f>Asia!E496+"$F;@!3?~"</f>
        <v>#VALUE!</v>
      </c>
      <c r="IT379" t="e">
        <f>Asia!F496+"$F;@!3@#"</f>
        <v>#VALUE!</v>
      </c>
      <c r="IU379" t="e">
        <f>Asia!G496+"$F;@!3@$"</f>
        <v>#VALUE!</v>
      </c>
      <c r="IV379" t="e">
        <f>Asia!H496+"$F;@!3@%"</f>
        <v>#VALUE!</v>
      </c>
    </row>
    <row r="380" spans="6:256" x14ac:dyDescent="0.35">
      <c r="F380" t="e">
        <f>Asia!A497+"$F;@!3@&amp;"</f>
        <v>#VALUE!</v>
      </c>
      <c r="G380" t="e">
        <f>Asia!B497+"$F;@!3@'"</f>
        <v>#VALUE!</v>
      </c>
      <c r="H380" t="e">
        <f>Asia!C497+"$F;@!3@("</f>
        <v>#VALUE!</v>
      </c>
      <c r="I380" t="e">
        <f>Asia!D497+"$F;@!3@)"</f>
        <v>#VALUE!</v>
      </c>
      <c r="J380" t="e">
        <f>Asia!E497+"$F;@!3@."</f>
        <v>#VALUE!</v>
      </c>
      <c r="K380" t="e">
        <f>Asia!F497+"$F;@!3@/"</f>
        <v>#VALUE!</v>
      </c>
      <c r="L380" t="e">
        <f>Asia!G497+"$F;@!3@0"</f>
        <v>#VALUE!</v>
      </c>
      <c r="M380" t="e">
        <f>Asia!H497+"$F;@!3@1"</f>
        <v>#VALUE!</v>
      </c>
      <c r="N380" t="e">
        <f>Asia!A498+"$F;@!3@2"</f>
        <v>#VALUE!</v>
      </c>
      <c r="O380" t="e">
        <f>Asia!B498+"$F;@!3@3"</f>
        <v>#VALUE!</v>
      </c>
      <c r="P380" t="e">
        <f>Asia!C498+"$F;@!3@4"</f>
        <v>#VALUE!</v>
      </c>
      <c r="Q380" t="e">
        <f>Asia!D498+"$F;@!3@5"</f>
        <v>#VALUE!</v>
      </c>
      <c r="R380" t="e">
        <f>Asia!E498+"$F;@!3@6"</f>
        <v>#VALUE!</v>
      </c>
      <c r="S380" t="e">
        <f>Asia!F498+"$F;@!3@7"</f>
        <v>#VALUE!</v>
      </c>
      <c r="T380" t="e">
        <f>Asia!G498+"$F;@!3@8"</f>
        <v>#VALUE!</v>
      </c>
      <c r="U380" t="e">
        <f>Asia!H498+"$F;@!3@9"</f>
        <v>#VALUE!</v>
      </c>
      <c r="V380" t="e">
        <f>Asia!A499+"$F;@!3@:"</f>
        <v>#VALUE!</v>
      </c>
      <c r="W380" t="e">
        <f>Asia!B499+"$F;@!3@;"</f>
        <v>#VALUE!</v>
      </c>
      <c r="X380" t="e">
        <f>Asia!C499+"$F;@!3@&lt;"</f>
        <v>#VALUE!</v>
      </c>
      <c r="Y380" t="e">
        <f>Asia!D499+"$F;@!3@="</f>
        <v>#VALUE!</v>
      </c>
      <c r="Z380" t="e">
        <f>Asia!E499+"$F;@!3@&gt;"</f>
        <v>#VALUE!</v>
      </c>
      <c r="AA380" t="e">
        <f>Asia!F499+"$F;@!3@?"</f>
        <v>#VALUE!</v>
      </c>
      <c r="AB380" t="e">
        <f>Asia!G499+"$F;@!3@@"</f>
        <v>#VALUE!</v>
      </c>
      <c r="AC380" t="e">
        <f>Asia!H499+"$F;@!3@A"</f>
        <v>#VALUE!</v>
      </c>
      <c r="AD380" t="e">
        <f>Asia!A500+"$F;@!3@B"</f>
        <v>#VALUE!</v>
      </c>
      <c r="AE380" t="e">
        <f>Asia!B500+"$F;@!3@C"</f>
        <v>#VALUE!</v>
      </c>
      <c r="AF380" t="e">
        <f>Asia!C500+"$F;@!3@D"</f>
        <v>#VALUE!</v>
      </c>
      <c r="AG380" t="e">
        <f>Asia!D500+"$F;@!3@E"</f>
        <v>#VALUE!</v>
      </c>
      <c r="AH380" t="e">
        <f>Asia!E500+"$F;@!3@F"</f>
        <v>#VALUE!</v>
      </c>
      <c r="AI380" t="e">
        <f>Asia!F500+"$F;@!3@G"</f>
        <v>#VALUE!</v>
      </c>
      <c r="AJ380" t="e">
        <f>Asia!G500+"$F;@!3@H"</f>
        <v>#VALUE!</v>
      </c>
      <c r="AK380" t="e">
        <f>Asia!H500+"$F;@!3@I"</f>
        <v>#VALUE!</v>
      </c>
      <c r="AL380" t="e">
        <f>Asia!A501+"$F;@!3@J"</f>
        <v>#VALUE!</v>
      </c>
      <c r="AM380" t="e">
        <f>Asia!B501+"$F;@!3@K"</f>
        <v>#VALUE!</v>
      </c>
      <c r="AN380" t="e">
        <f>Asia!C501+"$F;@!3@L"</f>
        <v>#VALUE!</v>
      </c>
      <c r="AO380" t="e">
        <f>Asia!D501+"$F;@!3@M"</f>
        <v>#VALUE!</v>
      </c>
      <c r="AP380" t="e">
        <f>Asia!E501+"$F;@!3@N"</f>
        <v>#VALUE!</v>
      </c>
      <c r="AQ380" t="e">
        <f>Asia!F501+"$F;@!3@O"</f>
        <v>#VALUE!</v>
      </c>
      <c r="AR380" t="e">
        <f>Asia!G501+"$F;@!3@P"</f>
        <v>#VALUE!</v>
      </c>
      <c r="AS380" t="e">
        <f>Asia!H501+"$F;@!3@Q"</f>
        <v>#VALUE!</v>
      </c>
      <c r="AT380" t="e">
        <f>Asia!A502+"$F;@!3@R"</f>
        <v>#VALUE!</v>
      </c>
      <c r="AU380" t="e">
        <f>Asia!B502+"$F;@!3@S"</f>
        <v>#VALUE!</v>
      </c>
      <c r="AV380" t="e">
        <f>Asia!C502+"$F;@!3@T"</f>
        <v>#VALUE!</v>
      </c>
      <c r="AW380" t="e">
        <f>Asia!D502+"$F;@!3@U"</f>
        <v>#VALUE!</v>
      </c>
      <c r="AX380" t="e">
        <f>Asia!E502+"$F;@!3@V"</f>
        <v>#VALUE!</v>
      </c>
      <c r="AY380" t="e">
        <f>Asia!F502+"$F;@!3@W"</f>
        <v>#VALUE!</v>
      </c>
      <c r="AZ380" t="e">
        <f>Asia!G502+"$F;@!3@X"</f>
        <v>#VALUE!</v>
      </c>
      <c r="BA380" t="e">
        <f>Asia!H502+"$F;@!3@Y"</f>
        <v>#VALUE!</v>
      </c>
      <c r="BB380" t="e">
        <f>Asia!A503+"$F;@!3@Z"</f>
        <v>#VALUE!</v>
      </c>
      <c r="BC380" t="e">
        <f>Asia!B503+"$F;@!3@["</f>
        <v>#VALUE!</v>
      </c>
      <c r="BD380" t="e">
        <f>Asia!C503+"$F;@!3@\"</f>
        <v>#VALUE!</v>
      </c>
      <c r="BE380" t="e">
        <f>Asia!D503+"$F;@!3@]"</f>
        <v>#VALUE!</v>
      </c>
      <c r="BF380" t="e">
        <f>Asia!E503+"$F;@!3@^"</f>
        <v>#VALUE!</v>
      </c>
      <c r="BG380" t="e">
        <f>Asia!F503+"$F;@!3@_"</f>
        <v>#VALUE!</v>
      </c>
      <c r="BH380" t="e">
        <f>Asia!G503+"$F;@!3@`"</f>
        <v>#VALUE!</v>
      </c>
      <c r="BI380" t="e">
        <f>Asia!H503+"$F;@!3@a"</f>
        <v>#VALUE!</v>
      </c>
      <c r="BJ380" t="e">
        <f>Asia!A504+"$F;@!3@b"</f>
        <v>#VALUE!</v>
      </c>
      <c r="BK380" t="e">
        <f>Asia!B504+"$F;@!3@c"</f>
        <v>#VALUE!</v>
      </c>
      <c r="BL380" t="e">
        <f>Asia!C504+"$F;@!3@d"</f>
        <v>#VALUE!</v>
      </c>
      <c r="BM380" t="e">
        <f>Asia!D504+"$F;@!3@e"</f>
        <v>#VALUE!</v>
      </c>
      <c r="BN380" t="e">
        <f>Asia!E504+"$F;@!3@f"</f>
        <v>#VALUE!</v>
      </c>
      <c r="BO380" t="e">
        <f>Asia!F504+"$F;@!3@g"</f>
        <v>#VALUE!</v>
      </c>
      <c r="BP380" t="e">
        <f>Asia!G504+"$F;@!3@h"</f>
        <v>#VALUE!</v>
      </c>
      <c r="BQ380" t="e">
        <f>Asia!H504+"$F;@!3@i"</f>
        <v>#VALUE!</v>
      </c>
      <c r="BR380" t="e">
        <f>Asia!A505+"$F;@!3@j"</f>
        <v>#VALUE!</v>
      </c>
      <c r="BS380" t="e">
        <f>Asia!B505+"$F;@!3@k"</f>
        <v>#VALUE!</v>
      </c>
      <c r="BT380" t="e">
        <f>Asia!C505+"$F;@!3@l"</f>
        <v>#VALUE!</v>
      </c>
      <c r="BU380" t="e">
        <f>Asia!D505+"$F;@!3@m"</f>
        <v>#VALUE!</v>
      </c>
      <c r="BV380" t="e">
        <f>Asia!E505+"$F;@!3@n"</f>
        <v>#VALUE!</v>
      </c>
      <c r="BW380" t="e">
        <f>Asia!F505+"$F;@!3@o"</f>
        <v>#VALUE!</v>
      </c>
      <c r="BX380" t="e">
        <f>Asia!G505+"$F;@!3@p"</f>
        <v>#VALUE!</v>
      </c>
      <c r="BY380" t="e">
        <f>Asia!H505+"$F;@!3@q"</f>
        <v>#VALUE!</v>
      </c>
      <c r="BZ380" t="e">
        <f>Asia!A506+"$F;@!3@r"</f>
        <v>#VALUE!</v>
      </c>
      <c r="CA380" t="e">
        <f>Asia!B506+"$F;@!3@s"</f>
        <v>#VALUE!</v>
      </c>
      <c r="CB380" t="e">
        <f>Asia!C506+"$F;@!3@t"</f>
        <v>#VALUE!</v>
      </c>
      <c r="CC380" t="e">
        <f>Asia!D506+"$F;@!3@u"</f>
        <v>#VALUE!</v>
      </c>
      <c r="CD380" t="e">
        <f>Asia!E506+"$F;@!3@v"</f>
        <v>#VALUE!</v>
      </c>
      <c r="CE380" t="e">
        <f>Asia!F506+"$F;@!3@w"</f>
        <v>#VALUE!</v>
      </c>
      <c r="CF380" t="e">
        <f>Asia!G506+"$F;@!3@x"</f>
        <v>#VALUE!</v>
      </c>
      <c r="CG380" t="e">
        <f>Asia!H506+"$F;@!3@y"</f>
        <v>#VALUE!</v>
      </c>
      <c r="CH380" t="e">
        <f>Asia!A507+"$F;@!3@z"</f>
        <v>#VALUE!</v>
      </c>
      <c r="CI380" t="e">
        <f>Asia!B507+"$F;@!3@{"</f>
        <v>#VALUE!</v>
      </c>
      <c r="CJ380" t="e">
        <f>Asia!C507+"$F;@!3@|"</f>
        <v>#VALUE!</v>
      </c>
      <c r="CK380" t="e">
        <f>Asia!D507+"$F;@!3@}"</f>
        <v>#VALUE!</v>
      </c>
      <c r="CL380" t="e">
        <f>Asia!E507+"$F;@!3@~"</f>
        <v>#VALUE!</v>
      </c>
      <c r="CM380" t="e">
        <f>Asia!F507+"$F;@!3A#"</f>
        <v>#VALUE!</v>
      </c>
      <c r="CN380" t="e">
        <f>Asia!G507+"$F;@!3A$"</f>
        <v>#VALUE!</v>
      </c>
      <c r="CO380" t="e">
        <f>Asia!H507+"$F;@!3A%"</f>
        <v>#VALUE!</v>
      </c>
      <c r="CP380" t="e">
        <f>Asia!A508+"$F;@!3A&amp;"</f>
        <v>#VALUE!</v>
      </c>
      <c r="CQ380" t="e">
        <f>Asia!B508+"$F;@!3A'"</f>
        <v>#VALUE!</v>
      </c>
      <c r="CR380" t="e">
        <f>Asia!C508+"$F;@!3A("</f>
        <v>#VALUE!</v>
      </c>
      <c r="CS380" t="e">
        <f>Asia!D508+"$F;@!3A)"</f>
        <v>#VALUE!</v>
      </c>
      <c r="CT380" t="e">
        <f>Asia!E508+"$F;@!3A."</f>
        <v>#VALUE!</v>
      </c>
      <c r="CU380" t="e">
        <f>Asia!F508+"$F;@!3A/"</f>
        <v>#VALUE!</v>
      </c>
      <c r="CV380" t="e">
        <f>Asia!G508+"$F;@!3A0"</f>
        <v>#VALUE!</v>
      </c>
      <c r="CW380" t="e">
        <f>Asia!H508+"$F;@!3A1"</f>
        <v>#VALUE!</v>
      </c>
      <c r="CX380" t="e">
        <f>Asia!A509+"$F;@!3A2"</f>
        <v>#VALUE!</v>
      </c>
      <c r="CY380" t="e">
        <f>Asia!B509+"$F;@!3A3"</f>
        <v>#VALUE!</v>
      </c>
      <c r="CZ380" t="e">
        <f>Asia!C509+"$F;@!3A4"</f>
        <v>#VALUE!</v>
      </c>
      <c r="DA380" t="e">
        <f>Asia!D509+"$F;@!3A5"</f>
        <v>#VALUE!</v>
      </c>
      <c r="DB380" t="e">
        <f>Asia!E509+"$F;@!3A6"</f>
        <v>#VALUE!</v>
      </c>
      <c r="DC380" t="e">
        <f>Asia!F509+"$F;@!3A7"</f>
        <v>#VALUE!</v>
      </c>
      <c r="DD380" t="e">
        <f>Asia!G509+"$F;@!3A8"</f>
        <v>#VALUE!</v>
      </c>
      <c r="DE380" t="e">
        <f>Asia!H509+"$F;@!3A9"</f>
        <v>#VALUE!</v>
      </c>
      <c r="DF380" t="e">
        <f>Asia!A510+"$F;@!3A:"</f>
        <v>#VALUE!</v>
      </c>
      <c r="DG380" t="e">
        <f>Asia!B510+"$F;@!3A;"</f>
        <v>#VALUE!</v>
      </c>
      <c r="DH380" t="e">
        <f>Asia!C510+"$F;@!3A&lt;"</f>
        <v>#VALUE!</v>
      </c>
      <c r="DI380" t="e">
        <f>Asia!D510+"$F;@!3A="</f>
        <v>#VALUE!</v>
      </c>
      <c r="DJ380" t="e">
        <f>Asia!E510+"$F;@!3A&gt;"</f>
        <v>#VALUE!</v>
      </c>
      <c r="DK380" t="e">
        <f>Asia!F510+"$F;@!3A?"</f>
        <v>#VALUE!</v>
      </c>
      <c r="DL380" t="e">
        <f>Asia!G510+"$F;@!3A@"</f>
        <v>#VALUE!</v>
      </c>
      <c r="DM380" t="e">
        <f>Asia!H510+"$F;@!3AA"</f>
        <v>#VALUE!</v>
      </c>
      <c r="DN380" t="e">
        <f>Asia!A511+"$F;@!3AB"</f>
        <v>#VALUE!</v>
      </c>
      <c r="DO380" t="e">
        <f>Asia!B511+"$F;@!3AC"</f>
        <v>#VALUE!</v>
      </c>
      <c r="DP380" t="e">
        <f>Asia!C511+"$F;@!3AD"</f>
        <v>#VALUE!</v>
      </c>
      <c r="DQ380" t="e">
        <f>Asia!D511+"$F;@!3AE"</f>
        <v>#VALUE!</v>
      </c>
      <c r="DR380" t="e">
        <f>Asia!E511+"$F;@!3AF"</f>
        <v>#VALUE!</v>
      </c>
      <c r="DS380" t="e">
        <f>Asia!F511+"$F;@!3AG"</f>
        <v>#VALUE!</v>
      </c>
      <c r="DT380" t="e">
        <f>Asia!G511+"$F;@!3AH"</f>
        <v>#VALUE!</v>
      </c>
      <c r="DU380" t="e">
        <f>Asia!H511+"$F;@!3AI"</f>
        <v>#VALUE!</v>
      </c>
      <c r="DV380" t="e">
        <f>Asia!A512+"$F;@!3AJ"</f>
        <v>#VALUE!</v>
      </c>
      <c r="DW380" t="e">
        <f>Asia!B512+"$F;@!3AK"</f>
        <v>#VALUE!</v>
      </c>
      <c r="DX380" t="e">
        <f>Asia!C512+"$F;@!3AL"</f>
        <v>#VALUE!</v>
      </c>
      <c r="DY380" t="e">
        <f>Asia!D512+"$F;@!3AM"</f>
        <v>#VALUE!</v>
      </c>
      <c r="DZ380" t="e">
        <f>Asia!E512+"$F;@!3AN"</f>
        <v>#VALUE!</v>
      </c>
      <c r="EA380" t="e">
        <f>Asia!F512+"$F;@!3AO"</f>
        <v>#VALUE!</v>
      </c>
      <c r="EB380" t="e">
        <f>Asia!G512+"$F;@!3AP"</f>
        <v>#VALUE!</v>
      </c>
      <c r="EC380" t="e">
        <f>Asia!H512+"$F;@!3AQ"</f>
        <v>#VALUE!</v>
      </c>
      <c r="ED380" t="e">
        <f>Asia!A513+"$F;@!3AR"</f>
        <v>#VALUE!</v>
      </c>
      <c r="EE380" t="e">
        <f>Asia!B513+"$F;@!3AS"</f>
        <v>#VALUE!</v>
      </c>
      <c r="EF380" t="e">
        <f>Asia!C513+"$F;@!3AT"</f>
        <v>#VALUE!</v>
      </c>
      <c r="EG380" t="e">
        <f>Asia!D513+"$F;@!3AU"</f>
        <v>#VALUE!</v>
      </c>
      <c r="EH380" t="e">
        <f>Asia!E513+"$F;@!3AV"</f>
        <v>#VALUE!</v>
      </c>
      <c r="EI380" t="e">
        <f>Asia!F513+"$F;@!3AW"</f>
        <v>#VALUE!</v>
      </c>
      <c r="EJ380" t="e">
        <f>Asia!G513+"$F;@!3AX"</f>
        <v>#VALUE!</v>
      </c>
      <c r="EK380" t="e">
        <f>Asia!H513+"$F;@!3AY"</f>
        <v>#VALUE!</v>
      </c>
      <c r="EL380" t="e">
        <f>Asia!A514+"$F;@!3AZ"</f>
        <v>#VALUE!</v>
      </c>
      <c r="EM380" t="e">
        <f>Asia!B514+"$F;@!3A["</f>
        <v>#VALUE!</v>
      </c>
      <c r="EN380" t="e">
        <f>Asia!C514+"$F;@!3A\"</f>
        <v>#VALUE!</v>
      </c>
      <c r="EO380" t="e">
        <f>Asia!D514+"$F;@!3A]"</f>
        <v>#VALUE!</v>
      </c>
      <c r="EP380" t="e">
        <f>Asia!E514+"$F;@!3A^"</f>
        <v>#VALUE!</v>
      </c>
      <c r="EQ380" t="e">
        <f>Asia!F514+"$F;@!3A_"</f>
        <v>#VALUE!</v>
      </c>
      <c r="ER380" t="e">
        <f>Asia!G514+"$F;@!3A`"</f>
        <v>#VALUE!</v>
      </c>
      <c r="ES380" t="e">
        <f>Asia!H514+"$F;@!3Aa"</f>
        <v>#VALUE!</v>
      </c>
      <c r="ET380" t="e">
        <f>Asia!A515+"$F;@!3Ab"</f>
        <v>#VALUE!</v>
      </c>
      <c r="EU380" t="e">
        <f>Asia!B515+"$F;@!3Ac"</f>
        <v>#VALUE!</v>
      </c>
      <c r="EV380" t="e">
        <f>Asia!C515+"$F;@!3Ad"</f>
        <v>#VALUE!</v>
      </c>
      <c r="EW380" t="e">
        <f>Asia!D515+"$F;@!3Ae"</f>
        <v>#VALUE!</v>
      </c>
      <c r="EX380" t="e">
        <f>Asia!E515+"$F;@!3Af"</f>
        <v>#VALUE!</v>
      </c>
      <c r="EY380" t="e">
        <f>Asia!F515+"$F;@!3Ag"</f>
        <v>#VALUE!</v>
      </c>
      <c r="EZ380" t="e">
        <f>Asia!G515+"$F;@!3Ah"</f>
        <v>#VALUE!</v>
      </c>
      <c r="FA380" t="e">
        <f>Asia!H515+"$F;@!3Ai"</f>
        <v>#VALUE!</v>
      </c>
      <c r="FB380" t="e">
        <f>Asia!A516+"$F;@!3Aj"</f>
        <v>#VALUE!</v>
      </c>
      <c r="FC380" t="e">
        <f>Asia!B516+"$F;@!3Ak"</f>
        <v>#VALUE!</v>
      </c>
      <c r="FD380" t="e">
        <f>Asia!C516+"$F;@!3Al"</f>
        <v>#VALUE!</v>
      </c>
      <c r="FE380" t="e">
        <f>Asia!D516+"$F;@!3Am"</f>
        <v>#VALUE!</v>
      </c>
      <c r="FF380" t="e">
        <f>Asia!E516+"$F;@!3An"</f>
        <v>#VALUE!</v>
      </c>
      <c r="FG380" t="e">
        <f>Asia!F516+"$F;@!3Ao"</f>
        <v>#VALUE!</v>
      </c>
      <c r="FH380" t="e">
        <f>Asia!G516+"$F;@!3Ap"</f>
        <v>#VALUE!</v>
      </c>
      <c r="FI380" t="e">
        <f>Asia!H516+"$F;@!3Aq"</f>
        <v>#VALUE!</v>
      </c>
      <c r="FJ380" t="e">
        <f>Asia!A517+"$F;@!3Ar"</f>
        <v>#VALUE!</v>
      </c>
      <c r="FK380" t="e">
        <f>Asia!B517+"$F;@!3As"</f>
        <v>#VALUE!</v>
      </c>
      <c r="FL380" t="e">
        <f>Asia!C517+"$F;@!3At"</f>
        <v>#VALUE!</v>
      </c>
      <c r="FM380" t="e">
        <f>Asia!D517+"$F;@!3Au"</f>
        <v>#VALUE!</v>
      </c>
      <c r="FN380" t="e">
        <f>Asia!E517+"$F;@!3Av"</f>
        <v>#VALUE!</v>
      </c>
      <c r="FO380" t="e">
        <f>Asia!F517+"$F;@!3Aw"</f>
        <v>#VALUE!</v>
      </c>
      <c r="FP380" t="e">
        <f>Asia!G517+"$F;@!3Ax"</f>
        <v>#VALUE!</v>
      </c>
      <c r="FQ380" t="e">
        <f>Asia!H517+"$F;@!3Ay"</f>
        <v>#VALUE!</v>
      </c>
      <c r="FR380" t="e">
        <f>Asia!A518+"$F;@!3Az"</f>
        <v>#VALUE!</v>
      </c>
      <c r="FS380" t="e">
        <f>Asia!B518+"$F;@!3A{"</f>
        <v>#VALUE!</v>
      </c>
      <c r="FT380" t="e">
        <f>Asia!C518+"$F;@!3A|"</f>
        <v>#VALUE!</v>
      </c>
      <c r="FU380" t="e">
        <f>Asia!D518+"$F;@!3A}"</f>
        <v>#VALUE!</v>
      </c>
      <c r="FV380" t="e">
        <f>Asia!E518+"$F;@!3A~"</f>
        <v>#VALUE!</v>
      </c>
      <c r="FW380" t="e">
        <f>Asia!F518+"$F;@!3B#"</f>
        <v>#VALUE!</v>
      </c>
      <c r="FX380" t="e">
        <f>Asia!G518+"$F;@!3B$"</f>
        <v>#VALUE!</v>
      </c>
      <c r="FY380" t="e">
        <f>Asia!H518+"$F;@!3B%"</f>
        <v>#VALUE!</v>
      </c>
      <c r="FZ380" t="e">
        <f>Asia!A519+"$F;@!3B&amp;"</f>
        <v>#VALUE!</v>
      </c>
      <c r="GA380" t="e">
        <f>Asia!B519+"$F;@!3B'"</f>
        <v>#VALUE!</v>
      </c>
      <c r="GB380" t="e">
        <f>Asia!C519+"$F;@!3B("</f>
        <v>#VALUE!</v>
      </c>
      <c r="GC380" t="e">
        <f>Asia!D519+"$F;@!3B)"</f>
        <v>#VALUE!</v>
      </c>
      <c r="GD380" t="e">
        <f>Asia!E519+"$F;@!3B."</f>
        <v>#VALUE!</v>
      </c>
      <c r="GE380" t="e">
        <f>Asia!F519+"$F;@!3B/"</f>
        <v>#VALUE!</v>
      </c>
      <c r="GF380" t="e">
        <f>Asia!G519+"$F;@!3B0"</f>
        <v>#VALUE!</v>
      </c>
      <c r="GG380" t="e">
        <f>Asia!H519+"$F;@!3B1"</f>
        <v>#VALUE!</v>
      </c>
      <c r="GH380" t="e">
        <f>Asia!A520+"$F;@!3B2"</f>
        <v>#VALUE!</v>
      </c>
      <c r="GI380" t="e">
        <f>Asia!B520+"$F;@!3B3"</f>
        <v>#VALUE!</v>
      </c>
      <c r="GJ380" t="e">
        <f>Asia!C520+"$F;@!3B4"</f>
        <v>#VALUE!</v>
      </c>
      <c r="GK380" t="e">
        <f>Asia!D520+"$F;@!3B5"</f>
        <v>#VALUE!</v>
      </c>
      <c r="GL380" t="e">
        <f>Asia!E520+"$F;@!3B6"</f>
        <v>#VALUE!</v>
      </c>
      <c r="GM380" t="e">
        <f>Asia!F520+"$F;@!3B7"</f>
        <v>#VALUE!</v>
      </c>
      <c r="GN380" t="e">
        <f>Asia!G520+"$F;@!3B8"</f>
        <v>#VALUE!</v>
      </c>
      <c r="GO380" t="e">
        <f>Asia!H520+"$F;@!3B9"</f>
        <v>#VALUE!</v>
      </c>
      <c r="GP380" t="e">
        <f>Asia!A521+"$F;@!3B:"</f>
        <v>#VALUE!</v>
      </c>
      <c r="GQ380" t="e">
        <f>Asia!B521+"$F;@!3B;"</f>
        <v>#VALUE!</v>
      </c>
      <c r="GR380" t="e">
        <f>Asia!C521+"$F;@!3B&lt;"</f>
        <v>#VALUE!</v>
      </c>
      <c r="GS380" t="e">
        <f>Asia!D521+"$F;@!3B="</f>
        <v>#VALUE!</v>
      </c>
      <c r="GT380" t="e">
        <f>Asia!E521+"$F;@!3B&gt;"</f>
        <v>#VALUE!</v>
      </c>
      <c r="GU380" t="e">
        <f>Asia!F521+"$F;@!3B?"</f>
        <v>#VALUE!</v>
      </c>
      <c r="GV380" t="e">
        <f>Asia!G521+"$F;@!3B@"</f>
        <v>#VALUE!</v>
      </c>
      <c r="GW380" t="e">
        <f>Asia!H521+"$F;@!3BA"</f>
        <v>#VALUE!</v>
      </c>
      <c r="GX380" t="e">
        <f>Asia!A522+"$F;@!3BB"</f>
        <v>#VALUE!</v>
      </c>
      <c r="GY380" t="e">
        <f>Asia!B522+"$F;@!3BC"</f>
        <v>#VALUE!</v>
      </c>
      <c r="GZ380" t="e">
        <f>Asia!C522+"$F;@!3BD"</f>
        <v>#VALUE!</v>
      </c>
      <c r="HA380" t="e">
        <f>Asia!D522+"$F;@!3BE"</f>
        <v>#VALUE!</v>
      </c>
      <c r="HB380" t="e">
        <f>Asia!E522+"$F;@!3BF"</f>
        <v>#VALUE!</v>
      </c>
      <c r="HC380" t="e">
        <f>Asia!F522+"$F;@!3BG"</f>
        <v>#VALUE!</v>
      </c>
      <c r="HD380" t="e">
        <f>Asia!G522+"$F;@!3BH"</f>
        <v>#VALUE!</v>
      </c>
      <c r="HE380" t="e">
        <f>Asia!H522+"$F;@!3BI"</f>
        <v>#VALUE!</v>
      </c>
      <c r="HF380" t="e">
        <f>Asia!A523+"$F;@!3BJ"</f>
        <v>#VALUE!</v>
      </c>
      <c r="HG380" t="e">
        <f>Asia!B523+"$F;@!3BK"</f>
        <v>#VALUE!</v>
      </c>
      <c r="HH380" t="e">
        <f>Asia!C523+"$F;@!3BL"</f>
        <v>#VALUE!</v>
      </c>
      <c r="HI380" t="e">
        <f>Asia!D523+"$F;@!3BM"</f>
        <v>#VALUE!</v>
      </c>
      <c r="HJ380" t="e">
        <f>Asia!E523+"$F;@!3BN"</f>
        <v>#VALUE!</v>
      </c>
      <c r="HK380" t="e">
        <f>Asia!F523+"$F;@!3BO"</f>
        <v>#VALUE!</v>
      </c>
      <c r="HL380" t="e">
        <f>Asia!G523+"$F;@!3BP"</f>
        <v>#VALUE!</v>
      </c>
      <c r="HM380" t="e">
        <f>Asia!H523+"$F;@!3BQ"</f>
        <v>#VALUE!</v>
      </c>
      <c r="HN380" t="e">
        <f>Asia!A524+"$F;@!3BR"</f>
        <v>#VALUE!</v>
      </c>
      <c r="HO380" t="e">
        <f>Asia!B524+"$F;@!3BS"</f>
        <v>#VALUE!</v>
      </c>
      <c r="HP380" t="e">
        <f>Asia!C524+"$F;@!3BT"</f>
        <v>#VALUE!</v>
      </c>
      <c r="HQ380" t="e">
        <f>Asia!D524+"$F;@!3BU"</f>
        <v>#VALUE!</v>
      </c>
      <c r="HR380" t="e">
        <f>Asia!E524+"$F;@!3BV"</f>
        <v>#VALUE!</v>
      </c>
      <c r="HS380" t="e">
        <f>Asia!F524+"$F;@!3BW"</f>
        <v>#VALUE!</v>
      </c>
      <c r="HT380" t="e">
        <f>Asia!G524+"$F;@!3BX"</f>
        <v>#VALUE!</v>
      </c>
      <c r="HU380" t="e">
        <f>Asia!H524+"$F;@!3BY"</f>
        <v>#VALUE!</v>
      </c>
      <c r="HV380" t="e">
        <f>Asia!A525+"$F;@!3BZ"</f>
        <v>#VALUE!</v>
      </c>
      <c r="HW380" t="e">
        <f>Asia!B525+"$F;@!3B["</f>
        <v>#VALUE!</v>
      </c>
      <c r="HX380" t="e">
        <f>Asia!C525+"$F;@!3B\"</f>
        <v>#VALUE!</v>
      </c>
      <c r="HY380" t="e">
        <f>Asia!D525+"$F;@!3B]"</f>
        <v>#VALUE!</v>
      </c>
      <c r="HZ380" t="e">
        <f>Asia!E525+"$F;@!3B^"</f>
        <v>#VALUE!</v>
      </c>
      <c r="IA380" t="e">
        <f>Asia!F525+"$F;@!3B_"</f>
        <v>#VALUE!</v>
      </c>
      <c r="IB380" t="e">
        <f>Asia!G525+"$F;@!3B`"</f>
        <v>#VALUE!</v>
      </c>
      <c r="IC380" t="e">
        <f>Asia!H525+"$F;@!3Ba"</f>
        <v>#VALUE!</v>
      </c>
      <c r="ID380" t="e">
        <f>Asia!A526+"$F;@!3Bb"</f>
        <v>#VALUE!</v>
      </c>
      <c r="IE380" t="e">
        <f>Asia!B526+"$F;@!3Bc"</f>
        <v>#VALUE!</v>
      </c>
      <c r="IF380" t="e">
        <f>Asia!C526+"$F;@!3Bd"</f>
        <v>#VALUE!</v>
      </c>
      <c r="IG380" t="e">
        <f>Asia!D526+"$F;@!3Be"</f>
        <v>#VALUE!</v>
      </c>
      <c r="IH380" t="e">
        <f>Asia!E526+"$F;@!3Bf"</f>
        <v>#VALUE!</v>
      </c>
      <c r="II380" t="e">
        <f>Asia!F526+"$F;@!3Bg"</f>
        <v>#VALUE!</v>
      </c>
      <c r="IJ380" t="e">
        <f>Asia!G526+"$F;@!3Bh"</f>
        <v>#VALUE!</v>
      </c>
      <c r="IK380" t="e">
        <f>Asia!H526+"$F;@!3Bi"</f>
        <v>#VALUE!</v>
      </c>
      <c r="IL380" t="e">
        <f>Asia!A527+"$F;@!3Bj"</f>
        <v>#VALUE!</v>
      </c>
      <c r="IM380" t="e">
        <f>Asia!B527+"$F;@!3Bk"</f>
        <v>#VALUE!</v>
      </c>
      <c r="IN380" t="e">
        <f>Asia!C527+"$F;@!3Bl"</f>
        <v>#VALUE!</v>
      </c>
      <c r="IO380" t="e">
        <f>Asia!D527+"$F;@!3Bm"</f>
        <v>#VALUE!</v>
      </c>
      <c r="IP380" t="e">
        <f>Asia!E527+"$F;@!3Bn"</f>
        <v>#VALUE!</v>
      </c>
      <c r="IQ380" t="e">
        <f>Asia!F527+"$F;@!3Bo"</f>
        <v>#VALUE!</v>
      </c>
      <c r="IR380" t="e">
        <f>Asia!G527+"$F;@!3Bp"</f>
        <v>#VALUE!</v>
      </c>
      <c r="IS380" t="e">
        <f>Asia!H527+"$F;@!3Bq"</f>
        <v>#VALUE!</v>
      </c>
      <c r="IT380" t="e">
        <f>Asia!A528+"$F;@!3Br"</f>
        <v>#VALUE!</v>
      </c>
      <c r="IU380" t="e">
        <f>Asia!B528+"$F;@!3Bs"</f>
        <v>#VALUE!</v>
      </c>
      <c r="IV380" t="e">
        <f>Asia!C528+"$F;@!3Bt"</f>
        <v>#VALUE!</v>
      </c>
    </row>
    <row r="381" spans="6:256" x14ac:dyDescent="0.35">
      <c r="F381" t="e">
        <f>Asia!D528+"$F;@!3Bu"</f>
        <v>#VALUE!</v>
      </c>
      <c r="G381" t="e">
        <f>Asia!E528+"$F;@!3Bv"</f>
        <v>#VALUE!</v>
      </c>
      <c r="H381" t="e">
        <f>Asia!F528+"$F;@!3Bw"</f>
        <v>#VALUE!</v>
      </c>
      <c r="I381" t="e">
        <f>Asia!G528+"$F;@!3Bx"</f>
        <v>#VALUE!</v>
      </c>
      <c r="J381" t="e">
        <f>Asia!H528+"$F;@!3By"</f>
        <v>#VALUE!</v>
      </c>
      <c r="K381" t="e">
        <f>Asia!A529+"$F;@!3Bz"</f>
        <v>#VALUE!</v>
      </c>
      <c r="L381" t="e">
        <f>Asia!B529+"$F;@!3B{"</f>
        <v>#VALUE!</v>
      </c>
      <c r="M381" t="e">
        <f>Asia!C529+"$F;@!3B|"</f>
        <v>#VALUE!</v>
      </c>
      <c r="N381" t="e">
        <f>Asia!D529+"$F;@!3B}"</f>
        <v>#VALUE!</v>
      </c>
      <c r="O381" t="e">
        <f>Asia!E529+"$F;@!3B~"</f>
        <v>#VALUE!</v>
      </c>
      <c r="P381" t="e">
        <f>Asia!F529+"$F;@!3C#"</f>
        <v>#VALUE!</v>
      </c>
      <c r="Q381" t="e">
        <f>Asia!G529+"$F;@!3C$"</f>
        <v>#VALUE!</v>
      </c>
      <c r="R381" t="e">
        <f>Asia!H529+"$F;@!3C%"</f>
        <v>#VALUE!</v>
      </c>
      <c r="S381" t="e">
        <f>Asia!A530+"$F;@!3C&amp;"</f>
        <v>#VALUE!</v>
      </c>
      <c r="T381" t="e">
        <f>Asia!B530+"$F;@!3C'"</f>
        <v>#VALUE!</v>
      </c>
      <c r="U381" t="e">
        <f>Asia!C530+"$F;@!3C("</f>
        <v>#VALUE!</v>
      </c>
      <c r="V381" t="e">
        <f>Asia!D530+"$F;@!3C)"</f>
        <v>#VALUE!</v>
      </c>
      <c r="W381" t="e">
        <f>Asia!E530+"$F;@!3C."</f>
        <v>#VALUE!</v>
      </c>
      <c r="X381" t="e">
        <f>Asia!F530+"$F;@!3C/"</f>
        <v>#VALUE!</v>
      </c>
      <c r="Y381" t="e">
        <f>Asia!G530+"$F;@!3C0"</f>
        <v>#VALUE!</v>
      </c>
      <c r="Z381" t="e">
        <f>Asia!H530+"$F;@!3C1"</f>
        <v>#VALUE!</v>
      </c>
      <c r="AA381" t="e">
        <f>Asia!A531+"$F;@!3C2"</f>
        <v>#VALUE!</v>
      </c>
      <c r="AB381" t="e">
        <f>Asia!B531+"$F;@!3C3"</f>
        <v>#VALUE!</v>
      </c>
      <c r="AC381" t="e">
        <f>Asia!C531+"$F;@!3C4"</f>
        <v>#VALUE!</v>
      </c>
      <c r="AD381" t="e">
        <f>Asia!D531+"$F;@!3C5"</f>
        <v>#VALUE!</v>
      </c>
      <c r="AE381" t="e">
        <f>Asia!E531+"$F;@!3C6"</f>
        <v>#VALUE!</v>
      </c>
      <c r="AF381" t="e">
        <f>Asia!F531+"$F;@!3C7"</f>
        <v>#VALUE!</v>
      </c>
      <c r="AG381" t="e">
        <f>Asia!G531+"$F;@!3C8"</f>
        <v>#VALUE!</v>
      </c>
      <c r="AH381" t="e">
        <f>Asia!H531+"$F;@!3C9"</f>
        <v>#VALUE!</v>
      </c>
      <c r="AI381" t="e">
        <f>Asia!A532+"$F;@!3C:"</f>
        <v>#VALUE!</v>
      </c>
      <c r="AJ381" t="e">
        <f>Asia!B532+"$F;@!3C;"</f>
        <v>#VALUE!</v>
      </c>
      <c r="AK381" t="e">
        <f>Asia!C532+"$F;@!3C&lt;"</f>
        <v>#VALUE!</v>
      </c>
      <c r="AL381" t="e">
        <f>Asia!D532+"$F;@!3C="</f>
        <v>#VALUE!</v>
      </c>
      <c r="AM381" t="e">
        <f>Asia!E532+"$F;@!3C&gt;"</f>
        <v>#VALUE!</v>
      </c>
      <c r="AN381" t="e">
        <f>Asia!F532+"$F;@!3C?"</f>
        <v>#VALUE!</v>
      </c>
      <c r="AO381" t="e">
        <f>Asia!G532+"$F;@!3C@"</f>
        <v>#VALUE!</v>
      </c>
      <c r="AP381" t="e">
        <f>Asia!H532+"$F;@!3CA"</f>
        <v>#VALUE!</v>
      </c>
      <c r="AQ381" t="e">
        <f>Asia!A533+"$F;@!3CB"</f>
        <v>#VALUE!</v>
      </c>
      <c r="AR381" t="e">
        <f>Asia!B533+"$F;@!3CC"</f>
        <v>#VALUE!</v>
      </c>
      <c r="AS381" t="e">
        <f>Asia!C533+"$F;@!3CD"</f>
        <v>#VALUE!</v>
      </c>
      <c r="AT381" t="e">
        <f>Asia!D533+"$F;@!3CE"</f>
        <v>#VALUE!</v>
      </c>
      <c r="AU381" t="e">
        <f>Asia!E533+"$F;@!3CF"</f>
        <v>#VALUE!</v>
      </c>
      <c r="AV381" t="e">
        <f>Asia!F533+"$F;@!3CG"</f>
        <v>#VALUE!</v>
      </c>
      <c r="AW381" t="e">
        <f>Asia!G533+"$F;@!3CH"</f>
        <v>#VALUE!</v>
      </c>
      <c r="AX381" t="e">
        <f>Asia!H533+"$F;@!3CI"</f>
        <v>#VALUE!</v>
      </c>
      <c r="AY381" t="e">
        <f>Asia!A534+"$F;@!3CJ"</f>
        <v>#VALUE!</v>
      </c>
      <c r="AZ381" t="e">
        <f>Asia!B534+"$F;@!3CK"</f>
        <v>#VALUE!</v>
      </c>
      <c r="BA381" t="e">
        <f>Asia!C534+"$F;@!3CL"</f>
        <v>#VALUE!</v>
      </c>
      <c r="BB381" t="e">
        <f>Asia!D534+"$F;@!3CM"</f>
        <v>#VALUE!</v>
      </c>
      <c r="BC381" t="e">
        <f>Asia!E534+"$F;@!3CN"</f>
        <v>#VALUE!</v>
      </c>
      <c r="BD381" t="e">
        <f>Asia!F534+"$F;@!3CO"</f>
        <v>#VALUE!</v>
      </c>
      <c r="BE381" t="e">
        <f>Asia!G534+"$F;@!3CP"</f>
        <v>#VALUE!</v>
      </c>
      <c r="BF381" t="e">
        <f>Asia!H534+"$F;@!3CQ"</f>
        <v>#VALUE!</v>
      </c>
      <c r="BG381" t="e">
        <f>Asia!A535+"$F;@!3CR"</f>
        <v>#VALUE!</v>
      </c>
      <c r="BH381" t="e">
        <f>Asia!B535+"$F;@!3CS"</f>
        <v>#VALUE!</v>
      </c>
      <c r="BI381" t="e">
        <f>Asia!C535+"$F;@!3CT"</f>
        <v>#VALUE!</v>
      </c>
      <c r="BJ381" t="e">
        <f>Asia!D535+"$F;@!3CU"</f>
        <v>#VALUE!</v>
      </c>
      <c r="BK381" t="e">
        <f>Asia!E535+"$F;@!3CV"</f>
        <v>#VALUE!</v>
      </c>
      <c r="BL381" t="e">
        <f>Asia!F535+"$F;@!3CW"</f>
        <v>#VALUE!</v>
      </c>
      <c r="BM381" t="e">
        <f>Asia!G535+"$F;@!3CX"</f>
        <v>#VALUE!</v>
      </c>
      <c r="BN381" t="e">
        <f>Asia!H535+"$F;@!3CY"</f>
        <v>#VALUE!</v>
      </c>
      <c r="BO381" t="e">
        <f>Asia!A536+"$F;@!3CZ"</f>
        <v>#VALUE!</v>
      </c>
      <c r="BP381" t="e">
        <f>Asia!B536+"$F;@!3C["</f>
        <v>#VALUE!</v>
      </c>
      <c r="BQ381" t="e">
        <f>Asia!C536+"$F;@!3C\"</f>
        <v>#VALUE!</v>
      </c>
      <c r="BR381" t="e">
        <f>Asia!D536+"$F;@!3C]"</f>
        <v>#VALUE!</v>
      </c>
      <c r="BS381" t="e">
        <f>Asia!E536+"$F;@!3C^"</f>
        <v>#VALUE!</v>
      </c>
      <c r="BT381" t="e">
        <f>Asia!F536+"$F;@!3C_"</f>
        <v>#VALUE!</v>
      </c>
      <c r="BU381" t="e">
        <f>Asia!G536+"$F;@!3C`"</f>
        <v>#VALUE!</v>
      </c>
      <c r="BV381" t="e">
        <f>Asia!H536+"$F;@!3Ca"</f>
        <v>#VALUE!</v>
      </c>
      <c r="BW381" t="e">
        <f>Asia!A537+"$F;@!3Cb"</f>
        <v>#VALUE!</v>
      </c>
      <c r="BX381" t="e">
        <f>Asia!B537+"$F;@!3Cc"</f>
        <v>#VALUE!</v>
      </c>
      <c r="BY381" t="e">
        <f>Asia!C537+"$F;@!3Cd"</f>
        <v>#VALUE!</v>
      </c>
      <c r="BZ381" t="e">
        <f>Asia!D537+"$F;@!3Ce"</f>
        <v>#VALUE!</v>
      </c>
      <c r="CA381" t="e">
        <f>Asia!E537+"$F;@!3Cf"</f>
        <v>#VALUE!</v>
      </c>
      <c r="CB381" t="e">
        <f>Asia!F537+"$F;@!3Cg"</f>
        <v>#VALUE!</v>
      </c>
      <c r="CC381" t="e">
        <f>Asia!G537+"$F;@!3Ch"</f>
        <v>#VALUE!</v>
      </c>
      <c r="CD381" t="e">
        <f>Asia!H537+"$F;@!3Ci"</f>
        <v>#VALUE!</v>
      </c>
      <c r="CE381" t="e">
        <f>Asia!A538+"$F;@!3Cj"</f>
        <v>#VALUE!</v>
      </c>
      <c r="CF381" t="e">
        <f>Asia!B538+"$F;@!3Ck"</f>
        <v>#VALUE!</v>
      </c>
      <c r="CG381" t="e">
        <f>Asia!C538+"$F;@!3Cl"</f>
        <v>#VALUE!</v>
      </c>
      <c r="CH381" t="e">
        <f>Asia!D538+"$F;@!3Cm"</f>
        <v>#VALUE!</v>
      </c>
      <c r="CI381" t="e">
        <f>Asia!E538+"$F;@!3Cn"</f>
        <v>#VALUE!</v>
      </c>
      <c r="CJ381" t="e">
        <f>Asia!F538+"$F;@!3Co"</f>
        <v>#VALUE!</v>
      </c>
      <c r="CK381" t="e">
        <f>Asia!G538+"$F;@!3Cp"</f>
        <v>#VALUE!</v>
      </c>
      <c r="CL381" t="e">
        <f>Asia!H538+"$F;@!3Cq"</f>
        <v>#VALUE!</v>
      </c>
      <c r="CM381" t="e">
        <f>Asia!A539+"$F;@!3Cr"</f>
        <v>#VALUE!</v>
      </c>
      <c r="CN381" t="e">
        <f>Asia!B539+"$F;@!3Cs"</f>
        <v>#VALUE!</v>
      </c>
      <c r="CO381" t="e">
        <f>Asia!C539+"$F;@!3Ct"</f>
        <v>#VALUE!</v>
      </c>
      <c r="CP381" t="e">
        <f>Asia!D539+"$F;@!3Cu"</f>
        <v>#VALUE!</v>
      </c>
      <c r="CQ381" t="e">
        <f>Asia!E539+"$F;@!3Cv"</f>
        <v>#VALUE!</v>
      </c>
      <c r="CR381" t="e">
        <f>Asia!F539+"$F;@!3Cw"</f>
        <v>#VALUE!</v>
      </c>
      <c r="CS381" t="e">
        <f>Asia!G539+"$F;@!3Cx"</f>
        <v>#VALUE!</v>
      </c>
      <c r="CT381" t="e">
        <f>Asia!H539+"$F;@!3Cy"</f>
        <v>#VALUE!</v>
      </c>
      <c r="CU381" t="e">
        <f>Asia!A540+"$F;@!3Cz"</f>
        <v>#VALUE!</v>
      </c>
      <c r="CV381" t="e">
        <f>Asia!B540+"$F;@!3C{"</f>
        <v>#VALUE!</v>
      </c>
      <c r="CW381" t="e">
        <f>Asia!C540+"$F;@!3C|"</f>
        <v>#VALUE!</v>
      </c>
      <c r="CX381" t="e">
        <f>Asia!D540+"$F;@!3C}"</f>
        <v>#VALUE!</v>
      </c>
      <c r="CY381" t="e">
        <f>Asia!E540+"$F;@!3C~"</f>
        <v>#VALUE!</v>
      </c>
      <c r="CZ381" t="e">
        <f>Asia!F540+"$F;@!3D#"</f>
        <v>#VALUE!</v>
      </c>
      <c r="DA381" t="e">
        <f>Asia!G540+"$F;@!3D$"</f>
        <v>#VALUE!</v>
      </c>
      <c r="DB381" t="e">
        <f>Asia!H540+"$F;@!3D%"</f>
        <v>#VALUE!</v>
      </c>
      <c r="DC381" t="e">
        <f>Asia!A541+"$F;@!3D&amp;"</f>
        <v>#VALUE!</v>
      </c>
      <c r="DD381" t="e">
        <f>Asia!B541+"$F;@!3D'"</f>
        <v>#VALUE!</v>
      </c>
      <c r="DE381" t="e">
        <f>Asia!C541+"$F;@!3D("</f>
        <v>#VALUE!</v>
      </c>
      <c r="DF381" t="e">
        <f>Asia!D541+"$F;@!3D)"</f>
        <v>#VALUE!</v>
      </c>
      <c r="DG381" t="e">
        <f>Asia!E541+"$F;@!3D."</f>
        <v>#VALUE!</v>
      </c>
      <c r="DH381" t="e">
        <f>Asia!F541+"$F;@!3D/"</f>
        <v>#VALUE!</v>
      </c>
      <c r="DI381" t="e">
        <f>Asia!G541+"$F;@!3D0"</f>
        <v>#VALUE!</v>
      </c>
      <c r="DJ381" t="e">
        <f>Asia!H541+"$F;@!3D1"</f>
        <v>#VALUE!</v>
      </c>
      <c r="DK381" t="e">
        <f>Asia!A542+"$F;@!3D2"</f>
        <v>#VALUE!</v>
      </c>
      <c r="DL381" t="e">
        <f>Asia!B542+"$F;@!3D3"</f>
        <v>#VALUE!</v>
      </c>
      <c r="DM381" t="e">
        <f>Asia!C542+"$F;@!3D4"</f>
        <v>#VALUE!</v>
      </c>
      <c r="DN381" t="e">
        <f>Asia!D542+"$F;@!3D5"</f>
        <v>#VALUE!</v>
      </c>
      <c r="DO381" t="e">
        <f>Asia!E542+"$F;@!3D6"</f>
        <v>#VALUE!</v>
      </c>
      <c r="DP381" t="e">
        <f>Asia!F542+"$F;@!3D7"</f>
        <v>#VALUE!</v>
      </c>
      <c r="DQ381" t="e">
        <f>Asia!G542+"$F;@!3D8"</f>
        <v>#VALUE!</v>
      </c>
      <c r="DR381" t="e">
        <f>Asia!H542+"$F;@!3D9"</f>
        <v>#VALUE!</v>
      </c>
      <c r="DS381" t="e">
        <f>Asia!A543+"$F;@!3D:"</f>
        <v>#VALUE!</v>
      </c>
      <c r="DT381" t="e">
        <f>Asia!B543+"$F;@!3D;"</f>
        <v>#VALUE!</v>
      </c>
      <c r="DU381" t="e">
        <f>Asia!C543+"$F;@!3D&lt;"</f>
        <v>#VALUE!</v>
      </c>
      <c r="DV381" t="e">
        <f>Asia!D543+"$F;@!3D="</f>
        <v>#VALUE!</v>
      </c>
      <c r="DW381" t="e">
        <f>Asia!E543+"$F;@!3D&gt;"</f>
        <v>#VALUE!</v>
      </c>
      <c r="DX381" t="e">
        <f>Asia!F543+"$F;@!3D?"</f>
        <v>#VALUE!</v>
      </c>
      <c r="DY381" t="e">
        <f>Asia!G543+"$F;@!3D@"</f>
        <v>#VALUE!</v>
      </c>
      <c r="DZ381" t="e">
        <f>Asia!H543+"$F;@!3DA"</f>
        <v>#VALUE!</v>
      </c>
      <c r="EA381" t="e">
        <f>Asia!A544+"$F;@!3DB"</f>
        <v>#VALUE!</v>
      </c>
      <c r="EB381" t="e">
        <f>Asia!B544+"$F;@!3DC"</f>
        <v>#VALUE!</v>
      </c>
      <c r="EC381" t="e">
        <f>Asia!C544+"$F;@!3DD"</f>
        <v>#VALUE!</v>
      </c>
      <c r="ED381" t="e">
        <f>Asia!D544+"$F;@!3DE"</f>
        <v>#VALUE!</v>
      </c>
      <c r="EE381" t="e">
        <f>Asia!E544+"$F;@!3DF"</f>
        <v>#VALUE!</v>
      </c>
      <c r="EF381" t="e">
        <f>Asia!F544+"$F;@!3DG"</f>
        <v>#VALUE!</v>
      </c>
      <c r="EG381" t="e">
        <f>Asia!G544+"$F;@!3DH"</f>
        <v>#VALUE!</v>
      </c>
      <c r="EH381" t="e">
        <f>Asia!H544+"$F;@!3DI"</f>
        <v>#VALUE!</v>
      </c>
      <c r="EI381" t="e">
        <f>Asia!A545+"$F;@!3DJ"</f>
        <v>#VALUE!</v>
      </c>
      <c r="EJ381" t="e">
        <f>Asia!B545+"$F;@!3DK"</f>
        <v>#VALUE!</v>
      </c>
      <c r="EK381" t="e">
        <f>Asia!C545+"$F;@!3DL"</f>
        <v>#VALUE!</v>
      </c>
      <c r="EL381" t="e">
        <f>Asia!D545+"$F;@!3DM"</f>
        <v>#VALUE!</v>
      </c>
      <c r="EM381" t="e">
        <f>Asia!E545+"$F;@!3DN"</f>
        <v>#VALUE!</v>
      </c>
      <c r="EN381" t="e">
        <f>Asia!F545+"$F;@!3DO"</f>
        <v>#VALUE!</v>
      </c>
      <c r="EO381" t="e">
        <f>Asia!G545+"$F;@!3DP"</f>
        <v>#VALUE!</v>
      </c>
      <c r="EP381" t="e">
        <f>Asia!H545+"$F;@!3DQ"</f>
        <v>#VALUE!</v>
      </c>
      <c r="EQ381" t="e">
        <f>Asia!A546+"$F;@!3DR"</f>
        <v>#VALUE!</v>
      </c>
      <c r="ER381" t="e">
        <f>Asia!B546+"$F;@!3DS"</f>
        <v>#VALUE!</v>
      </c>
      <c r="ES381" t="e">
        <f>Asia!C546+"$F;@!3DT"</f>
        <v>#VALUE!</v>
      </c>
      <c r="ET381" t="e">
        <f>Asia!D546+"$F;@!3DU"</f>
        <v>#VALUE!</v>
      </c>
      <c r="EU381" t="e">
        <f>Asia!E546+"$F;@!3DV"</f>
        <v>#VALUE!</v>
      </c>
      <c r="EV381" t="e">
        <f>Asia!F546+"$F;@!3DW"</f>
        <v>#VALUE!</v>
      </c>
      <c r="EW381" t="e">
        <f>Asia!G546+"$F;@!3DX"</f>
        <v>#VALUE!</v>
      </c>
      <c r="EX381" t="e">
        <f>Asia!H546+"$F;@!3DY"</f>
        <v>#VALUE!</v>
      </c>
      <c r="EY381" t="e">
        <f>Asia!A547+"$F;@!3DZ"</f>
        <v>#VALUE!</v>
      </c>
      <c r="EZ381" t="e">
        <f>Asia!B547+"$F;@!3D["</f>
        <v>#VALUE!</v>
      </c>
      <c r="FA381" t="e">
        <f>Asia!C547+"$F;@!3D\"</f>
        <v>#VALUE!</v>
      </c>
      <c r="FB381" t="e">
        <f>Asia!D547+"$F;@!3D]"</f>
        <v>#VALUE!</v>
      </c>
      <c r="FC381" t="e">
        <f>Asia!E547+"$F;@!3D^"</f>
        <v>#VALUE!</v>
      </c>
      <c r="FD381" t="e">
        <f>Asia!F547+"$F;@!3D_"</f>
        <v>#VALUE!</v>
      </c>
      <c r="FE381" t="e">
        <f>Asia!G547+"$F;@!3D`"</f>
        <v>#VALUE!</v>
      </c>
      <c r="FF381" t="e">
        <f>Asia!H547+"$F;@!3Da"</f>
        <v>#VALUE!</v>
      </c>
      <c r="FG381" t="e">
        <f>Asia!A548+"$F;@!3Db"</f>
        <v>#VALUE!</v>
      </c>
      <c r="FH381" t="e">
        <f>Asia!B548+"$F;@!3Dc"</f>
        <v>#VALUE!</v>
      </c>
      <c r="FI381" t="e">
        <f>Asia!C548+"$F;@!3Dd"</f>
        <v>#VALUE!</v>
      </c>
      <c r="FJ381" t="e">
        <f>Asia!D548+"$F;@!3De"</f>
        <v>#VALUE!</v>
      </c>
      <c r="FK381" t="e">
        <f>Asia!E548+"$F;@!3Df"</f>
        <v>#VALUE!</v>
      </c>
      <c r="FL381" t="e">
        <f>Asia!F548+"$F;@!3Dg"</f>
        <v>#VALUE!</v>
      </c>
      <c r="FM381" t="e">
        <f>Asia!G548+"$F;@!3Dh"</f>
        <v>#VALUE!</v>
      </c>
      <c r="FN381" t="e">
        <f>Asia!H548+"$F;@!3Di"</f>
        <v>#VALUE!</v>
      </c>
      <c r="FO381" t="e">
        <f>Asia!A549+"$F;@!3Dj"</f>
        <v>#VALUE!</v>
      </c>
      <c r="FP381" t="e">
        <f>Asia!B549+"$F;@!3Dk"</f>
        <v>#VALUE!</v>
      </c>
      <c r="FQ381" t="e">
        <f>Asia!C549+"$F;@!3Dl"</f>
        <v>#VALUE!</v>
      </c>
      <c r="FR381" t="e">
        <f>Asia!D549+"$F;@!3Dm"</f>
        <v>#VALUE!</v>
      </c>
      <c r="FS381" t="e">
        <f>Asia!E549+"$F;@!3Dn"</f>
        <v>#VALUE!</v>
      </c>
      <c r="FT381" t="e">
        <f>Asia!F549+"$F;@!3Do"</f>
        <v>#VALUE!</v>
      </c>
      <c r="FU381" t="e">
        <f>Asia!G549+"$F;@!3Dp"</f>
        <v>#VALUE!</v>
      </c>
      <c r="FV381" t="e">
        <f>Asia!H549+"$F;@!3Dq"</f>
        <v>#VALUE!</v>
      </c>
      <c r="FW381" t="e">
        <f>Asia!A550+"$F;@!3Dr"</f>
        <v>#VALUE!</v>
      </c>
      <c r="FX381" t="e">
        <f>Asia!B550+"$F;@!3Ds"</f>
        <v>#VALUE!</v>
      </c>
      <c r="FY381" t="e">
        <f>Asia!C550+"$F;@!3Dt"</f>
        <v>#VALUE!</v>
      </c>
      <c r="FZ381" t="e">
        <f>Asia!D550+"$F;@!3Du"</f>
        <v>#VALUE!</v>
      </c>
      <c r="GA381" t="e">
        <f>Asia!E550+"$F;@!3Dv"</f>
        <v>#VALUE!</v>
      </c>
      <c r="GB381" t="e">
        <f>Asia!F550+"$F;@!3Dw"</f>
        <v>#VALUE!</v>
      </c>
      <c r="GC381" t="e">
        <f>Asia!G550+"$F;@!3Dx"</f>
        <v>#VALUE!</v>
      </c>
      <c r="GD381" t="e">
        <f>Asia!H550+"$F;@!3Dy"</f>
        <v>#VALUE!</v>
      </c>
      <c r="GE381" t="e">
        <f>Asia!A551+"$F;@!3Dz"</f>
        <v>#VALUE!</v>
      </c>
      <c r="GF381" t="e">
        <f>Asia!B551+"$F;@!3D{"</f>
        <v>#VALUE!</v>
      </c>
      <c r="GG381" t="e">
        <f>Asia!C551+"$F;@!3D|"</f>
        <v>#VALUE!</v>
      </c>
      <c r="GH381" t="e">
        <f>Asia!D551+"$F;@!3D}"</f>
        <v>#VALUE!</v>
      </c>
      <c r="GI381" t="e">
        <f>Asia!E551+"$F;@!3D~"</f>
        <v>#VALUE!</v>
      </c>
      <c r="GJ381" t="e">
        <f>Asia!F551+"$F;@!3E#"</f>
        <v>#VALUE!</v>
      </c>
      <c r="GK381" t="e">
        <f>Asia!G551+"$F;@!3E$"</f>
        <v>#VALUE!</v>
      </c>
      <c r="GL381" t="e">
        <f>Asia!H551+"$F;@!3E%"</f>
        <v>#VALUE!</v>
      </c>
      <c r="GM381" t="e">
        <f>Asia!A552+"$F;@!3E&amp;"</f>
        <v>#VALUE!</v>
      </c>
      <c r="GN381" t="e">
        <f>Asia!B552+"$F;@!3E'"</f>
        <v>#VALUE!</v>
      </c>
      <c r="GO381" t="e">
        <f>Asia!C552+"$F;@!3E("</f>
        <v>#VALUE!</v>
      </c>
      <c r="GP381" t="e">
        <f>Asia!D552+"$F;@!3E)"</f>
        <v>#VALUE!</v>
      </c>
      <c r="GQ381" t="e">
        <f>Asia!E552+"$F;@!3E."</f>
        <v>#VALUE!</v>
      </c>
      <c r="GR381" t="e">
        <f>Asia!F552+"$F;@!3E/"</f>
        <v>#VALUE!</v>
      </c>
      <c r="GS381" t="e">
        <f>Asia!G552+"$F;@!3E0"</f>
        <v>#VALUE!</v>
      </c>
      <c r="GT381" t="e">
        <f>Asia!H552+"$F;@!3E1"</f>
        <v>#VALUE!</v>
      </c>
      <c r="GU381" t="e">
        <f>Asia!A553+"$F;@!3E2"</f>
        <v>#VALUE!</v>
      </c>
      <c r="GV381" t="e">
        <f>Asia!B553+"$F;@!3E3"</f>
        <v>#VALUE!</v>
      </c>
      <c r="GW381" t="e">
        <f>Asia!C553+"$F;@!3E4"</f>
        <v>#VALUE!</v>
      </c>
      <c r="GX381" t="e">
        <f>Asia!D553+"$F;@!3E5"</f>
        <v>#VALUE!</v>
      </c>
      <c r="GY381" t="e">
        <f>Asia!E553+"$F;@!3E6"</f>
        <v>#VALUE!</v>
      </c>
      <c r="GZ381" t="e">
        <f>Asia!F553+"$F;@!3E7"</f>
        <v>#VALUE!</v>
      </c>
      <c r="HA381" t="e">
        <f>Asia!G553+"$F;@!3E8"</f>
        <v>#VALUE!</v>
      </c>
      <c r="HB381" t="e">
        <f>Asia!H553+"$F;@!3E9"</f>
        <v>#VALUE!</v>
      </c>
      <c r="HC381" t="e">
        <f>Asia!A554+"$F;@!3E:"</f>
        <v>#VALUE!</v>
      </c>
      <c r="HD381" t="e">
        <f>Asia!B554+"$F;@!3E;"</f>
        <v>#VALUE!</v>
      </c>
      <c r="HE381" t="e">
        <f>Asia!C554+"$F;@!3E&lt;"</f>
        <v>#VALUE!</v>
      </c>
      <c r="HF381" t="e">
        <f>Asia!D554+"$F;@!3E="</f>
        <v>#VALUE!</v>
      </c>
      <c r="HG381" t="e">
        <f>Asia!E554+"$F;@!3E&gt;"</f>
        <v>#VALUE!</v>
      </c>
      <c r="HH381" t="e">
        <f>Asia!F554+"$F;@!3E?"</f>
        <v>#VALUE!</v>
      </c>
      <c r="HI381" t="e">
        <f>Asia!G554+"$F;@!3E@"</f>
        <v>#VALUE!</v>
      </c>
      <c r="HJ381" t="e">
        <f>Asia!H554+"$F;@!3EA"</f>
        <v>#VALUE!</v>
      </c>
      <c r="HK381" t="e">
        <f>Asia!A555+"$F;@!3EB"</f>
        <v>#VALUE!</v>
      </c>
      <c r="HL381" t="e">
        <f>Asia!B555+"$F;@!3EC"</f>
        <v>#VALUE!</v>
      </c>
      <c r="HM381" t="e">
        <f>Asia!C555+"$F;@!3ED"</f>
        <v>#VALUE!</v>
      </c>
      <c r="HN381" t="e">
        <f>Asia!D555+"$F;@!3EE"</f>
        <v>#VALUE!</v>
      </c>
      <c r="HO381" t="e">
        <f>Asia!E555+"$F;@!3EF"</f>
        <v>#VALUE!</v>
      </c>
      <c r="HP381" t="e">
        <f>Asia!F555+"$F;@!3EG"</f>
        <v>#VALUE!</v>
      </c>
      <c r="HQ381" t="e">
        <f>Asia!G555+"$F;@!3EH"</f>
        <v>#VALUE!</v>
      </c>
      <c r="HR381" t="e">
        <f>Asia!H555+"$F;@!3EI"</f>
        <v>#VALUE!</v>
      </c>
      <c r="HS381" t="e">
        <f>Asia!A556+"$F;@!3EJ"</f>
        <v>#VALUE!</v>
      </c>
      <c r="HT381" t="e">
        <f>Asia!B556+"$F;@!3EK"</f>
        <v>#VALUE!</v>
      </c>
      <c r="HU381" t="e">
        <f>Asia!C556+"$F;@!3EL"</f>
        <v>#VALUE!</v>
      </c>
      <c r="HV381" t="e">
        <f>Asia!D556+"$F;@!3EM"</f>
        <v>#VALUE!</v>
      </c>
      <c r="HW381" t="e">
        <f>Asia!E556+"$F;@!3EN"</f>
        <v>#VALUE!</v>
      </c>
      <c r="HX381" t="e">
        <f>Asia!F556+"$F;@!3EO"</f>
        <v>#VALUE!</v>
      </c>
      <c r="HY381" t="e">
        <f>Asia!G556+"$F;@!3EP"</f>
        <v>#VALUE!</v>
      </c>
      <c r="HZ381" t="e">
        <f>Asia!H556+"$F;@!3EQ"</f>
        <v>#VALUE!</v>
      </c>
      <c r="IA381" t="e">
        <f>Asia!A557+"$F;@!3ER"</f>
        <v>#VALUE!</v>
      </c>
      <c r="IB381" t="e">
        <f>Asia!B557+"$F;@!3ES"</f>
        <v>#VALUE!</v>
      </c>
      <c r="IC381" t="e">
        <f>Asia!C557+"$F;@!3ET"</f>
        <v>#VALUE!</v>
      </c>
      <c r="ID381" t="e">
        <f>Asia!D557+"$F;@!3EU"</f>
        <v>#VALUE!</v>
      </c>
      <c r="IE381" t="e">
        <f>Asia!E557+"$F;@!3EV"</f>
        <v>#VALUE!</v>
      </c>
      <c r="IF381" t="e">
        <f>Asia!F557+"$F;@!3EW"</f>
        <v>#VALUE!</v>
      </c>
      <c r="IG381" t="e">
        <f>Asia!G557+"$F;@!3EX"</f>
        <v>#VALUE!</v>
      </c>
      <c r="IH381" t="e">
        <f>Asia!H557+"$F;@!3EY"</f>
        <v>#VALUE!</v>
      </c>
      <c r="II381" t="e">
        <f>Asia!A558+"$F;@!3EZ"</f>
        <v>#VALUE!</v>
      </c>
      <c r="IJ381" t="e">
        <f>Asia!B558+"$F;@!3E["</f>
        <v>#VALUE!</v>
      </c>
      <c r="IK381" t="e">
        <f>Asia!C558+"$F;@!3E\"</f>
        <v>#VALUE!</v>
      </c>
      <c r="IL381" t="e">
        <f>Asia!D558+"$F;@!3E]"</f>
        <v>#VALUE!</v>
      </c>
      <c r="IM381" t="e">
        <f>Asia!E558+"$F;@!3E^"</f>
        <v>#VALUE!</v>
      </c>
      <c r="IN381" t="e">
        <f>Asia!F558+"$F;@!3E_"</f>
        <v>#VALUE!</v>
      </c>
      <c r="IO381" t="e">
        <f>Asia!G558+"$F;@!3E`"</f>
        <v>#VALUE!</v>
      </c>
      <c r="IP381" t="e">
        <f>Asia!H558+"$F;@!3Ea"</f>
        <v>#VALUE!</v>
      </c>
      <c r="IQ381" t="e">
        <f>Asia!A559+"$F;@!3Eb"</f>
        <v>#VALUE!</v>
      </c>
      <c r="IR381" t="e">
        <f>Asia!B559+"$F;@!3Ec"</f>
        <v>#VALUE!</v>
      </c>
      <c r="IS381" t="e">
        <f>Asia!C559+"$F;@!3Ed"</f>
        <v>#VALUE!</v>
      </c>
      <c r="IT381" t="e">
        <f>Asia!D559+"$F;@!3Ee"</f>
        <v>#VALUE!</v>
      </c>
      <c r="IU381" t="e">
        <f>Asia!E559+"$F;@!3Ef"</f>
        <v>#VALUE!</v>
      </c>
      <c r="IV381" t="e">
        <f>Asia!F559+"$F;@!3Eg"</f>
        <v>#VALUE!</v>
      </c>
    </row>
    <row r="382" spans="6:256" x14ac:dyDescent="0.35">
      <c r="F382" t="e">
        <f>Asia!G559+"$F;@!3Eh"</f>
        <v>#VALUE!</v>
      </c>
      <c r="G382" t="e">
        <f>Asia!H559+"$F;@!3Ei"</f>
        <v>#VALUE!</v>
      </c>
      <c r="H382" t="e">
        <f>Asia!A560+"$F;@!3Ej"</f>
        <v>#VALUE!</v>
      </c>
      <c r="I382" t="e">
        <f>Asia!B560+"$F;@!3Ek"</f>
        <v>#VALUE!</v>
      </c>
      <c r="J382" t="e">
        <f>Asia!C560+"$F;@!3El"</f>
        <v>#VALUE!</v>
      </c>
      <c r="K382" t="e">
        <f>Asia!D560+"$F;@!3Em"</f>
        <v>#VALUE!</v>
      </c>
      <c r="L382" t="e">
        <f>Asia!E560+"$F;@!3En"</f>
        <v>#VALUE!</v>
      </c>
      <c r="M382" t="e">
        <f>Asia!F560+"$F;@!3Eo"</f>
        <v>#VALUE!</v>
      </c>
      <c r="N382" t="e">
        <f>Asia!G560+"$F;@!3Ep"</f>
        <v>#VALUE!</v>
      </c>
      <c r="O382" t="e">
        <f>Asia!H560+"$F;@!3Eq"</f>
        <v>#VALUE!</v>
      </c>
      <c r="P382" t="e">
        <f>Asia!A561+"$F;@!3Er"</f>
        <v>#VALUE!</v>
      </c>
      <c r="Q382" t="e">
        <f>Asia!B561+"$F;@!3Es"</f>
        <v>#VALUE!</v>
      </c>
      <c r="R382" t="e">
        <f>Asia!C561+"$F;@!3Et"</f>
        <v>#VALUE!</v>
      </c>
      <c r="S382" t="e">
        <f>Asia!D561+"$F;@!3Eu"</f>
        <v>#VALUE!</v>
      </c>
      <c r="T382" t="e">
        <f>Asia!E561+"$F;@!3Ev"</f>
        <v>#VALUE!</v>
      </c>
      <c r="U382" t="e">
        <f>Asia!F561+"$F;@!3Ew"</f>
        <v>#VALUE!</v>
      </c>
      <c r="V382" t="e">
        <f>Asia!G561+"$F;@!3Ex"</f>
        <v>#VALUE!</v>
      </c>
      <c r="W382" t="e">
        <f>Asia!H561+"$F;@!3Ey"</f>
        <v>#VALUE!</v>
      </c>
      <c r="X382" t="e">
        <f>Asia!A562+"$F;@!3Ez"</f>
        <v>#VALUE!</v>
      </c>
      <c r="Y382" t="e">
        <f>Asia!B562+"$F;@!3E{"</f>
        <v>#VALUE!</v>
      </c>
      <c r="Z382" t="e">
        <f>Asia!C562+"$F;@!3E|"</f>
        <v>#VALUE!</v>
      </c>
      <c r="AA382" t="e">
        <f>Asia!D562+"$F;@!3E}"</f>
        <v>#VALUE!</v>
      </c>
      <c r="AB382" t="e">
        <f>Asia!E562+"$F;@!3E~"</f>
        <v>#VALUE!</v>
      </c>
      <c r="AC382" t="e">
        <f>Asia!F562+"$F;@!3F#"</f>
        <v>#VALUE!</v>
      </c>
      <c r="AD382" t="e">
        <f>Asia!G562+"$F;@!3F$"</f>
        <v>#VALUE!</v>
      </c>
      <c r="AE382" t="e">
        <f>Asia!H562+"$F;@!3F%"</f>
        <v>#VALUE!</v>
      </c>
      <c r="AF382" t="e">
        <f>Asia!A563+"$F;@!3F&amp;"</f>
        <v>#VALUE!</v>
      </c>
      <c r="AG382" t="e">
        <f>Asia!B563+"$F;@!3F'"</f>
        <v>#VALUE!</v>
      </c>
      <c r="AH382" t="e">
        <f>Asia!C563+"$F;@!3F("</f>
        <v>#VALUE!</v>
      </c>
      <c r="AI382" t="e">
        <f>Asia!D563+"$F;@!3F)"</f>
        <v>#VALUE!</v>
      </c>
      <c r="AJ382" t="e">
        <f>Asia!E563+"$F;@!3F."</f>
        <v>#VALUE!</v>
      </c>
      <c r="AK382" t="e">
        <f>Asia!F563+"$F;@!3F/"</f>
        <v>#VALUE!</v>
      </c>
      <c r="AL382" t="e">
        <f>Asia!G563+"$F;@!3F0"</f>
        <v>#VALUE!</v>
      </c>
      <c r="AM382" t="e">
        <f>Asia!H563+"$F;@!3F1"</f>
        <v>#VALUE!</v>
      </c>
      <c r="AN382" t="e">
        <f>Asia!A564+"$F;@!3F2"</f>
        <v>#VALUE!</v>
      </c>
      <c r="AO382" t="e">
        <f>Asia!B564+"$F;@!3F3"</f>
        <v>#VALUE!</v>
      </c>
      <c r="AP382" t="e">
        <f>Asia!C564+"$F;@!3F4"</f>
        <v>#VALUE!</v>
      </c>
      <c r="AQ382" t="e">
        <f>Asia!D564+"$F;@!3F5"</f>
        <v>#VALUE!</v>
      </c>
      <c r="AR382" t="e">
        <f>Asia!E564+"$F;@!3F6"</f>
        <v>#VALUE!</v>
      </c>
      <c r="AS382" t="e">
        <f>Asia!F564+"$F;@!3F7"</f>
        <v>#VALUE!</v>
      </c>
      <c r="AT382" t="e">
        <f>Asia!G564+"$F;@!3F8"</f>
        <v>#VALUE!</v>
      </c>
      <c r="AU382" t="e">
        <f>Asia!H564+"$F;@!3F9"</f>
        <v>#VALUE!</v>
      </c>
      <c r="AV382" t="e">
        <f>Asia!A565+"$F;@!3F:"</f>
        <v>#VALUE!</v>
      </c>
      <c r="AW382" t="e">
        <f>Asia!B565+"$F;@!3F;"</f>
        <v>#VALUE!</v>
      </c>
      <c r="AX382" t="e">
        <f>Asia!C565+"$F;@!3F&lt;"</f>
        <v>#VALUE!</v>
      </c>
      <c r="AY382" t="e">
        <f>Asia!D565+"$F;@!3F="</f>
        <v>#VALUE!</v>
      </c>
      <c r="AZ382" t="e">
        <f>Asia!E565+"$F;@!3F&gt;"</f>
        <v>#VALUE!</v>
      </c>
      <c r="BA382" t="e">
        <f>Asia!F565+"$F;@!3F?"</f>
        <v>#VALUE!</v>
      </c>
      <c r="BB382" t="e">
        <f>Asia!G565+"$F;@!3F@"</f>
        <v>#VALUE!</v>
      </c>
      <c r="BC382" t="e">
        <f>Asia!H565+"$F;@!3FA"</f>
        <v>#VALUE!</v>
      </c>
      <c r="BD382" t="e">
        <f>Asia!A566+"$F;@!3FB"</f>
        <v>#VALUE!</v>
      </c>
      <c r="BE382" t="e">
        <f>Asia!B566+"$F;@!3FC"</f>
        <v>#VALUE!</v>
      </c>
      <c r="BF382" t="e">
        <f>Asia!C566+"$F;@!3FD"</f>
        <v>#VALUE!</v>
      </c>
      <c r="BG382" t="e">
        <f>Asia!D566+"$F;@!3FE"</f>
        <v>#VALUE!</v>
      </c>
      <c r="BH382" t="e">
        <f>Asia!E566+"$F;@!3FF"</f>
        <v>#VALUE!</v>
      </c>
      <c r="BI382" t="e">
        <f>Asia!F566+"$F;@!3FG"</f>
        <v>#VALUE!</v>
      </c>
      <c r="BJ382" t="e">
        <f>Asia!G566+"$F;@!3FH"</f>
        <v>#VALUE!</v>
      </c>
      <c r="BK382" t="e">
        <f>Asia!H566+"$F;@!3FI"</f>
        <v>#VALUE!</v>
      </c>
      <c r="BL382" t="e">
        <f>Asia!A567+"$F;@!3FJ"</f>
        <v>#VALUE!</v>
      </c>
      <c r="BM382" t="e">
        <f>Asia!B567+"$F;@!3FK"</f>
        <v>#VALUE!</v>
      </c>
      <c r="BN382" t="e">
        <f>Asia!C567+"$F;@!3FL"</f>
        <v>#VALUE!</v>
      </c>
      <c r="BO382" t="e">
        <f>Asia!D567+"$F;@!3FM"</f>
        <v>#VALUE!</v>
      </c>
      <c r="BP382" t="e">
        <f>Asia!E567+"$F;@!3FN"</f>
        <v>#VALUE!</v>
      </c>
      <c r="BQ382" t="e">
        <f>Asia!F567+"$F;@!3FO"</f>
        <v>#VALUE!</v>
      </c>
      <c r="BR382" t="e">
        <f>Asia!G567+"$F;@!3FP"</f>
        <v>#VALUE!</v>
      </c>
      <c r="BS382" t="e">
        <f>Asia!H567+"$F;@!3FQ"</f>
        <v>#VALUE!</v>
      </c>
      <c r="BT382" t="e">
        <f>Asia!A568+"$F;@!3FR"</f>
        <v>#VALUE!</v>
      </c>
      <c r="BU382" t="e">
        <f>Asia!B568+"$F;@!3FS"</f>
        <v>#VALUE!</v>
      </c>
      <c r="BV382" t="e">
        <f>Asia!C568+"$F;@!3FT"</f>
        <v>#VALUE!</v>
      </c>
      <c r="BW382" t="e">
        <f>Asia!D568+"$F;@!3FU"</f>
        <v>#VALUE!</v>
      </c>
      <c r="BX382" t="e">
        <f>Asia!E568+"$F;@!3FV"</f>
        <v>#VALUE!</v>
      </c>
      <c r="BY382" t="e">
        <f>Asia!F568+"$F;@!3FW"</f>
        <v>#VALUE!</v>
      </c>
      <c r="BZ382" t="e">
        <f>Asia!G568+"$F;@!3FX"</f>
        <v>#VALUE!</v>
      </c>
      <c r="CA382" t="e">
        <f>Asia!H568+"$F;@!3FY"</f>
        <v>#VALUE!</v>
      </c>
      <c r="CB382" t="e">
        <f>Asia!A569+"$F;@!3FZ"</f>
        <v>#VALUE!</v>
      </c>
      <c r="CC382" t="e">
        <f>Asia!B569+"$F;@!3F["</f>
        <v>#VALUE!</v>
      </c>
      <c r="CD382" t="e">
        <f>Asia!C569+"$F;@!3F\"</f>
        <v>#VALUE!</v>
      </c>
      <c r="CE382" t="e">
        <f>Asia!D569+"$F;@!3F]"</f>
        <v>#VALUE!</v>
      </c>
      <c r="CF382" t="e">
        <f>Asia!E569+"$F;@!3F^"</f>
        <v>#VALUE!</v>
      </c>
      <c r="CG382" t="e">
        <f>Asia!F569+"$F;@!3F_"</f>
        <v>#VALUE!</v>
      </c>
      <c r="CH382" t="e">
        <f>Asia!G569+"$F;@!3F`"</f>
        <v>#VALUE!</v>
      </c>
      <c r="CI382" t="e">
        <f>Asia!H569+"$F;@!3Fa"</f>
        <v>#VALUE!</v>
      </c>
      <c r="CJ382" t="e">
        <f>Asia!A570+"$F;@!3Fb"</f>
        <v>#VALUE!</v>
      </c>
      <c r="CK382" t="e">
        <f>Asia!B570+"$F;@!3Fc"</f>
        <v>#VALUE!</v>
      </c>
      <c r="CL382" t="e">
        <f>Asia!C570+"$F;@!3Fd"</f>
        <v>#VALUE!</v>
      </c>
      <c r="CM382" t="e">
        <f>Asia!D570+"$F;@!3Fe"</f>
        <v>#VALUE!</v>
      </c>
      <c r="CN382" t="e">
        <f>Asia!E570+"$F;@!3Ff"</f>
        <v>#VALUE!</v>
      </c>
      <c r="CO382" t="e">
        <f>Asia!F570+"$F;@!3Fg"</f>
        <v>#VALUE!</v>
      </c>
      <c r="CP382" t="e">
        <f>Asia!G570+"$F;@!3Fh"</f>
        <v>#VALUE!</v>
      </c>
      <c r="CQ382" t="e">
        <f>Asia!H570+"$F;@!3Fi"</f>
        <v>#VALUE!</v>
      </c>
      <c r="CR382" t="e">
        <f>Asia!A571+"$F;@!3Fj"</f>
        <v>#VALUE!</v>
      </c>
      <c r="CS382" t="e">
        <f>Asia!B571+"$F;@!3Fk"</f>
        <v>#VALUE!</v>
      </c>
      <c r="CT382" t="e">
        <f>Asia!C571+"$F;@!3Fl"</f>
        <v>#VALUE!</v>
      </c>
      <c r="CU382" t="e">
        <f>Asia!D571+"$F;@!3Fm"</f>
        <v>#VALUE!</v>
      </c>
      <c r="CV382" t="e">
        <f>Asia!E571+"$F;@!3Fn"</f>
        <v>#VALUE!</v>
      </c>
      <c r="CW382" t="e">
        <f>Asia!F571+"$F;@!3Fo"</f>
        <v>#VALUE!</v>
      </c>
      <c r="CX382" t="e">
        <f>Asia!G571+"$F;@!3Fp"</f>
        <v>#VALUE!</v>
      </c>
      <c r="CY382" t="e">
        <f>Asia!H571+"$F;@!3Fq"</f>
        <v>#VALUE!</v>
      </c>
      <c r="CZ382" t="e">
        <f>Asia!A572+"$F;@!3Fr"</f>
        <v>#VALUE!</v>
      </c>
      <c r="DA382" t="e">
        <f>Asia!B572+"$F;@!3Fs"</f>
        <v>#VALUE!</v>
      </c>
      <c r="DB382" t="e">
        <f>Asia!C572+"$F;@!3Ft"</f>
        <v>#VALUE!</v>
      </c>
      <c r="DC382" t="e">
        <f>Asia!D572+"$F;@!3Fu"</f>
        <v>#VALUE!</v>
      </c>
      <c r="DD382" t="e">
        <f>Asia!E572+"$F;@!3Fv"</f>
        <v>#VALUE!</v>
      </c>
      <c r="DE382" t="e">
        <f>Asia!F572+"$F;@!3Fw"</f>
        <v>#VALUE!</v>
      </c>
      <c r="DF382" t="e">
        <f>Asia!G572+"$F;@!3Fx"</f>
        <v>#VALUE!</v>
      </c>
      <c r="DG382" t="e">
        <f>Asia!H572+"$F;@!3Fy"</f>
        <v>#VALUE!</v>
      </c>
      <c r="DH382" t="e">
        <f>Asia!A573+"$F;@!3Fz"</f>
        <v>#VALUE!</v>
      </c>
      <c r="DI382" t="e">
        <f>Asia!B573+"$F;@!3F{"</f>
        <v>#VALUE!</v>
      </c>
      <c r="DJ382" t="e">
        <f>Asia!C573+"$F;@!3F|"</f>
        <v>#VALUE!</v>
      </c>
      <c r="DK382" t="e">
        <f>Asia!D573+"$F;@!3F}"</f>
        <v>#VALUE!</v>
      </c>
      <c r="DL382" t="e">
        <f>Asia!E573+"$F;@!3F~"</f>
        <v>#VALUE!</v>
      </c>
      <c r="DM382" t="e">
        <f>Asia!F573+"$F;@!3G#"</f>
        <v>#VALUE!</v>
      </c>
      <c r="DN382" t="e">
        <f>Asia!G573+"$F;@!3G$"</f>
        <v>#VALUE!</v>
      </c>
      <c r="DO382" t="e">
        <f>Asia!H573+"$F;@!3G%"</f>
        <v>#VALUE!</v>
      </c>
      <c r="DP382" t="e">
        <f>Asia!A574+"$F;@!3G&amp;"</f>
        <v>#VALUE!</v>
      </c>
      <c r="DQ382" t="e">
        <f>Asia!B574+"$F;@!3G'"</f>
        <v>#VALUE!</v>
      </c>
      <c r="DR382" t="e">
        <f>Asia!C574+"$F;@!3G("</f>
        <v>#VALUE!</v>
      </c>
      <c r="DS382" t="e">
        <f>Asia!D574+"$F;@!3G)"</f>
        <v>#VALUE!</v>
      </c>
      <c r="DT382" t="e">
        <f>Asia!E574+"$F;@!3G."</f>
        <v>#VALUE!</v>
      </c>
      <c r="DU382" t="e">
        <f>Asia!F574+"$F;@!3G/"</f>
        <v>#VALUE!</v>
      </c>
      <c r="DV382" t="e">
        <f>Asia!G574+"$F;@!3G0"</f>
        <v>#VALUE!</v>
      </c>
      <c r="DW382" t="e">
        <f>Asia!H574+"$F;@!3G1"</f>
        <v>#VALUE!</v>
      </c>
      <c r="DX382" t="e">
        <f>Asia!A575+"$F;@!3G2"</f>
        <v>#VALUE!</v>
      </c>
      <c r="DY382" t="e">
        <f>Asia!B575+"$F;@!3G3"</f>
        <v>#VALUE!</v>
      </c>
      <c r="DZ382" t="e">
        <f>Asia!C575+"$F;@!3G4"</f>
        <v>#VALUE!</v>
      </c>
      <c r="EA382" t="e">
        <f>Asia!D575+"$F;@!3G5"</f>
        <v>#VALUE!</v>
      </c>
      <c r="EB382" t="e">
        <f>Asia!E575+"$F;@!3G6"</f>
        <v>#VALUE!</v>
      </c>
      <c r="EC382" t="e">
        <f>Asia!F575+"$F;@!3G7"</f>
        <v>#VALUE!</v>
      </c>
      <c r="ED382" t="e">
        <f>Asia!G575+"$F;@!3G8"</f>
        <v>#VALUE!</v>
      </c>
      <c r="EE382" t="e">
        <f>Asia!H575+"$F;@!3G9"</f>
        <v>#VALUE!</v>
      </c>
      <c r="EF382" t="e">
        <f>Asia!A576+"$F;@!3G:"</f>
        <v>#VALUE!</v>
      </c>
      <c r="EG382" t="e">
        <f>Asia!B576+"$F;@!3G;"</f>
        <v>#VALUE!</v>
      </c>
      <c r="EH382" t="e">
        <f>Asia!C576+"$F;@!3G&lt;"</f>
        <v>#VALUE!</v>
      </c>
      <c r="EI382" t="e">
        <f>Asia!D576+"$F;@!3G="</f>
        <v>#VALUE!</v>
      </c>
      <c r="EJ382" t="e">
        <f>Asia!E576+"$F;@!3G&gt;"</f>
        <v>#VALUE!</v>
      </c>
      <c r="EK382" t="e">
        <f>Asia!F576+"$F;@!3G?"</f>
        <v>#VALUE!</v>
      </c>
      <c r="EL382" t="e">
        <f>Asia!G576+"$F;@!3G@"</f>
        <v>#VALUE!</v>
      </c>
      <c r="EM382" t="e">
        <f>Asia!H576+"$F;@!3GA"</f>
        <v>#VALUE!</v>
      </c>
      <c r="EN382" t="e">
        <f>Asia!A577+"$F;@!3GB"</f>
        <v>#VALUE!</v>
      </c>
      <c r="EO382" t="e">
        <f>Asia!B577+"$F;@!3GC"</f>
        <v>#VALUE!</v>
      </c>
      <c r="EP382" t="e">
        <f>Asia!C577+"$F;@!3GD"</f>
        <v>#VALUE!</v>
      </c>
      <c r="EQ382" t="e">
        <f>Asia!D577+"$F;@!3GE"</f>
        <v>#VALUE!</v>
      </c>
      <c r="ER382" t="e">
        <f>Asia!E577+"$F;@!3GF"</f>
        <v>#VALUE!</v>
      </c>
      <c r="ES382" t="e">
        <f>Asia!F577+"$F;@!3GG"</f>
        <v>#VALUE!</v>
      </c>
      <c r="ET382" t="e">
        <f>Asia!G577+"$F;@!3GH"</f>
        <v>#VALUE!</v>
      </c>
      <c r="EU382" t="e">
        <f>Asia!H577+"$F;@!3GI"</f>
        <v>#VALUE!</v>
      </c>
      <c r="EV382" t="e">
        <f>Asia!A578+"$F;@!3GJ"</f>
        <v>#VALUE!</v>
      </c>
      <c r="EW382" t="e">
        <f>Asia!B578+"$F;@!3GK"</f>
        <v>#VALUE!</v>
      </c>
      <c r="EX382" t="e">
        <f>Asia!C578+"$F;@!3GL"</f>
        <v>#VALUE!</v>
      </c>
      <c r="EY382" t="e">
        <f>Asia!D578+"$F;@!3GM"</f>
        <v>#VALUE!</v>
      </c>
      <c r="EZ382" t="e">
        <f>Asia!E578+"$F;@!3GN"</f>
        <v>#VALUE!</v>
      </c>
      <c r="FA382" t="e">
        <f>Asia!F578+"$F;@!3GO"</f>
        <v>#VALUE!</v>
      </c>
      <c r="FB382" t="e">
        <f>Asia!G578+"$F;@!3GP"</f>
        <v>#VALUE!</v>
      </c>
      <c r="FC382" t="e">
        <f>Asia!H578+"$F;@!3GQ"</f>
        <v>#VALUE!</v>
      </c>
      <c r="FD382" t="e">
        <f>Asia!A579+"$F;@!3GR"</f>
        <v>#VALUE!</v>
      </c>
      <c r="FE382" t="e">
        <f>Asia!B579+"$F;@!3GS"</f>
        <v>#VALUE!</v>
      </c>
      <c r="FF382" t="e">
        <f>Asia!C579+"$F;@!3GT"</f>
        <v>#VALUE!</v>
      </c>
      <c r="FG382" t="e">
        <f>Asia!D579+"$F;@!3GU"</f>
        <v>#VALUE!</v>
      </c>
      <c r="FH382" t="e">
        <f>Asia!E579+"$F;@!3GV"</f>
        <v>#VALUE!</v>
      </c>
      <c r="FI382" t="e">
        <f>Asia!F579+"$F;@!3GW"</f>
        <v>#VALUE!</v>
      </c>
      <c r="FJ382" t="e">
        <f>Asia!G579+"$F;@!3GX"</f>
        <v>#VALUE!</v>
      </c>
      <c r="FK382" t="e">
        <f>Asia!H579+"$F;@!3GY"</f>
        <v>#VALUE!</v>
      </c>
      <c r="FL382" t="e">
        <f>Asia!A580+"$F;@!3GZ"</f>
        <v>#VALUE!</v>
      </c>
      <c r="FM382" t="e">
        <f>Asia!B580+"$F;@!3G["</f>
        <v>#VALUE!</v>
      </c>
      <c r="FN382" t="e">
        <f>Asia!C580+"$F;@!3G\"</f>
        <v>#VALUE!</v>
      </c>
      <c r="FO382" t="e">
        <f>Asia!D580+"$F;@!3G]"</f>
        <v>#VALUE!</v>
      </c>
      <c r="FP382" t="e">
        <f>Asia!E580+"$F;@!3G^"</f>
        <v>#VALUE!</v>
      </c>
      <c r="FQ382" t="e">
        <f>Asia!F580+"$F;@!3G_"</f>
        <v>#VALUE!</v>
      </c>
      <c r="FR382" t="e">
        <f>Asia!G580+"$F;@!3G`"</f>
        <v>#VALUE!</v>
      </c>
      <c r="FS382" t="e">
        <f>Asia!H580+"$F;@!3Ga"</f>
        <v>#VALUE!</v>
      </c>
      <c r="FT382" t="e">
        <f>Asia!A581+"$F;@!3Gb"</f>
        <v>#VALUE!</v>
      </c>
      <c r="FU382" t="e">
        <f>Asia!B581+"$F;@!3Gc"</f>
        <v>#VALUE!</v>
      </c>
      <c r="FV382" t="e">
        <f>Asia!C581+"$F;@!3Gd"</f>
        <v>#VALUE!</v>
      </c>
      <c r="FW382" t="e">
        <f>Asia!D581+"$F;@!3Ge"</f>
        <v>#VALUE!</v>
      </c>
      <c r="FX382" t="e">
        <f>Asia!E581+"$F;@!3Gf"</f>
        <v>#VALUE!</v>
      </c>
      <c r="FY382" t="e">
        <f>Asia!F581+"$F;@!3Gg"</f>
        <v>#VALUE!</v>
      </c>
      <c r="FZ382" t="e">
        <f>Asia!G581+"$F;@!3Gh"</f>
        <v>#VALUE!</v>
      </c>
      <c r="GA382" t="e">
        <f>Asia!H581+"$F;@!3Gi"</f>
        <v>#VALUE!</v>
      </c>
      <c r="GB382" t="e">
        <f>Asia!A582+"$F;@!3Gj"</f>
        <v>#VALUE!</v>
      </c>
      <c r="GC382" t="e">
        <f>Asia!B582+"$F;@!3Gk"</f>
        <v>#VALUE!</v>
      </c>
      <c r="GD382" t="e">
        <f>Asia!C582+"$F;@!3Gl"</f>
        <v>#VALUE!</v>
      </c>
      <c r="GE382" t="e">
        <f>Asia!D582+"$F;@!3Gm"</f>
        <v>#VALUE!</v>
      </c>
      <c r="GF382" t="e">
        <f>Asia!E582+"$F;@!3Gn"</f>
        <v>#VALUE!</v>
      </c>
      <c r="GG382" t="e">
        <f>Asia!F582+"$F;@!3Go"</f>
        <v>#VALUE!</v>
      </c>
      <c r="GH382" t="e">
        <f>Asia!G582+"$F;@!3Gp"</f>
        <v>#VALUE!</v>
      </c>
      <c r="GI382" t="e">
        <f>Asia!H582+"$F;@!3Gq"</f>
        <v>#VALUE!</v>
      </c>
      <c r="GJ382" t="e">
        <f>Asia!A583+"$F;@!3Gr"</f>
        <v>#VALUE!</v>
      </c>
      <c r="GK382" t="e">
        <f>Asia!B583+"$F;@!3Gs"</f>
        <v>#VALUE!</v>
      </c>
      <c r="GL382" t="e">
        <f>Asia!C583+"$F;@!3Gt"</f>
        <v>#VALUE!</v>
      </c>
      <c r="GM382" t="e">
        <f>Asia!D583+"$F;@!3Gu"</f>
        <v>#VALUE!</v>
      </c>
      <c r="GN382" t="e">
        <f>Asia!E583+"$F;@!3Gv"</f>
        <v>#VALUE!</v>
      </c>
      <c r="GO382" t="e">
        <f>Asia!F583+"$F;@!3Gw"</f>
        <v>#VALUE!</v>
      </c>
      <c r="GP382" t="e">
        <f>Asia!G583+"$F;@!3Gx"</f>
        <v>#VALUE!</v>
      </c>
      <c r="GQ382" t="e">
        <f>Asia!H583+"$F;@!3Gy"</f>
        <v>#VALUE!</v>
      </c>
      <c r="GR382" t="e">
        <f>Asia!A584+"$F;@!3Gz"</f>
        <v>#VALUE!</v>
      </c>
      <c r="GS382" t="e">
        <f>Asia!B584+"$F;@!3G{"</f>
        <v>#VALUE!</v>
      </c>
      <c r="GT382" t="e">
        <f>Asia!C584+"$F;@!3G|"</f>
        <v>#VALUE!</v>
      </c>
      <c r="GU382" t="e">
        <f>Asia!D584+"$F;@!3G}"</f>
        <v>#VALUE!</v>
      </c>
      <c r="GV382" t="e">
        <f>Asia!E584+"$F;@!3G~"</f>
        <v>#VALUE!</v>
      </c>
      <c r="GW382" t="e">
        <f>Asia!F584+"$F;@!3H#"</f>
        <v>#VALUE!</v>
      </c>
      <c r="GX382" t="e">
        <f>Asia!G584+"$F;@!3H$"</f>
        <v>#VALUE!</v>
      </c>
      <c r="GY382" t="e">
        <f>Asia!H584+"$F;@!3H%"</f>
        <v>#VALUE!</v>
      </c>
      <c r="GZ382" t="e">
        <f>Asia!A585+"$F;@!3H&amp;"</f>
        <v>#VALUE!</v>
      </c>
      <c r="HA382" t="e">
        <f>Asia!B585+"$F;@!3H'"</f>
        <v>#VALUE!</v>
      </c>
      <c r="HB382" t="e">
        <f>Asia!C585+"$F;@!3H("</f>
        <v>#VALUE!</v>
      </c>
      <c r="HC382" t="e">
        <f>Asia!D585+"$F;@!3H)"</f>
        <v>#VALUE!</v>
      </c>
      <c r="HD382" t="e">
        <f>Asia!E585+"$F;@!3H."</f>
        <v>#VALUE!</v>
      </c>
      <c r="HE382" t="e">
        <f>Asia!F585+"$F;@!3H/"</f>
        <v>#VALUE!</v>
      </c>
      <c r="HF382" t="e">
        <f>Asia!G585+"$F;@!3H0"</f>
        <v>#VALUE!</v>
      </c>
      <c r="HG382" t="e">
        <f>Asia!H585+"$F;@!3H1"</f>
        <v>#VALUE!</v>
      </c>
      <c r="HH382" t="e">
        <f>Asia!A586+"$F;@!3H2"</f>
        <v>#VALUE!</v>
      </c>
      <c r="HI382" t="e">
        <f>Asia!B586+"$F;@!3H3"</f>
        <v>#VALUE!</v>
      </c>
      <c r="HJ382" t="e">
        <f>Asia!C586+"$F;@!3H4"</f>
        <v>#VALUE!</v>
      </c>
      <c r="HK382" t="e">
        <f>Asia!D586+"$F;@!3H5"</f>
        <v>#VALUE!</v>
      </c>
      <c r="HL382" t="e">
        <f>Asia!E586+"$F;@!3H6"</f>
        <v>#VALUE!</v>
      </c>
      <c r="HM382" t="e">
        <f>Asia!F586+"$F;@!3H7"</f>
        <v>#VALUE!</v>
      </c>
      <c r="HN382" t="e">
        <f>Asia!G586+"$F;@!3H8"</f>
        <v>#VALUE!</v>
      </c>
      <c r="HO382" t="e">
        <f>Asia!H586+"$F;@!3H9"</f>
        <v>#VALUE!</v>
      </c>
      <c r="HP382" t="e">
        <f>Asia!A587+"$F;@!3H:"</f>
        <v>#VALUE!</v>
      </c>
      <c r="HQ382" t="e">
        <f>Asia!B587+"$F;@!3H;"</f>
        <v>#VALUE!</v>
      </c>
      <c r="HR382" t="e">
        <f>Asia!C587+"$F;@!3H&lt;"</f>
        <v>#VALUE!</v>
      </c>
      <c r="HS382" t="e">
        <f>Asia!D587+"$F;@!3H="</f>
        <v>#VALUE!</v>
      </c>
      <c r="HT382" t="e">
        <f>Asia!E587+"$F;@!3H&gt;"</f>
        <v>#VALUE!</v>
      </c>
      <c r="HU382" t="e">
        <f>Asia!F587+"$F;@!3H?"</f>
        <v>#VALUE!</v>
      </c>
      <c r="HV382" t="e">
        <f>Asia!G587+"$F;@!3H@"</f>
        <v>#VALUE!</v>
      </c>
      <c r="HW382" t="e">
        <f>Asia!H587+"$F;@!3HA"</f>
        <v>#VALUE!</v>
      </c>
      <c r="HX382" t="e">
        <f>Asia!A588+"$F;@!3HB"</f>
        <v>#VALUE!</v>
      </c>
      <c r="HY382" t="e">
        <f>Asia!B588+"$F;@!3HC"</f>
        <v>#VALUE!</v>
      </c>
      <c r="HZ382" t="e">
        <f>Asia!C588+"$F;@!3HD"</f>
        <v>#VALUE!</v>
      </c>
      <c r="IA382" t="e">
        <f>Asia!D588+"$F;@!3HE"</f>
        <v>#VALUE!</v>
      </c>
      <c r="IB382" t="e">
        <f>Asia!E588+"$F;@!3HF"</f>
        <v>#VALUE!</v>
      </c>
      <c r="IC382" t="e">
        <f>Asia!F588+"$F;@!3HG"</f>
        <v>#VALUE!</v>
      </c>
      <c r="ID382" t="e">
        <f>Asia!G588+"$F;@!3HH"</f>
        <v>#VALUE!</v>
      </c>
      <c r="IE382" t="e">
        <f>Asia!H588+"$F;@!3HI"</f>
        <v>#VALUE!</v>
      </c>
      <c r="IF382" t="e">
        <f>Asia!A589+"$F;@!3HJ"</f>
        <v>#VALUE!</v>
      </c>
      <c r="IG382" t="e">
        <f>Asia!B589+"$F;@!3HK"</f>
        <v>#VALUE!</v>
      </c>
      <c r="IH382" t="e">
        <f>Asia!C589+"$F;@!3HL"</f>
        <v>#VALUE!</v>
      </c>
      <c r="II382" t="e">
        <f>Asia!D589+"$F;@!3HM"</f>
        <v>#VALUE!</v>
      </c>
      <c r="IJ382" t="e">
        <f>Asia!E589+"$F;@!3HN"</f>
        <v>#VALUE!</v>
      </c>
      <c r="IK382" t="e">
        <f>Asia!F589+"$F;@!3HO"</f>
        <v>#VALUE!</v>
      </c>
      <c r="IL382" t="e">
        <f>Asia!G589+"$F;@!3HP"</f>
        <v>#VALUE!</v>
      </c>
      <c r="IM382" t="e">
        <f>Asia!H589+"$F;@!3HQ"</f>
        <v>#VALUE!</v>
      </c>
      <c r="IN382" t="e">
        <f>Asia!A590+"$F;@!3HR"</f>
        <v>#VALUE!</v>
      </c>
      <c r="IO382" t="e">
        <f>Asia!B590+"$F;@!3HS"</f>
        <v>#VALUE!</v>
      </c>
      <c r="IP382" t="e">
        <f>Asia!C590+"$F;@!3HT"</f>
        <v>#VALUE!</v>
      </c>
      <c r="IQ382" t="e">
        <f>Asia!D590+"$F;@!3HU"</f>
        <v>#VALUE!</v>
      </c>
      <c r="IR382" t="e">
        <f>Asia!E590+"$F;@!3HV"</f>
        <v>#VALUE!</v>
      </c>
      <c r="IS382" t="e">
        <f>Asia!F590+"$F;@!3HW"</f>
        <v>#VALUE!</v>
      </c>
      <c r="IT382" t="e">
        <f>Asia!G590+"$F;@!3HX"</f>
        <v>#VALUE!</v>
      </c>
      <c r="IU382" t="e">
        <f>Asia!H590+"$F;@!3HY"</f>
        <v>#VALUE!</v>
      </c>
      <c r="IV382" t="e">
        <f>Asia!A591+"$F;@!3HZ"</f>
        <v>#VALUE!</v>
      </c>
    </row>
    <row r="383" spans="6:256" x14ac:dyDescent="0.35">
      <c r="F383" t="e">
        <f>Asia!B591+"$F;@!3H["</f>
        <v>#VALUE!</v>
      </c>
      <c r="G383" t="e">
        <f>Asia!C591+"$F;@!3H\"</f>
        <v>#VALUE!</v>
      </c>
      <c r="H383" t="e">
        <f>Asia!D591+"$F;@!3H]"</f>
        <v>#VALUE!</v>
      </c>
      <c r="I383" t="e">
        <f>Asia!E591+"$F;@!3H^"</f>
        <v>#VALUE!</v>
      </c>
      <c r="J383" t="e">
        <f>Asia!F591+"$F;@!3H_"</f>
        <v>#VALUE!</v>
      </c>
      <c r="K383" t="e">
        <f>Asia!G591+"$F;@!3H`"</f>
        <v>#VALUE!</v>
      </c>
      <c r="L383" t="e">
        <f>Asia!H591+"$F;@!3Ha"</f>
        <v>#VALUE!</v>
      </c>
      <c r="M383" t="e">
        <f>Asia!A592+"$F;@!3Hb"</f>
        <v>#VALUE!</v>
      </c>
      <c r="N383" t="e">
        <f>Asia!B592+"$F;@!3Hc"</f>
        <v>#VALUE!</v>
      </c>
      <c r="O383" t="e">
        <f>Asia!C592+"$F;@!3Hd"</f>
        <v>#VALUE!</v>
      </c>
      <c r="P383" t="e">
        <f>Asia!D592+"$F;@!3He"</f>
        <v>#VALUE!</v>
      </c>
      <c r="Q383" t="e">
        <f>Asia!E592+"$F;@!3Hf"</f>
        <v>#VALUE!</v>
      </c>
      <c r="R383" t="e">
        <f>Asia!F592+"$F;@!3Hg"</f>
        <v>#VALUE!</v>
      </c>
      <c r="S383" t="e">
        <f>Asia!G592+"$F;@!3Hh"</f>
        <v>#VALUE!</v>
      </c>
      <c r="T383" t="e">
        <f>Asia!H592+"$F;@!3Hi"</f>
        <v>#VALUE!</v>
      </c>
      <c r="U383" t="e">
        <f>Asia!A593+"$F;@!3Hj"</f>
        <v>#VALUE!</v>
      </c>
      <c r="V383" t="e">
        <f>Asia!B593+"$F;@!3Hk"</f>
        <v>#VALUE!</v>
      </c>
      <c r="W383" t="e">
        <f>Asia!C593+"$F;@!3Hl"</f>
        <v>#VALUE!</v>
      </c>
      <c r="X383" t="e">
        <f>Asia!D593+"$F;@!3Hm"</f>
        <v>#VALUE!</v>
      </c>
      <c r="Y383" t="e">
        <f>Asia!E593+"$F;@!3Hn"</f>
        <v>#VALUE!</v>
      </c>
      <c r="Z383" t="e">
        <f>Asia!F593+"$F;@!3Ho"</f>
        <v>#VALUE!</v>
      </c>
      <c r="AA383" t="e">
        <f>Asia!G593+"$F;@!3Hp"</f>
        <v>#VALUE!</v>
      </c>
      <c r="AB383" t="e">
        <f>Asia!H593+"$F;@!3Hq"</f>
        <v>#VALUE!</v>
      </c>
      <c r="AC383" t="e">
        <f>Asia!A594+"$F;@!3Hr"</f>
        <v>#VALUE!</v>
      </c>
      <c r="AD383" t="e">
        <f>Asia!B594+"$F;@!3Hs"</f>
        <v>#VALUE!</v>
      </c>
      <c r="AE383" t="e">
        <f>Asia!C594+"$F;@!3Ht"</f>
        <v>#VALUE!</v>
      </c>
      <c r="AF383" t="e">
        <f>Asia!D594+"$F;@!3Hu"</f>
        <v>#VALUE!</v>
      </c>
      <c r="AG383" t="e">
        <f>Asia!E594+"$F;@!3Hv"</f>
        <v>#VALUE!</v>
      </c>
      <c r="AH383" t="e">
        <f>Asia!F594+"$F;@!3Hw"</f>
        <v>#VALUE!</v>
      </c>
      <c r="AI383" t="e">
        <f>Asia!G594+"$F;@!3Hx"</f>
        <v>#VALUE!</v>
      </c>
      <c r="AJ383" t="e">
        <f>Asia!H594+"$F;@!3Hy"</f>
        <v>#VALUE!</v>
      </c>
      <c r="AK383" t="e">
        <f>Asia!A595+"$F;@!3Hz"</f>
        <v>#VALUE!</v>
      </c>
      <c r="AL383" t="e">
        <f>Asia!B595+"$F;@!3H{"</f>
        <v>#VALUE!</v>
      </c>
      <c r="AM383" t="e">
        <f>Asia!C595+"$F;@!3H|"</f>
        <v>#VALUE!</v>
      </c>
      <c r="AN383" t="e">
        <f>Asia!D595+"$F;@!3H}"</f>
        <v>#VALUE!</v>
      </c>
      <c r="AO383" t="e">
        <f>Asia!E595+"$F;@!3H~"</f>
        <v>#VALUE!</v>
      </c>
      <c r="AP383" t="e">
        <f>Asia!F595+"$F;@!3I#"</f>
        <v>#VALUE!</v>
      </c>
      <c r="AQ383" t="e">
        <f>Asia!G595+"$F;@!3I$"</f>
        <v>#VALUE!</v>
      </c>
      <c r="AR383" t="e">
        <f>Asia!H595+"$F;@!3I%"</f>
        <v>#VALUE!</v>
      </c>
      <c r="AS383" t="e">
        <f>Asia!A596+"$F;@!3I&amp;"</f>
        <v>#VALUE!</v>
      </c>
      <c r="AT383" t="e">
        <f>Asia!B596+"$F;@!3I'"</f>
        <v>#VALUE!</v>
      </c>
      <c r="AU383" t="e">
        <f>Asia!C596+"$F;@!3I("</f>
        <v>#VALUE!</v>
      </c>
      <c r="AV383" t="e">
        <f>Asia!D596+"$F;@!3I)"</f>
        <v>#VALUE!</v>
      </c>
      <c r="AW383" t="e">
        <f>Asia!E596+"$F;@!3I."</f>
        <v>#VALUE!</v>
      </c>
      <c r="AX383" t="e">
        <f>Asia!F596+"$F;@!3I/"</f>
        <v>#VALUE!</v>
      </c>
      <c r="AY383" t="e">
        <f>Asia!G596+"$F;@!3I0"</f>
        <v>#VALUE!</v>
      </c>
      <c r="AZ383" t="e">
        <f>Asia!H596+"$F;@!3I1"</f>
        <v>#VALUE!</v>
      </c>
      <c r="BA383" t="e">
        <f>Asia!A597+"$F;@!3I2"</f>
        <v>#VALUE!</v>
      </c>
      <c r="BB383" t="e">
        <f>Asia!B597+"$F;@!3I3"</f>
        <v>#VALUE!</v>
      </c>
      <c r="BC383" t="e">
        <f>Asia!C597+"$F;@!3I4"</f>
        <v>#VALUE!</v>
      </c>
      <c r="BD383" t="e">
        <f>Asia!D597+"$F;@!3I5"</f>
        <v>#VALUE!</v>
      </c>
      <c r="BE383" t="e">
        <f>Asia!E597+"$F;@!3I6"</f>
        <v>#VALUE!</v>
      </c>
      <c r="BF383" t="e">
        <f>Asia!F597+"$F;@!3I7"</f>
        <v>#VALUE!</v>
      </c>
      <c r="BG383" t="e">
        <f>Asia!G597+"$F;@!3I8"</f>
        <v>#VALUE!</v>
      </c>
      <c r="BH383" t="e">
        <f>Asia!H597+"$F;@!3I9"</f>
        <v>#VALUE!</v>
      </c>
      <c r="BI383" t="e">
        <f>Asia!A598+"$F;@!3I:"</f>
        <v>#VALUE!</v>
      </c>
      <c r="BJ383" t="e">
        <f>Asia!B598+"$F;@!3I;"</f>
        <v>#VALUE!</v>
      </c>
      <c r="BK383" t="e">
        <f>Asia!C598+"$F;@!3I&lt;"</f>
        <v>#VALUE!</v>
      </c>
      <c r="BL383" t="e">
        <f>Asia!D598+"$F;@!3I="</f>
        <v>#VALUE!</v>
      </c>
      <c r="BM383" t="e">
        <f>Asia!E598+"$F;@!3I&gt;"</f>
        <v>#VALUE!</v>
      </c>
      <c r="BN383" t="e">
        <f>Asia!F598+"$F;@!3I?"</f>
        <v>#VALUE!</v>
      </c>
      <c r="BO383" t="e">
        <f>Asia!G598+"$F;@!3I@"</f>
        <v>#VALUE!</v>
      </c>
      <c r="BP383" t="e">
        <f>Asia!H598+"$F;@!3IA"</f>
        <v>#VALUE!</v>
      </c>
      <c r="BQ383" t="e">
        <f>Asia!A599+"$F;@!3IB"</f>
        <v>#VALUE!</v>
      </c>
      <c r="BR383" t="e">
        <f>Asia!B599+"$F;@!3IC"</f>
        <v>#VALUE!</v>
      </c>
      <c r="BS383" t="e">
        <f>Asia!C599+"$F;@!3ID"</f>
        <v>#VALUE!</v>
      </c>
      <c r="BT383" t="e">
        <f>Asia!D599+"$F;@!3IE"</f>
        <v>#VALUE!</v>
      </c>
      <c r="BU383" t="e">
        <f>Asia!E599+"$F;@!3IF"</f>
        <v>#VALUE!</v>
      </c>
      <c r="BV383" t="e">
        <f>Asia!F599+"$F;@!3IG"</f>
        <v>#VALUE!</v>
      </c>
      <c r="BW383" t="e">
        <f>Asia!G599+"$F;@!3IH"</f>
        <v>#VALUE!</v>
      </c>
      <c r="BX383" t="e">
        <f>Asia!H599+"$F;@!3II"</f>
        <v>#VALUE!</v>
      </c>
      <c r="BY383" t="e">
        <f>Asia!A600+"$F;@!3IJ"</f>
        <v>#VALUE!</v>
      </c>
      <c r="BZ383" t="e">
        <f>Asia!B600+"$F;@!3IK"</f>
        <v>#VALUE!</v>
      </c>
      <c r="CA383" t="e">
        <f>Asia!C600+"$F;@!3IL"</f>
        <v>#VALUE!</v>
      </c>
      <c r="CB383" t="e">
        <f>Asia!D600+"$F;@!3IM"</f>
        <v>#VALUE!</v>
      </c>
      <c r="CC383" t="e">
        <f>Asia!E600+"$F;@!3IN"</f>
        <v>#VALUE!</v>
      </c>
      <c r="CD383" t="e">
        <f>Asia!F600+"$F;@!3IO"</f>
        <v>#VALUE!</v>
      </c>
      <c r="CE383" t="e">
        <f>Asia!G600+"$F;@!3IP"</f>
        <v>#VALUE!</v>
      </c>
      <c r="CF383" t="e">
        <f>Asia!H600+"$F;@!3IQ"</f>
        <v>#VALUE!</v>
      </c>
      <c r="CG383" t="e">
        <f>Asia!A601+"$F;@!3IR"</f>
        <v>#VALUE!</v>
      </c>
      <c r="CH383" t="e">
        <f>Asia!B601+"$F;@!3IS"</f>
        <v>#VALUE!</v>
      </c>
      <c r="CI383" t="e">
        <f>Asia!C601+"$F;@!3IT"</f>
        <v>#VALUE!</v>
      </c>
      <c r="CJ383" t="e">
        <f>Asia!D601+"$F;@!3IU"</f>
        <v>#VALUE!</v>
      </c>
      <c r="CK383" t="e">
        <f>Asia!E601+"$F;@!3IV"</f>
        <v>#VALUE!</v>
      </c>
      <c r="CL383" t="e">
        <f>Asia!F601+"$F;@!3IW"</f>
        <v>#VALUE!</v>
      </c>
      <c r="CM383" t="e">
        <f>Asia!G601+"$F;@!3IX"</f>
        <v>#VALUE!</v>
      </c>
      <c r="CN383" t="e">
        <f>Asia!H601+"$F;@!3IY"</f>
        <v>#VALUE!</v>
      </c>
      <c r="CO383" t="e">
        <f>Asia!A602+"$F;@!3IZ"</f>
        <v>#VALUE!</v>
      </c>
      <c r="CP383" t="e">
        <f>Asia!B602+"$F;@!3I["</f>
        <v>#VALUE!</v>
      </c>
      <c r="CQ383" t="e">
        <f>Asia!C602+"$F;@!3I\"</f>
        <v>#VALUE!</v>
      </c>
      <c r="CR383" t="e">
        <f>Asia!D602+"$F;@!3I]"</f>
        <v>#VALUE!</v>
      </c>
      <c r="CS383" t="e">
        <f>Asia!E602+"$F;@!3I^"</f>
        <v>#VALUE!</v>
      </c>
      <c r="CT383" t="e">
        <f>Asia!F602+"$F;@!3I_"</f>
        <v>#VALUE!</v>
      </c>
      <c r="CU383" t="e">
        <f>Asia!G602+"$F;@!3I`"</f>
        <v>#VALUE!</v>
      </c>
      <c r="CV383" t="e">
        <f>Asia!H602+"$F;@!3Ia"</f>
        <v>#VALUE!</v>
      </c>
      <c r="CW383" t="e">
        <f>Asia!A603+"$F;@!3Ib"</f>
        <v>#VALUE!</v>
      </c>
      <c r="CX383" t="e">
        <f>Asia!B603+"$F;@!3Ic"</f>
        <v>#VALUE!</v>
      </c>
      <c r="CY383" t="e">
        <f>Asia!C603+"$F;@!3Id"</f>
        <v>#VALUE!</v>
      </c>
      <c r="CZ383" t="e">
        <f>Asia!D603+"$F;@!3Ie"</f>
        <v>#VALUE!</v>
      </c>
      <c r="DA383" t="e">
        <f>Asia!E603+"$F;@!3If"</f>
        <v>#VALUE!</v>
      </c>
      <c r="DB383" t="e">
        <f>Asia!F603+"$F;@!3Ig"</f>
        <v>#VALUE!</v>
      </c>
      <c r="DC383" t="e">
        <f>Asia!G603+"$F;@!3Ih"</f>
        <v>#VALUE!</v>
      </c>
      <c r="DD383" t="e">
        <f>Asia!H603+"$F;@!3Ii"</f>
        <v>#VALUE!</v>
      </c>
      <c r="DE383" t="e">
        <f>Asia!A604+"$F;@!3Ij"</f>
        <v>#VALUE!</v>
      </c>
      <c r="DF383" t="e">
        <f>Asia!B604+"$F;@!3Ik"</f>
        <v>#VALUE!</v>
      </c>
      <c r="DG383" t="e">
        <f>Asia!C604+"$F;@!3Il"</f>
        <v>#VALUE!</v>
      </c>
      <c r="DH383" t="e">
        <f>Asia!D604+"$F;@!3Im"</f>
        <v>#VALUE!</v>
      </c>
      <c r="DI383" t="e">
        <f>Asia!E604+"$F;@!3In"</f>
        <v>#VALUE!</v>
      </c>
      <c r="DJ383" t="e">
        <f>Asia!F604+"$F;@!3Io"</f>
        <v>#VALUE!</v>
      </c>
      <c r="DK383" t="e">
        <f>Asia!G604+"$F;@!3Ip"</f>
        <v>#VALUE!</v>
      </c>
      <c r="DL383" t="e">
        <f>Asia!H604+"$F;@!3Iq"</f>
        <v>#VALUE!</v>
      </c>
      <c r="DM383" t="e">
        <f>Asia!A605+"$F;@!3Ir"</f>
        <v>#VALUE!</v>
      </c>
      <c r="DN383" t="e">
        <f>Asia!B605+"$F;@!3Is"</f>
        <v>#VALUE!</v>
      </c>
      <c r="DO383" t="e">
        <f>Asia!C605+"$F;@!3It"</f>
        <v>#VALUE!</v>
      </c>
      <c r="DP383" t="e">
        <f>Asia!D605+"$F;@!3Iu"</f>
        <v>#VALUE!</v>
      </c>
      <c r="DQ383" t="e">
        <f>Asia!E605+"$F;@!3Iv"</f>
        <v>#VALUE!</v>
      </c>
      <c r="DR383" t="e">
        <f>Asia!F605+"$F;@!3Iw"</f>
        <v>#VALUE!</v>
      </c>
      <c r="DS383" t="e">
        <f>Asia!G605+"$F;@!3Ix"</f>
        <v>#VALUE!</v>
      </c>
      <c r="DT383" t="e">
        <f>Asia!H605+"$F;@!3Iy"</f>
        <v>#VALUE!</v>
      </c>
      <c r="DU383" t="e">
        <f>Asia!A606+"$F;@!3Iz"</f>
        <v>#VALUE!</v>
      </c>
      <c r="DV383" t="e">
        <f>Asia!B606+"$F;@!3I{"</f>
        <v>#VALUE!</v>
      </c>
      <c r="DW383" t="e">
        <f>Asia!C606+"$F;@!3I|"</f>
        <v>#VALUE!</v>
      </c>
      <c r="DX383" t="e">
        <f>Asia!D606+"$F;@!3I}"</f>
        <v>#VALUE!</v>
      </c>
      <c r="DY383" t="e">
        <f>Asia!E606+"$F;@!3I~"</f>
        <v>#VALUE!</v>
      </c>
      <c r="DZ383" t="e">
        <f>Asia!F606+"$F;@!3J#"</f>
        <v>#VALUE!</v>
      </c>
      <c r="EA383" t="e">
        <f>Asia!G606+"$F;@!3J$"</f>
        <v>#VALUE!</v>
      </c>
      <c r="EB383" t="e">
        <f>Asia!H606+"$F;@!3J%"</f>
        <v>#VALUE!</v>
      </c>
      <c r="EC383" t="e">
        <f>Asia!A607+"$F;@!3J&amp;"</f>
        <v>#VALUE!</v>
      </c>
      <c r="ED383" t="e">
        <f>Asia!B607+"$F;@!3J'"</f>
        <v>#VALUE!</v>
      </c>
      <c r="EE383" t="e">
        <f>Asia!C607+"$F;@!3J("</f>
        <v>#VALUE!</v>
      </c>
      <c r="EF383" t="e">
        <f>Asia!D607+"$F;@!3J)"</f>
        <v>#VALUE!</v>
      </c>
      <c r="EG383" t="e">
        <f>Asia!E607+"$F;@!3J."</f>
        <v>#VALUE!</v>
      </c>
      <c r="EH383" t="e">
        <f>Asia!F607+"$F;@!3J/"</f>
        <v>#VALUE!</v>
      </c>
      <c r="EI383" t="e">
        <f>Asia!G607+"$F;@!3J0"</f>
        <v>#VALUE!</v>
      </c>
      <c r="EJ383" t="e">
        <f>Asia!H607+"$F;@!3J1"</f>
        <v>#VALUE!</v>
      </c>
      <c r="EK383" t="e">
        <f>Asia!A608+"$F;@!3J2"</f>
        <v>#VALUE!</v>
      </c>
      <c r="EL383" t="e">
        <f>Asia!B608+"$F;@!3J3"</f>
        <v>#VALUE!</v>
      </c>
      <c r="EM383" t="e">
        <f>Asia!C608+"$F;@!3J4"</f>
        <v>#VALUE!</v>
      </c>
      <c r="EN383" t="e">
        <f>Asia!D608+"$F;@!3J5"</f>
        <v>#VALUE!</v>
      </c>
      <c r="EO383" t="e">
        <f>Asia!E608+"$F;@!3J6"</f>
        <v>#VALUE!</v>
      </c>
      <c r="EP383" t="e">
        <f>Asia!F608+"$F;@!3J7"</f>
        <v>#VALUE!</v>
      </c>
      <c r="EQ383" t="e">
        <f>Asia!G608+"$F;@!3J8"</f>
        <v>#VALUE!</v>
      </c>
      <c r="ER383" t="e">
        <f>Asia!H608+"$F;@!3J9"</f>
        <v>#VALUE!</v>
      </c>
      <c r="ES383" t="e">
        <f>Asia!A609+"$F;@!3J:"</f>
        <v>#VALUE!</v>
      </c>
      <c r="ET383" t="e">
        <f>Asia!B609+"$F;@!3J;"</f>
        <v>#VALUE!</v>
      </c>
      <c r="EU383" t="e">
        <f>Asia!C609+"$F;@!3J&lt;"</f>
        <v>#VALUE!</v>
      </c>
      <c r="EV383" t="e">
        <f>Asia!D609+"$F;@!3J="</f>
        <v>#VALUE!</v>
      </c>
      <c r="EW383" t="e">
        <f>Asia!E609+"$F;@!3J&gt;"</f>
        <v>#VALUE!</v>
      </c>
      <c r="EX383" t="e">
        <f>Asia!F609+"$F;@!3J?"</f>
        <v>#VALUE!</v>
      </c>
      <c r="EY383" t="e">
        <f>Asia!G609+"$F;@!3J@"</f>
        <v>#VALUE!</v>
      </c>
      <c r="EZ383" t="e">
        <f>Asia!H609+"$F;@!3JA"</f>
        <v>#VALUE!</v>
      </c>
      <c r="FA383" t="e">
        <f>Asia!A610+"$F;@!3JB"</f>
        <v>#VALUE!</v>
      </c>
      <c r="FB383" t="e">
        <f>Asia!B610+"$F;@!3JC"</f>
        <v>#VALUE!</v>
      </c>
      <c r="FC383" t="e">
        <f>Asia!C610+"$F;@!3JD"</f>
        <v>#VALUE!</v>
      </c>
      <c r="FD383" t="e">
        <f>Asia!D610+"$F;@!3JE"</f>
        <v>#VALUE!</v>
      </c>
      <c r="FE383" t="e">
        <f>Asia!E610+"$F;@!3JF"</f>
        <v>#VALUE!</v>
      </c>
      <c r="FF383" t="e">
        <f>Asia!F610+"$F;@!3JG"</f>
        <v>#VALUE!</v>
      </c>
      <c r="FG383" t="e">
        <f>Asia!G610+"$F;@!3JH"</f>
        <v>#VALUE!</v>
      </c>
      <c r="FH383" t="e">
        <f>Asia!H610+"$F;@!3JI"</f>
        <v>#VALUE!</v>
      </c>
      <c r="FI383" t="e">
        <f>Asia!A611+"$F;@!3JJ"</f>
        <v>#VALUE!</v>
      </c>
      <c r="FJ383" t="e">
        <f>Asia!B611+"$F;@!3JK"</f>
        <v>#VALUE!</v>
      </c>
      <c r="FK383" t="e">
        <f>Asia!C611+"$F;@!3JL"</f>
        <v>#VALUE!</v>
      </c>
      <c r="FL383" t="e">
        <f>Asia!D611+"$F;@!3JM"</f>
        <v>#VALUE!</v>
      </c>
      <c r="FM383" t="e">
        <f>Asia!E611+"$F;@!3JN"</f>
        <v>#VALUE!</v>
      </c>
      <c r="FN383" t="e">
        <f>Asia!F611+"$F;@!3JO"</f>
        <v>#VALUE!</v>
      </c>
      <c r="FO383" t="e">
        <f>Asia!G611+"$F;@!3JP"</f>
        <v>#VALUE!</v>
      </c>
      <c r="FP383" t="e">
        <f>Asia!H611+"$F;@!3JQ"</f>
        <v>#VALUE!</v>
      </c>
      <c r="FQ383" t="e">
        <f>Asia!A612+"$F;@!3JR"</f>
        <v>#VALUE!</v>
      </c>
      <c r="FR383" t="e">
        <f>Asia!B612+"$F;@!3JS"</f>
        <v>#VALUE!</v>
      </c>
      <c r="FS383" t="e">
        <f>Asia!C612+"$F;@!3JT"</f>
        <v>#VALUE!</v>
      </c>
      <c r="FT383" t="e">
        <f>Asia!D612+"$F;@!3JU"</f>
        <v>#VALUE!</v>
      </c>
      <c r="FU383" t="e">
        <f>Asia!E612+"$F;@!3JV"</f>
        <v>#VALUE!</v>
      </c>
      <c r="FV383" t="e">
        <f>Asia!F612+"$F;@!3JW"</f>
        <v>#VALUE!</v>
      </c>
      <c r="FW383" t="e">
        <f>Asia!G612+"$F;@!3JX"</f>
        <v>#VALUE!</v>
      </c>
      <c r="FX383" t="e">
        <f>Asia!H612+"$F;@!3JY"</f>
        <v>#VALUE!</v>
      </c>
      <c r="FY383" t="e">
        <f>Asia!A613+"$F;@!3JZ"</f>
        <v>#VALUE!</v>
      </c>
      <c r="FZ383" t="e">
        <f>Asia!B613+"$F;@!3J["</f>
        <v>#VALUE!</v>
      </c>
      <c r="GA383" t="e">
        <f>Asia!C613+"$F;@!3J\"</f>
        <v>#VALUE!</v>
      </c>
      <c r="GB383" t="e">
        <f>Asia!D613+"$F;@!3J]"</f>
        <v>#VALUE!</v>
      </c>
      <c r="GC383" t="e">
        <f>Asia!E613+"$F;@!3J^"</f>
        <v>#VALUE!</v>
      </c>
      <c r="GD383" t="e">
        <f>Asia!F613+"$F;@!3J_"</f>
        <v>#VALUE!</v>
      </c>
      <c r="GE383" t="e">
        <f>Asia!G613+"$F;@!3J`"</f>
        <v>#VALUE!</v>
      </c>
      <c r="GF383" t="e">
        <f>Asia!H613+"$F;@!3Ja"</f>
        <v>#VALUE!</v>
      </c>
      <c r="GG383" t="e">
        <f>Asia!A614+"$F;@!3Jb"</f>
        <v>#VALUE!</v>
      </c>
      <c r="GH383" t="e">
        <f>Asia!B614+"$F;@!3Jc"</f>
        <v>#VALUE!</v>
      </c>
      <c r="GI383" t="e">
        <f>Asia!C614+"$F;@!3Jd"</f>
        <v>#VALUE!</v>
      </c>
      <c r="GJ383" t="e">
        <f>Asia!D614+"$F;@!3Je"</f>
        <v>#VALUE!</v>
      </c>
      <c r="GK383" t="e">
        <f>Asia!E614+"$F;@!3Jf"</f>
        <v>#VALUE!</v>
      </c>
      <c r="GL383" t="e">
        <f>Asia!F614+"$F;@!3Jg"</f>
        <v>#VALUE!</v>
      </c>
      <c r="GM383" t="e">
        <f>Asia!G614+"$F;@!3Jh"</f>
        <v>#VALUE!</v>
      </c>
      <c r="GN383" t="e">
        <f>Asia!H614+"$F;@!3Ji"</f>
        <v>#VALUE!</v>
      </c>
      <c r="GO383" t="e">
        <f>Asia!A615+"$F;@!3Jj"</f>
        <v>#VALUE!</v>
      </c>
      <c r="GP383" t="e">
        <f>Asia!B615+"$F;@!3Jk"</f>
        <v>#VALUE!</v>
      </c>
      <c r="GQ383" t="e">
        <f>Asia!C615+"$F;@!3Jl"</f>
        <v>#VALUE!</v>
      </c>
      <c r="GR383" t="e">
        <f>Asia!D615+"$F;@!3Jm"</f>
        <v>#VALUE!</v>
      </c>
      <c r="GS383" t="e">
        <f>Asia!E615+"$F;@!3Jn"</f>
        <v>#VALUE!</v>
      </c>
      <c r="GT383" t="e">
        <f>Asia!F615+"$F;@!3Jo"</f>
        <v>#VALUE!</v>
      </c>
      <c r="GU383" t="e">
        <f>Asia!G615+"$F;@!3Jp"</f>
        <v>#VALUE!</v>
      </c>
      <c r="GV383" t="e">
        <f>Asia!H615+"$F;@!3Jq"</f>
        <v>#VALUE!</v>
      </c>
      <c r="GW383" t="e">
        <f>Asia!A616+"$F;@!3Jr"</f>
        <v>#VALUE!</v>
      </c>
      <c r="GX383" t="e">
        <f>Asia!B616+"$F;@!3Js"</f>
        <v>#VALUE!</v>
      </c>
      <c r="GY383" t="e">
        <f>Asia!C616+"$F;@!3Jt"</f>
        <v>#VALUE!</v>
      </c>
      <c r="GZ383" t="e">
        <f>Asia!D616+"$F;@!3Ju"</f>
        <v>#VALUE!</v>
      </c>
      <c r="HA383" t="e">
        <f>Asia!E616+"$F;@!3Jv"</f>
        <v>#VALUE!</v>
      </c>
      <c r="HB383" t="e">
        <f>Asia!F616+"$F;@!3Jw"</f>
        <v>#VALUE!</v>
      </c>
      <c r="HC383" t="e">
        <f>Asia!G616+"$F;@!3Jx"</f>
        <v>#VALUE!</v>
      </c>
      <c r="HD383" t="e">
        <f>Asia!H616+"$F;@!3Jy"</f>
        <v>#VALUE!</v>
      </c>
      <c r="HE383" t="e">
        <f>Asia!A617+"$F;@!3Jz"</f>
        <v>#VALUE!</v>
      </c>
      <c r="HF383" t="e">
        <f>Asia!B617+"$F;@!3J{"</f>
        <v>#VALUE!</v>
      </c>
      <c r="HG383" t="e">
        <f>Asia!C617+"$F;@!3J|"</f>
        <v>#VALUE!</v>
      </c>
      <c r="HH383" t="e">
        <f>Asia!D617+"$F;@!3J}"</f>
        <v>#VALUE!</v>
      </c>
      <c r="HI383" t="e">
        <f>Asia!E617+"$F;@!3J~"</f>
        <v>#VALUE!</v>
      </c>
      <c r="HJ383" t="e">
        <f>Asia!F617+"$F;@!3K#"</f>
        <v>#VALUE!</v>
      </c>
      <c r="HK383" t="e">
        <f>Asia!G617+"$F;@!3K$"</f>
        <v>#VALUE!</v>
      </c>
      <c r="HL383" t="e">
        <f>Asia!H617+"$F;@!3K%"</f>
        <v>#VALUE!</v>
      </c>
      <c r="HM383" t="e">
        <f>Asia!A618+"$F;@!3K&amp;"</f>
        <v>#VALUE!</v>
      </c>
      <c r="HN383" t="e">
        <f>Asia!B618+"$F;@!3K'"</f>
        <v>#VALUE!</v>
      </c>
      <c r="HO383" t="e">
        <f>Asia!C618+"$F;@!3K("</f>
        <v>#VALUE!</v>
      </c>
      <c r="HP383" t="e">
        <f>Asia!D618+"$F;@!3K)"</f>
        <v>#VALUE!</v>
      </c>
      <c r="HQ383" t="e">
        <f>Asia!E618+"$F;@!3K."</f>
        <v>#VALUE!</v>
      </c>
      <c r="HR383" t="e">
        <f>Asia!F618+"$F;@!3K/"</f>
        <v>#VALUE!</v>
      </c>
      <c r="HS383" t="e">
        <f>Asia!G618+"$F;@!3K0"</f>
        <v>#VALUE!</v>
      </c>
      <c r="HT383" t="e">
        <f>Asia!H618+"$F;@!3K1"</f>
        <v>#VALUE!</v>
      </c>
      <c r="HU383" t="e">
        <f>Asia!A619+"$F;@!3K2"</f>
        <v>#VALUE!</v>
      </c>
      <c r="HV383" t="e">
        <f>Asia!B619+"$F;@!3K3"</f>
        <v>#VALUE!</v>
      </c>
      <c r="HW383" t="e">
        <f>Asia!C619+"$F;@!3K4"</f>
        <v>#VALUE!</v>
      </c>
      <c r="HX383" t="e">
        <f>Asia!D619+"$F;@!3K5"</f>
        <v>#VALUE!</v>
      </c>
      <c r="HY383" t="e">
        <f>Asia!E619+"$F;@!3K6"</f>
        <v>#VALUE!</v>
      </c>
      <c r="HZ383" t="e">
        <f>Asia!F619+"$F;@!3K7"</f>
        <v>#VALUE!</v>
      </c>
      <c r="IA383" t="e">
        <f>Asia!G619+"$F;@!3K8"</f>
        <v>#VALUE!</v>
      </c>
      <c r="IB383" t="e">
        <f>Asia!H619+"$F;@!3K9"</f>
        <v>#VALUE!</v>
      </c>
      <c r="IC383" t="e">
        <f>Asia!A620+"$F;@!3K:"</f>
        <v>#VALUE!</v>
      </c>
      <c r="ID383" t="e">
        <f>Asia!B620+"$F;@!3K;"</f>
        <v>#VALUE!</v>
      </c>
      <c r="IE383" t="e">
        <f>Asia!C620+"$F;@!3K&lt;"</f>
        <v>#VALUE!</v>
      </c>
      <c r="IF383" t="e">
        <f>Asia!D620+"$F;@!3K="</f>
        <v>#VALUE!</v>
      </c>
      <c r="IG383" t="e">
        <f>Asia!E620+"$F;@!3K&gt;"</f>
        <v>#VALUE!</v>
      </c>
      <c r="IH383" t="e">
        <f>Asia!F620+"$F;@!3K?"</f>
        <v>#VALUE!</v>
      </c>
      <c r="II383" t="e">
        <f>Asia!G620+"$F;@!3K@"</f>
        <v>#VALUE!</v>
      </c>
      <c r="IJ383" t="e">
        <f>Asia!H620+"$F;@!3KA"</f>
        <v>#VALUE!</v>
      </c>
      <c r="IK383" t="e">
        <f>Asia!A621+"$F;@!3KB"</f>
        <v>#VALUE!</v>
      </c>
      <c r="IL383" t="e">
        <f>Asia!B621+"$F;@!3KC"</f>
        <v>#VALUE!</v>
      </c>
      <c r="IM383" t="e">
        <f>Asia!C621+"$F;@!3KD"</f>
        <v>#VALUE!</v>
      </c>
      <c r="IN383" t="e">
        <f>Asia!D621+"$F;@!3KE"</f>
        <v>#VALUE!</v>
      </c>
      <c r="IO383" t="e">
        <f>Asia!E621+"$F;@!3KF"</f>
        <v>#VALUE!</v>
      </c>
      <c r="IP383" t="e">
        <f>Asia!F621+"$F;@!3KG"</f>
        <v>#VALUE!</v>
      </c>
      <c r="IQ383" t="e">
        <f>Asia!G621+"$F;@!3KH"</f>
        <v>#VALUE!</v>
      </c>
      <c r="IR383" t="e">
        <f>Asia!H621+"$F;@!3KI"</f>
        <v>#VALUE!</v>
      </c>
      <c r="IS383" t="e">
        <f>Asia!A622+"$F;@!3KJ"</f>
        <v>#VALUE!</v>
      </c>
      <c r="IT383" t="e">
        <f>Asia!B622+"$F;@!3KK"</f>
        <v>#VALUE!</v>
      </c>
      <c r="IU383" t="e">
        <f>Asia!C622+"$F;@!3KL"</f>
        <v>#VALUE!</v>
      </c>
      <c r="IV383" t="e">
        <f>Asia!D622+"$F;@!3KM"</f>
        <v>#VALUE!</v>
      </c>
    </row>
    <row r="384" spans="6:256" x14ac:dyDescent="0.35">
      <c r="F384" t="e">
        <f>Asia!E622+"$F;@!3KN"</f>
        <v>#VALUE!</v>
      </c>
      <c r="G384" t="e">
        <f>Asia!F622+"$F;@!3KO"</f>
        <v>#VALUE!</v>
      </c>
      <c r="H384" t="e">
        <f>Asia!G622+"$F;@!3KP"</f>
        <v>#VALUE!</v>
      </c>
      <c r="I384" t="e">
        <f>Asia!H622+"$F;@!3KQ"</f>
        <v>#VALUE!</v>
      </c>
      <c r="J384" t="e">
        <f>Asia!A623+"$F;@!3KR"</f>
        <v>#VALUE!</v>
      </c>
      <c r="K384" t="e">
        <f>Asia!B623+"$F;@!3KS"</f>
        <v>#VALUE!</v>
      </c>
      <c r="L384" t="e">
        <f>Asia!C623+"$F;@!3KT"</f>
        <v>#VALUE!</v>
      </c>
      <c r="M384" t="e">
        <f>Asia!D623+"$F;@!3KU"</f>
        <v>#VALUE!</v>
      </c>
      <c r="N384" t="e">
        <f>Asia!E623+"$F;@!3KV"</f>
        <v>#VALUE!</v>
      </c>
      <c r="O384" t="e">
        <f>Asia!F623+"$F;@!3KW"</f>
        <v>#VALUE!</v>
      </c>
      <c r="P384" t="e">
        <f>Asia!G623+"$F;@!3KX"</f>
        <v>#VALUE!</v>
      </c>
      <c r="Q384" t="e">
        <f>Asia!H623+"$F;@!3KY"</f>
        <v>#VALUE!</v>
      </c>
      <c r="R384" t="e">
        <f>Asia!A624+"$F;@!3KZ"</f>
        <v>#VALUE!</v>
      </c>
      <c r="S384" t="e">
        <f>Asia!B624+"$F;@!3K["</f>
        <v>#VALUE!</v>
      </c>
      <c r="T384" t="e">
        <f>Asia!C624+"$F;@!3K\"</f>
        <v>#VALUE!</v>
      </c>
      <c r="U384" t="e">
        <f>Asia!D624+"$F;@!3K]"</f>
        <v>#VALUE!</v>
      </c>
      <c r="V384" t="e">
        <f>Asia!E624+"$F;@!3K^"</f>
        <v>#VALUE!</v>
      </c>
      <c r="W384" t="e">
        <f>Asia!F624+"$F;@!3K_"</f>
        <v>#VALUE!</v>
      </c>
      <c r="X384" t="e">
        <f>Asia!G624+"$F;@!3K`"</f>
        <v>#VALUE!</v>
      </c>
      <c r="Y384" t="e">
        <f>Asia!H624+"$F;@!3Ka"</f>
        <v>#VALUE!</v>
      </c>
      <c r="Z384" t="e">
        <f>Asia!A625+"$F;@!3Kb"</f>
        <v>#VALUE!</v>
      </c>
      <c r="AA384" t="e">
        <f>Asia!B625+"$F;@!3Kc"</f>
        <v>#VALUE!</v>
      </c>
      <c r="AB384" t="e">
        <f>Asia!C625+"$F;@!3Kd"</f>
        <v>#VALUE!</v>
      </c>
      <c r="AC384" t="e">
        <f>Asia!D625+"$F;@!3Ke"</f>
        <v>#VALUE!</v>
      </c>
      <c r="AD384" t="e">
        <f>Asia!E625+"$F;@!3Kf"</f>
        <v>#VALUE!</v>
      </c>
      <c r="AE384" t="e">
        <f>Asia!F625+"$F;@!3Kg"</f>
        <v>#VALUE!</v>
      </c>
      <c r="AF384" t="e">
        <f>Asia!G625+"$F;@!3Kh"</f>
        <v>#VALUE!</v>
      </c>
      <c r="AG384" t="e">
        <f>Asia!H625+"$F;@!3Ki"</f>
        <v>#VALUE!</v>
      </c>
      <c r="AH384" t="e">
        <f>Asia!A626+"$F;@!3Kj"</f>
        <v>#VALUE!</v>
      </c>
      <c r="AI384" t="e">
        <f>Asia!B626+"$F;@!3Kk"</f>
        <v>#VALUE!</v>
      </c>
      <c r="AJ384" t="e">
        <f>Asia!C626+"$F;@!3Kl"</f>
        <v>#VALUE!</v>
      </c>
      <c r="AK384" t="e">
        <f>Asia!D626+"$F;@!3Km"</f>
        <v>#VALUE!</v>
      </c>
      <c r="AL384" t="e">
        <f>Asia!E626+"$F;@!3Kn"</f>
        <v>#VALUE!</v>
      </c>
      <c r="AM384" t="e">
        <f>Asia!F626+"$F;@!3Ko"</f>
        <v>#VALUE!</v>
      </c>
      <c r="AN384" t="e">
        <f>Asia!G626+"$F;@!3Kp"</f>
        <v>#VALUE!</v>
      </c>
      <c r="AO384" t="e">
        <f>Asia!H626+"$F;@!3Kq"</f>
        <v>#VALUE!</v>
      </c>
      <c r="AP384" t="e">
        <f>Asia!A627+"$F;@!3Kr"</f>
        <v>#VALUE!</v>
      </c>
      <c r="AQ384" t="e">
        <f>Asia!B627+"$F;@!3Ks"</f>
        <v>#VALUE!</v>
      </c>
      <c r="AR384" t="e">
        <f>Asia!C627+"$F;@!3Kt"</f>
        <v>#VALUE!</v>
      </c>
      <c r="AS384" t="e">
        <f>Asia!D627+"$F;@!3Ku"</f>
        <v>#VALUE!</v>
      </c>
      <c r="AT384" t="e">
        <f>Asia!E627+"$F;@!3Kv"</f>
        <v>#VALUE!</v>
      </c>
      <c r="AU384" t="e">
        <f>Asia!F627+"$F;@!3Kw"</f>
        <v>#VALUE!</v>
      </c>
      <c r="AV384" t="e">
        <f>Asia!G627+"$F;@!3Kx"</f>
        <v>#VALUE!</v>
      </c>
      <c r="AW384" t="e">
        <f>Asia!H627+"$F;@!3Ky"</f>
        <v>#VALUE!</v>
      </c>
      <c r="AX384" t="e">
        <f>Asia!A628+"$F;@!3Kz"</f>
        <v>#VALUE!</v>
      </c>
      <c r="AY384" t="e">
        <f>Asia!B628+"$F;@!3K{"</f>
        <v>#VALUE!</v>
      </c>
      <c r="AZ384" t="e">
        <f>Asia!C628+"$F;@!3K|"</f>
        <v>#VALUE!</v>
      </c>
      <c r="BA384" t="e">
        <f>Asia!D628+"$F;@!3K}"</f>
        <v>#VALUE!</v>
      </c>
      <c r="BB384" t="e">
        <f>Asia!E628+"$F;@!3K~"</f>
        <v>#VALUE!</v>
      </c>
      <c r="BC384" t="e">
        <f>Asia!F628+"$F;@!3L#"</f>
        <v>#VALUE!</v>
      </c>
      <c r="BD384" t="e">
        <f>Asia!G628+"$F;@!3L$"</f>
        <v>#VALUE!</v>
      </c>
      <c r="BE384" t="e">
        <f>Asia!H628+"$F;@!3L%"</f>
        <v>#VALUE!</v>
      </c>
      <c r="BF384" t="e">
        <f>Asia!A629+"$F;@!3L&amp;"</f>
        <v>#VALUE!</v>
      </c>
      <c r="BG384" t="e">
        <f>Asia!B629+"$F;@!3L'"</f>
        <v>#VALUE!</v>
      </c>
      <c r="BH384" t="e">
        <f>Asia!C629+"$F;@!3L("</f>
        <v>#VALUE!</v>
      </c>
      <c r="BI384" t="e">
        <f>Asia!D629+"$F;@!3L)"</f>
        <v>#VALUE!</v>
      </c>
      <c r="BJ384" t="e">
        <f>Asia!E629+"$F;@!3L."</f>
        <v>#VALUE!</v>
      </c>
      <c r="BK384" t="e">
        <f>Asia!F629+"$F;@!3L/"</f>
        <v>#VALUE!</v>
      </c>
      <c r="BL384" t="e">
        <f>Asia!G629+"$F;@!3L0"</f>
        <v>#VALUE!</v>
      </c>
      <c r="BM384" t="e">
        <f>Asia!H629+"$F;@!3L1"</f>
        <v>#VALUE!</v>
      </c>
      <c r="BN384" t="e">
        <f>Asia!A630+"$F;@!3L2"</f>
        <v>#VALUE!</v>
      </c>
      <c r="BO384" t="e">
        <f>Asia!B630+"$F;@!3L3"</f>
        <v>#VALUE!</v>
      </c>
      <c r="BP384" t="e">
        <f>Asia!C630+"$F;@!3L4"</f>
        <v>#VALUE!</v>
      </c>
      <c r="BQ384" t="e">
        <f>Asia!D630+"$F;@!3L5"</f>
        <v>#VALUE!</v>
      </c>
      <c r="BR384" t="e">
        <f>Asia!E630+"$F;@!3L6"</f>
        <v>#VALUE!</v>
      </c>
      <c r="BS384" t="e">
        <f>Asia!F630+"$F;@!3L7"</f>
        <v>#VALUE!</v>
      </c>
      <c r="BT384" t="e">
        <f>Asia!G630+"$F;@!3L8"</f>
        <v>#VALUE!</v>
      </c>
      <c r="BU384" t="e">
        <f>Asia!H630+"$F;@!3L9"</f>
        <v>#VALUE!</v>
      </c>
      <c r="BV384" t="e">
        <f>Asia!A631+"$F;@!3L:"</f>
        <v>#VALUE!</v>
      </c>
      <c r="BW384" t="e">
        <f>Asia!B631+"$F;@!3L;"</f>
        <v>#VALUE!</v>
      </c>
      <c r="BX384" t="e">
        <f>Asia!C631+"$F;@!3L&lt;"</f>
        <v>#VALUE!</v>
      </c>
      <c r="BY384" t="e">
        <f>Asia!D631+"$F;@!3L="</f>
        <v>#VALUE!</v>
      </c>
      <c r="BZ384" t="e">
        <f>Asia!E631+"$F;@!3L&gt;"</f>
        <v>#VALUE!</v>
      </c>
      <c r="CA384" t="e">
        <f>Asia!F631+"$F;@!3L?"</f>
        <v>#VALUE!</v>
      </c>
      <c r="CB384" t="e">
        <f>Asia!G631+"$F;@!3L@"</f>
        <v>#VALUE!</v>
      </c>
      <c r="CC384" t="e">
        <f>Asia!H631+"$F;@!3LA"</f>
        <v>#VALUE!</v>
      </c>
      <c r="CD384" t="e">
        <f>Asia!A632+"$F;@!3LB"</f>
        <v>#VALUE!</v>
      </c>
      <c r="CE384" t="e">
        <f>Asia!B632+"$F;@!3LC"</f>
        <v>#VALUE!</v>
      </c>
      <c r="CF384" t="e">
        <f>Asia!C632+"$F;@!3LD"</f>
        <v>#VALUE!</v>
      </c>
      <c r="CG384" t="e">
        <f>Asia!D632+"$F;@!3LE"</f>
        <v>#VALUE!</v>
      </c>
      <c r="CH384" t="e">
        <f>Asia!E632+"$F;@!3LF"</f>
        <v>#VALUE!</v>
      </c>
      <c r="CI384" t="e">
        <f>Asia!F632+"$F;@!3LG"</f>
        <v>#VALUE!</v>
      </c>
      <c r="CJ384" t="e">
        <f>Asia!G632+"$F;@!3LH"</f>
        <v>#VALUE!</v>
      </c>
      <c r="CK384" t="e">
        <f>Asia!H632+"$F;@!3LI"</f>
        <v>#VALUE!</v>
      </c>
      <c r="CL384" t="e">
        <f>Asia!A633+"$F;@!3LJ"</f>
        <v>#VALUE!</v>
      </c>
      <c r="CM384" t="e">
        <f>Asia!B633+"$F;@!3LK"</f>
        <v>#VALUE!</v>
      </c>
      <c r="CN384" t="e">
        <f>Asia!C633+"$F;@!3LL"</f>
        <v>#VALUE!</v>
      </c>
      <c r="CO384" t="e">
        <f>Asia!D633+"$F;@!3LM"</f>
        <v>#VALUE!</v>
      </c>
      <c r="CP384" t="e">
        <f>Asia!E633+"$F;@!3LN"</f>
        <v>#VALUE!</v>
      </c>
      <c r="CQ384" t="e">
        <f>Asia!F633+"$F;@!3LO"</f>
        <v>#VALUE!</v>
      </c>
      <c r="CR384" t="e">
        <f>Asia!G633+"$F;@!3LP"</f>
        <v>#VALUE!</v>
      </c>
      <c r="CS384" t="e">
        <f>Asia!H633+"$F;@!3LQ"</f>
        <v>#VALUE!</v>
      </c>
      <c r="CT384" t="e">
        <f>Asia!A634+"$F;@!3LR"</f>
        <v>#VALUE!</v>
      </c>
      <c r="CU384" t="e">
        <f>Asia!B634+"$F;@!3LS"</f>
        <v>#VALUE!</v>
      </c>
      <c r="CV384" t="e">
        <f>Asia!C634+"$F;@!3LT"</f>
        <v>#VALUE!</v>
      </c>
      <c r="CW384" t="e">
        <f>Asia!D634+"$F;@!3LU"</f>
        <v>#VALUE!</v>
      </c>
      <c r="CX384" t="e">
        <f>Asia!E634+"$F;@!3LV"</f>
        <v>#VALUE!</v>
      </c>
      <c r="CY384" t="e">
        <f>Asia!F634+"$F;@!3LW"</f>
        <v>#VALUE!</v>
      </c>
      <c r="CZ384" t="e">
        <f>Asia!G634+"$F;@!3LX"</f>
        <v>#VALUE!</v>
      </c>
      <c r="DA384" t="e">
        <f>Asia!H634+"$F;@!3LY"</f>
        <v>#VALUE!</v>
      </c>
      <c r="DB384" t="e">
        <f>Asia!A635+"$F;@!3LZ"</f>
        <v>#VALUE!</v>
      </c>
      <c r="DC384" t="e">
        <f>Asia!B635+"$F;@!3L["</f>
        <v>#VALUE!</v>
      </c>
      <c r="DD384" t="e">
        <f>Asia!C635+"$F;@!3L\"</f>
        <v>#VALUE!</v>
      </c>
      <c r="DE384" t="e">
        <f>Asia!D635+"$F;@!3L]"</f>
        <v>#VALUE!</v>
      </c>
      <c r="DF384" t="e">
        <f>Asia!E635+"$F;@!3L^"</f>
        <v>#VALUE!</v>
      </c>
      <c r="DG384" t="e">
        <f>Asia!F635+"$F;@!3L_"</f>
        <v>#VALUE!</v>
      </c>
      <c r="DH384" t="e">
        <f>Asia!G635+"$F;@!3L`"</f>
        <v>#VALUE!</v>
      </c>
      <c r="DI384" t="e">
        <f>Asia!H635+"$F;@!3La"</f>
        <v>#VALUE!</v>
      </c>
      <c r="DJ384" t="e">
        <f>Asia!A636+"$F;@!3Lb"</f>
        <v>#VALUE!</v>
      </c>
      <c r="DK384" t="e">
        <f>Asia!B636+"$F;@!3Lc"</f>
        <v>#VALUE!</v>
      </c>
      <c r="DL384" t="e">
        <f>Asia!C636+"$F;@!3Ld"</f>
        <v>#VALUE!</v>
      </c>
      <c r="DM384" t="e">
        <f>Asia!D636+"$F;@!3Le"</f>
        <v>#VALUE!</v>
      </c>
      <c r="DN384" t="e">
        <f>Asia!E636+"$F;@!3Lf"</f>
        <v>#VALUE!</v>
      </c>
      <c r="DO384" t="e">
        <f>Asia!F636+"$F;@!3Lg"</f>
        <v>#VALUE!</v>
      </c>
      <c r="DP384" t="e">
        <f>Asia!G636+"$F;@!3Lh"</f>
        <v>#VALUE!</v>
      </c>
      <c r="DQ384" t="e">
        <f>Asia!H636+"$F;@!3Li"</f>
        <v>#VALUE!</v>
      </c>
      <c r="DR384" t="e">
        <f>Asia!A637+"$F;@!3Lj"</f>
        <v>#VALUE!</v>
      </c>
      <c r="DS384" t="e">
        <f>Asia!B637+"$F;@!3Lk"</f>
        <v>#VALUE!</v>
      </c>
      <c r="DT384" t="e">
        <f>Asia!C637+"$F;@!3Ll"</f>
        <v>#VALUE!</v>
      </c>
      <c r="DU384" t="e">
        <f>Asia!D637+"$F;@!3Lm"</f>
        <v>#VALUE!</v>
      </c>
      <c r="DV384" t="e">
        <f>Asia!E637+"$F;@!3Ln"</f>
        <v>#VALUE!</v>
      </c>
      <c r="DW384" t="e">
        <f>Asia!F637+"$F;@!3Lo"</f>
        <v>#VALUE!</v>
      </c>
      <c r="DX384" t="e">
        <f>Asia!G637+"$F;@!3Lp"</f>
        <v>#VALUE!</v>
      </c>
      <c r="DY384" t="e">
        <f>Asia!H637+"$F;@!3Lq"</f>
        <v>#VALUE!</v>
      </c>
      <c r="DZ384" t="e">
        <f>Asia!A638+"$F;@!3Lr"</f>
        <v>#VALUE!</v>
      </c>
      <c r="EA384" t="e">
        <f>Asia!B638+"$F;@!3Ls"</f>
        <v>#VALUE!</v>
      </c>
      <c r="EB384" t="e">
        <f>Asia!C638+"$F;@!3Lt"</f>
        <v>#VALUE!</v>
      </c>
      <c r="EC384" t="e">
        <f>Asia!D638+"$F;@!3Lu"</f>
        <v>#VALUE!</v>
      </c>
      <c r="ED384" t="e">
        <f>Asia!E638+"$F;@!3Lv"</f>
        <v>#VALUE!</v>
      </c>
      <c r="EE384" t="e">
        <f>Asia!F638+"$F;@!3Lw"</f>
        <v>#VALUE!</v>
      </c>
      <c r="EF384" t="e">
        <f>Asia!G638+"$F;@!3Lx"</f>
        <v>#VALUE!</v>
      </c>
      <c r="EG384" t="e">
        <f>Asia!H638+"$F;@!3Ly"</f>
        <v>#VALUE!</v>
      </c>
      <c r="EH384" t="e">
        <f>Asia!A639+"$F;@!3Lz"</f>
        <v>#VALUE!</v>
      </c>
      <c r="EI384" t="e">
        <f>Asia!B639+"$F;@!3L{"</f>
        <v>#VALUE!</v>
      </c>
      <c r="EJ384" t="e">
        <f>Asia!C639+"$F;@!3L|"</f>
        <v>#VALUE!</v>
      </c>
      <c r="EK384" t="e">
        <f>Asia!D639+"$F;@!3L}"</f>
        <v>#VALUE!</v>
      </c>
      <c r="EL384" t="e">
        <f>Asia!E639+"$F;@!3L~"</f>
        <v>#VALUE!</v>
      </c>
      <c r="EM384" t="e">
        <f>Asia!F639+"$F;@!3M#"</f>
        <v>#VALUE!</v>
      </c>
      <c r="EN384" t="e">
        <f>Asia!G639+"$F;@!3M$"</f>
        <v>#VALUE!</v>
      </c>
      <c r="EO384" t="e">
        <f>Asia!H639+"$F;@!3M%"</f>
        <v>#VALUE!</v>
      </c>
      <c r="EP384" t="e">
        <f>Asia!A640+"$F;@!3M&amp;"</f>
        <v>#VALUE!</v>
      </c>
      <c r="EQ384" t="e">
        <f>Asia!B640+"$F;@!3M'"</f>
        <v>#VALUE!</v>
      </c>
      <c r="ER384" t="e">
        <f>Asia!C640+"$F;@!3M("</f>
        <v>#VALUE!</v>
      </c>
      <c r="ES384" t="e">
        <f>Asia!D640+"$F;@!3M)"</f>
        <v>#VALUE!</v>
      </c>
      <c r="ET384" t="e">
        <f>Asia!E640+"$F;@!3M."</f>
        <v>#VALUE!</v>
      </c>
      <c r="EU384" t="e">
        <f>Asia!F640+"$F;@!3M/"</f>
        <v>#VALUE!</v>
      </c>
      <c r="EV384" t="e">
        <f>Asia!G640+"$F;@!3M0"</f>
        <v>#VALUE!</v>
      </c>
      <c r="EW384" t="e">
        <f>Asia!H640+"$F;@!3M1"</f>
        <v>#VALUE!</v>
      </c>
      <c r="EX384" t="e">
        <f>Asia!A641+"$F;@!3M2"</f>
        <v>#VALUE!</v>
      </c>
      <c r="EY384" t="e">
        <f>Asia!B641+"$F;@!3M3"</f>
        <v>#VALUE!</v>
      </c>
      <c r="EZ384" t="e">
        <f>Asia!C641+"$F;@!3M4"</f>
        <v>#VALUE!</v>
      </c>
      <c r="FA384" t="e">
        <f>Asia!D641+"$F;@!3M5"</f>
        <v>#VALUE!</v>
      </c>
      <c r="FB384" t="e">
        <f>Asia!E641+"$F;@!3M6"</f>
        <v>#VALUE!</v>
      </c>
      <c r="FC384" t="e">
        <f>Asia!F641+"$F;@!3M7"</f>
        <v>#VALUE!</v>
      </c>
      <c r="FD384" t="e">
        <f>Asia!G641+"$F;@!3M8"</f>
        <v>#VALUE!</v>
      </c>
      <c r="FE384" t="e">
        <f>Asia!H641+"$F;@!3M9"</f>
        <v>#VALUE!</v>
      </c>
      <c r="FF384" t="e">
        <f>Asia!A642+"$F;@!3M:"</f>
        <v>#VALUE!</v>
      </c>
      <c r="FG384" t="e">
        <f>Asia!B642+"$F;@!3M;"</f>
        <v>#VALUE!</v>
      </c>
      <c r="FH384" t="e">
        <f>Asia!C642+"$F;@!3M&lt;"</f>
        <v>#VALUE!</v>
      </c>
      <c r="FI384" t="e">
        <f>Asia!D642+"$F;@!3M="</f>
        <v>#VALUE!</v>
      </c>
      <c r="FJ384" t="e">
        <f>Asia!E642+"$F;@!3M&gt;"</f>
        <v>#VALUE!</v>
      </c>
      <c r="FK384" t="e">
        <f>Asia!F642+"$F;@!3M?"</f>
        <v>#VALUE!</v>
      </c>
      <c r="FL384" t="e">
        <f>Asia!G642+"$F;@!3M@"</f>
        <v>#VALUE!</v>
      </c>
      <c r="FM384" t="e">
        <f>Asia!H642+"$F;@!3MA"</f>
        <v>#VALUE!</v>
      </c>
      <c r="FN384" t="e">
        <f>Asia!A643+"$F;@!3MB"</f>
        <v>#VALUE!</v>
      </c>
      <c r="FO384" t="e">
        <f>Asia!B643+"$F;@!3MC"</f>
        <v>#VALUE!</v>
      </c>
      <c r="FP384" t="e">
        <f>Asia!C643+"$F;@!3MD"</f>
        <v>#VALUE!</v>
      </c>
      <c r="FQ384" t="e">
        <f>Asia!D643+"$F;@!3ME"</f>
        <v>#VALUE!</v>
      </c>
      <c r="FR384" t="e">
        <f>Asia!E643+"$F;@!3MF"</f>
        <v>#VALUE!</v>
      </c>
      <c r="FS384" t="e">
        <f>Asia!F643+"$F;@!3MG"</f>
        <v>#VALUE!</v>
      </c>
      <c r="FT384" t="e">
        <f>Asia!G643+"$F;@!3MH"</f>
        <v>#VALUE!</v>
      </c>
      <c r="FU384" t="e">
        <f>Asia!H643+"$F;@!3MI"</f>
        <v>#VALUE!</v>
      </c>
      <c r="FV384" t="e">
        <f>Asia!A644+"$F;@!3MJ"</f>
        <v>#VALUE!</v>
      </c>
      <c r="FW384" t="e">
        <f>Asia!B644+"$F;@!3MK"</f>
        <v>#VALUE!</v>
      </c>
      <c r="FX384" t="e">
        <f>Asia!C644+"$F;@!3ML"</f>
        <v>#VALUE!</v>
      </c>
      <c r="FY384" t="e">
        <f>Asia!D644+"$F;@!3MM"</f>
        <v>#VALUE!</v>
      </c>
      <c r="FZ384" t="e">
        <f>Asia!E644+"$F;@!3MN"</f>
        <v>#VALUE!</v>
      </c>
      <c r="GA384" t="e">
        <f>Asia!F644+"$F;@!3MO"</f>
        <v>#VALUE!</v>
      </c>
      <c r="GB384" t="e">
        <f>Asia!G644+"$F;@!3MP"</f>
        <v>#VALUE!</v>
      </c>
      <c r="GC384" t="e">
        <f>Asia!H644+"$F;@!3MQ"</f>
        <v>#VALUE!</v>
      </c>
      <c r="GD384" t="e">
        <f>Asia!A645+"$F;@!3MR"</f>
        <v>#VALUE!</v>
      </c>
      <c r="GE384" t="e">
        <f>Asia!B645+"$F;@!3MS"</f>
        <v>#VALUE!</v>
      </c>
      <c r="GF384" t="e">
        <f>Asia!C645+"$F;@!3MT"</f>
        <v>#VALUE!</v>
      </c>
      <c r="GG384" t="e">
        <f>Asia!D645+"$F;@!3MU"</f>
        <v>#VALUE!</v>
      </c>
      <c r="GH384" t="e">
        <f>Asia!E645+"$F;@!3MV"</f>
        <v>#VALUE!</v>
      </c>
      <c r="GI384" t="e">
        <f>Asia!F645+"$F;@!3MW"</f>
        <v>#VALUE!</v>
      </c>
      <c r="GJ384" t="e">
        <f>Asia!G645+"$F;@!3MX"</f>
        <v>#VALUE!</v>
      </c>
      <c r="GK384" t="e">
        <f>Asia!H645+"$F;@!3MY"</f>
        <v>#VALUE!</v>
      </c>
      <c r="GL384" t="e">
        <f>Asia!A646+"$F;@!3MZ"</f>
        <v>#VALUE!</v>
      </c>
      <c r="GM384" t="e">
        <f>Asia!B646+"$F;@!3M["</f>
        <v>#VALUE!</v>
      </c>
      <c r="GN384" t="e">
        <f>Asia!C646+"$F;@!3M\"</f>
        <v>#VALUE!</v>
      </c>
      <c r="GO384" t="e">
        <f>Asia!D646+"$F;@!3M]"</f>
        <v>#VALUE!</v>
      </c>
      <c r="GP384" t="e">
        <f>Asia!E646+"$F;@!3M^"</f>
        <v>#VALUE!</v>
      </c>
      <c r="GQ384" t="e">
        <f>Asia!F646+"$F;@!3M_"</f>
        <v>#VALUE!</v>
      </c>
      <c r="GR384" t="e">
        <f>Asia!G646+"$F;@!3M`"</f>
        <v>#VALUE!</v>
      </c>
      <c r="GS384" t="e">
        <f>Asia!H646+"$F;@!3Ma"</f>
        <v>#VALUE!</v>
      </c>
      <c r="GT384" t="e">
        <f>Asia!A647+"$F;@!3Mb"</f>
        <v>#VALUE!</v>
      </c>
      <c r="GU384" t="e">
        <f>Asia!B647+"$F;@!3Mc"</f>
        <v>#VALUE!</v>
      </c>
      <c r="GV384" t="e">
        <f>Asia!C647+"$F;@!3Md"</f>
        <v>#VALUE!</v>
      </c>
      <c r="GW384" t="e">
        <f>Asia!D647+"$F;@!3Me"</f>
        <v>#VALUE!</v>
      </c>
      <c r="GX384" t="e">
        <f>Asia!E647+"$F;@!3Mf"</f>
        <v>#VALUE!</v>
      </c>
      <c r="GY384" t="e">
        <f>Asia!F647+"$F;@!3Mg"</f>
        <v>#VALUE!</v>
      </c>
      <c r="GZ384" t="e">
        <f>Asia!G647+"$F;@!3Mh"</f>
        <v>#VALUE!</v>
      </c>
      <c r="HA384" t="e">
        <f>Asia!H647+"$F;@!3Mi"</f>
        <v>#VALUE!</v>
      </c>
      <c r="HB384" t="e">
        <f>Asia!A648+"$F;@!3Mj"</f>
        <v>#VALUE!</v>
      </c>
      <c r="HC384" t="e">
        <f>Asia!B648+"$F;@!3Mk"</f>
        <v>#VALUE!</v>
      </c>
      <c r="HD384" t="e">
        <f>Asia!C648+"$F;@!3Ml"</f>
        <v>#VALUE!</v>
      </c>
      <c r="HE384" t="e">
        <f>Asia!D648+"$F;@!3Mm"</f>
        <v>#VALUE!</v>
      </c>
      <c r="HF384" t="e">
        <f>Asia!E648+"$F;@!3Mn"</f>
        <v>#VALUE!</v>
      </c>
      <c r="HG384" t="e">
        <f>Asia!F648+"$F;@!3Mo"</f>
        <v>#VALUE!</v>
      </c>
      <c r="HH384" t="e">
        <f>Asia!G648+"$F;@!3Mp"</f>
        <v>#VALUE!</v>
      </c>
      <c r="HI384" t="e">
        <f>Asia!H648+"$F;@!3Mq"</f>
        <v>#VALUE!</v>
      </c>
      <c r="HJ384" t="e">
        <f>Asia!A649+"$F;@!3Mr"</f>
        <v>#VALUE!</v>
      </c>
      <c r="HK384" t="e">
        <f>Asia!B649+"$F;@!3Ms"</f>
        <v>#VALUE!</v>
      </c>
      <c r="HL384" t="e">
        <f>Asia!C649+"$F;@!3Mt"</f>
        <v>#VALUE!</v>
      </c>
      <c r="HM384" t="e">
        <f>Asia!D649+"$F;@!3Mu"</f>
        <v>#VALUE!</v>
      </c>
      <c r="HN384" t="e">
        <f>Asia!E649+"$F;@!3Mv"</f>
        <v>#VALUE!</v>
      </c>
      <c r="HO384" t="e">
        <f>Asia!F649+"$F;@!3Mw"</f>
        <v>#VALUE!</v>
      </c>
      <c r="HP384" t="e">
        <f>Asia!G649+"$F;@!3Mx"</f>
        <v>#VALUE!</v>
      </c>
      <c r="HQ384" t="e">
        <f>Asia!H649+"$F;@!3My"</f>
        <v>#VALUE!</v>
      </c>
      <c r="HR384" t="e">
        <f>Asia!A650+"$F;@!3Mz"</f>
        <v>#VALUE!</v>
      </c>
      <c r="HS384" t="e">
        <f>Asia!B650+"$F;@!3M{"</f>
        <v>#VALUE!</v>
      </c>
      <c r="HT384" t="e">
        <f>Asia!C650+"$F;@!3M|"</f>
        <v>#VALUE!</v>
      </c>
      <c r="HU384" t="e">
        <f>Asia!D650+"$F;@!3M}"</f>
        <v>#VALUE!</v>
      </c>
      <c r="HV384" t="e">
        <f>Asia!E650+"$F;@!3M~"</f>
        <v>#VALUE!</v>
      </c>
      <c r="HW384" t="e">
        <f>Asia!F650+"$F;@!3N#"</f>
        <v>#VALUE!</v>
      </c>
      <c r="HX384" t="e">
        <f>Asia!G650+"$F;@!3N$"</f>
        <v>#VALUE!</v>
      </c>
      <c r="HY384" t="e">
        <f>Asia!H650+"$F;@!3N%"</f>
        <v>#VALUE!</v>
      </c>
      <c r="HZ384" t="e">
        <f>Asia!A651+"$F;@!3N&amp;"</f>
        <v>#VALUE!</v>
      </c>
      <c r="IA384" t="e">
        <f>Asia!B651+"$F;@!3N'"</f>
        <v>#VALUE!</v>
      </c>
      <c r="IB384" t="e">
        <f>Asia!C651+"$F;@!3N("</f>
        <v>#VALUE!</v>
      </c>
      <c r="IC384" t="e">
        <f>Asia!D651+"$F;@!3N)"</f>
        <v>#VALUE!</v>
      </c>
      <c r="ID384" t="e">
        <f>Asia!E651+"$F;@!3N."</f>
        <v>#VALUE!</v>
      </c>
      <c r="IE384" t="e">
        <f>Asia!F651+"$F;@!3N/"</f>
        <v>#VALUE!</v>
      </c>
      <c r="IF384" t="e">
        <f>Asia!G651+"$F;@!3N0"</f>
        <v>#VALUE!</v>
      </c>
      <c r="IG384" t="e">
        <f>Asia!H651+"$F;@!3N1"</f>
        <v>#VALUE!</v>
      </c>
      <c r="IH384" t="e">
        <f>Asia!A652+"$F;@!3N2"</f>
        <v>#VALUE!</v>
      </c>
      <c r="II384" t="e">
        <f>Asia!B652+"$F;@!3N3"</f>
        <v>#VALUE!</v>
      </c>
      <c r="IJ384" t="e">
        <f>Asia!C652+"$F;@!3N4"</f>
        <v>#VALUE!</v>
      </c>
      <c r="IK384" t="e">
        <f>Asia!D652+"$F;@!3N5"</f>
        <v>#VALUE!</v>
      </c>
      <c r="IL384" t="e">
        <f>Asia!E652+"$F;@!3N6"</f>
        <v>#VALUE!</v>
      </c>
      <c r="IM384" t="e">
        <f>Asia!F652+"$F;@!3N7"</f>
        <v>#VALUE!</v>
      </c>
      <c r="IN384" t="e">
        <f>Asia!G652+"$F;@!3N8"</f>
        <v>#VALUE!</v>
      </c>
      <c r="IO384" t="e">
        <f>Asia!H652+"$F;@!3N9"</f>
        <v>#VALUE!</v>
      </c>
      <c r="IP384" t="e">
        <f>Asia!A653+"$F;@!3N:"</f>
        <v>#VALUE!</v>
      </c>
      <c r="IQ384" t="e">
        <f>Asia!B653+"$F;@!3N;"</f>
        <v>#VALUE!</v>
      </c>
      <c r="IR384" t="e">
        <f>Asia!C653+"$F;@!3N&lt;"</f>
        <v>#VALUE!</v>
      </c>
      <c r="IS384" t="e">
        <f>Asia!D653+"$F;@!3N="</f>
        <v>#VALUE!</v>
      </c>
      <c r="IT384" t="e">
        <f>Asia!E653+"$F;@!3N&gt;"</f>
        <v>#VALUE!</v>
      </c>
      <c r="IU384" t="e">
        <f>Asia!F653+"$F;@!3N?"</f>
        <v>#VALUE!</v>
      </c>
      <c r="IV384" t="e">
        <f>Asia!G653+"$F;@!3N@"</f>
        <v>#VALUE!</v>
      </c>
    </row>
    <row r="385" spans="6:256" x14ac:dyDescent="0.35">
      <c r="F385" t="e">
        <f>Asia!H653+"$F;@!3NA"</f>
        <v>#VALUE!</v>
      </c>
      <c r="G385" t="e">
        <f>Asia!A654+"$F;@!3NB"</f>
        <v>#VALUE!</v>
      </c>
      <c r="H385" t="e">
        <f>Asia!B654+"$F;@!3NC"</f>
        <v>#VALUE!</v>
      </c>
      <c r="I385" t="e">
        <f>Asia!C654+"$F;@!3ND"</f>
        <v>#VALUE!</v>
      </c>
      <c r="J385" t="e">
        <f>Asia!D654+"$F;@!3NE"</f>
        <v>#VALUE!</v>
      </c>
      <c r="K385" t="e">
        <f>Asia!E654+"$F;@!3NF"</f>
        <v>#VALUE!</v>
      </c>
      <c r="L385" t="e">
        <f>Asia!F654+"$F;@!3NG"</f>
        <v>#VALUE!</v>
      </c>
      <c r="M385" t="e">
        <f>Asia!G654+"$F;@!3NH"</f>
        <v>#VALUE!</v>
      </c>
      <c r="N385" t="e">
        <f>Asia!H654+"$F;@!3NI"</f>
        <v>#VALUE!</v>
      </c>
      <c r="O385" t="e">
        <f>Asia!A655+"$F;@!3NJ"</f>
        <v>#VALUE!</v>
      </c>
      <c r="P385" t="e">
        <f>Asia!B655+"$F;@!3NK"</f>
        <v>#VALUE!</v>
      </c>
      <c r="Q385" t="e">
        <f>Asia!C655+"$F;@!3NL"</f>
        <v>#VALUE!</v>
      </c>
      <c r="R385" t="e">
        <f>Asia!D655+"$F;@!3NM"</f>
        <v>#VALUE!</v>
      </c>
      <c r="S385" t="e">
        <f>Asia!E655+"$F;@!3NN"</f>
        <v>#VALUE!</v>
      </c>
      <c r="T385" t="e">
        <f>Asia!F655+"$F;@!3NO"</f>
        <v>#VALUE!</v>
      </c>
      <c r="U385" t="e">
        <f>Asia!G655+"$F;@!3NP"</f>
        <v>#VALUE!</v>
      </c>
      <c r="V385" t="e">
        <f>Asia!H655+"$F;@!3NQ"</f>
        <v>#VALUE!</v>
      </c>
      <c r="W385" t="e">
        <f>Asia!A656+"$F;@!3NR"</f>
        <v>#VALUE!</v>
      </c>
      <c r="X385" t="e">
        <f>Asia!B656+"$F;@!3NS"</f>
        <v>#VALUE!</v>
      </c>
      <c r="Y385" t="e">
        <f>Asia!C656+"$F;@!3NT"</f>
        <v>#VALUE!</v>
      </c>
      <c r="Z385" t="e">
        <f>Asia!D656+"$F;@!3NU"</f>
        <v>#VALUE!</v>
      </c>
      <c r="AA385" t="e">
        <f>Asia!E656+"$F;@!3NV"</f>
        <v>#VALUE!</v>
      </c>
      <c r="AB385" t="e">
        <f>Asia!F656+"$F;@!3NW"</f>
        <v>#VALUE!</v>
      </c>
      <c r="AC385" t="e">
        <f>Asia!G656+"$F;@!3NX"</f>
        <v>#VALUE!</v>
      </c>
      <c r="AD385" t="e">
        <f>Asia!H656+"$F;@!3NY"</f>
        <v>#VALUE!</v>
      </c>
      <c r="AE385" t="e">
        <f>Asia!A657+"$F;@!3NZ"</f>
        <v>#VALUE!</v>
      </c>
      <c r="AF385" t="e">
        <f>Asia!B657+"$F;@!3N["</f>
        <v>#VALUE!</v>
      </c>
      <c r="AG385" t="e">
        <f>Asia!C657+"$F;@!3N\"</f>
        <v>#VALUE!</v>
      </c>
      <c r="AH385" t="e">
        <f>Asia!D657+"$F;@!3N]"</f>
        <v>#VALUE!</v>
      </c>
      <c r="AI385" t="e">
        <f>Asia!E657+"$F;@!3N^"</f>
        <v>#VALUE!</v>
      </c>
      <c r="AJ385" t="e">
        <f>Asia!F657+"$F;@!3N_"</f>
        <v>#VALUE!</v>
      </c>
      <c r="AK385" t="e">
        <f>Asia!G657+"$F;@!3N`"</f>
        <v>#VALUE!</v>
      </c>
      <c r="AL385" t="e">
        <f>Asia!H657+"$F;@!3Na"</f>
        <v>#VALUE!</v>
      </c>
      <c r="AM385" t="e">
        <f>Asia!A658+"$F;@!3Nb"</f>
        <v>#VALUE!</v>
      </c>
      <c r="AN385" t="e">
        <f>Asia!B658+"$F;@!3Nc"</f>
        <v>#VALUE!</v>
      </c>
      <c r="AO385" t="e">
        <f>Asia!C658+"$F;@!3Nd"</f>
        <v>#VALUE!</v>
      </c>
      <c r="AP385" t="e">
        <f>Asia!D658+"$F;@!3Ne"</f>
        <v>#VALUE!</v>
      </c>
      <c r="AQ385" t="e">
        <f>Asia!E658+"$F;@!3Nf"</f>
        <v>#VALUE!</v>
      </c>
      <c r="AR385" t="e">
        <f>Asia!F658+"$F;@!3Ng"</f>
        <v>#VALUE!</v>
      </c>
      <c r="AS385" t="e">
        <f>Asia!G658+"$F;@!3Nh"</f>
        <v>#VALUE!</v>
      </c>
      <c r="AT385" t="e">
        <f>Asia!H658+"$F;@!3Ni"</f>
        <v>#VALUE!</v>
      </c>
      <c r="AU385" t="e">
        <f>Asia!A659+"$F;@!3Nj"</f>
        <v>#VALUE!</v>
      </c>
      <c r="AV385" t="e">
        <f>Asia!B659+"$F;@!3Nk"</f>
        <v>#VALUE!</v>
      </c>
      <c r="AW385" t="e">
        <f>Asia!C659+"$F;@!3Nl"</f>
        <v>#VALUE!</v>
      </c>
      <c r="AX385" t="e">
        <f>Asia!D659+"$F;@!3Nm"</f>
        <v>#VALUE!</v>
      </c>
      <c r="AY385" t="e">
        <f>Asia!E659+"$F;@!3Nn"</f>
        <v>#VALUE!</v>
      </c>
      <c r="AZ385" t="e">
        <f>Asia!F659+"$F;@!3No"</f>
        <v>#VALUE!</v>
      </c>
      <c r="BA385" t="e">
        <f>Asia!G659+"$F;@!3Np"</f>
        <v>#VALUE!</v>
      </c>
      <c r="BB385" t="e">
        <f>Asia!H659+"$F;@!3Nq"</f>
        <v>#VALUE!</v>
      </c>
      <c r="BC385" t="e">
        <f>Asia!A660+"$F;@!3Nr"</f>
        <v>#VALUE!</v>
      </c>
      <c r="BD385" t="e">
        <f>Asia!B660+"$F;@!3Ns"</f>
        <v>#VALUE!</v>
      </c>
      <c r="BE385" t="e">
        <f>Asia!C660+"$F;@!3Nt"</f>
        <v>#VALUE!</v>
      </c>
      <c r="BF385" t="e">
        <f>Asia!D660+"$F;@!3Nu"</f>
        <v>#VALUE!</v>
      </c>
      <c r="BG385" t="e">
        <f>Asia!E660+"$F;@!3Nv"</f>
        <v>#VALUE!</v>
      </c>
      <c r="BH385" t="e">
        <f>Asia!F660+"$F;@!3Nw"</f>
        <v>#VALUE!</v>
      </c>
      <c r="BI385" t="e">
        <f>Asia!G660+"$F;@!3Nx"</f>
        <v>#VALUE!</v>
      </c>
      <c r="BJ385" t="e">
        <f>Asia!H660+"$F;@!3Ny"</f>
        <v>#VALUE!</v>
      </c>
      <c r="BK385" t="e">
        <f>Asia!A661+"$F;@!3Nz"</f>
        <v>#VALUE!</v>
      </c>
      <c r="BL385" t="e">
        <f>Asia!B661+"$F;@!3N{"</f>
        <v>#VALUE!</v>
      </c>
      <c r="BM385" t="e">
        <f>Asia!C661+"$F;@!3N|"</f>
        <v>#VALUE!</v>
      </c>
      <c r="BN385" t="e">
        <f>Asia!D661+"$F;@!3N}"</f>
        <v>#VALUE!</v>
      </c>
      <c r="BO385" t="e">
        <f>Asia!E661+"$F;@!3N~"</f>
        <v>#VALUE!</v>
      </c>
      <c r="BP385" t="e">
        <f>Asia!F661+"$F;@!3O#"</f>
        <v>#VALUE!</v>
      </c>
      <c r="BQ385" t="e">
        <f>Asia!G661+"$F;@!3O$"</f>
        <v>#VALUE!</v>
      </c>
      <c r="BR385" t="e">
        <f>Asia!H661+"$F;@!3O%"</f>
        <v>#VALUE!</v>
      </c>
      <c r="BS385" t="e">
        <f>Asia!A662+"$F;@!3O&amp;"</f>
        <v>#VALUE!</v>
      </c>
      <c r="BT385" t="e">
        <f>Asia!B662+"$F;@!3O'"</f>
        <v>#VALUE!</v>
      </c>
      <c r="BU385" t="e">
        <f>Asia!C662+"$F;@!3O("</f>
        <v>#VALUE!</v>
      </c>
      <c r="BV385" t="e">
        <f>Asia!D662+"$F;@!3O)"</f>
        <v>#VALUE!</v>
      </c>
      <c r="BW385" t="e">
        <f>Asia!E662+"$F;@!3O."</f>
        <v>#VALUE!</v>
      </c>
      <c r="BX385" t="e">
        <f>Asia!F662+"$F;@!3O/"</f>
        <v>#VALUE!</v>
      </c>
      <c r="BY385" t="e">
        <f>Asia!G662+"$F;@!3O0"</f>
        <v>#VALUE!</v>
      </c>
      <c r="BZ385" t="e">
        <f>Asia!H662+"$F;@!3O1"</f>
        <v>#VALUE!</v>
      </c>
      <c r="CA385" t="e">
        <f>Asia!A663+"$F;@!3O2"</f>
        <v>#VALUE!</v>
      </c>
      <c r="CB385" t="e">
        <f>Asia!B663+"$F;@!3O3"</f>
        <v>#VALUE!</v>
      </c>
      <c r="CC385" t="e">
        <f>Asia!C663+"$F;@!3O4"</f>
        <v>#VALUE!</v>
      </c>
      <c r="CD385" t="e">
        <f>Asia!D663+"$F;@!3O5"</f>
        <v>#VALUE!</v>
      </c>
      <c r="CE385" t="e">
        <f>Asia!E663+"$F;@!3O6"</f>
        <v>#VALUE!</v>
      </c>
      <c r="CF385" t="e">
        <f>Asia!F663+"$F;@!3O7"</f>
        <v>#VALUE!</v>
      </c>
      <c r="CG385" t="e">
        <f>Asia!G663+"$F;@!3O8"</f>
        <v>#VALUE!</v>
      </c>
      <c r="CH385" t="e">
        <f>Asia!H663+"$F;@!3O9"</f>
        <v>#VALUE!</v>
      </c>
      <c r="CI385" t="e">
        <f>Asia!A664+"$F;@!3O:"</f>
        <v>#VALUE!</v>
      </c>
      <c r="CJ385" t="e">
        <f>Asia!B664+"$F;@!3O;"</f>
        <v>#VALUE!</v>
      </c>
      <c r="CK385" t="e">
        <f>Asia!C664+"$F;@!3O&lt;"</f>
        <v>#VALUE!</v>
      </c>
      <c r="CL385" t="e">
        <f>Asia!D664+"$F;@!3O="</f>
        <v>#VALUE!</v>
      </c>
      <c r="CM385" t="e">
        <f>Asia!E664+"$F;@!3O&gt;"</f>
        <v>#VALUE!</v>
      </c>
      <c r="CN385" t="e">
        <f>Asia!F664+"$F;@!3O?"</f>
        <v>#VALUE!</v>
      </c>
      <c r="CO385" t="e">
        <f>Asia!G664+"$F;@!3O@"</f>
        <v>#VALUE!</v>
      </c>
      <c r="CP385" t="e">
        <f>Asia!H664+"$F;@!3OA"</f>
        <v>#VALUE!</v>
      </c>
      <c r="CQ385" t="e">
        <f>Asia!A665+"$F;@!3OB"</f>
        <v>#VALUE!</v>
      </c>
      <c r="CR385" t="e">
        <f>Asia!B665+"$F;@!3OC"</f>
        <v>#VALUE!</v>
      </c>
      <c r="CS385" t="e">
        <f>Asia!C665+"$F;@!3OD"</f>
        <v>#VALUE!</v>
      </c>
      <c r="CT385" t="e">
        <f>Asia!D665+"$F;@!3OE"</f>
        <v>#VALUE!</v>
      </c>
      <c r="CU385" t="e">
        <f>Asia!E665+"$F;@!3OF"</f>
        <v>#VALUE!</v>
      </c>
      <c r="CV385" t="e">
        <f>Asia!F665+"$F;@!3OG"</f>
        <v>#VALUE!</v>
      </c>
      <c r="CW385" t="e">
        <f>Asia!G665+"$F;@!3OH"</f>
        <v>#VALUE!</v>
      </c>
      <c r="CX385" t="e">
        <f>Asia!H665+"$F;@!3OI"</f>
        <v>#VALUE!</v>
      </c>
      <c r="CY385" t="e">
        <f>Asia!A666+"$F;@!3OJ"</f>
        <v>#VALUE!</v>
      </c>
      <c r="CZ385" t="e">
        <f>Asia!B666+"$F;@!3OK"</f>
        <v>#VALUE!</v>
      </c>
      <c r="DA385" t="e">
        <f>Asia!C666+"$F;@!3OL"</f>
        <v>#VALUE!</v>
      </c>
      <c r="DB385" t="e">
        <f>Asia!D666+"$F;@!3OM"</f>
        <v>#VALUE!</v>
      </c>
      <c r="DC385" t="e">
        <f>Asia!E666+"$F;@!3ON"</f>
        <v>#VALUE!</v>
      </c>
      <c r="DD385" t="e">
        <f>Asia!F666+"$F;@!3OO"</f>
        <v>#VALUE!</v>
      </c>
      <c r="DE385" t="e">
        <f>Asia!G666+"$F;@!3OP"</f>
        <v>#VALUE!</v>
      </c>
      <c r="DF385" t="e">
        <f>Asia!H666+"$F;@!3OQ"</f>
        <v>#VALUE!</v>
      </c>
      <c r="DG385" t="e">
        <f>Asia!A667+"$F;@!3OR"</f>
        <v>#VALUE!</v>
      </c>
      <c r="DH385" t="e">
        <f>Asia!B667+"$F;@!3OS"</f>
        <v>#VALUE!</v>
      </c>
      <c r="DI385" t="e">
        <f>Asia!C667+"$F;@!3OT"</f>
        <v>#VALUE!</v>
      </c>
      <c r="DJ385" t="e">
        <f>Asia!D667+"$F;@!3OU"</f>
        <v>#VALUE!</v>
      </c>
      <c r="DK385" t="e">
        <f>Asia!E667+"$F;@!3OV"</f>
        <v>#VALUE!</v>
      </c>
      <c r="DL385" t="e">
        <f>Asia!F667+"$F;@!3OW"</f>
        <v>#VALUE!</v>
      </c>
      <c r="DM385" t="e">
        <f>Asia!G667+"$F;@!3OX"</f>
        <v>#VALUE!</v>
      </c>
      <c r="DN385" t="e">
        <f>Asia!H667+"$F;@!3OY"</f>
        <v>#VALUE!</v>
      </c>
      <c r="DO385" t="e">
        <f>Asia!A668+"$F;@!3OZ"</f>
        <v>#VALUE!</v>
      </c>
      <c r="DP385" t="e">
        <f>Asia!B668+"$F;@!3O["</f>
        <v>#VALUE!</v>
      </c>
      <c r="DQ385" t="e">
        <f>Asia!C668+"$F;@!3O\"</f>
        <v>#VALUE!</v>
      </c>
      <c r="DR385" t="e">
        <f>Asia!D668+"$F;@!3O]"</f>
        <v>#VALUE!</v>
      </c>
      <c r="DS385" t="e">
        <f>Asia!E668+"$F;@!3O^"</f>
        <v>#VALUE!</v>
      </c>
      <c r="DT385" t="e">
        <f>Asia!F668+"$F;@!3O_"</f>
        <v>#VALUE!</v>
      </c>
      <c r="DU385" t="e">
        <f>Asia!G668+"$F;@!3O`"</f>
        <v>#VALUE!</v>
      </c>
      <c r="DV385" t="e">
        <f>Asia!H668+"$F;@!3Oa"</f>
        <v>#VALUE!</v>
      </c>
      <c r="DW385" t="e">
        <f>Asia!A669+"$F;@!3Ob"</f>
        <v>#VALUE!</v>
      </c>
      <c r="DX385" t="e">
        <f>Asia!B669+"$F;@!3Oc"</f>
        <v>#VALUE!</v>
      </c>
      <c r="DY385" t="e">
        <f>Asia!C669+"$F;@!3Od"</f>
        <v>#VALUE!</v>
      </c>
      <c r="DZ385" t="e">
        <f>Asia!D669+"$F;@!3Oe"</f>
        <v>#VALUE!</v>
      </c>
      <c r="EA385" t="e">
        <f>Asia!E669+"$F;@!3Of"</f>
        <v>#VALUE!</v>
      </c>
      <c r="EB385" t="e">
        <f>Asia!F669+"$F;@!3Og"</f>
        <v>#VALUE!</v>
      </c>
      <c r="EC385" t="e">
        <f>Asia!G669+"$F;@!3Oh"</f>
        <v>#VALUE!</v>
      </c>
      <c r="ED385" t="e">
        <f>Asia!H669+"$F;@!3Oi"</f>
        <v>#VALUE!</v>
      </c>
      <c r="EE385" t="e">
        <f>Asia!A670+"$F;@!3Oj"</f>
        <v>#VALUE!</v>
      </c>
      <c r="EF385" t="e">
        <f>Asia!B670+"$F;@!3Ok"</f>
        <v>#VALUE!</v>
      </c>
      <c r="EG385" t="e">
        <f>Asia!C670+"$F;@!3Ol"</f>
        <v>#VALUE!</v>
      </c>
      <c r="EH385" t="e">
        <f>Asia!D670+"$F;@!3Om"</f>
        <v>#VALUE!</v>
      </c>
      <c r="EI385" t="e">
        <f>Asia!E670+"$F;@!3On"</f>
        <v>#VALUE!</v>
      </c>
      <c r="EJ385" t="e">
        <f>Asia!F670+"$F;@!3Oo"</f>
        <v>#VALUE!</v>
      </c>
      <c r="EK385" t="e">
        <f>Asia!G670+"$F;@!3Op"</f>
        <v>#VALUE!</v>
      </c>
      <c r="EL385" t="e">
        <f>Asia!H670+"$F;@!3Oq"</f>
        <v>#VALUE!</v>
      </c>
      <c r="EM385" t="e">
        <f>Asia!A671+"$F;@!3Or"</f>
        <v>#VALUE!</v>
      </c>
      <c r="EN385" t="e">
        <f>Asia!B671+"$F;@!3Os"</f>
        <v>#VALUE!</v>
      </c>
      <c r="EO385" t="e">
        <f>Asia!C671+"$F;@!3Ot"</f>
        <v>#VALUE!</v>
      </c>
      <c r="EP385" t="e">
        <f>Asia!D671+"$F;@!3Ou"</f>
        <v>#VALUE!</v>
      </c>
      <c r="EQ385" t="e">
        <f>Asia!E671+"$F;@!3Ov"</f>
        <v>#VALUE!</v>
      </c>
      <c r="ER385" t="e">
        <f>Asia!F671+"$F;@!3Ow"</f>
        <v>#VALUE!</v>
      </c>
      <c r="ES385" t="e">
        <f>Asia!G671+"$F;@!3Ox"</f>
        <v>#VALUE!</v>
      </c>
      <c r="ET385" t="e">
        <f>Asia!H671+"$F;@!3Oy"</f>
        <v>#VALUE!</v>
      </c>
      <c r="EU385" t="e">
        <f>Asia!A672+"$F;@!3Oz"</f>
        <v>#VALUE!</v>
      </c>
      <c r="EV385" t="e">
        <f>Asia!B672+"$F;@!3O{"</f>
        <v>#VALUE!</v>
      </c>
      <c r="EW385" t="e">
        <f>Asia!C672+"$F;@!3O|"</f>
        <v>#VALUE!</v>
      </c>
      <c r="EX385" t="e">
        <f>Asia!D672+"$F;@!3O}"</f>
        <v>#VALUE!</v>
      </c>
      <c r="EY385" t="e">
        <f>Asia!E672+"$F;@!3O~"</f>
        <v>#VALUE!</v>
      </c>
      <c r="EZ385" t="e">
        <f>Asia!F672+"$F;@!3P#"</f>
        <v>#VALUE!</v>
      </c>
      <c r="FA385" t="e">
        <f>Asia!G672+"$F;@!3P$"</f>
        <v>#VALUE!</v>
      </c>
      <c r="FB385" t="e">
        <f>Asia!H672+"$F;@!3P%"</f>
        <v>#VALUE!</v>
      </c>
      <c r="FC385" t="e">
        <f>Asia!A673+"$F;@!3P&amp;"</f>
        <v>#VALUE!</v>
      </c>
      <c r="FD385" t="e">
        <f>Asia!B673+"$F;@!3P'"</f>
        <v>#VALUE!</v>
      </c>
      <c r="FE385" t="e">
        <f>Asia!C673+"$F;@!3P("</f>
        <v>#VALUE!</v>
      </c>
      <c r="FF385" t="e">
        <f>Asia!D673+"$F;@!3P)"</f>
        <v>#VALUE!</v>
      </c>
      <c r="FG385" t="e">
        <f>Asia!E673+"$F;@!3P."</f>
        <v>#VALUE!</v>
      </c>
      <c r="FH385" t="e">
        <f>Asia!F673+"$F;@!3P/"</f>
        <v>#VALUE!</v>
      </c>
      <c r="FI385" t="e">
        <f>Asia!G673+"$F;@!3P0"</f>
        <v>#VALUE!</v>
      </c>
      <c r="FJ385" t="e">
        <f>Asia!H673+"$F;@!3P1"</f>
        <v>#VALUE!</v>
      </c>
      <c r="FK385" t="e">
        <f>Asia!A674+"$F;@!3P2"</f>
        <v>#VALUE!</v>
      </c>
      <c r="FL385" t="e">
        <f>Asia!B674+"$F;@!3P3"</f>
        <v>#VALUE!</v>
      </c>
      <c r="FM385" t="e">
        <f>Asia!C674+"$F;@!3P4"</f>
        <v>#VALUE!</v>
      </c>
      <c r="FN385" t="e">
        <f>Asia!D674+"$F;@!3P5"</f>
        <v>#VALUE!</v>
      </c>
      <c r="FO385" t="e">
        <f>Asia!E674+"$F;@!3P6"</f>
        <v>#VALUE!</v>
      </c>
      <c r="FP385" t="e">
        <f>Asia!F674+"$F;@!3P7"</f>
        <v>#VALUE!</v>
      </c>
      <c r="FQ385" t="e">
        <f>Asia!G674+"$F;@!3P8"</f>
        <v>#VALUE!</v>
      </c>
      <c r="FR385" t="e">
        <f>Asia!H674+"$F;@!3P9"</f>
        <v>#VALUE!</v>
      </c>
      <c r="FS385" t="e">
        <f>Asia!A675+"$F;@!3P:"</f>
        <v>#VALUE!</v>
      </c>
      <c r="FT385" t="e">
        <f>Asia!B675+"$F;@!3P;"</f>
        <v>#VALUE!</v>
      </c>
      <c r="FU385" t="e">
        <f>Asia!C675+"$F;@!3P&lt;"</f>
        <v>#VALUE!</v>
      </c>
      <c r="FV385" t="e">
        <f>Asia!D675+"$F;@!3P="</f>
        <v>#VALUE!</v>
      </c>
      <c r="FW385" t="e">
        <f>Asia!E675+"$F;@!3P&gt;"</f>
        <v>#VALUE!</v>
      </c>
      <c r="FX385" t="e">
        <f>Asia!F675+"$F;@!3P?"</f>
        <v>#VALUE!</v>
      </c>
      <c r="FY385" t="e">
        <f>Asia!G675+"$F;@!3P@"</f>
        <v>#VALUE!</v>
      </c>
      <c r="FZ385" t="e">
        <f>Asia!H675+"$F;@!3PA"</f>
        <v>#VALUE!</v>
      </c>
      <c r="GA385" t="e">
        <f>Asia!A676+"$F;@!3PB"</f>
        <v>#VALUE!</v>
      </c>
      <c r="GB385" t="e">
        <f>Asia!B676+"$F;@!3PC"</f>
        <v>#VALUE!</v>
      </c>
      <c r="GC385" t="e">
        <f>Asia!C676+"$F;@!3PD"</f>
        <v>#VALUE!</v>
      </c>
      <c r="GD385" t="e">
        <f>Asia!D676+"$F;@!3PE"</f>
        <v>#VALUE!</v>
      </c>
      <c r="GE385" t="e">
        <f>Asia!E676+"$F;@!3PF"</f>
        <v>#VALUE!</v>
      </c>
      <c r="GF385" t="e">
        <f>Asia!F676+"$F;@!3PG"</f>
        <v>#VALUE!</v>
      </c>
      <c r="GG385" t="e">
        <f>Asia!G676+"$F;@!3PH"</f>
        <v>#VALUE!</v>
      </c>
      <c r="GH385" t="e">
        <f>Asia!H676+"$F;@!3PI"</f>
        <v>#VALUE!</v>
      </c>
      <c r="GI385" t="e">
        <f>Asia!A677+"$F;@!3PJ"</f>
        <v>#VALUE!</v>
      </c>
      <c r="GJ385" t="e">
        <f>Asia!B677+"$F;@!3PK"</f>
        <v>#VALUE!</v>
      </c>
      <c r="GK385" t="e">
        <f>Asia!C677+"$F;@!3PL"</f>
        <v>#VALUE!</v>
      </c>
      <c r="GL385" t="e">
        <f>Asia!D677+"$F;@!3PM"</f>
        <v>#VALUE!</v>
      </c>
      <c r="GM385" t="e">
        <f>Asia!E677+"$F;@!3PN"</f>
        <v>#VALUE!</v>
      </c>
      <c r="GN385" t="e">
        <f>Asia!F677+"$F;@!3PO"</f>
        <v>#VALUE!</v>
      </c>
      <c r="GO385" t="e">
        <f>Asia!G677+"$F;@!3PP"</f>
        <v>#VALUE!</v>
      </c>
      <c r="GP385" t="e">
        <f>Asia!H677+"$F;@!3PQ"</f>
        <v>#VALUE!</v>
      </c>
      <c r="GQ385" t="e">
        <f>Asia!A678+"$F;@!3PR"</f>
        <v>#VALUE!</v>
      </c>
      <c r="GR385" t="e">
        <f>Asia!B678+"$F;@!3PS"</f>
        <v>#VALUE!</v>
      </c>
      <c r="GS385" t="e">
        <f>Asia!C678+"$F;@!3PT"</f>
        <v>#VALUE!</v>
      </c>
      <c r="GT385" t="e">
        <f>Asia!D678+"$F;@!3PU"</f>
        <v>#VALUE!</v>
      </c>
      <c r="GU385" t="e">
        <f>Asia!E678+"$F;@!3PV"</f>
        <v>#VALUE!</v>
      </c>
      <c r="GV385" t="e">
        <f>Asia!F678+"$F;@!3PW"</f>
        <v>#VALUE!</v>
      </c>
      <c r="GW385" t="e">
        <f>Asia!G678+"$F;@!3PX"</f>
        <v>#VALUE!</v>
      </c>
      <c r="GX385" t="e">
        <f>Asia!H678+"$F;@!3PY"</f>
        <v>#VALUE!</v>
      </c>
      <c r="GY385" t="e">
        <f>Asia!A679+"$F;@!3PZ"</f>
        <v>#VALUE!</v>
      </c>
      <c r="GZ385" t="e">
        <f>Asia!B679+"$F;@!3P["</f>
        <v>#VALUE!</v>
      </c>
      <c r="HA385" t="e">
        <f>Asia!C679+"$F;@!3P\"</f>
        <v>#VALUE!</v>
      </c>
      <c r="HB385" t="e">
        <f>Asia!D679+"$F;@!3P]"</f>
        <v>#VALUE!</v>
      </c>
      <c r="HC385" t="e">
        <f>Asia!E679+"$F;@!3P^"</f>
        <v>#VALUE!</v>
      </c>
      <c r="HD385" t="e">
        <f>Asia!F679+"$F;@!3P_"</f>
        <v>#VALUE!</v>
      </c>
      <c r="HE385" t="e">
        <f>Asia!G679+"$F;@!3P`"</f>
        <v>#VALUE!</v>
      </c>
      <c r="HF385" t="e">
        <f>Asia!H679+"$F;@!3Pa"</f>
        <v>#VALUE!</v>
      </c>
      <c r="HG385" t="e">
        <f>Asia!A680+"$F;@!3Pb"</f>
        <v>#VALUE!</v>
      </c>
      <c r="HH385" t="e">
        <f>Asia!B680+"$F;@!3Pc"</f>
        <v>#VALUE!</v>
      </c>
      <c r="HI385" t="e">
        <f>Asia!C680+"$F;@!3Pd"</f>
        <v>#VALUE!</v>
      </c>
      <c r="HJ385" t="e">
        <f>Asia!D680+"$F;@!3Pe"</f>
        <v>#VALUE!</v>
      </c>
      <c r="HK385" t="e">
        <f>Asia!E680+"$F;@!3Pf"</f>
        <v>#VALUE!</v>
      </c>
      <c r="HL385" t="e">
        <f>Asia!F680+"$F;@!3Pg"</f>
        <v>#VALUE!</v>
      </c>
      <c r="HM385" t="e">
        <f>Asia!G680+"$F;@!3Ph"</f>
        <v>#VALUE!</v>
      </c>
      <c r="HN385" t="e">
        <f>Asia!H680+"$F;@!3Pi"</f>
        <v>#VALUE!</v>
      </c>
      <c r="HO385" t="e">
        <f>Asia!A681+"$F;@!3Pj"</f>
        <v>#VALUE!</v>
      </c>
      <c r="HP385" t="e">
        <f>Asia!B681+"$F;@!3Pk"</f>
        <v>#VALUE!</v>
      </c>
      <c r="HQ385" t="e">
        <f>Asia!C681+"$F;@!3Pl"</f>
        <v>#VALUE!</v>
      </c>
      <c r="HR385" t="e">
        <f>Asia!D681+"$F;@!3Pm"</f>
        <v>#VALUE!</v>
      </c>
      <c r="HS385" t="e">
        <f>Asia!E681+"$F;@!3Pn"</f>
        <v>#VALUE!</v>
      </c>
      <c r="HT385" t="e">
        <f>Asia!F681+"$F;@!3Po"</f>
        <v>#VALUE!</v>
      </c>
      <c r="HU385" t="e">
        <f>Asia!G681+"$F;@!3Pp"</f>
        <v>#VALUE!</v>
      </c>
      <c r="HV385" t="e">
        <f>Asia!H681+"$F;@!3Pq"</f>
        <v>#VALUE!</v>
      </c>
      <c r="HW385" t="e">
        <f>Asia!A682+"$F;@!3Pr"</f>
        <v>#VALUE!</v>
      </c>
      <c r="HX385" t="e">
        <f>Asia!B682+"$F;@!3Ps"</f>
        <v>#VALUE!</v>
      </c>
      <c r="HY385" t="e">
        <f>Asia!C682+"$F;@!3Pt"</f>
        <v>#VALUE!</v>
      </c>
      <c r="HZ385" t="e">
        <f>Asia!D682+"$F;@!3Pu"</f>
        <v>#VALUE!</v>
      </c>
      <c r="IA385" t="e">
        <f>Asia!E682+"$F;@!3Pv"</f>
        <v>#VALUE!</v>
      </c>
      <c r="IB385" t="e">
        <f>Asia!F682+"$F;@!3Pw"</f>
        <v>#VALUE!</v>
      </c>
      <c r="IC385" t="e">
        <f>Asia!G682+"$F;@!3Px"</f>
        <v>#VALUE!</v>
      </c>
      <c r="ID385" t="e">
        <f>Asia!H682+"$F;@!3Py"</f>
        <v>#VALUE!</v>
      </c>
      <c r="IE385" t="e">
        <f>Asia!A683+"$F;@!3Pz"</f>
        <v>#VALUE!</v>
      </c>
      <c r="IF385" t="e">
        <f>Asia!B683+"$F;@!3P{"</f>
        <v>#VALUE!</v>
      </c>
      <c r="IG385" t="e">
        <f>Asia!C683+"$F;@!3P|"</f>
        <v>#VALUE!</v>
      </c>
      <c r="IH385" t="e">
        <f>Asia!D683+"$F;@!3P}"</f>
        <v>#VALUE!</v>
      </c>
      <c r="II385" t="e">
        <f>Asia!E683+"$F;@!3P~"</f>
        <v>#VALUE!</v>
      </c>
      <c r="IJ385" t="e">
        <f>Asia!F683+"$F;@!3Q#"</f>
        <v>#VALUE!</v>
      </c>
      <c r="IK385" t="e">
        <f>Asia!G683+"$F;@!3Q$"</f>
        <v>#VALUE!</v>
      </c>
      <c r="IL385" t="e">
        <f>Asia!H683+"$F;@!3Q%"</f>
        <v>#VALUE!</v>
      </c>
      <c r="IM385" t="e">
        <f>Asia!A684+"$F;@!3Q&amp;"</f>
        <v>#VALUE!</v>
      </c>
      <c r="IN385" t="e">
        <f>Asia!B684+"$F;@!3Q'"</f>
        <v>#VALUE!</v>
      </c>
      <c r="IO385" t="e">
        <f>Asia!C684+"$F;@!3Q("</f>
        <v>#VALUE!</v>
      </c>
      <c r="IP385" t="e">
        <f>Asia!D684+"$F;@!3Q)"</f>
        <v>#VALUE!</v>
      </c>
      <c r="IQ385" t="e">
        <f>Asia!E684+"$F;@!3Q."</f>
        <v>#VALUE!</v>
      </c>
      <c r="IR385" t="e">
        <f>Asia!F684+"$F;@!3Q/"</f>
        <v>#VALUE!</v>
      </c>
      <c r="IS385" t="e">
        <f>Asia!G684+"$F;@!3Q0"</f>
        <v>#VALUE!</v>
      </c>
      <c r="IT385" t="e">
        <f>Asia!H684+"$F;@!3Q1"</f>
        <v>#VALUE!</v>
      </c>
      <c r="IU385" t="e">
        <f>Asia!A685+"$F;@!3Q2"</f>
        <v>#VALUE!</v>
      </c>
      <c r="IV385" t="e">
        <f>Asia!B685+"$F;@!3Q3"</f>
        <v>#VALUE!</v>
      </c>
    </row>
    <row r="386" spans="6:256" x14ac:dyDescent="0.35">
      <c r="F386" t="e">
        <f>Asia!C685+"$F;@!3Q4"</f>
        <v>#VALUE!</v>
      </c>
      <c r="G386" t="e">
        <f>Asia!D685+"$F;@!3Q5"</f>
        <v>#VALUE!</v>
      </c>
      <c r="H386" t="e">
        <f>Asia!E685+"$F;@!3Q6"</f>
        <v>#VALUE!</v>
      </c>
      <c r="I386" t="e">
        <f>Asia!F685+"$F;@!3Q7"</f>
        <v>#VALUE!</v>
      </c>
      <c r="J386" t="e">
        <f>Asia!G685+"$F;@!3Q8"</f>
        <v>#VALUE!</v>
      </c>
      <c r="K386" t="e">
        <f>Asia!H685+"$F;@!3Q9"</f>
        <v>#VALUE!</v>
      </c>
      <c r="L386" t="e">
        <f>Asia!A686+"$F;@!3Q:"</f>
        <v>#VALUE!</v>
      </c>
      <c r="M386" t="e">
        <f>Asia!B686+"$F;@!3Q;"</f>
        <v>#VALUE!</v>
      </c>
      <c r="N386" t="e">
        <f>Asia!C686+"$F;@!3Q&lt;"</f>
        <v>#VALUE!</v>
      </c>
      <c r="O386" t="e">
        <f>Asia!D686+"$F;@!3Q="</f>
        <v>#VALUE!</v>
      </c>
      <c r="P386" t="e">
        <f>Asia!E686+"$F;@!3Q&gt;"</f>
        <v>#VALUE!</v>
      </c>
      <c r="Q386" t="e">
        <f>Asia!F686+"$F;@!3Q?"</f>
        <v>#VALUE!</v>
      </c>
      <c r="R386" t="e">
        <f>Asia!G686+"$F;@!3Q@"</f>
        <v>#VALUE!</v>
      </c>
      <c r="S386" t="e">
        <f>Asia!H686+"$F;@!3QA"</f>
        <v>#VALUE!</v>
      </c>
      <c r="T386" t="e">
        <f>Asia!A687+"$F;@!3QB"</f>
        <v>#VALUE!</v>
      </c>
      <c r="U386" t="e">
        <f>Asia!B687+"$F;@!3QC"</f>
        <v>#VALUE!</v>
      </c>
      <c r="V386" t="e">
        <f>Asia!C687+"$F;@!3QD"</f>
        <v>#VALUE!</v>
      </c>
      <c r="W386" t="e">
        <f>Asia!D687+"$F;@!3QE"</f>
        <v>#VALUE!</v>
      </c>
      <c r="X386" t="e">
        <f>Asia!E687+"$F;@!3QF"</f>
        <v>#VALUE!</v>
      </c>
      <c r="Y386" t="e">
        <f>Asia!F687+"$F;@!3QG"</f>
        <v>#VALUE!</v>
      </c>
      <c r="Z386" t="e">
        <f>Asia!G687+"$F;@!3QH"</f>
        <v>#VALUE!</v>
      </c>
      <c r="AA386" t="e">
        <f>Asia!H687+"$F;@!3QI"</f>
        <v>#VALUE!</v>
      </c>
      <c r="AB386" t="e">
        <f>Asia!A688+"$F;@!3QJ"</f>
        <v>#VALUE!</v>
      </c>
      <c r="AC386" t="e">
        <f>Asia!B688+"$F;@!3QK"</f>
        <v>#VALUE!</v>
      </c>
      <c r="AD386" t="e">
        <f>Asia!C688+"$F;@!3QL"</f>
        <v>#VALUE!</v>
      </c>
      <c r="AE386" t="e">
        <f>Asia!D688+"$F;@!3QM"</f>
        <v>#VALUE!</v>
      </c>
      <c r="AF386" t="e">
        <f>Asia!E688+"$F;@!3QN"</f>
        <v>#VALUE!</v>
      </c>
      <c r="AG386" t="e">
        <f>Asia!F688+"$F;@!3QO"</f>
        <v>#VALUE!</v>
      </c>
      <c r="AH386" t="e">
        <f>Asia!G688+"$F;@!3QP"</f>
        <v>#VALUE!</v>
      </c>
      <c r="AI386" t="e">
        <f>Asia!H688+"$F;@!3QQ"</f>
        <v>#VALUE!</v>
      </c>
      <c r="AJ386" t="e">
        <f>Asia!A689+"$F;@!3QR"</f>
        <v>#VALUE!</v>
      </c>
      <c r="AK386" t="e">
        <f>Asia!B689+"$F;@!3QS"</f>
        <v>#VALUE!</v>
      </c>
      <c r="AL386" t="e">
        <f>Asia!C689+"$F;@!3QT"</f>
        <v>#VALUE!</v>
      </c>
      <c r="AM386" t="e">
        <f>Asia!D689+"$F;@!3QU"</f>
        <v>#VALUE!</v>
      </c>
      <c r="AN386" t="e">
        <f>Asia!E689+"$F;@!3QV"</f>
        <v>#VALUE!</v>
      </c>
      <c r="AO386" t="e">
        <f>Asia!F689+"$F;@!3QW"</f>
        <v>#VALUE!</v>
      </c>
      <c r="AP386" t="e">
        <f>Asia!G689+"$F;@!3QX"</f>
        <v>#VALUE!</v>
      </c>
      <c r="AQ386" t="e">
        <f>Asia!H689+"$F;@!3QY"</f>
        <v>#VALUE!</v>
      </c>
      <c r="AR386" t="e">
        <f>Asia!A690+"$F;@!3QZ"</f>
        <v>#VALUE!</v>
      </c>
      <c r="AS386" t="e">
        <f>Asia!B690+"$F;@!3Q["</f>
        <v>#VALUE!</v>
      </c>
      <c r="AT386" t="e">
        <f>Asia!C690+"$F;@!3Q\"</f>
        <v>#VALUE!</v>
      </c>
      <c r="AU386" t="e">
        <f>Asia!D690+"$F;@!3Q]"</f>
        <v>#VALUE!</v>
      </c>
      <c r="AV386" t="e">
        <f>Asia!E690+"$F;@!3Q^"</f>
        <v>#VALUE!</v>
      </c>
      <c r="AW386" t="e">
        <f>Asia!F690+"$F;@!3Q_"</f>
        <v>#VALUE!</v>
      </c>
      <c r="AX386" t="e">
        <f>Asia!G690+"$F;@!3Q`"</f>
        <v>#VALUE!</v>
      </c>
      <c r="AY386" t="e">
        <f>Asia!H690+"$F;@!3Qa"</f>
        <v>#VALUE!</v>
      </c>
      <c r="AZ386" t="e">
        <f>Asia!A691+"$F;@!3Qb"</f>
        <v>#VALUE!</v>
      </c>
      <c r="BA386" t="e">
        <f>Asia!B691+"$F;@!3Qc"</f>
        <v>#VALUE!</v>
      </c>
      <c r="BB386" t="e">
        <f>Asia!C691+"$F;@!3Qd"</f>
        <v>#VALUE!</v>
      </c>
      <c r="BC386" t="e">
        <f>Asia!D691+"$F;@!3Qe"</f>
        <v>#VALUE!</v>
      </c>
      <c r="BD386" t="e">
        <f>Asia!E691+"$F;@!3Qf"</f>
        <v>#VALUE!</v>
      </c>
      <c r="BE386" t="e">
        <f>Asia!F691+"$F;@!3Qg"</f>
        <v>#VALUE!</v>
      </c>
      <c r="BF386" t="e">
        <f>Asia!G691+"$F;@!3Qh"</f>
        <v>#VALUE!</v>
      </c>
      <c r="BG386" t="e">
        <f>Asia!H691+"$F;@!3Qi"</f>
        <v>#VALUE!</v>
      </c>
      <c r="BH386" t="e">
        <f>Asia!A692+"$F;@!3Qj"</f>
        <v>#VALUE!</v>
      </c>
      <c r="BI386" t="e">
        <f>Asia!B692+"$F;@!3Qk"</f>
        <v>#VALUE!</v>
      </c>
      <c r="BJ386" t="e">
        <f>Asia!C692+"$F;@!3Ql"</f>
        <v>#VALUE!</v>
      </c>
      <c r="BK386" t="e">
        <f>Asia!D692+"$F;@!3Qm"</f>
        <v>#VALUE!</v>
      </c>
      <c r="BL386" t="e">
        <f>Asia!E692+"$F;@!3Qn"</f>
        <v>#VALUE!</v>
      </c>
      <c r="BM386" t="e">
        <f>Asia!F692+"$F;@!3Qo"</f>
        <v>#VALUE!</v>
      </c>
      <c r="BN386" t="e">
        <f>Asia!G692+"$F;@!3Qp"</f>
        <v>#VALUE!</v>
      </c>
      <c r="BO386" t="e">
        <f>Asia!H692+"$F;@!3Qq"</f>
        <v>#VALUE!</v>
      </c>
      <c r="BP386" t="e">
        <f>Asia!A693+"$F;@!3Qr"</f>
        <v>#VALUE!</v>
      </c>
      <c r="BQ386" t="e">
        <f>Asia!B693+"$F;@!3Qs"</f>
        <v>#VALUE!</v>
      </c>
      <c r="BR386" t="e">
        <f>Asia!C693+"$F;@!3Qt"</f>
        <v>#VALUE!</v>
      </c>
      <c r="BS386" t="e">
        <f>Asia!D693+"$F;@!3Qu"</f>
        <v>#VALUE!</v>
      </c>
      <c r="BT386" t="e">
        <f>Asia!E693+"$F;@!3Qv"</f>
        <v>#VALUE!</v>
      </c>
      <c r="BU386" t="e">
        <f>Asia!F693+"$F;@!3Qw"</f>
        <v>#VALUE!</v>
      </c>
      <c r="BV386" t="e">
        <f>Asia!G693+"$F;@!3Qx"</f>
        <v>#VALUE!</v>
      </c>
      <c r="BW386" t="e">
        <f>Asia!H693+"$F;@!3Qy"</f>
        <v>#VALUE!</v>
      </c>
      <c r="BX386" t="e">
        <f>Asia!A694+"$F;@!3Qz"</f>
        <v>#VALUE!</v>
      </c>
      <c r="BY386" t="e">
        <f>Asia!B694+"$F;@!3Q{"</f>
        <v>#VALUE!</v>
      </c>
      <c r="BZ386" t="e">
        <f>Asia!C694+"$F;@!3Q|"</f>
        <v>#VALUE!</v>
      </c>
      <c r="CA386" t="e">
        <f>Asia!D694+"$F;@!3Q}"</f>
        <v>#VALUE!</v>
      </c>
      <c r="CB386" t="e">
        <f>Asia!E694+"$F;@!3Q~"</f>
        <v>#VALUE!</v>
      </c>
      <c r="CC386" t="e">
        <f>Asia!F694+"$F;@!3R#"</f>
        <v>#VALUE!</v>
      </c>
      <c r="CD386" t="e">
        <f>Asia!G694+"$F;@!3R$"</f>
        <v>#VALUE!</v>
      </c>
      <c r="CE386" t="e">
        <f>Asia!H694+"$F;@!3R%"</f>
        <v>#VALUE!</v>
      </c>
      <c r="CF386" t="e">
        <f>Asia!A695+"$F;@!3R&amp;"</f>
        <v>#VALUE!</v>
      </c>
      <c r="CG386" t="e">
        <f>Asia!B695+"$F;@!3R'"</f>
        <v>#VALUE!</v>
      </c>
      <c r="CH386" t="e">
        <f>Asia!C695+"$F;@!3R("</f>
        <v>#VALUE!</v>
      </c>
      <c r="CI386" t="e">
        <f>Asia!D695+"$F;@!3R)"</f>
        <v>#VALUE!</v>
      </c>
      <c r="CJ386" t="e">
        <f>Asia!E695+"$F;@!3R."</f>
        <v>#VALUE!</v>
      </c>
      <c r="CK386" t="e">
        <f>Asia!F695+"$F;@!3R/"</f>
        <v>#VALUE!</v>
      </c>
      <c r="CL386" t="e">
        <f>Asia!G695+"$F;@!3R0"</f>
        <v>#VALUE!</v>
      </c>
      <c r="CM386" t="e">
        <f>Asia!H695+"$F;@!3R1"</f>
        <v>#VALUE!</v>
      </c>
      <c r="CN386" t="e">
        <f>Asia!A696+"$F;@!3R2"</f>
        <v>#VALUE!</v>
      </c>
      <c r="CO386" t="e">
        <f>Asia!B696+"$F;@!3R3"</f>
        <v>#VALUE!</v>
      </c>
      <c r="CP386" t="e">
        <f>Asia!C696+"$F;@!3R4"</f>
        <v>#VALUE!</v>
      </c>
      <c r="CQ386" t="e">
        <f>Asia!D696+"$F;@!3R5"</f>
        <v>#VALUE!</v>
      </c>
      <c r="CR386" t="e">
        <f>Asia!E696+"$F;@!3R6"</f>
        <v>#VALUE!</v>
      </c>
      <c r="CS386" t="e">
        <f>Asia!F696+"$F;@!3R7"</f>
        <v>#VALUE!</v>
      </c>
      <c r="CT386" t="e">
        <f>Asia!G696+"$F;@!3R8"</f>
        <v>#VALUE!</v>
      </c>
      <c r="CU386" t="e">
        <f>Asia!H696+"$F;@!3R9"</f>
        <v>#VALUE!</v>
      </c>
      <c r="CV386" t="e">
        <f>Asia!A697+"$F;@!3R:"</f>
        <v>#VALUE!</v>
      </c>
      <c r="CW386" t="e">
        <f>Asia!B697+"$F;@!3R;"</f>
        <v>#VALUE!</v>
      </c>
      <c r="CX386" t="e">
        <f>Asia!C697+"$F;@!3R&lt;"</f>
        <v>#VALUE!</v>
      </c>
      <c r="CY386" t="e">
        <f>Asia!D697+"$F;@!3R="</f>
        <v>#VALUE!</v>
      </c>
      <c r="CZ386" t="e">
        <f>Asia!E697+"$F;@!3R&gt;"</f>
        <v>#VALUE!</v>
      </c>
      <c r="DA386" t="e">
        <f>Asia!F697+"$F;@!3R?"</f>
        <v>#VALUE!</v>
      </c>
      <c r="DB386" t="e">
        <f>Asia!G697+"$F;@!3R@"</f>
        <v>#VALUE!</v>
      </c>
      <c r="DC386" t="e">
        <f>Asia!H697+"$F;@!3RA"</f>
        <v>#VALUE!</v>
      </c>
      <c r="DD386" t="e">
        <f>Asia!A698+"$F;@!3RB"</f>
        <v>#VALUE!</v>
      </c>
      <c r="DE386" t="e">
        <f>Asia!B698+"$F;@!3RC"</f>
        <v>#VALUE!</v>
      </c>
      <c r="DF386" t="e">
        <f>Asia!C698+"$F;@!3RD"</f>
        <v>#VALUE!</v>
      </c>
      <c r="DG386" t="e">
        <f>Asia!D698+"$F;@!3RE"</f>
        <v>#VALUE!</v>
      </c>
      <c r="DH386" t="e">
        <f>Asia!E698+"$F;@!3RF"</f>
        <v>#VALUE!</v>
      </c>
      <c r="DI386" t="e">
        <f>Asia!F698+"$F;@!3RG"</f>
        <v>#VALUE!</v>
      </c>
      <c r="DJ386" t="e">
        <f>Asia!G698+"$F;@!3RH"</f>
        <v>#VALUE!</v>
      </c>
      <c r="DK386" t="e">
        <f>Asia!H698+"$F;@!3RI"</f>
        <v>#VALUE!</v>
      </c>
      <c r="DL386" t="e">
        <f>Asia!A699+"$F;@!3RJ"</f>
        <v>#VALUE!</v>
      </c>
      <c r="DM386" t="e">
        <f>Asia!B699+"$F;@!3RK"</f>
        <v>#VALUE!</v>
      </c>
      <c r="DN386" t="e">
        <f>Asia!C699+"$F;@!3RL"</f>
        <v>#VALUE!</v>
      </c>
      <c r="DO386" t="e">
        <f>Asia!D699+"$F;@!3RM"</f>
        <v>#VALUE!</v>
      </c>
      <c r="DP386" t="e">
        <f>Asia!E699+"$F;@!3RN"</f>
        <v>#VALUE!</v>
      </c>
      <c r="DQ386" t="e">
        <f>Asia!F699+"$F;@!3RO"</f>
        <v>#VALUE!</v>
      </c>
      <c r="DR386" t="e">
        <f>Asia!G699+"$F;@!3RP"</f>
        <v>#VALUE!</v>
      </c>
      <c r="DS386" t="e">
        <f>Asia!H699+"$F;@!3RQ"</f>
        <v>#VALUE!</v>
      </c>
      <c r="DT386" t="e">
        <f>Asia!A700+"$F;@!3RR"</f>
        <v>#VALUE!</v>
      </c>
      <c r="DU386" t="e">
        <f>Asia!B700+"$F;@!3RS"</f>
        <v>#VALUE!</v>
      </c>
      <c r="DV386" t="e">
        <f>Asia!C700+"$F;@!3RT"</f>
        <v>#VALUE!</v>
      </c>
      <c r="DW386" t="e">
        <f>Asia!D700+"$F;@!3RU"</f>
        <v>#VALUE!</v>
      </c>
      <c r="DX386" t="e">
        <f>Asia!E700+"$F;@!3RV"</f>
        <v>#VALUE!</v>
      </c>
      <c r="DY386" t="e">
        <f>Asia!F700+"$F;@!3RW"</f>
        <v>#VALUE!</v>
      </c>
      <c r="DZ386" t="e">
        <f>Asia!G700+"$F;@!3RX"</f>
        <v>#VALUE!</v>
      </c>
      <c r="EA386" t="e">
        <f>Asia!H700+"$F;@!3RY"</f>
        <v>#VALUE!</v>
      </c>
      <c r="EB386" t="e">
        <f>Asia!A701+"$F;@!3RZ"</f>
        <v>#VALUE!</v>
      </c>
      <c r="EC386" t="e">
        <f>Asia!B701+"$F;@!3R["</f>
        <v>#VALUE!</v>
      </c>
      <c r="ED386" t="e">
        <f>Asia!C701+"$F;@!3R\"</f>
        <v>#VALUE!</v>
      </c>
      <c r="EE386" t="e">
        <f>Asia!D701+"$F;@!3R]"</f>
        <v>#VALUE!</v>
      </c>
      <c r="EF386" t="e">
        <f>Asia!E701+"$F;@!3R^"</f>
        <v>#VALUE!</v>
      </c>
      <c r="EG386" t="e">
        <f>Asia!F701+"$F;@!3R_"</f>
        <v>#VALUE!</v>
      </c>
      <c r="EH386" t="e">
        <f>Asia!G701+"$F;@!3R`"</f>
        <v>#VALUE!</v>
      </c>
      <c r="EI386" t="e">
        <f>Asia!H701+"$F;@!3Ra"</f>
        <v>#VALUE!</v>
      </c>
      <c r="EJ386" t="e">
        <f>Asia!A702+"$F;@!3Rb"</f>
        <v>#VALUE!</v>
      </c>
      <c r="EK386" t="e">
        <f>Asia!B702+"$F;@!3Rc"</f>
        <v>#VALUE!</v>
      </c>
      <c r="EL386" t="e">
        <f>Asia!C702+"$F;@!3Rd"</f>
        <v>#VALUE!</v>
      </c>
      <c r="EM386" t="e">
        <f>Asia!D702+"$F;@!3Re"</f>
        <v>#VALUE!</v>
      </c>
      <c r="EN386" t="e">
        <f>Asia!E702+"$F;@!3Rf"</f>
        <v>#VALUE!</v>
      </c>
      <c r="EO386" t="e">
        <f>Asia!F702+"$F;@!3Rg"</f>
        <v>#VALUE!</v>
      </c>
      <c r="EP386" t="e">
        <f>Asia!G702+"$F;@!3Rh"</f>
        <v>#VALUE!</v>
      </c>
      <c r="EQ386" t="e">
        <f>Asia!H702+"$F;@!3Ri"</f>
        <v>#VALUE!</v>
      </c>
      <c r="ER386" t="e">
        <f>Asia!A703+"$F;@!3Rj"</f>
        <v>#VALUE!</v>
      </c>
      <c r="ES386" t="e">
        <f>Asia!B703+"$F;@!3Rk"</f>
        <v>#VALUE!</v>
      </c>
      <c r="ET386" t="e">
        <f>Asia!C703+"$F;@!3Rl"</f>
        <v>#VALUE!</v>
      </c>
      <c r="EU386" t="e">
        <f>Asia!D703+"$F;@!3Rm"</f>
        <v>#VALUE!</v>
      </c>
      <c r="EV386" t="e">
        <f>Asia!E703+"$F;@!3Rn"</f>
        <v>#VALUE!</v>
      </c>
      <c r="EW386" t="e">
        <f>Asia!F703+"$F;@!3Ro"</f>
        <v>#VALUE!</v>
      </c>
      <c r="EX386" t="e">
        <f>Asia!G703+"$F;@!3Rp"</f>
        <v>#VALUE!</v>
      </c>
      <c r="EY386" t="e">
        <f>Asia!H703+"$F;@!3Rq"</f>
        <v>#VALUE!</v>
      </c>
      <c r="EZ386" t="e">
        <f>Asia!A704+"$F;@!3Rr"</f>
        <v>#VALUE!</v>
      </c>
      <c r="FA386" t="e">
        <f>Asia!B704+"$F;@!3Rs"</f>
        <v>#VALUE!</v>
      </c>
      <c r="FB386" t="e">
        <f>Asia!C704+"$F;@!3Rt"</f>
        <v>#VALUE!</v>
      </c>
      <c r="FC386" t="e">
        <f>Asia!D704+"$F;@!3Ru"</f>
        <v>#VALUE!</v>
      </c>
      <c r="FD386" t="e">
        <f>Asia!E704+"$F;@!3Rv"</f>
        <v>#VALUE!</v>
      </c>
      <c r="FE386" t="e">
        <f>Asia!F704+"$F;@!3Rw"</f>
        <v>#VALUE!</v>
      </c>
      <c r="FF386" t="e">
        <f>Asia!G704+"$F;@!3Rx"</f>
        <v>#VALUE!</v>
      </c>
      <c r="FG386" t="e">
        <f>Asia!H704+"$F;@!3Ry"</f>
        <v>#VALUE!</v>
      </c>
      <c r="FH386" t="e">
        <f>Asia!A705+"$F;@!3Rz"</f>
        <v>#VALUE!</v>
      </c>
      <c r="FI386" t="e">
        <f>Asia!B705+"$F;@!3R{"</f>
        <v>#VALUE!</v>
      </c>
      <c r="FJ386" t="e">
        <f>Asia!C705+"$F;@!3R|"</f>
        <v>#VALUE!</v>
      </c>
      <c r="FK386" t="e">
        <f>Asia!D705+"$F;@!3R}"</f>
        <v>#VALUE!</v>
      </c>
      <c r="FL386" t="e">
        <f>Asia!E705+"$F;@!3R~"</f>
        <v>#VALUE!</v>
      </c>
      <c r="FM386" t="e">
        <f>Asia!F705+"$F;@!3S#"</f>
        <v>#VALUE!</v>
      </c>
      <c r="FN386" t="e">
        <f>Asia!G705+"$F;@!3S$"</f>
        <v>#VALUE!</v>
      </c>
      <c r="FO386" t="e">
        <f>Asia!H705+"$F;@!3S%"</f>
        <v>#VALUE!</v>
      </c>
      <c r="FP386" t="e">
        <f>Asia!A706+"$F;@!3S&amp;"</f>
        <v>#VALUE!</v>
      </c>
      <c r="FQ386" t="e">
        <f>Asia!B706+"$F;@!3S'"</f>
        <v>#VALUE!</v>
      </c>
      <c r="FR386" t="e">
        <f>Asia!C706+"$F;@!3S("</f>
        <v>#VALUE!</v>
      </c>
      <c r="FS386" t="e">
        <f>Asia!D706+"$F;@!3S)"</f>
        <v>#VALUE!</v>
      </c>
      <c r="FT386" t="e">
        <f>Asia!E706+"$F;@!3S."</f>
        <v>#VALUE!</v>
      </c>
      <c r="FU386" t="e">
        <f>Asia!F706+"$F;@!3S/"</f>
        <v>#VALUE!</v>
      </c>
      <c r="FV386" t="e">
        <f>Asia!G706+"$F;@!3S0"</f>
        <v>#VALUE!</v>
      </c>
      <c r="FW386" t="e">
        <f>Asia!H706+"$F;@!3S1"</f>
        <v>#VALUE!</v>
      </c>
      <c r="FX386" t="e">
        <f>Asia!A707+"$F;@!3S2"</f>
        <v>#VALUE!</v>
      </c>
      <c r="FY386" t="e">
        <f>Asia!B707+"$F;@!3S3"</f>
        <v>#VALUE!</v>
      </c>
      <c r="FZ386" t="e">
        <f>Asia!C707+"$F;@!3S4"</f>
        <v>#VALUE!</v>
      </c>
      <c r="GA386" t="e">
        <f>Asia!D707+"$F;@!3S5"</f>
        <v>#VALUE!</v>
      </c>
      <c r="GB386" t="e">
        <f>Asia!E707+"$F;@!3S6"</f>
        <v>#VALUE!</v>
      </c>
      <c r="GC386" t="e">
        <f>Asia!F707+"$F;@!3S7"</f>
        <v>#VALUE!</v>
      </c>
      <c r="GD386" t="e">
        <f>Asia!G707+"$F;@!3S8"</f>
        <v>#VALUE!</v>
      </c>
      <c r="GE386" t="e">
        <f>Asia!H707+"$F;@!3S9"</f>
        <v>#VALUE!</v>
      </c>
      <c r="GF386" t="e">
        <f>Asia!A708+"$F;@!3S:"</f>
        <v>#VALUE!</v>
      </c>
      <c r="GG386" t="e">
        <f>Asia!B708+"$F;@!3S;"</f>
        <v>#VALUE!</v>
      </c>
      <c r="GH386" t="e">
        <f>Asia!C708+"$F;@!3S&lt;"</f>
        <v>#VALUE!</v>
      </c>
      <c r="GI386" t="e">
        <f>Asia!D708+"$F;@!3S="</f>
        <v>#VALUE!</v>
      </c>
      <c r="GJ386" t="e">
        <f>Asia!E708+"$F;@!3S&gt;"</f>
        <v>#VALUE!</v>
      </c>
      <c r="GK386" t="e">
        <f>Asia!F708+"$F;@!3S?"</f>
        <v>#VALUE!</v>
      </c>
      <c r="GL386" t="e">
        <f>Asia!G708+"$F;@!3S@"</f>
        <v>#VALUE!</v>
      </c>
      <c r="GM386" t="e">
        <f>Asia!H708+"$F;@!3SA"</f>
        <v>#VALUE!</v>
      </c>
      <c r="GN386" t="e">
        <f>Asia!A709+"$F;@!3SB"</f>
        <v>#VALUE!</v>
      </c>
      <c r="GO386" t="e">
        <f>Asia!B709+"$F;@!3SC"</f>
        <v>#VALUE!</v>
      </c>
      <c r="GP386" t="e">
        <f>Asia!C709+"$F;@!3SD"</f>
        <v>#VALUE!</v>
      </c>
      <c r="GQ386" t="e">
        <f>Asia!D709+"$F;@!3SE"</f>
        <v>#VALUE!</v>
      </c>
      <c r="GR386" t="e">
        <f>Asia!E709+"$F;@!3SF"</f>
        <v>#VALUE!</v>
      </c>
      <c r="GS386" t="e">
        <f>Asia!F709+"$F;@!3SG"</f>
        <v>#VALUE!</v>
      </c>
      <c r="GT386" t="e">
        <f>Asia!G709+"$F;@!3SH"</f>
        <v>#VALUE!</v>
      </c>
      <c r="GU386" t="e">
        <f>Asia!H709+"$F;@!3SI"</f>
        <v>#VALUE!</v>
      </c>
      <c r="GV386" t="e">
        <f>Asia!A710+"$F;@!3SJ"</f>
        <v>#VALUE!</v>
      </c>
      <c r="GW386" t="e">
        <f>Asia!B710+"$F;@!3SK"</f>
        <v>#VALUE!</v>
      </c>
      <c r="GX386" t="e">
        <f>Asia!C710+"$F;@!3SL"</f>
        <v>#VALUE!</v>
      </c>
      <c r="GY386" t="e">
        <f>Asia!D710+"$F;@!3SM"</f>
        <v>#VALUE!</v>
      </c>
      <c r="GZ386" t="e">
        <f>Asia!E710+"$F;@!3SN"</f>
        <v>#VALUE!</v>
      </c>
      <c r="HA386" t="e">
        <f>Asia!F710+"$F;@!3SO"</f>
        <v>#VALUE!</v>
      </c>
      <c r="HB386" t="e">
        <f>Asia!G710+"$F;@!3SP"</f>
        <v>#VALUE!</v>
      </c>
      <c r="HC386" t="e">
        <f>Asia!H710+"$F;@!3SQ"</f>
        <v>#VALUE!</v>
      </c>
      <c r="HD386" t="e">
        <f>Asia!A711+"$F;@!3SR"</f>
        <v>#VALUE!</v>
      </c>
      <c r="HE386" t="e">
        <f>Asia!B711+"$F;@!3SS"</f>
        <v>#VALUE!</v>
      </c>
      <c r="HF386" t="e">
        <f>Asia!C711+"$F;@!3ST"</f>
        <v>#VALUE!</v>
      </c>
      <c r="HG386" t="e">
        <f>Asia!D711+"$F;@!3SU"</f>
        <v>#VALUE!</v>
      </c>
      <c r="HH386" t="e">
        <f>Asia!E711+"$F;@!3SV"</f>
        <v>#VALUE!</v>
      </c>
      <c r="HI386" t="e">
        <f>Asia!F711+"$F;@!3SW"</f>
        <v>#VALUE!</v>
      </c>
      <c r="HJ386" t="e">
        <f>Asia!G711+"$F;@!3SX"</f>
        <v>#VALUE!</v>
      </c>
      <c r="HK386" t="e">
        <f>Asia!H711+"$F;@!3SY"</f>
        <v>#VALUE!</v>
      </c>
      <c r="HL386" t="e">
        <f>Asia!A712+"$F;@!3SZ"</f>
        <v>#VALUE!</v>
      </c>
      <c r="HM386" t="e">
        <f>Asia!B712+"$F;@!3S["</f>
        <v>#VALUE!</v>
      </c>
      <c r="HN386" t="e">
        <f>Asia!C712+"$F;@!3S\"</f>
        <v>#VALUE!</v>
      </c>
      <c r="HO386" t="e">
        <f>Asia!D712+"$F;@!3S]"</f>
        <v>#VALUE!</v>
      </c>
      <c r="HP386" t="e">
        <f>Asia!E712+"$F;@!3S^"</f>
        <v>#VALUE!</v>
      </c>
      <c r="HQ386" t="e">
        <f>Asia!F712+"$F;@!3S_"</f>
        <v>#VALUE!</v>
      </c>
      <c r="HR386" t="e">
        <f>Asia!G712+"$F;@!3S`"</f>
        <v>#VALUE!</v>
      </c>
      <c r="HS386" t="e">
        <f>Asia!H712+"$F;@!3Sa"</f>
        <v>#VALUE!</v>
      </c>
      <c r="HT386" t="e">
        <f>Asia!A713+"$F;@!3Sb"</f>
        <v>#VALUE!</v>
      </c>
      <c r="HU386" t="e">
        <f>Asia!B713+"$F;@!3Sc"</f>
        <v>#VALUE!</v>
      </c>
      <c r="HV386" t="e">
        <f>Asia!C713+"$F;@!3Sd"</f>
        <v>#VALUE!</v>
      </c>
      <c r="HW386" t="e">
        <f>Asia!D713+"$F;@!3Se"</f>
        <v>#VALUE!</v>
      </c>
      <c r="HX386" t="e">
        <f>Asia!E713+"$F;@!3Sf"</f>
        <v>#VALUE!</v>
      </c>
      <c r="HY386" t="e">
        <f>Asia!F713+"$F;@!3Sg"</f>
        <v>#VALUE!</v>
      </c>
      <c r="HZ386" t="e">
        <f>Asia!G713+"$F;@!3Sh"</f>
        <v>#VALUE!</v>
      </c>
      <c r="IA386" t="e">
        <f>Asia!H713+"$F;@!3Si"</f>
        <v>#VALUE!</v>
      </c>
      <c r="IB386" t="e">
        <f>Asia!A714+"$F;@!3Sj"</f>
        <v>#VALUE!</v>
      </c>
      <c r="IC386" t="e">
        <f>Asia!B714+"$F;@!3Sk"</f>
        <v>#VALUE!</v>
      </c>
      <c r="ID386" t="e">
        <f>Asia!C714+"$F;@!3Sl"</f>
        <v>#VALUE!</v>
      </c>
      <c r="IE386" t="e">
        <f>Asia!D714+"$F;@!3Sm"</f>
        <v>#VALUE!</v>
      </c>
      <c r="IF386" t="e">
        <f>Asia!E714+"$F;@!3Sn"</f>
        <v>#VALUE!</v>
      </c>
      <c r="IG386" t="e">
        <f>Asia!F714+"$F;@!3So"</f>
        <v>#VALUE!</v>
      </c>
      <c r="IH386" t="e">
        <f>Asia!G714+"$F;@!3Sp"</f>
        <v>#VALUE!</v>
      </c>
      <c r="II386" t="e">
        <f>Asia!H714+"$F;@!3Sq"</f>
        <v>#VALUE!</v>
      </c>
      <c r="IJ386" t="e">
        <f>Asia!A715+"$F;@!3Sr"</f>
        <v>#VALUE!</v>
      </c>
      <c r="IK386" t="e">
        <f>Asia!B715+"$F;@!3Ss"</f>
        <v>#VALUE!</v>
      </c>
      <c r="IL386" t="e">
        <f>Asia!C715+"$F;@!3St"</f>
        <v>#VALUE!</v>
      </c>
      <c r="IM386" t="e">
        <f>Asia!D715+"$F;@!3Su"</f>
        <v>#VALUE!</v>
      </c>
      <c r="IN386" t="e">
        <f>Asia!E715+"$F;@!3Sv"</f>
        <v>#VALUE!</v>
      </c>
      <c r="IO386" t="e">
        <f>Asia!F715+"$F;@!3Sw"</f>
        <v>#VALUE!</v>
      </c>
      <c r="IP386" t="e">
        <f>Asia!G715+"$F;@!3Sx"</f>
        <v>#VALUE!</v>
      </c>
      <c r="IQ386" t="e">
        <f>Asia!H715+"$F;@!3Sy"</f>
        <v>#VALUE!</v>
      </c>
      <c r="IR386" t="e">
        <f>Asia!A716+"$F;@!3Sz"</f>
        <v>#VALUE!</v>
      </c>
      <c r="IS386" t="e">
        <f>Asia!B716+"$F;@!3S{"</f>
        <v>#VALUE!</v>
      </c>
      <c r="IT386" t="e">
        <f>Asia!C716+"$F;@!3S|"</f>
        <v>#VALUE!</v>
      </c>
      <c r="IU386" t="e">
        <f>Asia!D716+"$F;@!3S}"</f>
        <v>#VALUE!</v>
      </c>
      <c r="IV386" t="e">
        <f>Asia!E716+"$F;@!3S~"</f>
        <v>#VALUE!</v>
      </c>
    </row>
    <row r="387" spans="6:256" x14ac:dyDescent="0.35">
      <c r="F387" t="e">
        <f>Asia!F716+"$F;@!3T#"</f>
        <v>#VALUE!</v>
      </c>
      <c r="G387" t="e">
        <f>Asia!G716+"$F;@!3T$"</f>
        <v>#VALUE!</v>
      </c>
      <c r="H387" t="e">
        <f>Asia!H716+"$F;@!3T%"</f>
        <v>#VALUE!</v>
      </c>
      <c r="I387" t="e">
        <f>Asia!A717+"$F;@!3T&amp;"</f>
        <v>#VALUE!</v>
      </c>
      <c r="J387" t="e">
        <f>Asia!B717+"$F;@!3T'"</f>
        <v>#VALUE!</v>
      </c>
      <c r="K387" t="e">
        <f>Asia!C717+"$F;@!3T("</f>
        <v>#VALUE!</v>
      </c>
      <c r="L387" t="e">
        <f>Asia!D717+"$F;@!3T)"</f>
        <v>#VALUE!</v>
      </c>
      <c r="M387" t="e">
        <f>Asia!E717+"$F;@!3T."</f>
        <v>#VALUE!</v>
      </c>
      <c r="N387" t="e">
        <f>Asia!F717+"$F;@!3T/"</f>
        <v>#VALUE!</v>
      </c>
      <c r="O387" t="e">
        <f>Asia!G717+"$F;@!3T0"</f>
        <v>#VALUE!</v>
      </c>
      <c r="P387" t="e">
        <f>Asia!H717+"$F;@!3T1"</f>
        <v>#VALUE!</v>
      </c>
      <c r="Q387" t="e">
        <f>Asia!A718+"$F;@!3T2"</f>
        <v>#VALUE!</v>
      </c>
      <c r="R387" t="e">
        <f>Asia!B718+"$F;@!3T3"</f>
        <v>#VALUE!</v>
      </c>
      <c r="S387" t="e">
        <f>Asia!C718+"$F;@!3T4"</f>
        <v>#VALUE!</v>
      </c>
      <c r="T387" t="e">
        <f>Asia!D718+"$F;@!3T5"</f>
        <v>#VALUE!</v>
      </c>
      <c r="U387" t="e">
        <f>Asia!E718+"$F;@!3T6"</f>
        <v>#VALUE!</v>
      </c>
      <c r="V387" t="e">
        <f>Asia!F718+"$F;@!3T7"</f>
        <v>#VALUE!</v>
      </c>
      <c r="W387" t="e">
        <f>Asia!G718+"$F;@!3T8"</f>
        <v>#VALUE!</v>
      </c>
      <c r="X387" t="e">
        <f>Asia!H718+"$F;@!3T9"</f>
        <v>#VALUE!</v>
      </c>
      <c r="Y387" t="e">
        <f>Asia!A719+"$F;@!3T:"</f>
        <v>#VALUE!</v>
      </c>
      <c r="Z387" t="e">
        <f>Asia!B719+"$F;@!3T;"</f>
        <v>#VALUE!</v>
      </c>
      <c r="AA387" t="e">
        <f>Asia!C719+"$F;@!3T&lt;"</f>
        <v>#VALUE!</v>
      </c>
      <c r="AB387" t="e">
        <f>Asia!D719+"$F;@!3T="</f>
        <v>#VALUE!</v>
      </c>
      <c r="AC387" t="e">
        <f>Asia!E719+"$F;@!3T&gt;"</f>
        <v>#VALUE!</v>
      </c>
      <c r="AD387" t="e">
        <f>Asia!F719+"$F;@!3T?"</f>
        <v>#VALUE!</v>
      </c>
      <c r="AE387" t="e">
        <f>Asia!G719+"$F;@!3T@"</f>
        <v>#VALUE!</v>
      </c>
      <c r="AF387" t="e">
        <f>Asia!H719+"$F;@!3TA"</f>
        <v>#VALUE!</v>
      </c>
      <c r="AG387" t="e">
        <f>Asia!A720+"$F;@!3TB"</f>
        <v>#VALUE!</v>
      </c>
      <c r="AH387" t="e">
        <f>Asia!B720+"$F;@!3TC"</f>
        <v>#VALUE!</v>
      </c>
      <c r="AI387" t="e">
        <f>Asia!C720+"$F;@!3TD"</f>
        <v>#VALUE!</v>
      </c>
      <c r="AJ387" t="e">
        <f>Asia!D720+"$F;@!3TE"</f>
        <v>#VALUE!</v>
      </c>
      <c r="AK387" t="e">
        <f>Asia!E720+"$F;@!3TF"</f>
        <v>#VALUE!</v>
      </c>
      <c r="AL387" t="e">
        <f>Asia!F720+"$F;@!3TG"</f>
        <v>#VALUE!</v>
      </c>
      <c r="AM387" t="e">
        <f>Asia!G720+"$F;@!3TH"</f>
        <v>#VALUE!</v>
      </c>
      <c r="AN387" t="e">
        <f>Asia!H720+"$F;@!3TI"</f>
        <v>#VALUE!</v>
      </c>
      <c r="AO387" t="e">
        <f>Asia!A721+"$F;@!3TJ"</f>
        <v>#VALUE!</v>
      </c>
      <c r="AP387" t="e">
        <f>Asia!B721+"$F;@!3TK"</f>
        <v>#VALUE!</v>
      </c>
      <c r="AQ387" t="e">
        <f>Asia!C721+"$F;@!3TL"</f>
        <v>#VALUE!</v>
      </c>
      <c r="AR387" t="e">
        <f>Asia!D721+"$F;@!3TM"</f>
        <v>#VALUE!</v>
      </c>
      <c r="AS387" t="e">
        <f>Asia!E721+"$F;@!3TN"</f>
        <v>#VALUE!</v>
      </c>
      <c r="AT387" t="e">
        <f>Asia!F721+"$F;@!3TO"</f>
        <v>#VALUE!</v>
      </c>
      <c r="AU387" t="e">
        <f>Asia!G721+"$F;@!3TP"</f>
        <v>#VALUE!</v>
      </c>
      <c r="AV387" t="e">
        <f>Asia!H721+"$F;@!3TQ"</f>
        <v>#VALUE!</v>
      </c>
      <c r="AW387" t="e">
        <f>Asia!A722+"$F;@!3TR"</f>
        <v>#VALUE!</v>
      </c>
      <c r="AX387" t="e">
        <f>Asia!B722+"$F;@!3TS"</f>
        <v>#VALUE!</v>
      </c>
      <c r="AY387" t="e">
        <f>Asia!C722+"$F;@!3TT"</f>
        <v>#VALUE!</v>
      </c>
      <c r="AZ387" t="e">
        <f>Asia!D722+"$F;@!3TU"</f>
        <v>#VALUE!</v>
      </c>
      <c r="BA387" t="e">
        <f>Asia!E722+"$F;@!3TV"</f>
        <v>#VALUE!</v>
      </c>
      <c r="BB387" t="e">
        <f>Asia!F722+"$F;@!3TW"</f>
        <v>#VALUE!</v>
      </c>
      <c r="BC387" t="e">
        <f>Asia!G722+"$F;@!3TX"</f>
        <v>#VALUE!</v>
      </c>
      <c r="BD387" t="e">
        <f>Asia!H722+"$F;@!3TY"</f>
        <v>#VALUE!</v>
      </c>
      <c r="BE387" t="e">
        <f>Asia!A723+"$F;@!3TZ"</f>
        <v>#VALUE!</v>
      </c>
      <c r="BF387" t="e">
        <f>Asia!B723+"$F;@!3T["</f>
        <v>#VALUE!</v>
      </c>
      <c r="BG387" t="e">
        <f>Asia!C723+"$F;@!3T\"</f>
        <v>#VALUE!</v>
      </c>
      <c r="BH387" t="e">
        <f>Asia!D723+"$F;@!3T]"</f>
        <v>#VALUE!</v>
      </c>
      <c r="BI387" t="e">
        <f>Asia!E723+"$F;@!3T^"</f>
        <v>#VALUE!</v>
      </c>
      <c r="BJ387" t="e">
        <f>Asia!F723+"$F;@!3T_"</f>
        <v>#VALUE!</v>
      </c>
      <c r="BK387" t="e">
        <f>Asia!G723+"$F;@!3T`"</f>
        <v>#VALUE!</v>
      </c>
      <c r="BL387" t="e">
        <f>Asia!H723+"$F;@!3Ta"</f>
        <v>#VALUE!</v>
      </c>
      <c r="BM387" t="e">
        <f>Asia!A724+"$F;@!3Tb"</f>
        <v>#VALUE!</v>
      </c>
      <c r="BN387" t="e">
        <f>Asia!B724+"$F;@!3Tc"</f>
        <v>#VALUE!</v>
      </c>
      <c r="BO387" t="e">
        <f>Asia!C724+"$F;@!3Td"</f>
        <v>#VALUE!</v>
      </c>
      <c r="BP387" t="e">
        <f>Asia!D724+"$F;@!3Te"</f>
        <v>#VALUE!</v>
      </c>
      <c r="BQ387" t="e">
        <f>Asia!E724+"$F;@!3Tf"</f>
        <v>#VALUE!</v>
      </c>
      <c r="BR387" t="e">
        <f>Asia!F724+"$F;@!3Tg"</f>
        <v>#VALUE!</v>
      </c>
      <c r="BS387" t="e">
        <f>Asia!G724+"$F;@!3Th"</f>
        <v>#VALUE!</v>
      </c>
      <c r="BT387" t="e">
        <f>Asia!H724+"$F;@!3Ti"</f>
        <v>#VALUE!</v>
      </c>
      <c r="BU387" t="e">
        <f>Asia!A725+"$F;@!3Tj"</f>
        <v>#VALUE!</v>
      </c>
      <c r="BV387" t="e">
        <f>Asia!B725+"$F;@!3Tk"</f>
        <v>#VALUE!</v>
      </c>
      <c r="BW387" t="e">
        <f>Asia!C725+"$F;@!3Tl"</f>
        <v>#VALUE!</v>
      </c>
      <c r="BX387" t="e">
        <f>Asia!D725+"$F;@!3Tm"</f>
        <v>#VALUE!</v>
      </c>
      <c r="BY387" t="e">
        <f>Asia!E725+"$F;@!3Tn"</f>
        <v>#VALUE!</v>
      </c>
      <c r="BZ387" t="e">
        <f>Asia!F725+"$F;@!3To"</f>
        <v>#VALUE!</v>
      </c>
      <c r="CA387" t="e">
        <f>Asia!G725+"$F;@!3Tp"</f>
        <v>#VALUE!</v>
      </c>
      <c r="CB387" t="e">
        <f>Asia!H725+"$F;@!3Tq"</f>
        <v>#VALUE!</v>
      </c>
      <c r="CC387" t="e">
        <f>Asia!A726+"$F;@!3Tr"</f>
        <v>#VALUE!</v>
      </c>
      <c r="CD387" t="e">
        <f>Asia!B726+"$F;@!3Ts"</f>
        <v>#VALUE!</v>
      </c>
      <c r="CE387" t="e">
        <f>Asia!C726+"$F;@!3Tt"</f>
        <v>#VALUE!</v>
      </c>
      <c r="CF387" t="e">
        <f>Asia!D726+"$F;@!3Tu"</f>
        <v>#VALUE!</v>
      </c>
      <c r="CG387" t="e">
        <f>Asia!E726+"$F;@!3Tv"</f>
        <v>#VALUE!</v>
      </c>
      <c r="CH387" t="e">
        <f>Asia!F726+"$F;@!3Tw"</f>
        <v>#VALUE!</v>
      </c>
      <c r="CI387" t="e">
        <f>Asia!G726+"$F;@!3Tx"</f>
        <v>#VALUE!</v>
      </c>
      <c r="CJ387" t="e">
        <f>Asia!H726+"$F;@!3Ty"</f>
        <v>#VALUE!</v>
      </c>
      <c r="CK387" t="e">
        <f>Asia!A727+"$F;@!3Tz"</f>
        <v>#VALUE!</v>
      </c>
      <c r="CL387" t="e">
        <f>Asia!B727+"$F;@!3T{"</f>
        <v>#VALUE!</v>
      </c>
      <c r="CM387" t="e">
        <f>Asia!C727+"$F;@!3T|"</f>
        <v>#VALUE!</v>
      </c>
      <c r="CN387" t="e">
        <f>Asia!D727+"$F;@!3T}"</f>
        <v>#VALUE!</v>
      </c>
      <c r="CO387" t="e">
        <f>Asia!E727+"$F;@!3T~"</f>
        <v>#VALUE!</v>
      </c>
      <c r="CP387" t="e">
        <f>Asia!F727+"$F;@!3U#"</f>
        <v>#VALUE!</v>
      </c>
      <c r="CQ387" t="e">
        <f>Asia!G727+"$F;@!3U$"</f>
        <v>#VALUE!</v>
      </c>
      <c r="CR387" t="e">
        <f>Asia!H727+"$F;@!3U%"</f>
        <v>#VALUE!</v>
      </c>
      <c r="CS387" t="e">
        <f>Asia!A728+"$F;@!3U&amp;"</f>
        <v>#VALUE!</v>
      </c>
      <c r="CT387" t="e">
        <f>Asia!B728+"$F;@!3U'"</f>
        <v>#VALUE!</v>
      </c>
      <c r="CU387" t="e">
        <f>Asia!C728+"$F;@!3U("</f>
        <v>#VALUE!</v>
      </c>
      <c r="CV387" t="e">
        <f>Asia!D728+"$F;@!3U)"</f>
        <v>#VALUE!</v>
      </c>
      <c r="CW387" t="e">
        <f>Asia!E728+"$F;@!3U."</f>
        <v>#VALUE!</v>
      </c>
      <c r="CX387" t="e">
        <f>Asia!F728+"$F;@!3U/"</f>
        <v>#VALUE!</v>
      </c>
      <c r="CY387" t="e">
        <f>Asia!G728+"$F;@!3U0"</f>
        <v>#VALUE!</v>
      </c>
      <c r="CZ387" t="e">
        <f>Asia!H728+"$F;@!3U1"</f>
        <v>#VALUE!</v>
      </c>
      <c r="DA387" t="e">
        <f>Asia!A729+"$F;@!3U2"</f>
        <v>#VALUE!</v>
      </c>
      <c r="DB387" t="e">
        <f>Asia!B729+"$F;@!3U3"</f>
        <v>#VALUE!</v>
      </c>
      <c r="DC387" t="e">
        <f>Asia!C729+"$F;@!3U4"</f>
        <v>#VALUE!</v>
      </c>
      <c r="DD387" t="e">
        <f>Asia!D729+"$F;@!3U5"</f>
        <v>#VALUE!</v>
      </c>
      <c r="DE387" t="e">
        <f>Asia!E729+"$F;@!3U6"</f>
        <v>#VALUE!</v>
      </c>
      <c r="DF387" t="e">
        <f>Asia!F729+"$F;@!3U7"</f>
        <v>#VALUE!</v>
      </c>
      <c r="DG387" t="e">
        <f>Asia!G729+"$F;@!3U8"</f>
        <v>#VALUE!</v>
      </c>
      <c r="DH387" t="e">
        <f>Asia!H729+"$F;@!3U9"</f>
        <v>#VALUE!</v>
      </c>
      <c r="DI387" t="e">
        <f>Asia!A730+"$F;@!3U:"</f>
        <v>#VALUE!</v>
      </c>
      <c r="DJ387" t="e">
        <f>Asia!B730+"$F;@!3U;"</f>
        <v>#VALUE!</v>
      </c>
      <c r="DK387" t="e">
        <f>Asia!C730+"$F;@!3U&lt;"</f>
        <v>#VALUE!</v>
      </c>
      <c r="DL387" t="e">
        <f>Asia!D730+"$F;@!3U="</f>
        <v>#VALUE!</v>
      </c>
      <c r="DM387" t="e">
        <f>Asia!E730+"$F;@!3U&gt;"</f>
        <v>#VALUE!</v>
      </c>
      <c r="DN387" t="e">
        <f>Asia!F730+"$F;@!3U?"</f>
        <v>#VALUE!</v>
      </c>
      <c r="DO387" t="e">
        <f>Asia!G730+"$F;@!3U@"</f>
        <v>#VALUE!</v>
      </c>
      <c r="DP387" t="e">
        <f>Asia!H730+"$F;@!3UA"</f>
        <v>#VALUE!</v>
      </c>
      <c r="DQ387" t="e">
        <f>Asia!A731+"$F;@!3UB"</f>
        <v>#VALUE!</v>
      </c>
      <c r="DR387" t="e">
        <f>Asia!B731+"$F;@!3UC"</f>
        <v>#VALUE!</v>
      </c>
      <c r="DS387" t="e">
        <f>Asia!C731+"$F;@!3UD"</f>
        <v>#VALUE!</v>
      </c>
      <c r="DT387" t="e">
        <f>Asia!D731+"$F;@!3UE"</f>
        <v>#VALUE!</v>
      </c>
      <c r="DU387" t="e">
        <f>Asia!E731+"$F;@!3UF"</f>
        <v>#VALUE!</v>
      </c>
      <c r="DV387" t="e">
        <f>Asia!F731+"$F;@!3UG"</f>
        <v>#VALUE!</v>
      </c>
      <c r="DW387" t="e">
        <f>Asia!G731+"$F;@!3UH"</f>
        <v>#VALUE!</v>
      </c>
      <c r="DX387" t="e">
        <f>Asia!H731+"$F;@!3UI"</f>
        <v>#VALUE!</v>
      </c>
      <c r="DY387" t="e">
        <f>Asia!A732+"$F;@!3UJ"</f>
        <v>#VALUE!</v>
      </c>
      <c r="DZ387" t="e">
        <f>Asia!B732+"$F;@!3UK"</f>
        <v>#VALUE!</v>
      </c>
      <c r="EA387" t="e">
        <f>Asia!C732+"$F;@!3UL"</f>
        <v>#VALUE!</v>
      </c>
      <c r="EB387" t="e">
        <f>Asia!D732+"$F;@!3UM"</f>
        <v>#VALUE!</v>
      </c>
      <c r="EC387" t="e">
        <f>Asia!E732+"$F;@!3UN"</f>
        <v>#VALUE!</v>
      </c>
      <c r="ED387" t="e">
        <f>Asia!F732+"$F;@!3UO"</f>
        <v>#VALUE!</v>
      </c>
      <c r="EE387" t="e">
        <f>Asia!G732+"$F;@!3UP"</f>
        <v>#VALUE!</v>
      </c>
      <c r="EF387" t="e">
        <f>Asia!H732+"$F;@!3UQ"</f>
        <v>#VALUE!</v>
      </c>
      <c r="EG387" t="e">
        <f>Asia!A733+"$F;@!3UR"</f>
        <v>#VALUE!</v>
      </c>
      <c r="EH387" t="e">
        <f>Asia!B733+"$F;@!3US"</f>
        <v>#VALUE!</v>
      </c>
      <c r="EI387" t="e">
        <f>Asia!C733+"$F;@!3UT"</f>
        <v>#VALUE!</v>
      </c>
      <c r="EJ387" t="e">
        <f>Asia!D733+"$F;@!3UU"</f>
        <v>#VALUE!</v>
      </c>
      <c r="EK387" t="e">
        <f>Asia!E733+"$F;@!3UV"</f>
        <v>#VALUE!</v>
      </c>
      <c r="EL387" t="e">
        <f>Asia!F733+"$F;@!3UW"</f>
        <v>#VALUE!</v>
      </c>
      <c r="EM387" t="e">
        <f>Asia!G733+"$F;@!3UX"</f>
        <v>#VALUE!</v>
      </c>
      <c r="EN387" t="e">
        <f>Asia!H733+"$F;@!3UY"</f>
        <v>#VALUE!</v>
      </c>
      <c r="EO387" t="e">
        <f>Asia!A734+"$F;@!3UZ"</f>
        <v>#VALUE!</v>
      </c>
      <c r="EP387" t="e">
        <f>Asia!B734+"$F;@!3U["</f>
        <v>#VALUE!</v>
      </c>
      <c r="EQ387" t="e">
        <f>Asia!C734+"$F;@!3U\"</f>
        <v>#VALUE!</v>
      </c>
      <c r="ER387" t="e">
        <f>Asia!D734+"$F;@!3U]"</f>
        <v>#VALUE!</v>
      </c>
      <c r="ES387" t="e">
        <f>Asia!E734+"$F;@!3U^"</f>
        <v>#VALUE!</v>
      </c>
      <c r="ET387" t="e">
        <f>Asia!F734+"$F;@!3U_"</f>
        <v>#VALUE!</v>
      </c>
      <c r="EU387" t="e">
        <f>Asia!G734+"$F;@!3U`"</f>
        <v>#VALUE!</v>
      </c>
      <c r="EV387" t="e">
        <f>Asia!H734+"$F;@!3Ua"</f>
        <v>#VALUE!</v>
      </c>
      <c r="EW387" t="e">
        <f>Asia!A735+"$F;@!3Ub"</f>
        <v>#VALUE!</v>
      </c>
      <c r="EX387" t="e">
        <f>Asia!B735+"$F;@!3Uc"</f>
        <v>#VALUE!</v>
      </c>
      <c r="EY387" t="e">
        <f>Asia!C735+"$F;@!3Ud"</f>
        <v>#VALUE!</v>
      </c>
      <c r="EZ387" t="e">
        <f>Asia!D735+"$F;@!3Ue"</f>
        <v>#VALUE!</v>
      </c>
      <c r="FA387" t="e">
        <f>Asia!E735+"$F;@!3Uf"</f>
        <v>#VALUE!</v>
      </c>
      <c r="FB387" t="e">
        <f>Asia!F735+"$F;@!3Ug"</f>
        <v>#VALUE!</v>
      </c>
      <c r="FC387" t="e">
        <f>Asia!G735+"$F;@!3Uh"</f>
        <v>#VALUE!</v>
      </c>
      <c r="FD387" t="e">
        <f>Asia!H735+"$F;@!3Ui"</f>
        <v>#VALUE!</v>
      </c>
      <c r="FE387" t="e">
        <f>Asia!A736+"$F;@!3Uj"</f>
        <v>#VALUE!</v>
      </c>
      <c r="FF387" t="e">
        <f>Asia!B736+"$F;@!3Uk"</f>
        <v>#VALUE!</v>
      </c>
      <c r="FG387" t="e">
        <f>Asia!C736+"$F;@!3Ul"</f>
        <v>#VALUE!</v>
      </c>
      <c r="FH387" t="e">
        <f>Asia!D736+"$F;@!3Um"</f>
        <v>#VALUE!</v>
      </c>
      <c r="FI387" t="e">
        <f>Asia!E736+"$F;@!3Un"</f>
        <v>#VALUE!</v>
      </c>
      <c r="FJ387" t="e">
        <f>Asia!F736+"$F;@!3Uo"</f>
        <v>#VALUE!</v>
      </c>
      <c r="FK387" t="e">
        <f>Asia!G736+"$F;@!3Up"</f>
        <v>#VALUE!</v>
      </c>
      <c r="FL387" t="e">
        <f>Asia!H736+"$F;@!3Uq"</f>
        <v>#VALUE!</v>
      </c>
      <c r="FM387" t="e">
        <f>Asia!A737+"$F;@!3Ur"</f>
        <v>#VALUE!</v>
      </c>
      <c r="FN387" t="e">
        <f>Asia!B737+"$F;@!3Us"</f>
        <v>#VALUE!</v>
      </c>
      <c r="FO387" t="e">
        <f>Asia!C737+"$F;@!3Ut"</f>
        <v>#VALUE!</v>
      </c>
      <c r="FP387" t="e">
        <f>Asia!D737+"$F;@!3Uu"</f>
        <v>#VALUE!</v>
      </c>
      <c r="FQ387" t="e">
        <f>Asia!E737+"$F;@!3Uv"</f>
        <v>#VALUE!</v>
      </c>
      <c r="FR387" t="e">
        <f>Asia!F737+"$F;@!3Uw"</f>
        <v>#VALUE!</v>
      </c>
      <c r="FS387" t="e">
        <f>Asia!G737+"$F;@!3Ux"</f>
        <v>#VALUE!</v>
      </c>
      <c r="FT387" t="e">
        <f>Asia!H737+"$F;@!3Uy"</f>
        <v>#VALUE!</v>
      </c>
      <c r="FU387" t="e">
        <f>Asia!A738+"$F;@!3Uz"</f>
        <v>#VALUE!</v>
      </c>
      <c r="FV387" t="e">
        <f>Asia!B738+"$F;@!3U{"</f>
        <v>#VALUE!</v>
      </c>
      <c r="FW387" t="e">
        <f>Asia!C738+"$F;@!3U|"</f>
        <v>#VALUE!</v>
      </c>
      <c r="FX387" t="e">
        <f>Asia!D738+"$F;@!3U}"</f>
        <v>#VALUE!</v>
      </c>
      <c r="FY387" t="e">
        <f>Asia!E738+"$F;@!3U~"</f>
        <v>#VALUE!</v>
      </c>
      <c r="FZ387" t="e">
        <f>Asia!F738+"$F;@!3V#"</f>
        <v>#VALUE!</v>
      </c>
      <c r="GA387" t="e">
        <f>Asia!G738+"$F;@!3V$"</f>
        <v>#VALUE!</v>
      </c>
      <c r="GB387" t="e">
        <f>Asia!H738+"$F;@!3V%"</f>
        <v>#VALUE!</v>
      </c>
      <c r="GC387" t="e">
        <f>Asia!A739+"$F;@!3V&amp;"</f>
        <v>#VALUE!</v>
      </c>
      <c r="GD387" t="e">
        <f>Asia!B739+"$F;@!3V'"</f>
        <v>#VALUE!</v>
      </c>
      <c r="GE387" t="e">
        <f>Asia!C739+"$F;@!3V("</f>
        <v>#VALUE!</v>
      </c>
      <c r="GF387" t="e">
        <f>Asia!D739+"$F;@!3V)"</f>
        <v>#VALUE!</v>
      </c>
      <c r="GG387" t="e">
        <f>Asia!E739+"$F;@!3V."</f>
        <v>#VALUE!</v>
      </c>
      <c r="GH387" t="e">
        <f>Asia!F739+"$F;@!3V/"</f>
        <v>#VALUE!</v>
      </c>
      <c r="GI387" t="e">
        <f>Asia!G739+"$F;@!3V0"</f>
        <v>#VALUE!</v>
      </c>
      <c r="GJ387" t="e">
        <f>Asia!H739+"$F;@!3V1"</f>
        <v>#VALUE!</v>
      </c>
      <c r="GK387" t="e">
        <f>Asia!A740+"$F;@!3V2"</f>
        <v>#VALUE!</v>
      </c>
      <c r="GL387" t="e">
        <f>Asia!B740+"$F;@!3V3"</f>
        <v>#VALUE!</v>
      </c>
      <c r="GM387" t="e">
        <f>Asia!C740+"$F;@!3V4"</f>
        <v>#VALUE!</v>
      </c>
      <c r="GN387" t="e">
        <f>Asia!D740+"$F;@!3V5"</f>
        <v>#VALUE!</v>
      </c>
      <c r="GO387" t="e">
        <f>Asia!E740+"$F;@!3V6"</f>
        <v>#VALUE!</v>
      </c>
      <c r="GP387" t="e">
        <f>Asia!F740+"$F;@!3V7"</f>
        <v>#VALUE!</v>
      </c>
      <c r="GQ387" t="e">
        <f>Asia!G740+"$F;@!3V8"</f>
        <v>#VALUE!</v>
      </c>
      <c r="GR387" t="e">
        <f>Asia!H740+"$F;@!3V9"</f>
        <v>#VALUE!</v>
      </c>
      <c r="GS387" t="e">
        <f>Asia!A741+"$F;@!3V:"</f>
        <v>#VALUE!</v>
      </c>
      <c r="GT387" t="e">
        <f>Asia!B741+"$F;@!3V;"</f>
        <v>#VALUE!</v>
      </c>
      <c r="GU387" t="e">
        <f>Asia!C741+"$F;@!3V&lt;"</f>
        <v>#VALUE!</v>
      </c>
      <c r="GV387" t="e">
        <f>Asia!D741+"$F;@!3V="</f>
        <v>#VALUE!</v>
      </c>
      <c r="GW387" t="e">
        <f>Asia!E741+"$F;@!3V&gt;"</f>
        <v>#VALUE!</v>
      </c>
      <c r="GX387" t="e">
        <f>Asia!F741+"$F;@!3V?"</f>
        <v>#VALUE!</v>
      </c>
      <c r="GY387" t="e">
        <f>Asia!G741+"$F;@!3V@"</f>
        <v>#VALUE!</v>
      </c>
      <c r="GZ387" t="e">
        <f>Asia!H741+"$F;@!3VA"</f>
        <v>#VALUE!</v>
      </c>
      <c r="HA387" t="e">
        <f>Asia!A742+"$F;@!3VB"</f>
        <v>#VALUE!</v>
      </c>
      <c r="HB387" t="e">
        <f>Asia!B742+"$F;@!3VC"</f>
        <v>#VALUE!</v>
      </c>
      <c r="HC387" t="e">
        <f>Asia!C742+"$F;@!3VD"</f>
        <v>#VALUE!</v>
      </c>
      <c r="HD387" t="e">
        <f>Asia!D742+"$F;@!3VE"</f>
        <v>#VALUE!</v>
      </c>
      <c r="HE387" t="e">
        <f>Asia!E742+"$F;@!3VF"</f>
        <v>#VALUE!</v>
      </c>
      <c r="HF387" t="e">
        <f>Asia!F742+"$F;@!3VG"</f>
        <v>#VALUE!</v>
      </c>
      <c r="HG387" t="e">
        <f>Asia!G742+"$F;@!3VH"</f>
        <v>#VALUE!</v>
      </c>
      <c r="HH387" t="e">
        <f>Asia!H742+"$F;@!3VI"</f>
        <v>#VALUE!</v>
      </c>
      <c r="HI387" t="e">
        <f>Asia!A743+"$F;@!3VJ"</f>
        <v>#VALUE!</v>
      </c>
      <c r="HJ387" t="e">
        <f>Asia!B743+"$F;@!3VK"</f>
        <v>#VALUE!</v>
      </c>
      <c r="HK387" t="e">
        <f>Asia!C743+"$F;@!3VL"</f>
        <v>#VALUE!</v>
      </c>
      <c r="HL387" t="e">
        <f>Asia!D743+"$F;@!3VM"</f>
        <v>#VALUE!</v>
      </c>
      <c r="HM387" t="e">
        <f>Asia!E743+"$F;@!3VN"</f>
        <v>#VALUE!</v>
      </c>
      <c r="HN387" t="e">
        <f>Asia!F743+"$F;@!3VO"</f>
        <v>#VALUE!</v>
      </c>
      <c r="HO387" t="e">
        <f>Asia!G743+"$F;@!3VP"</f>
        <v>#VALUE!</v>
      </c>
      <c r="HP387" t="e">
        <f>Asia!H743+"$F;@!3VQ"</f>
        <v>#VALUE!</v>
      </c>
      <c r="HQ387" t="e">
        <f>Asia!A744+"$F;@!3VR"</f>
        <v>#VALUE!</v>
      </c>
      <c r="HR387" t="e">
        <f>Asia!B744+"$F;@!3VS"</f>
        <v>#VALUE!</v>
      </c>
      <c r="HS387" t="e">
        <f>Asia!C744+"$F;@!3VT"</f>
        <v>#VALUE!</v>
      </c>
      <c r="HT387" t="e">
        <f>Asia!D744+"$F;@!3VU"</f>
        <v>#VALUE!</v>
      </c>
      <c r="HU387" t="e">
        <f>Asia!E744+"$F;@!3VV"</f>
        <v>#VALUE!</v>
      </c>
      <c r="HV387" t="e">
        <f>Asia!F744+"$F;@!3VW"</f>
        <v>#VALUE!</v>
      </c>
      <c r="HW387" t="e">
        <f>Asia!G744+"$F;@!3VX"</f>
        <v>#VALUE!</v>
      </c>
      <c r="HX387" t="e">
        <f>Asia!H744+"$F;@!3VY"</f>
        <v>#VALUE!</v>
      </c>
      <c r="HY387" t="e">
        <f>Asia!A745+"$F;@!3VZ"</f>
        <v>#VALUE!</v>
      </c>
      <c r="HZ387" t="e">
        <f>Asia!B745+"$F;@!3V["</f>
        <v>#VALUE!</v>
      </c>
      <c r="IA387" t="e">
        <f>Asia!C745+"$F;@!3V\"</f>
        <v>#VALUE!</v>
      </c>
      <c r="IB387" t="e">
        <f>Asia!D745+"$F;@!3V]"</f>
        <v>#VALUE!</v>
      </c>
      <c r="IC387" t="e">
        <f>Asia!E745+"$F;@!3V^"</f>
        <v>#VALUE!</v>
      </c>
      <c r="ID387" t="e">
        <f>Asia!F745+"$F;@!3V_"</f>
        <v>#VALUE!</v>
      </c>
      <c r="IE387" t="e">
        <f>Asia!G745+"$F;@!3V`"</f>
        <v>#VALUE!</v>
      </c>
      <c r="IF387" t="e">
        <f>Asia!H745+"$F;@!3Va"</f>
        <v>#VALUE!</v>
      </c>
      <c r="IG387" t="e">
        <f>Asia!A746+"$F;@!3Vb"</f>
        <v>#VALUE!</v>
      </c>
      <c r="IH387" t="e">
        <f>Asia!B746+"$F;@!3Vc"</f>
        <v>#VALUE!</v>
      </c>
      <c r="II387" t="e">
        <f>Asia!C746+"$F;@!3Vd"</f>
        <v>#VALUE!</v>
      </c>
      <c r="IJ387" t="e">
        <f>Asia!D746+"$F;@!3Ve"</f>
        <v>#VALUE!</v>
      </c>
      <c r="IK387" t="e">
        <f>Asia!E746+"$F;@!3Vf"</f>
        <v>#VALUE!</v>
      </c>
      <c r="IL387" t="e">
        <f>Asia!F746+"$F;@!3Vg"</f>
        <v>#VALUE!</v>
      </c>
      <c r="IM387" t="e">
        <f>Asia!G746+"$F;@!3Vh"</f>
        <v>#VALUE!</v>
      </c>
      <c r="IN387" t="e">
        <f>Asia!H746+"$F;@!3Vi"</f>
        <v>#VALUE!</v>
      </c>
      <c r="IO387" t="e">
        <f>Asia!A747+"$F;@!3Vj"</f>
        <v>#VALUE!</v>
      </c>
      <c r="IP387" t="e">
        <f>Asia!B747+"$F;@!3Vk"</f>
        <v>#VALUE!</v>
      </c>
      <c r="IQ387" t="e">
        <f>Asia!C747+"$F;@!3Vl"</f>
        <v>#VALUE!</v>
      </c>
      <c r="IR387" t="e">
        <f>Asia!D747+"$F;@!3Vm"</f>
        <v>#VALUE!</v>
      </c>
      <c r="IS387" t="e">
        <f>Asia!E747+"$F;@!3Vn"</f>
        <v>#VALUE!</v>
      </c>
      <c r="IT387" t="e">
        <f>Asia!F747+"$F;@!3Vo"</f>
        <v>#VALUE!</v>
      </c>
      <c r="IU387" t="e">
        <f>Asia!G747+"$F;@!3Vp"</f>
        <v>#VALUE!</v>
      </c>
      <c r="IV387" t="e">
        <f>Asia!H747+"$F;@!3Vq"</f>
        <v>#VALUE!</v>
      </c>
    </row>
    <row r="388" spans="6:256" x14ac:dyDescent="0.35">
      <c r="F388" t="e">
        <f>Asia!A748+"$F;@!3Vr"</f>
        <v>#VALUE!</v>
      </c>
      <c r="G388" t="e">
        <f>Asia!B748+"$F;@!3Vs"</f>
        <v>#VALUE!</v>
      </c>
      <c r="H388" t="e">
        <f>Asia!C748+"$F;@!3Vt"</f>
        <v>#VALUE!</v>
      </c>
      <c r="I388" t="e">
        <f>Asia!D748+"$F;@!3Vu"</f>
        <v>#VALUE!</v>
      </c>
      <c r="J388" t="e">
        <f>Asia!E748+"$F;@!3Vv"</f>
        <v>#VALUE!</v>
      </c>
      <c r="K388" t="e">
        <f>Asia!F748+"$F;@!3Vw"</f>
        <v>#VALUE!</v>
      </c>
      <c r="L388" t="e">
        <f>Asia!G748+"$F;@!3Vx"</f>
        <v>#VALUE!</v>
      </c>
      <c r="M388" t="e">
        <f>Asia!H748+"$F;@!3Vy"</f>
        <v>#VALUE!</v>
      </c>
      <c r="N388" t="e">
        <f>Asia!A749+"$F;@!3Vz"</f>
        <v>#VALUE!</v>
      </c>
      <c r="O388" t="e">
        <f>Asia!B749+"$F;@!3V{"</f>
        <v>#VALUE!</v>
      </c>
      <c r="P388" t="e">
        <f>Asia!C749+"$F;@!3V|"</f>
        <v>#VALUE!</v>
      </c>
      <c r="Q388" t="e">
        <f>Asia!D749+"$F;@!3V}"</f>
        <v>#VALUE!</v>
      </c>
      <c r="R388" t="e">
        <f>Asia!E749+"$F;@!3V~"</f>
        <v>#VALUE!</v>
      </c>
      <c r="S388" t="e">
        <f>Asia!F749+"$F;@!3W#"</f>
        <v>#VALUE!</v>
      </c>
      <c r="T388" t="e">
        <f>Asia!G749+"$F;@!3W$"</f>
        <v>#VALUE!</v>
      </c>
      <c r="U388" t="e">
        <f>Asia!H749+"$F;@!3W%"</f>
        <v>#VALUE!</v>
      </c>
      <c r="V388" t="e">
        <f>Asia!A750+"$F;@!3W&amp;"</f>
        <v>#VALUE!</v>
      </c>
      <c r="W388" t="e">
        <f>Asia!B750+"$F;@!3W'"</f>
        <v>#VALUE!</v>
      </c>
      <c r="X388" t="e">
        <f>Asia!C750+"$F;@!3W("</f>
        <v>#VALUE!</v>
      </c>
      <c r="Y388" t="e">
        <f>Asia!D750+"$F;@!3W)"</f>
        <v>#VALUE!</v>
      </c>
      <c r="Z388" t="e">
        <f>Asia!E750+"$F;@!3W."</f>
        <v>#VALUE!</v>
      </c>
      <c r="AA388" t="e">
        <f>Asia!F750+"$F;@!3W/"</f>
        <v>#VALUE!</v>
      </c>
      <c r="AB388" t="e">
        <f>Asia!G750+"$F;@!3W0"</f>
        <v>#VALUE!</v>
      </c>
      <c r="AC388" t="e">
        <f>Asia!H750+"$F;@!3W1"</f>
        <v>#VALUE!</v>
      </c>
      <c r="AD388" t="e">
        <f>Asia!A751+"$F;@!3W2"</f>
        <v>#VALUE!</v>
      </c>
      <c r="AE388" t="e">
        <f>Asia!B751+"$F;@!3W3"</f>
        <v>#VALUE!</v>
      </c>
      <c r="AF388" t="e">
        <f>Asia!C751+"$F;@!3W4"</f>
        <v>#VALUE!</v>
      </c>
      <c r="AG388" t="e">
        <f>Asia!D751+"$F;@!3W5"</f>
        <v>#VALUE!</v>
      </c>
      <c r="AH388" t="e">
        <f>Asia!E751+"$F;@!3W6"</f>
        <v>#VALUE!</v>
      </c>
      <c r="AI388" t="e">
        <f>Asia!F751+"$F;@!3W7"</f>
        <v>#VALUE!</v>
      </c>
      <c r="AJ388" t="e">
        <f>Asia!G751+"$F;@!3W8"</f>
        <v>#VALUE!</v>
      </c>
      <c r="AK388" t="e">
        <f>Asia!H751+"$F;@!3W9"</f>
        <v>#VALUE!</v>
      </c>
      <c r="AL388" t="e">
        <f>Asia!A752+"$F;@!3W:"</f>
        <v>#VALUE!</v>
      </c>
      <c r="AM388" t="e">
        <f>Asia!B752+"$F;@!3W;"</f>
        <v>#VALUE!</v>
      </c>
      <c r="AN388" t="e">
        <f>Asia!C752+"$F;@!3W&lt;"</f>
        <v>#VALUE!</v>
      </c>
      <c r="AO388" t="e">
        <f>Asia!D752+"$F;@!3W="</f>
        <v>#VALUE!</v>
      </c>
      <c r="AP388" t="e">
        <f>Asia!E752+"$F;@!3W&gt;"</f>
        <v>#VALUE!</v>
      </c>
      <c r="AQ388" t="e">
        <f>Asia!F752+"$F;@!3W?"</f>
        <v>#VALUE!</v>
      </c>
      <c r="AR388" t="e">
        <f>Asia!G752+"$F;@!3W@"</f>
        <v>#VALUE!</v>
      </c>
      <c r="AS388" t="e">
        <f>Asia!H752+"$F;@!3WA"</f>
        <v>#VALUE!</v>
      </c>
      <c r="AT388" t="e">
        <f>Asia!A753+"$F;@!3WB"</f>
        <v>#VALUE!</v>
      </c>
      <c r="AU388" t="e">
        <f>Asia!B753+"$F;@!3WC"</f>
        <v>#VALUE!</v>
      </c>
      <c r="AV388" t="e">
        <f>Asia!C753+"$F;@!3WD"</f>
        <v>#VALUE!</v>
      </c>
      <c r="AW388" t="e">
        <f>Asia!D753+"$F;@!3WE"</f>
        <v>#VALUE!</v>
      </c>
      <c r="AX388" t="e">
        <f>Asia!E753+"$F;@!3WF"</f>
        <v>#VALUE!</v>
      </c>
      <c r="AY388" t="e">
        <f>Asia!F753+"$F;@!3WG"</f>
        <v>#VALUE!</v>
      </c>
      <c r="AZ388" t="e">
        <f>Asia!G753+"$F;@!3WH"</f>
        <v>#VALUE!</v>
      </c>
      <c r="BA388" t="e">
        <f>Asia!H753+"$F;@!3WI"</f>
        <v>#VALUE!</v>
      </c>
      <c r="BB388" t="e">
        <f>Asia!A754+"$F;@!3WJ"</f>
        <v>#VALUE!</v>
      </c>
      <c r="BC388" t="e">
        <f>Asia!B754+"$F;@!3WK"</f>
        <v>#VALUE!</v>
      </c>
      <c r="BD388" t="e">
        <f>Asia!C754+"$F;@!3WL"</f>
        <v>#VALUE!</v>
      </c>
      <c r="BE388" t="e">
        <f>Asia!D754+"$F;@!3WM"</f>
        <v>#VALUE!</v>
      </c>
      <c r="BF388" t="e">
        <f>Asia!E754+"$F;@!3WN"</f>
        <v>#VALUE!</v>
      </c>
      <c r="BG388" t="e">
        <f>Asia!F754+"$F;@!3WO"</f>
        <v>#VALUE!</v>
      </c>
      <c r="BH388" t="e">
        <f>Asia!G754+"$F;@!3WP"</f>
        <v>#VALUE!</v>
      </c>
      <c r="BI388" t="e">
        <f>Asia!H754+"$F;@!3WQ"</f>
        <v>#VALUE!</v>
      </c>
      <c r="BJ388" t="e">
        <f>Asia!A755+"$F;@!3WR"</f>
        <v>#VALUE!</v>
      </c>
      <c r="BK388" t="e">
        <f>Asia!B755+"$F;@!3WS"</f>
        <v>#VALUE!</v>
      </c>
      <c r="BL388" t="e">
        <f>Asia!C755+"$F;@!3WT"</f>
        <v>#VALUE!</v>
      </c>
      <c r="BM388" t="e">
        <f>Asia!D755+"$F;@!3WU"</f>
        <v>#VALUE!</v>
      </c>
      <c r="BN388" t="e">
        <f>Asia!E755+"$F;@!3WV"</f>
        <v>#VALUE!</v>
      </c>
      <c r="BO388" t="e">
        <f>Asia!F755+"$F;@!3WW"</f>
        <v>#VALUE!</v>
      </c>
      <c r="BP388" t="e">
        <f>Asia!G755+"$F;@!3WX"</f>
        <v>#VALUE!</v>
      </c>
      <c r="BQ388" t="e">
        <f>Asia!H755+"$F;@!3WY"</f>
        <v>#VALUE!</v>
      </c>
      <c r="BR388" t="e">
        <f>Asia!A756+"$F;@!3WZ"</f>
        <v>#VALUE!</v>
      </c>
      <c r="BS388" t="e">
        <f>Asia!B756+"$F;@!3W["</f>
        <v>#VALUE!</v>
      </c>
      <c r="BT388" t="e">
        <f>Asia!C756+"$F;@!3W\"</f>
        <v>#VALUE!</v>
      </c>
      <c r="BU388" t="e">
        <f>Asia!D756+"$F;@!3W]"</f>
        <v>#VALUE!</v>
      </c>
      <c r="BV388" t="e">
        <f>Asia!E756+"$F;@!3W^"</f>
        <v>#VALUE!</v>
      </c>
      <c r="BW388" t="e">
        <f>Asia!F756+"$F;@!3W_"</f>
        <v>#VALUE!</v>
      </c>
      <c r="BX388" t="e">
        <f>Asia!G756+"$F;@!3W`"</f>
        <v>#VALUE!</v>
      </c>
      <c r="BY388" t="e">
        <f>Asia!H756+"$F;@!3Wa"</f>
        <v>#VALUE!</v>
      </c>
      <c r="BZ388" t="e">
        <f>Asia!A757+"$F;@!3Wb"</f>
        <v>#VALUE!</v>
      </c>
      <c r="CA388" t="e">
        <f>Asia!B757+"$F;@!3Wc"</f>
        <v>#VALUE!</v>
      </c>
      <c r="CB388" t="e">
        <f>Asia!C757+"$F;@!3Wd"</f>
        <v>#VALUE!</v>
      </c>
      <c r="CC388" t="e">
        <f>Asia!D757+"$F;@!3We"</f>
        <v>#VALUE!</v>
      </c>
      <c r="CD388" t="e">
        <f>Asia!E757+"$F;@!3Wf"</f>
        <v>#VALUE!</v>
      </c>
      <c r="CE388" t="e">
        <f>Asia!F757+"$F;@!3Wg"</f>
        <v>#VALUE!</v>
      </c>
      <c r="CF388" t="e">
        <f>Asia!G757+"$F;@!3Wh"</f>
        <v>#VALUE!</v>
      </c>
      <c r="CG388" t="e">
        <f>Asia!H757+"$F;@!3Wi"</f>
        <v>#VALUE!</v>
      </c>
      <c r="CH388" t="e">
        <f>Asia!A758+"$F;@!3Wj"</f>
        <v>#VALUE!</v>
      </c>
      <c r="CI388" t="e">
        <f>Asia!B758+"$F;@!3Wk"</f>
        <v>#VALUE!</v>
      </c>
      <c r="CJ388" t="e">
        <f>Asia!C758+"$F;@!3Wl"</f>
        <v>#VALUE!</v>
      </c>
      <c r="CK388" t="e">
        <f>Asia!D758+"$F;@!3Wm"</f>
        <v>#VALUE!</v>
      </c>
      <c r="CL388" t="e">
        <f>Asia!E758+"$F;@!3Wn"</f>
        <v>#VALUE!</v>
      </c>
      <c r="CM388" t="e">
        <f>Asia!F758+"$F;@!3Wo"</f>
        <v>#VALUE!</v>
      </c>
      <c r="CN388" t="e">
        <f>Asia!G758+"$F;@!3Wp"</f>
        <v>#VALUE!</v>
      </c>
      <c r="CO388" t="e">
        <f>Asia!H758+"$F;@!3Wq"</f>
        <v>#VALUE!</v>
      </c>
      <c r="CP388" t="e">
        <f>Asia!A759+"$F;@!3Wr"</f>
        <v>#VALUE!</v>
      </c>
      <c r="CQ388" t="e">
        <f>Asia!B759+"$F;@!3Ws"</f>
        <v>#VALUE!</v>
      </c>
      <c r="CR388" t="e">
        <f>Asia!C759+"$F;@!3Wt"</f>
        <v>#VALUE!</v>
      </c>
      <c r="CS388" t="e">
        <f>Asia!D759+"$F;@!3Wu"</f>
        <v>#VALUE!</v>
      </c>
      <c r="CT388" t="e">
        <f>Asia!E759+"$F;@!3Wv"</f>
        <v>#VALUE!</v>
      </c>
      <c r="CU388" t="e">
        <f>Asia!F759+"$F;@!3Ww"</f>
        <v>#VALUE!</v>
      </c>
      <c r="CV388" t="e">
        <f>Asia!G759+"$F;@!3Wx"</f>
        <v>#VALUE!</v>
      </c>
      <c r="CW388" t="e">
        <f>Asia!H759+"$F;@!3Wy"</f>
        <v>#VALUE!</v>
      </c>
      <c r="CX388" t="e">
        <f>Asia!A760+"$F;@!3Wz"</f>
        <v>#VALUE!</v>
      </c>
      <c r="CY388" t="e">
        <f>Asia!B760+"$F;@!3W{"</f>
        <v>#VALUE!</v>
      </c>
      <c r="CZ388" t="e">
        <f>Asia!C760+"$F;@!3W|"</f>
        <v>#VALUE!</v>
      </c>
      <c r="DA388" t="e">
        <f>Asia!D760+"$F;@!3W}"</f>
        <v>#VALUE!</v>
      </c>
      <c r="DB388" t="e">
        <f>Asia!E760+"$F;@!3W~"</f>
        <v>#VALUE!</v>
      </c>
      <c r="DC388" t="e">
        <f>Asia!F760+"$F;@!3X#"</f>
        <v>#VALUE!</v>
      </c>
      <c r="DD388" t="e">
        <f>Asia!G760+"$F;@!3X$"</f>
        <v>#VALUE!</v>
      </c>
      <c r="DE388" t="e">
        <f>Asia!H760+"$F;@!3X%"</f>
        <v>#VALUE!</v>
      </c>
      <c r="DF388" t="e">
        <f>Asia!A761+"$F;@!3X&amp;"</f>
        <v>#VALUE!</v>
      </c>
      <c r="DG388" t="e">
        <f>Asia!B761+"$F;@!3X'"</f>
        <v>#VALUE!</v>
      </c>
      <c r="DH388" t="e">
        <f>Asia!C761+"$F;@!3X("</f>
        <v>#VALUE!</v>
      </c>
      <c r="DI388" t="e">
        <f>Asia!D761+"$F;@!3X)"</f>
        <v>#VALUE!</v>
      </c>
      <c r="DJ388" t="e">
        <f>Asia!E761+"$F;@!3X."</f>
        <v>#VALUE!</v>
      </c>
      <c r="DK388" t="e">
        <f>Asia!F761+"$F;@!3X/"</f>
        <v>#VALUE!</v>
      </c>
      <c r="DL388" t="e">
        <f>Asia!G761+"$F;@!3X0"</f>
        <v>#VALUE!</v>
      </c>
      <c r="DM388" t="e">
        <f>Asia!H761+"$F;@!3X1"</f>
        <v>#VALUE!</v>
      </c>
      <c r="DN388" t="e">
        <f>Asia!A762+"$F;@!3X2"</f>
        <v>#VALUE!</v>
      </c>
      <c r="DO388" t="e">
        <f>Asia!B762+"$F;@!3X3"</f>
        <v>#VALUE!</v>
      </c>
      <c r="DP388" t="e">
        <f>Asia!C762+"$F;@!3X4"</f>
        <v>#VALUE!</v>
      </c>
      <c r="DQ388" t="e">
        <f>Asia!D762+"$F;@!3X5"</f>
        <v>#VALUE!</v>
      </c>
      <c r="DR388" t="e">
        <f>Asia!E762+"$F;@!3X6"</f>
        <v>#VALUE!</v>
      </c>
      <c r="DS388" t="e">
        <f>Asia!F762+"$F;@!3X7"</f>
        <v>#VALUE!</v>
      </c>
      <c r="DT388" t="e">
        <f>Asia!G762+"$F;@!3X8"</f>
        <v>#VALUE!</v>
      </c>
      <c r="DU388" t="e">
        <f>Asia!H762+"$F;@!3X9"</f>
        <v>#VALUE!</v>
      </c>
      <c r="DV388" t="e">
        <f>Asia!A763+"$F;@!3X:"</f>
        <v>#VALUE!</v>
      </c>
      <c r="DW388" t="e">
        <f>Asia!B763+"$F;@!3X;"</f>
        <v>#VALUE!</v>
      </c>
      <c r="DX388" t="e">
        <f>Asia!C763+"$F;@!3X&lt;"</f>
        <v>#VALUE!</v>
      </c>
      <c r="DY388" t="e">
        <f>Asia!D763+"$F;@!3X="</f>
        <v>#VALUE!</v>
      </c>
      <c r="DZ388" t="e">
        <f>Asia!E763+"$F;@!3X&gt;"</f>
        <v>#VALUE!</v>
      </c>
      <c r="EA388" t="e">
        <f>Asia!F763+"$F;@!3X?"</f>
        <v>#VALUE!</v>
      </c>
      <c r="EB388" t="e">
        <f>Asia!G763+"$F;@!3X@"</f>
        <v>#VALUE!</v>
      </c>
      <c r="EC388" t="e">
        <f>Asia!H763+"$F;@!3XA"</f>
        <v>#VALUE!</v>
      </c>
      <c r="ED388" t="e">
        <f>Asia!A764+"$F;@!3XB"</f>
        <v>#VALUE!</v>
      </c>
      <c r="EE388" t="e">
        <f>Asia!B764+"$F;@!3XC"</f>
        <v>#VALUE!</v>
      </c>
      <c r="EF388" t="e">
        <f>Asia!C764+"$F;@!3XD"</f>
        <v>#VALUE!</v>
      </c>
      <c r="EG388" t="e">
        <f>Asia!D764+"$F;@!3XE"</f>
        <v>#VALUE!</v>
      </c>
      <c r="EH388" t="e">
        <f>Asia!E764+"$F;@!3XF"</f>
        <v>#VALUE!</v>
      </c>
      <c r="EI388" t="e">
        <f>Asia!F764+"$F;@!3XG"</f>
        <v>#VALUE!</v>
      </c>
      <c r="EJ388" t="e">
        <f>Asia!G764+"$F;@!3XH"</f>
        <v>#VALUE!</v>
      </c>
      <c r="EK388" t="e">
        <f>Asia!H764+"$F;@!3XI"</f>
        <v>#VALUE!</v>
      </c>
      <c r="EL388" t="e">
        <f>Asia!A765+"$F;@!3XJ"</f>
        <v>#VALUE!</v>
      </c>
      <c r="EM388" t="e">
        <f>Asia!B765+"$F;@!3XK"</f>
        <v>#VALUE!</v>
      </c>
      <c r="EN388" t="e">
        <f>Asia!C765+"$F;@!3XL"</f>
        <v>#VALUE!</v>
      </c>
      <c r="EO388" t="e">
        <f>Asia!D765+"$F;@!3XM"</f>
        <v>#VALUE!</v>
      </c>
      <c r="EP388" t="e">
        <f>Asia!E765+"$F;@!3XN"</f>
        <v>#VALUE!</v>
      </c>
      <c r="EQ388" t="e">
        <f>Asia!F765+"$F;@!3XO"</f>
        <v>#VALUE!</v>
      </c>
      <c r="ER388" t="e">
        <f>Asia!G765+"$F;@!3XP"</f>
        <v>#VALUE!</v>
      </c>
      <c r="ES388" t="e">
        <f>Asia!H765+"$F;@!3XQ"</f>
        <v>#VALUE!</v>
      </c>
      <c r="ET388" t="e">
        <f>Asia!A766+"$F;@!3XR"</f>
        <v>#VALUE!</v>
      </c>
      <c r="EU388" t="e">
        <f>Asia!B766+"$F;@!3XS"</f>
        <v>#VALUE!</v>
      </c>
      <c r="EV388" t="e">
        <f>Asia!C766+"$F;@!3XT"</f>
        <v>#VALUE!</v>
      </c>
      <c r="EW388" t="e">
        <f>Asia!D766+"$F;@!3XU"</f>
        <v>#VALUE!</v>
      </c>
      <c r="EX388" t="e">
        <f>Asia!E766+"$F;@!3XV"</f>
        <v>#VALUE!</v>
      </c>
      <c r="EY388" t="e">
        <f>Asia!F766+"$F;@!3XW"</f>
        <v>#VALUE!</v>
      </c>
      <c r="EZ388" t="e">
        <f>Asia!G766+"$F;@!3XX"</f>
        <v>#VALUE!</v>
      </c>
      <c r="FA388" t="e">
        <f>Asia!H766+"$F;@!3XY"</f>
        <v>#VALUE!</v>
      </c>
      <c r="FB388" t="e">
        <f>Asia!A767+"$F;@!3XZ"</f>
        <v>#VALUE!</v>
      </c>
      <c r="FC388" t="e">
        <f>Asia!B767+"$F;@!3X["</f>
        <v>#VALUE!</v>
      </c>
      <c r="FD388" t="e">
        <f>Asia!C767+"$F;@!3X\"</f>
        <v>#VALUE!</v>
      </c>
      <c r="FE388" t="e">
        <f>Asia!D767+"$F;@!3X]"</f>
        <v>#VALUE!</v>
      </c>
      <c r="FF388" t="e">
        <f>Asia!E767+"$F;@!3X^"</f>
        <v>#VALUE!</v>
      </c>
      <c r="FG388" t="e">
        <f>Asia!F767+"$F;@!3X_"</f>
        <v>#VALUE!</v>
      </c>
      <c r="FH388" t="e">
        <f>Asia!G767+"$F;@!3X`"</f>
        <v>#VALUE!</v>
      </c>
      <c r="FI388" t="e">
        <f>Asia!H767+"$F;@!3Xa"</f>
        <v>#VALUE!</v>
      </c>
      <c r="FJ388" t="e">
        <f>Asia!A768+"$F;@!3Xb"</f>
        <v>#VALUE!</v>
      </c>
      <c r="FK388" t="e">
        <f>Asia!B768+"$F;@!3Xc"</f>
        <v>#VALUE!</v>
      </c>
      <c r="FL388" t="e">
        <f>Asia!C768+"$F;@!3Xd"</f>
        <v>#VALUE!</v>
      </c>
      <c r="FM388" t="e">
        <f>Asia!D768+"$F;@!3Xe"</f>
        <v>#VALUE!</v>
      </c>
      <c r="FN388" t="e">
        <f>Asia!E768+"$F;@!3Xf"</f>
        <v>#VALUE!</v>
      </c>
      <c r="FO388" t="e">
        <f>Asia!F768+"$F;@!3Xg"</f>
        <v>#VALUE!</v>
      </c>
      <c r="FP388" t="e">
        <f>Asia!G768+"$F;@!3Xh"</f>
        <v>#VALUE!</v>
      </c>
      <c r="FQ388" t="e">
        <f>Asia!H768+"$F;@!3Xi"</f>
        <v>#VALUE!</v>
      </c>
      <c r="FR388" t="e">
        <f>Asia!A769+"$F;@!3Xj"</f>
        <v>#VALUE!</v>
      </c>
      <c r="FS388" t="e">
        <f>Asia!B769+"$F;@!3Xk"</f>
        <v>#VALUE!</v>
      </c>
      <c r="FT388" t="e">
        <f>Asia!C769+"$F;@!3Xl"</f>
        <v>#VALUE!</v>
      </c>
      <c r="FU388" t="e">
        <f>Asia!D769+"$F;@!3Xm"</f>
        <v>#VALUE!</v>
      </c>
      <c r="FV388" t="e">
        <f>Asia!E769+"$F;@!3Xn"</f>
        <v>#VALUE!</v>
      </c>
      <c r="FW388" t="e">
        <f>Asia!F769+"$F;@!3Xo"</f>
        <v>#VALUE!</v>
      </c>
      <c r="FX388" t="e">
        <f>Asia!G769+"$F;@!3Xp"</f>
        <v>#VALUE!</v>
      </c>
      <c r="FY388" t="e">
        <f>Asia!H769+"$F;@!3Xq"</f>
        <v>#VALUE!</v>
      </c>
      <c r="FZ388" t="e">
        <f>Asia!A770+"$F;@!3Xr"</f>
        <v>#VALUE!</v>
      </c>
      <c r="GA388" t="e">
        <f>Asia!B770+"$F;@!3Xs"</f>
        <v>#VALUE!</v>
      </c>
      <c r="GB388" t="e">
        <f>Asia!C770+"$F;@!3Xt"</f>
        <v>#VALUE!</v>
      </c>
      <c r="GC388" t="e">
        <f>Asia!D770+"$F;@!3Xu"</f>
        <v>#VALUE!</v>
      </c>
      <c r="GD388" t="e">
        <f>Asia!E770+"$F;@!3Xv"</f>
        <v>#VALUE!</v>
      </c>
      <c r="GE388" t="e">
        <f>Asia!F770+"$F;@!3Xw"</f>
        <v>#VALUE!</v>
      </c>
      <c r="GF388" t="e">
        <f>Asia!G770+"$F;@!3Xx"</f>
        <v>#VALUE!</v>
      </c>
      <c r="GG388" t="e">
        <f>Asia!H770+"$F;@!3Xy"</f>
        <v>#VALUE!</v>
      </c>
      <c r="GH388" t="e">
        <f>Asia!A771+"$F;@!3Xz"</f>
        <v>#VALUE!</v>
      </c>
      <c r="GI388" t="e">
        <f>Asia!B771+"$F;@!3X{"</f>
        <v>#VALUE!</v>
      </c>
      <c r="GJ388" t="e">
        <f>Asia!C771+"$F;@!3X|"</f>
        <v>#VALUE!</v>
      </c>
      <c r="GK388" t="e">
        <f>Asia!D771+"$F;@!3X}"</f>
        <v>#VALUE!</v>
      </c>
      <c r="GL388" t="e">
        <f>Asia!E771+"$F;@!3X~"</f>
        <v>#VALUE!</v>
      </c>
      <c r="GM388" t="e">
        <f>Asia!F771+"$F;@!3Y#"</f>
        <v>#VALUE!</v>
      </c>
      <c r="GN388" t="e">
        <f>Asia!G771+"$F;@!3Y$"</f>
        <v>#VALUE!</v>
      </c>
      <c r="GO388" t="e">
        <f>Asia!H771+"$F;@!3Y%"</f>
        <v>#VALUE!</v>
      </c>
      <c r="GP388" t="e">
        <f>Asia!A772+"$F;@!3Y&amp;"</f>
        <v>#VALUE!</v>
      </c>
      <c r="GQ388" t="e">
        <f>Asia!B772+"$F;@!3Y'"</f>
        <v>#VALUE!</v>
      </c>
      <c r="GR388" t="e">
        <f>Asia!C772+"$F;@!3Y("</f>
        <v>#VALUE!</v>
      </c>
      <c r="GS388" t="e">
        <f>Asia!D772+"$F;@!3Y)"</f>
        <v>#VALUE!</v>
      </c>
      <c r="GT388" t="e">
        <f>Asia!E772+"$F;@!3Y."</f>
        <v>#VALUE!</v>
      </c>
      <c r="GU388" t="e">
        <f>Asia!F772+"$F;@!3Y/"</f>
        <v>#VALUE!</v>
      </c>
      <c r="GV388" t="e">
        <f>Asia!G772+"$F;@!3Y0"</f>
        <v>#VALUE!</v>
      </c>
      <c r="GW388" t="e">
        <f>Asia!H772+"$F;@!3Y1"</f>
        <v>#VALUE!</v>
      </c>
      <c r="GX388" t="e">
        <f>Asia!A773+"$F;@!3Y2"</f>
        <v>#VALUE!</v>
      </c>
      <c r="GY388" t="e">
        <f>Asia!B773+"$F;@!3Y3"</f>
        <v>#VALUE!</v>
      </c>
      <c r="GZ388" t="e">
        <f>Asia!C773+"$F;@!3Y4"</f>
        <v>#VALUE!</v>
      </c>
      <c r="HA388" t="e">
        <f>Asia!D773+"$F;@!3Y5"</f>
        <v>#VALUE!</v>
      </c>
      <c r="HB388" t="e">
        <f>Asia!E773+"$F;@!3Y6"</f>
        <v>#VALUE!</v>
      </c>
      <c r="HC388" t="e">
        <f>Asia!F773+"$F;@!3Y7"</f>
        <v>#VALUE!</v>
      </c>
      <c r="HD388" t="e">
        <f>Asia!G773+"$F;@!3Y8"</f>
        <v>#VALUE!</v>
      </c>
      <c r="HE388" t="e">
        <f>Asia!H773+"$F;@!3Y9"</f>
        <v>#VALUE!</v>
      </c>
      <c r="HF388" t="e">
        <f>Asia!A774+"$F;@!3Y:"</f>
        <v>#VALUE!</v>
      </c>
      <c r="HG388" t="e">
        <f>Asia!B774+"$F;@!3Y;"</f>
        <v>#VALUE!</v>
      </c>
      <c r="HH388" t="e">
        <f>Asia!C774+"$F;@!3Y&lt;"</f>
        <v>#VALUE!</v>
      </c>
      <c r="HI388" t="e">
        <f>Asia!D774+"$F;@!3Y="</f>
        <v>#VALUE!</v>
      </c>
      <c r="HJ388" t="e">
        <f>Asia!E774+"$F;@!3Y&gt;"</f>
        <v>#VALUE!</v>
      </c>
      <c r="HK388" t="e">
        <f>Asia!F774+"$F;@!3Y?"</f>
        <v>#VALUE!</v>
      </c>
      <c r="HL388" t="e">
        <f>Asia!G774+"$F;@!3Y@"</f>
        <v>#VALUE!</v>
      </c>
      <c r="HM388" t="e">
        <f>Asia!H774+"$F;@!3YA"</f>
        <v>#VALUE!</v>
      </c>
      <c r="HN388" t="e">
        <f>Asia!A775+"$F;@!3YB"</f>
        <v>#VALUE!</v>
      </c>
      <c r="HO388" t="e">
        <f>Asia!B775+"$F;@!3YC"</f>
        <v>#VALUE!</v>
      </c>
      <c r="HP388" t="e">
        <f>Asia!C775+"$F;@!3YD"</f>
        <v>#VALUE!</v>
      </c>
      <c r="HQ388" t="e">
        <f>Asia!D775+"$F;@!3YE"</f>
        <v>#VALUE!</v>
      </c>
      <c r="HR388" t="e">
        <f>Asia!E775+"$F;@!3YF"</f>
        <v>#VALUE!</v>
      </c>
      <c r="HS388" t="e">
        <f>Asia!F775+"$F;@!3YG"</f>
        <v>#VALUE!</v>
      </c>
      <c r="HT388" t="e">
        <f>Asia!G775+"$F;@!3YH"</f>
        <v>#VALUE!</v>
      </c>
      <c r="HU388" t="e">
        <f>Asia!H775+"$F;@!3YI"</f>
        <v>#VALUE!</v>
      </c>
      <c r="HV388" t="e">
        <f>Asia!A776+"$F;@!3YJ"</f>
        <v>#VALUE!</v>
      </c>
      <c r="HW388" t="e">
        <f>Asia!B776+"$F;@!3YK"</f>
        <v>#VALUE!</v>
      </c>
      <c r="HX388" t="e">
        <f>Asia!C776+"$F;@!3YL"</f>
        <v>#VALUE!</v>
      </c>
      <c r="HY388" t="e">
        <f>Asia!D776+"$F;@!3YM"</f>
        <v>#VALUE!</v>
      </c>
      <c r="HZ388" t="e">
        <f>Asia!E776+"$F;@!3YN"</f>
        <v>#VALUE!</v>
      </c>
      <c r="IA388" t="e">
        <f>Asia!F776+"$F;@!3YO"</f>
        <v>#VALUE!</v>
      </c>
      <c r="IB388" t="e">
        <f>Asia!G776+"$F;@!3YP"</f>
        <v>#VALUE!</v>
      </c>
      <c r="IC388" t="e">
        <f>Asia!H776+"$F;@!3YQ"</f>
        <v>#VALUE!</v>
      </c>
      <c r="ID388" t="e">
        <f>Asia!A777+"$F;@!3YR"</f>
        <v>#VALUE!</v>
      </c>
      <c r="IE388" t="e">
        <f>Asia!B777+"$F;@!3YS"</f>
        <v>#VALUE!</v>
      </c>
      <c r="IF388" t="e">
        <f>Asia!C777+"$F;@!3YT"</f>
        <v>#VALUE!</v>
      </c>
      <c r="IG388" t="e">
        <f>Asia!D777+"$F;@!3YU"</f>
        <v>#VALUE!</v>
      </c>
      <c r="IH388" t="e">
        <f>Asia!E777+"$F;@!3YV"</f>
        <v>#VALUE!</v>
      </c>
      <c r="II388" t="e">
        <f>Asia!F777+"$F;@!3YW"</f>
        <v>#VALUE!</v>
      </c>
      <c r="IJ388" t="e">
        <f>Asia!G777+"$F;@!3YX"</f>
        <v>#VALUE!</v>
      </c>
      <c r="IK388" t="e">
        <f>Asia!H777+"$F;@!3YY"</f>
        <v>#VALUE!</v>
      </c>
      <c r="IL388" t="e">
        <f>Asia!A778+"$F;@!3YZ"</f>
        <v>#VALUE!</v>
      </c>
      <c r="IM388" t="e">
        <f>Asia!B778+"$F;@!3Y["</f>
        <v>#VALUE!</v>
      </c>
      <c r="IN388" t="e">
        <f>Asia!C778+"$F;@!3Y\"</f>
        <v>#VALUE!</v>
      </c>
      <c r="IO388" t="e">
        <f>Asia!D778+"$F;@!3Y]"</f>
        <v>#VALUE!</v>
      </c>
      <c r="IP388" t="e">
        <f>Asia!E778+"$F;@!3Y^"</f>
        <v>#VALUE!</v>
      </c>
      <c r="IQ388" t="e">
        <f>Asia!F778+"$F;@!3Y_"</f>
        <v>#VALUE!</v>
      </c>
      <c r="IR388" t="e">
        <f>Asia!G778+"$F;@!3Y`"</f>
        <v>#VALUE!</v>
      </c>
      <c r="IS388" t="e">
        <f>Asia!H778+"$F;@!3Ya"</f>
        <v>#VALUE!</v>
      </c>
      <c r="IT388" t="e">
        <f>Asia!A779+"$F;@!3Yb"</f>
        <v>#VALUE!</v>
      </c>
      <c r="IU388" t="e">
        <f>Asia!B779+"$F;@!3Yc"</f>
        <v>#VALUE!</v>
      </c>
      <c r="IV388" t="e">
        <f>Asia!C779+"$F;@!3Yd"</f>
        <v>#VALUE!</v>
      </c>
    </row>
    <row r="389" spans="6:256" x14ac:dyDescent="0.35">
      <c r="F389" t="e">
        <f>Asia!D779+"$F;@!3Ye"</f>
        <v>#VALUE!</v>
      </c>
      <c r="G389" t="e">
        <f>Asia!E779+"$F;@!3Yf"</f>
        <v>#VALUE!</v>
      </c>
      <c r="H389" t="e">
        <f>Asia!F779+"$F;@!3Yg"</f>
        <v>#VALUE!</v>
      </c>
      <c r="I389" t="e">
        <f>Asia!G779+"$F;@!3Yh"</f>
        <v>#VALUE!</v>
      </c>
      <c r="J389" t="e">
        <f>Asia!H779+"$F;@!3Yi"</f>
        <v>#VALUE!</v>
      </c>
      <c r="K389" t="e">
        <f>Asia!A780+"$F;@!3Yj"</f>
        <v>#VALUE!</v>
      </c>
      <c r="L389" t="e">
        <f>Asia!B780+"$F;@!3Yk"</f>
        <v>#VALUE!</v>
      </c>
      <c r="M389" t="e">
        <f>Asia!C780+"$F;@!3Yl"</f>
        <v>#VALUE!</v>
      </c>
      <c r="N389" t="e">
        <f>Asia!D780+"$F;@!3Ym"</f>
        <v>#VALUE!</v>
      </c>
      <c r="O389" t="e">
        <f>Asia!E780+"$F;@!3Yn"</f>
        <v>#VALUE!</v>
      </c>
      <c r="P389" t="e">
        <f>Asia!F780+"$F;@!3Yo"</f>
        <v>#VALUE!</v>
      </c>
      <c r="Q389" t="e">
        <f>Asia!G780+"$F;@!3Yp"</f>
        <v>#VALUE!</v>
      </c>
      <c r="R389" t="e">
        <f>Asia!H780+"$F;@!3Yq"</f>
        <v>#VALUE!</v>
      </c>
      <c r="S389" t="e">
        <f>Asia!A781+"$F;@!3Yr"</f>
        <v>#VALUE!</v>
      </c>
      <c r="T389" t="e">
        <f>Asia!B781+"$F;@!3Ys"</f>
        <v>#VALUE!</v>
      </c>
      <c r="U389" t="e">
        <f>Asia!C781+"$F;@!3Yt"</f>
        <v>#VALUE!</v>
      </c>
      <c r="V389" t="e">
        <f>Asia!D781+"$F;@!3Yu"</f>
        <v>#VALUE!</v>
      </c>
      <c r="W389" t="e">
        <f>Asia!E781+"$F;@!3Yv"</f>
        <v>#VALUE!</v>
      </c>
      <c r="X389" t="e">
        <f>Asia!F781+"$F;@!3Yw"</f>
        <v>#VALUE!</v>
      </c>
      <c r="Y389" t="e">
        <f>Asia!G781+"$F;@!3Yx"</f>
        <v>#VALUE!</v>
      </c>
      <c r="Z389" t="e">
        <f>Asia!H781+"$F;@!3Yy"</f>
        <v>#VALUE!</v>
      </c>
      <c r="AA389" t="e">
        <f>Asia!A782+"$F;@!3Yz"</f>
        <v>#VALUE!</v>
      </c>
      <c r="AB389" t="e">
        <f>Asia!B782+"$F;@!3Y{"</f>
        <v>#VALUE!</v>
      </c>
      <c r="AC389" t="e">
        <f>Asia!C782+"$F;@!3Y|"</f>
        <v>#VALUE!</v>
      </c>
      <c r="AD389" t="e">
        <f>Asia!D782+"$F;@!3Y}"</f>
        <v>#VALUE!</v>
      </c>
      <c r="AE389" t="e">
        <f>Asia!E782+"$F;@!3Y~"</f>
        <v>#VALUE!</v>
      </c>
      <c r="AF389" t="e">
        <f>Asia!F782+"$F;@!3Z#"</f>
        <v>#VALUE!</v>
      </c>
      <c r="AG389" t="e">
        <f>Asia!G782+"$F;@!3Z$"</f>
        <v>#VALUE!</v>
      </c>
      <c r="AH389" t="e">
        <f>Asia!H782+"$F;@!3Z%"</f>
        <v>#VALUE!</v>
      </c>
      <c r="AI389" t="e">
        <f>Asia!A783+"$F;@!3Z&amp;"</f>
        <v>#VALUE!</v>
      </c>
      <c r="AJ389" t="e">
        <f>Asia!B783+"$F;@!3Z'"</f>
        <v>#VALUE!</v>
      </c>
      <c r="AK389" t="e">
        <f>Asia!C783+"$F;@!3Z("</f>
        <v>#VALUE!</v>
      </c>
      <c r="AL389" t="e">
        <f>Asia!D783+"$F;@!3Z)"</f>
        <v>#VALUE!</v>
      </c>
      <c r="AM389" t="e">
        <f>Asia!E783+"$F;@!3Z."</f>
        <v>#VALUE!</v>
      </c>
      <c r="AN389" t="e">
        <f>Asia!F783+"$F;@!3Z/"</f>
        <v>#VALUE!</v>
      </c>
      <c r="AO389" t="e">
        <f>Asia!G783+"$F;@!3Z0"</f>
        <v>#VALUE!</v>
      </c>
      <c r="AP389" t="e">
        <f>Asia!H783+"$F;@!3Z1"</f>
        <v>#VALUE!</v>
      </c>
      <c r="AQ389" t="e">
        <f>Asia!A784+"$F;@!3Z2"</f>
        <v>#VALUE!</v>
      </c>
      <c r="AR389" t="e">
        <f>Asia!B784+"$F;@!3Z3"</f>
        <v>#VALUE!</v>
      </c>
      <c r="AS389" t="e">
        <f>Asia!C784+"$F;@!3Z4"</f>
        <v>#VALUE!</v>
      </c>
      <c r="AT389" t="e">
        <f>Asia!D784+"$F;@!3Z5"</f>
        <v>#VALUE!</v>
      </c>
      <c r="AU389" t="e">
        <f>Asia!E784+"$F;@!3Z6"</f>
        <v>#VALUE!</v>
      </c>
      <c r="AV389" t="e">
        <f>Asia!F784+"$F;@!3Z7"</f>
        <v>#VALUE!</v>
      </c>
      <c r="AW389" t="e">
        <f>Asia!G784+"$F;@!3Z8"</f>
        <v>#VALUE!</v>
      </c>
      <c r="AX389" t="e">
        <f>Asia!H784+"$F;@!3Z9"</f>
        <v>#VALUE!</v>
      </c>
      <c r="AY389" t="e">
        <f>Asia!A785+"$F;@!3Z:"</f>
        <v>#VALUE!</v>
      </c>
      <c r="AZ389" t="e">
        <f>Asia!B785+"$F;@!3Z;"</f>
        <v>#VALUE!</v>
      </c>
      <c r="BA389" t="e">
        <f>Asia!C785+"$F;@!3Z&lt;"</f>
        <v>#VALUE!</v>
      </c>
      <c r="BB389" t="e">
        <f>Asia!D785+"$F;@!3Z="</f>
        <v>#VALUE!</v>
      </c>
      <c r="BC389" t="e">
        <f>Asia!E785+"$F;@!3Z&gt;"</f>
        <v>#VALUE!</v>
      </c>
      <c r="BD389" t="e">
        <f>Asia!F785+"$F;@!3Z?"</f>
        <v>#VALUE!</v>
      </c>
      <c r="BE389" t="e">
        <f>Asia!G785+"$F;@!3Z@"</f>
        <v>#VALUE!</v>
      </c>
      <c r="BF389" t="e">
        <f>Asia!H785+"$F;@!3ZA"</f>
        <v>#VALUE!</v>
      </c>
      <c r="BG389" t="e">
        <f>Asia!A786+"$F;@!3ZB"</f>
        <v>#VALUE!</v>
      </c>
      <c r="BH389" t="e">
        <f>Asia!B786+"$F;@!3ZC"</f>
        <v>#VALUE!</v>
      </c>
      <c r="BI389" t="e">
        <f>Asia!C786+"$F;@!3ZD"</f>
        <v>#VALUE!</v>
      </c>
      <c r="BJ389" t="e">
        <f>Asia!D786+"$F;@!3ZE"</f>
        <v>#VALUE!</v>
      </c>
      <c r="BK389" t="e">
        <f>Asia!E786+"$F;@!3ZF"</f>
        <v>#VALUE!</v>
      </c>
      <c r="BL389" t="e">
        <f>Asia!F786+"$F;@!3ZG"</f>
        <v>#VALUE!</v>
      </c>
      <c r="BM389" t="e">
        <f>Asia!G786+"$F;@!3ZH"</f>
        <v>#VALUE!</v>
      </c>
      <c r="BN389" t="e">
        <f>Asia!H786+"$F;@!3ZI"</f>
        <v>#VALUE!</v>
      </c>
      <c r="BO389" t="e">
        <f>Asia!A787+"$F;@!3ZJ"</f>
        <v>#VALUE!</v>
      </c>
      <c r="BP389" t="e">
        <f>Asia!B787+"$F;@!3ZK"</f>
        <v>#VALUE!</v>
      </c>
      <c r="BQ389" t="e">
        <f>Asia!C787+"$F;@!3ZL"</f>
        <v>#VALUE!</v>
      </c>
      <c r="BR389" t="e">
        <f>Asia!D787+"$F;@!3ZM"</f>
        <v>#VALUE!</v>
      </c>
      <c r="BS389" t="e">
        <f>Asia!E787+"$F;@!3ZN"</f>
        <v>#VALUE!</v>
      </c>
      <c r="BT389" t="e">
        <f>Asia!F787+"$F;@!3ZO"</f>
        <v>#VALUE!</v>
      </c>
      <c r="BU389" t="e">
        <f>Asia!G787+"$F;@!3ZP"</f>
        <v>#VALUE!</v>
      </c>
      <c r="BV389" t="e">
        <f>Asia!H787+"$F;@!3ZQ"</f>
        <v>#VALUE!</v>
      </c>
      <c r="BW389" t="e">
        <f>Asia!A788+"$F;@!3ZR"</f>
        <v>#VALUE!</v>
      </c>
      <c r="BX389" t="e">
        <f>Asia!B788+"$F;@!3ZS"</f>
        <v>#VALUE!</v>
      </c>
      <c r="BY389" t="e">
        <f>Asia!C788+"$F;@!3ZT"</f>
        <v>#VALUE!</v>
      </c>
      <c r="BZ389" t="e">
        <f>Asia!D788+"$F;@!3ZU"</f>
        <v>#VALUE!</v>
      </c>
      <c r="CA389" t="e">
        <f>Asia!E788+"$F;@!3ZV"</f>
        <v>#VALUE!</v>
      </c>
      <c r="CB389" t="e">
        <f>Asia!F788+"$F;@!3ZW"</f>
        <v>#VALUE!</v>
      </c>
      <c r="CC389" t="e">
        <f>Asia!G788+"$F;@!3ZX"</f>
        <v>#VALUE!</v>
      </c>
      <c r="CD389" t="e">
        <f>Asia!H788+"$F;@!3ZY"</f>
        <v>#VALUE!</v>
      </c>
      <c r="CE389" t="e">
        <f>Asia!A789+"$F;@!3ZZ"</f>
        <v>#VALUE!</v>
      </c>
      <c r="CF389" t="e">
        <f>Asia!B789+"$F;@!3Z["</f>
        <v>#VALUE!</v>
      </c>
      <c r="CG389" t="e">
        <f>Asia!C789+"$F;@!3Z\"</f>
        <v>#VALUE!</v>
      </c>
      <c r="CH389" t="e">
        <f>Asia!D789+"$F;@!3Z]"</f>
        <v>#VALUE!</v>
      </c>
      <c r="CI389" t="e">
        <f>Asia!E789+"$F;@!3Z^"</f>
        <v>#VALUE!</v>
      </c>
      <c r="CJ389" t="e">
        <f>Asia!F789+"$F;@!3Z_"</f>
        <v>#VALUE!</v>
      </c>
      <c r="CK389" t="e">
        <f>Asia!G789+"$F;@!3Z`"</f>
        <v>#VALUE!</v>
      </c>
      <c r="CL389" t="e">
        <f>Asia!H789+"$F;@!3Za"</f>
        <v>#VALUE!</v>
      </c>
      <c r="CM389" t="e">
        <f>Asia!A790+"$F;@!3Zb"</f>
        <v>#VALUE!</v>
      </c>
      <c r="CN389" t="e">
        <f>Asia!B790+"$F;@!3Zc"</f>
        <v>#VALUE!</v>
      </c>
      <c r="CO389" t="e">
        <f>Asia!C790+"$F;@!3Zd"</f>
        <v>#VALUE!</v>
      </c>
      <c r="CP389" t="e">
        <f>Asia!D790+"$F;@!3Ze"</f>
        <v>#VALUE!</v>
      </c>
      <c r="CQ389" t="e">
        <f>Asia!E790+"$F;@!3Zf"</f>
        <v>#VALUE!</v>
      </c>
      <c r="CR389" t="e">
        <f>Asia!F790+"$F;@!3Zg"</f>
        <v>#VALUE!</v>
      </c>
      <c r="CS389" t="e">
        <f>Asia!G790+"$F;@!3Zh"</f>
        <v>#VALUE!</v>
      </c>
      <c r="CT389" t="e">
        <f>Asia!H790+"$F;@!3Zi"</f>
        <v>#VALUE!</v>
      </c>
      <c r="CU389" t="e">
        <f>Asia!A791+"$F;@!3Zj"</f>
        <v>#VALUE!</v>
      </c>
      <c r="CV389" t="e">
        <f>Asia!B791+"$F;@!3Zk"</f>
        <v>#VALUE!</v>
      </c>
      <c r="CW389" t="e">
        <f>Asia!C791+"$F;@!3Zl"</f>
        <v>#VALUE!</v>
      </c>
      <c r="CX389" t="e">
        <f>Asia!D791+"$F;@!3Zm"</f>
        <v>#VALUE!</v>
      </c>
      <c r="CY389" t="e">
        <f>Asia!E791+"$F;@!3Zn"</f>
        <v>#VALUE!</v>
      </c>
      <c r="CZ389" t="e">
        <f>Asia!F791+"$F;@!3Zo"</f>
        <v>#VALUE!</v>
      </c>
      <c r="DA389" t="e">
        <f>Asia!G791+"$F;@!3Zp"</f>
        <v>#VALUE!</v>
      </c>
      <c r="DB389" t="e">
        <f>Asia!H791+"$F;@!3Zq"</f>
        <v>#VALUE!</v>
      </c>
      <c r="DC389" t="e">
        <f>Asia!A792+"$F;@!3Zr"</f>
        <v>#VALUE!</v>
      </c>
      <c r="DD389" t="e">
        <f>Asia!B792+"$F;@!3Zs"</f>
        <v>#VALUE!</v>
      </c>
      <c r="DE389" t="e">
        <f>Asia!C792+"$F;@!3Zt"</f>
        <v>#VALUE!</v>
      </c>
      <c r="DF389" t="e">
        <f>Asia!D792+"$F;@!3Zu"</f>
        <v>#VALUE!</v>
      </c>
      <c r="DG389" t="e">
        <f>Asia!E792+"$F;@!3Zv"</f>
        <v>#VALUE!</v>
      </c>
      <c r="DH389" t="e">
        <f>Asia!F792+"$F;@!3Zw"</f>
        <v>#VALUE!</v>
      </c>
      <c r="DI389" t="e">
        <f>Asia!G792+"$F;@!3Zx"</f>
        <v>#VALUE!</v>
      </c>
      <c r="DJ389" t="e">
        <f>Asia!H792+"$F;@!3Zy"</f>
        <v>#VALUE!</v>
      </c>
      <c r="DK389" t="e">
        <f>Asia!A793+"$F;@!3Zz"</f>
        <v>#VALUE!</v>
      </c>
      <c r="DL389" t="e">
        <f>Asia!B793+"$F;@!3Z{"</f>
        <v>#VALUE!</v>
      </c>
      <c r="DM389" t="e">
        <f>Asia!C793+"$F;@!3Z|"</f>
        <v>#VALUE!</v>
      </c>
      <c r="DN389" t="e">
        <f>Asia!D793+"$F;@!3Z}"</f>
        <v>#VALUE!</v>
      </c>
      <c r="DO389" t="e">
        <f>Asia!E793+"$F;@!3Z~"</f>
        <v>#VALUE!</v>
      </c>
      <c r="DP389" t="e">
        <f>Asia!F793+"$F;@!3[#"</f>
        <v>#VALUE!</v>
      </c>
      <c r="DQ389" t="e">
        <f>Asia!G793+"$F;@!3[$"</f>
        <v>#VALUE!</v>
      </c>
      <c r="DR389" t="e">
        <f>Asia!H793+"$F;@!3[%"</f>
        <v>#VALUE!</v>
      </c>
      <c r="DS389" t="e">
        <f>Asia!A794+"$F;@!3[&amp;"</f>
        <v>#VALUE!</v>
      </c>
      <c r="DT389" t="e">
        <f>Asia!B794+"$F;@!3['"</f>
        <v>#VALUE!</v>
      </c>
      <c r="DU389" t="e">
        <f>Asia!C794+"$F;@!3[("</f>
        <v>#VALUE!</v>
      </c>
      <c r="DV389" t="e">
        <f>Asia!D794+"$F;@!3[)"</f>
        <v>#VALUE!</v>
      </c>
      <c r="DW389" t="e">
        <f>Asia!E794+"$F;@!3[."</f>
        <v>#VALUE!</v>
      </c>
      <c r="DX389" t="e">
        <f>Asia!F794+"$F;@!3[/"</f>
        <v>#VALUE!</v>
      </c>
      <c r="DY389" t="e">
        <f>Asia!G794+"$F;@!3[0"</f>
        <v>#VALUE!</v>
      </c>
      <c r="DZ389" t="e">
        <f>Asia!H794+"$F;@!3[1"</f>
        <v>#VALUE!</v>
      </c>
      <c r="EA389" t="e">
        <f>Asia!A795+"$F;@!3[2"</f>
        <v>#VALUE!</v>
      </c>
      <c r="EB389" t="e">
        <f>Asia!B795+"$F;@!3[3"</f>
        <v>#VALUE!</v>
      </c>
      <c r="EC389" t="e">
        <f>Asia!C795+"$F;@!3[4"</f>
        <v>#VALUE!</v>
      </c>
      <c r="ED389" t="e">
        <f>Asia!D795+"$F;@!3[5"</f>
        <v>#VALUE!</v>
      </c>
      <c r="EE389" t="e">
        <f>Asia!E795+"$F;@!3[6"</f>
        <v>#VALUE!</v>
      </c>
      <c r="EF389" t="e">
        <f>Asia!F795+"$F;@!3[7"</f>
        <v>#VALUE!</v>
      </c>
      <c r="EG389" t="e">
        <f>Asia!G795+"$F;@!3[8"</f>
        <v>#VALUE!</v>
      </c>
      <c r="EH389" t="e">
        <f>Asia!H795+"$F;@!3[9"</f>
        <v>#VALUE!</v>
      </c>
      <c r="EI389" t="e">
        <f>Asia!A796+"$F;@!3[:"</f>
        <v>#VALUE!</v>
      </c>
      <c r="EJ389" t="e">
        <f>Asia!B796+"$F;@!3[;"</f>
        <v>#VALUE!</v>
      </c>
      <c r="EK389" t="e">
        <f>Asia!C796+"$F;@!3[&lt;"</f>
        <v>#VALUE!</v>
      </c>
      <c r="EL389" t="e">
        <f>Asia!D796+"$F;@!3[="</f>
        <v>#VALUE!</v>
      </c>
      <c r="EM389" t="e">
        <f>Asia!E796+"$F;@!3[&gt;"</f>
        <v>#VALUE!</v>
      </c>
      <c r="EN389" t="e">
        <f>Asia!F796+"$F;@!3[?"</f>
        <v>#VALUE!</v>
      </c>
      <c r="EO389" t="e">
        <f>Asia!G796+"$F;@!3[@"</f>
        <v>#VALUE!</v>
      </c>
      <c r="EP389" t="e">
        <f>Asia!H796+"$F;@!3[A"</f>
        <v>#VALUE!</v>
      </c>
      <c r="EQ389" t="e">
        <f>Asia!A797+"$F;@!3[B"</f>
        <v>#VALUE!</v>
      </c>
      <c r="ER389" t="e">
        <f>Asia!B797+"$F;@!3[C"</f>
        <v>#VALUE!</v>
      </c>
      <c r="ES389" t="e">
        <f>Asia!C797+"$F;@!3[D"</f>
        <v>#VALUE!</v>
      </c>
      <c r="ET389" t="e">
        <f>Asia!D797+"$F;@!3[E"</f>
        <v>#VALUE!</v>
      </c>
      <c r="EU389" t="e">
        <f>Asia!E797+"$F;@!3[F"</f>
        <v>#VALUE!</v>
      </c>
      <c r="EV389" t="e">
        <f>Asia!F797+"$F;@!3[G"</f>
        <v>#VALUE!</v>
      </c>
      <c r="EW389" t="e">
        <f>Asia!G797+"$F;@!3[H"</f>
        <v>#VALUE!</v>
      </c>
      <c r="EX389" t="e">
        <f>Asia!H797+"$F;@!3[I"</f>
        <v>#VALUE!</v>
      </c>
      <c r="EY389" t="e">
        <f>Asia!A798+"$F;@!3[J"</f>
        <v>#VALUE!</v>
      </c>
      <c r="EZ389" t="e">
        <f>Asia!B798+"$F;@!3[K"</f>
        <v>#VALUE!</v>
      </c>
      <c r="FA389" t="e">
        <f>Asia!C798+"$F;@!3[L"</f>
        <v>#VALUE!</v>
      </c>
      <c r="FB389" t="e">
        <f>Asia!D798+"$F;@!3[M"</f>
        <v>#VALUE!</v>
      </c>
      <c r="FC389" t="e">
        <f>Asia!E798+"$F;@!3[N"</f>
        <v>#VALUE!</v>
      </c>
      <c r="FD389" t="e">
        <f>Asia!F798+"$F;@!3[O"</f>
        <v>#VALUE!</v>
      </c>
      <c r="FE389" t="e">
        <f>Asia!G798+"$F;@!3[P"</f>
        <v>#VALUE!</v>
      </c>
      <c r="FF389" t="e">
        <f>Asia!H798+"$F;@!3[Q"</f>
        <v>#VALUE!</v>
      </c>
      <c r="FG389" t="e">
        <f>Asia!A799+"$F;@!3[R"</f>
        <v>#VALUE!</v>
      </c>
      <c r="FH389" t="e">
        <f>Asia!B799+"$F;@!3[S"</f>
        <v>#VALUE!</v>
      </c>
      <c r="FI389" t="e">
        <f>Asia!C799+"$F;@!3[T"</f>
        <v>#VALUE!</v>
      </c>
      <c r="FJ389" t="e">
        <f>Asia!D799+"$F;@!3[U"</f>
        <v>#VALUE!</v>
      </c>
      <c r="FK389" t="e">
        <f>Asia!E799+"$F;@!3[V"</f>
        <v>#VALUE!</v>
      </c>
      <c r="FL389" t="e">
        <f>Asia!F799+"$F;@!3[W"</f>
        <v>#VALUE!</v>
      </c>
      <c r="FM389" t="e">
        <f>Asia!G799+"$F;@!3[X"</f>
        <v>#VALUE!</v>
      </c>
      <c r="FN389" t="e">
        <f>Asia!H799+"$F;@!3[Y"</f>
        <v>#VALUE!</v>
      </c>
      <c r="FO389" t="e">
        <f>Asia!A800+"$F;@!3[Z"</f>
        <v>#VALUE!</v>
      </c>
      <c r="FP389" t="e">
        <f>Asia!B800+"$F;@!3[["</f>
        <v>#VALUE!</v>
      </c>
      <c r="FQ389" t="e">
        <f>Asia!C800+"$F;@!3[\"</f>
        <v>#VALUE!</v>
      </c>
      <c r="FR389" t="e">
        <f>Asia!D800+"$F;@!3[]"</f>
        <v>#VALUE!</v>
      </c>
      <c r="FS389" t="e">
        <f>Asia!E800+"$F;@!3[^"</f>
        <v>#VALUE!</v>
      </c>
      <c r="FT389" t="e">
        <f>Asia!F800+"$F;@!3[_"</f>
        <v>#VALUE!</v>
      </c>
      <c r="FU389" t="e">
        <f>Asia!G800+"$F;@!3[`"</f>
        <v>#VALUE!</v>
      </c>
      <c r="FV389" t="e">
        <f>Asia!H800+"$F;@!3[a"</f>
        <v>#VALUE!</v>
      </c>
      <c r="FW389" t="e">
        <f>Asia!A801+"$F;@!3[b"</f>
        <v>#VALUE!</v>
      </c>
      <c r="FX389" t="e">
        <f>Asia!B801+"$F;@!3[c"</f>
        <v>#VALUE!</v>
      </c>
      <c r="FY389" t="e">
        <f>Asia!C801+"$F;@!3[d"</f>
        <v>#VALUE!</v>
      </c>
      <c r="FZ389" t="e">
        <f>Asia!D801+"$F;@!3[e"</f>
        <v>#VALUE!</v>
      </c>
      <c r="GA389" t="e">
        <f>Asia!E801+"$F;@!3[f"</f>
        <v>#VALUE!</v>
      </c>
      <c r="GB389" t="e">
        <f>Asia!F801+"$F;@!3[g"</f>
        <v>#VALUE!</v>
      </c>
      <c r="GC389" t="e">
        <f>Asia!G801+"$F;@!3[h"</f>
        <v>#VALUE!</v>
      </c>
      <c r="GD389" t="e">
        <f>Asia!H801+"$F;@!3[i"</f>
        <v>#VALUE!</v>
      </c>
      <c r="GE389" t="e">
        <f>Asia!A802+"$F;@!3[j"</f>
        <v>#VALUE!</v>
      </c>
      <c r="GF389" t="e">
        <f>Asia!B802+"$F;@!3[k"</f>
        <v>#VALUE!</v>
      </c>
      <c r="GG389" t="e">
        <f>Asia!C802+"$F;@!3[l"</f>
        <v>#VALUE!</v>
      </c>
      <c r="GH389" t="e">
        <f>Asia!D802+"$F;@!3[m"</f>
        <v>#VALUE!</v>
      </c>
      <c r="GI389" t="e">
        <f>Asia!E802+"$F;@!3[n"</f>
        <v>#VALUE!</v>
      </c>
      <c r="GJ389" t="e">
        <f>Asia!F802+"$F;@!3[o"</f>
        <v>#VALUE!</v>
      </c>
      <c r="GK389" t="e">
        <f>Asia!G802+"$F;@!3[p"</f>
        <v>#VALUE!</v>
      </c>
      <c r="GL389" t="e">
        <f>Asia!H802+"$F;@!3[q"</f>
        <v>#VALUE!</v>
      </c>
      <c r="GM389" t="e">
        <f>Asia!A803+"$F;@!3[r"</f>
        <v>#VALUE!</v>
      </c>
      <c r="GN389" t="e">
        <f>Asia!B803+"$F;@!3[s"</f>
        <v>#VALUE!</v>
      </c>
      <c r="GO389" t="e">
        <f>Asia!C803+"$F;@!3[t"</f>
        <v>#VALUE!</v>
      </c>
      <c r="GP389" t="e">
        <f>Asia!D803+"$F;@!3[u"</f>
        <v>#VALUE!</v>
      </c>
      <c r="GQ389" t="e">
        <f>Asia!E803+"$F;@!3[v"</f>
        <v>#VALUE!</v>
      </c>
      <c r="GR389" t="e">
        <f>Asia!F803+"$F;@!3[w"</f>
        <v>#VALUE!</v>
      </c>
      <c r="GS389" t="e">
        <f>Asia!G803+"$F;@!3[x"</f>
        <v>#VALUE!</v>
      </c>
      <c r="GT389" t="e">
        <f>Asia!H803+"$F;@!3[y"</f>
        <v>#VALUE!</v>
      </c>
      <c r="GU389" t="e">
        <f>Asia!A804+"$F;@!3[z"</f>
        <v>#VALUE!</v>
      </c>
      <c r="GV389" t="e">
        <f>Asia!B804+"$F;@!3[{"</f>
        <v>#VALUE!</v>
      </c>
      <c r="GW389" t="e">
        <f>Asia!C804+"$F;@!3[|"</f>
        <v>#VALUE!</v>
      </c>
      <c r="GX389" t="e">
        <f>Asia!D804+"$F;@!3[}"</f>
        <v>#VALUE!</v>
      </c>
      <c r="GY389" t="e">
        <f>Asia!E804+"$F;@!3[~"</f>
        <v>#VALUE!</v>
      </c>
      <c r="GZ389" t="e">
        <f>Asia!F804+"$F;@!3\#"</f>
        <v>#VALUE!</v>
      </c>
      <c r="HA389" t="e">
        <f>Asia!G804+"$F;@!3\$"</f>
        <v>#VALUE!</v>
      </c>
      <c r="HB389" t="e">
        <f>Asia!H804+"$F;@!3\%"</f>
        <v>#VALUE!</v>
      </c>
      <c r="HC389" t="e">
        <f>Asia!A805+"$F;@!3\&amp;"</f>
        <v>#VALUE!</v>
      </c>
      <c r="HD389" t="e">
        <f>Asia!B805+"$F;@!3\'"</f>
        <v>#VALUE!</v>
      </c>
      <c r="HE389" t="e">
        <f>Asia!C805+"$F;@!3\("</f>
        <v>#VALUE!</v>
      </c>
      <c r="HF389" t="e">
        <f>Asia!D805+"$F;@!3\)"</f>
        <v>#VALUE!</v>
      </c>
      <c r="HG389" t="e">
        <f>Asia!E805+"$F;@!3\."</f>
        <v>#VALUE!</v>
      </c>
      <c r="HH389" t="e">
        <f>Asia!F805+"$F;@!3\/"</f>
        <v>#VALUE!</v>
      </c>
      <c r="HI389" t="e">
        <f>Asia!G805+"$F;@!3\0"</f>
        <v>#VALUE!</v>
      </c>
      <c r="HJ389" t="e">
        <f>Asia!H805+"$F;@!3\1"</f>
        <v>#VALUE!</v>
      </c>
      <c r="HK389" t="e">
        <f>Asia!A806+"$F;@!3\2"</f>
        <v>#VALUE!</v>
      </c>
      <c r="HL389" t="e">
        <f>Asia!B806+"$F;@!3\3"</f>
        <v>#VALUE!</v>
      </c>
      <c r="HM389" t="e">
        <f>Asia!C806+"$F;@!3\4"</f>
        <v>#VALUE!</v>
      </c>
      <c r="HN389" t="e">
        <f>Asia!D806+"$F;@!3\5"</f>
        <v>#VALUE!</v>
      </c>
      <c r="HO389" t="e">
        <f>Asia!E806+"$F;@!3\6"</f>
        <v>#VALUE!</v>
      </c>
      <c r="HP389" t="e">
        <f>Asia!F806+"$F;@!3\7"</f>
        <v>#VALUE!</v>
      </c>
      <c r="HQ389" t="e">
        <f>Asia!G806+"$F;@!3\8"</f>
        <v>#VALUE!</v>
      </c>
      <c r="HR389" t="e">
        <f>Asia!H806+"$F;@!3\9"</f>
        <v>#VALUE!</v>
      </c>
      <c r="HS389" t="e">
        <f>Asia!A807+"$F;@!3\:"</f>
        <v>#VALUE!</v>
      </c>
      <c r="HT389" t="e">
        <f>Asia!B807+"$F;@!3\;"</f>
        <v>#VALUE!</v>
      </c>
      <c r="HU389" t="e">
        <f>Asia!C807+"$F;@!3\&lt;"</f>
        <v>#VALUE!</v>
      </c>
      <c r="HV389" t="e">
        <f>Asia!D807+"$F;@!3\="</f>
        <v>#VALUE!</v>
      </c>
      <c r="HW389" t="e">
        <f>Asia!E807+"$F;@!3\&gt;"</f>
        <v>#VALUE!</v>
      </c>
      <c r="HX389" t="e">
        <f>Asia!F807+"$F;@!3\?"</f>
        <v>#VALUE!</v>
      </c>
      <c r="HY389" t="e">
        <f>Asia!G807+"$F;@!3\@"</f>
        <v>#VALUE!</v>
      </c>
      <c r="HZ389" t="e">
        <f>Asia!H807+"$F;@!3\A"</f>
        <v>#VALUE!</v>
      </c>
      <c r="IA389" t="e">
        <f>Asia!A808+"$F;@!3\B"</f>
        <v>#VALUE!</v>
      </c>
      <c r="IB389" t="e">
        <f>Asia!B808+"$F;@!3\C"</f>
        <v>#VALUE!</v>
      </c>
      <c r="IC389" t="e">
        <f>Asia!C808+"$F;@!3\D"</f>
        <v>#VALUE!</v>
      </c>
      <c r="ID389" t="e">
        <f>Asia!D808+"$F;@!3\E"</f>
        <v>#VALUE!</v>
      </c>
      <c r="IE389" t="e">
        <f>Asia!E808+"$F;@!3\F"</f>
        <v>#VALUE!</v>
      </c>
      <c r="IF389" t="e">
        <f>Asia!F808+"$F;@!3\G"</f>
        <v>#VALUE!</v>
      </c>
      <c r="IG389" t="e">
        <f>Asia!G808+"$F;@!3\H"</f>
        <v>#VALUE!</v>
      </c>
      <c r="IH389" t="e">
        <f>Asia!H808+"$F;@!3\I"</f>
        <v>#VALUE!</v>
      </c>
      <c r="II389" t="e">
        <f>Asia!A809+"$F;@!3\J"</f>
        <v>#VALUE!</v>
      </c>
      <c r="IJ389" t="e">
        <f>Asia!B809+"$F;@!3\K"</f>
        <v>#VALUE!</v>
      </c>
      <c r="IK389" t="e">
        <f>Asia!C809+"$F;@!3\L"</f>
        <v>#VALUE!</v>
      </c>
      <c r="IL389" t="e">
        <f>Asia!D809+"$F;@!3\M"</f>
        <v>#VALUE!</v>
      </c>
      <c r="IM389" t="e">
        <f>Asia!E809+"$F;@!3\N"</f>
        <v>#VALUE!</v>
      </c>
      <c r="IN389" t="e">
        <f>Asia!F809+"$F;@!3\O"</f>
        <v>#VALUE!</v>
      </c>
      <c r="IO389" t="e">
        <f>Asia!G809+"$F;@!3\P"</f>
        <v>#VALUE!</v>
      </c>
      <c r="IP389" t="e">
        <f>Asia!H809+"$F;@!3\Q"</f>
        <v>#VALUE!</v>
      </c>
      <c r="IQ389" t="e">
        <f>Asia!A810+"$F;@!3\R"</f>
        <v>#VALUE!</v>
      </c>
      <c r="IR389" t="e">
        <f>Asia!B810+"$F;@!3\S"</f>
        <v>#VALUE!</v>
      </c>
      <c r="IS389" t="e">
        <f>Asia!C810+"$F;@!3\T"</f>
        <v>#VALUE!</v>
      </c>
      <c r="IT389" t="e">
        <f>Asia!D810+"$F;@!3\U"</f>
        <v>#VALUE!</v>
      </c>
      <c r="IU389" t="e">
        <f>Asia!E810+"$F;@!3\V"</f>
        <v>#VALUE!</v>
      </c>
      <c r="IV389" t="e">
        <f>Asia!F810+"$F;@!3\W"</f>
        <v>#VALUE!</v>
      </c>
    </row>
    <row r="390" spans="6:256" x14ac:dyDescent="0.35">
      <c r="F390" t="e">
        <f>Asia!G810+"$F;@!3\X"</f>
        <v>#VALUE!</v>
      </c>
      <c r="G390" t="e">
        <f>Asia!H810+"$F;@!3\Y"</f>
        <v>#VALUE!</v>
      </c>
      <c r="H390" t="e">
        <f>Asia!A811+"$F;@!3\Z"</f>
        <v>#VALUE!</v>
      </c>
      <c r="I390" t="e">
        <f>Asia!B811+"$F;@!3\["</f>
        <v>#VALUE!</v>
      </c>
      <c r="J390" t="e">
        <f>Asia!C811+"$F;@!3\\"</f>
        <v>#VALUE!</v>
      </c>
      <c r="K390" t="e">
        <f>Asia!D811+"$F;@!3\]"</f>
        <v>#VALUE!</v>
      </c>
      <c r="L390" t="e">
        <f>Asia!E811+"$F;@!3\^"</f>
        <v>#VALUE!</v>
      </c>
      <c r="M390" t="e">
        <f>Asia!F811+"$F;@!3\_"</f>
        <v>#VALUE!</v>
      </c>
      <c r="N390" t="e">
        <f>Asia!G811+"$F;@!3\`"</f>
        <v>#VALUE!</v>
      </c>
      <c r="O390" t="e">
        <f>Asia!H811+"$F;@!3\a"</f>
        <v>#VALUE!</v>
      </c>
      <c r="P390" t="e">
        <f>Asia!A812+"$F;@!3\b"</f>
        <v>#VALUE!</v>
      </c>
      <c r="Q390" t="e">
        <f>Asia!B812+"$F;@!3\c"</f>
        <v>#VALUE!</v>
      </c>
      <c r="R390" t="e">
        <f>Asia!C812+"$F;@!3\d"</f>
        <v>#VALUE!</v>
      </c>
      <c r="S390" t="e">
        <f>Asia!D812+"$F;@!3\e"</f>
        <v>#VALUE!</v>
      </c>
      <c r="T390" t="e">
        <f>Asia!E812+"$F;@!3\f"</f>
        <v>#VALUE!</v>
      </c>
      <c r="U390" t="e">
        <f>Asia!F812+"$F;@!3\g"</f>
        <v>#VALUE!</v>
      </c>
      <c r="V390" t="e">
        <f>Asia!G812+"$F;@!3\h"</f>
        <v>#VALUE!</v>
      </c>
      <c r="W390" t="e">
        <f>Asia!H812+"$F;@!3\i"</f>
        <v>#VALUE!</v>
      </c>
      <c r="X390" t="e">
        <f>Asia!A813+"$F;@!3\j"</f>
        <v>#VALUE!</v>
      </c>
      <c r="Y390" t="e">
        <f>Asia!B813+"$F;@!3\k"</f>
        <v>#VALUE!</v>
      </c>
      <c r="Z390" t="e">
        <f>Asia!C813+"$F;@!3\l"</f>
        <v>#VALUE!</v>
      </c>
      <c r="AA390" t="e">
        <f>Asia!D813+"$F;@!3\m"</f>
        <v>#VALUE!</v>
      </c>
      <c r="AB390" t="e">
        <f>Asia!E813+"$F;@!3\n"</f>
        <v>#VALUE!</v>
      </c>
      <c r="AC390" t="e">
        <f>Asia!F813+"$F;@!3\o"</f>
        <v>#VALUE!</v>
      </c>
      <c r="AD390" t="e">
        <f>Asia!G813+"$F;@!3\p"</f>
        <v>#VALUE!</v>
      </c>
      <c r="AE390" t="e">
        <f>Asia!H813+"$F;@!3\q"</f>
        <v>#VALUE!</v>
      </c>
      <c r="AF390" t="e">
        <f>Asia!A814+"$F;@!3\r"</f>
        <v>#VALUE!</v>
      </c>
      <c r="AG390" t="e">
        <f>Asia!B814+"$F;@!3\s"</f>
        <v>#VALUE!</v>
      </c>
      <c r="AH390" t="e">
        <f>Asia!C814+"$F;@!3\t"</f>
        <v>#VALUE!</v>
      </c>
      <c r="AI390" t="e">
        <f>Asia!D814+"$F;@!3\u"</f>
        <v>#VALUE!</v>
      </c>
      <c r="AJ390" t="e">
        <f>Asia!E814+"$F;@!3\v"</f>
        <v>#VALUE!</v>
      </c>
      <c r="AK390" t="e">
        <f>Asia!F814+"$F;@!3\w"</f>
        <v>#VALUE!</v>
      </c>
      <c r="AL390" t="e">
        <f>Asia!G814+"$F;@!3\x"</f>
        <v>#VALUE!</v>
      </c>
      <c r="AM390" t="e">
        <f>Asia!H814+"$F;@!3\y"</f>
        <v>#VALUE!</v>
      </c>
      <c r="AN390" t="e">
        <f>Asia!A815+"$F;@!3\z"</f>
        <v>#VALUE!</v>
      </c>
      <c r="AO390" t="e">
        <f>Asia!B815+"$F;@!3\{"</f>
        <v>#VALUE!</v>
      </c>
      <c r="AP390" t="e">
        <f>Asia!C815+"$F;@!3\|"</f>
        <v>#VALUE!</v>
      </c>
      <c r="AQ390" t="e">
        <f>Asia!D815+"$F;@!3\}"</f>
        <v>#VALUE!</v>
      </c>
      <c r="AR390" t="e">
        <f>Asia!E815+"$F;@!3\~"</f>
        <v>#VALUE!</v>
      </c>
      <c r="AS390" t="e">
        <f>Asia!F815+"$F;@!3]#"</f>
        <v>#VALUE!</v>
      </c>
      <c r="AT390" t="e">
        <f>Asia!G815+"$F;@!3]$"</f>
        <v>#VALUE!</v>
      </c>
      <c r="AU390" t="e">
        <f>Asia!H815+"$F;@!3]%"</f>
        <v>#VALUE!</v>
      </c>
      <c r="AV390" t="e">
        <f>Asia!A816+"$F;@!3]&amp;"</f>
        <v>#VALUE!</v>
      </c>
      <c r="AW390" t="e">
        <f>Asia!B816+"$F;@!3]'"</f>
        <v>#VALUE!</v>
      </c>
      <c r="AX390" t="e">
        <f>Asia!C816+"$F;@!3]("</f>
        <v>#VALUE!</v>
      </c>
      <c r="AY390" t="e">
        <f>Asia!D816+"$F;@!3])"</f>
        <v>#VALUE!</v>
      </c>
      <c r="AZ390" t="e">
        <f>Asia!E816+"$F;@!3]."</f>
        <v>#VALUE!</v>
      </c>
      <c r="BA390" t="e">
        <f>Asia!F816+"$F;@!3]/"</f>
        <v>#VALUE!</v>
      </c>
      <c r="BB390" t="e">
        <f>Asia!G816+"$F;@!3]0"</f>
        <v>#VALUE!</v>
      </c>
      <c r="BC390" t="e">
        <f>Asia!H816+"$F;@!3]1"</f>
        <v>#VALUE!</v>
      </c>
      <c r="BD390" t="e">
        <f>Asia!A817+"$F;@!3]2"</f>
        <v>#VALUE!</v>
      </c>
      <c r="BE390" t="e">
        <f>Asia!B817+"$F;@!3]3"</f>
        <v>#VALUE!</v>
      </c>
      <c r="BF390" t="e">
        <f>Asia!C817+"$F;@!3]4"</f>
        <v>#VALUE!</v>
      </c>
      <c r="BG390" t="e">
        <f>Asia!D817+"$F;@!3]5"</f>
        <v>#VALUE!</v>
      </c>
      <c r="BH390" t="e">
        <f>Asia!E817+"$F;@!3]6"</f>
        <v>#VALUE!</v>
      </c>
      <c r="BI390" t="e">
        <f>Asia!F817+"$F;@!3]7"</f>
        <v>#VALUE!</v>
      </c>
      <c r="BJ390" t="e">
        <f>Asia!G817+"$F;@!3]8"</f>
        <v>#VALUE!</v>
      </c>
      <c r="BK390" t="e">
        <f>Asia!H817+"$F;@!3]9"</f>
        <v>#VALUE!</v>
      </c>
      <c r="BL390" t="e">
        <f>Asia!A818+"$F;@!3]:"</f>
        <v>#VALUE!</v>
      </c>
      <c r="BM390" t="e">
        <f>Asia!B818+"$F;@!3];"</f>
        <v>#VALUE!</v>
      </c>
      <c r="BN390" t="e">
        <f>Asia!C818+"$F;@!3]&lt;"</f>
        <v>#VALUE!</v>
      </c>
      <c r="BO390" t="e">
        <f>Asia!D818+"$F;@!3]="</f>
        <v>#VALUE!</v>
      </c>
      <c r="BP390" t="e">
        <f>Asia!E818+"$F;@!3]&gt;"</f>
        <v>#VALUE!</v>
      </c>
      <c r="BQ390" t="e">
        <f>Asia!F818+"$F;@!3]?"</f>
        <v>#VALUE!</v>
      </c>
      <c r="BR390" t="e">
        <f>Asia!G818+"$F;@!3]@"</f>
        <v>#VALUE!</v>
      </c>
      <c r="BS390" t="e">
        <f>Asia!H818+"$F;@!3]A"</f>
        <v>#VALUE!</v>
      </c>
      <c r="BT390" t="e">
        <f>Asia!A819+"$F;@!3]B"</f>
        <v>#VALUE!</v>
      </c>
      <c r="BU390" t="e">
        <f>Asia!B819+"$F;@!3]C"</f>
        <v>#VALUE!</v>
      </c>
      <c r="BV390" t="e">
        <f>Asia!C819+"$F;@!3]D"</f>
        <v>#VALUE!</v>
      </c>
      <c r="BW390" t="e">
        <f>Asia!D819+"$F;@!3]E"</f>
        <v>#VALUE!</v>
      </c>
      <c r="BX390" t="e">
        <f>Asia!E819+"$F;@!3]F"</f>
        <v>#VALUE!</v>
      </c>
      <c r="BY390" t="e">
        <f>Asia!F819+"$F;@!3]G"</f>
        <v>#VALUE!</v>
      </c>
      <c r="BZ390" t="e">
        <f>Asia!G819+"$F;@!3]H"</f>
        <v>#VALUE!</v>
      </c>
      <c r="CA390" t="e">
        <f>Asia!H819+"$F;@!3]I"</f>
        <v>#VALUE!</v>
      </c>
      <c r="CB390" t="e">
        <f>Asia!A820+"$F;@!3]J"</f>
        <v>#VALUE!</v>
      </c>
      <c r="CC390" t="e">
        <f>Asia!B820+"$F;@!3]K"</f>
        <v>#VALUE!</v>
      </c>
      <c r="CD390" t="e">
        <f>Asia!C820+"$F;@!3]L"</f>
        <v>#VALUE!</v>
      </c>
      <c r="CE390" t="e">
        <f>Asia!D820+"$F;@!3]M"</f>
        <v>#VALUE!</v>
      </c>
      <c r="CF390" t="e">
        <f>Asia!E820+"$F;@!3]N"</f>
        <v>#VALUE!</v>
      </c>
      <c r="CG390" t="e">
        <f>Asia!F820+"$F;@!3]O"</f>
        <v>#VALUE!</v>
      </c>
      <c r="CH390" t="e">
        <f>Asia!G820+"$F;@!3]P"</f>
        <v>#VALUE!</v>
      </c>
      <c r="CI390" t="e">
        <f>Asia!H820+"$F;@!3]Q"</f>
        <v>#VALUE!</v>
      </c>
      <c r="CJ390" t="e">
        <f>Asia!A821+"$F;@!3]R"</f>
        <v>#VALUE!</v>
      </c>
      <c r="CK390" t="e">
        <f>Asia!B821+"$F;@!3]S"</f>
        <v>#VALUE!</v>
      </c>
      <c r="CL390" t="e">
        <f>Asia!C821+"$F;@!3]T"</f>
        <v>#VALUE!</v>
      </c>
      <c r="CM390" t="e">
        <f>Asia!D821+"$F;@!3]U"</f>
        <v>#VALUE!</v>
      </c>
      <c r="CN390" t="e">
        <f>Asia!E821+"$F;@!3]V"</f>
        <v>#VALUE!</v>
      </c>
      <c r="CO390" t="e">
        <f>Asia!F821+"$F;@!3]W"</f>
        <v>#VALUE!</v>
      </c>
      <c r="CP390" t="e">
        <f>Asia!G821+"$F;@!3]X"</f>
        <v>#VALUE!</v>
      </c>
      <c r="CQ390" t="e">
        <f>Asia!H821+"$F;@!3]Y"</f>
        <v>#VALUE!</v>
      </c>
      <c r="CR390" t="e">
        <f>Asia!A822+"$F;@!3]Z"</f>
        <v>#VALUE!</v>
      </c>
      <c r="CS390" t="e">
        <f>Asia!B822+"$F;@!3]["</f>
        <v>#VALUE!</v>
      </c>
      <c r="CT390" t="e">
        <f>Asia!C822+"$F;@!3]\"</f>
        <v>#VALUE!</v>
      </c>
      <c r="CU390" t="e">
        <f>Asia!D822+"$F;@!3]]"</f>
        <v>#VALUE!</v>
      </c>
      <c r="CV390" t="e">
        <f>Asia!E822+"$F;@!3]^"</f>
        <v>#VALUE!</v>
      </c>
      <c r="CW390" t="e">
        <f>Asia!F822+"$F;@!3]_"</f>
        <v>#VALUE!</v>
      </c>
      <c r="CX390" t="e">
        <f>Asia!G822+"$F;@!3]`"</f>
        <v>#VALUE!</v>
      </c>
      <c r="CY390" t="e">
        <f>Asia!H822+"$F;@!3]a"</f>
        <v>#VALUE!</v>
      </c>
      <c r="CZ390" t="e">
        <f>Asia!A823+"$F;@!3]b"</f>
        <v>#VALUE!</v>
      </c>
      <c r="DA390" t="e">
        <f>Asia!B823+"$F;@!3]c"</f>
        <v>#VALUE!</v>
      </c>
      <c r="DB390" t="e">
        <f>Asia!C823+"$F;@!3]d"</f>
        <v>#VALUE!</v>
      </c>
      <c r="DC390" t="e">
        <f>Asia!D823+"$F;@!3]e"</f>
        <v>#VALUE!</v>
      </c>
      <c r="DD390" t="e">
        <f>Asia!E823+"$F;@!3]f"</f>
        <v>#VALUE!</v>
      </c>
      <c r="DE390" t="e">
        <f>Asia!F823+"$F;@!3]g"</f>
        <v>#VALUE!</v>
      </c>
      <c r="DF390" t="e">
        <f>Asia!G823+"$F;@!3]h"</f>
        <v>#VALUE!</v>
      </c>
      <c r="DG390" t="e">
        <f>Asia!H823+"$F;@!3]i"</f>
        <v>#VALUE!</v>
      </c>
      <c r="DH390" t="e">
        <f>Asia!A824+"$F;@!3]j"</f>
        <v>#VALUE!</v>
      </c>
      <c r="DI390" t="e">
        <f>Asia!B824+"$F;@!3]k"</f>
        <v>#VALUE!</v>
      </c>
      <c r="DJ390" t="e">
        <f>Asia!C824+"$F;@!3]l"</f>
        <v>#VALUE!</v>
      </c>
      <c r="DK390" t="e">
        <f>Asia!D824+"$F;@!3]m"</f>
        <v>#VALUE!</v>
      </c>
      <c r="DL390" t="e">
        <f>Asia!E824+"$F;@!3]n"</f>
        <v>#VALUE!</v>
      </c>
      <c r="DM390" t="e">
        <f>Asia!F824+"$F;@!3]o"</f>
        <v>#VALUE!</v>
      </c>
      <c r="DN390" t="e">
        <f>Asia!G824+"$F;@!3]p"</f>
        <v>#VALUE!</v>
      </c>
      <c r="DO390" t="e">
        <f>Asia!H824+"$F;@!3]q"</f>
        <v>#VALUE!</v>
      </c>
      <c r="DP390" t="e">
        <f>Asia!A825+"$F;@!3]r"</f>
        <v>#VALUE!</v>
      </c>
      <c r="DQ390" t="e">
        <f>Asia!B825+"$F;@!3]s"</f>
        <v>#VALUE!</v>
      </c>
      <c r="DR390" t="e">
        <f>Asia!C825+"$F;@!3]t"</f>
        <v>#VALUE!</v>
      </c>
      <c r="DS390" t="e">
        <f>Asia!D825+"$F;@!3]u"</f>
        <v>#VALUE!</v>
      </c>
      <c r="DT390" t="e">
        <f>Asia!E825+"$F;@!3]v"</f>
        <v>#VALUE!</v>
      </c>
      <c r="DU390" t="e">
        <f>Asia!F825+"$F;@!3]w"</f>
        <v>#VALUE!</v>
      </c>
      <c r="DV390" t="e">
        <f>Asia!G825+"$F;@!3]x"</f>
        <v>#VALUE!</v>
      </c>
      <c r="DW390" t="e">
        <f>Asia!H825+"$F;@!3]y"</f>
        <v>#VALUE!</v>
      </c>
      <c r="DX390" t="e">
        <f>Asia!A826+"$F;@!3]z"</f>
        <v>#VALUE!</v>
      </c>
      <c r="DY390" t="e">
        <f>Asia!B826+"$F;@!3]{"</f>
        <v>#VALUE!</v>
      </c>
      <c r="DZ390" t="e">
        <f>Asia!C826+"$F;@!3]|"</f>
        <v>#VALUE!</v>
      </c>
      <c r="EA390" t="e">
        <f>Asia!D826+"$F;@!3]}"</f>
        <v>#VALUE!</v>
      </c>
      <c r="EB390" t="e">
        <f>Asia!E826+"$F;@!3]~"</f>
        <v>#VALUE!</v>
      </c>
      <c r="EC390" t="e">
        <f>Asia!F826+"$F;@!3^#"</f>
        <v>#VALUE!</v>
      </c>
      <c r="ED390" t="e">
        <f>Asia!G826+"$F;@!3^$"</f>
        <v>#VALUE!</v>
      </c>
      <c r="EE390" t="e">
        <f>Asia!H826+"$F;@!3^%"</f>
        <v>#VALUE!</v>
      </c>
      <c r="EF390" t="e">
        <f>Asia!A827+"$F;@!3^&amp;"</f>
        <v>#VALUE!</v>
      </c>
      <c r="EG390" t="e">
        <f>Asia!B827+"$F;@!3^'"</f>
        <v>#VALUE!</v>
      </c>
      <c r="EH390" t="e">
        <f>Asia!C827+"$F;@!3^("</f>
        <v>#VALUE!</v>
      </c>
      <c r="EI390" t="e">
        <f>Asia!D827+"$F;@!3^)"</f>
        <v>#VALUE!</v>
      </c>
      <c r="EJ390" t="e">
        <f>Asia!E827+"$F;@!3^."</f>
        <v>#VALUE!</v>
      </c>
      <c r="EK390" t="e">
        <f>Asia!F827+"$F;@!3^/"</f>
        <v>#VALUE!</v>
      </c>
      <c r="EL390" t="e">
        <f>Asia!G827+"$F;@!3^0"</f>
        <v>#VALUE!</v>
      </c>
      <c r="EM390" t="e">
        <f>Asia!H827+"$F;@!3^1"</f>
        <v>#VALUE!</v>
      </c>
      <c r="EN390" t="e">
        <f>Asia!A828+"$F;@!3^2"</f>
        <v>#VALUE!</v>
      </c>
      <c r="EO390" t="e">
        <f>Asia!B828+"$F;@!3^3"</f>
        <v>#VALUE!</v>
      </c>
      <c r="EP390" t="e">
        <f>Asia!C828+"$F;@!3^4"</f>
        <v>#VALUE!</v>
      </c>
      <c r="EQ390" t="e">
        <f>Asia!D828+"$F;@!3^5"</f>
        <v>#VALUE!</v>
      </c>
      <c r="ER390" t="e">
        <f>Asia!E828+"$F;@!3^6"</f>
        <v>#VALUE!</v>
      </c>
      <c r="ES390" t="e">
        <f>Asia!F828+"$F;@!3^7"</f>
        <v>#VALUE!</v>
      </c>
      <c r="ET390" t="e">
        <f>Asia!G828+"$F;@!3^8"</f>
        <v>#VALUE!</v>
      </c>
      <c r="EU390" t="e">
        <f>Asia!H828+"$F;@!3^9"</f>
        <v>#VALUE!</v>
      </c>
      <c r="EV390" t="e">
        <f>Asia!A829+"$F;@!3^:"</f>
        <v>#VALUE!</v>
      </c>
      <c r="EW390" t="e">
        <f>Asia!B829+"$F;@!3^;"</f>
        <v>#VALUE!</v>
      </c>
      <c r="EX390" t="e">
        <f>Asia!C829+"$F;@!3^&lt;"</f>
        <v>#VALUE!</v>
      </c>
      <c r="EY390" t="e">
        <f>Asia!D829+"$F;@!3^="</f>
        <v>#VALUE!</v>
      </c>
      <c r="EZ390" t="e">
        <f>Asia!E829+"$F;@!3^&gt;"</f>
        <v>#VALUE!</v>
      </c>
      <c r="FA390" t="e">
        <f>Asia!F829+"$F;@!3^?"</f>
        <v>#VALUE!</v>
      </c>
      <c r="FB390" t="e">
        <f>Asia!G829+"$F;@!3^@"</f>
        <v>#VALUE!</v>
      </c>
      <c r="FC390" t="e">
        <f>Asia!H829+"$F;@!3^A"</f>
        <v>#VALUE!</v>
      </c>
      <c r="FD390" t="e">
        <f>Asia!A830+"$F;@!3^B"</f>
        <v>#VALUE!</v>
      </c>
      <c r="FE390" t="e">
        <f>Asia!B830+"$F;@!3^C"</f>
        <v>#VALUE!</v>
      </c>
      <c r="FF390" t="e">
        <f>Asia!C830+"$F;@!3^D"</f>
        <v>#VALUE!</v>
      </c>
      <c r="FG390" t="e">
        <f>Asia!D830+"$F;@!3^E"</f>
        <v>#VALUE!</v>
      </c>
      <c r="FH390" t="e">
        <f>Asia!E830+"$F;@!3^F"</f>
        <v>#VALUE!</v>
      </c>
      <c r="FI390" t="e">
        <f>Asia!F830+"$F;@!3^G"</f>
        <v>#VALUE!</v>
      </c>
      <c r="FJ390" t="e">
        <f>Asia!G830+"$F;@!3^H"</f>
        <v>#VALUE!</v>
      </c>
      <c r="FK390" t="e">
        <f>Asia!H830+"$F;@!3^I"</f>
        <v>#VALUE!</v>
      </c>
      <c r="FL390" t="e">
        <f>Asia!A831+"$F;@!3^J"</f>
        <v>#VALUE!</v>
      </c>
      <c r="FM390" t="e">
        <f>Asia!B831+"$F;@!3^K"</f>
        <v>#VALUE!</v>
      </c>
      <c r="FN390" t="e">
        <f>Asia!C831+"$F;@!3^L"</f>
        <v>#VALUE!</v>
      </c>
      <c r="FO390" t="e">
        <f>Asia!D831+"$F;@!3^M"</f>
        <v>#VALUE!</v>
      </c>
      <c r="FP390" t="e">
        <f>Asia!E831+"$F;@!3^N"</f>
        <v>#VALUE!</v>
      </c>
      <c r="FQ390" t="e">
        <f>Asia!F831+"$F;@!3^O"</f>
        <v>#VALUE!</v>
      </c>
      <c r="FR390" t="e">
        <f>Asia!G831+"$F;@!3^P"</f>
        <v>#VALUE!</v>
      </c>
      <c r="FS390" t="e">
        <f>Asia!H831+"$F;@!3^Q"</f>
        <v>#VALUE!</v>
      </c>
      <c r="FT390" t="e">
        <f>Asia!A832+"$F;@!3^R"</f>
        <v>#VALUE!</v>
      </c>
      <c r="FU390" t="e">
        <f>Asia!B832+"$F;@!3^S"</f>
        <v>#VALUE!</v>
      </c>
      <c r="FV390" t="e">
        <f>Asia!C832+"$F;@!3^T"</f>
        <v>#VALUE!</v>
      </c>
      <c r="FW390" t="e">
        <f>Asia!D832+"$F;@!3^U"</f>
        <v>#VALUE!</v>
      </c>
      <c r="FX390" t="e">
        <f>Asia!E832+"$F;@!3^V"</f>
        <v>#VALUE!</v>
      </c>
      <c r="FY390" t="e">
        <f>Asia!F832+"$F;@!3^W"</f>
        <v>#VALUE!</v>
      </c>
      <c r="FZ390" t="e">
        <f>Asia!G832+"$F;@!3^X"</f>
        <v>#VALUE!</v>
      </c>
      <c r="GA390" t="e">
        <f>Asia!H832+"$F;@!3^Y"</f>
        <v>#VALUE!</v>
      </c>
      <c r="GB390" t="e">
        <f>Asia!A833+"$F;@!3^Z"</f>
        <v>#VALUE!</v>
      </c>
      <c r="GC390" t="e">
        <f>Asia!B833+"$F;@!3^["</f>
        <v>#VALUE!</v>
      </c>
      <c r="GD390" t="e">
        <f>Asia!C833+"$F;@!3^\"</f>
        <v>#VALUE!</v>
      </c>
      <c r="GE390" t="e">
        <f>Asia!D833+"$F;@!3^]"</f>
        <v>#VALUE!</v>
      </c>
      <c r="GF390" t="e">
        <f>Asia!E833+"$F;@!3^^"</f>
        <v>#VALUE!</v>
      </c>
      <c r="GG390" t="e">
        <f>Asia!F833+"$F;@!3^_"</f>
        <v>#VALUE!</v>
      </c>
      <c r="GH390" t="e">
        <f>Asia!G833+"$F;@!3^`"</f>
        <v>#VALUE!</v>
      </c>
      <c r="GI390" t="e">
        <f>Asia!H833+"$F;@!3^a"</f>
        <v>#VALUE!</v>
      </c>
      <c r="GJ390" t="e">
        <f>Asia!A834+"$F;@!3^b"</f>
        <v>#VALUE!</v>
      </c>
      <c r="GK390" t="e">
        <f>Asia!B834+"$F;@!3^c"</f>
        <v>#VALUE!</v>
      </c>
      <c r="GL390" t="e">
        <f>Asia!C834+"$F;@!3^d"</f>
        <v>#VALUE!</v>
      </c>
      <c r="GM390" t="e">
        <f>Asia!D834+"$F;@!3^e"</f>
        <v>#VALUE!</v>
      </c>
      <c r="GN390" t="e">
        <f>Asia!E834+"$F;@!3^f"</f>
        <v>#VALUE!</v>
      </c>
      <c r="GO390" t="e">
        <f>Asia!F834+"$F;@!3^g"</f>
        <v>#VALUE!</v>
      </c>
      <c r="GP390" t="e">
        <f>Asia!G834+"$F;@!3^h"</f>
        <v>#VALUE!</v>
      </c>
      <c r="GQ390" t="e">
        <f>Asia!H834+"$F;@!3^i"</f>
        <v>#VALUE!</v>
      </c>
      <c r="GR390" t="e">
        <f>Asia!A835+"$F;@!3^j"</f>
        <v>#VALUE!</v>
      </c>
      <c r="GS390" t="e">
        <f>Asia!B835+"$F;@!3^k"</f>
        <v>#VALUE!</v>
      </c>
      <c r="GT390" t="e">
        <f>Asia!C835+"$F;@!3^l"</f>
        <v>#VALUE!</v>
      </c>
      <c r="GU390" t="e">
        <f>Asia!D835+"$F;@!3^m"</f>
        <v>#VALUE!</v>
      </c>
      <c r="GV390" t="e">
        <f>Asia!E835+"$F;@!3^n"</f>
        <v>#VALUE!</v>
      </c>
      <c r="GW390" t="e">
        <f>Asia!F835+"$F;@!3^o"</f>
        <v>#VALUE!</v>
      </c>
      <c r="GX390" t="e">
        <f>Asia!G835+"$F;@!3^p"</f>
        <v>#VALUE!</v>
      </c>
      <c r="GY390" t="e">
        <f>Asia!H835+"$F;@!3^q"</f>
        <v>#VALUE!</v>
      </c>
      <c r="GZ390" t="e">
        <f>Asia!A836+"$F;@!3^r"</f>
        <v>#VALUE!</v>
      </c>
      <c r="HA390" t="e">
        <f>Asia!B836+"$F;@!3^s"</f>
        <v>#VALUE!</v>
      </c>
      <c r="HB390" t="e">
        <f>Asia!C836+"$F;@!3^t"</f>
        <v>#VALUE!</v>
      </c>
      <c r="HC390" t="e">
        <f>Asia!D836+"$F;@!3^u"</f>
        <v>#VALUE!</v>
      </c>
      <c r="HD390" t="e">
        <f>Asia!E836+"$F;@!3^v"</f>
        <v>#VALUE!</v>
      </c>
      <c r="HE390" t="e">
        <f>Asia!F836+"$F;@!3^w"</f>
        <v>#VALUE!</v>
      </c>
      <c r="HF390" t="e">
        <f>Asia!G836+"$F;@!3^x"</f>
        <v>#VALUE!</v>
      </c>
      <c r="HG390" t="e">
        <f>Asia!H836+"$F;@!3^y"</f>
        <v>#VALUE!</v>
      </c>
      <c r="HH390" t="e">
        <f>Asia!A837+"$F;@!3^z"</f>
        <v>#VALUE!</v>
      </c>
      <c r="HI390" t="e">
        <f>Asia!B837+"$F;@!3^{"</f>
        <v>#VALUE!</v>
      </c>
      <c r="HJ390" t="e">
        <f>Asia!C837+"$F;@!3^|"</f>
        <v>#VALUE!</v>
      </c>
      <c r="HK390" t="e">
        <f>Asia!D837+"$F;@!3^}"</f>
        <v>#VALUE!</v>
      </c>
      <c r="HL390" t="e">
        <f>Asia!E837+"$F;@!3^~"</f>
        <v>#VALUE!</v>
      </c>
      <c r="HM390" t="e">
        <f>Asia!F837+"$F;@!3_#"</f>
        <v>#VALUE!</v>
      </c>
      <c r="HN390" t="e">
        <f>Asia!G837+"$F;@!3_$"</f>
        <v>#VALUE!</v>
      </c>
      <c r="HO390" t="e">
        <f>Asia!H837+"$F;@!3_%"</f>
        <v>#VALUE!</v>
      </c>
      <c r="HP390" t="e">
        <f>Asia!A838+"$F;@!3_&amp;"</f>
        <v>#VALUE!</v>
      </c>
      <c r="HQ390" t="e">
        <f>Asia!B838+"$F;@!3_'"</f>
        <v>#VALUE!</v>
      </c>
      <c r="HR390" t="e">
        <f>Asia!C838+"$F;@!3_("</f>
        <v>#VALUE!</v>
      </c>
      <c r="HS390" t="e">
        <f>Asia!D838+"$F;@!3_)"</f>
        <v>#VALUE!</v>
      </c>
      <c r="HT390" t="e">
        <f>Asia!E838+"$F;@!3_."</f>
        <v>#VALUE!</v>
      </c>
      <c r="HU390" t="e">
        <f>Asia!F838+"$F;@!3_/"</f>
        <v>#VALUE!</v>
      </c>
      <c r="HV390" t="e">
        <f>Asia!G838+"$F;@!3_0"</f>
        <v>#VALUE!</v>
      </c>
      <c r="HW390" t="e">
        <f>Asia!H838+"$F;@!3_1"</f>
        <v>#VALUE!</v>
      </c>
      <c r="HX390" t="e">
        <f>Asia!A839+"$F;@!3_2"</f>
        <v>#VALUE!</v>
      </c>
      <c r="HY390" t="e">
        <f>Asia!B839+"$F;@!3_3"</f>
        <v>#VALUE!</v>
      </c>
      <c r="HZ390" t="e">
        <f>Asia!C839+"$F;@!3_4"</f>
        <v>#VALUE!</v>
      </c>
      <c r="IA390" t="e">
        <f>Asia!D839+"$F;@!3_5"</f>
        <v>#VALUE!</v>
      </c>
      <c r="IB390" t="e">
        <f>Asia!E839+"$F;@!3_6"</f>
        <v>#VALUE!</v>
      </c>
      <c r="IC390" t="e">
        <f>Asia!F839+"$F;@!3_7"</f>
        <v>#VALUE!</v>
      </c>
      <c r="ID390" t="e">
        <f>Asia!G839+"$F;@!3_8"</f>
        <v>#VALUE!</v>
      </c>
      <c r="IE390" t="e">
        <f>Asia!H839+"$F;@!3_9"</f>
        <v>#VALUE!</v>
      </c>
      <c r="IF390" t="e">
        <f>Asia!A840+"$F;@!3_:"</f>
        <v>#VALUE!</v>
      </c>
      <c r="IG390" t="e">
        <f>Asia!B840+"$F;@!3_;"</f>
        <v>#VALUE!</v>
      </c>
      <c r="IH390" t="e">
        <f>Asia!C840+"$F;@!3_&lt;"</f>
        <v>#VALUE!</v>
      </c>
      <c r="II390" t="e">
        <f>Asia!D840+"$F;@!3_="</f>
        <v>#VALUE!</v>
      </c>
      <c r="IJ390" t="e">
        <f>Asia!E840+"$F;@!3_&gt;"</f>
        <v>#VALUE!</v>
      </c>
      <c r="IK390" t="e">
        <f>Asia!F840+"$F;@!3_?"</f>
        <v>#VALUE!</v>
      </c>
      <c r="IL390" t="e">
        <f>Asia!G840+"$F;@!3_@"</f>
        <v>#VALUE!</v>
      </c>
      <c r="IM390" t="e">
        <f>Asia!H840+"$F;@!3_A"</f>
        <v>#VALUE!</v>
      </c>
      <c r="IN390" t="e">
        <f>Asia!A841+"$F;@!3_B"</f>
        <v>#VALUE!</v>
      </c>
      <c r="IO390" t="e">
        <f>Asia!B841+"$F;@!3_C"</f>
        <v>#VALUE!</v>
      </c>
      <c r="IP390" t="e">
        <f>Asia!C841+"$F;@!3_D"</f>
        <v>#VALUE!</v>
      </c>
      <c r="IQ390" t="e">
        <f>Asia!D841+"$F;@!3_E"</f>
        <v>#VALUE!</v>
      </c>
      <c r="IR390" t="e">
        <f>Asia!E841+"$F;@!3_F"</f>
        <v>#VALUE!</v>
      </c>
      <c r="IS390" t="e">
        <f>Asia!F841+"$F;@!3_G"</f>
        <v>#VALUE!</v>
      </c>
      <c r="IT390" t="e">
        <f>Asia!G841+"$F;@!3_H"</f>
        <v>#VALUE!</v>
      </c>
      <c r="IU390" t="e">
        <f>Asia!H841+"$F;@!3_I"</f>
        <v>#VALUE!</v>
      </c>
      <c r="IV390" t="e">
        <f>Asia!A842+"$F;@!3_J"</f>
        <v>#VALUE!</v>
      </c>
    </row>
    <row r="391" spans="6:256" x14ac:dyDescent="0.35">
      <c r="F391" t="e">
        <f>Asia!B842+"$F;@!3_K"</f>
        <v>#VALUE!</v>
      </c>
      <c r="G391" t="e">
        <f>Asia!C842+"$F;@!3_L"</f>
        <v>#VALUE!</v>
      </c>
      <c r="H391" t="e">
        <f>Asia!D842+"$F;@!3_M"</f>
        <v>#VALUE!</v>
      </c>
      <c r="I391" t="e">
        <f>Asia!E842+"$F;@!3_N"</f>
        <v>#VALUE!</v>
      </c>
      <c r="J391" t="e">
        <f>Asia!F842+"$F;@!3_O"</f>
        <v>#VALUE!</v>
      </c>
      <c r="K391" t="e">
        <f>Asia!G842+"$F;@!3_P"</f>
        <v>#VALUE!</v>
      </c>
      <c r="L391" t="e">
        <f>Asia!H842+"$F;@!3_Q"</f>
        <v>#VALUE!</v>
      </c>
      <c r="M391" t="e">
        <f>Asia!A843+"$F;@!3_R"</f>
        <v>#VALUE!</v>
      </c>
      <c r="N391" t="e">
        <f>Asia!B843+"$F;@!3_S"</f>
        <v>#VALUE!</v>
      </c>
      <c r="O391" t="e">
        <f>Asia!C843+"$F;@!3_T"</f>
        <v>#VALUE!</v>
      </c>
      <c r="P391" t="e">
        <f>Asia!D843+"$F;@!3_U"</f>
        <v>#VALUE!</v>
      </c>
      <c r="Q391" t="e">
        <f>Asia!E843+"$F;@!3_V"</f>
        <v>#VALUE!</v>
      </c>
      <c r="R391" t="e">
        <f>Asia!F843+"$F;@!3_W"</f>
        <v>#VALUE!</v>
      </c>
      <c r="S391" t="e">
        <f>Asia!G843+"$F;@!3_X"</f>
        <v>#VALUE!</v>
      </c>
      <c r="T391" t="e">
        <f>Asia!H843+"$F;@!3_Y"</f>
        <v>#VALUE!</v>
      </c>
      <c r="U391" t="e">
        <f>Asia!A844+"$F;@!3_Z"</f>
        <v>#VALUE!</v>
      </c>
      <c r="V391" t="e">
        <f>Asia!B844+"$F;@!3_["</f>
        <v>#VALUE!</v>
      </c>
      <c r="W391" t="e">
        <f>Asia!C844+"$F;@!3_\"</f>
        <v>#VALUE!</v>
      </c>
      <c r="X391" t="e">
        <f>Asia!D844+"$F;@!3_]"</f>
        <v>#VALUE!</v>
      </c>
      <c r="Y391" t="e">
        <f>Asia!E844+"$F;@!3_^"</f>
        <v>#VALUE!</v>
      </c>
      <c r="Z391" t="e">
        <f>Asia!F844+"$F;@!3__"</f>
        <v>#VALUE!</v>
      </c>
      <c r="AA391" t="e">
        <f>Asia!G844+"$F;@!3_`"</f>
        <v>#VALUE!</v>
      </c>
      <c r="AB391" t="e">
        <f>Asia!H844+"$F;@!3_a"</f>
        <v>#VALUE!</v>
      </c>
      <c r="AC391" t="e">
        <f>Asia!A845+"$F;@!3_b"</f>
        <v>#VALUE!</v>
      </c>
      <c r="AD391" t="e">
        <f>Asia!B845+"$F;@!3_c"</f>
        <v>#VALUE!</v>
      </c>
      <c r="AE391" t="e">
        <f>Asia!C845+"$F;@!3_d"</f>
        <v>#VALUE!</v>
      </c>
      <c r="AF391" t="e">
        <f>Asia!D845+"$F;@!3_e"</f>
        <v>#VALUE!</v>
      </c>
      <c r="AG391" t="e">
        <f>Asia!E845+"$F;@!3_f"</f>
        <v>#VALUE!</v>
      </c>
      <c r="AH391" t="e">
        <f>Asia!F845+"$F;@!3_g"</f>
        <v>#VALUE!</v>
      </c>
      <c r="AI391" t="e">
        <f>Asia!G845+"$F;@!3_h"</f>
        <v>#VALUE!</v>
      </c>
      <c r="AJ391" t="e">
        <f>Asia!H845+"$F;@!3_i"</f>
        <v>#VALUE!</v>
      </c>
      <c r="AK391" t="e">
        <f>Asia!A846+"$F;@!3_j"</f>
        <v>#VALUE!</v>
      </c>
      <c r="AL391" t="e">
        <f>Asia!B846+"$F;@!3_k"</f>
        <v>#VALUE!</v>
      </c>
      <c r="AM391" t="e">
        <f>Asia!C846+"$F;@!3_l"</f>
        <v>#VALUE!</v>
      </c>
      <c r="AN391" t="e">
        <f>Asia!D846+"$F;@!3_m"</f>
        <v>#VALUE!</v>
      </c>
      <c r="AO391" t="e">
        <f>Asia!E846+"$F;@!3_n"</f>
        <v>#VALUE!</v>
      </c>
      <c r="AP391" t="e">
        <f>Asia!F846+"$F;@!3_o"</f>
        <v>#VALUE!</v>
      </c>
      <c r="AQ391" t="e">
        <f>Asia!G846+"$F;@!3_p"</f>
        <v>#VALUE!</v>
      </c>
      <c r="AR391" t="e">
        <f>Asia!H846+"$F;@!3_q"</f>
        <v>#VALUE!</v>
      </c>
      <c r="AS391" t="e">
        <f>Asia!A847+"$F;@!3_r"</f>
        <v>#VALUE!</v>
      </c>
      <c r="AT391" t="e">
        <f>Asia!B847+"$F;@!3_s"</f>
        <v>#VALUE!</v>
      </c>
      <c r="AU391" t="e">
        <f>Asia!C847+"$F;@!3_t"</f>
        <v>#VALUE!</v>
      </c>
      <c r="AV391" t="e">
        <f>Asia!D847+"$F;@!3_u"</f>
        <v>#VALUE!</v>
      </c>
      <c r="AW391" t="e">
        <f>Asia!E847+"$F;@!3_v"</f>
        <v>#VALUE!</v>
      </c>
      <c r="AX391" t="e">
        <f>Asia!F847+"$F;@!3_w"</f>
        <v>#VALUE!</v>
      </c>
      <c r="AY391" t="e">
        <f>Asia!G847+"$F;@!3_x"</f>
        <v>#VALUE!</v>
      </c>
      <c r="AZ391" t="e">
        <f>Asia!H847+"$F;@!3_y"</f>
        <v>#VALUE!</v>
      </c>
      <c r="BA391" t="e">
        <f>Asia!A848+"$F;@!3_z"</f>
        <v>#VALUE!</v>
      </c>
      <c r="BB391" t="e">
        <f>Asia!B848+"$F;@!3_{"</f>
        <v>#VALUE!</v>
      </c>
      <c r="BC391" t="e">
        <f>Asia!C848+"$F;@!3_|"</f>
        <v>#VALUE!</v>
      </c>
      <c r="BD391" t="e">
        <f>Asia!D848+"$F;@!3_}"</f>
        <v>#VALUE!</v>
      </c>
      <c r="BE391" t="e">
        <f>Asia!E848+"$F;@!3_~"</f>
        <v>#VALUE!</v>
      </c>
      <c r="BF391" t="e">
        <f>Asia!F848+"$F;@!3`#"</f>
        <v>#VALUE!</v>
      </c>
      <c r="BG391" t="e">
        <f>Asia!G848+"$F;@!3`$"</f>
        <v>#VALUE!</v>
      </c>
      <c r="BH391" t="e">
        <f>Asia!H848+"$F;@!3`%"</f>
        <v>#VALUE!</v>
      </c>
      <c r="BI391" t="e">
        <f>Asia!A849+"$F;@!3`&amp;"</f>
        <v>#VALUE!</v>
      </c>
      <c r="BJ391" t="e">
        <f>Asia!B849+"$F;@!3`'"</f>
        <v>#VALUE!</v>
      </c>
      <c r="BK391" t="e">
        <f>Asia!C849+"$F;@!3`("</f>
        <v>#VALUE!</v>
      </c>
      <c r="BL391" t="e">
        <f>Asia!D849+"$F;@!3`)"</f>
        <v>#VALUE!</v>
      </c>
      <c r="BM391" t="e">
        <f>Asia!E849+"$F;@!3`."</f>
        <v>#VALUE!</v>
      </c>
      <c r="BN391" t="e">
        <f>Asia!F849+"$F;@!3`/"</f>
        <v>#VALUE!</v>
      </c>
      <c r="BO391" t="e">
        <f>Asia!G849+"$F;@!3`0"</f>
        <v>#VALUE!</v>
      </c>
      <c r="BP391" t="e">
        <f>Asia!H849+"$F;@!3`1"</f>
        <v>#VALUE!</v>
      </c>
      <c r="BQ391" t="e">
        <f>Asia!A850+"$F;@!3`2"</f>
        <v>#VALUE!</v>
      </c>
      <c r="BR391" t="e">
        <f>Asia!B850+"$F;@!3`3"</f>
        <v>#VALUE!</v>
      </c>
      <c r="BS391" t="e">
        <f>Asia!C850+"$F;@!3`4"</f>
        <v>#VALUE!</v>
      </c>
      <c r="BT391" t="e">
        <f>Asia!D850+"$F;@!3`5"</f>
        <v>#VALUE!</v>
      </c>
      <c r="BU391" t="e">
        <f>Asia!E850+"$F;@!3`6"</f>
        <v>#VALUE!</v>
      </c>
      <c r="BV391" t="e">
        <f>Asia!F850+"$F;@!3`7"</f>
        <v>#VALUE!</v>
      </c>
      <c r="BW391" t="e">
        <f>Asia!G850+"$F;@!3`8"</f>
        <v>#VALUE!</v>
      </c>
      <c r="BX391" t="e">
        <f>Asia!H850+"$F;@!3`9"</f>
        <v>#VALUE!</v>
      </c>
      <c r="BY391" t="e">
        <f>Asia!A851+"$F;@!3`:"</f>
        <v>#VALUE!</v>
      </c>
      <c r="BZ391" t="e">
        <f>Asia!B851+"$F;@!3`;"</f>
        <v>#VALUE!</v>
      </c>
      <c r="CA391" t="e">
        <f>Asia!C851+"$F;@!3`&lt;"</f>
        <v>#VALUE!</v>
      </c>
      <c r="CB391" t="e">
        <f>Asia!D851+"$F;@!3`="</f>
        <v>#VALUE!</v>
      </c>
      <c r="CC391" t="e">
        <f>Asia!E851+"$F;@!3`&gt;"</f>
        <v>#VALUE!</v>
      </c>
      <c r="CD391" t="e">
        <f>Asia!F851+"$F;@!3`?"</f>
        <v>#VALUE!</v>
      </c>
      <c r="CE391" t="e">
        <f>Asia!G851+"$F;@!3`@"</f>
        <v>#VALUE!</v>
      </c>
      <c r="CF391" t="e">
        <f>Asia!H851+"$F;@!3`A"</f>
        <v>#VALUE!</v>
      </c>
      <c r="CG391" t="e">
        <f>Asia!A852+"$F;@!3`B"</f>
        <v>#VALUE!</v>
      </c>
      <c r="CH391" t="e">
        <f>Asia!B852+"$F;@!3`C"</f>
        <v>#VALUE!</v>
      </c>
      <c r="CI391" t="e">
        <f>Asia!C852+"$F;@!3`D"</f>
        <v>#VALUE!</v>
      </c>
      <c r="CJ391" t="e">
        <f>Asia!D852+"$F;@!3`E"</f>
        <v>#VALUE!</v>
      </c>
      <c r="CK391" t="e">
        <f>Asia!E852+"$F;@!3`F"</f>
        <v>#VALUE!</v>
      </c>
      <c r="CL391" t="e">
        <f>Asia!F852+"$F;@!3`G"</f>
        <v>#VALUE!</v>
      </c>
      <c r="CM391" t="e">
        <f>Asia!G852+"$F;@!3`H"</f>
        <v>#VALUE!</v>
      </c>
      <c r="CN391" t="e">
        <f>Asia!H852+"$F;@!3`I"</f>
        <v>#VALUE!</v>
      </c>
      <c r="CO391" t="e">
        <f>Asia!A853+"$F;@!3`J"</f>
        <v>#VALUE!</v>
      </c>
      <c r="CP391" t="e">
        <f>Asia!B853+"$F;@!3`K"</f>
        <v>#VALUE!</v>
      </c>
      <c r="CQ391" t="e">
        <f>Asia!C853+"$F;@!3`L"</f>
        <v>#VALUE!</v>
      </c>
      <c r="CR391" t="e">
        <f>Asia!D853+"$F;@!3`M"</f>
        <v>#VALUE!</v>
      </c>
      <c r="CS391" t="e">
        <f>Asia!E853+"$F;@!3`N"</f>
        <v>#VALUE!</v>
      </c>
      <c r="CT391" t="e">
        <f>Asia!F853+"$F;@!3`O"</f>
        <v>#VALUE!</v>
      </c>
      <c r="CU391" t="e">
        <f>Asia!G853+"$F;@!3`P"</f>
        <v>#VALUE!</v>
      </c>
      <c r="CV391" t="e">
        <f>Asia!H853+"$F;@!3`Q"</f>
        <v>#VALUE!</v>
      </c>
      <c r="CW391" t="e">
        <f>Asia!A854+"$F;@!3`R"</f>
        <v>#VALUE!</v>
      </c>
      <c r="CX391" t="e">
        <f>Asia!B854+"$F;@!3`S"</f>
        <v>#VALUE!</v>
      </c>
      <c r="CY391" t="e">
        <f>Asia!C854+"$F;@!3`T"</f>
        <v>#VALUE!</v>
      </c>
      <c r="CZ391" t="e">
        <f>Asia!D854+"$F;@!3`U"</f>
        <v>#VALUE!</v>
      </c>
      <c r="DA391" t="e">
        <f>Asia!E854+"$F;@!3`V"</f>
        <v>#VALUE!</v>
      </c>
      <c r="DB391" t="e">
        <f>Asia!F854+"$F;@!3`W"</f>
        <v>#VALUE!</v>
      </c>
      <c r="DC391" t="e">
        <f>Asia!G854+"$F;@!3`X"</f>
        <v>#VALUE!</v>
      </c>
      <c r="DD391" t="e">
        <f>Asia!H854+"$F;@!3`Y"</f>
        <v>#VALUE!</v>
      </c>
      <c r="DE391" t="e">
        <f>Asia!A855+"$F;@!3`Z"</f>
        <v>#VALUE!</v>
      </c>
      <c r="DF391" t="e">
        <f>Asia!B855+"$F;@!3`["</f>
        <v>#VALUE!</v>
      </c>
      <c r="DG391" t="e">
        <f>Asia!C855+"$F;@!3`\"</f>
        <v>#VALUE!</v>
      </c>
      <c r="DH391" t="e">
        <f>Asia!D855+"$F;@!3`]"</f>
        <v>#VALUE!</v>
      </c>
      <c r="DI391" t="e">
        <f>Asia!E855+"$F;@!3`^"</f>
        <v>#VALUE!</v>
      </c>
      <c r="DJ391" t="e">
        <f>Asia!F855+"$F;@!3`_"</f>
        <v>#VALUE!</v>
      </c>
      <c r="DK391" t="e">
        <f>Asia!G855+"$F;@!3``"</f>
        <v>#VALUE!</v>
      </c>
      <c r="DL391" t="e">
        <f>Asia!H855+"$F;@!3`a"</f>
        <v>#VALUE!</v>
      </c>
      <c r="DM391" t="e">
        <f>Asia!A856+"$F;@!3`b"</f>
        <v>#VALUE!</v>
      </c>
      <c r="DN391" t="e">
        <f>Asia!B856+"$F;@!3`c"</f>
        <v>#VALUE!</v>
      </c>
      <c r="DO391" t="e">
        <f>Asia!C856+"$F;@!3`d"</f>
        <v>#VALUE!</v>
      </c>
      <c r="DP391" t="e">
        <f>Asia!D856+"$F;@!3`e"</f>
        <v>#VALUE!</v>
      </c>
      <c r="DQ391" t="e">
        <f>Asia!E856+"$F;@!3`f"</f>
        <v>#VALUE!</v>
      </c>
      <c r="DR391" t="e">
        <f>Asia!F856+"$F;@!3`g"</f>
        <v>#VALUE!</v>
      </c>
      <c r="DS391" t="e">
        <f>Asia!G856+"$F;@!3`h"</f>
        <v>#VALUE!</v>
      </c>
      <c r="DT391" t="e">
        <f>Asia!H856+"$F;@!3`i"</f>
        <v>#VALUE!</v>
      </c>
      <c r="DU391" t="e">
        <f>Asia!A857+"$F;@!3`j"</f>
        <v>#VALUE!</v>
      </c>
      <c r="DV391" t="e">
        <f>Asia!B857+"$F;@!3`k"</f>
        <v>#VALUE!</v>
      </c>
      <c r="DW391" t="e">
        <f>Asia!C857+"$F;@!3`l"</f>
        <v>#VALUE!</v>
      </c>
      <c r="DX391" t="e">
        <f>Asia!D857+"$F;@!3`m"</f>
        <v>#VALUE!</v>
      </c>
      <c r="DY391" t="e">
        <f>Asia!E857+"$F;@!3`n"</f>
        <v>#VALUE!</v>
      </c>
      <c r="DZ391" t="e">
        <f>Asia!F857+"$F;@!3`o"</f>
        <v>#VALUE!</v>
      </c>
      <c r="EA391" t="e">
        <f>Asia!G857+"$F;@!3`p"</f>
        <v>#VALUE!</v>
      </c>
      <c r="EB391" t="e">
        <f>Asia!H857+"$F;@!3`q"</f>
        <v>#VALUE!</v>
      </c>
      <c r="EC391" t="e">
        <f>Asia!A858+"$F;@!3`r"</f>
        <v>#VALUE!</v>
      </c>
      <c r="ED391" t="e">
        <f>Asia!B858+"$F;@!3`s"</f>
        <v>#VALUE!</v>
      </c>
      <c r="EE391" t="e">
        <f>Asia!C858+"$F;@!3`t"</f>
        <v>#VALUE!</v>
      </c>
      <c r="EF391" t="e">
        <f>Asia!D858+"$F;@!3`u"</f>
        <v>#VALUE!</v>
      </c>
      <c r="EG391" t="e">
        <f>Asia!E858+"$F;@!3`v"</f>
        <v>#VALUE!</v>
      </c>
      <c r="EH391" t="e">
        <f>Asia!F858+"$F;@!3`w"</f>
        <v>#VALUE!</v>
      </c>
      <c r="EI391" t="e">
        <f>Asia!G858+"$F;@!3`x"</f>
        <v>#VALUE!</v>
      </c>
      <c r="EJ391" t="e">
        <f>Asia!H858+"$F;@!3`y"</f>
        <v>#VALUE!</v>
      </c>
      <c r="EK391" t="e">
        <f>Asia!A859+"$F;@!3`z"</f>
        <v>#VALUE!</v>
      </c>
      <c r="EL391" t="e">
        <f>Asia!B859+"$F;@!3`{"</f>
        <v>#VALUE!</v>
      </c>
      <c r="EM391" t="e">
        <f>Asia!C859+"$F;@!3`|"</f>
        <v>#VALUE!</v>
      </c>
      <c r="EN391" t="e">
        <f>Asia!D859+"$F;@!3`}"</f>
        <v>#VALUE!</v>
      </c>
      <c r="EO391" t="e">
        <f>Asia!E859+"$F;@!3`~"</f>
        <v>#VALUE!</v>
      </c>
      <c r="EP391" t="e">
        <f>Asia!F859+"$F;@!3a#"</f>
        <v>#VALUE!</v>
      </c>
      <c r="EQ391" t="e">
        <f>Asia!G859+"$F;@!3a$"</f>
        <v>#VALUE!</v>
      </c>
      <c r="ER391" t="e">
        <f>Asia!H859+"$F;@!3a%"</f>
        <v>#VALUE!</v>
      </c>
      <c r="ES391" t="e">
        <f>Asia!A860+"$F;@!3a&amp;"</f>
        <v>#VALUE!</v>
      </c>
      <c r="ET391" t="e">
        <f>Asia!B860+"$F;@!3a'"</f>
        <v>#VALUE!</v>
      </c>
      <c r="EU391" t="e">
        <f>Asia!C860+"$F;@!3a("</f>
        <v>#VALUE!</v>
      </c>
      <c r="EV391" t="e">
        <f>Asia!D860+"$F;@!3a)"</f>
        <v>#VALUE!</v>
      </c>
      <c r="EW391" t="e">
        <f>Asia!E860+"$F;@!3a."</f>
        <v>#VALUE!</v>
      </c>
      <c r="EX391" t="e">
        <f>Asia!F860+"$F;@!3a/"</f>
        <v>#VALUE!</v>
      </c>
      <c r="EY391" t="e">
        <f>Asia!G860+"$F;@!3a0"</f>
        <v>#VALUE!</v>
      </c>
      <c r="EZ391" t="e">
        <f>Asia!H860+"$F;@!3a1"</f>
        <v>#VALUE!</v>
      </c>
      <c r="FA391" t="e">
        <f>Asia!A861+"$F;@!3a2"</f>
        <v>#VALUE!</v>
      </c>
      <c r="FB391" t="e">
        <f>Asia!B861+"$F;@!3a3"</f>
        <v>#VALUE!</v>
      </c>
      <c r="FC391" t="e">
        <f>Asia!C861+"$F;@!3a4"</f>
        <v>#VALUE!</v>
      </c>
      <c r="FD391" t="e">
        <f>Asia!D861+"$F;@!3a5"</f>
        <v>#VALUE!</v>
      </c>
      <c r="FE391" t="e">
        <f>Asia!E861+"$F;@!3a6"</f>
        <v>#VALUE!</v>
      </c>
      <c r="FF391" t="e">
        <f>Asia!F861+"$F;@!3a7"</f>
        <v>#VALUE!</v>
      </c>
      <c r="FG391" t="e">
        <f>Asia!G861+"$F;@!3a8"</f>
        <v>#VALUE!</v>
      </c>
      <c r="FH391" t="e">
        <f>Asia!H861+"$F;@!3a9"</f>
        <v>#VALUE!</v>
      </c>
      <c r="FI391" t="e">
        <f>Asia!A862+"$F;@!3a:"</f>
        <v>#VALUE!</v>
      </c>
      <c r="FJ391" t="e">
        <f>Asia!B862+"$F;@!3a;"</f>
        <v>#VALUE!</v>
      </c>
      <c r="FK391" t="e">
        <f>Asia!C862+"$F;@!3a&lt;"</f>
        <v>#VALUE!</v>
      </c>
      <c r="FL391" t="e">
        <f>Asia!D862+"$F;@!3a="</f>
        <v>#VALUE!</v>
      </c>
      <c r="FM391" t="e">
        <f>Asia!E862+"$F;@!3a&gt;"</f>
        <v>#VALUE!</v>
      </c>
      <c r="FN391" t="e">
        <f>Asia!F862+"$F;@!3a?"</f>
        <v>#VALUE!</v>
      </c>
      <c r="FO391" t="e">
        <f>Asia!G862+"$F;@!3a@"</f>
        <v>#VALUE!</v>
      </c>
      <c r="FP391" t="e">
        <f>Asia!H862+"$F;@!3aA"</f>
        <v>#VALUE!</v>
      </c>
      <c r="FQ391" t="e">
        <f>Asia!A863+"$F;@!3aB"</f>
        <v>#VALUE!</v>
      </c>
      <c r="FR391" t="e">
        <f>Asia!B863+"$F;@!3aC"</f>
        <v>#VALUE!</v>
      </c>
      <c r="FS391" t="e">
        <f>Asia!C863+"$F;@!3aD"</f>
        <v>#VALUE!</v>
      </c>
      <c r="FT391" t="e">
        <f>Asia!D863+"$F;@!3aE"</f>
        <v>#VALUE!</v>
      </c>
      <c r="FU391" t="e">
        <f>Asia!E863+"$F;@!3aF"</f>
        <v>#VALUE!</v>
      </c>
      <c r="FV391" t="e">
        <f>Asia!F863+"$F;@!3aG"</f>
        <v>#VALUE!</v>
      </c>
      <c r="FW391" t="e">
        <f>Asia!G863+"$F;@!3aH"</f>
        <v>#VALUE!</v>
      </c>
      <c r="FX391" t="e">
        <f>Asia!H863+"$F;@!3aI"</f>
        <v>#VALUE!</v>
      </c>
      <c r="FY391" t="e">
        <f>Asia!A864+"$F;@!3aJ"</f>
        <v>#VALUE!</v>
      </c>
      <c r="FZ391" t="e">
        <f>Asia!B864+"$F;@!3aK"</f>
        <v>#VALUE!</v>
      </c>
      <c r="GA391" t="e">
        <f>Asia!C864+"$F;@!3aL"</f>
        <v>#VALUE!</v>
      </c>
      <c r="GB391" t="e">
        <f>Asia!D864+"$F;@!3aM"</f>
        <v>#VALUE!</v>
      </c>
      <c r="GC391" t="e">
        <f>Asia!E864+"$F;@!3aN"</f>
        <v>#VALUE!</v>
      </c>
      <c r="GD391" t="e">
        <f>Asia!F864+"$F;@!3aO"</f>
        <v>#VALUE!</v>
      </c>
      <c r="GE391" t="e">
        <f>Asia!G864+"$F;@!3aP"</f>
        <v>#VALUE!</v>
      </c>
      <c r="GF391" t="e">
        <f>Asia!H864+"$F;@!3aQ"</f>
        <v>#VALUE!</v>
      </c>
      <c r="GG391" t="e">
        <f>Asia!A865+"$F;@!3aR"</f>
        <v>#VALUE!</v>
      </c>
      <c r="GH391" t="e">
        <f>Asia!B865+"$F;@!3aS"</f>
        <v>#VALUE!</v>
      </c>
      <c r="GI391" t="e">
        <f>Asia!C865+"$F;@!3aT"</f>
        <v>#VALUE!</v>
      </c>
      <c r="GJ391" t="e">
        <f>Asia!D865+"$F;@!3aU"</f>
        <v>#VALUE!</v>
      </c>
      <c r="GK391" t="e">
        <f>Asia!E865+"$F;@!3aV"</f>
        <v>#VALUE!</v>
      </c>
      <c r="GL391" t="e">
        <f>Asia!F865+"$F;@!3aW"</f>
        <v>#VALUE!</v>
      </c>
      <c r="GM391" t="e">
        <f>Asia!G865+"$F;@!3aX"</f>
        <v>#VALUE!</v>
      </c>
      <c r="GN391" t="e">
        <f>Asia!H865+"$F;@!3aY"</f>
        <v>#VALUE!</v>
      </c>
      <c r="GO391" t="e">
        <f>Asia!A866+"$F;@!3aZ"</f>
        <v>#VALUE!</v>
      </c>
      <c r="GP391" t="e">
        <f>Asia!B866+"$F;@!3a["</f>
        <v>#VALUE!</v>
      </c>
      <c r="GQ391" t="e">
        <f>Asia!C866+"$F;@!3a\"</f>
        <v>#VALUE!</v>
      </c>
      <c r="GR391" t="e">
        <f>Asia!D866+"$F;@!3a]"</f>
        <v>#VALUE!</v>
      </c>
      <c r="GS391" t="e">
        <f>Asia!E866+"$F;@!3a^"</f>
        <v>#VALUE!</v>
      </c>
      <c r="GT391" t="e">
        <f>Asia!F866+"$F;@!3a_"</f>
        <v>#VALUE!</v>
      </c>
      <c r="GU391" t="e">
        <f>Asia!G866+"$F;@!3a`"</f>
        <v>#VALUE!</v>
      </c>
      <c r="GV391" t="e">
        <f>Asia!H866+"$F;@!3aa"</f>
        <v>#VALUE!</v>
      </c>
      <c r="GW391" t="e">
        <f>Asia!A867+"$F;@!3ab"</f>
        <v>#VALUE!</v>
      </c>
      <c r="GX391" t="e">
        <f>Asia!B867+"$F;@!3ac"</f>
        <v>#VALUE!</v>
      </c>
      <c r="GY391" t="e">
        <f>Asia!C867+"$F;@!3ad"</f>
        <v>#VALUE!</v>
      </c>
      <c r="GZ391" t="e">
        <f>Asia!D867+"$F;@!3ae"</f>
        <v>#VALUE!</v>
      </c>
      <c r="HA391" t="e">
        <f>Asia!E867+"$F;@!3af"</f>
        <v>#VALUE!</v>
      </c>
      <c r="HB391" t="e">
        <f>Asia!F867+"$F;@!3ag"</f>
        <v>#VALUE!</v>
      </c>
      <c r="HC391" t="e">
        <f>Asia!G867+"$F;@!3ah"</f>
        <v>#VALUE!</v>
      </c>
      <c r="HD391" t="e">
        <f>Asia!H867+"$F;@!3ai"</f>
        <v>#VALUE!</v>
      </c>
      <c r="HE391" t="e">
        <f>Asia!A868+"$F;@!3aj"</f>
        <v>#VALUE!</v>
      </c>
      <c r="HF391" t="e">
        <f>Asia!B868+"$F;@!3ak"</f>
        <v>#VALUE!</v>
      </c>
      <c r="HG391" t="e">
        <f>Asia!C868+"$F;@!3al"</f>
        <v>#VALUE!</v>
      </c>
      <c r="HH391" t="e">
        <f>Asia!D868+"$F;@!3am"</f>
        <v>#VALUE!</v>
      </c>
      <c r="HI391" t="e">
        <f>Asia!E868+"$F;@!3an"</f>
        <v>#VALUE!</v>
      </c>
      <c r="HJ391" t="e">
        <f>Asia!F868+"$F;@!3ao"</f>
        <v>#VALUE!</v>
      </c>
      <c r="HK391" t="e">
        <f>Asia!G868+"$F;@!3ap"</f>
        <v>#VALUE!</v>
      </c>
      <c r="HL391" t="e">
        <f>Asia!H868+"$F;@!3aq"</f>
        <v>#VALUE!</v>
      </c>
      <c r="HM391" t="e">
        <f>Asia!A869+"$F;@!3ar"</f>
        <v>#VALUE!</v>
      </c>
      <c r="HN391" t="e">
        <f>Asia!B869+"$F;@!3as"</f>
        <v>#VALUE!</v>
      </c>
      <c r="HO391" t="e">
        <f>Asia!C869+"$F;@!3at"</f>
        <v>#VALUE!</v>
      </c>
      <c r="HP391" t="e">
        <f>Asia!D869+"$F;@!3au"</f>
        <v>#VALUE!</v>
      </c>
      <c r="HQ391" t="e">
        <f>Asia!E869+"$F;@!3av"</f>
        <v>#VALUE!</v>
      </c>
      <c r="HR391" t="e">
        <f>Asia!F869+"$F;@!3aw"</f>
        <v>#VALUE!</v>
      </c>
      <c r="HS391" t="e">
        <f>Asia!G869+"$F;@!3ax"</f>
        <v>#VALUE!</v>
      </c>
      <c r="HT391" t="e">
        <f>Asia!H869+"$F;@!3ay"</f>
        <v>#VALUE!</v>
      </c>
      <c r="HU391" t="e">
        <f>Asia!A870+"$F;@!3az"</f>
        <v>#VALUE!</v>
      </c>
      <c r="HV391" t="e">
        <f>Asia!B870+"$F;@!3a{"</f>
        <v>#VALUE!</v>
      </c>
      <c r="HW391" t="e">
        <f>Asia!C870+"$F;@!3a|"</f>
        <v>#VALUE!</v>
      </c>
      <c r="HX391" t="e">
        <f>Asia!D870+"$F;@!3a}"</f>
        <v>#VALUE!</v>
      </c>
      <c r="HY391" t="e">
        <f>Asia!E870+"$F;@!3a~"</f>
        <v>#VALUE!</v>
      </c>
      <c r="HZ391" t="e">
        <f>Asia!F870+"$F;@!3b#"</f>
        <v>#VALUE!</v>
      </c>
      <c r="IA391" t="e">
        <f>Asia!G870+"$F;@!3b$"</f>
        <v>#VALUE!</v>
      </c>
      <c r="IB391" t="e">
        <f>Asia!H870+"$F;@!3b%"</f>
        <v>#VALUE!</v>
      </c>
      <c r="IC391" t="e">
        <f>Asia!A871+"$F;@!3b&amp;"</f>
        <v>#VALUE!</v>
      </c>
      <c r="ID391" t="e">
        <f>Asia!B871+"$F;@!3b'"</f>
        <v>#VALUE!</v>
      </c>
      <c r="IE391" t="e">
        <f>Asia!C871+"$F;@!3b("</f>
        <v>#VALUE!</v>
      </c>
      <c r="IF391" t="e">
        <f>Asia!D871+"$F;@!3b)"</f>
        <v>#VALUE!</v>
      </c>
      <c r="IG391" t="e">
        <f>Asia!E871+"$F;@!3b."</f>
        <v>#VALUE!</v>
      </c>
      <c r="IH391" t="e">
        <f>Asia!F871+"$F;@!3b/"</f>
        <v>#VALUE!</v>
      </c>
      <c r="II391" t="e">
        <f>Asia!G871+"$F;@!3b0"</f>
        <v>#VALUE!</v>
      </c>
      <c r="IJ391" t="e">
        <f>Asia!H871+"$F;@!3b1"</f>
        <v>#VALUE!</v>
      </c>
      <c r="IK391" t="e">
        <f>Asia!A872+"$F;@!3b2"</f>
        <v>#VALUE!</v>
      </c>
      <c r="IL391" t="e">
        <f>Asia!B872+"$F;@!3b3"</f>
        <v>#VALUE!</v>
      </c>
      <c r="IM391" t="e">
        <f>Asia!C872+"$F;@!3b4"</f>
        <v>#VALUE!</v>
      </c>
      <c r="IN391" t="e">
        <f>Asia!D872+"$F;@!3b5"</f>
        <v>#VALUE!</v>
      </c>
      <c r="IO391" t="e">
        <f>Asia!E872+"$F;@!3b6"</f>
        <v>#VALUE!</v>
      </c>
      <c r="IP391" t="e">
        <f>Asia!F872+"$F;@!3b7"</f>
        <v>#VALUE!</v>
      </c>
      <c r="IQ391" t="e">
        <f>Asia!G872+"$F;@!3b8"</f>
        <v>#VALUE!</v>
      </c>
      <c r="IR391" t="e">
        <f>Asia!H872+"$F;@!3b9"</f>
        <v>#VALUE!</v>
      </c>
      <c r="IS391" t="e">
        <f>Asia!A873+"$F;@!3b:"</f>
        <v>#VALUE!</v>
      </c>
      <c r="IT391" t="e">
        <f>Asia!B873+"$F;@!3b;"</f>
        <v>#VALUE!</v>
      </c>
      <c r="IU391" t="e">
        <f>Asia!C873+"$F;@!3b&lt;"</f>
        <v>#VALUE!</v>
      </c>
      <c r="IV391" t="e">
        <f>Asia!D873+"$F;@!3b="</f>
        <v>#VALUE!</v>
      </c>
    </row>
    <row r="392" spans="6:256" x14ac:dyDescent="0.35">
      <c r="F392" t="e">
        <f>Asia!E873+"$F;@!3b&gt;"</f>
        <v>#VALUE!</v>
      </c>
      <c r="G392" t="e">
        <f>Asia!F873+"$F;@!3b?"</f>
        <v>#VALUE!</v>
      </c>
      <c r="H392" t="e">
        <f>Asia!G873+"$F;@!3b@"</f>
        <v>#VALUE!</v>
      </c>
      <c r="I392" t="e">
        <f>Asia!H873+"$F;@!3bA"</f>
        <v>#VALUE!</v>
      </c>
      <c r="J392" t="e">
        <f>Asia!A874+"$F;@!3bB"</f>
        <v>#VALUE!</v>
      </c>
      <c r="K392" t="e">
        <f>Asia!B874+"$F;@!3bC"</f>
        <v>#VALUE!</v>
      </c>
      <c r="L392" t="e">
        <f>Asia!C874+"$F;@!3bD"</f>
        <v>#VALUE!</v>
      </c>
      <c r="M392" t="e">
        <f>Asia!D874+"$F;@!3bE"</f>
        <v>#VALUE!</v>
      </c>
      <c r="N392" t="e">
        <f>Asia!E874+"$F;@!3bF"</f>
        <v>#VALUE!</v>
      </c>
      <c r="O392" t="e">
        <f>Asia!F874+"$F;@!3bG"</f>
        <v>#VALUE!</v>
      </c>
      <c r="P392" t="e">
        <f>Asia!G874+"$F;@!3bH"</f>
        <v>#VALUE!</v>
      </c>
      <c r="Q392" t="e">
        <f>Asia!H874+"$F;@!3bI"</f>
        <v>#VALUE!</v>
      </c>
      <c r="R392" t="e">
        <f>Asia!A875+"$F;@!3bJ"</f>
        <v>#VALUE!</v>
      </c>
      <c r="S392" t="e">
        <f>Asia!B875+"$F;@!3bK"</f>
        <v>#VALUE!</v>
      </c>
      <c r="T392" t="e">
        <f>Asia!C875+"$F;@!3bL"</f>
        <v>#VALUE!</v>
      </c>
      <c r="U392" t="e">
        <f>Asia!D875+"$F;@!3bM"</f>
        <v>#VALUE!</v>
      </c>
      <c r="V392" t="e">
        <f>Asia!E875+"$F;@!3bN"</f>
        <v>#VALUE!</v>
      </c>
      <c r="W392" t="e">
        <f>Asia!F875+"$F;@!3bO"</f>
        <v>#VALUE!</v>
      </c>
      <c r="X392" t="e">
        <f>Asia!G875+"$F;@!3bP"</f>
        <v>#VALUE!</v>
      </c>
      <c r="Y392" t="e">
        <f>Asia!H875+"$F;@!3bQ"</f>
        <v>#VALUE!</v>
      </c>
      <c r="Z392" t="e">
        <f>Asia!A876+"$F;@!3bR"</f>
        <v>#VALUE!</v>
      </c>
      <c r="AA392" t="e">
        <f>Asia!B876+"$F;@!3bS"</f>
        <v>#VALUE!</v>
      </c>
      <c r="AB392" t="e">
        <f>Asia!C876+"$F;@!3bT"</f>
        <v>#VALUE!</v>
      </c>
      <c r="AC392" t="e">
        <f>Asia!D876+"$F;@!3bU"</f>
        <v>#VALUE!</v>
      </c>
      <c r="AD392" t="e">
        <f>Asia!E876+"$F;@!3bV"</f>
        <v>#VALUE!</v>
      </c>
      <c r="AE392" t="e">
        <f>Asia!F876+"$F;@!3bW"</f>
        <v>#VALUE!</v>
      </c>
      <c r="AF392" t="e">
        <f>Asia!G876+"$F;@!3bX"</f>
        <v>#VALUE!</v>
      </c>
      <c r="AG392" t="e">
        <f>Asia!H876+"$F;@!3bY"</f>
        <v>#VALUE!</v>
      </c>
      <c r="AH392" t="e">
        <f>Asia!A877+"$F;@!3bZ"</f>
        <v>#VALUE!</v>
      </c>
      <c r="AI392" t="e">
        <f>Asia!B877+"$F;@!3b["</f>
        <v>#VALUE!</v>
      </c>
      <c r="AJ392" t="e">
        <f>Asia!C877+"$F;@!3b\"</f>
        <v>#VALUE!</v>
      </c>
      <c r="AK392" t="e">
        <f>Asia!D877+"$F;@!3b]"</f>
        <v>#VALUE!</v>
      </c>
      <c r="AL392" t="e">
        <f>Asia!E877+"$F;@!3b^"</f>
        <v>#VALUE!</v>
      </c>
      <c r="AM392" t="e">
        <f>Asia!F877+"$F;@!3b_"</f>
        <v>#VALUE!</v>
      </c>
      <c r="AN392" t="e">
        <f>Asia!G877+"$F;@!3b`"</f>
        <v>#VALUE!</v>
      </c>
      <c r="AO392" t="e">
        <f>Asia!H877+"$F;@!3ba"</f>
        <v>#VALUE!</v>
      </c>
      <c r="AP392" t="e">
        <f>Asia!A878+"$F;@!3bb"</f>
        <v>#VALUE!</v>
      </c>
      <c r="AQ392" t="e">
        <f>Asia!B878+"$F;@!3bc"</f>
        <v>#VALUE!</v>
      </c>
      <c r="AR392" t="e">
        <f>Asia!C878+"$F;@!3bd"</f>
        <v>#VALUE!</v>
      </c>
      <c r="AS392" t="e">
        <f>Asia!D878+"$F;@!3be"</f>
        <v>#VALUE!</v>
      </c>
      <c r="AT392" t="e">
        <f>Asia!E878+"$F;@!3bf"</f>
        <v>#VALUE!</v>
      </c>
      <c r="AU392" t="e">
        <f>Asia!F878+"$F;@!3bg"</f>
        <v>#VALUE!</v>
      </c>
      <c r="AV392" t="e">
        <f>Asia!G878+"$F;@!3bh"</f>
        <v>#VALUE!</v>
      </c>
      <c r="AW392" t="e">
        <f>Asia!H878+"$F;@!3bi"</f>
        <v>#VALUE!</v>
      </c>
      <c r="AX392" t="e">
        <f>Asia!A879+"$F;@!3bj"</f>
        <v>#VALUE!</v>
      </c>
      <c r="AY392" t="e">
        <f>Asia!B879+"$F;@!3bk"</f>
        <v>#VALUE!</v>
      </c>
      <c r="AZ392" t="e">
        <f>Asia!C879+"$F;@!3bl"</f>
        <v>#VALUE!</v>
      </c>
      <c r="BA392" t="e">
        <f>Asia!D879+"$F;@!3bm"</f>
        <v>#VALUE!</v>
      </c>
      <c r="BB392" t="e">
        <f>Asia!E879+"$F;@!3bn"</f>
        <v>#VALUE!</v>
      </c>
      <c r="BC392" t="e">
        <f>Asia!F879+"$F;@!3bo"</f>
        <v>#VALUE!</v>
      </c>
      <c r="BD392" t="e">
        <f>Asia!G879+"$F;@!3bp"</f>
        <v>#VALUE!</v>
      </c>
      <c r="BE392" t="e">
        <f>Asia!H879+"$F;@!3bq"</f>
        <v>#VALUE!</v>
      </c>
      <c r="BF392" t="e">
        <f>Asia!A880+"$F;@!3br"</f>
        <v>#VALUE!</v>
      </c>
      <c r="BG392" t="e">
        <f>Asia!B880+"$F;@!3bs"</f>
        <v>#VALUE!</v>
      </c>
      <c r="BH392" t="e">
        <f>Asia!C880+"$F;@!3bt"</f>
        <v>#VALUE!</v>
      </c>
      <c r="BI392" t="e">
        <f>Asia!D880+"$F;@!3bu"</f>
        <v>#VALUE!</v>
      </c>
      <c r="BJ392" t="e">
        <f>Asia!E880+"$F;@!3bv"</f>
        <v>#VALUE!</v>
      </c>
      <c r="BK392" t="e">
        <f>Asia!F880+"$F;@!3bw"</f>
        <v>#VALUE!</v>
      </c>
      <c r="BL392" t="e">
        <f>Asia!G880+"$F;@!3bx"</f>
        <v>#VALUE!</v>
      </c>
      <c r="BM392" t="e">
        <f>Asia!H880+"$F;@!3by"</f>
        <v>#VALUE!</v>
      </c>
      <c r="BN392" t="e">
        <f>Asia!A881+"$F;@!3bz"</f>
        <v>#VALUE!</v>
      </c>
      <c r="BO392" t="e">
        <f>Asia!B881+"$F;@!3b{"</f>
        <v>#VALUE!</v>
      </c>
      <c r="BP392" t="e">
        <f>Asia!C881+"$F;@!3b|"</f>
        <v>#VALUE!</v>
      </c>
      <c r="BQ392" t="e">
        <f>Asia!D881+"$F;@!3b}"</f>
        <v>#VALUE!</v>
      </c>
      <c r="BR392" t="e">
        <f>Asia!E881+"$F;@!3b~"</f>
        <v>#VALUE!</v>
      </c>
      <c r="BS392" t="e">
        <f>Asia!F881+"$F;@!3c#"</f>
        <v>#VALUE!</v>
      </c>
      <c r="BT392" t="e">
        <f>Asia!G881+"$F;@!3c$"</f>
        <v>#VALUE!</v>
      </c>
      <c r="BU392" t="e">
        <f>Asia!H881+"$F;@!3c%"</f>
        <v>#VALUE!</v>
      </c>
      <c r="BV392" t="e">
        <f>Asia!A882+"$F;@!3c&amp;"</f>
        <v>#VALUE!</v>
      </c>
      <c r="BW392" t="e">
        <f>Asia!B882+"$F;@!3c'"</f>
        <v>#VALUE!</v>
      </c>
      <c r="BX392" t="e">
        <f>Asia!C882+"$F;@!3c("</f>
        <v>#VALUE!</v>
      </c>
      <c r="BY392" t="e">
        <f>Asia!D882+"$F;@!3c)"</f>
        <v>#VALUE!</v>
      </c>
      <c r="BZ392" t="e">
        <f>Asia!E882+"$F;@!3c."</f>
        <v>#VALUE!</v>
      </c>
      <c r="CA392" t="e">
        <f>Asia!F882+"$F;@!3c/"</f>
        <v>#VALUE!</v>
      </c>
      <c r="CB392" t="e">
        <f>Asia!G882+"$F;@!3c0"</f>
        <v>#VALUE!</v>
      </c>
      <c r="CC392" t="e">
        <f>Asia!H882+"$F;@!3c1"</f>
        <v>#VALUE!</v>
      </c>
      <c r="CD392" t="e">
        <f>Asia!A883+"$F;@!3c2"</f>
        <v>#VALUE!</v>
      </c>
      <c r="CE392" t="e">
        <f>Asia!B883+"$F;@!3c3"</f>
        <v>#VALUE!</v>
      </c>
      <c r="CF392" t="e">
        <f>Asia!C883+"$F;@!3c4"</f>
        <v>#VALUE!</v>
      </c>
      <c r="CG392" t="e">
        <f>Asia!D883+"$F;@!3c5"</f>
        <v>#VALUE!</v>
      </c>
      <c r="CH392" t="e">
        <f>Asia!E883+"$F;@!3c6"</f>
        <v>#VALUE!</v>
      </c>
      <c r="CI392" t="e">
        <f>Asia!F883+"$F;@!3c7"</f>
        <v>#VALUE!</v>
      </c>
      <c r="CJ392" t="e">
        <f>Asia!G883+"$F;@!3c8"</f>
        <v>#VALUE!</v>
      </c>
      <c r="CK392" t="e">
        <f>Asia!H883+"$F;@!3c9"</f>
        <v>#VALUE!</v>
      </c>
      <c r="CL392" t="e">
        <f>Asia!A884+"$F;@!3c:"</f>
        <v>#VALUE!</v>
      </c>
      <c r="CM392" t="e">
        <f>Asia!B884+"$F;@!3c;"</f>
        <v>#VALUE!</v>
      </c>
      <c r="CN392" t="e">
        <f>Asia!C884+"$F;@!3c&lt;"</f>
        <v>#VALUE!</v>
      </c>
      <c r="CO392" t="e">
        <f>Asia!D884+"$F;@!3c="</f>
        <v>#VALUE!</v>
      </c>
      <c r="CP392" t="e">
        <f>Asia!E884+"$F;@!3c&gt;"</f>
        <v>#VALUE!</v>
      </c>
      <c r="CQ392" t="e">
        <f>Asia!F884+"$F;@!3c?"</f>
        <v>#VALUE!</v>
      </c>
      <c r="CR392" t="e">
        <f>Asia!G884+"$F;@!3c@"</f>
        <v>#VALUE!</v>
      </c>
      <c r="CS392" t="e">
        <f>Asia!H884+"$F;@!3cA"</f>
        <v>#VALUE!</v>
      </c>
      <c r="CT392" t="e">
        <f>Asia!A885+"$F;@!3cB"</f>
        <v>#VALUE!</v>
      </c>
      <c r="CU392" t="e">
        <f>Asia!B885+"$F;@!3cC"</f>
        <v>#VALUE!</v>
      </c>
      <c r="CV392" t="e">
        <f>Asia!C885+"$F;@!3cD"</f>
        <v>#VALUE!</v>
      </c>
      <c r="CW392" t="e">
        <f>Asia!D885+"$F;@!3cE"</f>
        <v>#VALUE!</v>
      </c>
      <c r="CX392" t="e">
        <f>Asia!E885+"$F;@!3cF"</f>
        <v>#VALUE!</v>
      </c>
      <c r="CY392" t="e">
        <f>Asia!F885+"$F;@!3cG"</f>
        <v>#VALUE!</v>
      </c>
      <c r="CZ392" t="e">
        <f>Asia!G885+"$F;@!3cH"</f>
        <v>#VALUE!</v>
      </c>
      <c r="DA392" t="e">
        <f>Asia!H885+"$F;@!3cI"</f>
        <v>#VALUE!</v>
      </c>
      <c r="DB392" t="e">
        <f>Asia!A886+"$F;@!3cJ"</f>
        <v>#VALUE!</v>
      </c>
      <c r="DC392" t="e">
        <f>Asia!B886+"$F;@!3cK"</f>
        <v>#VALUE!</v>
      </c>
      <c r="DD392" t="e">
        <f>Asia!C886+"$F;@!3cL"</f>
        <v>#VALUE!</v>
      </c>
      <c r="DE392" t="e">
        <f>Asia!D886+"$F;@!3cM"</f>
        <v>#VALUE!</v>
      </c>
      <c r="DF392" t="e">
        <f>Asia!E886+"$F;@!3cN"</f>
        <v>#VALUE!</v>
      </c>
      <c r="DG392" t="e">
        <f>Asia!F886+"$F;@!3cO"</f>
        <v>#VALUE!</v>
      </c>
      <c r="DH392" t="e">
        <f>Asia!G886+"$F;@!3cP"</f>
        <v>#VALUE!</v>
      </c>
      <c r="DI392" t="e">
        <f>Asia!H886+"$F;@!3cQ"</f>
        <v>#VALUE!</v>
      </c>
      <c r="DJ392" t="e">
        <f>Asia!A887+"$F;@!3cR"</f>
        <v>#VALUE!</v>
      </c>
      <c r="DK392" t="e">
        <f>Asia!B887+"$F;@!3cS"</f>
        <v>#VALUE!</v>
      </c>
      <c r="DL392" t="e">
        <f>Asia!C887+"$F;@!3cT"</f>
        <v>#VALUE!</v>
      </c>
      <c r="DM392" t="e">
        <f>Asia!D887+"$F;@!3cU"</f>
        <v>#VALUE!</v>
      </c>
      <c r="DN392" t="e">
        <f>Asia!E887+"$F;@!3cV"</f>
        <v>#VALUE!</v>
      </c>
      <c r="DO392" t="e">
        <f>Asia!F887+"$F;@!3cW"</f>
        <v>#VALUE!</v>
      </c>
      <c r="DP392" t="e">
        <f>Asia!G887+"$F;@!3cX"</f>
        <v>#VALUE!</v>
      </c>
      <c r="DQ392" t="e">
        <f>Asia!H887+"$F;@!3cY"</f>
        <v>#VALUE!</v>
      </c>
      <c r="DR392" t="e">
        <f>Asia!A888+"$F;@!3cZ"</f>
        <v>#VALUE!</v>
      </c>
      <c r="DS392" t="e">
        <f>Asia!B888+"$F;@!3c["</f>
        <v>#VALUE!</v>
      </c>
      <c r="DT392" t="e">
        <f>Asia!C888+"$F;@!3c\"</f>
        <v>#VALUE!</v>
      </c>
      <c r="DU392" t="e">
        <f>Asia!D888+"$F;@!3c]"</f>
        <v>#VALUE!</v>
      </c>
      <c r="DV392" t="e">
        <f>Asia!E888+"$F;@!3c^"</f>
        <v>#VALUE!</v>
      </c>
      <c r="DW392" t="e">
        <f>Asia!F888+"$F;@!3c_"</f>
        <v>#VALUE!</v>
      </c>
      <c r="DX392" t="e">
        <f>Asia!G888+"$F;@!3c`"</f>
        <v>#VALUE!</v>
      </c>
      <c r="DY392" t="e">
        <f>Asia!H888+"$F;@!3ca"</f>
        <v>#VALUE!</v>
      </c>
      <c r="DZ392" t="e">
        <f>Asia!A889+"$F;@!3cb"</f>
        <v>#VALUE!</v>
      </c>
      <c r="EA392" t="e">
        <f>Asia!B889+"$F;@!3cc"</f>
        <v>#VALUE!</v>
      </c>
      <c r="EB392" t="e">
        <f>Asia!C889+"$F;@!3cd"</f>
        <v>#VALUE!</v>
      </c>
      <c r="EC392" t="e">
        <f>Asia!D889+"$F;@!3ce"</f>
        <v>#VALUE!</v>
      </c>
      <c r="ED392" t="e">
        <f>Asia!E889+"$F;@!3cf"</f>
        <v>#VALUE!</v>
      </c>
      <c r="EE392" t="e">
        <f>Asia!F889+"$F;@!3cg"</f>
        <v>#VALUE!</v>
      </c>
      <c r="EF392" t="e">
        <f>Asia!G889+"$F;@!3ch"</f>
        <v>#VALUE!</v>
      </c>
      <c r="EG392" t="e">
        <f>Asia!H889+"$F;@!3ci"</f>
        <v>#VALUE!</v>
      </c>
      <c r="EH392" t="e">
        <f>Asia!A890+"$F;@!3cj"</f>
        <v>#VALUE!</v>
      </c>
      <c r="EI392" t="e">
        <f>Asia!B890+"$F;@!3ck"</f>
        <v>#VALUE!</v>
      </c>
      <c r="EJ392" t="e">
        <f>Asia!C890+"$F;@!3cl"</f>
        <v>#VALUE!</v>
      </c>
      <c r="EK392" t="e">
        <f>Asia!D890+"$F;@!3cm"</f>
        <v>#VALUE!</v>
      </c>
      <c r="EL392" t="e">
        <f>Asia!E890+"$F;@!3cn"</f>
        <v>#VALUE!</v>
      </c>
      <c r="EM392" t="e">
        <f>Asia!F890+"$F;@!3co"</f>
        <v>#VALUE!</v>
      </c>
      <c r="EN392" t="e">
        <f>Asia!G890+"$F;@!3cp"</f>
        <v>#VALUE!</v>
      </c>
      <c r="EO392" t="e">
        <f>Asia!H890+"$F;@!3cq"</f>
        <v>#VALUE!</v>
      </c>
      <c r="EP392" t="e">
        <f>Asia!A891+"$F;@!3cr"</f>
        <v>#VALUE!</v>
      </c>
      <c r="EQ392" t="e">
        <f>Asia!B891+"$F;@!3cs"</f>
        <v>#VALUE!</v>
      </c>
      <c r="ER392" t="e">
        <f>Asia!C891+"$F;@!3ct"</f>
        <v>#VALUE!</v>
      </c>
      <c r="ES392" t="e">
        <f>Asia!D891+"$F;@!3cu"</f>
        <v>#VALUE!</v>
      </c>
      <c r="ET392" t="e">
        <f>Asia!E891+"$F;@!3cv"</f>
        <v>#VALUE!</v>
      </c>
      <c r="EU392" t="e">
        <f>Asia!F891+"$F;@!3cw"</f>
        <v>#VALUE!</v>
      </c>
      <c r="EV392" t="e">
        <f>Asia!G891+"$F;@!3cx"</f>
        <v>#VALUE!</v>
      </c>
      <c r="EW392" t="e">
        <f>Asia!H891+"$F;@!3cy"</f>
        <v>#VALUE!</v>
      </c>
      <c r="EX392" t="e">
        <f>Asia!A892+"$F;@!3cz"</f>
        <v>#VALUE!</v>
      </c>
      <c r="EY392" t="e">
        <f>Asia!B892+"$F;@!3c{"</f>
        <v>#VALUE!</v>
      </c>
      <c r="EZ392" t="e">
        <f>Asia!C892+"$F;@!3c|"</f>
        <v>#VALUE!</v>
      </c>
      <c r="FA392" t="e">
        <f>Asia!D892+"$F;@!3c}"</f>
        <v>#VALUE!</v>
      </c>
      <c r="FB392" t="e">
        <f>Asia!E892+"$F;@!3c~"</f>
        <v>#VALUE!</v>
      </c>
      <c r="FC392" t="e">
        <f>Asia!F892+"$F;@!3d#"</f>
        <v>#VALUE!</v>
      </c>
      <c r="FD392" t="e">
        <f>Asia!G892+"$F;@!3d$"</f>
        <v>#VALUE!</v>
      </c>
      <c r="FE392" t="e">
        <f>Asia!H892+"$F;@!3d%"</f>
        <v>#VALUE!</v>
      </c>
      <c r="FF392" t="e">
        <f>Asia!A893+"$F;@!3d&amp;"</f>
        <v>#VALUE!</v>
      </c>
      <c r="FG392" t="e">
        <f>Asia!B893+"$F;@!3d'"</f>
        <v>#VALUE!</v>
      </c>
      <c r="FH392" t="e">
        <f>Asia!C893+"$F;@!3d("</f>
        <v>#VALUE!</v>
      </c>
      <c r="FI392" t="e">
        <f>Asia!D893+"$F;@!3d)"</f>
        <v>#VALUE!</v>
      </c>
      <c r="FJ392" t="e">
        <f>Asia!E893+"$F;@!3d."</f>
        <v>#VALUE!</v>
      </c>
      <c r="FK392" t="e">
        <f>Asia!F893+"$F;@!3d/"</f>
        <v>#VALUE!</v>
      </c>
      <c r="FL392" t="e">
        <f>Asia!G893+"$F;@!3d0"</f>
        <v>#VALUE!</v>
      </c>
      <c r="FM392" t="e">
        <f>Asia!H893+"$F;@!3d1"</f>
        <v>#VALUE!</v>
      </c>
      <c r="FN392" t="e">
        <f>Asia!A894+"$F;@!3d2"</f>
        <v>#VALUE!</v>
      </c>
      <c r="FO392" t="e">
        <f>Asia!B894+"$F;@!3d3"</f>
        <v>#VALUE!</v>
      </c>
      <c r="FP392" t="e">
        <f>Asia!C894+"$F;@!3d4"</f>
        <v>#VALUE!</v>
      </c>
      <c r="FQ392" t="e">
        <f>Asia!D894+"$F;@!3d5"</f>
        <v>#VALUE!</v>
      </c>
      <c r="FR392" t="e">
        <f>Asia!E894+"$F;@!3d6"</f>
        <v>#VALUE!</v>
      </c>
      <c r="FS392" t="e">
        <f>Asia!F894+"$F;@!3d7"</f>
        <v>#VALUE!</v>
      </c>
      <c r="FT392" t="e">
        <f>Asia!G894+"$F;@!3d8"</f>
        <v>#VALUE!</v>
      </c>
      <c r="FU392" t="e">
        <f>Asia!H894+"$F;@!3d9"</f>
        <v>#VALUE!</v>
      </c>
      <c r="FV392" t="e">
        <f>Asia!A895+"$F;@!3d:"</f>
        <v>#VALUE!</v>
      </c>
      <c r="FW392" t="e">
        <f>Asia!B895+"$F;@!3d;"</f>
        <v>#VALUE!</v>
      </c>
      <c r="FX392" t="e">
        <f>Asia!C895+"$F;@!3d&lt;"</f>
        <v>#VALUE!</v>
      </c>
      <c r="FY392" t="e">
        <f>Asia!D895+"$F;@!3d="</f>
        <v>#VALUE!</v>
      </c>
      <c r="FZ392" t="e">
        <f>Asia!E895+"$F;@!3d&gt;"</f>
        <v>#VALUE!</v>
      </c>
      <c r="GA392" t="e">
        <f>Asia!F895+"$F;@!3d?"</f>
        <v>#VALUE!</v>
      </c>
      <c r="GB392" t="e">
        <f>Asia!G895+"$F;@!3d@"</f>
        <v>#VALUE!</v>
      </c>
      <c r="GC392" t="e">
        <f>Asia!H895+"$F;@!3dA"</f>
        <v>#VALUE!</v>
      </c>
      <c r="GD392" t="e">
        <f>Asia!A896+"$F;@!3dB"</f>
        <v>#VALUE!</v>
      </c>
      <c r="GE392" t="e">
        <f>Asia!B896+"$F;@!3dC"</f>
        <v>#VALUE!</v>
      </c>
      <c r="GF392" t="e">
        <f>Asia!C896+"$F;@!3dD"</f>
        <v>#VALUE!</v>
      </c>
      <c r="GG392" t="e">
        <f>Asia!D896+"$F;@!3dE"</f>
        <v>#VALUE!</v>
      </c>
      <c r="GH392" t="e">
        <f>Asia!E896+"$F;@!3dF"</f>
        <v>#VALUE!</v>
      </c>
      <c r="GI392" t="e">
        <f>Asia!F896+"$F;@!3dG"</f>
        <v>#VALUE!</v>
      </c>
      <c r="GJ392" t="e">
        <f>Asia!G896+"$F;@!3dH"</f>
        <v>#VALUE!</v>
      </c>
      <c r="GK392" t="e">
        <f>Asia!H896+"$F;@!3dI"</f>
        <v>#VALUE!</v>
      </c>
      <c r="GL392" t="e">
        <f>Asia!A897+"$F;@!3dJ"</f>
        <v>#VALUE!</v>
      </c>
      <c r="GM392" t="e">
        <f>Asia!B897+"$F;@!3dK"</f>
        <v>#VALUE!</v>
      </c>
      <c r="GN392" t="e">
        <f>Asia!C897+"$F;@!3dL"</f>
        <v>#VALUE!</v>
      </c>
      <c r="GO392" t="e">
        <f>Asia!D897+"$F;@!3dM"</f>
        <v>#VALUE!</v>
      </c>
      <c r="GP392" t="e">
        <f>Asia!E897+"$F;@!3dN"</f>
        <v>#VALUE!</v>
      </c>
      <c r="GQ392" t="e">
        <f>Asia!F897+"$F;@!3dO"</f>
        <v>#VALUE!</v>
      </c>
      <c r="GR392" t="e">
        <f>Asia!G897+"$F;@!3dP"</f>
        <v>#VALUE!</v>
      </c>
      <c r="GS392" t="e">
        <f>Asia!H897+"$F;@!3dQ"</f>
        <v>#VALUE!</v>
      </c>
      <c r="GT392" t="e">
        <f>Asia!A898+"$F;@!3dR"</f>
        <v>#VALUE!</v>
      </c>
      <c r="GU392" t="e">
        <f>Asia!B898+"$F;@!3dS"</f>
        <v>#VALUE!</v>
      </c>
      <c r="GV392" t="e">
        <f>Asia!C898+"$F;@!3dT"</f>
        <v>#VALUE!</v>
      </c>
      <c r="GW392" t="e">
        <f>Asia!D898+"$F;@!3dU"</f>
        <v>#VALUE!</v>
      </c>
      <c r="GX392" t="e">
        <f>Asia!E898+"$F;@!3dV"</f>
        <v>#VALUE!</v>
      </c>
      <c r="GY392" t="e">
        <f>Asia!F898+"$F;@!3dW"</f>
        <v>#VALUE!</v>
      </c>
      <c r="GZ392" t="e">
        <f>Asia!G898+"$F;@!3dX"</f>
        <v>#VALUE!</v>
      </c>
      <c r="HA392" t="e">
        <f>Asia!H898+"$F;@!3dY"</f>
        <v>#VALUE!</v>
      </c>
      <c r="HB392" t="e">
        <f>Asia!A899+"$F;@!3dZ"</f>
        <v>#VALUE!</v>
      </c>
      <c r="HC392" t="e">
        <f>Asia!B899+"$F;@!3d["</f>
        <v>#VALUE!</v>
      </c>
      <c r="HD392" t="e">
        <f>Asia!C899+"$F;@!3d\"</f>
        <v>#VALUE!</v>
      </c>
      <c r="HE392" t="e">
        <f>Asia!D899+"$F;@!3d]"</f>
        <v>#VALUE!</v>
      </c>
      <c r="HF392" t="e">
        <f>Asia!E899+"$F;@!3d^"</f>
        <v>#VALUE!</v>
      </c>
      <c r="HG392" t="e">
        <f>Asia!F899+"$F;@!3d_"</f>
        <v>#VALUE!</v>
      </c>
      <c r="HH392" t="e">
        <f>Asia!G899+"$F;@!3d`"</f>
        <v>#VALUE!</v>
      </c>
      <c r="HI392" t="e">
        <f>Asia!H899+"$F;@!3da"</f>
        <v>#VALUE!</v>
      </c>
      <c r="HJ392" t="e">
        <f>Asia!A900+"$F;@!3db"</f>
        <v>#VALUE!</v>
      </c>
      <c r="HK392" t="e">
        <f>Asia!B900+"$F;@!3dc"</f>
        <v>#VALUE!</v>
      </c>
      <c r="HL392" t="e">
        <f>Asia!C900+"$F;@!3dd"</f>
        <v>#VALUE!</v>
      </c>
      <c r="HM392" t="e">
        <f>Asia!D900+"$F;@!3de"</f>
        <v>#VALUE!</v>
      </c>
      <c r="HN392" t="e">
        <f>Asia!E900+"$F;@!3df"</f>
        <v>#VALUE!</v>
      </c>
      <c r="HO392" t="e">
        <f>Asia!F900+"$F;@!3dg"</f>
        <v>#VALUE!</v>
      </c>
      <c r="HP392" t="e">
        <f>Asia!G900+"$F;@!3dh"</f>
        <v>#VALUE!</v>
      </c>
      <c r="HQ392" t="e">
        <f>Asia!H900+"$F;@!3di"</f>
        <v>#VALUE!</v>
      </c>
      <c r="HR392" t="e">
        <f>Asia!A901+"$F;@!3dj"</f>
        <v>#VALUE!</v>
      </c>
      <c r="HS392" t="e">
        <f>Asia!B901+"$F;@!3dk"</f>
        <v>#VALUE!</v>
      </c>
      <c r="HT392" t="e">
        <f>Asia!C901+"$F;@!3dl"</f>
        <v>#VALUE!</v>
      </c>
      <c r="HU392" t="e">
        <f>Asia!D901+"$F;@!3dm"</f>
        <v>#VALUE!</v>
      </c>
      <c r="HV392" t="e">
        <f>Asia!E901+"$F;@!3dn"</f>
        <v>#VALUE!</v>
      </c>
      <c r="HW392" t="e">
        <f>Asia!F901+"$F;@!3do"</f>
        <v>#VALUE!</v>
      </c>
      <c r="HX392" t="e">
        <f>Asia!G901+"$F;@!3dp"</f>
        <v>#VALUE!</v>
      </c>
      <c r="HY392" t="e">
        <f>Asia!H901+"$F;@!3dq"</f>
        <v>#VALUE!</v>
      </c>
      <c r="HZ392" t="e">
        <f>Asia!A902+"$F;@!3dr"</f>
        <v>#VALUE!</v>
      </c>
      <c r="IA392" t="e">
        <f>Asia!B902+"$F;@!3ds"</f>
        <v>#VALUE!</v>
      </c>
      <c r="IB392" t="e">
        <f>Asia!C902+"$F;@!3dt"</f>
        <v>#VALUE!</v>
      </c>
      <c r="IC392" t="e">
        <f>Asia!D902+"$F;@!3du"</f>
        <v>#VALUE!</v>
      </c>
      <c r="ID392" t="e">
        <f>Asia!E902+"$F;@!3dv"</f>
        <v>#VALUE!</v>
      </c>
      <c r="IE392" t="e">
        <f>Asia!F902+"$F;@!3dw"</f>
        <v>#VALUE!</v>
      </c>
      <c r="IF392" t="e">
        <f>Asia!G902+"$F;@!3dx"</f>
        <v>#VALUE!</v>
      </c>
      <c r="IG392" t="e">
        <f>Asia!H902+"$F;@!3dy"</f>
        <v>#VALUE!</v>
      </c>
      <c r="IH392" t="e">
        <f>Asia!A903+"$F;@!3dz"</f>
        <v>#VALUE!</v>
      </c>
      <c r="II392" t="e">
        <f>Asia!B903+"$F;@!3d{"</f>
        <v>#VALUE!</v>
      </c>
      <c r="IJ392" t="e">
        <f>Asia!C903+"$F;@!3d|"</f>
        <v>#VALUE!</v>
      </c>
      <c r="IK392" t="e">
        <f>Asia!D903+"$F;@!3d}"</f>
        <v>#VALUE!</v>
      </c>
      <c r="IL392" t="e">
        <f>Asia!E903+"$F;@!3d~"</f>
        <v>#VALUE!</v>
      </c>
      <c r="IM392" t="e">
        <f>Asia!F903+"$F;@!3e#"</f>
        <v>#VALUE!</v>
      </c>
      <c r="IN392" t="e">
        <f>Asia!G903+"$F;@!3e$"</f>
        <v>#VALUE!</v>
      </c>
      <c r="IO392" t="e">
        <f>Asia!H903+"$F;@!3e%"</f>
        <v>#VALUE!</v>
      </c>
      <c r="IP392" t="e">
        <f>Asia!A904+"$F;@!3e&amp;"</f>
        <v>#VALUE!</v>
      </c>
      <c r="IQ392" t="e">
        <f>Asia!B904+"$F;@!3e'"</f>
        <v>#VALUE!</v>
      </c>
      <c r="IR392" t="e">
        <f>Asia!C904+"$F;@!3e("</f>
        <v>#VALUE!</v>
      </c>
      <c r="IS392" t="e">
        <f>Asia!D904+"$F;@!3e)"</f>
        <v>#VALUE!</v>
      </c>
      <c r="IT392" t="e">
        <f>Asia!E904+"$F;@!3e."</f>
        <v>#VALUE!</v>
      </c>
      <c r="IU392" t="e">
        <f>Asia!F904+"$F;@!3e/"</f>
        <v>#VALUE!</v>
      </c>
      <c r="IV392" t="e">
        <f>Asia!G904+"$F;@!3e0"</f>
        <v>#VALUE!</v>
      </c>
    </row>
    <row r="393" spans="6:256" x14ac:dyDescent="0.35">
      <c r="F393" t="e">
        <f>Asia!H904+"$F;@!3e1"</f>
        <v>#VALUE!</v>
      </c>
      <c r="G393" t="e">
        <f>Asia!A905+"$F;@!3e2"</f>
        <v>#VALUE!</v>
      </c>
      <c r="H393" t="e">
        <f>Asia!B905+"$F;@!3e3"</f>
        <v>#VALUE!</v>
      </c>
      <c r="I393" t="e">
        <f>Asia!C905+"$F;@!3e4"</f>
        <v>#VALUE!</v>
      </c>
      <c r="J393" t="e">
        <f>Asia!D905+"$F;@!3e5"</f>
        <v>#VALUE!</v>
      </c>
      <c r="K393" t="e">
        <f>Asia!E905+"$F;@!3e6"</f>
        <v>#VALUE!</v>
      </c>
      <c r="L393" t="e">
        <f>Asia!F905+"$F;@!3e7"</f>
        <v>#VALUE!</v>
      </c>
      <c r="M393" t="e">
        <f>Asia!G905+"$F;@!3e8"</f>
        <v>#VALUE!</v>
      </c>
      <c r="N393" t="e">
        <f>Asia!H905+"$F;@!3e9"</f>
        <v>#VALUE!</v>
      </c>
      <c r="O393" t="e">
        <f>Asia!A906+"$F;@!3e:"</f>
        <v>#VALUE!</v>
      </c>
      <c r="P393" t="e">
        <f>Asia!B906+"$F;@!3e;"</f>
        <v>#VALUE!</v>
      </c>
      <c r="Q393" t="e">
        <f>Asia!C906+"$F;@!3e&lt;"</f>
        <v>#VALUE!</v>
      </c>
      <c r="R393" t="e">
        <f>Asia!D906+"$F;@!3e="</f>
        <v>#VALUE!</v>
      </c>
      <c r="S393" t="e">
        <f>Asia!E906+"$F;@!3e&gt;"</f>
        <v>#VALUE!</v>
      </c>
      <c r="T393" t="e">
        <f>Asia!F906+"$F;@!3e?"</f>
        <v>#VALUE!</v>
      </c>
      <c r="U393" t="e">
        <f>Asia!G906+"$F;@!3e@"</f>
        <v>#VALUE!</v>
      </c>
      <c r="V393" t="e">
        <f>Asia!H906+"$F;@!3eA"</f>
        <v>#VALUE!</v>
      </c>
      <c r="W393" t="e">
        <f>Asia!A907+"$F;@!3eB"</f>
        <v>#VALUE!</v>
      </c>
      <c r="X393" t="e">
        <f>Asia!B907+"$F;@!3eC"</f>
        <v>#VALUE!</v>
      </c>
      <c r="Y393" t="e">
        <f>Asia!C907+"$F;@!3eD"</f>
        <v>#VALUE!</v>
      </c>
      <c r="Z393" t="e">
        <f>Asia!D907+"$F;@!3eE"</f>
        <v>#VALUE!</v>
      </c>
      <c r="AA393" t="e">
        <f>Asia!E907+"$F;@!3eF"</f>
        <v>#VALUE!</v>
      </c>
      <c r="AB393" t="e">
        <f>Asia!F907+"$F;@!3eG"</f>
        <v>#VALUE!</v>
      </c>
      <c r="AC393" t="e">
        <f>Asia!G907+"$F;@!3eH"</f>
        <v>#VALUE!</v>
      </c>
      <c r="AD393" t="e">
        <f>Asia!H907+"$F;@!3eI"</f>
        <v>#VALUE!</v>
      </c>
      <c r="AE393" t="e">
        <f>Asia!A908+"$F;@!3eJ"</f>
        <v>#VALUE!</v>
      </c>
      <c r="AF393" t="e">
        <f>Asia!B908+"$F;@!3eK"</f>
        <v>#VALUE!</v>
      </c>
      <c r="AG393" t="e">
        <f>Asia!C908+"$F;@!3eL"</f>
        <v>#VALUE!</v>
      </c>
      <c r="AH393" t="e">
        <f>Asia!D908+"$F;@!3eM"</f>
        <v>#VALUE!</v>
      </c>
      <c r="AI393" t="e">
        <f>Asia!E908+"$F;@!3eN"</f>
        <v>#VALUE!</v>
      </c>
      <c r="AJ393" t="e">
        <f>Asia!F908+"$F;@!3eO"</f>
        <v>#VALUE!</v>
      </c>
      <c r="AK393" t="e">
        <f>Asia!G908+"$F;@!3eP"</f>
        <v>#VALUE!</v>
      </c>
      <c r="AL393" t="e">
        <f>Asia!H908+"$F;@!3eQ"</f>
        <v>#VALUE!</v>
      </c>
      <c r="AM393" t="e">
        <f>Asia!A909+"$F;@!3eR"</f>
        <v>#VALUE!</v>
      </c>
      <c r="AN393" t="e">
        <f>Asia!B909+"$F;@!3eS"</f>
        <v>#VALUE!</v>
      </c>
      <c r="AO393" t="e">
        <f>Asia!C909+"$F;@!3eT"</f>
        <v>#VALUE!</v>
      </c>
      <c r="AP393" t="e">
        <f>Asia!D909+"$F;@!3eU"</f>
        <v>#VALUE!</v>
      </c>
      <c r="AQ393" t="e">
        <f>Asia!E909+"$F;@!3eV"</f>
        <v>#VALUE!</v>
      </c>
      <c r="AR393" t="e">
        <f>Asia!F909+"$F;@!3eW"</f>
        <v>#VALUE!</v>
      </c>
      <c r="AS393" t="e">
        <f>Asia!G909+"$F;@!3eX"</f>
        <v>#VALUE!</v>
      </c>
      <c r="AT393" t="e">
        <f>Asia!H909+"$F;@!3eY"</f>
        <v>#VALUE!</v>
      </c>
      <c r="AU393" t="e">
        <f>Asia!A910+"$F;@!3eZ"</f>
        <v>#VALUE!</v>
      </c>
      <c r="AV393" t="e">
        <f>Asia!B910+"$F;@!3e["</f>
        <v>#VALUE!</v>
      </c>
      <c r="AW393" t="e">
        <f>Asia!C910+"$F;@!3e\"</f>
        <v>#VALUE!</v>
      </c>
      <c r="AX393" t="e">
        <f>Asia!D910+"$F;@!3e]"</f>
        <v>#VALUE!</v>
      </c>
      <c r="AY393" t="e">
        <f>Asia!E910+"$F;@!3e^"</f>
        <v>#VALUE!</v>
      </c>
      <c r="AZ393" t="e">
        <f>Asia!F910+"$F;@!3e_"</f>
        <v>#VALUE!</v>
      </c>
      <c r="BA393" t="e">
        <f>Asia!G910+"$F;@!3e`"</f>
        <v>#VALUE!</v>
      </c>
      <c r="BB393" t="e">
        <f>Asia!H910+"$F;@!3ea"</f>
        <v>#VALUE!</v>
      </c>
      <c r="BC393" t="e">
        <f>Asia!A911+"$F;@!3eb"</f>
        <v>#VALUE!</v>
      </c>
      <c r="BD393" t="e">
        <f>Asia!B911+"$F;@!3ec"</f>
        <v>#VALUE!</v>
      </c>
      <c r="BE393" t="e">
        <f>Asia!C911+"$F;@!3ed"</f>
        <v>#VALUE!</v>
      </c>
      <c r="BF393" t="e">
        <f>Asia!D911+"$F;@!3ee"</f>
        <v>#VALUE!</v>
      </c>
      <c r="BG393" t="e">
        <f>Asia!E911+"$F;@!3ef"</f>
        <v>#VALUE!</v>
      </c>
      <c r="BH393" t="e">
        <f>Asia!F911+"$F;@!3eg"</f>
        <v>#VALUE!</v>
      </c>
      <c r="BI393" t="e">
        <f>Asia!G911+"$F;@!3eh"</f>
        <v>#VALUE!</v>
      </c>
      <c r="BJ393" t="e">
        <f>Asia!H911+"$F;@!3ei"</f>
        <v>#VALUE!</v>
      </c>
      <c r="BK393" t="e">
        <f>Asia!A912+"$F;@!3ej"</f>
        <v>#VALUE!</v>
      </c>
      <c r="BL393" t="e">
        <f>Asia!B912+"$F;@!3ek"</f>
        <v>#VALUE!</v>
      </c>
      <c r="BM393" t="e">
        <f>Asia!C912+"$F;@!3el"</f>
        <v>#VALUE!</v>
      </c>
      <c r="BN393" t="e">
        <f>Asia!D912+"$F;@!3em"</f>
        <v>#VALUE!</v>
      </c>
      <c r="BO393" t="e">
        <f>Asia!E912+"$F;@!3en"</f>
        <v>#VALUE!</v>
      </c>
      <c r="BP393" t="e">
        <f>Asia!F912+"$F;@!3eo"</f>
        <v>#VALUE!</v>
      </c>
      <c r="BQ393" t="e">
        <f>Asia!G912+"$F;@!3ep"</f>
        <v>#VALUE!</v>
      </c>
      <c r="BR393" t="e">
        <f>Asia!H912+"$F;@!3eq"</f>
        <v>#VALUE!</v>
      </c>
      <c r="BS393" t="e">
        <f>Asia!A913+"$F;@!3er"</f>
        <v>#VALUE!</v>
      </c>
      <c r="BT393" t="e">
        <f>Asia!B913+"$F;@!3es"</f>
        <v>#VALUE!</v>
      </c>
      <c r="BU393" t="e">
        <f>Asia!C913+"$F;@!3et"</f>
        <v>#VALUE!</v>
      </c>
      <c r="BV393" t="e">
        <f>Asia!D913+"$F;@!3eu"</f>
        <v>#VALUE!</v>
      </c>
      <c r="BW393" t="e">
        <f>Asia!E913+"$F;@!3ev"</f>
        <v>#VALUE!</v>
      </c>
      <c r="BX393" t="e">
        <f>Asia!F913+"$F;@!3ew"</f>
        <v>#VALUE!</v>
      </c>
      <c r="BY393" t="e">
        <f>Asia!G913+"$F;@!3ex"</f>
        <v>#VALUE!</v>
      </c>
      <c r="BZ393" t="e">
        <f>Asia!H913+"$F;@!3ey"</f>
        <v>#VALUE!</v>
      </c>
      <c r="CA393" t="e">
        <f>Asia!A914+"$F;@!3ez"</f>
        <v>#VALUE!</v>
      </c>
      <c r="CB393" t="e">
        <f>Asia!B914+"$F;@!3e{"</f>
        <v>#VALUE!</v>
      </c>
      <c r="CC393" t="e">
        <f>Asia!C914+"$F;@!3e|"</f>
        <v>#VALUE!</v>
      </c>
      <c r="CD393" t="e">
        <f>Asia!D914+"$F;@!3e}"</f>
        <v>#VALUE!</v>
      </c>
      <c r="CE393" t="e">
        <f>Asia!E914+"$F;@!3e~"</f>
        <v>#VALUE!</v>
      </c>
      <c r="CF393" t="e">
        <f>Asia!F914+"$F;@!3f#"</f>
        <v>#VALUE!</v>
      </c>
      <c r="CG393" t="e">
        <f>Asia!G914+"$F;@!3f$"</f>
        <v>#VALUE!</v>
      </c>
      <c r="CH393" t="e">
        <f>Asia!H914+"$F;@!3f%"</f>
        <v>#VALUE!</v>
      </c>
      <c r="CI393" t="e">
        <f>Asia!A915+"$F;@!3f&amp;"</f>
        <v>#VALUE!</v>
      </c>
      <c r="CJ393" t="e">
        <f>Asia!B915+"$F;@!3f'"</f>
        <v>#VALUE!</v>
      </c>
      <c r="CK393" t="e">
        <f>Asia!C915+"$F;@!3f("</f>
        <v>#VALUE!</v>
      </c>
      <c r="CL393" t="e">
        <f>Asia!D915+"$F;@!3f)"</f>
        <v>#VALUE!</v>
      </c>
      <c r="CM393" t="e">
        <f>Asia!E915+"$F;@!3f."</f>
        <v>#VALUE!</v>
      </c>
      <c r="CN393" t="e">
        <f>Asia!F915+"$F;@!3f/"</f>
        <v>#VALUE!</v>
      </c>
      <c r="CO393" t="e">
        <f>Asia!G915+"$F;@!3f0"</f>
        <v>#VALUE!</v>
      </c>
      <c r="CP393" t="e">
        <f>Asia!H915+"$F;@!3f1"</f>
        <v>#VALUE!</v>
      </c>
      <c r="CQ393" t="e">
        <f>Asia!A916+"$F;@!3f2"</f>
        <v>#VALUE!</v>
      </c>
      <c r="CR393" t="e">
        <f>Asia!B916+"$F;@!3f3"</f>
        <v>#VALUE!</v>
      </c>
      <c r="CS393" t="e">
        <f>Asia!C916+"$F;@!3f4"</f>
        <v>#VALUE!</v>
      </c>
      <c r="CT393" t="e">
        <f>Asia!D916+"$F;@!3f5"</f>
        <v>#VALUE!</v>
      </c>
      <c r="CU393" t="e">
        <f>Asia!E916+"$F;@!3f6"</f>
        <v>#VALUE!</v>
      </c>
      <c r="CV393" t="e">
        <f>Asia!F916+"$F;@!3f7"</f>
        <v>#VALUE!</v>
      </c>
      <c r="CW393" t="e">
        <f>Asia!G916+"$F;@!3f8"</f>
        <v>#VALUE!</v>
      </c>
      <c r="CX393" t="e">
        <f>Asia!H916+"$F;@!3f9"</f>
        <v>#VALUE!</v>
      </c>
      <c r="CY393" t="e">
        <f>Asia!A917+"$F;@!3f:"</f>
        <v>#VALUE!</v>
      </c>
      <c r="CZ393" t="e">
        <f>Asia!B917+"$F;@!3f;"</f>
        <v>#VALUE!</v>
      </c>
      <c r="DA393" t="e">
        <f>Asia!C917+"$F;@!3f&lt;"</f>
        <v>#VALUE!</v>
      </c>
      <c r="DB393" t="e">
        <f>Asia!D917+"$F;@!3f="</f>
        <v>#VALUE!</v>
      </c>
      <c r="DC393" t="e">
        <f>Asia!E917+"$F;@!3f&gt;"</f>
        <v>#VALUE!</v>
      </c>
      <c r="DD393" t="e">
        <f>Asia!F917+"$F;@!3f?"</f>
        <v>#VALUE!</v>
      </c>
      <c r="DE393" t="e">
        <f>Asia!G917+"$F;@!3f@"</f>
        <v>#VALUE!</v>
      </c>
      <c r="DF393" t="e">
        <f>Asia!H917+"$F;@!3fA"</f>
        <v>#VALUE!</v>
      </c>
      <c r="DG393" t="e">
        <f>Asia!A918+"$F;@!3fB"</f>
        <v>#VALUE!</v>
      </c>
      <c r="DH393" t="e">
        <f>Asia!B918+"$F;@!3fC"</f>
        <v>#VALUE!</v>
      </c>
      <c r="DI393" t="e">
        <f>Asia!C918+"$F;@!3fD"</f>
        <v>#VALUE!</v>
      </c>
      <c r="DJ393" t="e">
        <f>Asia!D918+"$F;@!3fE"</f>
        <v>#VALUE!</v>
      </c>
      <c r="DK393" t="e">
        <f>Asia!E918+"$F;@!3fF"</f>
        <v>#VALUE!</v>
      </c>
      <c r="DL393" t="e">
        <f>Asia!F918+"$F;@!3fG"</f>
        <v>#VALUE!</v>
      </c>
      <c r="DM393" t="e">
        <f>Asia!G918+"$F;@!3fH"</f>
        <v>#VALUE!</v>
      </c>
      <c r="DN393" t="e">
        <f>Asia!H918+"$F;@!3fI"</f>
        <v>#VALUE!</v>
      </c>
      <c r="DO393" t="e">
        <f>Asia!A919+"$F;@!3fJ"</f>
        <v>#VALUE!</v>
      </c>
      <c r="DP393" t="e">
        <f>Asia!B919+"$F;@!3fK"</f>
        <v>#VALUE!</v>
      </c>
      <c r="DQ393" t="e">
        <f>Asia!C919+"$F;@!3fL"</f>
        <v>#VALUE!</v>
      </c>
      <c r="DR393" t="e">
        <f>Asia!D919+"$F;@!3fM"</f>
        <v>#VALUE!</v>
      </c>
      <c r="DS393" t="e">
        <f>Asia!E919+"$F;@!3fN"</f>
        <v>#VALUE!</v>
      </c>
      <c r="DT393" t="e">
        <f>Asia!F919+"$F;@!3fO"</f>
        <v>#VALUE!</v>
      </c>
      <c r="DU393" t="e">
        <f>Asia!G919+"$F;@!3fP"</f>
        <v>#VALUE!</v>
      </c>
      <c r="DV393" t="e">
        <f>Asia!H919+"$F;@!3fQ"</f>
        <v>#VALUE!</v>
      </c>
      <c r="DW393" t="e">
        <f>Asia!A920+"$F;@!3fR"</f>
        <v>#VALUE!</v>
      </c>
      <c r="DX393" t="e">
        <f>Asia!B920+"$F;@!3fS"</f>
        <v>#VALUE!</v>
      </c>
      <c r="DY393" t="e">
        <f>Asia!C920+"$F;@!3fT"</f>
        <v>#VALUE!</v>
      </c>
      <c r="DZ393" t="e">
        <f>Asia!D920+"$F;@!3fU"</f>
        <v>#VALUE!</v>
      </c>
      <c r="EA393" t="e">
        <f>Asia!E920+"$F;@!3fV"</f>
        <v>#VALUE!</v>
      </c>
      <c r="EB393" t="e">
        <f>Asia!F920+"$F;@!3fW"</f>
        <v>#VALUE!</v>
      </c>
      <c r="EC393" t="e">
        <f>Asia!G920+"$F;@!3fX"</f>
        <v>#VALUE!</v>
      </c>
      <c r="ED393" t="e">
        <f>Asia!H920+"$F;@!3fY"</f>
        <v>#VALUE!</v>
      </c>
      <c r="EE393" t="e">
        <f>Asia!A921+"$F;@!3fZ"</f>
        <v>#VALUE!</v>
      </c>
      <c r="EF393" t="e">
        <f>Asia!B921+"$F;@!3f["</f>
        <v>#VALUE!</v>
      </c>
      <c r="EG393" t="e">
        <f>Asia!C921+"$F;@!3f\"</f>
        <v>#VALUE!</v>
      </c>
      <c r="EH393" t="e">
        <f>Asia!D921+"$F;@!3f]"</f>
        <v>#VALUE!</v>
      </c>
      <c r="EI393" t="e">
        <f>Asia!E921+"$F;@!3f^"</f>
        <v>#VALUE!</v>
      </c>
      <c r="EJ393" t="e">
        <f>Asia!F921+"$F;@!3f_"</f>
        <v>#VALUE!</v>
      </c>
      <c r="EK393" t="e">
        <f>Asia!G921+"$F;@!3f`"</f>
        <v>#VALUE!</v>
      </c>
      <c r="EL393" t="e">
        <f>Asia!H921+"$F;@!3fa"</f>
        <v>#VALUE!</v>
      </c>
      <c r="EM393" t="e">
        <f>Asia!A922+"$F;@!3fb"</f>
        <v>#VALUE!</v>
      </c>
      <c r="EN393" t="e">
        <f>Asia!B922+"$F;@!3fc"</f>
        <v>#VALUE!</v>
      </c>
      <c r="EO393" t="e">
        <f>Asia!C922+"$F;@!3fd"</f>
        <v>#VALUE!</v>
      </c>
      <c r="EP393" t="e">
        <f>Asia!D922+"$F;@!3fe"</f>
        <v>#VALUE!</v>
      </c>
      <c r="EQ393" t="e">
        <f>Asia!E922+"$F;@!3ff"</f>
        <v>#VALUE!</v>
      </c>
      <c r="ER393" t="e">
        <f>Asia!F922+"$F;@!3fg"</f>
        <v>#VALUE!</v>
      </c>
      <c r="ES393" t="e">
        <f>Asia!G922+"$F;@!3fh"</f>
        <v>#VALUE!</v>
      </c>
      <c r="ET393" t="e">
        <f>Asia!H922+"$F;@!3fi"</f>
        <v>#VALUE!</v>
      </c>
      <c r="EU393" t="e">
        <f>Asia!A923+"$F;@!3fj"</f>
        <v>#VALUE!</v>
      </c>
      <c r="EV393" t="e">
        <f>Asia!B923+"$F;@!3fk"</f>
        <v>#VALUE!</v>
      </c>
      <c r="EW393" t="e">
        <f>Asia!C923+"$F;@!3fl"</f>
        <v>#VALUE!</v>
      </c>
      <c r="EX393" t="e">
        <f>Asia!D923+"$F;@!3fm"</f>
        <v>#VALUE!</v>
      </c>
      <c r="EY393" t="e">
        <f>Asia!E923+"$F;@!3fn"</f>
        <v>#VALUE!</v>
      </c>
      <c r="EZ393" t="e">
        <f>Asia!F923+"$F;@!3fo"</f>
        <v>#VALUE!</v>
      </c>
      <c r="FA393" t="e">
        <f>Asia!G923+"$F;@!3fp"</f>
        <v>#VALUE!</v>
      </c>
      <c r="FB393" t="e">
        <f>Asia!H923+"$F;@!3fq"</f>
        <v>#VALUE!</v>
      </c>
      <c r="FC393" t="e">
        <f>Asia!A924+"$F;@!3fr"</f>
        <v>#VALUE!</v>
      </c>
      <c r="FD393" t="e">
        <f>Asia!B924+"$F;@!3fs"</f>
        <v>#VALUE!</v>
      </c>
      <c r="FE393" t="e">
        <f>Asia!C924+"$F;@!3ft"</f>
        <v>#VALUE!</v>
      </c>
      <c r="FF393" t="e">
        <f>Asia!D924+"$F;@!3fu"</f>
        <v>#VALUE!</v>
      </c>
      <c r="FG393" t="e">
        <f>Asia!E924+"$F;@!3fv"</f>
        <v>#VALUE!</v>
      </c>
      <c r="FH393" t="e">
        <f>Asia!F924+"$F;@!3fw"</f>
        <v>#VALUE!</v>
      </c>
      <c r="FI393" t="e">
        <f>Asia!G924+"$F;@!3fx"</f>
        <v>#VALUE!</v>
      </c>
      <c r="FJ393" t="e">
        <f>Asia!H924+"$F;@!3fy"</f>
        <v>#VALUE!</v>
      </c>
      <c r="FK393" t="e">
        <f>Asia!A925+"$F;@!3fz"</f>
        <v>#VALUE!</v>
      </c>
      <c r="FL393" t="e">
        <f>Asia!B925+"$F;@!3f{"</f>
        <v>#VALUE!</v>
      </c>
      <c r="FM393" t="e">
        <f>Asia!C925+"$F;@!3f|"</f>
        <v>#VALUE!</v>
      </c>
      <c r="FN393" t="e">
        <f>Asia!D925+"$F;@!3f}"</f>
        <v>#VALUE!</v>
      </c>
      <c r="FO393" t="e">
        <f>Asia!E925+"$F;@!3f~"</f>
        <v>#VALUE!</v>
      </c>
      <c r="FP393" t="e">
        <f>Asia!F925+"$F;@!3g#"</f>
        <v>#VALUE!</v>
      </c>
      <c r="FQ393" t="e">
        <f>Asia!G925+"$F;@!3g$"</f>
        <v>#VALUE!</v>
      </c>
      <c r="FR393" t="e">
        <f>Asia!H925+"$F;@!3g%"</f>
        <v>#VALUE!</v>
      </c>
      <c r="FS393" t="e">
        <f>Asia!A926+"$F;@!3g&amp;"</f>
        <v>#VALUE!</v>
      </c>
      <c r="FT393" t="e">
        <f>Asia!B926+"$F;@!3g'"</f>
        <v>#VALUE!</v>
      </c>
      <c r="FU393" t="e">
        <f>Asia!C926+"$F;@!3g("</f>
        <v>#VALUE!</v>
      </c>
      <c r="FV393" t="e">
        <f>Asia!D926+"$F;@!3g)"</f>
        <v>#VALUE!</v>
      </c>
      <c r="FW393" t="e">
        <f>Asia!E926+"$F;@!3g."</f>
        <v>#VALUE!</v>
      </c>
      <c r="FX393" t="e">
        <f>Asia!F926+"$F;@!3g/"</f>
        <v>#VALUE!</v>
      </c>
      <c r="FY393" t="e">
        <f>Asia!G926+"$F;@!3g0"</f>
        <v>#VALUE!</v>
      </c>
      <c r="FZ393" t="e">
        <f>Asia!H926+"$F;@!3g1"</f>
        <v>#VALUE!</v>
      </c>
      <c r="GA393" t="e">
        <f>Asia!A927+"$F;@!3g2"</f>
        <v>#VALUE!</v>
      </c>
      <c r="GB393" t="e">
        <f>Asia!B927+"$F;@!3g3"</f>
        <v>#VALUE!</v>
      </c>
      <c r="GC393" t="e">
        <f>Asia!C927+"$F;@!3g4"</f>
        <v>#VALUE!</v>
      </c>
      <c r="GD393" t="e">
        <f>Asia!D927+"$F;@!3g5"</f>
        <v>#VALUE!</v>
      </c>
      <c r="GE393" t="e">
        <f>Asia!E927+"$F;@!3g6"</f>
        <v>#VALUE!</v>
      </c>
      <c r="GF393" t="e">
        <f>Asia!F927+"$F;@!3g7"</f>
        <v>#VALUE!</v>
      </c>
      <c r="GG393" t="e">
        <f>Asia!G927+"$F;@!3g8"</f>
        <v>#VALUE!</v>
      </c>
      <c r="GH393" t="e">
        <f>Asia!H927+"$F;@!3g9"</f>
        <v>#VALUE!</v>
      </c>
      <c r="GI393" t="e">
        <f>Asia!A928+"$F;@!3g:"</f>
        <v>#VALUE!</v>
      </c>
      <c r="GJ393" t="e">
        <f>Asia!B928+"$F;@!3g;"</f>
        <v>#VALUE!</v>
      </c>
      <c r="GK393" t="e">
        <f>Asia!C928+"$F;@!3g&lt;"</f>
        <v>#VALUE!</v>
      </c>
      <c r="GL393" t="e">
        <f>Asia!D928+"$F;@!3g="</f>
        <v>#VALUE!</v>
      </c>
      <c r="GM393" t="e">
        <f>Asia!E928+"$F;@!3g&gt;"</f>
        <v>#VALUE!</v>
      </c>
      <c r="GN393" t="e">
        <f>Asia!F928+"$F;@!3g?"</f>
        <v>#VALUE!</v>
      </c>
      <c r="GO393" t="e">
        <f>Asia!G928+"$F;@!3g@"</f>
        <v>#VALUE!</v>
      </c>
      <c r="GP393" t="e">
        <f>Asia!H928+"$F;@!3gA"</f>
        <v>#VALUE!</v>
      </c>
      <c r="GQ393" t="e">
        <f>Asia!A929+"$F;@!3gB"</f>
        <v>#VALUE!</v>
      </c>
      <c r="GR393" t="e">
        <f>Asia!B929+"$F;@!3gC"</f>
        <v>#VALUE!</v>
      </c>
      <c r="GS393" t="e">
        <f>Asia!C929+"$F;@!3gD"</f>
        <v>#VALUE!</v>
      </c>
      <c r="GT393" t="e">
        <f>Asia!D929+"$F;@!3gE"</f>
        <v>#VALUE!</v>
      </c>
      <c r="GU393" t="e">
        <f>Asia!E929+"$F;@!3gF"</f>
        <v>#VALUE!</v>
      </c>
      <c r="GV393" t="e">
        <f>Asia!F929+"$F;@!3gG"</f>
        <v>#VALUE!</v>
      </c>
      <c r="GW393" t="e">
        <f>Asia!G929+"$F;@!3gH"</f>
        <v>#VALUE!</v>
      </c>
      <c r="GX393" t="e">
        <f>Asia!H929+"$F;@!3gI"</f>
        <v>#VALUE!</v>
      </c>
      <c r="GY393" t="e">
        <f>Asia!A930+"$F;@!3gJ"</f>
        <v>#VALUE!</v>
      </c>
      <c r="GZ393" t="e">
        <f>Asia!B930+"$F;@!3gK"</f>
        <v>#VALUE!</v>
      </c>
      <c r="HA393" t="e">
        <f>Asia!C930+"$F;@!3gL"</f>
        <v>#VALUE!</v>
      </c>
      <c r="HB393" t="e">
        <f>Asia!D930+"$F;@!3gM"</f>
        <v>#VALUE!</v>
      </c>
      <c r="HC393" t="e">
        <f>Asia!E930+"$F;@!3gN"</f>
        <v>#VALUE!</v>
      </c>
      <c r="HD393" t="e">
        <f>Asia!F930+"$F;@!3gO"</f>
        <v>#VALUE!</v>
      </c>
      <c r="HE393" t="e">
        <f>Asia!G930+"$F;@!3gP"</f>
        <v>#VALUE!</v>
      </c>
      <c r="HF393" t="e">
        <f>Asia!H930+"$F;@!3gQ"</f>
        <v>#VALUE!</v>
      </c>
      <c r="HG393" t="e">
        <f>Asia!A931+"$F;@!3gR"</f>
        <v>#VALUE!</v>
      </c>
      <c r="HH393" t="e">
        <f>Asia!B931+"$F;@!3gS"</f>
        <v>#VALUE!</v>
      </c>
      <c r="HI393" t="e">
        <f>Asia!C931+"$F;@!3gT"</f>
        <v>#VALUE!</v>
      </c>
      <c r="HJ393" t="e">
        <f>Asia!D931+"$F;@!3gU"</f>
        <v>#VALUE!</v>
      </c>
      <c r="HK393" t="e">
        <f>Asia!E931+"$F;@!3gV"</f>
        <v>#VALUE!</v>
      </c>
      <c r="HL393" t="e">
        <f>Asia!F931+"$F;@!3gW"</f>
        <v>#VALUE!</v>
      </c>
      <c r="HM393" t="e">
        <f>Asia!G931+"$F;@!3gX"</f>
        <v>#VALUE!</v>
      </c>
      <c r="HN393" t="e">
        <f>Asia!H931+"$F;@!3gY"</f>
        <v>#VALUE!</v>
      </c>
      <c r="HO393" t="e">
        <f>Asia!A932+"$F;@!3gZ"</f>
        <v>#VALUE!</v>
      </c>
      <c r="HP393" t="e">
        <f>Asia!B932+"$F;@!3g["</f>
        <v>#VALUE!</v>
      </c>
      <c r="HQ393" t="e">
        <f>Asia!C932+"$F;@!3g\"</f>
        <v>#VALUE!</v>
      </c>
      <c r="HR393" t="e">
        <f>Asia!D932+"$F;@!3g]"</f>
        <v>#VALUE!</v>
      </c>
      <c r="HS393" t="e">
        <f>Asia!E932+"$F;@!3g^"</f>
        <v>#VALUE!</v>
      </c>
      <c r="HT393" t="e">
        <f>Asia!F932+"$F;@!3g_"</f>
        <v>#VALUE!</v>
      </c>
      <c r="HU393" t="e">
        <f>Asia!G932+"$F;@!3g`"</f>
        <v>#VALUE!</v>
      </c>
      <c r="HV393" t="e">
        <f>Asia!H932+"$F;@!3ga"</f>
        <v>#VALUE!</v>
      </c>
      <c r="HW393" t="e">
        <f>Asia!A933+"$F;@!3gb"</f>
        <v>#VALUE!</v>
      </c>
      <c r="HX393" t="e">
        <f>Asia!B933+"$F;@!3gc"</f>
        <v>#VALUE!</v>
      </c>
      <c r="HY393" t="e">
        <f>Asia!C933+"$F;@!3gd"</f>
        <v>#VALUE!</v>
      </c>
      <c r="HZ393" t="e">
        <f>Asia!D933+"$F;@!3ge"</f>
        <v>#VALUE!</v>
      </c>
      <c r="IA393" t="e">
        <f>Asia!E933+"$F;@!3gf"</f>
        <v>#VALUE!</v>
      </c>
      <c r="IB393" t="e">
        <f>Asia!F933+"$F;@!3gg"</f>
        <v>#VALUE!</v>
      </c>
      <c r="IC393" t="e">
        <f>Asia!G933+"$F;@!3gh"</f>
        <v>#VALUE!</v>
      </c>
      <c r="ID393" t="e">
        <f>Asia!H933+"$F;@!3gi"</f>
        <v>#VALUE!</v>
      </c>
      <c r="IE393" t="e">
        <f>Asia!A934+"$F;@!3gj"</f>
        <v>#VALUE!</v>
      </c>
      <c r="IF393" t="e">
        <f>Asia!B934+"$F;@!3gk"</f>
        <v>#VALUE!</v>
      </c>
      <c r="IG393" t="e">
        <f>Asia!C934+"$F;@!3gl"</f>
        <v>#VALUE!</v>
      </c>
      <c r="IH393" t="e">
        <f>Asia!D934+"$F;@!3gm"</f>
        <v>#VALUE!</v>
      </c>
      <c r="II393" t="e">
        <f>Asia!E934+"$F;@!3gn"</f>
        <v>#VALUE!</v>
      </c>
      <c r="IJ393" t="e">
        <f>Asia!F934+"$F;@!3go"</f>
        <v>#VALUE!</v>
      </c>
      <c r="IK393" t="e">
        <f>Asia!G934+"$F;@!3gp"</f>
        <v>#VALUE!</v>
      </c>
      <c r="IL393" t="e">
        <f>Asia!H934+"$F;@!3gq"</f>
        <v>#VALUE!</v>
      </c>
      <c r="IM393" t="e">
        <f>Asia!A935+"$F;@!3gr"</f>
        <v>#VALUE!</v>
      </c>
      <c r="IN393" t="e">
        <f>Asia!B935+"$F;@!3gs"</f>
        <v>#VALUE!</v>
      </c>
      <c r="IO393" t="e">
        <f>Asia!C935+"$F;@!3gt"</f>
        <v>#VALUE!</v>
      </c>
      <c r="IP393" t="e">
        <f>Asia!D935+"$F;@!3gu"</f>
        <v>#VALUE!</v>
      </c>
      <c r="IQ393" t="e">
        <f>Asia!E935+"$F;@!3gv"</f>
        <v>#VALUE!</v>
      </c>
      <c r="IR393" t="e">
        <f>Asia!F935+"$F;@!3gw"</f>
        <v>#VALUE!</v>
      </c>
      <c r="IS393" t="e">
        <f>Asia!G935+"$F;@!3gx"</f>
        <v>#VALUE!</v>
      </c>
      <c r="IT393" t="e">
        <f>Asia!H935+"$F;@!3gy"</f>
        <v>#VALUE!</v>
      </c>
      <c r="IU393" t="e">
        <f>Asia!A936+"$F;@!3gz"</f>
        <v>#VALUE!</v>
      </c>
      <c r="IV393" t="e">
        <f>Asia!B936+"$F;@!3g{"</f>
        <v>#VALUE!</v>
      </c>
    </row>
    <row r="394" spans="6:256" x14ac:dyDescent="0.35">
      <c r="F394" t="e">
        <f>Asia!C936+"$F;@!3g|"</f>
        <v>#VALUE!</v>
      </c>
      <c r="G394" t="e">
        <f>Asia!D936+"$F;@!3g}"</f>
        <v>#VALUE!</v>
      </c>
      <c r="H394" t="e">
        <f>Asia!E936+"$F;@!3g~"</f>
        <v>#VALUE!</v>
      </c>
      <c r="I394" t="e">
        <f>Asia!F936+"$F;@!3h#"</f>
        <v>#VALUE!</v>
      </c>
      <c r="J394" t="e">
        <f>Asia!G936+"$F;@!3h$"</f>
        <v>#VALUE!</v>
      </c>
      <c r="K394" t="e">
        <f>Asia!H936+"$F;@!3h%"</f>
        <v>#VALUE!</v>
      </c>
      <c r="L394" t="e">
        <f>Asia!A937+"$F;@!3h&amp;"</f>
        <v>#VALUE!</v>
      </c>
      <c r="M394" t="e">
        <f>Asia!B937+"$F;@!3h'"</f>
        <v>#VALUE!</v>
      </c>
      <c r="N394" t="e">
        <f>Asia!C937+"$F;@!3h("</f>
        <v>#VALUE!</v>
      </c>
      <c r="O394" t="e">
        <f>Asia!D937+"$F;@!3h)"</f>
        <v>#VALUE!</v>
      </c>
      <c r="P394" t="e">
        <f>Asia!E937+"$F;@!3h."</f>
        <v>#VALUE!</v>
      </c>
      <c r="Q394" t="e">
        <f>Asia!F937+"$F;@!3h/"</f>
        <v>#VALUE!</v>
      </c>
      <c r="R394" t="e">
        <f>Asia!G937+"$F;@!3h0"</f>
        <v>#VALUE!</v>
      </c>
      <c r="S394" t="e">
        <f>Asia!H937+"$F;@!3h1"</f>
        <v>#VALUE!</v>
      </c>
      <c r="T394" t="e">
        <f>Asia!A938+"$F;@!3h2"</f>
        <v>#VALUE!</v>
      </c>
      <c r="U394" t="e">
        <f>Asia!B938+"$F;@!3h3"</f>
        <v>#VALUE!</v>
      </c>
      <c r="V394" t="e">
        <f>Asia!C938+"$F;@!3h4"</f>
        <v>#VALUE!</v>
      </c>
      <c r="W394" t="e">
        <f>Asia!D938+"$F;@!3h5"</f>
        <v>#VALUE!</v>
      </c>
      <c r="X394" t="e">
        <f>Asia!E938+"$F;@!3h6"</f>
        <v>#VALUE!</v>
      </c>
      <c r="Y394" t="e">
        <f>Asia!F938+"$F;@!3h7"</f>
        <v>#VALUE!</v>
      </c>
      <c r="Z394" t="e">
        <f>Asia!G938+"$F;@!3h8"</f>
        <v>#VALUE!</v>
      </c>
      <c r="AA394" t="e">
        <f>Asia!H938+"$F;@!3h9"</f>
        <v>#VALUE!</v>
      </c>
      <c r="AB394" t="e">
        <f>Asia!A939+"$F;@!3h:"</f>
        <v>#VALUE!</v>
      </c>
      <c r="AC394" t="e">
        <f>Asia!B939+"$F;@!3h;"</f>
        <v>#VALUE!</v>
      </c>
      <c r="AD394" t="e">
        <f>Asia!C939+"$F;@!3h&lt;"</f>
        <v>#VALUE!</v>
      </c>
      <c r="AE394" t="e">
        <f>Asia!D939+"$F;@!3h="</f>
        <v>#VALUE!</v>
      </c>
      <c r="AF394" t="e">
        <f>Asia!E939+"$F;@!3h&gt;"</f>
        <v>#VALUE!</v>
      </c>
      <c r="AG394" t="e">
        <f>Asia!F939+"$F;@!3h?"</f>
        <v>#VALUE!</v>
      </c>
      <c r="AH394" t="e">
        <f>Asia!G939+"$F;@!3h@"</f>
        <v>#VALUE!</v>
      </c>
      <c r="AI394" t="e">
        <f>Asia!H939+"$F;@!3hA"</f>
        <v>#VALUE!</v>
      </c>
      <c r="AJ394" t="e">
        <f>Asia!A940+"$F;@!3hB"</f>
        <v>#VALUE!</v>
      </c>
      <c r="AK394" t="e">
        <f>Asia!B940+"$F;@!3hC"</f>
        <v>#VALUE!</v>
      </c>
      <c r="AL394" t="e">
        <f>Asia!C940+"$F;@!3hD"</f>
        <v>#VALUE!</v>
      </c>
      <c r="AM394" t="e">
        <f>Asia!D940+"$F;@!3hE"</f>
        <v>#VALUE!</v>
      </c>
      <c r="AN394" t="e">
        <f>Asia!E940+"$F;@!3hF"</f>
        <v>#VALUE!</v>
      </c>
      <c r="AO394" t="e">
        <f>Asia!F940+"$F;@!3hG"</f>
        <v>#VALUE!</v>
      </c>
      <c r="AP394" t="e">
        <f>Asia!G940+"$F;@!3hH"</f>
        <v>#VALUE!</v>
      </c>
      <c r="AQ394" t="e">
        <f>Asia!H940+"$F;@!3hI"</f>
        <v>#VALUE!</v>
      </c>
      <c r="AR394" t="e">
        <f>Asia!A941+"$F;@!3hJ"</f>
        <v>#VALUE!</v>
      </c>
      <c r="AS394" t="e">
        <f>Asia!B941+"$F;@!3hK"</f>
        <v>#VALUE!</v>
      </c>
      <c r="AT394" t="e">
        <f>Asia!C941+"$F;@!3hL"</f>
        <v>#VALUE!</v>
      </c>
      <c r="AU394" t="e">
        <f>Asia!D941+"$F;@!3hM"</f>
        <v>#VALUE!</v>
      </c>
      <c r="AV394" t="e">
        <f>Asia!E941+"$F;@!3hN"</f>
        <v>#VALUE!</v>
      </c>
      <c r="AW394" t="e">
        <f>Asia!F941+"$F;@!3hO"</f>
        <v>#VALUE!</v>
      </c>
      <c r="AX394" t="e">
        <f>Asia!G941+"$F;@!3hP"</f>
        <v>#VALUE!</v>
      </c>
      <c r="AY394" t="e">
        <f>Asia!H941+"$F;@!3hQ"</f>
        <v>#VALUE!</v>
      </c>
      <c r="AZ394" t="e">
        <f>Asia!A942+"$F;@!3hR"</f>
        <v>#VALUE!</v>
      </c>
      <c r="BA394" t="e">
        <f>Asia!B942+"$F;@!3hS"</f>
        <v>#VALUE!</v>
      </c>
      <c r="BB394" t="e">
        <f>Asia!C942+"$F;@!3hT"</f>
        <v>#VALUE!</v>
      </c>
      <c r="BC394" t="e">
        <f>Asia!D942+"$F;@!3hU"</f>
        <v>#VALUE!</v>
      </c>
      <c r="BD394" t="e">
        <f>Asia!E942+"$F;@!3hV"</f>
        <v>#VALUE!</v>
      </c>
      <c r="BE394" t="e">
        <f>Asia!F942+"$F;@!3hW"</f>
        <v>#VALUE!</v>
      </c>
      <c r="BF394" t="e">
        <f>Asia!G942+"$F;@!3hX"</f>
        <v>#VALUE!</v>
      </c>
      <c r="BG394" t="e">
        <f>Asia!H942+"$F;@!3hY"</f>
        <v>#VALUE!</v>
      </c>
      <c r="BH394" t="e">
        <f>Asia!A943+"$F;@!3hZ"</f>
        <v>#VALUE!</v>
      </c>
      <c r="BI394" t="e">
        <f>Asia!B943+"$F;@!3h["</f>
        <v>#VALUE!</v>
      </c>
      <c r="BJ394" t="e">
        <f>Asia!C943+"$F;@!3h\"</f>
        <v>#VALUE!</v>
      </c>
      <c r="BK394" t="e">
        <f>Asia!D943+"$F;@!3h]"</f>
        <v>#VALUE!</v>
      </c>
      <c r="BL394" t="e">
        <f>Asia!E943+"$F;@!3h^"</f>
        <v>#VALUE!</v>
      </c>
      <c r="BM394" t="e">
        <f>Asia!F943+"$F;@!3h_"</f>
        <v>#VALUE!</v>
      </c>
      <c r="BN394" t="e">
        <f>Asia!G943+"$F;@!3h`"</f>
        <v>#VALUE!</v>
      </c>
      <c r="BO394" t="e">
        <f>Asia!H943+"$F;@!3ha"</f>
        <v>#VALUE!</v>
      </c>
      <c r="BP394" t="e">
        <f>Asia!A944+"$F;@!3hb"</f>
        <v>#VALUE!</v>
      </c>
      <c r="BQ394" t="e">
        <f>Asia!B944+"$F;@!3hc"</f>
        <v>#VALUE!</v>
      </c>
      <c r="BR394" t="e">
        <f>Asia!C944+"$F;@!3hd"</f>
        <v>#VALUE!</v>
      </c>
      <c r="BS394" t="e">
        <f>Asia!D944+"$F;@!3he"</f>
        <v>#VALUE!</v>
      </c>
      <c r="BT394" t="e">
        <f>Asia!E944+"$F;@!3hf"</f>
        <v>#VALUE!</v>
      </c>
      <c r="BU394" t="e">
        <f>Asia!F944+"$F;@!3hg"</f>
        <v>#VALUE!</v>
      </c>
      <c r="BV394" t="e">
        <f>Asia!G944+"$F;@!3hh"</f>
        <v>#VALUE!</v>
      </c>
      <c r="BW394" t="e">
        <f>Asia!H944+"$F;@!3hi"</f>
        <v>#VALUE!</v>
      </c>
      <c r="BX394" t="e">
        <f>Asia!A945+"$F;@!3hj"</f>
        <v>#VALUE!</v>
      </c>
      <c r="BY394" t="e">
        <f>Asia!B945+"$F;@!3hk"</f>
        <v>#VALUE!</v>
      </c>
      <c r="BZ394" t="e">
        <f>Asia!C945+"$F;@!3hl"</f>
        <v>#VALUE!</v>
      </c>
      <c r="CA394" t="e">
        <f>Asia!D945+"$F;@!3hm"</f>
        <v>#VALUE!</v>
      </c>
      <c r="CB394" t="e">
        <f>Asia!E945+"$F;@!3hn"</f>
        <v>#VALUE!</v>
      </c>
      <c r="CC394" t="e">
        <f>Asia!F945+"$F;@!3ho"</f>
        <v>#VALUE!</v>
      </c>
      <c r="CD394" t="e">
        <f>Asia!G945+"$F;@!3hp"</f>
        <v>#VALUE!</v>
      </c>
      <c r="CE394" t="e">
        <f>Asia!H945+"$F;@!3hq"</f>
        <v>#VALUE!</v>
      </c>
      <c r="CF394" t="e">
        <f>Asia!A946+"$F;@!3hr"</f>
        <v>#VALUE!</v>
      </c>
      <c r="CG394" t="e">
        <f>Asia!B946+"$F;@!3hs"</f>
        <v>#VALUE!</v>
      </c>
      <c r="CH394" t="e">
        <f>Asia!C946+"$F;@!3ht"</f>
        <v>#VALUE!</v>
      </c>
      <c r="CI394" t="e">
        <f>Asia!D946+"$F;@!3hu"</f>
        <v>#VALUE!</v>
      </c>
      <c r="CJ394" t="e">
        <f>Asia!E946+"$F;@!3hv"</f>
        <v>#VALUE!</v>
      </c>
      <c r="CK394" t="e">
        <f>Asia!F946+"$F;@!3hw"</f>
        <v>#VALUE!</v>
      </c>
      <c r="CL394" t="e">
        <f>Asia!G946+"$F;@!3hx"</f>
        <v>#VALUE!</v>
      </c>
      <c r="CM394" t="e">
        <f>Asia!H946+"$F;@!3hy"</f>
        <v>#VALUE!</v>
      </c>
      <c r="CN394" t="e">
        <f>Asia!A947+"$F;@!3hz"</f>
        <v>#VALUE!</v>
      </c>
      <c r="CO394" t="e">
        <f>Asia!B947+"$F;@!3h{"</f>
        <v>#VALUE!</v>
      </c>
      <c r="CP394" t="e">
        <f>Asia!C947+"$F;@!3h|"</f>
        <v>#VALUE!</v>
      </c>
      <c r="CQ394" t="e">
        <f>Asia!D947+"$F;@!3h}"</f>
        <v>#VALUE!</v>
      </c>
      <c r="CR394" t="e">
        <f>Asia!E947+"$F;@!3h~"</f>
        <v>#VALUE!</v>
      </c>
      <c r="CS394" t="e">
        <f>Asia!F947+"$F;@!3i#"</f>
        <v>#VALUE!</v>
      </c>
      <c r="CT394" t="e">
        <f>Asia!G947+"$F;@!3i$"</f>
        <v>#VALUE!</v>
      </c>
      <c r="CU394" t="e">
        <f>Asia!H947+"$F;@!3i%"</f>
        <v>#VALUE!</v>
      </c>
      <c r="CV394" t="e">
        <f>Asia!A948+"$F;@!3i&amp;"</f>
        <v>#VALUE!</v>
      </c>
      <c r="CW394" t="e">
        <f>Asia!B948+"$F;@!3i'"</f>
        <v>#VALUE!</v>
      </c>
      <c r="CX394" t="e">
        <f>Asia!C948+"$F;@!3i("</f>
        <v>#VALUE!</v>
      </c>
      <c r="CY394" t="e">
        <f>Asia!D948+"$F;@!3i)"</f>
        <v>#VALUE!</v>
      </c>
      <c r="CZ394" t="e">
        <f>Asia!E948+"$F;@!3i."</f>
        <v>#VALUE!</v>
      </c>
      <c r="DA394" t="e">
        <f>Asia!F948+"$F;@!3i/"</f>
        <v>#VALUE!</v>
      </c>
      <c r="DB394" t="e">
        <f>Asia!G948+"$F;@!3i0"</f>
        <v>#VALUE!</v>
      </c>
      <c r="DC394" t="e">
        <f>Asia!H948+"$F;@!3i1"</f>
        <v>#VALUE!</v>
      </c>
      <c r="DD394" t="e">
        <f>Asia!A949+"$F;@!3i2"</f>
        <v>#VALUE!</v>
      </c>
      <c r="DE394" t="e">
        <f>Asia!B949+"$F;@!3i3"</f>
        <v>#VALUE!</v>
      </c>
      <c r="DF394" t="e">
        <f>Asia!C949+"$F;@!3i4"</f>
        <v>#VALUE!</v>
      </c>
      <c r="DG394" t="e">
        <f>Asia!D949+"$F;@!3i5"</f>
        <v>#VALUE!</v>
      </c>
      <c r="DH394" t="e">
        <f>Asia!E949+"$F;@!3i6"</f>
        <v>#VALUE!</v>
      </c>
      <c r="DI394" t="e">
        <f>Asia!F949+"$F;@!3i7"</f>
        <v>#VALUE!</v>
      </c>
      <c r="DJ394" t="e">
        <f>Asia!G949+"$F;@!3i8"</f>
        <v>#VALUE!</v>
      </c>
      <c r="DK394" t="e">
        <f>Asia!H949+"$F;@!3i9"</f>
        <v>#VALUE!</v>
      </c>
      <c r="DL394" t="e">
        <f>Asia!A950+"$F;@!3i:"</f>
        <v>#VALUE!</v>
      </c>
      <c r="DM394" t="e">
        <f>Asia!B950+"$F;@!3i;"</f>
        <v>#VALUE!</v>
      </c>
      <c r="DN394" t="e">
        <f>Asia!C950+"$F;@!3i&lt;"</f>
        <v>#VALUE!</v>
      </c>
      <c r="DO394" t="e">
        <f>Asia!D950+"$F;@!3i="</f>
        <v>#VALUE!</v>
      </c>
      <c r="DP394" t="e">
        <f>Asia!E950+"$F;@!3i&gt;"</f>
        <v>#VALUE!</v>
      </c>
      <c r="DQ394" t="e">
        <f>Asia!F950+"$F;@!3i?"</f>
        <v>#VALUE!</v>
      </c>
      <c r="DR394" t="e">
        <f>Asia!G950+"$F;@!3i@"</f>
        <v>#VALUE!</v>
      </c>
      <c r="DS394" t="e">
        <f>Asia!H950+"$F;@!3iA"</f>
        <v>#VALUE!</v>
      </c>
      <c r="DT394" t="e">
        <f>Asia!A951+"$F;@!3iB"</f>
        <v>#VALUE!</v>
      </c>
      <c r="DU394" t="e">
        <f>Asia!B951+"$F;@!3iC"</f>
        <v>#VALUE!</v>
      </c>
      <c r="DV394" t="e">
        <f>Asia!C951+"$F;@!3iD"</f>
        <v>#VALUE!</v>
      </c>
      <c r="DW394" t="e">
        <f>Asia!D951+"$F;@!3iE"</f>
        <v>#VALUE!</v>
      </c>
      <c r="DX394" t="e">
        <f>Asia!E951+"$F;@!3iF"</f>
        <v>#VALUE!</v>
      </c>
      <c r="DY394" t="e">
        <f>Asia!F951+"$F;@!3iG"</f>
        <v>#VALUE!</v>
      </c>
      <c r="DZ394" t="e">
        <f>Asia!G951+"$F;@!3iH"</f>
        <v>#VALUE!</v>
      </c>
      <c r="EA394" t="e">
        <f>Asia!H951+"$F;@!3iI"</f>
        <v>#VALUE!</v>
      </c>
      <c r="EB394" t="e">
        <f>Asia!A952+"$F;@!3iJ"</f>
        <v>#VALUE!</v>
      </c>
      <c r="EC394" t="e">
        <f>Asia!B952+"$F;@!3iK"</f>
        <v>#VALUE!</v>
      </c>
      <c r="ED394" t="e">
        <f>Asia!C952+"$F;@!3iL"</f>
        <v>#VALUE!</v>
      </c>
      <c r="EE394" t="e">
        <f>Asia!D952+"$F;@!3iM"</f>
        <v>#VALUE!</v>
      </c>
      <c r="EF394" t="e">
        <f>Asia!E952+"$F;@!3iN"</f>
        <v>#VALUE!</v>
      </c>
      <c r="EG394" t="e">
        <f>Asia!F952+"$F;@!3iO"</f>
        <v>#VALUE!</v>
      </c>
      <c r="EH394" t="e">
        <f>Asia!G952+"$F;@!3iP"</f>
        <v>#VALUE!</v>
      </c>
      <c r="EI394" t="e">
        <f>Asia!H952+"$F;@!3iQ"</f>
        <v>#VALUE!</v>
      </c>
      <c r="EJ394" t="e">
        <f>Asia!A953+"$F;@!3iR"</f>
        <v>#VALUE!</v>
      </c>
      <c r="EK394" t="e">
        <f>Asia!B953+"$F;@!3iS"</f>
        <v>#VALUE!</v>
      </c>
      <c r="EL394" t="e">
        <f>Asia!C953+"$F;@!3iT"</f>
        <v>#VALUE!</v>
      </c>
      <c r="EM394" t="e">
        <f>Asia!D953+"$F;@!3iU"</f>
        <v>#VALUE!</v>
      </c>
      <c r="EN394" t="e">
        <f>Asia!E953+"$F;@!3iV"</f>
        <v>#VALUE!</v>
      </c>
      <c r="EO394" t="e">
        <f>Asia!F953+"$F;@!3iW"</f>
        <v>#VALUE!</v>
      </c>
      <c r="EP394" t="e">
        <f>Asia!G953+"$F;@!3iX"</f>
        <v>#VALUE!</v>
      </c>
      <c r="EQ394" t="e">
        <f>Asia!H953+"$F;@!3iY"</f>
        <v>#VALUE!</v>
      </c>
      <c r="ER394" t="e">
        <f>Asia!A954+"$F;@!3iZ"</f>
        <v>#VALUE!</v>
      </c>
      <c r="ES394" t="e">
        <f>Asia!B954+"$F;@!3i["</f>
        <v>#VALUE!</v>
      </c>
      <c r="ET394" t="e">
        <f>Asia!C954+"$F;@!3i\"</f>
        <v>#VALUE!</v>
      </c>
      <c r="EU394" t="e">
        <f>Asia!D954+"$F;@!3i]"</f>
        <v>#VALUE!</v>
      </c>
      <c r="EV394" t="e">
        <f>Asia!E954+"$F;@!3i^"</f>
        <v>#VALUE!</v>
      </c>
      <c r="EW394" t="e">
        <f>Asia!F954+"$F;@!3i_"</f>
        <v>#VALUE!</v>
      </c>
      <c r="EX394" t="e">
        <f>Asia!G954+"$F;@!3i`"</f>
        <v>#VALUE!</v>
      </c>
      <c r="EY394" t="e">
        <f>Asia!H954+"$F;@!3ia"</f>
        <v>#VALUE!</v>
      </c>
      <c r="EZ394" t="e">
        <f>Asia!A955+"$F;@!3ib"</f>
        <v>#VALUE!</v>
      </c>
      <c r="FA394" t="e">
        <f>Asia!B955+"$F;@!3ic"</f>
        <v>#VALUE!</v>
      </c>
      <c r="FB394" t="e">
        <f>Asia!C955+"$F;@!3id"</f>
        <v>#VALUE!</v>
      </c>
      <c r="FC394" t="e">
        <f>Asia!D955+"$F;@!3ie"</f>
        <v>#VALUE!</v>
      </c>
      <c r="FD394" t="e">
        <f>Asia!E955+"$F;@!3if"</f>
        <v>#VALUE!</v>
      </c>
      <c r="FE394" t="e">
        <f>Asia!F955+"$F;@!3ig"</f>
        <v>#VALUE!</v>
      </c>
      <c r="FF394" t="e">
        <f>Asia!G955+"$F;@!3ih"</f>
        <v>#VALUE!</v>
      </c>
      <c r="FG394" t="e">
        <f>Asia!H955+"$F;@!3ii"</f>
        <v>#VALUE!</v>
      </c>
      <c r="FH394" t="e">
        <f>Asia!A956+"$F;@!3ij"</f>
        <v>#VALUE!</v>
      </c>
      <c r="FI394" t="e">
        <f>Asia!B956+"$F;@!3ik"</f>
        <v>#VALUE!</v>
      </c>
      <c r="FJ394" t="e">
        <f>Asia!C956+"$F;@!3il"</f>
        <v>#VALUE!</v>
      </c>
      <c r="FK394" t="e">
        <f>Asia!D956+"$F;@!3im"</f>
        <v>#VALUE!</v>
      </c>
      <c r="FL394" t="e">
        <f>Asia!E956+"$F;@!3in"</f>
        <v>#VALUE!</v>
      </c>
      <c r="FM394" t="e">
        <f>Asia!F956+"$F;@!3io"</f>
        <v>#VALUE!</v>
      </c>
      <c r="FN394" t="e">
        <f>Asia!G956+"$F;@!3ip"</f>
        <v>#VALUE!</v>
      </c>
      <c r="FO394" t="e">
        <f>Asia!H956+"$F;@!3iq"</f>
        <v>#VALUE!</v>
      </c>
      <c r="FP394" t="e">
        <f>Asia!A957+"$F;@!3ir"</f>
        <v>#VALUE!</v>
      </c>
      <c r="FQ394" t="e">
        <f>Asia!B957+"$F;@!3is"</f>
        <v>#VALUE!</v>
      </c>
      <c r="FR394" t="e">
        <f>Asia!C957+"$F;@!3it"</f>
        <v>#VALUE!</v>
      </c>
      <c r="FS394" t="e">
        <f>Asia!D957+"$F;@!3iu"</f>
        <v>#VALUE!</v>
      </c>
      <c r="FT394" t="e">
        <f>Asia!E957+"$F;@!3iv"</f>
        <v>#VALUE!</v>
      </c>
      <c r="FU394" t="e">
        <f>Asia!F957+"$F;@!3iw"</f>
        <v>#VALUE!</v>
      </c>
      <c r="FV394" t="e">
        <f>Asia!G957+"$F;@!3ix"</f>
        <v>#VALUE!</v>
      </c>
      <c r="FW394" t="e">
        <f>Asia!H957+"$F;@!3iy"</f>
        <v>#VALUE!</v>
      </c>
      <c r="FX394" t="e">
        <f>Asia!A958+"$F;@!3iz"</f>
        <v>#VALUE!</v>
      </c>
      <c r="FY394" t="e">
        <f>Asia!B958+"$F;@!3i{"</f>
        <v>#VALUE!</v>
      </c>
      <c r="FZ394" t="e">
        <f>Asia!C958+"$F;@!3i|"</f>
        <v>#VALUE!</v>
      </c>
      <c r="GA394" t="e">
        <f>Asia!D958+"$F;@!3i}"</f>
        <v>#VALUE!</v>
      </c>
      <c r="GB394" t="e">
        <f>Asia!E958+"$F;@!3i~"</f>
        <v>#VALUE!</v>
      </c>
      <c r="GC394" t="e">
        <f>Asia!F958+"$F;@!3j#"</f>
        <v>#VALUE!</v>
      </c>
      <c r="GD394" t="e">
        <f>Asia!G958+"$F;@!3j$"</f>
        <v>#VALUE!</v>
      </c>
      <c r="GE394" t="e">
        <f>Asia!H958+"$F;@!3j%"</f>
        <v>#VALUE!</v>
      </c>
      <c r="GF394" t="e">
        <f>Asia!A959+"$F;@!3j&amp;"</f>
        <v>#VALUE!</v>
      </c>
      <c r="GG394" t="e">
        <f>Asia!B959+"$F;@!3j'"</f>
        <v>#VALUE!</v>
      </c>
      <c r="GH394" t="e">
        <f>Asia!C959+"$F;@!3j("</f>
        <v>#VALUE!</v>
      </c>
      <c r="GI394" t="e">
        <f>Asia!D959+"$F;@!3j)"</f>
        <v>#VALUE!</v>
      </c>
      <c r="GJ394" t="e">
        <f>Asia!E959+"$F;@!3j."</f>
        <v>#VALUE!</v>
      </c>
      <c r="GK394" t="e">
        <f>Asia!F959+"$F;@!3j/"</f>
        <v>#VALUE!</v>
      </c>
      <c r="GL394" t="e">
        <f>Asia!G959+"$F;@!3j0"</f>
        <v>#VALUE!</v>
      </c>
      <c r="GM394" t="e">
        <f>Asia!H959+"$F;@!3j1"</f>
        <v>#VALUE!</v>
      </c>
      <c r="GN394" t="e">
        <f>Asia!A960+"$F;@!3j2"</f>
        <v>#VALUE!</v>
      </c>
      <c r="GO394" t="e">
        <f>Asia!B960+"$F;@!3j3"</f>
        <v>#VALUE!</v>
      </c>
      <c r="GP394" t="e">
        <f>Asia!C960+"$F;@!3j4"</f>
        <v>#VALUE!</v>
      </c>
      <c r="GQ394" t="e">
        <f>Asia!D960+"$F;@!3j5"</f>
        <v>#VALUE!</v>
      </c>
      <c r="GR394" t="e">
        <f>Asia!E960+"$F;@!3j6"</f>
        <v>#VALUE!</v>
      </c>
      <c r="GS394" t="e">
        <f>Asia!F960+"$F;@!3j7"</f>
        <v>#VALUE!</v>
      </c>
      <c r="GT394" t="e">
        <f>Asia!G960+"$F;@!3j8"</f>
        <v>#VALUE!</v>
      </c>
      <c r="GU394" t="e">
        <f>Asia!H960+"$F;@!3j9"</f>
        <v>#VALUE!</v>
      </c>
      <c r="GV394" t="e">
        <f>Asia!A961+"$F;@!3j:"</f>
        <v>#VALUE!</v>
      </c>
      <c r="GW394" t="e">
        <f>Asia!B961+"$F;@!3j;"</f>
        <v>#VALUE!</v>
      </c>
      <c r="GX394" t="e">
        <f>Asia!C961+"$F;@!3j&lt;"</f>
        <v>#VALUE!</v>
      </c>
      <c r="GY394" t="e">
        <f>Asia!D961+"$F;@!3j="</f>
        <v>#VALUE!</v>
      </c>
      <c r="GZ394" t="e">
        <f>Asia!E961+"$F;@!3j&gt;"</f>
        <v>#VALUE!</v>
      </c>
      <c r="HA394" t="e">
        <f>Asia!F961+"$F;@!3j?"</f>
        <v>#VALUE!</v>
      </c>
      <c r="HB394" t="e">
        <f>Asia!G961+"$F;@!3j@"</f>
        <v>#VALUE!</v>
      </c>
      <c r="HC394" t="e">
        <f>Asia!H961+"$F;@!3jA"</f>
        <v>#VALUE!</v>
      </c>
      <c r="HD394" t="e">
        <f>Asia!A962+"$F;@!3jB"</f>
        <v>#VALUE!</v>
      </c>
      <c r="HE394" t="e">
        <f>Asia!B962+"$F;@!3jC"</f>
        <v>#VALUE!</v>
      </c>
      <c r="HF394" t="e">
        <f>Asia!C962+"$F;@!3jD"</f>
        <v>#VALUE!</v>
      </c>
      <c r="HG394" t="e">
        <f>Asia!D962+"$F;@!3jE"</f>
        <v>#VALUE!</v>
      </c>
      <c r="HH394" t="e">
        <f>Asia!E962+"$F;@!3jF"</f>
        <v>#VALUE!</v>
      </c>
      <c r="HI394" t="e">
        <f>Asia!F962+"$F;@!3jG"</f>
        <v>#VALUE!</v>
      </c>
      <c r="HJ394" t="e">
        <f>Asia!G962+"$F;@!3jH"</f>
        <v>#VALUE!</v>
      </c>
      <c r="HK394" t="e">
        <f>Asia!H962+"$F;@!3jI"</f>
        <v>#VALUE!</v>
      </c>
      <c r="HL394" t="e">
        <f>Asia!A963+"$F;@!3jJ"</f>
        <v>#VALUE!</v>
      </c>
      <c r="HM394" t="e">
        <f>Asia!B963+"$F;@!3jK"</f>
        <v>#VALUE!</v>
      </c>
      <c r="HN394" t="e">
        <f>Asia!C963+"$F;@!3jL"</f>
        <v>#VALUE!</v>
      </c>
      <c r="HO394" t="e">
        <f>Asia!D963+"$F;@!3jM"</f>
        <v>#VALUE!</v>
      </c>
      <c r="HP394" t="e">
        <f>Asia!E963+"$F;@!3jN"</f>
        <v>#VALUE!</v>
      </c>
      <c r="HQ394" t="e">
        <f>Asia!F963+"$F;@!3jO"</f>
        <v>#VALUE!</v>
      </c>
      <c r="HR394" t="e">
        <f>Asia!G963+"$F;@!3jP"</f>
        <v>#VALUE!</v>
      </c>
      <c r="HS394" t="e">
        <f>Asia!H963+"$F;@!3jQ"</f>
        <v>#VALUE!</v>
      </c>
      <c r="HT394" t="e">
        <f>Asia!A964+"$F;@!3jR"</f>
        <v>#VALUE!</v>
      </c>
      <c r="HU394" t="e">
        <f>Asia!B964+"$F;@!3jS"</f>
        <v>#VALUE!</v>
      </c>
      <c r="HV394" t="e">
        <f>Asia!C964+"$F;@!3jT"</f>
        <v>#VALUE!</v>
      </c>
      <c r="HW394" t="e">
        <f>Asia!D964+"$F;@!3jU"</f>
        <v>#VALUE!</v>
      </c>
      <c r="HX394" t="e">
        <f>Asia!E964+"$F;@!3jV"</f>
        <v>#VALUE!</v>
      </c>
      <c r="HY394" t="e">
        <f>Asia!F964+"$F;@!3jW"</f>
        <v>#VALUE!</v>
      </c>
      <c r="HZ394" t="e">
        <f>Asia!G964+"$F;@!3jX"</f>
        <v>#VALUE!</v>
      </c>
      <c r="IA394" t="e">
        <f>Asia!H964+"$F;@!3jY"</f>
        <v>#VALUE!</v>
      </c>
      <c r="IB394" t="e">
        <f>Asia!A965+"$F;@!3jZ"</f>
        <v>#VALUE!</v>
      </c>
      <c r="IC394" t="e">
        <f>Asia!B965+"$F;@!3j["</f>
        <v>#VALUE!</v>
      </c>
      <c r="ID394" t="e">
        <f>Asia!C965+"$F;@!3j\"</f>
        <v>#VALUE!</v>
      </c>
      <c r="IE394" t="e">
        <f>Asia!D965+"$F;@!3j]"</f>
        <v>#VALUE!</v>
      </c>
      <c r="IF394" t="e">
        <f>Asia!E965+"$F;@!3j^"</f>
        <v>#VALUE!</v>
      </c>
      <c r="IG394" t="e">
        <f>Asia!F965+"$F;@!3j_"</f>
        <v>#VALUE!</v>
      </c>
      <c r="IH394" t="e">
        <f>Asia!G965+"$F;@!3j`"</f>
        <v>#VALUE!</v>
      </c>
      <c r="II394" t="e">
        <f>Asia!H965+"$F;@!3ja"</f>
        <v>#VALUE!</v>
      </c>
      <c r="IJ394" t="e">
        <f>Asia!A966+"$F;@!3jb"</f>
        <v>#VALUE!</v>
      </c>
      <c r="IK394" t="e">
        <f>Asia!B966+"$F;@!3jc"</f>
        <v>#VALUE!</v>
      </c>
      <c r="IL394" t="e">
        <f>Asia!C966+"$F;@!3jd"</f>
        <v>#VALUE!</v>
      </c>
      <c r="IM394" t="e">
        <f>Asia!D966+"$F;@!3je"</f>
        <v>#VALUE!</v>
      </c>
      <c r="IN394" t="e">
        <f>Asia!E966+"$F;@!3jf"</f>
        <v>#VALUE!</v>
      </c>
      <c r="IO394" t="e">
        <f>Asia!F966+"$F;@!3jg"</f>
        <v>#VALUE!</v>
      </c>
      <c r="IP394" t="e">
        <f>Asia!G966+"$F;@!3jh"</f>
        <v>#VALUE!</v>
      </c>
      <c r="IQ394" t="e">
        <f>Asia!H966+"$F;@!3ji"</f>
        <v>#VALUE!</v>
      </c>
      <c r="IR394" t="e">
        <f>Asia!A967+"$F;@!3jj"</f>
        <v>#VALUE!</v>
      </c>
      <c r="IS394" t="e">
        <f>Asia!B967+"$F;@!3jk"</f>
        <v>#VALUE!</v>
      </c>
      <c r="IT394" t="e">
        <f>Asia!C967+"$F;@!3jl"</f>
        <v>#VALUE!</v>
      </c>
      <c r="IU394" t="e">
        <f>Asia!D967+"$F;@!3jm"</f>
        <v>#VALUE!</v>
      </c>
      <c r="IV394" t="e">
        <f>Asia!E967+"$F;@!3jn"</f>
        <v>#VALUE!</v>
      </c>
    </row>
    <row r="395" spans="6:256" x14ac:dyDescent="0.35">
      <c r="F395" t="e">
        <f>Asia!F967+"$F;@!3jo"</f>
        <v>#VALUE!</v>
      </c>
      <c r="G395" t="e">
        <f>Asia!G967+"$F;@!3jp"</f>
        <v>#VALUE!</v>
      </c>
      <c r="H395" t="e">
        <f>Asia!H967+"$F;@!3jq"</f>
        <v>#VALUE!</v>
      </c>
      <c r="I395" t="e">
        <f>Asia!A968+"$F;@!3jr"</f>
        <v>#VALUE!</v>
      </c>
      <c r="J395" t="e">
        <f>Asia!B968+"$F;@!3js"</f>
        <v>#VALUE!</v>
      </c>
      <c r="K395" t="e">
        <f>Asia!C968+"$F;@!3jt"</f>
        <v>#VALUE!</v>
      </c>
      <c r="L395" t="e">
        <f>Asia!D968+"$F;@!3ju"</f>
        <v>#VALUE!</v>
      </c>
      <c r="M395" t="e">
        <f>Asia!E968+"$F;@!3jv"</f>
        <v>#VALUE!</v>
      </c>
      <c r="N395" t="e">
        <f>Asia!F968+"$F;@!3jw"</f>
        <v>#VALUE!</v>
      </c>
      <c r="O395" t="e">
        <f>Asia!G968+"$F;@!3jx"</f>
        <v>#VALUE!</v>
      </c>
      <c r="P395" t="e">
        <f>Asia!H968+"$F;@!3jy"</f>
        <v>#VALUE!</v>
      </c>
      <c r="Q395" t="e">
        <f>Asia!A969+"$F;@!3jz"</f>
        <v>#VALUE!</v>
      </c>
      <c r="R395" t="e">
        <f>Asia!B969+"$F;@!3j{"</f>
        <v>#VALUE!</v>
      </c>
      <c r="S395" t="e">
        <f>Asia!C969+"$F;@!3j|"</f>
        <v>#VALUE!</v>
      </c>
      <c r="T395" t="e">
        <f>Asia!D969+"$F;@!3j}"</f>
        <v>#VALUE!</v>
      </c>
      <c r="U395" t="e">
        <f>Asia!E969+"$F;@!3j~"</f>
        <v>#VALUE!</v>
      </c>
      <c r="V395" t="e">
        <f>Asia!F969+"$F;@!3k#"</f>
        <v>#VALUE!</v>
      </c>
      <c r="W395" t="e">
        <f>Asia!G969+"$F;@!3k$"</f>
        <v>#VALUE!</v>
      </c>
      <c r="X395" t="e">
        <f>Asia!H969+"$F;@!3k%"</f>
        <v>#VALUE!</v>
      </c>
      <c r="Y395" t="e">
        <f>Asia!A970+"$F;@!3k&amp;"</f>
        <v>#VALUE!</v>
      </c>
      <c r="Z395" t="e">
        <f>Asia!B970+"$F;@!3k'"</f>
        <v>#VALUE!</v>
      </c>
      <c r="AA395" t="e">
        <f>Asia!C970+"$F;@!3k("</f>
        <v>#VALUE!</v>
      </c>
      <c r="AB395" t="e">
        <f>Asia!D970+"$F;@!3k)"</f>
        <v>#VALUE!</v>
      </c>
      <c r="AC395" t="e">
        <f>Asia!E970+"$F;@!3k."</f>
        <v>#VALUE!</v>
      </c>
      <c r="AD395" t="e">
        <f>Asia!F970+"$F;@!3k/"</f>
        <v>#VALUE!</v>
      </c>
      <c r="AE395" t="e">
        <f>Asia!G970+"$F;@!3k0"</f>
        <v>#VALUE!</v>
      </c>
      <c r="AF395" t="e">
        <f>Asia!H970+"$F;@!3k1"</f>
        <v>#VALUE!</v>
      </c>
      <c r="AG395" t="e">
        <f>Asia!A971+"$F;@!3k2"</f>
        <v>#VALUE!</v>
      </c>
      <c r="AH395" t="e">
        <f>Asia!B971+"$F;@!3k3"</f>
        <v>#VALUE!</v>
      </c>
      <c r="AI395" t="e">
        <f>Asia!C971+"$F;@!3k4"</f>
        <v>#VALUE!</v>
      </c>
      <c r="AJ395" t="e">
        <f>Asia!D971+"$F;@!3k5"</f>
        <v>#VALUE!</v>
      </c>
      <c r="AK395" t="e">
        <f>Asia!E971+"$F;@!3k6"</f>
        <v>#VALUE!</v>
      </c>
      <c r="AL395" t="e">
        <f>Asia!F971+"$F;@!3k7"</f>
        <v>#VALUE!</v>
      </c>
      <c r="AM395" t="e">
        <f>Asia!G971+"$F;@!3k8"</f>
        <v>#VALUE!</v>
      </c>
      <c r="AN395" t="e">
        <f>Asia!H971+"$F;@!3k9"</f>
        <v>#VALUE!</v>
      </c>
      <c r="AO395" t="e">
        <f>Asia!A972+"$F;@!3k:"</f>
        <v>#VALUE!</v>
      </c>
      <c r="AP395" t="e">
        <f>Asia!B972+"$F;@!3k;"</f>
        <v>#VALUE!</v>
      </c>
      <c r="AQ395" t="e">
        <f>Asia!C972+"$F;@!3k&lt;"</f>
        <v>#VALUE!</v>
      </c>
      <c r="AR395" t="e">
        <f>Asia!D972+"$F;@!3k="</f>
        <v>#VALUE!</v>
      </c>
      <c r="AS395" t="e">
        <f>Asia!E972+"$F;@!3k&gt;"</f>
        <v>#VALUE!</v>
      </c>
      <c r="AT395" t="e">
        <f>Asia!F972+"$F;@!3k?"</f>
        <v>#VALUE!</v>
      </c>
      <c r="AU395" t="e">
        <f>Asia!G972+"$F;@!3k@"</f>
        <v>#VALUE!</v>
      </c>
      <c r="AV395" t="e">
        <f>Asia!H972+"$F;@!3kA"</f>
        <v>#VALUE!</v>
      </c>
      <c r="AW395" t="e">
        <f>Asia!A973+"$F;@!3kB"</f>
        <v>#VALUE!</v>
      </c>
      <c r="AX395" t="e">
        <f>Asia!B973+"$F;@!3kC"</f>
        <v>#VALUE!</v>
      </c>
      <c r="AY395" t="e">
        <f>Asia!C973+"$F;@!3kD"</f>
        <v>#VALUE!</v>
      </c>
      <c r="AZ395" t="e">
        <f>Asia!D973+"$F;@!3kE"</f>
        <v>#VALUE!</v>
      </c>
      <c r="BA395" t="e">
        <f>Asia!E973+"$F;@!3kF"</f>
        <v>#VALUE!</v>
      </c>
      <c r="BB395" t="e">
        <f>Asia!F973+"$F;@!3kG"</f>
        <v>#VALUE!</v>
      </c>
      <c r="BC395" t="e">
        <f>Asia!G973+"$F;@!3kH"</f>
        <v>#VALUE!</v>
      </c>
      <c r="BD395" t="e">
        <f>Asia!H973+"$F;@!3kI"</f>
        <v>#VALUE!</v>
      </c>
      <c r="BE395" t="e">
        <f>Asia!A974+"$F;@!3kJ"</f>
        <v>#VALUE!</v>
      </c>
      <c r="BF395" t="e">
        <f>Asia!B974+"$F;@!3kK"</f>
        <v>#VALUE!</v>
      </c>
      <c r="BG395" t="e">
        <f>Asia!C974+"$F;@!3kL"</f>
        <v>#VALUE!</v>
      </c>
      <c r="BH395" t="e">
        <f>Asia!D974+"$F;@!3kM"</f>
        <v>#VALUE!</v>
      </c>
      <c r="BI395" t="e">
        <f>Asia!E974+"$F;@!3kN"</f>
        <v>#VALUE!</v>
      </c>
      <c r="BJ395" t="e">
        <f>Asia!F974+"$F;@!3kO"</f>
        <v>#VALUE!</v>
      </c>
      <c r="BK395" t="e">
        <f>Asia!G974+"$F;@!3kP"</f>
        <v>#VALUE!</v>
      </c>
      <c r="BL395" t="e">
        <f>Asia!H974+"$F;@!3kQ"</f>
        <v>#VALUE!</v>
      </c>
      <c r="BM395" t="e">
        <f>Asia!A975+"$F;@!3kR"</f>
        <v>#VALUE!</v>
      </c>
      <c r="BN395" t="e">
        <f>Asia!B975+"$F;@!3kS"</f>
        <v>#VALUE!</v>
      </c>
      <c r="BO395" t="e">
        <f>Asia!C975+"$F;@!3kT"</f>
        <v>#VALUE!</v>
      </c>
      <c r="BP395" t="e">
        <f>Asia!D975+"$F;@!3kU"</f>
        <v>#VALUE!</v>
      </c>
      <c r="BQ395" t="e">
        <f>Asia!E975+"$F;@!3kV"</f>
        <v>#VALUE!</v>
      </c>
      <c r="BR395" t="e">
        <f>Asia!F975+"$F;@!3kW"</f>
        <v>#VALUE!</v>
      </c>
      <c r="BS395" t="e">
        <f>Asia!G975+"$F;@!3kX"</f>
        <v>#VALUE!</v>
      </c>
      <c r="BT395" t="e">
        <f>Asia!H975+"$F;@!3kY"</f>
        <v>#VALUE!</v>
      </c>
      <c r="BU395" t="e">
        <f>Asia!A976+"$F;@!3kZ"</f>
        <v>#VALUE!</v>
      </c>
      <c r="BV395" t="e">
        <f>Asia!B976+"$F;@!3k["</f>
        <v>#VALUE!</v>
      </c>
      <c r="BW395" t="e">
        <f>Asia!C976+"$F;@!3k\"</f>
        <v>#VALUE!</v>
      </c>
      <c r="BX395" t="e">
        <f>Asia!D976+"$F;@!3k]"</f>
        <v>#VALUE!</v>
      </c>
      <c r="BY395" t="e">
        <f>Asia!E976+"$F;@!3k^"</f>
        <v>#VALUE!</v>
      </c>
      <c r="BZ395" t="e">
        <f>Asia!F976+"$F;@!3k_"</f>
        <v>#VALUE!</v>
      </c>
      <c r="CA395" t="e">
        <f>Asia!G976+"$F;@!3k`"</f>
        <v>#VALUE!</v>
      </c>
      <c r="CB395" t="e">
        <f>Asia!H976+"$F;@!3ka"</f>
        <v>#VALUE!</v>
      </c>
      <c r="CC395" t="e">
        <f>Asia!A977+"$F;@!3kb"</f>
        <v>#VALUE!</v>
      </c>
      <c r="CD395" t="e">
        <f>Asia!B977+"$F;@!3kc"</f>
        <v>#VALUE!</v>
      </c>
      <c r="CE395" t="e">
        <f>Asia!C977+"$F;@!3kd"</f>
        <v>#VALUE!</v>
      </c>
      <c r="CF395" t="e">
        <f>Asia!D977+"$F;@!3ke"</f>
        <v>#VALUE!</v>
      </c>
      <c r="CG395" t="e">
        <f>Asia!E977+"$F;@!3kf"</f>
        <v>#VALUE!</v>
      </c>
      <c r="CH395" t="e">
        <f>Asia!F977+"$F;@!3kg"</f>
        <v>#VALUE!</v>
      </c>
      <c r="CI395" t="e">
        <f>Asia!G977+"$F;@!3kh"</f>
        <v>#VALUE!</v>
      </c>
      <c r="CJ395" t="e">
        <f>Asia!H977+"$F;@!3ki"</f>
        <v>#VALUE!</v>
      </c>
      <c r="CK395" t="e">
        <f>Asia!A978+"$F;@!3kj"</f>
        <v>#VALUE!</v>
      </c>
      <c r="CL395" t="e">
        <f>Asia!B978+"$F;@!3kk"</f>
        <v>#VALUE!</v>
      </c>
      <c r="CM395" t="e">
        <f>Asia!C978+"$F;@!3kl"</f>
        <v>#VALUE!</v>
      </c>
      <c r="CN395" t="e">
        <f>Asia!D978+"$F;@!3km"</f>
        <v>#VALUE!</v>
      </c>
      <c r="CO395" t="e">
        <f>Asia!E978+"$F;@!3kn"</f>
        <v>#VALUE!</v>
      </c>
      <c r="CP395" t="e">
        <f>Asia!F978+"$F;@!3ko"</f>
        <v>#VALUE!</v>
      </c>
      <c r="CQ395" t="e">
        <f>Asia!G978+"$F;@!3kp"</f>
        <v>#VALUE!</v>
      </c>
      <c r="CR395" t="e">
        <f>Asia!H978+"$F;@!3kq"</f>
        <v>#VALUE!</v>
      </c>
      <c r="CS395" t="e">
        <f>Asia!A979+"$F;@!3kr"</f>
        <v>#VALUE!</v>
      </c>
      <c r="CT395" t="e">
        <f>Asia!B979+"$F;@!3ks"</f>
        <v>#VALUE!</v>
      </c>
      <c r="CU395" t="e">
        <f>Asia!C979+"$F;@!3kt"</f>
        <v>#VALUE!</v>
      </c>
      <c r="CV395" t="e">
        <f>Asia!D979+"$F;@!3ku"</f>
        <v>#VALUE!</v>
      </c>
      <c r="CW395" t="e">
        <f>Asia!E979+"$F;@!3kv"</f>
        <v>#VALUE!</v>
      </c>
      <c r="CX395" t="e">
        <f>Asia!F979+"$F;@!3kw"</f>
        <v>#VALUE!</v>
      </c>
      <c r="CY395" t="e">
        <f>Asia!G979+"$F;@!3kx"</f>
        <v>#VALUE!</v>
      </c>
      <c r="CZ395" t="e">
        <f>Asia!H979+"$F;@!3ky"</f>
        <v>#VALUE!</v>
      </c>
      <c r="DA395" t="e">
        <f>Asia!A980+"$F;@!3kz"</f>
        <v>#VALUE!</v>
      </c>
      <c r="DB395" t="e">
        <f>Asia!B980+"$F;@!3k{"</f>
        <v>#VALUE!</v>
      </c>
      <c r="DC395" t="e">
        <f>Asia!C980+"$F;@!3k|"</f>
        <v>#VALUE!</v>
      </c>
      <c r="DD395" t="e">
        <f>Asia!D980+"$F;@!3k}"</f>
        <v>#VALUE!</v>
      </c>
      <c r="DE395" t="e">
        <f>Asia!E980+"$F;@!3k~"</f>
        <v>#VALUE!</v>
      </c>
      <c r="DF395" t="e">
        <f>Asia!F980+"$F;@!3l#"</f>
        <v>#VALUE!</v>
      </c>
      <c r="DG395" t="e">
        <f>Asia!G980+"$F;@!3l$"</f>
        <v>#VALUE!</v>
      </c>
      <c r="DH395" t="e">
        <f>Asia!H980+"$F;@!3l%"</f>
        <v>#VALUE!</v>
      </c>
      <c r="DI395" t="e">
        <f>Asia!A981+"$F;@!3l&amp;"</f>
        <v>#VALUE!</v>
      </c>
      <c r="DJ395" t="e">
        <f>Asia!B981+"$F;@!3l'"</f>
        <v>#VALUE!</v>
      </c>
      <c r="DK395" t="e">
        <f>Asia!C981+"$F;@!3l("</f>
        <v>#VALUE!</v>
      </c>
      <c r="DL395" t="e">
        <f>Asia!D981+"$F;@!3l)"</f>
        <v>#VALUE!</v>
      </c>
      <c r="DM395" t="e">
        <f>Asia!E981+"$F;@!3l."</f>
        <v>#VALUE!</v>
      </c>
      <c r="DN395" t="e">
        <f>Asia!F981+"$F;@!3l/"</f>
        <v>#VALUE!</v>
      </c>
      <c r="DO395" t="e">
        <f>Asia!G981+"$F;@!3l0"</f>
        <v>#VALUE!</v>
      </c>
      <c r="DP395" t="e">
        <f>Asia!H981+"$F;@!3l1"</f>
        <v>#VALUE!</v>
      </c>
      <c r="DQ395" t="e">
        <f>Asia!A982+"$F;@!3l2"</f>
        <v>#VALUE!</v>
      </c>
      <c r="DR395" t="e">
        <f>Asia!B982+"$F;@!3l3"</f>
        <v>#VALUE!</v>
      </c>
      <c r="DS395" t="e">
        <f>Asia!C982+"$F;@!3l4"</f>
        <v>#VALUE!</v>
      </c>
      <c r="DT395" t="e">
        <f>Asia!D982+"$F;@!3l5"</f>
        <v>#VALUE!</v>
      </c>
      <c r="DU395" t="e">
        <f>Asia!E982+"$F;@!3l6"</f>
        <v>#VALUE!</v>
      </c>
      <c r="DV395" t="e">
        <f>Asia!F982+"$F;@!3l7"</f>
        <v>#VALUE!</v>
      </c>
      <c r="DW395" t="e">
        <f>Asia!G982+"$F;@!3l8"</f>
        <v>#VALUE!</v>
      </c>
      <c r="DX395" t="e">
        <f>Asia!H982+"$F;@!3l9"</f>
        <v>#VALUE!</v>
      </c>
      <c r="DY395" t="e">
        <f>Asia!A983+"$F;@!3l:"</f>
        <v>#VALUE!</v>
      </c>
      <c r="DZ395" t="e">
        <f>Asia!B983+"$F;@!3l;"</f>
        <v>#VALUE!</v>
      </c>
      <c r="EA395" t="e">
        <f>Asia!C983+"$F;@!3l&lt;"</f>
        <v>#VALUE!</v>
      </c>
      <c r="EB395" t="e">
        <f>Asia!D983+"$F;@!3l="</f>
        <v>#VALUE!</v>
      </c>
      <c r="EC395" t="e">
        <f>Asia!E983+"$F;@!3l&gt;"</f>
        <v>#VALUE!</v>
      </c>
      <c r="ED395" t="e">
        <f>Asia!F983+"$F;@!3l?"</f>
        <v>#VALUE!</v>
      </c>
      <c r="EE395" t="e">
        <f>Asia!G983+"$F;@!3l@"</f>
        <v>#VALUE!</v>
      </c>
      <c r="EF395" t="e">
        <f>Asia!H983+"$F;@!3lA"</f>
        <v>#VALUE!</v>
      </c>
      <c r="EG395" t="e">
        <f>Asia!A984+"$F;@!3lB"</f>
        <v>#VALUE!</v>
      </c>
      <c r="EH395" t="e">
        <f>Asia!B984+"$F;@!3lC"</f>
        <v>#VALUE!</v>
      </c>
      <c r="EI395" t="e">
        <f>Asia!C984+"$F;@!3lD"</f>
        <v>#VALUE!</v>
      </c>
      <c r="EJ395" t="e">
        <f>Asia!D984+"$F;@!3lE"</f>
        <v>#VALUE!</v>
      </c>
      <c r="EK395" t="e">
        <f>Asia!E984+"$F;@!3lF"</f>
        <v>#VALUE!</v>
      </c>
      <c r="EL395" t="e">
        <f>Asia!F984+"$F;@!3lG"</f>
        <v>#VALUE!</v>
      </c>
      <c r="EM395" t="e">
        <f>Asia!G984+"$F;@!3lH"</f>
        <v>#VALUE!</v>
      </c>
      <c r="EN395" t="e">
        <f>Asia!H984+"$F;@!3lI"</f>
        <v>#VALUE!</v>
      </c>
      <c r="EO395" t="e">
        <f>Asia!A985+"$F;@!3lJ"</f>
        <v>#VALUE!</v>
      </c>
      <c r="EP395" t="e">
        <f>Asia!B985+"$F;@!3lK"</f>
        <v>#VALUE!</v>
      </c>
      <c r="EQ395" t="e">
        <f>Asia!C985+"$F;@!3lL"</f>
        <v>#VALUE!</v>
      </c>
      <c r="ER395" t="e">
        <f>Asia!D985+"$F;@!3lM"</f>
        <v>#VALUE!</v>
      </c>
      <c r="ES395" t="e">
        <f>Asia!E985+"$F;@!3lN"</f>
        <v>#VALUE!</v>
      </c>
      <c r="ET395" t="e">
        <f>Asia!F985+"$F;@!3lO"</f>
        <v>#VALUE!</v>
      </c>
      <c r="EU395" t="e">
        <f>Asia!G985+"$F;@!3lP"</f>
        <v>#VALUE!</v>
      </c>
      <c r="EV395" t="e">
        <f>Asia!H985+"$F;@!3lQ"</f>
        <v>#VALUE!</v>
      </c>
      <c r="EW395" t="e">
        <f>Asia!A986+"$F;@!3lR"</f>
        <v>#VALUE!</v>
      </c>
      <c r="EX395" t="e">
        <f>Asia!B986+"$F;@!3lS"</f>
        <v>#VALUE!</v>
      </c>
      <c r="EY395" t="e">
        <f>Asia!C986+"$F;@!3lT"</f>
        <v>#VALUE!</v>
      </c>
      <c r="EZ395" t="e">
        <f>Asia!D986+"$F;@!3lU"</f>
        <v>#VALUE!</v>
      </c>
      <c r="FA395" t="e">
        <f>Asia!E986+"$F;@!3lV"</f>
        <v>#VALUE!</v>
      </c>
      <c r="FB395" t="e">
        <f>Asia!F986+"$F;@!3lW"</f>
        <v>#VALUE!</v>
      </c>
      <c r="FC395" t="e">
        <f>Asia!G986+"$F;@!3lX"</f>
        <v>#VALUE!</v>
      </c>
      <c r="FD395" t="e">
        <f>Asia!H986+"$F;@!3lY"</f>
        <v>#VALUE!</v>
      </c>
      <c r="FE395" t="e">
        <f>Asia!A987+"$F;@!3lZ"</f>
        <v>#VALUE!</v>
      </c>
      <c r="FF395" t="e">
        <f>Asia!B987+"$F;@!3l["</f>
        <v>#VALUE!</v>
      </c>
      <c r="FG395" t="e">
        <f>Asia!C987+"$F;@!3l\"</f>
        <v>#VALUE!</v>
      </c>
      <c r="FH395" t="e">
        <f>Asia!D987+"$F;@!3l]"</f>
        <v>#VALUE!</v>
      </c>
      <c r="FI395" t="e">
        <f>Asia!E987+"$F;@!3l^"</f>
        <v>#VALUE!</v>
      </c>
      <c r="FJ395" t="e">
        <f>Asia!F987+"$F;@!3l_"</f>
        <v>#VALUE!</v>
      </c>
      <c r="FK395" t="e">
        <f>Asia!G987+"$F;@!3l`"</f>
        <v>#VALUE!</v>
      </c>
      <c r="FL395" t="e">
        <f>Asia!H987+"$F;@!3la"</f>
        <v>#VALUE!</v>
      </c>
      <c r="FM395" t="e">
        <f>Asia!A988+"$F;@!3lb"</f>
        <v>#VALUE!</v>
      </c>
      <c r="FN395" t="e">
        <f>Asia!B988+"$F;@!3lc"</f>
        <v>#VALUE!</v>
      </c>
      <c r="FO395" t="e">
        <f>Asia!C988+"$F;@!3ld"</f>
        <v>#VALUE!</v>
      </c>
      <c r="FP395" t="e">
        <f>Asia!D988+"$F;@!3le"</f>
        <v>#VALUE!</v>
      </c>
      <c r="FQ395" t="e">
        <f>Asia!E988+"$F;@!3lf"</f>
        <v>#VALUE!</v>
      </c>
      <c r="FR395" t="e">
        <f>Asia!F988+"$F;@!3lg"</f>
        <v>#VALUE!</v>
      </c>
      <c r="FS395" t="e">
        <f>Asia!G988+"$F;@!3lh"</f>
        <v>#VALUE!</v>
      </c>
      <c r="FT395" t="e">
        <f>Asia!H988+"$F;@!3li"</f>
        <v>#VALUE!</v>
      </c>
      <c r="FU395" t="e">
        <f>Asia!A989+"$F;@!3lj"</f>
        <v>#VALUE!</v>
      </c>
      <c r="FV395" t="e">
        <f>Asia!B989+"$F;@!3lk"</f>
        <v>#VALUE!</v>
      </c>
      <c r="FW395" t="e">
        <f>Asia!C989+"$F;@!3ll"</f>
        <v>#VALUE!</v>
      </c>
      <c r="FX395" t="e">
        <f>Asia!D989+"$F;@!3lm"</f>
        <v>#VALUE!</v>
      </c>
      <c r="FY395" t="e">
        <f>Asia!E989+"$F;@!3ln"</f>
        <v>#VALUE!</v>
      </c>
      <c r="FZ395" t="e">
        <f>Asia!F989+"$F;@!3lo"</f>
        <v>#VALUE!</v>
      </c>
      <c r="GA395" t="e">
        <f>Asia!G989+"$F;@!3lp"</f>
        <v>#VALUE!</v>
      </c>
      <c r="GB395" t="e">
        <f>Asia!H989+"$F;@!3lq"</f>
        <v>#VALUE!</v>
      </c>
      <c r="GC395" t="e">
        <f>Asia!A990+"$F;@!3lr"</f>
        <v>#VALUE!</v>
      </c>
      <c r="GD395" t="e">
        <f>Asia!B990+"$F;@!3ls"</f>
        <v>#VALUE!</v>
      </c>
      <c r="GE395" t="e">
        <f>Asia!C990+"$F;@!3lt"</f>
        <v>#VALUE!</v>
      </c>
      <c r="GF395" t="e">
        <f>Asia!D990+"$F;@!3lu"</f>
        <v>#VALUE!</v>
      </c>
      <c r="GG395" t="e">
        <f>Asia!E990+"$F;@!3lv"</f>
        <v>#VALUE!</v>
      </c>
      <c r="GH395" t="e">
        <f>Asia!F990+"$F;@!3lw"</f>
        <v>#VALUE!</v>
      </c>
      <c r="GI395" t="e">
        <f>Asia!G990+"$F;@!3lx"</f>
        <v>#VALUE!</v>
      </c>
      <c r="GJ395" t="e">
        <f>Asia!H990+"$F;@!3ly"</f>
        <v>#VALUE!</v>
      </c>
      <c r="GK395" t="e">
        <f>Asia!A991+"$F;@!3lz"</f>
        <v>#VALUE!</v>
      </c>
      <c r="GL395" t="e">
        <f>Asia!B991+"$F;@!3l{"</f>
        <v>#VALUE!</v>
      </c>
      <c r="GM395" t="e">
        <f>Asia!C991+"$F;@!3l|"</f>
        <v>#VALUE!</v>
      </c>
      <c r="GN395" t="e">
        <f>Asia!D991+"$F;@!3l}"</f>
        <v>#VALUE!</v>
      </c>
      <c r="GO395" t="e">
        <f>Asia!E991+"$F;@!3l~"</f>
        <v>#VALUE!</v>
      </c>
      <c r="GP395" t="e">
        <f>Asia!F991+"$F;@!3m#"</f>
        <v>#VALUE!</v>
      </c>
      <c r="GQ395" t="e">
        <f>Asia!G991+"$F;@!3m$"</f>
        <v>#VALUE!</v>
      </c>
      <c r="GR395" t="e">
        <f>Asia!H991+"$F;@!3m%"</f>
        <v>#VALUE!</v>
      </c>
      <c r="GS395" t="e">
        <f>Asia!A992+"$F;@!3m&amp;"</f>
        <v>#VALUE!</v>
      </c>
      <c r="GT395" t="e">
        <f>Asia!B992+"$F;@!3m'"</f>
        <v>#VALUE!</v>
      </c>
      <c r="GU395" t="e">
        <f>Asia!C992+"$F;@!3m("</f>
        <v>#VALUE!</v>
      </c>
      <c r="GV395" t="e">
        <f>Asia!D992+"$F;@!3m)"</f>
        <v>#VALUE!</v>
      </c>
      <c r="GW395" t="e">
        <f>Asia!E992+"$F;@!3m."</f>
        <v>#VALUE!</v>
      </c>
      <c r="GX395" t="e">
        <f>Asia!F992+"$F;@!3m/"</f>
        <v>#VALUE!</v>
      </c>
      <c r="GY395" t="e">
        <f>Asia!G992+"$F;@!3m0"</f>
        <v>#VALUE!</v>
      </c>
      <c r="GZ395" t="e">
        <f>Asia!H992+"$F;@!3m1"</f>
        <v>#VALUE!</v>
      </c>
      <c r="HA395" t="e">
        <f>Asia!A993+"$F;@!3m2"</f>
        <v>#VALUE!</v>
      </c>
      <c r="HB395" t="e">
        <f>Asia!B993+"$F;@!3m3"</f>
        <v>#VALUE!</v>
      </c>
      <c r="HC395" t="e">
        <f>Asia!C993+"$F;@!3m4"</f>
        <v>#VALUE!</v>
      </c>
      <c r="HD395" t="e">
        <f>Asia!D993+"$F;@!3m5"</f>
        <v>#VALUE!</v>
      </c>
      <c r="HE395" t="e">
        <f>Asia!E993+"$F;@!3m6"</f>
        <v>#VALUE!</v>
      </c>
      <c r="HF395" t="e">
        <f>Asia!F993+"$F;@!3m7"</f>
        <v>#VALUE!</v>
      </c>
      <c r="HG395" t="e">
        <f>Asia!G993+"$F;@!3m8"</f>
        <v>#VALUE!</v>
      </c>
      <c r="HH395" t="e">
        <f>Asia!H993+"$F;@!3m9"</f>
        <v>#VALUE!</v>
      </c>
      <c r="HI395" t="e">
        <f>Asia!A994+"$F;@!3m:"</f>
        <v>#VALUE!</v>
      </c>
      <c r="HJ395" t="e">
        <f>Asia!B994+"$F;@!3m;"</f>
        <v>#VALUE!</v>
      </c>
      <c r="HK395" t="e">
        <f>Asia!C994+"$F;@!3m&lt;"</f>
        <v>#VALUE!</v>
      </c>
      <c r="HL395" t="e">
        <f>Asia!D994+"$F;@!3m="</f>
        <v>#VALUE!</v>
      </c>
      <c r="HM395" t="e">
        <f>Asia!E994+"$F;@!3m&gt;"</f>
        <v>#VALUE!</v>
      </c>
      <c r="HN395" t="e">
        <f>Asia!F994+"$F;@!3m?"</f>
        <v>#VALUE!</v>
      </c>
      <c r="HO395" t="e">
        <f>Asia!G994+"$F;@!3m@"</f>
        <v>#VALUE!</v>
      </c>
      <c r="HP395" t="e">
        <f>Asia!H994+"$F;@!3mA"</f>
        <v>#VALUE!</v>
      </c>
      <c r="HQ395" t="e">
        <f>Asia!A995+"$F;@!3mB"</f>
        <v>#VALUE!</v>
      </c>
      <c r="HR395" t="e">
        <f>Asia!B995+"$F;@!3mC"</f>
        <v>#VALUE!</v>
      </c>
      <c r="HS395" t="e">
        <f>Asia!C995+"$F;@!3mD"</f>
        <v>#VALUE!</v>
      </c>
      <c r="HT395" t="e">
        <f>Asia!D995+"$F;@!3mE"</f>
        <v>#VALUE!</v>
      </c>
      <c r="HU395" t="e">
        <f>Asia!E995+"$F;@!3mF"</f>
        <v>#VALUE!</v>
      </c>
      <c r="HV395" t="e">
        <f>Asia!F995+"$F;@!3mG"</f>
        <v>#VALUE!</v>
      </c>
      <c r="HW395" t="e">
        <f>Asia!G995+"$F;@!3mH"</f>
        <v>#VALUE!</v>
      </c>
      <c r="HX395" t="e">
        <f>Asia!H995+"$F;@!3mI"</f>
        <v>#VALUE!</v>
      </c>
      <c r="HY395" t="e">
        <f>Asia!A996+"$F;@!3mJ"</f>
        <v>#VALUE!</v>
      </c>
      <c r="HZ395" t="e">
        <f>Asia!B996+"$F;@!3mK"</f>
        <v>#VALUE!</v>
      </c>
      <c r="IA395" t="e">
        <f>Asia!C996+"$F;@!3mL"</f>
        <v>#VALUE!</v>
      </c>
      <c r="IB395" t="e">
        <f>Asia!D996+"$F;@!3mM"</f>
        <v>#VALUE!</v>
      </c>
      <c r="IC395" t="e">
        <f>Asia!E996+"$F;@!3mN"</f>
        <v>#VALUE!</v>
      </c>
      <c r="ID395" t="e">
        <f>Asia!F996+"$F;@!3mO"</f>
        <v>#VALUE!</v>
      </c>
      <c r="IE395" t="e">
        <f>Asia!G996+"$F;@!3mP"</f>
        <v>#VALUE!</v>
      </c>
      <c r="IF395" t="e">
        <f>Asia!H996+"$F;@!3mQ"</f>
        <v>#VALUE!</v>
      </c>
      <c r="IG395" t="e">
        <f>Asia!A997+"$F;@!3mR"</f>
        <v>#VALUE!</v>
      </c>
      <c r="IH395" t="e">
        <f>Asia!B997+"$F;@!3mS"</f>
        <v>#VALUE!</v>
      </c>
      <c r="II395" t="e">
        <f>Asia!C997+"$F;@!3mT"</f>
        <v>#VALUE!</v>
      </c>
      <c r="IJ395" t="e">
        <f>Asia!D997+"$F;@!3mU"</f>
        <v>#VALUE!</v>
      </c>
      <c r="IK395" t="e">
        <f>Asia!E997+"$F;@!3mV"</f>
        <v>#VALUE!</v>
      </c>
      <c r="IL395" t="e">
        <f>Asia!F997+"$F;@!3mW"</f>
        <v>#VALUE!</v>
      </c>
      <c r="IM395" t="e">
        <f>Asia!G997+"$F;@!3mX"</f>
        <v>#VALUE!</v>
      </c>
      <c r="IN395" t="e">
        <f>Asia!H997+"$F;@!3mY"</f>
        <v>#VALUE!</v>
      </c>
      <c r="IO395" t="e">
        <f>Asia!A998+"$F;@!3mZ"</f>
        <v>#VALUE!</v>
      </c>
      <c r="IP395" t="e">
        <f>Asia!B998+"$F;@!3m["</f>
        <v>#VALUE!</v>
      </c>
      <c r="IQ395" t="e">
        <f>Asia!C998+"$F;@!3m\"</f>
        <v>#VALUE!</v>
      </c>
      <c r="IR395" t="e">
        <f>Asia!D998+"$F;@!3m]"</f>
        <v>#VALUE!</v>
      </c>
      <c r="IS395" t="e">
        <f>Asia!E998+"$F;@!3m^"</f>
        <v>#VALUE!</v>
      </c>
      <c r="IT395" t="e">
        <f>Asia!F998+"$F;@!3m_"</f>
        <v>#VALUE!</v>
      </c>
      <c r="IU395" t="e">
        <f>Asia!G998+"$F;@!3m`"</f>
        <v>#VALUE!</v>
      </c>
      <c r="IV395" t="e">
        <f>Asia!H998+"$F;@!3ma"</f>
        <v>#VALUE!</v>
      </c>
    </row>
    <row r="396" spans="6:256" x14ac:dyDescent="0.35">
      <c r="F396" t="e">
        <f>Asia!A999+"$F;@!3mb"</f>
        <v>#VALUE!</v>
      </c>
      <c r="G396" t="e">
        <f>Asia!B999+"$F;@!3mc"</f>
        <v>#VALUE!</v>
      </c>
      <c r="H396" t="e">
        <f>Asia!C999+"$F;@!3md"</f>
        <v>#VALUE!</v>
      </c>
      <c r="I396" t="e">
        <f>Asia!D999+"$F;@!3me"</f>
        <v>#VALUE!</v>
      </c>
      <c r="J396" t="e">
        <f>Asia!E999+"$F;@!3mf"</f>
        <v>#VALUE!</v>
      </c>
      <c r="K396" t="e">
        <f>Asia!F999+"$F;@!3mg"</f>
        <v>#VALUE!</v>
      </c>
      <c r="L396" t="e">
        <f>Asia!G999+"$F;@!3mh"</f>
        <v>#VALUE!</v>
      </c>
      <c r="M396" t="e">
        <f>Asia!H999+"$F;@!3mi"</f>
        <v>#VALUE!</v>
      </c>
      <c r="N396" t="e">
        <f>Asia!A1000+"$F;@!3mj"</f>
        <v>#VALUE!</v>
      </c>
      <c r="O396" t="e">
        <f>Asia!B1000+"$F;@!3mk"</f>
        <v>#VALUE!</v>
      </c>
      <c r="P396" t="e">
        <f>Asia!C1000+"$F;@!3ml"</f>
        <v>#VALUE!</v>
      </c>
      <c r="Q396" t="e">
        <f>Asia!D1000+"$F;@!3mm"</f>
        <v>#VALUE!</v>
      </c>
      <c r="R396" t="e">
        <f>Asia!E1000+"$F;@!3mn"</f>
        <v>#VALUE!</v>
      </c>
      <c r="S396" t="e">
        <f>Asia!F1000+"$F;@!3mo"</f>
        <v>#VALUE!</v>
      </c>
      <c r="T396" t="e">
        <f>Asia!G1000+"$F;@!3mp"</f>
        <v>#VALUE!</v>
      </c>
      <c r="U396" t="e">
        <f>Asia!H1000+"$F;@!3mq"</f>
        <v>#VALUE!</v>
      </c>
      <c r="V396" t="e">
        <f>Asia!A1001+"$F;@!3mr"</f>
        <v>#VALUE!</v>
      </c>
      <c r="W396" t="e">
        <f>Asia!B1001+"$F;@!3ms"</f>
        <v>#VALUE!</v>
      </c>
      <c r="X396" t="e">
        <f>Asia!C1001+"$F;@!3mt"</f>
        <v>#VALUE!</v>
      </c>
      <c r="Y396" t="e">
        <f>Asia!D1001+"$F;@!3mu"</f>
        <v>#VALUE!</v>
      </c>
      <c r="Z396" t="e">
        <f>Asia!E1001+"$F;@!3mv"</f>
        <v>#VALUE!</v>
      </c>
      <c r="AA396" t="e">
        <f>Asia!F1001+"$F;@!3mw"</f>
        <v>#VALUE!</v>
      </c>
      <c r="AB396" t="e">
        <f>Asia!G1001+"$F;@!3mx"</f>
        <v>#VALUE!</v>
      </c>
      <c r="AC396" t="e">
        <f>Asia!H1001+"$F;@!3my"</f>
        <v>#VALUE!</v>
      </c>
      <c r="AD396" t="e">
        <f>Asia!A1002+"$F;@!3mz"</f>
        <v>#VALUE!</v>
      </c>
      <c r="AE396" t="e">
        <f>Asia!B1002+"$F;@!3m{"</f>
        <v>#VALUE!</v>
      </c>
      <c r="AF396" t="e">
        <f>Asia!C1002+"$F;@!3m|"</f>
        <v>#VALUE!</v>
      </c>
      <c r="AG396" t="e">
        <f>Asia!D1002+"$F;@!3m}"</f>
        <v>#VALUE!</v>
      </c>
      <c r="AH396" t="e">
        <f>Asia!E1002+"$F;@!3m~"</f>
        <v>#VALUE!</v>
      </c>
      <c r="AI396" t="e">
        <f>Asia!F1002+"$F;@!3n#"</f>
        <v>#VALUE!</v>
      </c>
      <c r="AJ396" t="e">
        <f>Asia!G1002+"$F;@!3n$"</f>
        <v>#VALUE!</v>
      </c>
      <c r="AK396" t="e">
        <f>Asia!H1002+"$F;@!3n%"</f>
        <v>#VALUE!</v>
      </c>
      <c r="AL396" t="e">
        <f>Asia!A1003+"$F;@!3n&amp;"</f>
        <v>#VALUE!</v>
      </c>
      <c r="AM396" t="e">
        <f>Asia!B1003+"$F;@!3n'"</f>
        <v>#VALUE!</v>
      </c>
      <c r="AN396" t="e">
        <f>Asia!C1003+"$F;@!3n("</f>
        <v>#VALUE!</v>
      </c>
      <c r="AO396" t="e">
        <f>Asia!D1003+"$F;@!3n)"</f>
        <v>#VALUE!</v>
      </c>
      <c r="AP396" t="e">
        <f>Asia!E1003+"$F;@!3n."</f>
        <v>#VALUE!</v>
      </c>
      <c r="AQ396" t="e">
        <f>Asia!F1003+"$F;@!3n/"</f>
        <v>#VALUE!</v>
      </c>
      <c r="AR396" t="e">
        <f>Asia!G1003+"$F;@!3n0"</f>
        <v>#VALUE!</v>
      </c>
      <c r="AS396" t="e">
        <f>Asia!H1003+"$F;@!3n1"</f>
        <v>#VALUE!</v>
      </c>
      <c r="AT396" t="e">
        <f>Asia!A1004+"$F;@!3n2"</f>
        <v>#VALUE!</v>
      </c>
      <c r="AU396" t="e">
        <f>Asia!B1004+"$F;@!3n3"</f>
        <v>#VALUE!</v>
      </c>
      <c r="AV396" t="e">
        <f>Asia!C1004+"$F;@!3n4"</f>
        <v>#VALUE!</v>
      </c>
      <c r="AW396" t="e">
        <f>Asia!D1004+"$F;@!3n5"</f>
        <v>#VALUE!</v>
      </c>
      <c r="AX396" t="e">
        <f>Asia!E1004+"$F;@!3n6"</f>
        <v>#VALUE!</v>
      </c>
      <c r="AY396" t="e">
        <f>Asia!F1004+"$F;@!3n7"</f>
        <v>#VALUE!</v>
      </c>
      <c r="AZ396" t="e">
        <f>Asia!G1004+"$F;@!3n8"</f>
        <v>#VALUE!</v>
      </c>
      <c r="BA396" t="e">
        <f>Asia!H1004+"$F;@!3n9"</f>
        <v>#VALUE!</v>
      </c>
      <c r="BB396" t="e">
        <f>Asia!A1005+"$F;@!3n:"</f>
        <v>#VALUE!</v>
      </c>
      <c r="BC396" t="e">
        <f>Asia!B1005+"$F;@!3n;"</f>
        <v>#VALUE!</v>
      </c>
      <c r="BD396" t="e">
        <f>Asia!C1005+"$F;@!3n&lt;"</f>
        <v>#VALUE!</v>
      </c>
      <c r="BE396" t="e">
        <f>Asia!D1005+"$F;@!3n="</f>
        <v>#VALUE!</v>
      </c>
      <c r="BF396" t="e">
        <f>Asia!E1005+"$F;@!3n&gt;"</f>
        <v>#VALUE!</v>
      </c>
      <c r="BG396" t="e">
        <f>Asia!F1005+"$F;@!3n?"</f>
        <v>#VALUE!</v>
      </c>
      <c r="BH396" t="e">
        <f>Asia!G1005+"$F;@!3n@"</f>
        <v>#VALUE!</v>
      </c>
      <c r="BI396" t="e">
        <f>Asia!H1005+"$F;@!3nA"</f>
        <v>#VALUE!</v>
      </c>
      <c r="BJ396" t="e">
        <f>Asia!A1006+"$F;@!3nB"</f>
        <v>#VALUE!</v>
      </c>
      <c r="BK396" t="e">
        <f>Asia!B1006+"$F;@!3nC"</f>
        <v>#VALUE!</v>
      </c>
      <c r="BL396" t="e">
        <f>Asia!C1006+"$F;@!3nD"</f>
        <v>#VALUE!</v>
      </c>
      <c r="BM396" t="e">
        <f>Asia!D1006+"$F;@!3nE"</f>
        <v>#VALUE!</v>
      </c>
      <c r="BN396" t="e">
        <f>Asia!E1006+"$F;@!3nF"</f>
        <v>#VALUE!</v>
      </c>
      <c r="BO396" t="e">
        <f>Asia!F1006+"$F;@!3nG"</f>
        <v>#VALUE!</v>
      </c>
      <c r="BP396" t="e">
        <f>Asia!G1006+"$F;@!3nH"</f>
        <v>#VALUE!</v>
      </c>
      <c r="BQ396" t="e">
        <f>Asia!H1006+"$F;@!3nI"</f>
        <v>#VALUE!</v>
      </c>
      <c r="BR396" t="e">
        <f>Asia!A1007+"$F;@!3nJ"</f>
        <v>#VALUE!</v>
      </c>
      <c r="BS396" t="e">
        <f>Asia!B1007+"$F;@!3nK"</f>
        <v>#VALUE!</v>
      </c>
      <c r="BT396" t="e">
        <f>Asia!C1007+"$F;@!3nL"</f>
        <v>#VALUE!</v>
      </c>
      <c r="BU396" t="e">
        <f>Asia!D1007+"$F;@!3nM"</f>
        <v>#VALUE!</v>
      </c>
      <c r="BV396" t="e">
        <f>Asia!E1007+"$F;@!3nN"</f>
        <v>#VALUE!</v>
      </c>
      <c r="BW396" t="e">
        <f>Asia!F1007+"$F;@!3nO"</f>
        <v>#VALUE!</v>
      </c>
      <c r="BX396" t="e">
        <f>Asia!G1007+"$F;@!3nP"</f>
        <v>#VALUE!</v>
      </c>
      <c r="BY396" t="e">
        <f>Asia!H1007+"$F;@!3nQ"</f>
        <v>#VALUE!</v>
      </c>
      <c r="BZ396" t="e">
        <f>Asia!A1008+"$F;@!3nR"</f>
        <v>#VALUE!</v>
      </c>
      <c r="CA396" t="e">
        <f>Asia!B1008+"$F;@!3nS"</f>
        <v>#VALUE!</v>
      </c>
      <c r="CB396" t="e">
        <f>Asia!C1008+"$F;@!3nT"</f>
        <v>#VALUE!</v>
      </c>
      <c r="CC396" t="e">
        <f>Asia!D1008+"$F;@!3nU"</f>
        <v>#VALUE!</v>
      </c>
      <c r="CD396" t="e">
        <f>Asia!E1008+"$F;@!3nV"</f>
        <v>#VALUE!</v>
      </c>
      <c r="CE396" t="e">
        <f>Asia!F1008+"$F;@!3nW"</f>
        <v>#VALUE!</v>
      </c>
      <c r="CF396" t="e">
        <f>Asia!G1008+"$F;@!3nX"</f>
        <v>#VALUE!</v>
      </c>
      <c r="CG396" t="e">
        <f>Asia!H1008+"$F;@!3nY"</f>
        <v>#VALUE!</v>
      </c>
      <c r="CH396" t="e">
        <f>Asia!A1009+"$F;@!3nZ"</f>
        <v>#VALUE!</v>
      </c>
      <c r="CI396" t="e">
        <f>Asia!B1009+"$F;@!3n["</f>
        <v>#VALUE!</v>
      </c>
      <c r="CJ396" t="e">
        <f>Asia!C1009+"$F;@!3n\"</f>
        <v>#VALUE!</v>
      </c>
      <c r="CK396" t="e">
        <f>Asia!D1009+"$F;@!3n]"</f>
        <v>#VALUE!</v>
      </c>
      <c r="CL396" t="e">
        <f>Asia!E1009+"$F;@!3n^"</f>
        <v>#VALUE!</v>
      </c>
      <c r="CM396" t="e">
        <f>Asia!F1009+"$F;@!3n_"</f>
        <v>#VALUE!</v>
      </c>
      <c r="CN396" t="e">
        <f>Asia!G1009+"$F;@!3n`"</f>
        <v>#VALUE!</v>
      </c>
      <c r="CO396" t="e">
        <f>Asia!H1009+"$F;@!3na"</f>
        <v>#VALUE!</v>
      </c>
      <c r="CP396" t="e">
        <f>Asia!A1010+"$F;@!3nb"</f>
        <v>#VALUE!</v>
      </c>
      <c r="CQ396" t="e">
        <f>Asia!B1010+"$F;@!3nc"</f>
        <v>#VALUE!</v>
      </c>
      <c r="CR396" t="e">
        <f>Asia!C1010+"$F;@!3nd"</f>
        <v>#VALUE!</v>
      </c>
      <c r="CS396" t="e">
        <f>Asia!D1010+"$F;@!3ne"</f>
        <v>#VALUE!</v>
      </c>
      <c r="CT396" t="e">
        <f>Asia!E1010+"$F;@!3nf"</f>
        <v>#VALUE!</v>
      </c>
      <c r="CU396" t="e">
        <f>Asia!F1010+"$F;@!3ng"</f>
        <v>#VALUE!</v>
      </c>
      <c r="CV396" t="e">
        <f>Asia!G1010+"$F;@!3nh"</f>
        <v>#VALUE!</v>
      </c>
      <c r="CW396" t="e">
        <f>Asia!H1010+"$F;@!3ni"</f>
        <v>#VALUE!</v>
      </c>
      <c r="CX396" t="e">
        <f>Asia!A1011+"$F;@!3nj"</f>
        <v>#VALUE!</v>
      </c>
      <c r="CY396" t="e">
        <f>Asia!B1011+"$F;@!3nk"</f>
        <v>#VALUE!</v>
      </c>
      <c r="CZ396" t="e">
        <f>Asia!C1011+"$F;@!3nl"</f>
        <v>#VALUE!</v>
      </c>
      <c r="DA396" t="e">
        <f>Asia!D1011+"$F;@!3nm"</f>
        <v>#VALUE!</v>
      </c>
      <c r="DB396" t="e">
        <f>Asia!E1011+"$F;@!3nn"</f>
        <v>#VALUE!</v>
      </c>
      <c r="DC396" t="e">
        <f>Asia!F1011+"$F;@!3no"</f>
        <v>#VALUE!</v>
      </c>
      <c r="DD396" t="e">
        <f>Asia!G1011+"$F;@!3np"</f>
        <v>#VALUE!</v>
      </c>
      <c r="DE396" t="e">
        <f>Asia!H1011+"$F;@!3nq"</f>
        <v>#VALUE!</v>
      </c>
      <c r="DF396" t="e">
        <f>Asia!A1012+"$F;@!3nr"</f>
        <v>#VALUE!</v>
      </c>
      <c r="DG396" t="e">
        <f>Asia!B1012+"$F;@!3ns"</f>
        <v>#VALUE!</v>
      </c>
      <c r="DH396" t="e">
        <f>Asia!C1012+"$F;@!3nt"</f>
        <v>#VALUE!</v>
      </c>
      <c r="DI396" t="e">
        <f>Asia!D1012+"$F;@!3nu"</f>
        <v>#VALUE!</v>
      </c>
      <c r="DJ396" t="e">
        <f>Asia!E1012+"$F;@!3nv"</f>
        <v>#VALUE!</v>
      </c>
      <c r="DK396" t="e">
        <f>Asia!F1012+"$F;@!3nw"</f>
        <v>#VALUE!</v>
      </c>
      <c r="DL396" t="e">
        <f>Asia!G1012+"$F;@!3nx"</f>
        <v>#VALUE!</v>
      </c>
      <c r="DM396" t="e">
        <f>Asia!H1012+"$F;@!3ny"</f>
        <v>#VALUE!</v>
      </c>
      <c r="DN396" t="e">
        <f>Asia!A1013+"$F;@!3nz"</f>
        <v>#VALUE!</v>
      </c>
      <c r="DO396" t="e">
        <f>Asia!B1013+"$F;@!3n{"</f>
        <v>#VALUE!</v>
      </c>
      <c r="DP396" t="e">
        <f>Asia!C1013+"$F;@!3n|"</f>
        <v>#VALUE!</v>
      </c>
      <c r="DQ396" t="e">
        <f>Asia!D1013+"$F;@!3n}"</f>
        <v>#VALUE!</v>
      </c>
      <c r="DR396" t="e">
        <f>Asia!E1013+"$F;@!3n~"</f>
        <v>#VALUE!</v>
      </c>
      <c r="DS396" t="e">
        <f>Asia!F1013+"$F;@!3o#"</f>
        <v>#VALUE!</v>
      </c>
      <c r="DT396" t="e">
        <f>Asia!G1013+"$F;@!3o$"</f>
        <v>#VALUE!</v>
      </c>
      <c r="DU396" t="e">
        <f>Asia!H1013+"$F;@!3o%"</f>
        <v>#VALUE!</v>
      </c>
      <c r="DV396" t="e">
        <f>Asia!A1014+"$F;@!3o&amp;"</f>
        <v>#VALUE!</v>
      </c>
      <c r="DW396" t="e">
        <f>Asia!B1014+"$F;@!3o'"</f>
        <v>#VALUE!</v>
      </c>
      <c r="DX396" t="e">
        <f>Asia!C1014+"$F;@!3o("</f>
        <v>#VALUE!</v>
      </c>
      <c r="DY396" t="e">
        <f>Asia!D1014+"$F;@!3o)"</f>
        <v>#VALUE!</v>
      </c>
      <c r="DZ396" t="e">
        <f>Asia!E1014+"$F;@!3o."</f>
        <v>#VALUE!</v>
      </c>
      <c r="EA396" t="e">
        <f>Asia!F1014+"$F;@!3o/"</f>
        <v>#VALUE!</v>
      </c>
      <c r="EB396" t="e">
        <f>Asia!G1014+"$F;@!3o0"</f>
        <v>#VALUE!</v>
      </c>
      <c r="EC396" t="e">
        <f>Asia!H1014+"$F;@!3o1"</f>
        <v>#VALUE!</v>
      </c>
      <c r="ED396" t="e">
        <f>Asia!A1015+"$F;@!3o2"</f>
        <v>#VALUE!</v>
      </c>
      <c r="EE396" t="e">
        <f>Asia!B1015+"$F;@!3o3"</f>
        <v>#VALUE!</v>
      </c>
      <c r="EF396" t="e">
        <f>Asia!C1015+"$F;@!3o4"</f>
        <v>#VALUE!</v>
      </c>
      <c r="EG396" t="e">
        <f>Asia!D1015+"$F;@!3o5"</f>
        <v>#VALUE!</v>
      </c>
      <c r="EH396" t="e">
        <f>Asia!E1015+"$F;@!3o6"</f>
        <v>#VALUE!</v>
      </c>
      <c r="EI396" t="e">
        <f>Asia!F1015+"$F;@!3o7"</f>
        <v>#VALUE!</v>
      </c>
      <c r="EJ396" t="e">
        <f>Asia!G1015+"$F;@!3o8"</f>
        <v>#VALUE!</v>
      </c>
      <c r="EK396" t="e">
        <f>Asia!H1015+"$F;@!3o9"</f>
        <v>#VALUE!</v>
      </c>
      <c r="EL396" t="e">
        <f>Asia!A1016+"$F;@!3o:"</f>
        <v>#VALUE!</v>
      </c>
      <c r="EM396" t="e">
        <f>Asia!B1016+"$F;@!3o;"</f>
        <v>#VALUE!</v>
      </c>
      <c r="EN396" t="e">
        <f>Asia!C1016+"$F;@!3o&lt;"</f>
        <v>#VALUE!</v>
      </c>
      <c r="EO396" t="e">
        <f>Asia!D1016+"$F;@!3o="</f>
        <v>#VALUE!</v>
      </c>
      <c r="EP396" t="e">
        <f>Asia!E1016+"$F;@!3o&gt;"</f>
        <v>#VALUE!</v>
      </c>
      <c r="EQ396" t="e">
        <f>Asia!F1016+"$F;@!3o?"</f>
        <v>#VALUE!</v>
      </c>
      <c r="ER396" t="e">
        <f>Asia!G1016+"$F;@!3o@"</f>
        <v>#VALUE!</v>
      </c>
      <c r="ES396" t="e">
        <f>Asia!H1016+"$F;@!3oA"</f>
        <v>#VALUE!</v>
      </c>
      <c r="ET396" t="e">
        <f>Asia!A1017+"$F;@!3oB"</f>
        <v>#VALUE!</v>
      </c>
      <c r="EU396" t="e">
        <f>Asia!B1017+"$F;@!3oC"</f>
        <v>#VALUE!</v>
      </c>
      <c r="EV396" t="e">
        <f>Asia!C1017+"$F;@!3oD"</f>
        <v>#VALUE!</v>
      </c>
      <c r="EW396" t="e">
        <f>Asia!D1017+"$F;@!3oE"</f>
        <v>#VALUE!</v>
      </c>
      <c r="EX396" t="e">
        <f>Asia!E1017+"$F;@!3oF"</f>
        <v>#VALUE!</v>
      </c>
      <c r="EY396" t="e">
        <f>Asia!F1017+"$F;@!3oG"</f>
        <v>#VALUE!</v>
      </c>
      <c r="EZ396" t="e">
        <f>Asia!G1017+"$F;@!3oH"</f>
        <v>#VALUE!</v>
      </c>
      <c r="FA396" t="e">
        <f>Asia!H1017+"$F;@!3oI"</f>
        <v>#VALUE!</v>
      </c>
      <c r="FB396" t="e">
        <f>Asia!A1018+"$F;@!3oJ"</f>
        <v>#VALUE!</v>
      </c>
      <c r="FC396" t="e">
        <f>Asia!B1018+"$F;@!3oK"</f>
        <v>#VALUE!</v>
      </c>
      <c r="FD396" t="e">
        <f>Asia!C1018+"$F;@!3oL"</f>
        <v>#VALUE!</v>
      </c>
      <c r="FE396" t="e">
        <f>Asia!D1018+"$F;@!3oM"</f>
        <v>#VALUE!</v>
      </c>
      <c r="FF396" t="e">
        <f>Asia!E1018+"$F;@!3oN"</f>
        <v>#VALUE!</v>
      </c>
      <c r="FG396" t="e">
        <f>Asia!F1018+"$F;@!3oO"</f>
        <v>#VALUE!</v>
      </c>
      <c r="FH396" t="e">
        <f>Asia!G1018+"$F;@!3oP"</f>
        <v>#VALUE!</v>
      </c>
      <c r="FI396" t="e">
        <f>Asia!H1018+"$F;@!3oQ"</f>
        <v>#VALUE!</v>
      </c>
      <c r="FJ396" t="e">
        <f>Asia!A1019+"$F;@!3oR"</f>
        <v>#VALUE!</v>
      </c>
      <c r="FK396" t="e">
        <f>Asia!B1019+"$F;@!3oS"</f>
        <v>#VALUE!</v>
      </c>
      <c r="FL396" t="e">
        <f>Asia!C1019+"$F;@!3oT"</f>
        <v>#VALUE!</v>
      </c>
      <c r="FM396" t="e">
        <f>Asia!D1019+"$F;@!3oU"</f>
        <v>#VALUE!</v>
      </c>
      <c r="FN396" t="e">
        <f>Asia!E1019+"$F;@!3oV"</f>
        <v>#VALUE!</v>
      </c>
      <c r="FO396" t="e">
        <f>Asia!F1019+"$F;@!3oW"</f>
        <v>#VALUE!</v>
      </c>
      <c r="FP396" t="e">
        <f>Asia!G1019+"$F;@!3oX"</f>
        <v>#VALUE!</v>
      </c>
      <c r="FQ396" t="e">
        <f>Asia!H1019+"$F;@!3oY"</f>
        <v>#VALUE!</v>
      </c>
      <c r="FR396" t="e">
        <f>Asia!A1020+"$F;@!3oZ"</f>
        <v>#VALUE!</v>
      </c>
      <c r="FS396" t="e">
        <f>Asia!B1020+"$F;@!3o["</f>
        <v>#VALUE!</v>
      </c>
      <c r="FT396" t="e">
        <f>Asia!C1020+"$F;@!3o\"</f>
        <v>#VALUE!</v>
      </c>
      <c r="FU396" t="e">
        <f>Asia!D1020+"$F;@!3o]"</f>
        <v>#VALUE!</v>
      </c>
      <c r="FV396" t="e">
        <f>Asia!E1020+"$F;@!3o^"</f>
        <v>#VALUE!</v>
      </c>
      <c r="FW396" t="e">
        <f>Asia!F1020+"$F;@!3o_"</f>
        <v>#VALUE!</v>
      </c>
      <c r="FX396" t="e">
        <f>Asia!G1020+"$F;@!3o`"</f>
        <v>#VALUE!</v>
      </c>
      <c r="FY396" t="e">
        <f>Asia!H1020+"$F;@!3oa"</f>
        <v>#VALUE!</v>
      </c>
      <c r="FZ396" t="e">
        <f>Asia!A1021+"$F;@!3ob"</f>
        <v>#VALUE!</v>
      </c>
      <c r="GA396" t="e">
        <f>Asia!B1021+"$F;@!3oc"</f>
        <v>#VALUE!</v>
      </c>
      <c r="GB396" t="e">
        <f>Asia!C1021+"$F;@!3od"</f>
        <v>#VALUE!</v>
      </c>
      <c r="GC396" t="e">
        <f>Asia!D1021+"$F;@!3oe"</f>
        <v>#VALUE!</v>
      </c>
      <c r="GD396" t="e">
        <f>Asia!E1021+"$F;@!3of"</f>
        <v>#VALUE!</v>
      </c>
      <c r="GE396" t="e">
        <f>Asia!F1021+"$F;@!3og"</f>
        <v>#VALUE!</v>
      </c>
      <c r="GF396" t="e">
        <f>Asia!G1021+"$F;@!3oh"</f>
        <v>#VALUE!</v>
      </c>
      <c r="GG396" t="e">
        <f>Asia!H1021+"$F;@!3oi"</f>
        <v>#VALUE!</v>
      </c>
      <c r="GH396" t="e">
        <f>Asia!A1022+"$F;@!3oj"</f>
        <v>#VALUE!</v>
      </c>
      <c r="GI396" t="e">
        <f>Asia!B1022+"$F;@!3ok"</f>
        <v>#VALUE!</v>
      </c>
      <c r="GJ396" t="e">
        <f>Asia!C1022+"$F;@!3ol"</f>
        <v>#VALUE!</v>
      </c>
      <c r="GK396" t="e">
        <f>Asia!D1022+"$F;@!3om"</f>
        <v>#VALUE!</v>
      </c>
      <c r="GL396" t="e">
        <f>Asia!E1022+"$F;@!3on"</f>
        <v>#VALUE!</v>
      </c>
      <c r="GM396" t="e">
        <f>Asia!F1022+"$F;@!3oo"</f>
        <v>#VALUE!</v>
      </c>
      <c r="GN396" t="e">
        <f>Asia!G1022+"$F;@!3op"</f>
        <v>#VALUE!</v>
      </c>
      <c r="GO396" t="e">
        <f>Asia!H1022+"$F;@!3oq"</f>
        <v>#VALUE!</v>
      </c>
      <c r="GP396" t="e">
        <f>Asia!A1023+"$F;@!3or"</f>
        <v>#VALUE!</v>
      </c>
      <c r="GQ396" t="e">
        <f>Asia!B1023+"$F;@!3os"</f>
        <v>#VALUE!</v>
      </c>
      <c r="GR396" t="e">
        <f>Asia!C1023+"$F;@!3ot"</f>
        <v>#VALUE!</v>
      </c>
      <c r="GS396" t="e">
        <f>Asia!D1023+"$F;@!3ou"</f>
        <v>#VALUE!</v>
      </c>
      <c r="GT396" t="e">
        <f>Asia!E1023+"$F;@!3ov"</f>
        <v>#VALUE!</v>
      </c>
      <c r="GU396" t="e">
        <f>Asia!F1023+"$F;@!3ow"</f>
        <v>#VALUE!</v>
      </c>
      <c r="GV396" t="e">
        <f>Asia!G1023+"$F;@!3ox"</f>
        <v>#VALUE!</v>
      </c>
      <c r="GW396" t="e">
        <f>Asia!H1023+"$F;@!3oy"</f>
        <v>#VALUE!</v>
      </c>
      <c r="GX396" t="e">
        <f>Asia!A1024+"$F;@!3oz"</f>
        <v>#VALUE!</v>
      </c>
      <c r="GY396" t="e">
        <f>Asia!B1024+"$F;@!3o{"</f>
        <v>#VALUE!</v>
      </c>
      <c r="GZ396" t="e">
        <f>Asia!C1024+"$F;@!3o|"</f>
        <v>#VALUE!</v>
      </c>
      <c r="HA396" t="e">
        <f>Asia!D1024+"$F;@!3o}"</f>
        <v>#VALUE!</v>
      </c>
      <c r="HB396" t="e">
        <f>Asia!E1024+"$F;@!3o~"</f>
        <v>#VALUE!</v>
      </c>
      <c r="HC396" t="e">
        <f>Asia!F1024+"$F;@!3p#"</f>
        <v>#VALUE!</v>
      </c>
      <c r="HD396" t="e">
        <f>Asia!G1024+"$F;@!3p$"</f>
        <v>#VALUE!</v>
      </c>
      <c r="HE396" t="e">
        <f>Asia!H1024+"$F;@!3p%"</f>
        <v>#VALUE!</v>
      </c>
      <c r="HF396" t="e">
        <f>Asia!A1025+"$F;@!3p&amp;"</f>
        <v>#VALUE!</v>
      </c>
      <c r="HG396" t="e">
        <f>Asia!B1025+"$F;@!3p'"</f>
        <v>#VALUE!</v>
      </c>
      <c r="HH396" t="e">
        <f>Asia!C1025+"$F;@!3p("</f>
        <v>#VALUE!</v>
      </c>
      <c r="HI396" t="e">
        <f>Asia!D1025+"$F;@!3p)"</f>
        <v>#VALUE!</v>
      </c>
      <c r="HJ396" t="e">
        <f>Asia!E1025+"$F;@!3p."</f>
        <v>#VALUE!</v>
      </c>
      <c r="HK396" t="e">
        <f>Asia!F1025+"$F;@!3p/"</f>
        <v>#VALUE!</v>
      </c>
      <c r="HL396" t="e">
        <f>Asia!G1025+"$F;@!3p0"</f>
        <v>#VALUE!</v>
      </c>
      <c r="HM396" t="e">
        <f>Asia!H1025+"$F;@!3p1"</f>
        <v>#VALUE!</v>
      </c>
      <c r="HN396" t="e">
        <f>Asia!A1026+"$F;@!3p2"</f>
        <v>#VALUE!</v>
      </c>
      <c r="HO396" t="e">
        <f>Asia!B1026+"$F;@!3p3"</f>
        <v>#VALUE!</v>
      </c>
      <c r="HP396" t="e">
        <f>Asia!C1026+"$F;@!3p4"</f>
        <v>#VALUE!</v>
      </c>
      <c r="HQ396" t="e">
        <f>Asia!D1026+"$F;@!3p5"</f>
        <v>#VALUE!</v>
      </c>
      <c r="HR396" t="e">
        <f>Asia!E1026+"$F;@!3p6"</f>
        <v>#VALUE!</v>
      </c>
      <c r="HS396" t="e">
        <f>Asia!F1026+"$F;@!3p7"</f>
        <v>#VALUE!</v>
      </c>
      <c r="HT396" t="e">
        <f>Asia!G1026+"$F;@!3p8"</f>
        <v>#VALUE!</v>
      </c>
      <c r="HU396" t="e">
        <f>Asia!H1026+"$F;@!3p9"</f>
        <v>#VALUE!</v>
      </c>
      <c r="HV396" t="e">
        <f>Asia!A1027+"$F;@!3p:"</f>
        <v>#VALUE!</v>
      </c>
      <c r="HW396" t="e">
        <f>Asia!B1027+"$F;@!3p;"</f>
        <v>#VALUE!</v>
      </c>
      <c r="HX396" t="e">
        <f>Asia!C1027+"$F;@!3p&lt;"</f>
        <v>#VALUE!</v>
      </c>
      <c r="HY396" t="e">
        <f>Asia!D1027+"$F;@!3p="</f>
        <v>#VALUE!</v>
      </c>
      <c r="HZ396" t="e">
        <f>Asia!E1027+"$F;@!3p&gt;"</f>
        <v>#VALUE!</v>
      </c>
      <c r="IA396" t="e">
        <f>Asia!F1027+"$F;@!3p?"</f>
        <v>#VALUE!</v>
      </c>
      <c r="IB396" t="e">
        <f>Asia!G1027+"$F;@!3p@"</f>
        <v>#VALUE!</v>
      </c>
      <c r="IC396" t="e">
        <f>Asia!H1027+"$F;@!3pA"</f>
        <v>#VALUE!</v>
      </c>
      <c r="ID396" t="e">
        <f>Asia!A1028+"$F;@!3pB"</f>
        <v>#VALUE!</v>
      </c>
      <c r="IE396" t="e">
        <f>Asia!B1028+"$F;@!3pC"</f>
        <v>#VALUE!</v>
      </c>
      <c r="IF396" t="e">
        <f>Asia!C1028+"$F;@!3pD"</f>
        <v>#VALUE!</v>
      </c>
      <c r="IG396" t="e">
        <f>Asia!D1028+"$F;@!3pE"</f>
        <v>#VALUE!</v>
      </c>
      <c r="IH396" t="e">
        <f>Asia!E1028+"$F;@!3pF"</f>
        <v>#VALUE!</v>
      </c>
      <c r="II396" t="e">
        <f>Asia!F1028+"$F;@!3pG"</f>
        <v>#VALUE!</v>
      </c>
      <c r="IJ396" t="e">
        <f>Asia!G1028+"$F;@!3pH"</f>
        <v>#VALUE!</v>
      </c>
      <c r="IK396" t="e">
        <f>Asia!H1028+"$F;@!3pI"</f>
        <v>#VALUE!</v>
      </c>
      <c r="IL396" t="e">
        <f>Asia!A1029+"$F;@!3pJ"</f>
        <v>#VALUE!</v>
      </c>
      <c r="IM396" t="e">
        <f>Asia!B1029+"$F;@!3pK"</f>
        <v>#VALUE!</v>
      </c>
      <c r="IN396" t="e">
        <f>Asia!C1029+"$F;@!3pL"</f>
        <v>#VALUE!</v>
      </c>
      <c r="IO396" t="e">
        <f>Asia!D1029+"$F;@!3pM"</f>
        <v>#VALUE!</v>
      </c>
      <c r="IP396" t="e">
        <f>Asia!E1029+"$F;@!3pN"</f>
        <v>#VALUE!</v>
      </c>
      <c r="IQ396" t="e">
        <f>Asia!F1029+"$F;@!3pO"</f>
        <v>#VALUE!</v>
      </c>
      <c r="IR396" t="e">
        <f>Asia!G1029+"$F;@!3pP"</f>
        <v>#VALUE!</v>
      </c>
      <c r="IS396" t="e">
        <f>Asia!H1029+"$F;@!3pQ"</f>
        <v>#VALUE!</v>
      </c>
      <c r="IT396" t="e">
        <f>Asia!A1030+"$F;@!3pR"</f>
        <v>#VALUE!</v>
      </c>
      <c r="IU396" t="e">
        <f>Asia!B1030+"$F;@!3pS"</f>
        <v>#VALUE!</v>
      </c>
      <c r="IV396" t="e">
        <f>Asia!C1030+"$F;@!3pT"</f>
        <v>#VALUE!</v>
      </c>
    </row>
    <row r="397" spans="6:256" x14ac:dyDescent="0.35">
      <c r="F397" t="e">
        <f>Asia!D1030+"$F;@!3pU"</f>
        <v>#VALUE!</v>
      </c>
      <c r="G397" t="e">
        <f>Asia!E1030+"$F;@!3pV"</f>
        <v>#VALUE!</v>
      </c>
      <c r="H397" t="e">
        <f>Asia!F1030+"$F;@!3pW"</f>
        <v>#VALUE!</v>
      </c>
      <c r="I397" t="e">
        <f>Asia!G1030+"$F;@!3pX"</f>
        <v>#VALUE!</v>
      </c>
      <c r="J397" t="e">
        <f>Asia!H1030+"$F;@!3pY"</f>
        <v>#VALUE!</v>
      </c>
      <c r="K397" t="e">
        <f>Asia!A1031+"$F;@!3pZ"</f>
        <v>#VALUE!</v>
      </c>
      <c r="L397" t="e">
        <f>Asia!B1031+"$F;@!3p["</f>
        <v>#VALUE!</v>
      </c>
      <c r="M397" t="e">
        <f>Asia!C1031+"$F;@!3p\"</f>
        <v>#VALUE!</v>
      </c>
      <c r="N397" t="e">
        <f>Asia!D1031+"$F;@!3p]"</f>
        <v>#VALUE!</v>
      </c>
      <c r="O397" t="e">
        <f>Asia!E1031+"$F;@!3p^"</f>
        <v>#VALUE!</v>
      </c>
      <c r="P397" t="e">
        <f>Asia!F1031+"$F;@!3p_"</f>
        <v>#VALUE!</v>
      </c>
      <c r="Q397" t="e">
        <f>Asia!G1031+"$F;@!3p`"</f>
        <v>#VALUE!</v>
      </c>
      <c r="R397" t="e">
        <f>Asia!H1031+"$F;@!3pa"</f>
        <v>#VALUE!</v>
      </c>
      <c r="S397" t="e">
        <f>Asia!A1032+"$F;@!3pb"</f>
        <v>#VALUE!</v>
      </c>
      <c r="T397" t="e">
        <f>Asia!B1032+"$F;@!3pc"</f>
        <v>#VALUE!</v>
      </c>
      <c r="U397" t="e">
        <f>Asia!C1032+"$F;@!3pd"</f>
        <v>#VALUE!</v>
      </c>
      <c r="V397" t="e">
        <f>Asia!D1032+"$F;@!3pe"</f>
        <v>#VALUE!</v>
      </c>
      <c r="W397" t="e">
        <f>Asia!E1032+"$F;@!3pf"</f>
        <v>#VALUE!</v>
      </c>
      <c r="X397" t="e">
        <f>Asia!F1032+"$F;@!3pg"</f>
        <v>#VALUE!</v>
      </c>
      <c r="Y397" t="e">
        <f>Asia!G1032+"$F;@!3ph"</f>
        <v>#VALUE!</v>
      </c>
      <c r="Z397" t="e">
        <f>Asia!H1032+"$F;@!3pi"</f>
        <v>#VALUE!</v>
      </c>
      <c r="AA397" t="e">
        <f>Asia!A1033+"$F;@!3pj"</f>
        <v>#VALUE!</v>
      </c>
      <c r="AB397" t="e">
        <f>Asia!B1033+"$F;@!3pk"</f>
        <v>#VALUE!</v>
      </c>
      <c r="AC397" t="e">
        <f>Asia!C1033+"$F;@!3pl"</f>
        <v>#VALUE!</v>
      </c>
      <c r="AD397" t="e">
        <f>Asia!D1033+"$F;@!3pm"</f>
        <v>#VALUE!</v>
      </c>
      <c r="AE397" t="e">
        <f>Asia!E1033+"$F;@!3pn"</f>
        <v>#VALUE!</v>
      </c>
      <c r="AF397" t="e">
        <f>Asia!F1033+"$F;@!3po"</f>
        <v>#VALUE!</v>
      </c>
      <c r="AG397" t="e">
        <f>Asia!G1033+"$F;@!3pp"</f>
        <v>#VALUE!</v>
      </c>
      <c r="AH397" t="e">
        <f>Asia!H1033+"$F;@!3pq"</f>
        <v>#VALUE!</v>
      </c>
      <c r="AI397" t="e">
        <f>Asia!A1034+"$F;@!3pr"</f>
        <v>#VALUE!</v>
      </c>
      <c r="AJ397" t="e">
        <f>Asia!B1034+"$F;@!3ps"</f>
        <v>#VALUE!</v>
      </c>
      <c r="AK397" t="e">
        <f>Asia!C1034+"$F;@!3pt"</f>
        <v>#VALUE!</v>
      </c>
      <c r="AL397" t="e">
        <f>Asia!D1034+"$F;@!3pu"</f>
        <v>#VALUE!</v>
      </c>
      <c r="AM397" t="e">
        <f>Asia!E1034+"$F;@!3pv"</f>
        <v>#VALUE!</v>
      </c>
      <c r="AN397" t="e">
        <f>Asia!F1034+"$F;@!3pw"</f>
        <v>#VALUE!</v>
      </c>
      <c r="AO397" t="e">
        <f>Asia!G1034+"$F;@!3px"</f>
        <v>#VALUE!</v>
      </c>
      <c r="AP397" t="e">
        <f>Asia!H1034+"$F;@!3py"</f>
        <v>#VALUE!</v>
      </c>
      <c r="AQ397" t="e">
        <f>Asia!A1035+"$F;@!3pz"</f>
        <v>#VALUE!</v>
      </c>
      <c r="AR397" t="e">
        <f>Asia!B1035+"$F;@!3p{"</f>
        <v>#VALUE!</v>
      </c>
      <c r="AS397" t="e">
        <f>Asia!C1035+"$F;@!3p|"</f>
        <v>#VALUE!</v>
      </c>
      <c r="AT397" t="e">
        <f>Asia!D1035+"$F;@!3p}"</f>
        <v>#VALUE!</v>
      </c>
      <c r="AU397" t="e">
        <f>Asia!E1035+"$F;@!3p~"</f>
        <v>#VALUE!</v>
      </c>
      <c r="AV397" t="e">
        <f>Asia!F1035+"$F;@!3q#"</f>
        <v>#VALUE!</v>
      </c>
      <c r="AW397" t="e">
        <f>Asia!G1035+"$F;@!3q$"</f>
        <v>#VALUE!</v>
      </c>
      <c r="AX397" t="e">
        <f>Asia!H1035+"$F;@!3q%"</f>
        <v>#VALUE!</v>
      </c>
      <c r="AY397" t="e">
        <f>Asia!A1036+"$F;@!3q&amp;"</f>
        <v>#VALUE!</v>
      </c>
      <c r="AZ397" t="e">
        <f>Asia!B1036+"$F;@!3q'"</f>
        <v>#VALUE!</v>
      </c>
      <c r="BA397" t="e">
        <f>Asia!C1036+"$F;@!3q("</f>
        <v>#VALUE!</v>
      </c>
      <c r="BB397" t="e">
        <f>Asia!D1036+"$F;@!3q)"</f>
        <v>#VALUE!</v>
      </c>
      <c r="BC397" t="e">
        <f>Asia!E1036+"$F;@!3q."</f>
        <v>#VALUE!</v>
      </c>
      <c r="BD397" t="e">
        <f>Asia!F1036+"$F;@!3q/"</f>
        <v>#VALUE!</v>
      </c>
      <c r="BE397" t="e">
        <f>Asia!G1036+"$F;@!3q0"</f>
        <v>#VALUE!</v>
      </c>
      <c r="BF397" t="e">
        <f>Asia!H1036+"$F;@!3q1"</f>
        <v>#VALUE!</v>
      </c>
      <c r="BG397" t="e">
        <f>Asia!A1037+"$F;@!3q2"</f>
        <v>#VALUE!</v>
      </c>
      <c r="BH397" t="e">
        <f>Asia!B1037+"$F;@!3q3"</f>
        <v>#VALUE!</v>
      </c>
      <c r="BI397" t="e">
        <f>Asia!C1037+"$F;@!3q4"</f>
        <v>#VALUE!</v>
      </c>
      <c r="BJ397" t="e">
        <f>Asia!D1037+"$F;@!3q5"</f>
        <v>#VALUE!</v>
      </c>
      <c r="BK397" t="e">
        <f>Asia!E1037+"$F;@!3q6"</f>
        <v>#VALUE!</v>
      </c>
      <c r="BL397" t="e">
        <f>Asia!F1037+"$F;@!3q7"</f>
        <v>#VALUE!</v>
      </c>
      <c r="BM397" t="e">
        <f>Asia!G1037+"$F;@!3q8"</f>
        <v>#VALUE!</v>
      </c>
      <c r="BN397" t="e">
        <f>Asia!H1037+"$F;@!3q9"</f>
        <v>#VALUE!</v>
      </c>
      <c r="BO397" t="e">
        <f>Asia!A1038+"$F;@!3q:"</f>
        <v>#VALUE!</v>
      </c>
      <c r="BP397" t="e">
        <f>Asia!B1038+"$F;@!3q;"</f>
        <v>#VALUE!</v>
      </c>
      <c r="BQ397" t="e">
        <f>Asia!C1038+"$F;@!3q&lt;"</f>
        <v>#VALUE!</v>
      </c>
      <c r="BR397" t="e">
        <f>Asia!D1038+"$F;@!3q="</f>
        <v>#VALUE!</v>
      </c>
      <c r="BS397" t="e">
        <f>Asia!E1038+"$F;@!3q&gt;"</f>
        <v>#VALUE!</v>
      </c>
      <c r="BT397" t="e">
        <f>Asia!F1038+"$F;@!3q?"</f>
        <v>#VALUE!</v>
      </c>
      <c r="BU397" t="e">
        <f>Asia!G1038+"$F;@!3q@"</f>
        <v>#VALUE!</v>
      </c>
      <c r="BV397" t="e">
        <f>Asia!H1038+"$F;@!3qA"</f>
        <v>#VALUE!</v>
      </c>
      <c r="BW397" t="e">
        <f>Asia!A1039+"$F;@!3qB"</f>
        <v>#VALUE!</v>
      </c>
      <c r="BX397" t="e">
        <f>Asia!B1039+"$F;@!3qC"</f>
        <v>#VALUE!</v>
      </c>
      <c r="BY397" t="e">
        <f>Asia!C1039+"$F;@!3qD"</f>
        <v>#VALUE!</v>
      </c>
      <c r="BZ397" t="e">
        <f>Asia!D1039+"$F;@!3qE"</f>
        <v>#VALUE!</v>
      </c>
      <c r="CA397" t="e">
        <f>Asia!E1039+"$F;@!3qF"</f>
        <v>#VALUE!</v>
      </c>
      <c r="CB397" t="e">
        <f>Asia!F1039+"$F;@!3qG"</f>
        <v>#VALUE!</v>
      </c>
      <c r="CC397" t="e">
        <f>Asia!G1039+"$F;@!3qH"</f>
        <v>#VALUE!</v>
      </c>
      <c r="CD397" t="e">
        <f>Asia!H1039+"$F;@!3qI"</f>
        <v>#VALUE!</v>
      </c>
      <c r="CE397" t="e">
        <f>Asia!A1040+"$F;@!3qJ"</f>
        <v>#VALUE!</v>
      </c>
      <c r="CF397" t="e">
        <f>Asia!B1040+"$F;@!3qK"</f>
        <v>#VALUE!</v>
      </c>
      <c r="CG397" t="e">
        <f>Asia!C1040+"$F;@!3qL"</f>
        <v>#VALUE!</v>
      </c>
      <c r="CH397" t="e">
        <f>Asia!D1040+"$F;@!3qM"</f>
        <v>#VALUE!</v>
      </c>
      <c r="CI397" t="e">
        <f>Asia!E1040+"$F;@!3qN"</f>
        <v>#VALUE!</v>
      </c>
      <c r="CJ397" t="e">
        <f>Asia!F1040+"$F;@!3qO"</f>
        <v>#VALUE!</v>
      </c>
      <c r="CK397" t="e">
        <f>Asia!G1040+"$F;@!3qP"</f>
        <v>#VALUE!</v>
      </c>
      <c r="CL397" t="e">
        <f>Asia!H1040+"$F;@!3qQ"</f>
        <v>#VALUE!</v>
      </c>
      <c r="CM397" t="e">
        <f>Asia!A1041+"$F;@!3qR"</f>
        <v>#VALUE!</v>
      </c>
      <c r="CN397" t="e">
        <f>Asia!B1041+"$F;@!3qS"</f>
        <v>#VALUE!</v>
      </c>
      <c r="CO397" t="e">
        <f>Asia!C1041+"$F;@!3qT"</f>
        <v>#VALUE!</v>
      </c>
      <c r="CP397" t="e">
        <f>Asia!D1041+"$F;@!3qU"</f>
        <v>#VALUE!</v>
      </c>
      <c r="CQ397" t="e">
        <f>Asia!E1041+"$F;@!3qV"</f>
        <v>#VALUE!</v>
      </c>
      <c r="CR397" t="e">
        <f>Asia!F1041+"$F;@!3qW"</f>
        <v>#VALUE!</v>
      </c>
      <c r="CS397" t="e">
        <f>Asia!G1041+"$F;@!3qX"</f>
        <v>#VALUE!</v>
      </c>
      <c r="CT397" t="e">
        <f>Asia!H1041+"$F;@!3qY"</f>
        <v>#VALUE!</v>
      </c>
      <c r="CU397" t="e">
        <f>Asia!A1042+"$F;@!3qZ"</f>
        <v>#VALUE!</v>
      </c>
      <c r="CV397" t="e">
        <f>Asia!B1042+"$F;@!3q["</f>
        <v>#VALUE!</v>
      </c>
      <c r="CW397" t="e">
        <f>Asia!C1042+"$F;@!3q\"</f>
        <v>#VALUE!</v>
      </c>
      <c r="CX397" t="e">
        <f>Asia!D1042+"$F;@!3q]"</f>
        <v>#VALUE!</v>
      </c>
      <c r="CY397" t="e">
        <f>Asia!E1042+"$F;@!3q^"</f>
        <v>#VALUE!</v>
      </c>
      <c r="CZ397" t="e">
        <f>Asia!F1042+"$F;@!3q_"</f>
        <v>#VALUE!</v>
      </c>
      <c r="DA397" t="e">
        <f>Asia!G1042+"$F;@!3q`"</f>
        <v>#VALUE!</v>
      </c>
      <c r="DB397" t="e">
        <f>Asia!H1042+"$F;@!3qa"</f>
        <v>#VALUE!</v>
      </c>
      <c r="DC397" t="e">
        <f>Asia!A1043+"$F;@!3qb"</f>
        <v>#VALUE!</v>
      </c>
      <c r="DD397" t="e">
        <f>Asia!B1043+"$F;@!3qc"</f>
        <v>#VALUE!</v>
      </c>
      <c r="DE397" t="e">
        <f>Asia!C1043+"$F;@!3qd"</f>
        <v>#VALUE!</v>
      </c>
      <c r="DF397" t="e">
        <f>Asia!D1043+"$F;@!3qe"</f>
        <v>#VALUE!</v>
      </c>
      <c r="DG397" t="e">
        <f>Asia!E1043+"$F;@!3qf"</f>
        <v>#VALUE!</v>
      </c>
      <c r="DH397" t="e">
        <f>Asia!F1043+"$F;@!3qg"</f>
        <v>#VALUE!</v>
      </c>
      <c r="DI397" t="e">
        <f>Asia!G1043+"$F;@!3qh"</f>
        <v>#VALUE!</v>
      </c>
      <c r="DJ397" t="e">
        <f>Asia!H1043+"$F;@!3qi"</f>
        <v>#VALUE!</v>
      </c>
      <c r="DK397" t="e">
        <f>Asia!A1044+"$F;@!3qj"</f>
        <v>#VALUE!</v>
      </c>
      <c r="DL397" t="e">
        <f>Asia!B1044+"$F;@!3qk"</f>
        <v>#VALUE!</v>
      </c>
      <c r="DM397" t="e">
        <f>Asia!C1044+"$F;@!3ql"</f>
        <v>#VALUE!</v>
      </c>
      <c r="DN397" t="e">
        <f>Asia!D1044+"$F;@!3qm"</f>
        <v>#VALUE!</v>
      </c>
      <c r="DO397" t="e">
        <f>Asia!E1044+"$F;@!3qn"</f>
        <v>#VALUE!</v>
      </c>
      <c r="DP397" t="e">
        <f>Asia!F1044+"$F;@!3qo"</f>
        <v>#VALUE!</v>
      </c>
      <c r="DQ397" t="e">
        <f>Asia!G1044+"$F;@!3qp"</f>
        <v>#VALUE!</v>
      </c>
      <c r="DR397" t="e">
        <f>Asia!H1044+"$F;@!3qq"</f>
        <v>#VALUE!</v>
      </c>
      <c r="DS397" t="e">
        <f>Asia!A1045+"$F;@!3qr"</f>
        <v>#VALUE!</v>
      </c>
      <c r="DT397" t="e">
        <f>Asia!B1045+"$F;@!3qs"</f>
        <v>#VALUE!</v>
      </c>
      <c r="DU397" t="e">
        <f>Asia!C1045+"$F;@!3qt"</f>
        <v>#VALUE!</v>
      </c>
      <c r="DV397" t="e">
        <f>Asia!D1045+"$F;@!3qu"</f>
        <v>#VALUE!</v>
      </c>
      <c r="DW397" t="e">
        <f>Asia!E1045+"$F;@!3qv"</f>
        <v>#VALUE!</v>
      </c>
      <c r="DX397" t="e">
        <f>Asia!F1045+"$F;@!3qw"</f>
        <v>#VALUE!</v>
      </c>
      <c r="DY397" t="e">
        <f>Asia!G1045+"$F;@!3qx"</f>
        <v>#VALUE!</v>
      </c>
      <c r="DZ397" t="e">
        <f>Asia!H1045+"$F;@!3qy"</f>
        <v>#VALUE!</v>
      </c>
      <c r="EA397" t="e">
        <f>Asia!A1046+"$F;@!3qz"</f>
        <v>#VALUE!</v>
      </c>
      <c r="EB397" t="e">
        <f>Asia!B1046+"$F;@!3q{"</f>
        <v>#VALUE!</v>
      </c>
      <c r="EC397" t="e">
        <f>Asia!C1046+"$F;@!3q|"</f>
        <v>#VALUE!</v>
      </c>
      <c r="ED397" t="e">
        <f>Asia!D1046+"$F;@!3q}"</f>
        <v>#VALUE!</v>
      </c>
      <c r="EE397" t="e">
        <f>Asia!E1046+"$F;@!3q~"</f>
        <v>#VALUE!</v>
      </c>
      <c r="EF397" t="e">
        <f>Asia!F1046+"$F;@!3r#"</f>
        <v>#VALUE!</v>
      </c>
      <c r="EG397" t="e">
        <f>Asia!G1046+"$F;@!3r$"</f>
        <v>#VALUE!</v>
      </c>
      <c r="EH397" t="e">
        <f>Asia!H1046+"$F;@!3r%"</f>
        <v>#VALUE!</v>
      </c>
      <c r="EI397" t="e">
        <f>Asia!A1047+"$F;@!3r&amp;"</f>
        <v>#VALUE!</v>
      </c>
      <c r="EJ397" t="e">
        <f>Asia!B1047+"$F;@!3r'"</f>
        <v>#VALUE!</v>
      </c>
      <c r="EK397" t="e">
        <f>Asia!C1047+"$F;@!3r("</f>
        <v>#VALUE!</v>
      </c>
      <c r="EL397" t="e">
        <f>Asia!D1047+"$F;@!3r)"</f>
        <v>#VALUE!</v>
      </c>
      <c r="EM397" t="e">
        <f>Asia!E1047+"$F;@!3r."</f>
        <v>#VALUE!</v>
      </c>
      <c r="EN397" t="e">
        <f>Asia!F1047+"$F;@!3r/"</f>
        <v>#VALUE!</v>
      </c>
      <c r="EO397" t="e">
        <f>Asia!G1047+"$F;@!3r0"</f>
        <v>#VALUE!</v>
      </c>
      <c r="EP397" t="e">
        <f>Asia!H1047+"$F;@!3r1"</f>
        <v>#VALUE!</v>
      </c>
      <c r="EQ397" t="e">
        <f>Asia!A1048+"$F;@!3r2"</f>
        <v>#VALUE!</v>
      </c>
      <c r="ER397" t="e">
        <f>Asia!B1048+"$F;@!3r3"</f>
        <v>#VALUE!</v>
      </c>
      <c r="ES397" t="e">
        <f>Asia!C1048+"$F;@!3r4"</f>
        <v>#VALUE!</v>
      </c>
      <c r="ET397" t="e">
        <f>Asia!D1048+"$F;@!3r5"</f>
        <v>#VALUE!</v>
      </c>
      <c r="EU397" t="e">
        <f>Asia!E1048+"$F;@!3r6"</f>
        <v>#VALUE!</v>
      </c>
      <c r="EV397" t="e">
        <f>Asia!F1048+"$F;@!3r7"</f>
        <v>#VALUE!</v>
      </c>
      <c r="EW397" t="e">
        <f>Asia!G1048+"$F;@!3r8"</f>
        <v>#VALUE!</v>
      </c>
      <c r="EX397" t="e">
        <f>Asia!H1048+"$F;@!3r9"</f>
        <v>#VALUE!</v>
      </c>
      <c r="EY397" t="e">
        <f>Asia!A1049+"$F;@!3r:"</f>
        <v>#VALUE!</v>
      </c>
      <c r="EZ397" t="e">
        <f>Asia!B1049+"$F;@!3r;"</f>
        <v>#VALUE!</v>
      </c>
      <c r="FA397" t="e">
        <f>Asia!C1049+"$F;@!3r&lt;"</f>
        <v>#VALUE!</v>
      </c>
      <c r="FB397" t="e">
        <f>Asia!D1049+"$F;@!3r="</f>
        <v>#VALUE!</v>
      </c>
      <c r="FC397" t="e">
        <f>Asia!E1049+"$F;@!3r&gt;"</f>
        <v>#VALUE!</v>
      </c>
      <c r="FD397" t="e">
        <f>Asia!F1049+"$F;@!3r?"</f>
        <v>#VALUE!</v>
      </c>
      <c r="FE397" t="e">
        <f>Asia!G1049+"$F;@!3r@"</f>
        <v>#VALUE!</v>
      </c>
      <c r="FF397" t="e">
        <f>Asia!H1049+"$F;@!3rA"</f>
        <v>#VALUE!</v>
      </c>
      <c r="FG397" t="e">
        <f>Asia!A1050+"$F;@!3rB"</f>
        <v>#VALUE!</v>
      </c>
      <c r="FH397" t="e">
        <f>Asia!B1050+"$F;@!3rC"</f>
        <v>#VALUE!</v>
      </c>
      <c r="FI397" t="e">
        <f>Asia!C1050+"$F;@!3rD"</f>
        <v>#VALUE!</v>
      </c>
      <c r="FJ397" t="e">
        <f>Asia!D1050+"$F;@!3rE"</f>
        <v>#VALUE!</v>
      </c>
      <c r="FK397" t="e">
        <f>Asia!E1050+"$F;@!3rF"</f>
        <v>#VALUE!</v>
      </c>
      <c r="FL397" t="e">
        <f>Asia!F1050+"$F;@!3rG"</f>
        <v>#VALUE!</v>
      </c>
      <c r="FM397" t="e">
        <f>Asia!G1050+"$F;@!3rH"</f>
        <v>#VALUE!</v>
      </c>
      <c r="FN397" t="e">
        <f>Asia!H1050+"$F;@!3rI"</f>
        <v>#VALUE!</v>
      </c>
      <c r="FO397" t="e">
        <f>Asia!A1051+"$F;@!3rJ"</f>
        <v>#VALUE!</v>
      </c>
      <c r="FP397" t="e">
        <f>Asia!B1051+"$F;@!3rK"</f>
        <v>#VALUE!</v>
      </c>
      <c r="FQ397" t="e">
        <f>Asia!C1051+"$F;@!3rL"</f>
        <v>#VALUE!</v>
      </c>
      <c r="FR397" t="e">
        <f>Asia!D1051+"$F;@!3rM"</f>
        <v>#VALUE!</v>
      </c>
      <c r="FS397" t="e">
        <f>Asia!E1051+"$F;@!3rN"</f>
        <v>#VALUE!</v>
      </c>
      <c r="FT397" t="e">
        <f>Asia!F1051+"$F;@!3rO"</f>
        <v>#VALUE!</v>
      </c>
      <c r="FU397" t="e">
        <f>Asia!G1051+"$F;@!3rP"</f>
        <v>#VALUE!</v>
      </c>
      <c r="FV397" t="e">
        <f>Asia!H1051+"$F;@!3rQ"</f>
        <v>#VALUE!</v>
      </c>
      <c r="FW397" t="e">
        <f>Asia!A1052+"$F;@!3rR"</f>
        <v>#VALUE!</v>
      </c>
      <c r="FX397" t="e">
        <f>Asia!B1052+"$F;@!3rS"</f>
        <v>#VALUE!</v>
      </c>
      <c r="FY397" t="e">
        <f>Asia!C1052+"$F;@!3rT"</f>
        <v>#VALUE!</v>
      </c>
      <c r="FZ397" t="e">
        <f>Asia!D1052+"$F;@!3rU"</f>
        <v>#VALUE!</v>
      </c>
      <c r="GA397" t="e">
        <f>Asia!E1052+"$F;@!3rV"</f>
        <v>#VALUE!</v>
      </c>
      <c r="GB397" t="e">
        <f>Asia!F1052+"$F;@!3rW"</f>
        <v>#VALUE!</v>
      </c>
      <c r="GC397" t="e">
        <f>Asia!G1052+"$F;@!3rX"</f>
        <v>#VALUE!</v>
      </c>
      <c r="GD397" t="e">
        <f>Asia!H1052+"$F;@!3rY"</f>
        <v>#VALUE!</v>
      </c>
      <c r="GE397" t="e">
        <f>Asia!A1053+"$F;@!3rZ"</f>
        <v>#VALUE!</v>
      </c>
      <c r="GF397" t="e">
        <f>Asia!B1053+"$F;@!3r["</f>
        <v>#VALUE!</v>
      </c>
      <c r="GG397" t="e">
        <f>Asia!C1053+"$F;@!3r\"</f>
        <v>#VALUE!</v>
      </c>
      <c r="GH397" t="e">
        <f>Asia!D1053+"$F;@!3r]"</f>
        <v>#VALUE!</v>
      </c>
      <c r="GI397" t="e">
        <f>Asia!E1053+"$F;@!3r^"</f>
        <v>#VALUE!</v>
      </c>
      <c r="GJ397" t="e">
        <f>Asia!F1053+"$F;@!3r_"</f>
        <v>#VALUE!</v>
      </c>
      <c r="GK397" t="e">
        <f>Asia!G1053+"$F;@!3r`"</f>
        <v>#VALUE!</v>
      </c>
      <c r="GL397" t="e">
        <f>Asia!H1053+"$F;@!3ra"</f>
        <v>#VALUE!</v>
      </c>
      <c r="GM397" t="e">
        <f>Asia!A1054+"$F;@!3rb"</f>
        <v>#VALUE!</v>
      </c>
      <c r="GN397" t="e">
        <f>Asia!B1054+"$F;@!3rc"</f>
        <v>#VALUE!</v>
      </c>
      <c r="GO397" t="e">
        <f>Asia!C1054+"$F;@!3rd"</f>
        <v>#VALUE!</v>
      </c>
      <c r="GP397" t="e">
        <f>Asia!D1054+"$F;@!3re"</f>
        <v>#VALUE!</v>
      </c>
      <c r="GQ397" t="e">
        <f>Asia!E1054+"$F;@!3rf"</f>
        <v>#VALUE!</v>
      </c>
      <c r="GR397" t="e">
        <f>Asia!F1054+"$F;@!3rg"</f>
        <v>#VALUE!</v>
      </c>
      <c r="GS397" t="e">
        <f>Asia!G1054+"$F;@!3rh"</f>
        <v>#VALUE!</v>
      </c>
      <c r="GT397" t="e">
        <f>Asia!H1054+"$F;@!3ri"</f>
        <v>#VALUE!</v>
      </c>
      <c r="GU397" t="e">
        <f>Asia!A1055+"$F;@!3rj"</f>
        <v>#VALUE!</v>
      </c>
      <c r="GV397" t="e">
        <f>Asia!B1055+"$F;@!3rk"</f>
        <v>#VALUE!</v>
      </c>
      <c r="GW397" t="e">
        <f>Asia!C1055+"$F;@!3rl"</f>
        <v>#VALUE!</v>
      </c>
      <c r="GX397" t="e">
        <f>Asia!D1055+"$F;@!3rm"</f>
        <v>#VALUE!</v>
      </c>
      <c r="GY397" t="e">
        <f>Asia!E1055+"$F;@!3rn"</f>
        <v>#VALUE!</v>
      </c>
      <c r="GZ397" t="e">
        <f>Asia!F1055+"$F;@!3ro"</f>
        <v>#VALUE!</v>
      </c>
      <c r="HA397" t="e">
        <f>Asia!G1055+"$F;@!3rp"</f>
        <v>#VALUE!</v>
      </c>
      <c r="HB397" t="e">
        <f>Asia!H1055+"$F;@!3rq"</f>
        <v>#VALUE!</v>
      </c>
      <c r="HC397" t="e">
        <f>Asia!A1056+"$F;@!3rr"</f>
        <v>#VALUE!</v>
      </c>
      <c r="HD397" t="e">
        <f>Asia!B1056+"$F;@!3rs"</f>
        <v>#VALUE!</v>
      </c>
      <c r="HE397" t="e">
        <f>Asia!C1056+"$F;@!3rt"</f>
        <v>#VALUE!</v>
      </c>
      <c r="HF397" t="e">
        <f>Asia!D1056+"$F;@!3ru"</f>
        <v>#VALUE!</v>
      </c>
      <c r="HG397" t="e">
        <f>Asia!E1056+"$F;@!3rv"</f>
        <v>#VALUE!</v>
      </c>
      <c r="HH397" t="e">
        <f>Asia!F1056+"$F;@!3rw"</f>
        <v>#VALUE!</v>
      </c>
      <c r="HI397" t="e">
        <f>Asia!G1056+"$F;@!3rx"</f>
        <v>#VALUE!</v>
      </c>
      <c r="HJ397" t="e">
        <f>Asia!H1056+"$F;@!3ry"</f>
        <v>#VALUE!</v>
      </c>
      <c r="HK397" t="e">
        <f>Asia!A1057+"$F;@!3rz"</f>
        <v>#VALUE!</v>
      </c>
      <c r="HL397" t="e">
        <f>Asia!B1057+"$F;@!3r{"</f>
        <v>#VALUE!</v>
      </c>
      <c r="HM397" t="e">
        <f>Asia!C1057+"$F;@!3r|"</f>
        <v>#VALUE!</v>
      </c>
      <c r="HN397" t="e">
        <f>Asia!D1057+"$F;@!3r}"</f>
        <v>#VALUE!</v>
      </c>
      <c r="HO397" t="e">
        <f>Asia!E1057+"$F;@!3r~"</f>
        <v>#VALUE!</v>
      </c>
      <c r="HP397" t="e">
        <f>Asia!F1057+"$F;@!3s#"</f>
        <v>#VALUE!</v>
      </c>
      <c r="HQ397" t="e">
        <f>Asia!G1057+"$F;@!3s$"</f>
        <v>#VALUE!</v>
      </c>
      <c r="HR397" t="e">
        <f>Asia!H1057+"$F;@!3s%"</f>
        <v>#VALUE!</v>
      </c>
      <c r="HS397" t="e">
        <f>Asia!A1058+"$F;@!3s&amp;"</f>
        <v>#VALUE!</v>
      </c>
      <c r="HT397" t="e">
        <f>Asia!B1058+"$F;@!3s'"</f>
        <v>#VALUE!</v>
      </c>
      <c r="HU397" t="e">
        <f>Asia!C1058+"$F;@!3s("</f>
        <v>#VALUE!</v>
      </c>
      <c r="HV397" t="e">
        <f>Asia!D1058+"$F;@!3s)"</f>
        <v>#VALUE!</v>
      </c>
      <c r="HW397" t="e">
        <f>Asia!E1058+"$F;@!3s."</f>
        <v>#VALUE!</v>
      </c>
      <c r="HX397" t="e">
        <f>Asia!F1058+"$F;@!3s/"</f>
        <v>#VALUE!</v>
      </c>
      <c r="HY397" t="e">
        <f>Asia!G1058+"$F;@!3s0"</f>
        <v>#VALUE!</v>
      </c>
      <c r="HZ397" t="e">
        <f>Asia!H1058+"$F;@!3s1"</f>
        <v>#VALUE!</v>
      </c>
      <c r="IA397" t="e">
        <f>Asia!A1059+"$F;@!3s2"</f>
        <v>#VALUE!</v>
      </c>
      <c r="IB397" t="e">
        <f>Asia!B1059+"$F;@!3s3"</f>
        <v>#VALUE!</v>
      </c>
      <c r="IC397" t="e">
        <f>Asia!C1059+"$F;@!3s4"</f>
        <v>#VALUE!</v>
      </c>
      <c r="ID397" t="e">
        <f>Asia!D1059+"$F;@!3s5"</f>
        <v>#VALUE!</v>
      </c>
      <c r="IE397" t="e">
        <f>Asia!E1059+"$F;@!3s6"</f>
        <v>#VALUE!</v>
      </c>
      <c r="IF397" t="e">
        <f>Asia!F1059+"$F;@!3s7"</f>
        <v>#VALUE!</v>
      </c>
      <c r="IG397" t="e">
        <f>Asia!G1059+"$F;@!3s8"</f>
        <v>#VALUE!</v>
      </c>
      <c r="IH397" t="e">
        <f>Asia!H1059+"$F;@!3s9"</f>
        <v>#VALUE!</v>
      </c>
      <c r="II397" t="e">
        <f>Asia!A1060+"$F;@!3s:"</f>
        <v>#VALUE!</v>
      </c>
      <c r="IJ397" t="e">
        <f>Asia!B1060+"$F;@!3s;"</f>
        <v>#VALUE!</v>
      </c>
      <c r="IK397" t="e">
        <f>Asia!C1060+"$F;@!3s&lt;"</f>
        <v>#VALUE!</v>
      </c>
      <c r="IL397" t="e">
        <f>Asia!D1060+"$F;@!3s="</f>
        <v>#VALUE!</v>
      </c>
      <c r="IM397" t="e">
        <f>Asia!E1060+"$F;@!3s&gt;"</f>
        <v>#VALUE!</v>
      </c>
      <c r="IN397" t="e">
        <f>Asia!F1060+"$F;@!3s?"</f>
        <v>#VALUE!</v>
      </c>
      <c r="IO397" t="e">
        <f>Asia!G1060+"$F;@!3s@"</f>
        <v>#VALUE!</v>
      </c>
      <c r="IP397" t="e">
        <f>Asia!H1060+"$F;@!3sA"</f>
        <v>#VALUE!</v>
      </c>
      <c r="IQ397" t="e">
        <f>Asia!A1061+"$F;@!3sB"</f>
        <v>#VALUE!</v>
      </c>
      <c r="IR397" t="e">
        <f>Asia!B1061+"$F;@!3sC"</f>
        <v>#VALUE!</v>
      </c>
      <c r="IS397" t="e">
        <f>Asia!C1061+"$F;@!3sD"</f>
        <v>#VALUE!</v>
      </c>
      <c r="IT397" t="e">
        <f>Asia!D1061+"$F;@!3sE"</f>
        <v>#VALUE!</v>
      </c>
      <c r="IU397" t="e">
        <f>Asia!E1061+"$F;@!3sF"</f>
        <v>#VALUE!</v>
      </c>
      <c r="IV397" t="e">
        <f>Asia!F1061+"$F;@!3sG"</f>
        <v>#VALUE!</v>
      </c>
    </row>
    <row r="398" spans="6:256" x14ac:dyDescent="0.35">
      <c r="F398" t="e">
        <f>Asia!G1061+"$F;@!3sH"</f>
        <v>#VALUE!</v>
      </c>
      <c r="G398" t="e">
        <f>Asia!H1061+"$F;@!3sI"</f>
        <v>#VALUE!</v>
      </c>
      <c r="H398" t="e">
        <f>Asia!A1062+"$F;@!3sJ"</f>
        <v>#VALUE!</v>
      </c>
      <c r="I398" t="e">
        <f>Asia!B1062+"$F;@!3sK"</f>
        <v>#VALUE!</v>
      </c>
      <c r="J398" t="e">
        <f>Asia!C1062+"$F;@!3sL"</f>
        <v>#VALUE!</v>
      </c>
      <c r="K398" t="e">
        <f>Asia!D1062+"$F;@!3sM"</f>
        <v>#VALUE!</v>
      </c>
      <c r="L398" t="e">
        <f>Asia!E1062+"$F;@!3sN"</f>
        <v>#VALUE!</v>
      </c>
      <c r="M398" t="e">
        <f>Asia!F1062+"$F;@!3sO"</f>
        <v>#VALUE!</v>
      </c>
      <c r="N398" t="e">
        <f>Asia!G1062+"$F;@!3sP"</f>
        <v>#VALUE!</v>
      </c>
      <c r="O398" t="e">
        <f>Asia!H1062+"$F;@!3sQ"</f>
        <v>#VALUE!</v>
      </c>
      <c r="P398" t="e">
        <f>Asia!A1063+"$F;@!3sR"</f>
        <v>#VALUE!</v>
      </c>
      <c r="Q398" t="e">
        <f>Asia!B1063+"$F;@!3sS"</f>
        <v>#VALUE!</v>
      </c>
      <c r="R398" t="e">
        <f>Asia!C1063+"$F;@!3sT"</f>
        <v>#VALUE!</v>
      </c>
      <c r="S398" t="e">
        <f>Asia!D1063+"$F;@!3sU"</f>
        <v>#VALUE!</v>
      </c>
      <c r="T398" t="e">
        <f>Asia!E1063+"$F;@!3sV"</f>
        <v>#VALUE!</v>
      </c>
      <c r="U398" t="e">
        <f>Asia!F1063+"$F;@!3sW"</f>
        <v>#VALUE!</v>
      </c>
      <c r="V398" t="e">
        <f>Asia!G1063+"$F;@!3sX"</f>
        <v>#VALUE!</v>
      </c>
      <c r="W398" t="e">
        <f>Asia!H1063+"$F;@!3sY"</f>
        <v>#VALUE!</v>
      </c>
      <c r="X398" t="e">
        <f>Asia!A1064+"$F;@!3sZ"</f>
        <v>#VALUE!</v>
      </c>
      <c r="Y398" t="e">
        <f>Asia!B1064+"$F;@!3s["</f>
        <v>#VALUE!</v>
      </c>
      <c r="Z398" t="e">
        <f>Asia!C1064+"$F;@!3s\"</f>
        <v>#VALUE!</v>
      </c>
      <c r="AA398" t="e">
        <f>Asia!D1064+"$F;@!3s]"</f>
        <v>#VALUE!</v>
      </c>
      <c r="AB398" t="e">
        <f>Asia!E1064+"$F;@!3s^"</f>
        <v>#VALUE!</v>
      </c>
      <c r="AC398" t="e">
        <f>Asia!F1064+"$F;@!3s_"</f>
        <v>#VALUE!</v>
      </c>
      <c r="AD398" t="e">
        <f>Asia!G1064+"$F;@!3s`"</f>
        <v>#VALUE!</v>
      </c>
      <c r="AE398" t="e">
        <f>Asia!H1064+"$F;@!3sa"</f>
        <v>#VALUE!</v>
      </c>
      <c r="AF398" t="e">
        <f>Asia!A1065+"$F;@!3sb"</f>
        <v>#VALUE!</v>
      </c>
      <c r="AG398" t="e">
        <f>Asia!B1065+"$F;@!3sc"</f>
        <v>#VALUE!</v>
      </c>
      <c r="AH398" t="e">
        <f>Asia!C1065+"$F;@!3sd"</f>
        <v>#VALUE!</v>
      </c>
      <c r="AI398" t="e">
        <f>Asia!D1065+"$F;@!3se"</f>
        <v>#VALUE!</v>
      </c>
      <c r="AJ398" t="e">
        <f>Asia!E1065+"$F;@!3sf"</f>
        <v>#VALUE!</v>
      </c>
      <c r="AK398" t="e">
        <f>Asia!F1065+"$F;@!3sg"</f>
        <v>#VALUE!</v>
      </c>
      <c r="AL398" t="e">
        <f>Asia!G1065+"$F;@!3sh"</f>
        <v>#VALUE!</v>
      </c>
      <c r="AM398" t="e">
        <f>Asia!H1065+"$F;@!3si"</f>
        <v>#VALUE!</v>
      </c>
      <c r="AN398" t="e">
        <f>Asia!A1066+"$F;@!3sj"</f>
        <v>#VALUE!</v>
      </c>
      <c r="AO398" t="e">
        <f>Asia!B1066+"$F;@!3sk"</f>
        <v>#VALUE!</v>
      </c>
      <c r="AP398" t="e">
        <f>Asia!C1066+"$F;@!3sl"</f>
        <v>#VALUE!</v>
      </c>
      <c r="AQ398" t="e">
        <f>Asia!D1066+"$F;@!3sm"</f>
        <v>#VALUE!</v>
      </c>
      <c r="AR398" t="e">
        <f>Asia!E1066+"$F;@!3sn"</f>
        <v>#VALUE!</v>
      </c>
      <c r="AS398" t="e">
        <f>Asia!F1066+"$F;@!3so"</f>
        <v>#VALUE!</v>
      </c>
      <c r="AT398" t="e">
        <f>Asia!G1066+"$F;@!3sp"</f>
        <v>#VALUE!</v>
      </c>
      <c r="AU398" t="e">
        <f>Asia!H1066+"$F;@!3sq"</f>
        <v>#VALUE!</v>
      </c>
      <c r="AV398" t="e">
        <f>Asia!A1067+"$F;@!3sr"</f>
        <v>#VALUE!</v>
      </c>
      <c r="AW398" t="e">
        <f>Asia!B1067+"$F;@!3ss"</f>
        <v>#VALUE!</v>
      </c>
      <c r="AX398" t="e">
        <f>Asia!C1067+"$F;@!3st"</f>
        <v>#VALUE!</v>
      </c>
      <c r="AY398" t="e">
        <f>Asia!D1067+"$F;@!3su"</f>
        <v>#VALUE!</v>
      </c>
      <c r="AZ398" t="e">
        <f>Asia!E1067+"$F;@!3sv"</f>
        <v>#VALUE!</v>
      </c>
      <c r="BA398" t="e">
        <f>Asia!F1067+"$F;@!3sw"</f>
        <v>#VALUE!</v>
      </c>
      <c r="BB398" t="e">
        <f>Asia!G1067+"$F;@!3sx"</f>
        <v>#VALUE!</v>
      </c>
      <c r="BC398" t="e">
        <f>Asia!H1067+"$F;@!3sy"</f>
        <v>#VALUE!</v>
      </c>
      <c r="BD398" t="e">
        <f>Asia!A1068+"$F;@!3sz"</f>
        <v>#VALUE!</v>
      </c>
      <c r="BE398" t="e">
        <f>Asia!B1068+"$F;@!3s{"</f>
        <v>#VALUE!</v>
      </c>
      <c r="BF398" t="e">
        <f>Asia!C1068+"$F;@!3s|"</f>
        <v>#VALUE!</v>
      </c>
      <c r="BG398" t="e">
        <f>Asia!D1068+"$F;@!3s}"</f>
        <v>#VALUE!</v>
      </c>
      <c r="BH398" t="e">
        <f>Asia!E1068+"$F;@!3s~"</f>
        <v>#VALUE!</v>
      </c>
      <c r="BI398" t="e">
        <f>Asia!F1068+"$F;@!3t#"</f>
        <v>#VALUE!</v>
      </c>
      <c r="BJ398" t="e">
        <f>Asia!G1068+"$F;@!3t$"</f>
        <v>#VALUE!</v>
      </c>
      <c r="BK398" t="e">
        <f>Asia!H1068+"$F;@!3t%"</f>
        <v>#VALUE!</v>
      </c>
      <c r="BL398" t="e">
        <f>Asia!A1069+"$F;@!3t&amp;"</f>
        <v>#VALUE!</v>
      </c>
      <c r="BM398" t="e">
        <f>Asia!B1069+"$F;@!3t'"</f>
        <v>#VALUE!</v>
      </c>
      <c r="BN398" t="e">
        <f>Asia!C1069+"$F;@!3t("</f>
        <v>#VALUE!</v>
      </c>
      <c r="BO398" t="e">
        <f>Asia!D1069+"$F;@!3t)"</f>
        <v>#VALUE!</v>
      </c>
      <c r="BP398" t="e">
        <f>Asia!E1069+"$F;@!3t."</f>
        <v>#VALUE!</v>
      </c>
      <c r="BQ398" t="e">
        <f>Asia!F1069+"$F;@!3t/"</f>
        <v>#VALUE!</v>
      </c>
      <c r="BR398" t="e">
        <f>Asia!G1069+"$F;@!3t0"</f>
        <v>#VALUE!</v>
      </c>
      <c r="BS398" t="e">
        <f>Asia!H1069+"$F;@!3t1"</f>
        <v>#VALUE!</v>
      </c>
      <c r="BT398" t="e">
        <f>Asia!A1070+"$F;@!3t2"</f>
        <v>#VALUE!</v>
      </c>
      <c r="BU398" t="e">
        <f>Asia!B1070+"$F;@!3t3"</f>
        <v>#VALUE!</v>
      </c>
      <c r="BV398" t="e">
        <f>Asia!C1070+"$F;@!3t4"</f>
        <v>#VALUE!</v>
      </c>
      <c r="BW398" t="e">
        <f>Asia!D1070+"$F;@!3t5"</f>
        <v>#VALUE!</v>
      </c>
      <c r="BX398" t="e">
        <f>Asia!E1070+"$F;@!3t6"</f>
        <v>#VALUE!</v>
      </c>
      <c r="BY398" t="e">
        <f>Asia!F1070+"$F;@!3t7"</f>
        <v>#VALUE!</v>
      </c>
      <c r="BZ398" t="e">
        <f>Asia!G1070+"$F;@!3t8"</f>
        <v>#VALUE!</v>
      </c>
      <c r="CA398" t="e">
        <f>Asia!H1070+"$F;@!3t9"</f>
        <v>#VALUE!</v>
      </c>
      <c r="CB398" t="e">
        <f>Asia!A1071+"$F;@!3t:"</f>
        <v>#VALUE!</v>
      </c>
      <c r="CC398" t="e">
        <f>Asia!B1071+"$F;@!3t;"</f>
        <v>#VALUE!</v>
      </c>
      <c r="CD398" t="e">
        <f>Asia!C1071+"$F;@!3t&lt;"</f>
        <v>#VALUE!</v>
      </c>
      <c r="CE398" t="e">
        <f>Asia!D1071+"$F;@!3t="</f>
        <v>#VALUE!</v>
      </c>
      <c r="CF398" t="e">
        <f>Asia!E1071+"$F;@!3t&gt;"</f>
        <v>#VALUE!</v>
      </c>
      <c r="CG398" t="e">
        <f>Asia!F1071+"$F;@!3t?"</f>
        <v>#VALUE!</v>
      </c>
      <c r="CH398" t="e">
        <f>Asia!G1071+"$F;@!3t@"</f>
        <v>#VALUE!</v>
      </c>
      <c r="CI398" t="e">
        <f>Asia!H1071+"$F;@!3tA"</f>
        <v>#VALUE!</v>
      </c>
      <c r="CJ398" t="e">
        <f>Asia!A1072+"$F;@!3tB"</f>
        <v>#VALUE!</v>
      </c>
      <c r="CK398" t="e">
        <f>Asia!B1072+"$F;@!3tC"</f>
        <v>#VALUE!</v>
      </c>
      <c r="CL398" t="e">
        <f>Asia!C1072+"$F;@!3tD"</f>
        <v>#VALUE!</v>
      </c>
      <c r="CM398" t="e">
        <f>Asia!D1072+"$F;@!3tE"</f>
        <v>#VALUE!</v>
      </c>
      <c r="CN398" t="e">
        <f>Asia!E1072+"$F;@!3tF"</f>
        <v>#VALUE!</v>
      </c>
      <c r="CO398" t="e">
        <f>Asia!F1072+"$F;@!3tG"</f>
        <v>#VALUE!</v>
      </c>
      <c r="CP398" t="e">
        <f>Asia!G1072+"$F;@!3tH"</f>
        <v>#VALUE!</v>
      </c>
      <c r="CQ398" t="e">
        <f>Asia!H1072+"$F;@!3tI"</f>
        <v>#VALUE!</v>
      </c>
      <c r="CR398" t="e">
        <f>Asia!A1073+"$F;@!3tJ"</f>
        <v>#VALUE!</v>
      </c>
      <c r="CS398" t="e">
        <f>Asia!B1073+"$F;@!3tK"</f>
        <v>#VALUE!</v>
      </c>
      <c r="CT398" t="e">
        <f>Asia!C1073+"$F;@!3tL"</f>
        <v>#VALUE!</v>
      </c>
      <c r="CU398" t="e">
        <f>Asia!D1073+"$F;@!3tM"</f>
        <v>#VALUE!</v>
      </c>
      <c r="CV398" t="e">
        <f>Asia!E1073+"$F;@!3tN"</f>
        <v>#VALUE!</v>
      </c>
      <c r="CW398" t="e">
        <f>Asia!F1073+"$F;@!3tO"</f>
        <v>#VALUE!</v>
      </c>
      <c r="CX398" t="e">
        <f>Asia!G1073+"$F;@!3tP"</f>
        <v>#VALUE!</v>
      </c>
      <c r="CY398" t="e">
        <f>Asia!H1073+"$F;@!3tQ"</f>
        <v>#VALUE!</v>
      </c>
      <c r="CZ398" t="e">
        <f>Asia!A1074+"$F;@!3tR"</f>
        <v>#VALUE!</v>
      </c>
      <c r="DA398" t="e">
        <f>Asia!B1074+"$F;@!3tS"</f>
        <v>#VALUE!</v>
      </c>
      <c r="DB398" t="e">
        <f>Asia!C1074+"$F;@!3tT"</f>
        <v>#VALUE!</v>
      </c>
      <c r="DC398" t="e">
        <f>Asia!D1074+"$F;@!3tU"</f>
        <v>#VALUE!</v>
      </c>
      <c r="DD398" t="e">
        <f>Asia!E1074+"$F;@!3tV"</f>
        <v>#VALUE!</v>
      </c>
      <c r="DE398" t="e">
        <f>Asia!F1074+"$F;@!3tW"</f>
        <v>#VALUE!</v>
      </c>
      <c r="DF398" t="e">
        <f>Asia!G1074+"$F;@!3tX"</f>
        <v>#VALUE!</v>
      </c>
      <c r="DG398" t="e">
        <f>Asia!H1074+"$F;@!3tY"</f>
        <v>#VALUE!</v>
      </c>
      <c r="DH398" t="e">
        <f>Asia!A1075+"$F;@!3tZ"</f>
        <v>#VALUE!</v>
      </c>
      <c r="DI398" t="e">
        <f>Asia!B1075+"$F;@!3t["</f>
        <v>#VALUE!</v>
      </c>
      <c r="DJ398" t="e">
        <f>Asia!C1075+"$F;@!3t\"</f>
        <v>#VALUE!</v>
      </c>
      <c r="DK398" t="e">
        <f>Asia!D1075+"$F;@!3t]"</f>
        <v>#VALUE!</v>
      </c>
      <c r="DL398" t="e">
        <f>Asia!E1075+"$F;@!3t^"</f>
        <v>#VALUE!</v>
      </c>
      <c r="DM398" t="e">
        <f>Asia!F1075+"$F;@!3t_"</f>
        <v>#VALUE!</v>
      </c>
      <c r="DN398" t="e">
        <f>Asia!G1075+"$F;@!3t`"</f>
        <v>#VALUE!</v>
      </c>
      <c r="DO398" t="e">
        <f>Asia!H1075+"$F;@!3ta"</f>
        <v>#VALUE!</v>
      </c>
      <c r="DP398" t="e">
        <f>Asia!A1076+"$F;@!3tb"</f>
        <v>#VALUE!</v>
      </c>
      <c r="DQ398" t="e">
        <f>Asia!B1076+"$F;@!3tc"</f>
        <v>#VALUE!</v>
      </c>
      <c r="DR398" t="e">
        <f>Asia!C1076+"$F;@!3td"</f>
        <v>#VALUE!</v>
      </c>
      <c r="DS398" t="e">
        <f>Asia!D1076+"$F;@!3te"</f>
        <v>#VALUE!</v>
      </c>
      <c r="DT398" t="e">
        <f>Asia!E1076+"$F;@!3tf"</f>
        <v>#VALUE!</v>
      </c>
      <c r="DU398" t="e">
        <f>Asia!F1076+"$F;@!3tg"</f>
        <v>#VALUE!</v>
      </c>
      <c r="DV398" t="e">
        <f>Asia!G1076+"$F;@!3th"</f>
        <v>#VALUE!</v>
      </c>
      <c r="DW398" t="e">
        <f>Asia!H1076+"$F;@!3ti"</f>
        <v>#VALUE!</v>
      </c>
      <c r="DX398" t="e">
        <f>Asia!A1077+"$F;@!3tj"</f>
        <v>#VALUE!</v>
      </c>
      <c r="DY398" t="e">
        <f>Asia!B1077+"$F;@!3tk"</f>
        <v>#VALUE!</v>
      </c>
      <c r="DZ398" t="e">
        <f>Asia!C1077+"$F;@!3tl"</f>
        <v>#VALUE!</v>
      </c>
      <c r="EA398" t="e">
        <f>Asia!D1077+"$F;@!3tm"</f>
        <v>#VALUE!</v>
      </c>
      <c r="EB398" t="e">
        <f>Asia!E1077+"$F;@!3tn"</f>
        <v>#VALUE!</v>
      </c>
      <c r="EC398" t="e">
        <f>Asia!F1077+"$F;@!3to"</f>
        <v>#VALUE!</v>
      </c>
      <c r="ED398" t="e">
        <f>Asia!G1077+"$F;@!3tp"</f>
        <v>#VALUE!</v>
      </c>
      <c r="EE398" t="e">
        <f>Asia!H1077+"$F;@!3tq"</f>
        <v>#VALUE!</v>
      </c>
      <c r="EF398" t="e">
        <f>Asia!A1078+"$F;@!3tr"</f>
        <v>#VALUE!</v>
      </c>
      <c r="EG398" t="e">
        <f>Asia!B1078+"$F;@!3ts"</f>
        <v>#VALUE!</v>
      </c>
      <c r="EH398" t="e">
        <f>Asia!C1078+"$F;@!3tt"</f>
        <v>#VALUE!</v>
      </c>
      <c r="EI398" t="e">
        <f>Asia!D1078+"$F;@!3tu"</f>
        <v>#VALUE!</v>
      </c>
      <c r="EJ398" t="e">
        <f>Asia!E1078+"$F;@!3tv"</f>
        <v>#VALUE!</v>
      </c>
      <c r="EK398" t="e">
        <f>Asia!F1078+"$F;@!3tw"</f>
        <v>#VALUE!</v>
      </c>
      <c r="EL398" t="e">
        <f>Asia!G1078+"$F;@!3tx"</f>
        <v>#VALUE!</v>
      </c>
      <c r="EM398" t="e">
        <f>Asia!H1078+"$F;@!3ty"</f>
        <v>#VALUE!</v>
      </c>
      <c r="EN398" t="e">
        <f>Asia!A1079+"$F;@!3tz"</f>
        <v>#VALUE!</v>
      </c>
      <c r="EO398" t="e">
        <f>Asia!B1079+"$F;@!3t{"</f>
        <v>#VALUE!</v>
      </c>
      <c r="EP398" t="e">
        <f>Asia!C1079+"$F;@!3t|"</f>
        <v>#VALUE!</v>
      </c>
      <c r="EQ398" t="e">
        <f>Asia!D1079+"$F;@!3t}"</f>
        <v>#VALUE!</v>
      </c>
      <c r="ER398" t="e">
        <f>Asia!E1079+"$F;@!3t~"</f>
        <v>#VALUE!</v>
      </c>
      <c r="ES398" t="e">
        <f>Asia!F1079+"$F;@!3u#"</f>
        <v>#VALUE!</v>
      </c>
      <c r="ET398" t="e">
        <f>Asia!G1079+"$F;@!3u$"</f>
        <v>#VALUE!</v>
      </c>
      <c r="EU398" t="e">
        <f>Asia!H1079+"$F;@!3u%"</f>
        <v>#VALUE!</v>
      </c>
      <c r="EV398" t="e">
        <f>Asia!A1080+"$F;@!3u&amp;"</f>
        <v>#VALUE!</v>
      </c>
      <c r="EW398" t="e">
        <f>Asia!B1080+"$F;@!3u'"</f>
        <v>#VALUE!</v>
      </c>
      <c r="EX398" t="e">
        <f>Asia!C1080+"$F;@!3u("</f>
        <v>#VALUE!</v>
      </c>
      <c r="EY398" t="e">
        <f>Asia!D1080+"$F;@!3u)"</f>
        <v>#VALUE!</v>
      </c>
      <c r="EZ398" t="e">
        <f>Asia!E1080+"$F;@!3u."</f>
        <v>#VALUE!</v>
      </c>
      <c r="FA398" t="e">
        <f>Asia!F1080+"$F;@!3u/"</f>
        <v>#VALUE!</v>
      </c>
      <c r="FB398" t="e">
        <f>Asia!G1080+"$F;@!3u0"</f>
        <v>#VALUE!</v>
      </c>
      <c r="FC398" t="e">
        <f>Asia!H1080+"$F;@!3u1"</f>
        <v>#VALUE!</v>
      </c>
      <c r="FD398" t="e">
        <f>Asia!A1081+"$F;@!3u2"</f>
        <v>#VALUE!</v>
      </c>
      <c r="FE398" t="e">
        <f>Asia!B1081+"$F;@!3u3"</f>
        <v>#VALUE!</v>
      </c>
      <c r="FF398" t="e">
        <f>Asia!C1081+"$F;@!3u4"</f>
        <v>#VALUE!</v>
      </c>
      <c r="FG398" t="e">
        <f>Asia!D1081+"$F;@!3u5"</f>
        <v>#VALUE!</v>
      </c>
      <c r="FH398" t="e">
        <f>Asia!E1081+"$F;@!3u6"</f>
        <v>#VALUE!</v>
      </c>
      <c r="FI398" t="e">
        <f>Asia!F1081+"$F;@!3u7"</f>
        <v>#VALUE!</v>
      </c>
      <c r="FJ398" t="e">
        <f>Asia!G1081+"$F;@!3u8"</f>
        <v>#VALUE!</v>
      </c>
      <c r="FK398" t="e">
        <f>Asia!H1081+"$F;@!3u9"</f>
        <v>#VALUE!</v>
      </c>
      <c r="FL398" t="e">
        <f>Asia!A1082+"$F;@!3u:"</f>
        <v>#VALUE!</v>
      </c>
      <c r="FM398" t="e">
        <f>Asia!B1082+"$F;@!3u;"</f>
        <v>#VALUE!</v>
      </c>
      <c r="FN398" t="e">
        <f>Asia!C1082+"$F;@!3u&lt;"</f>
        <v>#VALUE!</v>
      </c>
      <c r="FO398" t="e">
        <f>Asia!D1082+"$F;@!3u="</f>
        <v>#VALUE!</v>
      </c>
      <c r="FP398" t="e">
        <f>Asia!E1082+"$F;@!3u&gt;"</f>
        <v>#VALUE!</v>
      </c>
      <c r="FQ398" t="e">
        <f>Asia!F1082+"$F;@!3u?"</f>
        <v>#VALUE!</v>
      </c>
      <c r="FR398" t="e">
        <f>Asia!G1082+"$F;@!3u@"</f>
        <v>#VALUE!</v>
      </c>
      <c r="FS398" t="e">
        <f>Asia!H1082+"$F;@!3uA"</f>
        <v>#VALUE!</v>
      </c>
      <c r="FT398" t="e">
        <f>Asia!A1083+"$F;@!3uB"</f>
        <v>#VALUE!</v>
      </c>
      <c r="FU398" t="e">
        <f>Asia!B1083+"$F;@!3uC"</f>
        <v>#VALUE!</v>
      </c>
      <c r="FV398" t="e">
        <f>Asia!C1083+"$F;@!3uD"</f>
        <v>#VALUE!</v>
      </c>
      <c r="FW398" t="e">
        <f>Asia!D1083+"$F;@!3uE"</f>
        <v>#VALUE!</v>
      </c>
      <c r="FX398" t="e">
        <f>Asia!E1083+"$F;@!3uF"</f>
        <v>#VALUE!</v>
      </c>
      <c r="FY398" t="e">
        <f>Asia!F1083+"$F;@!3uG"</f>
        <v>#VALUE!</v>
      </c>
      <c r="FZ398" t="e">
        <f>Asia!G1083+"$F;@!3uH"</f>
        <v>#VALUE!</v>
      </c>
      <c r="GA398" t="e">
        <f>Asia!H1083+"$F;@!3uI"</f>
        <v>#VALUE!</v>
      </c>
      <c r="GB398" t="e">
        <f>Asia!A1084+"$F;@!3uJ"</f>
        <v>#VALUE!</v>
      </c>
      <c r="GC398" t="e">
        <f>Asia!B1084+"$F;@!3uK"</f>
        <v>#VALUE!</v>
      </c>
      <c r="GD398" t="e">
        <f>Asia!C1084+"$F;@!3uL"</f>
        <v>#VALUE!</v>
      </c>
      <c r="GE398" t="e">
        <f>Asia!D1084+"$F;@!3uM"</f>
        <v>#VALUE!</v>
      </c>
      <c r="GF398" t="e">
        <f>Asia!E1084+"$F;@!3uN"</f>
        <v>#VALUE!</v>
      </c>
      <c r="GG398" t="e">
        <f>Asia!F1084+"$F;@!3uO"</f>
        <v>#VALUE!</v>
      </c>
      <c r="GH398" t="e">
        <f>Asia!G1084+"$F;@!3uP"</f>
        <v>#VALUE!</v>
      </c>
      <c r="GI398" t="e">
        <f>Asia!H1084+"$F;@!3uQ"</f>
        <v>#VALUE!</v>
      </c>
      <c r="GJ398" t="e">
        <f>Asia!A1085+"$F;@!3uR"</f>
        <v>#VALUE!</v>
      </c>
      <c r="GK398" t="e">
        <f>Asia!B1085+"$F;@!3uS"</f>
        <v>#VALUE!</v>
      </c>
      <c r="GL398" t="e">
        <f>Asia!C1085+"$F;@!3uT"</f>
        <v>#VALUE!</v>
      </c>
      <c r="GM398" t="e">
        <f>Asia!D1085+"$F;@!3uU"</f>
        <v>#VALUE!</v>
      </c>
      <c r="GN398" t="e">
        <f>Asia!E1085+"$F;@!3uV"</f>
        <v>#VALUE!</v>
      </c>
      <c r="GO398" t="e">
        <f>Asia!F1085+"$F;@!3uW"</f>
        <v>#VALUE!</v>
      </c>
      <c r="GP398" t="e">
        <f>Asia!G1085+"$F;@!3uX"</f>
        <v>#VALUE!</v>
      </c>
      <c r="GQ398" t="e">
        <f>Asia!H1085+"$F;@!3uY"</f>
        <v>#VALUE!</v>
      </c>
      <c r="GR398" t="e">
        <f>Asia!A1086+"$F;@!3uZ"</f>
        <v>#VALUE!</v>
      </c>
      <c r="GS398" t="e">
        <f>Asia!B1086+"$F;@!3u["</f>
        <v>#VALUE!</v>
      </c>
      <c r="GT398" t="e">
        <f>Asia!C1086+"$F;@!3u\"</f>
        <v>#VALUE!</v>
      </c>
      <c r="GU398" t="e">
        <f>Asia!D1086+"$F;@!3u]"</f>
        <v>#VALUE!</v>
      </c>
      <c r="GV398" t="e">
        <f>Asia!E1086+"$F;@!3u^"</f>
        <v>#VALUE!</v>
      </c>
      <c r="GW398" t="e">
        <f>Asia!F1086+"$F;@!3u_"</f>
        <v>#VALUE!</v>
      </c>
      <c r="GX398" t="e">
        <f>Asia!G1086+"$F;@!3u`"</f>
        <v>#VALUE!</v>
      </c>
      <c r="GY398" t="e">
        <f>Asia!H1086+"$F;@!3ua"</f>
        <v>#VALUE!</v>
      </c>
      <c r="GZ398" t="e">
        <f>Asia!A1087+"$F;@!3ub"</f>
        <v>#VALUE!</v>
      </c>
      <c r="HA398" t="e">
        <f>Asia!B1087+"$F;@!3uc"</f>
        <v>#VALUE!</v>
      </c>
      <c r="HB398" t="e">
        <f>Asia!C1087+"$F;@!3ud"</f>
        <v>#VALUE!</v>
      </c>
      <c r="HC398" t="e">
        <f>Asia!D1087+"$F;@!3ue"</f>
        <v>#VALUE!</v>
      </c>
      <c r="HD398" t="e">
        <f>Asia!E1087+"$F;@!3uf"</f>
        <v>#VALUE!</v>
      </c>
      <c r="HE398" t="e">
        <f>Asia!F1087+"$F;@!3ug"</f>
        <v>#VALUE!</v>
      </c>
      <c r="HF398" t="e">
        <f>Asia!G1087+"$F;@!3uh"</f>
        <v>#VALUE!</v>
      </c>
      <c r="HG398" t="e">
        <f>Asia!H1087+"$F;@!3ui"</f>
        <v>#VALUE!</v>
      </c>
      <c r="HH398" t="e">
        <f>Asia!A1088+"$F;@!3uj"</f>
        <v>#VALUE!</v>
      </c>
      <c r="HI398" t="e">
        <f>Asia!B1088+"$F;@!3uk"</f>
        <v>#VALUE!</v>
      </c>
      <c r="HJ398" t="e">
        <f>Asia!C1088+"$F;@!3ul"</f>
        <v>#VALUE!</v>
      </c>
      <c r="HK398" t="e">
        <f>Asia!D1088+"$F;@!3um"</f>
        <v>#VALUE!</v>
      </c>
      <c r="HL398" t="e">
        <f>Asia!E1088+"$F;@!3un"</f>
        <v>#VALUE!</v>
      </c>
      <c r="HM398" t="e">
        <f>Asia!F1088+"$F;@!3uo"</f>
        <v>#VALUE!</v>
      </c>
      <c r="HN398" t="e">
        <f>Asia!G1088+"$F;@!3up"</f>
        <v>#VALUE!</v>
      </c>
      <c r="HO398" t="e">
        <f>Asia!H1088+"$F;@!3uq"</f>
        <v>#VALUE!</v>
      </c>
      <c r="HP398" t="e">
        <f>Asia!A1089+"$F;@!3ur"</f>
        <v>#VALUE!</v>
      </c>
      <c r="HQ398" t="e">
        <f>Asia!B1089+"$F;@!3us"</f>
        <v>#VALUE!</v>
      </c>
      <c r="HR398" t="e">
        <f>Asia!C1089+"$F;@!3ut"</f>
        <v>#VALUE!</v>
      </c>
      <c r="HS398" t="e">
        <f>Asia!D1089+"$F;@!3uu"</f>
        <v>#VALUE!</v>
      </c>
      <c r="HT398" t="e">
        <f>Asia!E1089+"$F;@!3uv"</f>
        <v>#VALUE!</v>
      </c>
      <c r="HU398" t="e">
        <f>Asia!F1089+"$F;@!3uw"</f>
        <v>#VALUE!</v>
      </c>
      <c r="HV398" t="e">
        <f>Asia!G1089+"$F;@!3ux"</f>
        <v>#VALUE!</v>
      </c>
      <c r="HW398" t="e">
        <f>Asia!H1089+"$F;@!3uy"</f>
        <v>#VALUE!</v>
      </c>
      <c r="HX398" t="e">
        <f>Asia!A1090+"$F;@!3uz"</f>
        <v>#VALUE!</v>
      </c>
      <c r="HY398" t="e">
        <f>Asia!B1090+"$F;@!3u{"</f>
        <v>#VALUE!</v>
      </c>
      <c r="HZ398" t="e">
        <f>Asia!C1090+"$F;@!3u|"</f>
        <v>#VALUE!</v>
      </c>
      <c r="IA398" t="e">
        <f>Asia!D1090+"$F;@!3u}"</f>
        <v>#VALUE!</v>
      </c>
      <c r="IB398" t="e">
        <f>Asia!E1090+"$F;@!3u~"</f>
        <v>#VALUE!</v>
      </c>
      <c r="IC398" t="e">
        <f>Asia!F1090+"$F;@!3v#"</f>
        <v>#VALUE!</v>
      </c>
      <c r="ID398" t="e">
        <f>Asia!G1090+"$F;@!3v$"</f>
        <v>#VALUE!</v>
      </c>
      <c r="IE398" t="e">
        <f>Asia!H1090+"$F;@!3v%"</f>
        <v>#VALUE!</v>
      </c>
      <c r="IF398" t="e">
        <f>Asia!A:A*"$F;@!3v&amp;"</f>
        <v>#VALUE!</v>
      </c>
      <c r="IG398" t="e">
        <f>Asia!B:B*"$F;@!3v'"</f>
        <v>#VALUE!</v>
      </c>
      <c r="IH398" t="e">
        <f>Asia!C:C*"$F;@!3v("</f>
        <v>#VALUE!</v>
      </c>
      <c r="II398" t="e">
        <f>Asia!D:D*"$F;@!3v)"</f>
        <v>#VALUE!</v>
      </c>
      <c r="IJ398" t="e">
        <f>Asia!E:E*"$F;@!3v."</f>
        <v>#VALUE!</v>
      </c>
      <c r="IK398" t="e">
        <f>Asia!F:F*"$F;@!3v/"</f>
        <v>#VALUE!</v>
      </c>
      <c r="IL398" t="e">
        <f>Asia!G:G*"$F;@!3v0"</f>
        <v>#VALUE!</v>
      </c>
      <c r="IM398" t="e">
        <f>Asia!H:H*"$F;@!3v1"</f>
        <v>#VALUE!</v>
      </c>
      <c r="IN398" t="e">
        <f>Asia!I:I*"$F;@!3v2"</f>
        <v>#VALUE!</v>
      </c>
      <c r="IO398" t="e">
        <f>Asia!J:J*"$F;@!3v3"</f>
        <v>#VALUE!</v>
      </c>
      <c r="IP398" t="e">
        <f>Asia!K:K*"$F;@!3v4"</f>
        <v>#VALUE!</v>
      </c>
      <c r="IQ398" t="e">
        <f>Asia!L:L*"$F;@!3v5"</f>
        <v>#VALUE!</v>
      </c>
      <c r="IR398" t="e">
        <f>Asia!M:M*"$F;@!3v6"</f>
        <v>#VALUE!</v>
      </c>
      <c r="IS398" t="e">
        <f>Asia!N:N*"$F;@!3v7"</f>
        <v>#VALUE!</v>
      </c>
      <c r="IT398" t="e">
        <f>Asia!O:O*"$F;@!3v8"</f>
        <v>#VALUE!</v>
      </c>
      <c r="IU398" t="e">
        <f>Asia!P:P*"$F;@!3v9"</f>
        <v>#VALUE!</v>
      </c>
      <c r="IV398" t="e">
        <f>Asia!Q:Q*"$F;@!3v:"</f>
        <v>#VALUE!</v>
      </c>
    </row>
    <row r="399" spans="6:256" x14ac:dyDescent="0.35">
      <c r="F399" t="e">
        <f>Asia!R:R*"$F;@!3v;"</f>
        <v>#VALUE!</v>
      </c>
      <c r="G399" t="e">
        <f>Asia!S:S*"$F;@!3v&lt;"</f>
        <v>#VALUE!</v>
      </c>
      <c r="H399" t="e">
        <f>Asia!T:T*"$F;@!3v="</f>
        <v>#VALUE!</v>
      </c>
      <c r="I399" t="e">
        <f>Asia!U:U*"$F;@!3v&gt;"</f>
        <v>#VALUE!</v>
      </c>
      <c r="J399" t="e">
        <f>Asia!V:V*"$F;@!3v?"</f>
        <v>#VALUE!</v>
      </c>
      <c r="K399" t="e">
        <f>Asia!W:W*"$F;@!3v@"</f>
        <v>#VALUE!</v>
      </c>
      <c r="L399" t="e">
        <f>Asia!X:X*"$F;@!3vA"</f>
        <v>#VALUE!</v>
      </c>
      <c r="M399" t="e">
        <f>Asia!Y:Y*"$F;@!3vB"</f>
        <v>#VALUE!</v>
      </c>
      <c r="N399" t="e">
        <f>Asia!Z:Z*"$F;@!3vC"</f>
        <v>#VALUE!</v>
      </c>
      <c r="O399" t="e">
        <f>Asia!AA:AA*"$F;@!3vD"</f>
        <v>#VALUE!</v>
      </c>
      <c r="P399" t="e">
        <f>Asia!AB:AB*"$F;@!3vE"</f>
        <v>#VALUE!</v>
      </c>
      <c r="Q399" t="e">
        <f>Asia!AC:AC*"$F;@!3vF"</f>
        <v>#VALUE!</v>
      </c>
      <c r="R399" t="e">
        <f>Asia!AD:AD*"$F;@!3vG"</f>
        <v>#VALUE!</v>
      </c>
      <c r="S399" t="e">
        <f>Asia!AE:AE*"$F;@!3vH"</f>
        <v>#VALUE!</v>
      </c>
      <c r="T399" t="e">
        <f>Asia!AF:AF*"$F;@!3vI"</f>
        <v>#VALUE!</v>
      </c>
      <c r="U399" t="e">
        <f>Asia!AG:AG*"$F;@!3vJ"</f>
        <v>#VALUE!</v>
      </c>
      <c r="V399" t="e">
        <f>Asia!AH:AH*"$F;@!3vK"</f>
        <v>#VALUE!</v>
      </c>
      <c r="W399" t="e">
        <f>Asia!AI:AI*"$F;@!3vL"</f>
        <v>#VALUE!</v>
      </c>
      <c r="X399" t="e">
        <f>Asia!AJ:AJ*"$F;@!3vM"</f>
        <v>#VALUE!</v>
      </c>
      <c r="Y399" t="e">
        <f>Asia!AK:AK*"$F;@!3vN"</f>
        <v>#VALUE!</v>
      </c>
      <c r="Z399" t="e">
        <f>Asia!AL:AL*"$F;@!3vO"</f>
        <v>#VALUE!</v>
      </c>
      <c r="AA399" t="e">
        <f>Asia!AM:AM*"$F;@!3vP"</f>
        <v>#VALUE!</v>
      </c>
      <c r="AB399" t="e">
        <f>Asia!AN:AN*"$F;@!3vQ"</f>
        <v>#VALUE!</v>
      </c>
      <c r="AC399" t="e">
        <f>Asia!AO:AO*"$F;@!3vR"</f>
        <v>#VALUE!</v>
      </c>
      <c r="AD399" t="e">
        <f>Asia!AP:AP*"$F;@!3vS"</f>
        <v>#VALUE!</v>
      </c>
      <c r="AE399" t="e">
        <f>Asia!AQ:AQ*"$F;@!3vT"</f>
        <v>#VALUE!</v>
      </c>
      <c r="AF399" t="e">
        <f>Asia!AR:AR*"$F;@!3vU"</f>
        <v>#VALUE!</v>
      </c>
      <c r="AG399" t="e">
        <f>Asia!AS:AS*"$F;@!3vV"</f>
        <v>#VALUE!</v>
      </c>
      <c r="AH399" t="e">
        <f>Asia!AT:AT*"$F;@!3vW"</f>
        <v>#VALUE!</v>
      </c>
      <c r="AI399" t="e">
        <f>Asia!AU:AU*"$F;@!3vX"</f>
        <v>#VALUE!</v>
      </c>
      <c r="AJ399" t="e">
        <f>Asia!AV:AV*"$F;@!3vY"</f>
        <v>#VALUE!</v>
      </c>
      <c r="AK399" t="e">
        <f>Asia!AW:AW*"$F;@!3vZ"</f>
        <v>#VALUE!</v>
      </c>
      <c r="AL399" t="e">
        <f>Asia!AX:AX*"$F;@!3v["</f>
        <v>#VALUE!</v>
      </c>
      <c r="AM399" t="e">
        <f>Asia!AY:AY*"$F;@!3v\"</f>
        <v>#VALUE!</v>
      </c>
      <c r="AN399" t="e">
        <f>Asia!AZ:AZ*"$F;@!3v]"</f>
        <v>#VALUE!</v>
      </c>
      <c r="AO399" t="e">
        <f>Asia!BA:BA*"$F;@!3v^"</f>
        <v>#VALUE!</v>
      </c>
      <c r="AP399" t="e">
        <f>Asia!BB:BB*"$F;@!3v_"</f>
        <v>#VALUE!</v>
      </c>
      <c r="AQ399" t="e">
        <f>Asia!BC:BC*"$F;@!3v`"</f>
        <v>#VALUE!</v>
      </c>
      <c r="AR399" t="e">
        <f>Asia!BD:BD*"$F;@!3va"</f>
        <v>#VALUE!</v>
      </c>
      <c r="AS399" t="e">
        <f>Asia!BE:BE*"$F;@!3vb"</f>
        <v>#VALUE!</v>
      </c>
      <c r="AT399" t="e">
        <f>Asia!BF:BF*"$F;@!3vc"</f>
        <v>#VALUE!</v>
      </c>
      <c r="AU399" t="e">
        <f>Asia!1:1-"$F;@!3vd"</f>
        <v>#VALUE!</v>
      </c>
      <c r="AV399" t="e">
        <f>Asia!2:2-"$F;@!3ve"</f>
        <v>#VALUE!</v>
      </c>
      <c r="AW399" t="e">
        <f>Asia!3:3-"$F;@!3vf"</f>
        <v>#VALUE!</v>
      </c>
      <c r="AX399" t="e">
        <f>Asia!4:4-"$F;@!3vg"</f>
        <v>#VALUE!</v>
      </c>
      <c r="AY399" t="e">
        <f>Asia!5:5-"$F;@!3vh"</f>
        <v>#VALUE!</v>
      </c>
      <c r="AZ399" t="e">
        <f>Asia!6:6-"$F;@!3vi"</f>
        <v>#VALUE!</v>
      </c>
      <c r="BA399" t="e">
        <f>Asia!7:7-"$F;@!3vj"</f>
        <v>#VALUE!</v>
      </c>
      <c r="BB399" t="e">
        <f>Asia!8:8-"$F;@!3vk"</f>
        <v>#VALUE!</v>
      </c>
      <c r="BC399" t="e">
        <f>Asia!9:9-"$F;@!3vl"</f>
        <v>#VALUE!</v>
      </c>
      <c r="BD399" t="e">
        <f>Asia!10:10-"$F;@!3vm"</f>
        <v>#VALUE!</v>
      </c>
      <c r="BE399" t="e">
        <f>Asia!11:11-"$F;@!3vn"</f>
        <v>#VALUE!</v>
      </c>
      <c r="BF399" t="e">
        <f>Asia!12:12-"$F;@!3vo"</f>
        <v>#VALUE!</v>
      </c>
      <c r="BG399" t="e">
        <f>Asia!13:13-"$F;@!3vp"</f>
        <v>#VALUE!</v>
      </c>
      <c r="BH399" t="e">
        <f>Asia!14:14-"$F;@!3vq"</f>
        <v>#VALUE!</v>
      </c>
      <c r="BI399" t="e">
        <f>Asia!15:15-"$F;@!3vr"</f>
        <v>#VALUE!</v>
      </c>
      <c r="BJ399" t="e">
        <f>Asia!16:16-"$F;@!3vs"</f>
        <v>#VALUE!</v>
      </c>
      <c r="BK399" t="e">
        <f>Asia!17:17-"$F;@!3vt"</f>
        <v>#VALUE!</v>
      </c>
      <c r="BL399" t="e">
        <f>Asia!18:18-"$F;@!3vu"</f>
        <v>#VALUE!</v>
      </c>
      <c r="BM399" t="e">
        <f>Asia!19:19-"$F;@!3vv"</f>
        <v>#VALUE!</v>
      </c>
      <c r="BN399" t="e">
        <f>Asia!20:20-"$F;@!3vw"</f>
        <v>#VALUE!</v>
      </c>
      <c r="BO399" t="e">
        <f>Asia!21:21-"$F;@!3vx"</f>
        <v>#VALUE!</v>
      </c>
      <c r="BP399" t="e">
        <f>Asia!22:22-"$F;@!3vy"</f>
        <v>#VALUE!</v>
      </c>
      <c r="BQ399" t="e">
        <f>Asia!23:23-"$F;@!3vz"</f>
        <v>#VALUE!</v>
      </c>
      <c r="BR399" t="e">
        <f>Asia!24:24-"$F;@!3v{"</f>
        <v>#VALUE!</v>
      </c>
      <c r="BS399" t="e">
        <f>Asia!25:25-"$F;@!3v|"</f>
        <v>#VALUE!</v>
      </c>
      <c r="BT399" t="e">
        <f>Asia!26:26-"$F;@!3v}"</f>
        <v>#VALUE!</v>
      </c>
      <c r="BU399" t="e">
        <f>Asia!27:27-"$F;@!3v~"</f>
        <v>#VALUE!</v>
      </c>
      <c r="BV399" t="e">
        <f>Asia!28:28-"$F;@!3w#"</f>
        <v>#VALUE!</v>
      </c>
      <c r="BW399" t="e">
        <f>Asia!29:29-"$F;@!3w$"</f>
        <v>#VALUE!</v>
      </c>
      <c r="BX399" t="e">
        <f>Asia!30:30-"$F;@!3w%"</f>
        <v>#VALUE!</v>
      </c>
      <c r="BY399" t="e">
        <f>Asia!31:31-"$F;@!3w&amp;"</f>
        <v>#VALUE!</v>
      </c>
      <c r="BZ399" t="e">
        <f>Asia!32:32-"$F;@!3w'"</f>
        <v>#VALUE!</v>
      </c>
      <c r="CA399" t="e">
        <f>Asia!33:33-"$F;@!3w("</f>
        <v>#VALUE!</v>
      </c>
      <c r="CB399" t="e">
        <f>Asia!34:34-"$F;@!3w)"</f>
        <v>#VALUE!</v>
      </c>
      <c r="CC399" t="e">
        <f>Asia!35:35-"$F;@!3w."</f>
        <v>#VALUE!</v>
      </c>
      <c r="CD399" t="e">
        <f>Asia!36:36-"$F;@!3w/"</f>
        <v>#VALUE!</v>
      </c>
      <c r="CE399" t="e">
        <f>Asia!37:37-"$F;@!3w0"</f>
        <v>#VALUE!</v>
      </c>
      <c r="CF399" t="e">
        <f>Asia!38:38-"$F;@!3w1"</f>
        <v>#VALUE!</v>
      </c>
      <c r="CG399" t="e">
        <f>Asia!39:39-"$F;@!3w2"</f>
        <v>#VALUE!</v>
      </c>
      <c r="CH399" t="e">
        <f>Asia!40:40-"$F;@!3w3"</f>
        <v>#VALUE!</v>
      </c>
      <c r="CI399" t="e">
        <f>Asia!41:41-"$F;@!3w4"</f>
        <v>#VALUE!</v>
      </c>
      <c r="CJ399" t="e">
        <f>Asia!42:42-"$F;@!3w5"</f>
        <v>#VALUE!</v>
      </c>
      <c r="CK399" t="e">
        <f>Asia!43:43-"$F;@!3w6"</f>
        <v>#VALUE!</v>
      </c>
      <c r="CL399" t="e">
        <f>Asia!44:44-"$F;@!3w7"</f>
        <v>#VALUE!</v>
      </c>
      <c r="CM399" t="e">
        <f>Asia!45:45-"$F;@!3w8"</f>
        <v>#VALUE!</v>
      </c>
      <c r="CN399" t="e">
        <f>Asia!46:46-"$F;@!3w9"</f>
        <v>#VALUE!</v>
      </c>
      <c r="CO399" t="e">
        <f>Asia!47:47-"$F;@!3w:"</f>
        <v>#VALUE!</v>
      </c>
      <c r="CP399" t="e">
        <f>Asia!48:48-"$F;@!3w;"</f>
        <v>#VALUE!</v>
      </c>
      <c r="CQ399" t="e">
        <f>Asia!49:49-"$F;@!3w&lt;"</f>
        <v>#VALUE!</v>
      </c>
      <c r="CR399" t="e">
        <f>Asia!50:50-"$F;@!3w="</f>
        <v>#VALUE!</v>
      </c>
      <c r="CS399" t="e">
        <f>Asia!51:51-"$F;@!3w&gt;"</f>
        <v>#VALUE!</v>
      </c>
      <c r="CT399" t="e">
        <f>Asia!52:52-"$F;@!3w?"</f>
        <v>#VALUE!</v>
      </c>
      <c r="CU399" t="e">
        <f>Asia!53:53-"$F;@!3w@"</f>
        <v>#VALUE!</v>
      </c>
      <c r="CV399" t="e">
        <f>Asia!54:54-"$F;@!3wA"</f>
        <v>#VALUE!</v>
      </c>
      <c r="CW399" t="e">
        <f>Asia!55:55-"$F;@!3wB"</f>
        <v>#VALUE!</v>
      </c>
      <c r="CX399" t="e">
        <f>Asia!56:56-"$F;@!3wC"</f>
        <v>#VALUE!</v>
      </c>
      <c r="CY399" t="e">
        <f>Asia!57:57-"$F;@!3wD"</f>
        <v>#VALUE!</v>
      </c>
      <c r="CZ399" t="e">
        <f>Asia!58:58-"$F;@!3wE"</f>
        <v>#VALUE!</v>
      </c>
      <c r="DA399" t="e">
        <f>Asia!59:59-"$F;@!3wF"</f>
        <v>#VALUE!</v>
      </c>
      <c r="DB399" t="e">
        <f>Asia!60:60-"$F;@!3wG"</f>
        <v>#VALUE!</v>
      </c>
      <c r="DC399" t="e">
        <f>Asia!61:61-"$F;@!3wH"</f>
        <v>#VALUE!</v>
      </c>
      <c r="DD399" t="e">
        <f>Asia!62:62-"$F;@!3wI"</f>
        <v>#VALUE!</v>
      </c>
      <c r="DE399" t="e">
        <f>Asia!63:63-"$F;@!3wJ"</f>
        <v>#VALUE!</v>
      </c>
      <c r="DF399" t="e">
        <f>Asia!64:64-"$F;@!3wK"</f>
        <v>#VALUE!</v>
      </c>
      <c r="DG399" t="e">
        <f>Asia!65:65-"$F;@!3wL"</f>
        <v>#VALUE!</v>
      </c>
      <c r="DH399" t="e">
        <f>Asia!66:66-"$F;@!3wM"</f>
        <v>#VALUE!</v>
      </c>
      <c r="DI399" t="e">
        <f>Asia!67:67-"$F;@!3wN"</f>
        <v>#VALUE!</v>
      </c>
      <c r="DJ399" t="e">
        <f>Asia!68:68-"$F;@!3wO"</f>
        <v>#VALUE!</v>
      </c>
      <c r="DK399" t="e">
        <f>Asia!69:69-"$F;@!3wP"</f>
        <v>#VALUE!</v>
      </c>
      <c r="DL399" t="e">
        <f>Asia!70:70-"$F;@!3wQ"</f>
        <v>#VALUE!</v>
      </c>
      <c r="DM399" t="e">
        <f>Asia!71:71-"$F;@!3wR"</f>
        <v>#VALUE!</v>
      </c>
      <c r="DN399" t="e">
        <f>Asia!72:72-"$F;@!3wS"</f>
        <v>#VALUE!</v>
      </c>
      <c r="DO399" t="e">
        <f>Asia!73:73-"$F;@!3wT"</f>
        <v>#VALUE!</v>
      </c>
      <c r="DP399" t="e">
        <f>Asia!74:74-"$F;@!3wU"</f>
        <v>#VALUE!</v>
      </c>
      <c r="DQ399" t="e">
        <f>Asia!75:75-"$F;@!3wV"</f>
        <v>#VALUE!</v>
      </c>
      <c r="DR399" t="e">
        <f>Asia!76:76-"$F;@!3wW"</f>
        <v>#VALUE!</v>
      </c>
      <c r="DS399" t="e">
        <f>Asia!77:77-"$F;@!3wX"</f>
        <v>#VALUE!</v>
      </c>
      <c r="DT399" t="e">
        <f>Asia!78:78-"$F;@!3wY"</f>
        <v>#VALUE!</v>
      </c>
      <c r="DU399" t="e">
        <f>Asia!79:79-"$F;@!3wZ"</f>
        <v>#VALUE!</v>
      </c>
      <c r="DV399" t="e">
        <f>Asia!80:80-"$F;@!3w["</f>
        <v>#VALUE!</v>
      </c>
      <c r="DW399" t="e">
        <f>Asia!81:81-"$F;@!3w\"</f>
        <v>#VALUE!</v>
      </c>
      <c r="DX399" t="e">
        <f>Asia!82:82-"$F;@!3w]"</f>
        <v>#VALUE!</v>
      </c>
      <c r="DY399" t="e">
        <f>Asia!83:83-"$F;@!3w^"</f>
        <v>#VALUE!</v>
      </c>
      <c r="DZ399" t="e">
        <f>Asia!84:84-"$F;@!3w_"</f>
        <v>#VALUE!</v>
      </c>
      <c r="EA399" t="e">
        <f>Asia!85:85-"$F;@!3w`"</f>
        <v>#VALUE!</v>
      </c>
      <c r="EB399" t="e">
        <f>Asia!86:86-"$F;@!3wa"</f>
        <v>#VALUE!</v>
      </c>
      <c r="EC399" t="e">
        <f>Asia!87:87-"$F;@!3wb"</f>
        <v>#VALUE!</v>
      </c>
      <c r="ED399" t="e">
        <f>Asia!88:88-"$F;@!3wc"</f>
        <v>#VALUE!</v>
      </c>
      <c r="EE399" t="e">
        <f>Asia!89:89-"$F;@!3wd"</f>
        <v>#VALUE!</v>
      </c>
      <c r="EF399" t="e">
        <f>Asia!90:90-"$F;@!3we"</f>
        <v>#VALUE!</v>
      </c>
      <c r="EG399" t="e">
        <f>Asia!91:91-"$F;@!3wf"</f>
        <v>#VALUE!</v>
      </c>
      <c r="EH399" t="e">
        <f>Asia!92:92-"$F;@!3wg"</f>
        <v>#VALUE!</v>
      </c>
      <c r="EI399" t="e">
        <f>Asia!93:93-"$F;@!3wh"</f>
        <v>#VALUE!</v>
      </c>
      <c r="EJ399" t="e">
        <f>Asia!94:94-"$F;@!3wi"</f>
        <v>#VALUE!</v>
      </c>
      <c r="EK399" t="e">
        <f>Asia!95:95-"$F;@!3wj"</f>
        <v>#VALUE!</v>
      </c>
      <c r="EL399" t="e">
        <f>Asia!96:96-"$F;@!3wk"</f>
        <v>#VALUE!</v>
      </c>
      <c r="EM399" t="e">
        <f>Asia!97:97-"$F;@!3wl"</f>
        <v>#VALUE!</v>
      </c>
      <c r="EN399" t="e">
        <f>Asia!98:98-"$F;@!3wm"</f>
        <v>#VALUE!</v>
      </c>
      <c r="EO399" t="e">
        <f>Asia!99:99-"$F;@!3wn"</f>
        <v>#VALUE!</v>
      </c>
      <c r="EP399" t="e">
        <f>Asia!100:100-"$F;@!3wo"</f>
        <v>#VALUE!</v>
      </c>
      <c r="EQ399" t="e">
        <f>Asia!101:101-"$F;@!3wp"</f>
        <v>#VALUE!</v>
      </c>
      <c r="ER399" t="e">
        <f>Asia!102:102-"$F;@!3wq"</f>
        <v>#VALUE!</v>
      </c>
      <c r="ES399" t="e">
        <f>Asia!103:103-"$F;@!3wr"</f>
        <v>#VALUE!</v>
      </c>
      <c r="ET399" t="e">
        <f>Asia!104:104-"$F;@!3ws"</f>
        <v>#VALUE!</v>
      </c>
      <c r="EU399" t="e">
        <f>Asia!105:105-"$F;@!3wt"</f>
        <v>#VALUE!</v>
      </c>
      <c r="EV399" t="e">
        <f>Asia!106:106-"$F;@!3wu"</f>
        <v>#VALUE!</v>
      </c>
      <c r="EW399" t="e">
        <f>Asia!107:107-"$F;@!3wv"</f>
        <v>#VALUE!</v>
      </c>
      <c r="EX399" t="e">
        <f>Asia!108:108-"$F;@!3ww"</f>
        <v>#VALUE!</v>
      </c>
      <c r="EY399" t="e">
        <f>Asia!109:109-"$F;@!3wx"</f>
        <v>#VALUE!</v>
      </c>
      <c r="EZ399" t="e">
        <f>Asia!110:110-"$F;@!3wy"</f>
        <v>#VALUE!</v>
      </c>
      <c r="FA399" t="e">
        <f>Asia!111:111-"$F;@!3wz"</f>
        <v>#VALUE!</v>
      </c>
      <c r="FB399" t="e">
        <f>Asia!112:112-"$F;@!3w{"</f>
        <v>#VALUE!</v>
      </c>
      <c r="FC399" t="e">
        <f>Asia!113:113-"$F;@!3w|"</f>
        <v>#VALUE!</v>
      </c>
      <c r="FD399" t="e">
        <f>Asia!114:114-"$F;@!3w}"</f>
        <v>#VALUE!</v>
      </c>
      <c r="FE399" t="e">
        <f>Asia!115:115-"$F;@!3w~"</f>
        <v>#VALUE!</v>
      </c>
      <c r="FF399" t="e">
        <f>Asia!116:116-"$F;@!3x#"</f>
        <v>#VALUE!</v>
      </c>
      <c r="FG399" t="e">
        <f>Asia!117:117-"$F;@!3x$"</f>
        <v>#VALUE!</v>
      </c>
      <c r="FH399" t="e">
        <f>Asia!118:118-"$F;@!3x%"</f>
        <v>#VALUE!</v>
      </c>
      <c r="FI399" t="e">
        <f>Asia!119:119-"$F;@!3x&amp;"</f>
        <v>#VALUE!</v>
      </c>
      <c r="FJ399" t="e">
        <f>Asia!120:120-"$F;@!3x'"</f>
        <v>#VALUE!</v>
      </c>
      <c r="FK399" t="e">
        <f>Asia!121:121-"$F;@!3x("</f>
        <v>#VALUE!</v>
      </c>
      <c r="FL399" t="e">
        <f>Asia!122:122-"$F;@!3x)"</f>
        <v>#VALUE!</v>
      </c>
      <c r="FM399" t="e">
        <f>Asia!123:123-"$F;@!3x."</f>
        <v>#VALUE!</v>
      </c>
      <c r="FN399" t="e">
        <f>Asia!124:124-"$F;@!3x/"</f>
        <v>#VALUE!</v>
      </c>
      <c r="FO399" t="e">
        <f>Asia!125:125-"$F;@!3x0"</f>
        <v>#VALUE!</v>
      </c>
      <c r="FP399" t="e">
        <f>Asia!126:126-"$F;@!3x1"</f>
        <v>#VALUE!</v>
      </c>
      <c r="FQ399" t="e">
        <f>Asia!127:127-"$F;@!3x2"</f>
        <v>#VALUE!</v>
      </c>
      <c r="FR399" t="e">
        <f>Asia!128:128-"$F;@!3x3"</f>
        <v>#VALUE!</v>
      </c>
      <c r="FS399" t="e">
        <f>Asia!129:129-"$F;@!3x4"</f>
        <v>#VALUE!</v>
      </c>
      <c r="FT399" t="e">
        <f>Asia!130:130-"$F;@!3x5"</f>
        <v>#VALUE!</v>
      </c>
      <c r="FU399" t="e">
        <f>Asia!131:131-"$F;@!3x6"</f>
        <v>#VALUE!</v>
      </c>
      <c r="FV399" t="e">
        <f>Asia!132:132-"$F;@!3x7"</f>
        <v>#VALUE!</v>
      </c>
      <c r="FW399" t="e">
        <f>Asia!133:133-"$F;@!3x8"</f>
        <v>#VALUE!</v>
      </c>
      <c r="FX399" t="e">
        <f>Asia!134:134-"$F;@!3x9"</f>
        <v>#VALUE!</v>
      </c>
      <c r="FY399" t="e">
        <f>Asia!135:135-"$F;@!3x:"</f>
        <v>#VALUE!</v>
      </c>
      <c r="FZ399" t="e">
        <f>Asia!136:136-"$F;@!3x;"</f>
        <v>#VALUE!</v>
      </c>
      <c r="GA399" t="e">
        <f>Asia!137:137-"$F;@!3x&lt;"</f>
        <v>#VALUE!</v>
      </c>
      <c r="GB399" t="e">
        <f>Asia!138:138-"$F;@!3x="</f>
        <v>#VALUE!</v>
      </c>
      <c r="GC399" t="e">
        <f>Asia!139:139-"$F;@!3x&gt;"</f>
        <v>#VALUE!</v>
      </c>
      <c r="GD399" t="e">
        <f>Asia!140:140-"$F;@!3x?"</f>
        <v>#VALUE!</v>
      </c>
      <c r="GE399" t="e">
        <f>Asia!141:141-"$F;@!3x@"</f>
        <v>#VALUE!</v>
      </c>
      <c r="GF399" t="e">
        <f>Asia!142:142-"$F;@!3xA"</f>
        <v>#VALUE!</v>
      </c>
      <c r="GG399" t="e">
        <f>Asia!143:143-"$F;@!3xB"</f>
        <v>#VALUE!</v>
      </c>
      <c r="GH399" t="e">
        <f>Asia!144:144-"$F;@!3xC"</f>
        <v>#VALUE!</v>
      </c>
      <c r="GI399" t="e">
        <f>Asia!145:145-"$F;@!3xD"</f>
        <v>#VALUE!</v>
      </c>
      <c r="GJ399" t="e">
        <f>Asia!146:146-"$F;@!3xE"</f>
        <v>#VALUE!</v>
      </c>
      <c r="GK399" t="e">
        <f>Asia!147:147-"$F;@!3xF"</f>
        <v>#VALUE!</v>
      </c>
      <c r="GL399" t="e">
        <f>Asia!148:148-"$F;@!3xG"</f>
        <v>#VALUE!</v>
      </c>
      <c r="GM399" t="e">
        <f>Asia!149:149-"$F;@!3xH"</f>
        <v>#VALUE!</v>
      </c>
      <c r="GN399" t="e">
        <f>Asia!150:150-"$F;@!3xI"</f>
        <v>#VALUE!</v>
      </c>
      <c r="GO399" t="e">
        <f>Asia!151:151-"$F;@!3xJ"</f>
        <v>#VALUE!</v>
      </c>
      <c r="GP399" t="e">
        <f>Asia!152:152-"$F;@!3xK"</f>
        <v>#VALUE!</v>
      </c>
      <c r="GQ399" t="e">
        <f>Asia!153:153-"$F;@!3xL"</f>
        <v>#VALUE!</v>
      </c>
      <c r="GR399" t="e">
        <f>Asia!154:154-"$F;@!3xM"</f>
        <v>#VALUE!</v>
      </c>
      <c r="GS399" t="e">
        <f>Asia!155:155-"$F;@!3xN"</f>
        <v>#VALUE!</v>
      </c>
      <c r="GT399" t="e">
        <f>Asia!156:156-"$F;@!3xO"</f>
        <v>#VALUE!</v>
      </c>
      <c r="GU399" t="e">
        <f>Asia!157:157-"$F;@!3xP"</f>
        <v>#VALUE!</v>
      </c>
      <c r="GV399" t="e">
        <f>Asia!158:158-"$F;@!3xQ"</f>
        <v>#VALUE!</v>
      </c>
      <c r="GW399" t="e">
        <f>Asia!159:159-"$F;@!3xR"</f>
        <v>#VALUE!</v>
      </c>
      <c r="GX399" t="e">
        <f>Asia!160:160-"$F;@!3xS"</f>
        <v>#VALUE!</v>
      </c>
      <c r="GY399" t="e">
        <f>Asia!161:161-"$F;@!3xT"</f>
        <v>#VALUE!</v>
      </c>
      <c r="GZ399" t="e">
        <f>Asia!162:162-"$F;@!3xU"</f>
        <v>#VALUE!</v>
      </c>
      <c r="HA399" t="e">
        <f>Asia!163:163-"$F;@!3xV"</f>
        <v>#VALUE!</v>
      </c>
      <c r="HB399" t="e">
        <f>Asia!164:164-"$F;@!3xW"</f>
        <v>#VALUE!</v>
      </c>
      <c r="HC399" t="e">
        <f>Asia!165:165-"$F;@!3xX"</f>
        <v>#VALUE!</v>
      </c>
      <c r="HD399" t="e">
        <f>Asia!166:166-"$F;@!3xY"</f>
        <v>#VALUE!</v>
      </c>
      <c r="HE399" t="e">
        <f>Asia!167:167-"$F;@!3xZ"</f>
        <v>#VALUE!</v>
      </c>
      <c r="HF399" t="e">
        <f>Asia!168:168-"$F;@!3x["</f>
        <v>#VALUE!</v>
      </c>
      <c r="HG399" t="e">
        <f>Asia!169:169-"$F;@!3x\"</f>
        <v>#VALUE!</v>
      </c>
      <c r="HH399" t="e">
        <f>Asia!170:170-"$F;@!3x]"</f>
        <v>#VALUE!</v>
      </c>
      <c r="HI399" t="e">
        <f>Asia!171:171-"$F;@!3x^"</f>
        <v>#VALUE!</v>
      </c>
      <c r="HJ399" t="e">
        <f>Asia!172:172-"$F;@!3x_"</f>
        <v>#VALUE!</v>
      </c>
      <c r="HK399" t="e">
        <f>Asia!173:173-"$F;@!3x`"</f>
        <v>#VALUE!</v>
      </c>
      <c r="HL399" t="e">
        <f>Asia!174:174-"$F;@!3xa"</f>
        <v>#VALUE!</v>
      </c>
      <c r="HM399" t="e">
        <f>Asia!175:175-"$F;@!3xb"</f>
        <v>#VALUE!</v>
      </c>
      <c r="HN399" t="e">
        <f>Asia!176:176-"$F;@!3xc"</f>
        <v>#VALUE!</v>
      </c>
      <c r="HO399" t="e">
        <f>Asia!177:177-"$F;@!3xd"</f>
        <v>#VALUE!</v>
      </c>
      <c r="HP399" t="e">
        <f>Asia!178:178-"$F;@!3xe"</f>
        <v>#VALUE!</v>
      </c>
      <c r="HQ399" t="e">
        <f>Asia!179:179-"$F;@!3xf"</f>
        <v>#VALUE!</v>
      </c>
      <c r="HR399" t="e">
        <f>Asia!180:180-"$F;@!3xg"</f>
        <v>#VALUE!</v>
      </c>
      <c r="HS399" t="e">
        <f>Asia!181:181-"$F;@!3xh"</f>
        <v>#VALUE!</v>
      </c>
      <c r="HT399" t="e">
        <f>Asia!182:182-"$F;@!3xi"</f>
        <v>#VALUE!</v>
      </c>
      <c r="HU399" t="e">
        <f>Asia!183:183-"$F;@!3xj"</f>
        <v>#VALUE!</v>
      </c>
      <c r="HV399" t="e">
        <f>Asia!184:184-"$F;@!3xk"</f>
        <v>#VALUE!</v>
      </c>
      <c r="HW399" t="e">
        <f>Asia!185:185-"$F;@!3xl"</f>
        <v>#VALUE!</v>
      </c>
      <c r="HX399" t="e">
        <f>Asia!186:186-"$F;@!3xm"</f>
        <v>#VALUE!</v>
      </c>
      <c r="HY399" t="e">
        <f>Asia!187:187-"$F;@!3xn"</f>
        <v>#VALUE!</v>
      </c>
      <c r="HZ399" t="e">
        <f>Asia!188:188-"$F;@!3xo"</f>
        <v>#VALUE!</v>
      </c>
      <c r="IA399" t="e">
        <f>Asia!189:189-"$F;@!3xp"</f>
        <v>#VALUE!</v>
      </c>
      <c r="IB399" t="e">
        <f>Asia!190:190-"$F;@!3xq"</f>
        <v>#VALUE!</v>
      </c>
      <c r="IC399" t="e">
        <f>Asia!191:191-"$F;@!3xr"</f>
        <v>#VALUE!</v>
      </c>
      <c r="ID399" t="e">
        <f>Asia!192:192-"$F;@!3xs"</f>
        <v>#VALUE!</v>
      </c>
      <c r="IE399" t="e">
        <f>Asia!193:193-"$F;@!3xt"</f>
        <v>#VALUE!</v>
      </c>
      <c r="IF399" t="e">
        <f>Asia!194:194-"$F;@!3xu"</f>
        <v>#VALUE!</v>
      </c>
      <c r="IG399" t="e">
        <f>Asia!195:195-"$F;@!3xv"</f>
        <v>#VALUE!</v>
      </c>
      <c r="IH399" t="e">
        <f>Asia!196:196-"$F;@!3xw"</f>
        <v>#VALUE!</v>
      </c>
      <c r="II399" t="e">
        <f>Asia!197:197-"$F;@!3xx"</f>
        <v>#VALUE!</v>
      </c>
      <c r="IJ399" t="e">
        <f>Asia!198:198-"$F;@!3xy"</f>
        <v>#VALUE!</v>
      </c>
      <c r="IK399" t="e">
        <f>Asia!199:199-"$F;@!3xz"</f>
        <v>#VALUE!</v>
      </c>
      <c r="IL399" t="e">
        <f>Asia!200:200-"$F;@!3x{"</f>
        <v>#VALUE!</v>
      </c>
      <c r="IM399" t="e">
        <f>Asia!201:201-"$F;@!3x|"</f>
        <v>#VALUE!</v>
      </c>
      <c r="IN399" t="e">
        <f>Asia!202:202-"$F;@!3x}"</f>
        <v>#VALUE!</v>
      </c>
      <c r="IO399" t="e">
        <f>Asia!203:203-"$F;@!3x~"</f>
        <v>#VALUE!</v>
      </c>
      <c r="IP399" t="e">
        <f>Asia!204:204-"$F;@!3y#"</f>
        <v>#VALUE!</v>
      </c>
      <c r="IQ399" t="e">
        <f>Asia!205:205-"$F;@!3y$"</f>
        <v>#VALUE!</v>
      </c>
      <c r="IR399" t="e">
        <f>Asia!206:206-"$F;@!3y%"</f>
        <v>#VALUE!</v>
      </c>
      <c r="IS399" t="e">
        <f>Asia!207:207-"$F;@!3y&amp;"</f>
        <v>#VALUE!</v>
      </c>
      <c r="IT399" t="e">
        <f>Asia!208:208-"$F;@!3y'"</f>
        <v>#VALUE!</v>
      </c>
      <c r="IU399" t="e">
        <f>Asia!209:209-"$F;@!3y("</f>
        <v>#VALUE!</v>
      </c>
      <c r="IV399" t="e">
        <f>Asia!210:210-"$F;@!3y)"</f>
        <v>#VALUE!</v>
      </c>
    </row>
    <row r="400" spans="6:256" x14ac:dyDescent="0.35">
      <c r="F400" t="e">
        <f>Asia!211:211-"$F;@!3y."</f>
        <v>#VALUE!</v>
      </c>
      <c r="G400" t="e">
        <f>Asia!212:212-"$F;@!3y/"</f>
        <v>#VALUE!</v>
      </c>
      <c r="H400" t="e">
        <f>Asia!213:213-"$F;@!3y0"</f>
        <v>#VALUE!</v>
      </c>
      <c r="I400" t="e">
        <f>Asia!214:214-"$F;@!3y1"</f>
        <v>#VALUE!</v>
      </c>
      <c r="J400" t="e">
        <f>Asia!215:215-"$F;@!3y2"</f>
        <v>#VALUE!</v>
      </c>
      <c r="K400" t="e">
        <f>Asia!216:216-"$F;@!3y3"</f>
        <v>#VALUE!</v>
      </c>
      <c r="L400" t="e">
        <f>Asia!217:217-"$F;@!3y4"</f>
        <v>#VALUE!</v>
      </c>
      <c r="M400" t="e">
        <f>Asia!218:218-"$F;@!3y5"</f>
        <v>#VALUE!</v>
      </c>
      <c r="N400" t="e">
        <f>Asia!219:219-"$F;@!3y6"</f>
        <v>#VALUE!</v>
      </c>
      <c r="O400" t="e">
        <f>Asia!220:220-"$F;@!3y7"</f>
        <v>#VALUE!</v>
      </c>
      <c r="P400" t="e">
        <f>Asia!221:221-"$F;@!3y8"</f>
        <v>#VALUE!</v>
      </c>
      <c r="Q400" t="e">
        <f>Asia!222:222-"$F;@!3y9"</f>
        <v>#VALUE!</v>
      </c>
      <c r="R400" t="e">
        <f>Asia!223:223-"$F;@!3y:"</f>
        <v>#VALUE!</v>
      </c>
      <c r="S400" t="e">
        <f>Asia!224:224-"$F;@!3y;"</f>
        <v>#VALUE!</v>
      </c>
      <c r="T400" t="e">
        <f>Asia!225:225-"$F;@!3y&lt;"</f>
        <v>#VALUE!</v>
      </c>
      <c r="U400" t="e">
        <f>Asia!226:226-"$F;@!3y="</f>
        <v>#VALUE!</v>
      </c>
      <c r="V400" t="e">
        <f>Asia!227:227-"$F;@!3y&gt;"</f>
        <v>#VALUE!</v>
      </c>
      <c r="W400" t="e">
        <f>Asia!228:228-"$F;@!3y?"</f>
        <v>#VALUE!</v>
      </c>
      <c r="X400" t="e">
        <f>Asia!229:229-"$F;@!3y@"</f>
        <v>#VALUE!</v>
      </c>
      <c r="Y400" t="e">
        <f>Asia!230:230-"$F;@!3yA"</f>
        <v>#VALUE!</v>
      </c>
      <c r="Z400" t="e">
        <f>Asia!231:231-"$F;@!3yB"</f>
        <v>#VALUE!</v>
      </c>
      <c r="AA400" t="e">
        <f>Asia!232:232-"$F;@!3yC"</f>
        <v>#VALUE!</v>
      </c>
      <c r="AB400" t="e">
        <f>Asia!233:233-"$F;@!3yD"</f>
        <v>#VALUE!</v>
      </c>
      <c r="AC400" t="e">
        <f>Asia!234:234-"$F;@!3yE"</f>
        <v>#VALUE!</v>
      </c>
      <c r="AD400" t="e">
        <f>Asia!235:235-"$F;@!3yF"</f>
        <v>#VALUE!</v>
      </c>
      <c r="AE400" t="e">
        <f>Asia!236:236-"$F;@!3yG"</f>
        <v>#VALUE!</v>
      </c>
      <c r="AF400" t="e">
        <f>Asia!237:237-"$F;@!3yH"</f>
        <v>#VALUE!</v>
      </c>
      <c r="AG400" t="e">
        <f>Asia!238:238-"$F;@!3yI"</f>
        <v>#VALUE!</v>
      </c>
      <c r="AH400" t="e">
        <f>Asia!239:239-"$F;@!3yJ"</f>
        <v>#VALUE!</v>
      </c>
      <c r="AI400" t="e">
        <f>Asia!240:240-"$F;@!3yK"</f>
        <v>#VALUE!</v>
      </c>
      <c r="AJ400" t="e">
        <f>Asia!241:241-"$F;@!3yL"</f>
        <v>#VALUE!</v>
      </c>
      <c r="AK400" t="e">
        <f>Asia!242:242-"$F;@!3yM"</f>
        <v>#VALUE!</v>
      </c>
      <c r="AL400" t="e">
        <f>Asia!243:243-"$F;@!3yN"</f>
        <v>#VALUE!</v>
      </c>
      <c r="AM400" t="e">
        <f>Asia!244:244-"$F;@!3yO"</f>
        <v>#VALUE!</v>
      </c>
      <c r="AN400" t="e">
        <f>Asia!245:245-"$F;@!3yP"</f>
        <v>#VALUE!</v>
      </c>
      <c r="AO400" t="e">
        <f>Asia!246:246-"$F;@!3yQ"</f>
        <v>#VALUE!</v>
      </c>
      <c r="AP400" t="e">
        <f>Asia!247:247-"$F;@!3yR"</f>
        <v>#VALUE!</v>
      </c>
      <c r="AQ400" t="e">
        <f>Asia!248:248-"$F;@!3yS"</f>
        <v>#VALUE!</v>
      </c>
      <c r="AR400" t="e">
        <f>Asia!249:249-"$F;@!3yT"</f>
        <v>#VALUE!</v>
      </c>
      <c r="AS400" t="e">
        <f>Asia!250:250-"$F;@!3yU"</f>
        <v>#VALUE!</v>
      </c>
      <c r="AT400" t="e">
        <f>Asia!251:251-"$F;@!3yV"</f>
        <v>#VALUE!</v>
      </c>
      <c r="AU400" t="e">
        <f>Asia!252:252-"$F;@!3yW"</f>
        <v>#VALUE!</v>
      </c>
      <c r="AV400" t="e">
        <f>Asia!253:253-"$F;@!3yX"</f>
        <v>#VALUE!</v>
      </c>
      <c r="AW400" t="e">
        <f>Asia!254:254-"$F;@!3yY"</f>
        <v>#VALUE!</v>
      </c>
      <c r="AX400" t="e">
        <f>Asia!255:255-"$F;@!3yZ"</f>
        <v>#VALUE!</v>
      </c>
      <c r="AY400" t="e">
        <f>Asia!256:256-"$F;@!3y["</f>
        <v>#VALUE!</v>
      </c>
      <c r="AZ400" t="e">
        <f>Asia!257:257-"$F;@!3y\"</f>
        <v>#VALUE!</v>
      </c>
      <c r="BA400" t="e">
        <f>Asia!258:258-"$F;@!3y]"</f>
        <v>#VALUE!</v>
      </c>
      <c r="BB400" t="e">
        <f>Asia!259:259-"$F;@!3y^"</f>
        <v>#VALUE!</v>
      </c>
      <c r="BC400" t="e">
        <f>Asia!260:260-"$F;@!3y_"</f>
        <v>#VALUE!</v>
      </c>
      <c r="BD400" t="e">
        <f>Asia!261:261-"$F;@!3y`"</f>
        <v>#VALUE!</v>
      </c>
      <c r="BE400" t="e">
        <f>Asia!262:262-"$F;@!3ya"</f>
        <v>#VALUE!</v>
      </c>
      <c r="BF400" t="e">
        <f>Asia!263:263-"$F;@!3yb"</f>
        <v>#VALUE!</v>
      </c>
      <c r="BG400" t="e">
        <f>Asia!264:264-"$F;@!3yc"</f>
        <v>#VALUE!</v>
      </c>
      <c r="BH400" t="e">
        <f>Asia!265:265-"$F;@!3yd"</f>
        <v>#VALUE!</v>
      </c>
      <c r="BI400" t="e">
        <f>Asia!266:266-"$F;@!3ye"</f>
        <v>#VALUE!</v>
      </c>
      <c r="BJ400" t="e">
        <f>Asia!267:267-"$F;@!3yf"</f>
        <v>#VALUE!</v>
      </c>
      <c r="BK400" t="e">
        <f>Asia!268:268-"$F;@!3yg"</f>
        <v>#VALUE!</v>
      </c>
      <c r="BL400" t="e">
        <f>Asia!269:269-"$F;@!3yh"</f>
        <v>#VALUE!</v>
      </c>
      <c r="BM400" t="e">
        <f>Asia!270:270-"$F;@!3yi"</f>
        <v>#VALUE!</v>
      </c>
      <c r="BN400" t="e">
        <f>Asia!271:271-"$F;@!3yj"</f>
        <v>#VALUE!</v>
      </c>
      <c r="BO400" t="e">
        <f>Asia!272:272-"$F;@!3yk"</f>
        <v>#VALUE!</v>
      </c>
      <c r="BP400" t="e">
        <f>Asia!273:273-"$F;@!3yl"</f>
        <v>#VALUE!</v>
      </c>
      <c r="BQ400" t="e">
        <f>Asia!274:274-"$F;@!3ym"</f>
        <v>#VALUE!</v>
      </c>
      <c r="BR400" t="e">
        <f>Asia!275:275-"$F;@!3yn"</f>
        <v>#VALUE!</v>
      </c>
      <c r="BS400" t="e">
        <f>Asia!276:276-"$F;@!3yo"</f>
        <v>#VALUE!</v>
      </c>
      <c r="BT400" t="e">
        <f>Asia!277:277-"$F;@!3yp"</f>
        <v>#VALUE!</v>
      </c>
      <c r="BU400" t="e">
        <f>Asia!278:278-"$F;@!3yq"</f>
        <v>#VALUE!</v>
      </c>
      <c r="BV400" t="e">
        <f>Asia!279:279-"$F;@!3yr"</f>
        <v>#VALUE!</v>
      </c>
      <c r="BW400" t="e">
        <f>Asia!280:280-"$F;@!3ys"</f>
        <v>#VALUE!</v>
      </c>
      <c r="BX400" t="e">
        <f>Asia!281:281-"$F;@!3yt"</f>
        <v>#VALUE!</v>
      </c>
      <c r="BY400" t="e">
        <f>Asia!282:282-"$F;@!3yu"</f>
        <v>#VALUE!</v>
      </c>
      <c r="BZ400" t="e">
        <f>Asia!283:283-"$F;@!3yv"</f>
        <v>#VALUE!</v>
      </c>
      <c r="CA400" t="e">
        <f>Asia!284:284-"$F;@!3yw"</f>
        <v>#VALUE!</v>
      </c>
      <c r="CB400" t="e">
        <f>Asia!285:285-"$F;@!3yx"</f>
        <v>#VALUE!</v>
      </c>
      <c r="CC400" t="e">
        <f>Asia!286:286-"$F;@!3yy"</f>
        <v>#VALUE!</v>
      </c>
      <c r="CD400" t="e">
        <f>Asia!287:287-"$F;@!3yz"</f>
        <v>#VALUE!</v>
      </c>
      <c r="CE400" t="e">
        <f>Asia!288:288-"$F;@!3y{"</f>
        <v>#VALUE!</v>
      </c>
      <c r="CF400" t="e">
        <f>Asia!289:289-"$F;@!3y|"</f>
        <v>#VALUE!</v>
      </c>
      <c r="CG400" t="e">
        <f>Asia!290:290-"$F;@!3y}"</f>
        <v>#VALUE!</v>
      </c>
      <c r="CH400" t="e">
        <f>Asia!291:291-"$F;@!3y~"</f>
        <v>#VALUE!</v>
      </c>
      <c r="CI400" t="e">
        <f>Asia!292:292-"$F;@!3z#"</f>
        <v>#VALUE!</v>
      </c>
      <c r="CJ400" t="e">
        <f>Asia!293:293-"$F;@!3z$"</f>
        <v>#VALUE!</v>
      </c>
      <c r="CK400" t="e">
        <f>Asia!294:294-"$F;@!3z%"</f>
        <v>#VALUE!</v>
      </c>
      <c r="CL400" t="e">
        <f>Asia!295:295-"$F;@!3z&amp;"</f>
        <v>#VALUE!</v>
      </c>
      <c r="CM400" t="e">
        <f>Asia!296:296-"$F;@!3z'"</f>
        <v>#VALUE!</v>
      </c>
      <c r="CN400" t="e">
        <f>Asia!297:297-"$F;@!3z("</f>
        <v>#VALUE!</v>
      </c>
      <c r="CO400" t="e">
        <f>Asia!298:298-"$F;@!3z)"</f>
        <v>#VALUE!</v>
      </c>
      <c r="CP400" t="e">
        <f>Asia!299:299-"$F;@!3z."</f>
        <v>#VALUE!</v>
      </c>
      <c r="CQ400" t="e">
        <f>Asia!300:300-"$F;@!3z/"</f>
        <v>#VALUE!</v>
      </c>
      <c r="CR400" t="e">
        <f>Asia!301:301-"$F;@!3z0"</f>
        <v>#VALUE!</v>
      </c>
      <c r="CS400" t="e">
        <f>Asia!302:302-"$F;@!3z1"</f>
        <v>#VALUE!</v>
      </c>
      <c r="CT400" t="e">
        <f>Asia!303:303-"$F;@!3z2"</f>
        <v>#VALUE!</v>
      </c>
      <c r="CU400" t="e">
        <f>Asia!304:304-"$F;@!3z3"</f>
        <v>#VALUE!</v>
      </c>
      <c r="CV400" t="e">
        <f>Asia!305:305-"$F;@!3z4"</f>
        <v>#VALUE!</v>
      </c>
      <c r="CW400" t="e">
        <f>Asia!306:306-"$F;@!3z5"</f>
        <v>#VALUE!</v>
      </c>
      <c r="CX400" t="e">
        <f>Asia!307:307-"$F;@!3z6"</f>
        <v>#VALUE!</v>
      </c>
      <c r="CY400" t="e">
        <f>Asia!308:308-"$F;@!3z7"</f>
        <v>#VALUE!</v>
      </c>
      <c r="CZ400" t="e">
        <f>Asia!309:309-"$F;@!3z8"</f>
        <v>#VALUE!</v>
      </c>
      <c r="DA400" t="e">
        <f>Asia!310:310-"$F;@!3z9"</f>
        <v>#VALUE!</v>
      </c>
      <c r="DB400" t="e">
        <f>Asia!311:311-"$F;@!3z:"</f>
        <v>#VALUE!</v>
      </c>
      <c r="DC400" t="e">
        <f>Asia!312:312-"$F;@!3z;"</f>
        <v>#VALUE!</v>
      </c>
      <c r="DD400" t="e">
        <f>Asia!313:313-"$F;@!3z&lt;"</f>
        <v>#VALUE!</v>
      </c>
      <c r="DE400" t="e">
        <f>Asia!314:314-"$F;@!3z="</f>
        <v>#VALUE!</v>
      </c>
      <c r="DF400" t="e">
        <f>Asia!315:315-"$F;@!3z&gt;"</f>
        <v>#VALUE!</v>
      </c>
      <c r="DG400" t="e">
        <f>Asia!316:316-"$F;@!3z?"</f>
        <v>#VALUE!</v>
      </c>
      <c r="DH400" t="e">
        <f>Asia!317:317-"$F;@!3z@"</f>
        <v>#VALUE!</v>
      </c>
      <c r="DI400" t="e">
        <f>Asia!318:318-"$F;@!3zA"</f>
        <v>#VALUE!</v>
      </c>
      <c r="DJ400" t="e">
        <f>Asia!319:319-"$F;@!3zB"</f>
        <v>#VALUE!</v>
      </c>
      <c r="DK400" t="e">
        <f>Asia!320:320-"$F;@!3zC"</f>
        <v>#VALUE!</v>
      </c>
      <c r="DL400" t="e">
        <f>Asia!321:321-"$F;@!3zD"</f>
        <v>#VALUE!</v>
      </c>
      <c r="DM400" t="e">
        <f>Asia!322:322-"$F;@!3zE"</f>
        <v>#VALUE!</v>
      </c>
      <c r="DN400" t="e">
        <f>Asia!323:323-"$F;@!3zF"</f>
        <v>#VALUE!</v>
      </c>
      <c r="DO400" t="e">
        <f>Asia!324:324-"$F;@!3zG"</f>
        <v>#VALUE!</v>
      </c>
      <c r="DP400" t="e">
        <f>Asia!325:325-"$F;@!3zH"</f>
        <v>#VALUE!</v>
      </c>
      <c r="DQ400" t="e">
        <f>Asia!326:326-"$F;@!3zI"</f>
        <v>#VALUE!</v>
      </c>
      <c r="DR400" t="e">
        <f>Asia!327:327-"$F;@!3zJ"</f>
        <v>#VALUE!</v>
      </c>
      <c r="DS400" t="e">
        <f>Asia!328:328-"$F;@!3zK"</f>
        <v>#VALUE!</v>
      </c>
      <c r="DT400" t="e">
        <f>Asia!329:329-"$F;@!3zL"</f>
        <v>#VALUE!</v>
      </c>
      <c r="DU400" t="e">
        <f>Asia!330:330-"$F;@!3zM"</f>
        <v>#VALUE!</v>
      </c>
      <c r="DV400" t="e">
        <f>Asia!331:331-"$F;@!3zN"</f>
        <v>#VALUE!</v>
      </c>
      <c r="DW400" t="e">
        <f>Asia!332:332-"$F;@!3zO"</f>
        <v>#VALUE!</v>
      </c>
      <c r="DX400" t="e">
        <f>Asia!333:333-"$F;@!3zP"</f>
        <v>#VALUE!</v>
      </c>
      <c r="DY400" t="e">
        <f>Asia!334:334-"$F;@!3zQ"</f>
        <v>#VALUE!</v>
      </c>
      <c r="DZ400" t="e">
        <f>Asia!335:335-"$F;@!3zR"</f>
        <v>#VALUE!</v>
      </c>
      <c r="EA400" t="e">
        <f>Asia!336:336-"$F;@!3zS"</f>
        <v>#VALUE!</v>
      </c>
      <c r="EB400" t="e">
        <f>Asia!337:337-"$F;@!3zT"</f>
        <v>#VALUE!</v>
      </c>
      <c r="EC400" t="e">
        <f>Asia!338:338-"$F;@!3zU"</f>
        <v>#VALUE!</v>
      </c>
      <c r="ED400" t="e">
        <f>Asia!339:339-"$F;@!3zV"</f>
        <v>#VALUE!</v>
      </c>
      <c r="EE400" t="e">
        <f>Asia!340:340-"$F;@!3zW"</f>
        <v>#VALUE!</v>
      </c>
      <c r="EF400" t="e">
        <f>Asia!341:341-"$F;@!3zX"</f>
        <v>#VALUE!</v>
      </c>
      <c r="EG400" t="e">
        <f>Asia!342:342-"$F;@!3zY"</f>
        <v>#VALUE!</v>
      </c>
      <c r="EH400" t="e">
        <f>Asia!343:343-"$F;@!3zZ"</f>
        <v>#VALUE!</v>
      </c>
      <c r="EI400" t="e">
        <f>Asia!344:344-"$F;@!3z["</f>
        <v>#VALUE!</v>
      </c>
      <c r="EJ400" t="e">
        <f>Asia!345:345-"$F;@!3z\"</f>
        <v>#VALUE!</v>
      </c>
      <c r="EK400" t="e">
        <f>Asia!346:346-"$F;@!3z]"</f>
        <v>#VALUE!</v>
      </c>
      <c r="EL400" t="e">
        <f>Asia!347:347-"$F;@!3z^"</f>
        <v>#VALUE!</v>
      </c>
      <c r="EM400" t="e">
        <f>Asia!348:348-"$F;@!3z_"</f>
        <v>#VALUE!</v>
      </c>
      <c r="EN400" t="e">
        <f>Asia!349:349-"$F;@!3z`"</f>
        <v>#VALUE!</v>
      </c>
      <c r="EO400" t="e">
        <f>Asia!350:350-"$F;@!3za"</f>
        <v>#VALUE!</v>
      </c>
      <c r="EP400" t="e">
        <f>Asia!351:351-"$F;@!3zb"</f>
        <v>#VALUE!</v>
      </c>
      <c r="EQ400" t="e">
        <f>Asia!352:352-"$F;@!3zc"</f>
        <v>#VALUE!</v>
      </c>
      <c r="ER400" t="e">
        <f>Asia!353:353-"$F;@!3zd"</f>
        <v>#VALUE!</v>
      </c>
      <c r="ES400" t="e">
        <f>Asia!354:354-"$F;@!3ze"</f>
        <v>#VALUE!</v>
      </c>
      <c r="ET400" t="e">
        <f>Asia!355:355-"$F;@!3zf"</f>
        <v>#VALUE!</v>
      </c>
      <c r="EU400" t="e">
        <f>Asia!356:356-"$F;@!3zg"</f>
        <v>#VALUE!</v>
      </c>
      <c r="EV400" t="e">
        <f>Asia!357:357-"$F;@!3zh"</f>
        <v>#VALUE!</v>
      </c>
      <c r="EW400" t="e">
        <f>Asia!358:358-"$F;@!3zi"</f>
        <v>#VALUE!</v>
      </c>
      <c r="EX400" t="e">
        <f>Asia!359:359-"$F;@!3zj"</f>
        <v>#VALUE!</v>
      </c>
      <c r="EY400" t="e">
        <f>Asia!360:360-"$F;@!3zk"</f>
        <v>#VALUE!</v>
      </c>
      <c r="EZ400" t="e">
        <f>Asia!361:361-"$F;@!3zl"</f>
        <v>#VALUE!</v>
      </c>
      <c r="FA400" t="e">
        <f>Asia!362:362-"$F;@!3zm"</f>
        <v>#VALUE!</v>
      </c>
      <c r="FB400" t="e">
        <f>Asia!363:363-"$F;@!3zn"</f>
        <v>#VALUE!</v>
      </c>
      <c r="FC400" t="e">
        <f>Asia!364:364-"$F;@!3zo"</f>
        <v>#VALUE!</v>
      </c>
      <c r="FD400" t="e">
        <f>Asia!365:365-"$F;@!3zp"</f>
        <v>#VALUE!</v>
      </c>
      <c r="FE400" t="e">
        <f>Asia!366:366-"$F;@!3zq"</f>
        <v>#VALUE!</v>
      </c>
      <c r="FF400" t="e">
        <f>Asia!367:367-"$F;@!3zr"</f>
        <v>#VALUE!</v>
      </c>
      <c r="FG400" t="e">
        <f>Asia!368:368-"$F;@!3zs"</f>
        <v>#VALUE!</v>
      </c>
      <c r="FH400" t="e">
        <f>Asia!369:369-"$F;@!3zt"</f>
        <v>#VALUE!</v>
      </c>
      <c r="FI400" t="e">
        <f>Asia!370:370-"$F;@!3zu"</f>
        <v>#VALUE!</v>
      </c>
      <c r="FJ400" t="e">
        <f>Asia!371:371-"$F;@!3zv"</f>
        <v>#VALUE!</v>
      </c>
      <c r="FK400" t="e">
        <f>Asia!372:372-"$F;@!3zw"</f>
        <v>#VALUE!</v>
      </c>
      <c r="FL400" t="e">
        <f>Asia!373:373-"$F;@!3zx"</f>
        <v>#VALUE!</v>
      </c>
      <c r="FM400" t="e">
        <f>Asia!374:374-"$F;@!3zy"</f>
        <v>#VALUE!</v>
      </c>
      <c r="FN400" t="e">
        <f>Asia!375:375-"$F;@!3zz"</f>
        <v>#VALUE!</v>
      </c>
      <c r="FO400" t="e">
        <f>Asia!376:376-"$F;@!3z{"</f>
        <v>#VALUE!</v>
      </c>
      <c r="FP400" t="e">
        <f>Asia!377:377-"$F;@!3z|"</f>
        <v>#VALUE!</v>
      </c>
      <c r="FQ400" t="e">
        <f>Asia!378:378-"$F;@!3z}"</f>
        <v>#VALUE!</v>
      </c>
      <c r="FR400" t="e">
        <f>Asia!379:379-"$F;@!3z~"</f>
        <v>#VALUE!</v>
      </c>
      <c r="FS400" t="e">
        <f>Asia!380:380-"$F;@!3{#"</f>
        <v>#VALUE!</v>
      </c>
      <c r="FT400" t="e">
        <f>Asia!381:381-"$F;@!3{$"</f>
        <v>#VALUE!</v>
      </c>
      <c r="FU400" t="e">
        <f>Asia!382:382-"$F;@!3{%"</f>
        <v>#VALUE!</v>
      </c>
      <c r="FV400" t="e">
        <f>Asia!383:383-"$F;@!3{&amp;"</f>
        <v>#VALUE!</v>
      </c>
      <c r="FW400" t="e">
        <f>Asia!384:384-"$F;@!3{'"</f>
        <v>#VALUE!</v>
      </c>
      <c r="FX400" t="e">
        <f>Asia!385:385-"$F;@!3{("</f>
        <v>#VALUE!</v>
      </c>
      <c r="FY400" t="e">
        <f>Asia!386:386-"$F;@!3{)"</f>
        <v>#VALUE!</v>
      </c>
      <c r="FZ400" t="e">
        <f>Asia!387:387-"$F;@!3{."</f>
        <v>#VALUE!</v>
      </c>
      <c r="GA400" t="e">
        <f>Asia!388:388-"$F;@!3{/"</f>
        <v>#VALUE!</v>
      </c>
      <c r="GB400" t="e">
        <f>Asia!389:389-"$F;@!3{0"</f>
        <v>#VALUE!</v>
      </c>
      <c r="GC400" t="e">
        <f>Asia!390:390-"$F;@!3{1"</f>
        <v>#VALUE!</v>
      </c>
      <c r="GD400" t="e">
        <f>Asia!391:391-"$F;@!3{2"</f>
        <v>#VALUE!</v>
      </c>
      <c r="GE400" t="e">
        <f>Asia!392:392-"$F;@!3{3"</f>
        <v>#VALUE!</v>
      </c>
      <c r="GF400" t="e">
        <f>Asia!393:393-"$F;@!3{4"</f>
        <v>#VALUE!</v>
      </c>
      <c r="GG400" t="e">
        <f>Asia!394:394-"$F;@!3{5"</f>
        <v>#VALUE!</v>
      </c>
      <c r="GH400" t="e">
        <f>Asia!395:395-"$F;@!3{6"</f>
        <v>#VALUE!</v>
      </c>
      <c r="GI400" t="e">
        <f>Asia!396:396-"$F;@!3{7"</f>
        <v>#VALUE!</v>
      </c>
      <c r="GJ400" t="e">
        <f>Asia!397:397-"$F;@!3{8"</f>
        <v>#VALUE!</v>
      </c>
      <c r="GK400" t="e">
        <f>Asia!398:398-"$F;@!3{9"</f>
        <v>#VALUE!</v>
      </c>
      <c r="GL400" t="e">
        <f>Asia!399:399-"$F;@!3{:"</f>
        <v>#VALUE!</v>
      </c>
      <c r="GM400" t="e">
        <f>Asia!400:400-"$F;@!3{;"</f>
        <v>#VALUE!</v>
      </c>
      <c r="GN400" t="e">
        <f>Asia!401:401-"$F;@!3{&lt;"</f>
        <v>#VALUE!</v>
      </c>
      <c r="GO400" t="e">
        <f>Asia!402:402-"$F;@!3{="</f>
        <v>#VALUE!</v>
      </c>
      <c r="GP400" t="e">
        <f>Asia!403:403-"$F;@!3{&gt;"</f>
        <v>#VALUE!</v>
      </c>
      <c r="GQ400" t="e">
        <f>Asia!404:404-"$F;@!3{?"</f>
        <v>#VALUE!</v>
      </c>
      <c r="GR400" t="e">
        <f>Asia!405:405-"$F;@!3{@"</f>
        <v>#VALUE!</v>
      </c>
      <c r="GS400" t="e">
        <f>Asia!406:406-"$F;@!3{A"</f>
        <v>#VALUE!</v>
      </c>
      <c r="GT400" t="e">
        <f>Asia!407:407-"$F;@!3{B"</f>
        <v>#VALUE!</v>
      </c>
      <c r="GU400" t="e">
        <f>Asia!408:408-"$F;@!3{C"</f>
        <v>#VALUE!</v>
      </c>
      <c r="GV400" t="e">
        <f>Asia!409:409-"$F;@!3{D"</f>
        <v>#VALUE!</v>
      </c>
      <c r="GW400" t="e">
        <f>Asia!410:410-"$F;@!3{E"</f>
        <v>#VALUE!</v>
      </c>
      <c r="GX400" t="e">
        <f>Asia!411:411-"$F;@!3{F"</f>
        <v>#VALUE!</v>
      </c>
      <c r="GY400" t="e">
        <f>Asia!412:412-"$F;@!3{G"</f>
        <v>#VALUE!</v>
      </c>
      <c r="GZ400" t="e">
        <f>Asia!413:413-"$F;@!3{H"</f>
        <v>#VALUE!</v>
      </c>
      <c r="HA400" t="e">
        <f>Asia!414:414-"$F;@!3{I"</f>
        <v>#VALUE!</v>
      </c>
      <c r="HB400" t="e">
        <f>Asia!415:415-"$F;@!3{J"</f>
        <v>#VALUE!</v>
      </c>
      <c r="HC400" t="e">
        <f>Asia!416:416-"$F;@!3{K"</f>
        <v>#VALUE!</v>
      </c>
      <c r="HD400" t="e">
        <f>Asia!417:417-"$F;@!3{L"</f>
        <v>#VALUE!</v>
      </c>
      <c r="HE400" t="e">
        <f>Asia!418:418-"$F;@!3{M"</f>
        <v>#VALUE!</v>
      </c>
      <c r="HF400" t="e">
        <f>Asia!419:419-"$F;@!3{N"</f>
        <v>#VALUE!</v>
      </c>
      <c r="HG400" t="e">
        <f>Asia!420:420-"$F;@!3{O"</f>
        <v>#VALUE!</v>
      </c>
      <c r="HH400" t="e">
        <f>Asia!421:421-"$F;@!3{P"</f>
        <v>#VALUE!</v>
      </c>
      <c r="HI400" t="e">
        <f>Asia!422:422-"$F;@!3{Q"</f>
        <v>#VALUE!</v>
      </c>
      <c r="HJ400" t="e">
        <f>Asia!423:423-"$F;@!3{R"</f>
        <v>#VALUE!</v>
      </c>
      <c r="HK400" t="e">
        <f>Asia!424:424-"$F;@!3{S"</f>
        <v>#VALUE!</v>
      </c>
      <c r="HL400" t="e">
        <f>Asia!425:425-"$F;@!3{T"</f>
        <v>#VALUE!</v>
      </c>
      <c r="HM400" t="e">
        <f>Asia!426:426-"$F;@!3{U"</f>
        <v>#VALUE!</v>
      </c>
      <c r="HN400" t="e">
        <f>Asia!427:427-"$F;@!3{V"</f>
        <v>#VALUE!</v>
      </c>
      <c r="HO400" t="e">
        <f>Asia!428:428-"$F;@!3{W"</f>
        <v>#VALUE!</v>
      </c>
      <c r="HP400" t="e">
        <f>Asia!429:429-"$F;@!3{X"</f>
        <v>#VALUE!</v>
      </c>
      <c r="HQ400" t="e">
        <f>Asia!430:430-"$F;@!3{Y"</f>
        <v>#VALUE!</v>
      </c>
      <c r="HR400" t="e">
        <f>Asia!431:431-"$F;@!3{Z"</f>
        <v>#VALUE!</v>
      </c>
      <c r="HS400" t="e">
        <f>Asia!432:432-"$F;@!3{["</f>
        <v>#VALUE!</v>
      </c>
      <c r="HT400" t="e">
        <f>Asia!433:433-"$F;@!3{\"</f>
        <v>#VALUE!</v>
      </c>
      <c r="HU400" t="e">
        <f>Asia!434:434-"$F;@!3{]"</f>
        <v>#VALUE!</v>
      </c>
      <c r="HV400" t="e">
        <f>Asia!435:435-"$F;@!3{^"</f>
        <v>#VALUE!</v>
      </c>
      <c r="HW400" t="e">
        <f>Asia!436:436-"$F;@!3{_"</f>
        <v>#VALUE!</v>
      </c>
      <c r="HX400" t="e">
        <f>Asia!437:437-"$F;@!3{`"</f>
        <v>#VALUE!</v>
      </c>
      <c r="HY400" t="e">
        <f>Asia!438:438-"$F;@!3{a"</f>
        <v>#VALUE!</v>
      </c>
      <c r="HZ400" t="e">
        <f>Asia!439:439-"$F;@!3{b"</f>
        <v>#VALUE!</v>
      </c>
      <c r="IA400" t="e">
        <f>Asia!440:440-"$F;@!3{c"</f>
        <v>#VALUE!</v>
      </c>
      <c r="IB400" t="e">
        <f>Asia!441:441-"$F;@!3{d"</f>
        <v>#VALUE!</v>
      </c>
      <c r="IC400" t="e">
        <f>Asia!442:442-"$F;@!3{e"</f>
        <v>#VALUE!</v>
      </c>
      <c r="ID400" t="e">
        <f>Asia!443:443-"$F;@!3{f"</f>
        <v>#VALUE!</v>
      </c>
      <c r="IE400" t="e">
        <f>Asia!444:444-"$F;@!3{g"</f>
        <v>#VALUE!</v>
      </c>
      <c r="IF400" t="e">
        <f>Asia!445:445-"$F;@!3{h"</f>
        <v>#VALUE!</v>
      </c>
      <c r="IG400" t="e">
        <f>Asia!446:446-"$F;@!3{i"</f>
        <v>#VALUE!</v>
      </c>
      <c r="IH400" t="e">
        <f>Asia!447:447-"$F;@!3{j"</f>
        <v>#VALUE!</v>
      </c>
      <c r="II400" t="e">
        <f>Asia!448:448-"$F;@!3{k"</f>
        <v>#VALUE!</v>
      </c>
      <c r="IJ400" t="e">
        <f>Asia!449:449-"$F;@!3{l"</f>
        <v>#VALUE!</v>
      </c>
      <c r="IK400" t="e">
        <f>Asia!450:450-"$F;@!3{m"</f>
        <v>#VALUE!</v>
      </c>
      <c r="IL400" t="e">
        <f>Asia!451:451-"$F;@!3{n"</f>
        <v>#VALUE!</v>
      </c>
      <c r="IM400" t="e">
        <f>Asia!452:452-"$F;@!3{o"</f>
        <v>#VALUE!</v>
      </c>
      <c r="IN400" t="e">
        <f>Asia!453:453-"$F;@!3{p"</f>
        <v>#VALUE!</v>
      </c>
      <c r="IO400" t="e">
        <f>Asia!454:454-"$F;@!3{q"</f>
        <v>#VALUE!</v>
      </c>
      <c r="IP400" t="e">
        <f>Asia!455:455-"$F;@!3{r"</f>
        <v>#VALUE!</v>
      </c>
      <c r="IQ400" t="e">
        <f>Asia!456:456-"$F;@!3{s"</f>
        <v>#VALUE!</v>
      </c>
      <c r="IR400" t="e">
        <f>Asia!457:457-"$F;@!3{t"</f>
        <v>#VALUE!</v>
      </c>
      <c r="IS400" t="e">
        <f>Asia!458:458-"$F;@!3{u"</f>
        <v>#VALUE!</v>
      </c>
      <c r="IT400" t="e">
        <f>Asia!459:459-"$F;@!3{v"</f>
        <v>#VALUE!</v>
      </c>
      <c r="IU400" t="e">
        <f>Asia!460:460-"$F;@!3{w"</f>
        <v>#VALUE!</v>
      </c>
      <c r="IV400" t="e">
        <f>Asia!461:461-"$F;@!3{x"</f>
        <v>#VALUE!</v>
      </c>
    </row>
    <row r="401" spans="6:256" x14ac:dyDescent="0.35">
      <c r="F401" t="e">
        <f>Asia!462:462-"$F;@!3{y"</f>
        <v>#VALUE!</v>
      </c>
      <c r="G401" t="e">
        <f>Asia!463:463-"$F;@!3{z"</f>
        <v>#VALUE!</v>
      </c>
      <c r="H401" t="e">
        <f>Asia!464:464-"$F;@!3{{"</f>
        <v>#VALUE!</v>
      </c>
      <c r="I401" t="e">
        <f>Asia!465:465-"$F;@!3{|"</f>
        <v>#VALUE!</v>
      </c>
      <c r="J401" t="e">
        <f>Asia!466:466-"$F;@!3{}"</f>
        <v>#VALUE!</v>
      </c>
      <c r="K401" t="e">
        <f>Asia!467:467-"$F;@!3{~"</f>
        <v>#VALUE!</v>
      </c>
      <c r="L401" t="e">
        <f>Asia!468:468-"$F;@!3|#"</f>
        <v>#VALUE!</v>
      </c>
      <c r="M401" t="e">
        <f>Asia!469:469-"$F;@!3|$"</f>
        <v>#VALUE!</v>
      </c>
      <c r="N401" t="e">
        <f>Asia!470:470-"$F;@!3|%"</f>
        <v>#VALUE!</v>
      </c>
      <c r="O401" t="e">
        <f>Asia!471:471-"$F;@!3|&amp;"</f>
        <v>#VALUE!</v>
      </c>
      <c r="P401" t="e">
        <f>Asia!472:472-"$F;@!3|'"</f>
        <v>#VALUE!</v>
      </c>
      <c r="Q401" t="e">
        <f>Asia!473:473-"$F;@!3|("</f>
        <v>#VALUE!</v>
      </c>
      <c r="R401" t="e">
        <f>Asia!474:474-"$F;@!3|)"</f>
        <v>#VALUE!</v>
      </c>
      <c r="S401" t="e">
        <f>Asia!475:475-"$F;@!3|."</f>
        <v>#VALUE!</v>
      </c>
      <c r="T401" t="e">
        <f>Asia!476:476-"$F;@!3|/"</f>
        <v>#VALUE!</v>
      </c>
      <c r="U401" t="e">
        <f>Asia!477:477-"$F;@!3|0"</f>
        <v>#VALUE!</v>
      </c>
      <c r="V401" t="e">
        <f>Asia!478:478-"$F;@!3|1"</f>
        <v>#VALUE!</v>
      </c>
      <c r="W401" t="e">
        <f>Asia!479:479-"$F;@!3|2"</f>
        <v>#VALUE!</v>
      </c>
      <c r="X401" t="e">
        <f>Asia!480:480-"$F;@!3|3"</f>
        <v>#VALUE!</v>
      </c>
      <c r="Y401" t="e">
        <f>Asia!481:481-"$F;@!3|4"</f>
        <v>#VALUE!</v>
      </c>
      <c r="Z401" t="e">
        <f>Asia!482:482-"$F;@!3|5"</f>
        <v>#VALUE!</v>
      </c>
      <c r="AA401" t="e">
        <f>Asia!483:483-"$F;@!3|6"</f>
        <v>#VALUE!</v>
      </c>
      <c r="AB401" t="e">
        <f>Asia!484:484-"$F;@!3|7"</f>
        <v>#VALUE!</v>
      </c>
      <c r="AC401" t="e">
        <f>Asia!485:485-"$F;@!3|8"</f>
        <v>#VALUE!</v>
      </c>
      <c r="AD401" t="e">
        <f>Asia!486:486-"$F;@!3|9"</f>
        <v>#VALUE!</v>
      </c>
      <c r="AE401" t="e">
        <f>Asia!487:487-"$F;@!3|:"</f>
        <v>#VALUE!</v>
      </c>
      <c r="AF401" t="e">
        <f>Asia!488:488-"$F;@!3|;"</f>
        <v>#VALUE!</v>
      </c>
      <c r="AG401" t="e">
        <f>Asia!489:489-"$F;@!3|&lt;"</f>
        <v>#VALUE!</v>
      </c>
      <c r="AH401" t="e">
        <f>Asia!490:490-"$F;@!3|="</f>
        <v>#VALUE!</v>
      </c>
      <c r="AI401" t="e">
        <f>Asia!491:491-"$F;@!3|&gt;"</f>
        <v>#VALUE!</v>
      </c>
      <c r="AJ401" t="e">
        <f>Asia!492:492-"$F;@!3|?"</f>
        <v>#VALUE!</v>
      </c>
      <c r="AK401" t="e">
        <f>Asia!493:493-"$F;@!3|@"</f>
        <v>#VALUE!</v>
      </c>
      <c r="AL401" t="e">
        <f>Asia!494:494-"$F;@!3|A"</f>
        <v>#VALUE!</v>
      </c>
      <c r="AM401" t="e">
        <f>Asia!495:495-"$F;@!3|B"</f>
        <v>#VALUE!</v>
      </c>
      <c r="AN401" t="e">
        <f>Asia!496:496-"$F;@!3|C"</f>
        <v>#VALUE!</v>
      </c>
      <c r="AO401" t="e">
        <f>Asia!497:497-"$F;@!3|D"</f>
        <v>#VALUE!</v>
      </c>
      <c r="AP401" t="e">
        <f>Asia!498:498-"$F;@!3|E"</f>
        <v>#VALUE!</v>
      </c>
      <c r="AQ401" t="e">
        <f>Asia!499:499-"$F;@!3|F"</f>
        <v>#VALUE!</v>
      </c>
      <c r="AR401" t="e">
        <f>Asia!500:500-"$F;@!3|G"</f>
        <v>#VALUE!</v>
      </c>
      <c r="AS401" t="e">
        <f>Asia!501:501-"$F;@!3|H"</f>
        <v>#VALUE!</v>
      </c>
      <c r="AT401" t="e">
        <f>Asia!502:502-"$F;@!3|I"</f>
        <v>#VALUE!</v>
      </c>
      <c r="AU401" t="e">
        <f>Asia!503:503-"$F;@!3|J"</f>
        <v>#VALUE!</v>
      </c>
      <c r="AV401" t="e">
        <f>Asia!504:504-"$F;@!3|K"</f>
        <v>#VALUE!</v>
      </c>
      <c r="AW401" t="e">
        <f>Asia!505:505-"$F;@!3|L"</f>
        <v>#VALUE!</v>
      </c>
      <c r="AX401" t="e">
        <f>Asia!506:506-"$F;@!3|M"</f>
        <v>#VALUE!</v>
      </c>
      <c r="AY401" t="e">
        <f>Asia!507:507-"$F;@!3|N"</f>
        <v>#VALUE!</v>
      </c>
      <c r="AZ401" t="e">
        <f>Asia!508:508-"$F;@!3|O"</f>
        <v>#VALUE!</v>
      </c>
      <c r="BA401" t="e">
        <f>Asia!509:509-"$F;@!3|P"</f>
        <v>#VALUE!</v>
      </c>
      <c r="BB401" t="e">
        <f>Asia!510:510-"$F;@!3|Q"</f>
        <v>#VALUE!</v>
      </c>
      <c r="BC401" t="e">
        <f>Asia!511:511-"$F;@!3|R"</f>
        <v>#VALUE!</v>
      </c>
      <c r="BD401" t="e">
        <f>Asia!512:512-"$F;@!3|S"</f>
        <v>#VALUE!</v>
      </c>
      <c r="BE401" t="e">
        <f>Asia!513:513-"$F;@!3|T"</f>
        <v>#VALUE!</v>
      </c>
      <c r="BF401" t="e">
        <f>Asia!514:514-"$F;@!3|U"</f>
        <v>#VALUE!</v>
      </c>
      <c r="BG401" t="e">
        <f>Asia!515:515-"$F;@!3|V"</f>
        <v>#VALUE!</v>
      </c>
      <c r="BH401" t="e">
        <f>Asia!516:516-"$F;@!3|W"</f>
        <v>#VALUE!</v>
      </c>
      <c r="BI401" t="e">
        <f>Asia!517:517-"$F;@!3|X"</f>
        <v>#VALUE!</v>
      </c>
      <c r="BJ401" t="e">
        <f>Asia!518:518-"$F;@!3|Y"</f>
        <v>#VALUE!</v>
      </c>
      <c r="BK401" t="e">
        <f>Asia!519:519-"$F;@!3|Z"</f>
        <v>#VALUE!</v>
      </c>
      <c r="BL401" t="e">
        <f>Asia!520:520-"$F;@!3|["</f>
        <v>#VALUE!</v>
      </c>
      <c r="BM401" t="e">
        <f>Asia!521:521-"$F;@!3|\"</f>
        <v>#VALUE!</v>
      </c>
      <c r="BN401" t="e">
        <f>Asia!522:522-"$F;@!3|]"</f>
        <v>#VALUE!</v>
      </c>
      <c r="BO401" t="e">
        <f>Asia!523:523-"$F;@!3|^"</f>
        <v>#VALUE!</v>
      </c>
      <c r="BP401" t="e">
        <f>Asia!524:524-"$F;@!3|_"</f>
        <v>#VALUE!</v>
      </c>
      <c r="BQ401" t="e">
        <f>Asia!525:525-"$F;@!3|`"</f>
        <v>#VALUE!</v>
      </c>
      <c r="BR401" t="e">
        <f>Asia!526:526-"$F;@!3|a"</f>
        <v>#VALUE!</v>
      </c>
      <c r="BS401" t="e">
        <f>Asia!527:527-"$F;@!3|b"</f>
        <v>#VALUE!</v>
      </c>
      <c r="BT401" t="e">
        <f>Asia!528:528-"$F;@!3|c"</f>
        <v>#VALUE!</v>
      </c>
      <c r="BU401" t="e">
        <f>Asia!529:529-"$F;@!3|d"</f>
        <v>#VALUE!</v>
      </c>
      <c r="BV401" t="e">
        <f>Asia!530:530-"$F;@!3|e"</f>
        <v>#VALUE!</v>
      </c>
      <c r="BW401" t="e">
        <f>Asia!531:531-"$F;@!3|f"</f>
        <v>#VALUE!</v>
      </c>
      <c r="BX401" t="e">
        <f>Asia!532:532-"$F;@!3|g"</f>
        <v>#VALUE!</v>
      </c>
      <c r="BY401" t="e">
        <f>Asia!533:533-"$F;@!3|h"</f>
        <v>#VALUE!</v>
      </c>
      <c r="BZ401" t="e">
        <f>Asia!534:534-"$F;@!3|i"</f>
        <v>#VALUE!</v>
      </c>
      <c r="CA401" t="e">
        <f>Asia!535:535-"$F;@!3|j"</f>
        <v>#VALUE!</v>
      </c>
      <c r="CB401" t="e">
        <f>Asia!536:536-"$F;@!3|k"</f>
        <v>#VALUE!</v>
      </c>
      <c r="CC401" t="e">
        <f>Asia!537:537-"$F;@!3|l"</f>
        <v>#VALUE!</v>
      </c>
      <c r="CD401" t="e">
        <f>Asia!538:538-"$F;@!3|m"</f>
        <v>#VALUE!</v>
      </c>
      <c r="CE401" t="e">
        <f>Asia!539:539-"$F;@!3|n"</f>
        <v>#VALUE!</v>
      </c>
      <c r="CF401" t="e">
        <f>Asia!540:540-"$F;@!3|o"</f>
        <v>#VALUE!</v>
      </c>
      <c r="CG401" t="e">
        <f>Asia!541:541-"$F;@!3|p"</f>
        <v>#VALUE!</v>
      </c>
      <c r="CH401" t="e">
        <f>Asia!542:542-"$F;@!3|q"</f>
        <v>#VALUE!</v>
      </c>
      <c r="CI401" t="e">
        <f>Asia!543:543-"$F;@!3|r"</f>
        <v>#VALUE!</v>
      </c>
      <c r="CJ401" t="e">
        <f>Asia!544:544-"$F;@!3|s"</f>
        <v>#VALUE!</v>
      </c>
      <c r="CK401" t="e">
        <f>Asia!545:545-"$F;@!3|t"</f>
        <v>#VALUE!</v>
      </c>
      <c r="CL401" t="e">
        <f>Asia!546:546-"$F;@!3|u"</f>
        <v>#VALUE!</v>
      </c>
      <c r="CM401" t="e">
        <f>Asia!547:547-"$F;@!3|v"</f>
        <v>#VALUE!</v>
      </c>
      <c r="CN401" t="e">
        <f>Asia!548:548-"$F;@!3|w"</f>
        <v>#VALUE!</v>
      </c>
      <c r="CO401" t="e">
        <f>Asia!549:549-"$F;@!3|x"</f>
        <v>#VALUE!</v>
      </c>
      <c r="CP401" t="e">
        <f>Asia!550:550-"$F;@!3|y"</f>
        <v>#VALUE!</v>
      </c>
      <c r="CQ401" t="e">
        <f>Asia!551:551-"$F;@!3|z"</f>
        <v>#VALUE!</v>
      </c>
      <c r="CR401" t="e">
        <f>Asia!552:552-"$F;@!3|{"</f>
        <v>#VALUE!</v>
      </c>
      <c r="CS401" t="e">
        <f>Asia!553:553-"$F;@!3||"</f>
        <v>#VALUE!</v>
      </c>
      <c r="CT401" t="e">
        <f>Asia!554:554-"$F;@!3|}"</f>
        <v>#VALUE!</v>
      </c>
      <c r="CU401" t="e">
        <f>Asia!555:555-"$F;@!3|~"</f>
        <v>#VALUE!</v>
      </c>
      <c r="CV401" t="e">
        <f>Asia!556:556-"$F;@!3}#"</f>
        <v>#VALUE!</v>
      </c>
      <c r="CW401" t="e">
        <f>Asia!557:557-"$F;@!3}$"</f>
        <v>#VALUE!</v>
      </c>
      <c r="CX401" t="e">
        <f>Asia!558:558-"$F;@!3}%"</f>
        <v>#VALUE!</v>
      </c>
      <c r="CY401" t="e">
        <f>Asia!559:559-"$F;@!3}&amp;"</f>
        <v>#VALUE!</v>
      </c>
      <c r="CZ401" t="e">
        <f>Asia!560:560-"$F;@!3}'"</f>
        <v>#VALUE!</v>
      </c>
      <c r="DA401" t="e">
        <f>Asia!561:561-"$F;@!3}("</f>
        <v>#VALUE!</v>
      </c>
      <c r="DB401" t="e">
        <f>Asia!562:562-"$F;@!3})"</f>
        <v>#VALUE!</v>
      </c>
      <c r="DC401" t="e">
        <f>Asia!563:563-"$F;@!3}."</f>
        <v>#VALUE!</v>
      </c>
      <c r="DD401" t="e">
        <f>Asia!564:564-"$F;@!3}/"</f>
        <v>#VALUE!</v>
      </c>
      <c r="DE401" t="e">
        <f>Asia!565:565-"$F;@!3}0"</f>
        <v>#VALUE!</v>
      </c>
      <c r="DF401" t="e">
        <f>Asia!566:566-"$F;@!3}1"</f>
        <v>#VALUE!</v>
      </c>
      <c r="DG401" t="e">
        <f>Asia!567:567-"$F;@!3}2"</f>
        <v>#VALUE!</v>
      </c>
      <c r="DH401" t="e">
        <f>Asia!568:568-"$F;@!3}3"</f>
        <v>#VALUE!</v>
      </c>
      <c r="DI401" t="e">
        <f>Asia!569:569-"$F;@!3}4"</f>
        <v>#VALUE!</v>
      </c>
      <c r="DJ401" t="e">
        <f>Asia!570:570-"$F;@!3}5"</f>
        <v>#VALUE!</v>
      </c>
      <c r="DK401" t="e">
        <f>Asia!571:571-"$F;@!3}6"</f>
        <v>#VALUE!</v>
      </c>
      <c r="DL401" t="e">
        <f>Asia!572:572-"$F;@!3}7"</f>
        <v>#VALUE!</v>
      </c>
      <c r="DM401" t="e">
        <f>Asia!573:573-"$F;@!3}8"</f>
        <v>#VALUE!</v>
      </c>
      <c r="DN401" t="e">
        <f>Asia!574:574-"$F;@!3}9"</f>
        <v>#VALUE!</v>
      </c>
      <c r="DO401" t="e">
        <f>Asia!575:575-"$F;@!3}:"</f>
        <v>#VALUE!</v>
      </c>
      <c r="DP401" t="e">
        <f>Asia!576:576-"$F;@!3};"</f>
        <v>#VALUE!</v>
      </c>
      <c r="DQ401" t="e">
        <f>Asia!577:577-"$F;@!3}&lt;"</f>
        <v>#VALUE!</v>
      </c>
      <c r="DR401" t="e">
        <f>Asia!578:578-"$F;@!3}="</f>
        <v>#VALUE!</v>
      </c>
      <c r="DS401" t="e">
        <f>Asia!579:579-"$F;@!3}&gt;"</f>
        <v>#VALUE!</v>
      </c>
      <c r="DT401" t="e">
        <f>Asia!580:580-"$F;@!3}?"</f>
        <v>#VALUE!</v>
      </c>
      <c r="DU401" t="e">
        <f>Asia!581:581-"$F;@!3}@"</f>
        <v>#VALUE!</v>
      </c>
      <c r="DV401" t="e">
        <f>Asia!582:582-"$F;@!3}A"</f>
        <v>#VALUE!</v>
      </c>
      <c r="DW401" t="e">
        <f>Asia!583:583-"$F;@!3}B"</f>
        <v>#VALUE!</v>
      </c>
      <c r="DX401" t="e">
        <f>Asia!584:584-"$F;@!3}C"</f>
        <v>#VALUE!</v>
      </c>
      <c r="DY401" t="e">
        <f>Asia!585:585-"$F;@!3}D"</f>
        <v>#VALUE!</v>
      </c>
      <c r="DZ401" t="e">
        <f>Asia!586:586-"$F;@!3}E"</f>
        <v>#VALUE!</v>
      </c>
      <c r="EA401" t="e">
        <f>Asia!587:587-"$F;@!3}F"</f>
        <v>#VALUE!</v>
      </c>
      <c r="EB401" t="e">
        <f>Asia!588:588-"$F;@!3}G"</f>
        <v>#VALUE!</v>
      </c>
      <c r="EC401" t="e">
        <f>Asia!589:589-"$F;@!3}H"</f>
        <v>#VALUE!</v>
      </c>
      <c r="ED401" t="e">
        <f>Asia!590:590-"$F;@!3}I"</f>
        <v>#VALUE!</v>
      </c>
      <c r="EE401" t="e">
        <f>Asia!591:591-"$F;@!3}J"</f>
        <v>#VALUE!</v>
      </c>
      <c r="EF401" t="e">
        <f>Asia!592:592-"$F;@!3}K"</f>
        <v>#VALUE!</v>
      </c>
      <c r="EG401" t="e">
        <f>Asia!593:593-"$F;@!3}L"</f>
        <v>#VALUE!</v>
      </c>
      <c r="EH401" t="e">
        <f>Asia!594:594-"$F;@!3}M"</f>
        <v>#VALUE!</v>
      </c>
      <c r="EI401" t="e">
        <f>Asia!595:595-"$F;@!3}N"</f>
        <v>#VALUE!</v>
      </c>
      <c r="EJ401" t="e">
        <f>Asia!596:596-"$F;@!3}O"</f>
        <v>#VALUE!</v>
      </c>
      <c r="EK401" t="e">
        <f>Asia!597:597-"$F;@!3}P"</f>
        <v>#VALUE!</v>
      </c>
      <c r="EL401" t="e">
        <f>Asia!598:598-"$F;@!3}Q"</f>
        <v>#VALUE!</v>
      </c>
      <c r="EM401" t="e">
        <f>Asia!599:599-"$F;@!3}R"</f>
        <v>#VALUE!</v>
      </c>
      <c r="EN401" t="e">
        <f>Asia!600:600-"$F;@!3}S"</f>
        <v>#VALUE!</v>
      </c>
      <c r="EO401" t="e">
        <f>Asia!601:601-"$F;@!3}T"</f>
        <v>#VALUE!</v>
      </c>
      <c r="EP401" t="e">
        <f>Asia!602:602-"$F;@!3}U"</f>
        <v>#VALUE!</v>
      </c>
      <c r="EQ401" t="e">
        <f>Asia!603:603-"$F;@!3}V"</f>
        <v>#VALUE!</v>
      </c>
      <c r="ER401" t="e">
        <f>Asia!604:604-"$F;@!3}W"</f>
        <v>#VALUE!</v>
      </c>
      <c r="ES401" t="e">
        <f>Asia!605:605-"$F;@!3}X"</f>
        <v>#VALUE!</v>
      </c>
      <c r="ET401" t="e">
        <f>Asia!606:606-"$F;@!3}Y"</f>
        <v>#VALUE!</v>
      </c>
      <c r="EU401" t="e">
        <f>Asia!607:607-"$F;@!3}Z"</f>
        <v>#VALUE!</v>
      </c>
      <c r="EV401" t="e">
        <f>Asia!608:608-"$F;@!3}["</f>
        <v>#VALUE!</v>
      </c>
      <c r="EW401" t="e">
        <f>Asia!609:609-"$F;@!3}\"</f>
        <v>#VALUE!</v>
      </c>
      <c r="EX401" t="e">
        <f>Asia!610:610-"$F;@!3}]"</f>
        <v>#VALUE!</v>
      </c>
      <c r="EY401" t="e">
        <f>Asia!611:611-"$F;@!3}^"</f>
        <v>#VALUE!</v>
      </c>
      <c r="EZ401" t="e">
        <f>Asia!612:612-"$F;@!3}_"</f>
        <v>#VALUE!</v>
      </c>
      <c r="FA401" t="e">
        <f>Asia!613:613-"$F;@!3}`"</f>
        <v>#VALUE!</v>
      </c>
      <c r="FB401" t="e">
        <f>Asia!614:614-"$F;@!3}a"</f>
        <v>#VALUE!</v>
      </c>
      <c r="FC401" t="e">
        <f>Asia!615:615-"$F;@!3}b"</f>
        <v>#VALUE!</v>
      </c>
      <c r="FD401" t="e">
        <f>Asia!616:616-"$F;@!3}c"</f>
        <v>#VALUE!</v>
      </c>
      <c r="FE401" t="e">
        <f>Asia!617:617-"$F;@!3}d"</f>
        <v>#VALUE!</v>
      </c>
      <c r="FF401" t="e">
        <f>Asia!618:618-"$F;@!3}e"</f>
        <v>#VALUE!</v>
      </c>
      <c r="FG401" t="e">
        <f>Asia!619:619-"$F;@!3}f"</f>
        <v>#VALUE!</v>
      </c>
      <c r="FH401" t="e">
        <f>Asia!620:620-"$F;@!3}g"</f>
        <v>#VALUE!</v>
      </c>
      <c r="FI401" t="e">
        <f>Asia!621:621-"$F;@!3}h"</f>
        <v>#VALUE!</v>
      </c>
      <c r="FJ401" t="e">
        <f>Asia!622:622-"$F;@!3}i"</f>
        <v>#VALUE!</v>
      </c>
      <c r="FK401" t="e">
        <f>Asia!623:623-"$F;@!3}j"</f>
        <v>#VALUE!</v>
      </c>
      <c r="FL401" t="e">
        <f>Asia!624:624-"$F;@!3}k"</f>
        <v>#VALUE!</v>
      </c>
      <c r="FM401" t="e">
        <f>Asia!625:625-"$F;@!3}l"</f>
        <v>#VALUE!</v>
      </c>
      <c r="FN401" t="e">
        <f>Asia!626:626-"$F;@!3}m"</f>
        <v>#VALUE!</v>
      </c>
      <c r="FO401" t="e">
        <f>Asia!627:627-"$F;@!3}n"</f>
        <v>#VALUE!</v>
      </c>
      <c r="FP401" t="e">
        <f>Asia!628:628-"$F;@!3}o"</f>
        <v>#VALUE!</v>
      </c>
      <c r="FQ401" t="e">
        <f>Asia!629:629-"$F;@!3}p"</f>
        <v>#VALUE!</v>
      </c>
      <c r="FR401" t="e">
        <f>Asia!630:630-"$F;@!3}q"</f>
        <v>#VALUE!</v>
      </c>
      <c r="FS401" t="e">
        <f>Asia!631:631-"$F;@!3}r"</f>
        <v>#VALUE!</v>
      </c>
      <c r="FT401" t="e">
        <f>Asia!632:632-"$F;@!3}s"</f>
        <v>#VALUE!</v>
      </c>
      <c r="FU401" t="e">
        <f>Asia!633:633-"$F;@!3}t"</f>
        <v>#VALUE!</v>
      </c>
      <c r="FV401" t="e">
        <f>Asia!634:634-"$F;@!3}u"</f>
        <v>#VALUE!</v>
      </c>
      <c r="FW401" t="e">
        <f>Asia!635:635-"$F;@!3}v"</f>
        <v>#VALUE!</v>
      </c>
      <c r="FX401" t="e">
        <f>Asia!636:636-"$F;@!3}w"</f>
        <v>#VALUE!</v>
      </c>
      <c r="FY401" t="e">
        <f>Asia!637:637-"$F;@!3}x"</f>
        <v>#VALUE!</v>
      </c>
      <c r="FZ401" t="e">
        <f>Asia!638:638-"$F;@!3}y"</f>
        <v>#VALUE!</v>
      </c>
      <c r="GA401" t="e">
        <f>Asia!639:639-"$F;@!3}z"</f>
        <v>#VALUE!</v>
      </c>
      <c r="GB401" t="e">
        <f>Asia!640:640-"$F;@!3}{"</f>
        <v>#VALUE!</v>
      </c>
      <c r="GC401" t="e">
        <f>Asia!641:641-"$F;@!3}|"</f>
        <v>#VALUE!</v>
      </c>
      <c r="GD401" t="e">
        <f>Asia!642:642-"$F;@!3}}"</f>
        <v>#VALUE!</v>
      </c>
      <c r="GE401" t="e">
        <f>Asia!643:643-"$F;@!3}~"</f>
        <v>#VALUE!</v>
      </c>
      <c r="GF401" t="e">
        <f>Asia!644:644-"$F;@!3~#"</f>
        <v>#VALUE!</v>
      </c>
      <c r="GG401" t="e">
        <f>Asia!645:645-"$F;@!3~$"</f>
        <v>#VALUE!</v>
      </c>
      <c r="GH401" t="e">
        <f>Asia!646:646-"$F;@!3~%"</f>
        <v>#VALUE!</v>
      </c>
      <c r="GI401" t="e">
        <f>Asia!647:647-"$F;@!3~&amp;"</f>
        <v>#VALUE!</v>
      </c>
      <c r="GJ401" t="e">
        <f>Asia!648:648-"$F;@!3~'"</f>
        <v>#VALUE!</v>
      </c>
      <c r="GK401" t="e">
        <f>Asia!649:649-"$F;@!3~("</f>
        <v>#VALUE!</v>
      </c>
      <c r="GL401" t="e">
        <f>Asia!650:650-"$F;@!3~)"</f>
        <v>#VALUE!</v>
      </c>
      <c r="GM401" t="e">
        <f>Asia!651:651-"$F;@!3~."</f>
        <v>#VALUE!</v>
      </c>
      <c r="GN401" t="e">
        <f>Asia!652:652-"$F;@!3~/"</f>
        <v>#VALUE!</v>
      </c>
      <c r="GO401" t="e">
        <f>Asia!653:653-"$F;@!3~0"</f>
        <v>#VALUE!</v>
      </c>
      <c r="GP401" t="e">
        <f>Asia!654:654-"$F;@!3~1"</f>
        <v>#VALUE!</v>
      </c>
      <c r="GQ401" t="e">
        <f>Asia!655:655-"$F;@!3~2"</f>
        <v>#VALUE!</v>
      </c>
      <c r="GR401" t="e">
        <f>Asia!656:656-"$F;@!3~3"</f>
        <v>#VALUE!</v>
      </c>
      <c r="GS401" t="e">
        <f>Asia!657:657-"$F;@!3~4"</f>
        <v>#VALUE!</v>
      </c>
      <c r="GT401" t="e">
        <f>Asia!658:658-"$F;@!3~5"</f>
        <v>#VALUE!</v>
      </c>
      <c r="GU401" t="e">
        <f>Asia!659:659-"$F;@!3~6"</f>
        <v>#VALUE!</v>
      </c>
      <c r="GV401" t="e">
        <f>Asia!660:660-"$F;@!3~7"</f>
        <v>#VALUE!</v>
      </c>
      <c r="GW401" t="e">
        <f>Asia!661:661-"$F;@!3~8"</f>
        <v>#VALUE!</v>
      </c>
      <c r="GX401" t="e">
        <f>Asia!662:662-"$F;@!3~9"</f>
        <v>#VALUE!</v>
      </c>
      <c r="GY401" t="e">
        <f>Asia!663:663-"$F;@!3~:"</f>
        <v>#VALUE!</v>
      </c>
      <c r="GZ401" t="e">
        <f>Asia!664:664-"$F;@!3~;"</f>
        <v>#VALUE!</v>
      </c>
      <c r="HA401" t="e">
        <f>Asia!665:665-"$F;@!3~&lt;"</f>
        <v>#VALUE!</v>
      </c>
      <c r="HB401" t="e">
        <f>Asia!666:666-"$F;@!3~="</f>
        <v>#VALUE!</v>
      </c>
      <c r="HC401" t="e">
        <f>Asia!667:667-"$F;@!3~&gt;"</f>
        <v>#VALUE!</v>
      </c>
      <c r="HD401" t="e">
        <f>Asia!668:668-"$F;@!3~?"</f>
        <v>#VALUE!</v>
      </c>
      <c r="HE401" t="e">
        <f>Asia!669:669-"$F;@!3~@"</f>
        <v>#VALUE!</v>
      </c>
      <c r="HF401" t="e">
        <f>Asia!670:670-"$F;@!3~A"</f>
        <v>#VALUE!</v>
      </c>
      <c r="HG401" t="e">
        <f>Asia!671:671-"$F;@!3~B"</f>
        <v>#VALUE!</v>
      </c>
      <c r="HH401" t="e">
        <f>Asia!672:672-"$F;@!3~C"</f>
        <v>#VALUE!</v>
      </c>
      <c r="HI401" t="e">
        <f>Asia!673:673-"$F;@!3~D"</f>
        <v>#VALUE!</v>
      </c>
      <c r="HJ401" t="e">
        <f>Asia!674:674-"$F;@!3~E"</f>
        <v>#VALUE!</v>
      </c>
      <c r="HK401" t="e">
        <f>Asia!675:675-"$F;@!3~F"</f>
        <v>#VALUE!</v>
      </c>
      <c r="HL401" t="e">
        <f>Asia!676:676-"$F;@!3~G"</f>
        <v>#VALUE!</v>
      </c>
      <c r="HM401" t="e">
        <f>Asia!677:677-"$F;@!3~H"</f>
        <v>#VALUE!</v>
      </c>
      <c r="HN401" t="e">
        <f>Asia!678:678-"$F;@!3~I"</f>
        <v>#VALUE!</v>
      </c>
      <c r="HO401" t="e">
        <f>Asia!679:679-"$F;@!3~J"</f>
        <v>#VALUE!</v>
      </c>
      <c r="HP401" t="e">
        <f>Asia!680:680-"$F;@!3~K"</f>
        <v>#VALUE!</v>
      </c>
      <c r="HQ401" t="e">
        <f>Asia!681:681-"$F;@!3~L"</f>
        <v>#VALUE!</v>
      </c>
      <c r="HR401" t="e">
        <f>Asia!682:682-"$F;@!3~M"</f>
        <v>#VALUE!</v>
      </c>
      <c r="HS401" t="e">
        <f>Asia!683:683-"$F;@!3~N"</f>
        <v>#VALUE!</v>
      </c>
      <c r="HT401" t="e">
        <f>Asia!684:684-"$F;@!3~O"</f>
        <v>#VALUE!</v>
      </c>
      <c r="HU401" t="e">
        <f>Asia!685:685-"$F;@!3~P"</f>
        <v>#VALUE!</v>
      </c>
      <c r="HV401" t="e">
        <f>Asia!686:686-"$F;@!3~Q"</f>
        <v>#VALUE!</v>
      </c>
      <c r="HW401" t="e">
        <f>Asia!687:687-"$F;@!3~R"</f>
        <v>#VALUE!</v>
      </c>
      <c r="HX401" t="e">
        <f>Asia!688:688-"$F;@!3~S"</f>
        <v>#VALUE!</v>
      </c>
      <c r="HY401" t="e">
        <f>Asia!689:689-"$F;@!3~T"</f>
        <v>#VALUE!</v>
      </c>
      <c r="HZ401" t="e">
        <f>Asia!690:690-"$F;@!3~U"</f>
        <v>#VALUE!</v>
      </c>
      <c r="IA401" t="e">
        <f>Asia!691:691-"$F;@!3~V"</f>
        <v>#VALUE!</v>
      </c>
      <c r="IB401" t="e">
        <f>Asia!692:692-"$F;@!3~W"</f>
        <v>#VALUE!</v>
      </c>
      <c r="IC401" t="e">
        <f>Asia!693:693-"$F;@!3~X"</f>
        <v>#VALUE!</v>
      </c>
      <c r="ID401" t="e">
        <f>Asia!694:694-"$F;@!3~Y"</f>
        <v>#VALUE!</v>
      </c>
      <c r="IE401" t="e">
        <f>Asia!695:695-"$F;@!3~Z"</f>
        <v>#VALUE!</v>
      </c>
      <c r="IF401" t="e">
        <f>Asia!696:696-"$F;@!3~["</f>
        <v>#VALUE!</v>
      </c>
      <c r="IG401" t="e">
        <f>Asia!697:697-"$F;@!3~\"</f>
        <v>#VALUE!</v>
      </c>
      <c r="IH401" t="e">
        <f>Asia!698:698-"$F;@!3~]"</f>
        <v>#VALUE!</v>
      </c>
      <c r="II401" t="e">
        <f>Asia!699:699-"$F;@!3~^"</f>
        <v>#VALUE!</v>
      </c>
      <c r="IJ401" t="e">
        <f>Asia!700:700-"$F;@!3~_"</f>
        <v>#VALUE!</v>
      </c>
      <c r="IK401" t="e">
        <f>Asia!701:701-"$F;@!3~`"</f>
        <v>#VALUE!</v>
      </c>
      <c r="IL401" t="e">
        <f>Asia!702:702-"$F;@!3~a"</f>
        <v>#VALUE!</v>
      </c>
      <c r="IM401" t="e">
        <f>Asia!703:703-"$F;@!3~b"</f>
        <v>#VALUE!</v>
      </c>
      <c r="IN401" t="e">
        <f>Asia!704:704-"$F;@!3~c"</f>
        <v>#VALUE!</v>
      </c>
      <c r="IO401" t="e">
        <f>Asia!705:705-"$F;@!3~d"</f>
        <v>#VALUE!</v>
      </c>
      <c r="IP401" t="e">
        <f>Asia!706:706-"$F;@!3~e"</f>
        <v>#VALUE!</v>
      </c>
      <c r="IQ401" t="e">
        <f>Asia!707:707-"$F;@!3~f"</f>
        <v>#VALUE!</v>
      </c>
      <c r="IR401" t="e">
        <f>Asia!708:708-"$F;@!3~g"</f>
        <v>#VALUE!</v>
      </c>
      <c r="IS401" t="e">
        <f>Asia!709:709-"$F;@!3~h"</f>
        <v>#VALUE!</v>
      </c>
      <c r="IT401" t="e">
        <f>Asia!710:710-"$F;@!3~i"</f>
        <v>#VALUE!</v>
      </c>
      <c r="IU401" t="e">
        <f>Asia!711:711-"$F;@!3~j"</f>
        <v>#VALUE!</v>
      </c>
      <c r="IV401" t="e">
        <f>Asia!712:712-"$F;@!3~k"</f>
        <v>#VALUE!</v>
      </c>
    </row>
    <row r="402" spans="6:256" x14ac:dyDescent="0.35">
      <c r="F402" t="e">
        <f>Asia!713:713-"$F;@!3~l"</f>
        <v>#VALUE!</v>
      </c>
      <c r="G402" t="e">
        <f>Asia!714:714-"$F;@!3~m"</f>
        <v>#VALUE!</v>
      </c>
      <c r="H402" t="e">
        <f>Asia!715:715-"$F;@!3~n"</f>
        <v>#VALUE!</v>
      </c>
      <c r="I402" t="e">
        <f>Asia!716:716-"$F;@!3~o"</f>
        <v>#VALUE!</v>
      </c>
      <c r="J402" t="e">
        <f>Asia!717:717-"$F;@!3~p"</f>
        <v>#VALUE!</v>
      </c>
      <c r="K402" t="e">
        <f>Asia!718:718-"$F;@!3~q"</f>
        <v>#VALUE!</v>
      </c>
      <c r="L402" t="e">
        <f>Asia!719:719-"$F;@!3~r"</f>
        <v>#VALUE!</v>
      </c>
      <c r="M402" t="e">
        <f>Asia!720:720-"$F;@!3~s"</f>
        <v>#VALUE!</v>
      </c>
      <c r="N402" t="e">
        <f>Asia!721:721-"$F;@!3~t"</f>
        <v>#VALUE!</v>
      </c>
      <c r="O402" t="e">
        <f>Asia!722:722-"$F;@!3~u"</f>
        <v>#VALUE!</v>
      </c>
      <c r="P402" t="e">
        <f>Asia!723:723-"$F;@!3~v"</f>
        <v>#VALUE!</v>
      </c>
      <c r="Q402" t="e">
        <f>Asia!724:724-"$F;@!3~w"</f>
        <v>#VALUE!</v>
      </c>
      <c r="R402" t="e">
        <f>Asia!725:725-"$F;@!3~x"</f>
        <v>#VALUE!</v>
      </c>
      <c r="S402" t="e">
        <f>Asia!726:726-"$F;@!3~y"</f>
        <v>#VALUE!</v>
      </c>
      <c r="T402" t="e">
        <f>Asia!727:727-"$F;@!3~z"</f>
        <v>#VALUE!</v>
      </c>
      <c r="U402" t="e">
        <f>Asia!728:728-"$F;@!3~{"</f>
        <v>#VALUE!</v>
      </c>
      <c r="V402" t="e">
        <f>Asia!729:729-"$F;@!3~|"</f>
        <v>#VALUE!</v>
      </c>
      <c r="W402" t="e">
        <f>Asia!730:730-"$F;@!3~}"</f>
        <v>#VALUE!</v>
      </c>
      <c r="X402" t="e">
        <f>Asia!731:731-"$F;@!3~~"</f>
        <v>#VALUE!</v>
      </c>
      <c r="Y402" t="e">
        <f>Asia!732:732-"$F;@!4##"</f>
        <v>#VALUE!</v>
      </c>
      <c r="Z402" t="e">
        <f>Asia!733:733-"$F;@!4#$"</f>
        <v>#VALUE!</v>
      </c>
      <c r="AA402" t="e">
        <f>Asia!734:734-"$F;@!4#%"</f>
        <v>#VALUE!</v>
      </c>
      <c r="AB402" t="e">
        <f>Asia!735:735-"$F;@!4#&amp;"</f>
        <v>#VALUE!</v>
      </c>
      <c r="AC402" t="e">
        <f>Asia!736:736-"$F;@!4#'"</f>
        <v>#VALUE!</v>
      </c>
      <c r="AD402" t="e">
        <f>Asia!737:737-"$F;@!4#("</f>
        <v>#VALUE!</v>
      </c>
      <c r="AE402" t="e">
        <f>Asia!738:738-"$F;@!4#)"</f>
        <v>#VALUE!</v>
      </c>
      <c r="AF402" t="e">
        <f>Asia!739:739-"$F;@!4#."</f>
        <v>#VALUE!</v>
      </c>
      <c r="AG402" t="e">
        <f>Asia!740:740-"$F;@!4#/"</f>
        <v>#VALUE!</v>
      </c>
      <c r="AH402" t="e">
        <f>Asia!741:741-"$F;@!4#0"</f>
        <v>#VALUE!</v>
      </c>
      <c r="AI402" t="e">
        <f>Asia!742:742-"$F;@!4#1"</f>
        <v>#VALUE!</v>
      </c>
      <c r="AJ402" t="e">
        <f>Asia!743:743-"$F;@!4#2"</f>
        <v>#VALUE!</v>
      </c>
      <c r="AK402" t="e">
        <f>Asia!744:744-"$F;@!4#3"</f>
        <v>#VALUE!</v>
      </c>
      <c r="AL402" t="e">
        <f>Asia!745:745-"$F;@!4#4"</f>
        <v>#VALUE!</v>
      </c>
      <c r="AM402" t="e">
        <f>Asia!746:746-"$F;@!4#5"</f>
        <v>#VALUE!</v>
      </c>
      <c r="AN402" t="e">
        <f>Asia!747:747-"$F;@!4#6"</f>
        <v>#VALUE!</v>
      </c>
      <c r="AO402" t="e">
        <f>Asia!748:748-"$F;@!4#7"</f>
        <v>#VALUE!</v>
      </c>
      <c r="AP402" t="e">
        <f>Asia!749:749-"$F;@!4#8"</f>
        <v>#VALUE!</v>
      </c>
      <c r="AQ402" t="e">
        <f>Asia!750:750-"$F;@!4#9"</f>
        <v>#VALUE!</v>
      </c>
      <c r="AR402" t="e">
        <f>Asia!751:751-"$F;@!4#:"</f>
        <v>#VALUE!</v>
      </c>
      <c r="AS402" t="e">
        <f>Asia!752:752-"$F;@!4#;"</f>
        <v>#VALUE!</v>
      </c>
      <c r="AT402" t="e">
        <f>Asia!753:753-"$F;@!4#&lt;"</f>
        <v>#VALUE!</v>
      </c>
      <c r="AU402" t="e">
        <f>Asia!754:754-"$F;@!4#="</f>
        <v>#VALUE!</v>
      </c>
      <c r="AV402" t="e">
        <f>Asia!755:755-"$F;@!4#&gt;"</f>
        <v>#VALUE!</v>
      </c>
      <c r="AW402" t="e">
        <f>Asia!756:756-"$F;@!4#?"</f>
        <v>#VALUE!</v>
      </c>
      <c r="AX402" t="e">
        <f>Asia!757:757-"$F;@!4#@"</f>
        <v>#VALUE!</v>
      </c>
      <c r="AY402" t="e">
        <f>Asia!758:758-"$F;@!4#A"</f>
        <v>#VALUE!</v>
      </c>
      <c r="AZ402" t="e">
        <f>Asia!759:759-"$F;@!4#B"</f>
        <v>#VALUE!</v>
      </c>
      <c r="BA402" t="e">
        <f>Asia!760:760-"$F;@!4#C"</f>
        <v>#VALUE!</v>
      </c>
      <c r="BB402" t="e">
        <f>Asia!761:761-"$F;@!4#D"</f>
        <v>#VALUE!</v>
      </c>
      <c r="BC402" t="e">
        <f>Asia!762:762-"$F;@!4#E"</f>
        <v>#VALUE!</v>
      </c>
      <c r="BD402" t="e">
        <f>Asia!763:763-"$F;@!4#F"</f>
        <v>#VALUE!</v>
      </c>
      <c r="BE402" t="e">
        <f>Asia!764:764-"$F;@!4#G"</f>
        <v>#VALUE!</v>
      </c>
      <c r="BF402" t="e">
        <f>Asia!765:765-"$F;@!4#H"</f>
        <v>#VALUE!</v>
      </c>
      <c r="BG402" t="e">
        <f>Asia!766:766-"$F;@!4#I"</f>
        <v>#VALUE!</v>
      </c>
      <c r="BH402" t="e">
        <f>Asia!767:767-"$F;@!4#J"</f>
        <v>#VALUE!</v>
      </c>
      <c r="BI402" t="e">
        <f>Asia!768:768-"$F;@!4#K"</f>
        <v>#VALUE!</v>
      </c>
      <c r="BJ402" t="e">
        <f>Asia!769:769-"$F;@!4#L"</f>
        <v>#VALUE!</v>
      </c>
      <c r="BK402" t="e">
        <f>Asia!770:770-"$F;@!4#M"</f>
        <v>#VALUE!</v>
      </c>
      <c r="BL402" t="e">
        <f>Asia!771:771-"$F;@!4#N"</f>
        <v>#VALUE!</v>
      </c>
      <c r="BM402" t="e">
        <f>Asia!772:772-"$F;@!4#O"</f>
        <v>#VALUE!</v>
      </c>
      <c r="BN402" t="e">
        <f>Asia!773:773-"$F;@!4#P"</f>
        <v>#VALUE!</v>
      </c>
      <c r="BO402" t="e">
        <f>Asia!774:774-"$F;@!4#Q"</f>
        <v>#VALUE!</v>
      </c>
      <c r="BP402" t="e">
        <f>Asia!775:775-"$F;@!4#R"</f>
        <v>#VALUE!</v>
      </c>
      <c r="BQ402" t="e">
        <f>Asia!776:776-"$F;@!4#S"</f>
        <v>#VALUE!</v>
      </c>
      <c r="BR402" t="e">
        <f>Asia!777:777-"$F;@!4#T"</f>
        <v>#VALUE!</v>
      </c>
      <c r="BS402" t="e">
        <f>Asia!778:778-"$F;@!4#U"</f>
        <v>#VALUE!</v>
      </c>
      <c r="BT402" t="e">
        <f>Asia!779:779-"$F;@!4#V"</f>
        <v>#VALUE!</v>
      </c>
      <c r="BU402" t="e">
        <f>Asia!780:780-"$F;@!4#W"</f>
        <v>#VALUE!</v>
      </c>
      <c r="BV402" t="e">
        <f>Asia!781:781-"$F;@!4#X"</f>
        <v>#VALUE!</v>
      </c>
      <c r="BW402" t="e">
        <f>Asia!782:782-"$F;@!4#Y"</f>
        <v>#VALUE!</v>
      </c>
      <c r="BX402" t="e">
        <f>Asia!783:783-"$F;@!4#Z"</f>
        <v>#VALUE!</v>
      </c>
      <c r="BY402" t="e">
        <f>Asia!784:784-"$F;@!4#["</f>
        <v>#VALUE!</v>
      </c>
      <c r="BZ402" t="e">
        <f>Asia!785:785-"$F;@!4#\"</f>
        <v>#VALUE!</v>
      </c>
      <c r="CA402" t="e">
        <f>Asia!786:786-"$F;@!4#]"</f>
        <v>#VALUE!</v>
      </c>
      <c r="CB402" t="e">
        <f>Asia!787:787-"$F;@!4#^"</f>
        <v>#VALUE!</v>
      </c>
      <c r="CC402" t="e">
        <f>Asia!788:788-"$F;@!4#_"</f>
        <v>#VALUE!</v>
      </c>
      <c r="CD402" t="e">
        <f>Asia!789:789-"$F;@!4#`"</f>
        <v>#VALUE!</v>
      </c>
      <c r="CE402" t="e">
        <f>Asia!790:790-"$F;@!4#a"</f>
        <v>#VALUE!</v>
      </c>
      <c r="CF402" t="e">
        <f>Asia!791:791-"$F;@!4#b"</f>
        <v>#VALUE!</v>
      </c>
      <c r="CG402" t="e">
        <f>Asia!792:792-"$F;@!4#c"</f>
        <v>#VALUE!</v>
      </c>
      <c r="CH402" t="e">
        <f>Asia!793:793-"$F;@!4#d"</f>
        <v>#VALUE!</v>
      </c>
      <c r="CI402" t="e">
        <f>Asia!794:794-"$F;@!4#e"</f>
        <v>#VALUE!</v>
      </c>
      <c r="CJ402" t="e">
        <f>Asia!795:795-"$F;@!4#f"</f>
        <v>#VALUE!</v>
      </c>
      <c r="CK402" t="e">
        <f>Asia!796:796-"$F;@!4#g"</f>
        <v>#VALUE!</v>
      </c>
      <c r="CL402" t="e">
        <f>Asia!797:797-"$F;@!4#h"</f>
        <v>#VALUE!</v>
      </c>
      <c r="CM402" t="e">
        <f>Asia!798:798-"$F;@!4#i"</f>
        <v>#VALUE!</v>
      </c>
      <c r="CN402" t="e">
        <f>Asia!799:799-"$F;@!4#j"</f>
        <v>#VALUE!</v>
      </c>
      <c r="CO402" t="e">
        <f>Asia!800:800-"$F;@!4#k"</f>
        <v>#VALUE!</v>
      </c>
      <c r="CP402" t="e">
        <f>Asia!801:801-"$F;@!4#l"</f>
        <v>#VALUE!</v>
      </c>
      <c r="CQ402" t="e">
        <f>Asia!802:802-"$F;@!4#m"</f>
        <v>#VALUE!</v>
      </c>
      <c r="CR402" t="e">
        <f>Asia!803:803-"$F;@!4#n"</f>
        <v>#VALUE!</v>
      </c>
      <c r="CS402" t="e">
        <f>Asia!804:804-"$F;@!4#o"</f>
        <v>#VALUE!</v>
      </c>
      <c r="CT402" t="e">
        <f>Asia!805:805-"$F;@!4#p"</f>
        <v>#VALUE!</v>
      </c>
      <c r="CU402" t="e">
        <f>Asia!806:806-"$F;@!4#q"</f>
        <v>#VALUE!</v>
      </c>
      <c r="CV402" t="e">
        <f>Asia!807:807-"$F;@!4#r"</f>
        <v>#VALUE!</v>
      </c>
      <c r="CW402" t="e">
        <f>Asia!808:808-"$F;@!4#s"</f>
        <v>#VALUE!</v>
      </c>
      <c r="CX402" t="e">
        <f>Asia!809:809-"$F;@!4#t"</f>
        <v>#VALUE!</v>
      </c>
      <c r="CY402" t="e">
        <f>Asia!810:810-"$F;@!4#u"</f>
        <v>#VALUE!</v>
      </c>
      <c r="CZ402" t="e">
        <f>Asia!811:811-"$F;@!4#v"</f>
        <v>#VALUE!</v>
      </c>
      <c r="DA402" t="e">
        <f>Asia!812:812-"$F;@!4#w"</f>
        <v>#VALUE!</v>
      </c>
      <c r="DB402" t="e">
        <f>Asia!813:813-"$F;@!4#x"</f>
        <v>#VALUE!</v>
      </c>
      <c r="DC402" t="e">
        <f>Asia!814:814-"$F;@!4#y"</f>
        <v>#VALUE!</v>
      </c>
      <c r="DD402" t="e">
        <f>Asia!815:815-"$F;@!4#z"</f>
        <v>#VALUE!</v>
      </c>
      <c r="DE402" t="e">
        <f>Asia!816:816-"$F;@!4#{"</f>
        <v>#VALUE!</v>
      </c>
      <c r="DF402" t="e">
        <f>Asia!817:817-"$F;@!4#|"</f>
        <v>#VALUE!</v>
      </c>
      <c r="DG402" t="e">
        <f>Asia!818:818-"$F;@!4#}"</f>
        <v>#VALUE!</v>
      </c>
      <c r="DH402" t="e">
        <f>Asia!819:819-"$F;@!4#~"</f>
        <v>#VALUE!</v>
      </c>
      <c r="DI402" t="e">
        <f>Asia!820:820-"$F;@!4$#"</f>
        <v>#VALUE!</v>
      </c>
      <c r="DJ402" t="e">
        <f>Asia!821:821-"$F;@!4$$"</f>
        <v>#VALUE!</v>
      </c>
      <c r="DK402" t="e">
        <f>Asia!822:822-"$F;@!4$%"</f>
        <v>#VALUE!</v>
      </c>
      <c r="DL402" t="e">
        <f>Asia!823:823-"$F;@!4$&amp;"</f>
        <v>#VALUE!</v>
      </c>
      <c r="DM402" t="e">
        <f>Asia!824:824-"$F;@!4$'"</f>
        <v>#VALUE!</v>
      </c>
      <c r="DN402" t="e">
        <f>Asia!825:825-"$F;@!4$("</f>
        <v>#VALUE!</v>
      </c>
      <c r="DO402" t="e">
        <f>Asia!826:826-"$F;@!4$)"</f>
        <v>#VALUE!</v>
      </c>
      <c r="DP402" t="e">
        <f>Asia!827:827-"$F;@!4$."</f>
        <v>#VALUE!</v>
      </c>
      <c r="DQ402" t="e">
        <f>Asia!828:828-"$F;@!4$/"</f>
        <v>#VALUE!</v>
      </c>
      <c r="DR402" t="e">
        <f>Asia!829:829-"$F;@!4$0"</f>
        <v>#VALUE!</v>
      </c>
      <c r="DS402" t="e">
        <f>Asia!830:830-"$F;@!4$1"</f>
        <v>#VALUE!</v>
      </c>
      <c r="DT402" t="e">
        <f>Asia!831:831-"$F;@!4$2"</f>
        <v>#VALUE!</v>
      </c>
      <c r="DU402" t="e">
        <f>Asia!832:832-"$F;@!4$3"</f>
        <v>#VALUE!</v>
      </c>
      <c r="DV402" t="e">
        <f>Asia!833:833-"$F;@!4$4"</f>
        <v>#VALUE!</v>
      </c>
      <c r="DW402" t="e">
        <f>Asia!834:834-"$F;@!4$5"</f>
        <v>#VALUE!</v>
      </c>
      <c r="DX402" t="e">
        <f>Asia!835:835-"$F;@!4$6"</f>
        <v>#VALUE!</v>
      </c>
      <c r="DY402" t="e">
        <f>Asia!836:836-"$F;@!4$7"</f>
        <v>#VALUE!</v>
      </c>
      <c r="DZ402" t="e">
        <f>Asia!837:837-"$F;@!4$8"</f>
        <v>#VALUE!</v>
      </c>
      <c r="EA402" t="e">
        <f>Asia!838:838-"$F;@!4$9"</f>
        <v>#VALUE!</v>
      </c>
      <c r="EB402" t="e">
        <f>Asia!839:839-"$F;@!4$:"</f>
        <v>#VALUE!</v>
      </c>
      <c r="EC402" t="e">
        <f>Asia!840:840-"$F;@!4$;"</f>
        <v>#VALUE!</v>
      </c>
      <c r="ED402" t="e">
        <f>Asia!841:841-"$F;@!4$&lt;"</f>
        <v>#VALUE!</v>
      </c>
      <c r="EE402" t="e">
        <f>Asia!842:842-"$F;@!4$="</f>
        <v>#VALUE!</v>
      </c>
      <c r="EF402" t="e">
        <f>Asia!843:843-"$F;@!4$&gt;"</f>
        <v>#VALUE!</v>
      </c>
      <c r="EG402" t="e">
        <f>Asia!844:844-"$F;@!4$?"</f>
        <v>#VALUE!</v>
      </c>
      <c r="EH402" t="e">
        <f>Asia!845:845-"$F;@!4$@"</f>
        <v>#VALUE!</v>
      </c>
      <c r="EI402" t="e">
        <f>Asia!846:846-"$F;@!4$A"</f>
        <v>#VALUE!</v>
      </c>
      <c r="EJ402" t="e">
        <f>Asia!847:847-"$F;@!4$B"</f>
        <v>#VALUE!</v>
      </c>
      <c r="EK402" t="e">
        <f>Asia!848:848-"$F;@!4$C"</f>
        <v>#VALUE!</v>
      </c>
      <c r="EL402" t="e">
        <f>Asia!849:849-"$F;@!4$D"</f>
        <v>#VALUE!</v>
      </c>
      <c r="EM402" t="e">
        <f>Asia!850:850-"$F;@!4$E"</f>
        <v>#VALUE!</v>
      </c>
      <c r="EN402" t="e">
        <f>Asia!851:851-"$F;@!4$F"</f>
        <v>#VALUE!</v>
      </c>
      <c r="EO402" t="e">
        <f>Asia!852:852-"$F;@!4$G"</f>
        <v>#VALUE!</v>
      </c>
      <c r="EP402" t="e">
        <f>Asia!853:853-"$F;@!4$H"</f>
        <v>#VALUE!</v>
      </c>
      <c r="EQ402" t="e">
        <f>Asia!854:854-"$F;@!4$I"</f>
        <v>#VALUE!</v>
      </c>
      <c r="ER402" t="e">
        <f>Asia!855:855-"$F;@!4$J"</f>
        <v>#VALUE!</v>
      </c>
      <c r="ES402" t="e">
        <f>Asia!856:856-"$F;@!4$K"</f>
        <v>#VALUE!</v>
      </c>
      <c r="ET402" t="e">
        <f>Asia!857:857-"$F;@!4$L"</f>
        <v>#VALUE!</v>
      </c>
      <c r="EU402" t="e">
        <f>Asia!858:858-"$F;@!4$M"</f>
        <v>#VALUE!</v>
      </c>
      <c r="EV402" t="e">
        <f>Asia!859:859-"$F;@!4$N"</f>
        <v>#VALUE!</v>
      </c>
      <c r="EW402" t="e">
        <f>Asia!860:860-"$F;@!4$O"</f>
        <v>#VALUE!</v>
      </c>
      <c r="EX402" t="e">
        <f>Asia!861:861-"$F;@!4$P"</f>
        <v>#VALUE!</v>
      </c>
      <c r="EY402" t="e">
        <f>Asia!862:862-"$F;@!4$Q"</f>
        <v>#VALUE!</v>
      </c>
      <c r="EZ402" t="e">
        <f>Asia!863:863-"$F;@!4$R"</f>
        <v>#VALUE!</v>
      </c>
      <c r="FA402" t="e">
        <f>Asia!864:864-"$F;@!4$S"</f>
        <v>#VALUE!</v>
      </c>
      <c r="FB402" t="e">
        <f>Asia!865:865-"$F;@!4$T"</f>
        <v>#VALUE!</v>
      </c>
      <c r="FC402" t="e">
        <f>Asia!866:866-"$F;@!4$U"</f>
        <v>#VALUE!</v>
      </c>
      <c r="FD402" t="e">
        <f>Asia!867:867-"$F;@!4$V"</f>
        <v>#VALUE!</v>
      </c>
      <c r="FE402" t="e">
        <f>Asia!868:868-"$F;@!4$W"</f>
        <v>#VALUE!</v>
      </c>
      <c r="FF402" t="e">
        <f>Asia!869:869-"$F;@!4$X"</f>
        <v>#VALUE!</v>
      </c>
      <c r="FG402" t="e">
        <f>Asia!870:870-"$F;@!4$Y"</f>
        <v>#VALUE!</v>
      </c>
      <c r="FH402" t="e">
        <f>Asia!871:871-"$F;@!4$Z"</f>
        <v>#VALUE!</v>
      </c>
      <c r="FI402" t="e">
        <f>Asia!872:872-"$F;@!4$["</f>
        <v>#VALUE!</v>
      </c>
      <c r="FJ402" t="e">
        <f>Asia!873:873-"$F;@!4$\"</f>
        <v>#VALUE!</v>
      </c>
      <c r="FK402" t="e">
        <f>Asia!874:874-"$F;@!4$]"</f>
        <v>#VALUE!</v>
      </c>
      <c r="FL402" t="e">
        <f>Asia!875:875-"$F;@!4$^"</f>
        <v>#VALUE!</v>
      </c>
      <c r="FM402" t="e">
        <f>Asia!876:876-"$F;@!4$_"</f>
        <v>#VALUE!</v>
      </c>
      <c r="FN402" t="e">
        <f>Asia!877:877-"$F;@!4$`"</f>
        <v>#VALUE!</v>
      </c>
      <c r="FO402" t="e">
        <f>Asia!878:878-"$F;@!4$a"</f>
        <v>#VALUE!</v>
      </c>
      <c r="FP402" t="e">
        <f>Asia!879:879-"$F;@!4$b"</f>
        <v>#VALUE!</v>
      </c>
      <c r="FQ402" t="e">
        <f>Asia!880:880-"$F;@!4$c"</f>
        <v>#VALUE!</v>
      </c>
      <c r="FR402" t="e">
        <f>Asia!881:881-"$F;@!4$d"</f>
        <v>#VALUE!</v>
      </c>
      <c r="FS402" t="e">
        <f>Asia!882:882-"$F;@!4$e"</f>
        <v>#VALUE!</v>
      </c>
      <c r="FT402" t="e">
        <f>Asia!883:883-"$F;@!4$f"</f>
        <v>#VALUE!</v>
      </c>
      <c r="FU402" t="e">
        <f>Asia!884:884-"$F;@!4$g"</f>
        <v>#VALUE!</v>
      </c>
      <c r="FV402" t="e">
        <f>Asia!885:885-"$F;@!4$h"</f>
        <v>#VALUE!</v>
      </c>
      <c r="FW402" t="e">
        <f>Asia!886:886-"$F;@!4$i"</f>
        <v>#VALUE!</v>
      </c>
      <c r="FX402" t="e">
        <f>Asia!887:887-"$F;@!4$j"</f>
        <v>#VALUE!</v>
      </c>
      <c r="FY402" t="e">
        <f>Asia!888:888-"$F;@!4$k"</f>
        <v>#VALUE!</v>
      </c>
      <c r="FZ402" t="e">
        <f>Asia!889:889-"$F;@!4$l"</f>
        <v>#VALUE!</v>
      </c>
      <c r="GA402" t="e">
        <f>Asia!890:890-"$F;@!4$m"</f>
        <v>#VALUE!</v>
      </c>
      <c r="GB402" t="e">
        <f>Asia!891:891-"$F;@!4$n"</f>
        <v>#VALUE!</v>
      </c>
      <c r="GC402" t="e">
        <f>Asia!892:892-"$F;@!4$o"</f>
        <v>#VALUE!</v>
      </c>
      <c r="GD402" t="e">
        <f>Asia!893:893-"$F;@!4$p"</f>
        <v>#VALUE!</v>
      </c>
      <c r="GE402" t="e">
        <f>Asia!894:894-"$F;@!4$q"</f>
        <v>#VALUE!</v>
      </c>
      <c r="GF402" t="e">
        <f>Asia!895:895-"$F;@!4$r"</f>
        <v>#VALUE!</v>
      </c>
      <c r="GG402" t="e">
        <f>Asia!896:896-"$F;@!4$s"</f>
        <v>#VALUE!</v>
      </c>
      <c r="GH402" t="e">
        <f>Asia!897:897-"$F;@!4$t"</f>
        <v>#VALUE!</v>
      </c>
      <c r="GI402" t="e">
        <f>Asia!898:898-"$F;@!4$u"</f>
        <v>#VALUE!</v>
      </c>
      <c r="GJ402" t="e">
        <f>Asia!899:899-"$F;@!4$v"</f>
        <v>#VALUE!</v>
      </c>
      <c r="GK402" t="e">
        <f>Asia!900:900-"$F;@!4$w"</f>
        <v>#VALUE!</v>
      </c>
      <c r="GL402" t="e">
        <f>Asia!901:901-"$F;@!4$x"</f>
        <v>#VALUE!</v>
      </c>
      <c r="GM402" t="e">
        <f>Asia!902:902-"$F;@!4$y"</f>
        <v>#VALUE!</v>
      </c>
      <c r="GN402" t="e">
        <f>Asia!903:903-"$F;@!4$z"</f>
        <v>#VALUE!</v>
      </c>
      <c r="GO402" t="e">
        <f>Asia!904:904-"$F;@!4${"</f>
        <v>#VALUE!</v>
      </c>
      <c r="GP402" t="e">
        <f>Asia!905:905-"$F;@!4$|"</f>
        <v>#VALUE!</v>
      </c>
      <c r="GQ402" t="e">
        <f>Asia!906:906-"$F;@!4$}"</f>
        <v>#VALUE!</v>
      </c>
      <c r="GR402" t="e">
        <f>Asia!907:907-"$F;@!4$~"</f>
        <v>#VALUE!</v>
      </c>
      <c r="GS402" t="e">
        <f>Asia!908:908-"$F;@!4%#"</f>
        <v>#VALUE!</v>
      </c>
      <c r="GT402" t="e">
        <f>Asia!909:909-"$F;@!4%$"</f>
        <v>#VALUE!</v>
      </c>
      <c r="GU402" t="e">
        <f>Asia!910:910-"$F;@!4%%"</f>
        <v>#VALUE!</v>
      </c>
      <c r="GV402" t="e">
        <f>Asia!911:911-"$F;@!4%&amp;"</f>
        <v>#VALUE!</v>
      </c>
      <c r="GW402" t="e">
        <f>Asia!912:912-"$F;@!4%'"</f>
        <v>#VALUE!</v>
      </c>
      <c r="GX402" t="e">
        <f>Asia!913:913-"$F;@!4%("</f>
        <v>#VALUE!</v>
      </c>
      <c r="GY402" t="e">
        <f>Asia!914:914-"$F;@!4%)"</f>
        <v>#VALUE!</v>
      </c>
      <c r="GZ402" t="e">
        <f>Asia!915:915-"$F;@!4%."</f>
        <v>#VALUE!</v>
      </c>
      <c r="HA402" t="e">
        <f>Asia!916:916-"$F;@!4%/"</f>
        <v>#VALUE!</v>
      </c>
      <c r="HB402" t="e">
        <f>Asia!917:917-"$F;@!4%0"</f>
        <v>#VALUE!</v>
      </c>
      <c r="HC402" t="e">
        <f>Asia!918:918-"$F;@!4%1"</f>
        <v>#VALUE!</v>
      </c>
      <c r="HD402" t="e">
        <f>Asia!919:919-"$F;@!4%2"</f>
        <v>#VALUE!</v>
      </c>
      <c r="HE402" t="e">
        <f>Asia!920:920-"$F;@!4%3"</f>
        <v>#VALUE!</v>
      </c>
      <c r="HF402" t="e">
        <f>Asia!921:921-"$F;@!4%4"</f>
        <v>#VALUE!</v>
      </c>
      <c r="HG402" t="e">
        <f>Asia!922:922-"$F;@!4%5"</f>
        <v>#VALUE!</v>
      </c>
      <c r="HH402" t="e">
        <f>Asia!923:923-"$F;@!4%6"</f>
        <v>#VALUE!</v>
      </c>
      <c r="HI402" t="e">
        <f>Asia!924:924-"$F;@!4%7"</f>
        <v>#VALUE!</v>
      </c>
      <c r="HJ402" t="e">
        <f>Asia!925:925-"$F;@!4%8"</f>
        <v>#VALUE!</v>
      </c>
      <c r="HK402" t="e">
        <f>Asia!926:926-"$F;@!4%9"</f>
        <v>#VALUE!</v>
      </c>
      <c r="HL402" t="e">
        <f>Asia!927:927-"$F;@!4%:"</f>
        <v>#VALUE!</v>
      </c>
      <c r="HM402" t="e">
        <f>Asia!928:928-"$F;@!4%;"</f>
        <v>#VALUE!</v>
      </c>
      <c r="HN402" t="e">
        <f>Asia!929:929-"$F;@!4%&lt;"</f>
        <v>#VALUE!</v>
      </c>
      <c r="HO402" t="e">
        <f>Asia!930:930-"$F;@!4%="</f>
        <v>#VALUE!</v>
      </c>
      <c r="HP402" t="e">
        <f>Asia!931:931-"$F;@!4%&gt;"</f>
        <v>#VALUE!</v>
      </c>
      <c r="HQ402" t="e">
        <f>Asia!932:932-"$F;@!4%?"</f>
        <v>#VALUE!</v>
      </c>
      <c r="HR402" t="e">
        <f>Asia!933:933-"$F;@!4%@"</f>
        <v>#VALUE!</v>
      </c>
      <c r="HS402" t="e">
        <f>Asia!934:934-"$F;@!4%A"</f>
        <v>#VALUE!</v>
      </c>
      <c r="HT402" t="e">
        <f>Asia!935:935-"$F;@!4%B"</f>
        <v>#VALUE!</v>
      </c>
      <c r="HU402" t="e">
        <f>Asia!936:936-"$F;@!4%C"</f>
        <v>#VALUE!</v>
      </c>
      <c r="HV402" t="e">
        <f>Asia!937:937-"$F;@!4%D"</f>
        <v>#VALUE!</v>
      </c>
      <c r="HW402" t="e">
        <f>Asia!938:938-"$F;@!4%E"</f>
        <v>#VALUE!</v>
      </c>
      <c r="HX402" t="e">
        <f>Asia!939:939-"$F;@!4%F"</f>
        <v>#VALUE!</v>
      </c>
      <c r="HY402" t="e">
        <f>Asia!940:940-"$F;@!4%G"</f>
        <v>#VALUE!</v>
      </c>
      <c r="HZ402" t="e">
        <f>Asia!941:941-"$F;@!4%H"</f>
        <v>#VALUE!</v>
      </c>
      <c r="IA402" t="e">
        <f>Asia!942:942-"$F;@!4%I"</f>
        <v>#VALUE!</v>
      </c>
      <c r="IB402" t="e">
        <f>Asia!943:943-"$F;@!4%J"</f>
        <v>#VALUE!</v>
      </c>
      <c r="IC402" t="e">
        <f>Asia!944:944-"$F;@!4%K"</f>
        <v>#VALUE!</v>
      </c>
      <c r="ID402" t="e">
        <f>Asia!945:945-"$F;@!4%L"</f>
        <v>#VALUE!</v>
      </c>
      <c r="IE402" t="e">
        <f>Asia!946:946-"$F;@!4%M"</f>
        <v>#VALUE!</v>
      </c>
      <c r="IF402" t="e">
        <f>Asia!947:947-"$F;@!4%N"</f>
        <v>#VALUE!</v>
      </c>
      <c r="IG402" t="e">
        <f>Asia!948:948-"$F;@!4%O"</f>
        <v>#VALUE!</v>
      </c>
      <c r="IH402" t="e">
        <f>Asia!949:949-"$F;@!4%P"</f>
        <v>#VALUE!</v>
      </c>
      <c r="II402" t="e">
        <f>Asia!950:950-"$F;@!4%Q"</f>
        <v>#VALUE!</v>
      </c>
      <c r="IJ402" t="e">
        <f>Asia!951:951-"$F;@!4%R"</f>
        <v>#VALUE!</v>
      </c>
      <c r="IK402" t="e">
        <f>Asia!952:952-"$F;@!4%S"</f>
        <v>#VALUE!</v>
      </c>
      <c r="IL402" t="e">
        <f>Asia!953:953-"$F;@!4%T"</f>
        <v>#VALUE!</v>
      </c>
      <c r="IM402" t="e">
        <f>Asia!954:954-"$F;@!4%U"</f>
        <v>#VALUE!</v>
      </c>
      <c r="IN402" t="e">
        <f>Asia!955:955-"$F;@!4%V"</f>
        <v>#VALUE!</v>
      </c>
      <c r="IO402" t="e">
        <f>Asia!956:956-"$F;@!4%W"</f>
        <v>#VALUE!</v>
      </c>
      <c r="IP402" t="e">
        <f>Asia!957:957-"$F;@!4%X"</f>
        <v>#VALUE!</v>
      </c>
      <c r="IQ402" t="e">
        <f>Asia!958:958-"$F;@!4%Y"</f>
        <v>#VALUE!</v>
      </c>
      <c r="IR402" t="e">
        <f>Asia!959:959-"$F;@!4%Z"</f>
        <v>#VALUE!</v>
      </c>
      <c r="IS402" t="e">
        <f>Asia!960:960-"$F;@!4%["</f>
        <v>#VALUE!</v>
      </c>
      <c r="IT402" t="e">
        <f>Asia!961:961-"$F;@!4%\"</f>
        <v>#VALUE!</v>
      </c>
      <c r="IU402" t="e">
        <f>Asia!962:962-"$F;@!4%]"</f>
        <v>#VALUE!</v>
      </c>
      <c r="IV402" t="e">
        <f>Asia!963:963-"$F;@!4%^"</f>
        <v>#VALUE!</v>
      </c>
    </row>
    <row r="403" spans="6:256" x14ac:dyDescent="0.35">
      <c r="F403" t="e">
        <f>Asia!964:964-"$F;@!4%_"</f>
        <v>#VALUE!</v>
      </c>
      <c r="G403" t="e">
        <f>Asia!965:965-"$F;@!4%`"</f>
        <v>#VALUE!</v>
      </c>
      <c r="H403" t="e">
        <f>Asia!966:966-"$F;@!4%a"</f>
        <v>#VALUE!</v>
      </c>
      <c r="I403" t="e">
        <f>Asia!967:967-"$F;@!4%b"</f>
        <v>#VALUE!</v>
      </c>
      <c r="J403" t="e">
        <f>Asia!968:968-"$F;@!4%c"</f>
        <v>#VALUE!</v>
      </c>
      <c r="K403" t="e">
        <f>Asia!969:969-"$F;@!4%d"</f>
        <v>#VALUE!</v>
      </c>
      <c r="L403" t="e">
        <f>Asia!970:970-"$F;@!4%e"</f>
        <v>#VALUE!</v>
      </c>
      <c r="M403" t="e">
        <f>Asia!971:971-"$F;@!4%f"</f>
        <v>#VALUE!</v>
      </c>
      <c r="N403" t="e">
        <f>Asia!972:972-"$F;@!4%g"</f>
        <v>#VALUE!</v>
      </c>
      <c r="O403" t="e">
        <f>Asia!973:973-"$F;@!4%h"</f>
        <v>#VALUE!</v>
      </c>
      <c r="P403" t="e">
        <f>Asia!974:974-"$F;@!4%i"</f>
        <v>#VALUE!</v>
      </c>
      <c r="Q403" t="e">
        <f>Asia!975:975-"$F;@!4%j"</f>
        <v>#VALUE!</v>
      </c>
      <c r="R403" t="e">
        <f>Asia!976:976-"$F;@!4%k"</f>
        <v>#VALUE!</v>
      </c>
      <c r="S403" t="e">
        <f>Asia!977:977-"$F;@!4%l"</f>
        <v>#VALUE!</v>
      </c>
      <c r="T403" t="e">
        <f>Asia!978:978-"$F;@!4%m"</f>
        <v>#VALUE!</v>
      </c>
      <c r="U403" t="e">
        <f>Asia!979:979-"$F;@!4%n"</f>
        <v>#VALUE!</v>
      </c>
      <c r="V403" t="e">
        <f>Asia!980:980-"$F;@!4%o"</f>
        <v>#VALUE!</v>
      </c>
      <c r="W403" t="e">
        <f>Asia!981:981-"$F;@!4%p"</f>
        <v>#VALUE!</v>
      </c>
      <c r="X403" t="e">
        <f>Asia!982:982-"$F;@!4%q"</f>
        <v>#VALUE!</v>
      </c>
      <c r="Y403" t="e">
        <f>Asia!983:983-"$F;@!4%r"</f>
        <v>#VALUE!</v>
      </c>
      <c r="Z403" t="e">
        <f>Asia!984:984-"$F;@!4%s"</f>
        <v>#VALUE!</v>
      </c>
      <c r="AA403" t="e">
        <f>Asia!985:985-"$F;@!4%t"</f>
        <v>#VALUE!</v>
      </c>
      <c r="AB403" t="e">
        <f>Asia!986:986-"$F;@!4%u"</f>
        <v>#VALUE!</v>
      </c>
      <c r="AC403" t="e">
        <f>Asia!987:987-"$F;@!4%v"</f>
        <v>#VALUE!</v>
      </c>
      <c r="AD403" t="e">
        <f>Asia!988:988-"$F;@!4%w"</f>
        <v>#VALUE!</v>
      </c>
      <c r="AE403" t="e">
        <f>Asia!989:989-"$F;@!4%x"</f>
        <v>#VALUE!</v>
      </c>
      <c r="AF403" t="e">
        <f>Asia!990:990-"$F;@!4%y"</f>
        <v>#VALUE!</v>
      </c>
      <c r="AG403" t="e">
        <f>Asia!991:991-"$F;@!4%z"</f>
        <v>#VALUE!</v>
      </c>
      <c r="AH403" t="e">
        <f>Asia!992:992-"$F;@!4%{"</f>
        <v>#VALUE!</v>
      </c>
      <c r="AI403" t="e">
        <f>Asia!993:993-"$F;@!4%|"</f>
        <v>#VALUE!</v>
      </c>
      <c r="AJ403" t="e">
        <f>Asia!994:994-"$F;@!4%}"</f>
        <v>#VALUE!</v>
      </c>
      <c r="AK403" t="e">
        <f>Asia!995:995-"$F;@!4%~"</f>
        <v>#VALUE!</v>
      </c>
      <c r="AL403" t="e">
        <f>Asia!996:996-"$F;@!4&amp;#"</f>
        <v>#VALUE!</v>
      </c>
      <c r="AM403" t="e">
        <f>Asia!997:997-"$F;@!4&amp;$"</f>
        <v>#VALUE!</v>
      </c>
      <c r="AN403" t="e">
        <f>Asia!998:998-"$F;@!4&amp;%"</f>
        <v>#VALUE!</v>
      </c>
      <c r="AO403" t="e">
        <f>Asia!999:999-"$F;@!4&amp;&amp;"</f>
        <v>#VALUE!</v>
      </c>
      <c r="AP403" t="e">
        <f>Asia!1000:1000-"$F;@!4&amp;'"</f>
        <v>#VALUE!</v>
      </c>
      <c r="AQ403" t="e">
        <f>Asia!1001:1001-"$F;@!4&amp;("</f>
        <v>#VALUE!</v>
      </c>
      <c r="AR403" t="e">
        <f>Asia!1002:1002-"$F;@!4&amp;)"</f>
        <v>#VALUE!</v>
      </c>
      <c r="AS403" t="e">
        <f>Asia!1003:1003-"$F;@!4&amp;."</f>
        <v>#VALUE!</v>
      </c>
      <c r="AT403" t="e">
        <f>Asia!1004:1004-"$F;@!4&amp;/"</f>
        <v>#VALUE!</v>
      </c>
      <c r="AU403" t="e">
        <f>Asia!1005:1005-"$F;@!4&amp;0"</f>
        <v>#VALUE!</v>
      </c>
      <c r="AV403" t="e">
        <f>Asia!1006:1006-"$F;@!4&amp;1"</f>
        <v>#VALUE!</v>
      </c>
      <c r="AW403" t="e">
        <f>Asia!1007:1007-"$F;@!4&amp;2"</f>
        <v>#VALUE!</v>
      </c>
      <c r="AX403" t="e">
        <f>Asia!1008:1008-"$F;@!4&amp;3"</f>
        <v>#VALUE!</v>
      </c>
      <c r="AY403" t="e">
        <f>Asia!1009:1009-"$F;@!4&amp;4"</f>
        <v>#VALUE!</v>
      </c>
      <c r="AZ403" t="e">
        <f>Asia!1010:1010-"$F;@!4&amp;5"</f>
        <v>#VALUE!</v>
      </c>
      <c r="BA403" t="e">
        <f>Asia!1011:1011-"$F;@!4&amp;6"</f>
        <v>#VALUE!</v>
      </c>
      <c r="BB403" t="e">
        <f>Asia!1012:1012-"$F;@!4&amp;7"</f>
        <v>#VALUE!</v>
      </c>
      <c r="BC403" t="e">
        <f>Asia!1013:1013-"$F;@!4&amp;8"</f>
        <v>#VALUE!</v>
      </c>
      <c r="BD403" t="e">
        <f>Asia!1014:1014-"$F;@!4&amp;9"</f>
        <v>#VALUE!</v>
      </c>
      <c r="BE403" t="e">
        <f>Asia!1015:1015-"$F;@!4&amp;:"</f>
        <v>#VALUE!</v>
      </c>
      <c r="BF403" t="e">
        <f>Asia!1016:1016-"$F;@!4&amp;;"</f>
        <v>#VALUE!</v>
      </c>
      <c r="BG403" t="e">
        <f>Asia!1017:1017-"$F;@!4&amp;&lt;"</f>
        <v>#VALUE!</v>
      </c>
      <c r="BH403" t="e">
        <f>Asia!1018:1018-"$F;@!4&amp;="</f>
        <v>#VALUE!</v>
      </c>
      <c r="BI403" t="e">
        <f>Asia!1019:1019-"$F;@!4&amp;&gt;"</f>
        <v>#VALUE!</v>
      </c>
      <c r="BJ403" t="e">
        <f>Asia!1020:1020-"$F;@!4&amp;?"</f>
        <v>#VALUE!</v>
      </c>
      <c r="BK403" t="e">
        <f>Asia!1021:1021-"$F;@!4&amp;@"</f>
        <v>#VALUE!</v>
      </c>
      <c r="BL403" t="e">
        <f>Asia!1022:1022-"$F;@!4&amp;A"</f>
        <v>#VALUE!</v>
      </c>
      <c r="BM403" t="e">
        <f>Asia!1023:1023-"$F;@!4&amp;B"</f>
        <v>#VALUE!</v>
      </c>
      <c r="BN403" t="e">
        <f>Asia!1024:1024-"$F;@!4&amp;C"</f>
        <v>#VALUE!</v>
      </c>
      <c r="BO403" t="e">
        <f>Asia!1025:1025-"$F;@!4&amp;D"</f>
        <v>#VALUE!</v>
      </c>
      <c r="BP403" t="e">
        <f>Asia!1026:1026-"$F;@!4&amp;E"</f>
        <v>#VALUE!</v>
      </c>
      <c r="BQ403" t="e">
        <f>Asia!1027:1027-"$F;@!4&amp;F"</f>
        <v>#VALUE!</v>
      </c>
      <c r="BR403" t="e">
        <f>Asia!1028:1028-"$F;@!4&amp;G"</f>
        <v>#VALUE!</v>
      </c>
      <c r="BS403" t="e">
        <f>Asia!1029:1029-"$F;@!4&amp;H"</f>
        <v>#VALUE!</v>
      </c>
      <c r="BT403" t="e">
        <f>Asia!1030:1030-"$F;@!4&amp;I"</f>
        <v>#VALUE!</v>
      </c>
      <c r="BU403" t="e">
        <f>Asia!1031:1031-"$F;@!4&amp;J"</f>
        <v>#VALUE!</v>
      </c>
      <c r="BV403" t="e">
        <f>Asia!1032:1032-"$F;@!4&amp;K"</f>
        <v>#VALUE!</v>
      </c>
      <c r="BW403" t="e">
        <f>Asia!1033:1033-"$F;@!4&amp;L"</f>
        <v>#VALUE!</v>
      </c>
      <c r="BX403" t="e">
        <f>Asia!1034:1034-"$F;@!4&amp;M"</f>
        <v>#VALUE!</v>
      </c>
      <c r="BY403" t="e">
        <f>Asia!1035:1035-"$F;@!4&amp;N"</f>
        <v>#VALUE!</v>
      </c>
      <c r="BZ403" t="e">
        <f>Asia!1036:1036-"$F;@!4&amp;O"</f>
        <v>#VALUE!</v>
      </c>
      <c r="CA403" t="e">
        <f>Asia!1037:1037-"$F;@!4&amp;P"</f>
        <v>#VALUE!</v>
      </c>
      <c r="CB403" t="e">
        <f>Asia!1038:1038-"$F;@!4&amp;Q"</f>
        <v>#VALUE!</v>
      </c>
      <c r="CC403" t="e">
        <f>Asia!1039:1039-"$F;@!4&amp;R"</f>
        <v>#VALUE!</v>
      </c>
      <c r="CD403" t="e">
        <f>Asia!1040:1040-"$F;@!4&amp;S"</f>
        <v>#VALUE!</v>
      </c>
      <c r="CE403" t="e">
        <f>Asia!1041:1041-"$F;@!4&amp;T"</f>
        <v>#VALUE!</v>
      </c>
      <c r="CF403" t="e">
        <f>Asia!1042:1042-"$F;@!4&amp;U"</f>
        <v>#VALUE!</v>
      </c>
      <c r="CG403" t="e">
        <f>Asia!1043:1043-"$F;@!4&amp;V"</f>
        <v>#VALUE!</v>
      </c>
      <c r="CH403" t="e">
        <f>Asia!1044:1044-"$F;@!4&amp;W"</f>
        <v>#VALUE!</v>
      </c>
      <c r="CI403" t="e">
        <f>Asia!1045:1045-"$F;@!4&amp;X"</f>
        <v>#VALUE!</v>
      </c>
      <c r="CJ403" t="e">
        <f>Asia!1046:1046-"$F;@!4&amp;Y"</f>
        <v>#VALUE!</v>
      </c>
      <c r="CK403" t="e">
        <f>Asia!1047:1047-"$F;@!4&amp;Z"</f>
        <v>#VALUE!</v>
      </c>
      <c r="CL403" t="e">
        <f>Asia!1048:1048-"$F;@!4&amp;["</f>
        <v>#VALUE!</v>
      </c>
      <c r="CM403" t="e">
        <f>Asia!1049:1049-"$F;@!4&amp;\"</f>
        <v>#VALUE!</v>
      </c>
      <c r="CN403" t="e">
        <f>Asia!1050:1050-"$F;@!4&amp;]"</f>
        <v>#VALUE!</v>
      </c>
      <c r="CO403" t="e">
        <f>Asia!1051:1051-"$F;@!4&amp;^"</f>
        <v>#VALUE!</v>
      </c>
      <c r="CP403" t="e">
        <f>Asia!1052:1052-"$F;@!4&amp;_"</f>
        <v>#VALUE!</v>
      </c>
      <c r="CQ403" t="e">
        <f>Asia!1053:1053-"$F;@!4&amp;`"</f>
        <v>#VALUE!</v>
      </c>
      <c r="CR403" t="e">
        <f>Asia!1054:1054-"$F;@!4&amp;a"</f>
        <v>#VALUE!</v>
      </c>
      <c r="CS403" t="e">
        <f>Asia!1055:1055-"$F;@!4&amp;b"</f>
        <v>#VALUE!</v>
      </c>
      <c r="CT403" t="e">
        <f>Asia!1056:1056-"$F;@!4&amp;c"</f>
        <v>#VALUE!</v>
      </c>
      <c r="CU403" t="e">
        <f>Asia!1057:1057-"$F;@!4&amp;d"</f>
        <v>#VALUE!</v>
      </c>
      <c r="CV403" t="e">
        <f>Asia!1058:1058-"$F;@!4&amp;e"</f>
        <v>#VALUE!</v>
      </c>
      <c r="CW403" t="e">
        <f>Asia!1059:1059-"$F;@!4&amp;f"</f>
        <v>#VALUE!</v>
      </c>
      <c r="CX403" t="e">
        <f>Asia!1060:1060-"$F;@!4&amp;g"</f>
        <v>#VALUE!</v>
      </c>
      <c r="CY403" t="e">
        <f>Asia!1061:1061-"$F;@!4&amp;h"</f>
        <v>#VALUE!</v>
      </c>
      <c r="CZ403" t="e">
        <f>Asia!1062:1062-"$F;@!4&amp;i"</f>
        <v>#VALUE!</v>
      </c>
      <c r="DA403" t="e">
        <f>Asia!1063:1063-"$F;@!4&amp;j"</f>
        <v>#VALUE!</v>
      </c>
      <c r="DB403" t="e">
        <f>Asia!1064:1064-"$F;@!4&amp;k"</f>
        <v>#VALUE!</v>
      </c>
      <c r="DC403" t="e">
        <f>Asia!1065:1065-"$F;@!4&amp;l"</f>
        <v>#VALUE!</v>
      </c>
      <c r="DD403" t="e">
        <f>Asia!1066:1066-"$F;@!4&amp;m"</f>
        <v>#VALUE!</v>
      </c>
      <c r="DE403" t="e">
        <f>Asia!1067:1067-"$F;@!4&amp;n"</f>
        <v>#VALUE!</v>
      </c>
      <c r="DF403" t="e">
        <f>Asia!1068:1068-"$F;@!4&amp;o"</f>
        <v>#VALUE!</v>
      </c>
      <c r="DG403" t="e">
        <f>Asia!1069:1069-"$F;@!4&amp;p"</f>
        <v>#VALUE!</v>
      </c>
      <c r="DH403" t="e">
        <f>Asia!1070:1070-"$F;@!4&amp;q"</f>
        <v>#VALUE!</v>
      </c>
      <c r="DI403" t="e">
        <f>Asia!1071:1071-"$F;@!4&amp;r"</f>
        <v>#VALUE!</v>
      </c>
      <c r="DJ403" t="e">
        <f>Asia!1072:1072-"$F;@!4&amp;s"</f>
        <v>#VALUE!</v>
      </c>
      <c r="DK403" t="e">
        <f>Asia!1073:1073-"$F;@!4&amp;t"</f>
        <v>#VALUE!</v>
      </c>
      <c r="DL403" t="e">
        <f>Asia!1074:1074-"$F;@!4&amp;u"</f>
        <v>#VALUE!</v>
      </c>
      <c r="DM403" t="e">
        <f>Asia!1075:1075-"$F;@!4&amp;v"</f>
        <v>#VALUE!</v>
      </c>
      <c r="DN403" t="e">
        <f>Asia!1076:1076-"$F;@!4&amp;w"</f>
        <v>#VALUE!</v>
      </c>
      <c r="DO403" t="e">
        <f>Asia!1077:1077-"$F;@!4&amp;x"</f>
        <v>#VALUE!</v>
      </c>
      <c r="DP403" t="e">
        <f>Asia!1078:1078-"$F;@!4&amp;y"</f>
        <v>#VALUE!</v>
      </c>
      <c r="DQ403" t="e">
        <f>Asia!1079:1079-"$F;@!4&amp;z"</f>
        <v>#VALUE!</v>
      </c>
      <c r="DR403" t="e">
        <f>Asia!1080:1080-"$F;@!4&amp;{"</f>
        <v>#VALUE!</v>
      </c>
      <c r="DS403" t="e">
        <f>Asia!1081:1081-"$F;@!4&amp;|"</f>
        <v>#VALUE!</v>
      </c>
      <c r="DT403" t="e">
        <f>Asia!1082:1082-"$F;@!4&amp;}"</f>
        <v>#VALUE!</v>
      </c>
      <c r="DU403" t="e">
        <f>Asia!1083:1083-"$F;@!4&amp;~"</f>
        <v>#VALUE!</v>
      </c>
      <c r="DV403" t="e">
        <f>Asia!1084:1084-"$F;@!4'#"</f>
        <v>#VALUE!</v>
      </c>
      <c r="DW403" t="e">
        <f>Asia!1085:1085-"$F;@!4'$"</f>
        <v>#VALUE!</v>
      </c>
      <c r="DX403" t="e">
        <f>Asia!1086:1086-"$F;@!4'%"</f>
        <v>#VALUE!</v>
      </c>
      <c r="DY403" t="e">
        <f>Asia!1087:1087-"$F;@!4'&amp;"</f>
        <v>#VALUE!</v>
      </c>
      <c r="DZ403" t="e">
        <f>Asia!1088:1088-"$F;@!4''"</f>
        <v>#VALUE!</v>
      </c>
      <c r="EA403" t="e">
        <f>Asia!1089:1089-"$F;@!4'("</f>
        <v>#VALUE!</v>
      </c>
      <c r="EB403" t="e">
        <f>Asia!1090:1090-"$F;@!4')"</f>
        <v>#VALUE!</v>
      </c>
      <c r="EC403" t="e">
        <f>Asia!1091:1091-"$F;@!4'."</f>
        <v>#VALUE!</v>
      </c>
      <c r="ED403" t="e">
        <f>Asia!1092:1092-"$F;@!4'/"</f>
        <v>#VALUE!</v>
      </c>
      <c r="EE403" t="e">
        <f>Asia!1093:1093-"$F;@!4'0"</f>
        <v>#VALUE!</v>
      </c>
      <c r="EF403" t="e">
        <f>Asia!1094:1094-"$F;@!4'1"</f>
        <v>#VALUE!</v>
      </c>
      <c r="EG403" t="e">
        <f>Asia!1095:1095-"$F;@!4'2"</f>
        <v>#VALUE!</v>
      </c>
      <c r="EH403" t="e">
        <f>Asia!1096:1096-"$F;@!4'3"</f>
        <v>#VALUE!</v>
      </c>
      <c r="EI403" t="e">
        <f>Asia!1097:1097-"$F;@!4'4"</f>
        <v>#VALUE!</v>
      </c>
      <c r="EJ403" t="e">
        <f>Asia!1098:1098-"$F;@!4'5"</f>
        <v>#VALUE!</v>
      </c>
      <c r="EK403" t="e">
        <f>Asia!1099:1099-"$F;@!4'6"</f>
        <v>#VALUE!</v>
      </c>
      <c r="EL403" t="e">
        <f>Asia!1100:1100-"$F;@!4'7"</f>
        <v>#VALUE!</v>
      </c>
      <c r="EM403" t="e">
        <f>Asia!1101:1101-"$F;@!4'8"</f>
        <v>#VALUE!</v>
      </c>
      <c r="EN403" t="e">
        <f>Asia!1102:1102-"$F;@!4'9"</f>
        <v>#VALUE!</v>
      </c>
      <c r="EO403" t="e">
        <f>Asia!1103:1103-"$F;@!4':"</f>
        <v>#VALUE!</v>
      </c>
      <c r="EP403" t="e">
        <f>Asia!1104:1104-"$F;@!4';"</f>
        <v>#VALUE!</v>
      </c>
      <c r="EQ403" t="e">
        <f>Asia!1105:1105-"$F;@!4'&lt;"</f>
        <v>#VALUE!</v>
      </c>
      <c r="ER403" t="e">
        <f>Asia!1106:1106-"$F;@!4'="</f>
        <v>#VALUE!</v>
      </c>
      <c r="ES403" t="e">
        <f>Asia!1107:1107-"$F;@!4'&gt;"</f>
        <v>#VALUE!</v>
      </c>
      <c r="ET403" t="e">
        <f>Asia!1108:1108-"$F;@!4'?"</f>
        <v>#VALUE!</v>
      </c>
      <c r="EU403" t="e">
        <f>Asia!1109:1109-"$F;@!4'@"</f>
        <v>#VALUE!</v>
      </c>
      <c r="EV403" t="e">
        <f>Asia!1110:1110-"$F;@!4'A"</f>
        <v>#VALUE!</v>
      </c>
      <c r="EW403" t="e">
        <f>Asia!1111:1111-"$F;@!4'B"</f>
        <v>#VALUE!</v>
      </c>
      <c r="EX403" t="e">
        <f>Asia!1112:1112-"$F;@!4'C"</f>
        <v>#VALUE!</v>
      </c>
      <c r="EY403" t="e">
        <f>Asia!1113:1113-"$F;@!4'D"</f>
        <v>#VALUE!</v>
      </c>
      <c r="EZ403" t="e">
        <f>Asia!1114:1114-"$F;@!4'E"</f>
        <v>#VALUE!</v>
      </c>
      <c r="FA403" t="e">
        <f>Asia!1115:1115-"$F;@!4'F"</f>
        <v>#VALUE!</v>
      </c>
      <c r="FB403" t="e">
        <f>Asia!1116:1116-"$F;@!4'G"</f>
        <v>#VALUE!</v>
      </c>
      <c r="FC403" t="e">
        <f>Asia!1117:1117-"$F;@!4'H"</f>
        <v>#VALUE!</v>
      </c>
      <c r="FD403" t="e">
        <f>Asia!1118:1118-"$F;@!4'I"</f>
        <v>#VALUE!</v>
      </c>
      <c r="FE403" t="e">
        <f>Asia!1119:1119-"$F;@!4'J"</f>
        <v>#VALUE!</v>
      </c>
      <c r="FF403" t="e">
        <f>Asia!1120:1120-"$F;@!4'K"</f>
        <v>#VALUE!</v>
      </c>
      <c r="FG403" t="e">
        <f>Asia!1121:1121-"$F;@!4'L"</f>
        <v>#VALUE!</v>
      </c>
      <c r="FH403" t="e">
        <f>Asia!1122:1122-"$F;@!4'M"</f>
        <v>#VALUE!</v>
      </c>
      <c r="FI403" t="e">
        <f>Asia!1123:1123-"$F;@!4'N"</f>
        <v>#VALUE!</v>
      </c>
      <c r="FJ403" t="e">
        <f>Asia!1124:1124-"$F;@!4'O"</f>
        <v>#VALUE!</v>
      </c>
      <c r="FK403" t="e">
        <f>Asia!1125:1125-"$F;@!4'P"</f>
        <v>#VALUE!</v>
      </c>
      <c r="FL403" t="e">
        <f>Asia!1126:1126-"$F;@!4'Q"</f>
        <v>#VALUE!</v>
      </c>
      <c r="FM403" t="e">
        <f>Asia!1127:1127-"$F;@!4'R"</f>
        <v>#VALUE!</v>
      </c>
      <c r="FN403" t="e">
        <f>Asia!1128:1128-"$F;@!4'S"</f>
        <v>#VALUE!</v>
      </c>
      <c r="FO403" t="e">
        <f>Asia!1129:1129-"$F;@!4'T"</f>
        <v>#VALUE!</v>
      </c>
      <c r="FP403" t="e">
        <f>Asia!1130:1130-"$F;@!4'U"</f>
        <v>#VALUE!</v>
      </c>
      <c r="FQ403" t="e">
        <f>Asia!1131:1131-"$F;@!4'V"</f>
        <v>#VALUE!</v>
      </c>
      <c r="FR403" t="e">
        <f>Asia!1132:1132-"$F;@!4'W"</f>
        <v>#VALUE!</v>
      </c>
      <c r="FS403" t="e">
        <f>Asia!1133:1133-"$F;@!4'X"</f>
        <v>#VALUE!</v>
      </c>
      <c r="FT403" t="e">
        <f>Asia!1134:1134-"$F;@!4'Y"</f>
        <v>#VALUE!</v>
      </c>
      <c r="FU403" t="e">
        <f>Asia!1135:1135-"$F;@!4'Z"</f>
        <v>#VALUE!</v>
      </c>
      <c r="FV403" t="e">
        <f>Asia!1136:1136-"$F;@!4'["</f>
        <v>#VALUE!</v>
      </c>
      <c r="FW403" t="e">
        <f>Asia!1137:1137-"$F;@!4'\"</f>
        <v>#VALUE!</v>
      </c>
      <c r="FX403" t="e">
        <f>Asia!1138:1138-"$F;@!4']"</f>
        <v>#VALUE!</v>
      </c>
      <c r="FY403" t="e">
        <f>Asia!1139:1139-"$F;@!4'^"</f>
        <v>#VALUE!</v>
      </c>
      <c r="FZ403" t="e">
        <f>Asia!1140:1140-"$F;@!4'_"</f>
        <v>#VALUE!</v>
      </c>
      <c r="GA403" t="e">
        <f>Asia!1141:1141-"$F;@!4'`"</f>
        <v>#VALUE!</v>
      </c>
      <c r="GB403" t="e">
        <f>Asia!1142:1142-"$F;@!4'a"</f>
        <v>#VALUE!</v>
      </c>
      <c r="GC403" t="e">
        <f>Asia!1143:1143-"$F;@!4'b"</f>
        <v>#VALUE!</v>
      </c>
      <c r="GD403" t="e">
        <f>Asia!1144:1144-"$F;@!4'c"</f>
        <v>#VALUE!</v>
      </c>
      <c r="GE403" t="e">
        <f>Asia!1145:1145-"$F;@!4'd"</f>
        <v>#VALUE!</v>
      </c>
      <c r="GF403" t="e">
        <f>Asia!1146:1146-"$F;@!4'e"</f>
        <v>#VALUE!</v>
      </c>
      <c r="GG403" t="e">
        <f>Asia!1147:1147-"$F;@!4'f"</f>
        <v>#VALUE!</v>
      </c>
      <c r="GH403" t="e">
        <f>Asia!1148:1148-"$F;@!4'g"</f>
        <v>#VALUE!</v>
      </c>
      <c r="GI403" t="e">
        <f>Asia!1149:1149-"$F;@!4'h"</f>
        <v>#VALUE!</v>
      </c>
      <c r="GJ403" t="e">
        <f>Asia!1150:1150-"$F;@!4'i"</f>
        <v>#VALUE!</v>
      </c>
      <c r="GK403" t="e">
        <f>Asia!1151:1151-"$F;@!4'j"</f>
        <v>#VALUE!</v>
      </c>
      <c r="GL403" t="e">
        <f>Asia!1152:1152-"$F;@!4'k"</f>
        <v>#VALUE!</v>
      </c>
      <c r="GM403" t="e">
        <f>Asia!1153:1153-"$F;@!4'l"</f>
        <v>#VALUE!</v>
      </c>
      <c r="GN403" t="e">
        <f>Asia!1154:1154-"$F;@!4'm"</f>
        <v>#VALUE!</v>
      </c>
      <c r="GO403" t="e">
        <f>Asia!1155:1155-"$F;@!4'n"</f>
        <v>#VALUE!</v>
      </c>
      <c r="GP403" t="e">
        <f>Asia!1156:1156-"$F;@!4'o"</f>
        <v>#VALUE!</v>
      </c>
      <c r="GQ403" t="e">
        <f>Asia!1157:1157-"$F;@!4'p"</f>
        <v>#VALUE!</v>
      </c>
      <c r="GR403" t="e">
        <f>Asia!1158:1158-"$F;@!4'q"</f>
        <v>#VALUE!</v>
      </c>
      <c r="GS403" t="e">
        <f>Asia!1159:1159-"$F;@!4'r"</f>
        <v>#VALUE!</v>
      </c>
      <c r="GT403" t="e">
        <f>Asia!1160:1160-"$F;@!4's"</f>
        <v>#VALUE!</v>
      </c>
      <c r="GU403" t="e">
        <f>Asia!1161:1161-"$F;@!4't"</f>
        <v>#VALUE!</v>
      </c>
      <c r="GV403" t="e">
        <f>Asia!1162:1162-"$F;@!4'u"</f>
        <v>#VALUE!</v>
      </c>
      <c r="GW403" t="e">
        <f>Asia!1163:1163-"$F;@!4'v"</f>
        <v>#VALUE!</v>
      </c>
      <c r="GX403" t="e">
        <f>Asia!1164:1164-"$F;@!4'w"</f>
        <v>#VALUE!</v>
      </c>
      <c r="GY403" t="e">
        <f>Asia!1165:1165-"$F;@!4'x"</f>
        <v>#VALUE!</v>
      </c>
      <c r="GZ403" t="e">
        <f>Asia!1166:1166-"$F;@!4'y"</f>
        <v>#VALUE!</v>
      </c>
      <c r="HA403" t="e">
        <f>Asia!1167:1167-"$F;@!4'z"</f>
        <v>#VALUE!</v>
      </c>
      <c r="HB403" t="e">
        <f>Asia!1168:1168-"$F;@!4'{"</f>
        <v>#VALUE!</v>
      </c>
      <c r="HC403" t="e">
        <f>Asia!1169:1169-"$F;@!4'|"</f>
        <v>#VALUE!</v>
      </c>
      <c r="HD403" t="e">
        <f>Asia!1170:1170-"$F;@!4'}"</f>
        <v>#VALUE!</v>
      </c>
      <c r="HE403" t="e">
        <f>Asia!1171:1171-"$F;@!4'~"</f>
        <v>#VALUE!</v>
      </c>
      <c r="HF403" t="e">
        <f>Asia!1172:1172-"$F;@!4(#"</f>
        <v>#VALUE!</v>
      </c>
      <c r="HG403" t="e">
        <f>Asia!1173:1173-"$F;@!4($"</f>
        <v>#VALUE!</v>
      </c>
      <c r="HH403" t="e">
        <f>Asia!1174:1174-"$F;@!4(%"</f>
        <v>#VALUE!</v>
      </c>
      <c r="HI403" t="e">
        <f>Asia!1175:1175-"$F;@!4(&amp;"</f>
        <v>#VALUE!</v>
      </c>
      <c r="HJ403" t="e">
        <f>Asia!1176:1176-"$F;@!4('"</f>
        <v>#VALUE!</v>
      </c>
      <c r="HK403" t="e">
        <f>Asia!1177:1177-"$F;@!4(("</f>
        <v>#VALUE!</v>
      </c>
      <c r="HL403" t="e">
        <f>Asia!1178:1178-"$F;@!4()"</f>
        <v>#VALUE!</v>
      </c>
      <c r="HM403" t="e">
        <f>Asia!1179:1179-"$F;@!4(."</f>
        <v>#VALUE!</v>
      </c>
      <c r="HN403" t="e">
        <f>Asia!1180:1180-"$F;@!4(/"</f>
        <v>#VALUE!</v>
      </c>
      <c r="HO403" t="e">
        <f>Asia!1181:1181-"$F;@!4(0"</f>
        <v>#VALUE!</v>
      </c>
      <c r="HP403" t="e">
        <f>Asia!1182:1182-"$F;@!4(1"</f>
        <v>#VALUE!</v>
      </c>
      <c r="HQ403" t="e">
        <f>Asia!1183:1183-"$F;@!4(2"</f>
        <v>#VALUE!</v>
      </c>
      <c r="HR403" t="e">
        <f>Asia!1184:1184-"$F;@!4(3"</f>
        <v>#VALUE!</v>
      </c>
      <c r="HS403" t="e">
        <f>Asia!1185:1185-"$F;@!4(4"</f>
        <v>#VALUE!</v>
      </c>
      <c r="HT403" t="e">
        <f>Asia!1186:1186-"$F;@!4(5"</f>
        <v>#VALUE!</v>
      </c>
      <c r="HU403" t="e">
        <f>Asia!1187:1187-"$F;@!4(6"</f>
        <v>#VALUE!</v>
      </c>
      <c r="HV403" t="e">
        <f>Asia!1188:1188-"$F;@!4(7"</f>
        <v>#VALUE!</v>
      </c>
      <c r="HW403" t="e">
        <f>Asia!1189:1189-"$F;@!4(8"</f>
        <v>#VALUE!</v>
      </c>
      <c r="HX403" t="e">
        <f>Asia!1190:1190-"$F;@!4(9"</f>
        <v>#VALUE!</v>
      </c>
      <c r="HY403" t="e">
        <f>Asia!1191:1191-"$F;@!4(:"</f>
        <v>#VALUE!</v>
      </c>
      <c r="HZ403" t="e">
        <f>Asia!1192:1192-"$F;@!4(;"</f>
        <v>#VALUE!</v>
      </c>
      <c r="IA403" t="e">
        <f>Asia!1193:1193-"$F;@!4(&lt;"</f>
        <v>#VALUE!</v>
      </c>
      <c r="IB403" t="e">
        <f>Asia!1194:1194-"$F;@!4(="</f>
        <v>#VALUE!</v>
      </c>
      <c r="IC403" t="e">
        <f>Asia!1195:1195-"$F;@!4(&gt;"</f>
        <v>#VALUE!</v>
      </c>
      <c r="ID403" t="e">
        <f>Asia!1196:1196-"$F;@!4(?"</f>
        <v>#VALUE!</v>
      </c>
      <c r="IE403" t="e">
        <f>Asia!1197:1197-"$F;@!4(@"</f>
        <v>#VALUE!</v>
      </c>
      <c r="IF403" t="e">
        <f>Asia!1198:1198-"$F;@!4(A"</f>
        <v>#VALUE!</v>
      </c>
      <c r="IG403" t="e">
        <f>Asia!1199:1199-"$F;@!4(B"</f>
        <v>#VALUE!</v>
      </c>
      <c r="IH403" t="e">
        <f>Asia!1200:1200-"$F;@!4(C"</f>
        <v>#VALUE!</v>
      </c>
      <c r="II403" t="e">
        <f>Asia!1201:1201-"$F;@!4(D"</f>
        <v>#VALUE!</v>
      </c>
      <c r="IJ403" t="e">
        <f>Asia!1202:1202-"$F;@!4(E"</f>
        <v>#VALUE!</v>
      </c>
      <c r="IK403" t="e">
        <f>Asia!1203:1203-"$F;@!4(F"</f>
        <v>#VALUE!</v>
      </c>
      <c r="IL403" t="e">
        <f>Asia!1204:1204-"$F;@!4(G"</f>
        <v>#VALUE!</v>
      </c>
      <c r="IM403" t="e">
        <f>Asia!1205:1205-"$F;@!4(H"</f>
        <v>#VALUE!</v>
      </c>
      <c r="IN403" t="e">
        <f>Asia!1206:1206-"$F;@!4(I"</f>
        <v>#VALUE!</v>
      </c>
      <c r="IO403" t="e">
        <f>Asia!1207:1207-"$F;@!4(J"</f>
        <v>#VALUE!</v>
      </c>
      <c r="IP403" t="e">
        <f>Asia!1208:1208-"$F;@!4(K"</f>
        <v>#VALUE!</v>
      </c>
      <c r="IQ403" t="e">
        <f>Asia!1209:1209-"$F;@!4(L"</f>
        <v>#VALUE!</v>
      </c>
      <c r="IR403" t="e">
        <f>Asia!1210:1210-"$F;@!4(M"</f>
        <v>#VALUE!</v>
      </c>
      <c r="IS403" t="e">
        <f>Asia!1211:1211-"$F;@!4(N"</f>
        <v>#VALUE!</v>
      </c>
      <c r="IT403" t="e">
        <f>Asia!1212:1212-"$F;@!4(O"</f>
        <v>#VALUE!</v>
      </c>
      <c r="IU403" t="e">
        <f>Asia!1213:1213-"$F;@!4(P"</f>
        <v>#VALUE!</v>
      </c>
      <c r="IV403" t="e">
        <f>Asia!1214:1214-"$F;@!4(Q"</f>
        <v>#VALUE!</v>
      </c>
    </row>
    <row r="404" spans="6:256" x14ac:dyDescent="0.35">
      <c r="F404" t="e">
        <f>Asia!1215:1215-"$F;@!4(R"</f>
        <v>#VALUE!</v>
      </c>
      <c r="G404" t="e">
        <f>Asia!1216:1216-"$F;@!4(S"</f>
        <v>#VALUE!</v>
      </c>
      <c r="H404" t="e">
        <f>Asia!1217:1217-"$F;@!4(T"</f>
        <v>#VALUE!</v>
      </c>
      <c r="I404" t="e">
        <f>Asia!1218:1218-"$F;@!4(U"</f>
        <v>#VALUE!</v>
      </c>
      <c r="J404" t="e">
        <f>Asia!1219:1219-"$F;@!4(V"</f>
        <v>#VALUE!</v>
      </c>
      <c r="K404" t="e">
        <f>Asia!1220:1220-"$F;@!4(W"</f>
        <v>#VALUE!</v>
      </c>
      <c r="L404" t="e">
        <f>Asia!1221:1221-"$F;@!4(X"</f>
        <v>#VALUE!</v>
      </c>
      <c r="M404" t="e">
        <f>Asia!1222:1222-"$F;@!4(Y"</f>
        <v>#VALUE!</v>
      </c>
      <c r="N404" t="e">
        <f>Asia!1223:1223-"$F;@!4(Z"</f>
        <v>#VALUE!</v>
      </c>
      <c r="O404" t="e">
        <f>Asia!1224:1224-"$F;@!4(["</f>
        <v>#VALUE!</v>
      </c>
      <c r="P404" t="e">
        <f>Asia!1225:1225-"$F;@!4(\"</f>
        <v>#VALUE!</v>
      </c>
      <c r="Q404" t="e">
        <f>Asia!1226:1226-"$F;@!4(]"</f>
        <v>#VALUE!</v>
      </c>
      <c r="R404" t="e">
        <f>Asia!1227:1227-"$F;@!4(^"</f>
        <v>#VALUE!</v>
      </c>
      <c r="S404" t="e">
        <f>Asia!1228:1228-"$F;@!4(_"</f>
        <v>#VALUE!</v>
      </c>
      <c r="T404" t="e">
        <f>Asia!1229:1229-"$F;@!4(`"</f>
        <v>#VALUE!</v>
      </c>
      <c r="U404" t="e">
        <f>Asia!1230:1230-"$F;@!4(a"</f>
        <v>#VALUE!</v>
      </c>
      <c r="V404" t="e">
        <f>Asia!1231:1231-"$F;@!4(b"</f>
        <v>#VALUE!</v>
      </c>
      <c r="W404" t="e">
        <f>Asia!1232:1232-"$F;@!4(c"</f>
        <v>#VALUE!</v>
      </c>
      <c r="X404" t="e">
        <f>Asia!1233:1233-"$F;@!4(d"</f>
        <v>#VALUE!</v>
      </c>
      <c r="Y404" t="e">
        <f>Asia!1234:1234-"$F;@!4(e"</f>
        <v>#VALUE!</v>
      </c>
      <c r="Z404" t="e">
        <f>Asia!1235:1235-"$F;@!4(f"</f>
        <v>#VALUE!</v>
      </c>
      <c r="AA404" t="e">
        <f>Asia!1236:1236-"$F;@!4(g"</f>
        <v>#VALUE!</v>
      </c>
      <c r="AB404" t="e">
        <f>Asia!1237:1237-"$F;@!4(h"</f>
        <v>#VALUE!</v>
      </c>
      <c r="AC404" t="e">
        <f>Asia!1238:1238-"$F;@!4(i"</f>
        <v>#VALUE!</v>
      </c>
      <c r="AD404" t="e">
        <f>Asia!1239:1239-"$F;@!4(j"</f>
        <v>#VALUE!</v>
      </c>
      <c r="AE404" t="e">
        <f>Asia!1240:1240-"$F;@!4(k"</f>
        <v>#VALUE!</v>
      </c>
      <c r="AF404" t="e">
        <f>Asia!1241:1241-"$F;@!4(l"</f>
        <v>#VALUE!</v>
      </c>
      <c r="AG404" t="e">
        <f>Asia!1242:1242-"$F;@!4(m"</f>
        <v>#VALUE!</v>
      </c>
      <c r="AH404" t="e">
        <f>Asia!1243:1243-"$F;@!4(n"</f>
        <v>#VALUE!</v>
      </c>
      <c r="AI404" t="e">
        <f>Asia!1244:1244-"$F;@!4(o"</f>
        <v>#VALUE!</v>
      </c>
      <c r="AJ404" t="e">
        <f>Asia!1245:1245-"$F;@!4(p"</f>
        <v>#VALUE!</v>
      </c>
      <c r="AK404" t="e">
        <f>Asia!1246:1246-"$F;@!4(q"</f>
        <v>#VALUE!</v>
      </c>
      <c r="AL404" t="e">
        <f>Asia!1247:1247-"$F;@!4(r"</f>
        <v>#VALUE!</v>
      </c>
      <c r="AM404" t="e">
        <f>Asia!1248:1248-"$F;@!4(s"</f>
        <v>#VALUE!</v>
      </c>
      <c r="AN404" t="e">
        <f>Asia!1249:1249-"$F;@!4(t"</f>
        <v>#VALUE!</v>
      </c>
      <c r="AO404" t="e">
        <f>Asia!1250:1250-"$F;@!4(u"</f>
        <v>#VALUE!</v>
      </c>
      <c r="AP404" t="e">
        <f>Asia!1251:1251-"$F;@!4(v"</f>
        <v>#VALUE!</v>
      </c>
      <c r="AQ404" t="e">
        <f>Asia!1252:1252-"$F;@!4(w"</f>
        <v>#VALUE!</v>
      </c>
      <c r="AR404" t="e">
        <f>Asia!1253:1253-"$F;@!4(x"</f>
        <v>#VALUE!</v>
      </c>
      <c r="AS404" t="e">
        <f>Asia!1254:1254-"$F;@!4(y"</f>
        <v>#VALUE!</v>
      </c>
      <c r="AT404" t="e">
        <f>Asia!1255:1255-"$F;@!4(z"</f>
        <v>#VALUE!</v>
      </c>
      <c r="AU404" t="e">
        <f>Asia!1256:1256-"$F;@!4({"</f>
        <v>#VALUE!</v>
      </c>
      <c r="AV404" t="e">
        <f>Asia!1257:1257-"$F;@!4(|"</f>
        <v>#VALUE!</v>
      </c>
      <c r="AW404" t="e">
        <f>Asia!1258:1258-"$F;@!4(}"</f>
        <v>#VALUE!</v>
      </c>
      <c r="AX404" t="e">
        <f>Asia!1259:1259-"$F;@!4(~"</f>
        <v>#VALUE!</v>
      </c>
      <c r="AY404" t="e">
        <f>Asia!1260:1260-"$F;@!4)#"</f>
        <v>#VALUE!</v>
      </c>
      <c r="AZ404" t="e">
        <f>Asia!1261:1261-"$F;@!4)$"</f>
        <v>#VALUE!</v>
      </c>
      <c r="BA404" t="e">
        <f>Asia!1262:1262-"$F;@!4)%"</f>
        <v>#VALUE!</v>
      </c>
      <c r="BB404" t="e">
        <f>Asia!1263:1263-"$F;@!4)&amp;"</f>
        <v>#VALUE!</v>
      </c>
      <c r="BC404" t="e">
        <f>Asia!1264:1264-"$F;@!4)'"</f>
        <v>#VALUE!</v>
      </c>
      <c r="BD404" t="e">
        <f>Asia!1265:1265-"$F;@!4)("</f>
        <v>#VALUE!</v>
      </c>
      <c r="BE404" t="e">
        <f>Asia!1266:1266-"$F;@!4))"</f>
        <v>#VALUE!</v>
      </c>
      <c r="BF404" t="e">
        <f>Asia!1267:1267-"$F;@!4)."</f>
        <v>#VALUE!</v>
      </c>
      <c r="BG404" t="e">
        <f>Asia!1268:1268-"$F;@!4)/"</f>
        <v>#VALUE!</v>
      </c>
      <c r="BH404" t="e">
        <f>Asia!1269:1269-"$F;@!4)0"</f>
        <v>#VALUE!</v>
      </c>
      <c r="BI404" t="e">
        <f>Asia!1270:1270-"$F;@!4)1"</f>
        <v>#VALUE!</v>
      </c>
      <c r="BJ404" t="e">
        <f>Asia!1271:1271-"$F;@!4)2"</f>
        <v>#VALUE!</v>
      </c>
      <c r="BK404" t="e">
        <f>Asia!1272:1272-"$F;@!4)3"</f>
        <v>#VALUE!</v>
      </c>
      <c r="BL404" t="e">
        <f>Asia!1273:1273-"$F;@!4)4"</f>
        <v>#VALUE!</v>
      </c>
      <c r="BM404" t="e">
        <f>Asia!1274:1274-"$F;@!4)5"</f>
        <v>#VALUE!</v>
      </c>
      <c r="BN404" t="e">
        <f>Asia!1275:1275-"$F;@!4)6"</f>
        <v>#VALUE!</v>
      </c>
      <c r="BO404" t="e">
        <f>Asia!1276:1276-"$F;@!4)7"</f>
        <v>#VALUE!</v>
      </c>
      <c r="BP404" t="e">
        <f>Asia!1277:1277-"$F;@!4)8"</f>
        <v>#VALUE!</v>
      </c>
      <c r="BQ404" t="e">
        <f>Asia!1278:1278-"$F;@!4)9"</f>
        <v>#VALUE!</v>
      </c>
      <c r="BR404" t="e">
        <f>Asia!1279:1279-"$F;@!4):"</f>
        <v>#VALUE!</v>
      </c>
      <c r="BS404" t="e">
        <f>Asia!1280:1280-"$F;@!4);"</f>
        <v>#VALUE!</v>
      </c>
      <c r="BT404" t="e">
        <f>Asia!1281:1281-"$F;@!4)&lt;"</f>
        <v>#VALUE!</v>
      </c>
      <c r="BU404" t="e">
        <f>Asia!1282:1282-"$F;@!4)="</f>
        <v>#VALUE!</v>
      </c>
      <c r="BV404" t="e">
        <f>Asia!1283:1283-"$F;@!4)&gt;"</f>
        <v>#VALUE!</v>
      </c>
      <c r="BW404" t="e">
        <f>Asia!1284:1284-"$F;@!4)?"</f>
        <v>#VALUE!</v>
      </c>
      <c r="BX404" t="e">
        <f>Asia!1285:1285-"$F;@!4)@"</f>
        <v>#VALUE!</v>
      </c>
      <c r="BY404" t="e">
        <f>Asia!1286:1286-"$F;@!4)A"</f>
        <v>#VALUE!</v>
      </c>
      <c r="BZ404" t="e">
        <f>Asia!1287:1287-"$F;@!4)B"</f>
        <v>#VALUE!</v>
      </c>
      <c r="CA404" t="e">
        <f>Asia!1288:1288-"$F;@!4)C"</f>
        <v>#VALUE!</v>
      </c>
      <c r="CB404" t="e">
        <f>Asia!1289:1289-"$F;@!4)D"</f>
        <v>#VALUE!</v>
      </c>
      <c r="CC404" t="e">
        <f>Asia!1290:1290-"$F;@!4)E"</f>
        <v>#VALUE!</v>
      </c>
      <c r="CD404" t="e">
        <f>'Latin America and Caribbean'!A1+"$F;@!4)F"</f>
        <v>#VALUE!</v>
      </c>
      <c r="CE404" t="e">
        <f>'Latin America and Caribbean'!B1+"$F;@!4)G"</f>
        <v>#VALUE!</v>
      </c>
      <c r="CF404" t="e">
        <f>'Latin America and Caribbean'!C1+"$F;@!4)H"</f>
        <v>#VALUE!</v>
      </c>
      <c r="CG404" t="e">
        <f>'Latin America and Caribbean'!D1+"$F;@!4)I"</f>
        <v>#VALUE!</v>
      </c>
      <c r="CH404" t="e">
        <f>'Latin America and Caribbean'!E1+"$F;@!4)J"</f>
        <v>#VALUE!</v>
      </c>
      <c r="CI404" t="e">
        <f>'Latin America and Caribbean'!F1+"$F;@!4)K"</f>
        <v>#VALUE!</v>
      </c>
      <c r="CJ404" t="e">
        <f>'Latin America and Caribbean'!G1+"$F;@!4)L"</f>
        <v>#VALUE!</v>
      </c>
      <c r="CK404" t="e">
        <f>'Latin America and Caribbean'!H1+"$F;@!4)M"</f>
        <v>#VALUE!</v>
      </c>
      <c r="CL404" t="e">
        <f>'Latin America and Caribbean'!A2+"$F;@!4)N"</f>
        <v>#VALUE!</v>
      </c>
      <c r="CM404" t="e">
        <f>'Latin America and Caribbean'!B2+"$F;@!4)O"</f>
        <v>#VALUE!</v>
      </c>
      <c r="CN404" t="e">
        <f>'Latin America and Caribbean'!C2+"$F;@!4)P"</f>
        <v>#VALUE!</v>
      </c>
      <c r="CO404" t="e">
        <f>'Latin America and Caribbean'!D2+"$F;@!4)Q"</f>
        <v>#VALUE!</v>
      </c>
      <c r="CP404" t="e">
        <f>'Latin America and Caribbean'!E2+"$F;@!4)R"</f>
        <v>#VALUE!</v>
      </c>
      <c r="CQ404" t="e">
        <f>'Latin America and Caribbean'!F2+"$F;@!4)S"</f>
        <v>#VALUE!</v>
      </c>
      <c r="CR404" t="e">
        <f>'Latin America and Caribbean'!G2+"$F;@!4)T"</f>
        <v>#VALUE!</v>
      </c>
      <c r="CS404" t="e">
        <f>'Latin America and Caribbean'!H2+"$F;@!4)U"</f>
        <v>#VALUE!</v>
      </c>
      <c r="CT404" t="e">
        <f>'Latin America and Caribbean'!A3+"$F;@!4)V"</f>
        <v>#VALUE!</v>
      </c>
      <c r="CU404" t="e">
        <f>'Latin America and Caribbean'!B3+"$F;@!4)W"</f>
        <v>#VALUE!</v>
      </c>
      <c r="CV404" t="e">
        <f>'Latin America and Caribbean'!C3+"$F;@!4)X"</f>
        <v>#VALUE!</v>
      </c>
      <c r="CW404" t="e">
        <f>'Latin America and Caribbean'!D3+"$F;@!4)Y"</f>
        <v>#VALUE!</v>
      </c>
      <c r="CX404" t="e">
        <f>'Latin America and Caribbean'!E3+"$F;@!4)Z"</f>
        <v>#VALUE!</v>
      </c>
      <c r="CY404" t="e">
        <f>'Latin America and Caribbean'!F3+"$F;@!4)["</f>
        <v>#VALUE!</v>
      </c>
      <c r="CZ404" t="e">
        <f>'Latin America and Caribbean'!G3+"$F;@!4)\"</f>
        <v>#VALUE!</v>
      </c>
      <c r="DA404" t="e">
        <f>'Latin America and Caribbean'!H3+"$F;@!4)]"</f>
        <v>#VALUE!</v>
      </c>
      <c r="DB404" t="e">
        <f>'Latin America and Caribbean'!A4+"$F;@!4)^"</f>
        <v>#VALUE!</v>
      </c>
      <c r="DC404" t="e">
        <f>'Latin America and Caribbean'!B4+"$F;@!4)_"</f>
        <v>#VALUE!</v>
      </c>
      <c r="DD404" t="e">
        <f>'Latin America and Caribbean'!C4+"$F;@!4)`"</f>
        <v>#VALUE!</v>
      </c>
      <c r="DE404" t="e">
        <f>'Latin America and Caribbean'!D4+"$F;@!4)a"</f>
        <v>#VALUE!</v>
      </c>
      <c r="DF404" t="e">
        <f>'Latin America and Caribbean'!E4+"$F;@!4)b"</f>
        <v>#VALUE!</v>
      </c>
      <c r="DG404" t="e">
        <f>'Latin America and Caribbean'!F4+"$F;@!4)c"</f>
        <v>#VALUE!</v>
      </c>
      <c r="DH404" t="e">
        <f>'Latin America and Caribbean'!G4+"$F;@!4)d"</f>
        <v>#VALUE!</v>
      </c>
      <c r="DI404" t="e">
        <f>'Latin America and Caribbean'!H4+"$F;@!4)e"</f>
        <v>#VALUE!</v>
      </c>
      <c r="DJ404" t="e">
        <f>'Latin America and Caribbean'!A5+"$F;@!4)f"</f>
        <v>#VALUE!</v>
      </c>
      <c r="DK404" t="e">
        <f>'Latin America and Caribbean'!B5+"$F;@!4)g"</f>
        <v>#VALUE!</v>
      </c>
      <c r="DL404" t="e">
        <f>'Latin America and Caribbean'!C5+"$F;@!4)h"</f>
        <v>#VALUE!</v>
      </c>
      <c r="DM404" t="e">
        <f>'Latin America and Caribbean'!D5+"$F;@!4)i"</f>
        <v>#VALUE!</v>
      </c>
      <c r="DN404" t="e">
        <f>'Latin America and Caribbean'!E5+"$F;@!4)j"</f>
        <v>#VALUE!</v>
      </c>
      <c r="DO404" t="e">
        <f>'Latin America and Caribbean'!F5+"$F;@!4)k"</f>
        <v>#VALUE!</v>
      </c>
      <c r="DP404" t="e">
        <f>'Latin America and Caribbean'!G5+"$F;@!4)l"</f>
        <v>#VALUE!</v>
      </c>
      <c r="DQ404" t="e">
        <f>'Latin America and Caribbean'!H5+"$F;@!4)m"</f>
        <v>#VALUE!</v>
      </c>
      <c r="DR404" t="e">
        <f>'Latin America and Caribbean'!A6+"$F;@!4)n"</f>
        <v>#VALUE!</v>
      </c>
      <c r="DS404" t="e">
        <f>'Latin America and Caribbean'!B6+"$F;@!4)o"</f>
        <v>#VALUE!</v>
      </c>
      <c r="DT404" t="e">
        <f>'Latin America and Caribbean'!C6+"$F;@!4)p"</f>
        <v>#VALUE!</v>
      </c>
      <c r="DU404" t="e">
        <f>'Latin America and Caribbean'!D6+"$F;@!4)q"</f>
        <v>#VALUE!</v>
      </c>
      <c r="DV404" t="e">
        <f>'Latin America and Caribbean'!E6+"$F;@!4)r"</f>
        <v>#VALUE!</v>
      </c>
      <c r="DW404" t="e">
        <f>'Latin America and Caribbean'!F6+"$F;@!4)s"</f>
        <v>#VALUE!</v>
      </c>
      <c r="DX404" t="e">
        <f>'Latin America and Caribbean'!G6+"$F;@!4)t"</f>
        <v>#VALUE!</v>
      </c>
      <c r="DY404" t="e">
        <f>'Latin America and Caribbean'!H6+"$F;@!4)u"</f>
        <v>#VALUE!</v>
      </c>
      <c r="DZ404" t="e">
        <f>'Latin America and Caribbean'!A7+"$F;@!4)v"</f>
        <v>#VALUE!</v>
      </c>
      <c r="EA404" t="e">
        <f>'Latin America and Caribbean'!B7+"$F;@!4)w"</f>
        <v>#VALUE!</v>
      </c>
      <c r="EB404" t="e">
        <f>'Latin America and Caribbean'!C7+"$F;@!4)x"</f>
        <v>#VALUE!</v>
      </c>
      <c r="EC404" t="e">
        <f>'Latin America and Caribbean'!D7+"$F;@!4)y"</f>
        <v>#VALUE!</v>
      </c>
      <c r="ED404" t="e">
        <f>'Latin America and Caribbean'!E7+"$F;@!4)z"</f>
        <v>#VALUE!</v>
      </c>
      <c r="EE404" t="e">
        <f>'Latin America and Caribbean'!F7+"$F;@!4){"</f>
        <v>#VALUE!</v>
      </c>
      <c r="EF404" t="e">
        <f>'Latin America and Caribbean'!G7+"$F;@!4)|"</f>
        <v>#VALUE!</v>
      </c>
      <c r="EG404" t="e">
        <f>'Latin America and Caribbean'!H7+"$F;@!4)}"</f>
        <v>#VALUE!</v>
      </c>
      <c r="EH404" t="e">
        <f>'Latin America and Caribbean'!A8+"$F;@!4)~"</f>
        <v>#VALUE!</v>
      </c>
      <c r="EI404" t="e">
        <f>'Latin America and Caribbean'!B8+"$F;@!4.#"</f>
        <v>#VALUE!</v>
      </c>
      <c r="EJ404" t="e">
        <f>'Latin America and Caribbean'!C8+"$F;@!4.$"</f>
        <v>#VALUE!</v>
      </c>
      <c r="EK404" t="e">
        <f>'Latin America and Caribbean'!D8+"$F;@!4.%"</f>
        <v>#VALUE!</v>
      </c>
      <c r="EL404" t="e">
        <f>'Latin America and Caribbean'!E8+"$F;@!4.&amp;"</f>
        <v>#VALUE!</v>
      </c>
      <c r="EM404" t="e">
        <f>'Latin America and Caribbean'!F8+"$F;@!4.'"</f>
        <v>#VALUE!</v>
      </c>
      <c r="EN404" t="e">
        <f>'Latin America and Caribbean'!G8+"$F;@!4.("</f>
        <v>#VALUE!</v>
      </c>
      <c r="EO404" t="e">
        <f>'Latin America and Caribbean'!H8+"$F;@!4.)"</f>
        <v>#VALUE!</v>
      </c>
      <c r="EP404" t="e">
        <f>'Latin America and Caribbean'!A9+"$F;@!4.."</f>
        <v>#VALUE!</v>
      </c>
      <c r="EQ404" t="e">
        <f>'Latin America and Caribbean'!B9+"$F;@!4./"</f>
        <v>#VALUE!</v>
      </c>
      <c r="ER404" t="e">
        <f>'Latin America and Caribbean'!C9+"$F;@!4.0"</f>
        <v>#VALUE!</v>
      </c>
      <c r="ES404" t="e">
        <f>'Latin America and Caribbean'!D9+"$F;@!4.1"</f>
        <v>#VALUE!</v>
      </c>
      <c r="ET404" t="e">
        <f>'Latin America and Caribbean'!E9+"$F;@!4.2"</f>
        <v>#VALUE!</v>
      </c>
      <c r="EU404" t="e">
        <f>'Latin America and Caribbean'!F9+"$F;@!4.3"</f>
        <v>#VALUE!</v>
      </c>
      <c r="EV404" t="e">
        <f>'Latin America and Caribbean'!G9+"$F;@!4.4"</f>
        <v>#VALUE!</v>
      </c>
      <c r="EW404" t="e">
        <f>'Latin America and Caribbean'!H9+"$F;@!4.5"</f>
        <v>#VALUE!</v>
      </c>
      <c r="EX404" t="e">
        <f>'Latin America and Caribbean'!A10+"$F;@!4.6"</f>
        <v>#VALUE!</v>
      </c>
      <c r="EY404" t="e">
        <f>'Latin America and Caribbean'!B10+"$F;@!4.7"</f>
        <v>#VALUE!</v>
      </c>
      <c r="EZ404" t="e">
        <f>'Latin America and Caribbean'!C10+"$F;@!4.8"</f>
        <v>#VALUE!</v>
      </c>
      <c r="FA404" t="e">
        <f>'Latin America and Caribbean'!D10+"$F;@!4.9"</f>
        <v>#VALUE!</v>
      </c>
      <c r="FB404" t="e">
        <f>'Latin America and Caribbean'!E10+"$F;@!4.:"</f>
        <v>#VALUE!</v>
      </c>
      <c r="FC404" t="e">
        <f>'Latin America and Caribbean'!F10+"$F;@!4.;"</f>
        <v>#VALUE!</v>
      </c>
      <c r="FD404" t="e">
        <f>'Latin America and Caribbean'!G10+"$F;@!4.&lt;"</f>
        <v>#VALUE!</v>
      </c>
      <c r="FE404" t="e">
        <f>'Latin America and Caribbean'!H10+"$F;@!4.="</f>
        <v>#VALUE!</v>
      </c>
      <c r="FF404" t="e">
        <f>'Latin America and Caribbean'!A11+"$F;@!4.&gt;"</f>
        <v>#VALUE!</v>
      </c>
      <c r="FG404" t="e">
        <f>'Latin America and Caribbean'!B11+"$F;@!4.?"</f>
        <v>#VALUE!</v>
      </c>
      <c r="FH404" t="e">
        <f>'Latin America and Caribbean'!C11+"$F;@!4.@"</f>
        <v>#VALUE!</v>
      </c>
      <c r="FI404" t="e">
        <f>'Latin America and Caribbean'!D11+"$F;@!4.A"</f>
        <v>#VALUE!</v>
      </c>
      <c r="FJ404" t="e">
        <f>'Latin America and Caribbean'!E11+"$F;@!4.B"</f>
        <v>#VALUE!</v>
      </c>
      <c r="FK404" t="e">
        <f>'Latin America and Caribbean'!F11+"$F;@!4.C"</f>
        <v>#VALUE!</v>
      </c>
      <c r="FL404" t="e">
        <f>'Latin America and Caribbean'!G11+"$F;@!4.D"</f>
        <v>#VALUE!</v>
      </c>
      <c r="FM404" t="e">
        <f>'Latin America and Caribbean'!H11+"$F;@!4.E"</f>
        <v>#VALUE!</v>
      </c>
      <c r="FN404" t="e">
        <f>'Latin America and Caribbean'!A12+"$F;@!4.F"</f>
        <v>#VALUE!</v>
      </c>
      <c r="FO404" t="e">
        <f>'Latin America and Caribbean'!B12+"$F;@!4.G"</f>
        <v>#VALUE!</v>
      </c>
      <c r="FP404" t="e">
        <f>'Latin America and Caribbean'!C12+"$F;@!4.H"</f>
        <v>#VALUE!</v>
      </c>
      <c r="FQ404" t="e">
        <f>'Latin America and Caribbean'!D12+"$F;@!4.I"</f>
        <v>#VALUE!</v>
      </c>
      <c r="FR404" t="e">
        <f>'Latin America and Caribbean'!E12+"$F;@!4.J"</f>
        <v>#VALUE!</v>
      </c>
      <c r="FS404" t="e">
        <f>'Latin America and Caribbean'!F12+"$F;@!4.K"</f>
        <v>#VALUE!</v>
      </c>
      <c r="FT404" t="e">
        <f>'Latin America and Caribbean'!G12+"$F;@!4.L"</f>
        <v>#VALUE!</v>
      </c>
      <c r="FU404" t="e">
        <f>'Latin America and Caribbean'!H12+"$F;@!4.M"</f>
        <v>#VALUE!</v>
      </c>
      <c r="FV404" t="e">
        <f>'Latin America and Caribbean'!A13+"$F;@!4.N"</f>
        <v>#VALUE!</v>
      </c>
      <c r="FW404" t="e">
        <f>'Latin America and Caribbean'!B13+"$F;@!4.O"</f>
        <v>#VALUE!</v>
      </c>
      <c r="FX404" t="e">
        <f>'Latin America and Caribbean'!C13+"$F;@!4.P"</f>
        <v>#VALUE!</v>
      </c>
      <c r="FY404" t="e">
        <f>'Latin America and Caribbean'!D13+"$F;@!4.Q"</f>
        <v>#VALUE!</v>
      </c>
      <c r="FZ404" t="e">
        <f>'Latin America and Caribbean'!E13+"$F;@!4.R"</f>
        <v>#VALUE!</v>
      </c>
      <c r="GA404" t="e">
        <f>'Latin America and Caribbean'!F13+"$F;@!4.S"</f>
        <v>#VALUE!</v>
      </c>
      <c r="GB404" t="e">
        <f>'Latin America and Caribbean'!G13+"$F;@!4.T"</f>
        <v>#VALUE!</v>
      </c>
      <c r="GC404" t="e">
        <f>'Latin America and Caribbean'!H13+"$F;@!4.U"</f>
        <v>#VALUE!</v>
      </c>
      <c r="GD404" t="e">
        <f>'Latin America and Caribbean'!A14+"$F;@!4.V"</f>
        <v>#VALUE!</v>
      </c>
      <c r="GE404" t="e">
        <f>'Latin America and Caribbean'!B14+"$F;@!4.W"</f>
        <v>#VALUE!</v>
      </c>
      <c r="GF404" t="e">
        <f>'Latin America and Caribbean'!C14+"$F;@!4.X"</f>
        <v>#VALUE!</v>
      </c>
      <c r="GG404" t="e">
        <f>'Latin America and Caribbean'!D14+"$F;@!4.Y"</f>
        <v>#VALUE!</v>
      </c>
      <c r="GH404" t="e">
        <f>'Latin America and Caribbean'!E14+"$F;@!4.Z"</f>
        <v>#VALUE!</v>
      </c>
      <c r="GI404" t="e">
        <f>'Latin America and Caribbean'!F14+"$F;@!4.["</f>
        <v>#VALUE!</v>
      </c>
      <c r="GJ404" t="e">
        <f>'Latin America and Caribbean'!G14+"$F;@!4.\"</f>
        <v>#VALUE!</v>
      </c>
      <c r="GK404" t="e">
        <f>'Latin America and Caribbean'!H14+"$F;@!4.]"</f>
        <v>#VALUE!</v>
      </c>
      <c r="GL404" t="e">
        <f>'Latin America and Caribbean'!A15+"$F;@!4.^"</f>
        <v>#VALUE!</v>
      </c>
      <c r="GM404" t="e">
        <f>'Latin America and Caribbean'!B15+"$F;@!4._"</f>
        <v>#VALUE!</v>
      </c>
      <c r="GN404" t="e">
        <f>'Latin America and Caribbean'!C15+"$F;@!4.`"</f>
        <v>#VALUE!</v>
      </c>
      <c r="GO404" t="e">
        <f>'Latin America and Caribbean'!D15+"$F;@!4.a"</f>
        <v>#VALUE!</v>
      </c>
      <c r="GP404" t="e">
        <f>'Latin America and Caribbean'!E15+"$F;@!4.b"</f>
        <v>#VALUE!</v>
      </c>
      <c r="GQ404" t="e">
        <f>'Latin America and Caribbean'!F15+"$F;@!4.c"</f>
        <v>#VALUE!</v>
      </c>
      <c r="GR404" t="e">
        <f>'Latin America and Caribbean'!G15+"$F;@!4.d"</f>
        <v>#VALUE!</v>
      </c>
      <c r="GS404" t="e">
        <f>'Latin America and Caribbean'!H15+"$F;@!4.e"</f>
        <v>#VALUE!</v>
      </c>
      <c r="GT404" t="e">
        <f>'Latin America and Caribbean'!A16+"$F;@!4.f"</f>
        <v>#VALUE!</v>
      </c>
      <c r="GU404" t="e">
        <f>'Latin America and Caribbean'!B16+"$F;@!4.g"</f>
        <v>#VALUE!</v>
      </c>
      <c r="GV404" t="e">
        <f>'Latin America and Caribbean'!C16+"$F;@!4.h"</f>
        <v>#VALUE!</v>
      </c>
      <c r="GW404" t="e">
        <f>'Latin America and Caribbean'!D16+"$F;@!4.i"</f>
        <v>#VALUE!</v>
      </c>
      <c r="GX404" t="e">
        <f>'Latin America and Caribbean'!E16+"$F;@!4.j"</f>
        <v>#VALUE!</v>
      </c>
      <c r="GY404" t="e">
        <f>'Latin America and Caribbean'!F16+"$F;@!4.k"</f>
        <v>#VALUE!</v>
      </c>
      <c r="GZ404" t="e">
        <f>'Latin America and Caribbean'!G16+"$F;@!4.l"</f>
        <v>#VALUE!</v>
      </c>
      <c r="HA404" t="e">
        <f>'Latin America and Caribbean'!H16+"$F;@!4.m"</f>
        <v>#VALUE!</v>
      </c>
      <c r="HB404" t="e">
        <f>'Latin America and Caribbean'!A17+"$F;@!4.n"</f>
        <v>#VALUE!</v>
      </c>
      <c r="HC404" t="e">
        <f>'Latin America and Caribbean'!B17+"$F;@!4.o"</f>
        <v>#VALUE!</v>
      </c>
      <c r="HD404" t="e">
        <f>'Latin America and Caribbean'!C17+"$F;@!4.p"</f>
        <v>#VALUE!</v>
      </c>
      <c r="HE404" t="e">
        <f>'Latin America and Caribbean'!D17+"$F;@!4.q"</f>
        <v>#VALUE!</v>
      </c>
      <c r="HF404" t="e">
        <f>'Latin America and Caribbean'!E17+"$F;@!4.r"</f>
        <v>#VALUE!</v>
      </c>
      <c r="HG404" t="e">
        <f>'Latin America and Caribbean'!F17+"$F;@!4.s"</f>
        <v>#VALUE!</v>
      </c>
      <c r="HH404" t="e">
        <f>'Latin America and Caribbean'!G17+"$F;@!4.t"</f>
        <v>#VALUE!</v>
      </c>
      <c r="HI404" t="e">
        <f>'Latin America and Caribbean'!H17+"$F;@!4.u"</f>
        <v>#VALUE!</v>
      </c>
      <c r="HJ404" t="e">
        <f>'Latin America and Caribbean'!A18+"$F;@!4.v"</f>
        <v>#VALUE!</v>
      </c>
      <c r="HK404" t="e">
        <f>'Latin America and Caribbean'!B18+"$F;@!4.w"</f>
        <v>#VALUE!</v>
      </c>
      <c r="HL404" t="e">
        <f>'Latin America and Caribbean'!C18+"$F;@!4.x"</f>
        <v>#VALUE!</v>
      </c>
      <c r="HM404" t="e">
        <f>'Latin America and Caribbean'!D18+"$F;@!4.y"</f>
        <v>#VALUE!</v>
      </c>
      <c r="HN404" t="e">
        <f>'Latin America and Caribbean'!E18+"$F;@!4.z"</f>
        <v>#VALUE!</v>
      </c>
      <c r="HO404" t="e">
        <f>'Latin America and Caribbean'!F18+"$F;@!4.{"</f>
        <v>#VALUE!</v>
      </c>
      <c r="HP404" t="e">
        <f>'Latin America and Caribbean'!G18+"$F;@!4.|"</f>
        <v>#VALUE!</v>
      </c>
      <c r="HQ404" t="e">
        <f>'Latin America and Caribbean'!H18+"$F;@!4.}"</f>
        <v>#VALUE!</v>
      </c>
      <c r="HR404" t="e">
        <f>'Latin America and Caribbean'!A19+"$F;@!4.~"</f>
        <v>#VALUE!</v>
      </c>
      <c r="HS404" t="e">
        <f>'Latin America and Caribbean'!B19+"$F;@!4/#"</f>
        <v>#VALUE!</v>
      </c>
      <c r="HT404" t="e">
        <f>'Latin America and Caribbean'!C19+"$F;@!4/$"</f>
        <v>#VALUE!</v>
      </c>
      <c r="HU404" t="e">
        <f>'Latin America and Caribbean'!D19+"$F;@!4/%"</f>
        <v>#VALUE!</v>
      </c>
      <c r="HV404" t="e">
        <f>'Latin America and Caribbean'!E19+"$F;@!4/&amp;"</f>
        <v>#VALUE!</v>
      </c>
      <c r="HW404" t="e">
        <f>'Latin America and Caribbean'!F19+"$F;@!4/'"</f>
        <v>#VALUE!</v>
      </c>
      <c r="HX404" t="e">
        <f>'Latin America and Caribbean'!G19+"$F;@!4/("</f>
        <v>#VALUE!</v>
      </c>
      <c r="HY404" t="e">
        <f>'Latin America and Caribbean'!H19+"$F;@!4/)"</f>
        <v>#VALUE!</v>
      </c>
      <c r="HZ404" t="e">
        <f>'Latin America and Caribbean'!A20+"$F;@!4/."</f>
        <v>#VALUE!</v>
      </c>
      <c r="IA404" t="e">
        <f>'Latin America and Caribbean'!B20+"$F;@!4//"</f>
        <v>#VALUE!</v>
      </c>
      <c r="IB404" t="e">
        <f>'Latin America and Caribbean'!C20+"$F;@!4/0"</f>
        <v>#VALUE!</v>
      </c>
      <c r="IC404" t="e">
        <f>'Latin America and Caribbean'!D20+"$F;@!4/1"</f>
        <v>#VALUE!</v>
      </c>
      <c r="ID404" t="e">
        <f>'Latin America and Caribbean'!E20+"$F;@!4/2"</f>
        <v>#VALUE!</v>
      </c>
      <c r="IE404" t="e">
        <f>'Latin America and Caribbean'!F20+"$F;@!4/3"</f>
        <v>#VALUE!</v>
      </c>
      <c r="IF404" t="e">
        <f>'Latin America and Caribbean'!G20+"$F;@!4/4"</f>
        <v>#VALUE!</v>
      </c>
      <c r="IG404" t="e">
        <f>'Latin America and Caribbean'!H20+"$F;@!4/5"</f>
        <v>#VALUE!</v>
      </c>
      <c r="IH404" t="e">
        <f>'Latin America and Caribbean'!A21+"$F;@!4/6"</f>
        <v>#VALUE!</v>
      </c>
      <c r="II404" t="e">
        <f>'Latin America and Caribbean'!B21+"$F;@!4/7"</f>
        <v>#VALUE!</v>
      </c>
      <c r="IJ404" t="e">
        <f>'Latin America and Caribbean'!C21+"$F;@!4/8"</f>
        <v>#VALUE!</v>
      </c>
      <c r="IK404" t="e">
        <f>'Latin America and Caribbean'!D21+"$F;@!4/9"</f>
        <v>#VALUE!</v>
      </c>
      <c r="IL404" t="e">
        <f>'Latin America and Caribbean'!E21+"$F;@!4/:"</f>
        <v>#VALUE!</v>
      </c>
      <c r="IM404" t="e">
        <f>'Latin America and Caribbean'!F21+"$F;@!4/;"</f>
        <v>#VALUE!</v>
      </c>
      <c r="IN404" t="e">
        <f>'Latin America and Caribbean'!G21+"$F;@!4/&lt;"</f>
        <v>#VALUE!</v>
      </c>
      <c r="IO404" t="e">
        <f>'Latin America and Caribbean'!H21+"$F;@!4/="</f>
        <v>#VALUE!</v>
      </c>
      <c r="IP404" t="e">
        <f>'Latin America and Caribbean'!A22+"$F;@!4/&gt;"</f>
        <v>#VALUE!</v>
      </c>
      <c r="IQ404" t="e">
        <f>'Latin America and Caribbean'!B22+"$F;@!4/?"</f>
        <v>#VALUE!</v>
      </c>
      <c r="IR404" t="e">
        <f>'Latin America and Caribbean'!C22+"$F;@!4/@"</f>
        <v>#VALUE!</v>
      </c>
      <c r="IS404" t="e">
        <f>'Latin America and Caribbean'!D22+"$F;@!4/A"</f>
        <v>#VALUE!</v>
      </c>
      <c r="IT404" t="e">
        <f>'Latin America and Caribbean'!E22+"$F;@!4/B"</f>
        <v>#VALUE!</v>
      </c>
      <c r="IU404" t="e">
        <f>'Latin America and Caribbean'!F22+"$F;@!4/C"</f>
        <v>#VALUE!</v>
      </c>
      <c r="IV404" t="e">
        <f>'Latin America and Caribbean'!G22+"$F;@!4/D"</f>
        <v>#VALUE!</v>
      </c>
    </row>
    <row r="405" spans="6:256" x14ac:dyDescent="0.35">
      <c r="F405" t="e">
        <f>'Latin America and Caribbean'!H22+"$F;@!4/E"</f>
        <v>#VALUE!</v>
      </c>
      <c r="G405" t="e">
        <f>'Latin America and Caribbean'!A23+"$F;@!4/F"</f>
        <v>#VALUE!</v>
      </c>
      <c r="H405" t="e">
        <f>'Latin America and Caribbean'!B23+"$F;@!4/G"</f>
        <v>#VALUE!</v>
      </c>
      <c r="I405" t="e">
        <f>'Latin America and Caribbean'!C23+"$F;@!4/H"</f>
        <v>#VALUE!</v>
      </c>
      <c r="J405" t="e">
        <f>'Latin America and Caribbean'!D23+"$F;@!4/I"</f>
        <v>#VALUE!</v>
      </c>
      <c r="K405" t="e">
        <f>'Latin America and Caribbean'!E23+"$F;@!4/J"</f>
        <v>#VALUE!</v>
      </c>
      <c r="L405" t="e">
        <f>'Latin America and Caribbean'!F23+"$F;@!4/K"</f>
        <v>#VALUE!</v>
      </c>
      <c r="M405" t="e">
        <f>'Latin America and Caribbean'!G23+"$F;@!4/L"</f>
        <v>#VALUE!</v>
      </c>
      <c r="N405" t="e">
        <f>'Latin America and Caribbean'!H23+"$F;@!4/M"</f>
        <v>#VALUE!</v>
      </c>
      <c r="O405" t="e">
        <f>'Latin America and Caribbean'!A24+"$F;@!4/N"</f>
        <v>#VALUE!</v>
      </c>
      <c r="P405" t="e">
        <f>'Latin America and Caribbean'!B24+"$F;@!4/O"</f>
        <v>#VALUE!</v>
      </c>
      <c r="Q405" t="e">
        <f>'Latin America and Caribbean'!C24+"$F;@!4/P"</f>
        <v>#VALUE!</v>
      </c>
      <c r="R405" t="e">
        <f>'Latin America and Caribbean'!D24+"$F;@!4/Q"</f>
        <v>#VALUE!</v>
      </c>
      <c r="S405" t="e">
        <f>'Latin America and Caribbean'!E24+"$F;@!4/R"</f>
        <v>#VALUE!</v>
      </c>
      <c r="T405" t="e">
        <f>'Latin America and Caribbean'!F24+"$F;@!4/S"</f>
        <v>#VALUE!</v>
      </c>
      <c r="U405" t="e">
        <f>'Latin America and Caribbean'!G24+"$F;@!4/T"</f>
        <v>#VALUE!</v>
      </c>
      <c r="V405" t="e">
        <f>'Latin America and Caribbean'!H24+"$F;@!4/U"</f>
        <v>#VALUE!</v>
      </c>
      <c r="W405" t="e">
        <f>'Latin America and Caribbean'!A25+"$F;@!4/V"</f>
        <v>#VALUE!</v>
      </c>
      <c r="X405" t="e">
        <f>'Latin America and Caribbean'!B25+"$F;@!4/W"</f>
        <v>#VALUE!</v>
      </c>
      <c r="Y405" t="e">
        <f>'Latin America and Caribbean'!C25+"$F;@!4/X"</f>
        <v>#VALUE!</v>
      </c>
      <c r="Z405" t="e">
        <f>'Latin America and Caribbean'!D25+"$F;@!4/Y"</f>
        <v>#VALUE!</v>
      </c>
      <c r="AA405" t="e">
        <f>'Latin America and Caribbean'!E25+"$F;@!4/Z"</f>
        <v>#VALUE!</v>
      </c>
      <c r="AB405" t="e">
        <f>'Latin America and Caribbean'!F25+"$F;@!4/["</f>
        <v>#VALUE!</v>
      </c>
      <c r="AC405" t="e">
        <f>'Latin America and Caribbean'!G25+"$F;@!4/\"</f>
        <v>#VALUE!</v>
      </c>
      <c r="AD405" t="e">
        <f>'Latin America and Caribbean'!H25+"$F;@!4/]"</f>
        <v>#VALUE!</v>
      </c>
      <c r="AE405" t="e">
        <f>'Latin America and Caribbean'!A26+"$F;@!4/^"</f>
        <v>#VALUE!</v>
      </c>
      <c r="AF405" t="e">
        <f>'Latin America and Caribbean'!B26+"$F;@!4/_"</f>
        <v>#VALUE!</v>
      </c>
      <c r="AG405" t="e">
        <f>'Latin America and Caribbean'!C26+"$F;@!4/`"</f>
        <v>#VALUE!</v>
      </c>
      <c r="AH405" t="e">
        <f>'Latin America and Caribbean'!D26+"$F;@!4/a"</f>
        <v>#VALUE!</v>
      </c>
      <c r="AI405" t="e">
        <f>'Latin America and Caribbean'!E26+"$F;@!4/b"</f>
        <v>#VALUE!</v>
      </c>
      <c r="AJ405" t="e">
        <f>'Latin America and Caribbean'!F26+"$F;@!4/c"</f>
        <v>#VALUE!</v>
      </c>
      <c r="AK405" t="e">
        <f>'Latin America and Caribbean'!G26+"$F;@!4/d"</f>
        <v>#VALUE!</v>
      </c>
      <c r="AL405" t="e">
        <f>'Latin America and Caribbean'!H26+"$F;@!4/e"</f>
        <v>#VALUE!</v>
      </c>
      <c r="AM405" t="e">
        <f>'Latin America and Caribbean'!A27+"$F;@!4/f"</f>
        <v>#VALUE!</v>
      </c>
      <c r="AN405" t="e">
        <f>'Latin America and Caribbean'!B27+"$F;@!4/g"</f>
        <v>#VALUE!</v>
      </c>
      <c r="AO405" t="e">
        <f>'Latin America and Caribbean'!C27+"$F;@!4/h"</f>
        <v>#VALUE!</v>
      </c>
      <c r="AP405" t="e">
        <f>'Latin America and Caribbean'!D27+"$F;@!4/i"</f>
        <v>#VALUE!</v>
      </c>
      <c r="AQ405" t="e">
        <f>'Latin America and Caribbean'!E27+"$F;@!4/j"</f>
        <v>#VALUE!</v>
      </c>
      <c r="AR405" t="e">
        <f>'Latin America and Caribbean'!F27+"$F;@!4/k"</f>
        <v>#VALUE!</v>
      </c>
      <c r="AS405" t="e">
        <f>'Latin America and Caribbean'!G27+"$F;@!4/l"</f>
        <v>#VALUE!</v>
      </c>
      <c r="AT405" t="e">
        <f>'Latin America and Caribbean'!H27+"$F;@!4/m"</f>
        <v>#VALUE!</v>
      </c>
      <c r="AU405" t="e">
        <f>'Latin America and Caribbean'!A28+"$F;@!4/n"</f>
        <v>#VALUE!</v>
      </c>
      <c r="AV405" t="e">
        <f>'Latin America and Caribbean'!B28+"$F;@!4/o"</f>
        <v>#VALUE!</v>
      </c>
      <c r="AW405" t="e">
        <f>'Latin America and Caribbean'!C28+"$F;@!4/p"</f>
        <v>#VALUE!</v>
      </c>
      <c r="AX405" t="e">
        <f>'Latin America and Caribbean'!D28+"$F;@!4/q"</f>
        <v>#VALUE!</v>
      </c>
      <c r="AY405" t="e">
        <f>'Latin America and Caribbean'!E28+"$F;@!4/r"</f>
        <v>#VALUE!</v>
      </c>
      <c r="AZ405" t="e">
        <f>'Latin America and Caribbean'!F28+"$F;@!4/s"</f>
        <v>#VALUE!</v>
      </c>
      <c r="BA405" t="e">
        <f>'Latin America and Caribbean'!G28+"$F;@!4/t"</f>
        <v>#VALUE!</v>
      </c>
      <c r="BB405" t="e">
        <f>'Latin America and Caribbean'!H28+"$F;@!4/u"</f>
        <v>#VALUE!</v>
      </c>
      <c r="BC405" t="e">
        <f>'Latin America and Caribbean'!A29+"$F;@!4/v"</f>
        <v>#VALUE!</v>
      </c>
      <c r="BD405" t="e">
        <f>'Latin America and Caribbean'!B29+"$F;@!4/w"</f>
        <v>#VALUE!</v>
      </c>
      <c r="BE405" t="e">
        <f>'Latin America and Caribbean'!C29+"$F;@!4/x"</f>
        <v>#VALUE!</v>
      </c>
      <c r="BF405" t="e">
        <f>'Latin America and Caribbean'!D29+"$F;@!4/y"</f>
        <v>#VALUE!</v>
      </c>
      <c r="BG405" t="e">
        <f>'Latin America and Caribbean'!E29+"$F;@!4/z"</f>
        <v>#VALUE!</v>
      </c>
      <c r="BH405" t="e">
        <f>'Latin America and Caribbean'!F29+"$F;@!4/{"</f>
        <v>#VALUE!</v>
      </c>
      <c r="BI405" t="e">
        <f>'Latin America and Caribbean'!G29+"$F;@!4/|"</f>
        <v>#VALUE!</v>
      </c>
      <c r="BJ405" t="e">
        <f>'Latin America and Caribbean'!H29+"$F;@!4/}"</f>
        <v>#VALUE!</v>
      </c>
      <c r="BK405" t="e">
        <f>'Latin America and Caribbean'!A30+"$F;@!4/~"</f>
        <v>#VALUE!</v>
      </c>
      <c r="BL405" t="e">
        <f>'Latin America and Caribbean'!B30+"$F;@!40#"</f>
        <v>#VALUE!</v>
      </c>
      <c r="BM405" t="e">
        <f>'Latin America and Caribbean'!C30+"$F;@!40$"</f>
        <v>#VALUE!</v>
      </c>
      <c r="BN405" t="e">
        <f>'Latin America and Caribbean'!D30+"$F;@!40%"</f>
        <v>#VALUE!</v>
      </c>
      <c r="BO405" t="e">
        <f>'Latin America and Caribbean'!E30+"$F;@!40&amp;"</f>
        <v>#VALUE!</v>
      </c>
      <c r="BP405" t="e">
        <f>'Latin America and Caribbean'!F30+"$F;@!40'"</f>
        <v>#VALUE!</v>
      </c>
      <c r="BQ405" t="e">
        <f>'Latin America and Caribbean'!G30+"$F;@!40("</f>
        <v>#VALUE!</v>
      </c>
      <c r="BR405" t="e">
        <f>'Latin America and Caribbean'!H30+"$F;@!40)"</f>
        <v>#VALUE!</v>
      </c>
      <c r="BS405" t="e">
        <f>'Latin America and Caribbean'!A31+"$F;@!40."</f>
        <v>#VALUE!</v>
      </c>
      <c r="BT405" t="e">
        <f>'Latin America and Caribbean'!B31+"$F;@!40/"</f>
        <v>#VALUE!</v>
      </c>
      <c r="BU405" t="e">
        <f>'Latin America and Caribbean'!C31+"$F;@!400"</f>
        <v>#VALUE!</v>
      </c>
      <c r="BV405" t="e">
        <f>'Latin America and Caribbean'!D31+"$F;@!401"</f>
        <v>#VALUE!</v>
      </c>
      <c r="BW405" t="e">
        <f>'Latin America and Caribbean'!E31+"$F;@!402"</f>
        <v>#VALUE!</v>
      </c>
      <c r="BX405" t="e">
        <f>'Latin America and Caribbean'!F31+"$F;@!403"</f>
        <v>#VALUE!</v>
      </c>
      <c r="BY405" t="e">
        <f>'Latin America and Caribbean'!G31+"$F;@!404"</f>
        <v>#VALUE!</v>
      </c>
      <c r="BZ405" t="e">
        <f>'Latin America and Caribbean'!H31+"$F;@!405"</f>
        <v>#VALUE!</v>
      </c>
      <c r="CA405" t="e">
        <f>'Latin America and Caribbean'!A32+"$F;@!406"</f>
        <v>#VALUE!</v>
      </c>
      <c r="CB405" t="e">
        <f>'Latin America and Caribbean'!B32+"$F;@!407"</f>
        <v>#VALUE!</v>
      </c>
      <c r="CC405" t="e">
        <f>'Latin America and Caribbean'!C32+"$F;@!408"</f>
        <v>#VALUE!</v>
      </c>
      <c r="CD405" t="e">
        <f>'Latin America and Caribbean'!D32+"$F;@!409"</f>
        <v>#VALUE!</v>
      </c>
      <c r="CE405" t="e">
        <f>'Latin America and Caribbean'!E32+"$F;@!40:"</f>
        <v>#VALUE!</v>
      </c>
      <c r="CF405" t="e">
        <f>'Latin America and Caribbean'!F32+"$F;@!40;"</f>
        <v>#VALUE!</v>
      </c>
      <c r="CG405" t="e">
        <f>'Latin America and Caribbean'!G32+"$F;@!40&lt;"</f>
        <v>#VALUE!</v>
      </c>
      <c r="CH405" t="e">
        <f>'Latin America and Caribbean'!H32+"$F;@!40="</f>
        <v>#VALUE!</v>
      </c>
      <c r="CI405" t="e">
        <f>'Latin America and Caribbean'!A33+"$F;@!40&gt;"</f>
        <v>#VALUE!</v>
      </c>
      <c r="CJ405" t="e">
        <f>'Latin America and Caribbean'!B33+"$F;@!40?"</f>
        <v>#VALUE!</v>
      </c>
      <c r="CK405" t="e">
        <f>'Latin America and Caribbean'!C33+"$F;@!40@"</f>
        <v>#VALUE!</v>
      </c>
      <c r="CL405" t="e">
        <f>'Latin America and Caribbean'!D33+"$F;@!40A"</f>
        <v>#VALUE!</v>
      </c>
      <c r="CM405" t="e">
        <f>'Latin America and Caribbean'!E33+"$F;@!40B"</f>
        <v>#VALUE!</v>
      </c>
      <c r="CN405" t="e">
        <f>'Latin America and Caribbean'!F33+"$F;@!40C"</f>
        <v>#VALUE!</v>
      </c>
      <c r="CO405" t="e">
        <f>'Latin America and Caribbean'!G33+"$F;@!40D"</f>
        <v>#VALUE!</v>
      </c>
      <c r="CP405" t="e">
        <f>'Latin America and Caribbean'!H33+"$F;@!40E"</f>
        <v>#VALUE!</v>
      </c>
      <c r="CQ405" t="e">
        <f>'Latin America and Caribbean'!A34+"$F;@!40F"</f>
        <v>#VALUE!</v>
      </c>
      <c r="CR405" t="e">
        <f>'Latin America and Caribbean'!B34+"$F;@!40G"</f>
        <v>#VALUE!</v>
      </c>
      <c r="CS405" t="e">
        <f>'Latin America and Caribbean'!C34+"$F;@!40H"</f>
        <v>#VALUE!</v>
      </c>
      <c r="CT405" t="e">
        <f>'Latin America and Caribbean'!D34+"$F;@!40I"</f>
        <v>#VALUE!</v>
      </c>
      <c r="CU405" t="e">
        <f>'Latin America and Caribbean'!E34+"$F;@!40J"</f>
        <v>#VALUE!</v>
      </c>
      <c r="CV405" t="e">
        <f>'Latin America and Caribbean'!F34+"$F;@!40K"</f>
        <v>#VALUE!</v>
      </c>
      <c r="CW405" t="e">
        <f>'Latin America and Caribbean'!G34+"$F;@!40L"</f>
        <v>#VALUE!</v>
      </c>
      <c r="CX405" t="e">
        <f>'Latin America and Caribbean'!H34+"$F;@!40M"</f>
        <v>#VALUE!</v>
      </c>
      <c r="CY405" t="e">
        <f>'Latin America and Caribbean'!A35+"$F;@!40N"</f>
        <v>#VALUE!</v>
      </c>
      <c r="CZ405" t="e">
        <f>'Latin America and Caribbean'!B35+"$F;@!40O"</f>
        <v>#VALUE!</v>
      </c>
      <c r="DA405" t="e">
        <f>'Latin America and Caribbean'!C35+"$F;@!40P"</f>
        <v>#VALUE!</v>
      </c>
      <c r="DB405" t="e">
        <f>'Latin America and Caribbean'!D35+"$F;@!40Q"</f>
        <v>#VALUE!</v>
      </c>
      <c r="DC405" t="e">
        <f>'Latin America and Caribbean'!E35+"$F;@!40R"</f>
        <v>#VALUE!</v>
      </c>
      <c r="DD405" t="e">
        <f>'Latin America and Caribbean'!F35+"$F;@!40S"</f>
        <v>#VALUE!</v>
      </c>
      <c r="DE405" t="e">
        <f>'Latin America and Caribbean'!G35+"$F;@!40T"</f>
        <v>#VALUE!</v>
      </c>
      <c r="DF405" t="e">
        <f>'Latin America and Caribbean'!H35+"$F;@!40U"</f>
        <v>#VALUE!</v>
      </c>
      <c r="DG405" t="e">
        <f>'Latin America and Caribbean'!A36+"$F;@!40V"</f>
        <v>#VALUE!</v>
      </c>
      <c r="DH405" t="e">
        <f>'Latin America and Caribbean'!B36+"$F;@!40W"</f>
        <v>#VALUE!</v>
      </c>
      <c r="DI405" t="e">
        <f>'Latin America and Caribbean'!C36+"$F;@!40X"</f>
        <v>#VALUE!</v>
      </c>
      <c r="DJ405" t="e">
        <f>'Latin America and Caribbean'!D36+"$F;@!40Y"</f>
        <v>#VALUE!</v>
      </c>
      <c r="DK405" t="e">
        <f>'Latin America and Caribbean'!E36+"$F;@!40Z"</f>
        <v>#VALUE!</v>
      </c>
      <c r="DL405" t="e">
        <f>'Latin America and Caribbean'!F36+"$F;@!40["</f>
        <v>#VALUE!</v>
      </c>
      <c r="DM405" t="e">
        <f>'Latin America and Caribbean'!G36+"$F;@!40\"</f>
        <v>#VALUE!</v>
      </c>
      <c r="DN405" t="e">
        <f>'Latin America and Caribbean'!H36+"$F;@!40]"</f>
        <v>#VALUE!</v>
      </c>
      <c r="DO405" t="e">
        <f>'Latin America and Caribbean'!A37+"$F;@!40^"</f>
        <v>#VALUE!</v>
      </c>
      <c r="DP405" t="e">
        <f>'Latin America and Caribbean'!B37+"$F;@!40_"</f>
        <v>#VALUE!</v>
      </c>
      <c r="DQ405" t="e">
        <f>'Latin America and Caribbean'!C37+"$F;@!40`"</f>
        <v>#VALUE!</v>
      </c>
      <c r="DR405" t="e">
        <f>'Latin America and Caribbean'!D37+"$F;@!40a"</f>
        <v>#VALUE!</v>
      </c>
      <c r="DS405" t="e">
        <f>'Latin America and Caribbean'!E37+"$F;@!40b"</f>
        <v>#VALUE!</v>
      </c>
      <c r="DT405" t="e">
        <f>'Latin America and Caribbean'!F37+"$F;@!40c"</f>
        <v>#VALUE!</v>
      </c>
      <c r="DU405" t="e">
        <f>'Latin America and Caribbean'!G37+"$F;@!40d"</f>
        <v>#VALUE!</v>
      </c>
      <c r="DV405" t="e">
        <f>'Latin America and Caribbean'!H37+"$F;@!40e"</f>
        <v>#VALUE!</v>
      </c>
      <c r="DW405" t="e">
        <f>'Latin America and Caribbean'!A38+"$F;@!40f"</f>
        <v>#VALUE!</v>
      </c>
      <c r="DX405" t="e">
        <f>'Latin America and Caribbean'!B38+"$F;@!40g"</f>
        <v>#VALUE!</v>
      </c>
      <c r="DY405" t="e">
        <f>'Latin America and Caribbean'!C38+"$F;@!40h"</f>
        <v>#VALUE!</v>
      </c>
      <c r="DZ405" t="e">
        <f>'Latin America and Caribbean'!D38+"$F;@!40i"</f>
        <v>#VALUE!</v>
      </c>
      <c r="EA405" t="e">
        <f>'Latin America and Caribbean'!E38+"$F;@!40j"</f>
        <v>#VALUE!</v>
      </c>
      <c r="EB405" t="e">
        <f>'Latin America and Caribbean'!F38+"$F;@!40k"</f>
        <v>#VALUE!</v>
      </c>
      <c r="EC405" t="e">
        <f>'Latin America and Caribbean'!G38+"$F;@!40l"</f>
        <v>#VALUE!</v>
      </c>
      <c r="ED405" t="e">
        <f>'Latin America and Caribbean'!H38+"$F;@!40m"</f>
        <v>#VALUE!</v>
      </c>
      <c r="EE405" t="e">
        <f>'Latin America and Caribbean'!A39+"$F;@!40n"</f>
        <v>#VALUE!</v>
      </c>
      <c r="EF405" t="e">
        <f>'Latin America and Caribbean'!B39+"$F;@!40o"</f>
        <v>#VALUE!</v>
      </c>
      <c r="EG405" t="e">
        <f>'Latin America and Caribbean'!C39+"$F;@!40p"</f>
        <v>#VALUE!</v>
      </c>
      <c r="EH405" t="e">
        <f>'Latin America and Caribbean'!D39+"$F;@!40q"</f>
        <v>#VALUE!</v>
      </c>
      <c r="EI405" t="e">
        <f>'Latin America and Caribbean'!E39+"$F;@!40r"</f>
        <v>#VALUE!</v>
      </c>
      <c r="EJ405" t="e">
        <f>'Latin America and Caribbean'!F39+"$F;@!40s"</f>
        <v>#VALUE!</v>
      </c>
      <c r="EK405" t="e">
        <f>'Latin America and Caribbean'!G39+"$F;@!40t"</f>
        <v>#VALUE!</v>
      </c>
      <c r="EL405" t="e">
        <f>'Latin America and Caribbean'!H39+"$F;@!40u"</f>
        <v>#VALUE!</v>
      </c>
      <c r="EM405" t="e">
        <f>'Latin America and Caribbean'!A40+"$F;@!40v"</f>
        <v>#VALUE!</v>
      </c>
      <c r="EN405" t="e">
        <f>'Latin America and Caribbean'!B40+"$F;@!40w"</f>
        <v>#VALUE!</v>
      </c>
      <c r="EO405" t="e">
        <f>'Latin America and Caribbean'!C40+"$F;@!40x"</f>
        <v>#VALUE!</v>
      </c>
      <c r="EP405" t="e">
        <f>'Latin America and Caribbean'!D40+"$F;@!40y"</f>
        <v>#VALUE!</v>
      </c>
      <c r="EQ405" t="e">
        <f>'Latin America and Caribbean'!E40+"$F;@!40z"</f>
        <v>#VALUE!</v>
      </c>
      <c r="ER405" t="e">
        <f>'Latin America and Caribbean'!F40+"$F;@!40{"</f>
        <v>#VALUE!</v>
      </c>
      <c r="ES405" t="e">
        <f>'Latin America and Caribbean'!G40+"$F;@!40|"</f>
        <v>#VALUE!</v>
      </c>
      <c r="ET405" t="e">
        <f>'Latin America and Caribbean'!H40+"$F;@!40}"</f>
        <v>#VALUE!</v>
      </c>
      <c r="EU405" t="e">
        <f>'Latin America and Caribbean'!A41+"$F;@!40~"</f>
        <v>#VALUE!</v>
      </c>
      <c r="EV405" t="e">
        <f>'Latin America and Caribbean'!B41+"$F;@!41#"</f>
        <v>#VALUE!</v>
      </c>
      <c r="EW405" t="e">
        <f>'Latin America and Caribbean'!C41+"$F;@!41$"</f>
        <v>#VALUE!</v>
      </c>
      <c r="EX405" t="e">
        <f>'Latin America and Caribbean'!D41+"$F;@!41%"</f>
        <v>#VALUE!</v>
      </c>
      <c r="EY405" t="e">
        <f>'Latin America and Caribbean'!E41+"$F;@!41&amp;"</f>
        <v>#VALUE!</v>
      </c>
      <c r="EZ405" t="e">
        <f>'Latin America and Caribbean'!F41+"$F;@!41'"</f>
        <v>#VALUE!</v>
      </c>
      <c r="FA405" t="e">
        <f>'Latin America and Caribbean'!G41+"$F;@!41("</f>
        <v>#VALUE!</v>
      </c>
      <c r="FB405" t="e">
        <f>'Latin America and Caribbean'!H41+"$F;@!41)"</f>
        <v>#VALUE!</v>
      </c>
      <c r="FC405" t="e">
        <f>'Latin America and Caribbean'!A42+"$F;@!41."</f>
        <v>#VALUE!</v>
      </c>
      <c r="FD405" t="e">
        <f>'Latin America and Caribbean'!B42+"$F;@!41/"</f>
        <v>#VALUE!</v>
      </c>
      <c r="FE405" t="e">
        <f>'Latin America and Caribbean'!C42+"$F;@!410"</f>
        <v>#VALUE!</v>
      </c>
      <c r="FF405" t="e">
        <f>'Latin America and Caribbean'!D42+"$F;@!411"</f>
        <v>#VALUE!</v>
      </c>
      <c r="FG405" t="e">
        <f>'Latin America and Caribbean'!E42+"$F;@!412"</f>
        <v>#VALUE!</v>
      </c>
      <c r="FH405" t="e">
        <f>'Latin America and Caribbean'!F42+"$F;@!413"</f>
        <v>#VALUE!</v>
      </c>
      <c r="FI405" t="e">
        <f>'Latin America and Caribbean'!G42+"$F;@!414"</f>
        <v>#VALUE!</v>
      </c>
      <c r="FJ405" t="e">
        <f>'Latin America and Caribbean'!H42+"$F;@!415"</f>
        <v>#VALUE!</v>
      </c>
      <c r="FK405" t="e">
        <f>'Latin America and Caribbean'!A43+"$F;@!416"</f>
        <v>#VALUE!</v>
      </c>
      <c r="FL405" t="e">
        <f>'Latin America and Caribbean'!B43+"$F;@!417"</f>
        <v>#VALUE!</v>
      </c>
      <c r="FM405" t="e">
        <f>'Latin America and Caribbean'!C43+"$F;@!418"</f>
        <v>#VALUE!</v>
      </c>
      <c r="FN405" t="e">
        <f>'Latin America and Caribbean'!D43+"$F;@!419"</f>
        <v>#VALUE!</v>
      </c>
      <c r="FO405" t="e">
        <f>'Latin America and Caribbean'!E43+"$F;@!41:"</f>
        <v>#VALUE!</v>
      </c>
      <c r="FP405" t="e">
        <f>'Latin America and Caribbean'!F43+"$F;@!41;"</f>
        <v>#VALUE!</v>
      </c>
      <c r="FQ405" t="e">
        <f>'Latin America and Caribbean'!G43+"$F;@!41&lt;"</f>
        <v>#VALUE!</v>
      </c>
      <c r="FR405" t="e">
        <f>'Latin America and Caribbean'!H43+"$F;@!41="</f>
        <v>#VALUE!</v>
      </c>
      <c r="FS405" t="e">
        <f>'Latin America and Caribbean'!A44+"$F;@!41&gt;"</f>
        <v>#VALUE!</v>
      </c>
      <c r="FT405" t="e">
        <f>'Latin America and Caribbean'!B44+"$F;@!41?"</f>
        <v>#VALUE!</v>
      </c>
      <c r="FU405" t="e">
        <f>'Latin America and Caribbean'!C44+"$F;@!41@"</f>
        <v>#VALUE!</v>
      </c>
      <c r="FV405" t="e">
        <f>'Latin America and Caribbean'!D44+"$F;@!41A"</f>
        <v>#VALUE!</v>
      </c>
      <c r="FW405" t="e">
        <f>'Latin America and Caribbean'!E44+"$F;@!41B"</f>
        <v>#VALUE!</v>
      </c>
      <c r="FX405" t="e">
        <f>'Latin America and Caribbean'!F44+"$F;@!41C"</f>
        <v>#VALUE!</v>
      </c>
      <c r="FY405" t="e">
        <f>'Latin America and Caribbean'!G44+"$F;@!41D"</f>
        <v>#VALUE!</v>
      </c>
      <c r="FZ405" t="e">
        <f>'Latin America and Caribbean'!H44+"$F;@!41E"</f>
        <v>#VALUE!</v>
      </c>
      <c r="GA405" t="e">
        <f>'Latin America and Caribbean'!A45+"$F;@!41F"</f>
        <v>#VALUE!</v>
      </c>
      <c r="GB405" t="e">
        <f>'Latin America and Caribbean'!B45+"$F;@!41G"</f>
        <v>#VALUE!</v>
      </c>
      <c r="GC405" t="e">
        <f>'Latin America and Caribbean'!C45+"$F;@!41H"</f>
        <v>#VALUE!</v>
      </c>
      <c r="GD405" t="e">
        <f>'Latin America and Caribbean'!D45+"$F;@!41I"</f>
        <v>#VALUE!</v>
      </c>
      <c r="GE405" t="e">
        <f>'Latin America and Caribbean'!E45+"$F;@!41J"</f>
        <v>#VALUE!</v>
      </c>
      <c r="GF405" t="e">
        <f>'Latin America and Caribbean'!F45+"$F;@!41K"</f>
        <v>#VALUE!</v>
      </c>
      <c r="GG405" t="e">
        <f>'Latin America and Caribbean'!G45+"$F;@!41L"</f>
        <v>#VALUE!</v>
      </c>
      <c r="GH405" t="e">
        <f>'Latin America and Caribbean'!H45+"$F;@!41M"</f>
        <v>#VALUE!</v>
      </c>
      <c r="GI405" t="e">
        <f>'Latin America and Caribbean'!A46+"$F;@!41N"</f>
        <v>#VALUE!</v>
      </c>
      <c r="GJ405" t="e">
        <f>'Latin America and Caribbean'!B46+"$F;@!41O"</f>
        <v>#VALUE!</v>
      </c>
      <c r="GK405" t="e">
        <f>'Latin America and Caribbean'!C46+"$F;@!41P"</f>
        <v>#VALUE!</v>
      </c>
      <c r="GL405" t="e">
        <f>'Latin America and Caribbean'!D46+"$F;@!41Q"</f>
        <v>#VALUE!</v>
      </c>
      <c r="GM405" t="e">
        <f>'Latin America and Caribbean'!E46+"$F;@!41R"</f>
        <v>#VALUE!</v>
      </c>
      <c r="GN405" t="e">
        <f>'Latin America and Caribbean'!F46+"$F;@!41S"</f>
        <v>#VALUE!</v>
      </c>
      <c r="GO405" t="e">
        <f>'Latin America and Caribbean'!G46+"$F;@!41T"</f>
        <v>#VALUE!</v>
      </c>
      <c r="GP405" t="e">
        <f>'Latin America and Caribbean'!H46+"$F;@!41U"</f>
        <v>#VALUE!</v>
      </c>
      <c r="GQ405" t="e">
        <f>'Latin America and Caribbean'!A47+"$F;@!41V"</f>
        <v>#VALUE!</v>
      </c>
      <c r="GR405" t="e">
        <f>'Latin America and Caribbean'!B47+"$F;@!41W"</f>
        <v>#VALUE!</v>
      </c>
      <c r="GS405" t="e">
        <f>'Latin America and Caribbean'!C47+"$F;@!41X"</f>
        <v>#VALUE!</v>
      </c>
      <c r="GT405" t="e">
        <f>'Latin America and Caribbean'!D47+"$F;@!41Y"</f>
        <v>#VALUE!</v>
      </c>
      <c r="GU405" t="e">
        <f>'Latin America and Caribbean'!E47+"$F;@!41Z"</f>
        <v>#VALUE!</v>
      </c>
      <c r="GV405" t="e">
        <f>'Latin America and Caribbean'!F47+"$F;@!41["</f>
        <v>#VALUE!</v>
      </c>
      <c r="GW405" t="e">
        <f>'Latin America and Caribbean'!G47+"$F;@!41\"</f>
        <v>#VALUE!</v>
      </c>
      <c r="GX405" t="e">
        <f>'Latin America and Caribbean'!H47+"$F;@!41]"</f>
        <v>#VALUE!</v>
      </c>
      <c r="GY405" t="e">
        <f>'Latin America and Caribbean'!A48+"$F;@!41^"</f>
        <v>#VALUE!</v>
      </c>
      <c r="GZ405" t="e">
        <f>'Latin America and Caribbean'!B48+"$F;@!41_"</f>
        <v>#VALUE!</v>
      </c>
      <c r="HA405" t="e">
        <f>'Latin America and Caribbean'!C48+"$F;@!41`"</f>
        <v>#VALUE!</v>
      </c>
      <c r="HB405" t="e">
        <f>'Latin America and Caribbean'!D48+"$F;@!41a"</f>
        <v>#VALUE!</v>
      </c>
      <c r="HC405" t="e">
        <f>'Latin America and Caribbean'!E48+"$F;@!41b"</f>
        <v>#VALUE!</v>
      </c>
      <c r="HD405" t="e">
        <f>'Latin America and Caribbean'!F48+"$F;@!41c"</f>
        <v>#VALUE!</v>
      </c>
      <c r="HE405" t="e">
        <f>'Latin America and Caribbean'!G48+"$F;@!41d"</f>
        <v>#VALUE!</v>
      </c>
      <c r="HF405" t="e">
        <f>'Latin America and Caribbean'!H48+"$F;@!41e"</f>
        <v>#VALUE!</v>
      </c>
      <c r="HG405" t="e">
        <f>'Latin America and Caribbean'!A49+"$F;@!41f"</f>
        <v>#VALUE!</v>
      </c>
      <c r="HH405" t="e">
        <f>'Latin America and Caribbean'!B49+"$F;@!41g"</f>
        <v>#VALUE!</v>
      </c>
      <c r="HI405" t="e">
        <f>'Latin America and Caribbean'!C49+"$F;@!41h"</f>
        <v>#VALUE!</v>
      </c>
      <c r="HJ405" t="e">
        <f>'Latin America and Caribbean'!D49+"$F;@!41i"</f>
        <v>#VALUE!</v>
      </c>
      <c r="HK405" t="e">
        <f>'Latin America and Caribbean'!E49+"$F;@!41j"</f>
        <v>#VALUE!</v>
      </c>
      <c r="HL405" t="e">
        <f>'Latin America and Caribbean'!F49+"$F;@!41k"</f>
        <v>#VALUE!</v>
      </c>
      <c r="HM405" t="e">
        <f>'Latin America and Caribbean'!G49+"$F;@!41l"</f>
        <v>#VALUE!</v>
      </c>
      <c r="HN405" t="e">
        <f>'Latin America and Caribbean'!H49+"$F;@!41m"</f>
        <v>#VALUE!</v>
      </c>
      <c r="HO405" t="e">
        <f>'Latin America and Caribbean'!A50+"$F;@!41n"</f>
        <v>#VALUE!</v>
      </c>
      <c r="HP405" t="e">
        <f>'Latin America and Caribbean'!B50+"$F;@!41o"</f>
        <v>#VALUE!</v>
      </c>
      <c r="HQ405" t="e">
        <f>'Latin America and Caribbean'!C50+"$F;@!41p"</f>
        <v>#VALUE!</v>
      </c>
      <c r="HR405" t="e">
        <f>'Latin America and Caribbean'!D50+"$F;@!41q"</f>
        <v>#VALUE!</v>
      </c>
      <c r="HS405" t="e">
        <f>'Latin America and Caribbean'!E50+"$F;@!41r"</f>
        <v>#VALUE!</v>
      </c>
      <c r="HT405" t="e">
        <f>'Latin America and Caribbean'!F50+"$F;@!41s"</f>
        <v>#VALUE!</v>
      </c>
      <c r="HU405" t="e">
        <f>'Latin America and Caribbean'!G50+"$F;@!41t"</f>
        <v>#VALUE!</v>
      </c>
      <c r="HV405" t="e">
        <f>'Latin America and Caribbean'!H50+"$F;@!41u"</f>
        <v>#VALUE!</v>
      </c>
      <c r="HW405" t="e">
        <f>'Latin America and Caribbean'!A51+"$F;@!41v"</f>
        <v>#VALUE!</v>
      </c>
      <c r="HX405" t="e">
        <f>'Latin America and Caribbean'!B51+"$F;@!41w"</f>
        <v>#VALUE!</v>
      </c>
      <c r="HY405" t="e">
        <f>'Latin America and Caribbean'!C51+"$F;@!41x"</f>
        <v>#VALUE!</v>
      </c>
      <c r="HZ405" t="e">
        <f>'Latin America and Caribbean'!D51+"$F;@!41y"</f>
        <v>#VALUE!</v>
      </c>
      <c r="IA405" t="e">
        <f>'Latin America and Caribbean'!E51+"$F;@!41z"</f>
        <v>#VALUE!</v>
      </c>
      <c r="IB405" t="e">
        <f>'Latin America and Caribbean'!F51+"$F;@!41{"</f>
        <v>#VALUE!</v>
      </c>
      <c r="IC405" t="e">
        <f>'Latin America and Caribbean'!G51+"$F;@!41|"</f>
        <v>#VALUE!</v>
      </c>
      <c r="ID405" t="e">
        <f>'Latin America and Caribbean'!H51+"$F;@!41}"</f>
        <v>#VALUE!</v>
      </c>
      <c r="IE405" t="e">
        <f>'Latin America and Caribbean'!A52+"$F;@!41~"</f>
        <v>#VALUE!</v>
      </c>
      <c r="IF405" t="e">
        <f>'Latin America and Caribbean'!B52+"$F;@!42#"</f>
        <v>#VALUE!</v>
      </c>
      <c r="IG405" t="e">
        <f>'Latin America and Caribbean'!C52+"$F;@!42$"</f>
        <v>#VALUE!</v>
      </c>
      <c r="IH405" t="e">
        <f>'Latin America and Caribbean'!D52+"$F;@!42%"</f>
        <v>#VALUE!</v>
      </c>
      <c r="II405" t="e">
        <f>'Latin America and Caribbean'!E52+"$F;@!42&amp;"</f>
        <v>#VALUE!</v>
      </c>
      <c r="IJ405" t="e">
        <f>'Latin America and Caribbean'!F52+"$F;@!42'"</f>
        <v>#VALUE!</v>
      </c>
      <c r="IK405" t="e">
        <f>'Latin America and Caribbean'!G52+"$F;@!42("</f>
        <v>#VALUE!</v>
      </c>
      <c r="IL405" t="e">
        <f>'Latin America and Caribbean'!H52+"$F;@!42)"</f>
        <v>#VALUE!</v>
      </c>
      <c r="IM405" t="e">
        <f>'Latin America and Caribbean'!A53+"$F;@!42."</f>
        <v>#VALUE!</v>
      </c>
      <c r="IN405" t="e">
        <f>'Latin America and Caribbean'!B53+"$F;@!42/"</f>
        <v>#VALUE!</v>
      </c>
      <c r="IO405" t="e">
        <f>'Latin America and Caribbean'!C53+"$F;@!420"</f>
        <v>#VALUE!</v>
      </c>
      <c r="IP405" t="e">
        <f>'Latin America and Caribbean'!D53+"$F;@!421"</f>
        <v>#VALUE!</v>
      </c>
      <c r="IQ405" t="e">
        <f>'Latin America and Caribbean'!E53+"$F;@!422"</f>
        <v>#VALUE!</v>
      </c>
      <c r="IR405" t="e">
        <f>'Latin America and Caribbean'!F53+"$F;@!423"</f>
        <v>#VALUE!</v>
      </c>
      <c r="IS405" t="e">
        <f>'Latin America and Caribbean'!G53+"$F;@!424"</f>
        <v>#VALUE!</v>
      </c>
      <c r="IT405" t="e">
        <f>'Latin America and Caribbean'!H53+"$F;@!425"</f>
        <v>#VALUE!</v>
      </c>
      <c r="IU405" t="e">
        <f>'Latin America and Caribbean'!A54+"$F;@!426"</f>
        <v>#VALUE!</v>
      </c>
      <c r="IV405" t="e">
        <f>'Latin America and Caribbean'!B54+"$F;@!427"</f>
        <v>#VALUE!</v>
      </c>
    </row>
    <row r="406" spans="6:256" x14ac:dyDescent="0.35">
      <c r="F406" t="e">
        <f>'Latin America and Caribbean'!C54+"$F;@!428"</f>
        <v>#VALUE!</v>
      </c>
      <c r="G406" t="e">
        <f>'Latin America and Caribbean'!D54+"$F;@!429"</f>
        <v>#VALUE!</v>
      </c>
      <c r="H406" t="e">
        <f>'Latin America and Caribbean'!E54+"$F;@!42:"</f>
        <v>#VALUE!</v>
      </c>
      <c r="I406" t="e">
        <f>'Latin America and Caribbean'!F54+"$F;@!42;"</f>
        <v>#VALUE!</v>
      </c>
      <c r="J406" t="e">
        <f>'Latin America and Caribbean'!G54+"$F;@!42&lt;"</f>
        <v>#VALUE!</v>
      </c>
      <c r="K406" t="e">
        <f>'Latin America and Caribbean'!H54+"$F;@!42="</f>
        <v>#VALUE!</v>
      </c>
      <c r="L406" t="e">
        <f>'Latin America and Caribbean'!A55+"$F;@!42&gt;"</f>
        <v>#VALUE!</v>
      </c>
      <c r="M406" t="e">
        <f>'Latin America and Caribbean'!B55+"$F;@!42?"</f>
        <v>#VALUE!</v>
      </c>
      <c r="N406" t="e">
        <f>'Latin America and Caribbean'!C55+"$F;@!42@"</f>
        <v>#VALUE!</v>
      </c>
      <c r="O406" t="e">
        <f>'Latin America and Caribbean'!D55+"$F;@!42A"</f>
        <v>#VALUE!</v>
      </c>
      <c r="P406" t="e">
        <f>'Latin America and Caribbean'!E55+"$F;@!42B"</f>
        <v>#VALUE!</v>
      </c>
      <c r="Q406" t="e">
        <f>'Latin America and Caribbean'!F55+"$F;@!42C"</f>
        <v>#VALUE!</v>
      </c>
      <c r="R406" t="e">
        <f>'Latin America and Caribbean'!G55+"$F;@!42D"</f>
        <v>#VALUE!</v>
      </c>
      <c r="S406" t="e">
        <f>'Latin America and Caribbean'!H55+"$F;@!42E"</f>
        <v>#VALUE!</v>
      </c>
      <c r="T406" t="e">
        <f>'Latin America and Caribbean'!A56+"$F;@!42F"</f>
        <v>#VALUE!</v>
      </c>
      <c r="U406" t="e">
        <f>'Latin America and Caribbean'!B56+"$F;@!42G"</f>
        <v>#VALUE!</v>
      </c>
      <c r="V406" t="e">
        <f>'Latin America and Caribbean'!C56+"$F;@!42H"</f>
        <v>#VALUE!</v>
      </c>
      <c r="W406" t="e">
        <f>'Latin America and Caribbean'!D56+"$F;@!42I"</f>
        <v>#VALUE!</v>
      </c>
      <c r="X406" t="e">
        <f>'Latin America and Caribbean'!E56+"$F;@!42J"</f>
        <v>#VALUE!</v>
      </c>
      <c r="Y406" t="e">
        <f>'Latin America and Caribbean'!F56+"$F;@!42K"</f>
        <v>#VALUE!</v>
      </c>
      <c r="Z406" t="e">
        <f>'Latin America and Caribbean'!G56+"$F;@!42L"</f>
        <v>#VALUE!</v>
      </c>
      <c r="AA406" t="e">
        <f>'Latin America and Caribbean'!H56+"$F;@!42M"</f>
        <v>#VALUE!</v>
      </c>
      <c r="AB406" t="e">
        <f>'Latin America and Caribbean'!A57+"$F;@!42N"</f>
        <v>#VALUE!</v>
      </c>
      <c r="AC406" t="e">
        <f>'Latin America and Caribbean'!B57+"$F;@!42O"</f>
        <v>#VALUE!</v>
      </c>
      <c r="AD406" t="e">
        <f>'Latin America and Caribbean'!C57+"$F;@!42P"</f>
        <v>#VALUE!</v>
      </c>
      <c r="AE406" t="e">
        <f>'Latin America and Caribbean'!D57+"$F;@!42Q"</f>
        <v>#VALUE!</v>
      </c>
      <c r="AF406" t="e">
        <f>'Latin America and Caribbean'!E57+"$F;@!42R"</f>
        <v>#VALUE!</v>
      </c>
      <c r="AG406" t="e">
        <f>'Latin America and Caribbean'!F57+"$F;@!42S"</f>
        <v>#VALUE!</v>
      </c>
      <c r="AH406" t="e">
        <f>'Latin America and Caribbean'!G57+"$F;@!42T"</f>
        <v>#VALUE!</v>
      </c>
      <c r="AI406" t="e">
        <f>'Latin America and Caribbean'!H57+"$F;@!42U"</f>
        <v>#VALUE!</v>
      </c>
      <c r="AJ406" t="e">
        <f>'Latin America and Caribbean'!A58+"$F;@!42V"</f>
        <v>#VALUE!</v>
      </c>
      <c r="AK406" t="e">
        <f>'Latin America and Caribbean'!B58+"$F;@!42W"</f>
        <v>#VALUE!</v>
      </c>
      <c r="AL406" t="e">
        <f>'Latin America and Caribbean'!C58+"$F;@!42X"</f>
        <v>#VALUE!</v>
      </c>
      <c r="AM406" t="e">
        <f>'Latin America and Caribbean'!D58+"$F;@!42Y"</f>
        <v>#VALUE!</v>
      </c>
      <c r="AN406" t="e">
        <f>'Latin America and Caribbean'!E58+"$F;@!42Z"</f>
        <v>#VALUE!</v>
      </c>
      <c r="AO406" t="e">
        <f>'Latin America and Caribbean'!F58+"$F;@!42["</f>
        <v>#VALUE!</v>
      </c>
      <c r="AP406" t="e">
        <f>'Latin America and Caribbean'!G58+"$F;@!42\"</f>
        <v>#VALUE!</v>
      </c>
      <c r="AQ406" t="e">
        <f>'Latin America and Caribbean'!H58+"$F;@!42]"</f>
        <v>#VALUE!</v>
      </c>
      <c r="AR406" t="e">
        <f>'Latin America and Caribbean'!A59+"$F;@!42^"</f>
        <v>#VALUE!</v>
      </c>
      <c r="AS406" t="e">
        <f>'Latin America and Caribbean'!B59+"$F;@!42_"</f>
        <v>#VALUE!</v>
      </c>
      <c r="AT406" t="e">
        <f>'Latin America and Caribbean'!C59+"$F;@!42`"</f>
        <v>#VALUE!</v>
      </c>
      <c r="AU406" t="e">
        <f>'Latin America and Caribbean'!D59+"$F;@!42a"</f>
        <v>#VALUE!</v>
      </c>
      <c r="AV406" t="e">
        <f>'Latin America and Caribbean'!E59+"$F;@!42b"</f>
        <v>#VALUE!</v>
      </c>
      <c r="AW406" t="e">
        <f>'Latin America and Caribbean'!F59+"$F;@!42c"</f>
        <v>#VALUE!</v>
      </c>
      <c r="AX406" t="e">
        <f>'Latin America and Caribbean'!G59+"$F;@!42d"</f>
        <v>#VALUE!</v>
      </c>
      <c r="AY406" t="e">
        <f>'Latin America and Caribbean'!H59+"$F;@!42e"</f>
        <v>#VALUE!</v>
      </c>
      <c r="AZ406" t="e">
        <f>'Latin America and Caribbean'!A60+"$F;@!42f"</f>
        <v>#VALUE!</v>
      </c>
      <c r="BA406" t="e">
        <f>'Latin America and Caribbean'!B60+"$F;@!42g"</f>
        <v>#VALUE!</v>
      </c>
      <c r="BB406" t="e">
        <f>'Latin America and Caribbean'!C60+"$F;@!42h"</f>
        <v>#VALUE!</v>
      </c>
      <c r="BC406" t="e">
        <f>'Latin America and Caribbean'!D60+"$F;@!42i"</f>
        <v>#VALUE!</v>
      </c>
      <c r="BD406" t="e">
        <f>'Latin America and Caribbean'!E60+"$F;@!42j"</f>
        <v>#VALUE!</v>
      </c>
      <c r="BE406" t="e">
        <f>'Latin America and Caribbean'!F60+"$F;@!42k"</f>
        <v>#VALUE!</v>
      </c>
      <c r="BF406" t="e">
        <f>'Latin America and Caribbean'!G60+"$F;@!42l"</f>
        <v>#VALUE!</v>
      </c>
      <c r="BG406" t="e">
        <f>'Latin America and Caribbean'!H60+"$F;@!42m"</f>
        <v>#VALUE!</v>
      </c>
      <c r="BH406" t="e">
        <f>'Latin America and Caribbean'!A61+"$F;@!42n"</f>
        <v>#VALUE!</v>
      </c>
      <c r="BI406" t="e">
        <f>'Latin America and Caribbean'!B61+"$F;@!42o"</f>
        <v>#VALUE!</v>
      </c>
      <c r="BJ406" t="e">
        <f>'Latin America and Caribbean'!C61+"$F;@!42p"</f>
        <v>#VALUE!</v>
      </c>
      <c r="BK406" t="e">
        <f>'Latin America and Caribbean'!D61+"$F;@!42q"</f>
        <v>#VALUE!</v>
      </c>
      <c r="BL406" t="e">
        <f>'Latin America and Caribbean'!E61+"$F;@!42r"</f>
        <v>#VALUE!</v>
      </c>
      <c r="BM406" t="e">
        <f>'Latin America and Caribbean'!F61+"$F;@!42s"</f>
        <v>#VALUE!</v>
      </c>
      <c r="BN406" t="e">
        <f>'Latin America and Caribbean'!G61+"$F;@!42t"</f>
        <v>#VALUE!</v>
      </c>
      <c r="BO406" t="e">
        <f>'Latin America and Caribbean'!H61+"$F;@!42u"</f>
        <v>#VALUE!</v>
      </c>
      <c r="BP406" t="e">
        <f>'Latin America and Caribbean'!A62+"$F;@!42v"</f>
        <v>#VALUE!</v>
      </c>
      <c r="BQ406" t="e">
        <f>'Latin America and Caribbean'!B62+"$F;@!42w"</f>
        <v>#VALUE!</v>
      </c>
      <c r="BR406" t="e">
        <f>'Latin America and Caribbean'!C62+"$F;@!42x"</f>
        <v>#VALUE!</v>
      </c>
      <c r="BS406" t="e">
        <f>'Latin America and Caribbean'!D62+"$F;@!42y"</f>
        <v>#VALUE!</v>
      </c>
      <c r="BT406" t="e">
        <f>'Latin America and Caribbean'!E62+"$F;@!42z"</f>
        <v>#VALUE!</v>
      </c>
      <c r="BU406" t="e">
        <f>'Latin America and Caribbean'!F62+"$F;@!42{"</f>
        <v>#VALUE!</v>
      </c>
      <c r="BV406" t="e">
        <f>'Latin America and Caribbean'!G62+"$F;@!42|"</f>
        <v>#VALUE!</v>
      </c>
      <c r="BW406" t="e">
        <f>'Latin America and Caribbean'!H62+"$F;@!42}"</f>
        <v>#VALUE!</v>
      </c>
      <c r="BX406" t="e">
        <f>'Latin America and Caribbean'!A63+"$F;@!42~"</f>
        <v>#VALUE!</v>
      </c>
      <c r="BY406" t="e">
        <f>'Latin America and Caribbean'!B63+"$F;@!43#"</f>
        <v>#VALUE!</v>
      </c>
      <c r="BZ406" t="e">
        <f>'Latin America and Caribbean'!C63+"$F;@!43$"</f>
        <v>#VALUE!</v>
      </c>
      <c r="CA406" t="e">
        <f>'Latin America and Caribbean'!D63+"$F;@!43%"</f>
        <v>#VALUE!</v>
      </c>
      <c r="CB406" t="e">
        <f>'Latin America and Caribbean'!E63+"$F;@!43&amp;"</f>
        <v>#VALUE!</v>
      </c>
      <c r="CC406" t="e">
        <f>'Latin America and Caribbean'!F63+"$F;@!43'"</f>
        <v>#VALUE!</v>
      </c>
      <c r="CD406" t="e">
        <f>'Latin America and Caribbean'!G63+"$F;@!43("</f>
        <v>#VALUE!</v>
      </c>
      <c r="CE406" t="e">
        <f>'Latin America and Caribbean'!H63+"$F;@!43)"</f>
        <v>#VALUE!</v>
      </c>
      <c r="CF406" t="e">
        <f>'Latin America and Caribbean'!A64+"$F;@!43."</f>
        <v>#VALUE!</v>
      </c>
      <c r="CG406" t="e">
        <f>'Latin America and Caribbean'!B64+"$F;@!43/"</f>
        <v>#VALUE!</v>
      </c>
      <c r="CH406" t="e">
        <f>'Latin America and Caribbean'!C64+"$F;@!430"</f>
        <v>#VALUE!</v>
      </c>
      <c r="CI406" t="e">
        <f>'Latin America and Caribbean'!D64+"$F;@!431"</f>
        <v>#VALUE!</v>
      </c>
      <c r="CJ406" t="e">
        <f>'Latin America and Caribbean'!E64+"$F;@!432"</f>
        <v>#VALUE!</v>
      </c>
      <c r="CK406" t="e">
        <f>'Latin America and Caribbean'!F64+"$F;@!433"</f>
        <v>#VALUE!</v>
      </c>
      <c r="CL406" t="e">
        <f>'Latin America and Caribbean'!G64+"$F;@!434"</f>
        <v>#VALUE!</v>
      </c>
      <c r="CM406" t="e">
        <f>'Latin America and Caribbean'!H64+"$F;@!435"</f>
        <v>#VALUE!</v>
      </c>
      <c r="CN406" t="e">
        <f>'Latin America and Caribbean'!A65+"$F;@!436"</f>
        <v>#VALUE!</v>
      </c>
      <c r="CO406" t="e">
        <f>'Latin America and Caribbean'!B65+"$F;@!437"</f>
        <v>#VALUE!</v>
      </c>
      <c r="CP406" t="e">
        <f>'Latin America and Caribbean'!C65+"$F;@!438"</f>
        <v>#VALUE!</v>
      </c>
      <c r="CQ406" t="e">
        <f>'Latin America and Caribbean'!D65+"$F;@!439"</f>
        <v>#VALUE!</v>
      </c>
      <c r="CR406" t="e">
        <f>'Latin America and Caribbean'!E65+"$F;@!43:"</f>
        <v>#VALUE!</v>
      </c>
      <c r="CS406" t="e">
        <f>'Latin America and Caribbean'!F65+"$F;@!43;"</f>
        <v>#VALUE!</v>
      </c>
      <c r="CT406" t="e">
        <f>'Latin America and Caribbean'!G65+"$F;@!43&lt;"</f>
        <v>#VALUE!</v>
      </c>
      <c r="CU406" t="e">
        <f>'Latin America and Caribbean'!H65+"$F;@!43="</f>
        <v>#VALUE!</v>
      </c>
      <c r="CV406" t="e">
        <f>'Latin America and Caribbean'!A66+"$F;@!43&gt;"</f>
        <v>#VALUE!</v>
      </c>
      <c r="CW406" t="e">
        <f>'Latin America and Caribbean'!B66+"$F;@!43?"</f>
        <v>#VALUE!</v>
      </c>
      <c r="CX406" t="e">
        <f>'Latin America and Caribbean'!C66+"$F;@!43@"</f>
        <v>#VALUE!</v>
      </c>
      <c r="CY406" t="e">
        <f>'Latin America and Caribbean'!D66+"$F;@!43A"</f>
        <v>#VALUE!</v>
      </c>
      <c r="CZ406" t="e">
        <f>'Latin America and Caribbean'!E66+"$F;@!43B"</f>
        <v>#VALUE!</v>
      </c>
      <c r="DA406" t="e">
        <f>'Latin America and Caribbean'!F66+"$F;@!43C"</f>
        <v>#VALUE!</v>
      </c>
      <c r="DB406" t="e">
        <f>'Latin America and Caribbean'!G66+"$F;@!43D"</f>
        <v>#VALUE!</v>
      </c>
      <c r="DC406" t="e">
        <f>'Latin America and Caribbean'!H66+"$F;@!43E"</f>
        <v>#VALUE!</v>
      </c>
      <c r="DD406" t="e">
        <f>'Latin America and Caribbean'!A67+"$F;@!43F"</f>
        <v>#VALUE!</v>
      </c>
      <c r="DE406" t="e">
        <f>'Latin America and Caribbean'!B67+"$F;@!43G"</f>
        <v>#VALUE!</v>
      </c>
      <c r="DF406" t="e">
        <f>'Latin America and Caribbean'!C67+"$F;@!43H"</f>
        <v>#VALUE!</v>
      </c>
      <c r="DG406" t="e">
        <f>'Latin America and Caribbean'!D67+"$F;@!43I"</f>
        <v>#VALUE!</v>
      </c>
      <c r="DH406" t="e">
        <f>'Latin America and Caribbean'!E67+"$F;@!43J"</f>
        <v>#VALUE!</v>
      </c>
      <c r="DI406" t="e">
        <f>'Latin America and Caribbean'!F67+"$F;@!43K"</f>
        <v>#VALUE!</v>
      </c>
      <c r="DJ406" t="e">
        <f>'Latin America and Caribbean'!G67+"$F;@!43L"</f>
        <v>#VALUE!</v>
      </c>
      <c r="DK406" t="e">
        <f>'Latin America and Caribbean'!H67+"$F;@!43M"</f>
        <v>#VALUE!</v>
      </c>
      <c r="DL406" t="e">
        <f>'Latin America and Caribbean'!A68+"$F;@!43N"</f>
        <v>#VALUE!</v>
      </c>
      <c r="DM406" t="e">
        <f>'Latin America and Caribbean'!B68+"$F;@!43O"</f>
        <v>#VALUE!</v>
      </c>
      <c r="DN406" t="e">
        <f>'Latin America and Caribbean'!C68+"$F;@!43P"</f>
        <v>#VALUE!</v>
      </c>
      <c r="DO406" t="e">
        <f>'Latin America and Caribbean'!D68+"$F;@!43Q"</f>
        <v>#VALUE!</v>
      </c>
      <c r="DP406" t="e">
        <f>'Latin America and Caribbean'!E68+"$F;@!43R"</f>
        <v>#VALUE!</v>
      </c>
      <c r="DQ406" t="e">
        <f>'Latin America and Caribbean'!F68+"$F;@!43S"</f>
        <v>#VALUE!</v>
      </c>
      <c r="DR406" t="e">
        <f>'Latin America and Caribbean'!G68+"$F;@!43T"</f>
        <v>#VALUE!</v>
      </c>
      <c r="DS406" t="e">
        <f>'Latin America and Caribbean'!H68+"$F;@!43U"</f>
        <v>#VALUE!</v>
      </c>
      <c r="DT406" t="e">
        <f>'Latin America and Caribbean'!A69+"$F;@!43V"</f>
        <v>#VALUE!</v>
      </c>
      <c r="DU406" t="e">
        <f>'Latin America and Caribbean'!B69+"$F;@!43W"</f>
        <v>#VALUE!</v>
      </c>
      <c r="DV406" t="e">
        <f>'Latin America and Caribbean'!C69+"$F;@!43X"</f>
        <v>#VALUE!</v>
      </c>
      <c r="DW406" t="e">
        <f>'Latin America and Caribbean'!D69+"$F;@!43Y"</f>
        <v>#VALUE!</v>
      </c>
      <c r="DX406" t="e">
        <f>'Latin America and Caribbean'!E69+"$F;@!43Z"</f>
        <v>#VALUE!</v>
      </c>
      <c r="DY406" t="e">
        <f>'Latin America and Caribbean'!F69+"$F;@!43["</f>
        <v>#VALUE!</v>
      </c>
      <c r="DZ406" t="e">
        <f>'Latin America and Caribbean'!G69+"$F;@!43\"</f>
        <v>#VALUE!</v>
      </c>
      <c r="EA406" t="e">
        <f>'Latin America and Caribbean'!H69+"$F;@!43]"</f>
        <v>#VALUE!</v>
      </c>
      <c r="EB406" t="e">
        <f>'Latin America and Caribbean'!A70+"$F;@!43^"</f>
        <v>#VALUE!</v>
      </c>
      <c r="EC406" t="e">
        <f>'Latin America and Caribbean'!B70+"$F;@!43_"</f>
        <v>#VALUE!</v>
      </c>
      <c r="ED406" t="e">
        <f>'Latin America and Caribbean'!C70+"$F;@!43`"</f>
        <v>#VALUE!</v>
      </c>
      <c r="EE406" t="e">
        <f>'Latin America and Caribbean'!D70+"$F;@!43a"</f>
        <v>#VALUE!</v>
      </c>
      <c r="EF406" t="e">
        <f>'Latin America and Caribbean'!E70+"$F;@!43b"</f>
        <v>#VALUE!</v>
      </c>
      <c r="EG406" t="e">
        <f>'Latin America and Caribbean'!F70+"$F;@!43c"</f>
        <v>#VALUE!</v>
      </c>
      <c r="EH406" t="e">
        <f>'Latin America and Caribbean'!G70+"$F;@!43d"</f>
        <v>#VALUE!</v>
      </c>
      <c r="EI406" t="e">
        <f>'Latin America and Caribbean'!H70+"$F;@!43e"</f>
        <v>#VALUE!</v>
      </c>
      <c r="EJ406" t="e">
        <f>'Latin America and Caribbean'!A71+"$F;@!43f"</f>
        <v>#VALUE!</v>
      </c>
      <c r="EK406" t="e">
        <f>'Latin America and Caribbean'!B71+"$F;@!43g"</f>
        <v>#VALUE!</v>
      </c>
      <c r="EL406" t="e">
        <f>'Latin America and Caribbean'!C71+"$F;@!43h"</f>
        <v>#VALUE!</v>
      </c>
      <c r="EM406" t="e">
        <f>'Latin America and Caribbean'!D71+"$F;@!43i"</f>
        <v>#VALUE!</v>
      </c>
      <c r="EN406" t="e">
        <f>'Latin America and Caribbean'!E71+"$F;@!43j"</f>
        <v>#VALUE!</v>
      </c>
      <c r="EO406" t="e">
        <f>'Latin America and Caribbean'!F71+"$F;@!43k"</f>
        <v>#VALUE!</v>
      </c>
      <c r="EP406" t="e">
        <f>'Latin America and Caribbean'!G71+"$F;@!43l"</f>
        <v>#VALUE!</v>
      </c>
      <c r="EQ406" t="e">
        <f>'Latin America and Caribbean'!H71+"$F;@!43m"</f>
        <v>#VALUE!</v>
      </c>
      <c r="ER406" t="e">
        <f>'Latin America and Caribbean'!A72+"$F;@!43n"</f>
        <v>#VALUE!</v>
      </c>
      <c r="ES406" t="e">
        <f>'Latin America and Caribbean'!B72+"$F;@!43o"</f>
        <v>#VALUE!</v>
      </c>
      <c r="ET406" t="e">
        <f>'Latin America and Caribbean'!C72+"$F;@!43p"</f>
        <v>#VALUE!</v>
      </c>
      <c r="EU406" t="e">
        <f>'Latin America and Caribbean'!D72+"$F;@!43q"</f>
        <v>#VALUE!</v>
      </c>
      <c r="EV406" t="e">
        <f>'Latin America and Caribbean'!E72+"$F;@!43r"</f>
        <v>#VALUE!</v>
      </c>
      <c r="EW406" t="e">
        <f>'Latin America and Caribbean'!F72+"$F;@!43s"</f>
        <v>#VALUE!</v>
      </c>
      <c r="EX406" t="e">
        <f>'Latin America and Caribbean'!G72+"$F;@!43t"</f>
        <v>#VALUE!</v>
      </c>
      <c r="EY406" t="e">
        <f>'Latin America and Caribbean'!H72+"$F;@!43u"</f>
        <v>#VALUE!</v>
      </c>
      <c r="EZ406" t="e">
        <f>'Latin America and Caribbean'!A73+"$F;@!43v"</f>
        <v>#VALUE!</v>
      </c>
      <c r="FA406" t="e">
        <f>'Latin America and Caribbean'!B73+"$F;@!43w"</f>
        <v>#VALUE!</v>
      </c>
      <c r="FB406" t="e">
        <f>'Latin America and Caribbean'!C73+"$F;@!43x"</f>
        <v>#VALUE!</v>
      </c>
      <c r="FC406" t="e">
        <f>'Latin America and Caribbean'!D73+"$F;@!43y"</f>
        <v>#VALUE!</v>
      </c>
      <c r="FD406" t="e">
        <f>'Latin America and Caribbean'!E73+"$F;@!43z"</f>
        <v>#VALUE!</v>
      </c>
      <c r="FE406" t="e">
        <f>'Latin America and Caribbean'!F73+"$F;@!43{"</f>
        <v>#VALUE!</v>
      </c>
      <c r="FF406" t="e">
        <f>'Latin America and Caribbean'!G73+"$F;@!43|"</f>
        <v>#VALUE!</v>
      </c>
      <c r="FG406" t="e">
        <f>'Latin America and Caribbean'!H73+"$F;@!43}"</f>
        <v>#VALUE!</v>
      </c>
      <c r="FH406" t="e">
        <f>'Latin America and Caribbean'!A74+"$F;@!43~"</f>
        <v>#VALUE!</v>
      </c>
      <c r="FI406" t="e">
        <f>'Latin America and Caribbean'!B74+"$F;@!44#"</f>
        <v>#VALUE!</v>
      </c>
      <c r="FJ406" t="e">
        <f>'Latin America and Caribbean'!C74+"$F;@!44$"</f>
        <v>#VALUE!</v>
      </c>
      <c r="FK406" t="e">
        <f>'Latin America and Caribbean'!D74+"$F;@!44%"</f>
        <v>#VALUE!</v>
      </c>
      <c r="FL406" t="e">
        <f>'Latin America and Caribbean'!E74+"$F;@!44&amp;"</f>
        <v>#VALUE!</v>
      </c>
      <c r="FM406" t="e">
        <f>'Latin America and Caribbean'!F74+"$F;@!44'"</f>
        <v>#VALUE!</v>
      </c>
      <c r="FN406" t="e">
        <f>'Latin America and Caribbean'!G74+"$F;@!44("</f>
        <v>#VALUE!</v>
      </c>
      <c r="FO406" t="e">
        <f>'Latin America and Caribbean'!H74+"$F;@!44)"</f>
        <v>#VALUE!</v>
      </c>
      <c r="FP406" t="e">
        <f>'Latin America and Caribbean'!A75+"$F;@!44."</f>
        <v>#VALUE!</v>
      </c>
      <c r="FQ406" t="e">
        <f>'Latin America and Caribbean'!B75+"$F;@!44/"</f>
        <v>#VALUE!</v>
      </c>
      <c r="FR406" t="e">
        <f>'Latin America and Caribbean'!C75+"$F;@!440"</f>
        <v>#VALUE!</v>
      </c>
      <c r="FS406" t="e">
        <f>'Latin America and Caribbean'!D75+"$F;@!441"</f>
        <v>#VALUE!</v>
      </c>
      <c r="FT406" t="e">
        <f>'Latin America and Caribbean'!E75+"$F;@!442"</f>
        <v>#VALUE!</v>
      </c>
      <c r="FU406" t="e">
        <f>'Latin America and Caribbean'!F75+"$F;@!443"</f>
        <v>#VALUE!</v>
      </c>
      <c r="FV406" t="e">
        <f>'Latin America and Caribbean'!G75+"$F;@!444"</f>
        <v>#VALUE!</v>
      </c>
      <c r="FW406" t="e">
        <f>'Latin America and Caribbean'!H75+"$F;@!445"</f>
        <v>#VALUE!</v>
      </c>
      <c r="FX406" t="e">
        <f>'Latin America and Caribbean'!A76+"$F;@!446"</f>
        <v>#VALUE!</v>
      </c>
      <c r="FY406" t="e">
        <f>'Latin America and Caribbean'!B76+"$F;@!447"</f>
        <v>#VALUE!</v>
      </c>
      <c r="FZ406" t="e">
        <f>'Latin America and Caribbean'!C76+"$F;@!448"</f>
        <v>#VALUE!</v>
      </c>
      <c r="GA406" t="e">
        <f>'Latin America and Caribbean'!D76+"$F;@!449"</f>
        <v>#VALUE!</v>
      </c>
      <c r="GB406" t="e">
        <f>'Latin America and Caribbean'!E76+"$F;@!44:"</f>
        <v>#VALUE!</v>
      </c>
      <c r="GC406" t="e">
        <f>'Latin America and Caribbean'!F76+"$F;@!44;"</f>
        <v>#VALUE!</v>
      </c>
      <c r="GD406" t="e">
        <f>'Latin America and Caribbean'!G76+"$F;@!44&lt;"</f>
        <v>#VALUE!</v>
      </c>
      <c r="GE406" t="e">
        <f>'Latin America and Caribbean'!H76+"$F;@!44="</f>
        <v>#VALUE!</v>
      </c>
      <c r="GF406" t="e">
        <f>'Latin America and Caribbean'!A77+"$F;@!44&gt;"</f>
        <v>#VALUE!</v>
      </c>
      <c r="GG406" t="e">
        <f>'Latin America and Caribbean'!B77+"$F;@!44?"</f>
        <v>#VALUE!</v>
      </c>
      <c r="GH406" t="e">
        <f>'Latin America and Caribbean'!C77+"$F;@!44@"</f>
        <v>#VALUE!</v>
      </c>
      <c r="GI406" t="e">
        <f>'Latin America and Caribbean'!D77+"$F;@!44A"</f>
        <v>#VALUE!</v>
      </c>
      <c r="GJ406" t="e">
        <f>'Latin America and Caribbean'!E77+"$F;@!44B"</f>
        <v>#VALUE!</v>
      </c>
      <c r="GK406" t="e">
        <f>'Latin America and Caribbean'!F77+"$F;@!44C"</f>
        <v>#VALUE!</v>
      </c>
      <c r="GL406" t="e">
        <f>'Latin America and Caribbean'!G77+"$F;@!44D"</f>
        <v>#VALUE!</v>
      </c>
      <c r="GM406" t="e">
        <f>'Latin America and Caribbean'!H77+"$F;@!44E"</f>
        <v>#VALUE!</v>
      </c>
      <c r="GN406" t="e">
        <f>'Latin America and Caribbean'!A78+"$F;@!44F"</f>
        <v>#VALUE!</v>
      </c>
      <c r="GO406" t="e">
        <f>'Latin America and Caribbean'!B78+"$F;@!44G"</f>
        <v>#VALUE!</v>
      </c>
      <c r="GP406" t="e">
        <f>'Latin America and Caribbean'!C78+"$F;@!44H"</f>
        <v>#VALUE!</v>
      </c>
      <c r="GQ406" t="e">
        <f>'Latin America and Caribbean'!D78+"$F;@!44I"</f>
        <v>#VALUE!</v>
      </c>
      <c r="GR406" t="e">
        <f>'Latin America and Caribbean'!E78+"$F;@!44J"</f>
        <v>#VALUE!</v>
      </c>
      <c r="GS406" t="e">
        <f>'Latin America and Caribbean'!F78+"$F;@!44K"</f>
        <v>#VALUE!</v>
      </c>
      <c r="GT406" t="e">
        <f>'Latin America and Caribbean'!G78+"$F;@!44L"</f>
        <v>#VALUE!</v>
      </c>
      <c r="GU406" t="e">
        <f>'Latin America and Caribbean'!H78+"$F;@!44M"</f>
        <v>#VALUE!</v>
      </c>
      <c r="GV406" t="e">
        <f>'Latin America and Caribbean'!A79+"$F;@!44N"</f>
        <v>#VALUE!</v>
      </c>
      <c r="GW406" t="e">
        <f>'Latin America and Caribbean'!B79+"$F;@!44O"</f>
        <v>#VALUE!</v>
      </c>
      <c r="GX406" t="e">
        <f>'Latin America and Caribbean'!C79+"$F;@!44P"</f>
        <v>#VALUE!</v>
      </c>
      <c r="GY406" t="e">
        <f>'Latin America and Caribbean'!D79+"$F;@!44Q"</f>
        <v>#VALUE!</v>
      </c>
      <c r="GZ406" t="e">
        <f>'Latin America and Caribbean'!E79+"$F;@!44R"</f>
        <v>#VALUE!</v>
      </c>
      <c r="HA406" t="e">
        <f>'Latin America and Caribbean'!F79+"$F;@!44S"</f>
        <v>#VALUE!</v>
      </c>
      <c r="HB406" t="e">
        <f>'Latin America and Caribbean'!G79+"$F;@!44T"</f>
        <v>#VALUE!</v>
      </c>
      <c r="HC406" t="e">
        <f>'Latin America and Caribbean'!H79+"$F;@!44U"</f>
        <v>#VALUE!</v>
      </c>
      <c r="HD406" t="e">
        <f>'Latin America and Caribbean'!A80+"$F;@!44V"</f>
        <v>#VALUE!</v>
      </c>
      <c r="HE406" t="e">
        <f>'Latin America and Caribbean'!B80+"$F;@!44W"</f>
        <v>#VALUE!</v>
      </c>
      <c r="HF406" t="e">
        <f>'Latin America and Caribbean'!C80+"$F;@!44X"</f>
        <v>#VALUE!</v>
      </c>
      <c r="HG406" t="e">
        <f>'Latin America and Caribbean'!D80+"$F;@!44Y"</f>
        <v>#VALUE!</v>
      </c>
      <c r="HH406" t="e">
        <f>'Latin America and Caribbean'!E80+"$F;@!44Z"</f>
        <v>#VALUE!</v>
      </c>
      <c r="HI406" t="e">
        <f>'Latin America and Caribbean'!F80+"$F;@!44["</f>
        <v>#VALUE!</v>
      </c>
      <c r="HJ406" t="e">
        <f>'Latin America and Caribbean'!G80+"$F;@!44\"</f>
        <v>#VALUE!</v>
      </c>
      <c r="HK406" t="e">
        <f>'Latin America and Caribbean'!H80+"$F;@!44]"</f>
        <v>#VALUE!</v>
      </c>
      <c r="HL406" t="e">
        <f>'Latin America and Caribbean'!A81+"$F;@!44^"</f>
        <v>#VALUE!</v>
      </c>
      <c r="HM406" t="e">
        <f>'Latin America and Caribbean'!B81+"$F;@!44_"</f>
        <v>#VALUE!</v>
      </c>
      <c r="HN406" t="e">
        <f>'Latin America and Caribbean'!C81+"$F;@!44`"</f>
        <v>#VALUE!</v>
      </c>
      <c r="HO406" t="e">
        <f>'Latin America and Caribbean'!D81+"$F;@!44a"</f>
        <v>#VALUE!</v>
      </c>
      <c r="HP406" t="e">
        <f>'Latin America and Caribbean'!E81+"$F;@!44b"</f>
        <v>#VALUE!</v>
      </c>
      <c r="HQ406" t="e">
        <f>'Latin America and Caribbean'!F81+"$F;@!44c"</f>
        <v>#VALUE!</v>
      </c>
      <c r="HR406" t="e">
        <f>'Latin America and Caribbean'!G81+"$F;@!44d"</f>
        <v>#VALUE!</v>
      </c>
      <c r="HS406" t="e">
        <f>'Latin America and Caribbean'!H81+"$F;@!44e"</f>
        <v>#VALUE!</v>
      </c>
      <c r="HT406" t="e">
        <f>'Latin America and Caribbean'!A82+"$F;@!44f"</f>
        <v>#VALUE!</v>
      </c>
      <c r="HU406" t="e">
        <f>'Latin America and Caribbean'!B82+"$F;@!44g"</f>
        <v>#VALUE!</v>
      </c>
      <c r="HV406" t="e">
        <f>'Latin America and Caribbean'!C82+"$F;@!44h"</f>
        <v>#VALUE!</v>
      </c>
      <c r="HW406" t="e">
        <f>'Latin America and Caribbean'!D82+"$F;@!44i"</f>
        <v>#VALUE!</v>
      </c>
      <c r="HX406" t="e">
        <f>'Latin America and Caribbean'!E82+"$F;@!44j"</f>
        <v>#VALUE!</v>
      </c>
      <c r="HY406" t="e">
        <f>'Latin America and Caribbean'!F82+"$F;@!44k"</f>
        <v>#VALUE!</v>
      </c>
      <c r="HZ406" t="e">
        <f>'Latin America and Caribbean'!G82+"$F;@!44l"</f>
        <v>#VALUE!</v>
      </c>
      <c r="IA406" t="e">
        <f>'Latin America and Caribbean'!H82+"$F;@!44m"</f>
        <v>#VALUE!</v>
      </c>
      <c r="IB406" t="e">
        <f>'Latin America and Caribbean'!A83+"$F;@!44n"</f>
        <v>#VALUE!</v>
      </c>
      <c r="IC406" t="e">
        <f>'Latin America and Caribbean'!B83+"$F;@!44o"</f>
        <v>#VALUE!</v>
      </c>
      <c r="ID406" t="e">
        <f>'Latin America and Caribbean'!C83+"$F;@!44p"</f>
        <v>#VALUE!</v>
      </c>
      <c r="IE406" t="e">
        <f>'Latin America and Caribbean'!D83+"$F;@!44q"</f>
        <v>#VALUE!</v>
      </c>
      <c r="IF406" t="e">
        <f>'Latin America and Caribbean'!E83+"$F;@!44r"</f>
        <v>#VALUE!</v>
      </c>
      <c r="IG406" t="e">
        <f>'Latin America and Caribbean'!F83+"$F;@!44s"</f>
        <v>#VALUE!</v>
      </c>
      <c r="IH406" t="e">
        <f>'Latin America and Caribbean'!G83+"$F;@!44t"</f>
        <v>#VALUE!</v>
      </c>
      <c r="II406" t="e">
        <f>'Latin America and Caribbean'!H83+"$F;@!44u"</f>
        <v>#VALUE!</v>
      </c>
      <c r="IJ406" t="e">
        <f>'Latin America and Caribbean'!A84+"$F;@!44v"</f>
        <v>#VALUE!</v>
      </c>
      <c r="IK406" t="e">
        <f>'Latin America and Caribbean'!B84+"$F;@!44w"</f>
        <v>#VALUE!</v>
      </c>
      <c r="IL406" t="e">
        <f>'Latin America and Caribbean'!C84+"$F;@!44x"</f>
        <v>#VALUE!</v>
      </c>
      <c r="IM406" t="e">
        <f>'Latin America and Caribbean'!D84+"$F;@!44y"</f>
        <v>#VALUE!</v>
      </c>
      <c r="IN406" t="e">
        <f>'Latin America and Caribbean'!E84+"$F;@!44z"</f>
        <v>#VALUE!</v>
      </c>
      <c r="IO406" t="e">
        <f>'Latin America and Caribbean'!F84+"$F;@!44{"</f>
        <v>#VALUE!</v>
      </c>
      <c r="IP406" t="e">
        <f>'Latin America and Caribbean'!G84+"$F;@!44|"</f>
        <v>#VALUE!</v>
      </c>
      <c r="IQ406" t="e">
        <f>'Latin America and Caribbean'!H84+"$F;@!44}"</f>
        <v>#VALUE!</v>
      </c>
      <c r="IR406" t="e">
        <f>'Latin America and Caribbean'!A85+"$F;@!44~"</f>
        <v>#VALUE!</v>
      </c>
      <c r="IS406" t="e">
        <f>'Latin America and Caribbean'!B85+"$F;@!45#"</f>
        <v>#VALUE!</v>
      </c>
      <c r="IT406" t="e">
        <f>'Latin America and Caribbean'!C85+"$F;@!45$"</f>
        <v>#VALUE!</v>
      </c>
      <c r="IU406" t="e">
        <f>'Latin America and Caribbean'!D85+"$F;@!45%"</f>
        <v>#VALUE!</v>
      </c>
      <c r="IV406" t="e">
        <f>'Latin America and Caribbean'!E85+"$F;@!45&amp;"</f>
        <v>#VALUE!</v>
      </c>
    </row>
    <row r="407" spans="6:256" x14ac:dyDescent="0.35">
      <c r="F407" t="e">
        <f>'Latin America and Caribbean'!F85+"$F;@!45'"</f>
        <v>#VALUE!</v>
      </c>
      <c r="G407" t="e">
        <f>'Latin America and Caribbean'!G85+"$F;@!45("</f>
        <v>#VALUE!</v>
      </c>
      <c r="H407" t="e">
        <f>'Latin America and Caribbean'!H85+"$F;@!45)"</f>
        <v>#VALUE!</v>
      </c>
      <c r="I407" t="e">
        <f>'Latin America and Caribbean'!A86+"$F;@!45."</f>
        <v>#VALUE!</v>
      </c>
      <c r="J407" t="e">
        <f>'Latin America and Caribbean'!B86+"$F;@!45/"</f>
        <v>#VALUE!</v>
      </c>
      <c r="K407" t="e">
        <f>'Latin America and Caribbean'!C86+"$F;@!450"</f>
        <v>#VALUE!</v>
      </c>
      <c r="L407" t="e">
        <f>'Latin America and Caribbean'!D86+"$F;@!451"</f>
        <v>#VALUE!</v>
      </c>
      <c r="M407" t="e">
        <f>'Latin America and Caribbean'!E86+"$F;@!452"</f>
        <v>#VALUE!</v>
      </c>
      <c r="N407" t="e">
        <f>'Latin America and Caribbean'!F86+"$F;@!453"</f>
        <v>#VALUE!</v>
      </c>
      <c r="O407" t="e">
        <f>'Latin America and Caribbean'!G86+"$F;@!454"</f>
        <v>#VALUE!</v>
      </c>
      <c r="P407" t="e">
        <f>'Latin America and Caribbean'!H86+"$F;@!455"</f>
        <v>#VALUE!</v>
      </c>
      <c r="Q407" t="e">
        <f>'Latin America and Caribbean'!A87+"$F;@!456"</f>
        <v>#VALUE!</v>
      </c>
      <c r="R407" t="e">
        <f>'Latin America and Caribbean'!B87+"$F;@!457"</f>
        <v>#VALUE!</v>
      </c>
      <c r="S407" t="e">
        <f>'Latin America and Caribbean'!C87+"$F;@!458"</f>
        <v>#VALUE!</v>
      </c>
      <c r="T407" t="e">
        <f>'Latin America and Caribbean'!D87+"$F;@!459"</f>
        <v>#VALUE!</v>
      </c>
      <c r="U407" t="e">
        <f>'Latin America and Caribbean'!E87+"$F;@!45:"</f>
        <v>#VALUE!</v>
      </c>
      <c r="V407" t="e">
        <f>'Latin America and Caribbean'!F87+"$F;@!45;"</f>
        <v>#VALUE!</v>
      </c>
      <c r="W407" t="e">
        <f>'Latin America and Caribbean'!G87+"$F;@!45&lt;"</f>
        <v>#VALUE!</v>
      </c>
      <c r="X407" t="e">
        <f>'Latin America and Caribbean'!H87+"$F;@!45="</f>
        <v>#VALUE!</v>
      </c>
      <c r="Y407" t="e">
        <f>'Latin America and Caribbean'!A88+"$F;@!45&gt;"</f>
        <v>#VALUE!</v>
      </c>
      <c r="Z407" t="e">
        <f>'Latin America and Caribbean'!B88+"$F;@!45?"</f>
        <v>#VALUE!</v>
      </c>
      <c r="AA407" t="e">
        <f>'Latin America and Caribbean'!C88+"$F;@!45@"</f>
        <v>#VALUE!</v>
      </c>
      <c r="AB407" t="e">
        <f>'Latin America and Caribbean'!D88+"$F;@!45A"</f>
        <v>#VALUE!</v>
      </c>
      <c r="AC407" t="e">
        <f>'Latin America and Caribbean'!E88+"$F;@!45B"</f>
        <v>#VALUE!</v>
      </c>
      <c r="AD407" t="e">
        <f>'Latin America and Caribbean'!F88+"$F;@!45C"</f>
        <v>#VALUE!</v>
      </c>
      <c r="AE407" t="e">
        <f>'Latin America and Caribbean'!G88+"$F;@!45D"</f>
        <v>#VALUE!</v>
      </c>
      <c r="AF407" t="e">
        <f>'Latin America and Caribbean'!H88+"$F;@!45E"</f>
        <v>#VALUE!</v>
      </c>
      <c r="AG407" t="e">
        <f>'Latin America and Caribbean'!A89+"$F;@!45F"</f>
        <v>#VALUE!</v>
      </c>
      <c r="AH407" t="e">
        <f>'Latin America and Caribbean'!B89+"$F;@!45G"</f>
        <v>#VALUE!</v>
      </c>
      <c r="AI407" t="e">
        <f>'Latin America and Caribbean'!C89+"$F;@!45H"</f>
        <v>#VALUE!</v>
      </c>
      <c r="AJ407" t="e">
        <f>'Latin America and Caribbean'!D89+"$F;@!45I"</f>
        <v>#VALUE!</v>
      </c>
      <c r="AK407" t="e">
        <f>'Latin America and Caribbean'!E89+"$F;@!45J"</f>
        <v>#VALUE!</v>
      </c>
      <c r="AL407" t="e">
        <f>'Latin America and Caribbean'!F89+"$F;@!45K"</f>
        <v>#VALUE!</v>
      </c>
      <c r="AM407" t="e">
        <f>'Latin America and Caribbean'!G89+"$F;@!45L"</f>
        <v>#VALUE!</v>
      </c>
      <c r="AN407" t="e">
        <f>'Latin America and Caribbean'!H89+"$F;@!45M"</f>
        <v>#VALUE!</v>
      </c>
      <c r="AO407" t="e">
        <f>'Latin America and Caribbean'!A90+"$F;@!45N"</f>
        <v>#VALUE!</v>
      </c>
      <c r="AP407" t="e">
        <f>'Latin America and Caribbean'!B90+"$F;@!45O"</f>
        <v>#VALUE!</v>
      </c>
      <c r="AQ407" t="e">
        <f>'Latin America and Caribbean'!C90+"$F;@!45P"</f>
        <v>#VALUE!</v>
      </c>
      <c r="AR407" t="e">
        <f>'Latin America and Caribbean'!D90+"$F;@!45Q"</f>
        <v>#VALUE!</v>
      </c>
      <c r="AS407" t="e">
        <f>'Latin America and Caribbean'!E90+"$F;@!45R"</f>
        <v>#VALUE!</v>
      </c>
      <c r="AT407" t="e">
        <f>'Latin America and Caribbean'!F90+"$F;@!45S"</f>
        <v>#VALUE!</v>
      </c>
      <c r="AU407" t="e">
        <f>'Latin America and Caribbean'!G90+"$F;@!45T"</f>
        <v>#VALUE!</v>
      </c>
      <c r="AV407" t="e">
        <f>'Latin America and Caribbean'!H90+"$F;@!45U"</f>
        <v>#VALUE!</v>
      </c>
      <c r="AW407" t="e">
        <f>'Latin America and Caribbean'!A91+"$F;@!45V"</f>
        <v>#VALUE!</v>
      </c>
      <c r="AX407" t="e">
        <f>'Latin America and Caribbean'!B91+"$F;@!45W"</f>
        <v>#VALUE!</v>
      </c>
      <c r="AY407" t="e">
        <f>'Latin America and Caribbean'!C91+"$F;@!45X"</f>
        <v>#VALUE!</v>
      </c>
      <c r="AZ407" t="e">
        <f>'Latin America and Caribbean'!D91+"$F;@!45Y"</f>
        <v>#VALUE!</v>
      </c>
      <c r="BA407" t="e">
        <f>'Latin America and Caribbean'!E91+"$F;@!45Z"</f>
        <v>#VALUE!</v>
      </c>
      <c r="BB407" t="e">
        <f>'Latin America and Caribbean'!F91+"$F;@!45["</f>
        <v>#VALUE!</v>
      </c>
      <c r="BC407" t="e">
        <f>'Latin America and Caribbean'!G91+"$F;@!45\"</f>
        <v>#VALUE!</v>
      </c>
      <c r="BD407" t="e">
        <f>'Latin America and Caribbean'!H91+"$F;@!45]"</f>
        <v>#VALUE!</v>
      </c>
      <c r="BE407" t="e">
        <f>'Latin America and Caribbean'!A92+"$F;@!45^"</f>
        <v>#VALUE!</v>
      </c>
      <c r="BF407" t="e">
        <f>'Latin America and Caribbean'!B92+"$F;@!45_"</f>
        <v>#VALUE!</v>
      </c>
      <c r="BG407" t="e">
        <f>'Latin America and Caribbean'!C92+"$F;@!45`"</f>
        <v>#VALUE!</v>
      </c>
      <c r="BH407" t="e">
        <f>'Latin America and Caribbean'!D92+"$F;@!45a"</f>
        <v>#VALUE!</v>
      </c>
      <c r="BI407" t="e">
        <f>'Latin America and Caribbean'!E92+"$F;@!45b"</f>
        <v>#VALUE!</v>
      </c>
      <c r="BJ407" t="e">
        <f>'Latin America and Caribbean'!F92+"$F;@!45c"</f>
        <v>#VALUE!</v>
      </c>
      <c r="BK407" t="e">
        <f>'Latin America and Caribbean'!G92+"$F;@!45d"</f>
        <v>#VALUE!</v>
      </c>
      <c r="BL407" t="e">
        <f>'Latin America and Caribbean'!H92+"$F;@!45e"</f>
        <v>#VALUE!</v>
      </c>
      <c r="BM407" t="e">
        <f>'Latin America and Caribbean'!A93+"$F;@!45f"</f>
        <v>#VALUE!</v>
      </c>
      <c r="BN407" t="e">
        <f>'Latin America and Caribbean'!B93+"$F;@!45g"</f>
        <v>#VALUE!</v>
      </c>
      <c r="BO407" t="e">
        <f>'Latin America and Caribbean'!C93+"$F;@!45h"</f>
        <v>#VALUE!</v>
      </c>
      <c r="BP407" t="e">
        <f>'Latin America and Caribbean'!D93+"$F;@!45i"</f>
        <v>#VALUE!</v>
      </c>
      <c r="BQ407" t="e">
        <f>'Latin America and Caribbean'!E93+"$F;@!45j"</f>
        <v>#VALUE!</v>
      </c>
      <c r="BR407" t="e">
        <f>'Latin America and Caribbean'!F93+"$F;@!45k"</f>
        <v>#VALUE!</v>
      </c>
      <c r="BS407" t="e">
        <f>'Latin America and Caribbean'!G93+"$F;@!45l"</f>
        <v>#VALUE!</v>
      </c>
      <c r="BT407" t="e">
        <f>'Latin America and Caribbean'!H93+"$F;@!45m"</f>
        <v>#VALUE!</v>
      </c>
      <c r="BU407" t="e">
        <f>'Latin America and Caribbean'!A94+"$F;@!45n"</f>
        <v>#VALUE!</v>
      </c>
      <c r="BV407" t="e">
        <f>'Latin America and Caribbean'!B94+"$F;@!45o"</f>
        <v>#VALUE!</v>
      </c>
      <c r="BW407" t="e">
        <f>'Latin America and Caribbean'!C94+"$F;@!45p"</f>
        <v>#VALUE!</v>
      </c>
      <c r="BX407" t="e">
        <f>'Latin America and Caribbean'!D94+"$F;@!45q"</f>
        <v>#VALUE!</v>
      </c>
      <c r="BY407" t="e">
        <f>'Latin America and Caribbean'!E94+"$F;@!45r"</f>
        <v>#VALUE!</v>
      </c>
      <c r="BZ407" t="e">
        <f>'Latin America and Caribbean'!F94+"$F;@!45s"</f>
        <v>#VALUE!</v>
      </c>
      <c r="CA407" t="e">
        <f>'Latin America and Caribbean'!G94+"$F;@!45t"</f>
        <v>#VALUE!</v>
      </c>
      <c r="CB407" t="e">
        <f>'Latin America and Caribbean'!H94+"$F;@!45u"</f>
        <v>#VALUE!</v>
      </c>
      <c r="CC407" t="e">
        <f>'Latin America and Caribbean'!A95+"$F;@!45v"</f>
        <v>#VALUE!</v>
      </c>
      <c r="CD407" t="e">
        <f>'Latin America and Caribbean'!B95+"$F;@!45w"</f>
        <v>#VALUE!</v>
      </c>
      <c r="CE407" t="e">
        <f>'Latin America and Caribbean'!C95+"$F;@!45x"</f>
        <v>#VALUE!</v>
      </c>
      <c r="CF407" t="e">
        <f>'Latin America and Caribbean'!D95+"$F;@!45y"</f>
        <v>#VALUE!</v>
      </c>
      <c r="CG407" t="e">
        <f>'Latin America and Caribbean'!E95+"$F;@!45z"</f>
        <v>#VALUE!</v>
      </c>
      <c r="CH407" t="e">
        <f>'Latin America and Caribbean'!F95+"$F;@!45{"</f>
        <v>#VALUE!</v>
      </c>
      <c r="CI407" t="e">
        <f>'Latin America and Caribbean'!G95+"$F;@!45|"</f>
        <v>#VALUE!</v>
      </c>
      <c r="CJ407" t="e">
        <f>'Latin America and Caribbean'!H95+"$F;@!45}"</f>
        <v>#VALUE!</v>
      </c>
      <c r="CK407" t="e">
        <f>'Latin America and Caribbean'!A96+"$F;@!45~"</f>
        <v>#VALUE!</v>
      </c>
      <c r="CL407" t="e">
        <f>'Latin America and Caribbean'!B96+"$F;@!46#"</f>
        <v>#VALUE!</v>
      </c>
      <c r="CM407" t="e">
        <f>'Latin America and Caribbean'!C96+"$F;@!46$"</f>
        <v>#VALUE!</v>
      </c>
      <c r="CN407" t="e">
        <f>'Latin America and Caribbean'!D96+"$F;@!46%"</f>
        <v>#VALUE!</v>
      </c>
      <c r="CO407" t="e">
        <f>'Latin America and Caribbean'!E96+"$F;@!46&amp;"</f>
        <v>#VALUE!</v>
      </c>
      <c r="CP407" t="e">
        <f>'Latin America and Caribbean'!F96+"$F;@!46'"</f>
        <v>#VALUE!</v>
      </c>
      <c r="CQ407" t="e">
        <f>'Latin America and Caribbean'!G96+"$F;@!46("</f>
        <v>#VALUE!</v>
      </c>
      <c r="CR407" t="e">
        <f>'Latin America and Caribbean'!H96+"$F;@!46)"</f>
        <v>#VALUE!</v>
      </c>
      <c r="CS407" t="e">
        <f>'Latin America and Caribbean'!A97+"$F;@!46."</f>
        <v>#VALUE!</v>
      </c>
      <c r="CT407" t="e">
        <f>'Latin America and Caribbean'!B97+"$F;@!46/"</f>
        <v>#VALUE!</v>
      </c>
      <c r="CU407" t="e">
        <f>'Latin America and Caribbean'!C97+"$F;@!460"</f>
        <v>#VALUE!</v>
      </c>
      <c r="CV407" t="e">
        <f>'Latin America and Caribbean'!D97+"$F;@!461"</f>
        <v>#VALUE!</v>
      </c>
      <c r="CW407" t="e">
        <f>'Latin America and Caribbean'!E97+"$F;@!462"</f>
        <v>#VALUE!</v>
      </c>
      <c r="CX407" t="e">
        <f>'Latin America and Caribbean'!F97+"$F;@!463"</f>
        <v>#VALUE!</v>
      </c>
      <c r="CY407" t="e">
        <f>'Latin America and Caribbean'!G97+"$F;@!464"</f>
        <v>#VALUE!</v>
      </c>
      <c r="CZ407" t="e">
        <f>'Latin America and Caribbean'!H97+"$F;@!465"</f>
        <v>#VALUE!</v>
      </c>
      <c r="DA407" t="e">
        <f>'Latin America and Caribbean'!A98+"$F;@!466"</f>
        <v>#VALUE!</v>
      </c>
      <c r="DB407" t="e">
        <f>'Latin America and Caribbean'!B98+"$F;@!467"</f>
        <v>#VALUE!</v>
      </c>
      <c r="DC407" t="e">
        <f>'Latin America and Caribbean'!C98+"$F;@!468"</f>
        <v>#VALUE!</v>
      </c>
      <c r="DD407" t="e">
        <f>'Latin America and Caribbean'!D98+"$F;@!469"</f>
        <v>#VALUE!</v>
      </c>
      <c r="DE407" t="e">
        <f>'Latin America and Caribbean'!E98+"$F;@!46:"</f>
        <v>#VALUE!</v>
      </c>
      <c r="DF407" t="e">
        <f>'Latin America and Caribbean'!F98+"$F;@!46;"</f>
        <v>#VALUE!</v>
      </c>
      <c r="DG407" t="e">
        <f>'Latin America and Caribbean'!G98+"$F;@!46&lt;"</f>
        <v>#VALUE!</v>
      </c>
      <c r="DH407" t="e">
        <f>'Latin America and Caribbean'!H98+"$F;@!46="</f>
        <v>#VALUE!</v>
      </c>
      <c r="DI407" t="e">
        <f>'Latin America and Caribbean'!A99+"$F;@!46&gt;"</f>
        <v>#VALUE!</v>
      </c>
      <c r="DJ407" t="e">
        <f>'Latin America and Caribbean'!B99+"$F;@!46?"</f>
        <v>#VALUE!</v>
      </c>
      <c r="DK407" t="e">
        <f>'Latin America and Caribbean'!C99+"$F;@!46@"</f>
        <v>#VALUE!</v>
      </c>
      <c r="DL407" t="e">
        <f>'Latin America and Caribbean'!D99+"$F;@!46A"</f>
        <v>#VALUE!</v>
      </c>
      <c r="DM407" t="e">
        <f>'Latin America and Caribbean'!E99+"$F;@!46B"</f>
        <v>#VALUE!</v>
      </c>
      <c r="DN407" t="e">
        <f>'Latin America and Caribbean'!F99+"$F;@!46C"</f>
        <v>#VALUE!</v>
      </c>
      <c r="DO407" t="e">
        <f>'Latin America and Caribbean'!G99+"$F;@!46D"</f>
        <v>#VALUE!</v>
      </c>
      <c r="DP407" t="e">
        <f>'Latin America and Caribbean'!H99+"$F;@!46E"</f>
        <v>#VALUE!</v>
      </c>
      <c r="DQ407" t="e">
        <f>'Latin America and Caribbean'!A100+"$F;@!46F"</f>
        <v>#VALUE!</v>
      </c>
      <c r="DR407" t="e">
        <f>'Latin America and Caribbean'!B100+"$F;@!46G"</f>
        <v>#VALUE!</v>
      </c>
      <c r="DS407" t="e">
        <f>'Latin America and Caribbean'!C100+"$F;@!46H"</f>
        <v>#VALUE!</v>
      </c>
      <c r="DT407" t="e">
        <f>'Latin America and Caribbean'!D100+"$F;@!46I"</f>
        <v>#VALUE!</v>
      </c>
      <c r="DU407" t="e">
        <f>'Latin America and Caribbean'!E100+"$F;@!46J"</f>
        <v>#VALUE!</v>
      </c>
      <c r="DV407" t="e">
        <f>'Latin America and Caribbean'!F100+"$F;@!46K"</f>
        <v>#VALUE!</v>
      </c>
      <c r="DW407" t="e">
        <f>'Latin America and Caribbean'!G100+"$F;@!46L"</f>
        <v>#VALUE!</v>
      </c>
      <c r="DX407" t="e">
        <f>'Latin America and Caribbean'!H100+"$F;@!46M"</f>
        <v>#VALUE!</v>
      </c>
      <c r="DY407" t="e">
        <f>'Latin America and Caribbean'!A101+"$F;@!46N"</f>
        <v>#VALUE!</v>
      </c>
      <c r="DZ407" t="e">
        <f>'Latin America and Caribbean'!B101+"$F;@!46O"</f>
        <v>#VALUE!</v>
      </c>
      <c r="EA407" t="e">
        <f>'Latin America and Caribbean'!C101+"$F;@!46P"</f>
        <v>#VALUE!</v>
      </c>
      <c r="EB407" t="e">
        <f>'Latin America and Caribbean'!D101+"$F;@!46Q"</f>
        <v>#VALUE!</v>
      </c>
      <c r="EC407" t="e">
        <f>'Latin America and Caribbean'!E101+"$F;@!46R"</f>
        <v>#VALUE!</v>
      </c>
      <c r="ED407" t="e">
        <f>'Latin America and Caribbean'!F101+"$F;@!46S"</f>
        <v>#VALUE!</v>
      </c>
      <c r="EE407" t="e">
        <f>'Latin America and Caribbean'!G101+"$F;@!46T"</f>
        <v>#VALUE!</v>
      </c>
      <c r="EF407" t="e">
        <f>'Latin America and Caribbean'!H101+"$F;@!46U"</f>
        <v>#VALUE!</v>
      </c>
      <c r="EG407" t="e">
        <f>'Latin America and Caribbean'!A102+"$F;@!46V"</f>
        <v>#VALUE!</v>
      </c>
      <c r="EH407" t="e">
        <f>'Latin America and Caribbean'!B102+"$F;@!46W"</f>
        <v>#VALUE!</v>
      </c>
      <c r="EI407" t="e">
        <f>'Latin America and Caribbean'!C102+"$F;@!46X"</f>
        <v>#VALUE!</v>
      </c>
      <c r="EJ407" t="e">
        <f>'Latin America and Caribbean'!D102+"$F;@!46Y"</f>
        <v>#VALUE!</v>
      </c>
      <c r="EK407" t="e">
        <f>'Latin America and Caribbean'!E102+"$F;@!46Z"</f>
        <v>#VALUE!</v>
      </c>
      <c r="EL407" t="e">
        <f>'Latin America and Caribbean'!F102+"$F;@!46["</f>
        <v>#VALUE!</v>
      </c>
      <c r="EM407" t="e">
        <f>'Latin America and Caribbean'!G102+"$F;@!46\"</f>
        <v>#VALUE!</v>
      </c>
      <c r="EN407" t="e">
        <f>'Latin America and Caribbean'!H102+"$F;@!46]"</f>
        <v>#VALUE!</v>
      </c>
      <c r="EO407" t="e">
        <f>'Latin America and Caribbean'!A103+"$F;@!46^"</f>
        <v>#VALUE!</v>
      </c>
      <c r="EP407" t="e">
        <f>'Latin America and Caribbean'!B103+"$F;@!46_"</f>
        <v>#VALUE!</v>
      </c>
      <c r="EQ407" t="e">
        <f>'Latin America and Caribbean'!C103+"$F;@!46`"</f>
        <v>#VALUE!</v>
      </c>
      <c r="ER407" t="e">
        <f>'Latin America and Caribbean'!D103+"$F;@!46a"</f>
        <v>#VALUE!</v>
      </c>
      <c r="ES407" t="e">
        <f>'Latin America and Caribbean'!E103+"$F;@!46b"</f>
        <v>#VALUE!</v>
      </c>
      <c r="ET407" t="e">
        <f>'Latin America and Caribbean'!F103+"$F;@!46c"</f>
        <v>#VALUE!</v>
      </c>
      <c r="EU407" t="e">
        <f>'Latin America and Caribbean'!G103+"$F;@!46d"</f>
        <v>#VALUE!</v>
      </c>
      <c r="EV407" t="e">
        <f>'Latin America and Caribbean'!H103+"$F;@!46e"</f>
        <v>#VALUE!</v>
      </c>
      <c r="EW407" t="e">
        <f>'Latin America and Caribbean'!A104+"$F;@!46f"</f>
        <v>#VALUE!</v>
      </c>
      <c r="EX407" t="e">
        <f>'Latin America and Caribbean'!B104+"$F;@!46g"</f>
        <v>#VALUE!</v>
      </c>
      <c r="EY407" t="e">
        <f>'Latin America and Caribbean'!C104+"$F;@!46h"</f>
        <v>#VALUE!</v>
      </c>
      <c r="EZ407" t="e">
        <f>'Latin America and Caribbean'!D104+"$F;@!46i"</f>
        <v>#VALUE!</v>
      </c>
      <c r="FA407" t="e">
        <f>'Latin America and Caribbean'!E104+"$F;@!46j"</f>
        <v>#VALUE!</v>
      </c>
      <c r="FB407" t="e">
        <f>'Latin America and Caribbean'!F104+"$F;@!46k"</f>
        <v>#VALUE!</v>
      </c>
      <c r="FC407" t="e">
        <f>'Latin America and Caribbean'!G104+"$F;@!46l"</f>
        <v>#VALUE!</v>
      </c>
      <c r="FD407" t="e">
        <f>'Latin America and Caribbean'!H104+"$F;@!46m"</f>
        <v>#VALUE!</v>
      </c>
      <c r="FE407" t="e">
        <f>'Latin America and Caribbean'!A105+"$F;@!46n"</f>
        <v>#VALUE!</v>
      </c>
      <c r="FF407" t="e">
        <f>'Latin America and Caribbean'!B105+"$F;@!46o"</f>
        <v>#VALUE!</v>
      </c>
      <c r="FG407" t="e">
        <f>'Latin America and Caribbean'!C105+"$F;@!46p"</f>
        <v>#VALUE!</v>
      </c>
      <c r="FH407" t="e">
        <f>'Latin America and Caribbean'!D105+"$F;@!46q"</f>
        <v>#VALUE!</v>
      </c>
      <c r="FI407" t="e">
        <f>'Latin America and Caribbean'!E105+"$F;@!46r"</f>
        <v>#VALUE!</v>
      </c>
      <c r="FJ407" t="e">
        <f>'Latin America and Caribbean'!F105+"$F;@!46s"</f>
        <v>#VALUE!</v>
      </c>
      <c r="FK407" t="e">
        <f>'Latin America and Caribbean'!G105+"$F;@!46t"</f>
        <v>#VALUE!</v>
      </c>
      <c r="FL407" t="e">
        <f>'Latin America and Caribbean'!H105+"$F;@!46u"</f>
        <v>#VALUE!</v>
      </c>
      <c r="FM407" t="e">
        <f>'Latin America and Caribbean'!A106+"$F;@!46v"</f>
        <v>#VALUE!</v>
      </c>
      <c r="FN407" t="e">
        <f>'Latin America and Caribbean'!B106+"$F;@!46w"</f>
        <v>#VALUE!</v>
      </c>
      <c r="FO407" t="e">
        <f>'Latin America and Caribbean'!C106+"$F;@!46x"</f>
        <v>#VALUE!</v>
      </c>
      <c r="FP407" t="e">
        <f>'Latin America and Caribbean'!D106+"$F;@!46y"</f>
        <v>#VALUE!</v>
      </c>
      <c r="FQ407" t="e">
        <f>'Latin America and Caribbean'!E106+"$F;@!46z"</f>
        <v>#VALUE!</v>
      </c>
      <c r="FR407" t="e">
        <f>'Latin America and Caribbean'!F106+"$F;@!46{"</f>
        <v>#VALUE!</v>
      </c>
      <c r="FS407" t="e">
        <f>'Latin America and Caribbean'!G106+"$F;@!46|"</f>
        <v>#VALUE!</v>
      </c>
      <c r="FT407" t="e">
        <f>'Latin America and Caribbean'!H106+"$F;@!46}"</f>
        <v>#VALUE!</v>
      </c>
      <c r="FU407" t="e">
        <f>'Latin America and Caribbean'!A107+"$F;@!46~"</f>
        <v>#VALUE!</v>
      </c>
      <c r="FV407" t="e">
        <f>'Latin America and Caribbean'!B107+"$F;@!47#"</f>
        <v>#VALUE!</v>
      </c>
      <c r="FW407" t="e">
        <f>'Latin America and Caribbean'!C107+"$F;@!47$"</f>
        <v>#VALUE!</v>
      </c>
      <c r="FX407" t="e">
        <f>'Latin America and Caribbean'!D107+"$F;@!47%"</f>
        <v>#VALUE!</v>
      </c>
      <c r="FY407" t="e">
        <f>'Latin America and Caribbean'!E107+"$F;@!47&amp;"</f>
        <v>#VALUE!</v>
      </c>
      <c r="FZ407" t="e">
        <f>'Latin America and Caribbean'!F107+"$F;@!47'"</f>
        <v>#VALUE!</v>
      </c>
      <c r="GA407" t="e">
        <f>'Latin America and Caribbean'!G107+"$F;@!47("</f>
        <v>#VALUE!</v>
      </c>
      <c r="GB407" t="e">
        <f>'Latin America and Caribbean'!H107+"$F;@!47)"</f>
        <v>#VALUE!</v>
      </c>
      <c r="GC407" t="e">
        <f>'Latin America and Caribbean'!A108+"$F;@!47."</f>
        <v>#VALUE!</v>
      </c>
      <c r="GD407" t="e">
        <f>'Latin America and Caribbean'!B108+"$F;@!47/"</f>
        <v>#VALUE!</v>
      </c>
      <c r="GE407" t="e">
        <f>'Latin America and Caribbean'!C108+"$F;@!470"</f>
        <v>#VALUE!</v>
      </c>
      <c r="GF407" t="e">
        <f>'Latin America and Caribbean'!D108+"$F;@!471"</f>
        <v>#VALUE!</v>
      </c>
      <c r="GG407" t="e">
        <f>'Latin America and Caribbean'!E108+"$F;@!472"</f>
        <v>#VALUE!</v>
      </c>
      <c r="GH407" t="e">
        <f>'Latin America and Caribbean'!F108+"$F;@!473"</f>
        <v>#VALUE!</v>
      </c>
      <c r="GI407" t="e">
        <f>'Latin America and Caribbean'!G108+"$F;@!474"</f>
        <v>#VALUE!</v>
      </c>
      <c r="GJ407" t="e">
        <f>'Latin America and Caribbean'!H108+"$F;@!475"</f>
        <v>#VALUE!</v>
      </c>
      <c r="GK407" t="e">
        <f>'Latin America and Caribbean'!A109+"$F;@!476"</f>
        <v>#VALUE!</v>
      </c>
      <c r="GL407" t="e">
        <f>'Latin America and Caribbean'!B109+"$F;@!477"</f>
        <v>#VALUE!</v>
      </c>
      <c r="GM407" t="e">
        <f>'Latin America and Caribbean'!C109+"$F;@!478"</f>
        <v>#VALUE!</v>
      </c>
      <c r="GN407" t="e">
        <f>'Latin America and Caribbean'!D109+"$F;@!479"</f>
        <v>#VALUE!</v>
      </c>
      <c r="GO407" t="e">
        <f>'Latin America and Caribbean'!E109+"$F;@!47:"</f>
        <v>#VALUE!</v>
      </c>
      <c r="GP407" t="e">
        <f>'Latin America and Caribbean'!F109+"$F;@!47;"</f>
        <v>#VALUE!</v>
      </c>
      <c r="GQ407" t="e">
        <f>'Latin America and Caribbean'!G109+"$F;@!47&lt;"</f>
        <v>#VALUE!</v>
      </c>
      <c r="GR407" t="e">
        <f>'Latin America and Caribbean'!H109+"$F;@!47="</f>
        <v>#VALUE!</v>
      </c>
      <c r="GS407" t="e">
        <f>'Latin America and Caribbean'!A110+"$F;@!47&gt;"</f>
        <v>#VALUE!</v>
      </c>
      <c r="GT407" t="e">
        <f>'Latin America and Caribbean'!B110+"$F;@!47?"</f>
        <v>#VALUE!</v>
      </c>
      <c r="GU407" t="e">
        <f>'Latin America and Caribbean'!C110+"$F;@!47@"</f>
        <v>#VALUE!</v>
      </c>
      <c r="GV407" t="e">
        <f>'Latin America and Caribbean'!D110+"$F;@!47A"</f>
        <v>#VALUE!</v>
      </c>
      <c r="GW407" t="e">
        <f>'Latin America and Caribbean'!E110+"$F;@!47B"</f>
        <v>#VALUE!</v>
      </c>
      <c r="GX407" t="e">
        <f>'Latin America and Caribbean'!F110+"$F;@!47C"</f>
        <v>#VALUE!</v>
      </c>
      <c r="GY407" t="e">
        <f>'Latin America and Caribbean'!G110+"$F;@!47D"</f>
        <v>#VALUE!</v>
      </c>
      <c r="GZ407" t="e">
        <f>'Latin America and Caribbean'!H110+"$F;@!47E"</f>
        <v>#VALUE!</v>
      </c>
      <c r="HA407" t="e">
        <f>'Latin America and Caribbean'!A111+"$F;@!47F"</f>
        <v>#VALUE!</v>
      </c>
      <c r="HB407" t="e">
        <f>'Latin America and Caribbean'!B111+"$F;@!47G"</f>
        <v>#VALUE!</v>
      </c>
      <c r="HC407" t="e">
        <f>'Latin America and Caribbean'!C111+"$F;@!47H"</f>
        <v>#VALUE!</v>
      </c>
      <c r="HD407" t="e">
        <f>'Latin America and Caribbean'!D111+"$F;@!47I"</f>
        <v>#VALUE!</v>
      </c>
      <c r="HE407" t="e">
        <f>'Latin America and Caribbean'!E111+"$F;@!47J"</f>
        <v>#VALUE!</v>
      </c>
      <c r="HF407" t="e">
        <f>'Latin America and Caribbean'!F111+"$F;@!47K"</f>
        <v>#VALUE!</v>
      </c>
      <c r="HG407" t="e">
        <f>'Latin America and Caribbean'!G111+"$F;@!47L"</f>
        <v>#VALUE!</v>
      </c>
      <c r="HH407" t="e">
        <f>'Latin America and Caribbean'!H111+"$F;@!47M"</f>
        <v>#VALUE!</v>
      </c>
      <c r="HI407" t="e">
        <f>'Latin America and Caribbean'!A112+"$F;@!47N"</f>
        <v>#VALUE!</v>
      </c>
      <c r="HJ407" t="e">
        <f>'Latin America and Caribbean'!B112+"$F;@!47O"</f>
        <v>#VALUE!</v>
      </c>
      <c r="HK407" t="e">
        <f>'Latin America and Caribbean'!C112+"$F;@!47P"</f>
        <v>#VALUE!</v>
      </c>
      <c r="HL407" t="e">
        <f>'Latin America and Caribbean'!D112+"$F;@!47Q"</f>
        <v>#VALUE!</v>
      </c>
      <c r="HM407" t="e">
        <f>'Latin America and Caribbean'!E112+"$F;@!47R"</f>
        <v>#VALUE!</v>
      </c>
      <c r="HN407" t="e">
        <f>'Latin America and Caribbean'!F112+"$F;@!47S"</f>
        <v>#VALUE!</v>
      </c>
      <c r="HO407" t="e">
        <f>'Latin America and Caribbean'!G112+"$F;@!47T"</f>
        <v>#VALUE!</v>
      </c>
      <c r="HP407" t="e">
        <f>'Latin America and Caribbean'!H112+"$F;@!47U"</f>
        <v>#VALUE!</v>
      </c>
      <c r="HQ407" t="e">
        <f>'Latin America and Caribbean'!A113+"$F;@!47V"</f>
        <v>#VALUE!</v>
      </c>
      <c r="HR407" t="e">
        <f>'Latin America and Caribbean'!B113+"$F;@!47W"</f>
        <v>#VALUE!</v>
      </c>
      <c r="HS407" t="e">
        <f>'Latin America and Caribbean'!C113+"$F;@!47X"</f>
        <v>#VALUE!</v>
      </c>
      <c r="HT407" t="e">
        <f>'Latin America and Caribbean'!D113+"$F;@!47Y"</f>
        <v>#VALUE!</v>
      </c>
      <c r="HU407" t="e">
        <f>'Latin America and Caribbean'!E113+"$F;@!47Z"</f>
        <v>#VALUE!</v>
      </c>
      <c r="HV407" t="e">
        <f>'Latin America and Caribbean'!F113+"$F;@!47["</f>
        <v>#VALUE!</v>
      </c>
      <c r="HW407" t="e">
        <f>'Latin America and Caribbean'!G113+"$F;@!47\"</f>
        <v>#VALUE!</v>
      </c>
      <c r="HX407" t="e">
        <f>'Latin America and Caribbean'!H113+"$F;@!47]"</f>
        <v>#VALUE!</v>
      </c>
      <c r="HY407" t="e">
        <f>'Latin America and Caribbean'!A114+"$F;@!47^"</f>
        <v>#VALUE!</v>
      </c>
      <c r="HZ407" t="e">
        <f>'Latin America and Caribbean'!B114+"$F;@!47_"</f>
        <v>#VALUE!</v>
      </c>
      <c r="IA407" t="e">
        <f>'Latin America and Caribbean'!C114+"$F;@!47`"</f>
        <v>#VALUE!</v>
      </c>
      <c r="IB407" t="e">
        <f>'Latin America and Caribbean'!D114+"$F;@!47a"</f>
        <v>#VALUE!</v>
      </c>
      <c r="IC407" t="e">
        <f>'Latin America and Caribbean'!E114+"$F;@!47b"</f>
        <v>#VALUE!</v>
      </c>
      <c r="ID407" t="e">
        <f>'Latin America and Caribbean'!F114+"$F;@!47c"</f>
        <v>#VALUE!</v>
      </c>
      <c r="IE407" t="e">
        <f>'Latin America and Caribbean'!G114+"$F;@!47d"</f>
        <v>#VALUE!</v>
      </c>
      <c r="IF407" t="e">
        <f>'Latin America and Caribbean'!H114+"$F;@!47e"</f>
        <v>#VALUE!</v>
      </c>
      <c r="IG407" t="e">
        <f>'Latin America and Caribbean'!A115+"$F;@!47f"</f>
        <v>#VALUE!</v>
      </c>
      <c r="IH407" t="e">
        <f>'Latin America and Caribbean'!B115+"$F;@!47g"</f>
        <v>#VALUE!</v>
      </c>
      <c r="II407" t="e">
        <f>'Latin America and Caribbean'!C115+"$F;@!47h"</f>
        <v>#VALUE!</v>
      </c>
      <c r="IJ407" t="e">
        <f>'Latin America and Caribbean'!D115+"$F;@!47i"</f>
        <v>#VALUE!</v>
      </c>
      <c r="IK407" t="e">
        <f>'Latin America and Caribbean'!E115+"$F;@!47j"</f>
        <v>#VALUE!</v>
      </c>
      <c r="IL407" t="e">
        <f>'Latin America and Caribbean'!F115+"$F;@!47k"</f>
        <v>#VALUE!</v>
      </c>
      <c r="IM407" t="e">
        <f>'Latin America and Caribbean'!G115+"$F;@!47l"</f>
        <v>#VALUE!</v>
      </c>
      <c r="IN407" t="e">
        <f>'Latin America and Caribbean'!H115+"$F;@!47m"</f>
        <v>#VALUE!</v>
      </c>
      <c r="IO407" t="e">
        <f>'Latin America and Caribbean'!A116+"$F;@!47n"</f>
        <v>#VALUE!</v>
      </c>
      <c r="IP407" t="e">
        <f>'Latin America and Caribbean'!B116+"$F;@!47o"</f>
        <v>#VALUE!</v>
      </c>
      <c r="IQ407" t="e">
        <f>'Latin America and Caribbean'!C116+"$F;@!47p"</f>
        <v>#VALUE!</v>
      </c>
      <c r="IR407" t="e">
        <f>'Latin America and Caribbean'!D116+"$F;@!47q"</f>
        <v>#VALUE!</v>
      </c>
      <c r="IS407" t="e">
        <f>'Latin America and Caribbean'!E116+"$F;@!47r"</f>
        <v>#VALUE!</v>
      </c>
      <c r="IT407" t="e">
        <f>'Latin America and Caribbean'!F116+"$F;@!47s"</f>
        <v>#VALUE!</v>
      </c>
      <c r="IU407" t="e">
        <f>'Latin America and Caribbean'!G116+"$F;@!47t"</f>
        <v>#VALUE!</v>
      </c>
      <c r="IV407" t="e">
        <f>'Latin America and Caribbean'!H116+"$F;@!47u"</f>
        <v>#VALUE!</v>
      </c>
    </row>
    <row r="408" spans="6:256" x14ac:dyDescent="0.35">
      <c r="F408" t="e">
        <f>'Latin America and Caribbean'!A117+"$F;@!47v"</f>
        <v>#VALUE!</v>
      </c>
      <c r="G408" t="e">
        <f>'Latin America and Caribbean'!B117+"$F;@!47w"</f>
        <v>#VALUE!</v>
      </c>
      <c r="H408" t="e">
        <f>'Latin America and Caribbean'!C117+"$F;@!47x"</f>
        <v>#VALUE!</v>
      </c>
      <c r="I408" t="e">
        <f>'Latin America and Caribbean'!D117+"$F;@!47y"</f>
        <v>#VALUE!</v>
      </c>
      <c r="J408" t="e">
        <f>'Latin America and Caribbean'!E117+"$F;@!47z"</f>
        <v>#VALUE!</v>
      </c>
      <c r="K408" t="e">
        <f>'Latin America and Caribbean'!F117+"$F;@!47{"</f>
        <v>#VALUE!</v>
      </c>
      <c r="L408" t="e">
        <f>'Latin America and Caribbean'!G117+"$F;@!47|"</f>
        <v>#VALUE!</v>
      </c>
      <c r="M408" t="e">
        <f>'Latin America and Caribbean'!H117+"$F;@!47}"</f>
        <v>#VALUE!</v>
      </c>
      <c r="N408" t="e">
        <f>'Latin America and Caribbean'!A118+"$F;@!47~"</f>
        <v>#VALUE!</v>
      </c>
      <c r="O408" t="e">
        <f>'Latin America and Caribbean'!B118+"$F;@!48#"</f>
        <v>#VALUE!</v>
      </c>
      <c r="P408" t="e">
        <f>'Latin America and Caribbean'!C118+"$F;@!48$"</f>
        <v>#VALUE!</v>
      </c>
      <c r="Q408" t="e">
        <f>'Latin America and Caribbean'!D118+"$F;@!48%"</f>
        <v>#VALUE!</v>
      </c>
      <c r="R408" t="e">
        <f>'Latin America and Caribbean'!E118+"$F;@!48&amp;"</f>
        <v>#VALUE!</v>
      </c>
      <c r="S408" t="e">
        <f>'Latin America and Caribbean'!F118+"$F;@!48'"</f>
        <v>#VALUE!</v>
      </c>
      <c r="T408" t="e">
        <f>'Latin America and Caribbean'!G118+"$F;@!48("</f>
        <v>#VALUE!</v>
      </c>
      <c r="U408" t="e">
        <f>'Latin America and Caribbean'!H118+"$F;@!48)"</f>
        <v>#VALUE!</v>
      </c>
      <c r="V408" t="e">
        <f>'Latin America and Caribbean'!A119+"$F;@!48."</f>
        <v>#VALUE!</v>
      </c>
      <c r="W408" t="e">
        <f>'Latin America and Caribbean'!B119+"$F;@!48/"</f>
        <v>#VALUE!</v>
      </c>
      <c r="X408" t="e">
        <f>'Latin America and Caribbean'!C119+"$F;@!480"</f>
        <v>#VALUE!</v>
      </c>
      <c r="Y408" t="e">
        <f>'Latin America and Caribbean'!D119+"$F;@!481"</f>
        <v>#VALUE!</v>
      </c>
      <c r="Z408" t="e">
        <f>'Latin America and Caribbean'!E119+"$F;@!482"</f>
        <v>#VALUE!</v>
      </c>
      <c r="AA408" t="e">
        <f>'Latin America and Caribbean'!F119+"$F;@!483"</f>
        <v>#VALUE!</v>
      </c>
      <c r="AB408" t="e">
        <f>'Latin America and Caribbean'!G119+"$F;@!484"</f>
        <v>#VALUE!</v>
      </c>
      <c r="AC408" t="e">
        <f>'Latin America and Caribbean'!H119+"$F;@!485"</f>
        <v>#VALUE!</v>
      </c>
      <c r="AD408" t="e">
        <f>'Latin America and Caribbean'!A120+"$F;@!486"</f>
        <v>#VALUE!</v>
      </c>
      <c r="AE408" t="e">
        <f>'Latin America and Caribbean'!B120+"$F;@!487"</f>
        <v>#VALUE!</v>
      </c>
      <c r="AF408" t="e">
        <f>'Latin America and Caribbean'!C120+"$F;@!488"</f>
        <v>#VALUE!</v>
      </c>
      <c r="AG408" t="e">
        <f>'Latin America and Caribbean'!D120+"$F;@!489"</f>
        <v>#VALUE!</v>
      </c>
      <c r="AH408" t="e">
        <f>'Latin America and Caribbean'!E120+"$F;@!48:"</f>
        <v>#VALUE!</v>
      </c>
      <c r="AI408" t="e">
        <f>'Latin America and Caribbean'!F120+"$F;@!48;"</f>
        <v>#VALUE!</v>
      </c>
      <c r="AJ408" t="e">
        <f>'Latin America and Caribbean'!G120+"$F;@!48&lt;"</f>
        <v>#VALUE!</v>
      </c>
      <c r="AK408" t="e">
        <f>'Latin America and Caribbean'!H120+"$F;@!48="</f>
        <v>#VALUE!</v>
      </c>
      <c r="AL408" t="e">
        <f>'Latin America and Caribbean'!A121+"$F;@!48&gt;"</f>
        <v>#VALUE!</v>
      </c>
      <c r="AM408" t="e">
        <f>'Latin America and Caribbean'!B121+"$F;@!48?"</f>
        <v>#VALUE!</v>
      </c>
      <c r="AN408" t="e">
        <f>'Latin America and Caribbean'!C121+"$F;@!48@"</f>
        <v>#VALUE!</v>
      </c>
      <c r="AO408" t="e">
        <f>'Latin America and Caribbean'!D121+"$F;@!48A"</f>
        <v>#VALUE!</v>
      </c>
      <c r="AP408" t="e">
        <f>'Latin America and Caribbean'!E121+"$F;@!48B"</f>
        <v>#VALUE!</v>
      </c>
      <c r="AQ408" t="e">
        <f>'Latin America and Caribbean'!F121+"$F;@!48C"</f>
        <v>#VALUE!</v>
      </c>
      <c r="AR408" t="e">
        <f>'Latin America and Caribbean'!G121+"$F;@!48D"</f>
        <v>#VALUE!</v>
      </c>
      <c r="AS408" t="e">
        <f>'Latin America and Caribbean'!H121+"$F;@!48E"</f>
        <v>#VALUE!</v>
      </c>
      <c r="AT408" t="e">
        <f>'Latin America and Caribbean'!A122+"$F;@!48F"</f>
        <v>#VALUE!</v>
      </c>
      <c r="AU408" t="e">
        <f>'Latin America and Caribbean'!B122+"$F;@!48G"</f>
        <v>#VALUE!</v>
      </c>
      <c r="AV408" t="e">
        <f>'Latin America and Caribbean'!C122+"$F;@!48H"</f>
        <v>#VALUE!</v>
      </c>
      <c r="AW408" t="e">
        <f>'Latin America and Caribbean'!D122+"$F;@!48I"</f>
        <v>#VALUE!</v>
      </c>
      <c r="AX408" t="e">
        <f>'Latin America and Caribbean'!E122+"$F;@!48J"</f>
        <v>#VALUE!</v>
      </c>
      <c r="AY408" t="e">
        <f>'Latin America and Caribbean'!F122+"$F;@!48K"</f>
        <v>#VALUE!</v>
      </c>
      <c r="AZ408" t="e">
        <f>'Latin America and Caribbean'!G122+"$F;@!48L"</f>
        <v>#VALUE!</v>
      </c>
      <c r="BA408" t="e">
        <f>'Latin America and Caribbean'!H122+"$F;@!48M"</f>
        <v>#VALUE!</v>
      </c>
      <c r="BB408" t="e">
        <f>'Latin America and Caribbean'!A123+"$F;@!48N"</f>
        <v>#VALUE!</v>
      </c>
      <c r="BC408" t="e">
        <f>'Latin America and Caribbean'!B123+"$F;@!48O"</f>
        <v>#VALUE!</v>
      </c>
      <c r="BD408" t="e">
        <f>'Latin America and Caribbean'!C123+"$F;@!48P"</f>
        <v>#VALUE!</v>
      </c>
      <c r="BE408" t="e">
        <f>'Latin America and Caribbean'!D123+"$F;@!48Q"</f>
        <v>#VALUE!</v>
      </c>
      <c r="BF408" t="e">
        <f>'Latin America and Caribbean'!E123+"$F;@!48R"</f>
        <v>#VALUE!</v>
      </c>
      <c r="BG408" t="e">
        <f>'Latin America and Caribbean'!F123+"$F;@!48S"</f>
        <v>#VALUE!</v>
      </c>
      <c r="BH408" t="e">
        <f>'Latin America and Caribbean'!G123+"$F;@!48T"</f>
        <v>#VALUE!</v>
      </c>
      <c r="BI408" t="e">
        <f>'Latin America and Caribbean'!H123+"$F;@!48U"</f>
        <v>#VALUE!</v>
      </c>
      <c r="BJ408" t="e">
        <f>'Latin America and Caribbean'!A124+"$F;@!48V"</f>
        <v>#VALUE!</v>
      </c>
      <c r="BK408" t="e">
        <f>'Latin America and Caribbean'!B124+"$F;@!48W"</f>
        <v>#VALUE!</v>
      </c>
      <c r="BL408" t="e">
        <f>'Latin America and Caribbean'!C124+"$F;@!48X"</f>
        <v>#VALUE!</v>
      </c>
      <c r="BM408" t="e">
        <f>'Latin America and Caribbean'!D124+"$F;@!48Y"</f>
        <v>#VALUE!</v>
      </c>
      <c r="BN408" t="e">
        <f>'Latin America and Caribbean'!E124+"$F;@!48Z"</f>
        <v>#VALUE!</v>
      </c>
      <c r="BO408" t="e">
        <f>'Latin America and Caribbean'!F124+"$F;@!48["</f>
        <v>#VALUE!</v>
      </c>
      <c r="BP408" t="e">
        <f>'Latin America and Caribbean'!G124+"$F;@!48\"</f>
        <v>#VALUE!</v>
      </c>
      <c r="BQ408" t="e">
        <f>'Latin America and Caribbean'!H124+"$F;@!48]"</f>
        <v>#VALUE!</v>
      </c>
      <c r="BR408" t="e">
        <f>'Latin America and Caribbean'!A125+"$F;@!48^"</f>
        <v>#VALUE!</v>
      </c>
      <c r="BS408" t="e">
        <f>'Latin America and Caribbean'!B125+"$F;@!48_"</f>
        <v>#VALUE!</v>
      </c>
      <c r="BT408" t="e">
        <f>'Latin America and Caribbean'!C125+"$F;@!48`"</f>
        <v>#VALUE!</v>
      </c>
      <c r="BU408" t="e">
        <f>'Latin America and Caribbean'!D125+"$F;@!48a"</f>
        <v>#VALUE!</v>
      </c>
      <c r="BV408" t="e">
        <f>'Latin America and Caribbean'!E125+"$F;@!48b"</f>
        <v>#VALUE!</v>
      </c>
      <c r="BW408" t="e">
        <f>'Latin America and Caribbean'!F125+"$F;@!48c"</f>
        <v>#VALUE!</v>
      </c>
      <c r="BX408" t="e">
        <f>'Latin America and Caribbean'!G125+"$F;@!48d"</f>
        <v>#VALUE!</v>
      </c>
      <c r="BY408" t="e">
        <f>'Latin America and Caribbean'!H125+"$F;@!48e"</f>
        <v>#VALUE!</v>
      </c>
      <c r="BZ408" t="e">
        <f>'Latin America and Caribbean'!A126+"$F;@!48f"</f>
        <v>#VALUE!</v>
      </c>
      <c r="CA408" t="e">
        <f>'Latin America and Caribbean'!B126+"$F;@!48g"</f>
        <v>#VALUE!</v>
      </c>
      <c r="CB408" t="e">
        <f>'Latin America and Caribbean'!C126+"$F;@!48h"</f>
        <v>#VALUE!</v>
      </c>
      <c r="CC408" t="e">
        <f>'Latin America and Caribbean'!D126+"$F;@!48i"</f>
        <v>#VALUE!</v>
      </c>
      <c r="CD408" t="e">
        <f>'Latin America and Caribbean'!E126+"$F;@!48j"</f>
        <v>#VALUE!</v>
      </c>
      <c r="CE408" t="e">
        <f>'Latin America and Caribbean'!F126+"$F;@!48k"</f>
        <v>#VALUE!</v>
      </c>
      <c r="CF408" t="e">
        <f>'Latin America and Caribbean'!G126+"$F;@!48l"</f>
        <v>#VALUE!</v>
      </c>
      <c r="CG408" t="e">
        <f>'Latin America and Caribbean'!H126+"$F;@!48m"</f>
        <v>#VALUE!</v>
      </c>
      <c r="CH408" t="e">
        <f>'Latin America and Caribbean'!A127+"$F;@!48n"</f>
        <v>#VALUE!</v>
      </c>
      <c r="CI408" t="e">
        <f>'Latin America and Caribbean'!B127+"$F;@!48o"</f>
        <v>#VALUE!</v>
      </c>
      <c r="CJ408" t="e">
        <f>'Latin America and Caribbean'!C127+"$F;@!48p"</f>
        <v>#VALUE!</v>
      </c>
      <c r="CK408" t="e">
        <f>'Latin America and Caribbean'!D127+"$F;@!48q"</f>
        <v>#VALUE!</v>
      </c>
      <c r="CL408" t="e">
        <f>'Latin America and Caribbean'!E127+"$F;@!48r"</f>
        <v>#VALUE!</v>
      </c>
      <c r="CM408" t="e">
        <f>'Latin America and Caribbean'!F127+"$F;@!48s"</f>
        <v>#VALUE!</v>
      </c>
      <c r="CN408" t="e">
        <f>'Latin America and Caribbean'!G127+"$F;@!48t"</f>
        <v>#VALUE!</v>
      </c>
      <c r="CO408" t="e">
        <f>'Latin America and Caribbean'!H127+"$F;@!48u"</f>
        <v>#VALUE!</v>
      </c>
      <c r="CP408" t="e">
        <f>'Latin America and Caribbean'!A128+"$F;@!48v"</f>
        <v>#VALUE!</v>
      </c>
      <c r="CQ408" t="e">
        <f>'Latin America and Caribbean'!B128+"$F;@!48w"</f>
        <v>#VALUE!</v>
      </c>
      <c r="CR408" t="e">
        <f>'Latin America and Caribbean'!C128+"$F;@!48x"</f>
        <v>#VALUE!</v>
      </c>
      <c r="CS408" t="e">
        <f>'Latin America and Caribbean'!D128+"$F;@!48y"</f>
        <v>#VALUE!</v>
      </c>
      <c r="CT408" t="e">
        <f>'Latin America and Caribbean'!E128+"$F;@!48z"</f>
        <v>#VALUE!</v>
      </c>
      <c r="CU408" t="e">
        <f>'Latin America and Caribbean'!F128+"$F;@!48{"</f>
        <v>#VALUE!</v>
      </c>
      <c r="CV408" t="e">
        <f>'Latin America and Caribbean'!G128+"$F;@!48|"</f>
        <v>#VALUE!</v>
      </c>
      <c r="CW408" t="e">
        <f>'Latin America and Caribbean'!H128+"$F;@!48}"</f>
        <v>#VALUE!</v>
      </c>
      <c r="CX408" t="e">
        <f>'Latin America and Caribbean'!A129+"$F;@!48~"</f>
        <v>#VALUE!</v>
      </c>
      <c r="CY408" t="e">
        <f>'Latin America and Caribbean'!B129+"$F;@!49#"</f>
        <v>#VALUE!</v>
      </c>
      <c r="CZ408" t="e">
        <f>'Latin America and Caribbean'!C129+"$F;@!49$"</f>
        <v>#VALUE!</v>
      </c>
      <c r="DA408" t="e">
        <f>'Latin America and Caribbean'!D129+"$F;@!49%"</f>
        <v>#VALUE!</v>
      </c>
      <c r="DB408" t="e">
        <f>'Latin America and Caribbean'!E129+"$F;@!49&amp;"</f>
        <v>#VALUE!</v>
      </c>
      <c r="DC408" t="e">
        <f>'Latin America and Caribbean'!F129+"$F;@!49'"</f>
        <v>#VALUE!</v>
      </c>
      <c r="DD408" t="e">
        <f>'Latin America and Caribbean'!G129+"$F;@!49("</f>
        <v>#VALUE!</v>
      </c>
      <c r="DE408" t="e">
        <f>'Latin America and Caribbean'!H129+"$F;@!49)"</f>
        <v>#VALUE!</v>
      </c>
      <c r="DF408" t="e">
        <f>'Latin America and Caribbean'!A130+"$F;@!49."</f>
        <v>#VALUE!</v>
      </c>
      <c r="DG408" t="e">
        <f>'Latin America and Caribbean'!B130+"$F;@!49/"</f>
        <v>#VALUE!</v>
      </c>
      <c r="DH408" t="e">
        <f>'Latin America and Caribbean'!C130+"$F;@!490"</f>
        <v>#VALUE!</v>
      </c>
      <c r="DI408" t="e">
        <f>'Latin America and Caribbean'!D130+"$F;@!491"</f>
        <v>#VALUE!</v>
      </c>
      <c r="DJ408" t="e">
        <f>'Latin America and Caribbean'!E130+"$F;@!492"</f>
        <v>#VALUE!</v>
      </c>
      <c r="DK408" t="e">
        <f>'Latin America and Caribbean'!F130+"$F;@!493"</f>
        <v>#VALUE!</v>
      </c>
      <c r="DL408" t="e">
        <f>'Latin America and Caribbean'!G130+"$F;@!494"</f>
        <v>#VALUE!</v>
      </c>
      <c r="DM408" t="e">
        <f>'Latin America and Caribbean'!H130+"$F;@!495"</f>
        <v>#VALUE!</v>
      </c>
      <c r="DN408" t="e">
        <f>'Latin America and Caribbean'!A131+"$F;@!496"</f>
        <v>#VALUE!</v>
      </c>
      <c r="DO408" t="e">
        <f>'Latin America and Caribbean'!B131+"$F;@!497"</f>
        <v>#VALUE!</v>
      </c>
      <c r="DP408" t="e">
        <f>'Latin America and Caribbean'!C131+"$F;@!498"</f>
        <v>#VALUE!</v>
      </c>
      <c r="DQ408" t="e">
        <f>'Latin America and Caribbean'!D131+"$F;@!499"</f>
        <v>#VALUE!</v>
      </c>
      <c r="DR408" t="e">
        <f>'Latin America and Caribbean'!E131+"$F;@!49:"</f>
        <v>#VALUE!</v>
      </c>
      <c r="DS408" t="e">
        <f>'Latin America and Caribbean'!F131+"$F;@!49;"</f>
        <v>#VALUE!</v>
      </c>
      <c r="DT408" t="e">
        <f>'Latin America and Caribbean'!G131+"$F;@!49&lt;"</f>
        <v>#VALUE!</v>
      </c>
      <c r="DU408" t="e">
        <f>'Latin America and Caribbean'!H131+"$F;@!49="</f>
        <v>#VALUE!</v>
      </c>
      <c r="DV408" t="e">
        <f>'Latin America and Caribbean'!A132+"$F;@!49&gt;"</f>
        <v>#VALUE!</v>
      </c>
      <c r="DW408" t="e">
        <f>'Latin America and Caribbean'!B132+"$F;@!49?"</f>
        <v>#VALUE!</v>
      </c>
      <c r="DX408" t="e">
        <f>'Latin America and Caribbean'!C132+"$F;@!49@"</f>
        <v>#VALUE!</v>
      </c>
      <c r="DY408" t="e">
        <f>'Latin America and Caribbean'!D132+"$F;@!49A"</f>
        <v>#VALUE!</v>
      </c>
      <c r="DZ408" t="e">
        <f>'Latin America and Caribbean'!E132+"$F;@!49B"</f>
        <v>#VALUE!</v>
      </c>
      <c r="EA408" t="e">
        <f>'Latin America and Caribbean'!F132+"$F;@!49C"</f>
        <v>#VALUE!</v>
      </c>
      <c r="EB408" t="e">
        <f>'Latin America and Caribbean'!G132+"$F;@!49D"</f>
        <v>#VALUE!</v>
      </c>
      <c r="EC408" t="e">
        <f>'Latin America and Caribbean'!H132+"$F;@!49E"</f>
        <v>#VALUE!</v>
      </c>
      <c r="ED408" t="e">
        <f>'Latin America and Caribbean'!A133+"$F;@!49F"</f>
        <v>#VALUE!</v>
      </c>
      <c r="EE408" t="e">
        <f>'Latin America and Caribbean'!B133+"$F;@!49G"</f>
        <v>#VALUE!</v>
      </c>
      <c r="EF408" t="e">
        <f>'Latin America and Caribbean'!C133+"$F;@!49H"</f>
        <v>#VALUE!</v>
      </c>
      <c r="EG408" t="e">
        <f>'Latin America and Caribbean'!D133+"$F;@!49I"</f>
        <v>#VALUE!</v>
      </c>
      <c r="EH408" t="e">
        <f>'Latin America and Caribbean'!E133+"$F;@!49J"</f>
        <v>#VALUE!</v>
      </c>
      <c r="EI408" t="e">
        <f>'Latin America and Caribbean'!F133+"$F;@!49K"</f>
        <v>#VALUE!</v>
      </c>
      <c r="EJ408" t="e">
        <f>'Latin America and Caribbean'!G133+"$F;@!49L"</f>
        <v>#VALUE!</v>
      </c>
      <c r="EK408" t="e">
        <f>'Latin America and Caribbean'!H133+"$F;@!49M"</f>
        <v>#VALUE!</v>
      </c>
      <c r="EL408" t="e">
        <f>'Latin America and Caribbean'!A134+"$F;@!49N"</f>
        <v>#VALUE!</v>
      </c>
      <c r="EM408" t="e">
        <f>'Latin America and Caribbean'!B134+"$F;@!49O"</f>
        <v>#VALUE!</v>
      </c>
      <c r="EN408" t="e">
        <f>'Latin America and Caribbean'!C134+"$F;@!49P"</f>
        <v>#VALUE!</v>
      </c>
      <c r="EO408" t="e">
        <f>'Latin America and Caribbean'!D134+"$F;@!49Q"</f>
        <v>#VALUE!</v>
      </c>
      <c r="EP408" t="e">
        <f>'Latin America and Caribbean'!E134+"$F;@!49R"</f>
        <v>#VALUE!</v>
      </c>
      <c r="EQ408" t="e">
        <f>'Latin America and Caribbean'!F134+"$F;@!49S"</f>
        <v>#VALUE!</v>
      </c>
      <c r="ER408" t="e">
        <f>'Latin America and Caribbean'!G134+"$F;@!49T"</f>
        <v>#VALUE!</v>
      </c>
      <c r="ES408" t="e">
        <f>'Latin America and Caribbean'!H134+"$F;@!49U"</f>
        <v>#VALUE!</v>
      </c>
      <c r="ET408" t="e">
        <f>'Latin America and Caribbean'!A135+"$F;@!49V"</f>
        <v>#VALUE!</v>
      </c>
      <c r="EU408" t="e">
        <f>'Latin America and Caribbean'!B135+"$F;@!49W"</f>
        <v>#VALUE!</v>
      </c>
      <c r="EV408" t="e">
        <f>'Latin America and Caribbean'!C135+"$F;@!49X"</f>
        <v>#VALUE!</v>
      </c>
      <c r="EW408" t="e">
        <f>'Latin America and Caribbean'!D135+"$F;@!49Y"</f>
        <v>#VALUE!</v>
      </c>
      <c r="EX408" t="e">
        <f>'Latin America and Caribbean'!E135+"$F;@!49Z"</f>
        <v>#VALUE!</v>
      </c>
      <c r="EY408" t="e">
        <f>'Latin America and Caribbean'!F135+"$F;@!49["</f>
        <v>#VALUE!</v>
      </c>
      <c r="EZ408" t="e">
        <f>'Latin America and Caribbean'!G135+"$F;@!49\"</f>
        <v>#VALUE!</v>
      </c>
      <c r="FA408" t="e">
        <f>'Latin America and Caribbean'!H135+"$F;@!49]"</f>
        <v>#VALUE!</v>
      </c>
      <c r="FB408" t="e">
        <f>'Latin America and Caribbean'!A136+"$F;@!49^"</f>
        <v>#VALUE!</v>
      </c>
      <c r="FC408" t="e">
        <f>'Latin America and Caribbean'!B136+"$F;@!49_"</f>
        <v>#VALUE!</v>
      </c>
      <c r="FD408" t="e">
        <f>'Latin America and Caribbean'!C136+"$F;@!49`"</f>
        <v>#VALUE!</v>
      </c>
      <c r="FE408" t="e">
        <f>'Latin America and Caribbean'!D136+"$F;@!49a"</f>
        <v>#VALUE!</v>
      </c>
      <c r="FF408" t="e">
        <f>'Latin America and Caribbean'!E136+"$F;@!49b"</f>
        <v>#VALUE!</v>
      </c>
      <c r="FG408" t="e">
        <f>'Latin America and Caribbean'!F136+"$F;@!49c"</f>
        <v>#VALUE!</v>
      </c>
      <c r="FH408" t="e">
        <f>'Latin America and Caribbean'!G136+"$F;@!49d"</f>
        <v>#VALUE!</v>
      </c>
      <c r="FI408" t="e">
        <f>'Latin America and Caribbean'!H136+"$F;@!49e"</f>
        <v>#VALUE!</v>
      </c>
      <c r="FJ408" t="e">
        <f>'Latin America and Caribbean'!A137+"$F;@!49f"</f>
        <v>#VALUE!</v>
      </c>
      <c r="FK408" t="e">
        <f>'Latin America and Caribbean'!B137+"$F;@!49g"</f>
        <v>#VALUE!</v>
      </c>
      <c r="FL408" t="e">
        <f>'Latin America and Caribbean'!C137+"$F;@!49h"</f>
        <v>#VALUE!</v>
      </c>
      <c r="FM408" t="e">
        <f>'Latin America and Caribbean'!D137+"$F;@!49i"</f>
        <v>#VALUE!</v>
      </c>
      <c r="FN408" t="e">
        <f>'Latin America and Caribbean'!E137+"$F;@!49j"</f>
        <v>#VALUE!</v>
      </c>
      <c r="FO408" t="e">
        <f>'Latin America and Caribbean'!F137+"$F;@!49k"</f>
        <v>#VALUE!</v>
      </c>
      <c r="FP408" t="e">
        <f>'Latin America and Caribbean'!G137+"$F;@!49l"</f>
        <v>#VALUE!</v>
      </c>
      <c r="FQ408" t="e">
        <f>'Latin America and Caribbean'!H137+"$F;@!49m"</f>
        <v>#VALUE!</v>
      </c>
      <c r="FR408" t="e">
        <f>'Latin America and Caribbean'!A138+"$F;@!49n"</f>
        <v>#VALUE!</v>
      </c>
      <c r="FS408" t="e">
        <f>'Latin America and Caribbean'!B138+"$F;@!49o"</f>
        <v>#VALUE!</v>
      </c>
      <c r="FT408" t="e">
        <f>'Latin America and Caribbean'!C138+"$F;@!49p"</f>
        <v>#VALUE!</v>
      </c>
      <c r="FU408" t="e">
        <f>'Latin America and Caribbean'!D138+"$F;@!49q"</f>
        <v>#VALUE!</v>
      </c>
      <c r="FV408" t="e">
        <f>'Latin America and Caribbean'!E138+"$F;@!49r"</f>
        <v>#VALUE!</v>
      </c>
      <c r="FW408" t="e">
        <f>'Latin America and Caribbean'!F138+"$F;@!49s"</f>
        <v>#VALUE!</v>
      </c>
      <c r="FX408" t="e">
        <f>'Latin America and Caribbean'!G138+"$F;@!49t"</f>
        <v>#VALUE!</v>
      </c>
      <c r="FY408" t="e">
        <f>'Latin America and Caribbean'!H138+"$F;@!49u"</f>
        <v>#VALUE!</v>
      </c>
      <c r="FZ408" t="e">
        <f>'Latin America and Caribbean'!A139+"$F;@!49v"</f>
        <v>#VALUE!</v>
      </c>
      <c r="GA408" t="e">
        <f>'Latin America and Caribbean'!B139+"$F;@!49w"</f>
        <v>#VALUE!</v>
      </c>
      <c r="GB408" t="e">
        <f>'Latin America and Caribbean'!C139+"$F;@!49x"</f>
        <v>#VALUE!</v>
      </c>
      <c r="GC408" t="e">
        <f>'Latin America and Caribbean'!D139+"$F;@!49y"</f>
        <v>#VALUE!</v>
      </c>
      <c r="GD408" t="e">
        <f>'Latin America and Caribbean'!E139+"$F;@!49z"</f>
        <v>#VALUE!</v>
      </c>
      <c r="GE408" t="e">
        <f>'Latin America and Caribbean'!F139+"$F;@!49{"</f>
        <v>#VALUE!</v>
      </c>
      <c r="GF408" t="e">
        <f>'Latin America and Caribbean'!G139+"$F;@!49|"</f>
        <v>#VALUE!</v>
      </c>
      <c r="GG408" t="e">
        <f>'Latin America and Caribbean'!H139+"$F;@!49}"</f>
        <v>#VALUE!</v>
      </c>
      <c r="GH408" t="e">
        <f>'Latin America and Caribbean'!A140+"$F;@!49~"</f>
        <v>#VALUE!</v>
      </c>
      <c r="GI408" t="e">
        <f>'Latin America and Caribbean'!B140+"$F;@!4:#"</f>
        <v>#VALUE!</v>
      </c>
      <c r="GJ408" t="e">
        <f>'Latin America and Caribbean'!C140+"$F;@!4:$"</f>
        <v>#VALUE!</v>
      </c>
      <c r="GK408" t="e">
        <f>'Latin America and Caribbean'!D140+"$F;@!4:%"</f>
        <v>#VALUE!</v>
      </c>
      <c r="GL408" t="e">
        <f>'Latin America and Caribbean'!E140+"$F;@!4:&amp;"</f>
        <v>#VALUE!</v>
      </c>
      <c r="GM408" t="e">
        <f>'Latin America and Caribbean'!F140+"$F;@!4:'"</f>
        <v>#VALUE!</v>
      </c>
      <c r="GN408" t="e">
        <f>'Latin America and Caribbean'!G140+"$F;@!4:("</f>
        <v>#VALUE!</v>
      </c>
      <c r="GO408" t="e">
        <f>'Latin America and Caribbean'!H140+"$F;@!4:)"</f>
        <v>#VALUE!</v>
      </c>
      <c r="GP408" t="e">
        <f>'Latin America and Caribbean'!A141+"$F;@!4:."</f>
        <v>#VALUE!</v>
      </c>
      <c r="GQ408" t="e">
        <f>'Latin America and Caribbean'!B141+"$F;@!4:/"</f>
        <v>#VALUE!</v>
      </c>
      <c r="GR408" t="e">
        <f>'Latin America and Caribbean'!C141+"$F;@!4:0"</f>
        <v>#VALUE!</v>
      </c>
      <c r="GS408" t="e">
        <f>'Latin America and Caribbean'!D141+"$F;@!4:1"</f>
        <v>#VALUE!</v>
      </c>
      <c r="GT408" t="e">
        <f>'Latin America and Caribbean'!E141+"$F;@!4:2"</f>
        <v>#VALUE!</v>
      </c>
      <c r="GU408" t="e">
        <f>'Latin America and Caribbean'!F141+"$F;@!4:3"</f>
        <v>#VALUE!</v>
      </c>
      <c r="GV408" t="e">
        <f>'Latin America and Caribbean'!G141+"$F;@!4:4"</f>
        <v>#VALUE!</v>
      </c>
      <c r="GW408" t="e">
        <f>'Latin America and Caribbean'!H141+"$F;@!4:5"</f>
        <v>#VALUE!</v>
      </c>
      <c r="GX408" t="e">
        <f>'Latin America and Caribbean'!A142+"$F;@!4:6"</f>
        <v>#VALUE!</v>
      </c>
      <c r="GY408" t="e">
        <f>'Latin America and Caribbean'!B142+"$F;@!4:7"</f>
        <v>#VALUE!</v>
      </c>
      <c r="GZ408" t="e">
        <f>'Latin America and Caribbean'!C142+"$F;@!4:8"</f>
        <v>#VALUE!</v>
      </c>
      <c r="HA408" t="e">
        <f>'Latin America and Caribbean'!D142+"$F;@!4:9"</f>
        <v>#VALUE!</v>
      </c>
      <c r="HB408" t="e">
        <f>'Latin America and Caribbean'!E142+"$F;@!4::"</f>
        <v>#VALUE!</v>
      </c>
      <c r="HC408" t="e">
        <f>'Latin America and Caribbean'!F142+"$F;@!4:;"</f>
        <v>#VALUE!</v>
      </c>
      <c r="HD408" t="e">
        <f>'Latin America and Caribbean'!G142+"$F;@!4:&lt;"</f>
        <v>#VALUE!</v>
      </c>
      <c r="HE408" t="e">
        <f>'Latin America and Caribbean'!H142+"$F;@!4:="</f>
        <v>#VALUE!</v>
      </c>
      <c r="HF408" t="e">
        <f>'Latin America and Caribbean'!A143+"$F;@!4:&gt;"</f>
        <v>#VALUE!</v>
      </c>
      <c r="HG408" t="e">
        <f>'Latin America and Caribbean'!B143+"$F;@!4:?"</f>
        <v>#VALUE!</v>
      </c>
      <c r="HH408" t="e">
        <f>'Latin America and Caribbean'!C143+"$F;@!4:@"</f>
        <v>#VALUE!</v>
      </c>
      <c r="HI408" t="e">
        <f>'Latin America and Caribbean'!D143+"$F;@!4:A"</f>
        <v>#VALUE!</v>
      </c>
      <c r="HJ408" t="e">
        <f>'Latin America and Caribbean'!E143+"$F;@!4:B"</f>
        <v>#VALUE!</v>
      </c>
      <c r="HK408" t="e">
        <f>'Latin America and Caribbean'!F143+"$F;@!4:C"</f>
        <v>#VALUE!</v>
      </c>
      <c r="HL408" t="e">
        <f>'Latin America and Caribbean'!G143+"$F;@!4:D"</f>
        <v>#VALUE!</v>
      </c>
      <c r="HM408" t="e">
        <f>'Latin America and Caribbean'!H143+"$F;@!4:E"</f>
        <v>#VALUE!</v>
      </c>
      <c r="HN408" t="e">
        <f>'Latin America and Caribbean'!A144+"$F;@!4:F"</f>
        <v>#VALUE!</v>
      </c>
      <c r="HO408" t="e">
        <f>'Latin America and Caribbean'!B144+"$F;@!4:G"</f>
        <v>#VALUE!</v>
      </c>
      <c r="HP408" t="e">
        <f>'Latin America and Caribbean'!C144+"$F;@!4:H"</f>
        <v>#VALUE!</v>
      </c>
      <c r="HQ408" t="e">
        <f>'Latin America and Caribbean'!D144+"$F;@!4:I"</f>
        <v>#VALUE!</v>
      </c>
      <c r="HR408" t="e">
        <f>'Latin America and Caribbean'!E144+"$F;@!4:J"</f>
        <v>#VALUE!</v>
      </c>
      <c r="HS408" t="e">
        <f>'Latin America and Caribbean'!F144+"$F;@!4:K"</f>
        <v>#VALUE!</v>
      </c>
      <c r="HT408" t="e">
        <f>'Latin America and Caribbean'!G144+"$F;@!4:L"</f>
        <v>#VALUE!</v>
      </c>
      <c r="HU408" t="e">
        <f>'Latin America and Caribbean'!H144+"$F;@!4:M"</f>
        <v>#VALUE!</v>
      </c>
      <c r="HV408" t="e">
        <f>'Latin America and Caribbean'!A145+"$F;@!4:N"</f>
        <v>#VALUE!</v>
      </c>
      <c r="HW408" t="e">
        <f>'Latin America and Caribbean'!B145+"$F;@!4:O"</f>
        <v>#VALUE!</v>
      </c>
      <c r="HX408" t="e">
        <f>'Latin America and Caribbean'!C145+"$F;@!4:P"</f>
        <v>#VALUE!</v>
      </c>
      <c r="HY408" t="e">
        <f>'Latin America and Caribbean'!D145+"$F;@!4:Q"</f>
        <v>#VALUE!</v>
      </c>
      <c r="HZ408" t="e">
        <f>'Latin America and Caribbean'!E145+"$F;@!4:R"</f>
        <v>#VALUE!</v>
      </c>
      <c r="IA408" t="e">
        <f>'Latin America and Caribbean'!F145+"$F;@!4:S"</f>
        <v>#VALUE!</v>
      </c>
      <c r="IB408" t="e">
        <f>'Latin America and Caribbean'!G145+"$F;@!4:T"</f>
        <v>#VALUE!</v>
      </c>
      <c r="IC408" t="e">
        <f>'Latin America and Caribbean'!H145+"$F;@!4:U"</f>
        <v>#VALUE!</v>
      </c>
      <c r="ID408" t="e">
        <f>'Latin America and Caribbean'!A146+"$F;@!4:V"</f>
        <v>#VALUE!</v>
      </c>
      <c r="IE408" t="e">
        <f>'Latin America and Caribbean'!B146+"$F;@!4:W"</f>
        <v>#VALUE!</v>
      </c>
      <c r="IF408" t="e">
        <f>'Latin America and Caribbean'!C146+"$F;@!4:X"</f>
        <v>#VALUE!</v>
      </c>
      <c r="IG408" t="e">
        <f>'Latin America and Caribbean'!D146+"$F;@!4:Y"</f>
        <v>#VALUE!</v>
      </c>
      <c r="IH408" t="e">
        <f>'Latin America and Caribbean'!E146+"$F;@!4:Z"</f>
        <v>#VALUE!</v>
      </c>
      <c r="II408" t="e">
        <f>'Latin America and Caribbean'!F146+"$F;@!4:["</f>
        <v>#VALUE!</v>
      </c>
      <c r="IJ408" t="e">
        <f>'Latin America and Caribbean'!G146+"$F;@!4:\"</f>
        <v>#VALUE!</v>
      </c>
      <c r="IK408" t="e">
        <f>'Latin America and Caribbean'!H146+"$F;@!4:]"</f>
        <v>#VALUE!</v>
      </c>
      <c r="IL408" t="e">
        <f>'Latin America and Caribbean'!A147+"$F;@!4:^"</f>
        <v>#VALUE!</v>
      </c>
      <c r="IM408" t="e">
        <f>'Latin America and Caribbean'!B147+"$F;@!4:_"</f>
        <v>#VALUE!</v>
      </c>
      <c r="IN408" t="e">
        <f>'Latin America and Caribbean'!C147+"$F;@!4:`"</f>
        <v>#VALUE!</v>
      </c>
      <c r="IO408" t="e">
        <f>'Latin America and Caribbean'!D147+"$F;@!4:a"</f>
        <v>#VALUE!</v>
      </c>
      <c r="IP408" t="e">
        <f>'Latin America and Caribbean'!E147+"$F;@!4:b"</f>
        <v>#VALUE!</v>
      </c>
      <c r="IQ408" t="e">
        <f>'Latin America and Caribbean'!F147+"$F;@!4:c"</f>
        <v>#VALUE!</v>
      </c>
      <c r="IR408" t="e">
        <f>'Latin America and Caribbean'!G147+"$F;@!4:d"</f>
        <v>#VALUE!</v>
      </c>
      <c r="IS408" t="e">
        <f>'Latin America and Caribbean'!H147+"$F;@!4:e"</f>
        <v>#VALUE!</v>
      </c>
      <c r="IT408" t="e">
        <f>'Latin America and Caribbean'!A148+"$F;@!4:f"</f>
        <v>#VALUE!</v>
      </c>
      <c r="IU408" t="e">
        <f>'Latin America and Caribbean'!B148+"$F;@!4:g"</f>
        <v>#VALUE!</v>
      </c>
      <c r="IV408" t="e">
        <f>'Latin America and Caribbean'!C148+"$F;@!4:h"</f>
        <v>#VALUE!</v>
      </c>
    </row>
    <row r="409" spans="6:256" x14ac:dyDescent="0.35">
      <c r="F409" t="e">
        <f>'Latin America and Caribbean'!D148+"$F;@!4:i"</f>
        <v>#VALUE!</v>
      </c>
      <c r="G409" t="e">
        <f>'Latin America and Caribbean'!E148+"$F;@!4:j"</f>
        <v>#VALUE!</v>
      </c>
      <c r="H409" t="e">
        <f>'Latin America and Caribbean'!F148+"$F;@!4:k"</f>
        <v>#VALUE!</v>
      </c>
      <c r="I409" t="e">
        <f>'Latin America and Caribbean'!G148+"$F;@!4:l"</f>
        <v>#VALUE!</v>
      </c>
      <c r="J409" t="e">
        <f>'Latin America and Caribbean'!H148+"$F;@!4:m"</f>
        <v>#VALUE!</v>
      </c>
      <c r="K409" t="e">
        <f>'Latin America and Caribbean'!A149+"$F;@!4:n"</f>
        <v>#VALUE!</v>
      </c>
      <c r="L409" t="e">
        <f>'Latin America and Caribbean'!B149+"$F;@!4:o"</f>
        <v>#VALUE!</v>
      </c>
      <c r="M409" t="e">
        <f>'Latin America and Caribbean'!C149+"$F;@!4:p"</f>
        <v>#VALUE!</v>
      </c>
      <c r="N409" t="e">
        <f>'Latin America and Caribbean'!D149+"$F;@!4:q"</f>
        <v>#VALUE!</v>
      </c>
      <c r="O409" t="e">
        <f>'Latin America and Caribbean'!E149+"$F;@!4:r"</f>
        <v>#VALUE!</v>
      </c>
      <c r="P409" t="e">
        <f>'Latin America and Caribbean'!F149+"$F;@!4:s"</f>
        <v>#VALUE!</v>
      </c>
      <c r="Q409" t="e">
        <f>'Latin America and Caribbean'!G149+"$F;@!4:t"</f>
        <v>#VALUE!</v>
      </c>
      <c r="R409" t="e">
        <f>'Latin America and Caribbean'!H149+"$F;@!4:u"</f>
        <v>#VALUE!</v>
      </c>
      <c r="S409" t="e">
        <f>'Latin America and Caribbean'!A150+"$F;@!4:v"</f>
        <v>#VALUE!</v>
      </c>
      <c r="T409" t="e">
        <f>'Latin America and Caribbean'!B150+"$F;@!4:w"</f>
        <v>#VALUE!</v>
      </c>
      <c r="U409" t="e">
        <f>'Latin America and Caribbean'!C150+"$F;@!4:x"</f>
        <v>#VALUE!</v>
      </c>
      <c r="V409" t="e">
        <f>'Latin America and Caribbean'!D150+"$F;@!4:y"</f>
        <v>#VALUE!</v>
      </c>
      <c r="W409" t="e">
        <f>'Latin America and Caribbean'!E150+"$F;@!4:z"</f>
        <v>#VALUE!</v>
      </c>
      <c r="X409" t="e">
        <f>'Latin America and Caribbean'!F150+"$F;@!4:{"</f>
        <v>#VALUE!</v>
      </c>
      <c r="Y409" t="e">
        <f>'Latin America and Caribbean'!G150+"$F;@!4:|"</f>
        <v>#VALUE!</v>
      </c>
      <c r="Z409" t="e">
        <f>'Latin America and Caribbean'!H150+"$F;@!4:}"</f>
        <v>#VALUE!</v>
      </c>
      <c r="AA409" t="e">
        <f>'Latin America and Caribbean'!A151+"$F;@!4:~"</f>
        <v>#VALUE!</v>
      </c>
      <c r="AB409" t="e">
        <f>'Latin America and Caribbean'!B151+"$F;@!4;#"</f>
        <v>#VALUE!</v>
      </c>
      <c r="AC409" t="e">
        <f>'Latin America and Caribbean'!C151+"$F;@!4;$"</f>
        <v>#VALUE!</v>
      </c>
      <c r="AD409" t="e">
        <f>'Latin America and Caribbean'!D151+"$F;@!4;%"</f>
        <v>#VALUE!</v>
      </c>
      <c r="AE409" t="e">
        <f>'Latin America and Caribbean'!E151+"$F;@!4;&amp;"</f>
        <v>#VALUE!</v>
      </c>
      <c r="AF409" t="e">
        <f>'Latin America and Caribbean'!F151+"$F;@!4;'"</f>
        <v>#VALUE!</v>
      </c>
      <c r="AG409" t="e">
        <f>'Latin America and Caribbean'!G151+"$F;@!4;("</f>
        <v>#VALUE!</v>
      </c>
      <c r="AH409" t="e">
        <f>'Latin America and Caribbean'!H151+"$F;@!4;)"</f>
        <v>#VALUE!</v>
      </c>
      <c r="AI409" t="e">
        <f>'Latin America and Caribbean'!A152+"$F;@!4;."</f>
        <v>#VALUE!</v>
      </c>
      <c r="AJ409" t="e">
        <f>'Latin America and Caribbean'!B152+"$F;@!4;/"</f>
        <v>#VALUE!</v>
      </c>
      <c r="AK409" t="e">
        <f>'Latin America and Caribbean'!C152+"$F;@!4;0"</f>
        <v>#VALUE!</v>
      </c>
      <c r="AL409" t="e">
        <f>'Latin America and Caribbean'!D152+"$F;@!4;1"</f>
        <v>#VALUE!</v>
      </c>
      <c r="AM409" t="e">
        <f>'Latin America and Caribbean'!E152+"$F;@!4;2"</f>
        <v>#VALUE!</v>
      </c>
      <c r="AN409" t="e">
        <f>'Latin America and Caribbean'!F152+"$F;@!4;3"</f>
        <v>#VALUE!</v>
      </c>
      <c r="AO409" t="e">
        <f>'Latin America and Caribbean'!G152+"$F;@!4;4"</f>
        <v>#VALUE!</v>
      </c>
      <c r="AP409" t="e">
        <f>'Latin America and Caribbean'!H152+"$F;@!4;5"</f>
        <v>#VALUE!</v>
      </c>
      <c r="AQ409" t="e">
        <f>'Latin America and Caribbean'!A153+"$F;@!4;6"</f>
        <v>#VALUE!</v>
      </c>
      <c r="AR409" t="e">
        <f>'Latin America and Caribbean'!B153+"$F;@!4;7"</f>
        <v>#VALUE!</v>
      </c>
      <c r="AS409" t="e">
        <f>'Latin America and Caribbean'!C153+"$F;@!4;8"</f>
        <v>#VALUE!</v>
      </c>
      <c r="AT409" t="e">
        <f>'Latin America and Caribbean'!D153+"$F;@!4;9"</f>
        <v>#VALUE!</v>
      </c>
      <c r="AU409" t="e">
        <f>'Latin America and Caribbean'!E153+"$F;@!4;:"</f>
        <v>#VALUE!</v>
      </c>
      <c r="AV409" t="e">
        <f>'Latin America and Caribbean'!F153+"$F;@!4;;"</f>
        <v>#VALUE!</v>
      </c>
      <c r="AW409" t="e">
        <f>'Latin America and Caribbean'!G153+"$F;@!4;&lt;"</f>
        <v>#VALUE!</v>
      </c>
      <c r="AX409" t="e">
        <f>'Latin America and Caribbean'!H153+"$F;@!4;="</f>
        <v>#VALUE!</v>
      </c>
      <c r="AY409" t="e">
        <f>'Latin America and Caribbean'!A154+"$F;@!4;&gt;"</f>
        <v>#VALUE!</v>
      </c>
      <c r="AZ409" t="e">
        <f>'Latin America and Caribbean'!B154+"$F;@!4;?"</f>
        <v>#VALUE!</v>
      </c>
      <c r="BA409" t="e">
        <f>'Latin America and Caribbean'!C154+"$F;@!4;@"</f>
        <v>#VALUE!</v>
      </c>
      <c r="BB409" t="e">
        <f>'Latin America and Caribbean'!D154+"$F;@!4;A"</f>
        <v>#VALUE!</v>
      </c>
      <c r="BC409" t="e">
        <f>'Latin America and Caribbean'!E154+"$F;@!4;B"</f>
        <v>#VALUE!</v>
      </c>
      <c r="BD409" t="e">
        <f>'Latin America and Caribbean'!F154+"$F;@!4;C"</f>
        <v>#VALUE!</v>
      </c>
      <c r="BE409" t="e">
        <f>'Latin America and Caribbean'!G154+"$F;@!4;D"</f>
        <v>#VALUE!</v>
      </c>
      <c r="BF409" t="e">
        <f>'Latin America and Caribbean'!H154+"$F;@!4;E"</f>
        <v>#VALUE!</v>
      </c>
      <c r="BG409" t="e">
        <f>'Latin America and Caribbean'!A155+"$F;@!4;F"</f>
        <v>#VALUE!</v>
      </c>
      <c r="BH409" t="e">
        <f>'Latin America and Caribbean'!B155+"$F;@!4;G"</f>
        <v>#VALUE!</v>
      </c>
      <c r="BI409" t="e">
        <f>'Latin America and Caribbean'!C155+"$F;@!4;H"</f>
        <v>#VALUE!</v>
      </c>
      <c r="BJ409" t="e">
        <f>'Latin America and Caribbean'!D155+"$F;@!4;I"</f>
        <v>#VALUE!</v>
      </c>
      <c r="BK409" t="e">
        <f>'Latin America and Caribbean'!E155+"$F;@!4;J"</f>
        <v>#VALUE!</v>
      </c>
      <c r="BL409" t="e">
        <f>'Latin America and Caribbean'!F155+"$F;@!4;K"</f>
        <v>#VALUE!</v>
      </c>
      <c r="BM409" t="e">
        <f>'Latin America and Caribbean'!G155+"$F;@!4;L"</f>
        <v>#VALUE!</v>
      </c>
      <c r="BN409" t="e">
        <f>'Latin America and Caribbean'!H155+"$F;@!4;M"</f>
        <v>#VALUE!</v>
      </c>
      <c r="BO409" t="e">
        <f>'Latin America and Caribbean'!A156+"$F;@!4;N"</f>
        <v>#VALUE!</v>
      </c>
      <c r="BP409" t="e">
        <f>'Latin America and Caribbean'!B156+"$F;@!4;O"</f>
        <v>#VALUE!</v>
      </c>
      <c r="BQ409" t="e">
        <f>'Latin America and Caribbean'!C156+"$F;@!4;P"</f>
        <v>#VALUE!</v>
      </c>
      <c r="BR409" t="e">
        <f>'Latin America and Caribbean'!D156+"$F;@!4;Q"</f>
        <v>#VALUE!</v>
      </c>
      <c r="BS409" t="e">
        <f>'Latin America and Caribbean'!E156+"$F;@!4;R"</f>
        <v>#VALUE!</v>
      </c>
      <c r="BT409" t="e">
        <f>'Latin America and Caribbean'!F156+"$F;@!4;S"</f>
        <v>#VALUE!</v>
      </c>
      <c r="BU409" t="e">
        <f>'Latin America and Caribbean'!G156+"$F;@!4;T"</f>
        <v>#VALUE!</v>
      </c>
      <c r="BV409" t="e">
        <f>'Latin America and Caribbean'!H156+"$F;@!4;U"</f>
        <v>#VALUE!</v>
      </c>
      <c r="BW409" t="e">
        <f>'Latin America and Caribbean'!A157+"$F;@!4;V"</f>
        <v>#VALUE!</v>
      </c>
      <c r="BX409" t="e">
        <f>'Latin America and Caribbean'!B157+"$F;@!4;W"</f>
        <v>#VALUE!</v>
      </c>
      <c r="BY409" t="e">
        <f>'Latin America and Caribbean'!C157+"$F;@!4;X"</f>
        <v>#VALUE!</v>
      </c>
      <c r="BZ409" t="e">
        <f>'Latin America and Caribbean'!D157+"$F;@!4;Y"</f>
        <v>#VALUE!</v>
      </c>
      <c r="CA409" t="e">
        <f>'Latin America and Caribbean'!E157+"$F;@!4;Z"</f>
        <v>#VALUE!</v>
      </c>
      <c r="CB409" t="e">
        <f>'Latin America and Caribbean'!F157+"$F;@!4;["</f>
        <v>#VALUE!</v>
      </c>
      <c r="CC409" t="e">
        <f>'Latin America and Caribbean'!G157+"$F;@!4;\"</f>
        <v>#VALUE!</v>
      </c>
      <c r="CD409" t="e">
        <f>'Latin America and Caribbean'!H157+"$F;@!4;]"</f>
        <v>#VALUE!</v>
      </c>
      <c r="CE409" t="e">
        <f>'Latin America and Caribbean'!A158+"$F;@!4;^"</f>
        <v>#VALUE!</v>
      </c>
      <c r="CF409" t="e">
        <f>'Latin America and Caribbean'!B158+"$F;@!4;_"</f>
        <v>#VALUE!</v>
      </c>
      <c r="CG409" t="e">
        <f>'Latin America and Caribbean'!C158+"$F;@!4;`"</f>
        <v>#VALUE!</v>
      </c>
      <c r="CH409" t="e">
        <f>'Latin America and Caribbean'!D158+"$F;@!4;a"</f>
        <v>#VALUE!</v>
      </c>
      <c r="CI409" t="e">
        <f>'Latin America and Caribbean'!E158+"$F;@!4;b"</f>
        <v>#VALUE!</v>
      </c>
      <c r="CJ409" t="e">
        <f>'Latin America and Caribbean'!F158+"$F;@!4;c"</f>
        <v>#VALUE!</v>
      </c>
      <c r="CK409" t="e">
        <f>'Latin America and Caribbean'!G158+"$F;@!4;d"</f>
        <v>#VALUE!</v>
      </c>
      <c r="CL409" t="e">
        <f>'Latin America and Caribbean'!H158+"$F;@!4;e"</f>
        <v>#VALUE!</v>
      </c>
      <c r="CM409" t="e">
        <f>'Latin America and Caribbean'!A159+"$F;@!4;f"</f>
        <v>#VALUE!</v>
      </c>
      <c r="CN409" t="e">
        <f>'Latin America and Caribbean'!B159+"$F;@!4;g"</f>
        <v>#VALUE!</v>
      </c>
      <c r="CO409" t="e">
        <f>'Latin America and Caribbean'!C159+"$F;@!4;h"</f>
        <v>#VALUE!</v>
      </c>
      <c r="CP409" t="e">
        <f>'Latin America and Caribbean'!D159+"$F;@!4;i"</f>
        <v>#VALUE!</v>
      </c>
      <c r="CQ409" t="e">
        <f>'Latin America and Caribbean'!E159+"$F;@!4;j"</f>
        <v>#VALUE!</v>
      </c>
      <c r="CR409" t="e">
        <f>'Latin America and Caribbean'!F159+"$F;@!4;k"</f>
        <v>#VALUE!</v>
      </c>
      <c r="CS409" t="e">
        <f>'Latin America and Caribbean'!G159+"$F;@!4;l"</f>
        <v>#VALUE!</v>
      </c>
      <c r="CT409" t="e">
        <f>'Latin America and Caribbean'!H159+"$F;@!4;m"</f>
        <v>#VALUE!</v>
      </c>
      <c r="CU409" t="e">
        <f>'Latin America and Caribbean'!A160+"$F;@!4;n"</f>
        <v>#VALUE!</v>
      </c>
      <c r="CV409" t="e">
        <f>'Latin America and Caribbean'!B160+"$F;@!4;o"</f>
        <v>#VALUE!</v>
      </c>
      <c r="CW409" t="e">
        <f>'Latin America and Caribbean'!C160+"$F;@!4;p"</f>
        <v>#VALUE!</v>
      </c>
      <c r="CX409" t="e">
        <f>'Latin America and Caribbean'!D160+"$F;@!4;q"</f>
        <v>#VALUE!</v>
      </c>
      <c r="CY409" t="e">
        <f>'Latin America and Caribbean'!E160+"$F;@!4;r"</f>
        <v>#VALUE!</v>
      </c>
      <c r="CZ409" t="e">
        <f>'Latin America and Caribbean'!F160+"$F;@!4;s"</f>
        <v>#VALUE!</v>
      </c>
      <c r="DA409" t="e">
        <f>'Latin America and Caribbean'!G160+"$F;@!4;t"</f>
        <v>#VALUE!</v>
      </c>
      <c r="DB409" t="e">
        <f>'Latin America and Caribbean'!H160+"$F;@!4;u"</f>
        <v>#VALUE!</v>
      </c>
      <c r="DC409" t="e">
        <f>'Latin America and Caribbean'!A161+"$F;@!4;v"</f>
        <v>#VALUE!</v>
      </c>
      <c r="DD409" t="e">
        <f>'Latin America and Caribbean'!B161+"$F;@!4;w"</f>
        <v>#VALUE!</v>
      </c>
      <c r="DE409" t="e">
        <f>'Latin America and Caribbean'!C161+"$F;@!4;x"</f>
        <v>#VALUE!</v>
      </c>
      <c r="DF409" t="e">
        <f>'Latin America and Caribbean'!D161+"$F;@!4;y"</f>
        <v>#VALUE!</v>
      </c>
      <c r="DG409" t="e">
        <f>'Latin America and Caribbean'!E161+"$F;@!4;z"</f>
        <v>#VALUE!</v>
      </c>
      <c r="DH409" t="e">
        <f>'Latin America and Caribbean'!F161+"$F;@!4;{"</f>
        <v>#VALUE!</v>
      </c>
      <c r="DI409" t="e">
        <f>'Latin America and Caribbean'!G161+"$F;@!4;|"</f>
        <v>#VALUE!</v>
      </c>
      <c r="DJ409" t="e">
        <f>'Latin America and Caribbean'!H161+"$F;@!4;}"</f>
        <v>#VALUE!</v>
      </c>
      <c r="DK409" t="e">
        <f>'Latin America and Caribbean'!A162+"$F;@!4;~"</f>
        <v>#VALUE!</v>
      </c>
      <c r="DL409" t="e">
        <f>'Latin America and Caribbean'!B162+"$F;@!4&lt;#"</f>
        <v>#VALUE!</v>
      </c>
      <c r="DM409" t="e">
        <f>'Latin America and Caribbean'!C162+"$F;@!4&lt;$"</f>
        <v>#VALUE!</v>
      </c>
      <c r="DN409" t="e">
        <f>'Latin America and Caribbean'!D162+"$F;@!4&lt;%"</f>
        <v>#VALUE!</v>
      </c>
      <c r="DO409" t="e">
        <f>'Latin America and Caribbean'!E162+"$F;@!4&lt;&amp;"</f>
        <v>#VALUE!</v>
      </c>
      <c r="DP409" t="e">
        <f>'Latin America and Caribbean'!F162+"$F;@!4&lt;'"</f>
        <v>#VALUE!</v>
      </c>
      <c r="DQ409" t="e">
        <f>'Latin America and Caribbean'!G162+"$F;@!4&lt;("</f>
        <v>#VALUE!</v>
      </c>
      <c r="DR409" t="e">
        <f>'Latin America and Caribbean'!H162+"$F;@!4&lt;)"</f>
        <v>#VALUE!</v>
      </c>
      <c r="DS409" t="e">
        <f>'Latin America and Caribbean'!A163+"$F;@!4&lt;."</f>
        <v>#VALUE!</v>
      </c>
      <c r="DT409" t="e">
        <f>'Latin America and Caribbean'!B163+"$F;@!4&lt;/"</f>
        <v>#VALUE!</v>
      </c>
      <c r="DU409" t="e">
        <f>'Latin America and Caribbean'!C163+"$F;@!4&lt;0"</f>
        <v>#VALUE!</v>
      </c>
      <c r="DV409" t="e">
        <f>'Latin America and Caribbean'!D163+"$F;@!4&lt;1"</f>
        <v>#VALUE!</v>
      </c>
      <c r="DW409" t="e">
        <f>'Latin America and Caribbean'!E163+"$F;@!4&lt;2"</f>
        <v>#VALUE!</v>
      </c>
      <c r="DX409" t="e">
        <f>'Latin America and Caribbean'!F163+"$F;@!4&lt;3"</f>
        <v>#VALUE!</v>
      </c>
      <c r="DY409" t="e">
        <f>'Latin America and Caribbean'!G163+"$F;@!4&lt;4"</f>
        <v>#VALUE!</v>
      </c>
      <c r="DZ409" t="e">
        <f>'Latin America and Caribbean'!H163+"$F;@!4&lt;5"</f>
        <v>#VALUE!</v>
      </c>
      <c r="EA409" t="e">
        <f>'Latin America and Caribbean'!A164+"$F;@!4&lt;6"</f>
        <v>#VALUE!</v>
      </c>
      <c r="EB409" t="e">
        <f>'Latin America and Caribbean'!B164+"$F;@!4&lt;7"</f>
        <v>#VALUE!</v>
      </c>
      <c r="EC409" t="e">
        <f>'Latin America and Caribbean'!C164+"$F;@!4&lt;8"</f>
        <v>#VALUE!</v>
      </c>
      <c r="ED409" t="e">
        <f>'Latin America and Caribbean'!D164+"$F;@!4&lt;9"</f>
        <v>#VALUE!</v>
      </c>
      <c r="EE409" t="e">
        <f>'Latin America and Caribbean'!E164+"$F;@!4&lt;:"</f>
        <v>#VALUE!</v>
      </c>
      <c r="EF409" t="e">
        <f>'Latin America and Caribbean'!F164+"$F;@!4&lt;;"</f>
        <v>#VALUE!</v>
      </c>
      <c r="EG409" t="e">
        <f>'Latin America and Caribbean'!G164+"$F;@!4&lt;&lt;"</f>
        <v>#VALUE!</v>
      </c>
      <c r="EH409" t="e">
        <f>'Latin America and Caribbean'!H164+"$F;@!4&lt;="</f>
        <v>#VALUE!</v>
      </c>
      <c r="EI409" t="e">
        <f>'Latin America and Caribbean'!A165+"$F;@!4&lt;&gt;"</f>
        <v>#VALUE!</v>
      </c>
      <c r="EJ409" t="e">
        <f>'Latin America and Caribbean'!B165+"$F;@!4&lt;?"</f>
        <v>#VALUE!</v>
      </c>
      <c r="EK409" t="e">
        <f>'Latin America and Caribbean'!C165+"$F;@!4&lt;@"</f>
        <v>#VALUE!</v>
      </c>
      <c r="EL409" t="e">
        <f>'Latin America and Caribbean'!D165+"$F;@!4&lt;A"</f>
        <v>#VALUE!</v>
      </c>
      <c r="EM409" t="e">
        <f>'Latin America and Caribbean'!E165+"$F;@!4&lt;B"</f>
        <v>#VALUE!</v>
      </c>
      <c r="EN409" t="e">
        <f>'Latin America and Caribbean'!F165+"$F;@!4&lt;C"</f>
        <v>#VALUE!</v>
      </c>
      <c r="EO409" t="e">
        <f>'Latin America and Caribbean'!G165+"$F;@!4&lt;D"</f>
        <v>#VALUE!</v>
      </c>
      <c r="EP409" t="e">
        <f>'Latin America and Caribbean'!H165+"$F;@!4&lt;E"</f>
        <v>#VALUE!</v>
      </c>
      <c r="EQ409" t="e">
        <f>'Latin America and Caribbean'!A166+"$F;@!4&lt;F"</f>
        <v>#VALUE!</v>
      </c>
      <c r="ER409" t="e">
        <f>'Latin America and Caribbean'!B166+"$F;@!4&lt;G"</f>
        <v>#VALUE!</v>
      </c>
      <c r="ES409" t="e">
        <f>'Latin America and Caribbean'!C166+"$F;@!4&lt;H"</f>
        <v>#VALUE!</v>
      </c>
      <c r="ET409" t="e">
        <f>'Latin America and Caribbean'!D166+"$F;@!4&lt;I"</f>
        <v>#VALUE!</v>
      </c>
      <c r="EU409" t="e">
        <f>'Latin America and Caribbean'!E166+"$F;@!4&lt;J"</f>
        <v>#VALUE!</v>
      </c>
      <c r="EV409" t="e">
        <f>'Latin America and Caribbean'!F166+"$F;@!4&lt;K"</f>
        <v>#VALUE!</v>
      </c>
      <c r="EW409" t="e">
        <f>'Latin America and Caribbean'!G166+"$F;@!4&lt;L"</f>
        <v>#VALUE!</v>
      </c>
      <c r="EX409" t="e">
        <f>'Latin America and Caribbean'!H166+"$F;@!4&lt;M"</f>
        <v>#VALUE!</v>
      </c>
      <c r="EY409" t="e">
        <f>'Latin America and Caribbean'!A167+"$F;@!4&lt;N"</f>
        <v>#VALUE!</v>
      </c>
      <c r="EZ409" t="e">
        <f>'Latin America and Caribbean'!B167+"$F;@!4&lt;O"</f>
        <v>#VALUE!</v>
      </c>
      <c r="FA409" t="e">
        <f>'Latin America and Caribbean'!C167+"$F;@!4&lt;P"</f>
        <v>#VALUE!</v>
      </c>
      <c r="FB409" t="e">
        <f>'Latin America and Caribbean'!D167+"$F;@!4&lt;Q"</f>
        <v>#VALUE!</v>
      </c>
      <c r="FC409" t="e">
        <f>'Latin America and Caribbean'!E167+"$F;@!4&lt;R"</f>
        <v>#VALUE!</v>
      </c>
      <c r="FD409" t="e">
        <f>'Latin America and Caribbean'!F167+"$F;@!4&lt;S"</f>
        <v>#VALUE!</v>
      </c>
      <c r="FE409" t="e">
        <f>'Latin America and Caribbean'!G167+"$F;@!4&lt;T"</f>
        <v>#VALUE!</v>
      </c>
      <c r="FF409" t="e">
        <f>'Latin America and Caribbean'!H167+"$F;@!4&lt;U"</f>
        <v>#VALUE!</v>
      </c>
      <c r="FG409" t="e">
        <f>'Latin America and Caribbean'!A168+"$F;@!4&lt;V"</f>
        <v>#VALUE!</v>
      </c>
      <c r="FH409" t="e">
        <f>'Latin America and Caribbean'!B168+"$F;@!4&lt;W"</f>
        <v>#VALUE!</v>
      </c>
      <c r="FI409" t="e">
        <f>'Latin America and Caribbean'!C168+"$F;@!4&lt;X"</f>
        <v>#VALUE!</v>
      </c>
      <c r="FJ409" t="e">
        <f>'Latin America and Caribbean'!D168+"$F;@!4&lt;Y"</f>
        <v>#VALUE!</v>
      </c>
      <c r="FK409" t="e">
        <f>'Latin America and Caribbean'!E168+"$F;@!4&lt;Z"</f>
        <v>#VALUE!</v>
      </c>
      <c r="FL409" t="e">
        <f>'Latin America and Caribbean'!F168+"$F;@!4&lt;["</f>
        <v>#VALUE!</v>
      </c>
      <c r="FM409" t="e">
        <f>'Latin America and Caribbean'!G168+"$F;@!4&lt;\"</f>
        <v>#VALUE!</v>
      </c>
      <c r="FN409" t="e">
        <f>'Latin America and Caribbean'!H168+"$F;@!4&lt;]"</f>
        <v>#VALUE!</v>
      </c>
      <c r="FO409" t="e">
        <f>'Latin America and Caribbean'!A169+"$F;@!4&lt;^"</f>
        <v>#VALUE!</v>
      </c>
      <c r="FP409" t="e">
        <f>'Latin America and Caribbean'!B169+"$F;@!4&lt;_"</f>
        <v>#VALUE!</v>
      </c>
      <c r="FQ409" t="e">
        <f>'Latin America and Caribbean'!C169+"$F;@!4&lt;`"</f>
        <v>#VALUE!</v>
      </c>
      <c r="FR409" t="e">
        <f>'Latin America and Caribbean'!D169+"$F;@!4&lt;a"</f>
        <v>#VALUE!</v>
      </c>
      <c r="FS409" t="e">
        <f>'Latin America and Caribbean'!E169+"$F;@!4&lt;b"</f>
        <v>#VALUE!</v>
      </c>
      <c r="FT409" t="e">
        <f>'Latin America and Caribbean'!F169+"$F;@!4&lt;c"</f>
        <v>#VALUE!</v>
      </c>
      <c r="FU409" t="e">
        <f>'Latin America and Caribbean'!G169+"$F;@!4&lt;d"</f>
        <v>#VALUE!</v>
      </c>
      <c r="FV409" t="e">
        <f>'Latin America and Caribbean'!H169+"$F;@!4&lt;e"</f>
        <v>#VALUE!</v>
      </c>
      <c r="FW409" t="e">
        <f>'Latin America and Caribbean'!A170+"$F;@!4&lt;f"</f>
        <v>#VALUE!</v>
      </c>
      <c r="FX409" t="e">
        <f>'Latin America and Caribbean'!B170+"$F;@!4&lt;g"</f>
        <v>#VALUE!</v>
      </c>
      <c r="FY409" t="e">
        <f>'Latin America and Caribbean'!C170+"$F;@!4&lt;h"</f>
        <v>#VALUE!</v>
      </c>
      <c r="FZ409" t="e">
        <f>'Latin America and Caribbean'!D170+"$F;@!4&lt;i"</f>
        <v>#VALUE!</v>
      </c>
      <c r="GA409" t="e">
        <f>'Latin America and Caribbean'!E170+"$F;@!4&lt;j"</f>
        <v>#VALUE!</v>
      </c>
      <c r="GB409" t="e">
        <f>'Latin America and Caribbean'!F170+"$F;@!4&lt;k"</f>
        <v>#VALUE!</v>
      </c>
      <c r="GC409" t="e">
        <f>'Latin America and Caribbean'!G170+"$F;@!4&lt;l"</f>
        <v>#VALUE!</v>
      </c>
      <c r="GD409" t="e">
        <f>'Latin America and Caribbean'!H170+"$F;@!4&lt;m"</f>
        <v>#VALUE!</v>
      </c>
      <c r="GE409" t="e">
        <f>'Latin America and Caribbean'!A171+"$F;@!4&lt;n"</f>
        <v>#VALUE!</v>
      </c>
      <c r="GF409" t="e">
        <f>'Latin America and Caribbean'!B171+"$F;@!4&lt;o"</f>
        <v>#VALUE!</v>
      </c>
      <c r="GG409" t="e">
        <f>'Latin America and Caribbean'!C171+"$F;@!4&lt;p"</f>
        <v>#VALUE!</v>
      </c>
      <c r="GH409" t="e">
        <f>'Latin America and Caribbean'!D171+"$F;@!4&lt;q"</f>
        <v>#VALUE!</v>
      </c>
      <c r="GI409" t="e">
        <f>'Latin America and Caribbean'!E171+"$F;@!4&lt;r"</f>
        <v>#VALUE!</v>
      </c>
      <c r="GJ409" t="e">
        <f>'Latin America and Caribbean'!F171+"$F;@!4&lt;s"</f>
        <v>#VALUE!</v>
      </c>
      <c r="GK409" t="e">
        <f>'Latin America and Caribbean'!G171+"$F;@!4&lt;t"</f>
        <v>#VALUE!</v>
      </c>
      <c r="GL409" t="e">
        <f>'Latin America and Caribbean'!H171+"$F;@!4&lt;u"</f>
        <v>#VALUE!</v>
      </c>
      <c r="GM409" t="e">
        <f>'Latin America and Caribbean'!A172+"$F;@!4&lt;v"</f>
        <v>#VALUE!</v>
      </c>
      <c r="GN409" t="e">
        <f>'Latin America and Caribbean'!B172+"$F;@!4&lt;w"</f>
        <v>#VALUE!</v>
      </c>
      <c r="GO409" t="e">
        <f>'Latin America and Caribbean'!C172+"$F;@!4&lt;x"</f>
        <v>#VALUE!</v>
      </c>
      <c r="GP409" t="e">
        <f>'Latin America and Caribbean'!D172+"$F;@!4&lt;y"</f>
        <v>#VALUE!</v>
      </c>
      <c r="GQ409" t="e">
        <f>'Latin America and Caribbean'!E172+"$F;@!4&lt;z"</f>
        <v>#VALUE!</v>
      </c>
      <c r="GR409" t="e">
        <f>'Latin America and Caribbean'!F172+"$F;@!4&lt;{"</f>
        <v>#VALUE!</v>
      </c>
      <c r="GS409" t="e">
        <f>'Latin America and Caribbean'!G172+"$F;@!4&lt;|"</f>
        <v>#VALUE!</v>
      </c>
      <c r="GT409" t="e">
        <f>'Latin America and Caribbean'!H172+"$F;@!4&lt;}"</f>
        <v>#VALUE!</v>
      </c>
      <c r="GU409" t="e">
        <f>'Latin America and Caribbean'!A173+"$F;@!4&lt;~"</f>
        <v>#VALUE!</v>
      </c>
      <c r="GV409" t="e">
        <f>'Latin America and Caribbean'!B173+"$F;@!4=#"</f>
        <v>#VALUE!</v>
      </c>
      <c r="GW409" t="e">
        <f>'Latin America and Caribbean'!C173+"$F;@!4=$"</f>
        <v>#VALUE!</v>
      </c>
      <c r="GX409" t="e">
        <f>'Latin America and Caribbean'!D173+"$F;@!4=%"</f>
        <v>#VALUE!</v>
      </c>
      <c r="GY409" t="e">
        <f>'Latin America and Caribbean'!E173+"$F;@!4=&amp;"</f>
        <v>#VALUE!</v>
      </c>
      <c r="GZ409" t="e">
        <f>'Latin America and Caribbean'!F173+"$F;@!4='"</f>
        <v>#VALUE!</v>
      </c>
      <c r="HA409" t="e">
        <f>'Latin America and Caribbean'!G173+"$F;@!4=("</f>
        <v>#VALUE!</v>
      </c>
      <c r="HB409" t="e">
        <f>'Latin America and Caribbean'!H173+"$F;@!4=)"</f>
        <v>#VALUE!</v>
      </c>
      <c r="HC409" t="e">
        <f>'Latin America and Caribbean'!A174+"$F;@!4=."</f>
        <v>#VALUE!</v>
      </c>
      <c r="HD409" t="e">
        <f>'Latin America and Caribbean'!B174+"$F;@!4=/"</f>
        <v>#VALUE!</v>
      </c>
      <c r="HE409" t="e">
        <f>'Latin America and Caribbean'!C174+"$F;@!4=0"</f>
        <v>#VALUE!</v>
      </c>
      <c r="HF409" t="e">
        <f>'Latin America and Caribbean'!D174+"$F;@!4=1"</f>
        <v>#VALUE!</v>
      </c>
      <c r="HG409" t="e">
        <f>'Latin America and Caribbean'!E174+"$F;@!4=2"</f>
        <v>#VALUE!</v>
      </c>
      <c r="HH409" t="e">
        <f>'Latin America and Caribbean'!F174+"$F;@!4=3"</f>
        <v>#VALUE!</v>
      </c>
      <c r="HI409" t="e">
        <f>'Latin America and Caribbean'!G174+"$F;@!4=4"</f>
        <v>#VALUE!</v>
      </c>
      <c r="HJ409" t="e">
        <f>'Latin America and Caribbean'!H174+"$F;@!4=5"</f>
        <v>#VALUE!</v>
      </c>
      <c r="HK409" t="e">
        <f>'Latin America and Caribbean'!A175+"$F;@!4=6"</f>
        <v>#VALUE!</v>
      </c>
      <c r="HL409" t="e">
        <f>'Latin America and Caribbean'!B175+"$F;@!4=7"</f>
        <v>#VALUE!</v>
      </c>
      <c r="HM409" t="e">
        <f>'Latin America and Caribbean'!C175+"$F;@!4=8"</f>
        <v>#VALUE!</v>
      </c>
      <c r="HN409" t="e">
        <f>'Latin America and Caribbean'!D175+"$F;@!4=9"</f>
        <v>#VALUE!</v>
      </c>
      <c r="HO409" t="e">
        <f>'Latin America and Caribbean'!E175+"$F;@!4=:"</f>
        <v>#VALUE!</v>
      </c>
      <c r="HP409" t="e">
        <f>'Latin America and Caribbean'!F175+"$F;@!4=;"</f>
        <v>#VALUE!</v>
      </c>
      <c r="HQ409" t="e">
        <f>'Latin America and Caribbean'!G175+"$F;@!4=&lt;"</f>
        <v>#VALUE!</v>
      </c>
      <c r="HR409" t="e">
        <f>'Latin America and Caribbean'!H175+"$F;@!4=="</f>
        <v>#VALUE!</v>
      </c>
      <c r="HS409" t="e">
        <f>'Latin America and Caribbean'!A176+"$F;@!4=&gt;"</f>
        <v>#VALUE!</v>
      </c>
      <c r="HT409" t="e">
        <f>'Latin America and Caribbean'!B176+"$F;@!4=?"</f>
        <v>#VALUE!</v>
      </c>
      <c r="HU409" t="e">
        <f>'Latin America and Caribbean'!C176+"$F;@!4=@"</f>
        <v>#VALUE!</v>
      </c>
      <c r="HV409" t="e">
        <f>'Latin America and Caribbean'!D176+"$F;@!4=A"</f>
        <v>#VALUE!</v>
      </c>
      <c r="HW409" t="e">
        <f>'Latin America and Caribbean'!E176+"$F;@!4=B"</f>
        <v>#VALUE!</v>
      </c>
      <c r="HX409" t="e">
        <f>'Latin America and Caribbean'!F176+"$F;@!4=C"</f>
        <v>#VALUE!</v>
      </c>
      <c r="HY409" t="e">
        <f>'Latin America and Caribbean'!G176+"$F;@!4=D"</f>
        <v>#VALUE!</v>
      </c>
      <c r="HZ409" t="e">
        <f>'Latin America and Caribbean'!H176+"$F;@!4=E"</f>
        <v>#VALUE!</v>
      </c>
      <c r="IA409" t="e">
        <f>'Latin America and Caribbean'!A177+"$F;@!4=F"</f>
        <v>#VALUE!</v>
      </c>
      <c r="IB409" t="e">
        <f>'Latin America and Caribbean'!B177+"$F;@!4=G"</f>
        <v>#VALUE!</v>
      </c>
      <c r="IC409" t="e">
        <f>'Latin America and Caribbean'!C177+"$F;@!4=H"</f>
        <v>#VALUE!</v>
      </c>
      <c r="ID409" t="e">
        <f>'Latin America and Caribbean'!D177+"$F;@!4=I"</f>
        <v>#VALUE!</v>
      </c>
      <c r="IE409" t="e">
        <f>'Latin America and Caribbean'!E177+"$F;@!4=J"</f>
        <v>#VALUE!</v>
      </c>
      <c r="IF409" t="e">
        <f>'Latin America and Caribbean'!F177+"$F;@!4=K"</f>
        <v>#VALUE!</v>
      </c>
      <c r="IG409" t="e">
        <f>'Latin America and Caribbean'!G177+"$F;@!4=L"</f>
        <v>#VALUE!</v>
      </c>
      <c r="IH409" t="e">
        <f>'Latin America and Caribbean'!H177+"$F;@!4=M"</f>
        <v>#VALUE!</v>
      </c>
      <c r="II409" t="e">
        <f>'Latin America and Caribbean'!A178+"$F;@!4=N"</f>
        <v>#VALUE!</v>
      </c>
      <c r="IJ409" t="e">
        <f>'Latin America and Caribbean'!B178+"$F;@!4=O"</f>
        <v>#VALUE!</v>
      </c>
      <c r="IK409" t="e">
        <f>'Latin America and Caribbean'!C178+"$F;@!4=P"</f>
        <v>#VALUE!</v>
      </c>
      <c r="IL409" t="e">
        <f>'Latin America and Caribbean'!D178+"$F;@!4=Q"</f>
        <v>#VALUE!</v>
      </c>
      <c r="IM409" t="e">
        <f>'Latin America and Caribbean'!E178+"$F;@!4=R"</f>
        <v>#VALUE!</v>
      </c>
      <c r="IN409" t="e">
        <f>'Latin America and Caribbean'!F178+"$F;@!4=S"</f>
        <v>#VALUE!</v>
      </c>
      <c r="IO409" t="e">
        <f>'Latin America and Caribbean'!G178+"$F;@!4=T"</f>
        <v>#VALUE!</v>
      </c>
      <c r="IP409" t="e">
        <f>'Latin America and Caribbean'!H178+"$F;@!4=U"</f>
        <v>#VALUE!</v>
      </c>
      <c r="IQ409" t="e">
        <f>'Latin America and Caribbean'!A179+"$F;@!4=V"</f>
        <v>#VALUE!</v>
      </c>
      <c r="IR409" t="e">
        <f>'Latin America and Caribbean'!B179+"$F;@!4=W"</f>
        <v>#VALUE!</v>
      </c>
      <c r="IS409" t="e">
        <f>'Latin America and Caribbean'!C179+"$F;@!4=X"</f>
        <v>#VALUE!</v>
      </c>
      <c r="IT409" t="e">
        <f>'Latin America and Caribbean'!D179+"$F;@!4=Y"</f>
        <v>#VALUE!</v>
      </c>
      <c r="IU409" t="e">
        <f>'Latin America and Caribbean'!E179+"$F;@!4=Z"</f>
        <v>#VALUE!</v>
      </c>
      <c r="IV409" t="e">
        <f>'Latin America and Caribbean'!F179+"$F;@!4=["</f>
        <v>#VALUE!</v>
      </c>
    </row>
    <row r="410" spans="6:256" x14ac:dyDescent="0.35">
      <c r="F410" t="e">
        <f>'Latin America and Caribbean'!G179+"$F;@!4=\"</f>
        <v>#VALUE!</v>
      </c>
      <c r="G410" t="e">
        <f>'Latin America and Caribbean'!H179+"$F;@!4=]"</f>
        <v>#VALUE!</v>
      </c>
      <c r="H410" t="e">
        <f>'Latin America and Caribbean'!A180+"$F;@!4=^"</f>
        <v>#VALUE!</v>
      </c>
      <c r="I410" t="e">
        <f>'Latin America and Caribbean'!B180+"$F;@!4=_"</f>
        <v>#VALUE!</v>
      </c>
      <c r="J410" t="e">
        <f>'Latin America and Caribbean'!C180+"$F;@!4=`"</f>
        <v>#VALUE!</v>
      </c>
      <c r="K410" t="e">
        <f>'Latin America and Caribbean'!D180+"$F;@!4=a"</f>
        <v>#VALUE!</v>
      </c>
      <c r="L410" t="e">
        <f>'Latin America and Caribbean'!E180+"$F;@!4=b"</f>
        <v>#VALUE!</v>
      </c>
      <c r="M410" t="e">
        <f>'Latin America and Caribbean'!F180+"$F;@!4=c"</f>
        <v>#VALUE!</v>
      </c>
      <c r="N410" t="e">
        <f>'Latin America and Caribbean'!G180+"$F;@!4=d"</f>
        <v>#VALUE!</v>
      </c>
      <c r="O410" t="e">
        <f>'Latin America and Caribbean'!H180+"$F;@!4=e"</f>
        <v>#VALUE!</v>
      </c>
      <c r="P410" t="e">
        <f>'Latin America and Caribbean'!A181+"$F;@!4=f"</f>
        <v>#VALUE!</v>
      </c>
      <c r="Q410" t="e">
        <f>'Latin America and Caribbean'!B181+"$F;@!4=g"</f>
        <v>#VALUE!</v>
      </c>
      <c r="R410" t="e">
        <f>'Latin America and Caribbean'!C181+"$F;@!4=h"</f>
        <v>#VALUE!</v>
      </c>
      <c r="S410" t="e">
        <f>'Latin America and Caribbean'!D181+"$F;@!4=i"</f>
        <v>#VALUE!</v>
      </c>
      <c r="T410" t="e">
        <f>'Latin America and Caribbean'!E181+"$F;@!4=j"</f>
        <v>#VALUE!</v>
      </c>
      <c r="U410" t="e">
        <f>'Latin America and Caribbean'!F181+"$F;@!4=k"</f>
        <v>#VALUE!</v>
      </c>
      <c r="V410" t="e">
        <f>'Latin America and Caribbean'!G181+"$F;@!4=l"</f>
        <v>#VALUE!</v>
      </c>
      <c r="W410" t="e">
        <f>'Latin America and Caribbean'!H181+"$F;@!4=m"</f>
        <v>#VALUE!</v>
      </c>
      <c r="X410" t="e">
        <f>'Latin America and Caribbean'!A182+"$F;@!4=n"</f>
        <v>#VALUE!</v>
      </c>
      <c r="Y410" t="e">
        <f>'Latin America and Caribbean'!B182+"$F;@!4=o"</f>
        <v>#VALUE!</v>
      </c>
      <c r="Z410" t="e">
        <f>'Latin America and Caribbean'!C182+"$F;@!4=p"</f>
        <v>#VALUE!</v>
      </c>
      <c r="AA410" t="e">
        <f>'Latin America and Caribbean'!D182+"$F;@!4=q"</f>
        <v>#VALUE!</v>
      </c>
      <c r="AB410" t="e">
        <f>'Latin America and Caribbean'!E182+"$F;@!4=r"</f>
        <v>#VALUE!</v>
      </c>
      <c r="AC410" t="e">
        <f>'Latin America and Caribbean'!F182+"$F;@!4=s"</f>
        <v>#VALUE!</v>
      </c>
      <c r="AD410" t="e">
        <f>'Latin America and Caribbean'!G182+"$F;@!4=t"</f>
        <v>#VALUE!</v>
      </c>
      <c r="AE410" t="e">
        <f>'Latin America and Caribbean'!H182+"$F;@!4=u"</f>
        <v>#VALUE!</v>
      </c>
      <c r="AF410" t="e">
        <f>'Latin America and Caribbean'!A183+"$F;@!4=v"</f>
        <v>#VALUE!</v>
      </c>
      <c r="AG410" t="e">
        <f>'Latin America and Caribbean'!B183+"$F;@!4=w"</f>
        <v>#VALUE!</v>
      </c>
      <c r="AH410" t="e">
        <f>'Latin America and Caribbean'!C183+"$F;@!4=x"</f>
        <v>#VALUE!</v>
      </c>
      <c r="AI410" t="e">
        <f>'Latin America and Caribbean'!D183+"$F;@!4=y"</f>
        <v>#VALUE!</v>
      </c>
      <c r="AJ410" t="e">
        <f>'Latin America and Caribbean'!E183+"$F;@!4=z"</f>
        <v>#VALUE!</v>
      </c>
      <c r="AK410" t="e">
        <f>'Latin America and Caribbean'!F183+"$F;@!4={"</f>
        <v>#VALUE!</v>
      </c>
      <c r="AL410" t="e">
        <f>'Latin America and Caribbean'!G183+"$F;@!4=|"</f>
        <v>#VALUE!</v>
      </c>
      <c r="AM410" t="e">
        <f>'Latin America and Caribbean'!H183+"$F;@!4=}"</f>
        <v>#VALUE!</v>
      </c>
      <c r="AN410" t="e">
        <f>'Latin America and Caribbean'!A184+"$F;@!4=~"</f>
        <v>#VALUE!</v>
      </c>
      <c r="AO410" t="e">
        <f>'Latin America and Caribbean'!B184+"$F;@!4&gt;#"</f>
        <v>#VALUE!</v>
      </c>
      <c r="AP410" t="e">
        <f>'Latin America and Caribbean'!C184+"$F;@!4&gt;$"</f>
        <v>#VALUE!</v>
      </c>
      <c r="AQ410" t="e">
        <f>'Latin America and Caribbean'!D184+"$F;@!4&gt;%"</f>
        <v>#VALUE!</v>
      </c>
      <c r="AR410" t="e">
        <f>'Latin America and Caribbean'!E184+"$F;@!4&gt;&amp;"</f>
        <v>#VALUE!</v>
      </c>
      <c r="AS410" t="e">
        <f>'Latin America and Caribbean'!F184+"$F;@!4&gt;'"</f>
        <v>#VALUE!</v>
      </c>
      <c r="AT410" t="e">
        <f>'Latin America and Caribbean'!G184+"$F;@!4&gt;("</f>
        <v>#VALUE!</v>
      </c>
      <c r="AU410" t="e">
        <f>'Latin America and Caribbean'!H184+"$F;@!4&gt;)"</f>
        <v>#VALUE!</v>
      </c>
      <c r="AV410" t="e">
        <f>'Latin America and Caribbean'!A185+"$F;@!4&gt;."</f>
        <v>#VALUE!</v>
      </c>
      <c r="AW410" t="e">
        <f>'Latin America and Caribbean'!B185+"$F;@!4&gt;/"</f>
        <v>#VALUE!</v>
      </c>
      <c r="AX410" t="e">
        <f>'Latin America and Caribbean'!C185+"$F;@!4&gt;0"</f>
        <v>#VALUE!</v>
      </c>
      <c r="AY410" t="e">
        <f>'Latin America and Caribbean'!D185+"$F;@!4&gt;1"</f>
        <v>#VALUE!</v>
      </c>
      <c r="AZ410" t="e">
        <f>'Latin America and Caribbean'!E185+"$F;@!4&gt;2"</f>
        <v>#VALUE!</v>
      </c>
      <c r="BA410" t="e">
        <f>'Latin America and Caribbean'!F185+"$F;@!4&gt;3"</f>
        <v>#VALUE!</v>
      </c>
      <c r="BB410" t="e">
        <f>'Latin America and Caribbean'!G185+"$F;@!4&gt;4"</f>
        <v>#VALUE!</v>
      </c>
      <c r="BC410" t="e">
        <f>'Latin America and Caribbean'!H185+"$F;@!4&gt;5"</f>
        <v>#VALUE!</v>
      </c>
      <c r="BD410" t="e">
        <f>'Latin America and Caribbean'!A186+"$F;@!4&gt;6"</f>
        <v>#VALUE!</v>
      </c>
      <c r="BE410" t="e">
        <f>'Latin America and Caribbean'!B186+"$F;@!4&gt;7"</f>
        <v>#VALUE!</v>
      </c>
      <c r="BF410" t="e">
        <f>'Latin America and Caribbean'!C186+"$F;@!4&gt;8"</f>
        <v>#VALUE!</v>
      </c>
      <c r="BG410" t="e">
        <f>'Latin America and Caribbean'!D186+"$F;@!4&gt;9"</f>
        <v>#VALUE!</v>
      </c>
      <c r="BH410" t="e">
        <f>'Latin America and Caribbean'!E186+"$F;@!4&gt;:"</f>
        <v>#VALUE!</v>
      </c>
      <c r="BI410" t="e">
        <f>'Latin America and Caribbean'!F186+"$F;@!4&gt;;"</f>
        <v>#VALUE!</v>
      </c>
      <c r="BJ410" t="e">
        <f>'Latin America and Caribbean'!G186+"$F;@!4&gt;&lt;"</f>
        <v>#VALUE!</v>
      </c>
      <c r="BK410" t="e">
        <f>'Latin America and Caribbean'!H186+"$F;@!4&gt;="</f>
        <v>#VALUE!</v>
      </c>
      <c r="BL410" t="e">
        <f>'Latin America and Caribbean'!A187+"$F;@!4&gt;&gt;"</f>
        <v>#VALUE!</v>
      </c>
      <c r="BM410" t="e">
        <f>'Latin America and Caribbean'!B187+"$F;@!4&gt;?"</f>
        <v>#VALUE!</v>
      </c>
      <c r="BN410" t="e">
        <f>'Latin America and Caribbean'!C187+"$F;@!4&gt;@"</f>
        <v>#VALUE!</v>
      </c>
      <c r="BO410" t="e">
        <f>'Latin America and Caribbean'!D187+"$F;@!4&gt;A"</f>
        <v>#VALUE!</v>
      </c>
      <c r="BP410" t="e">
        <f>'Latin America and Caribbean'!E187+"$F;@!4&gt;B"</f>
        <v>#VALUE!</v>
      </c>
      <c r="BQ410" t="e">
        <f>'Latin America and Caribbean'!F187+"$F;@!4&gt;C"</f>
        <v>#VALUE!</v>
      </c>
      <c r="BR410" t="e">
        <f>'Latin America and Caribbean'!G187+"$F;@!4&gt;D"</f>
        <v>#VALUE!</v>
      </c>
      <c r="BS410" t="e">
        <f>'Latin America and Caribbean'!H187+"$F;@!4&gt;E"</f>
        <v>#VALUE!</v>
      </c>
      <c r="BT410" t="e">
        <f>'Latin America and Caribbean'!A188+"$F;@!4&gt;F"</f>
        <v>#VALUE!</v>
      </c>
      <c r="BU410" t="e">
        <f>'Latin America and Caribbean'!B188+"$F;@!4&gt;G"</f>
        <v>#VALUE!</v>
      </c>
      <c r="BV410" t="e">
        <f>'Latin America and Caribbean'!C188+"$F;@!4&gt;H"</f>
        <v>#VALUE!</v>
      </c>
      <c r="BW410" t="e">
        <f>'Latin America and Caribbean'!D188+"$F;@!4&gt;I"</f>
        <v>#VALUE!</v>
      </c>
      <c r="BX410" t="e">
        <f>'Latin America and Caribbean'!E188+"$F;@!4&gt;J"</f>
        <v>#VALUE!</v>
      </c>
      <c r="BY410" t="e">
        <f>'Latin America and Caribbean'!F188+"$F;@!4&gt;K"</f>
        <v>#VALUE!</v>
      </c>
      <c r="BZ410" t="e">
        <f>'Latin America and Caribbean'!G188+"$F;@!4&gt;L"</f>
        <v>#VALUE!</v>
      </c>
      <c r="CA410" t="e">
        <f>'Latin America and Caribbean'!H188+"$F;@!4&gt;M"</f>
        <v>#VALUE!</v>
      </c>
      <c r="CB410" t="e">
        <f>'Latin America and Caribbean'!A189+"$F;@!4&gt;N"</f>
        <v>#VALUE!</v>
      </c>
      <c r="CC410" t="e">
        <f>'Latin America and Caribbean'!B189+"$F;@!4&gt;O"</f>
        <v>#VALUE!</v>
      </c>
      <c r="CD410" t="e">
        <f>'Latin America and Caribbean'!C189+"$F;@!4&gt;P"</f>
        <v>#VALUE!</v>
      </c>
      <c r="CE410" t="e">
        <f>'Latin America and Caribbean'!D189+"$F;@!4&gt;Q"</f>
        <v>#VALUE!</v>
      </c>
      <c r="CF410" t="e">
        <f>'Latin America and Caribbean'!E189+"$F;@!4&gt;R"</f>
        <v>#VALUE!</v>
      </c>
      <c r="CG410" t="e">
        <f>'Latin America and Caribbean'!F189+"$F;@!4&gt;S"</f>
        <v>#VALUE!</v>
      </c>
      <c r="CH410" t="e">
        <f>'Latin America and Caribbean'!G189+"$F;@!4&gt;T"</f>
        <v>#VALUE!</v>
      </c>
      <c r="CI410" t="e">
        <f>'Latin America and Caribbean'!H189+"$F;@!4&gt;U"</f>
        <v>#VALUE!</v>
      </c>
      <c r="CJ410" t="e">
        <f>'Latin America and Caribbean'!A190+"$F;@!4&gt;V"</f>
        <v>#VALUE!</v>
      </c>
      <c r="CK410" t="e">
        <f>'Latin America and Caribbean'!B190+"$F;@!4&gt;W"</f>
        <v>#VALUE!</v>
      </c>
      <c r="CL410" t="e">
        <f>'Latin America and Caribbean'!C190+"$F;@!4&gt;X"</f>
        <v>#VALUE!</v>
      </c>
      <c r="CM410" t="e">
        <f>'Latin America and Caribbean'!D190+"$F;@!4&gt;Y"</f>
        <v>#VALUE!</v>
      </c>
      <c r="CN410" t="e">
        <f>'Latin America and Caribbean'!E190+"$F;@!4&gt;Z"</f>
        <v>#VALUE!</v>
      </c>
      <c r="CO410" t="e">
        <f>'Latin America and Caribbean'!F190+"$F;@!4&gt;["</f>
        <v>#VALUE!</v>
      </c>
      <c r="CP410" t="e">
        <f>'Latin America and Caribbean'!G190+"$F;@!4&gt;\"</f>
        <v>#VALUE!</v>
      </c>
      <c r="CQ410" t="e">
        <f>'Latin America and Caribbean'!H190+"$F;@!4&gt;]"</f>
        <v>#VALUE!</v>
      </c>
      <c r="CR410" t="e">
        <f>'Latin America and Caribbean'!A191+"$F;@!4&gt;^"</f>
        <v>#VALUE!</v>
      </c>
      <c r="CS410" t="e">
        <f>'Latin America and Caribbean'!B191+"$F;@!4&gt;_"</f>
        <v>#VALUE!</v>
      </c>
      <c r="CT410" t="e">
        <f>'Latin America and Caribbean'!C191+"$F;@!4&gt;`"</f>
        <v>#VALUE!</v>
      </c>
      <c r="CU410" t="e">
        <f>'Latin America and Caribbean'!D191+"$F;@!4&gt;a"</f>
        <v>#VALUE!</v>
      </c>
      <c r="CV410" t="e">
        <f>'Latin America and Caribbean'!E191+"$F;@!4&gt;b"</f>
        <v>#VALUE!</v>
      </c>
      <c r="CW410" t="e">
        <f>'Latin America and Caribbean'!F191+"$F;@!4&gt;c"</f>
        <v>#VALUE!</v>
      </c>
      <c r="CX410" t="e">
        <f>'Latin America and Caribbean'!G191+"$F;@!4&gt;d"</f>
        <v>#VALUE!</v>
      </c>
      <c r="CY410" t="e">
        <f>'Latin America and Caribbean'!H191+"$F;@!4&gt;e"</f>
        <v>#VALUE!</v>
      </c>
      <c r="CZ410" t="e">
        <f>'Latin America and Caribbean'!A192+"$F;@!4&gt;f"</f>
        <v>#VALUE!</v>
      </c>
      <c r="DA410" t="e">
        <f>'Latin America and Caribbean'!B192+"$F;@!4&gt;g"</f>
        <v>#VALUE!</v>
      </c>
      <c r="DB410" t="e">
        <f>'Latin America and Caribbean'!C192+"$F;@!4&gt;h"</f>
        <v>#VALUE!</v>
      </c>
      <c r="DC410" t="e">
        <f>'Latin America and Caribbean'!D192+"$F;@!4&gt;i"</f>
        <v>#VALUE!</v>
      </c>
      <c r="DD410" t="e">
        <f>'Latin America and Caribbean'!E192+"$F;@!4&gt;j"</f>
        <v>#VALUE!</v>
      </c>
      <c r="DE410" t="e">
        <f>'Latin America and Caribbean'!F192+"$F;@!4&gt;k"</f>
        <v>#VALUE!</v>
      </c>
      <c r="DF410" t="e">
        <f>'Latin America and Caribbean'!G192+"$F;@!4&gt;l"</f>
        <v>#VALUE!</v>
      </c>
      <c r="DG410" t="e">
        <f>'Latin America and Caribbean'!H192+"$F;@!4&gt;m"</f>
        <v>#VALUE!</v>
      </c>
      <c r="DH410" t="e">
        <f>'Latin America and Caribbean'!A193+"$F;@!4&gt;n"</f>
        <v>#VALUE!</v>
      </c>
      <c r="DI410" t="e">
        <f>'Latin America and Caribbean'!B193+"$F;@!4&gt;o"</f>
        <v>#VALUE!</v>
      </c>
      <c r="DJ410" t="e">
        <f>'Latin America and Caribbean'!C193+"$F;@!4&gt;p"</f>
        <v>#VALUE!</v>
      </c>
      <c r="DK410" t="e">
        <f>'Latin America and Caribbean'!D193+"$F;@!4&gt;q"</f>
        <v>#VALUE!</v>
      </c>
      <c r="DL410" t="e">
        <f>'Latin America and Caribbean'!E193+"$F;@!4&gt;r"</f>
        <v>#VALUE!</v>
      </c>
      <c r="DM410" t="e">
        <f>'Latin America and Caribbean'!F193+"$F;@!4&gt;s"</f>
        <v>#VALUE!</v>
      </c>
      <c r="DN410" t="e">
        <f>'Latin America and Caribbean'!G193+"$F;@!4&gt;t"</f>
        <v>#VALUE!</v>
      </c>
      <c r="DO410" t="e">
        <f>'Latin America and Caribbean'!H193+"$F;@!4&gt;u"</f>
        <v>#VALUE!</v>
      </c>
      <c r="DP410" t="e">
        <f>'Latin America and Caribbean'!A194+"$F;@!4&gt;v"</f>
        <v>#VALUE!</v>
      </c>
      <c r="DQ410" t="e">
        <f>'Latin America and Caribbean'!B194+"$F;@!4&gt;w"</f>
        <v>#VALUE!</v>
      </c>
      <c r="DR410" t="e">
        <f>'Latin America and Caribbean'!C194+"$F;@!4&gt;x"</f>
        <v>#VALUE!</v>
      </c>
      <c r="DS410" t="e">
        <f>'Latin America and Caribbean'!D194+"$F;@!4&gt;y"</f>
        <v>#VALUE!</v>
      </c>
      <c r="DT410" t="e">
        <f>'Latin America and Caribbean'!E194+"$F;@!4&gt;z"</f>
        <v>#VALUE!</v>
      </c>
      <c r="DU410" t="e">
        <f>'Latin America and Caribbean'!F194+"$F;@!4&gt;{"</f>
        <v>#VALUE!</v>
      </c>
      <c r="DV410" t="e">
        <f>'Latin America and Caribbean'!G194+"$F;@!4&gt;|"</f>
        <v>#VALUE!</v>
      </c>
      <c r="DW410" t="e">
        <f>'Latin America and Caribbean'!H194+"$F;@!4&gt;}"</f>
        <v>#VALUE!</v>
      </c>
      <c r="DX410" t="e">
        <f>'Latin America and Caribbean'!A195+"$F;@!4&gt;~"</f>
        <v>#VALUE!</v>
      </c>
      <c r="DY410" t="e">
        <f>'Latin America and Caribbean'!B195+"$F;@!4?#"</f>
        <v>#VALUE!</v>
      </c>
      <c r="DZ410" t="e">
        <f>'Latin America and Caribbean'!C195+"$F;@!4?$"</f>
        <v>#VALUE!</v>
      </c>
      <c r="EA410" t="e">
        <f>'Latin America and Caribbean'!D195+"$F;@!4?%"</f>
        <v>#VALUE!</v>
      </c>
      <c r="EB410" t="e">
        <f>'Latin America and Caribbean'!E195+"$F;@!4?&amp;"</f>
        <v>#VALUE!</v>
      </c>
      <c r="EC410" t="e">
        <f>'Latin America and Caribbean'!F195+"$F;@!4?'"</f>
        <v>#VALUE!</v>
      </c>
      <c r="ED410" t="e">
        <f>'Latin America and Caribbean'!G195+"$F;@!4?("</f>
        <v>#VALUE!</v>
      </c>
      <c r="EE410" t="e">
        <f>'Latin America and Caribbean'!H195+"$F;@!4?)"</f>
        <v>#VALUE!</v>
      </c>
      <c r="EF410" t="e">
        <f>'Latin America and Caribbean'!A196+"$F;@!4?."</f>
        <v>#VALUE!</v>
      </c>
      <c r="EG410" t="e">
        <f>'Latin America and Caribbean'!B196+"$F;@!4?/"</f>
        <v>#VALUE!</v>
      </c>
      <c r="EH410" t="e">
        <f>'Latin America and Caribbean'!C196+"$F;@!4?0"</f>
        <v>#VALUE!</v>
      </c>
      <c r="EI410" t="e">
        <f>'Latin America and Caribbean'!D196+"$F;@!4?1"</f>
        <v>#VALUE!</v>
      </c>
      <c r="EJ410" t="e">
        <f>'Latin America and Caribbean'!E196+"$F;@!4?2"</f>
        <v>#VALUE!</v>
      </c>
      <c r="EK410" t="e">
        <f>'Latin America and Caribbean'!F196+"$F;@!4?3"</f>
        <v>#VALUE!</v>
      </c>
      <c r="EL410" t="e">
        <f>'Latin America and Caribbean'!G196+"$F;@!4?4"</f>
        <v>#VALUE!</v>
      </c>
      <c r="EM410" t="e">
        <f>'Latin America and Caribbean'!H196+"$F;@!4?5"</f>
        <v>#VALUE!</v>
      </c>
      <c r="EN410" t="e">
        <f>'Latin America and Caribbean'!A197+"$F;@!4?6"</f>
        <v>#VALUE!</v>
      </c>
      <c r="EO410" t="e">
        <f>'Latin America and Caribbean'!B197+"$F;@!4?7"</f>
        <v>#VALUE!</v>
      </c>
      <c r="EP410" t="e">
        <f>'Latin America and Caribbean'!C197+"$F;@!4?8"</f>
        <v>#VALUE!</v>
      </c>
      <c r="EQ410" t="e">
        <f>'Latin America and Caribbean'!D197+"$F;@!4?9"</f>
        <v>#VALUE!</v>
      </c>
      <c r="ER410" t="e">
        <f>'Latin America and Caribbean'!E197+"$F;@!4?:"</f>
        <v>#VALUE!</v>
      </c>
      <c r="ES410" t="e">
        <f>'Latin America and Caribbean'!F197+"$F;@!4?;"</f>
        <v>#VALUE!</v>
      </c>
      <c r="ET410" t="e">
        <f>'Latin America and Caribbean'!G197+"$F;@!4?&lt;"</f>
        <v>#VALUE!</v>
      </c>
      <c r="EU410" t="e">
        <f>'Latin America and Caribbean'!H197+"$F;@!4?="</f>
        <v>#VALUE!</v>
      </c>
      <c r="EV410" t="e">
        <f>'Latin America and Caribbean'!A198+"$F;@!4?&gt;"</f>
        <v>#VALUE!</v>
      </c>
      <c r="EW410" t="e">
        <f>'Latin America and Caribbean'!B198+"$F;@!4??"</f>
        <v>#VALUE!</v>
      </c>
      <c r="EX410" t="e">
        <f>'Latin America and Caribbean'!C198+"$F;@!4?@"</f>
        <v>#VALUE!</v>
      </c>
      <c r="EY410" t="e">
        <f>'Latin America and Caribbean'!D198+"$F;@!4?A"</f>
        <v>#VALUE!</v>
      </c>
      <c r="EZ410" t="e">
        <f>'Latin America and Caribbean'!E198+"$F;@!4?B"</f>
        <v>#VALUE!</v>
      </c>
      <c r="FA410" t="e">
        <f>'Latin America and Caribbean'!F198+"$F;@!4?C"</f>
        <v>#VALUE!</v>
      </c>
      <c r="FB410" t="e">
        <f>'Latin America and Caribbean'!G198+"$F;@!4?D"</f>
        <v>#VALUE!</v>
      </c>
      <c r="FC410" t="e">
        <f>'Latin America and Caribbean'!H198+"$F;@!4?E"</f>
        <v>#VALUE!</v>
      </c>
      <c r="FD410" t="e">
        <f>'Latin America and Caribbean'!A199+"$F;@!4?F"</f>
        <v>#VALUE!</v>
      </c>
      <c r="FE410" t="e">
        <f>'Latin America and Caribbean'!B199+"$F;@!4?G"</f>
        <v>#VALUE!</v>
      </c>
      <c r="FF410" t="e">
        <f>'Latin America and Caribbean'!C199+"$F;@!4?H"</f>
        <v>#VALUE!</v>
      </c>
      <c r="FG410" t="e">
        <f>'Latin America and Caribbean'!D199+"$F;@!4?I"</f>
        <v>#VALUE!</v>
      </c>
      <c r="FH410" t="e">
        <f>'Latin America and Caribbean'!E199+"$F;@!4?J"</f>
        <v>#VALUE!</v>
      </c>
      <c r="FI410" t="e">
        <f>'Latin America and Caribbean'!F199+"$F;@!4?K"</f>
        <v>#VALUE!</v>
      </c>
      <c r="FJ410" t="e">
        <f>'Latin America and Caribbean'!G199+"$F;@!4?L"</f>
        <v>#VALUE!</v>
      </c>
      <c r="FK410" t="e">
        <f>'Latin America and Caribbean'!H199+"$F;@!4?M"</f>
        <v>#VALUE!</v>
      </c>
      <c r="FL410" t="e">
        <f>'Latin America and Caribbean'!A200+"$F;@!4?N"</f>
        <v>#VALUE!</v>
      </c>
      <c r="FM410" t="e">
        <f>'Latin America and Caribbean'!B200+"$F;@!4?O"</f>
        <v>#VALUE!</v>
      </c>
      <c r="FN410" t="e">
        <f>'Latin America and Caribbean'!C200+"$F;@!4?P"</f>
        <v>#VALUE!</v>
      </c>
      <c r="FO410" t="e">
        <f>'Latin America and Caribbean'!D200+"$F;@!4?Q"</f>
        <v>#VALUE!</v>
      </c>
      <c r="FP410" t="e">
        <f>'Latin America and Caribbean'!E200+"$F;@!4?R"</f>
        <v>#VALUE!</v>
      </c>
      <c r="FQ410" t="e">
        <f>'Latin America and Caribbean'!F200+"$F;@!4?S"</f>
        <v>#VALUE!</v>
      </c>
      <c r="FR410" t="e">
        <f>'Latin America and Caribbean'!G200+"$F;@!4?T"</f>
        <v>#VALUE!</v>
      </c>
      <c r="FS410" t="e">
        <f>'Latin America and Caribbean'!H200+"$F;@!4?U"</f>
        <v>#VALUE!</v>
      </c>
      <c r="FT410" t="e">
        <f>'Latin America and Caribbean'!A201+"$F;@!4?V"</f>
        <v>#VALUE!</v>
      </c>
      <c r="FU410" t="e">
        <f>'Latin America and Caribbean'!B201+"$F;@!4?W"</f>
        <v>#VALUE!</v>
      </c>
      <c r="FV410" t="e">
        <f>'Latin America and Caribbean'!C201+"$F;@!4?X"</f>
        <v>#VALUE!</v>
      </c>
      <c r="FW410" t="e">
        <f>'Latin America and Caribbean'!D201+"$F;@!4?Y"</f>
        <v>#VALUE!</v>
      </c>
      <c r="FX410" t="e">
        <f>'Latin America and Caribbean'!E201+"$F;@!4?Z"</f>
        <v>#VALUE!</v>
      </c>
      <c r="FY410" t="e">
        <f>'Latin America and Caribbean'!F201+"$F;@!4?["</f>
        <v>#VALUE!</v>
      </c>
      <c r="FZ410" t="e">
        <f>'Latin America and Caribbean'!G201+"$F;@!4?\"</f>
        <v>#VALUE!</v>
      </c>
      <c r="GA410" t="e">
        <f>'Latin America and Caribbean'!H201+"$F;@!4?]"</f>
        <v>#VALUE!</v>
      </c>
      <c r="GB410" t="e">
        <f>'Latin America and Caribbean'!A202+"$F;@!4?^"</f>
        <v>#VALUE!</v>
      </c>
      <c r="GC410" t="e">
        <f>'Latin America and Caribbean'!B202+"$F;@!4?_"</f>
        <v>#VALUE!</v>
      </c>
      <c r="GD410" t="e">
        <f>'Latin America and Caribbean'!C202+"$F;@!4?`"</f>
        <v>#VALUE!</v>
      </c>
      <c r="GE410" t="e">
        <f>'Latin America and Caribbean'!D202+"$F;@!4?a"</f>
        <v>#VALUE!</v>
      </c>
      <c r="GF410" t="e">
        <f>'Latin America and Caribbean'!E202+"$F;@!4?b"</f>
        <v>#VALUE!</v>
      </c>
      <c r="GG410" t="e">
        <f>'Latin America and Caribbean'!F202+"$F;@!4?c"</f>
        <v>#VALUE!</v>
      </c>
      <c r="GH410" t="e">
        <f>'Latin America and Caribbean'!G202+"$F;@!4?d"</f>
        <v>#VALUE!</v>
      </c>
      <c r="GI410" t="e">
        <f>'Latin America and Caribbean'!H202+"$F;@!4?e"</f>
        <v>#VALUE!</v>
      </c>
      <c r="GJ410" t="e">
        <f>'Latin America and Caribbean'!A203+"$F;@!4?f"</f>
        <v>#VALUE!</v>
      </c>
      <c r="GK410" t="e">
        <f>'Latin America and Caribbean'!B203+"$F;@!4?g"</f>
        <v>#VALUE!</v>
      </c>
      <c r="GL410" t="e">
        <f>'Latin America and Caribbean'!C203+"$F;@!4?h"</f>
        <v>#VALUE!</v>
      </c>
      <c r="GM410" t="e">
        <f>'Latin America and Caribbean'!D203+"$F;@!4?i"</f>
        <v>#VALUE!</v>
      </c>
      <c r="GN410" t="e">
        <f>'Latin America and Caribbean'!E203+"$F;@!4?j"</f>
        <v>#VALUE!</v>
      </c>
      <c r="GO410" t="e">
        <f>'Latin America and Caribbean'!F203+"$F;@!4?k"</f>
        <v>#VALUE!</v>
      </c>
      <c r="GP410" t="e">
        <f>'Latin America and Caribbean'!G203+"$F;@!4?l"</f>
        <v>#VALUE!</v>
      </c>
      <c r="GQ410" t="e">
        <f>'Latin America and Caribbean'!H203+"$F;@!4?m"</f>
        <v>#VALUE!</v>
      </c>
      <c r="GR410" t="e">
        <f>'Latin America and Caribbean'!A204+"$F;@!4?n"</f>
        <v>#VALUE!</v>
      </c>
      <c r="GS410" t="e">
        <f>'Latin America and Caribbean'!B204+"$F;@!4?o"</f>
        <v>#VALUE!</v>
      </c>
      <c r="GT410" t="e">
        <f>'Latin America and Caribbean'!C204+"$F;@!4?p"</f>
        <v>#VALUE!</v>
      </c>
      <c r="GU410" t="e">
        <f>'Latin America and Caribbean'!D204+"$F;@!4?q"</f>
        <v>#VALUE!</v>
      </c>
      <c r="GV410" t="e">
        <f>'Latin America and Caribbean'!E204+"$F;@!4?r"</f>
        <v>#VALUE!</v>
      </c>
      <c r="GW410" t="e">
        <f>'Latin America and Caribbean'!F204+"$F;@!4?s"</f>
        <v>#VALUE!</v>
      </c>
      <c r="GX410" t="e">
        <f>'Latin America and Caribbean'!G204+"$F;@!4?t"</f>
        <v>#VALUE!</v>
      </c>
      <c r="GY410" t="e">
        <f>'Latin America and Caribbean'!H204+"$F;@!4?u"</f>
        <v>#VALUE!</v>
      </c>
      <c r="GZ410" t="e">
        <f>'Latin America and Caribbean'!A205+"$F;@!4?v"</f>
        <v>#VALUE!</v>
      </c>
      <c r="HA410" t="e">
        <f>'Latin America and Caribbean'!B205+"$F;@!4?w"</f>
        <v>#VALUE!</v>
      </c>
      <c r="HB410" t="e">
        <f>'Latin America and Caribbean'!C205+"$F;@!4?x"</f>
        <v>#VALUE!</v>
      </c>
      <c r="HC410" t="e">
        <f>'Latin America and Caribbean'!D205+"$F;@!4?y"</f>
        <v>#VALUE!</v>
      </c>
      <c r="HD410" t="e">
        <f>'Latin America and Caribbean'!E205+"$F;@!4?z"</f>
        <v>#VALUE!</v>
      </c>
      <c r="HE410" t="e">
        <f>'Latin America and Caribbean'!F205+"$F;@!4?{"</f>
        <v>#VALUE!</v>
      </c>
      <c r="HF410" t="e">
        <f>'Latin America and Caribbean'!G205+"$F;@!4?|"</f>
        <v>#VALUE!</v>
      </c>
      <c r="HG410" t="e">
        <f>'Latin America and Caribbean'!H205+"$F;@!4?}"</f>
        <v>#VALUE!</v>
      </c>
      <c r="HH410" t="e">
        <f>'Latin America and Caribbean'!A206+"$F;@!4?~"</f>
        <v>#VALUE!</v>
      </c>
      <c r="HI410" t="e">
        <f>'Latin America and Caribbean'!B206+"$F;@!4@#"</f>
        <v>#VALUE!</v>
      </c>
      <c r="HJ410" t="e">
        <f>'Latin America and Caribbean'!C206+"$F;@!4@$"</f>
        <v>#VALUE!</v>
      </c>
      <c r="HK410" t="e">
        <f>'Latin America and Caribbean'!D206+"$F;@!4@%"</f>
        <v>#VALUE!</v>
      </c>
      <c r="HL410" t="e">
        <f>'Latin America and Caribbean'!E206+"$F;@!4@&amp;"</f>
        <v>#VALUE!</v>
      </c>
      <c r="HM410" t="e">
        <f>'Latin America and Caribbean'!F206+"$F;@!4@'"</f>
        <v>#VALUE!</v>
      </c>
      <c r="HN410" t="e">
        <f>'Latin America and Caribbean'!G206+"$F;@!4@("</f>
        <v>#VALUE!</v>
      </c>
      <c r="HO410" t="e">
        <f>'Latin America and Caribbean'!H206+"$F;@!4@)"</f>
        <v>#VALUE!</v>
      </c>
      <c r="HP410" t="e">
        <f>'Latin America and Caribbean'!A207+"$F;@!4@."</f>
        <v>#VALUE!</v>
      </c>
      <c r="HQ410" t="e">
        <f>'Latin America and Caribbean'!B207+"$F;@!4@/"</f>
        <v>#VALUE!</v>
      </c>
      <c r="HR410" t="e">
        <f>'Latin America and Caribbean'!C207+"$F;@!4@0"</f>
        <v>#VALUE!</v>
      </c>
      <c r="HS410" t="e">
        <f>'Latin America and Caribbean'!D207+"$F;@!4@1"</f>
        <v>#VALUE!</v>
      </c>
      <c r="HT410" t="e">
        <f>'Latin America and Caribbean'!E207+"$F;@!4@2"</f>
        <v>#VALUE!</v>
      </c>
      <c r="HU410" t="e">
        <f>'Latin America and Caribbean'!F207+"$F;@!4@3"</f>
        <v>#VALUE!</v>
      </c>
      <c r="HV410" t="e">
        <f>'Latin America and Caribbean'!G207+"$F;@!4@4"</f>
        <v>#VALUE!</v>
      </c>
      <c r="HW410" t="e">
        <f>'Latin America and Caribbean'!H207+"$F;@!4@5"</f>
        <v>#VALUE!</v>
      </c>
      <c r="HX410" t="e">
        <f>'Latin America and Caribbean'!A208+"$F;@!4@6"</f>
        <v>#VALUE!</v>
      </c>
      <c r="HY410" t="e">
        <f>'Latin America and Caribbean'!B208+"$F;@!4@7"</f>
        <v>#VALUE!</v>
      </c>
      <c r="HZ410" t="e">
        <f>'Latin America and Caribbean'!C208+"$F;@!4@8"</f>
        <v>#VALUE!</v>
      </c>
      <c r="IA410" t="e">
        <f>'Latin America and Caribbean'!D208+"$F;@!4@9"</f>
        <v>#VALUE!</v>
      </c>
      <c r="IB410" t="e">
        <f>'Latin America and Caribbean'!E208+"$F;@!4@:"</f>
        <v>#VALUE!</v>
      </c>
      <c r="IC410" t="e">
        <f>'Latin America and Caribbean'!F208+"$F;@!4@;"</f>
        <v>#VALUE!</v>
      </c>
      <c r="ID410" t="e">
        <f>'Latin America and Caribbean'!G208+"$F;@!4@&lt;"</f>
        <v>#VALUE!</v>
      </c>
      <c r="IE410" t="e">
        <f>'Latin America and Caribbean'!H208+"$F;@!4@="</f>
        <v>#VALUE!</v>
      </c>
      <c r="IF410" t="e">
        <f>'Latin America and Caribbean'!A209+"$F;@!4@&gt;"</f>
        <v>#VALUE!</v>
      </c>
      <c r="IG410" t="e">
        <f>'Latin America and Caribbean'!B209+"$F;@!4@?"</f>
        <v>#VALUE!</v>
      </c>
      <c r="IH410" t="e">
        <f>'Latin America and Caribbean'!C209+"$F;@!4@@"</f>
        <v>#VALUE!</v>
      </c>
      <c r="II410" t="e">
        <f>'Latin America and Caribbean'!D209+"$F;@!4@A"</f>
        <v>#VALUE!</v>
      </c>
      <c r="IJ410" t="e">
        <f>'Latin America and Caribbean'!E209+"$F;@!4@B"</f>
        <v>#VALUE!</v>
      </c>
      <c r="IK410" t="e">
        <f>'Latin America and Caribbean'!F209+"$F;@!4@C"</f>
        <v>#VALUE!</v>
      </c>
      <c r="IL410" t="e">
        <f>'Latin America and Caribbean'!G209+"$F;@!4@D"</f>
        <v>#VALUE!</v>
      </c>
      <c r="IM410" t="e">
        <f>'Latin America and Caribbean'!H209+"$F;@!4@E"</f>
        <v>#VALUE!</v>
      </c>
      <c r="IN410" t="e">
        <f>'Latin America and Caribbean'!A210+"$F;@!4@F"</f>
        <v>#VALUE!</v>
      </c>
      <c r="IO410" t="e">
        <f>'Latin America and Caribbean'!B210+"$F;@!4@G"</f>
        <v>#VALUE!</v>
      </c>
      <c r="IP410" t="e">
        <f>'Latin America and Caribbean'!C210+"$F;@!4@H"</f>
        <v>#VALUE!</v>
      </c>
      <c r="IQ410" t="e">
        <f>'Latin America and Caribbean'!D210+"$F;@!4@I"</f>
        <v>#VALUE!</v>
      </c>
      <c r="IR410" t="e">
        <f>'Latin America and Caribbean'!E210+"$F;@!4@J"</f>
        <v>#VALUE!</v>
      </c>
      <c r="IS410" t="e">
        <f>'Latin America and Caribbean'!F210+"$F;@!4@K"</f>
        <v>#VALUE!</v>
      </c>
      <c r="IT410" t="e">
        <f>'Latin America and Caribbean'!G210+"$F;@!4@L"</f>
        <v>#VALUE!</v>
      </c>
      <c r="IU410" t="e">
        <f>'Latin America and Caribbean'!H210+"$F;@!4@M"</f>
        <v>#VALUE!</v>
      </c>
      <c r="IV410" t="e">
        <f>'Latin America and Caribbean'!A211+"$F;@!4@N"</f>
        <v>#VALUE!</v>
      </c>
    </row>
    <row r="411" spans="6:256" x14ac:dyDescent="0.35">
      <c r="F411" t="e">
        <f>'Latin America and Caribbean'!B211+"$F;@!4@O"</f>
        <v>#VALUE!</v>
      </c>
      <c r="G411" t="e">
        <f>'Latin America and Caribbean'!C211+"$F;@!4@P"</f>
        <v>#VALUE!</v>
      </c>
      <c r="H411" t="e">
        <f>'Latin America and Caribbean'!D211+"$F;@!4@Q"</f>
        <v>#VALUE!</v>
      </c>
      <c r="I411" t="e">
        <f>'Latin America and Caribbean'!E211+"$F;@!4@R"</f>
        <v>#VALUE!</v>
      </c>
      <c r="J411" t="e">
        <f>'Latin America and Caribbean'!F211+"$F;@!4@S"</f>
        <v>#VALUE!</v>
      </c>
      <c r="K411" t="e">
        <f>'Latin America and Caribbean'!G211+"$F;@!4@T"</f>
        <v>#VALUE!</v>
      </c>
      <c r="L411" t="e">
        <f>'Latin America and Caribbean'!H211+"$F;@!4@U"</f>
        <v>#VALUE!</v>
      </c>
      <c r="M411" t="e">
        <f>'Latin America and Caribbean'!A212+"$F;@!4@V"</f>
        <v>#VALUE!</v>
      </c>
      <c r="N411" t="e">
        <f>'Latin America and Caribbean'!B212+"$F;@!4@W"</f>
        <v>#VALUE!</v>
      </c>
      <c r="O411" t="e">
        <f>'Latin America and Caribbean'!C212+"$F;@!4@X"</f>
        <v>#VALUE!</v>
      </c>
      <c r="P411" t="e">
        <f>'Latin America and Caribbean'!D212+"$F;@!4@Y"</f>
        <v>#VALUE!</v>
      </c>
      <c r="Q411" t="e">
        <f>'Latin America and Caribbean'!E212+"$F;@!4@Z"</f>
        <v>#VALUE!</v>
      </c>
      <c r="R411" t="e">
        <f>'Latin America and Caribbean'!F212+"$F;@!4@["</f>
        <v>#VALUE!</v>
      </c>
      <c r="S411" t="e">
        <f>'Latin America and Caribbean'!G212+"$F;@!4@\"</f>
        <v>#VALUE!</v>
      </c>
      <c r="T411" t="e">
        <f>'Latin America and Caribbean'!H212+"$F;@!4@]"</f>
        <v>#VALUE!</v>
      </c>
      <c r="U411" t="e">
        <f>'Latin America and Caribbean'!A213+"$F;@!4@^"</f>
        <v>#VALUE!</v>
      </c>
      <c r="V411" t="e">
        <f>'Latin America and Caribbean'!B213+"$F;@!4@_"</f>
        <v>#VALUE!</v>
      </c>
      <c r="W411" t="e">
        <f>'Latin America and Caribbean'!C213+"$F;@!4@`"</f>
        <v>#VALUE!</v>
      </c>
      <c r="X411" t="e">
        <f>'Latin America and Caribbean'!D213+"$F;@!4@a"</f>
        <v>#VALUE!</v>
      </c>
      <c r="Y411" t="e">
        <f>'Latin America and Caribbean'!E213+"$F;@!4@b"</f>
        <v>#VALUE!</v>
      </c>
      <c r="Z411" t="e">
        <f>'Latin America and Caribbean'!F213+"$F;@!4@c"</f>
        <v>#VALUE!</v>
      </c>
      <c r="AA411" t="e">
        <f>'Latin America and Caribbean'!G213+"$F;@!4@d"</f>
        <v>#VALUE!</v>
      </c>
      <c r="AB411" t="e">
        <f>'Latin America and Caribbean'!H213+"$F;@!4@e"</f>
        <v>#VALUE!</v>
      </c>
      <c r="AC411" t="e">
        <f>'Latin America and Caribbean'!A214+"$F;@!4@f"</f>
        <v>#VALUE!</v>
      </c>
      <c r="AD411" t="e">
        <f>'Latin America and Caribbean'!B214+"$F;@!4@g"</f>
        <v>#VALUE!</v>
      </c>
      <c r="AE411" t="e">
        <f>'Latin America and Caribbean'!C214+"$F;@!4@h"</f>
        <v>#VALUE!</v>
      </c>
      <c r="AF411" t="e">
        <f>'Latin America and Caribbean'!D214+"$F;@!4@i"</f>
        <v>#VALUE!</v>
      </c>
      <c r="AG411" t="e">
        <f>'Latin America and Caribbean'!E214+"$F;@!4@j"</f>
        <v>#VALUE!</v>
      </c>
      <c r="AH411" t="e">
        <f>'Latin America and Caribbean'!F214+"$F;@!4@k"</f>
        <v>#VALUE!</v>
      </c>
      <c r="AI411" t="e">
        <f>'Latin America and Caribbean'!G214+"$F;@!4@l"</f>
        <v>#VALUE!</v>
      </c>
      <c r="AJ411" t="e">
        <f>'Latin America and Caribbean'!H214+"$F;@!4@m"</f>
        <v>#VALUE!</v>
      </c>
      <c r="AK411" t="e">
        <f>'Latin America and Caribbean'!A215+"$F;@!4@n"</f>
        <v>#VALUE!</v>
      </c>
      <c r="AL411" t="e">
        <f>'Latin America and Caribbean'!B215+"$F;@!4@o"</f>
        <v>#VALUE!</v>
      </c>
      <c r="AM411" t="e">
        <f>'Latin America and Caribbean'!C215+"$F;@!4@p"</f>
        <v>#VALUE!</v>
      </c>
      <c r="AN411" t="e">
        <f>'Latin America and Caribbean'!D215+"$F;@!4@q"</f>
        <v>#VALUE!</v>
      </c>
      <c r="AO411" t="e">
        <f>'Latin America and Caribbean'!E215+"$F;@!4@r"</f>
        <v>#VALUE!</v>
      </c>
      <c r="AP411" t="e">
        <f>'Latin America and Caribbean'!F215+"$F;@!4@s"</f>
        <v>#VALUE!</v>
      </c>
      <c r="AQ411" t="e">
        <f>'Latin America and Caribbean'!G215+"$F;@!4@t"</f>
        <v>#VALUE!</v>
      </c>
      <c r="AR411" t="e">
        <f>'Latin America and Caribbean'!H215+"$F;@!4@u"</f>
        <v>#VALUE!</v>
      </c>
      <c r="AS411" t="e">
        <f>'Latin America and Caribbean'!A216+"$F;@!4@v"</f>
        <v>#VALUE!</v>
      </c>
      <c r="AT411" t="e">
        <f>'Latin America and Caribbean'!B216+"$F;@!4@w"</f>
        <v>#VALUE!</v>
      </c>
      <c r="AU411" t="e">
        <f>'Latin America and Caribbean'!C216+"$F;@!4@x"</f>
        <v>#VALUE!</v>
      </c>
      <c r="AV411" t="e">
        <f>'Latin America and Caribbean'!D216+"$F;@!4@y"</f>
        <v>#VALUE!</v>
      </c>
      <c r="AW411" t="e">
        <f>'Latin America and Caribbean'!E216+"$F;@!4@z"</f>
        <v>#VALUE!</v>
      </c>
      <c r="AX411" t="e">
        <f>'Latin America and Caribbean'!F216+"$F;@!4@{"</f>
        <v>#VALUE!</v>
      </c>
      <c r="AY411" t="e">
        <f>'Latin America and Caribbean'!G216+"$F;@!4@|"</f>
        <v>#VALUE!</v>
      </c>
      <c r="AZ411" t="e">
        <f>'Latin America and Caribbean'!H216+"$F;@!4@}"</f>
        <v>#VALUE!</v>
      </c>
      <c r="BA411" t="e">
        <f>'Latin America and Caribbean'!A217+"$F;@!4@~"</f>
        <v>#VALUE!</v>
      </c>
      <c r="BB411" t="e">
        <f>'Latin America and Caribbean'!B217+"$F;@!4A#"</f>
        <v>#VALUE!</v>
      </c>
      <c r="BC411" t="e">
        <f>'Latin America and Caribbean'!C217+"$F;@!4A$"</f>
        <v>#VALUE!</v>
      </c>
      <c r="BD411" t="e">
        <f>'Latin America and Caribbean'!D217+"$F;@!4A%"</f>
        <v>#VALUE!</v>
      </c>
      <c r="BE411" t="e">
        <f>'Latin America and Caribbean'!E217+"$F;@!4A&amp;"</f>
        <v>#VALUE!</v>
      </c>
      <c r="BF411" t="e">
        <f>'Latin America and Caribbean'!F217+"$F;@!4A'"</f>
        <v>#VALUE!</v>
      </c>
      <c r="BG411" t="e">
        <f>'Latin America and Caribbean'!G217+"$F;@!4A("</f>
        <v>#VALUE!</v>
      </c>
      <c r="BH411" t="e">
        <f>'Latin America and Caribbean'!H217+"$F;@!4A)"</f>
        <v>#VALUE!</v>
      </c>
      <c r="BI411" t="e">
        <f>'Latin America and Caribbean'!A218+"$F;@!4A."</f>
        <v>#VALUE!</v>
      </c>
      <c r="BJ411" t="e">
        <f>'Latin America and Caribbean'!B218+"$F;@!4A/"</f>
        <v>#VALUE!</v>
      </c>
      <c r="BK411" t="e">
        <f>'Latin America and Caribbean'!C218+"$F;@!4A0"</f>
        <v>#VALUE!</v>
      </c>
      <c r="BL411" t="e">
        <f>'Latin America and Caribbean'!D218+"$F;@!4A1"</f>
        <v>#VALUE!</v>
      </c>
      <c r="BM411" t="e">
        <f>'Latin America and Caribbean'!E218+"$F;@!4A2"</f>
        <v>#VALUE!</v>
      </c>
      <c r="BN411" t="e">
        <f>'Latin America and Caribbean'!F218+"$F;@!4A3"</f>
        <v>#VALUE!</v>
      </c>
      <c r="BO411" t="e">
        <f>'Latin America and Caribbean'!G218+"$F;@!4A4"</f>
        <v>#VALUE!</v>
      </c>
      <c r="BP411" t="e">
        <f>'Latin America and Caribbean'!H218+"$F;@!4A5"</f>
        <v>#VALUE!</v>
      </c>
      <c r="BQ411" t="e">
        <f>'Latin America and Caribbean'!A219+"$F;@!4A6"</f>
        <v>#VALUE!</v>
      </c>
      <c r="BR411" t="e">
        <f>'Latin America and Caribbean'!B219+"$F;@!4A7"</f>
        <v>#VALUE!</v>
      </c>
      <c r="BS411" t="e">
        <f>'Latin America and Caribbean'!C219+"$F;@!4A8"</f>
        <v>#VALUE!</v>
      </c>
      <c r="BT411" t="e">
        <f>'Latin America and Caribbean'!D219+"$F;@!4A9"</f>
        <v>#VALUE!</v>
      </c>
      <c r="BU411" t="e">
        <f>'Latin America and Caribbean'!E219+"$F;@!4A:"</f>
        <v>#VALUE!</v>
      </c>
      <c r="BV411" t="e">
        <f>'Latin America and Caribbean'!F219+"$F;@!4A;"</f>
        <v>#VALUE!</v>
      </c>
      <c r="BW411" t="e">
        <f>'Latin America and Caribbean'!G219+"$F;@!4A&lt;"</f>
        <v>#VALUE!</v>
      </c>
      <c r="BX411" t="e">
        <f>'Latin America and Caribbean'!H219+"$F;@!4A="</f>
        <v>#VALUE!</v>
      </c>
      <c r="BY411" t="e">
        <f>'Latin America and Caribbean'!A220+"$F;@!4A&gt;"</f>
        <v>#VALUE!</v>
      </c>
      <c r="BZ411" t="e">
        <f>'Latin America and Caribbean'!B220+"$F;@!4A?"</f>
        <v>#VALUE!</v>
      </c>
      <c r="CA411" t="e">
        <f>'Latin America and Caribbean'!C220+"$F;@!4A@"</f>
        <v>#VALUE!</v>
      </c>
      <c r="CB411" t="e">
        <f>'Latin America and Caribbean'!D220+"$F;@!4AA"</f>
        <v>#VALUE!</v>
      </c>
      <c r="CC411" t="e">
        <f>'Latin America and Caribbean'!E220+"$F;@!4AB"</f>
        <v>#VALUE!</v>
      </c>
      <c r="CD411" t="e">
        <f>'Latin America and Caribbean'!F220+"$F;@!4AC"</f>
        <v>#VALUE!</v>
      </c>
      <c r="CE411" t="e">
        <f>'Latin America and Caribbean'!G220+"$F;@!4AD"</f>
        <v>#VALUE!</v>
      </c>
      <c r="CF411" t="e">
        <f>'Latin America and Caribbean'!H220+"$F;@!4AE"</f>
        <v>#VALUE!</v>
      </c>
      <c r="CG411" t="e">
        <f>'Latin America and Caribbean'!A221+"$F;@!4AF"</f>
        <v>#VALUE!</v>
      </c>
      <c r="CH411" t="e">
        <f>'Latin America and Caribbean'!B221+"$F;@!4AG"</f>
        <v>#VALUE!</v>
      </c>
      <c r="CI411" t="e">
        <f>'Latin America and Caribbean'!C221+"$F;@!4AH"</f>
        <v>#VALUE!</v>
      </c>
      <c r="CJ411" t="e">
        <f>'Latin America and Caribbean'!D221+"$F;@!4AI"</f>
        <v>#VALUE!</v>
      </c>
      <c r="CK411" t="e">
        <f>'Latin America and Caribbean'!E221+"$F;@!4AJ"</f>
        <v>#VALUE!</v>
      </c>
      <c r="CL411" t="e">
        <f>'Latin America and Caribbean'!F221+"$F;@!4AK"</f>
        <v>#VALUE!</v>
      </c>
      <c r="CM411" t="e">
        <f>'Latin America and Caribbean'!G221+"$F;@!4AL"</f>
        <v>#VALUE!</v>
      </c>
      <c r="CN411" t="e">
        <f>'Latin America and Caribbean'!H221+"$F;@!4AM"</f>
        <v>#VALUE!</v>
      </c>
      <c r="CO411" t="e">
        <f>'Latin America and Caribbean'!A222+"$F;@!4AN"</f>
        <v>#VALUE!</v>
      </c>
      <c r="CP411" t="e">
        <f>'Latin America and Caribbean'!B222+"$F;@!4AO"</f>
        <v>#VALUE!</v>
      </c>
      <c r="CQ411" t="e">
        <f>'Latin America and Caribbean'!C222+"$F;@!4AP"</f>
        <v>#VALUE!</v>
      </c>
      <c r="CR411" t="e">
        <f>'Latin America and Caribbean'!D222+"$F;@!4AQ"</f>
        <v>#VALUE!</v>
      </c>
      <c r="CS411" t="e">
        <f>'Latin America and Caribbean'!E222+"$F;@!4AR"</f>
        <v>#VALUE!</v>
      </c>
      <c r="CT411" t="e">
        <f>'Latin America and Caribbean'!F222+"$F;@!4AS"</f>
        <v>#VALUE!</v>
      </c>
      <c r="CU411" t="e">
        <f>'Latin America and Caribbean'!G222+"$F;@!4AT"</f>
        <v>#VALUE!</v>
      </c>
      <c r="CV411" t="e">
        <f>'Latin America and Caribbean'!H222+"$F;@!4AU"</f>
        <v>#VALUE!</v>
      </c>
      <c r="CW411" t="e">
        <f>'Latin America and Caribbean'!A223+"$F;@!4AV"</f>
        <v>#VALUE!</v>
      </c>
      <c r="CX411" t="e">
        <f>'Latin America and Caribbean'!B223+"$F;@!4AW"</f>
        <v>#VALUE!</v>
      </c>
      <c r="CY411" t="e">
        <f>'Latin America and Caribbean'!C223+"$F;@!4AX"</f>
        <v>#VALUE!</v>
      </c>
      <c r="CZ411" t="e">
        <f>'Latin America and Caribbean'!D223+"$F;@!4AY"</f>
        <v>#VALUE!</v>
      </c>
      <c r="DA411" t="e">
        <f>'Latin America and Caribbean'!E223+"$F;@!4AZ"</f>
        <v>#VALUE!</v>
      </c>
      <c r="DB411" t="e">
        <f>'Latin America and Caribbean'!F223+"$F;@!4A["</f>
        <v>#VALUE!</v>
      </c>
      <c r="DC411" t="e">
        <f>'Latin America and Caribbean'!G223+"$F;@!4A\"</f>
        <v>#VALUE!</v>
      </c>
      <c r="DD411" t="e">
        <f>'Latin America and Caribbean'!H223+"$F;@!4A]"</f>
        <v>#VALUE!</v>
      </c>
      <c r="DE411" t="e">
        <f>'Latin America and Caribbean'!A224+"$F;@!4A^"</f>
        <v>#VALUE!</v>
      </c>
      <c r="DF411" t="e">
        <f>'Latin America and Caribbean'!B224+"$F;@!4A_"</f>
        <v>#VALUE!</v>
      </c>
      <c r="DG411" t="e">
        <f>'Latin America and Caribbean'!C224+"$F;@!4A`"</f>
        <v>#VALUE!</v>
      </c>
      <c r="DH411" t="e">
        <f>'Latin America and Caribbean'!D224+"$F;@!4Aa"</f>
        <v>#VALUE!</v>
      </c>
      <c r="DI411" t="e">
        <f>'Latin America and Caribbean'!E224+"$F;@!4Ab"</f>
        <v>#VALUE!</v>
      </c>
      <c r="DJ411" t="e">
        <f>'Latin America and Caribbean'!F224+"$F;@!4Ac"</f>
        <v>#VALUE!</v>
      </c>
      <c r="DK411" t="e">
        <f>'Latin America and Caribbean'!G224+"$F;@!4Ad"</f>
        <v>#VALUE!</v>
      </c>
      <c r="DL411" t="e">
        <f>'Latin America and Caribbean'!H224+"$F;@!4Ae"</f>
        <v>#VALUE!</v>
      </c>
      <c r="DM411" t="e">
        <f>'Latin America and Caribbean'!A225+"$F;@!4Af"</f>
        <v>#VALUE!</v>
      </c>
      <c r="DN411" t="e">
        <f>'Latin America and Caribbean'!B225+"$F;@!4Ag"</f>
        <v>#VALUE!</v>
      </c>
      <c r="DO411" t="e">
        <f>'Latin America and Caribbean'!C225+"$F;@!4Ah"</f>
        <v>#VALUE!</v>
      </c>
      <c r="DP411" t="e">
        <f>'Latin America and Caribbean'!D225+"$F;@!4Ai"</f>
        <v>#VALUE!</v>
      </c>
      <c r="DQ411" t="e">
        <f>'Latin America and Caribbean'!E225+"$F;@!4Aj"</f>
        <v>#VALUE!</v>
      </c>
      <c r="DR411" t="e">
        <f>'Latin America and Caribbean'!F225+"$F;@!4Ak"</f>
        <v>#VALUE!</v>
      </c>
      <c r="DS411" t="e">
        <f>'Latin America and Caribbean'!G225+"$F;@!4Al"</f>
        <v>#VALUE!</v>
      </c>
      <c r="DT411" t="e">
        <f>'Latin America and Caribbean'!H225+"$F;@!4Am"</f>
        <v>#VALUE!</v>
      </c>
      <c r="DU411" t="e">
        <f>'Latin America and Caribbean'!A226+"$F;@!4An"</f>
        <v>#VALUE!</v>
      </c>
      <c r="DV411" t="e">
        <f>'Latin America and Caribbean'!B226+"$F;@!4Ao"</f>
        <v>#VALUE!</v>
      </c>
      <c r="DW411" t="e">
        <f>'Latin America and Caribbean'!C226+"$F;@!4Ap"</f>
        <v>#VALUE!</v>
      </c>
      <c r="DX411" t="e">
        <f>'Latin America and Caribbean'!D226+"$F;@!4Aq"</f>
        <v>#VALUE!</v>
      </c>
      <c r="DY411" t="e">
        <f>'Latin America and Caribbean'!E226+"$F;@!4Ar"</f>
        <v>#VALUE!</v>
      </c>
      <c r="DZ411" t="e">
        <f>'Latin America and Caribbean'!F226+"$F;@!4As"</f>
        <v>#VALUE!</v>
      </c>
      <c r="EA411" t="e">
        <f>'Latin America and Caribbean'!G226+"$F;@!4At"</f>
        <v>#VALUE!</v>
      </c>
      <c r="EB411" t="e">
        <f>'Latin America and Caribbean'!H226+"$F;@!4Au"</f>
        <v>#VALUE!</v>
      </c>
      <c r="EC411" t="e">
        <f>'Latin America and Caribbean'!A227+"$F;@!4Av"</f>
        <v>#VALUE!</v>
      </c>
      <c r="ED411" t="e">
        <f>'Latin America and Caribbean'!B227+"$F;@!4Aw"</f>
        <v>#VALUE!</v>
      </c>
      <c r="EE411" t="e">
        <f>'Latin America and Caribbean'!C227+"$F;@!4Ax"</f>
        <v>#VALUE!</v>
      </c>
      <c r="EF411" t="e">
        <f>'Latin America and Caribbean'!D227+"$F;@!4Ay"</f>
        <v>#VALUE!</v>
      </c>
      <c r="EG411" t="e">
        <f>'Latin America and Caribbean'!E227+"$F;@!4Az"</f>
        <v>#VALUE!</v>
      </c>
      <c r="EH411" t="e">
        <f>'Latin America and Caribbean'!F227+"$F;@!4A{"</f>
        <v>#VALUE!</v>
      </c>
      <c r="EI411" t="e">
        <f>'Latin America and Caribbean'!G227+"$F;@!4A|"</f>
        <v>#VALUE!</v>
      </c>
      <c r="EJ411" t="e">
        <f>'Latin America and Caribbean'!H227+"$F;@!4A}"</f>
        <v>#VALUE!</v>
      </c>
      <c r="EK411" t="e">
        <f>'Latin America and Caribbean'!A228+"$F;@!4A~"</f>
        <v>#VALUE!</v>
      </c>
      <c r="EL411" t="e">
        <f>'Latin America and Caribbean'!B228+"$F;@!4B#"</f>
        <v>#VALUE!</v>
      </c>
      <c r="EM411" t="e">
        <f>'Latin America and Caribbean'!C228+"$F;@!4B$"</f>
        <v>#VALUE!</v>
      </c>
      <c r="EN411" t="e">
        <f>'Latin America and Caribbean'!D228+"$F;@!4B%"</f>
        <v>#VALUE!</v>
      </c>
      <c r="EO411" t="e">
        <f>'Latin America and Caribbean'!E228+"$F;@!4B&amp;"</f>
        <v>#VALUE!</v>
      </c>
      <c r="EP411" t="e">
        <f>'Latin America and Caribbean'!F228+"$F;@!4B'"</f>
        <v>#VALUE!</v>
      </c>
      <c r="EQ411" t="e">
        <f>'Latin America and Caribbean'!G228+"$F;@!4B("</f>
        <v>#VALUE!</v>
      </c>
      <c r="ER411" t="e">
        <f>'Latin America and Caribbean'!H228+"$F;@!4B)"</f>
        <v>#VALUE!</v>
      </c>
      <c r="ES411" t="e">
        <f>'Latin America and Caribbean'!A229+"$F;@!4B."</f>
        <v>#VALUE!</v>
      </c>
      <c r="ET411" t="e">
        <f>'Latin America and Caribbean'!B229+"$F;@!4B/"</f>
        <v>#VALUE!</v>
      </c>
      <c r="EU411" t="e">
        <f>'Latin America and Caribbean'!C229+"$F;@!4B0"</f>
        <v>#VALUE!</v>
      </c>
      <c r="EV411" t="e">
        <f>'Latin America and Caribbean'!D229+"$F;@!4B1"</f>
        <v>#VALUE!</v>
      </c>
      <c r="EW411" t="e">
        <f>'Latin America and Caribbean'!E229+"$F;@!4B2"</f>
        <v>#VALUE!</v>
      </c>
      <c r="EX411" t="e">
        <f>'Latin America and Caribbean'!F229+"$F;@!4B3"</f>
        <v>#VALUE!</v>
      </c>
      <c r="EY411" t="e">
        <f>'Latin America and Caribbean'!G229+"$F;@!4B4"</f>
        <v>#VALUE!</v>
      </c>
      <c r="EZ411" t="e">
        <f>'Latin America and Caribbean'!H229+"$F;@!4B5"</f>
        <v>#VALUE!</v>
      </c>
      <c r="FA411" t="e">
        <f>'Latin America and Caribbean'!A230+"$F;@!4B6"</f>
        <v>#VALUE!</v>
      </c>
      <c r="FB411" t="e">
        <f>'Latin America and Caribbean'!B230+"$F;@!4B7"</f>
        <v>#VALUE!</v>
      </c>
      <c r="FC411" t="e">
        <f>'Latin America and Caribbean'!C230+"$F;@!4B8"</f>
        <v>#VALUE!</v>
      </c>
      <c r="FD411" t="e">
        <f>'Latin America and Caribbean'!D230+"$F;@!4B9"</f>
        <v>#VALUE!</v>
      </c>
      <c r="FE411" t="e">
        <f>'Latin America and Caribbean'!E230+"$F;@!4B:"</f>
        <v>#VALUE!</v>
      </c>
      <c r="FF411" t="e">
        <f>'Latin America and Caribbean'!F230+"$F;@!4B;"</f>
        <v>#VALUE!</v>
      </c>
      <c r="FG411" t="e">
        <f>'Latin America and Caribbean'!G230+"$F;@!4B&lt;"</f>
        <v>#VALUE!</v>
      </c>
      <c r="FH411" t="e">
        <f>'Latin America and Caribbean'!H230+"$F;@!4B="</f>
        <v>#VALUE!</v>
      </c>
      <c r="FI411" t="e">
        <f>'Latin America and Caribbean'!A231+"$F;@!4B&gt;"</f>
        <v>#VALUE!</v>
      </c>
      <c r="FJ411" t="e">
        <f>'Latin America and Caribbean'!B231+"$F;@!4B?"</f>
        <v>#VALUE!</v>
      </c>
      <c r="FK411" t="e">
        <f>'Latin America and Caribbean'!C231+"$F;@!4B@"</f>
        <v>#VALUE!</v>
      </c>
      <c r="FL411" t="e">
        <f>'Latin America and Caribbean'!D231+"$F;@!4BA"</f>
        <v>#VALUE!</v>
      </c>
      <c r="FM411" t="e">
        <f>'Latin America and Caribbean'!E231+"$F;@!4BB"</f>
        <v>#VALUE!</v>
      </c>
      <c r="FN411" t="e">
        <f>'Latin America and Caribbean'!F231+"$F;@!4BC"</f>
        <v>#VALUE!</v>
      </c>
      <c r="FO411" t="e">
        <f>'Latin America and Caribbean'!G231+"$F;@!4BD"</f>
        <v>#VALUE!</v>
      </c>
      <c r="FP411" t="e">
        <f>'Latin America and Caribbean'!H231+"$F;@!4BE"</f>
        <v>#VALUE!</v>
      </c>
      <c r="FQ411" t="e">
        <f>'Latin America and Caribbean'!A232+"$F;@!4BF"</f>
        <v>#VALUE!</v>
      </c>
      <c r="FR411" t="e">
        <f>'Latin America and Caribbean'!B232+"$F;@!4BG"</f>
        <v>#VALUE!</v>
      </c>
      <c r="FS411" t="e">
        <f>'Latin America and Caribbean'!C232+"$F;@!4BH"</f>
        <v>#VALUE!</v>
      </c>
      <c r="FT411" t="e">
        <f>'Latin America and Caribbean'!D232+"$F;@!4BI"</f>
        <v>#VALUE!</v>
      </c>
      <c r="FU411" t="e">
        <f>'Latin America and Caribbean'!E232+"$F;@!4BJ"</f>
        <v>#VALUE!</v>
      </c>
      <c r="FV411" t="e">
        <f>'Latin America and Caribbean'!F232+"$F;@!4BK"</f>
        <v>#VALUE!</v>
      </c>
      <c r="FW411" t="e">
        <f>'Latin America and Caribbean'!G232+"$F;@!4BL"</f>
        <v>#VALUE!</v>
      </c>
      <c r="FX411" t="e">
        <f>'Latin America and Caribbean'!H232+"$F;@!4BM"</f>
        <v>#VALUE!</v>
      </c>
      <c r="FY411" t="e">
        <f>'Latin America and Caribbean'!A233+"$F;@!4BN"</f>
        <v>#VALUE!</v>
      </c>
      <c r="FZ411" t="e">
        <f>'Latin America and Caribbean'!B233+"$F;@!4BO"</f>
        <v>#VALUE!</v>
      </c>
      <c r="GA411" t="e">
        <f>'Latin America and Caribbean'!C233+"$F;@!4BP"</f>
        <v>#VALUE!</v>
      </c>
      <c r="GB411" t="e">
        <f>'Latin America and Caribbean'!D233+"$F;@!4BQ"</f>
        <v>#VALUE!</v>
      </c>
      <c r="GC411" t="e">
        <f>'Latin America and Caribbean'!E233+"$F;@!4BR"</f>
        <v>#VALUE!</v>
      </c>
      <c r="GD411" t="e">
        <f>'Latin America and Caribbean'!F233+"$F;@!4BS"</f>
        <v>#VALUE!</v>
      </c>
      <c r="GE411" t="e">
        <f>'Latin America and Caribbean'!G233+"$F;@!4BT"</f>
        <v>#VALUE!</v>
      </c>
      <c r="GF411" t="e">
        <f>'Latin America and Caribbean'!H233+"$F;@!4BU"</f>
        <v>#VALUE!</v>
      </c>
      <c r="GG411" t="e">
        <f>'Latin America and Caribbean'!A234+"$F;@!4BV"</f>
        <v>#VALUE!</v>
      </c>
      <c r="GH411" t="e">
        <f>'Latin America and Caribbean'!B234+"$F;@!4BW"</f>
        <v>#VALUE!</v>
      </c>
      <c r="GI411" t="e">
        <f>'Latin America and Caribbean'!C234+"$F;@!4BX"</f>
        <v>#VALUE!</v>
      </c>
      <c r="GJ411" t="e">
        <f>'Latin America and Caribbean'!D234+"$F;@!4BY"</f>
        <v>#VALUE!</v>
      </c>
      <c r="GK411" t="e">
        <f>'Latin America and Caribbean'!E234+"$F;@!4BZ"</f>
        <v>#VALUE!</v>
      </c>
      <c r="GL411" t="e">
        <f>'Latin America and Caribbean'!F234+"$F;@!4B["</f>
        <v>#VALUE!</v>
      </c>
      <c r="GM411" t="e">
        <f>'Latin America and Caribbean'!G234+"$F;@!4B\"</f>
        <v>#VALUE!</v>
      </c>
      <c r="GN411" t="e">
        <f>'Latin America and Caribbean'!H234+"$F;@!4B]"</f>
        <v>#VALUE!</v>
      </c>
      <c r="GO411" t="e">
        <f>'Latin America and Caribbean'!A235+"$F;@!4B^"</f>
        <v>#VALUE!</v>
      </c>
      <c r="GP411" t="e">
        <f>'Latin America and Caribbean'!B235+"$F;@!4B_"</f>
        <v>#VALUE!</v>
      </c>
      <c r="GQ411" t="e">
        <f>'Latin America and Caribbean'!C235+"$F;@!4B`"</f>
        <v>#VALUE!</v>
      </c>
      <c r="GR411" t="e">
        <f>'Latin America and Caribbean'!D235+"$F;@!4Ba"</f>
        <v>#VALUE!</v>
      </c>
      <c r="GS411" t="e">
        <f>'Latin America and Caribbean'!E235+"$F;@!4Bb"</f>
        <v>#VALUE!</v>
      </c>
      <c r="GT411" t="e">
        <f>'Latin America and Caribbean'!F235+"$F;@!4Bc"</f>
        <v>#VALUE!</v>
      </c>
      <c r="GU411" t="e">
        <f>'Latin America and Caribbean'!G235+"$F;@!4Bd"</f>
        <v>#VALUE!</v>
      </c>
      <c r="GV411" t="e">
        <f>'Latin America and Caribbean'!H235+"$F;@!4Be"</f>
        <v>#VALUE!</v>
      </c>
      <c r="GW411" t="e">
        <f>'Latin America and Caribbean'!A236+"$F;@!4Bf"</f>
        <v>#VALUE!</v>
      </c>
      <c r="GX411" t="e">
        <f>'Latin America and Caribbean'!B236+"$F;@!4Bg"</f>
        <v>#VALUE!</v>
      </c>
      <c r="GY411" t="e">
        <f>'Latin America and Caribbean'!C236+"$F;@!4Bh"</f>
        <v>#VALUE!</v>
      </c>
      <c r="GZ411" t="e">
        <f>'Latin America and Caribbean'!D236+"$F;@!4Bi"</f>
        <v>#VALUE!</v>
      </c>
      <c r="HA411" t="e">
        <f>'Latin America and Caribbean'!E236+"$F;@!4Bj"</f>
        <v>#VALUE!</v>
      </c>
      <c r="HB411" t="e">
        <f>'Latin America and Caribbean'!F236+"$F;@!4Bk"</f>
        <v>#VALUE!</v>
      </c>
      <c r="HC411" t="e">
        <f>'Latin America and Caribbean'!G236+"$F;@!4Bl"</f>
        <v>#VALUE!</v>
      </c>
      <c r="HD411" t="e">
        <f>'Latin America and Caribbean'!H236+"$F;@!4Bm"</f>
        <v>#VALUE!</v>
      </c>
      <c r="HE411" t="e">
        <f>'Latin America and Caribbean'!A237+"$F;@!4Bn"</f>
        <v>#VALUE!</v>
      </c>
      <c r="HF411" t="e">
        <f>'Latin America and Caribbean'!B237+"$F;@!4Bo"</f>
        <v>#VALUE!</v>
      </c>
      <c r="HG411" t="e">
        <f>'Latin America and Caribbean'!C237+"$F;@!4Bp"</f>
        <v>#VALUE!</v>
      </c>
      <c r="HH411" t="e">
        <f>'Latin America and Caribbean'!D237+"$F;@!4Bq"</f>
        <v>#VALUE!</v>
      </c>
      <c r="HI411" t="e">
        <f>'Latin America and Caribbean'!E237+"$F;@!4Br"</f>
        <v>#VALUE!</v>
      </c>
      <c r="HJ411" t="e">
        <f>'Latin America and Caribbean'!F237+"$F;@!4Bs"</f>
        <v>#VALUE!</v>
      </c>
      <c r="HK411" t="e">
        <f>'Latin America and Caribbean'!G237+"$F;@!4Bt"</f>
        <v>#VALUE!</v>
      </c>
      <c r="HL411" t="e">
        <f>'Latin America and Caribbean'!H237+"$F;@!4Bu"</f>
        <v>#VALUE!</v>
      </c>
      <c r="HM411" t="e">
        <f>'Latin America and Caribbean'!A238+"$F;@!4Bv"</f>
        <v>#VALUE!</v>
      </c>
      <c r="HN411" t="e">
        <f>'Latin America and Caribbean'!B238+"$F;@!4Bw"</f>
        <v>#VALUE!</v>
      </c>
      <c r="HO411" t="e">
        <f>'Latin America and Caribbean'!C238+"$F;@!4Bx"</f>
        <v>#VALUE!</v>
      </c>
      <c r="HP411" t="e">
        <f>'Latin America and Caribbean'!D238+"$F;@!4By"</f>
        <v>#VALUE!</v>
      </c>
      <c r="HQ411" t="e">
        <f>'Latin America and Caribbean'!E238+"$F;@!4Bz"</f>
        <v>#VALUE!</v>
      </c>
      <c r="HR411" t="e">
        <f>'Latin America and Caribbean'!F238+"$F;@!4B{"</f>
        <v>#VALUE!</v>
      </c>
      <c r="HS411" t="e">
        <f>'Latin America and Caribbean'!G238+"$F;@!4B|"</f>
        <v>#VALUE!</v>
      </c>
      <c r="HT411" t="e">
        <f>'Latin America and Caribbean'!H238+"$F;@!4B}"</f>
        <v>#VALUE!</v>
      </c>
      <c r="HU411" t="e">
        <f>'Latin America and Caribbean'!A239+"$F;@!4B~"</f>
        <v>#VALUE!</v>
      </c>
      <c r="HV411" t="e">
        <f>'Latin America and Caribbean'!B239+"$F;@!4C#"</f>
        <v>#VALUE!</v>
      </c>
      <c r="HW411" t="e">
        <f>'Latin America and Caribbean'!C239+"$F;@!4C$"</f>
        <v>#VALUE!</v>
      </c>
      <c r="HX411" t="e">
        <f>'Latin America and Caribbean'!D239+"$F;@!4C%"</f>
        <v>#VALUE!</v>
      </c>
      <c r="HY411" t="e">
        <f>'Latin America and Caribbean'!E239+"$F;@!4C&amp;"</f>
        <v>#VALUE!</v>
      </c>
      <c r="HZ411" t="e">
        <f>'Latin America and Caribbean'!F239+"$F;@!4C'"</f>
        <v>#VALUE!</v>
      </c>
      <c r="IA411" t="e">
        <f>'Latin America and Caribbean'!G239+"$F;@!4C("</f>
        <v>#VALUE!</v>
      </c>
      <c r="IB411" t="e">
        <f>'Latin America and Caribbean'!H239+"$F;@!4C)"</f>
        <v>#VALUE!</v>
      </c>
      <c r="IC411" t="e">
        <f>'Latin America and Caribbean'!A240+"$F;@!4C."</f>
        <v>#VALUE!</v>
      </c>
      <c r="ID411" t="e">
        <f>'Latin America and Caribbean'!B240+"$F;@!4C/"</f>
        <v>#VALUE!</v>
      </c>
      <c r="IE411" t="e">
        <f>'Latin America and Caribbean'!C240+"$F;@!4C0"</f>
        <v>#VALUE!</v>
      </c>
      <c r="IF411" t="e">
        <f>'Latin America and Caribbean'!D240+"$F;@!4C1"</f>
        <v>#VALUE!</v>
      </c>
      <c r="IG411" t="e">
        <f>'Latin America and Caribbean'!E240+"$F;@!4C2"</f>
        <v>#VALUE!</v>
      </c>
      <c r="IH411" t="e">
        <f>'Latin America and Caribbean'!F240+"$F;@!4C3"</f>
        <v>#VALUE!</v>
      </c>
      <c r="II411" t="e">
        <f>'Latin America and Caribbean'!G240+"$F;@!4C4"</f>
        <v>#VALUE!</v>
      </c>
      <c r="IJ411" t="e">
        <f>'Latin America and Caribbean'!H240+"$F;@!4C5"</f>
        <v>#VALUE!</v>
      </c>
      <c r="IK411" t="e">
        <f>'Latin America and Caribbean'!A241+"$F;@!4C6"</f>
        <v>#VALUE!</v>
      </c>
      <c r="IL411" t="e">
        <f>'Latin America and Caribbean'!B241+"$F;@!4C7"</f>
        <v>#VALUE!</v>
      </c>
      <c r="IM411" t="e">
        <f>'Latin America and Caribbean'!C241+"$F;@!4C8"</f>
        <v>#VALUE!</v>
      </c>
      <c r="IN411" t="e">
        <f>'Latin America and Caribbean'!D241+"$F;@!4C9"</f>
        <v>#VALUE!</v>
      </c>
      <c r="IO411" t="e">
        <f>'Latin America and Caribbean'!E241+"$F;@!4C:"</f>
        <v>#VALUE!</v>
      </c>
      <c r="IP411" t="e">
        <f>'Latin America and Caribbean'!F241+"$F;@!4C;"</f>
        <v>#VALUE!</v>
      </c>
      <c r="IQ411" t="e">
        <f>'Latin America and Caribbean'!G241+"$F;@!4C&lt;"</f>
        <v>#VALUE!</v>
      </c>
      <c r="IR411" t="e">
        <f>'Latin America and Caribbean'!H241+"$F;@!4C="</f>
        <v>#VALUE!</v>
      </c>
      <c r="IS411" t="e">
        <f>'Latin America and Caribbean'!A242+"$F;@!4C&gt;"</f>
        <v>#VALUE!</v>
      </c>
      <c r="IT411" t="e">
        <f>'Latin America and Caribbean'!B242+"$F;@!4C?"</f>
        <v>#VALUE!</v>
      </c>
      <c r="IU411" t="e">
        <f>'Latin America and Caribbean'!C242+"$F;@!4C@"</f>
        <v>#VALUE!</v>
      </c>
      <c r="IV411" t="e">
        <f>'Latin America and Caribbean'!D242+"$F;@!4CA"</f>
        <v>#VALUE!</v>
      </c>
    </row>
    <row r="412" spans="6:256" x14ac:dyDescent="0.35">
      <c r="F412" t="e">
        <f>'Latin America and Caribbean'!E242+"$F;@!4CB"</f>
        <v>#VALUE!</v>
      </c>
      <c r="G412" t="e">
        <f>'Latin America and Caribbean'!F242+"$F;@!4CC"</f>
        <v>#VALUE!</v>
      </c>
      <c r="H412" t="e">
        <f>'Latin America and Caribbean'!G242+"$F;@!4CD"</f>
        <v>#VALUE!</v>
      </c>
      <c r="I412" t="e">
        <f>'Latin America and Caribbean'!H242+"$F;@!4CE"</f>
        <v>#VALUE!</v>
      </c>
      <c r="J412" t="e">
        <f>'Latin America and Caribbean'!A243+"$F;@!4CF"</f>
        <v>#VALUE!</v>
      </c>
      <c r="K412" t="e">
        <f>'Latin America and Caribbean'!B243+"$F;@!4CG"</f>
        <v>#VALUE!</v>
      </c>
      <c r="L412" t="e">
        <f>'Latin America and Caribbean'!C243+"$F;@!4CH"</f>
        <v>#VALUE!</v>
      </c>
      <c r="M412" t="e">
        <f>'Latin America and Caribbean'!D243+"$F;@!4CI"</f>
        <v>#VALUE!</v>
      </c>
      <c r="N412" t="e">
        <f>'Latin America and Caribbean'!E243+"$F;@!4CJ"</f>
        <v>#VALUE!</v>
      </c>
      <c r="O412" t="e">
        <f>'Latin America and Caribbean'!F243+"$F;@!4CK"</f>
        <v>#VALUE!</v>
      </c>
      <c r="P412" t="e">
        <f>'Latin America and Caribbean'!G243+"$F;@!4CL"</f>
        <v>#VALUE!</v>
      </c>
      <c r="Q412" t="e">
        <f>'Latin America and Caribbean'!H243+"$F;@!4CM"</f>
        <v>#VALUE!</v>
      </c>
      <c r="R412" t="e">
        <f>'Latin America and Caribbean'!A244+"$F;@!4CN"</f>
        <v>#VALUE!</v>
      </c>
      <c r="S412" t="e">
        <f>'Latin America and Caribbean'!B244+"$F;@!4CO"</f>
        <v>#VALUE!</v>
      </c>
      <c r="T412" t="e">
        <f>'Latin America and Caribbean'!C244+"$F;@!4CP"</f>
        <v>#VALUE!</v>
      </c>
      <c r="U412" t="e">
        <f>'Latin America and Caribbean'!D244+"$F;@!4CQ"</f>
        <v>#VALUE!</v>
      </c>
      <c r="V412" t="e">
        <f>'Latin America and Caribbean'!E244+"$F;@!4CR"</f>
        <v>#VALUE!</v>
      </c>
      <c r="W412" t="e">
        <f>'Latin America and Caribbean'!F244+"$F;@!4CS"</f>
        <v>#VALUE!</v>
      </c>
      <c r="X412" t="e">
        <f>'Latin America and Caribbean'!G244+"$F;@!4CT"</f>
        <v>#VALUE!</v>
      </c>
      <c r="Y412" t="e">
        <f>'Latin America and Caribbean'!H244+"$F;@!4CU"</f>
        <v>#VALUE!</v>
      </c>
      <c r="Z412" t="e">
        <f>'Latin America and Caribbean'!A245+"$F;@!4CV"</f>
        <v>#VALUE!</v>
      </c>
      <c r="AA412" t="e">
        <f>'Latin America and Caribbean'!B245+"$F;@!4CW"</f>
        <v>#VALUE!</v>
      </c>
      <c r="AB412" t="e">
        <f>'Latin America and Caribbean'!C245+"$F;@!4CX"</f>
        <v>#VALUE!</v>
      </c>
      <c r="AC412" t="e">
        <f>'Latin America and Caribbean'!D245+"$F;@!4CY"</f>
        <v>#VALUE!</v>
      </c>
      <c r="AD412" t="e">
        <f>'Latin America and Caribbean'!E245+"$F;@!4CZ"</f>
        <v>#VALUE!</v>
      </c>
      <c r="AE412" t="e">
        <f>'Latin America and Caribbean'!F245+"$F;@!4C["</f>
        <v>#VALUE!</v>
      </c>
      <c r="AF412" t="e">
        <f>'Latin America and Caribbean'!G245+"$F;@!4C\"</f>
        <v>#VALUE!</v>
      </c>
      <c r="AG412" t="e">
        <f>'Latin America and Caribbean'!H245+"$F;@!4C]"</f>
        <v>#VALUE!</v>
      </c>
      <c r="AH412" t="e">
        <f>'Latin America and Caribbean'!A246+"$F;@!4C^"</f>
        <v>#VALUE!</v>
      </c>
      <c r="AI412" t="e">
        <f>'Latin America and Caribbean'!B246+"$F;@!4C_"</f>
        <v>#VALUE!</v>
      </c>
      <c r="AJ412" t="e">
        <f>'Latin America and Caribbean'!C246+"$F;@!4C`"</f>
        <v>#VALUE!</v>
      </c>
      <c r="AK412" t="e">
        <f>'Latin America and Caribbean'!D246+"$F;@!4Ca"</f>
        <v>#VALUE!</v>
      </c>
      <c r="AL412" t="e">
        <f>'Latin America and Caribbean'!E246+"$F;@!4Cb"</f>
        <v>#VALUE!</v>
      </c>
      <c r="AM412" t="e">
        <f>'Latin America and Caribbean'!F246+"$F;@!4Cc"</f>
        <v>#VALUE!</v>
      </c>
      <c r="AN412" t="e">
        <f>'Latin America and Caribbean'!G246+"$F;@!4Cd"</f>
        <v>#VALUE!</v>
      </c>
      <c r="AO412" t="e">
        <f>'Latin America and Caribbean'!H246+"$F;@!4Ce"</f>
        <v>#VALUE!</v>
      </c>
      <c r="AP412" t="e">
        <f>'Latin America and Caribbean'!A247+"$F;@!4Cf"</f>
        <v>#VALUE!</v>
      </c>
      <c r="AQ412" t="e">
        <f>'Latin America and Caribbean'!B247+"$F;@!4Cg"</f>
        <v>#VALUE!</v>
      </c>
      <c r="AR412" t="e">
        <f>'Latin America and Caribbean'!C247+"$F;@!4Ch"</f>
        <v>#VALUE!</v>
      </c>
      <c r="AS412" t="e">
        <f>'Latin America and Caribbean'!D247+"$F;@!4Ci"</f>
        <v>#VALUE!</v>
      </c>
      <c r="AT412" t="e">
        <f>'Latin America and Caribbean'!E247+"$F;@!4Cj"</f>
        <v>#VALUE!</v>
      </c>
      <c r="AU412" t="e">
        <f>'Latin America and Caribbean'!F247+"$F;@!4Ck"</f>
        <v>#VALUE!</v>
      </c>
      <c r="AV412" t="e">
        <f>'Latin America and Caribbean'!G247+"$F;@!4Cl"</f>
        <v>#VALUE!</v>
      </c>
      <c r="AW412" t="e">
        <f>'Latin America and Caribbean'!H247+"$F;@!4Cm"</f>
        <v>#VALUE!</v>
      </c>
      <c r="AX412" t="e">
        <f>'Latin America and Caribbean'!A248+"$F;@!4Cn"</f>
        <v>#VALUE!</v>
      </c>
      <c r="AY412" t="e">
        <f>'Latin America and Caribbean'!B248+"$F;@!4Co"</f>
        <v>#VALUE!</v>
      </c>
      <c r="AZ412" t="e">
        <f>'Latin America and Caribbean'!C248+"$F;@!4Cp"</f>
        <v>#VALUE!</v>
      </c>
      <c r="BA412" t="e">
        <f>'Latin America and Caribbean'!D248+"$F;@!4Cq"</f>
        <v>#VALUE!</v>
      </c>
      <c r="BB412" t="e">
        <f>'Latin America and Caribbean'!E248+"$F;@!4Cr"</f>
        <v>#VALUE!</v>
      </c>
      <c r="BC412" t="e">
        <f>'Latin America and Caribbean'!F248+"$F;@!4Cs"</f>
        <v>#VALUE!</v>
      </c>
      <c r="BD412" t="e">
        <f>'Latin America and Caribbean'!G248+"$F;@!4Ct"</f>
        <v>#VALUE!</v>
      </c>
      <c r="BE412" t="e">
        <f>'Latin America and Caribbean'!H248+"$F;@!4Cu"</f>
        <v>#VALUE!</v>
      </c>
      <c r="BF412" t="e">
        <f>'Latin America and Caribbean'!A249+"$F;@!4Cv"</f>
        <v>#VALUE!</v>
      </c>
      <c r="BG412" t="e">
        <f>'Latin America and Caribbean'!B249+"$F;@!4Cw"</f>
        <v>#VALUE!</v>
      </c>
      <c r="BH412" t="e">
        <f>'Latin America and Caribbean'!C249+"$F;@!4Cx"</f>
        <v>#VALUE!</v>
      </c>
      <c r="BI412" t="e">
        <f>'Latin America and Caribbean'!D249+"$F;@!4Cy"</f>
        <v>#VALUE!</v>
      </c>
      <c r="BJ412" t="e">
        <f>'Latin America and Caribbean'!E249+"$F;@!4Cz"</f>
        <v>#VALUE!</v>
      </c>
      <c r="BK412" t="e">
        <f>'Latin America and Caribbean'!F249+"$F;@!4C{"</f>
        <v>#VALUE!</v>
      </c>
      <c r="BL412" t="e">
        <f>'Latin America and Caribbean'!G249+"$F;@!4C|"</f>
        <v>#VALUE!</v>
      </c>
      <c r="BM412" t="e">
        <f>'Latin America and Caribbean'!H249+"$F;@!4C}"</f>
        <v>#VALUE!</v>
      </c>
      <c r="BN412" t="e">
        <f>'Latin America and Caribbean'!A250+"$F;@!4C~"</f>
        <v>#VALUE!</v>
      </c>
      <c r="BO412" t="e">
        <f>'Latin America and Caribbean'!B250+"$F;@!4D#"</f>
        <v>#VALUE!</v>
      </c>
      <c r="BP412" t="e">
        <f>'Latin America and Caribbean'!C250+"$F;@!4D$"</f>
        <v>#VALUE!</v>
      </c>
      <c r="BQ412" t="e">
        <f>'Latin America and Caribbean'!D250+"$F;@!4D%"</f>
        <v>#VALUE!</v>
      </c>
      <c r="BR412" t="e">
        <f>'Latin America and Caribbean'!E250+"$F;@!4D&amp;"</f>
        <v>#VALUE!</v>
      </c>
      <c r="BS412" t="e">
        <f>'Latin America and Caribbean'!F250+"$F;@!4D'"</f>
        <v>#VALUE!</v>
      </c>
      <c r="BT412" t="e">
        <f>'Latin America and Caribbean'!G250+"$F;@!4D("</f>
        <v>#VALUE!</v>
      </c>
      <c r="BU412" t="e">
        <f>'Latin America and Caribbean'!H250+"$F;@!4D)"</f>
        <v>#VALUE!</v>
      </c>
      <c r="BV412" t="e">
        <f>'Latin America and Caribbean'!A251+"$F;@!4D."</f>
        <v>#VALUE!</v>
      </c>
      <c r="BW412" t="e">
        <f>'Latin America and Caribbean'!B251+"$F;@!4D/"</f>
        <v>#VALUE!</v>
      </c>
      <c r="BX412" t="e">
        <f>'Latin America and Caribbean'!C251+"$F;@!4D0"</f>
        <v>#VALUE!</v>
      </c>
      <c r="BY412" t="e">
        <f>'Latin America and Caribbean'!D251+"$F;@!4D1"</f>
        <v>#VALUE!</v>
      </c>
      <c r="BZ412" t="e">
        <f>'Latin America and Caribbean'!E251+"$F;@!4D2"</f>
        <v>#VALUE!</v>
      </c>
      <c r="CA412" t="e">
        <f>'Latin America and Caribbean'!F251+"$F;@!4D3"</f>
        <v>#VALUE!</v>
      </c>
      <c r="CB412" t="e">
        <f>'Latin America and Caribbean'!G251+"$F;@!4D4"</f>
        <v>#VALUE!</v>
      </c>
      <c r="CC412" t="e">
        <f>'Latin America and Caribbean'!H251+"$F;@!4D5"</f>
        <v>#VALUE!</v>
      </c>
      <c r="CD412" t="e">
        <f>'Latin America and Caribbean'!A252+"$F;@!4D6"</f>
        <v>#VALUE!</v>
      </c>
      <c r="CE412" t="e">
        <f>'Latin America and Caribbean'!B252+"$F;@!4D7"</f>
        <v>#VALUE!</v>
      </c>
      <c r="CF412" t="e">
        <f>'Latin America and Caribbean'!C252+"$F;@!4D8"</f>
        <v>#VALUE!</v>
      </c>
      <c r="CG412" t="e">
        <f>'Latin America and Caribbean'!D252+"$F;@!4D9"</f>
        <v>#VALUE!</v>
      </c>
      <c r="CH412" t="e">
        <f>'Latin America and Caribbean'!E252+"$F;@!4D:"</f>
        <v>#VALUE!</v>
      </c>
      <c r="CI412" t="e">
        <f>'Latin America and Caribbean'!F252+"$F;@!4D;"</f>
        <v>#VALUE!</v>
      </c>
      <c r="CJ412" t="e">
        <f>'Latin America and Caribbean'!G252+"$F;@!4D&lt;"</f>
        <v>#VALUE!</v>
      </c>
      <c r="CK412" t="e">
        <f>'Latin America and Caribbean'!H252+"$F;@!4D="</f>
        <v>#VALUE!</v>
      </c>
      <c r="CL412" t="e">
        <f>'Latin America and Caribbean'!A253+"$F;@!4D&gt;"</f>
        <v>#VALUE!</v>
      </c>
      <c r="CM412" t="e">
        <f>'Latin America and Caribbean'!B253+"$F;@!4D?"</f>
        <v>#VALUE!</v>
      </c>
      <c r="CN412" t="e">
        <f>'Latin America and Caribbean'!C253+"$F;@!4D@"</f>
        <v>#VALUE!</v>
      </c>
      <c r="CO412" t="e">
        <f>'Latin America and Caribbean'!D253+"$F;@!4DA"</f>
        <v>#VALUE!</v>
      </c>
      <c r="CP412" t="e">
        <f>'Latin America and Caribbean'!E253+"$F;@!4DB"</f>
        <v>#VALUE!</v>
      </c>
      <c r="CQ412" t="e">
        <f>'Latin America and Caribbean'!F253+"$F;@!4DC"</f>
        <v>#VALUE!</v>
      </c>
      <c r="CR412" t="e">
        <f>'Latin America and Caribbean'!G253+"$F;@!4DD"</f>
        <v>#VALUE!</v>
      </c>
      <c r="CS412" t="e">
        <f>'Latin America and Caribbean'!H253+"$F;@!4DE"</f>
        <v>#VALUE!</v>
      </c>
      <c r="CT412" t="e">
        <f>'Latin America and Caribbean'!A254+"$F;@!4DF"</f>
        <v>#VALUE!</v>
      </c>
      <c r="CU412" t="e">
        <f>'Latin America and Caribbean'!B254+"$F;@!4DG"</f>
        <v>#VALUE!</v>
      </c>
      <c r="CV412" t="e">
        <f>'Latin America and Caribbean'!C254+"$F;@!4DH"</f>
        <v>#VALUE!</v>
      </c>
      <c r="CW412" t="e">
        <f>'Latin America and Caribbean'!D254+"$F;@!4DI"</f>
        <v>#VALUE!</v>
      </c>
      <c r="CX412" t="e">
        <f>'Latin America and Caribbean'!E254+"$F;@!4DJ"</f>
        <v>#VALUE!</v>
      </c>
      <c r="CY412" t="e">
        <f>'Latin America and Caribbean'!F254+"$F;@!4DK"</f>
        <v>#VALUE!</v>
      </c>
      <c r="CZ412" t="e">
        <f>'Latin America and Caribbean'!G254+"$F;@!4DL"</f>
        <v>#VALUE!</v>
      </c>
      <c r="DA412" t="e">
        <f>'Latin America and Caribbean'!H254+"$F;@!4DM"</f>
        <v>#VALUE!</v>
      </c>
      <c r="DB412" t="e">
        <f>'Latin America and Caribbean'!A255+"$F;@!4DN"</f>
        <v>#VALUE!</v>
      </c>
      <c r="DC412" t="e">
        <f>'Latin America and Caribbean'!B255+"$F;@!4DO"</f>
        <v>#VALUE!</v>
      </c>
      <c r="DD412" t="e">
        <f>'Latin America and Caribbean'!C255+"$F;@!4DP"</f>
        <v>#VALUE!</v>
      </c>
      <c r="DE412" t="e">
        <f>'Latin America and Caribbean'!D255+"$F;@!4DQ"</f>
        <v>#VALUE!</v>
      </c>
      <c r="DF412" t="e">
        <f>'Latin America and Caribbean'!E255+"$F;@!4DR"</f>
        <v>#VALUE!</v>
      </c>
      <c r="DG412" t="e">
        <f>'Latin America and Caribbean'!F255+"$F;@!4DS"</f>
        <v>#VALUE!</v>
      </c>
      <c r="DH412" t="e">
        <f>'Latin America and Caribbean'!G255+"$F;@!4DT"</f>
        <v>#VALUE!</v>
      </c>
      <c r="DI412" t="e">
        <f>'Latin America and Caribbean'!H255+"$F;@!4DU"</f>
        <v>#VALUE!</v>
      </c>
      <c r="DJ412" t="e">
        <f>'Latin America and Caribbean'!A256+"$F;@!4DV"</f>
        <v>#VALUE!</v>
      </c>
      <c r="DK412" t="e">
        <f>'Latin America and Caribbean'!B256+"$F;@!4DW"</f>
        <v>#VALUE!</v>
      </c>
      <c r="DL412" t="e">
        <f>'Latin America and Caribbean'!C256+"$F;@!4DX"</f>
        <v>#VALUE!</v>
      </c>
      <c r="DM412" t="e">
        <f>'Latin America and Caribbean'!D256+"$F;@!4DY"</f>
        <v>#VALUE!</v>
      </c>
      <c r="DN412" t="e">
        <f>'Latin America and Caribbean'!E256+"$F;@!4DZ"</f>
        <v>#VALUE!</v>
      </c>
      <c r="DO412" t="e">
        <f>'Latin America and Caribbean'!F256+"$F;@!4D["</f>
        <v>#VALUE!</v>
      </c>
      <c r="DP412" t="e">
        <f>'Latin America and Caribbean'!G256+"$F;@!4D\"</f>
        <v>#VALUE!</v>
      </c>
      <c r="DQ412" t="e">
        <f>'Latin America and Caribbean'!H256+"$F;@!4D]"</f>
        <v>#VALUE!</v>
      </c>
      <c r="DR412" t="e">
        <f>'Latin America and Caribbean'!A257+"$F;@!4D^"</f>
        <v>#VALUE!</v>
      </c>
      <c r="DS412" t="e">
        <f>'Latin America and Caribbean'!B257+"$F;@!4D_"</f>
        <v>#VALUE!</v>
      </c>
      <c r="DT412" t="e">
        <f>'Latin America and Caribbean'!C257+"$F;@!4D`"</f>
        <v>#VALUE!</v>
      </c>
      <c r="DU412" t="e">
        <f>'Latin America and Caribbean'!D257+"$F;@!4Da"</f>
        <v>#VALUE!</v>
      </c>
      <c r="DV412" t="e">
        <f>'Latin America and Caribbean'!E257+"$F;@!4Db"</f>
        <v>#VALUE!</v>
      </c>
      <c r="DW412" t="e">
        <f>'Latin America and Caribbean'!F257+"$F;@!4Dc"</f>
        <v>#VALUE!</v>
      </c>
      <c r="DX412" t="e">
        <f>'Latin America and Caribbean'!G257+"$F;@!4Dd"</f>
        <v>#VALUE!</v>
      </c>
      <c r="DY412" t="e">
        <f>'Latin America and Caribbean'!H257+"$F;@!4De"</f>
        <v>#VALUE!</v>
      </c>
      <c r="DZ412" t="e">
        <f>'Latin America and Caribbean'!A258+"$F;@!4Df"</f>
        <v>#VALUE!</v>
      </c>
      <c r="EA412" t="e">
        <f>'Latin America and Caribbean'!B258+"$F;@!4Dg"</f>
        <v>#VALUE!</v>
      </c>
      <c r="EB412" t="e">
        <f>'Latin America and Caribbean'!C258+"$F;@!4Dh"</f>
        <v>#VALUE!</v>
      </c>
      <c r="EC412" t="e">
        <f>'Latin America and Caribbean'!D258+"$F;@!4Di"</f>
        <v>#VALUE!</v>
      </c>
      <c r="ED412" t="e">
        <f>'Latin America and Caribbean'!E258+"$F;@!4Dj"</f>
        <v>#VALUE!</v>
      </c>
      <c r="EE412" t="e">
        <f>'Latin America and Caribbean'!F258+"$F;@!4Dk"</f>
        <v>#VALUE!</v>
      </c>
      <c r="EF412" t="e">
        <f>'Latin America and Caribbean'!G258+"$F;@!4Dl"</f>
        <v>#VALUE!</v>
      </c>
      <c r="EG412" t="e">
        <f>'Latin America and Caribbean'!H258+"$F;@!4Dm"</f>
        <v>#VALUE!</v>
      </c>
      <c r="EH412" t="e">
        <f>'Latin America and Caribbean'!A259+"$F;@!4Dn"</f>
        <v>#VALUE!</v>
      </c>
      <c r="EI412" t="e">
        <f>'Latin America and Caribbean'!B259+"$F;@!4Do"</f>
        <v>#VALUE!</v>
      </c>
      <c r="EJ412" t="e">
        <f>'Latin America and Caribbean'!C259+"$F;@!4Dp"</f>
        <v>#VALUE!</v>
      </c>
      <c r="EK412" t="e">
        <f>'Latin America and Caribbean'!D259+"$F;@!4Dq"</f>
        <v>#VALUE!</v>
      </c>
      <c r="EL412" t="e">
        <f>'Latin America and Caribbean'!E259+"$F;@!4Dr"</f>
        <v>#VALUE!</v>
      </c>
      <c r="EM412" t="e">
        <f>'Latin America and Caribbean'!F259+"$F;@!4Ds"</f>
        <v>#VALUE!</v>
      </c>
      <c r="EN412" t="e">
        <f>'Latin America and Caribbean'!G259+"$F;@!4Dt"</f>
        <v>#VALUE!</v>
      </c>
      <c r="EO412" t="e">
        <f>'Latin America and Caribbean'!H259+"$F;@!4Du"</f>
        <v>#VALUE!</v>
      </c>
      <c r="EP412" t="e">
        <f>'Latin America and Caribbean'!A260+"$F;@!4Dv"</f>
        <v>#VALUE!</v>
      </c>
      <c r="EQ412" t="e">
        <f>'Latin America and Caribbean'!B260+"$F;@!4Dw"</f>
        <v>#VALUE!</v>
      </c>
      <c r="ER412" t="e">
        <f>'Latin America and Caribbean'!C260+"$F;@!4Dx"</f>
        <v>#VALUE!</v>
      </c>
      <c r="ES412" t="e">
        <f>'Latin America and Caribbean'!D260+"$F;@!4Dy"</f>
        <v>#VALUE!</v>
      </c>
      <c r="ET412" t="e">
        <f>'Latin America and Caribbean'!E260+"$F;@!4Dz"</f>
        <v>#VALUE!</v>
      </c>
      <c r="EU412" t="e">
        <f>'Latin America and Caribbean'!F260+"$F;@!4D{"</f>
        <v>#VALUE!</v>
      </c>
      <c r="EV412" t="e">
        <f>'Latin America and Caribbean'!G260+"$F;@!4D|"</f>
        <v>#VALUE!</v>
      </c>
      <c r="EW412" t="e">
        <f>'Latin America and Caribbean'!H260+"$F;@!4D}"</f>
        <v>#VALUE!</v>
      </c>
      <c r="EX412" t="e">
        <f>'Latin America and Caribbean'!A261+"$F;@!4D~"</f>
        <v>#VALUE!</v>
      </c>
      <c r="EY412" t="e">
        <f>'Latin America and Caribbean'!B261+"$F;@!4E#"</f>
        <v>#VALUE!</v>
      </c>
      <c r="EZ412" t="e">
        <f>'Latin America and Caribbean'!C261+"$F;@!4E$"</f>
        <v>#VALUE!</v>
      </c>
      <c r="FA412" t="e">
        <f>'Latin America and Caribbean'!D261+"$F;@!4E%"</f>
        <v>#VALUE!</v>
      </c>
      <c r="FB412" t="e">
        <f>'Latin America and Caribbean'!E261+"$F;@!4E&amp;"</f>
        <v>#VALUE!</v>
      </c>
      <c r="FC412" t="e">
        <f>'Latin America and Caribbean'!F261+"$F;@!4E'"</f>
        <v>#VALUE!</v>
      </c>
      <c r="FD412" t="e">
        <f>'Latin America and Caribbean'!G261+"$F;@!4E("</f>
        <v>#VALUE!</v>
      </c>
      <c r="FE412" t="e">
        <f>'Latin America and Caribbean'!H261+"$F;@!4E)"</f>
        <v>#VALUE!</v>
      </c>
      <c r="FF412" t="e">
        <f>'Latin America and Caribbean'!A262+"$F;@!4E."</f>
        <v>#VALUE!</v>
      </c>
      <c r="FG412" t="e">
        <f>'Latin America and Caribbean'!B262+"$F;@!4E/"</f>
        <v>#VALUE!</v>
      </c>
      <c r="FH412" t="e">
        <f>'Latin America and Caribbean'!C262+"$F;@!4E0"</f>
        <v>#VALUE!</v>
      </c>
      <c r="FI412" t="e">
        <f>'Latin America and Caribbean'!D262+"$F;@!4E1"</f>
        <v>#VALUE!</v>
      </c>
      <c r="FJ412" t="e">
        <f>'Latin America and Caribbean'!E262+"$F;@!4E2"</f>
        <v>#VALUE!</v>
      </c>
      <c r="FK412" t="e">
        <f>'Latin America and Caribbean'!F262+"$F;@!4E3"</f>
        <v>#VALUE!</v>
      </c>
      <c r="FL412" t="e">
        <f>'Latin America and Caribbean'!G262+"$F;@!4E4"</f>
        <v>#VALUE!</v>
      </c>
      <c r="FM412" t="e">
        <f>'Latin America and Caribbean'!H262+"$F;@!4E5"</f>
        <v>#VALUE!</v>
      </c>
      <c r="FN412" t="e">
        <f>'Latin America and Caribbean'!A263+"$F;@!4E6"</f>
        <v>#VALUE!</v>
      </c>
      <c r="FO412" t="e">
        <f>'Latin America and Caribbean'!B263+"$F;@!4E7"</f>
        <v>#VALUE!</v>
      </c>
      <c r="FP412" t="e">
        <f>'Latin America and Caribbean'!C263+"$F;@!4E8"</f>
        <v>#VALUE!</v>
      </c>
      <c r="FQ412" t="e">
        <f>'Latin America and Caribbean'!D263+"$F;@!4E9"</f>
        <v>#VALUE!</v>
      </c>
      <c r="FR412" t="e">
        <f>'Latin America and Caribbean'!E263+"$F;@!4E:"</f>
        <v>#VALUE!</v>
      </c>
      <c r="FS412" t="e">
        <f>'Latin America and Caribbean'!F263+"$F;@!4E;"</f>
        <v>#VALUE!</v>
      </c>
      <c r="FT412" t="e">
        <f>'Latin America and Caribbean'!G263+"$F;@!4E&lt;"</f>
        <v>#VALUE!</v>
      </c>
      <c r="FU412" t="e">
        <f>'Latin America and Caribbean'!H263+"$F;@!4E="</f>
        <v>#VALUE!</v>
      </c>
      <c r="FV412" t="e">
        <f>'Latin America and Caribbean'!A264+"$F;@!4E&gt;"</f>
        <v>#VALUE!</v>
      </c>
      <c r="FW412" t="e">
        <f>'Latin America and Caribbean'!B264+"$F;@!4E?"</f>
        <v>#VALUE!</v>
      </c>
      <c r="FX412" t="e">
        <f>'Latin America and Caribbean'!C264+"$F;@!4E@"</f>
        <v>#VALUE!</v>
      </c>
      <c r="FY412" t="e">
        <f>'Latin America and Caribbean'!D264+"$F;@!4EA"</f>
        <v>#VALUE!</v>
      </c>
      <c r="FZ412" t="e">
        <f>'Latin America and Caribbean'!E264+"$F;@!4EB"</f>
        <v>#VALUE!</v>
      </c>
      <c r="GA412" t="e">
        <f>'Latin America and Caribbean'!F264+"$F;@!4EC"</f>
        <v>#VALUE!</v>
      </c>
      <c r="GB412" t="e">
        <f>'Latin America and Caribbean'!G264+"$F;@!4ED"</f>
        <v>#VALUE!</v>
      </c>
      <c r="GC412" t="e">
        <f>'Latin America and Caribbean'!H264+"$F;@!4EE"</f>
        <v>#VALUE!</v>
      </c>
      <c r="GD412" t="e">
        <f>'Latin America and Caribbean'!A265+"$F;@!4EF"</f>
        <v>#VALUE!</v>
      </c>
      <c r="GE412" t="e">
        <f>'Latin America and Caribbean'!B265+"$F;@!4EG"</f>
        <v>#VALUE!</v>
      </c>
      <c r="GF412" t="e">
        <f>'Latin America and Caribbean'!C265+"$F;@!4EH"</f>
        <v>#VALUE!</v>
      </c>
      <c r="GG412" t="e">
        <f>'Latin America and Caribbean'!D265+"$F;@!4EI"</f>
        <v>#VALUE!</v>
      </c>
      <c r="GH412" t="e">
        <f>'Latin America and Caribbean'!E265+"$F;@!4EJ"</f>
        <v>#VALUE!</v>
      </c>
      <c r="GI412" t="e">
        <f>'Latin America and Caribbean'!F265+"$F;@!4EK"</f>
        <v>#VALUE!</v>
      </c>
      <c r="GJ412" t="e">
        <f>'Latin America and Caribbean'!G265+"$F;@!4EL"</f>
        <v>#VALUE!</v>
      </c>
      <c r="GK412" t="e">
        <f>'Latin America and Caribbean'!H265+"$F;@!4EM"</f>
        <v>#VALUE!</v>
      </c>
      <c r="GL412" t="e">
        <f>'Latin America and Caribbean'!A266+"$F;@!4EN"</f>
        <v>#VALUE!</v>
      </c>
      <c r="GM412" t="e">
        <f>'Latin America and Caribbean'!B266+"$F;@!4EO"</f>
        <v>#VALUE!</v>
      </c>
      <c r="GN412" t="e">
        <f>'Latin America and Caribbean'!C266+"$F;@!4EP"</f>
        <v>#VALUE!</v>
      </c>
      <c r="GO412" t="e">
        <f>'Latin America and Caribbean'!D266+"$F;@!4EQ"</f>
        <v>#VALUE!</v>
      </c>
      <c r="GP412" t="e">
        <f>'Latin America and Caribbean'!E266+"$F;@!4ER"</f>
        <v>#VALUE!</v>
      </c>
      <c r="GQ412" t="e">
        <f>'Latin America and Caribbean'!F266+"$F;@!4ES"</f>
        <v>#VALUE!</v>
      </c>
      <c r="GR412" t="e">
        <f>'Latin America and Caribbean'!G266+"$F;@!4ET"</f>
        <v>#VALUE!</v>
      </c>
      <c r="GS412" t="e">
        <f>'Latin America and Caribbean'!H266+"$F;@!4EU"</f>
        <v>#VALUE!</v>
      </c>
      <c r="GT412" t="e">
        <f>'Latin America and Caribbean'!A267+"$F;@!4EV"</f>
        <v>#VALUE!</v>
      </c>
      <c r="GU412" t="e">
        <f>'Latin America and Caribbean'!B267+"$F;@!4EW"</f>
        <v>#VALUE!</v>
      </c>
      <c r="GV412" t="e">
        <f>'Latin America and Caribbean'!C267+"$F;@!4EX"</f>
        <v>#VALUE!</v>
      </c>
      <c r="GW412" t="e">
        <f>'Latin America and Caribbean'!D267+"$F;@!4EY"</f>
        <v>#VALUE!</v>
      </c>
      <c r="GX412" t="e">
        <f>'Latin America and Caribbean'!E267+"$F;@!4EZ"</f>
        <v>#VALUE!</v>
      </c>
      <c r="GY412" t="e">
        <f>'Latin America and Caribbean'!F267+"$F;@!4E["</f>
        <v>#VALUE!</v>
      </c>
      <c r="GZ412" t="e">
        <f>'Latin America and Caribbean'!G267+"$F;@!4E\"</f>
        <v>#VALUE!</v>
      </c>
      <c r="HA412" t="e">
        <f>'Latin America and Caribbean'!H267+"$F;@!4E]"</f>
        <v>#VALUE!</v>
      </c>
      <c r="HB412" t="e">
        <f>'Latin America and Caribbean'!A268+"$F;@!4E^"</f>
        <v>#VALUE!</v>
      </c>
      <c r="HC412" t="e">
        <f>'Latin America and Caribbean'!B268+"$F;@!4E_"</f>
        <v>#VALUE!</v>
      </c>
      <c r="HD412" t="e">
        <f>'Latin America and Caribbean'!C268+"$F;@!4E`"</f>
        <v>#VALUE!</v>
      </c>
      <c r="HE412" t="e">
        <f>'Latin America and Caribbean'!D268+"$F;@!4Ea"</f>
        <v>#VALUE!</v>
      </c>
      <c r="HF412" t="e">
        <f>'Latin America and Caribbean'!E268+"$F;@!4Eb"</f>
        <v>#VALUE!</v>
      </c>
      <c r="HG412" t="e">
        <f>'Latin America and Caribbean'!F268+"$F;@!4Ec"</f>
        <v>#VALUE!</v>
      </c>
      <c r="HH412" t="e">
        <f>'Latin America and Caribbean'!G268+"$F;@!4Ed"</f>
        <v>#VALUE!</v>
      </c>
      <c r="HI412" t="e">
        <f>'Latin America and Caribbean'!H268+"$F;@!4Ee"</f>
        <v>#VALUE!</v>
      </c>
      <c r="HJ412" t="e">
        <f>'Latin America and Caribbean'!A269+"$F;@!4Ef"</f>
        <v>#VALUE!</v>
      </c>
      <c r="HK412" t="e">
        <f>'Latin America and Caribbean'!B269+"$F;@!4Eg"</f>
        <v>#VALUE!</v>
      </c>
      <c r="HL412" t="e">
        <f>'Latin America and Caribbean'!C269+"$F;@!4Eh"</f>
        <v>#VALUE!</v>
      </c>
      <c r="HM412" t="e">
        <f>'Latin America and Caribbean'!D269+"$F;@!4Ei"</f>
        <v>#VALUE!</v>
      </c>
      <c r="HN412" t="e">
        <f>'Latin America and Caribbean'!E269+"$F;@!4Ej"</f>
        <v>#VALUE!</v>
      </c>
      <c r="HO412" t="e">
        <f>'Latin America and Caribbean'!F269+"$F;@!4Ek"</f>
        <v>#VALUE!</v>
      </c>
      <c r="HP412" t="e">
        <f>'Latin America and Caribbean'!G269+"$F;@!4El"</f>
        <v>#VALUE!</v>
      </c>
      <c r="HQ412" t="e">
        <f>'Latin America and Caribbean'!H269+"$F;@!4Em"</f>
        <v>#VALUE!</v>
      </c>
      <c r="HR412" t="e">
        <f>'Latin America and Caribbean'!A270+"$F;@!4En"</f>
        <v>#VALUE!</v>
      </c>
      <c r="HS412" t="e">
        <f>'Latin America and Caribbean'!B270+"$F;@!4Eo"</f>
        <v>#VALUE!</v>
      </c>
      <c r="HT412" t="e">
        <f>'Latin America and Caribbean'!C270+"$F;@!4Ep"</f>
        <v>#VALUE!</v>
      </c>
      <c r="HU412" t="e">
        <f>'Latin America and Caribbean'!D270+"$F;@!4Eq"</f>
        <v>#VALUE!</v>
      </c>
      <c r="HV412" t="e">
        <f>'Latin America and Caribbean'!E270+"$F;@!4Er"</f>
        <v>#VALUE!</v>
      </c>
      <c r="HW412" t="e">
        <f>'Latin America and Caribbean'!F270+"$F;@!4Es"</f>
        <v>#VALUE!</v>
      </c>
      <c r="HX412" t="e">
        <f>'Latin America and Caribbean'!G270+"$F;@!4Et"</f>
        <v>#VALUE!</v>
      </c>
      <c r="HY412" t="e">
        <f>'Latin America and Caribbean'!H270+"$F;@!4Eu"</f>
        <v>#VALUE!</v>
      </c>
      <c r="HZ412" t="e">
        <f>'Latin America and Caribbean'!A271+"$F;@!4Ev"</f>
        <v>#VALUE!</v>
      </c>
      <c r="IA412" t="e">
        <f>'Latin America and Caribbean'!B271+"$F;@!4Ew"</f>
        <v>#VALUE!</v>
      </c>
      <c r="IB412" t="e">
        <f>'Latin America and Caribbean'!C271+"$F;@!4Ex"</f>
        <v>#VALUE!</v>
      </c>
      <c r="IC412" t="e">
        <f>'Latin America and Caribbean'!D271+"$F;@!4Ey"</f>
        <v>#VALUE!</v>
      </c>
      <c r="ID412" t="e">
        <f>'Latin America and Caribbean'!E271+"$F;@!4Ez"</f>
        <v>#VALUE!</v>
      </c>
      <c r="IE412" t="e">
        <f>'Latin America and Caribbean'!F271+"$F;@!4E{"</f>
        <v>#VALUE!</v>
      </c>
      <c r="IF412" t="e">
        <f>'Latin America and Caribbean'!G271+"$F;@!4E|"</f>
        <v>#VALUE!</v>
      </c>
      <c r="IG412" t="e">
        <f>'Latin America and Caribbean'!H271+"$F;@!4E}"</f>
        <v>#VALUE!</v>
      </c>
      <c r="IH412" t="e">
        <f>'Latin America and Caribbean'!A272+"$F;@!4E~"</f>
        <v>#VALUE!</v>
      </c>
      <c r="II412" t="e">
        <f>'Latin America and Caribbean'!B272+"$F;@!4F#"</f>
        <v>#VALUE!</v>
      </c>
      <c r="IJ412" t="e">
        <f>'Latin America and Caribbean'!C272+"$F;@!4F$"</f>
        <v>#VALUE!</v>
      </c>
      <c r="IK412" t="e">
        <f>'Latin America and Caribbean'!D272+"$F;@!4F%"</f>
        <v>#VALUE!</v>
      </c>
      <c r="IL412" t="e">
        <f>'Latin America and Caribbean'!E272+"$F;@!4F&amp;"</f>
        <v>#VALUE!</v>
      </c>
      <c r="IM412" t="e">
        <f>'Latin America and Caribbean'!F272+"$F;@!4F'"</f>
        <v>#VALUE!</v>
      </c>
      <c r="IN412" t="e">
        <f>'Latin America and Caribbean'!G272+"$F;@!4F("</f>
        <v>#VALUE!</v>
      </c>
      <c r="IO412" t="e">
        <f>'Latin America and Caribbean'!H272+"$F;@!4F)"</f>
        <v>#VALUE!</v>
      </c>
      <c r="IP412" t="e">
        <f>'Latin America and Caribbean'!A273+"$F;@!4F."</f>
        <v>#VALUE!</v>
      </c>
      <c r="IQ412" t="e">
        <f>'Latin America and Caribbean'!B273+"$F;@!4F/"</f>
        <v>#VALUE!</v>
      </c>
      <c r="IR412" t="e">
        <f>'Latin America and Caribbean'!C273+"$F;@!4F0"</f>
        <v>#VALUE!</v>
      </c>
      <c r="IS412" t="e">
        <f>'Latin America and Caribbean'!D273+"$F;@!4F1"</f>
        <v>#VALUE!</v>
      </c>
      <c r="IT412" t="e">
        <f>'Latin America and Caribbean'!E273+"$F;@!4F2"</f>
        <v>#VALUE!</v>
      </c>
      <c r="IU412" t="e">
        <f>'Latin America and Caribbean'!F273+"$F;@!4F3"</f>
        <v>#VALUE!</v>
      </c>
      <c r="IV412" t="e">
        <f>'Latin America and Caribbean'!G273+"$F;@!4F4"</f>
        <v>#VALUE!</v>
      </c>
    </row>
    <row r="413" spans="6:256" x14ac:dyDescent="0.35">
      <c r="F413" t="e">
        <f>'Latin America and Caribbean'!H273+"$F;@!4F5"</f>
        <v>#VALUE!</v>
      </c>
      <c r="G413" t="e">
        <f>'Latin America and Caribbean'!A274+"$F;@!4F6"</f>
        <v>#VALUE!</v>
      </c>
      <c r="H413" t="e">
        <f>'Latin America and Caribbean'!B274+"$F;@!4F7"</f>
        <v>#VALUE!</v>
      </c>
      <c r="I413" t="e">
        <f>'Latin America and Caribbean'!C274+"$F;@!4F8"</f>
        <v>#VALUE!</v>
      </c>
      <c r="J413" t="e">
        <f>'Latin America and Caribbean'!D274+"$F;@!4F9"</f>
        <v>#VALUE!</v>
      </c>
      <c r="K413" t="e">
        <f>'Latin America and Caribbean'!E274+"$F;@!4F:"</f>
        <v>#VALUE!</v>
      </c>
      <c r="L413" t="e">
        <f>'Latin America and Caribbean'!F274+"$F;@!4F;"</f>
        <v>#VALUE!</v>
      </c>
      <c r="M413" t="e">
        <f>'Latin America and Caribbean'!G274+"$F;@!4F&lt;"</f>
        <v>#VALUE!</v>
      </c>
      <c r="N413" t="e">
        <f>'Latin America and Caribbean'!H274+"$F;@!4F="</f>
        <v>#VALUE!</v>
      </c>
      <c r="O413" t="e">
        <f>'Latin America and Caribbean'!A275+"$F;@!4F&gt;"</f>
        <v>#VALUE!</v>
      </c>
      <c r="P413" t="e">
        <f>'Latin America and Caribbean'!B275+"$F;@!4F?"</f>
        <v>#VALUE!</v>
      </c>
      <c r="Q413" t="e">
        <f>'Latin America and Caribbean'!C275+"$F;@!4F@"</f>
        <v>#VALUE!</v>
      </c>
      <c r="R413" t="e">
        <f>'Latin America and Caribbean'!D275+"$F;@!4FA"</f>
        <v>#VALUE!</v>
      </c>
      <c r="S413" t="e">
        <f>'Latin America and Caribbean'!E275+"$F;@!4FB"</f>
        <v>#VALUE!</v>
      </c>
      <c r="T413" t="e">
        <f>'Latin America and Caribbean'!F275+"$F;@!4FC"</f>
        <v>#VALUE!</v>
      </c>
      <c r="U413" t="e">
        <f>'Latin America and Caribbean'!G275+"$F;@!4FD"</f>
        <v>#VALUE!</v>
      </c>
      <c r="V413" t="e">
        <f>'Latin America and Caribbean'!H275+"$F;@!4FE"</f>
        <v>#VALUE!</v>
      </c>
      <c r="W413" t="e">
        <f>'Latin America and Caribbean'!A276+"$F;@!4FF"</f>
        <v>#VALUE!</v>
      </c>
      <c r="X413" t="e">
        <f>'Latin America and Caribbean'!B276+"$F;@!4FG"</f>
        <v>#VALUE!</v>
      </c>
      <c r="Y413" t="e">
        <f>'Latin America and Caribbean'!C276+"$F;@!4FH"</f>
        <v>#VALUE!</v>
      </c>
      <c r="Z413" t="e">
        <f>'Latin America and Caribbean'!D276+"$F;@!4FI"</f>
        <v>#VALUE!</v>
      </c>
      <c r="AA413" t="e">
        <f>'Latin America and Caribbean'!E276+"$F;@!4FJ"</f>
        <v>#VALUE!</v>
      </c>
      <c r="AB413" t="e">
        <f>'Latin America and Caribbean'!F276+"$F;@!4FK"</f>
        <v>#VALUE!</v>
      </c>
      <c r="AC413" t="e">
        <f>'Latin America and Caribbean'!G276+"$F;@!4FL"</f>
        <v>#VALUE!</v>
      </c>
      <c r="AD413" t="e">
        <f>'Latin America and Caribbean'!H276+"$F;@!4FM"</f>
        <v>#VALUE!</v>
      </c>
      <c r="AE413" t="e">
        <f>'Latin America and Caribbean'!A277+"$F;@!4FN"</f>
        <v>#VALUE!</v>
      </c>
      <c r="AF413" t="e">
        <f>'Latin America and Caribbean'!B277+"$F;@!4FO"</f>
        <v>#VALUE!</v>
      </c>
      <c r="AG413" t="e">
        <f>'Latin America and Caribbean'!C277+"$F;@!4FP"</f>
        <v>#VALUE!</v>
      </c>
      <c r="AH413" t="e">
        <f>'Latin America and Caribbean'!D277+"$F;@!4FQ"</f>
        <v>#VALUE!</v>
      </c>
      <c r="AI413" t="e">
        <f>'Latin America and Caribbean'!F277+"$F;@!4FR"</f>
        <v>#VALUE!</v>
      </c>
      <c r="AJ413" t="e">
        <f>'Latin America and Caribbean'!G277+"$F;@!4FS"</f>
        <v>#VALUE!</v>
      </c>
      <c r="AK413" t="e">
        <f>'Latin America and Caribbean'!H277+"$F;@!4FT"</f>
        <v>#VALUE!</v>
      </c>
      <c r="AL413" t="e">
        <f>'Latin America and Caribbean'!A278+"$F;@!4FU"</f>
        <v>#VALUE!</v>
      </c>
      <c r="AM413" t="e">
        <f>'Latin America and Caribbean'!B278+"$F;@!4FV"</f>
        <v>#VALUE!</v>
      </c>
      <c r="AN413" t="e">
        <f>'Latin America and Caribbean'!C278+"$F;@!4FW"</f>
        <v>#VALUE!</v>
      </c>
      <c r="AO413" t="e">
        <f>'Latin America and Caribbean'!D278+"$F;@!4FX"</f>
        <v>#VALUE!</v>
      </c>
      <c r="AP413" t="e">
        <f>'Latin America and Caribbean'!E278+"$F;@!4FY"</f>
        <v>#VALUE!</v>
      </c>
      <c r="AQ413" t="e">
        <f>'Latin America and Caribbean'!F278+"$F;@!4FZ"</f>
        <v>#VALUE!</v>
      </c>
      <c r="AR413" t="e">
        <f>'Latin America and Caribbean'!G278+"$F;@!4F["</f>
        <v>#VALUE!</v>
      </c>
      <c r="AS413" t="e">
        <f>'Latin America and Caribbean'!H278+"$F;@!4F\"</f>
        <v>#VALUE!</v>
      </c>
      <c r="AT413" t="e">
        <f>'Latin America and Caribbean'!A279+"$F;@!4F]"</f>
        <v>#VALUE!</v>
      </c>
      <c r="AU413" t="e">
        <f>'Latin America and Caribbean'!B279+"$F;@!4F^"</f>
        <v>#VALUE!</v>
      </c>
      <c r="AV413" t="e">
        <f>'Latin America and Caribbean'!C279+"$F;@!4F_"</f>
        <v>#VALUE!</v>
      </c>
      <c r="AW413" t="e">
        <f>'Latin America and Caribbean'!D279+"$F;@!4F`"</f>
        <v>#VALUE!</v>
      </c>
      <c r="AX413" t="e">
        <f>'Latin America and Caribbean'!E279+"$F;@!4Fa"</f>
        <v>#VALUE!</v>
      </c>
      <c r="AY413" t="e">
        <f>'Latin America and Caribbean'!F279+"$F;@!4Fb"</f>
        <v>#VALUE!</v>
      </c>
      <c r="AZ413" t="e">
        <f>'Latin America and Caribbean'!G279+"$F;@!4Fc"</f>
        <v>#VALUE!</v>
      </c>
      <c r="BA413" t="e">
        <f>'Latin America and Caribbean'!H279+"$F;@!4Fd"</f>
        <v>#VALUE!</v>
      </c>
      <c r="BB413" t="e">
        <f>'Latin America and Caribbean'!A280+"$F;@!4Fe"</f>
        <v>#VALUE!</v>
      </c>
      <c r="BC413" t="e">
        <f>'Latin America and Caribbean'!B280+"$F;@!4Ff"</f>
        <v>#VALUE!</v>
      </c>
      <c r="BD413" t="e">
        <f>'Latin America and Caribbean'!C280+"$F;@!4Fg"</f>
        <v>#VALUE!</v>
      </c>
      <c r="BE413" t="e">
        <f>'Latin America and Caribbean'!D280+"$F;@!4Fh"</f>
        <v>#VALUE!</v>
      </c>
      <c r="BF413" t="e">
        <f>'Latin America and Caribbean'!E280+"$F;@!4Fi"</f>
        <v>#VALUE!</v>
      </c>
      <c r="BG413" t="e">
        <f>'Latin America and Caribbean'!F280+"$F;@!4Fj"</f>
        <v>#VALUE!</v>
      </c>
      <c r="BH413" t="e">
        <f>'Latin America and Caribbean'!G280+"$F;@!4Fk"</f>
        <v>#VALUE!</v>
      </c>
      <c r="BI413" t="e">
        <f>'Latin America and Caribbean'!H280+"$F;@!4Fl"</f>
        <v>#VALUE!</v>
      </c>
      <c r="BJ413" t="e">
        <f>'Latin America and Caribbean'!A281+"$F;@!4Fm"</f>
        <v>#VALUE!</v>
      </c>
      <c r="BK413" t="e">
        <f>'Latin America and Caribbean'!B281+"$F;@!4Fn"</f>
        <v>#VALUE!</v>
      </c>
      <c r="BL413" t="e">
        <f>'Latin America and Caribbean'!C281+"$F;@!4Fo"</f>
        <v>#VALUE!</v>
      </c>
      <c r="BM413" t="e">
        <f>'Latin America and Caribbean'!D281+"$F;@!4Fp"</f>
        <v>#VALUE!</v>
      </c>
      <c r="BN413" t="e">
        <f>'Latin America and Caribbean'!E281+"$F;@!4Fq"</f>
        <v>#VALUE!</v>
      </c>
      <c r="BO413" t="e">
        <f>'Latin America and Caribbean'!F281+"$F;@!4Fr"</f>
        <v>#VALUE!</v>
      </c>
      <c r="BP413" t="e">
        <f>'Latin America and Caribbean'!G281+"$F;@!4Fs"</f>
        <v>#VALUE!</v>
      </c>
      <c r="BQ413" t="e">
        <f>'Latin America and Caribbean'!H281+"$F;@!4Ft"</f>
        <v>#VALUE!</v>
      </c>
      <c r="BR413" t="e">
        <f>'Latin America and Caribbean'!A282+"$F;@!4Fu"</f>
        <v>#VALUE!</v>
      </c>
      <c r="BS413" t="e">
        <f>'Latin America and Caribbean'!B282+"$F;@!4Fv"</f>
        <v>#VALUE!</v>
      </c>
      <c r="BT413" t="e">
        <f>'Latin America and Caribbean'!C282+"$F;@!4Fw"</f>
        <v>#VALUE!</v>
      </c>
      <c r="BU413" t="e">
        <f>'Latin America and Caribbean'!D282+"$F;@!4Fx"</f>
        <v>#VALUE!</v>
      </c>
      <c r="BV413" t="e">
        <f>'Latin America and Caribbean'!E282+"$F;@!4Fy"</f>
        <v>#VALUE!</v>
      </c>
      <c r="BW413" t="e">
        <f>'Latin America and Caribbean'!F282+"$F;@!4Fz"</f>
        <v>#VALUE!</v>
      </c>
      <c r="BX413" t="e">
        <f>'Latin America and Caribbean'!G282+"$F;@!4F{"</f>
        <v>#VALUE!</v>
      </c>
      <c r="BY413" t="e">
        <f>'Latin America and Caribbean'!H282+"$F;@!4F|"</f>
        <v>#VALUE!</v>
      </c>
      <c r="BZ413" t="e">
        <f>'Latin America and Caribbean'!A283+"$F;@!4F}"</f>
        <v>#VALUE!</v>
      </c>
      <c r="CA413" t="e">
        <f>'Latin America and Caribbean'!B283+"$F;@!4F~"</f>
        <v>#VALUE!</v>
      </c>
      <c r="CB413" t="e">
        <f>'Latin America and Caribbean'!C283+"$F;@!4G#"</f>
        <v>#VALUE!</v>
      </c>
      <c r="CC413" t="e">
        <f>'Latin America and Caribbean'!D283+"$F;@!4G$"</f>
        <v>#VALUE!</v>
      </c>
      <c r="CD413" t="e">
        <f>'Latin America and Caribbean'!E283+"$F;@!4G%"</f>
        <v>#VALUE!</v>
      </c>
      <c r="CE413" t="e">
        <f>'Latin America and Caribbean'!F283+"$F;@!4G&amp;"</f>
        <v>#VALUE!</v>
      </c>
      <c r="CF413" t="e">
        <f>'Latin America and Caribbean'!G283+"$F;@!4G'"</f>
        <v>#VALUE!</v>
      </c>
      <c r="CG413" t="e">
        <f>'Latin America and Caribbean'!H283+"$F;@!4G("</f>
        <v>#VALUE!</v>
      </c>
      <c r="CH413" t="e">
        <f>'Latin America and Caribbean'!A284+"$F;@!4G)"</f>
        <v>#VALUE!</v>
      </c>
      <c r="CI413" t="e">
        <f>'Latin America and Caribbean'!B284+"$F;@!4G."</f>
        <v>#VALUE!</v>
      </c>
      <c r="CJ413" t="e">
        <f>'Latin America and Caribbean'!C284+"$F;@!4G/"</f>
        <v>#VALUE!</v>
      </c>
      <c r="CK413" t="e">
        <f>'Latin America and Caribbean'!D284+"$F;@!4G0"</f>
        <v>#VALUE!</v>
      </c>
      <c r="CL413" t="e">
        <f>'Latin America and Caribbean'!E284+"$F;@!4G1"</f>
        <v>#VALUE!</v>
      </c>
      <c r="CM413" t="e">
        <f>'Latin America and Caribbean'!F284+"$F;@!4G2"</f>
        <v>#VALUE!</v>
      </c>
      <c r="CN413" t="e">
        <f>'Latin America and Caribbean'!G284+"$F;@!4G3"</f>
        <v>#VALUE!</v>
      </c>
      <c r="CO413" t="e">
        <f>'Latin America and Caribbean'!H284+"$F;@!4G4"</f>
        <v>#VALUE!</v>
      </c>
      <c r="CP413" t="e">
        <f>'Latin America and Caribbean'!A285+"$F;@!4G5"</f>
        <v>#VALUE!</v>
      </c>
      <c r="CQ413" t="e">
        <f>'Latin America and Caribbean'!B285+"$F;@!4G6"</f>
        <v>#VALUE!</v>
      </c>
      <c r="CR413" t="e">
        <f>'Latin America and Caribbean'!C285+"$F;@!4G7"</f>
        <v>#VALUE!</v>
      </c>
      <c r="CS413" t="e">
        <f>'Latin America and Caribbean'!D285+"$F;@!4G8"</f>
        <v>#VALUE!</v>
      </c>
      <c r="CT413" t="e">
        <f>'Latin America and Caribbean'!E285+"$F;@!4G9"</f>
        <v>#VALUE!</v>
      </c>
      <c r="CU413" t="e">
        <f>'Latin America and Caribbean'!F285+"$F;@!4G:"</f>
        <v>#VALUE!</v>
      </c>
      <c r="CV413" t="e">
        <f>'Latin America and Caribbean'!G285+"$F;@!4G;"</f>
        <v>#VALUE!</v>
      </c>
      <c r="CW413" t="e">
        <f>'Latin America and Caribbean'!H285+"$F;@!4G&lt;"</f>
        <v>#VALUE!</v>
      </c>
      <c r="CX413" t="e">
        <f>'Latin America and Caribbean'!A286+"$F;@!4G="</f>
        <v>#VALUE!</v>
      </c>
      <c r="CY413" t="e">
        <f>'Latin America and Caribbean'!B286+"$F;@!4G&gt;"</f>
        <v>#VALUE!</v>
      </c>
      <c r="CZ413" t="e">
        <f>'Latin America and Caribbean'!C286+"$F;@!4G?"</f>
        <v>#VALUE!</v>
      </c>
      <c r="DA413" t="e">
        <f>'Latin America and Caribbean'!D286+"$F;@!4G@"</f>
        <v>#VALUE!</v>
      </c>
      <c r="DB413" t="e">
        <f>'Latin America and Caribbean'!E286+"$F;@!4GA"</f>
        <v>#VALUE!</v>
      </c>
      <c r="DC413" t="e">
        <f>'Latin America and Caribbean'!F286+"$F;@!4GB"</f>
        <v>#VALUE!</v>
      </c>
      <c r="DD413" t="e">
        <f>'Latin America and Caribbean'!G286+"$F;@!4GC"</f>
        <v>#VALUE!</v>
      </c>
      <c r="DE413" t="e">
        <f>'Latin America and Caribbean'!H286+"$F;@!4GD"</f>
        <v>#VALUE!</v>
      </c>
      <c r="DF413" t="e">
        <f>'Latin America and Caribbean'!A287+"$F;@!4GE"</f>
        <v>#VALUE!</v>
      </c>
      <c r="DG413" t="e">
        <f>'Latin America and Caribbean'!B287+"$F;@!4GF"</f>
        <v>#VALUE!</v>
      </c>
      <c r="DH413" t="e">
        <f>'Latin America and Caribbean'!C287+"$F;@!4GG"</f>
        <v>#VALUE!</v>
      </c>
      <c r="DI413" t="e">
        <f>'Latin America and Caribbean'!D287+"$F;@!4GH"</f>
        <v>#VALUE!</v>
      </c>
      <c r="DJ413" t="e">
        <f>'Latin America and Caribbean'!E287+"$F;@!4GI"</f>
        <v>#VALUE!</v>
      </c>
      <c r="DK413" t="e">
        <f>'Latin America and Caribbean'!F287+"$F;@!4GJ"</f>
        <v>#VALUE!</v>
      </c>
      <c r="DL413" t="e">
        <f>'Latin America and Caribbean'!G287+"$F;@!4GK"</f>
        <v>#VALUE!</v>
      </c>
      <c r="DM413" t="e">
        <f>'Latin America and Caribbean'!H287+"$F;@!4GL"</f>
        <v>#VALUE!</v>
      </c>
      <c r="DN413" t="e">
        <f>'Latin America and Caribbean'!A288+"$F;@!4GM"</f>
        <v>#VALUE!</v>
      </c>
      <c r="DO413" t="e">
        <f>'Latin America and Caribbean'!B288+"$F;@!4GN"</f>
        <v>#VALUE!</v>
      </c>
      <c r="DP413" t="e">
        <f>'Latin America and Caribbean'!C288+"$F;@!4GO"</f>
        <v>#VALUE!</v>
      </c>
      <c r="DQ413" t="e">
        <f>'Latin America and Caribbean'!D288+"$F;@!4GP"</f>
        <v>#VALUE!</v>
      </c>
      <c r="DR413" t="e">
        <f>'Latin America and Caribbean'!E288+"$F;@!4GQ"</f>
        <v>#VALUE!</v>
      </c>
      <c r="DS413" t="e">
        <f>'Latin America and Caribbean'!F288+"$F;@!4GR"</f>
        <v>#VALUE!</v>
      </c>
      <c r="DT413" t="e">
        <f>'Latin America and Caribbean'!G288+"$F;@!4GS"</f>
        <v>#VALUE!</v>
      </c>
      <c r="DU413" t="e">
        <f>'Latin America and Caribbean'!H288+"$F;@!4GT"</f>
        <v>#VALUE!</v>
      </c>
      <c r="DV413" t="e">
        <f>'Latin America and Caribbean'!A289+"$F;@!4GU"</f>
        <v>#VALUE!</v>
      </c>
      <c r="DW413" t="e">
        <f>'Latin America and Caribbean'!B289+"$F;@!4GV"</f>
        <v>#VALUE!</v>
      </c>
      <c r="DX413" t="e">
        <f>'Latin America and Caribbean'!C289+"$F;@!4GW"</f>
        <v>#VALUE!</v>
      </c>
      <c r="DY413" t="e">
        <f>'Latin America and Caribbean'!D289+"$F;@!4GX"</f>
        <v>#VALUE!</v>
      </c>
      <c r="DZ413" t="e">
        <f>'Latin America and Caribbean'!E289+"$F;@!4GY"</f>
        <v>#VALUE!</v>
      </c>
      <c r="EA413" t="e">
        <f>'Latin America and Caribbean'!F289+"$F;@!4GZ"</f>
        <v>#VALUE!</v>
      </c>
      <c r="EB413" t="e">
        <f>'Latin America and Caribbean'!G289+"$F;@!4G["</f>
        <v>#VALUE!</v>
      </c>
      <c r="EC413" t="e">
        <f>'Latin America and Caribbean'!H289+"$F;@!4G\"</f>
        <v>#VALUE!</v>
      </c>
      <c r="ED413" t="e">
        <f>'Latin America and Caribbean'!A290+"$F;@!4G]"</f>
        <v>#VALUE!</v>
      </c>
      <c r="EE413" t="e">
        <f>'Latin America and Caribbean'!B290+"$F;@!4G^"</f>
        <v>#VALUE!</v>
      </c>
      <c r="EF413" t="e">
        <f>'Latin America and Caribbean'!C290+"$F;@!4G_"</f>
        <v>#VALUE!</v>
      </c>
      <c r="EG413" t="e">
        <f>'Latin America and Caribbean'!D290+"$F;@!4G`"</f>
        <v>#VALUE!</v>
      </c>
      <c r="EH413" t="e">
        <f>'Latin America and Caribbean'!E290+"$F;@!4Ga"</f>
        <v>#VALUE!</v>
      </c>
      <c r="EI413" t="e">
        <f>'Latin America and Caribbean'!F290+"$F;@!4Gb"</f>
        <v>#VALUE!</v>
      </c>
      <c r="EJ413" t="e">
        <f>'Latin America and Caribbean'!G290+"$F;@!4Gc"</f>
        <v>#VALUE!</v>
      </c>
      <c r="EK413" t="e">
        <f>'Latin America and Caribbean'!H290+"$F;@!4Gd"</f>
        <v>#VALUE!</v>
      </c>
      <c r="EL413" t="e">
        <f>'Latin America and Caribbean'!A291+"$F;@!4Ge"</f>
        <v>#VALUE!</v>
      </c>
      <c r="EM413" t="e">
        <f>'Latin America and Caribbean'!B291+"$F;@!4Gf"</f>
        <v>#VALUE!</v>
      </c>
      <c r="EN413" t="e">
        <f>'Latin America and Caribbean'!C291+"$F;@!4Gg"</f>
        <v>#VALUE!</v>
      </c>
      <c r="EO413" t="e">
        <f>'Latin America and Caribbean'!D291+"$F;@!4Gh"</f>
        <v>#VALUE!</v>
      </c>
      <c r="EP413" t="e">
        <f>'Latin America and Caribbean'!E291+"$F;@!4Gi"</f>
        <v>#VALUE!</v>
      </c>
      <c r="EQ413" t="e">
        <f>'Latin America and Caribbean'!F291+"$F;@!4Gj"</f>
        <v>#VALUE!</v>
      </c>
      <c r="ER413" t="e">
        <f>'Latin America and Caribbean'!G291+"$F;@!4Gk"</f>
        <v>#VALUE!</v>
      </c>
      <c r="ES413" t="e">
        <f>'Latin America and Caribbean'!H291+"$F;@!4Gl"</f>
        <v>#VALUE!</v>
      </c>
      <c r="ET413" t="e">
        <f>'Latin America and Caribbean'!A292+"$F;@!4Gm"</f>
        <v>#VALUE!</v>
      </c>
      <c r="EU413" t="e">
        <f>'Latin America and Caribbean'!B292+"$F;@!4Gn"</f>
        <v>#VALUE!</v>
      </c>
      <c r="EV413" t="e">
        <f>'Latin America and Caribbean'!C292+"$F;@!4Go"</f>
        <v>#VALUE!</v>
      </c>
      <c r="EW413" t="e">
        <f>'Latin America and Caribbean'!D292+"$F;@!4Gp"</f>
        <v>#VALUE!</v>
      </c>
      <c r="EX413" t="e">
        <f>'Latin America and Caribbean'!E292+"$F;@!4Gq"</f>
        <v>#VALUE!</v>
      </c>
      <c r="EY413" t="e">
        <f>'Latin America and Caribbean'!F292+"$F;@!4Gr"</f>
        <v>#VALUE!</v>
      </c>
      <c r="EZ413" t="e">
        <f>'Latin America and Caribbean'!G292+"$F;@!4Gs"</f>
        <v>#VALUE!</v>
      </c>
      <c r="FA413" t="e">
        <f>'Latin America and Caribbean'!H292+"$F;@!4Gt"</f>
        <v>#VALUE!</v>
      </c>
      <c r="FB413" t="e">
        <f>'Latin America and Caribbean'!A293+"$F;@!4Gu"</f>
        <v>#VALUE!</v>
      </c>
      <c r="FC413" t="e">
        <f>'Latin America and Caribbean'!B293+"$F;@!4Gv"</f>
        <v>#VALUE!</v>
      </c>
      <c r="FD413" t="e">
        <f>'Latin America and Caribbean'!C293+"$F;@!4Gw"</f>
        <v>#VALUE!</v>
      </c>
      <c r="FE413" t="e">
        <f>'Latin America and Caribbean'!D293+"$F;@!4Gx"</f>
        <v>#VALUE!</v>
      </c>
      <c r="FF413" t="e">
        <f>'Latin America and Caribbean'!E293+"$F;@!4Gy"</f>
        <v>#VALUE!</v>
      </c>
      <c r="FG413" t="e">
        <f>'Latin America and Caribbean'!F293+"$F;@!4Gz"</f>
        <v>#VALUE!</v>
      </c>
      <c r="FH413" t="e">
        <f>'Latin America and Caribbean'!G293+"$F;@!4G{"</f>
        <v>#VALUE!</v>
      </c>
      <c r="FI413" t="e">
        <f>'Latin America and Caribbean'!H293+"$F;@!4G|"</f>
        <v>#VALUE!</v>
      </c>
      <c r="FJ413" t="e">
        <f>'Latin America and Caribbean'!A294+"$F;@!4G}"</f>
        <v>#VALUE!</v>
      </c>
      <c r="FK413" t="e">
        <f>'Latin America and Caribbean'!B294+"$F;@!4G~"</f>
        <v>#VALUE!</v>
      </c>
      <c r="FL413" t="e">
        <f>'Latin America and Caribbean'!C294+"$F;@!4H#"</f>
        <v>#VALUE!</v>
      </c>
      <c r="FM413" t="e">
        <f>'Latin America and Caribbean'!D294+"$F;@!4H$"</f>
        <v>#VALUE!</v>
      </c>
      <c r="FN413" t="e">
        <f>'Latin America and Caribbean'!E294+"$F;@!4H%"</f>
        <v>#VALUE!</v>
      </c>
      <c r="FO413" t="e">
        <f>'Latin America and Caribbean'!F294+"$F;@!4H&amp;"</f>
        <v>#VALUE!</v>
      </c>
      <c r="FP413" t="e">
        <f>'Latin America and Caribbean'!G294+"$F;@!4H'"</f>
        <v>#VALUE!</v>
      </c>
      <c r="FQ413" t="e">
        <f>'Latin America and Caribbean'!H294+"$F;@!4H("</f>
        <v>#VALUE!</v>
      </c>
      <c r="FR413" t="e">
        <f>'Latin America and Caribbean'!A295+"$F;@!4H)"</f>
        <v>#VALUE!</v>
      </c>
      <c r="FS413" t="e">
        <f>'Latin America and Caribbean'!B295+"$F;@!4H."</f>
        <v>#VALUE!</v>
      </c>
      <c r="FT413" t="e">
        <f>'Latin America and Caribbean'!C295+"$F;@!4H/"</f>
        <v>#VALUE!</v>
      </c>
      <c r="FU413" t="e">
        <f>'Latin America and Caribbean'!D295+"$F;@!4H0"</f>
        <v>#VALUE!</v>
      </c>
      <c r="FV413" t="e">
        <f>'Latin America and Caribbean'!E295+"$F;@!4H1"</f>
        <v>#VALUE!</v>
      </c>
      <c r="FW413" t="e">
        <f>'Latin America and Caribbean'!F295+"$F;@!4H2"</f>
        <v>#VALUE!</v>
      </c>
      <c r="FX413" t="e">
        <f>'Latin America and Caribbean'!G295+"$F;@!4H3"</f>
        <v>#VALUE!</v>
      </c>
      <c r="FY413" t="e">
        <f>'Latin America and Caribbean'!H295+"$F;@!4H4"</f>
        <v>#VALUE!</v>
      </c>
      <c r="FZ413" t="e">
        <f>'Latin America and Caribbean'!A296+"$F;@!4H5"</f>
        <v>#VALUE!</v>
      </c>
      <c r="GA413" t="e">
        <f>'Latin America and Caribbean'!B296+"$F;@!4H6"</f>
        <v>#VALUE!</v>
      </c>
      <c r="GB413" t="e">
        <f>'Latin America and Caribbean'!C296+"$F;@!4H7"</f>
        <v>#VALUE!</v>
      </c>
      <c r="GC413" t="e">
        <f>'Latin America and Caribbean'!D296+"$F;@!4H8"</f>
        <v>#VALUE!</v>
      </c>
      <c r="GD413" t="e">
        <f>'Latin America and Caribbean'!E296+"$F;@!4H9"</f>
        <v>#VALUE!</v>
      </c>
      <c r="GE413" t="e">
        <f>'Latin America and Caribbean'!F296+"$F;@!4H:"</f>
        <v>#VALUE!</v>
      </c>
      <c r="GF413" t="e">
        <f>'Latin America and Caribbean'!G296+"$F;@!4H;"</f>
        <v>#VALUE!</v>
      </c>
      <c r="GG413" t="e">
        <f>'Latin America and Caribbean'!H296+"$F;@!4H&lt;"</f>
        <v>#VALUE!</v>
      </c>
      <c r="GH413" t="e">
        <f>'Latin America and Caribbean'!A297+"$F;@!4H="</f>
        <v>#VALUE!</v>
      </c>
      <c r="GI413" t="e">
        <f>'Latin America and Caribbean'!B297+"$F;@!4H&gt;"</f>
        <v>#VALUE!</v>
      </c>
      <c r="GJ413" t="e">
        <f>'Latin America and Caribbean'!C297+"$F;@!4H?"</f>
        <v>#VALUE!</v>
      </c>
      <c r="GK413" t="e">
        <f>'Latin America and Caribbean'!D297+"$F;@!4H@"</f>
        <v>#VALUE!</v>
      </c>
      <c r="GL413" t="e">
        <f>'Latin America and Caribbean'!E297+"$F;@!4HA"</f>
        <v>#VALUE!</v>
      </c>
      <c r="GM413" t="e">
        <f>'Latin America and Caribbean'!F297+"$F;@!4HB"</f>
        <v>#VALUE!</v>
      </c>
      <c r="GN413" t="e">
        <f>'Latin America and Caribbean'!G297+"$F;@!4HC"</f>
        <v>#VALUE!</v>
      </c>
      <c r="GO413" t="e">
        <f>'Latin America and Caribbean'!H297+"$F;@!4HD"</f>
        <v>#VALUE!</v>
      </c>
      <c r="GP413" t="e">
        <f>'Latin America and Caribbean'!A298+"$F;@!4HE"</f>
        <v>#VALUE!</v>
      </c>
      <c r="GQ413" t="e">
        <f>'Latin America and Caribbean'!B298+"$F;@!4HF"</f>
        <v>#VALUE!</v>
      </c>
      <c r="GR413" t="e">
        <f>'Latin America and Caribbean'!C298+"$F;@!4HG"</f>
        <v>#VALUE!</v>
      </c>
      <c r="GS413" t="e">
        <f>'Latin America and Caribbean'!D298+"$F;@!4HH"</f>
        <v>#VALUE!</v>
      </c>
      <c r="GT413" t="e">
        <f>'Latin America and Caribbean'!E298+"$F;@!4HI"</f>
        <v>#VALUE!</v>
      </c>
      <c r="GU413" t="e">
        <f>'Latin America and Caribbean'!F298+"$F;@!4HJ"</f>
        <v>#VALUE!</v>
      </c>
      <c r="GV413" t="e">
        <f>'Latin America and Caribbean'!G298+"$F;@!4HK"</f>
        <v>#VALUE!</v>
      </c>
      <c r="GW413" t="e">
        <f>'Latin America and Caribbean'!H298+"$F;@!4HL"</f>
        <v>#VALUE!</v>
      </c>
      <c r="GX413" t="e">
        <f>'Latin America and Caribbean'!A299+"$F;@!4HM"</f>
        <v>#VALUE!</v>
      </c>
      <c r="GY413" t="e">
        <f>'Latin America and Caribbean'!B299+"$F;@!4HN"</f>
        <v>#VALUE!</v>
      </c>
      <c r="GZ413" t="e">
        <f>'Latin America and Caribbean'!C299+"$F;@!4HO"</f>
        <v>#VALUE!</v>
      </c>
      <c r="HA413" t="e">
        <f>'Latin America and Caribbean'!D299+"$F;@!4HP"</f>
        <v>#VALUE!</v>
      </c>
      <c r="HB413" t="e">
        <f>'Latin America and Caribbean'!E299+"$F;@!4HQ"</f>
        <v>#VALUE!</v>
      </c>
      <c r="HC413" t="e">
        <f>'Latin America and Caribbean'!F299+"$F;@!4HR"</f>
        <v>#VALUE!</v>
      </c>
      <c r="HD413" t="e">
        <f>'Latin America and Caribbean'!G299+"$F;@!4HS"</f>
        <v>#VALUE!</v>
      </c>
      <c r="HE413" t="e">
        <f>'Latin America and Caribbean'!H299+"$F;@!4HT"</f>
        <v>#VALUE!</v>
      </c>
      <c r="HF413" t="e">
        <f>'Latin America and Caribbean'!A300+"$F;@!4HU"</f>
        <v>#VALUE!</v>
      </c>
      <c r="HG413" t="e">
        <f>'Latin America and Caribbean'!B300+"$F;@!4HV"</f>
        <v>#VALUE!</v>
      </c>
      <c r="HH413" t="e">
        <f>'Latin America and Caribbean'!C300+"$F;@!4HW"</f>
        <v>#VALUE!</v>
      </c>
      <c r="HI413" t="e">
        <f>'Latin America and Caribbean'!D300+"$F;@!4HX"</f>
        <v>#VALUE!</v>
      </c>
      <c r="HJ413" t="e">
        <f>'Latin America and Caribbean'!E300+"$F;@!4HY"</f>
        <v>#VALUE!</v>
      </c>
      <c r="HK413" t="e">
        <f>'Latin America and Caribbean'!F300+"$F;@!4HZ"</f>
        <v>#VALUE!</v>
      </c>
      <c r="HL413" t="e">
        <f>'Latin America and Caribbean'!G300+"$F;@!4H["</f>
        <v>#VALUE!</v>
      </c>
      <c r="HM413" t="e">
        <f>'Latin America and Caribbean'!H300+"$F;@!4H\"</f>
        <v>#VALUE!</v>
      </c>
      <c r="HN413" t="e">
        <f>'Latin America and Caribbean'!A301+"$F;@!4H]"</f>
        <v>#VALUE!</v>
      </c>
      <c r="HO413" t="e">
        <f>'Latin America and Caribbean'!B301+"$F;@!4H^"</f>
        <v>#VALUE!</v>
      </c>
      <c r="HP413" t="e">
        <f>'Latin America and Caribbean'!C301+"$F;@!4H_"</f>
        <v>#VALUE!</v>
      </c>
      <c r="HQ413" t="e">
        <f>'Latin America and Caribbean'!D301+"$F;@!4H`"</f>
        <v>#VALUE!</v>
      </c>
      <c r="HR413" t="e">
        <f>'Latin America and Caribbean'!E301+"$F;@!4Ha"</f>
        <v>#VALUE!</v>
      </c>
      <c r="HS413" t="e">
        <f>'Latin America and Caribbean'!F301+"$F;@!4Hb"</f>
        <v>#VALUE!</v>
      </c>
      <c r="HT413" t="e">
        <f>'Latin America and Caribbean'!G301+"$F;@!4Hc"</f>
        <v>#VALUE!</v>
      </c>
      <c r="HU413" t="e">
        <f>'Latin America and Caribbean'!H301+"$F;@!4Hd"</f>
        <v>#VALUE!</v>
      </c>
      <c r="HV413" t="e">
        <f>'Latin America and Caribbean'!A302+"$F;@!4He"</f>
        <v>#VALUE!</v>
      </c>
      <c r="HW413" t="e">
        <f>'Latin America and Caribbean'!B302+"$F;@!4Hf"</f>
        <v>#VALUE!</v>
      </c>
      <c r="HX413" t="e">
        <f>'Latin America and Caribbean'!C302+"$F;@!4Hg"</f>
        <v>#VALUE!</v>
      </c>
      <c r="HY413" t="e">
        <f>'Latin America and Caribbean'!D302+"$F;@!4Hh"</f>
        <v>#VALUE!</v>
      </c>
      <c r="HZ413" t="e">
        <f>'Latin America and Caribbean'!E302+"$F;@!4Hi"</f>
        <v>#VALUE!</v>
      </c>
      <c r="IA413" t="e">
        <f>'Latin America and Caribbean'!F302+"$F;@!4Hj"</f>
        <v>#VALUE!</v>
      </c>
      <c r="IB413" t="e">
        <f>'Latin America and Caribbean'!G302+"$F;@!4Hk"</f>
        <v>#VALUE!</v>
      </c>
      <c r="IC413" t="e">
        <f>'Latin America and Caribbean'!H302+"$F;@!4Hl"</f>
        <v>#VALUE!</v>
      </c>
      <c r="ID413" t="e">
        <f>'Latin America and Caribbean'!A303+"$F;@!4Hm"</f>
        <v>#VALUE!</v>
      </c>
      <c r="IE413" t="e">
        <f>'Latin America and Caribbean'!B303+"$F;@!4Hn"</f>
        <v>#VALUE!</v>
      </c>
      <c r="IF413" t="e">
        <f>'Latin America and Caribbean'!C303+"$F;@!4Ho"</f>
        <v>#VALUE!</v>
      </c>
      <c r="IG413" t="e">
        <f>'Latin America and Caribbean'!D303+"$F;@!4Hp"</f>
        <v>#VALUE!</v>
      </c>
      <c r="IH413" t="e">
        <f>'Latin America and Caribbean'!E303+"$F;@!4Hq"</f>
        <v>#VALUE!</v>
      </c>
      <c r="II413" t="e">
        <f>'Latin America and Caribbean'!F303+"$F;@!4Hr"</f>
        <v>#VALUE!</v>
      </c>
      <c r="IJ413" t="e">
        <f>'Latin America and Caribbean'!G303+"$F;@!4Hs"</f>
        <v>#VALUE!</v>
      </c>
      <c r="IK413" t="e">
        <f>'Latin America and Caribbean'!H303+"$F;@!4Ht"</f>
        <v>#VALUE!</v>
      </c>
      <c r="IL413" t="e">
        <f>'Latin America and Caribbean'!A304+"$F;@!4Hu"</f>
        <v>#VALUE!</v>
      </c>
      <c r="IM413" t="e">
        <f>'Latin America and Caribbean'!B304+"$F;@!4Hv"</f>
        <v>#VALUE!</v>
      </c>
      <c r="IN413" t="e">
        <f>'Latin America and Caribbean'!C304+"$F;@!4Hw"</f>
        <v>#VALUE!</v>
      </c>
      <c r="IO413" t="e">
        <f>'Latin America and Caribbean'!D304+"$F;@!4Hx"</f>
        <v>#VALUE!</v>
      </c>
      <c r="IP413" t="e">
        <f>'Latin America and Caribbean'!E304+"$F;@!4Hy"</f>
        <v>#VALUE!</v>
      </c>
      <c r="IQ413" t="e">
        <f>'Latin America and Caribbean'!F304+"$F;@!4Hz"</f>
        <v>#VALUE!</v>
      </c>
      <c r="IR413" t="e">
        <f>'Latin America and Caribbean'!G304+"$F;@!4H{"</f>
        <v>#VALUE!</v>
      </c>
      <c r="IS413" t="e">
        <f>'Latin America and Caribbean'!H304+"$F;@!4H|"</f>
        <v>#VALUE!</v>
      </c>
      <c r="IT413" t="e">
        <f>'Latin America and Caribbean'!A305+"$F;@!4H}"</f>
        <v>#VALUE!</v>
      </c>
      <c r="IU413" t="e">
        <f>'Latin America and Caribbean'!B305+"$F;@!4H~"</f>
        <v>#VALUE!</v>
      </c>
      <c r="IV413" t="e">
        <f>'Latin America and Caribbean'!C305+"$F;@!4I#"</f>
        <v>#VALUE!</v>
      </c>
    </row>
    <row r="414" spans="6:256" x14ac:dyDescent="0.35">
      <c r="F414" t="e">
        <f>'Latin America and Caribbean'!D305+"$F;@!4I$"</f>
        <v>#VALUE!</v>
      </c>
      <c r="G414" t="e">
        <f>'Latin America and Caribbean'!E305+"$F;@!4I%"</f>
        <v>#VALUE!</v>
      </c>
      <c r="H414" t="e">
        <f>'Latin America and Caribbean'!F305+"$F;@!4I&amp;"</f>
        <v>#VALUE!</v>
      </c>
      <c r="I414" t="e">
        <f>'Latin America and Caribbean'!G305+"$F;@!4I'"</f>
        <v>#VALUE!</v>
      </c>
      <c r="J414" t="e">
        <f>'Latin America and Caribbean'!H305+"$F;@!4I("</f>
        <v>#VALUE!</v>
      </c>
      <c r="K414" t="e">
        <f>'Latin America and Caribbean'!A306+"$F;@!4I)"</f>
        <v>#VALUE!</v>
      </c>
      <c r="L414" t="e">
        <f>'Latin America and Caribbean'!B306+"$F;@!4I."</f>
        <v>#VALUE!</v>
      </c>
      <c r="M414" t="e">
        <f>'Latin America and Caribbean'!C306+"$F;@!4I/"</f>
        <v>#VALUE!</v>
      </c>
      <c r="N414" t="e">
        <f>'Latin America and Caribbean'!D306+"$F;@!4I0"</f>
        <v>#VALUE!</v>
      </c>
      <c r="O414" t="e">
        <f>'Latin America and Caribbean'!E306+"$F;@!4I1"</f>
        <v>#VALUE!</v>
      </c>
      <c r="P414" t="e">
        <f>'Latin America and Caribbean'!F306+"$F;@!4I2"</f>
        <v>#VALUE!</v>
      </c>
      <c r="Q414" t="e">
        <f>'Latin America and Caribbean'!G306+"$F;@!4I3"</f>
        <v>#VALUE!</v>
      </c>
      <c r="R414" t="e">
        <f>'Latin America and Caribbean'!H306+"$F;@!4I4"</f>
        <v>#VALUE!</v>
      </c>
      <c r="S414" t="e">
        <f>'Latin America and Caribbean'!A307+"$F;@!4I5"</f>
        <v>#VALUE!</v>
      </c>
      <c r="T414" t="e">
        <f>'Latin America and Caribbean'!B307+"$F;@!4I6"</f>
        <v>#VALUE!</v>
      </c>
      <c r="U414" t="e">
        <f>'Latin America and Caribbean'!C307+"$F;@!4I7"</f>
        <v>#VALUE!</v>
      </c>
      <c r="V414" t="e">
        <f>'Latin America and Caribbean'!D307+"$F;@!4I8"</f>
        <v>#VALUE!</v>
      </c>
      <c r="W414" t="e">
        <f>'Latin America and Caribbean'!E307+"$F;@!4I9"</f>
        <v>#VALUE!</v>
      </c>
      <c r="X414" t="e">
        <f>'Latin America and Caribbean'!F307+"$F;@!4I:"</f>
        <v>#VALUE!</v>
      </c>
      <c r="Y414" t="e">
        <f>'Latin America and Caribbean'!G307+"$F;@!4I;"</f>
        <v>#VALUE!</v>
      </c>
      <c r="Z414" t="e">
        <f>'Latin America and Caribbean'!H307+"$F;@!4I&lt;"</f>
        <v>#VALUE!</v>
      </c>
      <c r="AA414" t="e">
        <f>'Latin America and Caribbean'!A308+"$F;@!4I="</f>
        <v>#VALUE!</v>
      </c>
      <c r="AB414" t="e">
        <f>'Latin America and Caribbean'!B308+"$F;@!4I&gt;"</f>
        <v>#VALUE!</v>
      </c>
      <c r="AC414" t="e">
        <f>'Latin America and Caribbean'!C308+"$F;@!4I?"</f>
        <v>#VALUE!</v>
      </c>
      <c r="AD414" t="e">
        <f>'Latin America and Caribbean'!D308+"$F;@!4I@"</f>
        <v>#VALUE!</v>
      </c>
      <c r="AE414" t="e">
        <f>'Latin America and Caribbean'!E308+"$F;@!4IA"</f>
        <v>#VALUE!</v>
      </c>
      <c r="AF414" t="e">
        <f>'Latin America and Caribbean'!F308+"$F;@!4IB"</f>
        <v>#VALUE!</v>
      </c>
      <c r="AG414" t="e">
        <f>'Latin America and Caribbean'!G308+"$F;@!4IC"</f>
        <v>#VALUE!</v>
      </c>
      <c r="AH414" t="e">
        <f>'Latin America and Caribbean'!H308+"$F;@!4ID"</f>
        <v>#VALUE!</v>
      </c>
      <c r="AI414" t="e">
        <f>'Latin America and Caribbean'!A309+"$F;@!4IE"</f>
        <v>#VALUE!</v>
      </c>
      <c r="AJ414" t="e">
        <f>'Latin America and Caribbean'!B309+"$F;@!4IF"</f>
        <v>#VALUE!</v>
      </c>
      <c r="AK414" t="e">
        <f>'Latin America and Caribbean'!C309+"$F;@!4IG"</f>
        <v>#VALUE!</v>
      </c>
      <c r="AL414" t="e">
        <f>'Latin America and Caribbean'!D309+"$F;@!4IH"</f>
        <v>#VALUE!</v>
      </c>
      <c r="AM414" t="e">
        <f>'Latin America and Caribbean'!E309+"$F;@!4II"</f>
        <v>#VALUE!</v>
      </c>
      <c r="AN414" t="e">
        <f>'Latin America and Caribbean'!F309+"$F;@!4IJ"</f>
        <v>#VALUE!</v>
      </c>
      <c r="AO414" t="e">
        <f>'Latin America and Caribbean'!G309+"$F;@!4IK"</f>
        <v>#VALUE!</v>
      </c>
      <c r="AP414" t="e">
        <f>'Latin America and Caribbean'!H309+"$F;@!4IL"</f>
        <v>#VALUE!</v>
      </c>
      <c r="AQ414" t="e">
        <f>'Latin America and Caribbean'!A310+"$F;@!4IM"</f>
        <v>#VALUE!</v>
      </c>
      <c r="AR414" t="e">
        <f>'Latin America and Caribbean'!B310+"$F;@!4IN"</f>
        <v>#VALUE!</v>
      </c>
      <c r="AS414" t="e">
        <f>'Latin America and Caribbean'!C310+"$F;@!4IO"</f>
        <v>#VALUE!</v>
      </c>
      <c r="AT414" t="e">
        <f>'Latin America and Caribbean'!D310+"$F;@!4IP"</f>
        <v>#VALUE!</v>
      </c>
      <c r="AU414" t="e">
        <f>'Latin America and Caribbean'!E310+"$F;@!4IQ"</f>
        <v>#VALUE!</v>
      </c>
      <c r="AV414" t="e">
        <f>'Latin America and Caribbean'!F310+"$F;@!4IR"</f>
        <v>#VALUE!</v>
      </c>
      <c r="AW414" t="e">
        <f>'Latin America and Caribbean'!G310+"$F;@!4IS"</f>
        <v>#VALUE!</v>
      </c>
      <c r="AX414" t="e">
        <f>'Latin America and Caribbean'!H310+"$F;@!4IT"</f>
        <v>#VALUE!</v>
      </c>
      <c r="AY414" t="e">
        <f>'Latin America and Caribbean'!A311+"$F;@!4IU"</f>
        <v>#VALUE!</v>
      </c>
      <c r="AZ414" t="e">
        <f>'Latin America and Caribbean'!B311+"$F;@!4IV"</f>
        <v>#VALUE!</v>
      </c>
      <c r="BA414" t="e">
        <f>'Latin America and Caribbean'!C311+"$F;@!4IW"</f>
        <v>#VALUE!</v>
      </c>
      <c r="BB414" t="e">
        <f>'Latin America and Caribbean'!D311+"$F;@!4IX"</f>
        <v>#VALUE!</v>
      </c>
      <c r="BC414" t="e">
        <f>'Latin America and Caribbean'!E311+"$F;@!4IY"</f>
        <v>#VALUE!</v>
      </c>
      <c r="BD414" t="e">
        <f>'Latin America and Caribbean'!F311+"$F;@!4IZ"</f>
        <v>#VALUE!</v>
      </c>
      <c r="BE414" t="e">
        <f>'Latin America and Caribbean'!G311+"$F;@!4I["</f>
        <v>#VALUE!</v>
      </c>
      <c r="BF414" t="e">
        <f>'Latin America and Caribbean'!H311+"$F;@!4I\"</f>
        <v>#VALUE!</v>
      </c>
      <c r="BG414" t="e">
        <f>'Latin America and Caribbean'!A312+"$F;@!4I]"</f>
        <v>#VALUE!</v>
      </c>
      <c r="BH414" t="e">
        <f>'Latin America and Caribbean'!B312+"$F;@!4I^"</f>
        <v>#VALUE!</v>
      </c>
      <c r="BI414" t="e">
        <f>'Latin America and Caribbean'!C312+"$F;@!4I_"</f>
        <v>#VALUE!</v>
      </c>
      <c r="BJ414" t="e">
        <f>'Latin America and Caribbean'!D312+"$F;@!4I`"</f>
        <v>#VALUE!</v>
      </c>
      <c r="BK414" t="e">
        <f>'Latin America and Caribbean'!E312+"$F;@!4Ia"</f>
        <v>#VALUE!</v>
      </c>
      <c r="BL414" t="e">
        <f>'Latin America and Caribbean'!F312+"$F;@!4Ib"</f>
        <v>#VALUE!</v>
      </c>
      <c r="BM414" t="e">
        <f>'Latin America and Caribbean'!G312+"$F;@!4Ic"</f>
        <v>#VALUE!</v>
      </c>
      <c r="BN414" t="e">
        <f>'Latin America and Caribbean'!H312+"$F;@!4Id"</f>
        <v>#VALUE!</v>
      </c>
      <c r="BO414" t="e">
        <f>'Latin America and Caribbean'!A313+"$F;@!4Ie"</f>
        <v>#VALUE!</v>
      </c>
      <c r="BP414" t="e">
        <f>'Latin America and Caribbean'!B313+"$F;@!4If"</f>
        <v>#VALUE!</v>
      </c>
      <c r="BQ414" t="e">
        <f>'Latin America and Caribbean'!C313+"$F;@!4Ig"</f>
        <v>#VALUE!</v>
      </c>
      <c r="BR414" t="e">
        <f>'Latin America and Caribbean'!D313+"$F;@!4Ih"</f>
        <v>#VALUE!</v>
      </c>
      <c r="BS414" t="e">
        <f>'Latin America and Caribbean'!E313+"$F;@!4Ii"</f>
        <v>#VALUE!</v>
      </c>
      <c r="BT414" t="e">
        <f>'Latin America and Caribbean'!F313+"$F;@!4Ij"</f>
        <v>#VALUE!</v>
      </c>
      <c r="BU414" t="e">
        <f>'Latin America and Caribbean'!G313+"$F;@!4Ik"</f>
        <v>#VALUE!</v>
      </c>
      <c r="BV414" t="e">
        <f>'Latin America and Caribbean'!H313+"$F;@!4Il"</f>
        <v>#VALUE!</v>
      </c>
      <c r="BW414" t="e">
        <f>'Latin America and Caribbean'!A314+"$F;@!4Im"</f>
        <v>#VALUE!</v>
      </c>
      <c r="BX414" t="e">
        <f>'Latin America and Caribbean'!B314+"$F;@!4In"</f>
        <v>#VALUE!</v>
      </c>
      <c r="BY414" t="e">
        <f>'Latin America and Caribbean'!C314+"$F;@!4Io"</f>
        <v>#VALUE!</v>
      </c>
      <c r="BZ414" t="e">
        <f>'Latin America and Caribbean'!D314+"$F;@!4Ip"</f>
        <v>#VALUE!</v>
      </c>
      <c r="CA414" t="e">
        <f>'Latin America and Caribbean'!E314+"$F;@!4Iq"</f>
        <v>#VALUE!</v>
      </c>
      <c r="CB414" t="e">
        <f>'Latin America and Caribbean'!F314+"$F;@!4Ir"</f>
        <v>#VALUE!</v>
      </c>
      <c r="CC414" t="e">
        <f>'Latin America and Caribbean'!G314+"$F;@!4Is"</f>
        <v>#VALUE!</v>
      </c>
      <c r="CD414" t="e">
        <f>'Latin America and Caribbean'!H314+"$F;@!4It"</f>
        <v>#VALUE!</v>
      </c>
      <c r="CE414" t="e">
        <f>'Latin America and Caribbean'!A315+"$F;@!4Iu"</f>
        <v>#VALUE!</v>
      </c>
      <c r="CF414" t="e">
        <f>'Latin America and Caribbean'!B315+"$F;@!4Iv"</f>
        <v>#VALUE!</v>
      </c>
      <c r="CG414" t="e">
        <f>'Latin America and Caribbean'!C315+"$F;@!4Iw"</f>
        <v>#VALUE!</v>
      </c>
      <c r="CH414" t="e">
        <f>'Latin America and Caribbean'!D315+"$F;@!4Ix"</f>
        <v>#VALUE!</v>
      </c>
      <c r="CI414" t="e">
        <f>'Latin America and Caribbean'!E315+"$F;@!4Iy"</f>
        <v>#VALUE!</v>
      </c>
      <c r="CJ414" t="e">
        <f>'Latin America and Caribbean'!F315+"$F;@!4Iz"</f>
        <v>#VALUE!</v>
      </c>
      <c r="CK414" t="e">
        <f>'Latin America and Caribbean'!G315+"$F;@!4I{"</f>
        <v>#VALUE!</v>
      </c>
      <c r="CL414" t="e">
        <f>'Latin America and Caribbean'!H315+"$F;@!4I|"</f>
        <v>#VALUE!</v>
      </c>
      <c r="CM414" t="e">
        <f>'Latin America and Caribbean'!A316+"$F;@!4I}"</f>
        <v>#VALUE!</v>
      </c>
      <c r="CN414" t="e">
        <f>'Latin America and Caribbean'!B316+"$F;@!4I~"</f>
        <v>#VALUE!</v>
      </c>
      <c r="CO414" t="e">
        <f>'Latin America and Caribbean'!C316+"$F;@!4J#"</f>
        <v>#VALUE!</v>
      </c>
      <c r="CP414" t="e">
        <f>'Latin America and Caribbean'!D316+"$F;@!4J$"</f>
        <v>#VALUE!</v>
      </c>
      <c r="CQ414" t="e">
        <f>'Latin America and Caribbean'!E316+"$F;@!4J%"</f>
        <v>#VALUE!</v>
      </c>
      <c r="CR414" t="e">
        <f>'Latin America and Caribbean'!F316+"$F;@!4J&amp;"</f>
        <v>#VALUE!</v>
      </c>
      <c r="CS414" t="e">
        <f>'Latin America and Caribbean'!G316+"$F;@!4J'"</f>
        <v>#VALUE!</v>
      </c>
      <c r="CT414" t="e">
        <f>'Latin America and Caribbean'!H316+"$F;@!4J("</f>
        <v>#VALUE!</v>
      </c>
      <c r="CU414" t="e">
        <f>'Latin America and Caribbean'!A317+"$F;@!4J)"</f>
        <v>#VALUE!</v>
      </c>
      <c r="CV414" t="e">
        <f>'Latin America and Caribbean'!B317+"$F;@!4J."</f>
        <v>#VALUE!</v>
      </c>
      <c r="CW414" t="e">
        <f>'Latin America and Caribbean'!C317+"$F;@!4J/"</f>
        <v>#VALUE!</v>
      </c>
      <c r="CX414" t="e">
        <f>'Latin America and Caribbean'!D317+"$F;@!4J0"</f>
        <v>#VALUE!</v>
      </c>
      <c r="CY414" t="e">
        <f>'Latin America and Caribbean'!E317+"$F;@!4J1"</f>
        <v>#VALUE!</v>
      </c>
      <c r="CZ414" t="e">
        <f>'Latin America and Caribbean'!F317+"$F;@!4J2"</f>
        <v>#VALUE!</v>
      </c>
      <c r="DA414" t="e">
        <f>'Latin America and Caribbean'!G317+"$F;@!4J3"</f>
        <v>#VALUE!</v>
      </c>
      <c r="DB414" t="e">
        <f>'Latin America and Caribbean'!H317+"$F;@!4J4"</f>
        <v>#VALUE!</v>
      </c>
      <c r="DC414" t="e">
        <f>'Latin America and Caribbean'!A318+"$F;@!4J5"</f>
        <v>#VALUE!</v>
      </c>
      <c r="DD414" t="e">
        <f>'Latin America and Caribbean'!B318+"$F;@!4J6"</f>
        <v>#VALUE!</v>
      </c>
      <c r="DE414" t="e">
        <f>'Latin America and Caribbean'!C318+"$F;@!4J7"</f>
        <v>#VALUE!</v>
      </c>
      <c r="DF414" t="e">
        <f>'Latin America and Caribbean'!D318+"$F;@!4J8"</f>
        <v>#VALUE!</v>
      </c>
      <c r="DG414" t="e">
        <f>'Latin America and Caribbean'!E318+"$F;@!4J9"</f>
        <v>#VALUE!</v>
      </c>
      <c r="DH414" t="e">
        <f>'Latin America and Caribbean'!F318+"$F;@!4J:"</f>
        <v>#VALUE!</v>
      </c>
      <c r="DI414" t="e">
        <f>'Latin America and Caribbean'!G318+"$F;@!4J;"</f>
        <v>#VALUE!</v>
      </c>
      <c r="DJ414" t="e">
        <f>'Latin America and Caribbean'!H318+"$F;@!4J&lt;"</f>
        <v>#VALUE!</v>
      </c>
      <c r="DK414" t="e">
        <f>'Latin America and Caribbean'!A319+"$F;@!4J="</f>
        <v>#VALUE!</v>
      </c>
      <c r="DL414" t="e">
        <f>'Latin America and Caribbean'!B319+"$F;@!4J&gt;"</f>
        <v>#VALUE!</v>
      </c>
      <c r="DM414" t="e">
        <f>'Latin America and Caribbean'!C319+"$F;@!4J?"</f>
        <v>#VALUE!</v>
      </c>
      <c r="DN414" t="e">
        <f>'Latin America and Caribbean'!D319+"$F;@!4J@"</f>
        <v>#VALUE!</v>
      </c>
      <c r="DO414" t="e">
        <f>'Latin America and Caribbean'!E319+"$F;@!4JA"</f>
        <v>#VALUE!</v>
      </c>
      <c r="DP414" t="e">
        <f>'Latin America and Caribbean'!F319+"$F;@!4JB"</f>
        <v>#VALUE!</v>
      </c>
      <c r="DQ414" t="e">
        <f>'Latin America and Caribbean'!G319+"$F;@!4JC"</f>
        <v>#VALUE!</v>
      </c>
      <c r="DR414" t="e">
        <f>'Latin America and Caribbean'!H319+"$F;@!4JD"</f>
        <v>#VALUE!</v>
      </c>
      <c r="DS414" t="e">
        <f>'Latin America and Caribbean'!A320+"$F;@!4JE"</f>
        <v>#VALUE!</v>
      </c>
      <c r="DT414" t="e">
        <f>'Latin America and Caribbean'!B320+"$F;@!4JF"</f>
        <v>#VALUE!</v>
      </c>
      <c r="DU414" t="e">
        <f>'Latin America and Caribbean'!C320+"$F;@!4JG"</f>
        <v>#VALUE!</v>
      </c>
      <c r="DV414" t="e">
        <f>'Latin America and Caribbean'!D320+"$F;@!4JH"</f>
        <v>#VALUE!</v>
      </c>
      <c r="DW414" t="e">
        <f>'Latin America and Caribbean'!E320+"$F;@!4JI"</f>
        <v>#VALUE!</v>
      </c>
      <c r="DX414" t="e">
        <f>'Latin America and Caribbean'!F320+"$F;@!4JJ"</f>
        <v>#VALUE!</v>
      </c>
      <c r="DY414" t="e">
        <f>'Latin America and Caribbean'!G320+"$F;@!4JK"</f>
        <v>#VALUE!</v>
      </c>
      <c r="DZ414" t="e">
        <f>'Latin America and Caribbean'!H320+"$F;@!4JL"</f>
        <v>#VALUE!</v>
      </c>
      <c r="EA414" t="e">
        <f>'Latin America and Caribbean'!A321+"$F;@!4JM"</f>
        <v>#VALUE!</v>
      </c>
      <c r="EB414" t="e">
        <f>'Latin America and Caribbean'!B321+"$F;@!4JN"</f>
        <v>#VALUE!</v>
      </c>
      <c r="EC414" t="e">
        <f>'Latin America and Caribbean'!C321+"$F;@!4JO"</f>
        <v>#VALUE!</v>
      </c>
      <c r="ED414" t="e">
        <f>'Latin America and Caribbean'!D321+"$F;@!4JP"</f>
        <v>#VALUE!</v>
      </c>
      <c r="EE414" t="e">
        <f>'Latin America and Caribbean'!E321+"$F;@!4JQ"</f>
        <v>#VALUE!</v>
      </c>
      <c r="EF414" t="e">
        <f>'Latin America and Caribbean'!F321+"$F;@!4JR"</f>
        <v>#VALUE!</v>
      </c>
      <c r="EG414" t="e">
        <f>'Latin America and Caribbean'!G321+"$F;@!4JS"</f>
        <v>#VALUE!</v>
      </c>
      <c r="EH414" t="e">
        <f>'Latin America and Caribbean'!H321+"$F;@!4JT"</f>
        <v>#VALUE!</v>
      </c>
      <c r="EI414" t="e">
        <f>'Latin America and Caribbean'!A322+"$F;@!4JU"</f>
        <v>#VALUE!</v>
      </c>
      <c r="EJ414" t="e">
        <f>'Latin America and Caribbean'!B322+"$F;@!4JV"</f>
        <v>#VALUE!</v>
      </c>
      <c r="EK414" t="e">
        <f>'Latin America and Caribbean'!C322+"$F;@!4JW"</f>
        <v>#VALUE!</v>
      </c>
      <c r="EL414" t="e">
        <f>'Latin America and Caribbean'!D322+"$F;@!4JX"</f>
        <v>#VALUE!</v>
      </c>
      <c r="EM414" t="e">
        <f>'Latin America and Caribbean'!E322+"$F;@!4JY"</f>
        <v>#VALUE!</v>
      </c>
      <c r="EN414" t="e">
        <f>'Latin America and Caribbean'!F322+"$F;@!4JZ"</f>
        <v>#VALUE!</v>
      </c>
      <c r="EO414" t="e">
        <f>'Latin America and Caribbean'!G322+"$F;@!4J["</f>
        <v>#VALUE!</v>
      </c>
      <c r="EP414" t="e">
        <f>'Latin America and Caribbean'!H322+"$F;@!4J\"</f>
        <v>#VALUE!</v>
      </c>
      <c r="EQ414" t="e">
        <f>'Latin America and Caribbean'!A323+"$F;@!4J]"</f>
        <v>#VALUE!</v>
      </c>
      <c r="ER414" t="e">
        <f>'Latin America and Caribbean'!B323+"$F;@!4J^"</f>
        <v>#VALUE!</v>
      </c>
      <c r="ES414" t="e">
        <f>'Latin America and Caribbean'!C323+"$F;@!4J_"</f>
        <v>#VALUE!</v>
      </c>
      <c r="ET414" t="e">
        <f>'Latin America and Caribbean'!D323+"$F;@!4J`"</f>
        <v>#VALUE!</v>
      </c>
      <c r="EU414" t="e">
        <f>'Latin America and Caribbean'!E323+"$F;@!4Ja"</f>
        <v>#VALUE!</v>
      </c>
      <c r="EV414" t="e">
        <f>'Latin America and Caribbean'!F323+"$F;@!4Jb"</f>
        <v>#VALUE!</v>
      </c>
      <c r="EW414" t="e">
        <f>'Latin America and Caribbean'!G323+"$F;@!4Jc"</f>
        <v>#VALUE!</v>
      </c>
      <c r="EX414" t="e">
        <f>'Latin America and Caribbean'!H323+"$F;@!4Jd"</f>
        <v>#VALUE!</v>
      </c>
      <c r="EY414" t="e">
        <f>'Latin America and Caribbean'!A324+"$F;@!4Je"</f>
        <v>#VALUE!</v>
      </c>
      <c r="EZ414" t="e">
        <f>'Latin America and Caribbean'!B324+"$F;@!4Jf"</f>
        <v>#VALUE!</v>
      </c>
      <c r="FA414" t="e">
        <f>'Latin America and Caribbean'!C324+"$F;@!4Jg"</f>
        <v>#VALUE!</v>
      </c>
      <c r="FB414" t="e">
        <f>'Latin America and Caribbean'!D324+"$F;@!4Jh"</f>
        <v>#VALUE!</v>
      </c>
      <c r="FC414" t="e">
        <f>'Latin America and Caribbean'!E324+"$F;@!4Ji"</f>
        <v>#VALUE!</v>
      </c>
      <c r="FD414" t="e">
        <f>'Latin America and Caribbean'!F324+"$F;@!4Jj"</f>
        <v>#VALUE!</v>
      </c>
      <c r="FE414" t="e">
        <f>'Latin America and Caribbean'!G324+"$F;@!4Jk"</f>
        <v>#VALUE!</v>
      </c>
      <c r="FF414" t="e">
        <f>'Latin America and Caribbean'!H324+"$F;@!4Jl"</f>
        <v>#VALUE!</v>
      </c>
      <c r="FG414" t="e">
        <f>'Latin America and Caribbean'!A325+"$F;@!4Jm"</f>
        <v>#VALUE!</v>
      </c>
      <c r="FH414" t="e">
        <f>'Latin America and Caribbean'!B325+"$F;@!4Jn"</f>
        <v>#VALUE!</v>
      </c>
      <c r="FI414" t="e">
        <f>'Latin America and Caribbean'!C325+"$F;@!4Jo"</f>
        <v>#VALUE!</v>
      </c>
      <c r="FJ414" t="e">
        <f>'Latin America and Caribbean'!D325+"$F;@!4Jp"</f>
        <v>#VALUE!</v>
      </c>
      <c r="FK414" t="e">
        <f>'Latin America and Caribbean'!E325+"$F;@!4Jq"</f>
        <v>#VALUE!</v>
      </c>
      <c r="FL414" t="e">
        <f>'Latin America and Caribbean'!F325+"$F;@!4Jr"</f>
        <v>#VALUE!</v>
      </c>
      <c r="FM414" t="e">
        <f>'Latin America and Caribbean'!G325+"$F;@!4Js"</f>
        <v>#VALUE!</v>
      </c>
      <c r="FN414" t="e">
        <f>'Latin America and Caribbean'!H325+"$F;@!4Jt"</f>
        <v>#VALUE!</v>
      </c>
      <c r="FO414" t="e">
        <f>'Latin America and Caribbean'!A326+"$F;@!4Ju"</f>
        <v>#VALUE!</v>
      </c>
      <c r="FP414" t="e">
        <f>'Latin America and Caribbean'!B326+"$F;@!4Jv"</f>
        <v>#VALUE!</v>
      </c>
      <c r="FQ414" t="e">
        <f>'Latin America and Caribbean'!C326+"$F;@!4Jw"</f>
        <v>#VALUE!</v>
      </c>
      <c r="FR414" t="e">
        <f>'Latin America and Caribbean'!D326+"$F;@!4Jx"</f>
        <v>#VALUE!</v>
      </c>
      <c r="FS414" t="e">
        <f>'Latin America and Caribbean'!E326+"$F;@!4Jy"</f>
        <v>#VALUE!</v>
      </c>
      <c r="FT414" t="e">
        <f>'Latin America and Caribbean'!F326+"$F;@!4Jz"</f>
        <v>#VALUE!</v>
      </c>
      <c r="FU414" t="e">
        <f>'Latin America and Caribbean'!G326+"$F;@!4J{"</f>
        <v>#VALUE!</v>
      </c>
      <c r="FV414" t="e">
        <f>'Latin America and Caribbean'!H326+"$F;@!4J|"</f>
        <v>#VALUE!</v>
      </c>
      <c r="FW414" t="e">
        <f>'Latin America and Caribbean'!A327+"$F;@!4J}"</f>
        <v>#VALUE!</v>
      </c>
      <c r="FX414" t="e">
        <f>'Latin America and Caribbean'!B327+"$F;@!4J~"</f>
        <v>#VALUE!</v>
      </c>
      <c r="FY414" t="e">
        <f>'Latin America and Caribbean'!C327+"$F;@!4K#"</f>
        <v>#VALUE!</v>
      </c>
      <c r="FZ414" t="e">
        <f>'Latin America and Caribbean'!D327+"$F;@!4K$"</f>
        <v>#VALUE!</v>
      </c>
      <c r="GA414" t="e">
        <f>'Latin America and Caribbean'!E327+"$F;@!4K%"</f>
        <v>#VALUE!</v>
      </c>
      <c r="GB414" t="e">
        <f>'Latin America and Caribbean'!F327+"$F;@!4K&amp;"</f>
        <v>#VALUE!</v>
      </c>
      <c r="GC414" t="e">
        <f>'Latin America and Caribbean'!G327+"$F;@!4K'"</f>
        <v>#VALUE!</v>
      </c>
      <c r="GD414" t="e">
        <f>'Latin America and Caribbean'!H327+"$F;@!4K("</f>
        <v>#VALUE!</v>
      </c>
      <c r="GE414" t="e">
        <f>'Latin America and Caribbean'!A328+"$F;@!4K)"</f>
        <v>#VALUE!</v>
      </c>
      <c r="GF414" t="e">
        <f>'Latin America and Caribbean'!B328+"$F;@!4K."</f>
        <v>#VALUE!</v>
      </c>
      <c r="GG414" t="e">
        <f>'Latin America and Caribbean'!C328+"$F;@!4K/"</f>
        <v>#VALUE!</v>
      </c>
      <c r="GH414" t="e">
        <f>'Latin America and Caribbean'!D328+"$F;@!4K0"</f>
        <v>#VALUE!</v>
      </c>
      <c r="GI414" t="e">
        <f>'Latin America and Caribbean'!E328+"$F;@!4K1"</f>
        <v>#VALUE!</v>
      </c>
      <c r="GJ414" t="e">
        <f>'Latin America and Caribbean'!F328+"$F;@!4K2"</f>
        <v>#VALUE!</v>
      </c>
      <c r="GK414" t="e">
        <f>'Latin America and Caribbean'!G328+"$F;@!4K3"</f>
        <v>#VALUE!</v>
      </c>
      <c r="GL414" t="e">
        <f>'Latin America and Caribbean'!H328+"$F;@!4K4"</f>
        <v>#VALUE!</v>
      </c>
      <c r="GM414" t="e">
        <f>'Latin America and Caribbean'!A329+"$F;@!4K5"</f>
        <v>#VALUE!</v>
      </c>
      <c r="GN414" t="e">
        <f>'Latin America and Caribbean'!B329+"$F;@!4K6"</f>
        <v>#VALUE!</v>
      </c>
      <c r="GO414" t="e">
        <f>'Latin America and Caribbean'!C329+"$F;@!4K7"</f>
        <v>#VALUE!</v>
      </c>
      <c r="GP414" t="e">
        <f>'Latin America and Caribbean'!D329+"$F;@!4K8"</f>
        <v>#VALUE!</v>
      </c>
      <c r="GQ414" t="e">
        <f>'Latin America and Caribbean'!E329+"$F;@!4K9"</f>
        <v>#VALUE!</v>
      </c>
      <c r="GR414" t="e">
        <f>'Latin America and Caribbean'!F329+"$F;@!4K:"</f>
        <v>#VALUE!</v>
      </c>
      <c r="GS414" t="e">
        <f>'Latin America and Caribbean'!G329+"$F;@!4K;"</f>
        <v>#VALUE!</v>
      </c>
      <c r="GT414" t="e">
        <f>'Latin America and Caribbean'!H329+"$F;@!4K&lt;"</f>
        <v>#VALUE!</v>
      </c>
      <c r="GU414" t="e">
        <f>'Latin America and Caribbean'!A330+"$F;@!4K="</f>
        <v>#VALUE!</v>
      </c>
      <c r="GV414" t="e">
        <f>'Latin America and Caribbean'!B330+"$F;@!4K&gt;"</f>
        <v>#VALUE!</v>
      </c>
      <c r="GW414" t="e">
        <f>'Latin America and Caribbean'!C330+"$F;@!4K?"</f>
        <v>#VALUE!</v>
      </c>
      <c r="GX414" t="e">
        <f>'Latin America and Caribbean'!D330+"$F;@!4K@"</f>
        <v>#VALUE!</v>
      </c>
      <c r="GY414" t="e">
        <f>'Latin America and Caribbean'!E330+"$F;@!4KA"</f>
        <v>#VALUE!</v>
      </c>
      <c r="GZ414" t="e">
        <f>'Latin America and Caribbean'!F330+"$F;@!4KB"</f>
        <v>#VALUE!</v>
      </c>
      <c r="HA414" t="e">
        <f>'Latin America and Caribbean'!G330+"$F;@!4KC"</f>
        <v>#VALUE!</v>
      </c>
      <c r="HB414" t="e">
        <f>'Latin America and Caribbean'!H330+"$F;@!4KD"</f>
        <v>#VALUE!</v>
      </c>
      <c r="HC414" t="e">
        <f>'Latin America and Caribbean'!A331+"$F;@!4KE"</f>
        <v>#VALUE!</v>
      </c>
      <c r="HD414" t="e">
        <f>'Latin America and Caribbean'!B331+"$F;@!4KF"</f>
        <v>#VALUE!</v>
      </c>
      <c r="HE414" t="e">
        <f>'Latin America and Caribbean'!C331+"$F;@!4KG"</f>
        <v>#VALUE!</v>
      </c>
      <c r="HF414" t="e">
        <f>'Latin America and Caribbean'!D331+"$F;@!4KH"</f>
        <v>#VALUE!</v>
      </c>
      <c r="HG414" t="e">
        <f>'Latin America and Caribbean'!E331+"$F;@!4KI"</f>
        <v>#VALUE!</v>
      </c>
      <c r="HH414" t="e">
        <f>'Latin America and Caribbean'!F331+"$F;@!4KJ"</f>
        <v>#VALUE!</v>
      </c>
      <c r="HI414" t="e">
        <f>'Latin America and Caribbean'!G331+"$F;@!4KK"</f>
        <v>#VALUE!</v>
      </c>
      <c r="HJ414" t="e">
        <f>'Latin America and Caribbean'!H331+"$F;@!4KL"</f>
        <v>#VALUE!</v>
      </c>
      <c r="HK414" t="e">
        <f>'Latin America and Caribbean'!A332+"$F;@!4KM"</f>
        <v>#VALUE!</v>
      </c>
      <c r="HL414" t="e">
        <f>'Latin America and Caribbean'!B332+"$F;@!4KN"</f>
        <v>#VALUE!</v>
      </c>
      <c r="HM414" t="e">
        <f>'Latin America and Caribbean'!C332+"$F;@!4KO"</f>
        <v>#VALUE!</v>
      </c>
      <c r="HN414" t="e">
        <f>'Latin America and Caribbean'!D332+"$F;@!4KP"</f>
        <v>#VALUE!</v>
      </c>
      <c r="HO414" t="e">
        <f>'Latin America and Caribbean'!E332+"$F;@!4KQ"</f>
        <v>#VALUE!</v>
      </c>
      <c r="HP414" t="e">
        <f>'Latin America and Caribbean'!F332+"$F;@!4KR"</f>
        <v>#VALUE!</v>
      </c>
      <c r="HQ414" t="e">
        <f>'Latin America and Caribbean'!G332+"$F;@!4KS"</f>
        <v>#VALUE!</v>
      </c>
      <c r="HR414" t="e">
        <f>'Latin America and Caribbean'!H332+"$F;@!4KT"</f>
        <v>#VALUE!</v>
      </c>
      <c r="HS414" t="e">
        <f>'Latin America and Caribbean'!A333+"$F;@!4KU"</f>
        <v>#VALUE!</v>
      </c>
      <c r="HT414" t="e">
        <f>'Latin America and Caribbean'!B333+"$F;@!4KV"</f>
        <v>#VALUE!</v>
      </c>
      <c r="HU414" t="e">
        <f>'Latin America and Caribbean'!C333+"$F;@!4KW"</f>
        <v>#VALUE!</v>
      </c>
      <c r="HV414" t="e">
        <f>'Latin America and Caribbean'!D333+"$F;@!4KX"</f>
        <v>#VALUE!</v>
      </c>
      <c r="HW414" t="e">
        <f>'Latin America and Caribbean'!E333+"$F;@!4KY"</f>
        <v>#VALUE!</v>
      </c>
      <c r="HX414" t="e">
        <f>'Latin America and Caribbean'!F333+"$F;@!4KZ"</f>
        <v>#VALUE!</v>
      </c>
      <c r="HY414" t="e">
        <f>'Latin America and Caribbean'!G333+"$F;@!4K["</f>
        <v>#VALUE!</v>
      </c>
      <c r="HZ414" t="e">
        <f>'Latin America and Caribbean'!H333+"$F;@!4K\"</f>
        <v>#VALUE!</v>
      </c>
      <c r="IA414" t="e">
        <f>'Latin America and Caribbean'!A334+"$F;@!4K]"</f>
        <v>#VALUE!</v>
      </c>
      <c r="IB414" t="e">
        <f>'Latin America and Caribbean'!B334+"$F;@!4K^"</f>
        <v>#VALUE!</v>
      </c>
      <c r="IC414" t="e">
        <f>'Latin America and Caribbean'!C334+"$F;@!4K_"</f>
        <v>#VALUE!</v>
      </c>
      <c r="ID414" t="e">
        <f>'Latin America and Caribbean'!D334+"$F;@!4K`"</f>
        <v>#VALUE!</v>
      </c>
      <c r="IE414" t="e">
        <f>'Latin America and Caribbean'!E334+"$F;@!4Ka"</f>
        <v>#VALUE!</v>
      </c>
      <c r="IF414" t="e">
        <f>'Latin America and Caribbean'!F334+"$F;@!4Kb"</f>
        <v>#VALUE!</v>
      </c>
      <c r="IG414" t="e">
        <f>'Latin America and Caribbean'!G334+"$F;@!4Kc"</f>
        <v>#VALUE!</v>
      </c>
      <c r="IH414" t="e">
        <f>'Latin America and Caribbean'!H334+"$F;@!4Kd"</f>
        <v>#VALUE!</v>
      </c>
      <c r="II414" t="e">
        <f>'Latin America and Caribbean'!A335+"$F;@!4Ke"</f>
        <v>#VALUE!</v>
      </c>
      <c r="IJ414" t="e">
        <f>'Latin America and Caribbean'!B335+"$F;@!4Kf"</f>
        <v>#VALUE!</v>
      </c>
      <c r="IK414" t="e">
        <f>'Latin America and Caribbean'!C335+"$F;@!4Kg"</f>
        <v>#VALUE!</v>
      </c>
      <c r="IL414" t="e">
        <f>'Latin America and Caribbean'!D335+"$F;@!4Kh"</f>
        <v>#VALUE!</v>
      </c>
      <c r="IM414" t="e">
        <f>'Latin America and Caribbean'!E335+"$F;@!4Ki"</f>
        <v>#VALUE!</v>
      </c>
      <c r="IN414" t="e">
        <f>'Latin America and Caribbean'!F335+"$F;@!4Kj"</f>
        <v>#VALUE!</v>
      </c>
      <c r="IO414" t="e">
        <f>'Latin America and Caribbean'!G335+"$F;@!4Kk"</f>
        <v>#VALUE!</v>
      </c>
      <c r="IP414" t="e">
        <f>'Latin America and Caribbean'!H335+"$F;@!4Kl"</f>
        <v>#VALUE!</v>
      </c>
      <c r="IQ414" t="e">
        <f>'Latin America and Caribbean'!A336+"$F;@!4Km"</f>
        <v>#VALUE!</v>
      </c>
      <c r="IR414" t="e">
        <f>'Latin America and Caribbean'!B336+"$F;@!4Kn"</f>
        <v>#VALUE!</v>
      </c>
      <c r="IS414" t="e">
        <f>'Latin America and Caribbean'!C336+"$F;@!4Ko"</f>
        <v>#VALUE!</v>
      </c>
      <c r="IT414" t="e">
        <f>'Latin America and Caribbean'!D336+"$F;@!4Kp"</f>
        <v>#VALUE!</v>
      </c>
      <c r="IU414" t="e">
        <f>'Latin America and Caribbean'!E336+"$F;@!4Kq"</f>
        <v>#VALUE!</v>
      </c>
      <c r="IV414" t="e">
        <f>'Latin America and Caribbean'!F336+"$F;@!4Kr"</f>
        <v>#VALUE!</v>
      </c>
    </row>
    <row r="415" spans="6:256" x14ac:dyDescent="0.35">
      <c r="F415" t="e">
        <f>'Latin America and Caribbean'!G336+"$F;@!4Ks"</f>
        <v>#VALUE!</v>
      </c>
      <c r="G415" t="e">
        <f>'Latin America and Caribbean'!H336+"$F;@!4Kt"</f>
        <v>#VALUE!</v>
      </c>
      <c r="H415" t="e">
        <f>'Latin America and Caribbean'!A337+"$F;@!4Ku"</f>
        <v>#VALUE!</v>
      </c>
      <c r="I415" t="e">
        <f>'Latin America and Caribbean'!B337+"$F;@!4Kv"</f>
        <v>#VALUE!</v>
      </c>
      <c r="J415" t="e">
        <f>'Latin America and Caribbean'!C337+"$F;@!4Kw"</f>
        <v>#VALUE!</v>
      </c>
      <c r="K415" t="e">
        <f>'Latin America and Caribbean'!D337+"$F;@!4Kx"</f>
        <v>#VALUE!</v>
      </c>
      <c r="L415" t="e">
        <f>'Latin America and Caribbean'!E337+"$F;@!4Ky"</f>
        <v>#VALUE!</v>
      </c>
      <c r="M415" t="e">
        <f>'Latin America and Caribbean'!F337+"$F;@!4Kz"</f>
        <v>#VALUE!</v>
      </c>
      <c r="N415" t="e">
        <f>'Latin America and Caribbean'!G337+"$F;@!4K{"</f>
        <v>#VALUE!</v>
      </c>
      <c r="O415" t="e">
        <f>'Latin America and Caribbean'!H337+"$F;@!4K|"</f>
        <v>#VALUE!</v>
      </c>
      <c r="P415" t="e">
        <f>'Latin America and Caribbean'!A338+"$F;@!4K}"</f>
        <v>#VALUE!</v>
      </c>
      <c r="Q415" t="e">
        <f>'Latin America and Caribbean'!B338+"$F;@!4K~"</f>
        <v>#VALUE!</v>
      </c>
      <c r="R415" t="e">
        <f>'Latin America and Caribbean'!C338+"$F;@!4L#"</f>
        <v>#VALUE!</v>
      </c>
      <c r="S415" t="e">
        <f>'Latin America and Caribbean'!D338+"$F;@!4L$"</f>
        <v>#VALUE!</v>
      </c>
      <c r="T415" t="e">
        <f>'Latin America and Caribbean'!E338+"$F;@!4L%"</f>
        <v>#VALUE!</v>
      </c>
      <c r="U415" t="e">
        <f>'Latin America and Caribbean'!F338+"$F;@!4L&amp;"</f>
        <v>#VALUE!</v>
      </c>
      <c r="V415" t="e">
        <f>'Latin America and Caribbean'!G338+"$F;@!4L'"</f>
        <v>#VALUE!</v>
      </c>
      <c r="W415" t="e">
        <f>'Latin America and Caribbean'!H338+"$F;@!4L("</f>
        <v>#VALUE!</v>
      </c>
      <c r="X415" t="e">
        <f>'Latin America and Caribbean'!A339+"$F;@!4L)"</f>
        <v>#VALUE!</v>
      </c>
      <c r="Y415" t="e">
        <f>'Latin America and Caribbean'!B339+"$F;@!4L."</f>
        <v>#VALUE!</v>
      </c>
      <c r="Z415" t="e">
        <f>'Latin America and Caribbean'!C339+"$F;@!4L/"</f>
        <v>#VALUE!</v>
      </c>
      <c r="AA415" t="e">
        <f>'Latin America and Caribbean'!D339+"$F;@!4L0"</f>
        <v>#VALUE!</v>
      </c>
      <c r="AB415" t="e">
        <f>'Latin America and Caribbean'!E339+"$F;@!4L1"</f>
        <v>#VALUE!</v>
      </c>
      <c r="AC415" t="e">
        <f>'Latin America and Caribbean'!F339+"$F;@!4L2"</f>
        <v>#VALUE!</v>
      </c>
      <c r="AD415" t="e">
        <f>'Latin America and Caribbean'!G339+"$F;@!4L3"</f>
        <v>#VALUE!</v>
      </c>
      <c r="AE415" t="e">
        <f>'Latin America and Caribbean'!H339+"$F;@!4L4"</f>
        <v>#VALUE!</v>
      </c>
      <c r="AF415" t="e">
        <f>'Latin America and Caribbean'!A340+"$F;@!4L5"</f>
        <v>#VALUE!</v>
      </c>
      <c r="AG415" t="e">
        <f>'Latin America and Caribbean'!B340+"$F;@!4L6"</f>
        <v>#VALUE!</v>
      </c>
      <c r="AH415" t="e">
        <f>'Latin America and Caribbean'!C340+"$F;@!4L7"</f>
        <v>#VALUE!</v>
      </c>
      <c r="AI415" t="e">
        <f>'Latin America and Caribbean'!D340+"$F;@!4L8"</f>
        <v>#VALUE!</v>
      </c>
      <c r="AJ415" t="e">
        <f>'Latin America and Caribbean'!E340+"$F;@!4L9"</f>
        <v>#VALUE!</v>
      </c>
      <c r="AK415" t="e">
        <f>'Latin America and Caribbean'!F340+"$F;@!4L:"</f>
        <v>#VALUE!</v>
      </c>
      <c r="AL415" t="e">
        <f>'Latin America and Caribbean'!G340+"$F;@!4L;"</f>
        <v>#VALUE!</v>
      </c>
      <c r="AM415" t="e">
        <f>'Latin America and Caribbean'!H340+"$F;@!4L&lt;"</f>
        <v>#VALUE!</v>
      </c>
      <c r="AN415" t="e">
        <f>'Latin America and Caribbean'!A341+"$F;@!4L="</f>
        <v>#VALUE!</v>
      </c>
      <c r="AO415" t="e">
        <f>'Latin America and Caribbean'!B341+"$F;@!4L&gt;"</f>
        <v>#VALUE!</v>
      </c>
      <c r="AP415" t="e">
        <f>'Latin America and Caribbean'!C341+"$F;@!4L?"</f>
        <v>#VALUE!</v>
      </c>
      <c r="AQ415" t="e">
        <f>'Latin America and Caribbean'!D341+"$F;@!4L@"</f>
        <v>#VALUE!</v>
      </c>
      <c r="AR415" t="e">
        <f>'Latin America and Caribbean'!E341+"$F;@!4LA"</f>
        <v>#VALUE!</v>
      </c>
      <c r="AS415" t="e">
        <f>'Latin America and Caribbean'!F341+"$F;@!4LB"</f>
        <v>#VALUE!</v>
      </c>
      <c r="AT415" t="e">
        <f>'Latin America and Caribbean'!G341+"$F;@!4LC"</f>
        <v>#VALUE!</v>
      </c>
      <c r="AU415" t="e">
        <f>'Latin America and Caribbean'!H341+"$F;@!4LD"</f>
        <v>#VALUE!</v>
      </c>
      <c r="AV415" t="e">
        <f>'Latin America and Caribbean'!A342+"$F;@!4LE"</f>
        <v>#VALUE!</v>
      </c>
      <c r="AW415" t="e">
        <f>'Latin America and Caribbean'!B342+"$F;@!4LF"</f>
        <v>#VALUE!</v>
      </c>
      <c r="AX415" t="e">
        <f>'Latin America and Caribbean'!C342+"$F;@!4LG"</f>
        <v>#VALUE!</v>
      </c>
      <c r="AY415" t="e">
        <f>'Latin America and Caribbean'!D342+"$F;@!4LH"</f>
        <v>#VALUE!</v>
      </c>
      <c r="AZ415" t="e">
        <f>'Latin America and Caribbean'!E342+"$F;@!4LI"</f>
        <v>#VALUE!</v>
      </c>
      <c r="BA415" t="e">
        <f>'Latin America and Caribbean'!F342+"$F;@!4LJ"</f>
        <v>#VALUE!</v>
      </c>
      <c r="BB415" t="e">
        <f>'Latin America and Caribbean'!G342+"$F;@!4LK"</f>
        <v>#VALUE!</v>
      </c>
      <c r="BC415" t="e">
        <f>'Latin America and Caribbean'!H342+"$F;@!4LL"</f>
        <v>#VALUE!</v>
      </c>
      <c r="BD415" t="e">
        <f>'Latin America and Caribbean'!A343+"$F;@!4LM"</f>
        <v>#VALUE!</v>
      </c>
      <c r="BE415" t="e">
        <f>'Latin America and Caribbean'!B343+"$F;@!4LN"</f>
        <v>#VALUE!</v>
      </c>
      <c r="BF415" t="e">
        <f>'Latin America and Caribbean'!C343+"$F;@!4LO"</f>
        <v>#VALUE!</v>
      </c>
      <c r="BG415" t="e">
        <f>'Latin America and Caribbean'!D343+"$F;@!4LP"</f>
        <v>#VALUE!</v>
      </c>
      <c r="BH415" t="e">
        <f>'Latin America and Caribbean'!E343+"$F;@!4LQ"</f>
        <v>#VALUE!</v>
      </c>
      <c r="BI415" t="e">
        <f>'Latin America and Caribbean'!F343+"$F;@!4LR"</f>
        <v>#VALUE!</v>
      </c>
      <c r="BJ415" t="e">
        <f>'Latin America and Caribbean'!G343+"$F;@!4LS"</f>
        <v>#VALUE!</v>
      </c>
      <c r="BK415" t="e">
        <f>'Latin America and Caribbean'!H343+"$F;@!4LT"</f>
        <v>#VALUE!</v>
      </c>
      <c r="BL415" t="e">
        <f>'Latin America and Caribbean'!A344+"$F;@!4LU"</f>
        <v>#VALUE!</v>
      </c>
      <c r="BM415" t="e">
        <f>'Latin America and Caribbean'!B344+"$F;@!4LV"</f>
        <v>#VALUE!</v>
      </c>
      <c r="BN415" t="e">
        <f>'Latin America and Caribbean'!C344+"$F;@!4LW"</f>
        <v>#VALUE!</v>
      </c>
      <c r="BO415" t="e">
        <f>'Latin America and Caribbean'!D344+"$F;@!4LX"</f>
        <v>#VALUE!</v>
      </c>
      <c r="BP415" t="e">
        <f>'Latin America and Caribbean'!E344+"$F;@!4LY"</f>
        <v>#VALUE!</v>
      </c>
      <c r="BQ415" t="e">
        <f>'Latin America and Caribbean'!F344+"$F;@!4LZ"</f>
        <v>#VALUE!</v>
      </c>
      <c r="BR415" t="e">
        <f>'Latin America and Caribbean'!G344+"$F;@!4L["</f>
        <v>#VALUE!</v>
      </c>
      <c r="BS415" t="e">
        <f>'Latin America and Caribbean'!H344+"$F;@!4L\"</f>
        <v>#VALUE!</v>
      </c>
      <c r="BT415" t="e">
        <f>'Latin America and Caribbean'!A345+"$F;@!4L]"</f>
        <v>#VALUE!</v>
      </c>
      <c r="BU415" t="e">
        <f>'Latin America and Caribbean'!B345+"$F;@!4L^"</f>
        <v>#VALUE!</v>
      </c>
      <c r="BV415" t="e">
        <f>'Latin America and Caribbean'!C345+"$F;@!4L_"</f>
        <v>#VALUE!</v>
      </c>
      <c r="BW415" t="e">
        <f>'Latin America and Caribbean'!D345+"$F;@!4L`"</f>
        <v>#VALUE!</v>
      </c>
      <c r="BX415" t="e">
        <f>'Latin America and Caribbean'!E345+"$F;@!4La"</f>
        <v>#VALUE!</v>
      </c>
      <c r="BY415" t="e">
        <f>'Latin America and Caribbean'!F345+"$F;@!4Lb"</f>
        <v>#VALUE!</v>
      </c>
      <c r="BZ415" t="e">
        <f>'Latin America and Caribbean'!G345+"$F;@!4Lc"</f>
        <v>#VALUE!</v>
      </c>
      <c r="CA415" t="e">
        <f>'Latin America and Caribbean'!H345+"$F;@!4Ld"</f>
        <v>#VALUE!</v>
      </c>
      <c r="CB415" t="e">
        <f>'Latin America and Caribbean'!A346+"$F;@!4Le"</f>
        <v>#VALUE!</v>
      </c>
      <c r="CC415" t="e">
        <f>'Latin America and Caribbean'!B346+"$F;@!4Lf"</f>
        <v>#VALUE!</v>
      </c>
      <c r="CD415" t="e">
        <f>'Latin America and Caribbean'!C346+"$F;@!4Lg"</f>
        <v>#VALUE!</v>
      </c>
      <c r="CE415" t="e">
        <f>'Latin America and Caribbean'!D346+"$F;@!4Lh"</f>
        <v>#VALUE!</v>
      </c>
      <c r="CF415" t="e">
        <f>'Latin America and Caribbean'!E346+"$F;@!4Li"</f>
        <v>#VALUE!</v>
      </c>
      <c r="CG415" t="e">
        <f>'Latin America and Caribbean'!F346+"$F;@!4Lj"</f>
        <v>#VALUE!</v>
      </c>
      <c r="CH415" t="e">
        <f>'Latin America and Caribbean'!G346+"$F;@!4Lk"</f>
        <v>#VALUE!</v>
      </c>
      <c r="CI415" t="e">
        <f>'Latin America and Caribbean'!H346+"$F;@!4Ll"</f>
        <v>#VALUE!</v>
      </c>
      <c r="CJ415" t="e">
        <f>'Latin America and Caribbean'!A347+"$F;@!4Lm"</f>
        <v>#VALUE!</v>
      </c>
      <c r="CK415" t="e">
        <f>'Latin America and Caribbean'!B347+"$F;@!4Ln"</f>
        <v>#VALUE!</v>
      </c>
      <c r="CL415" t="e">
        <f>'Latin America and Caribbean'!C347+"$F;@!4Lo"</f>
        <v>#VALUE!</v>
      </c>
      <c r="CM415" t="e">
        <f>'Latin America and Caribbean'!D347+"$F;@!4Lp"</f>
        <v>#VALUE!</v>
      </c>
      <c r="CN415" t="e">
        <f>'Latin America and Caribbean'!E347+"$F;@!4Lq"</f>
        <v>#VALUE!</v>
      </c>
      <c r="CO415" t="e">
        <f>'Latin America and Caribbean'!F347+"$F;@!4Lr"</f>
        <v>#VALUE!</v>
      </c>
      <c r="CP415" t="e">
        <f>'Latin America and Caribbean'!G347+"$F;@!4Ls"</f>
        <v>#VALUE!</v>
      </c>
      <c r="CQ415" t="e">
        <f>'Latin America and Caribbean'!H347+"$F;@!4Lt"</f>
        <v>#VALUE!</v>
      </c>
      <c r="CR415" t="e">
        <f>'Latin America and Caribbean'!A348+"$F;@!4Lu"</f>
        <v>#VALUE!</v>
      </c>
      <c r="CS415" t="e">
        <f>'Latin America and Caribbean'!B348+"$F;@!4Lv"</f>
        <v>#VALUE!</v>
      </c>
      <c r="CT415" t="e">
        <f>'Latin America and Caribbean'!C348+"$F;@!4Lw"</f>
        <v>#VALUE!</v>
      </c>
      <c r="CU415" t="e">
        <f>'Latin America and Caribbean'!D348+"$F;@!4Lx"</f>
        <v>#VALUE!</v>
      </c>
      <c r="CV415" t="e">
        <f>'Latin America and Caribbean'!E348+"$F;@!4Ly"</f>
        <v>#VALUE!</v>
      </c>
      <c r="CW415" t="e">
        <f>'Latin America and Caribbean'!F348+"$F;@!4Lz"</f>
        <v>#VALUE!</v>
      </c>
      <c r="CX415" t="e">
        <f>'Latin America and Caribbean'!G348+"$F;@!4L{"</f>
        <v>#VALUE!</v>
      </c>
      <c r="CY415" t="e">
        <f>'Latin America and Caribbean'!H348+"$F;@!4L|"</f>
        <v>#VALUE!</v>
      </c>
      <c r="CZ415" t="e">
        <f>'Latin America and Caribbean'!A349+"$F;@!4L}"</f>
        <v>#VALUE!</v>
      </c>
      <c r="DA415" t="e">
        <f>'Latin America and Caribbean'!B349+"$F;@!4L~"</f>
        <v>#VALUE!</v>
      </c>
      <c r="DB415" t="e">
        <f>'Latin America and Caribbean'!C349+"$F;@!4M#"</f>
        <v>#VALUE!</v>
      </c>
      <c r="DC415" t="e">
        <f>'Latin America and Caribbean'!D349+"$F;@!4M$"</f>
        <v>#VALUE!</v>
      </c>
      <c r="DD415" t="e">
        <f>'Latin America and Caribbean'!E349+"$F;@!4M%"</f>
        <v>#VALUE!</v>
      </c>
      <c r="DE415" t="e">
        <f>'Latin America and Caribbean'!F349+"$F;@!4M&amp;"</f>
        <v>#VALUE!</v>
      </c>
      <c r="DF415" t="e">
        <f>'Latin America and Caribbean'!G349+"$F;@!4M'"</f>
        <v>#VALUE!</v>
      </c>
      <c r="DG415" t="e">
        <f>'Latin America and Caribbean'!H349+"$F;@!4M("</f>
        <v>#VALUE!</v>
      </c>
      <c r="DH415" t="e">
        <f>'Latin America and Caribbean'!A350+"$F;@!4M)"</f>
        <v>#VALUE!</v>
      </c>
      <c r="DI415" t="e">
        <f>'Latin America and Caribbean'!B350+"$F;@!4M."</f>
        <v>#VALUE!</v>
      </c>
      <c r="DJ415" t="e">
        <f>'Latin America and Caribbean'!C350+"$F;@!4M/"</f>
        <v>#VALUE!</v>
      </c>
      <c r="DK415" t="e">
        <f>'Latin America and Caribbean'!D350+"$F;@!4M0"</f>
        <v>#VALUE!</v>
      </c>
      <c r="DL415" t="e">
        <f>'Latin America and Caribbean'!E350+"$F;@!4M1"</f>
        <v>#VALUE!</v>
      </c>
      <c r="DM415" t="e">
        <f>'Latin America and Caribbean'!F350+"$F;@!4M2"</f>
        <v>#VALUE!</v>
      </c>
      <c r="DN415" t="e">
        <f>'Latin America and Caribbean'!G350+"$F;@!4M3"</f>
        <v>#VALUE!</v>
      </c>
      <c r="DO415" t="e">
        <f>'Latin America and Caribbean'!H350+"$F;@!4M4"</f>
        <v>#VALUE!</v>
      </c>
      <c r="DP415" t="e">
        <f>'Latin America and Caribbean'!A351+"$F;@!4M5"</f>
        <v>#VALUE!</v>
      </c>
      <c r="DQ415" t="e">
        <f>'Latin America and Caribbean'!B351+"$F;@!4M6"</f>
        <v>#VALUE!</v>
      </c>
      <c r="DR415" t="e">
        <f>'Latin America and Caribbean'!C351+"$F;@!4M7"</f>
        <v>#VALUE!</v>
      </c>
      <c r="DS415" t="e">
        <f>'Latin America and Caribbean'!D351+"$F;@!4M8"</f>
        <v>#VALUE!</v>
      </c>
      <c r="DT415" t="e">
        <f>'Latin America and Caribbean'!E351+"$F;@!4M9"</f>
        <v>#VALUE!</v>
      </c>
      <c r="DU415" t="e">
        <f>'Latin America and Caribbean'!F351+"$F;@!4M:"</f>
        <v>#VALUE!</v>
      </c>
      <c r="DV415" t="e">
        <f>'Latin America and Caribbean'!G351+"$F;@!4M;"</f>
        <v>#VALUE!</v>
      </c>
      <c r="DW415" t="e">
        <f>'Latin America and Caribbean'!H351+"$F;@!4M&lt;"</f>
        <v>#VALUE!</v>
      </c>
      <c r="DX415" t="e">
        <f>'Latin America and Caribbean'!A352+"$F;@!4M="</f>
        <v>#VALUE!</v>
      </c>
      <c r="DY415" t="e">
        <f>'Latin America and Caribbean'!B352+"$F;@!4M&gt;"</f>
        <v>#VALUE!</v>
      </c>
      <c r="DZ415" t="e">
        <f>'Latin America and Caribbean'!C352+"$F;@!4M?"</f>
        <v>#VALUE!</v>
      </c>
      <c r="EA415" t="e">
        <f>'Latin America and Caribbean'!D352+"$F;@!4M@"</f>
        <v>#VALUE!</v>
      </c>
      <c r="EB415" t="e">
        <f>'Latin America and Caribbean'!E352+"$F;@!4MA"</f>
        <v>#VALUE!</v>
      </c>
      <c r="EC415" t="e">
        <f>'Latin America and Caribbean'!F352+"$F;@!4MB"</f>
        <v>#VALUE!</v>
      </c>
      <c r="ED415" t="e">
        <f>'Latin America and Caribbean'!G352+"$F;@!4MC"</f>
        <v>#VALUE!</v>
      </c>
      <c r="EE415" t="e">
        <f>'Latin America and Caribbean'!H352+"$F;@!4MD"</f>
        <v>#VALUE!</v>
      </c>
      <c r="EF415" t="e">
        <f>'Latin America and Caribbean'!A353+"$F;@!4ME"</f>
        <v>#VALUE!</v>
      </c>
      <c r="EG415" t="e">
        <f>'Latin America and Caribbean'!B353+"$F;@!4MF"</f>
        <v>#VALUE!</v>
      </c>
      <c r="EH415" t="e">
        <f>'Latin America and Caribbean'!C353+"$F;@!4MG"</f>
        <v>#VALUE!</v>
      </c>
      <c r="EI415" t="e">
        <f>'Latin America and Caribbean'!D353+"$F;@!4MH"</f>
        <v>#VALUE!</v>
      </c>
      <c r="EJ415" t="e">
        <f>'Latin America and Caribbean'!E353+"$F;@!4MI"</f>
        <v>#VALUE!</v>
      </c>
      <c r="EK415" t="e">
        <f>'Latin America and Caribbean'!F353+"$F;@!4MJ"</f>
        <v>#VALUE!</v>
      </c>
      <c r="EL415" t="e">
        <f>'Latin America and Caribbean'!G353+"$F;@!4MK"</f>
        <v>#VALUE!</v>
      </c>
      <c r="EM415" t="e">
        <f>'Latin America and Caribbean'!H353+"$F;@!4ML"</f>
        <v>#VALUE!</v>
      </c>
      <c r="EN415" t="e">
        <f>'Latin America and Caribbean'!A354+"$F;@!4MM"</f>
        <v>#VALUE!</v>
      </c>
      <c r="EO415" t="e">
        <f>'Latin America and Caribbean'!B354+"$F;@!4MN"</f>
        <v>#VALUE!</v>
      </c>
      <c r="EP415" t="e">
        <f>'Latin America and Caribbean'!C354+"$F;@!4MO"</f>
        <v>#VALUE!</v>
      </c>
      <c r="EQ415" t="e">
        <f>'Latin America and Caribbean'!D354+"$F;@!4MP"</f>
        <v>#VALUE!</v>
      </c>
      <c r="ER415" t="e">
        <f>'Latin America and Caribbean'!E354+"$F;@!4MQ"</f>
        <v>#VALUE!</v>
      </c>
      <c r="ES415" t="e">
        <f>'Latin America and Caribbean'!F354+"$F;@!4MR"</f>
        <v>#VALUE!</v>
      </c>
      <c r="ET415" t="e">
        <f>'Latin America and Caribbean'!G354+"$F;@!4MS"</f>
        <v>#VALUE!</v>
      </c>
      <c r="EU415" t="e">
        <f>'Latin America and Caribbean'!H354+"$F;@!4MT"</f>
        <v>#VALUE!</v>
      </c>
      <c r="EV415" t="e">
        <f>'Latin America and Caribbean'!A355+"$F;@!4MU"</f>
        <v>#VALUE!</v>
      </c>
      <c r="EW415" t="e">
        <f>'Latin America and Caribbean'!B355+"$F;@!4MV"</f>
        <v>#VALUE!</v>
      </c>
      <c r="EX415" t="e">
        <f>'Latin America and Caribbean'!C355+"$F;@!4MW"</f>
        <v>#VALUE!</v>
      </c>
      <c r="EY415" t="e">
        <f>'Latin America and Caribbean'!D355+"$F;@!4MX"</f>
        <v>#VALUE!</v>
      </c>
      <c r="EZ415" t="e">
        <f>'Latin America and Caribbean'!E355+"$F;@!4MY"</f>
        <v>#VALUE!</v>
      </c>
      <c r="FA415" t="e">
        <f>'Latin America and Caribbean'!F355+"$F;@!4MZ"</f>
        <v>#VALUE!</v>
      </c>
      <c r="FB415" t="e">
        <f>'Latin America and Caribbean'!G355+"$F;@!4M["</f>
        <v>#VALUE!</v>
      </c>
      <c r="FC415" t="e">
        <f>'Latin America and Caribbean'!H355+"$F;@!4M\"</f>
        <v>#VALUE!</v>
      </c>
      <c r="FD415" t="e">
        <f>'Latin America and Caribbean'!A356+"$F;@!4M]"</f>
        <v>#VALUE!</v>
      </c>
      <c r="FE415" t="e">
        <f>'Latin America and Caribbean'!B356+"$F;@!4M^"</f>
        <v>#VALUE!</v>
      </c>
      <c r="FF415" t="e">
        <f>'Latin America and Caribbean'!C356+"$F;@!4M_"</f>
        <v>#VALUE!</v>
      </c>
      <c r="FG415" t="e">
        <f>'Latin America and Caribbean'!D356+"$F;@!4M`"</f>
        <v>#VALUE!</v>
      </c>
      <c r="FH415" t="e">
        <f>'Latin America and Caribbean'!E356+"$F;@!4Ma"</f>
        <v>#VALUE!</v>
      </c>
      <c r="FI415" t="e">
        <f>'Latin America and Caribbean'!F356+"$F;@!4Mb"</f>
        <v>#VALUE!</v>
      </c>
      <c r="FJ415" t="e">
        <f>'Latin America and Caribbean'!G356+"$F;@!4Mc"</f>
        <v>#VALUE!</v>
      </c>
      <c r="FK415" t="e">
        <f>'Latin America and Caribbean'!H356+"$F;@!4Md"</f>
        <v>#VALUE!</v>
      </c>
      <c r="FL415" t="e">
        <f>'Latin America and Caribbean'!A357+"$F;@!4Me"</f>
        <v>#VALUE!</v>
      </c>
      <c r="FM415" t="e">
        <f>'Latin America and Caribbean'!B357+"$F;@!4Mf"</f>
        <v>#VALUE!</v>
      </c>
      <c r="FN415" t="e">
        <f>'Latin America and Caribbean'!C357+"$F;@!4Mg"</f>
        <v>#VALUE!</v>
      </c>
      <c r="FO415" t="e">
        <f>'Latin America and Caribbean'!D357+"$F;@!4Mh"</f>
        <v>#VALUE!</v>
      </c>
      <c r="FP415" t="e">
        <f>'Latin America and Caribbean'!E357+"$F;@!4Mi"</f>
        <v>#VALUE!</v>
      </c>
      <c r="FQ415" t="e">
        <f>'Latin America and Caribbean'!F357+"$F;@!4Mj"</f>
        <v>#VALUE!</v>
      </c>
      <c r="FR415" t="e">
        <f>'Latin America and Caribbean'!G357+"$F;@!4Mk"</f>
        <v>#VALUE!</v>
      </c>
      <c r="FS415" t="e">
        <f>'Latin America and Caribbean'!H357+"$F;@!4Ml"</f>
        <v>#VALUE!</v>
      </c>
      <c r="FT415" t="e">
        <f>'Latin America and Caribbean'!A358+"$F;@!4Mm"</f>
        <v>#VALUE!</v>
      </c>
      <c r="FU415" t="e">
        <f>'Latin America and Caribbean'!B358+"$F;@!4Mn"</f>
        <v>#VALUE!</v>
      </c>
      <c r="FV415" t="e">
        <f>'Latin America and Caribbean'!C358+"$F;@!4Mo"</f>
        <v>#VALUE!</v>
      </c>
      <c r="FW415" t="e">
        <f>'Latin America and Caribbean'!D358+"$F;@!4Mp"</f>
        <v>#VALUE!</v>
      </c>
      <c r="FX415" t="e">
        <f>'Latin America and Caribbean'!E358+"$F;@!4Mq"</f>
        <v>#VALUE!</v>
      </c>
      <c r="FY415" t="e">
        <f>'Latin America and Caribbean'!F358+"$F;@!4Mr"</f>
        <v>#VALUE!</v>
      </c>
      <c r="FZ415" t="e">
        <f>'Latin America and Caribbean'!G358+"$F;@!4Ms"</f>
        <v>#VALUE!</v>
      </c>
      <c r="GA415" t="e">
        <f>'Latin America and Caribbean'!H358+"$F;@!4Mt"</f>
        <v>#VALUE!</v>
      </c>
      <c r="GB415" t="e">
        <f>'Latin America and Caribbean'!A359+"$F;@!4Mu"</f>
        <v>#VALUE!</v>
      </c>
      <c r="GC415" t="e">
        <f>'Latin America and Caribbean'!B359+"$F;@!4Mv"</f>
        <v>#VALUE!</v>
      </c>
      <c r="GD415" t="e">
        <f>'Latin America and Caribbean'!C359+"$F;@!4Mw"</f>
        <v>#VALUE!</v>
      </c>
      <c r="GE415" t="e">
        <f>'Latin America and Caribbean'!D359+"$F;@!4Mx"</f>
        <v>#VALUE!</v>
      </c>
      <c r="GF415" t="e">
        <f>'Latin America and Caribbean'!E359+"$F;@!4My"</f>
        <v>#VALUE!</v>
      </c>
      <c r="GG415" t="e">
        <f>'Latin America and Caribbean'!F359+"$F;@!4Mz"</f>
        <v>#VALUE!</v>
      </c>
      <c r="GH415" t="e">
        <f>'Latin America and Caribbean'!G359+"$F;@!4M{"</f>
        <v>#VALUE!</v>
      </c>
      <c r="GI415" t="e">
        <f>'Latin America and Caribbean'!H359+"$F;@!4M|"</f>
        <v>#VALUE!</v>
      </c>
      <c r="GJ415" t="e">
        <f>'Latin America and Caribbean'!A360+"$F;@!4M}"</f>
        <v>#VALUE!</v>
      </c>
      <c r="GK415" t="e">
        <f>'Latin America and Caribbean'!B360+"$F;@!4M~"</f>
        <v>#VALUE!</v>
      </c>
      <c r="GL415" t="e">
        <f>'Latin America and Caribbean'!C360+"$F;@!4N#"</f>
        <v>#VALUE!</v>
      </c>
      <c r="GM415" t="e">
        <f>'Latin America and Caribbean'!D360+"$F;@!4N$"</f>
        <v>#VALUE!</v>
      </c>
      <c r="GN415" t="e">
        <f>'Latin America and Caribbean'!E360+"$F;@!4N%"</f>
        <v>#VALUE!</v>
      </c>
      <c r="GO415" t="e">
        <f>'Latin America and Caribbean'!F360+"$F;@!4N&amp;"</f>
        <v>#VALUE!</v>
      </c>
      <c r="GP415" t="e">
        <f>'Latin America and Caribbean'!G360+"$F;@!4N'"</f>
        <v>#VALUE!</v>
      </c>
      <c r="GQ415" t="e">
        <f>'Latin America and Caribbean'!H360+"$F;@!4N("</f>
        <v>#VALUE!</v>
      </c>
      <c r="GR415" t="e">
        <f>'Latin America and Caribbean'!A361+"$F;@!4N)"</f>
        <v>#VALUE!</v>
      </c>
      <c r="GS415" t="e">
        <f>'Latin America and Caribbean'!B361+"$F;@!4N."</f>
        <v>#VALUE!</v>
      </c>
      <c r="GT415" t="e">
        <f>'Latin America and Caribbean'!C361+"$F;@!4N/"</f>
        <v>#VALUE!</v>
      </c>
      <c r="GU415" t="e">
        <f>'Latin America and Caribbean'!D361+"$F;@!4N0"</f>
        <v>#VALUE!</v>
      </c>
      <c r="GV415" t="e">
        <f>'Latin America and Caribbean'!E361+"$F;@!4N1"</f>
        <v>#VALUE!</v>
      </c>
      <c r="GW415" t="e">
        <f>'Latin America and Caribbean'!F361+"$F;@!4N2"</f>
        <v>#VALUE!</v>
      </c>
      <c r="GX415" t="e">
        <f>'Latin America and Caribbean'!G361+"$F;@!4N3"</f>
        <v>#VALUE!</v>
      </c>
      <c r="GY415" t="e">
        <f>'Latin America and Caribbean'!H361+"$F;@!4N4"</f>
        <v>#VALUE!</v>
      </c>
      <c r="GZ415" t="e">
        <f>'Latin America and Caribbean'!A362+"$F;@!4N5"</f>
        <v>#VALUE!</v>
      </c>
      <c r="HA415" t="e">
        <f>'Latin America and Caribbean'!B362+"$F;@!4N6"</f>
        <v>#VALUE!</v>
      </c>
      <c r="HB415" t="e">
        <f>'Latin America and Caribbean'!C362+"$F;@!4N7"</f>
        <v>#VALUE!</v>
      </c>
      <c r="HC415" t="e">
        <f>'Latin America and Caribbean'!D362+"$F;@!4N8"</f>
        <v>#VALUE!</v>
      </c>
      <c r="HD415" t="e">
        <f>'Latin America and Caribbean'!E362+"$F;@!4N9"</f>
        <v>#VALUE!</v>
      </c>
      <c r="HE415" t="e">
        <f>'Latin America and Caribbean'!F362+"$F;@!4N:"</f>
        <v>#VALUE!</v>
      </c>
      <c r="HF415" t="e">
        <f>'Latin America and Caribbean'!G362+"$F;@!4N;"</f>
        <v>#VALUE!</v>
      </c>
      <c r="HG415" t="e">
        <f>'Latin America and Caribbean'!H362+"$F;@!4N&lt;"</f>
        <v>#VALUE!</v>
      </c>
      <c r="HH415" t="e">
        <f>'Latin America and Caribbean'!A363+"$F;@!4N="</f>
        <v>#VALUE!</v>
      </c>
      <c r="HI415" t="e">
        <f>'Latin America and Caribbean'!B363+"$F;@!4N&gt;"</f>
        <v>#VALUE!</v>
      </c>
      <c r="HJ415" t="e">
        <f>'Latin America and Caribbean'!C363+"$F;@!4N?"</f>
        <v>#VALUE!</v>
      </c>
      <c r="HK415" t="e">
        <f>'Latin America and Caribbean'!D363+"$F;@!4N@"</f>
        <v>#VALUE!</v>
      </c>
      <c r="HL415" t="e">
        <f>'Latin America and Caribbean'!E363+"$F;@!4NA"</f>
        <v>#VALUE!</v>
      </c>
      <c r="HM415" t="e">
        <f>'Latin America and Caribbean'!F363+"$F;@!4NB"</f>
        <v>#VALUE!</v>
      </c>
      <c r="HN415" t="e">
        <f>'Latin America and Caribbean'!G363+"$F;@!4NC"</f>
        <v>#VALUE!</v>
      </c>
      <c r="HO415" t="e">
        <f>'Latin America and Caribbean'!H363+"$F;@!4ND"</f>
        <v>#VALUE!</v>
      </c>
      <c r="HP415" t="e">
        <f>'Latin America and Caribbean'!A364+"$F;@!4NE"</f>
        <v>#VALUE!</v>
      </c>
      <c r="HQ415" t="e">
        <f>'Latin America and Caribbean'!B364+"$F;@!4NF"</f>
        <v>#VALUE!</v>
      </c>
      <c r="HR415" t="e">
        <f>'Latin America and Caribbean'!C364+"$F;@!4NG"</f>
        <v>#VALUE!</v>
      </c>
      <c r="HS415" t="e">
        <f>'Latin America and Caribbean'!D364+"$F;@!4NH"</f>
        <v>#VALUE!</v>
      </c>
      <c r="HT415" t="e">
        <f>'Latin America and Caribbean'!E364+"$F;@!4NI"</f>
        <v>#VALUE!</v>
      </c>
      <c r="HU415" t="e">
        <f>'Latin America and Caribbean'!F364+"$F;@!4NJ"</f>
        <v>#VALUE!</v>
      </c>
      <c r="HV415" t="e">
        <f>'Latin America and Caribbean'!G364+"$F;@!4NK"</f>
        <v>#VALUE!</v>
      </c>
      <c r="HW415" t="e">
        <f>'Latin America and Caribbean'!H364+"$F;@!4NL"</f>
        <v>#VALUE!</v>
      </c>
      <c r="HX415" t="e">
        <f>'Latin America and Caribbean'!A365+"$F;@!4NM"</f>
        <v>#VALUE!</v>
      </c>
      <c r="HY415" t="e">
        <f>'Latin America and Caribbean'!B365+"$F;@!4NN"</f>
        <v>#VALUE!</v>
      </c>
      <c r="HZ415" t="e">
        <f>'Latin America and Caribbean'!C365+"$F;@!4NO"</f>
        <v>#VALUE!</v>
      </c>
      <c r="IA415" t="e">
        <f>'Latin America and Caribbean'!D365+"$F;@!4NP"</f>
        <v>#VALUE!</v>
      </c>
      <c r="IB415" t="e">
        <f>'Latin America and Caribbean'!E365+"$F;@!4NQ"</f>
        <v>#VALUE!</v>
      </c>
      <c r="IC415" t="e">
        <f>'Latin America and Caribbean'!F365+"$F;@!4NR"</f>
        <v>#VALUE!</v>
      </c>
      <c r="ID415" t="e">
        <f>'Latin America and Caribbean'!G365+"$F;@!4NS"</f>
        <v>#VALUE!</v>
      </c>
      <c r="IE415" t="e">
        <f>'Latin America and Caribbean'!H365+"$F;@!4NT"</f>
        <v>#VALUE!</v>
      </c>
      <c r="IF415" t="e">
        <f>'Latin America and Caribbean'!A366+"$F;@!4NU"</f>
        <v>#VALUE!</v>
      </c>
      <c r="IG415" t="e">
        <f>'Latin America and Caribbean'!B366+"$F;@!4NV"</f>
        <v>#VALUE!</v>
      </c>
      <c r="IH415" t="e">
        <f>'Latin America and Caribbean'!C366+"$F;@!4NW"</f>
        <v>#VALUE!</v>
      </c>
      <c r="II415" t="e">
        <f>'Latin America and Caribbean'!D366+"$F;@!4NX"</f>
        <v>#VALUE!</v>
      </c>
      <c r="IJ415" t="e">
        <f>'Latin America and Caribbean'!E366+"$F;@!4NY"</f>
        <v>#VALUE!</v>
      </c>
      <c r="IK415" t="e">
        <f>'Latin America and Caribbean'!F366+"$F;@!4NZ"</f>
        <v>#VALUE!</v>
      </c>
      <c r="IL415" t="e">
        <f>'Latin America and Caribbean'!G366+"$F;@!4N["</f>
        <v>#VALUE!</v>
      </c>
      <c r="IM415" t="e">
        <f>'Latin America and Caribbean'!H366+"$F;@!4N\"</f>
        <v>#VALUE!</v>
      </c>
      <c r="IN415" t="e">
        <f>'Latin America and Caribbean'!A367+"$F;@!4N]"</f>
        <v>#VALUE!</v>
      </c>
      <c r="IO415" t="e">
        <f>'Latin America and Caribbean'!B367+"$F;@!4N^"</f>
        <v>#VALUE!</v>
      </c>
      <c r="IP415" t="e">
        <f>'Latin America and Caribbean'!C367+"$F;@!4N_"</f>
        <v>#VALUE!</v>
      </c>
      <c r="IQ415" t="e">
        <f>'Latin America and Caribbean'!D367+"$F;@!4N`"</f>
        <v>#VALUE!</v>
      </c>
      <c r="IR415" t="e">
        <f>'Latin America and Caribbean'!E367+"$F;@!4Na"</f>
        <v>#VALUE!</v>
      </c>
      <c r="IS415" t="e">
        <f>'Latin America and Caribbean'!F367+"$F;@!4Nb"</f>
        <v>#VALUE!</v>
      </c>
      <c r="IT415" t="e">
        <f>'Latin America and Caribbean'!G367+"$F;@!4Nc"</f>
        <v>#VALUE!</v>
      </c>
      <c r="IU415" t="e">
        <f>'Latin America and Caribbean'!H367+"$F;@!4Nd"</f>
        <v>#VALUE!</v>
      </c>
      <c r="IV415" t="e">
        <f>'Latin America and Caribbean'!A368+"$F;@!4Ne"</f>
        <v>#VALUE!</v>
      </c>
    </row>
    <row r="416" spans="6:256" x14ac:dyDescent="0.35">
      <c r="F416" t="e">
        <f>'Latin America and Caribbean'!B368+"$F;@!4Nf"</f>
        <v>#VALUE!</v>
      </c>
      <c r="G416" t="e">
        <f>'Latin America and Caribbean'!C368+"$F;@!4Ng"</f>
        <v>#VALUE!</v>
      </c>
      <c r="H416" t="e">
        <f>'Latin America and Caribbean'!D368+"$F;@!4Nh"</f>
        <v>#VALUE!</v>
      </c>
      <c r="I416" t="e">
        <f>'Latin America and Caribbean'!E368+"$F;@!4Ni"</f>
        <v>#VALUE!</v>
      </c>
      <c r="J416" t="e">
        <f>'Latin America and Caribbean'!F368+"$F;@!4Nj"</f>
        <v>#VALUE!</v>
      </c>
      <c r="K416" t="e">
        <f>'Latin America and Caribbean'!G368+"$F;@!4Nk"</f>
        <v>#VALUE!</v>
      </c>
      <c r="L416" t="e">
        <f>'Latin America and Caribbean'!H368+"$F;@!4Nl"</f>
        <v>#VALUE!</v>
      </c>
      <c r="M416" t="e">
        <f>'Latin America and Caribbean'!A369+"$F;@!4Nm"</f>
        <v>#VALUE!</v>
      </c>
      <c r="N416" t="e">
        <f>'Latin America and Caribbean'!B369+"$F;@!4Nn"</f>
        <v>#VALUE!</v>
      </c>
      <c r="O416" t="e">
        <f>'Latin America and Caribbean'!C369+"$F;@!4No"</f>
        <v>#VALUE!</v>
      </c>
      <c r="P416" t="e">
        <f>'Latin America and Caribbean'!D369+"$F;@!4Np"</f>
        <v>#VALUE!</v>
      </c>
      <c r="Q416" t="e">
        <f>'Latin America and Caribbean'!E369+"$F;@!4Nq"</f>
        <v>#VALUE!</v>
      </c>
      <c r="R416" t="e">
        <f>'Latin America and Caribbean'!F369+"$F;@!4Nr"</f>
        <v>#VALUE!</v>
      </c>
      <c r="S416" t="e">
        <f>'Latin America and Caribbean'!G369+"$F;@!4Ns"</f>
        <v>#VALUE!</v>
      </c>
      <c r="T416" t="e">
        <f>'Latin America and Caribbean'!H369+"$F;@!4Nt"</f>
        <v>#VALUE!</v>
      </c>
      <c r="U416" t="e">
        <f>'Latin America and Caribbean'!A370+"$F;@!4Nu"</f>
        <v>#VALUE!</v>
      </c>
      <c r="V416" t="e">
        <f>'Latin America and Caribbean'!B370+"$F;@!4Nv"</f>
        <v>#VALUE!</v>
      </c>
      <c r="W416" t="e">
        <f>'Latin America and Caribbean'!C370+"$F;@!4Nw"</f>
        <v>#VALUE!</v>
      </c>
      <c r="X416" t="e">
        <f>'Latin America and Caribbean'!D370+"$F;@!4Nx"</f>
        <v>#VALUE!</v>
      </c>
      <c r="Y416" t="e">
        <f>'Latin America and Caribbean'!E370+"$F;@!4Ny"</f>
        <v>#VALUE!</v>
      </c>
      <c r="Z416" t="e">
        <f>'Latin America and Caribbean'!F370+"$F;@!4Nz"</f>
        <v>#VALUE!</v>
      </c>
      <c r="AA416" t="e">
        <f>'Latin America and Caribbean'!G370+"$F;@!4N{"</f>
        <v>#VALUE!</v>
      </c>
      <c r="AB416" t="e">
        <f>'Latin America and Caribbean'!H370+"$F;@!4N|"</f>
        <v>#VALUE!</v>
      </c>
      <c r="AC416" t="e">
        <f>'Latin America and Caribbean'!A371+"$F;@!4N}"</f>
        <v>#VALUE!</v>
      </c>
      <c r="AD416" t="e">
        <f>'Latin America and Caribbean'!B371+"$F;@!4N~"</f>
        <v>#VALUE!</v>
      </c>
      <c r="AE416" t="e">
        <f>'Latin America and Caribbean'!C371+"$F;@!4O#"</f>
        <v>#VALUE!</v>
      </c>
      <c r="AF416" t="e">
        <f>'Latin America and Caribbean'!D371+"$F;@!4O$"</f>
        <v>#VALUE!</v>
      </c>
      <c r="AG416" t="e">
        <f>'Latin America and Caribbean'!E371+"$F;@!4O%"</f>
        <v>#VALUE!</v>
      </c>
      <c r="AH416" t="e">
        <f>'Latin America and Caribbean'!F371+"$F;@!4O&amp;"</f>
        <v>#VALUE!</v>
      </c>
      <c r="AI416" t="e">
        <f>'Latin America and Caribbean'!G371+"$F;@!4O'"</f>
        <v>#VALUE!</v>
      </c>
      <c r="AJ416" t="e">
        <f>'Latin America and Caribbean'!H371+"$F;@!4O("</f>
        <v>#VALUE!</v>
      </c>
      <c r="AK416" t="e">
        <f>'Latin America and Caribbean'!A372+"$F;@!4O)"</f>
        <v>#VALUE!</v>
      </c>
      <c r="AL416" t="e">
        <f>'Latin America and Caribbean'!B372+"$F;@!4O."</f>
        <v>#VALUE!</v>
      </c>
      <c r="AM416" t="e">
        <f>'Latin America and Caribbean'!C372+"$F;@!4O/"</f>
        <v>#VALUE!</v>
      </c>
      <c r="AN416" t="e">
        <f>'Latin America and Caribbean'!D372+"$F;@!4O0"</f>
        <v>#VALUE!</v>
      </c>
      <c r="AO416" t="e">
        <f>'Latin America and Caribbean'!E372+"$F;@!4O1"</f>
        <v>#VALUE!</v>
      </c>
      <c r="AP416" t="e">
        <f>'Latin America and Caribbean'!F372+"$F;@!4O2"</f>
        <v>#VALUE!</v>
      </c>
      <c r="AQ416" t="e">
        <f>'Latin America and Caribbean'!G372+"$F;@!4O3"</f>
        <v>#VALUE!</v>
      </c>
      <c r="AR416" t="e">
        <f>'Latin America and Caribbean'!H372+"$F;@!4O4"</f>
        <v>#VALUE!</v>
      </c>
      <c r="AS416" t="e">
        <f>'Latin America and Caribbean'!A373+"$F;@!4O5"</f>
        <v>#VALUE!</v>
      </c>
      <c r="AT416" t="e">
        <f>'Latin America and Caribbean'!B373+"$F;@!4O6"</f>
        <v>#VALUE!</v>
      </c>
      <c r="AU416" t="e">
        <f>'Latin America and Caribbean'!C373+"$F;@!4O7"</f>
        <v>#VALUE!</v>
      </c>
      <c r="AV416" t="e">
        <f>'Latin America and Caribbean'!D373+"$F;@!4O8"</f>
        <v>#VALUE!</v>
      </c>
      <c r="AW416" t="e">
        <f>'Latin America and Caribbean'!E373+"$F;@!4O9"</f>
        <v>#VALUE!</v>
      </c>
      <c r="AX416" t="e">
        <f>'Latin America and Caribbean'!F373+"$F;@!4O:"</f>
        <v>#VALUE!</v>
      </c>
      <c r="AY416" t="e">
        <f>'Latin America and Caribbean'!G373+"$F;@!4O;"</f>
        <v>#VALUE!</v>
      </c>
      <c r="AZ416" t="e">
        <f>'Latin America and Caribbean'!H373+"$F;@!4O&lt;"</f>
        <v>#VALUE!</v>
      </c>
      <c r="BA416" t="e">
        <f>'Latin America and Caribbean'!A374+"$F;@!4O="</f>
        <v>#VALUE!</v>
      </c>
      <c r="BB416" t="e">
        <f>'Latin America and Caribbean'!B374+"$F;@!4O&gt;"</f>
        <v>#VALUE!</v>
      </c>
      <c r="BC416" t="e">
        <f>'Latin America and Caribbean'!C374+"$F;@!4O?"</f>
        <v>#VALUE!</v>
      </c>
      <c r="BD416" t="e">
        <f>'Latin America and Caribbean'!D374+"$F;@!4O@"</f>
        <v>#VALUE!</v>
      </c>
      <c r="BE416" t="e">
        <f>'Latin America and Caribbean'!E374+"$F;@!4OA"</f>
        <v>#VALUE!</v>
      </c>
      <c r="BF416" t="e">
        <f>'Latin America and Caribbean'!F374+"$F;@!4OB"</f>
        <v>#VALUE!</v>
      </c>
      <c r="BG416" t="e">
        <f>'Latin America and Caribbean'!G374+"$F;@!4OC"</f>
        <v>#VALUE!</v>
      </c>
      <c r="BH416" t="e">
        <f>'Latin America and Caribbean'!H374+"$F;@!4OD"</f>
        <v>#VALUE!</v>
      </c>
      <c r="BI416" t="e">
        <f>'Latin America and Caribbean'!A375+"$F;@!4OE"</f>
        <v>#VALUE!</v>
      </c>
      <c r="BJ416" t="e">
        <f>'Latin America and Caribbean'!B375+"$F;@!4OF"</f>
        <v>#VALUE!</v>
      </c>
      <c r="BK416" t="e">
        <f>'Latin America and Caribbean'!C375+"$F;@!4OG"</f>
        <v>#VALUE!</v>
      </c>
      <c r="BL416" t="e">
        <f>'Latin America and Caribbean'!D375+"$F;@!4OH"</f>
        <v>#VALUE!</v>
      </c>
      <c r="BM416" t="e">
        <f>'Latin America and Caribbean'!E375+"$F;@!4OI"</f>
        <v>#VALUE!</v>
      </c>
      <c r="BN416" t="e">
        <f>'Latin America and Caribbean'!F375+"$F;@!4OJ"</f>
        <v>#VALUE!</v>
      </c>
      <c r="BO416" t="e">
        <f>'Latin America and Caribbean'!G375+"$F;@!4OK"</f>
        <v>#VALUE!</v>
      </c>
      <c r="BP416" t="e">
        <f>'Latin America and Caribbean'!H375+"$F;@!4OL"</f>
        <v>#VALUE!</v>
      </c>
      <c r="BQ416" t="e">
        <f>'Latin America and Caribbean'!A376+"$F;@!4OM"</f>
        <v>#VALUE!</v>
      </c>
      <c r="BR416" t="e">
        <f>'Latin America and Caribbean'!B376+"$F;@!4ON"</f>
        <v>#VALUE!</v>
      </c>
      <c r="BS416" t="e">
        <f>'Latin America and Caribbean'!C376+"$F;@!4OO"</f>
        <v>#VALUE!</v>
      </c>
      <c r="BT416" t="e">
        <f>'Latin America and Caribbean'!D376+"$F;@!4OP"</f>
        <v>#VALUE!</v>
      </c>
      <c r="BU416" t="e">
        <f>'Latin America and Caribbean'!E376+"$F;@!4OQ"</f>
        <v>#VALUE!</v>
      </c>
      <c r="BV416" t="e">
        <f>'Latin America and Caribbean'!F376+"$F;@!4OR"</f>
        <v>#VALUE!</v>
      </c>
      <c r="BW416" t="e">
        <f>'Latin America and Caribbean'!G376+"$F;@!4OS"</f>
        <v>#VALUE!</v>
      </c>
      <c r="BX416" t="e">
        <f>'Latin America and Caribbean'!H376+"$F;@!4OT"</f>
        <v>#VALUE!</v>
      </c>
      <c r="BY416" t="e">
        <f>'Latin America and Caribbean'!A377+"$F;@!4OU"</f>
        <v>#VALUE!</v>
      </c>
      <c r="BZ416" t="e">
        <f>'Latin America and Caribbean'!B377+"$F;@!4OV"</f>
        <v>#VALUE!</v>
      </c>
      <c r="CA416" t="e">
        <f>'Latin America and Caribbean'!C377+"$F;@!4OW"</f>
        <v>#VALUE!</v>
      </c>
      <c r="CB416" t="e">
        <f>'Latin America and Caribbean'!D377+"$F;@!4OX"</f>
        <v>#VALUE!</v>
      </c>
      <c r="CC416" t="e">
        <f>'Latin America and Caribbean'!E377+"$F;@!4OY"</f>
        <v>#VALUE!</v>
      </c>
      <c r="CD416" t="e">
        <f>'Latin America and Caribbean'!F377+"$F;@!4OZ"</f>
        <v>#VALUE!</v>
      </c>
      <c r="CE416" t="e">
        <f>'Latin America and Caribbean'!G377+"$F;@!4O["</f>
        <v>#VALUE!</v>
      </c>
      <c r="CF416" t="e">
        <f>'Latin America and Caribbean'!H377+"$F;@!4O\"</f>
        <v>#VALUE!</v>
      </c>
      <c r="CG416" t="e">
        <f>'Latin America and Caribbean'!A378+"$F;@!4O]"</f>
        <v>#VALUE!</v>
      </c>
      <c r="CH416" t="e">
        <f>'Latin America and Caribbean'!B378+"$F;@!4O^"</f>
        <v>#VALUE!</v>
      </c>
      <c r="CI416" t="e">
        <f>'Latin America and Caribbean'!C378+"$F;@!4O_"</f>
        <v>#VALUE!</v>
      </c>
      <c r="CJ416" t="e">
        <f>'Latin America and Caribbean'!D378+"$F;@!4O`"</f>
        <v>#VALUE!</v>
      </c>
      <c r="CK416" t="e">
        <f>'Latin America and Caribbean'!E378+"$F;@!4Oa"</f>
        <v>#VALUE!</v>
      </c>
      <c r="CL416" t="e">
        <f>'Latin America and Caribbean'!F378+"$F;@!4Ob"</f>
        <v>#VALUE!</v>
      </c>
      <c r="CM416" t="e">
        <f>'Latin America and Caribbean'!G378+"$F;@!4Oc"</f>
        <v>#VALUE!</v>
      </c>
      <c r="CN416" t="e">
        <f>'Latin America and Caribbean'!H378+"$F;@!4Od"</f>
        <v>#VALUE!</v>
      </c>
      <c r="CO416" t="e">
        <f>'Latin America and Caribbean'!A379+"$F;@!4Oe"</f>
        <v>#VALUE!</v>
      </c>
      <c r="CP416" t="e">
        <f>'Latin America and Caribbean'!B379+"$F;@!4Of"</f>
        <v>#VALUE!</v>
      </c>
      <c r="CQ416" t="e">
        <f>'Latin America and Caribbean'!C379+"$F;@!4Og"</f>
        <v>#VALUE!</v>
      </c>
      <c r="CR416" t="e">
        <f>'Latin America and Caribbean'!D379+"$F;@!4Oh"</f>
        <v>#VALUE!</v>
      </c>
      <c r="CS416" t="e">
        <f>'Latin America and Caribbean'!E379+"$F;@!4Oi"</f>
        <v>#VALUE!</v>
      </c>
      <c r="CT416" t="e">
        <f>'Latin America and Caribbean'!F379+"$F;@!4Oj"</f>
        <v>#VALUE!</v>
      </c>
      <c r="CU416" t="e">
        <f>'Latin America and Caribbean'!G379+"$F;@!4Ok"</f>
        <v>#VALUE!</v>
      </c>
      <c r="CV416" t="e">
        <f>'Latin America and Caribbean'!H379+"$F;@!4Ol"</f>
        <v>#VALUE!</v>
      </c>
      <c r="CW416" t="e">
        <f>'Latin America and Caribbean'!A380+"$F;@!4Om"</f>
        <v>#VALUE!</v>
      </c>
      <c r="CX416" t="e">
        <f>'Latin America and Caribbean'!B380+"$F;@!4On"</f>
        <v>#VALUE!</v>
      </c>
      <c r="CY416" t="e">
        <f>'Latin America and Caribbean'!C380+"$F;@!4Oo"</f>
        <v>#VALUE!</v>
      </c>
      <c r="CZ416" t="e">
        <f>'Latin America and Caribbean'!D380+"$F;@!4Op"</f>
        <v>#VALUE!</v>
      </c>
      <c r="DA416" t="e">
        <f>'Latin America and Caribbean'!E380+"$F;@!4Oq"</f>
        <v>#VALUE!</v>
      </c>
      <c r="DB416" t="e">
        <f>'Latin America and Caribbean'!F380+"$F;@!4Or"</f>
        <v>#VALUE!</v>
      </c>
      <c r="DC416" t="e">
        <f>'Latin America and Caribbean'!G380+"$F;@!4Os"</f>
        <v>#VALUE!</v>
      </c>
      <c r="DD416" t="e">
        <f>'Latin America and Caribbean'!H380+"$F;@!4Ot"</f>
        <v>#VALUE!</v>
      </c>
      <c r="DE416" t="e">
        <f>'Latin America and Caribbean'!A381+"$F;@!4Ou"</f>
        <v>#VALUE!</v>
      </c>
      <c r="DF416" t="e">
        <f>'Latin America and Caribbean'!B381+"$F;@!4Ov"</f>
        <v>#VALUE!</v>
      </c>
      <c r="DG416" t="e">
        <f>'Latin America and Caribbean'!C381+"$F;@!4Ow"</f>
        <v>#VALUE!</v>
      </c>
      <c r="DH416" t="e">
        <f>'Latin America and Caribbean'!D381+"$F;@!4Ox"</f>
        <v>#VALUE!</v>
      </c>
      <c r="DI416" t="e">
        <f>'Latin America and Caribbean'!E381+"$F;@!4Oy"</f>
        <v>#VALUE!</v>
      </c>
      <c r="DJ416" t="e">
        <f>'Latin America and Caribbean'!F381+"$F;@!4Oz"</f>
        <v>#VALUE!</v>
      </c>
      <c r="DK416" t="e">
        <f>'Latin America and Caribbean'!G381+"$F;@!4O{"</f>
        <v>#VALUE!</v>
      </c>
      <c r="DL416" t="e">
        <f>'Latin America and Caribbean'!H381+"$F;@!4O|"</f>
        <v>#VALUE!</v>
      </c>
      <c r="DM416" t="e">
        <f>'Latin America and Caribbean'!A382+"$F;@!4O}"</f>
        <v>#VALUE!</v>
      </c>
      <c r="DN416" t="e">
        <f>'Latin America and Caribbean'!B382+"$F;@!4O~"</f>
        <v>#VALUE!</v>
      </c>
      <c r="DO416" t="e">
        <f>'Latin America and Caribbean'!C382+"$F;@!4P#"</f>
        <v>#VALUE!</v>
      </c>
      <c r="DP416" t="e">
        <f>'Latin America and Caribbean'!D382+"$F;@!4P$"</f>
        <v>#VALUE!</v>
      </c>
      <c r="DQ416" t="e">
        <f>'Latin America and Caribbean'!E382+"$F;@!4P%"</f>
        <v>#VALUE!</v>
      </c>
      <c r="DR416" t="e">
        <f>'Latin America and Caribbean'!F382+"$F;@!4P&amp;"</f>
        <v>#VALUE!</v>
      </c>
      <c r="DS416" t="e">
        <f>'Latin America and Caribbean'!G382+"$F;@!4P'"</f>
        <v>#VALUE!</v>
      </c>
      <c r="DT416" t="e">
        <f>'Latin America and Caribbean'!H382+"$F;@!4P("</f>
        <v>#VALUE!</v>
      </c>
      <c r="DU416" t="e">
        <f>'Latin America and Caribbean'!A383+"$F;@!4P)"</f>
        <v>#VALUE!</v>
      </c>
      <c r="DV416" t="e">
        <f>'Latin America and Caribbean'!B383+"$F;@!4P."</f>
        <v>#VALUE!</v>
      </c>
      <c r="DW416" t="e">
        <f>'Latin America and Caribbean'!C383+"$F;@!4P/"</f>
        <v>#VALUE!</v>
      </c>
      <c r="DX416" t="e">
        <f>'Latin America and Caribbean'!D383+"$F;@!4P0"</f>
        <v>#VALUE!</v>
      </c>
      <c r="DY416" t="e">
        <f>'Latin America and Caribbean'!E383+"$F;@!4P1"</f>
        <v>#VALUE!</v>
      </c>
      <c r="DZ416" t="e">
        <f>'Latin America and Caribbean'!F383+"$F;@!4P2"</f>
        <v>#VALUE!</v>
      </c>
      <c r="EA416" t="e">
        <f>'Latin America and Caribbean'!G383+"$F;@!4P3"</f>
        <v>#VALUE!</v>
      </c>
      <c r="EB416" t="e">
        <f>'Latin America and Caribbean'!H383+"$F;@!4P4"</f>
        <v>#VALUE!</v>
      </c>
      <c r="EC416" t="e">
        <f>'Latin America and Caribbean'!A384+"$F;@!4P5"</f>
        <v>#VALUE!</v>
      </c>
      <c r="ED416" t="e">
        <f>'Latin America and Caribbean'!B384+"$F;@!4P6"</f>
        <v>#VALUE!</v>
      </c>
      <c r="EE416" t="e">
        <f>'Latin America and Caribbean'!C384+"$F;@!4P7"</f>
        <v>#VALUE!</v>
      </c>
      <c r="EF416" t="e">
        <f>'Latin America and Caribbean'!D384+"$F;@!4P8"</f>
        <v>#VALUE!</v>
      </c>
      <c r="EG416" t="e">
        <f>'Latin America and Caribbean'!E384+"$F;@!4P9"</f>
        <v>#VALUE!</v>
      </c>
      <c r="EH416" t="e">
        <f>'Latin America and Caribbean'!F384+"$F;@!4P:"</f>
        <v>#VALUE!</v>
      </c>
      <c r="EI416" t="e">
        <f>'Latin America and Caribbean'!G384+"$F;@!4P;"</f>
        <v>#VALUE!</v>
      </c>
      <c r="EJ416" t="e">
        <f>'Latin America and Caribbean'!H384+"$F;@!4P&lt;"</f>
        <v>#VALUE!</v>
      </c>
      <c r="EK416" t="e">
        <f>'Latin America and Caribbean'!A385+"$F;@!4P="</f>
        <v>#VALUE!</v>
      </c>
      <c r="EL416" t="e">
        <f>'Latin America and Caribbean'!B385+"$F;@!4P&gt;"</f>
        <v>#VALUE!</v>
      </c>
      <c r="EM416" t="e">
        <f>'Latin America and Caribbean'!C385+"$F;@!4P?"</f>
        <v>#VALUE!</v>
      </c>
      <c r="EN416" t="e">
        <f>'Latin America and Caribbean'!D385+"$F;@!4P@"</f>
        <v>#VALUE!</v>
      </c>
      <c r="EO416" t="e">
        <f>'Latin America and Caribbean'!E385+"$F;@!4PA"</f>
        <v>#VALUE!</v>
      </c>
      <c r="EP416" t="e">
        <f>'Latin America and Caribbean'!F385+"$F;@!4PB"</f>
        <v>#VALUE!</v>
      </c>
      <c r="EQ416" t="e">
        <f>'Latin America and Caribbean'!G385+"$F;@!4PC"</f>
        <v>#VALUE!</v>
      </c>
      <c r="ER416" t="e">
        <f>'Latin America and Caribbean'!H385+"$F;@!4PD"</f>
        <v>#VALUE!</v>
      </c>
      <c r="ES416" t="e">
        <f>'Latin America and Caribbean'!A386+"$F;@!4PE"</f>
        <v>#VALUE!</v>
      </c>
      <c r="ET416" t="e">
        <f>'Latin America and Caribbean'!B386+"$F;@!4PF"</f>
        <v>#VALUE!</v>
      </c>
      <c r="EU416" t="e">
        <f>'Latin America and Caribbean'!C386+"$F;@!4PG"</f>
        <v>#VALUE!</v>
      </c>
      <c r="EV416" t="e">
        <f>'Latin America and Caribbean'!D386+"$F;@!4PH"</f>
        <v>#VALUE!</v>
      </c>
      <c r="EW416" t="e">
        <f>'Latin America and Caribbean'!E386+"$F;@!4PI"</f>
        <v>#VALUE!</v>
      </c>
      <c r="EX416" t="e">
        <f>'Latin America and Caribbean'!F386+"$F;@!4PJ"</f>
        <v>#VALUE!</v>
      </c>
      <c r="EY416" t="e">
        <f>'Latin America and Caribbean'!G386+"$F;@!4PK"</f>
        <v>#VALUE!</v>
      </c>
      <c r="EZ416" t="e">
        <f>'Latin America and Caribbean'!H386+"$F;@!4PL"</f>
        <v>#VALUE!</v>
      </c>
      <c r="FA416" t="e">
        <f>'Latin America and Caribbean'!A387+"$F;@!4PM"</f>
        <v>#VALUE!</v>
      </c>
      <c r="FB416" t="e">
        <f>'Latin America and Caribbean'!B387+"$F;@!4PN"</f>
        <v>#VALUE!</v>
      </c>
      <c r="FC416" t="e">
        <f>'Latin America and Caribbean'!C387+"$F;@!4PO"</f>
        <v>#VALUE!</v>
      </c>
      <c r="FD416" t="e">
        <f>'Latin America and Caribbean'!D387+"$F;@!4PP"</f>
        <v>#VALUE!</v>
      </c>
      <c r="FE416" t="e">
        <f>'Latin America and Caribbean'!E387+"$F;@!4PQ"</f>
        <v>#VALUE!</v>
      </c>
      <c r="FF416" t="e">
        <f>'Latin America and Caribbean'!F387+"$F;@!4PR"</f>
        <v>#VALUE!</v>
      </c>
      <c r="FG416" t="e">
        <f>'Latin America and Caribbean'!G387+"$F;@!4PS"</f>
        <v>#VALUE!</v>
      </c>
      <c r="FH416" t="e">
        <f>'Latin America and Caribbean'!H387+"$F;@!4PT"</f>
        <v>#VALUE!</v>
      </c>
      <c r="FI416" t="e">
        <f>'Latin America and Caribbean'!A388+"$F;@!4PU"</f>
        <v>#VALUE!</v>
      </c>
      <c r="FJ416" t="e">
        <f>'Latin America and Caribbean'!B388+"$F;@!4PV"</f>
        <v>#VALUE!</v>
      </c>
      <c r="FK416" t="e">
        <f>'Latin America and Caribbean'!C388+"$F;@!4PW"</f>
        <v>#VALUE!</v>
      </c>
      <c r="FL416" t="e">
        <f>'Latin America and Caribbean'!D388+"$F;@!4PX"</f>
        <v>#VALUE!</v>
      </c>
      <c r="FM416" t="e">
        <f>'Latin America and Caribbean'!E388+"$F;@!4PY"</f>
        <v>#VALUE!</v>
      </c>
      <c r="FN416" t="e">
        <f>'Latin America and Caribbean'!F388+"$F;@!4PZ"</f>
        <v>#VALUE!</v>
      </c>
      <c r="FO416" t="e">
        <f>'Latin America and Caribbean'!G388+"$F;@!4P["</f>
        <v>#VALUE!</v>
      </c>
      <c r="FP416" t="e">
        <f>'Latin America and Caribbean'!H388+"$F;@!4P\"</f>
        <v>#VALUE!</v>
      </c>
      <c r="FQ416" t="e">
        <f>'Latin America and Caribbean'!A389+"$F;@!4P]"</f>
        <v>#VALUE!</v>
      </c>
      <c r="FR416" t="e">
        <f>'Latin America and Caribbean'!B389+"$F;@!4P^"</f>
        <v>#VALUE!</v>
      </c>
      <c r="FS416" t="e">
        <f>'Latin America and Caribbean'!C389+"$F;@!4P_"</f>
        <v>#VALUE!</v>
      </c>
      <c r="FT416" t="e">
        <f>'Latin America and Caribbean'!D389+"$F;@!4P`"</f>
        <v>#VALUE!</v>
      </c>
      <c r="FU416" t="e">
        <f>'Latin America and Caribbean'!E389+"$F;@!4Pa"</f>
        <v>#VALUE!</v>
      </c>
      <c r="FV416" t="e">
        <f>'Latin America and Caribbean'!F389+"$F;@!4Pb"</f>
        <v>#VALUE!</v>
      </c>
      <c r="FW416" t="e">
        <f>'Latin America and Caribbean'!G389+"$F;@!4Pc"</f>
        <v>#VALUE!</v>
      </c>
      <c r="FX416" t="e">
        <f>'Latin America and Caribbean'!H389+"$F;@!4Pd"</f>
        <v>#VALUE!</v>
      </c>
      <c r="FY416" t="e">
        <f>'Latin America and Caribbean'!A390+"$F;@!4Pe"</f>
        <v>#VALUE!</v>
      </c>
      <c r="FZ416" t="e">
        <f>'Latin America and Caribbean'!B390+"$F;@!4Pf"</f>
        <v>#VALUE!</v>
      </c>
      <c r="GA416" t="e">
        <f>'Latin America and Caribbean'!C390+"$F;@!4Pg"</f>
        <v>#VALUE!</v>
      </c>
      <c r="GB416" t="e">
        <f>'Latin America and Caribbean'!D390+"$F;@!4Ph"</f>
        <v>#VALUE!</v>
      </c>
      <c r="GC416" t="e">
        <f>'Latin America and Caribbean'!E390+"$F;@!4Pi"</f>
        <v>#VALUE!</v>
      </c>
      <c r="GD416" t="e">
        <f>'Latin America and Caribbean'!F390+"$F;@!4Pj"</f>
        <v>#VALUE!</v>
      </c>
      <c r="GE416" t="e">
        <f>'Latin America and Caribbean'!G390+"$F;@!4Pk"</f>
        <v>#VALUE!</v>
      </c>
      <c r="GF416" t="e">
        <f>'Latin America and Caribbean'!H390+"$F;@!4Pl"</f>
        <v>#VALUE!</v>
      </c>
      <c r="GG416" t="e">
        <f>'Latin America and Caribbean'!A391+"$F;@!4Pm"</f>
        <v>#VALUE!</v>
      </c>
      <c r="GH416" t="e">
        <f>'Latin America and Caribbean'!B391+"$F;@!4Pn"</f>
        <v>#VALUE!</v>
      </c>
      <c r="GI416" t="e">
        <f>'Latin America and Caribbean'!C391+"$F;@!4Po"</f>
        <v>#VALUE!</v>
      </c>
      <c r="GJ416" t="e">
        <f>'Latin America and Caribbean'!D391+"$F;@!4Pp"</f>
        <v>#VALUE!</v>
      </c>
      <c r="GK416" t="e">
        <f>'Latin America and Caribbean'!E391+"$F;@!4Pq"</f>
        <v>#VALUE!</v>
      </c>
      <c r="GL416" t="e">
        <f>'Latin America and Caribbean'!F391+"$F;@!4Pr"</f>
        <v>#VALUE!</v>
      </c>
      <c r="GM416" t="e">
        <f>'Latin America and Caribbean'!G391+"$F;@!4Ps"</f>
        <v>#VALUE!</v>
      </c>
      <c r="GN416" t="e">
        <f>'Latin America and Caribbean'!H391+"$F;@!4Pt"</f>
        <v>#VALUE!</v>
      </c>
      <c r="GO416" t="e">
        <f>'Latin America and Caribbean'!A392+"$F;@!4Pu"</f>
        <v>#VALUE!</v>
      </c>
      <c r="GP416" t="e">
        <f>'Latin America and Caribbean'!B392+"$F;@!4Pv"</f>
        <v>#VALUE!</v>
      </c>
      <c r="GQ416" t="e">
        <f>'Latin America and Caribbean'!C392+"$F;@!4Pw"</f>
        <v>#VALUE!</v>
      </c>
      <c r="GR416" t="e">
        <f>'Latin America and Caribbean'!D392+"$F;@!4Px"</f>
        <v>#VALUE!</v>
      </c>
      <c r="GS416" t="e">
        <f>'Latin America and Caribbean'!E392+"$F;@!4Py"</f>
        <v>#VALUE!</v>
      </c>
      <c r="GT416" t="e">
        <f>'Latin America and Caribbean'!F392+"$F;@!4Pz"</f>
        <v>#VALUE!</v>
      </c>
      <c r="GU416" t="e">
        <f>'Latin America and Caribbean'!G392+"$F;@!4P{"</f>
        <v>#VALUE!</v>
      </c>
      <c r="GV416" t="e">
        <f>'Latin America and Caribbean'!H392+"$F;@!4P|"</f>
        <v>#VALUE!</v>
      </c>
      <c r="GW416" t="e">
        <f>'Latin America and Caribbean'!A393+"$F;@!4P}"</f>
        <v>#VALUE!</v>
      </c>
      <c r="GX416" t="e">
        <f>'Latin America and Caribbean'!B393+"$F;@!4P~"</f>
        <v>#VALUE!</v>
      </c>
      <c r="GY416" t="e">
        <f>'Latin America and Caribbean'!C393+"$F;@!4Q#"</f>
        <v>#VALUE!</v>
      </c>
      <c r="GZ416" t="e">
        <f>'Latin America and Caribbean'!D393+"$F;@!4Q$"</f>
        <v>#VALUE!</v>
      </c>
      <c r="HA416" t="e">
        <f>'Latin America and Caribbean'!E393+"$F;@!4Q%"</f>
        <v>#VALUE!</v>
      </c>
      <c r="HB416" t="e">
        <f>'Latin America and Caribbean'!F393+"$F;@!4Q&amp;"</f>
        <v>#VALUE!</v>
      </c>
      <c r="HC416" t="e">
        <f>'Latin America and Caribbean'!G393+"$F;@!4Q'"</f>
        <v>#VALUE!</v>
      </c>
      <c r="HD416" t="e">
        <f>'Latin America and Caribbean'!H393+"$F;@!4Q("</f>
        <v>#VALUE!</v>
      </c>
      <c r="HE416" t="e">
        <f>'Latin America and Caribbean'!A394+"$F;@!4Q)"</f>
        <v>#VALUE!</v>
      </c>
      <c r="HF416" t="e">
        <f>'Latin America and Caribbean'!B394+"$F;@!4Q."</f>
        <v>#VALUE!</v>
      </c>
      <c r="HG416" t="e">
        <f>'Latin America and Caribbean'!C394+"$F;@!4Q/"</f>
        <v>#VALUE!</v>
      </c>
      <c r="HH416" t="e">
        <f>'Latin America and Caribbean'!D394+"$F;@!4Q0"</f>
        <v>#VALUE!</v>
      </c>
      <c r="HI416" t="e">
        <f>'Latin America and Caribbean'!E394+"$F;@!4Q1"</f>
        <v>#VALUE!</v>
      </c>
      <c r="HJ416" t="e">
        <f>'Latin America and Caribbean'!F394+"$F;@!4Q2"</f>
        <v>#VALUE!</v>
      </c>
      <c r="HK416" t="e">
        <f>'Latin America and Caribbean'!G394+"$F;@!4Q3"</f>
        <v>#VALUE!</v>
      </c>
      <c r="HL416" t="e">
        <f>'Latin America and Caribbean'!H394+"$F;@!4Q4"</f>
        <v>#VALUE!</v>
      </c>
      <c r="HM416" t="e">
        <f>'Latin America and Caribbean'!A395+"$F;@!4Q5"</f>
        <v>#VALUE!</v>
      </c>
      <c r="HN416" t="e">
        <f>'Latin America and Caribbean'!B395+"$F;@!4Q6"</f>
        <v>#VALUE!</v>
      </c>
      <c r="HO416" t="e">
        <f>'Latin America and Caribbean'!C395+"$F;@!4Q7"</f>
        <v>#VALUE!</v>
      </c>
      <c r="HP416" t="e">
        <f>'Latin America and Caribbean'!D395+"$F;@!4Q8"</f>
        <v>#VALUE!</v>
      </c>
      <c r="HQ416" t="e">
        <f>'Latin America and Caribbean'!E395+"$F;@!4Q9"</f>
        <v>#VALUE!</v>
      </c>
      <c r="HR416" t="e">
        <f>'Latin America and Caribbean'!F395+"$F;@!4Q:"</f>
        <v>#VALUE!</v>
      </c>
      <c r="HS416" t="e">
        <f>'Latin America and Caribbean'!G395+"$F;@!4Q;"</f>
        <v>#VALUE!</v>
      </c>
      <c r="HT416" t="e">
        <f>'Latin America and Caribbean'!H395+"$F;@!4Q&lt;"</f>
        <v>#VALUE!</v>
      </c>
      <c r="HU416" t="e">
        <f>'Latin America and Caribbean'!A396+"$F;@!4Q="</f>
        <v>#VALUE!</v>
      </c>
      <c r="HV416" t="e">
        <f>'Latin America and Caribbean'!B396+"$F;@!4Q&gt;"</f>
        <v>#VALUE!</v>
      </c>
      <c r="HW416" t="e">
        <f>'Latin America and Caribbean'!C396+"$F;@!4Q?"</f>
        <v>#VALUE!</v>
      </c>
      <c r="HX416" t="e">
        <f>'Latin America and Caribbean'!D396+"$F;@!4Q@"</f>
        <v>#VALUE!</v>
      </c>
      <c r="HY416" t="e">
        <f>'Latin America and Caribbean'!E396+"$F;@!4QA"</f>
        <v>#VALUE!</v>
      </c>
      <c r="HZ416" t="e">
        <f>'Latin America and Caribbean'!F396+"$F;@!4QB"</f>
        <v>#VALUE!</v>
      </c>
      <c r="IA416" t="e">
        <f>'Latin America and Caribbean'!G396+"$F;@!4QC"</f>
        <v>#VALUE!</v>
      </c>
      <c r="IB416" t="e">
        <f>'Latin America and Caribbean'!H396+"$F;@!4QD"</f>
        <v>#VALUE!</v>
      </c>
      <c r="IC416" t="e">
        <f>'Latin America and Caribbean'!A397+"$F;@!4QE"</f>
        <v>#VALUE!</v>
      </c>
      <c r="ID416" t="e">
        <f>'Latin America and Caribbean'!B397+"$F;@!4QF"</f>
        <v>#VALUE!</v>
      </c>
      <c r="IE416" t="e">
        <f>'Latin America and Caribbean'!C397+"$F;@!4QG"</f>
        <v>#VALUE!</v>
      </c>
      <c r="IF416" t="e">
        <f>'Latin America and Caribbean'!D397+"$F;@!4QH"</f>
        <v>#VALUE!</v>
      </c>
      <c r="IG416" t="e">
        <f>'Latin America and Caribbean'!E397+"$F;@!4QI"</f>
        <v>#VALUE!</v>
      </c>
      <c r="IH416" t="e">
        <f>'Latin America and Caribbean'!F397+"$F;@!4QJ"</f>
        <v>#VALUE!</v>
      </c>
      <c r="II416" t="e">
        <f>'Latin America and Caribbean'!G397+"$F;@!4QK"</f>
        <v>#VALUE!</v>
      </c>
      <c r="IJ416" t="e">
        <f>'Latin America and Caribbean'!H397+"$F;@!4QL"</f>
        <v>#VALUE!</v>
      </c>
      <c r="IK416" t="e">
        <f>'Latin America and Caribbean'!A398+"$F;@!4QM"</f>
        <v>#VALUE!</v>
      </c>
      <c r="IL416" t="e">
        <f>'Latin America and Caribbean'!B398+"$F;@!4QN"</f>
        <v>#VALUE!</v>
      </c>
      <c r="IM416" t="e">
        <f>'Latin America and Caribbean'!C398+"$F;@!4QO"</f>
        <v>#VALUE!</v>
      </c>
      <c r="IN416" t="e">
        <f>'Latin America and Caribbean'!D398+"$F;@!4QP"</f>
        <v>#VALUE!</v>
      </c>
      <c r="IO416" t="e">
        <f>'Latin America and Caribbean'!E398+"$F;@!4QQ"</f>
        <v>#VALUE!</v>
      </c>
      <c r="IP416" t="e">
        <f>'Latin America and Caribbean'!F398+"$F;@!4QR"</f>
        <v>#VALUE!</v>
      </c>
      <c r="IQ416" t="e">
        <f>'Latin America and Caribbean'!G398+"$F;@!4QS"</f>
        <v>#VALUE!</v>
      </c>
      <c r="IR416" t="e">
        <f>'Latin America and Caribbean'!H398+"$F;@!4QT"</f>
        <v>#VALUE!</v>
      </c>
      <c r="IS416" t="e">
        <f>'Latin America and Caribbean'!A399+"$F;@!4QU"</f>
        <v>#VALUE!</v>
      </c>
      <c r="IT416" t="e">
        <f>'Latin America and Caribbean'!B399+"$F;@!4QV"</f>
        <v>#VALUE!</v>
      </c>
      <c r="IU416" t="e">
        <f>'Latin America and Caribbean'!C399+"$F;@!4QW"</f>
        <v>#VALUE!</v>
      </c>
      <c r="IV416" t="e">
        <f>'Latin America and Caribbean'!D399+"$F;@!4QX"</f>
        <v>#VALUE!</v>
      </c>
    </row>
    <row r="417" spans="6:256" x14ac:dyDescent="0.35">
      <c r="F417" t="e">
        <f>'Latin America and Caribbean'!E399+"$F;@!4QY"</f>
        <v>#VALUE!</v>
      </c>
      <c r="G417" t="e">
        <f>'Latin America and Caribbean'!F399+"$F;@!4QZ"</f>
        <v>#VALUE!</v>
      </c>
      <c r="H417" t="e">
        <f>'Latin America and Caribbean'!G399+"$F;@!4Q["</f>
        <v>#VALUE!</v>
      </c>
      <c r="I417" t="e">
        <f>'Latin America and Caribbean'!H399+"$F;@!4Q\"</f>
        <v>#VALUE!</v>
      </c>
      <c r="J417" t="e">
        <f>'Latin America and Caribbean'!A400+"$F;@!4Q]"</f>
        <v>#VALUE!</v>
      </c>
      <c r="K417" t="e">
        <f>'Latin America and Caribbean'!B400+"$F;@!4Q^"</f>
        <v>#VALUE!</v>
      </c>
      <c r="L417" t="e">
        <f>'Latin America and Caribbean'!C400+"$F;@!4Q_"</f>
        <v>#VALUE!</v>
      </c>
      <c r="M417" t="e">
        <f>'Latin America and Caribbean'!D400+"$F;@!4Q`"</f>
        <v>#VALUE!</v>
      </c>
      <c r="N417" t="e">
        <f>'Latin America and Caribbean'!E400+"$F;@!4Qa"</f>
        <v>#VALUE!</v>
      </c>
      <c r="O417" t="e">
        <f>'Latin America and Caribbean'!F400+"$F;@!4Qb"</f>
        <v>#VALUE!</v>
      </c>
      <c r="P417" t="e">
        <f>'Latin America and Caribbean'!G400+"$F;@!4Qc"</f>
        <v>#VALUE!</v>
      </c>
      <c r="Q417" t="e">
        <f>'Latin America and Caribbean'!H400+"$F;@!4Qd"</f>
        <v>#VALUE!</v>
      </c>
      <c r="R417" t="e">
        <f>'Latin America and Caribbean'!A401+"$F;@!4Qe"</f>
        <v>#VALUE!</v>
      </c>
      <c r="S417" t="e">
        <f>'Latin America and Caribbean'!B401+"$F;@!4Qf"</f>
        <v>#VALUE!</v>
      </c>
      <c r="T417" t="e">
        <f>'Latin America and Caribbean'!C401+"$F;@!4Qg"</f>
        <v>#VALUE!</v>
      </c>
      <c r="U417" t="e">
        <f>'Latin America and Caribbean'!D401+"$F;@!4Qh"</f>
        <v>#VALUE!</v>
      </c>
      <c r="V417" t="e">
        <f>'Latin America and Caribbean'!E401+"$F;@!4Qi"</f>
        <v>#VALUE!</v>
      </c>
      <c r="W417" t="e">
        <f>'Latin America and Caribbean'!F401+"$F;@!4Qj"</f>
        <v>#VALUE!</v>
      </c>
      <c r="X417" t="e">
        <f>'Latin America and Caribbean'!G401+"$F;@!4Qk"</f>
        <v>#VALUE!</v>
      </c>
      <c r="Y417" t="e">
        <f>'Latin America and Caribbean'!H401+"$F;@!4Ql"</f>
        <v>#VALUE!</v>
      </c>
      <c r="Z417" t="e">
        <f>'Latin America and Caribbean'!A402+"$F;@!4Qm"</f>
        <v>#VALUE!</v>
      </c>
      <c r="AA417" t="e">
        <f>'Latin America and Caribbean'!B402+"$F;@!4Qn"</f>
        <v>#VALUE!</v>
      </c>
      <c r="AB417" t="e">
        <f>'Latin America and Caribbean'!C402+"$F;@!4Qo"</f>
        <v>#VALUE!</v>
      </c>
      <c r="AC417" t="e">
        <f>'Latin America and Caribbean'!D402+"$F;@!4Qp"</f>
        <v>#VALUE!</v>
      </c>
      <c r="AD417" t="e">
        <f>'Latin America and Caribbean'!E402+"$F;@!4Qq"</f>
        <v>#VALUE!</v>
      </c>
      <c r="AE417" t="e">
        <f>'Latin America and Caribbean'!F402+"$F;@!4Qr"</f>
        <v>#VALUE!</v>
      </c>
      <c r="AF417" t="e">
        <f>'Latin America and Caribbean'!G402+"$F;@!4Qs"</f>
        <v>#VALUE!</v>
      </c>
      <c r="AG417" t="e">
        <f>'Latin America and Caribbean'!A403+"$F;@!4Qt"</f>
        <v>#VALUE!</v>
      </c>
      <c r="AH417" t="e">
        <f>'Latin America and Caribbean'!B403+"$F;@!4Qu"</f>
        <v>#VALUE!</v>
      </c>
      <c r="AI417" t="e">
        <f>'Latin America and Caribbean'!C403+"$F;@!4Qv"</f>
        <v>#VALUE!</v>
      </c>
      <c r="AJ417" t="e">
        <f>'Latin America and Caribbean'!D403+"$F;@!4Qw"</f>
        <v>#VALUE!</v>
      </c>
      <c r="AK417" t="e">
        <f>'Latin America and Caribbean'!E403+"$F;@!4Qx"</f>
        <v>#VALUE!</v>
      </c>
      <c r="AL417" t="e">
        <f>'Latin America and Caribbean'!F403+"$F;@!4Qy"</f>
        <v>#VALUE!</v>
      </c>
      <c r="AM417" t="e">
        <f>'Latin America and Caribbean'!G403+"$F;@!4Qz"</f>
        <v>#VALUE!</v>
      </c>
      <c r="AN417" t="e">
        <f>'Latin America and Caribbean'!H403+"$F;@!4Q{"</f>
        <v>#VALUE!</v>
      </c>
      <c r="AO417" t="e">
        <f>'Latin America and Caribbean'!A404+"$F;@!4Q|"</f>
        <v>#VALUE!</v>
      </c>
      <c r="AP417" t="e">
        <f>'Latin America and Caribbean'!B404+"$F;@!4Q}"</f>
        <v>#VALUE!</v>
      </c>
      <c r="AQ417" t="e">
        <f>'Latin America and Caribbean'!C404+"$F;@!4Q~"</f>
        <v>#VALUE!</v>
      </c>
      <c r="AR417" t="e">
        <f>'Latin America and Caribbean'!D404+"$F;@!4R#"</f>
        <v>#VALUE!</v>
      </c>
      <c r="AS417" t="e">
        <f>'Latin America and Caribbean'!E404+"$F;@!4R$"</f>
        <v>#VALUE!</v>
      </c>
      <c r="AT417" t="e">
        <f>'Latin America and Caribbean'!F404+"$F;@!4R%"</f>
        <v>#VALUE!</v>
      </c>
      <c r="AU417" t="e">
        <f>'Latin America and Caribbean'!G404+"$F;@!4R&amp;"</f>
        <v>#VALUE!</v>
      </c>
      <c r="AV417" t="e">
        <f>'Latin America and Caribbean'!H404+"$F;@!4R'"</f>
        <v>#VALUE!</v>
      </c>
      <c r="AW417" t="e">
        <f>'Latin America and Caribbean'!A405+"$F;@!4R("</f>
        <v>#VALUE!</v>
      </c>
      <c r="AX417" t="e">
        <f>'Latin America and Caribbean'!B405+"$F;@!4R)"</f>
        <v>#VALUE!</v>
      </c>
      <c r="AY417" t="e">
        <f>'Latin America and Caribbean'!C405+"$F;@!4R."</f>
        <v>#VALUE!</v>
      </c>
      <c r="AZ417" t="e">
        <f>'Latin America and Caribbean'!D405+"$F;@!4R/"</f>
        <v>#VALUE!</v>
      </c>
      <c r="BA417" t="e">
        <f>'Latin America and Caribbean'!E405+"$F;@!4R0"</f>
        <v>#VALUE!</v>
      </c>
      <c r="BB417" t="e">
        <f>'Latin America and Caribbean'!F405+"$F;@!4R1"</f>
        <v>#VALUE!</v>
      </c>
      <c r="BC417" t="e">
        <f>'Latin America and Caribbean'!G405+"$F;@!4R2"</f>
        <v>#VALUE!</v>
      </c>
      <c r="BD417" t="e">
        <f>'Latin America and Caribbean'!H405+"$F;@!4R3"</f>
        <v>#VALUE!</v>
      </c>
      <c r="BE417" t="e">
        <f>'Latin America and Caribbean'!A406+"$F;@!4R4"</f>
        <v>#VALUE!</v>
      </c>
      <c r="BF417" t="e">
        <f>'Latin America and Caribbean'!B406+"$F;@!4R5"</f>
        <v>#VALUE!</v>
      </c>
      <c r="BG417" t="e">
        <f>'Latin America and Caribbean'!C406+"$F;@!4R6"</f>
        <v>#VALUE!</v>
      </c>
      <c r="BH417" t="e">
        <f>'Latin America and Caribbean'!D406+"$F;@!4R7"</f>
        <v>#VALUE!</v>
      </c>
      <c r="BI417" t="e">
        <f>'Latin America and Caribbean'!E406+"$F;@!4R8"</f>
        <v>#VALUE!</v>
      </c>
      <c r="BJ417" t="e">
        <f>'Latin America and Caribbean'!F406+"$F;@!4R9"</f>
        <v>#VALUE!</v>
      </c>
      <c r="BK417" t="e">
        <f>'Latin America and Caribbean'!G406+"$F;@!4R:"</f>
        <v>#VALUE!</v>
      </c>
      <c r="BL417" t="e">
        <f>'Latin America and Caribbean'!H406+"$F;@!4R;"</f>
        <v>#VALUE!</v>
      </c>
      <c r="BM417" t="e">
        <f>'Latin America and Caribbean'!A407+"$F;@!4R&lt;"</f>
        <v>#VALUE!</v>
      </c>
      <c r="BN417" t="e">
        <f>'Latin America and Caribbean'!B407+"$F;@!4R="</f>
        <v>#VALUE!</v>
      </c>
      <c r="BO417" t="e">
        <f>'Latin America and Caribbean'!C407+"$F;@!4R&gt;"</f>
        <v>#VALUE!</v>
      </c>
      <c r="BP417" t="e">
        <f>'Latin America and Caribbean'!D407+"$F;@!4R?"</f>
        <v>#VALUE!</v>
      </c>
      <c r="BQ417" t="e">
        <f>'Latin America and Caribbean'!E407+"$F;@!4R@"</f>
        <v>#VALUE!</v>
      </c>
      <c r="BR417" t="e">
        <f>'Latin America and Caribbean'!F407+"$F;@!4RA"</f>
        <v>#VALUE!</v>
      </c>
      <c r="BS417" t="e">
        <f>'Latin America and Caribbean'!G407+"$F;@!4RB"</f>
        <v>#VALUE!</v>
      </c>
      <c r="BT417" t="e">
        <f>'Latin America and Caribbean'!H407+"$F;@!4RC"</f>
        <v>#VALUE!</v>
      </c>
      <c r="BU417" t="e">
        <f>'Latin America and Caribbean'!A408+"$F;@!4RD"</f>
        <v>#VALUE!</v>
      </c>
      <c r="BV417" t="e">
        <f>'Latin America and Caribbean'!B408+"$F;@!4RE"</f>
        <v>#VALUE!</v>
      </c>
      <c r="BW417" t="e">
        <f>'Latin America and Caribbean'!C408+"$F;@!4RF"</f>
        <v>#VALUE!</v>
      </c>
      <c r="BX417" t="e">
        <f>'Latin America and Caribbean'!D408+"$F;@!4RG"</f>
        <v>#VALUE!</v>
      </c>
      <c r="BY417" t="e">
        <f>'Latin America and Caribbean'!E408+"$F;@!4RH"</f>
        <v>#VALUE!</v>
      </c>
      <c r="BZ417" t="e">
        <f>'Latin America and Caribbean'!F408+"$F;@!4RI"</f>
        <v>#VALUE!</v>
      </c>
      <c r="CA417" t="e">
        <f>'Latin America and Caribbean'!G408+"$F;@!4RJ"</f>
        <v>#VALUE!</v>
      </c>
      <c r="CB417" t="e">
        <f>'Latin America and Caribbean'!H408+"$F;@!4RK"</f>
        <v>#VALUE!</v>
      </c>
      <c r="CC417" t="e">
        <f>'Latin America and Caribbean'!A409+"$F;@!4RL"</f>
        <v>#VALUE!</v>
      </c>
      <c r="CD417" t="e">
        <f>'Latin America and Caribbean'!B409+"$F;@!4RM"</f>
        <v>#VALUE!</v>
      </c>
      <c r="CE417" t="e">
        <f>'Latin America and Caribbean'!C409+"$F;@!4RN"</f>
        <v>#VALUE!</v>
      </c>
      <c r="CF417" t="e">
        <f>'Latin America and Caribbean'!D409+"$F;@!4RO"</f>
        <v>#VALUE!</v>
      </c>
      <c r="CG417" t="e">
        <f>'Latin America and Caribbean'!E409+"$F;@!4RP"</f>
        <v>#VALUE!</v>
      </c>
      <c r="CH417" t="e">
        <f>'Latin America and Caribbean'!F409+"$F;@!4RQ"</f>
        <v>#VALUE!</v>
      </c>
      <c r="CI417" t="e">
        <f>'Latin America and Caribbean'!G409+"$F;@!4RR"</f>
        <v>#VALUE!</v>
      </c>
      <c r="CJ417" t="e">
        <f>'Latin America and Caribbean'!H409+"$F;@!4RS"</f>
        <v>#VALUE!</v>
      </c>
      <c r="CK417" t="e">
        <f>'Latin America and Caribbean'!A410+"$F;@!4RT"</f>
        <v>#VALUE!</v>
      </c>
      <c r="CL417" t="e">
        <f>'Latin America and Caribbean'!B410+"$F;@!4RU"</f>
        <v>#VALUE!</v>
      </c>
      <c r="CM417" t="e">
        <f>'Latin America and Caribbean'!C410+"$F;@!4RV"</f>
        <v>#VALUE!</v>
      </c>
      <c r="CN417" t="e">
        <f>'Latin America and Caribbean'!D410+"$F;@!4RW"</f>
        <v>#VALUE!</v>
      </c>
      <c r="CO417" t="e">
        <f>'Latin America and Caribbean'!E410+"$F;@!4RX"</f>
        <v>#VALUE!</v>
      </c>
      <c r="CP417" t="e">
        <f>'Latin America and Caribbean'!F410+"$F;@!4RY"</f>
        <v>#VALUE!</v>
      </c>
      <c r="CQ417" t="e">
        <f>'Latin America and Caribbean'!G410+"$F;@!4RZ"</f>
        <v>#VALUE!</v>
      </c>
      <c r="CR417" t="e">
        <f>'Latin America and Caribbean'!H410+"$F;@!4R["</f>
        <v>#VALUE!</v>
      </c>
      <c r="CS417" t="e">
        <f>'Latin America and Caribbean'!A411+"$F;@!4R\"</f>
        <v>#VALUE!</v>
      </c>
      <c r="CT417" t="e">
        <f>'Latin America and Caribbean'!B411+"$F;@!4R]"</f>
        <v>#VALUE!</v>
      </c>
      <c r="CU417" t="e">
        <f>'Latin America and Caribbean'!C411+"$F;@!4R^"</f>
        <v>#VALUE!</v>
      </c>
      <c r="CV417" t="e">
        <f>'Latin America and Caribbean'!D411+"$F;@!4R_"</f>
        <v>#VALUE!</v>
      </c>
      <c r="CW417" t="e">
        <f>'Latin America and Caribbean'!E411+"$F;@!4R`"</f>
        <v>#VALUE!</v>
      </c>
      <c r="CX417" t="e">
        <f>'Latin America and Caribbean'!F411+"$F;@!4Ra"</f>
        <v>#VALUE!</v>
      </c>
      <c r="CY417" t="e">
        <f>'Latin America and Caribbean'!G411+"$F;@!4Rb"</f>
        <v>#VALUE!</v>
      </c>
      <c r="CZ417" t="e">
        <f>'Latin America and Caribbean'!H411+"$F;@!4Rc"</f>
        <v>#VALUE!</v>
      </c>
      <c r="DA417" t="e">
        <f>'Latin America and Caribbean'!A412+"$F;@!4Rd"</f>
        <v>#VALUE!</v>
      </c>
      <c r="DB417" t="e">
        <f>'Latin America and Caribbean'!B412+"$F;@!4Re"</f>
        <v>#VALUE!</v>
      </c>
      <c r="DC417" t="e">
        <f>'Latin America and Caribbean'!C412+"$F;@!4Rf"</f>
        <v>#VALUE!</v>
      </c>
      <c r="DD417" t="e">
        <f>'Latin America and Caribbean'!D412+"$F;@!4Rg"</f>
        <v>#VALUE!</v>
      </c>
      <c r="DE417" t="e">
        <f>'Latin America and Caribbean'!E412+"$F;@!4Rh"</f>
        <v>#VALUE!</v>
      </c>
      <c r="DF417" t="e">
        <f>'Latin America and Caribbean'!F412+"$F;@!4Ri"</f>
        <v>#VALUE!</v>
      </c>
      <c r="DG417" t="e">
        <f>'Latin America and Caribbean'!G412+"$F;@!4Rj"</f>
        <v>#VALUE!</v>
      </c>
      <c r="DH417" t="e">
        <f>'Latin America and Caribbean'!H412+"$F;@!4Rk"</f>
        <v>#VALUE!</v>
      </c>
      <c r="DI417" t="e">
        <f>'Latin America and Caribbean'!A413+"$F;@!4Rl"</f>
        <v>#VALUE!</v>
      </c>
      <c r="DJ417" t="e">
        <f>'Latin America and Caribbean'!B413+"$F;@!4Rm"</f>
        <v>#VALUE!</v>
      </c>
      <c r="DK417" t="e">
        <f>'Latin America and Caribbean'!C413+"$F;@!4Rn"</f>
        <v>#VALUE!</v>
      </c>
      <c r="DL417" t="e">
        <f>'Latin America and Caribbean'!D413+"$F;@!4Ro"</f>
        <v>#VALUE!</v>
      </c>
      <c r="DM417" t="e">
        <f>'Latin America and Caribbean'!E413+"$F;@!4Rp"</f>
        <v>#VALUE!</v>
      </c>
      <c r="DN417" t="e">
        <f>'Latin America and Caribbean'!F413+"$F;@!4Rq"</f>
        <v>#VALUE!</v>
      </c>
      <c r="DO417" t="e">
        <f>'Latin America and Caribbean'!G413+"$F;@!4Rr"</f>
        <v>#VALUE!</v>
      </c>
      <c r="DP417" t="e">
        <f>'Latin America and Caribbean'!H413+"$F;@!4Rs"</f>
        <v>#VALUE!</v>
      </c>
      <c r="DQ417" t="e">
        <f>'Latin America and Caribbean'!A414+"$F;@!4Rt"</f>
        <v>#VALUE!</v>
      </c>
      <c r="DR417" t="e">
        <f>'Latin America and Caribbean'!B414+"$F;@!4Ru"</f>
        <v>#VALUE!</v>
      </c>
      <c r="DS417" t="e">
        <f>'Latin America and Caribbean'!C414+"$F;@!4Rv"</f>
        <v>#VALUE!</v>
      </c>
      <c r="DT417" t="e">
        <f>'Latin America and Caribbean'!D414+"$F;@!4Rw"</f>
        <v>#VALUE!</v>
      </c>
      <c r="DU417" t="e">
        <f>'Latin America and Caribbean'!E414+"$F;@!4Rx"</f>
        <v>#VALUE!</v>
      </c>
      <c r="DV417" t="e">
        <f>'Latin America and Caribbean'!F414+"$F;@!4Ry"</f>
        <v>#VALUE!</v>
      </c>
      <c r="DW417" t="e">
        <f>'Latin America and Caribbean'!G414+"$F;@!4Rz"</f>
        <v>#VALUE!</v>
      </c>
      <c r="DX417" t="e">
        <f>'Latin America and Caribbean'!H414+"$F;@!4R{"</f>
        <v>#VALUE!</v>
      </c>
      <c r="DY417" t="e">
        <f>'Latin America and Caribbean'!A415+"$F;@!4R|"</f>
        <v>#VALUE!</v>
      </c>
      <c r="DZ417" t="e">
        <f>'Latin America and Caribbean'!B415+"$F;@!4R}"</f>
        <v>#VALUE!</v>
      </c>
      <c r="EA417" t="e">
        <f>'Latin America and Caribbean'!C415+"$F;@!4R~"</f>
        <v>#VALUE!</v>
      </c>
      <c r="EB417" t="e">
        <f>'Latin America and Caribbean'!D415+"$F;@!4S#"</f>
        <v>#VALUE!</v>
      </c>
      <c r="EC417" t="e">
        <f>'Latin America and Caribbean'!E415+"$F;@!4S$"</f>
        <v>#VALUE!</v>
      </c>
      <c r="ED417" t="e">
        <f>'Latin America and Caribbean'!F415+"$F;@!4S%"</f>
        <v>#VALUE!</v>
      </c>
      <c r="EE417" t="e">
        <f>'Latin America and Caribbean'!G415+"$F;@!4S&amp;"</f>
        <v>#VALUE!</v>
      </c>
      <c r="EF417" t="e">
        <f>'Latin America and Caribbean'!H415+"$F;@!4S'"</f>
        <v>#VALUE!</v>
      </c>
      <c r="EG417" t="e">
        <f>'Latin America and Caribbean'!A416+"$F;@!4S("</f>
        <v>#VALUE!</v>
      </c>
      <c r="EH417" t="e">
        <f>'Latin America and Caribbean'!B416+"$F;@!4S)"</f>
        <v>#VALUE!</v>
      </c>
      <c r="EI417" t="e">
        <f>'Latin America and Caribbean'!C416+"$F;@!4S."</f>
        <v>#VALUE!</v>
      </c>
      <c r="EJ417" t="e">
        <f>'Latin America and Caribbean'!D416+"$F;@!4S/"</f>
        <v>#VALUE!</v>
      </c>
      <c r="EK417" t="e">
        <f>'Latin America and Caribbean'!E416+"$F;@!4S0"</f>
        <v>#VALUE!</v>
      </c>
      <c r="EL417" t="e">
        <f>'Latin America and Caribbean'!F416+"$F;@!4S1"</f>
        <v>#VALUE!</v>
      </c>
      <c r="EM417" t="e">
        <f>'Latin America and Caribbean'!G416+"$F;@!4S2"</f>
        <v>#VALUE!</v>
      </c>
      <c r="EN417" t="e">
        <f>'Latin America and Caribbean'!H416+"$F;@!4S3"</f>
        <v>#VALUE!</v>
      </c>
      <c r="EO417" t="e">
        <f>'Latin America and Caribbean'!A417+"$F;@!4S4"</f>
        <v>#VALUE!</v>
      </c>
      <c r="EP417" t="e">
        <f>'Latin America and Caribbean'!B417+"$F;@!4S5"</f>
        <v>#VALUE!</v>
      </c>
      <c r="EQ417" t="e">
        <f>'Latin America and Caribbean'!C417+"$F;@!4S6"</f>
        <v>#VALUE!</v>
      </c>
      <c r="ER417" t="e">
        <f>'Latin America and Caribbean'!D417+"$F;@!4S7"</f>
        <v>#VALUE!</v>
      </c>
      <c r="ES417" t="e">
        <f>'Latin America and Caribbean'!E417+"$F;@!4S8"</f>
        <v>#VALUE!</v>
      </c>
      <c r="ET417" t="e">
        <f>'Latin America and Caribbean'!F417+"$F;@!4S9"</f>
        <v>#VALUE!</v>
      </c>
      <c r="EU417" t="e">
        <f>'Latin America and Caribbean'!G417+"$F;@!4S:"</f>
        <v>#VALUE!</v>
      </c>
      <c r="EV417" t="e">
        <f>'Latin America and Caribbean'!H417+"$F;@!4S;"</f>
        <v>#VALUE!</v>
      </c>
      <c r="EW417" t="e">
        <f>'Latin America and Caribbean'!A418+"$F;@!4S&lt;"</f>
        <v>#VALUE!</v>
      </c>
      <c r="EX417" t="e">
        <f>'Latin America and Caribbean'!B418+"$F;@!4S="</f>
        <v>#VALUE!</v>
      </c>
      <c r="EY417" t="e">
        <f>'Latin America and Caribbean'!C418+"$F;@!4S&gt;"</f>
        <v>#VALUE!</v>
      </c>
      <c r="EZ417" t="e">
        <f>'Latin America and Caribbean'!D418+"$F;@!4S?"</f>
        <v>#VALUE!</v>
      </c>
      <c r="FA417" t="e">
        <f>'Latin America and Caribbean'!E418+"$F;@!4S@"</f>
        <v>#VALUE!</v>
      </c>
      <c r="FB417" t="e">
        <f>'Latin America and Caribbean'!F418+"$F;@!4SA"</f>
        <v>#VALUE!</v>
      </c>
      <c r="FC417" t="e">
        <f>'Latin America and Caribbean'!G418+"$F;@!4SB"</f>
        <v>#VALUE!</v>
      </c>
      <c r="FD417" t="e">
        <f>'Latin America and Caribbean'!H418+"$F;@!4SC"</f>
        <v>#VALUE!</v>
      </c>
      <c r="FE417" t="e">
        <f>'Latin America and Caribbean'!A419+"$F;@!4SD"</f>
        <v>#VALUE!</v>
      </c>
      <c r="FF417" t="e">
        <f>'Latin America and Caribbean'!B419+"$F;@!4SE"</f>
        <v>#VALUE!</v>
      </c>
      <c r="FG417" t="e">
        <f>'Latin America and Caribbean'!C419+"$F;@!4SF"</f>
        <v>#VALUE!</v>
      </c>
      <c r="FH417" t="e">
        <f>'Latin America and Caribbean'!D419+"$F;@!4SG"</f>
        <v>#VALUE!</v>
      </c>
      <c r="FI417" t="e">
        <f>'Latin America and Caribbean'!E419+"$F;@!4SH"</f>
        <v>#VALUE!</v>
      </c>
      <c r="FJ417" t="e">
        <f>'Latin America and Caribbean'!F419+"$F;@!4SI"</f>
        <v>#VALUE!</v>
      </c>
      <c r="FK417" t="e">
        <f>'Latin America and Caribbean'!G419+"$F;@!4SJ"</f>
        <v>#VALUE!</v>
      </c>
      <c r="FL417" t="e">
        <f>'Latin America and Caribbean'!H419+"$F;@!4SK"</f>
        <v>#VALUE!</v>
      </c>
      <c r="FM417" t="e">
        <f>'Latin America and Caribbean'!A420+"$F;@!4SL"</f>
        <v>#VALUE!</v>
      </c>
      <c r="FN417" t="e">
        <f>'Latin America and Caribbean'!B420+"$F;@!4SM"</f>
        <v>#VALUE!</v>
      </c>
      <c r="FO417" t="e">
        <f>'Latin America and Caribbean'!C420+"$F;@!4SN"</f>
        <v>#VALUE!</v>
      </c>
      <c r="FP417" t="e">
        <f>'Latin America and Caribbean'!D420+"$F;@!4SO"</f>
        <v>#VALUE!</v>
      </c>
      <c r="FQ417" t="e">
        <f>'Latin America and Caribbean'!E420+"$F;@!4SP"</f>
        <v>#VALUE!</v>
      </c>
      <c r="FR417" t="e">
        <f>'Latin America and Caribbean'!F420+"$F;@!4SQ"</f>
        <v>#VALUE!</v>
      </c>
      <c r="FS417" t="e">
        <f>'Latin America and Caribbean'!G420+"$F;@!4SR"</f>
        <v>#VALUE!</v>
      </c>
      <c r="FT417" t="e">
        <f>'Latin America and Caribbean'!H420+"$F;@!4SS"</f>
        <v>#VALUE!</v>
      </c>
      <c r="FU417" t="e">
        <f>'Latin America and Caribbean'!A421+"$F;@!4ST"</f>
        <v>#VALUE!</v>
      </c>
      <c r="FV417" t="e">
        <f>'Latin America and Caribbean'!B421+"$F;@!4SU"</f>
        <v>#VALUE!</v>
      </c>
      <c r="FW417" t="e">
        <f>'Latin America and Caribbean'!C421+"$F;@!4SV"</f>
        <v>#VALUE!</v>
      </c>
      <c r="FX417" t="e">
        <f>'Latin America and Caribbean'!D421+"$F;@!4SW"</f>
        <v>#VALUE!</v>
      </c>
      <c r="FY417" t="e">
        <f>'Latin America and Caribbean'!E421+"$F;@!4SX"</f>
        <v>#VALUE!</v>
      </c>
      <c r="FZ417" t="e">
        <f>'Latin America and Caribbean'!F421+"$F;@!4SY"</f>
        <v>#VALUE!</v>
      </c>
      <c r="GA417" t="e">
        <f>'Latin America and Caribbean'!G421+"$F;@!4SZ"</f>
        <v>#VALUE!</v>
      </c>
      <c r="GB417" t="e">
        <f>'Latin America and Caribbean'!H421+"$F;@!4S["</f>
        <v>#VALUE!</v>
      </c>
      <c r="GC417" t="e">
        <f>'Latin America and Caribbean'!A422+"$F;@!4S\"</f>
        <v>#VALUE!</v>
      </c>
      <c r="GD417" t="e">
        <f>'Latin America and Caribbean'!B422+"$F;@!4S]"</f>
        <v>#VALUE!</v>
      </c>
      <c r="GE417" t="e">
        <f>'Latin America and Caribbean'!C422+"$F;@!4S^"</f>
        <v>#VALUE!</v>
      </c>
      <c r="GF417" t="e">
        <f>'Latin America and Caribbean'!D422+"$F;@!4S_"</f>
        <v>#VALUE!</v>
      </c>
      <c r="GG417" t="e">
        <f>'Latin America and Caribbean'!E422+"$F;@!4S`"</f>
        <v>#VALUE!</v>
      </c>
      <c r="GH417" t="e">
        <f>'Latin America and Caribbean'!F422+"$F;@!4Sa"</f>
        <v>#VALUE!</v>
      </c>
      <c r="GI417" t="e">
        <f>'Latin America and Caribbean'!G422+"$F;@!4Sb"</f>
        <v>#VALUE!</v>
      </c>
      <c r="GJ417" t="e">
        <f>'Latin America and Caribbean'!H422+"$F;@!4Sc"</f>
        <v>#VALUE!</v>
      </c>
      <c r="GK417" t="e">
        <f>'Latin America and Caribbean'!A423+"$F;@!4Sd"</f>
        <v>#VALUE!</v>
      </c>
      <c r="GL417" t="e">
        <f>'Latin America and Caribbean'!B423+"$F;@!4Se"</f>
        <v>#VALUE!</v>
      </c>
      <c r="GM417" t="e">
        <f>'Latin America and Caribbean'!C423+"$F;@!4Sf"</f>
        <v>#VALUE!</v>
      </c>
      <c r="GN417" t="e">
        <f>'Latin America and Caribbean'!D423+"$F;@!4Sg"</f>
        <v>#VALUE!</v>
      </c>
      <c r="GO417" t="e">
        <f>'Latin America and Caribbean'!E423+"$F;@!4Sh"</f>
        <v>#VALUE!</v>
      </c>
      <c r="GP417" t="e">
        <f>'Latin America and Caribbean'!F423+"$F;@!4Si"</f>
        <v>#VALUE!</v>
      </c>
      <c r="GQ417" t="e">
        <f>'Latin America and Caribbean'!G423+"$F;@!4Sj"</f>
        <v>#VALUE!</v>
      </c>
      <c r="GR417" t="e">
        <f>'Latin America and Caribbean'!H423+"$F;@!4Sk"</f>
        <v>#VALUE!</v>
      </c>
      <c r="GS417" t="e">
        <f>'Latin America and Caribbean'!A424+"$F;@!4Sl"</f>
        <v>#VALUE!</v>
      </c>
      <c r="GT417" t="e">
        <f>'Latin America and Caribbean'!B424+"$F;@!4Sm"</f>
        <v>#VALUE!</v>
      </c>
      <c r="GU417" t="e">
        <f>'Latin America and Caribbean'!C424+"$F;@!4Sn"</f>
        <v>#VALUE!</v>
      </c>
      <c r="GV417" t="e">
        <f>'Latin America and Caribbean'!D424+"$F;@!4So"</f>
        <v>#VALUE!</v>
      </c>
      <c r="GW417" t="e">
        <f>'Latin America and Caribbean'!E424+"$F;@!4Sp"</f>
        <v>#VALUE!</v>
      </c>
      <c r="GX417" t="e">
        <f>'Latin America and Caribbean'!F424+"$F;@!4Sq"</f>
        <v>#VALUE!</v>
      </c>
      <c r="GY417" t="e">
        <f>'Latin America and Caribbean'!G424+"$F;@!4Sr"</f>
        <v>#VALUE!</v>
      </c>
      <c r="GZ417" t="e">
        <f>'Latin America and Caribbean'!H424+"$F;@!4Ss"</f>
        <v>#VALUE!</v>
      </c>
      <c r="HA417" t="e">
        <f>'Latin America and Caribbean'!A425+"$F;@!4St"</f>
        <v>#VALUE!</v>
      </c>
      <c r="HB417" t="e">
        <f>'Latin America and Caribbean'!B425+"$F;@!4Su"</f>
        <v>#VALUE!</v>
      </c>
      <c r="HC417" t="e">
        <f>'Latin America and Caribbean'!C425+"$F;@!4Sv"</f>
        <v>#VALUE!</v>
      </c>
      <c r="HD417" t="e">
        <f>'Latin America and Caribbean'!D425+"$F;@!4Sw"</f>
        <v>#VALUE!</v>
      </c>
      <c r="HE417" t="e">
        <f>'Latin America and Caribbean'!E425+"$F;@!4Sx"</f>
        <v>#VALUE!</v>
      </c>
      <c r="HF417" t="e">
        <f>'Latin America and Caribbean'!F425+"$F;@!4Sy"</f>
        <v>#VALUE!</v>
      </c>
      <c r="HG417" t="e">
        <f>'Latin America and Caribbean'!G425+"$F;@!4Sz"</f>
        <v>#VALUE!</v>
      </c>
      <c r="HH417" t="e">
        <f>'Latin America and Caribbean'!H425+"$F;@!4S{"</f>
        <v>#VALUE!</v>
      </c>
      <c r="HI417" t="e">
        <f>'Latin America and Caribbean'!A426+"$F;@!4S|"</f>
        <v>#VALUE!</v>
      </c>
      <c r="HJ417" t="e">
        <f>'Latin America and Caribbean'!B426+"$F;@!4S}"</f>
        <v>#VALUE!</v>
      </c>
      <c r="HK417" t="e">
        <f>'Latin America and Caribbean'!C426+"$F;@!4S~"</f>
        <v>#VALUE!</v>
      </c>
      <c r="HL417" t="e">
        <f>'Latin America and Caribbean'!D426+"$F;@!4T#"</f>
        <v>#VALUE!</v>
      </c>
      <c r="HM417" t="e">
        <f>'Latin America and Caribbean'!E426+"$F;@!4T$"</f>
        <v>#VALUE!</v>
      </c>
      <c r="HN417" t="e">
        <f>'Latin America and Caribbean'!F426+"$F;@!4T%"</f>
        <v>#VALUE!</v>
      </c>
      <c r="HO417" t="e">
        <f>'Latin America and Caribbean'!G426+"$F;@!4T&amp;"</f>
        <v>#VALUE!</v>
      </c>
      <c r="HP417" t="e">
        <f>'Latin America and Caribbean'!H426+"$F;@!4T'"</f>
        <v>#VALUE!</v>
      </c>
      <c r="HQ417" t="e">
        <f>'Latin America and Caribbean'!A427+"$F;@!4T("</f>
        <v>#VALUE!</v>
      </c>
      <c r="HR417" t="e">
        <f>'Latin America and Caribbean'!B427+"$F;@!4T)"</f>
        <v>#VALUE!</v>
      </c>
      <c r="HS417" t="e">
        <f>'Latin America and Caribbean'!C427+"$F;@!4T."</f>
        <v>#VALUE!</v>
      </c>
      <c r="HT417" t="e">
        <f>'Latin America and Caribbean'!D427+"$F;@!4T/"</f>
        <v>#VALUE!</v>
      </c>
      <c r="HU417" t="e">
        <f>'Latin America and Caribbean'!E427+"$F;@!4T0"</f>
        <v>#VALUE!</v>
      </c>
      <c r="HV417" t="e">
        <f>'Latin America and Caribbean'!F427+"$F;@!4T1"</f>
        <v>#VALUE!</v>
      </c>
      <c r="HW417" t="e">
        <f>'Latin America and Caribbean'!G427+"$F;@!4T2"</f>
        <v>#VALUE!</v>
      </c>
      <c r="HX417" t="e">
        <f>'Latin America and Caribbean'!H427+"$F;@!4T3"</f>
        <v>#VALUE!</v>
      </c>
      <c r="HY417" t="e">
        <f>'Latin America and Caribbean'!A428+"$F;@!4T4"</f>
        <v>#VALUE!</v>
      </c>
      <c r="HZ417" t="e">
        <f>'Latin America and Caribbean'!B428+"$F;@!4T5"</f>
        <v>#VALUE!</v>
      </c>
      <c r="IA417" t="e">
        <f>'Latin America and Caribbean'!C428+"$F;@!4T6"</f>
        <v>#VALUE!</v>
      </c>
      <c r="IB417" t="e">
        <f>'Latin America and Caribbean'!D428+"$F;@!4T7"</f>
        <v>#VALUE!</v>
      </c>
      <c r="IC417" t="e">
        <f>'Latin America and Caribbean'!E428+"$F;@!4T8"</f>
        <v>#VALUE!</v>
      </c>
      <c r="ID417" t="e">
        <f>'Latin America and Caribbean'!F428+"$F;@!4T9"</f>
        <v>#VALUE!</v>
      </c>
      <c r="IE417" t="e">
        <f>'Latin America and Caribbean'!G428+"$F;@!4T:"</f>
        <v>#VALUE!</v>
      </c>
      <c r="IF417" t="e">
        <f>'Latin America and Caribbean'!H428+"$F;@!4T;"</f>
        <v>#VALUE!</v>
      </c>
      <c r="IG417" t="e">
        <f>'Latin America and Caribbean'!A429+"$F;@!4T&lt;"</f>
        <v>#VALUE!</v>
      </c>
      <c r="IH417" t="e">
        <f>'Latin America and Caribbean'!B429+"$F;@!4T="</f>
        <v>#VALUE!</v>
      </c>
      <c r="II417" t="e">
        <f>'Latin America and Caribbean'!C429+"$F;@!4T&gt;"</f>
        <v>#VALUE!</v>
      </c>
      <c r="IJ417" t="e">
        <f>'Latin America and Caribbean'!D429+"$F;@!4T?"</f>
        <v>#VALUE!</v>
      </c>
      <c r="IK417" t="e">
        <f>'Latin America and Caribbean'!E429+"$F;@!4T@"</f>
        <v>#VALUE!</v>
      </c>
      <c r="IL417" t="e">
        <f>'Latin America and Caribbean'!F429+"$F;@!4TA"</f>
        <v>#VALUE!</v>
      </c>
      <c r="IM417" t="e">
        <f>'Latin America and Caribbean'!G429+"$F;@!4TB"</f>
        <v>#VALUE!</v>
      </c>
      <c r="IN417" t="e">
        <f>'Latin America and Caribbean'!H429+"$F;@!4TC"</f>
        <v>#VALUE!</v>
      </c>
      <c r="IO417" t="e">
        <f>'Latin America and Caribbean'!A430+"$F;@!4TD"</f>
        <v>#VALUE!</v>
      </c>
      <c r="IP417" t="e">
        <f>'Latin America and Caribbean'!B430+"$F;@!4TE"</f>
        <v>#VALUE!</v>
      </c>
      <c r="IQ417" t="e">
        <f>'Latin America and Caribbean'!C430+"$F;@!4TF"</f>
        <v>#VALUE!</v>
      </c>
      <c r="IR417" t="e">
        <f>'Latin America and Caribbean'!D430+"$F;@!4TG"</f>
        <v>#VALUE!</v>
      </c>
      <c r="IS417" t="e">
        <f>'Latin America and Caribbean'!E430+"$F;@!4TH"</f>
        <v>#VALUE!</v>
      </c>
      <c r="IT417" t="e">
        <f>'Latin America and Caribbean'!F430+"$F;@!4TI"</f>
        <v>#VALUE!</v>
      </c>
      <c r="IU417" t="e">
        <f>'Latin America and Caribbean'!G430+"$F;@!4TJ"</f>
        <v>#VALUE!</v>
      </c>
      <c r="IV417" t="e">
        <f>'Latin America and Caribbean'!H430+"$F;@!4TK"</f>
        <v>#VALUE!</v>
      </c>
    </row>
    <row r="418" spans="6:256" x14ac:dyDescent="0.35">
      <c r="F418" t="e">
        <f>'Latin America and Caribbean'!A431+"$F;@!4TL"</f>
        <v>#VALUE!</v>
      </c>
      <c r="G418" t="e">
        <f>'Latin America and Caribbean'!B431+"$F;@!4TM"</f>
        <v>#VALUE!</v>
      </c>
      <c r="H418" t="e">
        <f>'Latin America and Caribbean'!C431+"$F;@!4TN"</f>
        <v>#VALUE!</v>
      </c>
      <c r="I418" t="e">
        <f>'Latin America and Caribbean'!D431+"$F;@!4TO"</f>
        <v>#VALUE!</v>
      </c>
      <c r="J418" t="e">
        <f>'Latin America and Caribbean'!E431+"$F;@!4TP"</f>
        <v>#VALUE!</v>
      </c>
      <c r="K418" t="e">
        <f>'Latin America and Caribbean'!F431+"$F;@!4TQ"</f>
        <v>#VALUE!</v>
      </c>
      <c r="L418" t="e">
        <f>'Latin America and Caribbean'!G431+"$F;@!4TR"</f>
        <v>#VALUE!</v>
      </c>
      <c r="M418" t="e">
        <f>'Latin America and Caribbean'!H431+"$F;@!4TS"</f>
        <v>#VALUE!</v>
      </c>
      <c r="N418" t="e">
        <f>'Latin America and Caribbean'!A432+"$F;@!4TT"</f>
        <v>#VALUE!</v>
      </c>
      <c r="O418" t="e">
        <f>'Latin America and Caribbean'!B432+"$F;@!4TU"</f>
        <v>#VALUE!</v>
      </c>
      <c r="P418" t="e">
        <f>'Latin America and Caribbean'!C432+"$F;@!4TV"</f>
        <v>#VALUE!</v>
      </c>
      <c r="Q418" t="e">
        <f>'Latin America and Caribbean'!D432+"$F;@!4TW"</f>
        <v>#VALUE!</v>
      </c>
      <c r="R418" t="e">
        <f>'Latin America and Caribbean'!E432+"$F;@!4TX"</f>
        <v>#VALUE!</v>
      </c>
      <c r="S418" t="e">
        <f>'Latin America and Caribbean'!F432+"$F;@!4TY"</f>
        <v>#VALUE!</v>
      </c>
      <c r="T418" t="e">
        <f>'Latin America and Caribbean'!G432+"$F;@!4TZ"</f>
        <v>#VALUE!</v>
      </c>
      <c r="U418" t="e">
        <f>'Latin America and Caribbean'!H432+"$F;@!4T["</f>
        <v>#VALUE!</v>
      </c>
      <c r="V418" t="e">
        <f>'Latin America and Caribbean'!A433+"$F;@!4T\"</f>
        <v>#VALUE!</v>
      </c>
      <c r="W418" t="e">
        <f>'Latin America and Caribbean'!B433+"$F;@!4T]"</f>
        <v>#VALUE!</v>
      </c>
      <c r="X418" t="e">
        <f>'Latin America and Caribbean'!C433+"$F;@!4T^"</f>
        <v>#VALUE!</v>
      </c>
      <c r="Y418" t="e">
        <f>'Latin America and Caribbean'!D433+"$F;@!4T_"</f>
        <v>#VALUE!</v>
      </c>
      <c r="Z418" t="e">
        <f>'Latin America and Caribbean'!E433+"$F;@!4T`"</f>
        <v>#VALUE!</v>
      </c>
      <c r="AA418" t="e">
        <f>'Latin America and Caribbean'!F433+"$F;@!4Ta"</f>
        <v>#VALUE!</v>
      </c>
      <c r="AB418" t="e">
        <f>'Latin America and Caribbean'!G433+"$F;@!4Tb"</f>
        <v>#VALUE!</v>
      </c>
      <c r="AC418" t="e">
        <f>'Latin America and Caribbean'!H433+"$F;@!4Tc"</f>
        <v>#VALUE!</v>
      </c>
      <c r="AD418" t="e">
        <f>'Latin America and Caribbean'!A434+"$F;@!4Td"</f>
        <v>#VALUE!</v>
      </c>
      <c r="AE418" t="e">
        <f>'Latin America and Caribbean'!B434+"$F;@!4Te"</f>
        <v>#VALUE!</v>
      </c>
      <c r="AF418" t="e">
        <f>'Latin America and Caribbean'!C434+"$F;@!4Tf"</f>
        <v>#VALUE!</v>
      </c>
      <c r="AG418" t="e">
        <f>'Latin America and Caribbean'!D434+"$F;@!4Tg"</f>
        <v>#VALUE!</v>
      </c>
      <c r="AH418" t="e">
        <f>'Latin America and Caribbean'!E434+"$F;@!4Th"</f>
        <v>#VALUE!</v>
      </c>
      <c r="AI418" t="e">
        <f>'Latin America and Caribbean'!F434+"$F;@!4Ti"</f>
        <v>#VALUE!</v>
      </c>
      <c r="AJ418" t="e">
        <f>'Latin America and Caribbean'!G434+"$F;@!4Tj"</f>
        <v>#VALUE!</v>
      </c>
      <c r="AK418" t="e">
        <f>'Latin America and Caribbean'!H434+"$F;@!4Tk"</f>
        <v>#VALUE!</v>
      </c>
      <c r="AL418" t="e">
        <f>'Latin America and Caribbean'!A435+"$F;@!4Tl"</f>
        <v>#VALUE!</v>
      </c>
      <c r="AM418" t="e">
        <f>'Latin America and Caribbean'!B435+"$F;@!4Tm"</f>
        <v>#VALUE!</v>
      </c>
      <c r="AN418" t="e">
        <f>'Latin America and Caribbean'!C435+"$F;@!4Tn"</f>
        <v>#VALUE!</v>
      </c>
      <c r="AO418" t="e">
        <f>'Latin America and Caribbean'!D435+"$F;@!4To"</f>
        <v>#VALUE!</v>
      </c>
      <c r="AP418" t="e">
        <f>'Latin America and Caribbean'!E435+"$F;@!4Tp"</f>
        <v>#VALUE!</v>
      </c>
      <c r="AQ418" t="e">
        <f>'Latin America and Caribbean'!F435+"$F;@!4Tq"</f>
        <v>#VALUE!</v>
      </c>
      <c r="AR418" t="e">
        <f>'Latin America and Caribbean'!G435+"$F;@!4Tr"</f>
        <v>#VALUE!</v>
      </c>
      <c r="AS418" t="e">
        <f>'Latin America and Caribbean'!H435+"$F;@!4Ts"</f>
        <v>#VALUE!</v>
      </c>
      <c r="AT418" t="e">
        <f>'Latin America and Caribbean'!A436+"$F;@!4Tt"</f>
        <v>#VALUE!</v>
      </c>
      <c r="AU418" t="e">
        <f>'Latin America and Caribbean'!B436+"$F;@!4Tu"</f>
        <v>#VALUE!</v>
      </c>
      <c r="AV418" t="e">
        <f>'Latin America and Caribbean'!C436+"$F;@!4Tv"</f>
        <v>#VALUE!</v>
      </c>
      <c r="AW418" t="e">
        <f>'Latin America and Caribbean'!D436+"$F;@!4Tw"</f>
        <v>#VALUE!</v>
      </c>
      <c r="AX418" t="e">
        <f>'Latin America and Caribbean'!E436+"$F;@!4Tx"</f>
        <v>#VALUE!</v>
      </c>
      <c r="AY418" t="e">
        <f>'Latin America and Caribbean'!F436+"$F;@!4Ty"</f>
        <v>#VALUE!</v>
      </c>
      <c r="AZ418" t="e">
        <f>'Latin America and Caribbean'!G436+"$F;@!4Tz"</f>
        <v>#VALUE!</v>
      </c>
      <c r="BA418" t="e">
        <f>'Latin America and Caribbean'!H436+"$F;@!4T{"</f>
        <v>#VALUE!</v>
      </c>
      <c r="BB418" t="e">
        <f>'Latin America and Caribbean'!A437+"$F;@!4T|"</f>
        <v>#VALUE!</v>
      </c>
      <c r="BC418" t="e">
        <f>'Latin America and Caribbean'!B437+"$F;@!4T}"</f>
        <v>#VALUE!</v>
      </c>
      <c r="BD418" t="e">
        <f>'Latin America and Caribbean'!C437+"$F;@!4T~"</f>
        <v>#VALUE!</v>
      </c>
      <c r="BE418" t="e">
        <f>'Latin America and Caribbean'!D437+"$F;@!4U#"</f>
        <v>#VALUE!</v>
      </c>
      <c r="BF418" t="e">
        <f>'Latin America and Caribbean'!E437+"$F;@!4U$"</f>
        <v>#VALUE!</v>
      </c>
      <c r="BG418" t="e">
        <f>'Latin America and Caribbean'!F437+"$F;@!4U%"</f>
        <v>#VALUE!</v>
      </c>
      <c r="BH418" t="e">
        <f>'Latin America and Caribbean'!G437+"$F;@!4U&amp;"</f>
        <v>#VALUE!</v>
      </c>
      <c r="BI418" t="e">
        <f>'Latin America and Caribbean'!H437+"$F;@!4U'"</f>
        <v>#VALUE!</v>
      </c>
      <c r="BJ418" t="e">
        <f>'Latin America and Caribbean'!A438+"$F;@!4U("</f>
        <v>#VALUE!</v>
      </c>
      <c r="BK418" t="e">
        <f>'Latin America and Caribbean'!B438+"$F;@!4U)"</f>
        <v>#VALUE!</v>
      </c>
      <c r="BL418" t="e">
        <f>'Latin America and Caribbean'!C438+"$F;@!4U."</f>
        <v>#VALUE!</v>
      </c>
      <c r="BM418" t="e">
        <f>'Latin America and Caribbean'!D438+"$F;@!4U/"</f>
        <v>#VALUE!</v>
      </c>
      <c r="BN418" t="e">
        <f>'Latin America and Caribbean'!E438+"$F;@!4U0"</f>
        <v>#VALUE!</v>
      </c>
      <c r="BO418" t="e">
        <f>'Latin America and Caribbean'!F438+"$F;@!4U1"</f>
        <v>#VALUE!</v>
      </c>
      <c r="BP418" t="e">
        <f>'Latin America and Caribbean'!G438+"$F;@!4U2"</f>
        <v>#VALUE!</v>
      </c>
      <c r="BQ418" t="e">
        <f>'Latin America and Caribbean'!H438+"$F;@!4U3"</f>
        <v>#VALUE!</v>
      </c>
      <c r="BR418" t="e">
        <f>'Latin America and Caribbean'!A439+"$F;@!4U4"</f>
        <v>#VALUE!</v>
      </c>
      <c r="BS418" t="e">
        <f>'Latin America and Caribbean'!B439+"$F;@!4U5"</f>
        <v>#VALUE!</v>
      </c>
      <c r="BT418" t="e">
        <f>'Latin America and Caribbean'!C439+"$F;@!4U6"</f>
        <v>#VALUE!</v>
      </c>
      <c r="BU418" t="e">
        <f>'Latin America and Caribbean'!D439+"$F;@!4U7"</f>
        <v>#VALUE!</v>
      </c>
      <c r="BV418" t="e">
        <f>'Latin America and Caribbean'!E439+"$F;@!4U8"</f>
        <v>#VALUE!</v>
      </c>
      <c r="BW418" t="e">
        <f>'Latin America and Caribbean'!F439+"$F;@!4U9"</f>
        <v>#VALUE!</v>
      </c>
      <c r="BX418" t="e">
        <f>'Latin America and Caribbean'!G439+"$F;@!4U:"</f>
        <v>#VALUE!</v>
      </c>
      <c r="BY418" t="e">
        <f>'Latin America and Caribbean'!H439+"$F;@!4U;"</f>
        <v>#VALUE!</v>
      </c>
      <c r="BZ418" t="e">
        <f>'Latin America and Caribbean'!A440+"$F;@!4U&lt;"</f>
        <v>#VALUE!</v>
      </c>
      <c r="CA418" t="e">
        <f>'Latin America and Caribbean'!B440+"$F;@!4U="</f>
        <v>#VALUE!</v>
      </c>
      <c r="CB418" t="e">
        <f>'Latin America and Caribbean'!C440+"$F;@!4U&gt;"</f>
        <v>#VALUE!</v>
      </c>
      <c r="CC418" t="e">
        <f>'Latin America and Caribbean'!D440+"$F;@!4U?"</f>
        <v>#VALUE!</v>
      </c>
      <c r="CD418" t="e">
        <f>'Latin America and Caribbean'!E440+"$F;@!4U@"</f>
        <v>#VALUE!</v>
      </c>
      <c r="CE418" t="e">
        <f>'Latin America and Caribbean'!F440+"$F;@!4UA"</f>
        <v>#VALUE!</v>
      </c>
      <c r="CF418" t="e">
        <f>'Latin America and Caribbean'!G440+"$F;@!4UB"</f>
        <v>#VALUE!</v>
      </c>
      <c r="CG418" t="e">
        <f>'Latin America and Caribbean'!H440+"$F;@!4UC"</f>
        <v>#VALUE!</v>
      </c>
      <c r="CH418" t="e">
        <f>'Latin America and Caribbean'!A441+"$F;@!4UD"</f>
        <v>#VALUE!</v>
      </c>
      <c r="CI418" t="e">
        <f>'Latin America and Caribbean'!B441+"$F;@!4UE"</f>
        <v>#VALUE!</v>
      </c>
      <c r="CJ418" t="e">
        <f>'Latin America and Caribbean'!C441+"$F;@!4UF"</f>
        <v>#VALUE!</v>
      </c>
      <c r="CK418" t="e">
        <f>'Latin America and Caribbean'!D441+"$F;@!4UG"</f>
        <v>#VALUE!</v>
      </c>
      <c r="CL418" t="e">
        <f>'Latin America and Caribbean'!E441+"$F;@!4UH"</f>
        <v>#VALUE!</v>
      </c>
      <c r="CM418" t="e">
        <f>'Latin America and Caribbean'!F441+"$F;@!4UI"</f>
        <v>#VALUE!</v>
      </c>
      <c r="CN418" t="e">
        <f>'Latin America and Caribbean'!G441+"$F;@!4UJ"</f>
        <v>#VALUE!</v>
      </c>
      <c r="CO418" t="e">
        <f>'Latin America and Caribbean'!H441+"$F;@!4UK"</f>
        <v>#VALUE!</v>
      </c>
      <c r="CP418" t="e">
        <f>'Latin America and Caribbean'!A442+"$F;@!4UL"</f>
        <v>#VALUE!</v>
      </c>
      <c r="CQ418" t="e">
        <f>'Latin America and Caribbean'!B442+"$F;@!4UM"</f>
        <v>#VALUE!</v>
      </c>
      <c r="CR418" t="e">
        <f>'Latin America and Caribbean'!C442+"$F;@!4UN"</f>
        <v>#VALUE!</v>
      </c>
      <c r="CS418" t="e">
        <f>'Latin America and Caribbean'!D442+"$F;@!4UO"</f>
        <v>#VALUE!</v>
      </c>
      <c r="CT418" t="e">
        <f>'Latin America and Caribbean'!E442+"$F;@!4UP"</f>
        <v>#VALUE!</v>
      </c>
      <c r="CU418" t="e">
        <f>'Latin America and Caribbean'!F442+"$F;@!4UQ"</f>
        <v>#VALUE!</v>
      </c>
      <c r="CV418" t="e">
        <f>'Latin America and Caribbean'!G442+"$F;@!4UR"</f>
        <v>#VALUE!</v>
      </c>
      <c r="CW418" t="e">
        <f>'Latin America and Caribbean'!H442+"$F;@!4US"</f>
        <v>#VALUE!</v>
      </c>
      <c r="CX418" t="e">
        <f>'Latin America and Caribbean'!A443+"$F;@!4UT"</f>
        <v>#VALUE!</v>
      </c>
      <c r="CY418" t="e">
        <f>'Latin America and Caribbean'!B443+"$F;@!4UU"</f>
        <v>#VALUE!</v>
      </c>
      <c r="CZ418" t="e">
        <f>'Latin America and Caribbean'!C443+"$F;@!4UV"</f>
        <v>#VALUE!</v>
      </c>
      <c r="DA418" t="e">
        <f>'Latin America and Caribbean'!D443+"$F;@!4UW"</f>
        <v>#VALUE!</v>
      </c>
      <c r="DB418" t="e">
        <f>'Latin America and Caribbean'!E443+"$F;@!4UX"</f>
        <v>#VALUE!</v>
      </c>
      <c r="DC418" t="e">
        <f>'Latin America and Caribbean'!F443+"$F;@!4UY"</f>
        <v>#VALUE!</v>
      </c>
      <c r="DD418" t="e">
        <f>'Latin America and Caribbean'!G443+"$F;@!4UZ"</f>
        <v>#VALUE!</v>
      </c>
      <c r="DE418" t="e">
        <f>'Latin America and Caribbean'!H443+"$F;@!4U["</f>
        <v>#VALUE!</v>
      </c>
      <c r="DF418" t="e">
        <f>'Latin America and Caribbean'!A444+"$F;@!4U\"</f>
        <v>#VALUE!</v>
      </c>
      <c r="DG418" t="e">
        <f>'Latin America and Caribbean'!B444+"$F;@!4U]"</f>
        <v>#VALUE!</v>
      </c>
      <c r="DH418" t="e">
        <f>'Latin America and Caribbean'!C444+"$F;@!4U^"</f>
        <v>#VALUE!</v>
      </c>
      <c r="DI418" t="e">
        <f>'Latin America and Caribbean'!D444+"$F;@!4U_"</f>
        <v>#VALUE!</v>
      </c>
      <c r="DJ418" t="e">
        <f>'Latin America and Caribbean'!E444+"$F;@!4U`"</f>
        <v>#VALUE!</v>
      </c>
      <c r="DK418" t="e">
        <f>'Latin America and Caribbean'!F444+"$F;@!4Ua"</f>
        <v>#VALUE!</v>
      </c>
      <c r="DL418" t="e">
        <f>'Latin America and Caribbean'!G444+"$F;@!4Ub"</f>
        <v>#VALUE!</v>
      </c>
      <c r="DM418" t="e">
        <f>'Latin America and Caribbean'!H444+"$F;@!4Uc"</f>
        <v>#VALUE!</v>
      </c>
      <c r="DN418" t="e">
        <f>'Latin America and Caribbean'!A445+"$F;@!4Ud"</f>
        <v>#VALUE!</v>
      </c>
      <c r="DO418" t="e">
        <f>'Latin America and Caribbean'!B445+"$F;@!4Ue"</f>
        <v>#VALUE!</v>
      </c>
      <c r="DP418" t="e">
        <f>'Latin America and Caribbean'!C445+"$F;@!4Uf"</f>
        <v>#VALUE!</v>
      </c>
      <c r="DQ418" t="e">
        <f>'Latin America and Caribbean'!D445+"$F;@!4Ug"</f>
        <v>#VALUE!</v>
      </c>
      <c r="DR418" t="e">
        <f>'Latin America and Caribbean'!E445+"$F;@!4Uh"</f>
        <v>#VALUE!</v>
      </c>
      <c r="DS418" t="e">
        <f>'Latin America and Caribbean'!F445+"$F;@!4Ui"</f>
        <v>#VALUE!</v>
      </c>
      <c r="DT418" t="e">
        <f>'Latin America and Caribbean'!G445+"$F;@!4Uj"</f>
        <v>#VALUE!</v>
      </c>
      <c r="DU418" t="e">
        <f>'Latin America and Caribbean'!H445+"$F;@!4Uk"</f>
        <v>#VALUE!</v>
      </c>
      <c r="DV418" t="e">
        <f>'Latin America and Caribbean'!A446+"$F;@!4Ul"</f>
        <v>#VALUE!</v>
      </c>
      <c r="DW418" t="e">
        <f>'Latin America and Caribbean'!B446+"$F;@!4Um"</f>
        <v>#VALUE!</v>
      </c>
      <c r="DX418" t="e">
        <f>'Latin America and Caribbean'!C446+"$F;@!4Un"</f>
        <v>#VALUE!</v>
      </c>
      <c r="DY418" t="e">
        <f>'Latin America and Caribbean'!D446+"$F;@!4Uo"</f>
        <v>#VALUE!</v>
      </c>
      <c r="DZ418" t="e">
        <f>'Latin America and Caribbean'!E446+"$F;@!4Up"</f>
        <v>#VALUE!</v>
      </c>
      <c r="EA418" t="e">
        <f>'Latin America and Caribbean'!F446+"$F;@!4Uq"</f>
        <v>#VALUE!</v>
      </c>
      <c r="EB418" t="e">
        <f>'Latin America and Caribbean'!G446+"$F;@!4Ur"</f>
        <v>#VALUE!</v>
      </c>
      <c r="EC418" t="e">
        <f>'Latin America and Caribbean'!H446+"$F;@!4Us"</f>
        <v>#VALUE!</v>
      </c>
      <c r="ED418" t="e">
        <f>'Latin America and Caribbean'!A447+"$F;@!4Ut"</f>
        <v>#VALUE!</v>
      </c>
      <c r="EE418" t="e">
        <f>'Latin America and Caribbean'!B447+"$F;@!4Uu"</f>
        <v>#VALUE!</v>
      </c>
      <c r="EF418" t="e">
        <f>'Latin America and Caribbean'!C447+"$F;@!4Uv"</f>
        <v>#VALUE!</v>
      </c>
      <c r="EG418" t="e">
        <f>'Latin America and Caribbean'!D447+"$F;@!4Uw"</f>
        <v>#VALUE!</v>
      </c>
      <c r="EH418" t="e">
        <f>'Latin America and Caribbean'!E447+"$F;@!4Ux"</f>
        <v>#VALUE!</v>
      </c>
      <c r="EI418" t="e">
        <f>'Latin America and Caribbean'!F447+"$F;@!4Uy"</f>
        <v>#VALUE!</v>
      </c>
      <c r="EJ418" t="e">
        <f>'Latin America and Caribbean'!G447+"$F;@!4Uz"</f>
        <v>#VALUE!</v>
      </c>
      <c r="EK418" t="e">
        <f>'Latin America and Caribbean'!H447+"$F;@!4U{"</f>
        <v>#VALUE!</v>
      </c>
      <c r="EL418" t="e">
        <f>'Latin America and Caribbean'!A448+"$F;@!4U|"</f>
        <v>#VALUE!</v>
      </c>
      <c r="EM418" t="e">
        <f>'Latin America and Caribbean'!B448+"$F;@!4U}"</f>
        <v>#VALUE!</v>
      </c>
      <c r="EN418" t="e">
        <f>'Latin America and Caribbean'!C448+"$F;@!4U~"</f>
        <v>#VALUE!</v>
      </c>
      <c r="EO418" t="e">
        <f>'Latin America and Caribbean'!D448+"$F;@!4V#"</f>
        <v>#VALUE!</v>
      </c>
      <c r="EP418" t="e">
        <f>'Latin America and Caribbean'!E448+"$F;@!4V$"</f>
        <v>#VALUE!</v>
      </c>
      <c r="EQ418" t="e">
        <f>'Latin America and Caribbean'!F448+"$F;@!4V%"</f>
        <v>#VALUE!</v>
      </c>
      <c r="ER418" t="e">
        <f>'Latin America and Caribbean'!G448+"$F;@!4V&amp;"</f>
        <v>#VALUE!</v>
      </c>
      <c r="ES418" t="e">
        <f>'Latin America and Caribbean'!H448+"$F;@!4V'"</f>
        <v>#VALUE!</v>
      </c>
      <c r="ET418" t="e">
        <f>'Latin America and Caribbean'!A449+"$F;@!4V("</f>
        <v>#VALUE!</v>
      </c>
      <c r="EU418" t="e">
        <f>'Latin America and Caribbean'!B449+"$F;@!4V)"</f>
        <v>#VALUE!</v>
      </c>
      <c r="EV418" t="e">
        <f>'Latin America and Caribbean'!C449+"$F;@!4V."</f>
        <v>#VALUE!</v>
      </c>
      <c r="EW418" t="e">
        <f>'Latin America and Caribbean'!D449+"$F;@!4V/"</f>
        <v>#VALUE!</v>
      </c>
      <c r="EX418" t="e">
        <f>'Latin America and Caribbean'!E449+"$F;@!4V0"</f>
        <v>#VALUE!</v>
      </c>
      <c r="EY418" t="e">
        <f>'Latin America and Caribbean'!F449+"$F;@!4V1"</f>
        <v>#VALUE!</v>
      </c>
      <c r="EZ418" t="e">
        <f>'Latin America and Caribbean'!G449+"$F;@!4V2"</f>
        <v>#VALUE!</v>
      </c>
      <c r="FA418" t="e">
        <f>'Latin America and Caribbean'!H449+"$F;@!4V3"</f>
        <v>#VALUE!</v>
      </c>
      <c r="FB418" t="e">
        <f>'Latin America and Caribbean'!A450+"$F;@!4V4"</f>
        <v>#VALUE!</v>
      </c>
      <c r="FC418" t="e">
        <f>'Latin America and Caribbean'!B450+"$F;@!4V5"</f>
        <v>#VALUE!</v>
      </c>
      <c r="FD418" t="e">
        <f>'Latin America and Caribbean'!C450+"$F;@!4V6"</f>
        <v>#VALUE!</v>
      </c>
      <c r="FE418" t="e">
        <f>'Latin America and Caribbean'!D450+"$F;@!4V7"</f>
        <v>#VALUE!</v>
      </c>
      <c r="FF418" t="e">
        <f>'Latin America and Caribbean'!E450+"$F;@!4V8"</f>
        <v>#VALUE!</v>
      </c>
      <c r="FG418" t="e">
        <f>'Latin America and Caribbean'!F450+"$F;@!4V9"</f>
        <v>#VALUE!</v>
      </c>
      <c r="FH418" t="e">
        <f>'Latin America and Caribbean'!G450+"$F;@!4V:"</f>
        <v>#VALUE!</v>
      </c>
      <c r="FI418" t="e">
        <f>'Latin America and Caribbean'!H450+"$F;@!4V;"</f>
        <v>#VALUE!</v>
      </c>
      <c r="FJ418" t="e">
        <f>'Latin America and Caribbean'!A451+"$F;@!4V&lt;"</f>
        <v>#VALUE!</v>
      </c>
      <c r="FK418" t="e">
        <f>'Latin America and Caribbean'!B451+"$F;@!4V="</f>
        <v>#VALUE!</v>
      </c>
      <c r="FL418" t="e">
        <f>'Latin America and Caribbean'!C451+"$F;@!4V&gt;"</f>
        <v>#VALUE!</v>
      </c>
      <c r="FM418" t="e">
        <f>'Latin America and Caribbean'!D451+"$F;@!4V?"</f>
        <v>#VALUE!</v>
      </c>
      <c r="FN418" t="e">
        <f>'Latin America and Caribbean'!E451+"$F;@!4V@"</f>
        <v>#VALUE!</v>
      </c>
      <c r="FO418" t="e">
        <f>'Latin America and Caribbean'!F451+"$F;@!4VA"</f>
        <v>#VALUE!</v>
      </c>
      <c r="FP418" t="e">
        <f>'Latin America and Caribbean'!G451+"$F;@!4VB"</f>
        <v>#VALUE!</v>
      </c>
      <c r="FQ418" t="e">
        <f>'Latin America and Caribbean'!H451+"$F;@!4VC"</f>
        <v>#VALUE!</v>
      </c>
      <c r="FR418" t="e">
        <f>'Latin America and Caribbean'!A452+"$F;@!4VD"</f>
        <v>#VALUE!</v>
      </c>
      <c r="FS418" t="e">
        <f>'Latin America and Caribbean'!B452+"$F;@!4VE"</f>
        <v>#VALUE!</v>
      </c>
      <c r="FT418" t="e">
        <f>'Latin America and Caribbean'!C452+"$F;@!4VF"</f>
        <v>#VALUE!</v>
      </c>
      <c r="FU418" t="e">
        <f>'Latin America and Caribbean'!D452+"$F;@!4VG"</f>
        <v>#VALUE!</v>
      </c>
      <c r="FV418" t="e">
        <f>'Latin America and Caribbean'!E452+"$F;@!4VH"</f>
        <v>#VALUE!</v>
      </c>
      <c r="FW418" t="e">
        <f>'Latin America and Caribbean'!F452+"$F;@!4VI"</f>
        <v>#VALUE!</v>
      </c>
      <c r="FX418" t="e">
        <f>'Latin America and Caribbean'!G452+"$F;@!4VJ"</f>
        <v>#VALUE!</v>
      </c>
      <c r="FY418" t="e">
        <f>'Latin America and Caribbean'!H452+"$F;@!4VK"</f>
        <v>#VALUE!</v>
      </c>
      <c r="FZ418" t="e">
        <f>'Latin America and Caribbean'!A453+"$F;@!4VL"</f>
        <v>#VALUE!</v>
      </c>
      <c r="GA418" t="e">
        <f>'Latin America and Caribbean'!B453+"$F;@!4VM"</f>
        <v>#VALUE!</v>
      </c>
      <c r="GB418" t="e">
        <f>'Latin America and Caribbean'!C453+"$F;@!4VN"</f>
        <v>#VALUE!</v>
      </c>
      <c r="GC418" t="e">
        <f>'Latin America and Caribbean'!D453+"$F;@!4VO"</f>
        <v>#VALUE!</v>
      </c>
      <c r="GD418" t="e">
        <f>'Latin America and Caribbean'!E453+"$F;@!4VP"</f>
        <v>#VALUE!</v>
      </c>
      <c r="GE418" t="e">
        <f>'Latin America and Caribbean'!F453+"$F;@!4VQ"</f>
        <v>#VALUE!</v>
      </c>
      <c r="GF418" t="e">
        <f>'Latin America and Caribbean'!G453+"$F;@!4VR"</f>
        <v>#VALUE!</v>
      </c>
      <c r="GG418" t="e">
        <f>'Latin America and Caribbean'!H453+"$F;@!4VS"</f>
        <v>#VALUE!</v>
      </c>
      <c r="GH418" t="e">
        <f>'Latin America and Caribbean'!A454+"$F;@!4VT"</f>
        <v>#VALUE!</v>
      </c>
      <c r="GI418" t="e">
        <f>'Latin America and Caribbean'!B454+"$F;@!4VU"</f>
        <v>#VALUE!</v>
      </c>
      <c r="GJ418" t="e">
        <f>'Latin America and Caribbean'!C454+"$F;@!4VV"</f>
        <v>#VALUE!</v>
      </c>
      <c r="GK418" t="e">
        <f>'Latin America and Caribbean'!D454+"$F;@!4VW"</f>
        <v>#VALUE!</v>
      </c>
      <c r="GL418" t="e">
        <f>'Latin America and Caribbean'!E454+"$F;@!4VX"</f>
        <v>#VALUE!</v>
      </c>
      <c r="GM418" t="e">
        <f>'Latin America and Caribbean'!F454+"$F;@!4VY"</f>
        <v>#VALUE!</v>
      </c>
      <c r="GN418" t="e">
        <f>'Latin America and Caribbean'!G454+"$F;@!4VZ"</f>
        <v>#VALUE!</v>
      </c>
      <c r="GO418" t="e">
        <f>'Latin America and Caribbean'!H454+"$F;@!4V["</f>
        <v>#VALUE!</v>
      </c>
      <c r="GP418" t="e">
        <f>'Latin America and Caribbean'!A455+"$F;@!4V\"</f>
        <v>#VALUE!</v>
      </c>
      <c r="GQ418" t="e">
        <f>'Latin America and Caribbean'!B455+"$F;@!4V]"</f>
        <v>#VALUE!</v>
      </c>
      <c r="GR418" t="e">
        <f>'Latin America and Caribbean'!C455+"$F;@!4V^"</f>
        <v>#VALUE!</v>
      </c>
      <c r="GS418" t="e">
        <f>'Latin America and Caribbean'!D455+"$F;@!4V_"</f>
        <v>#VALUE!</v>
      </c>
      <c r="GT418" t="e">
        <f>'Latin America and Caribbean'!E455+"$F;@!4V`"</f>
        <v>#VALUE!</v>
      </c>
      <c r="GU418" t="e">
        <f>'Latin America and Caribbean'!F455+"$F;@!4Va"</f>
        <v>#VALUE!</v>
      </c>
      <c r="GV418" t="e">
        <f>'Latin America and Caribbean'!G455+"$F;@!4Vb"</f>
        <v>#VALUE!</v>
      </c>
      <c r="GW418" t="e">
        <f>'Latin America and Caribbean'!H455+"$F;@!4Vc"</f>
        <v>#VALUE!</v>
      </c>
      <c r="GX418" t="e">
        <f>'Latin America and Caribbean'!A456+"$F;@!4Vd"</f>
        <v>#VALUE!</v>
      </c>
      <c r="GY418" t="e">
        <f>'Latin America and Caribbean'!B456+"$F;@!4Ve"</f>
        <v>#VALUE!</v>
      </c>
      <c r="GZ418" t="e">
        <f>'Latin America and Caribbean'!C456+"$F;@!4Vf"</f>
        <v>#VALUE!</v>
      </c>
      <c r="HA418" t="e">
        <f>'Latin America and Caribbean'!D456+"$F;@!4Vg"</f>
        <v>#VALUE!</v>
      </c>
      <c r="HB418" t="e">
        <f>'Latin America and Caribbean'!E456+"$F;@!4Vh"</f>
        <v>#VALUE!</v>
      </c>
      <c r="HC418" t="e">
        <f>'Latin America and Caribbean'!F456+"$F;@!4Vi"</f>
        <v>#VALUE!</v>
      </c>
      <c r="HD418" t="e">
        <f>'Latin America and Caribbean'!G456+"$F;@!4Vj"</f>
        <v>#VALUE!</v>
      </c>
      <c r="HE418" t="e">
        <f>'Latin America and Caribbean'!H456+"$F;@!4Vk"</f>
        <v>#VALUE!</v>
      </c>
      <c r="HF418" t="e">
        <f>'Latin America and Caribbean'!A457+"$F;@!4Vl"</f>
        <v>#VALUE!</v>
      </c>
      <c r="HG418" t="e">
        <f>'Latin America and Caribbean'!B457+"$F;@!4Vm"</f>
        <v>#VALUE!</v>
      </c>
      <c r="HH418" t="e">
        <f>'Latin America and Caribbean'!C457+"$F;@!4Vn"</f>
        <v>#VALUE!</v>
      </c>
      <c r="HI418" t="e">
        <f>'Latin America and Caribbean'!D457+"$F;@!4Vo"</f>
        <v>#VALUE!</v>
      </c>
      <c r="HJ418" t="e">
        <f>'Latin America and Caribbean'!E457+"$F;@!4Vp"</f>
        <v>#VALUE!</v>
      </c>
      <c r="HK418" t="e">
        <f>'Latin America and Caribbean'!F457+"$F;@!4Vq"</f>
        <v>#VALUE!</v>
      </c>
      <c r="HL418" t="e">
        <f>'Latin America and Caribbean'!G457+"$F;@!4Vr"</f>
        <v>#VALUE!</v>
      </c>
      <c r="HM418" t="e">
        <f>'Latin America and Caribbean'!H457+"$F;@!4Vs"</f>
        <v>#VALUE!</v>
      </c>
      <c r="HN418" t="e">
        <f>'Latin America and Caribbean'!A458+"$F;@!4Vt"</f>
        <v>#VALUE!</v>
      </c>
      <c r="HO418" t="e">
        <f>'Latin America and Caribbean'!B458+"$F;@!4Vu"</f>
        <v>#VALUE!</v>
      </c>
      <c r="HP418" t="e">
        <f>'Latin America and Caribbean'!C458+"$F;@!4Vv"</f>
        <v>#VALUE!</v>
      </c>
      <c r="HQ418" t="e">
        <f>'Latin America and Caribbean'!D458+"$F;@!4Vw"</f>
        <v>#VALUE!</v>
      </c>
      <c r="HR418" t="e">
        <f>'Latin America and Caribbean'!E458+"$F;@!4Vx"</f>
        <v>#VALUE!</v>
      </c>
      <c r="HS418" t="e">
        <f>'Latin America and Caribbean'!F458+"$F;@!4Vy"</f>
        <v>#VALUE!</v>
      </c>
      <c r="HT418" t="e">
        <f>'Latin America and Caribbean'!G458+"$F;@!4Vz"</f>
        <v>#VALUE!</v>
      </c>
      <c r="HU418" t="e">
        <f>'Latin America and Caribbean'!H458+"$F;@!4V{"</f>
        <v>#VALUE!</v>
      </c>
      <c r="HV418" t="e">
        <f>'Latin America and Caribbean'!A459+"$F;@!4V|"</f>
        <v>#VALUE!</v>
      </c>
      <c r="HW418" t="e">
        <f>'Latin America and Caribbean'!B459+"$F;@!4V}"</f>
        <v>#VALUE!</v>
      </c>
      <c r="HX418" t="e">
        <f>'Latin America and Caribbean'!C459+"$F;@!4V~"</f>
        <v>#VALUE!</v>
      </c>
      <c r="HY418" t="e">
        <f>'Latin America and Caribbean'!D459+"$F;@!4W#"</f>
        <v>#VALUE!</v>
      </c>
      <c r="HZ418" t="e">
        <f>'Latin America and Caribbean'!E459+"$F;@!4W$"</f>
        <v>#VALUE!</v>
      </c>
      <c r="IA418" t="e">
        <f>'Latin America and Caribbean'!F459+"$F;@!4W%"</f>
        <v>#VALUE!</v>
      </c>
      <c r="IB418" t="e">
        <f>'Latin America and Caribbean'!G459+"$F;@!4W&amp;"</f>
        <v>#VALUE!</v>
      </c>
      <c r="IC418" t="e">
        <f>'Latin America and Caribbean'!H459+"$F;@!4W'"</f>
        <v>#VALUE!</v>
      </c>
      <c r="ID418" t="e">
        <f>'Latin America and Caribbean'!A460+"$F;@!4W("</f>
        <v>#VALUE!</v>
      </c>
      <c r="IE418" t="e">
        <f>'Latin America and Caribbean'!B460+"$F;@!4W)"</f>
        <v>#VALUE!</v>
      </c>
      <c r="IF418" t="e">
        <f>'Latin America and Caribbean'!C460+"$F;@!4W."</f>
        <v>#VALUE!</v>
      </c>
      <c r="IG418" t="e">
        <f>'Latin America and Caribbean'!D460+"$F;@!4W/"</f>
        <v>#VALUE!</v>
      </c>
      <c r="IH418" t="e">
        <f>'Latin America and Caribbean'!E460+"$F;@!4W0"</f>
        <v>#VALUE!</v>
      </c>
      <c r="II418" t="e">
        <f>'Latin America and Caribbean'!F460+"$F;@!4W1"</f>
        <v>#VALUE!</v>
      </c>
      <c r="IJ418" t="e">
        <f>'Latin America and Caribbean'!G460+"$F;@!4W2"</f>
        <v>#VALUE!</v>
      </c>
      <c r="IK418" t="e">
        <f>'Latin America and Caribbean'!H460+"$F;@!4W3"</f>
        <v>#VALUE!</v>
      </c>
      <c r="IL418" t="e">
        <f>'Latin America and Caribbean'!A461+"$F;@!4W4"</f>
        <v>#VALUE!</v>
      </c>
      <c r="IM418" t="e">
        <f>'Latin America and Caribbean'!B461+"$F;@!4W5"</f>
        <v>#VALUE!</v>
      </c>
      <c r="IN418" t="e">
        <f>'Latin America and Caribbean'!C461+"$F;@!4W6"</f>
        <v>#VALUE!</v>
      </c>
      <c r="IO418" t="e">
        <f>'Latin America and Caribbean'!D461+"$F;@!4W7"</f>
        <v>#VALUE!</v>
      </c>
      <c r="IP418" t="e">
        <f>'Latin America and Caribbean'!E461+"$F;@!4W8"</f>
        <v>#VALUE!</v>
      </c>
      <c r="IQ418" t="e">
        <f>'Latin America and Caribbean'!F461+"$F;@!4W9"</f>
        <v>#VALUE!</v>
      </c>
      <c r="IR418" t="e">
        <f>'Latin America and Caribbean'!G461+"$F;@!4W:"</f>
        <v>#VALUE!</v>
      </c>
      <c r="IS418" t="e">
        <f>'Latin America and Caribbean'!H461+"$F;@!4W;"</f>
        <v>#VALUE!</v>
      </c>
      <c r="IT418" t="e">
        <f>'Latin America and Caribbean'!A462+"$F;@!4W&lt;"</f>
        <v>#VALUE!</v>
      </c>
      <c r="IU418" t="e">
        <f>'Latin America and Caribbean'!B462+"$F;@!4W="</f>
        <v>#VALUE!</v>
      </c>
      <c r="IV418" t="e">
        <f>'Latin America and Caribbean'!C462+"$F;@!4W&gt;"</f>
        <v>#VALUE!</v>
      </c>
    </row>
    <row r="419" spans="6:256" x14ac:dyDescent="0.35">
      <c r="F419" t="e">
        <f>'Latin America and Caribbean'!D462+"$F;@!4W?"</f>
        <v>#VALUE!</v>
      </c>
      <c r="G419" t="e">
        <f>'Latin America and Caribbean'!E462+"$F;@!4W@"</f>
        <v>#VALUE!</v>
      </c>
      <c r="H419" t="e">
        <f>'Latin America and Caribbean'!F462+"$F;@!4WA"</f>
        <v>#VALUE!</v>
      </c>
      <c r="I419" t="e">
        <f>'Latin America and Caribbean'!G462+"$F;@!4WB"</f>
        <v>#VALUE!</v>
      </c>
      <c r="J419" t="e">
        <f>'Latin America and Caribbean'!H462+"$F;@!4WC"</f>
        <v>#VALUE!</v>
      </c>
      <c r="K419" t="e">
        <f>'Latin America and Caribbean'!A463+"$F;@!4WD"</f>
        <v>#VALUE!</v>
      </c>
      <c r="L419" t="e">
        <f>'Latin America and Caribbean'!B463+"$F;@!4WE"</f>
        <v>#VALUE!</v>
      </c>
      <c r="M419" t="e">
        <f>'Latin America and Caribbean'!C463+"$F;@!4WF"</f>
        <v>#VALUE!</v>
      </c>
      <c r="N419" t="e">
        <f>'Latin America and Caribbean'!D463+"$F;@!4WG"</f>
        <v>#VALUE!</v>
      </c>
      <c r="O419" t="e">
        <f>'Latin America and Caribbean'!E463+"$F;@!4WH"</f>
        <v>#VALUE!</v>
      </c>
      <c r="P419" t="e">
        <f>'Latin America and Caribbean'!F463+"$F;@!4WI"</f>
        <v>#VALUE!</v>
      </c>
      <c r="Q419" t="e">
        <f>'Latin America and Caribbean'!G463+"$F;@!4WJ"</f>
        <v>#VALUE!</v>
      </c>
      <c r="R419" t="e">
        <f>'Latin America and Caribbean'!H463+"$F;@!4WK"</f>
        <v>#VALUE!</v>
      </c>
      <c r="S419" t="e">
        <f>'Latin America and Caribbean'!A464+"$F;@!4WL"</f>
        <v>#VALUE!</v>
      </c>
      <c r="T419" t="e">
        <f>'Latin America and Caribbean'!B464+"$F;@!4WM"</f>
        <v>#VALUE!</v>
      </c>
      <c r="U419" t="e">
        <f>'Latin America and Caribbean'!C464+"$F;@!4WN"</f>
        <v>#VALUE!</v>
      </c>
      <c r="V419" t="e">
        <f>'Latin America and Caribbean'!D464+"$F;@!4WO"</f>
        <v>#VALUE!</v>
      </c>
      <c r="W419" t="e">
        <f>'Latin America and Caribbean'!E464+"$F;@!4WP"</f>
        <v>#VALUE!</v>
      </c>
      <c r="X419" t="e">
        <f>'Latin America and Caribbean'!F464+"$F;@!4WQ"</f>
        <v>#VALUE!</v>
      </c>
      <c r="Y419" t="e">
        <f>'Latin America and Caribbean'!G464+"$F;@!4WR"</f>
        <v>#VALUE!</v>
      </c>
      <c r="Z419" t="e">
        <f>'Latin America and Caribbean'!H464+"$F;@!4WS"</f>
        <v>#VALUE!</v>
      </c>
      <c r="AA419" t="e">
        <f>'Latin America and Caribbean'!A465+"$F;@!4WT"</f>
        <v>#VALUE!</v>
      </c>
      <c r="AB419" t="e">
        <f>'Latin America and Caribbean'!B465+"$F;@!4WU"</f>
        <v>#VALUE!</v>
      </c>
      <c r="AC419" t="e">
        <f>'Latin America and Caribbean'!C465+"$F;@!4WV"</f>
        <v>#VALUE!</v>
      </c>
      <c r="AD419" t="e">
        <f>'Latin America and Caribbean'!D465+"$F;@!4WW"</f>
        <v>#VALUE!</v>
      </c>
      <c r="AE419" t="e">
        <f>'Latin America and Caribbean'!E465+"$F;@!4WX"</f>
        <v>#VALUE!</v>
      </c>
      <c r="AF419" t="e">
        <f>'Latin America and Caribbean'!F465+"$F;@!4WY"</f>
        <v>#VALUE!</v>
      </c>
      <c r="AG419" t="e">
        <f>'Latin America and Caribbean'!G465+"$F;@!4WZ"</f>
        <v>#VALUE!</v>
      </c>
      <c r="AH419" t="e">
        <f>'Latin America and Caribbean'!H465+"$F;@!4W["</f>
        <v>#VALUE!</v>
      </c>
      <c r="AI419" t="e">
        <f>'Latin America and Caribbean'!A466+"$F;@!4W\"</f>
        <v>#VALUE!</v>
      </c>
      <c r="AJ419" t="e">
        <f>'Latin America and Caribbean'!B466+"$F;@!4W]"</f>
        <v>#VALUE!</v>
      </c>
      <c r="AK419" t="e">
        <f>'Latin America and Caribbean'!C466+"$F;@!4W^"</f>
        <v>#VALUE!</v>
      </c>
      <c r="AL419" t="e">
        <f>'Latin America and Caribbean'!D466+"$F;@!4W_"</f>
        <v>#VALUE!</v>
      </c>
      <c r="AM419" t="e">
        <f>'Latin America and Caribbean'!E466+"$F;@!4W`"</f>
        <v>#VALUE!</v>
      </c>
      <c r="AN419" t="e">
        <f>'Latin America and Caribbean'!F466+"$F;@!4Wa"</f>
        <v>#VALUE!</v>
      </c>
      <c r="AO419" t="e">
        <f>'Latin America and Caribbean'!G466+"$F;@!4Wb"</f>
        <v>#VALUE!</v>
      </c>
      <c r="AP419" t="e">
        <f>'Latin America and Caribbean'!H466+"$F;@!4Wc"</f>
        <v>#VALUE!</v>
      </c>
      <c r="AQ419" t="e">
        <f>'Latin America and Caribbean'!A467+"$F;@!4Wd"</f>
        <v>#VALUE!</v>
      </c>
      <c r="AR419" t="e">
        <f>'Latin America and Caribbean'!B467+"$F;@!4We"</f>
        <v>#VALUE!</v>
      </c>
      <c r="AS419" t="e">
        <f>'Latin America and Caribbean'!C467+"$F;@!4Wf"</f>
        <v>#VALUE!</v>
      </c>
      <c r="AT419" t="e">
        <f>'Latin America and Caribbean'!D467+"$F;@!4Wg"</f>
        <v>#VALUE!</v>
      </c>
      <c r="AU419" t="e">
        <f>'Latin America and Caribbean'!E467+"$F;@!4Wh"</f>
        <v>#VALUE!</v>
      </c>
      <c r="AV419" t="e">
        <f>'Latin America and Caribbean'!F467+"$F;@!4Wi"</f>
        <v>#VALUE!</v>
      </c>
      <c r="AW419" t="e">
        <f>'Latin America and Caribbean'!G467+"$F;@!4Wj"</f>
        <v>#VALUE!</v>
      </c>
      <c r="AX419" t="e">
        <f>'Latin America and Caribbean'!H467+"$F;@!4Wk"</f>
        <v>#VALUE!</v>
      </c>
      <c r="AY419" t="e">
        <f>'Latin America and Caribbean'!A468+"$F;@!4Wl"</f>
        <v>#VALUE!</v>
      </c>
      <c r="AZ419" t="e">
        <f>'Latin America and Caribbean'!B468+"$F;@!4Wm"</f>
        <v>#VALUE!</v>
      </c>
      <c r="BA419" t="e">
        <f>'Latin America and Caribbean'!C468+"$F;@!4Wn"</f>
        <v>#VALUE!</v>
      </c>
      <c r="BB419" t="e">
        <f>'Latin America and Caribbean'!D468+"$F;@!4Wo"</f>
        <v>#VALUE!</v>
      </c>
      <c r="BC419" t="e">
        <f>'Latin America and Caribbean'!E468+"$F;@!4Wp"</f>
        <v>#VALUE!</v>
      </c>
      <c r="BD419" t="e">
        <f>'Latin America and Caribbean'!F468+"$F;@!4Wq"</f>
        <v>#VALUE!</v>
      </c>
      <c r="BE419" t="e">
        <f>'Latin America and Caribbean'!G468+"$F;@!4Wr"</f>
        <v>#VALUE!</v>
      </c>
      <c r="BF419" t="e">
        <f>'Latin America and Caribbean'!H468+"$F;@!4Ws"</f>
        <v>#VALUE!</v>
      </c>
      <c r="BG419" t="e">
        <f>'Latin America and Caribbean'!A469+"$F;@!4Wt"</f>
        <v>#VALUE!</v>
      </c>
      <c r="BH419" t="e">
        <f>'Latin America and Caribbean'!B469+"$F;@!4Wu"</f>
        <v>#VALUE!</v>
      </c>
      <c r="BI419" t="e">
        <f>'Latin America and Caribbean'!C469+"$F;@!4Wv"</f>
        <v>#VALUE!</v>
      </c>
      <c r="BJ419" t="e">
        <f>'Latin America and Caribbean'!D469+"$F;@!4Ww"</f>
        <v>#VALUE!</v>
      </c>
      <c r="BK419" t="e">
        <f>'Latin America and Caribbean'!E469+"$F;@!4Wx"</f>
        <v>#VALUE!</v>
      </c>
      <c r="BL419" t="e">
        <f>'Latin America and Caribbean'!F469+"$F;@!4Wy"</f>
        <v>#VALUE!</v>
      </c>
      <c r="BM419" t="e">
        <f>'Latin America and Caribbean'!G469+"$F;@!4Wz"</f>
        <v>#VALUE!</v>
      </c>
      <c r="BN419" t="e">
        <f>'Latin America and Caribbean'!H469+"$F;@!4W{"</f>
        <v>#VALUE!</v>
      </c>
      <c r="BO419" t="e">
        <f>'Latin America and Caribbean'!A470+"$F;@!4W|"</f>
        <v>#VALUE!</v>
      </c>
      <c r="BP419" t="e">
        <f>'Latin America and Caribbean'!B470+"$F;@!4W}"</f>
        <v>#VALUE!</v>
      </c>
      <c r="BQ419" t="e">
        <f>'Latin America and Caribbean'!C470+"$F;@!4W~"</f>
        <v>#VALUE!</v>
      </c>
      <c r="BR419" t="e">
        <f>'Latin America and Caribbean'!D470+"$F;@!4X#"</f>
        <v>#VALUE!</v>
      </c>
      <c r="BS419" t="e">
        <f>'Latin America and Caribbean'!E470+"$F;@!4X$"</f>
        <v>#VALUE!</v>
      </c>
      <c r="BT419" t="e">
        <f>'Latin America and Caribbean'!F470+"$F;@!4X%"</f>
        <v>#VALUE!</v>
      </c>
      <c r="BU419" t="e">
        <f>'Latin America and Caribbean'!G470+"$F;@!4X&amp;"</f>
        <v>#VALUE!</v>
      </c>
      <c r="BV419" t="e">
        <f>'Latin America and Caribbean'!H470+"$F;@!4X'"</f>
        <v>#VALUE!</v>
      </c>
      <c r="BW419" t="e">
        <f>'Latin America and Caribbean'!A471+"$F;@!4X("</f>
        <v>#VALUE!</v>
      </c>
      <c r="BX419" t="e">
        <f>'Latin America and Caribbean'!B471+"$F;@!4X)"</f>
        <v>#VALUE!</v>
      </c>
      <c r="BY419" t="e">
        <f>'Latin America and Caribbean'!C471+"$F;@!4X."</f>
        <v>#VALUE!</v>
      </c>
      <c r="BZ419" t="e">
        <f>'Latin America and Caribbean'!D471+"$F;@!4X/"</f>
        <v>#VALUE!</v>
      </c>
      <c r="CA419" t="e">
        <f>'Latin America and Caribbean'!E471+"$F;@!4X0"</f>
        <v>#VALUE!</v>
      </c>
      <c r="CB419" t="e">
        <f>'Latin America and Caribbean'!F471+"$F;@!4X1"</f>
        <v>#VALUE!</v>
      </c>
      <c r="CC419" t="e">
        <f>'Latin America and Caribbean'!G471+"$F;@!4X2"</f>
        <v>#VALUE!</v>
      </c>
      <c r="CD419" t="e">
        <f>'Latin America and Caribbean'!H471+"$F;@!4X3"</f>
        <v>#VALUE!</v>
      </c>
      <c r="CE419" t="e">
        <f>'Latin America and Caribbean'!A472+"$F;@!4X4"</f>
        <v>#VALUE!</v>
      </c>
      <c r="CF419" t="e">
        <f>'Latin America and Caribbean'!B472+"$F;@!4X5"</f>
        <v>#VALUE!</v>
      </c>
      <c r="CG419" t="e">
        <f>'Latin America and Caribbean'!C472+"$F;@!4X6"</f>
        <v>#VALUE!</v>
      </c>
      <c r="CH419" t="e">
        <f>'Latin America and Caribbean'!D472+"$F;@!4X7"</f>
        <v>#VALUE!</v>
      </c>
      <c r="CI419" t="e">
        <f>'Latin America and Caribbean'!E472+"$F;@!4X8"</f>
        <v>#VALUE!</v>
      </c>
      <c r="CJ419" t="e">
        <f>'Latin America and Caribbean'!F472+"$F;@!4X9"</f>
        <v>#VALUE!</v>
      </c>
      <c r="CK419" t="e">
        <f>'Latin America and Caribbean'!G472+"$F;@!4X:"</f>
        <v>#VALUE!</v>
      </c>
      <c r="CL419" t="e">
        <f>'Latin America and Caribbean'!H472+"$F;@!4X;"</f>
        <v>#VALUE!</v>
      </c>
      <c r="CM419" t="e">
        <f>'Latin America and Caribbean'!A473+"$F;@!4X&lt;"</f>
        <v>#VALUE!</v>
      </c>
      <c r="CN419" t="e">
        <f>'Latin America and Caribbean'!B473+"$F;@!4X="</f>
        <v>#VALUE!</v>
      </c>
      <c r="CO419" t="e">
        <f>'Latin America and Caribbean'!C473+"$F;@!4X&gt;"</f>
        <v>#VALUE!</v>
      </c>
      <c r="CP419" t="e">
        <f>'Latin America and Caribbean'!D473+"$F;@!4X?"</f>
        <v>#VALUE!</v>
      </c>
      <c r="CQ419" t="e">
        <f>'Latin America and Caribbean'!E473+"$F;@!4X@"</f>
        <v>#VALUE!</v>
      </c>
      <c r="CR419" t="e">
        <f>'Latin America and Caribbean'!F473+"$F;@!4XA"</f>
        <v>#VALUE!</v>
      </c>
      <c r="CS419" t="e">
        <f>'Latin America and Caribbean'!G473+"$F;@!4XB"</f>
        <v>#VALUE!</v>
      </c>
      <c r="CT419" t="e">
        <f>'Latin America and Caribbean'!H473+"$F;@!4XC"</f>
        <v>#VALUE!</v>
      </c>
      <c r="CU419" t="e">
        <f>'Latin America and Caribbean'!A474+"$F;@!4XD"</f>
        <v>#VALUE!</v>
      </c>
      <c r="CV419" t="e">
        <f>'Latin America and Caribbean'!B474+"$F;@!4XE"</f>
        <v>#VALUE!</v>
      </c>
      <c r="CW419" t="e">
        <f>'Latin America and Caribbean'!C474+"$F;@!4XF"</f>
        <v>#VALUE!</v>
      </c>
      <c r="CX419" t="e">
        <f>'Latin America and Caribbean'!D474+"$F;@!4XG"</f>
        <v>#VALUE!</v>
      </c>
      <c r="CY419" t="e">
        <f>'Latin America and Caribbean'!E474+"$F;@!4XH"</f>
        <v>#VALUE!</v>
      </c>
      <c r="CZ419" t="e">
        <f>'Latin America and Caribbean'!F474+"$F;@!4XI"</f>
        <v>#VALUE!</v>
      </c>
      <c r="DA419" t="e">
        <f>'Latin America and Caribbean'!G474+"$F;@!4XJ"</f>
        <v>#VALUE!</v>
      </c>
      <c r="DB419" t="e">
        <f>'Latin America and Caribbean'!H474+"$F;@!4XK"</f>
        <v>#VALUE!</v>
      </c>
      <c r="DC419" t="e">
        <f>'Latin America and Caribbean'!A475+"$F;@!4XL"</f>
        <v>#VALUE!</v>
      </c>
      <c r="DD419" t="e">
        <f>'Latin America and Caribbean'!B475+"$F;@!4XM"</f>
        <v>#VALUE!</v>
      </c>
      <c r="DE419" t="e">
        <f>'Latin America and Caribbean'!C475+"$F;@!4XN"</f>
        <v>#VALUE!</v>
      </c>
      <c r="DF419" t="e">
        <f>'Latin America and Caribbean'!D475+"$F;@!4XO"</f>
        <v>#VALUE!</v>
      </c>
      <c r="DG419" t="e">
        <f>'Latin America and Caribbean'!E475+"$F;@!4XP"</f>
        <v>#VALUE!</v>
      </c>
      <c r="DH419" t="e">
        <f>'Latin America and Caribbean'!F475+"$F;@!4XQ"</f>
        <v>#VALUE!</v>
      </c>
      <c r="DI419" t="e">
        <f>'Latin America and Caribbean'!G475+"$F;@!4XR"</f>
        <v>#VALUE!</v>
      </c>
      <c r="DJ419" t="e">
        <f>'Latin America and Caribbean'!H475+"$F;@!4XS"</f>
        <v>#VALUE!</v>
      </c>
      <c r="DK419" t="e">
        <f>'Latin America and Caribbean'!A476+"$F;@!4XT"</f>
        <v>#VALUE!</v>
      </c>
      <c r="DL419" t="e">
        <f>'Latin America and Caribbean'!B476+"$F;@!4XU"</f>
        <v>#VALUE!</v>
      </c>
      <c r="DM419" t="e">
        <f>'Latin America and Caribbean'!C476+"$F;@!4XV"</f>
        <v>#VALUE!</v>
      </c>
      <c r="DN419" t="e">
        <f>'Latin America and Caribbean'!D476+"$F;@!4XW"</f>
        <v>#VALUE!</v>
      </c>
      <c r="DO419" t="e">
        <f>'Latin America and Caribbean'!E476+"$F;@!4XX"</f>
        <v>#VALUE!</v>
      </c>
      <c r="DP419" t="e">
        <f>'Latin America and Caribbean'!F476+"$F;@!4XY"</f>
        <v>#VALUE!</v>
      </c>
      <c r="DQ419" t="e">
        <f>'Latin America and Caribbean'!G476+"$F;@!4XZ"</f>
        <v>#VALUE!</v>
      </c>
      <c r="DR419" t="e">
        <f>'Latin America and Caribbean'!H476+"$F;@!4X["</f>
        <v>#VALUE!</v>
      </c>
      <c r="DS419" t="e">
        <f>'Latin America and Caribbean'!A477+"$F;@!4X\"</f>
        <v>#VALUE!</v>
      </c>
      <c r="DT419" t="e">
        <f>'Latin America and Caribbean'!B477+"$F;@!4X]"</f>
        <v>#VALUE!</v>
      </c>
      <c r="DU419" t="e">
        <f>'Latin America and Caribbean'!C477+"$F;@!4X^"</f>
        <v>#VALUE!</v>
      </c>
      <c r="DV419" t="e">
        <f>'Latin America and Caribbean'!D477+"$F;@!4X_"</f>
        <v>#VALUE!</v>
      </c>
      <c r="DW419" t="e">
        <f>'Latin America and Caribbean'!E477+"$F;@!4X`"</f>
        <v>#VALUE!</v>
      </c>
      <c r="DX419" t="e">
        <f>'Latin America and Caribbean'!F477+"$F;@!4Xa"</f>
        <v>#VALUE!</v>
      </c>
      <c r="DY419" t="e">
        <f>'Latin America and Caribbean'!G477+"$F;@!4Xb"</f>
        <v>#VALUE!</v>
      </c>
      <c r="DZ419" t="e">
        <f>'Latin America and Caribbean'!H477+"$F;@!4Xc"</f>
        <v>#VALUE!</v>
      </c>
      <c r="EA419" t="e">
        <f>'Latin America and Caribbean'!A478+"$F;@!4Xd"</f>
        <v>#VALUE!</v>
      </c>
      <c r="EB419" t="e">
        <f>'Latin America and Caribbean'!B478+"$F;@!4Xe"</f>
        <v>#VALUE!</v>
      </c>
      <c r="EC419" t="e">
        <f>'Latin America and Caribbean'!C478+"$F;@!4Xf"</f>
        <v>#VALUE!</v>
      </c>
      <c r="ED419" t="e">
        <f>'Latin America and Caribbean'!D478+"$F;@!4Xg"</f>
        <v>#VALUE!</v>
      </c>
      <c r="EE419" t="e">
        <f>'Latin America and Caribbean'!E478+"$F;@!4Xh"</f>
        <v>#VALUE!</v>
      </c>
      <c r="EF419" t="e">
        <f>'Latin America and Caribbean'!F478+"$F;@!4Xi"</f>
        <v>#VALUE!</v>
      </c>
      <c r="EG419" t="e">
        <f>'Latin America and Caribbean'!G478+"$F;@!4Xj"</f>
        <v>#VALUE!</v>
      </c>
      <c r="EH419" t="e">
        <f>'Latin America and Caribbean'!H478+"$F;@!4Xk"</f>
        <v>#VALUE!</v>
      </c>
      <c r="EI419" t="e">
        <f>'Latin America and Caribbean'!A479+"$F;@!4Xl"</f>
        <v>#VALUE!</v>
      </c>
      <c r="EJ419" t="e">
        <f>'Latin America and Caribbean'!B479+"$F;@!4Xm"</f>
        <v>#VALUE!</v>
      </c>
      <c r="EK419" t="e">
        <f>'Latin America and Caribbean'!C479+"$F;@!4Xn"</f>
        <v>#VALUE!</v>
      </c>
      <c r="EL419" t="e">
        <f>'Latin America and Caribbean'!D479+"$F;@!4Xo"</f>
        <v>#VALUE!</v>
      </c>
      <c r="EM419" t="e">
        <f>'Latin America and Caribbean'!E479+"$F;@!4Xp"</f>
        <v>#VALUE!</v>
      </c>
      <c r="EN419" t="e">
        <f>'Latin America and Caribbean'!F479+"$F;@!4Xq"</f>
        <v>#VALUE!</v>
      </c>
      <c r="EO419" t="e">
        <f>'Latin America and Caribbean'!G479+"$F;@!4Xr"</f>
        <v>#VALUE!</v>
      </c>
      <c r="EP419" t="e">
        <f>'Latin America and Caribbean'!H479+"$F;@!4Xs"</f>
        <v>#VALUE!</v>
      </c>
      <c r="EQ419" t="e">
        <f>'Latin America and Caribbean'!A480+"$F;@!4Xt"</f>
        <v>#VALUE!</v>
      </c>
      <c r="ER419" t="e">
        <f>'Latin America and Caribbean'!B480+"$F;@!4Xu"</f>
        <v>#VALUE!</v>
      </c>
      <c r="ES419" t="e">
        <f>'Latin America and Caribbean'!C480+"$F;@!4Xv"</f>
        <v>#VALUE!</v>
      </c>
      <c r="ET419" t="e">
        <f>'Latin America and Caribbean'!D480+"$F;@!4Xw"</f>
        <v>#VALUE!</v>
      </c>
      <c r="EU419" t="e">
        <f>'Latin America and Caribbean'!E480+"$F;@!4Xx"</f>
        <v>#VALUE!</v>
      </c>
      <c r="EV419" t="e">
        <f>'Latin America and Caribbean'!F480+"$F;@!4Xy"</f>
        <v>#VALUE!</v>
      </c>
      <c r="EW419" t="e">
        <f>'Latin America and Caribbean'!G480+"$F;@!4Xz"</f>
        <v>#VALUE!</v>
      </c>
      <c r="EX419" t="e">
        <f>'Latin America and Caribbean'!H480+"$F;@!4X{"</f>
        <v>#VALUE!</v>
      </c>
      <c r="EY419" t="e">
        <f>'Latin America and Caribbean'!A481+"$F;@!4X|"</f>
        <v>#VALUE!</v>
      </c>
      <c r="EZ419" t="e">
        <f>'Latin America and Caribbean'!B481+"$F;@!4X}"</f>
        <v>#VALUE!</v>
      </c>
      <c r="FA419" t="e">
        <f>'Latin America and Caribbean'!C481+"$F;@!4X~"</f>
        <v>#VALUE!</v>
      </c>
      <c r="FB419" t="e">
        <f>'Latin America and Caribbean'!D481+"$F;@!4Y#"</f>
        <v>#VALUE!</v>
      </c>
      <c r="FC419" t="e">
        <f>'Latin America and Caribbean'!E481+"$F;@!4Y$"</f>
        <v>#VALUE!</v>
      </c>
      <c r="FD419" t="e">
        <f>'Latin America and Caribbean'!F481+"$F;@!4Y%"</f>
        <v>#VALUE!</v>
      </c>
      <c r="FE419" t="e">
        <f>'Latin America and Caribbean'!G481+"$F;@!4Y&amp;"</f>
        <v>#VALUE!</v>
      </c>
      <c r="FF419" t="e">
        <f>'Latin America and Caribbean'!H481+"$F;@!4Y'"</f>
        <v>#VALUE!</v>
      </c>
      <c r="FG419" t="e">
        <f>'Latin America and Caribbean'!A482+"$F;@!4Y("</f>
        <v>#VALUE!</v>
      </c>
      <c r="FH419" t="e">
        <f>'Latin America and Caribbean'!B482+"$F;@!4Y)"</f>
        <v>#VALUE!</v>
      </c>
      <c r="FI419" t="e">
        <f>'Latin America and Caribbean'!C482+"$F;@!4Y."</f>
        <v>#VALUE!</v>
      </c>
      <c r="FJ419" t="e">
        <f>'Latin America and Caribbean'!D482+"$F;@!4Y/"</f>
        <v>#VALUE!</v>
      </c>
      <c r="FK419" t="e">
        <f>'Latin America and Caribbean'!E482+"$F;@!4Y0"</f>
        <v>#VALUE!</v>
      </c>
      <c r="FL419" t="e">
        <f>'Latin America and Caribbean'!F482+"$F;@!4Y1"</f>
        <v>#VALUE!</v>
      </c>
      <c r="FM419" t="e">
        <f>'Latin America and Caribbean'!G482+"$F;@!4Y2"</f>
        <v>#VALUE!</v>
      </c>
      <c r="FN419" t="e">
        <f>'Latin America and Caribbean'!H482+"$F;@!4Y3"</f>
        <v>#VALUE!</v>
      </c>
      <c r="FO419" t="e">
        <f>'Latin America and Caribbean'!A483+"$F;@!4Y4"</f>
        <v>#VALUE!</v>
      </c>
      <c r="FP419" t="e">
        <f>'Latin America and Caribbean'!B483+"$F;@!4Y5"</f>
        <v>#VALUE!</v>
      </c>
      <c r="FQ419" t="e">
        <f>'Latin America and Caribbean'!C483+"$F;@!4Y6"</f>
        <v>#VALUE!</v>
      </c>
      <c r="FR419" t="e">
        <f>'Latin America and Caribbean'!D483+"$F;@!4Y7"</f>
        <v>#VALUE!</v>
      </c>
      <c r="FS419" t="e">
        <f>'Latin America and Caribbean'!E483+"$F;@!4Y8"</f>
        <v>#VALUE!</v>
      </c>
      <c r="FT419" t="e">
        <f>'Latin America and Caribbean'!F483+"$F;@!4Y9"</f>
        <v>#VALUE!</v>
      </c>
      <c r="FU419" t="e">
        <f>'Latin America and Caribbean'!G483+"$F;@!4Y:"</f>
        <v>#VALUE!</v>
      </c>
      <c r="FV419" t="e">
        <f>'Latin America and Caribbean'!H483+"$F;@!4Y;"</f>
        <v>#VALUE!</v>
      </c>
      <c r="FW419" t="e">
        <f>'Latin America and Caribbean'!A484+"$F;@!4Y&lt;"</f>
        <v>#VALUE!</v>
      </c>
      <c r="FX419" t="e">
        <f>'Latin America and Caribbean'!B484+"$F;@!4Y="</f>
        <v>#VALUE!</v>
      </c>
      <c r="FY419" t="e">
        <f>'Latin America and Caribbean'!C484+"$F;@!4Y&gt;"</f>
        <v>#VALUE!</v>
      </c>
      <c r="FZ419" t="e">
        <f>'Latin America and Caribbean'!D484+"$F;@!4Y?"</f>
        <v>#VALUE!</v>
      </c>
      <c r="GA419" t="e">
        <f>'Latin America and Caribbean'!E484+"$F;@!4Y@"</f>
        <v>#VALUE!</v>
      </c>
      <c r="GB419" t="e">
        <f>'Latin America and Caribbean'!F484+"$F;@!4YA"</f>
        <v>#VALUE!</v>
      </c>
      <c r="GC419" t="e">
        <f>'Latin America and Caribbean'!G484+"$F;@!4YB"</f>
        <v>#VALUE!</v>
      </c>
      <c r="GD419" t="e">
        <f>'Latin America and Caribbean'!H484+"$F;@!4YC"</f>
        <v>#VALUE!</v>
      </c>
      <c r="GE419" t="e">
        <f>'Latin America and Caribbean'!A485+"$F;@!4YD"</f>
        <v>#VALUE!</v>
      </c>
      <c r="GF419" t="e">
        <f>'Latin America and Caribbean'!B485+"$F;@!4YE"</f>
        <v>#VALUE!</v>
      </c>
      <c r="GG419" t="e">
        <f>'Latin America and Caribbean'!C485+"$F;@!4YF"</f>
        <v>#VALUE!</v>
      </c>
      <c r="GH419" t="e">
        <f>'Latin America and Caribbean'!D485+"$F;@!4YG"</f>
        <v>#VALUE!</v>
      </c>
      <c r="GI419" t="e">
        <f>'Latin America and Caribbean'!E485+"$F;@!4YH"</f>
        <v>#VALUE!</v>
      </c>
      <c r="GJ419" t="e">
        <f>'Latin America and Caribbean'!F485+"$F;@!4YI"</f>
        <v>#VALUE!</v>
      </c>
      <c r="GK419" t="e">
        <f>'Latin America and Caribbean'!G485+"$F;@!4YJ"</f>
        <v>#VALUE!</v>
      </c>
      <c r="GL419" t="e">
        <f>'Latin America and Caribbean'!H485+"$F;@!4YK"</f>
        <v>#VALUE!</v>
      </c>
      <c r="GM419" t="e">
        <f>'Latin America and Caribbean'!A486+"$F;@!4YL"</f>
        <v>#VALUE!</v>
      </c>
      <c r="GN419" t="e">
        <f>'Latin America and Caribbean'!B486+"$F;@!4YM"</f>
        <v>#VALUE!</v>
      </c>
      <c r="GO419" t="e">
        <f>'Latin America and Caribbean'!C486+"$F;@!4YN"</f>
        <v>#VALUE!</v>
      </c>
      <c r="GP419" t="e">
        <f>'Latin America and Caribbean'!D486+"$F;@!4YO"</f>
        <v>#VALUE!</v>
      </c>
      <c r="GQ419" t="e">
        <f>'Latin America and Caribbean'!E486+"$F;@!4YP"</f>
        <v>#VALUE!</v>
      </c>
      <c r="GR419" t="e">
        <f>'Latin America and Caribbean'!F486+"$F;@!4YQ"</f>
        <v>#VALUE!</v>
      </c>
      <c r="GS419" t="e">
        <f>'Latin America and Caribbean'!G486+"$F;@!4YR"</f>
        <v>#VALUE!</v>
      </c>
      <c r="GT419" t="e">
        <f>'Latin America and Caribbean'!H486+"$F;@!4YS"</f>
        <v>#VALUE!</v>
      </c>
      <c r="GU419" t="e">
        <f>'Latin America and Caribbean'!A487+"$F;@!4YT"</f>
        <v>#VALUE!</v>
      </c>
      <c r="GV419" t="e">
        <f>'Latin America and Caribbean'!B487+"$F;@!4YU"</f>
        <v>#VALUE!</v>
      </c>
      <c r="GW419" t="e">
        <f>'Latin America and Caribbean'!C487+"$F;@!4YV"</f>
        <v>#VALUE!</v>
      </c>
      <c r="GX419" t="e">
        <f>'Latin America and Caribbean'!D487+"$F;@!4YW"</f>
        <v>#VALUE!</v>
      </c>
      <c r="GY419" t="e">
        <f>'Latin America and Caribbean'!E487+"$F;@!4YX"</f>
        <v>#VALUE!</v>
      </c>
      <c r="GZ419" t="e">
        <f>'Latin America and Caribbean'!F487+"$F;@!4YY"</f>
        <v>#VALUE!</v>
      </c>
      <c r="HA419" t="e">
        <f>'Latin America and Caribbean'!G487+"$F;@!4YZ"</f>
        <v>#VALUE!</v>
      </c>
      <c r="HB419" t="e">
        <f>'Latin America and Caribbean'!H487+"$F;@!4Y["</f>
        <v>#VALUE!</v>
      </c>
      <c r="HC419" t="e">
        <f>'Latin America and Caribbean'!A488+"$F;@!4Y\"</f>
        <v>#VALUE!</v>
      </c>
      <c r="HD419" t="e">
        <f>'Latin America and Caribbean'!B488+"$F;@!4Y]"</f>
        <v>#VALUE!</v>
      </c>
      <c r="HE419" t="e">
        <f>'Latin America and Caribbean'!C488+"$F;@!4Y^"</f>
        <v>#VALUE!</v>
      </c>
      <c r="HF419" t="e">
        <f>'Latin America and Caribbean'!D488+"$F;@!4Y_"</f>
        <v>#VALUE!</v>
      </c>
      <c r="HG419" t="e">
        <f>'Latin America and Caribbean'!E488+"$F;@!4Y`"</f>
        <v>#VALUE!</v>
      </c>
      <c r="HH419" t="e">
        <f>'Latin America and Caribbean'!F488+"$F;@!4Ya"</f>
        <v>#VALUE!</v>
      </c>
      <c r="HI419" t="e">
        <f>'Latin America and Caribbean'!G488+"$F;@!4Yb"</f>
        <v>#VALUE!</v>
      </c>
      <c r="HJ419" t="e">
        <f>'Latin America and Caribbean'!H488+"$F;@!4Yc"</f>
        <v>#VALUE!</v>
      </c>
      <c r="HK419" t="e">
        <f>'Latin America and Caribbean'!A489+"$F;@!4Yd"</f>
        <v>#VALUE!</v>
      </c>
      <c r="HL419" t="e">
        <f>'Latin America and Caribbean'!B489+"$F;@!4Ye"</f>
        <v>#VALUE!</v>
      </c>
      <c r="HM419" t="e">
        <f>'Latin America and Caribbean'!C489+"$F;@!4Yf"</f>
        <v>#VALUE!</v>
      </c>
      <c r="HN419" t="e">
        <f>'Latin America and Caribbean'!D489+"$F;@!4Yg"</f>
        <v>#VALUE!</v>
      </c>
      <c r="HO419" t="e">
        <f>'Latin America and Caribbean'!E489+"$F;@!4Yh"</f>
        <v>#VALUE!</v>
      </c>
      <c r="HP419" t="e">
        <f>'Latin America and Caribbean'!F489+"$F;@!4Yi"</f>
        <v>#VALUE!</v>
      </c>
      <c r="HQ419" t="e">
        <f>'Latin America and Caribbean'!G489+"$F;@!4Yj"</f>
        <v>#VALUE!</v>
      </c>
      <c r="HR419" t="e">
        <f>'Latin America and Caribbean'!H489+"$F;@!4Yk"</f>
        <v>#VALUE!</v>
      </c>
      <c r="HS419" t="e">
        <f>'Latin America and Caribbean'!A490+"$F;@!4Yl"</f>
        <v>#VALUE!</v>
      </c>
      <c r="HT419" t="e">
        <f>'Latin America and Caribbean'!B490+"$F;@!4Ym"</f>
        <v>#VALUE!</v>
      </c>
      <c r="HU419" t="e">
        <f>'Latin America and Caribbean'!C490+"$F;@!4Yn"</f>
        <v>#VALUE!</v>
      </c>
      <c r="HV419" t="e">
        <f>'Latin America and Caribbean'!D490+"$F;@!4Yo"</f>
        <v>#VALUE!</v>
      </c>
      <c r="HW419" t="e">
        <f>'Latin America and Caribbean'!E490+"$F;@!4Yp"</f>
        <v>#VALUE!</v>
      </c>
      <c r="HX419" t="e">
        <f>'Latin America and Caribbean'!F490+"$F;@!4Yq"</f>
        <v>#VALUE!</v>
      </c>
      <c r="HY419" t="e">
        <f>'Latin America and Caribbean'!G490+"$F;@!4Yr"</f>
        <v>#VALUE!</v>
      </c>
      <c r="HZ419" t="e">
        <f>'Latin America and Caribbean'!H490+"$F;@!4Ys"</f>
        <v>#VALUE!</v>
      </c>
      <c r="IA419" t="e">
        <f>'Latin America and Caribbean'!A491+"$F;@!4Yt"</f>
        <v>#VALUE!</v>
      </c>
      <c r="IB419" t="e">
        <f>'Latin America and Caribbean'!B491+"$F;@!4Yu"</f>
        <v>#VALUE!</v>
      </c>
      <c r="IC419" t="e">
        <f>'Latin America and Caribbean'!C491+"$F;@!4Yv"</f>
        <v>#VALUE!</v>
      </c>
      <c r="ID419" t="e">
        <f>'Latin America and Caribbean'!D491+"$F;@!4Yw"</f>
        <v>#VALUE!</v>
      </c>
      <c r="IE419" t="e">
        <f>'Latin America and Caribbean'!E491+"$F;@!4Yx"</f>
        <v>#VALUE!</v>
      </c>
      <c r="IF419" t="e">
        <f>'Latin America and Caribbean'!F491+"$F;@!4Yy"</f>
        <v>#VALUE!</v>
      </c>
      <c r="IG419" t="e">
        <f>'Latin America and Caribbean'!G491+"$F;@!4Yz"</f>
        <v>#VALUE!</v>
      </c>
      <c r="IH419" t="e">
        <f>'Latin America and Caribbean'!H491+"$F;@!4Y{"</f>
        <v>#VALUE!</v>
      </c>
      <c r="II419" t="e">
        <f>'Latin America and Caribbean'!A492+"$F;@!4Y|"</f>
        <v>#VALUE!</v>
      </c>
      <c r="IJ419" t="e">
        <f>'Latin America and Caribbean'!B492+"$F;@!4Y}"</f>
        <v>#VALUE!</v>
      </c>
      <c r="IK419" t="e">
        <f>'Latin America and Caribbean'!C492+"$F;@!4Y~"</f>
        <v>#VALUE!</v>
      </c>
      <c r="IL419" t="e">
        <f>'Latin America and Caribbean'!D492+"$F;@!4Z#"</f>
        <v>#VALUE!</v>
      </c>
      <c r="IM419" t="e">
        <f>'Latin America and Caribbean'!E492+"$F;@!4Z$"</f>
        <v>#VALUE!</v>
      </c>
      <c r="IN419" t="e">
        <f>'Latin America and Caribbean'!F492+"$F;@!4Z%"</f>
        <v>#VALUE!</v>
      </c>
      <c r="IO419" t="e">
        <f>'Latin America and Caribbean'!G492+"$F;@!4Z&amp;"</f>
        <v>#VALUE!</v>
      </c>
      <c r="IP419" t="e">
        <f>'Latin America and Caribbean'!H492+"$F;@!4Z'"</f>
        <v>#VALUE!</v>
      </c>
      <c r="IQ419" t="e">
        <f>'Latin America and Caribbean'!A493+"$F;@!4Z("</f>
        <v>#VALUE!</v>
      </c>
      <c r="IR419" t="e">
        <f>'Latin America and Caribbean'!B493+"$F;@!4Z)"</f>
        <v>#VALUE!</v>
      </c>
      <c r="IS419" t="e">
        <f>'Latin America and Caribbean'!C493+"$F;@!4Z."</f>
        <v>#VALUE!</v>
      </c>
      <c r="IT419" t="e">
        <f>'Latin America and Caribbean'!D493+"$F;@!4Z/"</f>
        <v>#VALUE!</v>
      </c>
      <c r="IU419" t="e">
        <f>'Latin America and Caribbean'!E493+"$F;@!4Z0"</f>
        <v>#VALUE!</v>
      </c>
      <c r="IV419" t="e">
        <f>'Latin America and Caribbean'!F493+"$F;@!4Z1"</f>
        <v>#VALUE!</v>
      </c>
    </row>
    <row r="420" spans="6:256" x14ac:dyDescent="0.35">
      <c r="F420" t="e">
        <f>'Latin America and Caribbean'!G493+"$F;@!4Z2"</f>
        <v>#VALUE!</v>
      </c>
      <c r="G420" t="e">
        <f>'Latin America and Caribbean'!H493+"$F;@!4Z3"</f>
        <v>#VALUE!</v>
      </c>
      <c r="H420" t="e">
        <f>'Latin America and Caribbean'!A494+"$F;@!4Z4"</f>
        <v>#VALUE!</v>
      </c>
      <c r="I420" t="e">
        <f>'Latin America and Caribbean'!B494+"$F;@!4Z5"</f>
        <v>#VALUE!</v>
      </c>
      <c r="J420" t="e">
        <f>'Latin America and Caribbean'!C494+"$F;@!4Z6"</f>
        <v>#VALUE!</v>
      </c>
      <c r="K420" t="e">
        <f>'Latin America and Caribbean'!D494+"$F;@!4Z7"</f>
        <v>#VALUE!</v>
      </c>
      <c r="L420" t="e">
        <f>'Latin America and Caribbean'!E494+"$F;@!4Z8"</f>
        <v>#VALUE!</v>
      </c>
      <c r="M420" t="e">
        <f>'Latin America and Caribbean'!F494+"$F;@!4Z9"</f>
        <v>#VALUE!</v>
      </c>
      <c r="N420" t="e">
        <f>'Latin America and Caribbean'!G494+"$F;@!4Z:"</f>
        <v>#VALUE!</v>
      </c>
      <c r="O420" t="e">
        <f>'Latin America and Caribbean'!H494+"$F;@!4Z;"</f>
        <v>#VALUE!</v>
      </c>
      <c r="P420" t="e">
        <f>'Latin America and Caribbean'!A495+"$F;@!4Z&lt;"</f>
        <v>#VALUE!</v>
      </c>
      <c r="Q420" t="e">
        <f>'Latin America and Caribbean'!B495+"$F;@!4Z="</f>
        <v>#VALUE!</v>
      </c>
      <c r="R420" t="e">
        <f>'Latin America and Caribbean'!C495+"$F;@!4Z&gt;"</f>
        <v>#VALUE!</v>
      </c>
      <c r="S420" t="e">
        <f>'Latin America and Caribbean'!D495+"$F;@!4Z?"</f>
        <v>#VALUE!</v>
      </c>
      <c r="T420" t="e">
        <f>'Latin America and Caribbean'!E495+"$F;@!4Z@"</f>
        <v>#VALUE!</v>
      </c>
      <c r="U420" t="e">
        <f>'Latin America and Caribbean'!F495+"$F;@!4ZA"</f>
        <v>#VALUE!</v>
      </c>
      <c r="V420" t="e">
        <f>'Latin America and Caribbean'!G495+"$F;@!4ZB"</f>
        <v>#VALUE!</v>
      </c>
      <c r="W420" t="e">
        <f>'Latin America and Caribbean'!H495+"$F;@!4ZC"</f>
        <v>#VALUE!</v>
      </c>
      <c r="X420" t="e">
        <f>'Latin America and Caribbean'!A496+"$F;@!4ZD"</f>
        <v>#VALUE!</v>
      </c>
      <c r="Y420" t="e">
        <f>'Latin America and Caribbean'!B496+"$F;@!4ZE"</f>
        <v>#VALUE!</v>
      </c>
      <c r="Z420" t="e">
        <f>'Latin America and Caribbean'!C496+"$F;@!4ZF"</f>
        <v>#VALUE!</v>
      </c>
      <c r="AA420" t="e">
        <f>'Latin America and Caribbean'!D496+"$F;@!4ZG"</f>
        <v>#VALUE!</v>
      </c>
      <c r="AB420" t="e">
        <f>'Latin America and Caribbean'!E496+"$F;@!4ZH"</f>
        <v>#VALUE!</v>
      </c>
      <c r="AC420" t="e">
        <f>'Latin America and Caribbean'!F496+"$F;@!4ZI"</f>
        <v>#VALUE!</v>
      </c>
      <c r="AD420" t="e">
        <f>'Latin America and Caribbean'!G496+"$F;@!4ZJ"</f>
        <v>#VALUE!</v>
      </c>
      <c r="AE420" t="e">
        <f>'Latin America and Caribbean'!H496+"$F;@!4ZK"</f>
        <v>#VALUE!</v>
      </c>
      <c r="AF420" t="e">
        <f>'Latin America and Caribbean'!A497+"$F;@!4ZL"</f>
        <v>#VALUE!</v>
      </c>
      <c r="AG420" t="e">
        <f>'Latin America and Caribbean'!B497+"$F;@!4ZM"</f>
        <v>#VALUE!</v>
      </c>
      <c r="AH420" t="e">
        <f>'Latin America and Caribbean'!C497+"$F;@!4ZN"</f>
        <v>#VALUE!</v>
      </c>
      <c r="AI420" t="e">
        <f>'Latin America and Caribbean'!D497+"$F;@!4ZO"</f>
        <v>#VALUE!</v>
      </c>
      <c r="AJ420" t="e">
        <f>'Latin America and Caribbean'!E497+"$F;@!4ZP"</f>
        <v>#VALUE!</v>
      </c>
      <c r="AK420" t="e">
        <f>'Latin America and Caribbean'!F497+"$F;@!4ZQ"</f>
        <v>#VALUE!</v>
      </c>
      <c r="AL420" t="e">
        <f>'Latin America and Caribbean'!G497+"$F;@!4ZR"</f>
        <v>#VALUE!</v>
      </c>
      <c r="AM420" t="e">
        <f>'Latin America and Caribbean'!H497+"$F;@!4ZS"</f>
        <v>#VALUE!</v>
      </c>
      <c r="AN420" t="e">
        <f>'Latin America and Caribbean'!A498+"$F;@!4ZT"</f>
        <v>#VALUE!</v>
      </c>
      <c r="AO420" t="e">
        <f>'Latin America and Caribbean'!B498+"$F;@!4ZU"</f>
        <v>#VALUE!</v>
      </c>
      <c r="AP420" t="e">
        <f>'Latin America and Caribbean'!C498+"$F;@!4ZV"</f>
        <v>#VALUE!</v>
      </c>
      <c r="AQ420" t="e">
        <f>'Latin America and Caribbean'!D498+"$F;@!4ZW"</f>
        <v>#VALUE!</v>
      </c>
      <c r="AR420" t="e">
        <f>'Latin America and Caribbean'!E498+"$F;@!4ZX"</f>
        <v>#VALUE!</v>
      </c>
      <c r="AS420" t="e">
        <f>'Latin America and Caribbean'!F498+"$F;@!4ZY"</f>
        <v>#VALUE!</v>
      </c>
      <c r="AT420" t="e">
        <f>'Latin America and Caribbean'!G498+"$F;@!4ZZ"</f>
        <v>#VALUE!</v>
      </c>
      <c r="AU420" t="e">
        <f>'Latin America and Caribbean'!H498+"$F;@!4Z["</f>
        <v>#VALUE!</v>
      </c>
      <c r="AV420" t="e">
        <f>'Latin America and Caribbean'!A499+"$F;@!4Z\"</f>
        <v>#VALUE!</v>
      </c>
      <c r="AW420" t="e">
        <f>'Latin America and Caribbean'!B499+"$F;@!4Z]"</f>
        <v>#VALUE!</v>
      </c>
      <c r="AX420" t="e">
        <f>'Latin America and Caribbean'!C499+"$F;@!4Z^"</f>
        <v>#VALUE!</v>
      </c>
      <c r="AY420" t="e">
        <f>'Latin America and Caribbean'!D499+"$F;@!4Z_"</f>
        <v>#VALUE!</v>
      </c>
      <c r="AZ420" t="e">
        <f>'Latin America and Caribbean'!E499+"$F;@!4Z`"</f>
        <v>#VALUE!</v>
      </c>
      <c r="BA420" t="e">
        <f>'Latin America and Caribbean'!F499+"$F;@!4Za"</f>
        <v>#VALUE!</v>
      </c>
      <c r="BB420" t="e">
        <f>'Latin America and Caribbean'!G499+"$F;@!4Zb"</f>
        <v>#VALUE!</v>
      </c>
      <c r="BC420" t="e">
        <f>'Latin America and Caribbean'!H499+"$F;@!4Zc"</f>
        <v>#VALUE!</v>
      </c>
      <c r="BD420" t="e">
        <f>'Latin America and Caribbean'!A500+"$F;@!4Zd"</f>
        <v>#VALUE!</v>
      </c>
      <c r="BE420" t="e">
        <f>'Latin America and Caribbean'!B500+"$F;@!4Ze"</f>
        <v>#VALUE!</v>
      </c>
      <c r="BF420" t="e">
        <f>'Latin America and Caribbean'!C500+"$F;@!4Zf"</f>
        <v>#VALUE!</v>
      </c>
      <c r="BG420" t="e">
        <f>'Latin America and Caribbean'!D500+"$F;@!4Zg"</f>
        <v>#VALUE!</v>
      </c>
      <c r="BH420" t="e">
        <f>'Latin America and Caribbean'!E500+"$F;@!4Zh"</f>
        <v>#VALUE!</v>
      </c>
      <c r="BI420" t="e">
        <f>'Latin America and Caribbean'!F500+"$F;@!4Zi"</f>
        <v>#VALUE!</v>
      </c>
      <c r="BJ420" t="e">
        <f>'Latin America and Caribbean'!G500+"$F;@!4Zj"</f>
        <v>#VALUE!</v>
      </c>
      <c r="BK420" t="e">
        <f>'Latin America and Caribbean'!H500+"$F;@!4Zk"</f>
        <v>#VALUE!</v>
      </c>
      <c r="BL420" t="e">
        <f>'Latin America and Caribbean'!A501+"$F;@!4Zl"</f>
        <v>#VALUE!</v>
      </c>
      <c r="BM420" t="e">
        <f>'Latin America and Caribbean'!B501+"$F;@!4Zm"</f>
        <v>#VALUE!</v>
      </c>
      <c r="BN420" t="e">
        <f>'Latin America and Caribbean'!C501+"$F;@!4Zn"</f>
        <v>#VALUE!</v>
      </c>
      <c r="BO420" t="e">
        <f>'Latin America and Caribbean'!D501+"$F;@!4Zo"</f>
        <v>#VALUE!</v>
      </c>
      <c r="BP420" t="e">
        <f>'Latin America and Caribbean'!E501+"$F;@!4Zp"</f>
        <v>#VALUE!</v>
      </c>
      <c r="BQ420" t="e">
        <f>'Latin America and Caribbean'!F501+"$F;@!4Zq"</f>
        <v>#VALUE!</v>
      </c>
      <c r="BR420" t="e">
        <f>'Latin America and Caribbean'!G501+"$F;@!4Zr"</f>
        <v>#VALUE!</v>
      </c>
      <c r="BS420" t="e">
        <f>'Latin America and Caribbean'!H501+"$F;@!4Zs"</f>
        <v>#VALUE!</v>
      </c>
      <c r="BT420" t="e">
        <f>'Latin America and Caribbean'!A502+"$F;@!4Zt"</f>
        <v>#VALUE!</v>
      </c>
      <c r="BU420" t="e">
        <f>'Latin America and Caribbean'!B502+"$F;@!4Zu"</f>
        <v>#VALUE!</v>
      </c>
      <c r="BV420" t="e">
        <f>'Latin America and Caribbean'!C502+"$F;@!4Zv"</f>
        <v>#VALUE!</v>
      </c>
      <c r="BW420" t="e">
        <f>'Latin America and Caribbean'!D502+"$F;@!4Zw"</f>
        <v>#VALUE!</v>
      </c>
      <c r="BX420" t="e">
        <f>'Latin America and Caribbean'!E502+"$F;@!4Zx"</f>
        <v>#VALUE!</v>
      </c>
      <c r="BY420" t="e">
        <f>'Latin America and Caribbean'!F502+"$F;@!4Zy"</f>
        <v>#VALUE!</v>
      </c>
      <c r="BZ420" t="e">
        <f>'Latin America and Caribbean'!G502+"$F;@!4Zz"</f>
        <v>#VALUE!</v>
      </c>
      <c r="CA420" t="e">
        <f>'Latin America and Caribbean'!H502+"$F;@!4Z{"</f>
        <v>#VALUE!</v>
      </c>
      <c r="CB420" t="e">
        <f>'Latin America and Caribbean'!A503+"$F;@!4Z|"</f>
        <v>#VALUE!</v>
      </c>
      <c r="CC420" t="e">
        <f>'Latin America and Caribbean'!B503+"$F;@!4Z}"</f>
        <v>#VALUE!</v>
      </c>
      <c r="CD420" t="e">
        <f>'Latin America and Caribbean'!C503+"$F;@!4Z~"</f>
        <v>#VALUE!</v>
      </c>
      <c r="CE420" t="e">
        <f>'Latin America and Caribbean'!D503+"$F;@!4[#"</f>
        <v>#VALUE!</v>
      </c>
      <c r="CF420" t="e">
        <f>'Latin America and Caribbean'!E503+"$F;@!4[$"</f>
        <v>#VALUE!</v>
      </c>
      <c r="CG420" t="e">
        <f>'Latin America and Caribbean'!F503+"$F;@!4[%"</f>
        <v>#VALUE!</v>
      </c>
      <c r="CH420" t="e">
        <f>'Latin America and Caribbean'!G503+"$F;@!4[&amp;"</f>
        <v>#VALUE!</v>
      </c>
      <c r="CI420" t="e">
        <f>'Latin America and Caribbean'!H503+"$F;@!4['"</f>
        <v>#VALUE!</v>
      </c>
      <c r="CJ420" t="e">
        <f>'Latin America and Caribbean'!A504+"$F;@!4[("</f>
        <v>#VALUE!</v>
      </c>
      <c r="CK420" t="e">
        <f>'Latin America and Caribbean'!B504+"$F;@!4[)"</f>
        <v>#VALUE!</v>
      </c>
      <c r="CL420" t="e">
        <f>'Latin America and Caribbean'!C504+"$F;@!4[."</f>
        <v>#VALUE!</v>
      </c>
      <c r="CM420" t="e">
        <f>'Latin America and Caribbean'!D504+"$F;@!4[/"</f>
        <v>#VALUE!</v>
      </c>
      <c r="CN420" t="e">
        <f>'Latin America and Caribbean'!E504+"$F;@!4[0"</f>
        <v>#VALUE!</v>
      </c>
      <c r="CO420" t="e">
        <f>'Latin America and Caribbean'!F504+"$F;@!4[1"</f>
        <v>#VALUE!</v>
      </c>
      <c r="CP420" t="e">
        <f>'Latin America and Caribbean'!G504+"$F;@!4[2"</f>
        <v>#VALUE!</v>
      </c>
      <c r="CQ420" t="e">
        <f>'Latin America and Caribbean'!H504+"$F;@!4[3"</f>
        <v>#VALUE!</v>
      </c>
      <c r="CR420" t="e">
        <f>'Latin America and Caribbean'!A505+"$F;@!4[4"</f>
        <v>#VALUE!</v>
      </c>
      <c r="CS420" t="e">
        <f>'Latin America and Caribbean'!B505+"$F;@!4[5"</f>
        <v>#VALUE!</v>
      </c>
      <c r="CT420" t="e">
        <f>'Latin America and Caribbean'!C505+"$F;@!4[6"</f>
        <v>#VALUE!</v>
      </c>
      <c r="CU420" t="e">
        <f>'Latin America and Caribbean'!D505+"$F;@!4[7"</f>
        <v>#VALUE!</v>
      </c>
      <c r="CV420" t="e">
        <f>'Latin America and Caribbean'!E505+"$F;@!4[8"</f>
        <v>#VALUE!</v>
      </c>
      <c r="CW420" t="e">
        <f>'Latin America and Caribbean'!F505+"$F;@!4[9"</f>
        <v>#VALUE!</v>
      </c>
      <c r="CX420" t="e">
        <f>'Latin America and Caribbean'!G505+"$F;@!4[:"</f>
        <v>#VALUE!</v>
      </c>
      <c r="CY420" t="e">
        <f>'Latin America and Caribbean'!H505+"$F;@!4[;"</f>
        <v>#VALUE!</v>
      </c>
      <c r="CZ420" t="e">
        <f>'Latin America and Caribbean'!A506+"$F;@!4[&lt;"</f>
        <v>#VALUE!</v>
      </c>
      <c r="DA420" t="e">
        <f>'Latin America and Caribbean'!B506+"$F;@!4[="</f>
        <v>#VALUE!</v>
      </c>
      <c r="DB420" t="e">
        <f>'Latin America and Caribbean'!C506+"$F;@!4[&gt;"</f>
        <v>#VALUE!</v>
      </c>
      <c r="DC420" t="e">
        <f>'Latin America and Caribbean'!D506+"$F;@!4[?"</f>
        <v>#VALUE!</v>
      </c>
      <c r="DD420" t="e">
        <f>'Latin America and Caribbean'!E506+"$F;@!4[@"</f>
        <v>#VALUE!</v>
      </c>
      <c r="DE420" t="e">
        <f>'Latin America and Caribbean'!F506+"$F;@!4[A"</f>
        <v>#VALUE!</v>
      </c>
      <c r="DF420" t="e">
        <f>'Latin America and Caribbean'!G506+"$F;@!4[B"</f>
        <v>#VALUE!</v>
      </c>
      <c r="DG420" t="e">
        <f>'Latin America and Caribbean'!H506+"$F;@!4[C"</f>
        <v>#VALUE!</v>
      </c>
      <c r="DH420" t="e">
        <f>'Latin America and Caribbean'!A507+"$F;@!4[D"</f>
        <v>#VALUE!</v>
      </c>
      <c r="DI420" t="e">
        <f>'Latin America and Caribbean'!B507+"$F;@!4[E"</f>
        <v>#VALUE!</v>
      </c>
      <c r="DJ420" t="e">
        <f>'Latin America and Caribbean'!C507+"$F;@!4[F"</f>
        <v>#VALUE!</v>
      </c>
      <c r="DK420" t="e">
        <f>'Latin America and Caribbean'!D507+"$F;@!4[G"</f>
        <v>#VALUE!</v>
      </c>
      <c r="DL420" t="e">
        <f>'Latin America and Caribbean'!E507+"$F;@!4[H"</f>
        <v>#VALUE!</v>
      </c>
      <c r="DM420" t="e">
        <f>'Latin America and Caribbean'!F507+"$F;@!4[I"</f>
        <v>#VALUE!</v>
      </c>
      <c r="DN420" t="e">
        <f>'Latin America and Caribbean'!G507+"$F;@!4[J"</f>
        <v>#VALUE!</v>
      </c>
      <c r="DO420" t="e">
        <f>'Latin America and Caribbean'!H507+"$F;@!4[K"</f>
        <v>#VALUE!</v>
      </c>
      <c r="DP420" t="e">
        <f>'Latin America and Caribbean'!A508+"$F;@!4[L"</f>
        <v>#VALUE!</v>
      </c>
      <c r="DQ420" t="e">
        <f>'Latin America and Caribbean'!B508+"$F;@!4[M"</f>
        <v>#VALUE!</v>
      </c>
      <c r="DR420" t="e">
        <f>'Latin America and Caribbean'!C508+"$F;@!4[N"</f>
        <v>#VALUE!</v>
      </c>
      <c r="DS420" t="e">
        <f>'Latin America and Caribbean'!D508+"$F;@!4[O"</f>
        <v>#VALUE!</v>
      </c>
      <c r="DT420" t="e">
        <f>'Latin America and Caribbean'!E508+"$F;@!4[P"</f>
        <v>#VALUE!</v>
      </c>
      <c r="DU420" t="e">
        <f>'Latin America and Caribbean'!F508+"$F;@!4[Q"</f>
        <v>#VALUE!</v>
      </c>
      <c r="DV420" t="e">
        <f>'Latin America and Caribbean'!G508+"$F;@!4[R"</f>
        <v>#VALUE!</v>
      </c>
      <c r="DW420" t="e">
        <f>'Latin America and Caribbean'!H508+"$F;@!4[S"</f>
        <v>#VALUE!</v>
      </c>
      <c r="DX420" t="e">
        <f>'Latin America and Caribbean'!A509+"$F;@!4[T"</f>
        <v>#VALUE!</v>
      </c>
      <c r="DY420" t="e">
        <f>'Latin America and Caribbean'!B509+"$F;@!4[U"</f>
        <v>#VALUE!</v>
      </c>
      <c r="DZ420" t="e">
        <f>'Latin America and Caribbean'!C509+"$F;@!4[V"</f>
        <v>#VALUE!</v>
      </c>
      <c r="EA420" t="e">
        <f>'Latin America and Caribbean'!D509+"$F;@!4[W"</f>
        <v>#VALUE!</v>
      </c>
      <c r="EB420" t="e">
        <f>'Latin America and Caribbean'!E509+"$F;@!4[X"</f>
        <v>#VALUE!</v>
      </c>
      <c r="EC420" t="e">
        <f>'Latin America and Caribbean'!F509+"$F;@!4[Y"</f>
        <v>#VALUE!</v>
      </c>
      <c r="ED420" t="e">
        <f>'Latin America and Caribbean'!G509+"$F;@!4[Z"</f>
        <v>#VALUE!</v>
      </c>
      <c r="EE420" t="e">
        <f>'Latin America and Caribbean'!H509+"$F;@!4[["</f>
        <v>#VALUE!</v>
      </c>
      <c r="EF420" t="e">
        <f>'Latin America and Caribbean'!A510+"$F;@!4[\"</f>
        <v>#VALUE!</v>
      </c>
      <c r="EG420" t="e">
        <f>'Latin America and Caribbean'!B510+"$F;@!4[]"</f>
        <v>#VALUE!</v>
      </c>
      <c r="EH420" t="e">
        <f>'Latin America and Caribbean'!C510+"$F;@!4[^"</f>
        <v>#VALUE!</v>
      </c>
      <c r="EI420" t="e">
        <f>'Latin America and Caribbean'!D510+"$F;@!4[_"</f>
        <v>#VALUE!</v>
      </c>
      <c r="EJ420" t="e">
        <f>'Latin America and Caribbean'!E510+"$F;@!4[`"</f>
        <v>#VALUE!</v>
      </c>
      <c r="EK420" t="e">
        <f>'Latin America and Caribbean'!F510+"$F;@!4[a"</f>
        <v>#VALUE!</v>
      </c>
      <c r="EL420" t="e">
        <f>'Latin America and Caribbean'!G510+"$F;@!4[b"</f>
        <v>#VALUE!</v>
      </c>
      <c r="EM420" t="e">
        <f>'Latin America and Caribbean'!H510+"$F;@!4[c"</f>
        <v>#VALUE!</v>
      </c>
      <c r="EN420" t="e">
        <f>'Latin America and Caribbean'!A511+"$F;@!4[d"</f>
        <v>#VALUE!</v>
      </c>
      <c r="EO420" t="e">
        <f>'Latin America and Caribbean'!B511+"$F;@!4[e"</f>
        <v>#VALUE!</v>
      </c>
      <c r="EP420" t="e">
        <f>'Latin America and Caribbean'!C511+"$F;@!4[f"</f>
        <v>#VALUE!</v>
      </c>
      <c r="EQ420" t="e">
        <f>'Latin America and Caribbean'!D511+"$F;@!4[g"</f>
        <v>#VALUE!</v>
      </c>
      <c r="ER420" t="e">
        <f>'Latin America and Caribbean'!E511+"$F;@!4[h"</f>
        <v>#VALUE!</v>
      </c>
      <c r="ES420" t="e">
        <f>'Latin America and Caribbean'!F511+"$F;@!4[i"</f>
        <v>#VALUE!</v>
      </c>
      <c r="ET420" t="e">
        <f>'Latin America and Caribbean'!G511+"$F;@!4[j"</f>
        <v>#VALUE!</v>
      </c>
      <c r="EU420" t="e">
        <f>'Latin America and Caribbean'!H511+"$F;@!4[k"</f>
        <v>#VALUE!</v>
      </c>
      <c r="EV420" t="e">
        <f>'Latin America and Caribbean'!A512+"$F;@!4[l"</f>
        <v>#VALUE!</v>
      </c>
      <c r="EW420" t="e">
        <f>'Latin America and Caribbean'!B512+"$F;@!4[m"</f>
        <v>#VALUE!</v>
      </c>
      <c r="EX420" t="e">
        <f>'Latin America and Caribbean'!C512+"$F;@!4[n"</f>
        <v>#VALUE!</v>
      </c>
      <c r="EY420" t="e">
        <f>'Latin America and Caribbean'!D512+"$F;@!4[o"</f>
        <v>#VALUE!</v>
      </c>
      <c r="EZ420" t="e">
        <f>'Latin America and Caribbean'!E512+"$F;@!4[p"</f>
        <v>#VALUE!</v>
      </c>
      <c r="FA420" t="e">
        <f>'Latin America and Caribbean'!F512+"$F;@!4[q"</f>
        <v>#VALUE!</v>
      </c>
      <c r="FB420" t="e">
        <f>'Latin America and Caribbean'!G512+"$F;@!4[r"</f>
        <v>#VALUE!</v>
      </c>
      <c r="FC420" t="e">
        <f>'Latin America and Caribbean'!H512+"$F;@!4[s"</f>
        <v>#VALUE!</v>
      </c>
      <c r="FD420" t="e">
        <f>'Latin America and Caribbean'!A513+"$F;@!4[t"</f>
        <v>#VALUE!</v>
      </c>
      <c r="FE420" t="e">
        <f>'Latin America and Caribbean'!B513+"$F;@!4[u"</f>
        <v>#VALUE!</v>
      </c>
      <c r="FF420" t="e">
        <f>'Latin America and Caribbean'!C513+"$F;@!4[v"</f>
        <v>#VALUE!</v>
      </c>
      <c r="FG420" t="e">
        <f>'Latin America and Caribbean'!D513+"$F;@!4[w"</f>
        <v>#VALUE!</v>
      </c>
      <c r="FH420" t="e">
        <f>'Latin America and Caribbean'!E513+"$F;@!4[x"</f>
        <v>#VALUE!</v>
      </c>
      <c r="FI420" t="e">
        <f>'Latin America and Caribbean'!F513+"$F;@!4[y"</f>
        <v>#VALUE!</v>
      </c>
      <c r="FJ420" t="e">
        <f>'Latin America and Caribbean'!G513+"$F;@!4[z"</f>
        <v>#VALUE!</v>
      </c>
      <c r="FK420" t="e">
        <f>'Latin America and Caribbean'!H513+"$F;@!4[{"</f>
        <v>#VALUE!</v>
      </c>
      <c r="FL420" t="e">
        <f>'Latin America and Caribbean'!A514+"$F;@!4[|"</f>
        <v>#VALUE!</v>
      </c>
      <c r="FM420" t="e">
        <f>'Latin America and Caribbean'!B514+"$F;@!4[}"</f>
        <v>#VALUE!</v>
      </c>
      <c r="FN420" t="e">
        <f>'Latin America and Caribbean'!C514+"$F;@!4[~"</f>
        <v>#VALUE!</v>
      </c>
      <c r="FO420" t="e">
        <f>'Latin America and Caribbean'!D514+"$F;@!4\#"</f>
        <v>#VALUE!</v>
      </c>
      <c r="FP420" t="e">
        <f>'Latin America and Caribbean'!E514+"$F;@!4\$"</f>
        <v>#VALUE!</v>
      </c>
      <c r="FQ420" t="e">
        <f>'Latin America and Caribbean'!F514+"$F;@!4\%"</f>
        <v>#VALUE!</v>
      </c>
      <c r="FR420" t="e">
        <f>'Latin America and Caribbean'!G514+"$F;@!4\&amp;"</f>
        <v>#VALUE!</v>
      </c>
      <c r="FS420" t="e">
        <f>'Latin America and Caribbean'!H514+"$F;@!4\'"</f>
        <v>#VALUE!</v>
      </c>
      <c r="FT420" t="e">
        <f>'Latin America and Caribbean'!A515+"$F;@!4\("</f>
        <v>#VALUE!</v>
      </c>
      <c r="FU420" t="e">
        <f>'Latin America and Caribbean'!B515+"$F;@!4\)"</f>
        <v>#VALUE!</v>
      </c>
      <c r="FV420" t="e">
        <f>'Latin America and Caribbean'!C515+"$F;@!4\."</f>
        <v>#VALUE!</v>
      </c>
      <c r="FW420" t="e">
        <f>'Latin America and Caribbean'!D515+"$F;@!4\/"</f>
        <v>#VALUE!</v>
      </c>
      <c r="FX420" t="e">
        <f>'Latin America and Caribbean'!E515+"$F;@!4\0"</f>
        <v>#VALUE!</v>
      </c>
      <c r="FY420" t="e">
        <f>'Latin America and Caribbean'!F515+"$F;@!4\1"</f>
        <v>#VALUE!</v>
      </c>
      <c r="FZ420" t="e">
        <f>'Latin America and Caribbean'!G515+"$F;@!4\2"</f>
        <v>#VALUE!</v>
      </c>
      <c r="GA420" t="e">
        <f>'Latin America and Caribbean'!H515+"$F;@!4\3"</f>
        <v>#VALUE!</v>
      </c>
      <c r="GB420" t="e">
        <f>'Latin America and Caribbean'!A516+"$F;@!4\4"</f>
        <v>#VALUE!</v>
      </c>
      <c r="GC420" t="e">
        <f>'Latin America and Caribbean'!B516+"$F;@!4\5"</f>
        <v>#VALUE!</v>
      </c>
      <c r="GD420" t="e">
        <f>'Latin America and Caribbean'!C516+"$F;@!4\6"</f>
        <v>#VALUE!</v>
      </c>
      <c r="GE420" t="e">
        <f>'Latin America and Caribbean'!D516+"$F;@!4\7"</f>
        <v>#VALUE!</v>
      </c>
      <c r="GF420" t="e">
        <f>'Latin America and Caribbean'!E516+"$F;@!4\8"</f>
        <v>#VALUE!</v>
      </c>
      <c r="GG420" t="e">
        <f>'Latin America and Caribbean'!F516+"$F;@!4\9"</f>
        <v>#VALUE!</v>
      </c>
      <c r="GH420" t="e">
        <f>'Latin America and Caribbean'!G516+"$F;@!4\:"</f>
        <v>#VALUE!</v>
      </c>
      <c r="GI420" t="e">
        <f>'Latin America and Caribbean'!H516+"$F;@!4\;"</f>
        <v>#VALUE!</v>
      </c>
      <c r="GJ420" t="e">
        <f>'Latin America and Caribbean'!A517+"$F;@!4\&lt;"</f>
        <v>#VALUE!</v>
      </c>
      <c r="GK420" t="e">
        <f>'Latin America and Caribbean'!B517+"$F;@!4\="</f>
        <v>#VALUE!</v>
      </c>
      <c r="GL420" t="e">
        <f>'Latin America and Caribbean'!C517+"$F;@!4\&gt;"</f>
        <v>#VALUE!</v>
      </c>
      <c r="GM420" t="e">
        <f>'Latin America and Caribbean'!D517+"$F;@!4\?"</f>
        <v>#VALUE!</v>
      </c>
      <c r="GN420" t="e">
        <f>'Latin America and Caribbean'!E517+"$F;@!4\@"</f>
        <v>#VALUE!</v>
      </c>
      <c r="GO420" t="e">
        <f>'Latin America and Caribbean'!F517+"$F;@!4\A"</f>
        <v>#VALUE!</v>
      </c>
      <c r="GP420" t="e">
        <f>'Latin America and Caribbean'!G517+"$F;@!4\B"</f>
        <v>#VALUE!</v>
      </c>
      <c r="GQ420" t="e">
        <f>'Latin America and Caribbean'!H517+"$F;@!4\C"</f>
        <v>#VALUE!</v>
      </c>
      <c r="GR420" t="e">
        <f>'Latin America and Caribbean'!A518+"$F;@!4\D"</f>
        <v>#VALUE!</v>
      </c>
      <c r="GS420" t="e">
        <f>'Latin America and Caribbean'!B518+"$F;@!4\E"</f>
        <v>#VALUE!</v>
      </c>
      <c r="GT420" t="e">
        <f>'Latin America and Caribbean'!C518+"$F;@!4\F"</f>
        <v>#VALUE!</v>
      </c>
      <c r="GU420" t="e">
        <f>'Latin America and Caribbean'!D518+"$F;@!4\G"</f>
        <v>#VALUE!</v>
      </c>
      <c r="GV420" t="e">
        <f>'Latin America and Caribbean'!E518+"$F;@!4\H"</f>
        <v>#VALUE!</v>
      </c>
      <c r="GW420" t="e">
        <f>'Latin America and Caribbean'!F518+"$F;@!4\I"</f>
        <v>#VALUE!</v>
      </c>
      <c r="GX420" t="e">
        <f>'Latin America and Caribbean'!G518+"$F;@!4\J"</f>
        <v>#VALUE!</v>
      </c>
      <c r="GY420" t="e">
        <f>'Latin America and Caribbean'!H518+"$F;@!4\K"</f>
        <v>#VALUE!</v>
      </c>
      <c r="GZ420" t="e">
        <f>'Latin America and Caribbean'!A519+"$F;@!4\L"</f>
        <v>#VALUE!</v>
      </c>
      <c r="HA420" t="e">
        <f>'Latin America and Caribbean'!B519+"$F;@!4\M"</f>
        <v>#VALUE!</v>
      </c>
      <c r="HB420" t="e">
        <f>'Latin America and Caribbean'!C519+"$F;@!4\N"</f>
        <v>#VALUE!</v>
      </c>
      <c r="HC420" t="e">
        <f>'Latin America and Caribbean'!D519+"$F;@!4\O"</f>
        <v>#VALUE!</v>
      </c>
      <c r="HD420" t="e">
        <f>'Latin America and Caribbean'!E519+"$F;@!4\P"</f>
        <v>#VALUE!</v>
      </c>
      <c r="HE420" t="e">
        <f>'Latin America and Caribbean'!F519+"$F;@!4\Q"</f>
        <v>#VALUE!</v>
      </c>
      <c r="HF420" t="e">
        <f>'Latin America and Caribbean'!G519+"$F;@!4\R"</f>
        <v>#VALUE!</v>
      </c>
      <c r="HG420" t="e">
        <f>'Latin America and Caribbean'!H519+"$F;@!4\S"</f>
        <v>#VALUE!</v>
      </c>
      <c r="HH420" t="e">
        <f>'Latin America and Caribbean'!A520+"$F;@!4\T"</f>
        <v>#VALUE!</v>
      </c>
      <c r="HI420" t="e">
        <f>'Latin America and Caribbean'!B520+"$F;@!4\U"</f>
        <v>#VALUE!</v>
      </c>
      <c r="HJ420" t="e">
        <f>'Latin America and Caribbean'!C520+"$F;@!4\V"</f>
        <v>#VALUE!</v>
      </c>
      <c r="HK420" t="e">
        <f>'Latin America and Caribbean'!D520+"$F;@!4\W"</f>
        <v>#VALUE!</v>
      </c>
      <c r="HL420" t="e">
        <f>'Latin America and Caribbean'!E520+"$F;@!4\X"</f>
        <v>#VALUE!</v>
      </c>
      <c r="HM420" t="e">
        <f>'Latin America and Caribbean'!F520+"$F;@!4\Y"</f>
        <v>#VALUE!</v>
      </c>
      <c r="HN420" t="e">
        <f>'Latin America and Caribbean'!G520+"$F;@!4\Z"</f>
        <v>#VALUE!</v>
      </c>
      <c r="HO420" t="e">
        <f>'Latin America and Caribbean'!H520+"$F;@!4\["</f>
        <v>#VALUE!</v>
      </c>
      <c r="HP420" t="e">
        <f>'Latin America and Caribbean'!A521+"$F;@!4\\"</f>
        <v>#VALUE!</v>
      </c>
      <c r="HQ420" t="e">
        <f>'Latin America and Caribbean'!B521+"$F;@!4\]"</f>
        <v>#VALUE!</v>
      </c>
      <c r="HR420" t="e">
        <f>'Latin America and Caribbean'!C521+"$F;@!4\^"</f>
        <v>#VALUE!</v>
      </c>
      <c r="HS420" t="e">
        <f>'Latin America and Caribbean'!D521+"$F;@!4\_"</f>
        <v>#VALUE!</v>
      </c>
      <c r="HT420" t="e">
        <f>'Latin America and Caribbean'!E521+"$F;@!4\`"</f>
        <v>#VALUE!</v>
      </c>
      <c r="HU420" t="e">
        <f>'Latin America and Caribbean'!F521+"$F;@!4\a"</f>
        <v>#VALUE!</v>
      </c>
      <c r="HV420" t="e">
        <f>'Latin America and Caribbean'!G521+"$F;@!4\b"</f>
        <v>#VALUE!</v>
      </c>
      <c r="HW420" t="e">
        <f>'Latin America and Caribbean'!H521+"$F;@!4\c"</f>
        <v>#VALUE!</v>
      </c>
      <c r="HX420" t="e">
        <f>'Latin America and Caribbean'!A522+"$F;@!4\d"</f>
        <v>#VALUE!</v>
      </c>
      <c r="HY420" t="e">
        <f>'Latin America and Caribbean'!B522+"$F;@!4\e"</f>
        <v>#VALUE!</v>
      </c>
      <c r="HZ420" t="e">
        <f>'Latin America and Caribbean'!C522+"$F;@!4\f"</f>
        <v>#VALUE!</v>
      </c>
      <c r="IA420" t="e">
        <f>'Latin America and Caribbean'!D522+"$F;@!4\g"</f>
        <v>#VALUE!</v>
      </c>
      <c r="IB420" t="e">
        <f>'Latin America and Caribbean'!E522+"$F;@!4\h"</f>
        <v>#VALUE!</v>
      </c>
      <c r="IC420" t="e">
        <f>'Latin America and Caribbean'!F522+"$F;@!4\i"</f>
        <v>#VALUE!</v>
      </c>
      <c r="ID420" t="e">
        <f>'Latin America and Caribbean'!G522+"$F;@!4\j"</f>
        <v>#VALUE!</v>
      </c>
      <c r="IE420" t="e">
        <f>'Latin America and Caribbean'!H522+"$F;@!4\k"</f>
        <v>#VALUE!</v>
      </c>
      <c r="IF420" t="e">
        <f>'Latin America and Caribbean'!A523+"$F;@!4\l"</f>
        <v>#VALUE!</v>
      </c>
      <c r="IG420" t="e">
        <f>'Latin America and Caribbean'!B523+"$F;@!4\m"</f>
        <v>#VALUE!</v>
      </c>
      <c r="IH420" t="e">
        <f>'Latin America and Caribbean'!C523+"$F;@!4\n"</f>
        <v>#VALUE!</v>
      </c>
      <c r="II420" t="e">
        <f>'Latin America and Caribbean'!D523+"$F;@!4\o"</f>
        <v>#VALUE!</v>
      </c>
      <c r="IJ420" t="e">
        <f>'Latin America and Caribbean'!E523+"$F;@!4\p"</f>
        <v>#VALUE!</v>
      </c>
      <c r="IK420" t="e">
        <f>'Latin America and Caribbean'!F523+"$F;@!4\q"</f>
        <v>#VALUE!</v>
      </c>
      <c r="IL420" t="e">
        <f>'Latin America and Caribbean'!G523+"$F;@!4\r"</f>
        <v>#VALUE!</v>
      </c>
      <c r="IM420" t="e">
        <f>'Latin America and Caribbean'!H523+"$F;@!4\s"</f>
        <v>#VALUE!</v>
      </c>
      <c r="IN420" t="e">
        <f>'Latin America and Caribbean'!A:A*"$F;@!4\t"</f>
        <v>#VALUE!</v>
      </c>
      <c r="IO420" t="e">
        <f>'Latin America and Caribbean'!B:B*"$F;@!4\u"</f>
        <v>#VALUE!</v>
      </c>
      <c r="IP420" t="e">
        <f>'Latin America and Caribbean'!C:C*"$F;@!4\v"</f>
        <v>#VALUE!</v>
      </c>
      <c r="IQ420" t="e">
        <f>'Latin America and Caribbean'!D:D*"$F;@!4\w"</f>
        <v>#VALUE!</v>
      </c>
      <c r="IR420" t="e">
        <f>'Latin America and Caribbean'!E:E*"$F;@!4\x"</f>
        <v>#VALUE!</v>
      </c>
      <c r="IS420" t="e">
        <f>'Latin America and Caribbean'!F:F*"$F;@!4\y"</f>
        <v>#VALUE!</v>
      </c>
      <c r="IT420" t="e">
        <f>'Latin America and Caribbean'!G:G*"$F;@!4\z"</f>
        <v>#VALUE!</v>
      </c>
      <c r="IU420" t="e">
        <f>'Latin America and Caribbean'!H:H*"$F;@!4\{"</f>
        <v>#VALUE!</v>
      </c>
      <c r="IV420" t="e">
        <f>'Latin America and Caribbean'!I:I*"$F;@!4\|"</f>
        <v>#VALUE!</v>
      </c>
    </row>
    <row r="421" spans="6:256" x14ac:dyDescent="0.35">
      <c r="F421" t="e">
        <f>'Latin America and Caribbean'!J:J*"$F;@!4\}"</f>
        <v>#VALUE!</v>
      </c>
      <c r="G421" t="e">
        <f>'Latin America and Caribbean'!K:K*"$F;@!4\~"</f>
        <v>#VALUE!</v>
      </c>
      <c r="H421" t="e">
        <f>'Latin America and Caribbean'!L:L*"$F;@!4]#"</f>
        <v>#VALUE!</v>
      </c>
      <c r="I421" t="e">
        <f>'Latin America and Caribbean'!M:M*"$F;@!4]$"</f>
        <v>#VALUE!</v>
      </c>
      <c r="J421" t="e">
        <f>'Latin America and Caribbean'!N:N*"$F;@!4]%"</f>
        <v>#VALUE!</v>
      </c>
      <c r="K421" t="e">
        <f>'Latin America and Caribbean'!O:O*"$F;@!4]&amp;"</f>
        <v>#VALUE!</v>
      </c>
      <c r="L421" t="e">
        <f>'Latin America and Caribbean'!P:P*"$F;@!4]'"</f>
        <v>#VALUE!</v>
      </c>
      <c r="M421" t="e">
        <f>'Latin America and Caribbean'!Q:Q*"$F;@!4]("</f>
        <v>#VALUE!</v>
      </c>
      <c r="N421" t="e">
        <f>'Latin America and Caribbean'!R:R*"$F;@!4])"</f>
        <v>#VALUE!</v>
      </c>
      <c r="O421" t="e">
        <f>'Latin America and Caribbean'!S:S*"$F;@!4]."</f>
        <v>#VALUE!</v>
      </c>
      <c r="P421" t="e">
        <f>'Latin America and Caribbean'!T:T*"$F;@!4]/"</f>
        <v>#VALUE!</v>
      </c>
      <c r="Q421" t="e">
        <f>'Latin America and Caribbean'!U:U*"$F;@!4]0"</f>
        <v>#VALUE!</v>
      </c>
      <c r="R421" t="e">
        <f>'Latin America and Caribbean'!V:V*"$F;@!4]1"</f>
        <v>#VALUE!</v>
      </c>
      <c r="S421" t="e">
        <f>'Latin America and Caribbean'!W:W*"$F;@!4]2"</f>
        <v>#VALUE!</v>
      </c>
      <c r="T421" t="e">
        <f>'Latin America and Caribbean'!X:X*"$F;@!4]3"</f>
        <v>#VALUE!</v>
      </c>
      <c r="U421" t="e">
        <f>'Latin America and Caribbean'!Y:Y*"$F;@!4]4"</f>
        <v>#VALUE!</v>
      </c>
      <c r="V421" t="e">
        <f>'Latin America and Caribbean'!Z:Z*"$F;@!4]5"</f>
        <v>#VALUE!</v>
      </c>
      <c r="W421" t="e">
        <f>'Latin America and Caribbean'!AA:AA*"$F;@!4]6"</f>
        <v>#VALUE!</v>
      </c>
      <c r="X421" t="e">
        <f>'Latin America and Caribbean'!AB:AB*"$F;@!4]7"</f>
        <v>#VALUE!</v>
      </c>
      <c r="Y421" t="e">
        <f>'Latin America and Caribbean'!AC:AC*"$F;@!4]8"</f>
        <v>#VALUE!</v>
      </c>
      <c r="Z421" t="e">
        <f>'Latin America and Caribbean'!AD:AD*"$F;@!4]9"</f>
        <v>#VALUE!</v>
      </c>
      <c r="AA421" t="e">
        <f>'Latin America and Caribbean'!AE:AE*"$F;@!4]:"</f>
        <v>#VALUE!</v>
      </c>
      <c r="AB421" t="e">
        <f>'Latin America and Caribbean'!AF:AF*"$F;@!4];"</f>
        <v>#VALUE!</v>
      </c>
      <c r="AC421" t="e">
        <f>'Latin America and Caribbean'!AG:AG*"$F;@!4]&lt;"</f>
        <v>#VALUE!</v>
      </c>
      <c r="AD421" t="e">
        <f>'Latin America and Caribbean'!AH:AH*"$F;@!4]="</f>
        <v>#VALUE!</v>
      </c>
      <c r="AE421" t="e">
        <f>'Latin America and Caribbean'!AI:AI*"$F;@!4]&gt;"</f>
        <v>#VALUE!</v>
      </c>
      <c r="AF421" t="e">
        <f>'Latin America and Caribbean'!AJ:AJ*"$F;@!4]?"</f>
        <v>#VALUE!</v>
      </c>
      <c r="AG421" t="e">
        <f>'Latin America and Caribbean'!AK:AK*"$F;@!4]@"</f>
        <v>#VALUE!</v>
      </c>
      <c r="AH421" t="e">
        <f>'Latin America and Caribbean'!AL:AL*"$F;@!4]A"</f>
        <v>#VALUE!</v>
      </c>
      <c r="AI421" t="e">
        <f>'Latin America and Caribbean'!AM:AM*"$F;@!4]B"</f>
        <v>#VALUE!</v>
      </c>
      <c r="AJ421" t="e">
        <f>'Latin America and Caribbean'!AN:AN*"$F;@!4]C"</f>
        <v>#VALUE!</v>
      </c>
      <c r="AK421" t="e">
        <f>'Latin America and Caribbean'!AO:AO*"$F;@!4]D"</f>
        <v>#VALUE!</v>
      </c>
      <c r="AL421" t="e">
        <f>'Latin America and Caribbean'!AP:AP*"$F;@!4]E"</f>
        <v>#VALUE!</v>
      </c>
      <c r="AM421" t="e">
        <f>'Latin America and Caribbean'!AQ:AQ*"$F;@!4]F"</f>
        <v>#VALUE!</v>
      </c>
      <c r="AN421" t="e">
        <f>'Latin America and Caribbean'!AR:AR*"$F;@!4]G"</f>
        <v>#VALUE!</v>
      </c>
      <c r="AO421" t="e">
        <f>'Latin America and Caribbean'!AS:AS*"$F;@!4]H"</f>
        <v>#VALUE!</v>
      </c>
      <c r="AP421" t="e">
        <f>'Latin America and Caribbean'!AT:AT*"$F;@!4]I"</f>
        <v>#VALUE!</v>
      </c>
      <c r="AQ421" t="e">
        <f>'Latin America and Caribbean'!AU:AU*"$F;@!4]J"</f>
        <v>#VALUE!</v>
      </c>
      <c r="AR421" t="e">
        <f>'Latin America and Caribbean'!AV:AV*"$F;@!4]K"</f>
        <v>#VALUE!</v>
      </c>
      <c r="AS421" t="e">
        <f>'Latin America and Caribbean'!AW:AW*"$F;@!4]L"</f>
        <v>#VALUE!</v>
      </c>
      <c r="AT421" t="e">
        <f>'Latin America and Caribbean'!AX:AX*"$F;@!4]M"</f>
        <v>#VALUE!</v>
      </c>
      <c r="AU421" t="e">
        <f>'Latin America and Caribbean'!AY:AY*"$F;@!4]N"</f>
        <v>#VALUE!</v>
      </c>
      <c r="AV421" t="e">
        <f>'Latin America and Caribbean'!AZ:AZ*"$F;@!4]O"</f>
        <v>#VALUE!</v>
      </c>
      <c r="AW421" t="e">
        <f>'Latin America and Caribbean'!BA:BA*"$F;@!4]P"</f>
        <v>#VALUE!</v>
      </c>
      <c r="AX421" t="e">
        <f>'Latin America and Caribbean'!BB:BB*"$F;@!4]Q"</f>
        <v>#VALUE!</v>
      </c>
      <c r="AY421" t="e">
        <f>'Latin America and Caribbean'!BC:BC*"$F;@!4]R"</f>
        <v>#VALUE!</v>
      </c>
      <c r="AZ421" t="e">
        <f>'Latin America and Caribbean'!BD:BD*"$F;@!4]S"</f>
        <v>#VALUE!</v>
      </c>
      <c r="BA421" t="e">
        <f>'Latin America and Caribbean'!BE:BE*"$F;@!4]T"</f>
        <v>#VALUE!</v>
      </c>
      <c r="BB421" t="e">
        <f>'Latin America and Caribbean'!BF:BF*"$F;@!4]U"</f>
        <v>#VALUE!</v>
      </c>
      <c r="BC421" t="e">
        <f>'Latin America and Caribbean'!1:1-"$F;@!4]V"</f>
        <v>#VALUE!</v>
      </c>
      <c r="BD421" t="e">
        <f>'Latin America and Caribbean'!2:2-"$F;@!4]W"</f>
        <v>#VALUE!</v>
      </c>
      <c r="BE421" t="e">
        <f>'Latin America and Caribbean'!3:3-"$F;@!4]X"</f>
        <v>#VALUE!</v>
      </c>
      <c r="BF421" t="e">
        <f>'Latin America and Caribbean'!4:4-"$F;@!4]Y"</f>
        <v>#VALUE!</v>
      </c>
      <c r="BG421" t="e">
        <f>'Latin America and Caribbean'!5:5-"$F;@!4]Z"</f>
        <v>#VALUE!</v>
      </c>
      <c r="BH421" t="e">
        <f>'Latin America and Caribbean'!6:6-"$F;@!4]["</f>
        <v>#VALUE!</v>
      </c>
      <c r="BI421" t="e">
        <f>'Latin America and Caribbean'!7:7-"$F;@!4]\"</f>
        <v>#VALUE!</v>
      </c>
      <c r="BJ421" t="e">
        <f>'Latin America and Caribbean'!8:8-"$F;@!4]]"</f>
        <v>#VALUE!</v>
      </c>
      <c r="BK421" t="e">
        <f>'Latin America and Caribbean'!9:9-"$F;@!4]^"</f>
        <v>#VALUE!</v>
      </c>
      <c r="BL421" t="e">
        <f>'Latin America and Caribbean'!10:10-"$F;@!4]_"</f>
        <v>#VALUE!</v>
      </c>
      <c r="BM421" t="e">
        <f>'Latin America and Caribbean'!11:11-"$F;@!4]`"</f>
        <v>#VALUE!</v>
      </c>
      <c r="BN421" t="e">
        <f>'Latin America and Caribbean'!12:12-"$F;@!4]a"</f>
        <v>#VALUE!</v>
      </c>
      <c r="BO421" t="e">
        <f>'Latin America and Caribbean'!13:13-"$F;@!4]b"</f>
        <v>#VALUE!</v>
      </c>
      <c r="BP421" t="e">
        <f>'Latin America and Caribbean'!14:14-"$F;@!4]c"</f>
        <v>#VALUE!</v>
      </c>
      <c r="BQ421" t="e">
        <f>'Latin America and Caribbean'!15:15-"$F;@!4]d"</f>
        <v>#VALUE!</v>
      </c>
      <c r="BR421" t="e">
        <f>'Latin America and Caribbean'!16:16-"$F;@!4]e"</f>
        <v>#VALUE!</v>
      </c>
      <c r="BS421" t="e">
        <f>'Latin America and Caribbean'!17:17-"$F;@!4]f"</f>
        <v>#VALUE!</v>
      </c>
      <c r="BT421" t="e">
        <f>'Latin America and Caribbean'!18:18-"$F;@!4]g"</f>
        <v>#VALUE!</v>
      </c>
      <c r="BU421" t="e">
        <f>'Latin America and Caribbean'!19:19-"$F;@!4]h"</f>
        <v>#VALUE!</v>
      </c>
      <c r="BV421" t="e">
        <f>'Latin America and Caribbean'!20:20-"$F;@!4]i"</f>
        <v>#VALUE!</v>
      </c>
      <c r="BW421" t="e">
        <f>'Latin America and Caribbean'!21:21-"$F;@!4]j"</f>
        <v>#VALUE!</v>
      </c>
      <c r="BX421" t="e">
        <f>'Latin America and Caribbean'!22:22-"$F;@!4]k"</f>
        <v>#VALUE!</v>
      </c>
      <c r="BY421" t="e">
        <f>'Latin America and Caribbean'!23:23-"$F;@!4]l"</f>
        <v>#VALUE!</v>
      </c>
      <c r="BZ421" t="e">
        <f>'Latin America and Caribbean'!24:24-"$F;@!4]m"</f>
        <v>#VALUE!</v>
      </c>
      <c r="CA421" t="e">
        <f>'Latin America and Caribbean'!25:25-"$F;@!4]n"</f>
        <v>#VALUE!</v>
      </c>
      <c r="CB421" t="e">
        <f>'Latin America and Caribbean'!26:26-"$F;@!4]o"</f>
        <v>#VALUE!</v>
      </c>
      <c r="CC421" t="e">
        <f>'Latin America and Caribbean'!27:27-"$F;@!4]p"</f>
        <v>#VALUE!</v>
      </c>
      <c r="CD421" t="e">
        <f>'Latin America and Caribbean'!28:28-"$F;@!4]q"</f>
        <v>#VALUE!</v>
      </c>
      <c r="CE421" t="e">
        <f>'Latin America and Caribbean'!29:29-"$F;@!4]r"</f>
        <v>#VALUE!</v>
      </c>
      <c r="CF421" t="e">
        <f>'Latin America and Caribbean'!30:30-"$F;@!4]s"</f>
        <v>#VALUE!</v>
      </c>
      <c r="CG421" t="e">
        <f>'Latin America and Caribbean'!31:31-"$F;@!4]t"</f>
        <v>#VALUE!</v>
      </c>
      <c r="CH421" t="e">
        <f>'Latin America and Caribbean'!32:32-"$F;@!4]u"</f>
        <v>#VALUE!</v>
      </c>
      <c r="CI421" t="e">
        <f>'Latin America and Caribbean'!33:33-"$F;@!4]v"</f>
        <v>#VALUE!</v>
      </c>
      <c r="CJ421" t="e">
        <f>'Latin America and Caribbean'!34:34-"$F;@!4]w"</f>
        <v>#VALUE!</v>
      </c>
      <c r="CK421" t="e">
        <f>'Latin America and Caribbean'!35:35-"$F;@!4]x"</f>
        <v>#VALUE!</v>
      </c>
      <c r="CL421" t="e">
        <f>'Latin America and Caribbean'!36:36-"$F;@!4]y"</f>
        <v>#VALUE!</v>
      </c>
      <c r="CM421" t="e">
        <f>'Latin America and Caribbean'!37:37-"$F;@!4]z"</f>
        <v>#VALUE!</v>
      </c>
      <c r="CN421" t="e">
        <f>'Latin America and Caribbean'!38:38-"$F;@!4]{"</f>
        <v>#VALUE!</v>
      </c>
      <c r="CO421" t="e">
        <f>'Latin America and Caribbean'!39:39-"$F;@!4]|"</f>
        <v>#VALUE!</v>
      </c>
      <c r="CP421" t="e">
        <f>'Latin America and Caribbean'!40:40-"$F;@!4]}"</f>
        <v>#VALUE!</v>
      </c>
      <c r="CQ421" t="e">
        <f>'Latin America and Caribbean'!41:41-"$F;@!4]~"</f>
        <v>#VALUE!</v>
      </c>
      <c r="CR421" t="e">
        <f>'Latin America and Caribbean'!42:42-"$F;@!4^#"</f>
        <v>#VALUE!</v>
      </c>
      <c r="CS421" t="e">
        <f>'Latin America and Caribbean'!43:43-"$F;@!4^$"</f>
        <v>#VALUE!</v>
      </c>
      <c r="CT421" t="e">
        <f>'Latin America and Caribbean'!44:44-"$F;@!4^%"</f>
        <v>#VALUE!</v>
      </c>
      <c r="CU421" t="e">
        <f>'Latin America and Caribbean'!45:45-"$F;@!4^&amp;"</f>
        <v>#VALUE!</v>
      </c>
      <c r="CV421" t="e">
        <f>'Latin America and Caribbean'!46:46-"$F;@!4^'"</f>
        <v>#VALUE!</v>
      </c>
      <c r="CW421" t="e">
        <f>'Latin America and Caribbean'!47:47-"$F;@!4^("</f>
        <v>#VALUE!</v>
      </c>
      <c r="CX421" t="e">
        <f>'Latin America and Caribbean'!48:48-"$F;@!4^)"</f>
        <v>#VALUE!</v>
      </c>
      <c r="CY421" t="e">
        <f>'Latin America and Caribbean'!49:49-"$F;@!4^."</f>
        <v>#VALUE!</v>
      </c>
      <c r="CZ421" t="e">
        <f>'Latin America and Caribbean'!50:50-"$F;@!4^/"</f>
        <v>#VALUE!</v>
      </c>
      <c r="DA421" t="e">
        <f>'Latin America and Caribbean'!51:51-"$F;@!4^0"</f>
        <v>#VALUE!</v>
      </c>
      <c r="DB421" t="e">
        <f>'Latin America and Caribbean'!52:52-"$F;@!4^1"</f>
        <v>#VALUE!</v>
      </c>
      <c r="DC421" t="e">
        <f>'Latin America and Caribbean'!53:53-"$F;@!4^2"</f>
        <v>#VALUE!</v>
      </c>
      <c r="DD421" t="e">
        <f>'Latin America and Caribbean'!54:54-"$F;@!4^3"</f>
        <v>#VALUE!</v>
      </c>
      <c r="DE421" t="e">
        <f>'Latin America and Caribbean'!55:55-"$F;@!4^4"</f>
        <v>#VALUE!</v>
      </c>
      <c r="DF421" t="e">
        <f>'Latin America and Caribbean'!56:56-"$F;@!4^5"</f>
        <v>#VALUE!</v>
      </c>
      <c r="DG421" t="e">
        <f>'Latin America and Caribbean'!57:57-"$F;@!4^6"</f>
        <v>#VALUE!</v>
      </c>
      <c r="DH421" t="e">
        <f>'Latin America and Caribbean'!58:58-"$F;@!4^7"</f>
        <v>#VALUE!</v>
      </c>
      <c r="DI421" t="e">
        <f>'Latin America and Caribbean'!59:59-"$F;@!4^8"</f>
        <v>#VALUE!</v>
      </c>
      <c r="DJ421" t="e">
        <f>'Latin America and Caribbean'!60:60-"$F;@!4^9"</f>
        <v>#VALUE!</v>
      </c>
      <c r="DK421" t="e">
        <f>'Latin America and Caribbean'!61:61-"$F;@!4^:"</f>
        <v>#VALUE!</v>
      </c>
      <c r="DL421" t="e">
        <f>'Latin America and Caribbean'!62:62-"$F;@!4^;"</f>
        <v>#VALUE!</v>
      </c>
      <c r="DM421" t="e">
        <f>'Latin America and Caribbean'!63:63-"$F;@!4^&lt;"</f>
        <v>#VALUE!</v>
      </c>
      <c r="DN421" t="e">
        <f>'Latin America and Caribbean'!64:64-"$F;@!4^="</f>
        <v>#VALUE!</v>
      </c>
      <c r="DO421" t="e">
        <f>'Latin America and Caribbean'!65:65-"$F;@!4^&gt;"</f>
        <v>#VALUE!</v>
      </c>
      <c r="DP421" t="e">
        <f>'Latin America and Caribbean'!66:66-"$F;@!4^?"</f>
        <v>#VALUE!</v>
      </c>
      <c r="DQ421" t="e">
        <f>'Latin America and Caribbean'!67:67-"$F;@!4^@"</f>
        <v>#VALUE!</v>
      </c>
      <c r="DR421" t="e">
        <f>'Latin America and Caribbean'!68:68-"$F;@!4^A"</f>
        <v>#VALUE!</v>
      </c>
      <c r="DS421" t="e">
        <f>'Latin America and Caribbean'!69:69-"$F;@!4^B"</f>
        <v>#VALUE!</v>
      </c>
      <c r="DT421" t="e">
        <f>'Latin America and Caribbean'!70:70-"$F;@!4^C"</f>
        <v>#VALUE!</v>
      </c>
      <c r="DU421" t="e">
        <f>'Latin America and Caribbean'!71:71-"$F;@!4^D"</f>
        <v>#VALUE!</v>
      </c>
      <c r="DV421" t="e">
        <f>'Latin America and Caribbean'!72:72-"$F;@!4^E"</f>
        <v>#VALUE!</v>
      </c>
      <c r="DW421" t="e">
        <f>'Latin America and Caribbean'!73:73-"$F;@!4^F"</f>
        <v>#VALUE!</v>
      </c>
      <c r="DX421" t="e">
        <f>'Latin America and Caribbean'!74:74-"$F;@!4^G"</f>
        <v>#VALUE!</v>
      </c>
      <c r="DY421" t="e">
        <f>'Latin America and Caribbean'!75:75-"$F;@!4^H"</f>
        <v>#VALUE!</v>
      </c>
      <c r="DZ421" t="e">
        <f>'Latin America and Caribbean'!76:76-"$F;@!4^I"</f>
        <v>#VALUE!</v>
      </c>
      <c r="EA421" t="e">
        <f>'Latin America and Caribbean'!77:77-"$F;@!4^J"</f>
        <v>#VALUE!</v>
      </c>
      <c r="EB421" t="e">
        <f>'Latin America and Caribbean'!78:78-"$F;@!4^K"</f>
        <v>#VALUE!</v>
      </c>
      <c r="EC421" t="e">
        <f>'Latin America and Caribbean'!79:79-"$F;@!4^L"</f>
        <v>#VALUE!</v>
      </c>
      <c r="ED421" t="e">
        <f>'Latin America and Caribbean'!80:80-"$F;@!4^M"</f>
        <v>#VALUE!</v>
      </c>
      <c r="EE421" t="e">
        <f>'Latin America and Caribbean'!81:81-"$F;@!4^N"</f>
        <v>#VALUE!</v>
      </c>
      <c r="EF421" t="e">
        <f>'Latin America and Caribbean'!82:82-"$F;@!4^O"</f>
        <v>#VALUE!</v>
      </c>
      <c r="EG421" t="e">
        <f>'Latin America and Caribbean'!83:83-"$F;@!4^P"</f>
        <v>#VALUE!</v>
      </c>
      <c r="EH421" t="e">
        <f>'Latin America and Caribbean'!84:84-"$F;@!4^Q"</f>
        <v>#VALUE!</v>
      </c>
      <c r="EI421" t="e">
        <f>'Latin America and Caribbean'!85:85-"$F;@!4^R"</f>
        <v>#VALUE!</v>
      </c>
      <c r="EJ421" t="e">
        <f>'Latin America and Caribbean'!86:86-"$F;@!4^S"</f>
        <v>#VALUE!</v>
      </c>
      <c r="EK421" t="e">
        <f>'Latin America and Caribbean'!87:87-"$F;@!4^T"</f>
        <v>#VALUE!</v>
      </c>
      <c r="EL421" t="e">
        <f>'Latin America and Caribbean'!88:88-"$F;@!4^U"</f>
        <v>#VALUE!</v>
      </c>
      <c r="EM421" t="e">
        <f>'Latin America and Caribbean'!89:89-"$F;@!4^V"</f>
        <v>#VALUE!</v>
      </c>
      <c r="EN421" t="e">
        <f>'Latin America and Caribbean'!90:90-"$F;@!4^W"</f>
        <v>#VALUE!</v>
      </c>
      <c r="EO421" t="e">
        <f>'Latin America and Caribbean'!91:91-"$F;@!4^X"</f>
        <v>#VALUE!</v>
      </c>
      <c r="EP421" t="e">
        <f>'Latin America and Caribbean'!92:92-"$F;@!4^Y"</f>
        <v>#VALUE!</v>
      </c>
      <c r="EQ421" t="e">
        <f>'Latin America and Caribbean'!93:93-"$F;@!4^Z"</f>
        <v>#VALUE!</v>
      </c>
      <c r="ER421" t="e">
        <f>'Latin America and Caribbean'!94:94-"$F;@!4^["</f>
        <v>#VALUE!</v>
      </c>
      <c r="ES421" t="e">
        <f>'Latin America and Caribbean'!95:95-"$F;@!4^\"</f>
        <v>#VALUE!</v>
      </c>
      <c r="ET421" t="e">
        <f>'Latin America and Caribbean'!96:96-"$F;@!4^]"</f>
        <v>#VALUE!</v>
      </c>
      <c r="EU421" t="e">
        <f>'Latin America and Caribbean'!97:97-"$F;@!4^^"</f>
        <v>#VALUE!</v>
      </c>
      <c r="EV421" t="e">
        <f>'Latin America and Caribbean'!98:98-"$F;@!4^_"</f>
        <v>#VALUE!</v>
      </c>
      <c r="EW421" t="e">
        <f>'Latin America and Caribbean'!99:99-"$F;@!4^`"</f>
        <v>#VALUE!</v>
      </c>
      <c r="EX421" t="e">
        <f>'Latin America and Caribbean'!100:100-"$F;@!4^a"</f>
        <v>#VALUE!</v>
      </c>
      <c r="EY421" t="e">
        <f>'Latin America and Caribbean'!101:101-"$F;@!4^b"</f>
        <v>#VALUE!</v>
      </c>
      <c r="EZ421" t="e">
        <f>'Latin America and Caribbean'!102:102-"$F;@!4^c"</f>
        <v>#VALUE!</v>
      </c>
      <c r="FA421" t="e">
        <f>'Latin America and Caribbean'!103:103-"$F;@!4^d"</f>
        <v>#VALUE!</v>
      </c>
      <c r="FB421" t="e">
        <f>'Latin America and Caribbean'!104:104-"$F;@!4^e"</f>
        <v>#VALUE!</v>
      </c>
      <c r="FC421" t="e">
        <f>'Latin America and Caribbean'!105:105-"$F;@!4^f"</f>
        <v>#VALUE!</v>
      </c>
      <c r="FD421" t="e">
        <f>'Latin America and Caribbean'!106:106-"$F;@!4^g"</f>
        <v>#VALUE!</v>
      </c>
      <c r="FE421" t="e">
        <f>'Latin America and Caribbean'!107:107-"$F;@!4^h"</f>
        <v>#VALUE!</v>
      </c>
      <c r="FF421" t="e">
        <f>'Latin America and Caribbean'!108:108-"$F;@!4^i"</f>
        <v>#VALUE!</v>
      </c>
      <c r="FG421" t="e">
        <f>'Latin America and Caribbean'!109:109-"$F;@!4^j"</f>
        <v>#VALUE!</v>
      </c>
      <c r="FH421" t="e">
        <f>'Latin America and Caribbean'!110:110-"$F;@!4^k"</f>
        <v>#VALUE!</v>
      </c>
      <c r="FI421" t="e">
        <f>'Latin America and Caribbean'!111:111-"$F;@!4^l"</f>
        <v>#VALUE!</v>
      </c>
      <c r="FJ421" t="e">
        <f>'Latin America and Caribbean'!112:112-"$F;@!4^m"</f>
        <v>#VALUE!</v>
      </c>
      <c r="FK421" t="e">
        <f>'Latin America and Caribbean'!113:113-"$F;@!4^n"</f>
        <v>#VALUE!</v>
      </c>
      <c r="FL421" t="e">
        <f>'Latin America and Caribbean'!114:114-"$F;@!4^o"</f>
        <v>#VALUE!</v>
      </c>
      <c r="FM421" t="e">
        <f>'Latin America and Caribbean'!115:115-"$F;@!4^p"</f>
        <v>#VALUE!</v>
      </c>
      <c r="FN421" t="e">
        <f>'Latin America and Caribbean'!116:116-"$F;@!4^q"</f>
        <v>#VALUE!</v>
      </c>
      <c r="FO421" t="e">
        <f>'Latin America and Caribbean'!117:117-"$F;@!4^r"</f>
        <v>#VALUE!</v>
      </c>
      <c r="FP421" t="e">
        <f>'Latin America and Caribbean'!118:118-"$F;@!4^s"</f>
        <v>#VALUE!</v>
      </c>
      <c r="FQ421" t="e">
        <f>'Latin America and Caribbean'!119:119-"$F;@!4^t"</f>
        <v>#VALUE!</v>
      </c>
      <c r="FR421" t="e">
        <f>'Latin America and Caribbean'!120:120-"$F;@!4^u"</f>
        <v>#VALUE!</v>
      </c>
      <c r="FS421" t="e">
        <f>'Latin America and Caribbean'!121:121-"$F;@!4^v"</f>
        <v>#VALUE!</v>
      </c>
      <c r="FT421" t="e">
        <f>'Latin America and Caribbean'!122:122-"$F;@!4^w"</f>
        <v>#VALUE!</v>
      </c>
      <c r="FU421" t="e">
        <f>'Latin America and Caribbean'!123:123-"$F;@!4^x"</f>
        <v>#VALUE!</v>
      </c>
      <c r="FV421" t="e">
        <f>'Latin America and Caribbean'!124:124-"$F;@!4^y"</f>
        <v>#VALUE!</v>
      </c>
      <c r="FW421" t="e">
        <f>'Latin America and Caribbean'!125:125-"$F;@!4^z"</f>
        <v>#VALUE!</v>
      </c>
      <c r="FX421" t="e">
        <f>'Latin America and Caribbean'!126:126-"$F;@!4^{"</f>
        <v>#VALUE!</v>
      </c>
      <c r="FY421" t="e">
        <f>'Latin America and Caribbean'!127:127-"$F;@!4^|"</f>
        <v>#VALUE!</v>
      </c>
      <c r="FZ421" t="e">
        <f>'Latin America and Caribbean'!128:128-"$F;@!4^}"</f>
        <v>#VALUE!</v>
      </c>
      <c r="GA421" t="e">
        <f>'Latin America and Caribbean'!129:129-"$F;@!4^~"</f>
        <v>#VALUE!</v>
      </c>
      <c r="GB421" t="e">
        <f>'Latin America and Caribbean'!130:130-"$F;@!4_#"</f>
        <v>#VALUE!</v>
      </c>
      <c r="GC421" t="e">
        <f>'Latin America and Caribbean'!131:131-"$F;@!4_$"</f>
        <v>#VALUE!</v>
      </c>
      <c r="GD421" t="e">
        <f>'Latin America and Caribbean'!132:132-"$F;@!4_%"</f>
        <v>#VALUE!</v>
      </c>
      <c r="GE421" t="e">
        <f>'Latin America and Caribbean'!133:133-"$F;@!4_&amp;"</f>
        <v>#VALUE!</v>
      </c>
      <c r="GF421" t="e">
        <f>'Latin America and Caribbean'!134:134-"$F;@!4_'"</f>
        <v>#VALUE!</v>
      </c>
      <c r="GG421" t="e">
        <f>'Latin America and Caribbean'!135:135-"$F;@!4_("</f>
        <v>#VALUE!</v>
      </c>
      <c r="GH421" t="e">
        <f>'Latin America and Caribbean'!136:136-"$F;@!4_)"</f>
        <v>#VALUE!</v>
      </c>
      <c r="GI421" t="e">
        <f>'Latin America and Caribbean'!137:137-"$F;@!4_."</f>
        <v>#VALUE!</v>
      </c>
      <c r="GJ421" t="e">
        <f>'Latin America and Caribbean'!138:138-"$F;@!4_/"</f>
        <v>#VALUE!</v>
      </c>
      <c r="GK421" t="e">
        <f>'Latin America and Caribbean'!139:139-"$F;@!4_0"</f>
        <v>#VALUE!</v>
      </c>
      <c r="GL421" t="e">
        <f>'Latin America and Caribbean'!140:140-"$F;@!4_1"</f>
        <v>#VALUE!</v>
      </c>
      <c r="GM421" t="e">
        <f>'Latin America and Caribbean'!141:141-"$F;@!4_2"</f>
        <v>#VALUE!</v>
      </c>
      <c r="GN421" t="e">
        <f>'Latin America and Caribbean'!142:142-"$F;@!4_3"</f>
        <v>#VALUE!</v>
      </c>
      <c r="GO421" t="e">
        <f>'Latin America and Caribbean'!143:143-"$F;@!4_4"</f>
        <v>#VALUE!</v>
      </c>
      <c r="GP421" t="e">
        <f>'Latin America and Caribbean'!144:144-"$F;@!4_5"</f>
        <v>#VALUE!</v>
      </c>
      <c r="GQ421" t="e">
        <f>'Latin America and Caribbean'!145:145-"$F;@!4_6"</f>
        <v>#VALUE!</v>
      </c>
      <c r="GR421" t="e">
        <f>'Latin America and Caribbean'!146:146-"$F;@!4_7"</f>
        <v>#VALUE!</v>
      </c>
      <c r="GS421" t="e">
        <f>'Latin America and Caribbean'!147:147-"$F;@!4_8"</f>
        <v>#VALUE!</v>
      </c>
      <c r="GT421" t="e">
        <f>'Latin America and Caribbean'!148:148-"$F;@!4_9"</f>
        <v>#VALUE!</v>
      </c>
      <c r="GU421" t="e">
        <f>'Latin America and Caribbean'!149:149-"$F;@!4_:"</f>
        <v>#VALUE!</v>
      </c>
      <c r="GV421" t="e">
        <f>'Latin America and Caribbean'!150:150-"$F;@!4_;"</f>
        <v>#VALUE!</v>
      </c>
      <c r="GW421" t="e">
        <f>'Latin America and Caribbean'!151:151-"$F;@!4_&lt;"</f>
        <v>#VALUE!</v>
      </c>
      <c r="GX421" t="e">
        <f>'Latin America and Caribbean'!152:152-"$F;@!4_="</f>
        <v>#VALUE!</v>
      </c>
      <c r="GY421" t="e">
        <f>'Latin America and Caribbean'!153:153-"$F;@!4_&gt;"</f>
        <v>#VALUE!</v>
      </c>
      <c r="GZ421" t="e">
        <f>'Latin America and Caribbean'!154:154-"$F;@!4_?"</f>
        <v>#VALUE!</v>
      </c>
      <c r="HA421" t="e">
        <f>'Latin America and Caribbean'!155:155-"$F;@!4_@"</f>
        <v>#VALUE!</v>
      </c>
      <c r="HB421" t="e">
        <f>'Latin America and Caribbean'!156:156-"$F;@!4_A"</f>
        <v>#VALUE!</v>
      </c>
      <c r="HC421" t="e">
        <f>'Latin America and Caribbean'!157:157-"$F;@!4_B"</f>
        <v>#VALUE!</v>
      </c>
      <c r="HD421" t="e">
        <f>'Latin America and Caribbean'!158:158-"$F;@!4_C"</f>
        <v>#VALUE!</v>
      </c>
      <c r="HE421" t="e">
        <f>'Latin America and Caribbean'!159:159-"$F;@!4_D"</f>
        <v>#VALUE!</v>
      </c>
      <c r="HF421" t="e">
        <f>'Latin America and Caribbean'!160:160-"$F;@!4_E"</f>
        <v>#VALUE!</v>
      </c>
      <c r="HG421" t="e">
        <f>'Latin America and Caribbean'!161:161-"$F;@!4_F"</f>
        <v>#VALUE!</v>
      </c>
      <c r="HH421" t="e">
        <f>'Latin America and Caribbean'!162:162-"$F;@!4_G"</f>
        <v>#VALUE!</v>
      </c>
      <c r="HI421" t="e">
        <f>'Latin America and Caribbean'!163:163-"$F;@!4_H"</f>
        <v>#VALUE!</v>
      </c>
      <c r="HJ421" t="e">
        <f>'Latin America and Caribbean'!164:164-"$F;@!4_I"</f>
        <v>#VALUE!</v>
      </c>
      <c r="HK421" t="e">
        <f>'Latin America and Caribbean'!165:165-"$F;@!4_J"</f>
        <v>#VALUE!</v>
      </c>
      <c r="HL421" t="e">
        <f>'Latin America and Caribbean'!166:166-"$F;@!4_K"</f>
        <v>#VALUE!</v>
      </c>
      <c r="HM421" t="e">
        <f>'Latin America and Caribbean'!167:167-"$F;@!4_L"</f>
        <v>#VALUE!</v>
      </c>
      <c r="HN421" t="e">
        <f>'Latin America and Caribbean'!168:168-"$F;@!4_M"</f>
        <v>#VALUE!</v>
      </c>
      <c r="HO421" t="e">
        <f>'Latin America and Caribbean'!169:169-"$F;@!4_N"</f>
        <v>#VALUE!</v>
      </c>
      <c r="HP421" t="e">
        <f>'Latin America and Caribbean'!170:170-"$F;@!4_O"</f>
        <v>#VALUE!</v>
      </c>
      <c r="HQ421" t="e">
        <f>'Latin America and Caribbean'!171:171-"$F;@!4_P"</f>
        <v>#VALUE!</v>
      </c>
      <c r="HR421" t="e">
        <f>'Latin America and Caribbean'!172:172-"$F;@!4_Q"</f>
        <v>#VALUE!</v>
      </c>
      <c r="HS421" t="e">
        <f>'Latin America and Caribbean'!173:173-"$F;@!4_R"</f>
        <v>#VALUE!</v>
      </c>
      <c r="HT421" t="e">
        <f>'Latin America and Caribbean'!174:174-"$F;@!4_S"</f>
        <v>#VALUE!</v>
      </c>
      <c r="HU421" t="e">
        <f>'Latin America and Caribbean'!175:175-"$F;@!4_T"</f>
        <v>#VALUE!</v>
      </c>
      <c r="HV421" t="e">
        <f>'Latin America and Caribbean'!176:176-"$F;@!4_U"</f>
        <v>#VALUE!</v>
      </c>
      <c r="HW421" t="e">
        <f>'Latin America and Caribbean'!177:177-"$F;@!4_V"</f>
        <v>#VALUE!</v>
      </c>
      <c r="HX421" t="e">
        <f>'Latin America and Caribbean'!178:178-"$F;@!4_W"</f>
        <v>#VALUE!</v>
      </c>
      <c r="HY421" t="e">
        <f>'Latin America and Caribbean'!179:179-"$F;@!4_X"</f>
        <v>#VALUE!</v>
      </c>
      <c r="HZ421" t="e">
        <f>'Latin America and Caribbean'!180:180-"$F;@!4_Y"</f>
        <v>#VALUE!</v>
      </c>
      <c r="IA421" t="e">
        <f>'Latin America and Caribbean'!181:181-"$F;@!4_Z"</f>
        <v>#VALUE!</v>
      </c>
      <c r="IB421" t="e">
        <f>'Latin America and Caribbean'!182:182-"$F;@!4_["</f>
        <v>#VALUE!</v>
      </c>
      <c r="IC421" t="e">
        <f>'Latin America and Caribbean'!183:183-"$F;@!4_\"</f>
        <v>#VALUE!</v>
      </c>
      <c r="ID421" t="e">
        <f>'Latin America and Caribbean'!184:184-"$F;@!4_]"</f>
        <v>#VALUE!</v>
      </c>
      <c r="IE421" t="e">
        <f>'Latin America and Caribbean'!185:185-"$F;@!4_^"</f>
        <v>#VALUE!</v>
      </c>
      <c r="IF421" t="e">
        <f>'Latin America and Caribbean'!186:186-"$F;@!4__"</f>
        <v>#VALUE!</v>
      </c>
      <c r="IG421" t="e">
        <f>'Latin America and Caribbean'!187:187-"$F;@!4_`"</f>
        <v>#VALUE!</v>
      </c>
      <c r="IH421" t="e">
        <f>'Latin America and Caribbean'!188:188-"$F;@!4_a"</f>
        <v>#VALUE!</v>
      </c>
      <c r="II421" t="e">
        <f>'Latin America and Caribbean'!189:189-"$F;@!4_b"</f>
        <v>#VALUE!</v>
      </c>
      <c r="IJ421" t="e">
        <f>'Latin America and Caribbean'!190:190-"$F;@!4_c"</f>
        <v>#VALUE!</v>
      </c>
      <c r="IK421" t="e">
        <f>'Latin America and Caribbean'!191:191-"$F;@!4_d"</f>
        <v>#VALUE!</v>
      </c>
      <c r="IL421" t="e">
        <f>'Latin America and Caribbean'!192:192-"$F;@!4_e"</f>
        <v>#VALUE!</v>
      </c>
      <c r="IM421" t="e">
        <f>'Latin America and Caribbean'!193:193-"$F;@!4_f"</f>
        <v>#VALUE!</v>
      </c>
      <c r="IN421" t="e">
        <f>'Latin America and Caribbean'!194:194-"$F;@!4_g"</f>
        <v>#VALUE!</v>
      </c>
      <c r="IO421" t="e">
        <f>'Latin America and Caribbean'!195:195-"$F;@!4_h"</f>
        <v>#VALUE!</v>
      </c>
      <c r="IP421" t="e">
        <f>'Latin America and Caribbean'!196:196-"$F;@!4_i"</f>
        <v>#VALUE!</v>
      </c>
      <c r="IQ421" t="e">
        <f>'Latin America and Caribbean'!197:197-"$F;@!4_j"</f>
        <v>#VALUE!</v>
      </c>
      <c r="IR421" t="e">
        <f>'Latin America and Caribbean'!198:198-"$F;@!4_k"</f>
        <v>#VALUE!</v>
      </c>
      <c r="IS421" t="e">
        <f>'Latin America and Caribbean'!199:199-"$F;@!4_l"</f>
        <v>#VALUE!</v>
      </c>
      <c r="IT421" t="e">
        <f>'Latin America and Caribbean'!200:200-"$F;@!4_m"</f>
        <v>#VALUE!</v>
      </c>
      <c r="IU421" t="e">
        <f>'Latin America and Caribbean'!201:201-"$F;@!4_n"</f>
        <v>#VALUE!</v>
      </c>
      <c r="IV421" t="e">
        <f>'Latin America and Caribbean'!202:202-"$F;@!4_o"</f>
        <v>#VALUE!</v>
      </c>
    </row>
    <row r="422" spans="6:256" x14ac:dyDescent="0.35">
      <c r="F422" t="e">
        <f>'Latin America and Caribbean'!203:203-"$F;@!4_p"</f>
        <v>#VALUE!</v>
      </c>
      <c r="G422" t="e">
        <f>'Latin America and Caribbean'!204:204-"$F;@!4_q"</f>
        <v>#VALUE!</v>
      </c>
      <c r="H422" t="e">
        <f>'Latin America and Caribbean'!205:205-"$F;@!4_r"</f>
        <v>#VALUE!</v>
      </c>
      <c r="I422" t="e">
        <f>'Latin America and Caribbean'!206:206-"$F;@!4_s"</f>
        <v>#VALUE!</v>
      </c>
      <c r="J422" t="e">
        <f>'Latin America and Caribbean'!207:207-"$F;@!4_t"</f>
        <v>#VALUE!</v>
      </c>
      <c r="K422" t="e">
        <f>'Latin America and Caribbean'!208:208-"$F;@!4_u"</f>
        <v>#VALUE!</v>
      </c>
      <c r="L422" t="e">
        <f>'Latin America and Caribbean'!209:209-"$F;@!4_v"</f>
        <v>#VALUE!</v>
      </c>
      <c r="M422" t="e">
        <f>'Latin America and Caribbean'!210:210-"$F;@!4_w"</f>
        <v>#VALUE!</v>
      </c>
      <c r="N422" t="e">
        <f>'Latin America and Caribbean'!211:211-"$F;@!4_x"</f>
        <v>#VALUE!</v>
      </c>
      <c r="O422" t="e">
        <f>'Latin America and Caribbean'!212:212-"$F;@!4_y"</f>
        <v>#VALUE!</v>
      </c>
      <c r="P422" t="e">
        <f>'Latin America and Caribbean'!213:213-"$F;@!4_z"</f>
        <v>#VALUE!</v>
      </c>
      <c r="Q422" t="e">
        <f>'Latin America and Caribbean'!214:214-"$F;@!4_{"</f>
        <v>#VALUE!</v>
      </c>
      <c r="R422" t="e">
        <f>'Latin America and Caribbean'!215:215-"$F;@!4_|"</f>
        <v>#VALUE!</v>
      </c>
      <c r="S422" t="e">
        <f>'Latin America and Caribbean'!216:216-"$F;@!4_}"</f>
        <v>#VALUE!</v>
      </c>
      <c r="T422" t="e">
        <f>'Latin America and Caribbean'!217:217-"$F;@!4_~"</f>
        <v>#VALUE!</v>
      </c>
      <c r="U422" t="e">
        <f>'Latin America and Caribbean'!218:218-"$F;@!4`#"</f>
        <v>#VALUE!</v>
      </c>
      <c r="V422" t="e">
        <f>'Latin America and Caribbean'!219:219-"$F;@!4`$"</f>
        <v>#VALUE!</v>
      </c>
      <c r="W422" t="e">
        <f>'Latin America and Caribbean'!220:220-"$F;@!4`%"</f>
        <v>#VALUE!</v>
      </c>
      <c r="X422" t="e">
        <f>'Latin America and Caribbean'!221:221-"$F;@!4`&amp;"</f>
        <v>#VALUE!</v>
      </c>
      <c r="Y422" t="e">
        <f>'Latin America and Caribbean'!222:222-"$F;@!4`'"</f>
        <v>#VALUE!</v>
      </c>
      <c r="Z422" t="e">
        <f>'Latin America and Caribbean'!223:223-"$F;@!4`("</f>
        <v>#VALUE!</v>
      </c>
      <c r="AA422" t="e">
        <f>'Latin America and Caribbean'!224:224-"$F;@!4`)"</f>
        <v>#VALUE!</v>
      </c>
      <c r="AB422" t="e">
        <f>'Latin America and Caribbean'!225:225-"$F;@!4`."</f>
        <v>#VALUE!</v>
      </c>
      <c r="AC422" t="e">
        <f>'Latin America and Caribbean'!226:226-"$F;@!4`/"</f>
        <v>#VALUE!</v>
      </c>
      <c r="AD422" t="e">
        <f>'Latin America and Caribbean'!227:227-"$F;@!4`0"</f>
        <v>#VALUE!</v>
      </c>
      <c r="AE422" t="e">
        <f>'Latin America and Caribbean'!228:228-"$F;@!4`1"</f>
        <v>#VALUE!</v>
      </c>
      <c r="AF422" t="e">
        <f>'Latin America and Caribbean'!229:229-"$F;@!4`2"</f>
        <v>#VALUE!</v>
      </c>
      <c r="AG422" t="e">
        <f>'Latin America and Caribbean'!230:230-"$F;@!4`3"</f>
        <v>#VALUE!</v>
      </c>
      <c r="AH422" t="e">
        <f>'Latin America and Caribbean'!231:231-"$F;@!4`4"</f>
        <v>#VALUE!</v>
      </c>
      <c r="AI422" t="e">
        <f>'Latin America and Caribbean'!232:232-"$F;@!4`5"</f>
        <v>#VALUE!</v>
      </c>
      <c r="AJ422" t="e">
        <f>'Latin America and Caribbean'!233:233-"$F;@!4`6"</f>
        <v>#VALUE!</v>
      </c>
      <c r="AK422" t="e">
        <f>'Latin America and Caribbean'!234:234-"$F;@!4`7"</f>
        <v>#VALUE!</v>
      </c>
      <c r="AL422" t="e">
        <f>'Latin America and Caribbean'!235:235-"$F;@!4`8"</f>
        <v>#VALUE!</v>
      </c>
      <c r="AM422" t="e">
        <f>'Latin America and Caribbean'!236:236-"$F;@!4`9"</f>
        <v>#VALUE!</v>
      </c>
      <c r="AN422" t="e">
        <f>'Latin America and Caribbean'!237:237-"$F;@!4`:"</f>
        <v>#VALUE!</v>
      </c>
      <c r="AO422" t="e">
        <f>'Latin America and Caribbean'!238:238-"$F;@!4`;"</f>
        <v>#VALUE!</v>
      </c>
      <c r="AP422" t="e">
        <f>'Latin America and Caribbean'!239:239-"$F;@!4`&lt;"</f>
        <v>#VALUE!</v>
      </c>
      <c r="AQ422" t="e">
        <f>'Latin America and Caribbean'!240:240-"$F;@!4`="</f>
        <v>#VALUE!</v>
      </c>
      <c r="AR422" t="e">
        <f>'Latin America and Caribbean'!241:241-"$F;@!4`&gt;"</f>
        <v>#VALUE!</v>
      </c>
      <c r="AS422" t="e">
        <f>'Latin America and Caribbean'!242:242-"$F;@!4`?"</f>
        <v>#VALUE!</v>
      </c>
      <c r="AT422" t="e">
        <f>'Latin America and Caribbean'!243:243-"$F;@!4`@"</f>
        <v>#VALUE!</v>
      </c>
      <c r="AU422" t="e">
        <f>'Latin America and Caribbean'!244:244-"$F;@!4`A"</f>
        <v>#VALUE!</v>
      </c>
      <c r="AV422" t="e">
        <f>'Latin America and Caribbean'!245:245-"$F;@!4`B"</f>
        <v>#VALUE!</v>
      </c>
      <c r="AW422" t="e">
        <f>'Latin America and Caribbean'!246:246-"$F;@!4`C"</f>
        <v>#VALUE!</v>
      </c>
      <c r="AX422" t="e">
        <f>'Latin America and Caribbean'!247:247-"$F;@!4`D"</f>
        <v>#VALUE!</v>
      </c>
      <c r="AY422" t="e">
        <f>'Latin America and Caribbean'!248:248-"$F;@!4`E"</f>
        <v>#VALUE!</v>
      </c>
      <c r="AZ422" t="e">
        <f>'Latin America and Caribbean'!249:249-"$F;@!4`F"</f>
        <v>#VALUE!</v>
      </c>
      <c r="BA422" t="e">
        <f>'Latin America and Caribbean'!250:250-"$F;@!4`G"</f>
        <v>#VALUE!</v>
      </c>
      <c r="BB422" t="e">
        <f>'Latin America and Caribbean'!251:251-"$F;@!4`H"</f>
        <v>#VALUE!</v>
      </c>
      <c r="BC422" t="e">
        <f>'Latin America and Caribbean'!252:252-"$F;@!4`I"</f>
        <v>#VALUE!</v>
      </c>
      <c r="BD422" t="e">
        <f>'Latin America and Caribbean'!253:253-"$F;@!4`J"</f>
        <v>#VALUE!</v>
      </c>
      <c r="BE422" t="e">
        <f>'Latin America and Caribbean'!254:254-"$F;@!4`K"</f>
        <v>#VALUE!</v>
      </c>
      <c r="BF422" t="e">
        <f>'Latin America and Caribbean'!255:255-"$F;@!4`L"</f>
        <v>#VALUE!</v>
      </c>
      <c r="BG422" t="e">
        <f>'Latin America and Caribbean'!256:256-"$F;@!4`M"</f>
        <v>#VALUE!</v>
      </c>
      <c r="BH422" t="e">
        <f>'Latin America and Caribbean'!257:257-"$F;@!4`N"</f>
        <v>#VALUE!</v>
      </c>
      <c r="BI422" t="e">
        <f>'Latin America and Caribbean'!258:258-"$F;@!4`O"</f>
        <v>#VALUE!</v>
      </c>
      <c r="BJ422" t="e">
        <f>'Latin America and Caribbean'!259:259-"$F;@!4`P"</f>
        <v>#VALUE!</v>
      </c>
      <c r="BK422" t="e">
        <f>'Latin America and Caribbean'!260:260-"$F;@!4`Q"</f>
        <v>#VALUE!</v>
      </c>
      <c r="BL422" t="e">
        <f>'Latin America and Caribbean'!261:261-"$F;@!4`R"</f>
        <v>#VALUE!</v>
      </c>
      <c r="BM422" t="e">
        <f>'Latin America and Caribbean'!262:262-"$F;@!4`S"</f>
        <v>#VALUE!</v>
      </c>
      <c r="BN422" t="e">
        <f>'Latin America and Caribbean'!263:263-"$F;@!4`T"</f>
        <v>#VALUE!</v>
      </c>
      <c r="BO422" t="e">
        <f>'Latin America and Caribbean'!264:264-"$F;@!4`U"</f>
        <v>#VALUE!</v>
      </c>
      <c r="BP422" t="e">
        <f>'Latin America and Caribbean'!265:265-"$F;@!4`V"</f>
        <v>#VALUE!</v>
      </c>
      <c r="BQ422" t="e">
        <f>'Latin America and Caribbean'!266:266-"$F;@!4`W"</f>
        <v>#VALUE!</v>
      </c>
      <c r="BR422" t="e">
        <f>'Latin America and Caribbean'!267:267-"$F;@!4`X"</f>
        <v>#VALUE!</v>
      </c>
      <c r="BS422" t="e">
        <f>'Latin America and Caribbean'!268:268-"$F;@!4`Y"</f>
        <v>#VALUE!</v>
      </c>
      <c r="BT422" t="e">
        <f>'Latin America and Caribbean'!269:269-"$F;@!4`Z"</f>
        <v>#VALUE!</v>
      </c>
      <c r="BU422" t="e">
        <f>'Latin America and Caribbean'!270:270-"$F;@!4`["</f>
        <v>#VALUE!</v>
      </c>
      <c r="BV422" t="e">
        <f>'Latin America and Caribbean'!271:271-"$F;@!4`\"</f>
        <v>#VALUE!</v>
      </c>
      <c r="BW422" t="e">
        <f>'Latin America and Caribbean'!272:272-"$F;@!4`]"</f>
        <v>#VALUE!</v>
      </c>
      <c r="BX422" t="e">
        <f>'Latin America and Caribbean'!273:273-"$F;@!4`^"</f>
        <v>#VALUE!</v>
      </c>
      <c r="BY422" t="e">
        <f>'Latin America and Caribbean'!274:274-"$F;@!4`_"</f>
        <v>#VALUE!</v>
      </c>
      <c r="BZ422" t="e">
        <f>'Latin America and Caribbean'!275:275-"$F;@!4``"</f>
        <v>#VALUE!</v>
      </c>
      <c r="CA422" t="e">
        <f>'Latin America and Caribbean'!276:276-"$F;@!4`a"</f>
        <v>#VALUE!</v>
      </c>
      <c r="CB422" t="e">
        <f>'Latin America and Caribbean'!277:277-"$F;@!4`b"</f>
        <v>#VALUE!</v>
      </c>
      <c r="CC422" t="e">
        <f>'Latin America and Caribbean'!278:278-"$F;@!4`c"</f>
        <v>#VALUE!</v>
      </c>
      <c r="CD422" t="e">
        <f>'Latin America and Caribbean'!279:279-"$F;@!4`d"</f>
        <v>#VALUE!</v>
      </c>
      <c r="CE422" t="e">
        <f>'Latin America and Caribbean'!280:280-"$F;@!4`e"</f>
        <v>#VALUE!</v>
      </c>
      <c r="CF422" t="e">
        <f>'Latin America and Caribbean'!281:281-"$F;@!4`f"</f>
        <v>#VALUE!</v>
      </c>
      <c r="CG422" t="e">
        <f>'Latin America and Caribbean'!282:282-"$F;@!4`g"</f>
        <v>#VALUE!</v>
      </c>
      <c r="CH422" t="e">
        <f>'Latin America and Caribbean'!283:283-"$F;@!4`h"</f>
        <v>#VALUE!</v>
      </c>
      <c r="CI422" t="e">
        <f>'Latin America and Caribbean'!284:284-"$F;@!4`i"</f>
        <v>#VALUE!</v>
      </c>
      <c r="CJ422" t="e">
        <f>'Latin America and Caribbean'!285:285-"$F;@!4`j"</f>
        <v>#VALUE!</v>
      </c>
      <c r="CK422" t="e">
        <f>'Latin America and Caribbean'!286:286-"$F;@!4`k"</f>
        <v>#VALUE!</v>
      </c>
      <c r="CL422" t="e">
        <f>'Latin America and Caribbean'!287:287-"$F;@!4`l"</f>
        <v>#VALUE!</v>
      </c>
      <c r="CM422" t="e">
        <f>'Latin America and Caribbean'!288:288-"$F;@!4`m"</f>
        <v>#VALUE!</v>
      </c>
      <c r="CN422" t="e">
        <f>'Latin America and Caribbean'!289:289-"$F;@!4`n"</f>
        <v>#VALUE!</v>
      </c>
      <c r="CO422" t="e">
        <f>'Latin America and Caribbean'!290:290-"$F;@!4`o"</f>
        <v>#VALUE!</v>
      </c>
      <c r="CP422" t="e">
        <f>'Latin America and Caribbean'!291:291-"$F;@!4`p"</f>
        <v>#VALUE!</v>
      </c>
      <c r="CQ422" t="e">
        <f>'Latin America and Caribbean'!292:292-"$F;@!4`q"</f>
        <v>#VALUE!</v>
      </c>
      <c r="CR422" t="e">
        <f>'Latin America and Caribbean'!293:293-"$F;@!4`r"</f>
        <v>#VALUE!</v>
      </c>
      <c r="CS422" t="e">
        <f>'Latin America and Caribbean'!294:294-"$F;@!4`s"</f>
        <v>#VALUE!</v>
      </c>
      <c r="CT422" t="e">
        <f>'Latin America and Caribbean'!295:295-"$F;@!4`t"</f>
        <v>#VALUE!</v>
      </c>
      <c r="CU422" t="e">
        <f>'Latin America and Caribbean'!296:296-"$F;@!4`u"</f>
        <v>#VALUE!</v>
      </c>
      <c r="CV422" t="e">
        <f>'Latin America and Caribbean'!297:297-"$F;@!4`v"</f>
        <v>#VALUE!</v>
      </c>
      <c r="CW422" t="e">
        <f>'Latin America and Caribbean'!298:298-"$F;@!4`w"</f>
        <v>#VALUE!</v>
      </c>
      <c r="CX422" t="e">
        <f>'Latin America and Caribbean'!299:299-"$F;@!4`x"</f>
        <v>#VALUE!</v>
      </c>
      <c r="CY422" t="e">
        <f>'Latin America and Caribbean'!300:300-"$F;@!4`y"</f>
        <v>#VALUE!</v>
      </c>
      <c r="CZ422" t="e">
        <f>'Latin America and Caribbean'!301:301-"$F;@!4`z"</f>
        <v>#VALUE!</v>
      </c>
      <c r="DA422" t="e">
        <f>'Latin America and Caribbean'!302:302-"$F;@!4`{"</f>
        <v>#VALUE!</v>
      </c>
      <c r="DB422" t="e">
        <f>'Latin America and Caribbean'!303:303-"$F;@!4`|"</f>
        <v>#VALUE!</v>
      </c>
      <c r="DC422" t="e">
        <f>'Latin America and Caribbean'!304:304-"$F;@!4`}"</f>
        <v>#VALUE!</v>
      </c>
      <c r="DD422" t="e">
        <f>'Latin America and Caribbean'!305:305-"$F;@!4`~"</f>
        <v>#VALUE!</v>
      </c>
      <c r="DE422" t="e">
        <f>'Latin America and Caribbean'!306:306-"$F;@!4a#"</f>
        <v>#VALUE!</v>
      </c>
      <c r="DF422" t="e">
        <f>'Latin America and Caribbean'!307:307-"$F;@!4a$"</f>
        <v>#VALUE!</v>
      </c>
      <c r="DG422" t="e">
        <f>'Latin America and Caribbean'!308:308-"$F;@!4a%"</f>
        <v>#VALUE!</v>
      </c>
      <c r="DH422" t="e">
        <f>'Latin America and Caribbean'!309:309-"$F;@!4a&amp;"</f>
        <v>#VALUE!</v>
      </c>
      <c r="DI422" t="e">
        <f>'Latin America and Caribbean'!310:310-"$F;@!4a'"</f>
        <v>#VALUE!</v>
      </c>
      <c r="DJ422" t="e">
        <f>'Latin America and Caribbean'!311:311-"$F;@!4a("</f>
        <v>#VALUE!</v>
      </c>
      <c r="DK422" t="e">
        <f>'Latin America and Caribbean'!312:312-"$F;@!4a)"</f>
        <v>#VALUE!</v>
      </c>
      <c r="DL422" t="e">
        <f>'Latin America and Caribbean'!313:313-"$F;@!4a."</f>
        <v>#VALUE!</v>
      </c>
      <c r="DM422" t="e">
        <f>'Latin America and Caribbean'!314:314-"$F;@!4a/"</f>
        <v>#VALUE!</v>
      </c>
      <c r="DN422" t="e">
        <f>'Latin America and Caribbean'!315:315-"$F;@!4a0"</f>
        <v>#VALUE!</v>
      </c>
      <c r="DO422" t="e">
        <f>'Latin America and Caribbean'!316:316-"$F;@!4a1"</f>
        <v>#VALUE!</v>
      </c>
      <c r="DP422" t="e">
        <f>'Latin America and Caribbean'!317:317-"$F;@!4a2"</f>
        <v>#VALUE!</v>
      </c>
      <c r="DQ422" t="e">
        <f>'Latin America and Caribbean'!318:318-"$F;@!4a3"</f>
        <v>#VALUE!</v>
      </c>
      <c r="DR422" t="e">
        <f>'Latin America and Caribbean'!319:319-"$F;@!4a4"</f>
        <v>#VALUE!</v>
      </c>
      <c r="DS422" t="e">
        <f>'Latin America and Caribbean'!320:320-"$F;@!4a5"</f>
        <v>#VALUE!</v>
      </c>
      <c r="DT422" t="e">
        <f>'Latin America and Caribbean'!321:321-"$F;@!4a6"</f>
        <v>#VALUE!</v>
      </c>
      <c r="DU422" t="e">
        <f>'Latin America and Caribbean'!322:322-"$F;@!4a7"</f>
        <v>#VALUE!</v>
      </c>
      <c r="DV422" t="e">
        <f>'Latin America and Caribbean'!323:323-"$F;@!4a8"</f>
        <v>#VALUE!</v>
      </c>
      <c r="DW422" t="e">
        <f>'Latin America and Caribbean'!324:324-"$F;@!4a9"</f>
        <v>#VALUE!</v>
      </c>
      <c r="DX422" t="e">
        <f>'Latin America and Caribbean'!325:325-"$F;@!4a:"</f>
        <v>#VALUE!</v>
      </c>
      <c r="DY422" t="e">
        <f>'Latin America and Caribbean'!326:326-"$F;@!4a;"</f>
        <v>#VALUE!</v>
      </c>
      <c r="DZ422" t="e">
        <f>'Latin America and Caribbean'!327:327-"$F;@!4a&lt;"</f>
        <v>#VALUE!</v>
      </c>
      <c r="EA422" t="e">
        <f>'Latin America and Caribbean'!328:328-"$F;@!4a="</f>
        <v>#VALUE!</v>
      </c>
      <c r="EB422" t="e">
        <f>'Latin America and Caribbean'!329:329-"$F;@!4a&gt;"</f>
        <v>#VALUE!</v>
      </c>
      <c r="EC422" t="e">
        <f>'Latin America and Caribbean'!330:330-"$F;@!4a?"</f>
        <v>#VALUE!</v>
      </c>
      <c r="ED422" t="e">
        <f>'Latin America and Caribbean'!331:331-"$F;@!4a@"</f>
        <v>#VALUE!</v>
      </c>
      <c r="EE422" t="e">
        <f>'Latin America and Caribbean'!332:332-"$F;@!4aA"</f>
        <v>#VALUE!</v>
      </c>
      <c r="EF422" t="e">
        <f>'Latin America and Caribbean'!333:333-"$F;@!4aB"</f>
        <v>#VALUE!</v>
      </c>
      <c r="EG422" t="e">
        <f>'Latin America and Caribbean'!334:334-"$F;@!4aC"</f>
        <v>#VALUE!</v>
      </c>
      <c r="EH422" t="e">
        <f>'Latin America and Caribbean'!335:335-"$F;@!4aD"</f>
        <v>#VALUE!</v>
      </c>
      <c r="EI422" t="e">
        <f>'Latin America and Caribbean'!336:336-"$F;@!4aE"</f>
        <v>#VALUE!</v>
      </c>
      <c r="EJ422" t="e">
        <f>'Latin America and Caribbean'!337:337-"$F;@!4aF"</f>
        <v>#VALUE!</v>
      </c>
      <c r="EK422" t="e">
        <f>'Latin America and Caribbean'!338:338-"$F;@!4aG"</f>
        <v>#VALUE!</v>
      </c>
      <c r="EL422" t="e">
        <f>'Latin America and Caribbean'!339:339-"$F;@!4aH"</f>
        <v>#VALUE!</v>
      </c>
      <c r="EM422" t="e">
        <f>'Latin America and Caribbean'!340:340-"$F;@!4aI"</f>
        <v>#VALUE!</v>
      </c>
      <c r="EN422" t="e">
        <f>'Latin America and Caribbean'!341:341-"$F;@!4aJ"</f>
        <v>#VALUE!</v>
      </c>
      <c r="EO422" t="e">
        <f>'Latin America and Caribbean'!342:342-"$F;@!4aK"</f>
        <v>#VALUE!</v>
      </c>
      <c r="EP422" t="e">
        <f>'Latin America and Caribbean'!343:343-"$F;@!4aL"</f>
        <v>#VALUE!</v>
      </c>
      <c r="EQ422" t="e">
        <f>'Latin America and Caribbean'!344:344-"$F;@!4aM"</f>
        <v>#VALUE!</v>
      </c>
      <c r="ER422" t="e">
        <f>'Latin America and Caribbean'!345:345-"$F;@!4aN"</f>
        <v>#VALUE!</v>
      </c>
      <c r="ES422" t="e">
        <f>'Latin America and Caribbean'!346:346-"$F;@!4aO"</f>
        <v>#VALUE!</v>
      </c>
      <c r="ET422" t="e">
        <f>'Latin America and Caribbean'!347:347-"$F;@!4aP"</f>
        <v>#VALUE!</v>
      </c>
      <c r="EU422" t="e">
        <f>'Latin America and Caribbean'!348:348-"$F;@!4aQ"</f>
        <v>#VALUE!</v>
      </c>
      <c r="EV422" t="e">
        <f>'Latin America and Caribbean'!349:349-"$F;@!4aR"</f>
        <v>#VALUE!</v>
      </c>
      <c r="EW422" t="e">
        <f>'Latin America and Caribbean'!350:350-"$F;@!4aS"</f>
        <v>#VALUE!</v>
      </c>
      <c r="EX422" t="e">
        <f>'Latin America and Caribbean'!351:351-"$F;@!4aT"</f>
        <v>#VALUE!</v>
      </c>
      <c r="EY422" t="e">
        <f>'Latin America and Caribbean'!352:352-"$F;@!4aU"</f>
        <v>#VALUE!</v>
      </c>
      <c r="EZ422" t="e">
        <f>'Latin America and Caribbean'!353:353-"$F;@!4aV"</f>
        <v>#VALUE!</v>
      </c>
      <c r="FA422" t="e">
        <f>'Latin America and Caribbean'!354:354-"$F;@!4aW"</f>
        <v>#VALUE!</v>
      </c>
      <c r="FB422" t="e">
        <f>'Latin America and Caribbean'!355:355-"$F;@!4aX"</f>
        <v>#VALUE!</v>
      </c>
      <c r="FC422" t="e">
        <f>'Latin America and Caribbean'!356:356-"$F;@!4aY"</f>
        <v>#VALUE!</v>
      </c>
      <c r="FD422" t="e">
        <f>'Latin America and Caribbean'!357:357-"$F;@!4aZ"</f>
        <v>#VALUE!</v>
      </c>
      <c r="FE422" t="e">
        <f>'Latin America and Caribbean'!358:358-"$F;@!4a["</f>
        <v>#VALUE!</v>
      </c>
      <c r="FF422" t="e">
        <f>'Latin America and Caribbean'!359:359-"$F;@!4a\"</f>
        <v>#VALUE!</v>
      </c>
      <c r="FG422" t="e">
        <f>'Latin America and Caribbean'!360:360-"$F;@!4a]"</f>
        <v>#VALUE!</v>
      </c>
      <c r="FH422" t="e">
        <f>'Latin America and Caribbean'!361:361-"$F;@!4a^"</f>
        <v>#VALUE!</v>
      </c>
      <c r="FI422" t="e">
        <f>'Latin America and Caribbean'!362:362-"$F;@!4a_"</f>
        <v>#VALUE!</v>
      </c>
      <c r="FJ422" t="e">
        <f>'Latin America and Caribbean'!363:363-"$F;@!4a`"</f>
        <v>#VALUE!</v>
      </c>
      <c r="FK422" t="e">
        <f>'Latin America and Caribbean'!364:364-"$F;@!4aa"</f>
        <v>#VALUE!</v>
      </c>
      <c r="FL422" t="e">
        <f>'Latin America and Caribbean'!365:365-"$F;@!4ab"</f>
        <v>#VALUE!</v>
      </c>
      <c r="FM422" t="e">
        <f>'Latin America and Caribbean'!366:366-"$F;@!4ac"</f>
        <v>#VALUE!</v>
      </c>
      <c r="FN422" t="e">
        <f>'Latin America and Caribbean'!367:367-"$F;@!4ad"</f>
        <v>#VALUE!</v>
      </c>
      <c r="FO422" t="e">
        <f>'Latin America and Caribbean'!368:368-"$F;@!4ae"</f>
        <v>#VALUE!</v>
      </c>
      <c r="FP422" t="e">
        <f>'Latin America and Caribbean'!369:369-"$F;@!4af"</f>
        <v>#VALUE!</v>
      </c>
      <c r="FQ422" t="e">
        <f>'Latin America and Caribbean'!370:370-"$F;@!4ag"</f>
        <v>#VALUE!</v>
      </c>
      <c r="FR422" t="e">
        <f>'Latin America and Caribbean'!371:371-"$F;@!4ah"</f>
        <v>#VALUE!</v>
      </c>
      <c r="FS422" t="e">
        <f>'Latin America and Caribbean'!372:372-"$F;@!4ai"</f>
        <v>#VALUE!</v>
      </c>
      <c r="FT422" t="e">
        <f>'Latin America and Caribbean'!373:373-"$F;@!4aj"</f>
        <v>#VALUE!</v>
      </c>
      <c r="FU422" t="e">
        <f>'Latin America and Caribbean'!374:374-"$F;@!4ak"</f>
        <v>#VALUE!</v>
      </c>
      <c r="FV422" t="e">
        <f>'Latin America and Caribbean'!375:375-"$F;@!4al"</f>
        <v>#VALUE!</v>
      </c>
      <c r="FW422" t="e">
        <f>'Latin America and Caribbean'!376:376-"$F;@!4am"</f>
        <v>#VALUE!</v>
      </c>
      <c r="FX422" t="e">
        <f>'Latin America and Caribbean'!377:377-"$F;@!4an"</f>
        <v>#VALUE!</v>
      </c>
      <c r="FY422" t="e">
        <f>'Latin America and Caribbean'!378:378-"$F;@!4ao"</f>
        <v>#VALUE!</v>
      </c>
      <c r="FZ422" t="e">
        <f>'Latin America and Caribbean'!379:379-"$F;@!4ap"</f>
        <v>#VALUE!</v>
      </c>
      <c r="GA422" t="e">
        <f>'Latin America and Caribbean'!380:380-"$F;@!4aq"</f>
        <v>#VALUE!</v>
      </c>
      <c r="GB422" t="e">
        <f>'Latin America and Caribbean'!381:381-"$F;@!4ar"</f>
        <v>#VALUE!</v>
      </c>
      <c r="GC422" t="e">
        <f>'Latin America and Caribbean'!382:382-"$F;@!4as"</f>
        <v>#VALUE!</v>
      </c>
      <c r="GD422" t="e">
        <f>'Latin America and Caribbean'!383:383-"$F;@!4at"</f>
        <v>#VALUE!</v>
      </c>
      <c r="GE422" t="e">
        <f>'Latin America and Caribbean'!384:384-"$F;@!4au"</f>
        <v>#VALUE!</v>
      </c>
      <c r="GF422" t="e">
        <f>'Latin America and Caribbean'!385:385-"$F;@!4av"</f>
        <v>#VALUE!</v>
      </c>
      <c r="GG422" t="e">
        <f>'Latin America and Caribbean'!386:386-"$F;@!4aw"</f>
        <v>#VALUE!</v>
      </c>
      <c r="GH422" t="e">
        <f>'Latin America and Caribbean'!387:387-"$F;@!4ax"</f>
        <v>#VALUE!</v>
      </c>
      <c r="GI422" t="e">
        <f>'Latin America and Caribbean'!388:388-"$F;@!4ay"</f>
        <v>#VALUE!</v>
      </c>
      <c r="GJ422" t="e">
        <f>'Latin America and Caribbean'!389:389-"$F;@!4az"</f>
        <v>#VALUE!</v>
      </c>
      <c r="GK422" t="e">
        <f>'Latin America and Caribbean'!390:390-"$F;@!4a{"</f>
        <v>#VALUE!</v>
      </c>
      <c r="GL422" t="e">
        <f>'Latin America and Caribbean'!391:391-"$F;@!4a|"</f>
        <v>#VALUE!</v>
      </c>
      <c r="GM422" t="e">
        <f>'Latin America and Caribbean'!392:392-"$F;@!4a}"</f>
        <v>#VALUE!</v>
      </c>
      <c r="GN422" t="e">
        <f>'Latin America and Caribbean'!393:393-"$F;@!4a~"</f>
        <v>#VALUE!</v>
      </c>
      <c r="GO422" t="e">
        <f>'Latin America and Caribbean'!394:394-"$F;@!4b#"</f>
        <v>#VALUE!</v>
      </c>
      <c r="GP422" t="e">
        <f>'Latin America and Caribbean'!395:395-"$F;@!4b$"</f>
        <v>#VALUE!</v>
      </c>
      <c r="GQ422" t="e">
        <f>'Latin America and Caribbean'!396:396-"$F;@!4b%"</f>
        <v>#VALUE!</v>
      </c>
      <c r="GR422" t="e">
        <f>'Latin America and Caribbean'!397:397-"$F;@!4b&amp;"</f>
        <v>#VALUE!</v>
      </c>
      <c r="GS422" t="e">
        <f>'Latin America and Caribbean'!398:398-"$F;@!4b'"</f>
        <v>#VALUE!</v>
      </c>
      <c r="GT422" t="e">
        <f>'Latin America and Caribbean'!399:399-"$F;@!4b("</f>
        <v>#VALUE!</v>
      </c>
      <c r="GU422" t="e">
        <f>'Latin America and Caribbean'!400:400-"$F;@!4b)"</f>
        <v>#VALUE!</v>
      </c>
      <c r="GV422" t="e">
        <f>'Latin America and Caribbean'!401:401-"$F;@!4b."</f>
        <v>#VALUE!</v>
      </c>
      <c r="GW422" t="e">
        <f>'Latin America and Caribbean'!402:402-"$F;@!4b/"</f>
        <v>#VALUE!</v>
      </c>
      <c r="GX422" t="e">
        <f>'Latin America and Caribbean'!403:403-"$F;@!4b0"</f>
        <v>#VALUE!</v>
      </c>
      <c r="GY422" t="e">
        <f>'Latin America and Caribbean'!404:404-"$F;@!4b1"</f>
        <v>#VALUE!</v>
      </c>
      <c r="GZ422" t="e">
        <f>'Latin America and Caribbean'!405:405-"$F;@!4b2"</f>
        <v>#VALUE!</v>
      </c>
      <c r="HA422" t="e">
        <f>'Latin America and Caribbean'!406:406-"$F;@!4b3"</f>
        <v>#VALUE!</v>
      </c>
      <c r="HB422" t="e">
        <f>'Latin America and Caribbean'!407:407-"$F;@!4b4"</f>
        <v>#VALUE!</v>
      </c>
      <c r="HC422" t="e">
        <f>'Latin America and Caribbean'!408:408-"$F;@!4b5"</f>
        <v>#VALUE!</v>
      </c>
      <c r="HD422" t="e">
        <f>'Latin America and Caribbean'!409:409-"$F;@!4b6"</f>
        <v>#VALUE!</v>
      </c>
      <c r="HE422" t="e">
        <f>'Latin America and Caribbean'!410:410-"$F;@!4b7"</f>
        <v>#VALUE!</v>
      </c>
      <c r="HF422" t="e">
        <f>'Latin America and Caribbean'!411:411-"$F;@!4b8"</f>
        <v>#VALUE!</v>
      </c>
      <c r="HG422" t="e">
        <f>'Latin America and Caribbean'!412:412-"$F;@!4b9"</f>
        <v>#VALUE!</v>
      </c>
      <c r="HH422" t="e">
        <f>'Latin America and Caribbean'!413:413-"$F;@!4b:"</f>
        <v>#VALUE!</v>
      </c>
      <c r="HI422" t="e">
        <f>'Latin America and Caribbean'!414:414-"$F;@!4b;"</f>
        <v>#VALUE!</v>
      </c>
      <c r="HJ422" t="e">
        <f>'Latin America and Caribbean'!415:415-"$F;@!4b&lt;"</f>
        <v>#VALUE!</v>
      </c>
      <c r="HK422" t="e">
        <f>'Latin America and Caribbean'!416:416-"$F;@!4b="</f>
        <v>#VALUE!</v>
      </c>
      <c r="HL422" t="e">
        <f>'Latin America and Caribbean'!417:417-"$F;@!4b&gt;"</f>
        <v>#VALUE!</v>
      </c>
      <c r="HM422" t="e">
        <f>'Latin America and Caribbean'!418:418-"$F;@!4b?"</f>
        <v>#VALUE!</v>
      </c>
      <c r="HN422" t="e">
        <f>'Latin America and Caribbean'!419:419-"$F;@!4b@"</f>
        <v>#VALUE!</v>
      </c>
      <c r="HO422" t="e">
        <f>'Latin America and Caribbean'!420:420-"$F;@!4bA"</f>
        <v>#VALUE!</v>
      </c>
      <c r="HP422" t="e">
        <f>'Latin America and Caribbean'!421:421-"$F;@!4bB"</f>
        <v>#VALUE!</v>
      </c>
      <c r="HQ422" t="e">
        <f>'Latin America and Caribbean'!422:422-"$F;@!4bC"</f>
        <v>#VALUE!</v>
      </c>
      <c r="HR422" t="e">
        <f>'Latin America and Caribbean'!423:423-"$F;@!4bD"</f>
        <v>#VALUE!</v>
      </c>
      <c r="HS422" t="e">
        <f>'Latin America and Caribbean'!424:424-"$F;@!4bE"</f>
        <v>#VALUE!</v>
      </c>
      <c r="HT422" t="e">
        <f>'Latin America and Caribbean'!425:425-"$F;@!4bF"</f>
        <v>#VALUE!</v>
      </c>
      <c r="HU422" t="e">
        <f>'Latin America and Caribbean'!426:426-"$F;@!4bG"</f>
        <v>#VALUE!</v>
      </c>
      <c r="HV422" t="e">
        <f>'Latin America and Caribbean'!427:427-"$F;@!4bH"</f>
        <v>#VALUE!</v>
      </c>
      <c r="HW422" t="e">
        <f>'Latin America and Caribbean'!428:428-"$F;@!4bI"</f>
        <v>#VALUE!</v>
      </c>
      <c r="HX422" t="e">
        <f>'Latin America and Caribbean'!429:429-"$F;@!4bJ"</f>
        <v>#VALUE!</v>
      </c>
      <c r="HY422" t="e">
        <f>'Latin America and Caribbean'!430:430-"$F;@!4bK"</f>
        <v>#VALUE!</v>
      </c>
      <c r="HZ422" t="e">
        <f>'Latin America and Caribbean'!431:431-"$F;@!4bL"</f>
        <v>#VALUE!</v>
      </c>
      <c r="IA422" t="e">
        <f>'Latin America and Caribbean'!432:432-"$F;@!4bM"</f>
        <v>#VALUE!</v>
      </c>
      <c r="IB422" t="e">
        <f>'Latin America and Caribbean'!433:433-"$F;@!4bN"</f>
        <v>#VALUE!</v>
      </c>
      <c r="IC422" t="e">
        <f>'Latin America and Caribbean'!434:434-"$F;@!4bO"</f>
        <v>#VALUE!</v>
      </c>
      <c r="ID422" t="e">
        <f>'Latin America and Caribbean'!435:435-"$F;@!4bP"</f>
        <v>#VALUE!</v>
      </c>
      <c r="IE422" t="e">
        <f>'Latin America and Caribbean'!436:436-"$F;@!4bQ"</f>
        <v>#VALUE!</v>
      </c>
      <c r="IF422" t="e">
        <f>'Latin America and Caribbean'!437:437-"$F;@!4bR"</f>
        <v>#VALUE!</v>
      </c>
      <c r="IG422" t="e">
        <f>'Latin America and Caribbean'!438:438-"$F;@!4bS"</f>
        <v>#VALUE!</v>
      </c>
      <c r="IH422" t="e">
        <f>'Latin America and Caribbean'!439:439-"$F;@!4bT"</f>
        <v>#VALUE!</v>
      </c>
      <c r="II422" t="e">
        <f>'Latin America and Caribbean'!440:440-"$F;@!4bU"</f>
        <v>#VALUE!</v>
      </c>
      <c r="IJ422" t="e">
        <f>'Latin America and Caribbean'!441:441-"$F;@!4bV"</f>
        <v>#VALUE!</v>
      </c>
      <c r="IK422" t="e">
        <f>'Latin America and Caribbean'!442:442-"$F;@!4bW"</f>
        <v>#VALUE!</v>
      </c>
      <c r="IL422" t="e">
        <f>'Latin America and Caribbean'!443:443-"$F;@!4bX"</f>
        <v>#VALUE!</v>
      </c>
      <c r="IM422" t="e">
        <f>'Latin America and Caribbean'!444:444-"$F;@!4bY"</f>
        <v>#VALUE!</v>
      </c>
      <c r="IN422" t="e">
        <f>'Latin America and Caribbean'!445:445-"$F;@!4bZ"</f>
        <v>#VALUE!</v>
      </c>
      <c r="IO422" t="e">
        <f>'Latin America and Caribbean'!446:446-"$F;@!4b["</f>
        <v>#VALUE!</v>
      </c>
      <c r="IP422" t="e">
        <f>'Latin America and Caribbean'!447:447-"$F;@!4b\"</f>
        <v>#VALUE!</v>
      </c>
      <c r="IQ422" t="e">
        <f>'Latin America and Caribbean'!448:448-"$F;@!4b]"</f>
        <v>#VALUE!</v>
      </c>
      <c r="IR422" t="e">
        <f>'Latin America and Caribbean'!449:449-"$F;@!4b^"</f>
        <v>#VALUE!</v>
      </c>
      <c r="IS422" t="e">
        <f>'Latin America and Caribbean'!450:450-"$F;@!4b_"</f>
        <v>#VALUE!</v>
      </c>
      <c r="IT422" t="e">
        <f>'Latin America and Caribbean'!451:451-"$F;@!4b`"</f>
        <v>#VALUE!</v>
      </c>
      <c r="IU422" t="e">
        <f>'Latin America and Caribbean'!452:452-"$F;@!4ba"</f>
        <v>#VALUE!</v>
      </c>
      <c r="IV422" t="e">
        <f>'Latin America and Caribbean'!453:453-"$F;@!4bb"</f>
        <v>#VALUE!</v>
      </c>
    </row>
    <row r="423" spans="6:256" x14ac:dyDescent="0.35">
      <c r="F423" t="e">
        <f>'Latin America and Caribbean'!454:454-"$F;@!4bc"</f>
        <v>#VALUE!</v>
      </c>
      <c r="G423" t="e">
        <f>'Latin America and Caribbean'!455:455-"$F;@!4bd"</f>
        <v>#VALUE!</v>
      </c>
      <c r="H423" t="e">
        <f>'Latin America and Caribbean'!456:456-"$F;@!4be"</f>
        <v>#VALUE!</v>
      </c>
      <c r="I423" t="e">
        <f>'Latin America and Caribbean'!457:457-"$F;@!4bf"</f>
        <v>#VALUE!</v>
      </c>
      <c r="J423" t="e">
        <f>'Latin America and Caribbean'!458:458-"$F;@!4bg"</f>
        <v>#VALUE!</v>
      </c>
      <c r="K423" t="e">
        <f>'Latin America and Caribbean'!459:459-"$F;@!4bh"</f>
        <v>#VALUE!</v>
      </c>
      <c r="L423" t="e">
        <f>'Latin America and Caribbean'!460:460-"$F;@!4bi"</f>
        <v>#VALUE!</v>
      </c>
      <c r="M423" t="e">
        <f>'Latin America and Caribbean'!461:461-"$F;@!4bj"</f>
        <v>#VALUE!</v>
      </c>
      <c r="N423" t="e">
        <f>'Latin America and Caribbean'!462:462-"$F;@!4bk"</f>
        <v>#VALUE!</v>
      </c>
      <c r="O423" t="e">
        <f>'Latin America and Caribbean'!463:463-"$F;@!4bl"</f>
        <v>#VALUE!</v>
      </c>
      <c r="P423" t="e">
        <f>'Latin America and Caribbean'!464:464-"$F;@!4bm"</f>
        <v>#VALUE!</v>
      </c>
      <c r="Q423" t="e">
        <f>'Latin America and Caribbean'!465:465-"$F;@!4bn"</f>
        <v>#VALUE!</v>
      </c>
      <c r="R423" t="e">
        <f>'Latin America and Caribbean'!466:466-"$F;@!4bo"</f>
        <v>#VALUE!</v>
      </c>
      <c r="S423" t="e">
        <f>'Latin America and Caribbean'!467:467-"$F;@!4bp"</f>
        <v>#VALUE!</v>
      </c>
      <c r="T423" t="e">
        <f>'Latin America and Caribbean'!468:468-"$F;@!4bq"</f>
        <v>#VALUE!</v>
      </c>
      <c r="U423" t="e">
        <f>'Latin America and Caribbean'!469:469-"$F;@!4br"</f>
        <v>#VALUE!</v>
      </c>
      <c r="V423" t="e">
        <f>'Latin America and Caribbean'!470:470-"$F;@!4bs"</f>
        <v>#VALUE!</v>
      </c>
      <c r="W423" t="e">
        <f>'Latin America and Caribbean'!471:471-"$F;@!4bt"</f>
        <v>#VALUE!</v>
      </c>
      <c r="X423" t="e">
        <f>'Latin America and Caribbean'!472:472-"$F;@!4bu"</f>
        <v>#VALUE!</v>
      </c>
      <c r="Y423" t="e">
        <f>'Latin America and Caribbean'!473:473-"$F;@!4bv"</f>
        <v>#VALUE!</v>
      </c>
      <c r="Z423" t="e">
        <f>'Latin America and Caribbean'!474:474-"$F;@!4bw"</f>
        <v>#VALUE!</v>
      </c>
      <c r="AA423" t="e">
        <f>'Latin America and Caribbean'!475:475-"$F;@!4bx"</f>
        <v>#VALUE!</v>
      </c>
      <c r="AB423" t="e">
        <f>'Latin America and Caribbean'!476:476-"$F;@!4by"</f>
        <v>#VALUE!</v>
      </c>
      <c r="AC423" t="e">
        <f>'Latin America and Caribbean'!477:477-"$F;@!4bz"</f>
        <v>#VALUE!</v>
      </c>
      <c r="AD423" t="e">
        <f>'Latin America and Caribbean'!478:478-"$F;@!4b{"</f>
        <v>#VALUE!</v>
      </c>
      <c r="AE423" t="e">
        <f>'Latin America and Caribbean'!479:479-"$F;@!4b|"</f>
        <v>#VALUE!</v>
      </c>
      <c r="AF423" t="e">
        <f>'Latin America and Caribbean'!480:480-"$F;@!4b}"</f>
        <v>#VALUE!</v>
      </c>
      <c r="AG423" t="e">
        <f>'Latin America and Caribbean'!481:481-"$F;@!4b~"</f>
        <v>#VALUE!</v>
      </c>
      <c r="AH423" t="e">
        <f>'Latin America and Caribbean'!482:482-"$F;@!4c#"</f>
        <v>#VALUE!</v>
      </c>
      <c r="AI423" t="e">
        <f>'Latin America and Caribbean'!483:483-"$F;@!4c$"</f>
        <v>#VALUE!</v>
      </c>
      <c r="AJ423" t="e">
        <f>'Latin America and Caribbean'!484:484-"$F;@!4c%"</f>
        <v>#VALUE!</v>
      </c>
      <c r="AK423" t="e">
        <f>'Latin America and Caribbean'!485:485-"$F;@!4c&amp;"</f>
        <v>#VALUE!</v>
      </c>
      <c r="AL423" t="e">
        <f>'Latin America and Caribbean'!486:486-"$F;@!4c'"</f>
        <v>#VALUE!</v>
      </c>
      <c r="AM423" t="e">
        <f>'Latin America and Caribbean'!487:487-"$F;@!4c("</f>
        <v>#VALUE!</v>
      </c>
      <c r="AN423" t="e">
        <f>'Latin America and Caribbean'!488:488-"$F;@!4c)"</f>
        <v>#VALUE!</v>
      </c>
      <c r="AO423" t="e">
        <f>'Latin America and Caribbean'!489:489-"$F;@!4c."</f>
        <v>#VALUE!</v>
      </c>
      <c r="AP423" t="e">
        <f>'Latin America and Caribbean'!490:490-"$F;@!4c/"</f>
        <v>#VALUE!</v>
      </c>
      <c r="AQ423" t="e">
        <f>'Latin America and Caribbean'!491:491-"$F;@!4c0"</f>
        <v>#VALUE!</v>
      </c>
      <c r="AR423" t="e">
        <f>'Latin America and Caribbean'!492:492-"$F;@!4c1"</f>
        <v>#VALUE!</v>
      </c>
      <c r="AS423" t="e">
        <f>'Latin America and Caribbean'!493:493-"$F;@!4c2"</f>
        <v>#VALUE!</v>
      </c>
      <c r="AT423" t="e">
        <f>'Latin America and Caribbean'!494:494-"$F;@!4c3"</f>
        <v>#VALUE!</v>
      </c>
      <c r="AU423" t="e">
        <f>'Latin America and Caribbean'!495:495-"$F;@!4c4"</f>
        <v>#VALUE!</v>
      </c>
      <c r="AV423" t="e">
        <f>'Latin America and Caribbean'!496:496-"$F;@!4c5"</f>
        <v>#VALUE!</v>
      </c>
      <c r="AW423" t="e">
        <f>'Latin America and Caribbean'!497:497-"$F;@!4c6"</f>
        <v>#VALUE!</v>
      </c>
      <c r="AX423" t="e">
        <f>'Latin America and Caribbean'!498:498-"$F;@!4c7"</f>
        <v>#VALUE!</v>
      </c>
      <c r="AY423" t="e">
        <f>'Latin America and Caribbean'!499:499-"$F;@!4c8"</f>
        <v>#VALUE!</v>
      </c>
      <c r="AZ423" t="e">
        <f>'Latin America and Caribbean'!500:500-"$F;@!4c9"</f>
        <v>#VALUE!</v>
      </c>
      <c r="BA423" t="e">
        <f>'Latin America and Caribbean'!501:501-"$F;@!4c:"</f>
        <v>#VALUE!</v>
      </c>
      <c r="BB423" t="e">
        <f>'Latin America and Caribbean'!502:502-"$F;@!4c;"</f>
        <v>#VALUE!</v>
      </c>
      <c r="BC423" t="e">
        <f>'Latin America and Caribbean'!503:503-"$F;@!4c&lt;"</f>
        <v>#VALUE!</v>
      </c>
      <c r="BD423" t="e">
        <f>'Latin America and Caribbean'!504:504-"$F;@!4c="</f>
        <v>#VALUE!</v>
      </c>
      <c r="BE423" t="e">
        <f>'Latin America and Caribbean'!505:505-"$F;@!4c&gt;"</f>
        <v>#VALUE!</v>
      </c>
      <c r="BF423" t="e">
        <f>'Latin America and Caribbean'!506:506-"$F;@!4c?"</f>
        <v>#VALUE!</v>
      </c>
      <c r="BG423" t="e">
        <f>'Latin America and Caribbean'!507:507-"$F;@!4c@"</f>
        <v>#VALUE!</v>
      </c>
      <c r="BH423" t="e">
        <f>'Latin America and Caribbean'!508:508-"$F;@!4cA"</f>
        <v>#VALUE!</v>
      </c>
      <c r="BI423" t="e">
        <f>'Latin America and Caribbean'!509:509-"$F;@!4cB"</f>
        <v>#VALUE!</v>
      </c>
      <c r="BJ423" t="e">
        <f>'Latin America and Caribbean'!510:510-"$F;@!4cC"</f>
        <v>#VALUE!</v>
      </c>
      <c r="BK423" t="e">
        <f>'Latin America and Caribbean'!511:511-"$F;@!4cD"</f>
        <v>#VALUE!</v>
      </c>
      <c r="BL423" t="e">
        <f>'Latin America and Caribbean'!512:512-"$F;@!4cE"</f>
        <v>#VALUE!</v>
      </c>
      <c r="BM423" t="e">
        <f>'Latin America and Caribbean'!513:513-"$F;@!4cF"</f>
        <v>#VALUE!</v>
      </c>
      <c r="BN423" t="e">
        <f>'Latin America and Caribbean'!514:514-"$F;@!4cG"</f>
        <v>#VALUE!</v>
      </c>
      <c r="BO423" t="e">
        <f>'Latin America and Caribbean'!515:515-"$F;@!4cH"</f>
        <v>#VALUE!</v>
      </c>
      <c r="BP423" t="e">
        <f>'Latin America and Caribbean'!516:516-"$F;@!4cI"</f>
        <v>#VALUE!</v>
      </c>
      <c r="BQ423" t="e">
        <f>'Latin America and Caribbean'!517:517-"$F;@!4cJ"</f>
        <v>#VALUE!</v>
      </c>
      <c r="BR423" t="e">
        <f>'Latin America and Caribbean'!518:518-"$F;@!4cK"</f>
        <v>#VALUE!</v>
      </c>
      <c r="BS423" t="e">
        <f>'Latin America and Caribbean'!519:519-"$F;@!4cL"</f>
        <v>#VALUE!</v>
      </c>
      <c r="BT423" t="e">
        <f>'Latin America and Caribbean'!520:520-"$F;@!4cM"</f>
        <v>#VALUE!</v>
      </c>
      <c r="BU423" t="e">
        <f>'Latin America and Caribbean'!521:521-"$F;@!4cN"</f>
        <v>#VALUE!</v>
      </c>
      <c r="BV423" t="e">
        <f>'Latin America and Caribbean'!522:522-"$F;@!4cO"</f>
        <v>#VALUE!</v>
      </c>
      <c r="BW423" t="e">
        <f>'Latin America and Caribbean'!523:523-"$F;@!4cP"</f>
        <v>#VALUE!</v>
      </c>
      <c r="BX423" t="e">
        <f>'Latin America and Caribbean'!524:524-"$F;@!4cQ"</f>
        <v>#VALUE!</v>
      </c>
      <c r="BY423" t="e">
        <f>'Latin America and Caribbean'!525:525-"$F;@!4cR"</f>
        <v>#VALUE!</v>
      </c>
      <c r="BZ423" t="e">
        <f>'Latin America and Caribbean'!526:526-"$F;@!4cS"</f>
        <v>#VALUE!</v>
      </c>
      <c r="CA423" t="e">
        <f>'Latin America and Caribbean'!527:527-"$F;@!4cT"</f>
        <v>#VALUE!</v>
      </c>
      <c r="CB423" t="e">
        <f>'Latin America and Caribbean'!528:528-"$F;@!4cU"</f>
        <v>#VALUE!</v>
      </c>
      <c r="CC423" t="e">
        <f>'Latin America and Caribbean'!529:529-"$F;@!4cV"</f>
        <v>#VALUE!</v>
      </c>
      <c r="CD423" t="e">
        <f>'Latin America and Caribbean'!530:530-"$F;@!4cW"</f>
        <v>#VALUE!</v>
      </c>
      <c r="CE423" t="e">
        <f>'Latin America and Caribbean'!531:531-"$F;@!4cX"</f>
        <v>#VALUE!</v>
      </c>
      <c r="CF423" t="e">
        <f>'Latin America and Caribbean'!532:532-"$F;@!4cY"</f>
        <v>#VALUE!</v>
      </c>
      <c r="CG423" t="e">
        <f>'Latin America and Caribbean'!533:533-"$F;@!4cZ"</f>
        <v>#VALUE!</v>
      </c>
      <c r="CH423" t="e">
        <f>'Latin America and Caribbean'!534:534-"$F;@!4c["</f>
        <v>#VALUE!</v>
      </c>
      <c r="CI423" t="e">
        <f>'Latin America and Caribbean'!535:535-"$F;@!4c\"</f>
        <v>#VALUE!</v>
      </c>
      <c r="CJ423" t="e">
        <f>'Latin America and Caribbean'!536:536-"$F;@!4c]"</f>
        <v>#VALUE!</v>
      </c>
      <c r="CK423" t="e">
        <f>'Latin America and Caribbean'!537:537-"$F;@!4c^"</f>
        <v>#VALUE!</v>
      </c>
      <c r="CL423" t="e">
        <f>'Latin America and Caribbean'!538:538-"$F;@!4c_"</f>
        <v>#VALUE!</v>
      </c>
      <c r="CM423" t="e">
        <f>'Latin America and Caribbean'!539:539-"$F;@!4c`"</f>
        <v>#VALUE!</v>
      </c>
      <c r="CN423" t="e">
        <f>'Latin America and Caribbean'!540:540-"$F;@!4ca"</f>
        <v>#VALUE!</v>
      </c>
      <c r="CO423" t="e">
        <f>'Latin America and Caribbean'!541:541-"$F;@!4cb"</f>
        <v>#VALUE!</v>
      </c>
      <c r="CP423" t="e">
        <f>'Latin America and Caribbean'!542:542-"$F;@!4cc"</f>
        <v>#VALUE!</v>
      </c>
      <c r="CQ423" t="e">
        <f>'Latin America and Caribbean'!543:543-"$F;@!4cd"</f>
        <v>#VALUE!</v>
      </c>
      <c r="CR423" t="e">
        <f>'Latin America and Caribbean'!544:544-"$F;@!4ce"</f>
        <v>#VALUE!</v>
      </c>
      <c r="CS423" t="e">
        <f>'Latin America and Caribbean'!545:545-"$F;@!4cf"</f>
        <v>#VALUE!</v>
      </c>
      <c r="CT423" t="e">
        <f>'Latin America and Caribbean'!546:546-"$F;@!4cg"</f>
        <v>#VALUE!</v>
      </c>
      <c r="CU423" t="e">
        <f>'Latin America and Caribbean'!547:547-"$F;@!4ch"</f>
        <v>#VALUE!</v>
      </c>
      <c r="CV423" t="e">
        <f>'Latin America and Caribbean'!548:548-"$F;@!4ci"</f>
        <v>#VALUE!</v>
      </c>
      <c r="CW423" t="e">
        <f>'Latin America and Caribbean'!549:549-"$F;@!4cj"</f>
        <v>#VALUE!</v>
      </c>
      <c r="CX423" t="e">
        <f>'Latin America and Caribbean'!550:550-"$F;@!4ck"</f>
        <v>#VALUE!</v>
      </c>
      <c r="CY423" t="e">
        <f>'Latin America and Caribbean'!551:551-"$F;@!4cl"</f>
        <v>#VALUE!</v>
      </c>
      <c r="CZ423" t="e">
        <f>'Latin America and Caribbean'!552:552-"$F;@!4cm"</f>
        <v>#VALUE!</v>
      </c>
      <c r="DA423" t="e">
        <f>'Latin America and Caribbean'!553:553-"$F;@!4cn"</f>
        <v>#VALUE!</v>
      </c>
      <c r="DB423" t="e">
        <f>'Latin America and Caribbean'!554:554-"$F;@!4co"</f>
        <v>#VALUE!</v>
      </c>
      <c r="DC423" t="e">
        <f>'Latin America and Caribbean'!555:555-"$F;@!4cp"</f>
        <v>#VALUE!</v>
      </c>
      <c r="DD423" t="e">
        <f>'Latin America and Caribbean'!556:556-"$F;@!4cq"</f>
        <v>#VALUE!</v>
      </c>
      <c r="DE423" t="e">
        <f>'Latin America and Caribbean'!557:557-"$F;@!4cr"</f>
        <v>#VALUE!</v>
      </c>
      <c r="DF423" t="e">
        <f>'Latin America and Caribbean'!558:558-"$F;@!4cs"</f>
        <v>#VALUE!</v>
      </c>
      <c r="DG423" t="e">
        <f>'Latin America and Caribbean'!559:559-"$F;@!4ct"</f>
        <v>#VALUE!</v>
      </c>
      <c r="DH423" t="e">
        <f>'Latin America and Caribbean'!560:560-"$F;@!4cu"</f>
        <v>#VALUE!</v>
      </c>
      <c r="DI423" t="e">
        <f>'Latin America and Caribbean'!561:561-"$F;@!4cv"</f>
        <v>#VALUE!</v>
      </c>
      <c r="DJ423" t="e">
        <f>'Latin America and Caribbean'!562:562-"$F;@!4cw"</f>
        <v>#VALUE!</v>
      </c>
      <c r="DK423" t="e">
        <f>'Latin America and Caribbean'!563:563-"$F;@!4cx"</f>
        <v>#VALUE!</v>
      </c>
      <c r="DL423" t="e">
        <f>'Latin America and Caribbean'!564:564-"$F;@!4cy"</f>
        <v>#VALUE!</v>
      </c>
      <c r="DM423" t="e">
        <f>'Latin America and Caribbean'!565:565-"$F;@!4cz"</f>
        <v>#VALUE!</v>
      </c>
      <c r="DN423" t="e">
        <f>'Latin America and Caribbean'!566:566-"$F;@!4c{"</f>
        <v>#VALUE!</v>
      </c>
      <c r="DO423" t="e">
        <f>'Latin America and Caribbean'!567:567-"$F;@!4c|"</f>
        <v>#VALUE!</v>
      </c>
      <c r="DP423" t="e">
        <f>'Latin America and Caribbean'!568:568-"$F;@!4c}"</f>
        <v>#VALUE!</v>
      </c>
      <c r="DQ423" t="e">
        <f>'Latin America and Caribbean'!569:569-"$F;@!4c~"</f>
        <v>#VALUE!</v>
      </c>
      <c r="DR423" t="e">
        <f>'Latin America and Caribbean'!570:570-"$F;@!4d#"</f>
        <v>#VALUE!</v>
      </c>
      <c r="DS423" t="e">
        <f>'Latin America and Caribbean'!571:571-"$F;@!4d$"</f>
        <v>#VALUE!</v>
      </c>
      <c r="DT423" t="e">
        <f>'Latin America and Caribbean'!572:572-"$F;@!4d%"</f>
        <v>#VALUE!</v>
      </c>
      <c r="DU423" t="e">
        <f>'Latin America and Caribbean'!573:573-"$F;@!4d&amp;"</f>
        <v>#VALUE!</v>
      </c>
      <c r="DV423" t="e">
        <f>'Latin America and Caribbean'!574:574-"$F;@!4d'"</f>
        <v>#VALUE!</v>
      </c>
      <c r="DW423" t="e">
        <f>'Latin America and Caribbean'!575:575-"$F;@!4d("</f>
        <v>#VALUE!</v>
      </c>
      <c r="DX423" t="e">
        <f>'Latin America and Caribbean'!576:576-"$F;@!4d)"</f>
        <v>#VALUE!</v>
      </c>
      <c r="DY423" t="e">
        <f>'Latin America and Caribbean'!577:577-"$F;@!4d."</f>
        <v>#VALUE!</v>
      </c>
      <c r="DZ423" t="e">
        <f>'Latin America and Caribbean'!578:578-"$F;@!4d/"</f>
        <v>#VALUE!</v>
      </c>
      <c r="EA423" t="e">
        <f>'Latin America and Caribbean'!579:579-"$F;@!4d0"</f>
        <v>#VALUE!</v>
      </c>
      <c r="EB423" t="e">
        <f>'Latin America and Caribbean'!580:580-"$F;@!4d1"</f>
        <v>#VALUE!</v>
      </c>
      <c r="EC423" t="e">
        <f>'Latin America and Caribbean'!581:581-"$F;@!4d2"</f>
        <v>#VALUE!</v>
      </c>
      <c r="ED423" t="e">
        <f>'Latin America and Caribbean'!582:582-"$F;@!4d3"</f>
        <v>#VALUE!</v>
      </c>
      <c r="EE423" t="e">
        <f>'Latin America and Caribbean'!583:583-"$F;@!4d4"</f>
        <v>#VALUE!</v>
      </c>
      <c r="EF423" t="e">
        <f>'Latin America and Caribbean'!584:584-"$F;@!4d5"</f>
        <v>#VALUE!</v>
      </c>
      <c r="EG423" t="e">
        <f>'Latin America and Caribbean'!585:585-"$F;@!4d6"</f>
        <v>#VALUE!</v>
      </c>
      <c r="EH423" t="e">
        <f>'Latin America and Caribbean'!586:586-"$F;@!4d7"</f>
        <v>#VALUE!</v>
      </c>
      <c r="EI423" t="e">
        <f>'Latin America and Caribbean'!587:587-"$F;@!4d8"</f>
        <v>#VALUE!</v>
      </c>
      <c r="EJ423" t="e">
        <f>'Latin America and Caribbean'!588:588-"$F;@!4d9"</f>
        <v>#VALUE!</v>
      </c>
      <c r="EK423" t="e">
        <f>'Latin America and Caribbean'!589:589-"$F;@!4d:"</f>
        <v>#VALUE!</v>
      </c>
      <c r="EL423" t="e">
        <f>'Latin America and Caribbean'!590:590-"$F;@!4d;"</f>
        <v>#VALUE!</v>
      </c>
      <c r="EM423" t="e">
        <f>'Latin America and Caribbean'!591:591-"$F;@!4d&lt;"</f>
        <v>#VALUE!</v>
      </c>
      <c r="EN423" t="e">
        <f>'Latin America and Caribbean'!592:592-"$F;@!4d="</f>
        <v>#VALUE!</v>
      </c>
      <c r="EO423" t="e">
        <f>'Latin America and Caribbean'!593:593-"$F;@!4d&gt;"</f>
        <v>#VALUE!</v>
      </c>
      <c r="EP423" t="e">
        <f>'Latin America and Caribbean'!594:594-"$F;@!4d?"</f>
        <v>#VALUE!</v>
      </c>
      <c r="EQ423" t="e">
        <f>'Latin America and Caribbean'!595:595-"$F;@!4d@"</f>
        <v>#VALUE!</v>
      </c>
      <c r="ER423" t="e">
        <f>'Latin America and Caribbean'!596:596-"$F;@!4dA"</f>
        <v>#VALUE!</v>
      </c>
      <c r="ES423" t="e">
        <f>'Latin America and Caribbean'!597:597-"$F;@!4dB"</f>
        <v>#VALUE!</v>
      </c>
      <c r="ET423" t="e">
        <f>'Latin America and Caribbean'!598:598-"$F;@!4dC"</f>
        <v>#VALUE!</v>
      </c>
      <c r="EU423" t="e">
        <f>'Latin America and Caribbean'!599:599-"$F;@!4dD"</f>
        <v>#VALUE!</v>
      </c>
      <c r="EV423" t="e">
        <f>'Latin America and Caribbean'!600:600-"$F;@!4dE"</f>
        <v>#VALUE!</v>
      </c>
      <c r="EW423" t="e">
        <f>'Latin America and Caribbean'!601:601-"$F;@!4dF"</f>
        <v>#VALUE!</v>
      </c>
      <c r="EX423" t="e">
        <f>'Latin America and Caribbean'!602:602-"$F;@!4dG"</f>
        <v>#VALUE!</v>
      </c>
      <c r="EY423" t="e">
        <f>'Latin America and Caribbean'!603:603-"$F;@!4dH"</f>
        <v>#VALUE!</v>
      </c>
      <c r="EZ423" t="e">
        <f>'Latin America and Caribbean'!604:604-"$F;@!4dI"</f>
        <v>#VALUE!</v>
      </c>
      <c r="FA423" t="e">
        <f>'Latin America and Caribbean'!605:605-"$F;@!4dJ"</f>
        <v>#VALUE!</v>
      </c>
      <c r="FB423" t="e">
        <f>'Latin America and Caribbean'!606:606-"$F;@!4dK"</f>
        <v>#VALUE!</v>
      </c>
      <c r="FC423" t="e">
        <f>'Latin America and Caribbean'!607:607-"$F;@!4dL"</f>
        <v>#VALUE!</v>
      </c>
      <c r="FD423" t="e">
        <f>'Latin America and Caribbean'!608:608-"$F;@!4dM"</f>
        <v>#VALUE!</v>
      </c>
      <c r="FE423" t="e">
        <f>'Latin America and Caribbean'!609:609-"$F;@!4dN"</f>
        <v>#VALUE!</v>
      </c>
      <c r="FF423" t="e">
        <f>'Latin America and Caribbean'!610:610-"$F;@!4dO"</f>
        <v>#VALUE!</v>
      </c>
      <c r="FG423" t="e">
        <f>'Latin America and Caribbean'!611:611-"$F;@!4dP"</f>
        <v>#VALUE!</v>
      </c>
      <c r="FH423" t="e">
        <f>'Latin America and Caribbean'!612:612-"$F;@!4dQ"</f>
        <v>#VALUE!</v>
      </c>
      <c r="FI423" t="e">
        <f>'Latin America and Caribbean'!613:613-"$F;@!4dR"</f>
        <v>#VALUE!</v>
      </c>
      <c r="FJ423" t="e">
        <f>'Latin America and Caribbean'!614:614-"$F;@!4dS"</f>
        <v>#VALUE!</v>
      </c>
      <c r="FK423" t="e">
        <f>'Latin America and Caribbean'!615:615-"$F;@!4dT"</f>
        <v>#VALUE!</v>
      </c>
      <c r="FL423" t="e">
        <f>'Latin America and Caribbean'!616:616-"$F;@!4dU"</f>
        <v>#VALUE!</v>
      </c>
      <c r="FM423" t="e">
        <f>'Latin America and Caribbean'!617:617-"$F;@!4dV"</f>
        <v>#VALUE!</v>
      </c>
      <c r="FN423" t="e">
        <f>'Latin America and Caribbean'!618:618-"$F;@!4dW"</f>
        <v>#VALUE!</v>
      </c>
      <c r="FO423" t="e">
        <f>'Latin America and Caribbean'!619:619-"$F;@!4dX"</f>
        <v>#VALUE!</v>
      </c>
      <c r="FP423" t="e">
        <f>'Latin America and Caribbean'!620:620-"$F;@!4dY"</f>
        <v>#VALUE!</v>
      </c>
      <c r="FQ423" t="e">
        <f>'Latin America and Caribbean'!621:621-"$F;@!4dZ"</f>
        <v>#VALUE!</v>
      </c>
      <c r="FR423" t="e">
        <f>'Latin America and Caribbean'!622:622-"$F;@!4d["</f>
        <v>#VALUE!</v>
      </c>
      <c r="FS423" t="e">
        <f>'Latin America and Caribbean'!623:623-"$F;@!4d\"</f>
        <v>#VALUE!</v>
      </c>
      <c r="FT423" t="e">
        <f>'Latin America and Caribbean'!624:624-"$F;@!4d]"</f>
        <v>#VALUE!</v>
      </c>
      <c r="FU423" t="e">
        <f>'Latin America and Caribbean'!625:625-"$F;@!4d^"</f>
        <v>#VALUE!</v>
      </c>
      <c r="FV423" t="e">
        <f>'Latin America and Caribbean'!626:626-"$F;@!4d_"</f>
        <v>#VALUE!</v>
      </c>
      <c r="FW423" t="e">
        <f>'Latin America and Caribbean'!627:627-"$F;@!4d`"</f>
        <v>#VALUE!</v>
      </c>
      <c r="FX423" t="e">
        <f>'Latin America and Caribbean'!628:628-"$F;@!4da"</f>
        <v>#VALUE!</v>
      </c>
      <c r="FY423" t="e">
        <f>'Latin America and Caribbean'!629:629-"$F;@!4db"</f>
        <v>#VALUE!</v>
      </c>
      <c r="FZ423" t="e">
        <f>'Latin America and Caribbean'!630:630-"$F;@!4dc"</f>
        <v>#VALUE!</v>
      </c>
      <c r="GA423" t="e">
        <f>'Latin America and Caribbean'!631:631-"$F;@!4dd"</f>
        <v>#VALUE!</v>
      </c>
      <c r="GB423" t="e">
        <f>'Latin America and Caribbean'!632:632-"$F;@!4de"</f>
        <v>#VALUE!</v>
      </c>
      <c r="GC423" t="e">
        <f>'Latin America and Caribbean'!633:633-"$F;@!4df"</f>
        <v>#VALUE!</v>
      </c>
      <c r="GD423" t="e">
        <f>'Latin America and Caribbean'!634:634-"$F;@!4dg"</f>
        <v>#VALUE!</v>
      </c>
      <c r="GE423" t="e">
        <f>'Latin America and Caribbean'!635:635-"$F;@!4dh"</f>
        <v>#VALUE!</v>
      </c>
      <c r="GF423" t="e">
        <f>'Latin America and Caribbean'!636:636-"$F;@!4di"</f>
        <v>#VALUE!</v>
      </c>
      <c r="GG423" t="e">
        <f>'Latin America and Caribbean'!637:637-"$F;@!4dj"</f>
        <v>#VALUE!</v>
      </c>
      <c r="GH423" t="e">
        <f>'Latin America and Caribbean'!638:638-"$F;@!4dk"</f>
        <v>#VALUE!</v>
      </c>
      <c r="GI423" t="e">
        <f>'Latin America and Caribbean'!639:639-"$F;@!4dl"</f>
        <v>#VALUE!</v>
      </c>
      <c r="GJ423" t="e">
        <f>'Latin America and Caribbean'!640:640-"$F;@!4dm"</f>
        <v>#VALUE!</v>
      </c>
      <c r="GK423" t="e">
        <f>'Latin America and Caribbean'!641:641-"$F;@!4dn"</f>
        <v>#VALUE!</v>
      </c>
      <c r="GL423" t="e">
        <f>'Latin America and Caribbean'!642:642-"$F;@!4do"</f>
        <v>#VALUE!</v>
      </c>
      <c r="GM423" t="e">
        <f>'Latin America and Caribbean'!643:643-"$F;@!4dp"</f>
        <v>#VALUE!</v>
      </c>
      <c r="GN423" t="e">
        <f>'Latin America and Caribbean'!644:644-"$F;@!4dq"</f>
        <v>#VALUE!</v>
      </c>
      <c r="GO423" t="e">
        <f>'Latin America and Caribbean'!645:645-"$F;@!4dr"</f>
        <v>#VALUE!</v>
      </c>
      <c r="GP423" t="e">
        <f>'Latin America and Caribbean'!646:646-"$F;@!4ds"</f>
        <v>#VALUE!</v>
      </c>
      <c r="GQ423" t="e">
        <f>'Latin America and Caribbean'!647:647-"$F;@!4dt"</f>
        <v>#VALUE!</v>
      </c>
      <c r="GR423" t="e">
        <f>'Latin America and Caribbean'!648:648-"$F;@!4du"</f>
        <v>#VALUE!</v>
      </c>
      <c r="GS423" t="e">
        <f>'Latin America and Caribbean'!649:649-"$F;@!4dv"</f>
        <v>#VALUE!</v>
      </c>
      <c r="GT423" t="e">
        <f>'Latin America and Caribbean'!650:650-"$F;@!4dw"</f>
        <v>#VALUE!</v>
      </c>
      <c r="GU423" t="e">
        <f>'Latin America and Caribbean'!651:651-"$F;@!4dx"</f>
        <v>#VALUE!</v>
      </c>
      <c r="GV423" t="e">
        <f>'Latin America and Caribbean'!652:652-"$F;@!4dy"</f>
        <v>#VALUE!</v>
      </c>
      <c r="GW423" t="e">
        <f>'Latin America and Caribbean'!653:653-"$F;@!4dz"</f>
        <v>#VALUE!</v>
      </c>
      <c r="GX423" t="e">
        <f>'Latin America and Caribbean'!654:654-"$F;@!4d{"</f>
        <v>#VALUE!</v>
      </c>
      <c r="GY423" t="e">
        <f>'Latin America and Caribbean'!655:655-"$F;@!4d|"</f>
        <v>#VALUE!</v>
      </c>
      <c r="GZ423" t="e">
        <f>'Latin America and Caribbean'!656:656-"$F;@!4d}"</f>
        <v>#VALUE!</v>
      </c>
      <c r="HA423" t="e">
        <f>'Latin America and Caribbean'!657:657-"$F;@!4d~"</f>
        <v>#VALUE!</v>
      </c>
      <c r="HB423" t="e">
        <f>'Latin America and Caribbean'!658:658-"$F;@!4e#"</f>
        <v>#VALUE!</v>
      </c>
      <c r="HC423" t="e">
        <f>'Latin America and Caribbean'!659:659-"$F;@!4e$"</f>
        <v>#VALUE!</v>
      </c>
      <c r="HD423" t="e">
        <f>'Latin America and Caribbean'!660:660-"$F;@!4e%"</f>
        <v>#VALUE!</v>
      </c>
      <c r="HE423" t="e">
        <f>'Latin America and Caribbean'!661:661-"$F;@!4e&amp;"</f>
        <v>#VALUE!</v>
      </c>
      <c r="HF423" t="e">
        <f>'Latin America and Caribbean'!662:662-"$F;@!4e'"</f>
        <v>#VALUE!</v>
      </c>
      <c r="HG423" t="e">
        <f>'Latin America and Caribbean'!663:663-"$F;@!4e("</f>
        <v>#VALUE!</v>
      </c>
      <c r="HH423" t="e">
        <f>'Latin America and Caribbean'!664:664-"$F;@!4e)"</f>
        <v>#VALUE!</v>
      </c>
      <c r="HI423" t="e">
        <f>'Latin America and Caribbean'!665:665-"$F;@!4e."</f>
        <v>#VALUE!</v>
      </c>
      <c r="HJ423" t="e">
        <f>'Latin America and Caribbean'!666:666-"$F;@!4e/"</f>
        <v>#VALUE!</v>
      </c>
      <c r="HK423" t="e">
        <f>'Latin America and Caribbean'!667:667-"$F;@!4e0"</f>
        <v>#VALUE!</v>
      </c>
      <c r="HL423" t="e">
        <f>'Latin America and Caribbean'!668:668-"$F;@!4e1"</f>
        <v>#VALUE!</v>
      </c>
      <c r="HM423" t="e">
        <f>'Latin America and Caribbean'!669:669-"$F;@!4e2"</f>
        <v>#VALUE!</v>
      </c>
      <c r="HN423" t="e">
        <f>'Latin America and Caribbean'!670:670-"$F;@!4e3"</f>
        <v>#VALUE!</v>
      </c>
      <c r="HO423" t="e">
        <f>'Latin America and Caribbean'!671:671-"$F;@!4e4"</f>
        <v>#VALUE!</v>
      </c>
      <c r="HP423" t="e">
        <f>'Latin America and Caribbean'!672:672-"$F;@!4e5"</f>
        <v>#VALUE!</v>
      </c>
      <c r="HQ423" t="e">
        <f>'Latin America and Caribbean'!673:673-"$F;@!4e6"</f>
        <v>#VALUE!</v>
      </c>
      <c r="HR423" t="e">
        <f>'Latin America and Caribbean'!674:674-"$F;@!4e7"</f>
        <v>#VALUE!</v>
      </c>
      <c r="HS423" t="e">
        <f>'Latin America and Caribbean'!675:675-"$F;@!4e8"</f>
        <v>#VALUE!</v>
      </c>
      <c r="HT423" t="e">
        <f>'Latin America and Caribbean'!676:676-"$F;@!4e9"</f>
        <v>#VALUE!</v>
      </c>
      <c r="HU423" t="e">
        <f>'Latin America and Caribbean'!677:677-"$F;@!4e:"</f>
        <v>#VALUE!</v>
      </c>
      <c r="HV423" t="e">
        <f>'Latin America and Caribbean'!678:678-"$F;@!4e;"</f>
        <v>#VALUE!</v>
      </c>
      <c r="HW423" t="e">
        <f>'Latin America and Caribbean'!679:679-"$F;@!4e&lt;"</f>
        <v>#VALUE!</v>
      </c>
      <c r="HX423" t="e">
        <f>'Latin America and Caribbean'!680:680-"$F;@!4e="</f>
        <v>#VALUE!</v>
      </c>
      <c r="HY423" t="e">
        <f>'Latin America and Caribbean'!681:681-"$F;@!4e&gt;"</f>
        <v>#VALUE!</v>
      </c>
      <c r="HZ423" t="e">
        <f>'Latin America and Caribbean'!682:682-"$F;@!4e?"</f>
        <v>#VALUE!</v>
      </c>
      <c r="IA423" t="e">
        <f>'Latin America and Caribbean'!683:683-"$F;@!4e@"</f>
        <v>#VALUE!</v>
      </c>
      <c r="IB423" t="e">
        <f>'Latin America and Caribbean'!684:684-"$F;@!4eA"</f>
        <v>#VALUE!</v>
      </c>
      <c r="IC423" t="e">
        <f>'Latin America and Caribbean'!685:685-"$F;@!4eB"</f>
        <v>#VALUE!</v>
      </c>
      <c r="ID423" t="e">
        <f>'Latin America and Caribbean'!686:686-"$F;@!4eC"</f>
        <v>#VALUE!</v>
      </c>
      <c r="IE423" t="e">
        <f>'Latin America and Caribbean'!687:687-"$F;@!4eD"</f>
        <v>#VALUE!</v>
      </c>
      <c r="IF423" t="e">
        <f>'Latin America and Caribbean'!688:688-"$F;@!4eE"</f>
        <v>#VALUE!</v>
      </c>
      <c r="IG423" t="e">
        <f>'Latin America and Caribbean'!689:689-"$F;@!4eF"</f>
        <v>#VALUE!</v>
      </c>
      <c r="IH423" t="e">
        <f>'Latin America and Caribbean'!690:690-"$F;@!4eG"</f>
        <v>#VALUE!</v>
      </c>
      <c r="II423" t="e">
        <f>'Latin America and Caribbean'!691:691-"$F;@!4eH"</f>
        <v>#VALUE!</v>
      </c>
      <c r="IJ423" t="e">
        <f>'Latin America and Caribbean'!692:692-"$F;@!4eI"</f>
        <v>#VALUE!</v>
      </c>
      <c r="IK423" t="e">
        <f>'Latin America and Caribbean'!693:693-"$F;@!4eJ"</f>
        <v>#VALUE!</v>
      </c>
      <c r="IL423" t="e">
        <f>'Latin America and Caribbean'!694:694-"$F;@!4eK"</f>
        <v>#VALUE!</v>
      </c>
      <c r="IM423" t="e">
        <f>'Latin America and Caribbean'!695:695-"$F;@!4eL"</f>
        <v>#VALUE!</v>
      </c>
      <c r="IN423" t="e">
        <f>'Latin America and Caribbean'!696:696-"$F;@!4eM"</f>
        <v>#VALUE!</v>
      </c>
      <c r="IO423" t="e">
        <f>'Latin America and Caribbean'!697:697-"$F;@!4eN"</f>
        <v>#VALUE!</v>
      </c>
      <c r="IP423" t="e">
        <f>'Latin America and Caribbean'!698:698-"$F;@!4eO"</f>
        <v>#VALUE!</v>
      </c>
      <c r="IQ423" t="e">
        <f>'Latin America and Caribbean'!699:699-"$F;@!4eP"</f>
        <v>#VALUE!</v>
      </c>
      <c r="IR423" t="e">
        <f>'Latin America and Caribbean'!700:700-"$F;@!4eQ"</f>
        <v>#VALUE!</v>
      </c>
      <c r="IS423" t="e">
        <f>'Latin America and Caribbean'!701:701-"$F;@!4eR"</f>
        <v>#VALUE!</v>
      </c>
      <c r="IT423" t="e">
        <f>'Latin America and Caribbean'!702:702-"$F;@!4eS"</f>
        <v>#VALUE!</v>
      </c>
      <c r="IU423" t="e">
        <f>'Latin America and Caribbean'!703:703-"$F;@!4eT"</f>
        <v>#VALUE!</v>
      </c>
      <c r="IV423" t="e">
        <f>'Latin America and Caribbean'!704:704-"$F;@!4eU"</f>
        <v>#VALUE!</v>
      </c>
    </row>
    <row r="424" spans="6:256" x14ac:dyDescent="0.35">
      <c r="F424" t="e">
        <f>'Latin America and Caribbean'!705:705-"$F;@!4eV"</f>
        <v>#VALUE!</v>
      </c>
      <c r="G424" t="e">
        <f>'Latin America and Caribbean'!706:706-"$F;@!4eW"</f>
        <v>#VALUE!</v>
      </c>
      <c r="H424" t="e">
        <f>'Latin America and Caribbean'!707:707-"$F;@!4eX"</f>
        <v>#VALUE!</v>
      </c>
      <c r="I424" t="e">
        <f>'Latin America and Caribbean'!708:708-"$F;@!4eY"</f>
        <v>#VALUE!</v>
      </c>
      <c r="J424" t="e">
        <f>'Latin America and Caribbean'!709:709-"$F;@!4eZ"</f>
        <v>#VALUE!</v>
      </c>
      <c r="K424" t="e">
        <f>'Latin America and Caribbean'!710:710-"$F;@!4e["</f>
        <v>#VALUE!</v>
      </c>
      <c r="L424" t="e">
        <f>'Latin America and Caribbean'!711:711-"$F;@!4e\"</f>
        <v>#VALUE!</v>
      </c>
      <c r="M424" t="e">
        <f>'Latin America and Caribbean'!712:712-"$F;@!4e]"</f>
        <v>#VALUE!</v>
      </c>
      <c r="N424" t="e">
        <f>'Latin America and Caribbean'!713:713-"$F;@!4e^"</f>
        <v>#VALUE!</v>
      </c>
      <c r="O424" t="e">
        <f>'Latin America and Caribbean'!714:714-"$F;@!4e_"</f>
        <v>#VALUE!</v>
      </c>
      <c r="P424" t="e">
        <f>'Latin America and Caribbean'!715:715-"$F;@!4e`"</f>
        <v>#VALUE!</v>
      </c>
      <c r="Q424" t="e">
        <f>'Latin America and Caribbean'!716:716-"$F;@!4ea"</f>
        <v>#VALUE!</v>
      </c>
      <c r="R424" t="e">
        <f>'Latin America and Caribbean'!717:717-"$F;@!4eb"</f>
        <v>#VALUE!</v>
      </c>
      <c r="S424" t="e">
        <f>'Latin America and Caribbean'!718:718-"$F;@!4ec"</f>
        <v>#VALUE!</v>
      </c>
      <c r="T424" t="e">
        <f>'Latin America and Caribbean'!719:719-"$F;@!4ed"</f>
        <v>#VALUE!</v>
      </c>
      <c r="U424" t="e">
        <f>'Latin America and Caribbean'!720:720-"$F;@!4ee"</f>
        <v>#VALUE!</v>
      </c>
      <c r="V424" t="e">
        <f>'Latin America and Caribbean'!721:721-"$F;@!4ef"</f>
        <v>#VALUE!</v>
      </c>
      <c r="W424" t="e">
        <f>'Latin America and Caribbean'!722:722-"$F;@!4eg"</f>
        <v>#VALUE!</v>
      </c>
      <c r="X424" t="e">
        <f>'Latin America and Caribbean'!723:723-"$F;@!4eh"</f>
        <v>#VALUE!</v>
      </c>
      <c r="Y424" t="e">
        <f>'Australia and Oceania'!A1+"$F;@!4ei"</f>
        <v>#VALUE!</v>
      </c>
      <c r="Z424" t="e">
        <f>'Australia and Oceania'!B1+"$F;@!4ej"</f>
        <v>#VALUE!</v>
      </c>
      <c r="AA424" t="e">
        <f>'Australia and Oceania'!C1+"$F;@!4ek"</f>
        <v>#VALUE!</v>
      </c>
      <c r="AB424" t="e">
        <f>'Australia and Oceania'!D1+"$F;@!4el"</f>
        <v>#VALUE!</v>
      </c>
      <c r="AC424" t="e">
        <f>'Australia and Oceania'!E1+"$F;@!4em"</f>
        <v>#VALUE!</v>
      </c>
      <c r="AD424" t="e">
        <f>'Australia and Oceania'!F1+"$F;@!4en"</f>
        <v>#VALUE!</v>
      </c>
      <c r="AE424" t="e">
        <f>'Australia and Oceania'!G1+"$F;@!4eo"</f>
        <v>#VALUE!</v>
      </c>
      <c r="AF424" t="e">
        <f>'Australia and Oceania'!H1+"$F;@!4ep"</f>
        <v>#VALUE!</v>
      </c>
      <c r="AG424" t="e">
        <f>'Australia and Oceania'!A2+"$F;@!4eq"</f>
        <v>#VALUE!</v>
      </c>
      <c r="AH424" t="e">
        <f>'Australia and Oceania'!B2+"$F;@!4er"</f>
        <v>#VALUE!</v>
      </c>
      <c r="AI424" t="e">
        <f>'Australia and Oceania'!C2+"$F;@!4es"</f>
        <v>#VALUE!</v>
      </c>
      <c r="AJ424" t="e">
        <f>'Australia and Oceania'!D2+"$F;@!4et"</f>
        <v>#VALUE!</v>
      </c>
      <c r="AK424" t="e">
        <f>'Australia and Oceania'!E2+"$F;@!4eu"</f>
        <v>#VALUE!</v>
      </c>
      <c r="AL424" t="e">
        <f>'Australia and Oceania'!F2+"$F;@!4ev"</f>
        <v>#VALUE!</v>
      </c>
      <c r="AM424" t="e">
        <f>'Australia and Oceania'!G2+"$F;@!4ew"</f>
        <v>#VALUE!</v>
      </c>
      <c r="AN424" t="e">
        <f>'Australia and Oceania'!H2+"$F;@!4ex"</f>
        <v>#VALUE!</v>
      </c>
      <c r="AO424" t="e">
        <f>'Australia and Oceania'!A3+"$F;@!4ey"</f>
        <v>#VALUE!</v>
      </c>
      <c r="AP424" t="e">
        <f>'Australia and Oceania'!B3+"$F;@!4ez"</f>
        <v>#VALUE!</v>
      </c>
      <c r="AQ424" t="e">
        <f>'Australia and Oceania'!C3+"$F;@!4e{"</f>
        <v>#VALUE!</v>
      </c>
      <c r="AR424" t="e">
        <f>'Australia and Oceania'!D3+"$F;@!4e|"</f>
        <v>#VALUE!</v>
      </c>
      <c r="AS424" t="e">
        <f>'Australia and Oceania'!E3+"$F;@!4e}"</f>
        <v>#VALUE!</v>
      </c>
      <c r="AT424" t="e">
        <f>'Australia and Oceania'!F3+"$F;@!4e~"</f>
        <v>#VALUE!</v>
      </c>
      <c r="AU424" t="e">
        <f>'Australia and Oceania'!G3+"$F;@!4f#"</f>
        <v>#VALUE!</v>
      </c>
      <c r="AV424" t="e">
        <f>'Australia and Oceania'!H3+"$F;@!4f$"</f>
        <v>#VALUE!</v>
      </c>
      <c r="AW424" t="e">
        <f>'Australia and Oceania'!A4+"$F;@!4f%"</f>
        <v>#VALUE!</v>
      </c>
      <c r="AX424" t="e">
        <f>'Australia and Oceania'!B4+"$F;@!4f&amp;"</f>
        <v>#VALUE!</v>
      </c>
      <c r="AY424" t="e">
        <f>'Australia and Oceania'!C4+"$F;@!4f'"</f>
        <v>#VALUE!</v>
      </c>
      <c r="AZ424" t="e">
        <f>'Australia and Oceania'!D4+"$F;@!4f("</f>
        <v>#VALUE!</v>
      </c>
      <c r="BA424" t="e">
        <f>'Australia and Oceania'!E4+"$F;@!4f)"</f>
        <v>#VALUE!</v>
      </c>
      <c r="BB424" t="e">
        <f>'Australia and Oceania'!F4+"$F;@!4f."</f>
        <v>#VALUE!</v>
      </c>
      <c r="BC424" t="e">
        <f>'Australia and Oceania'!G4+"$F;@!4f/"</f>
        <v>#VALUE!</v>
      </c>
      <c r="BD424" t="e">
        <f>'Australia and Oceania'!H4+"$F;@!4f0"</f>
        <v>#VALUE!</v>
      </c>
      <c r="BE424" t="e">
        <f>'Australia and Oceania'!A5+"$F;@!4f1"</f>
        <v>#VALUE!</v>
      </c>
      <c r="BF424" t="e">
        <f>'Australia and Oceania'!B5+"$F;@!4f2"</f>
        <v>#VALUE!</v>
      </c>
      <c r="BG424" t="e">
        <f>'Australia and Oceania'!C5+"$F;@!4f3"</f>
        <v>#VALUE!</v>
      </c>
      <c r="BH424" t="e">
        <f>'Australia and Oceania'!D5+"$F;@!4f4"</f>
        <v>#VALUE!</v>
      </c>
      <c r="BI424" t="e">
        <f>'Australia and Oceania'!E5+"$F;@!4f5"</f>
        <v>#VALUE!</v>
      </c>
      <c r="BJ424" t="e">
        <f>'Australia and Oceania'!F5+"$F;@!4f6"</f>
        <v>#VALUE!</v>
      </c>
      <c r="BK424" t="e">
        <f>'Australia and Oceania'!G5+"$F;@!4f7"</f>
        <v>#VALUE!</v>
      </c>
      <c r="BL424" t="e">
        <f>'Australia and Oceania'!H5+"$F;@!4f8"</f>
        <v>#VALUE!</v>
      </c>
      <c r="BM424" t="e">
        <f>'Australia and Oceania'!A6+"$F;@!4f9"</f>
        <v>#VALUE!</v>
      </c>
      <c r="BN424" t="e">
        <f>'Australia and Oceania'!B6+"$F;@!4f:"</f>
        <v>#VALUE!</v>
      </c>
      <c r="BO424" t="e">
        <f>'Australia and Oceania'!C6+"$F;@!4f;"</f>
        <v>#VALUE!</v>
      </c>
      <c r="BP424" t="e">
        <f>'Australia and Oceania'!D6+"$F;@!4f&lt;"</f>
        <v>#VALUE!</v>
      </c>
      <c r="BQ424" t="e">
        <f>'Australia and Oceania'!E6+"$F;@!4f="</f>
        <v>#VALUE!</v>
      </c>
      <c r="BR424" t="e">
        <f>'Australia and Oceania'!F6+"$F;@!4f&gt;"</f>
        <v>#VALUE!</v>
      </c>
      <c r="BS424" t="e">
        <f>'Australia and Oceania'!G6+"$F;@!4f?"</f>
        <v>#VALUE!</v>
      </c>
      <c r="BT424" t="e">
        <f>'Australia and Oceania'!H6+"$F;@!4f@"</f>
        <v>#VALUE!</v>
      </c>
      <c r="BU424" t="e">
        <f>'Australia and Oceania'!A7+"$F;@!4fA"</f>
        <v>#VALUE!</v>
      </c>
      <c r="BV424" t="e">
        <f>'Australia and Oceania'!B7+"$F;@!4fB"</f>
        <v>#VALUE!</v>
      </c>
      <c r="BW424" t="e">
        <f>'Australia and Oceania'!C7+"$F;@!4fC"</f>
        <v>#VALUE!</v>
      </c>
      <c r="BX424" t="e">
        <f>'Australia and Oceania'!D7+"$F;@!4fD"</f>
        <v>#VALUE!</v>
      </c>
      <c r="BY424" t="e">
        <f>'Australia and Oceania'!E7+"$F;@!4fE"</f>
        <v>#VALUE!</v>
      </c>
      <c r="BZ424" t="e">
        <f>'Australia and Oceania'!F7+"$F;@!4fF"</f>
        <v>#VALUE!</v>
      </c>
      <c r="CA424" t="e">
        <f>'Australia and Oceania'!G7+"$F;@!4fG"</f>
        <v>#VALUE!</v>
      </c>
      <c r="CB424" t="e">
        <f>'Australia and Oceania'!H7+"$F;@!4fH"</f>
        <v>#VALUE!</v>
      </c>
      <c r="CC424" t="e">
        <f>'Australia and Oceania'!A8+"$F;@!4fI"</f>
        <v>#VALUE!</v>
      </c>
      <c r="CD424" t="e">
        <f>'Australia and Oceania'!B8+"$F;@!4fJ"</f>
        <v>#VALUE!</v>
      </c>
      <c r="CE424" t="e">
        <f>'Australia and Oceania'!C8+"$F;@!4fK"</f>
        <v>#VALUE!</v>
      </c>
      <c r="CF424" t="e">
        <f>'Australia and Oceania'!D8+"$F;@!4fL"</f>
        <v>#VALUE!</v>
      </c>
      <c r="CG424" t="e">
        <f>'Australia and Oceania'!E8+"$F;@!4fM"</f>
        <v>#VALUE!</v>
      </c>
      <c r="CH424" t="e">
        <f>'Australia and Oceania'!F8+"$F;@!4fN"</f>
        <v>#VALUE!</v>
      </c>
      <c r="CI424" t="e">
        <f>'Australia and Oceania'!G8+"$F;@!4fO"</f>
        <v>#VALUE!</v>
      </c>
      <c r="CJ424" t="e">
        <f>'Australia and Oceania'!H8+"$F;@!4fP"</f>
        <v>#VALUE!</v>
      </c>
      <c r="CK424" t="e">
        <f>'Australia and Oceania'!A9+"$F;@!4fQ"</f>
        <v>#VALUE!</v>
      </c>
      <c r="CL424" t="e">
        <f>'Australia and Oceania'!B9+"$F;@!4fR"</f>
        <v>#VALUE!</v>
      </c>
      <c r="CM424" t="e">
        <f>'Australia and Oceania'!C9+"$F;@!4fS"</f>
        <v>#VALUE!</v>
      </c>
      <c r="CN424" t="e">
        <f>'Australia and Oceania'!D9+"$F;@!4fT"</f>
        <v>#VALUE!</v>
      </c>
      <c r="CO424" t="e">
        <f>'Australia and Oceania'!E9+"$F;@!4fU"</f>
        <v>#VALUE!</v>
      </c>
      <c r="CP424" t="e">
        <f>'Australia and Oceania'!F9+"$F;@!4fV"</f>
        <v>#VALUE!</v>
      </c>
      <c r="CQ424" t="e">
        <f>'Australia and Oceania'!G9+"$F;@!4fW"</f>
        <v>#VALUE!</v>
      </c>
      <c r="CR424" t="e">
        <f>'Australia and Oceania'!H9+"$F;@!4fX"</f>
        <v>#VALUE!</v>
      </c>
      <c r="CS424" t="e">
        <f>'Australia and Oceania'!A10+"$F;@!4fY"</f>
        <v>#VALUE!</v>
      </c>
      <c r="CT424" t="e">
        <f>'Australia and Oceania'!B10+"$F;@!4fZ"</f>
        <v>#VALUE!</v>
      </c>
      <c r="CU424" t="e">
        <f>'Australia and Oceania'!C10+"$F;@!4f["</f>
        <v>#VALUE!</v>
      </c>
      <c r="CV424" t="e">
        <f>'Australia and Oceania'!D10+"$F;@!4f\"</f>
        <v>#VALUE!</v>
      </c>
      <c r="CW424" t="e">
        <f>'Australia and Oceania'!E10+"$F;@!4f]"</f>
        <v>#VALUE!</v>
      </c>
      <c r="CX424" t="e">
        <f>'Australia and Oceania'!F10+"$F;@!4f^"</f>
        <v>#VALUE!</v>
      </c>
      <c r="CY424" t="e">
        <f>'Australia and Oceania'!G10+"$F;@!4f_"</f>
        <v>#VALUE!</v>
      </c>
      <c r="CZ424" t="e">
        <f>'Australia and Oceania'!H10+"$F;@!4f`"</f>
        <v>#VALUE!</v>
      </c>
      <c r="DA424" t="e">
        <f>'Australia and Oceania'!A11+"$F;@!4fa"</f>
        <v>#VALUE!</v>
      </c>
      <c r="DB424" t="e">
        <f>'Australia and Oceania'!B11+"$F;@!4fb"</f>
        <v>#VALUE!</v>
      </c>
      <c r="DC424" t="e">
        <f>'Australia and Oceania'!C11+"$F;@!4fc"</f>
        <v>#VALUE!</v>
      </c>
      <c r="DD424" t="e">
        <f>'Australia and Oceania'!D11+"$F;@!4fd"</f>
        <v>#VALUE!</v>
      </c>
      <c r="DE424" t="e">
        <f>'Australia and Oceania'!E11+"$F;@!4fe"</f>
        <v>#VALUE!</v>
      </c>
      <c r="DF424" t="e">
        <f>'Australia and Oceania'!F11+"$F;@!4ff"</f>
        <v>#VALUE!</v>
      </c>
      <c r="DG424" t="e">
        <f>'Australia and Oceania'!G11+"$F;@!4fg"</f>
        <v>#VALUE!</v>
      </c>
      <c r="DH424" t="e">
        <f>'Australia and Oceania'!H11+"$F;@!4fh"</f>
        <v>#VALUE!</v>
      </c>
      <c r="DI424" t="e">
        <f>'Australia and Oceania'!A12+"$F;@!4fi"</f>
        <v>#VALUE!</v>
      </c>
      <c r="DJ424" t="e">
        <f>'Australia and Oceania'!B12+"$F;@!4fj"</f>
        <v>#VALUE!</v>
      </c>
      <c r="DK424" t="e">
        <f>'Australia and Oceania'!C12+"$F;@!4fk"</f>
        <v>#VALUE!</v>
      </c>
      <c r="DL424" t="e">
        <f>'Australia and Oceania'!D12+"$F;@!4fl"</f>
        <v>#VALUE!</v>
      </c>
      <c r="DM424" t="e">
        <f>'Australia and Oceania'!E12+"$F;@!4fm"</f>
        <v>#VALUE!</v>
      </c>
      <c r="DN424" t="e">
        <f>'Australia and Oceania'!F12+"$F;@!4fn"</f>
        <v>#VALUE!</v>
      </c>
      <c r="DO424" t="e">
        <f>'Australia and Oceania'!G12+"$F;@!4fo"</f>
        <v>#VALUE!</v>
      </c>
      <c r="DP424" t="e">
        <f>'Australia and Oceania'!H12+"$F;@!4fp"</f>
        <v>#VALUE!</v>
      </c>
      <c r="DQ424" t="e">
        <f>'Australia and Oceania'!A13+"$F;@!4fq"</f>
        <v>#VALUE!</v>
      </c>
      <c r="DR424" t="e">
        <f>'Australia and Oceania'!B13+"$F;@!4fr"</f>
        <v>#VALUE!</v>
      </c>
      <c r="DS424" t="e">
        <f>'Australia and Oceania'!C13+"$F;@!4fs"</f>
        <v>#VALUE!</v>
      </c>
      <c r="DT424" t="e">
        <f>'Australia and Oceania'!D13+"$F;@!4ft"</f>
        <v>#VALUE!</v>
      </c>
      <c r="DU424" t="e">
        <f>'Australia and Oceania'!E13+"$F;@!4fu"</f>
        <v>#VALUE!</v>
      </c>
      <c r="DV424" t="e">
        <f>'Australia and Oceania'!F13+"$F;@!4fv"</f>
        <v>#VALUE!</v>
      </c>
      <c r="DW424" t="e">
        <f>'Australia and Oceania'!G13+"$F;@!4fw"</f>
        <v>#VALUE!</v>
      </c>
      <c r="DX424" t="e">
        <f>'Australia and Oceania'!H13+"$F;@!4fx"</f>
        <v>#VALUE!</v>
      </c>
      <c r="DY424" t="e">
        <f>'Australia and Oceania'!A14+"$F;@!4fy"</f>
        <v>#VALUE!</v>
      </c>
      <c r="DZ424" t="e">
        <f>'Australia and Oceania'!B14+"$F;@!4fz"</f>
        <v>#VALUE!</v>
      </c>
      <c r="EA424" t="e">
        <f>'Australia and Oceania'!C14+"$F;@!4f{"</f>
        <v>#VALUE!</v>
      </c>
      <c r="EB424" t="e">
        <f>'Australia and Oceania'!D14+"$F;@!4f|"</f>
        <v>#VALUE!</v>
      </c>
      <c r="EC424" t="e">
        <f>'Australia and Oceania'!E14+"$F;@!4f}"</f>
        <v>#VALUE!</v>
      </c>
      <c r="ED424" t="e">
        <f>'Australia and Oceania'!F14+"$F;@!4f~"</f>
        <v>#VALUE!</v>
      </c>
      <c r="EE424" t="e">
        <f>'Australia and Oceania'!G14+"$F;@!4g#"</f>
        <v>#VALUE!</v>
      </c>
      <c r="EF424" t="e">
        <f>'Australia and Oceania'!H14+"$F;@!4g$"</f>
        <v>#VALUE!</v>
      </c>
      <c r="EG424" t="e">
        <f>'Australia and Oceania'!A15+"$F;@!4g%"</f>
        <v>#VALUE!</v>
      </c>
      <c r="EH424" t="e">
        <f>'Australia and Oceania'!B15+"$F;@!4g&amp;"</f>
        <v>#VALUE!</v>
      </c>
      <c r="EI424" t="e">
        <f>'Australia and Oceania'!C15+"$F;@!4g'"</f>
        <v>#VALUE!</v>
      </c>
      <c r="EJ424" t="e">
        <f>'Australia and Oceania'!D15+"$F;@!4g("</f>
        <v>#VALUE!</v>
      </c>
      <c r="EK424" t="e">
        <f>'Australia and Oceania'!E15+"$F;@!4g)"</f>
        <v>#VALUE!</v>
      </c>
      <c r="EL424" t="e">
        <f>'Australia and Oceania'!F15+"$F;@!4g."</f>
        <v>#VALUE!</v>
      </c>
      <c r="EM424" t="e">
        <f>'Australia and Oceania'!G15+"$F;@!4g/"</f>
        <v>#VALUE!</v>
      </c>
      <c r="EN424" t="e">
        <f>'Australia and Oceania'!H15+"$F;@!4g0"</f>
        <v>#VALUE!</v>
      </c>
      <c r="EO424" t="e">
        <f>'Australia and Oceania'!A16+"$F;@!4g1"</f>
        <v>#VALUE!</v>
      </c>
      <c r="EP424" t="e">
        <f>'Australia and Oceania'!B16+"$F;@!4g2"</f>
        <v>#VALUE!</v>
      </c>
      <c r="EQ424" t="e">
        <f>'Australia and Oceania'!C16+"$F;@!4g3"</f>
        <v>#VALUE!</v>
      </c>
      <c r="ER424" t="e">
        <f>'Australia and Oceania'!D16+"$F;@!4g4"</f>
        <v>#VALUE!</v>
      </c>
      <c r="ES424" t="e">
        <f>'Australia and Oceania'!E16+"$F;@!4g5"</f>
        <v>#VALUE!</v>
      </c>
      <c r="ET424" t="e">
        <f>'Australia and Oceania'!F16+"$F;@!4g6"</f>
        <v>#VALUE!</v>
      </c>
      <c r="EU424" t="e">
        <f>'Australia and Oceania'!G16+"$F;@!4g7"</f>
        <v>#VALUE!</v>
      </c>
      <c r="EV424" t="e">
        <f>'Australia and Oceania'!H16+"$F;@!4g8"</f>
        <v>#VALUE!</v>
      </c>
      <c r="EW424" t="e">
        <f>'Australia and Oceania'!A17+"$F;@!4g9"</f>
        <v>#VALUE!</v>
      </c>
      <c r="EX424" t="e">
        <f>'Australia and Oceania'!B17+"$F;@!4g:"</f>
        <v>#VALUE!</v>
      </c>
      <c r="EY424" t="e">
        <f>'Australia and Oceania'!C17+"$F;@!4g;"</f>
        <v>#VALUE!</v>
      </c>
      <c r="EZ424" t="e">
        <f>'Australia and Oceania'!D17+"$F;@!4g&lt;"</f>
        <v>#VALUE!</v>
      </c>
      <c r="FA424" t="e">
        <f>'Australia and Oceania'!E17+"$F;@!4g="</f>
        <v>#VALUE!</v>
      </c>
      <c r="FB424" t="e">
        <f>'Australia and Oceania'!F17+"$F;@!4g&gt;"</f>
        <v>#VALUE!</v>
      </c>
      <c r="FC424" t="e">
        <f>'Australia and Oceania'!G17+"$F;@!4g?"</f>
        <v>#VALUE!</v>
      </c>
      <c r="FD424" t="e">
        <f>'Australia and Oceania'!H17+"$F;@!4g@"</f>
        <v>#VALUE!</v>
      </c>
      <c r="FE424" t="e">
        <f>'Australia and Oceania'!A18+"$F;@!4gA"</f>
        <v>#VALUE!</v>
      </c>
      <c r="FF424" t="e">
        <f>'Australia and Oceania'!B18+"$F;@!4gB"</f>
        <v>#VALUE!</v>
      </c>
      <c r="FG424" t="e">
        <f>'Australia and Oceania'!C18+"$F;@!4gC"</f>
        <v>#VALUE!</v>
      </c>
      <c r="FH424" t="e">
        <f>'Australia and Oceania'!D18+"$F;@!4gD"</f>
        <v>#VALUE!</v>
      </c>
      <c r="FI424" t="e">
        <f>'Australia and Oceania'!E18+"$F;@!4gE"</f>
        <v>#VALUE!</v>
      </c>
      <c r="FJ424" t="e">
        <f>'Australia and Oceania'!F18+"$F;@!4gF"</f>
        <v>#VALUE!</v>
      </c>
      <c r="FK424" t="e">
        <f>'Australia and Oceania'!G18+"$F;@!4gG"</f>
        <v>#VALUE!</v>
      </c>
      <c r="FL424" t="e">
        <f>'Australia and Oceania'!H18+"$F;@!4gH"</f>
        <v>#VALUE!</v>
      </c>
      <c r="FM424" t="e">
        <f>'Australia and Oceania'!A19+"$F;@!4gI"</f>
        <v>#VALUE!</v>
      </c>
      <c r="FN424" t="e">
        <f>'Australia and Oceania'!B19+"$F;@!4gJ"</f>
        <v>#VALUE!</v>
      </c>
      <c r="FO424" t="e">
        <f>'Australia and Oceania'!C19+"$F;@!4gK"</f>
        <v>#VALUE!</v>
      </c>
      <c r="FP424" t="e">
        <f>'Australia and Oceania'!D19+"$F;@!4gL"</f>
        <v>#VALUE!</v>
      </c>
      <c r="FQ424" t="e">
        <f>'Australia and Oceania'!E19+"$F;@!4gM"</f>
        <v>#VALUE!</v>
      </c>
      <c r="FR424" t="e">
        <f>'Australia and Oceania'!F19+"$F;@!4gN"</f>
        <v>#VALUE!</v>
      </c>
      <c r="FS424" t="e">
        <f>'Australia and Oceania'!G19+"$F;@!4gO"</f>
        <v>#VALUE!</v>
      </c>
      <c r="FT424" t="e">
        <f>'Australia and Oceania'!H19+"$F;@!4gP"</f>
        <v>#VALUE!</v>
      </c>
      <c r="FU424" t="e">
        <f>'Australia and Oceania'!A20+"$F;@!4gQ"</f>
        <v>#VALUE!</v>
      </c>
      <c r="FV424" t="e">
        <f>'Australia and Oceania'!B20+"$F;@!4gR"</f>
        <v>#VALUE!</v>
      </c>
      <c r="FW424" t="e">
        <f>'Australia and Oceania'!C20+"$F;@!4gS"</f>
        <v>#VALUE!</v>
      </c>
      <c r="FX424" t="e">
        <f>'Australia and Oceania'!D20+"$F;@!4gT"</f>
        <v>#VALUE!</v>
      </c>
      <c r="FY424" t="e">
        <f>'Australia and Oceania'!E20+"$F;@!4gU"</f>
        <v>#VALUE!</v>
      </c>
      <c r="FZ424" t="e">
        <f>'Australia and Oceania'!F20+"$F;@!4gV"</f>
        <v>#VALUE!</v>
      </c>
      <c r="GA424" t="e">
        <f>'Australia and Oceania'!G20+"$F;@!4gW"</f>
        <v>#VALUE!</v>
      </c>
      <c r="GB424" t="e">
        <f>'Australia and Oceania'!H20+"$F;@!4gX"</f>
        <v>#VALUE!</v>
      </c>
      <c r="GC424" t="e">
        <f>'Australia and Oceania'!A21+"$F;@!4gY"</f>
        <v>#VALUE!</v>
      </c>
      <c r="GD424" t="e">
        <f>'Australia and Oceania'!B21+"$F;@!4gZ"</f>
        <v>#VALUE!</v>
      </c>
      <c r="GE424" t="e">
        <f>'Australia and Oceania'!C21+"$F;@!4g["</f>
        <v>#VALUE!</v>
      </c>
      <c r="GF424" t="e">
        <f>'Australia and Oceania'!D21+"$F;@!4g\"</f>
        <v>#VALUE!</v>
      </c>
      <c r="GG424" t="e">
        <f>'Australia and Oceania'!E21+"$F;@!4g]"</f>
        <v>#VALUE!</v>
      </c>
      <c r="GH424" t="e">
        <f>'Australia and Oceania'!F21+"$F;@!4g^"</f>
        <v>#VALUE!</v>
      </c>
      <c r="GI424" t="e">
        <f>'Australia and Oceania'!G21+"$F;@!4g_"</f>
        <v>#VALUE!</v>
      </c>
      <c r="GJ424" t="e">
        <f>'Australia and Oceania'!H21+"$F;@!4g`"</f>
        <v>#VALUE!</v>
      </c>
      <c r="GK424" t="e">
        <f>'Australia and Oceania'!A22+"$F;@!4ga"</f>
        <v>#VALUE!</v>
      </c>
      <c r="GL424" t="e">
        <f>'Australia and Oceania'!B22+"$F;@!4gb"</f>
        <v>#VALUE!</v>
      </c>
      <c r="GM424" t="e">
        <f>'Australia and Oceania'!C22+"$F;@!4gc"</f>
        <v>#VALUE!</v>
      </c>
      <c r="GN424" t="e">
        <f>'Australia and Oceania'!D22+"$F;@!4gd"</f>
        <v>#VALUE!</v>
      </c>
      <c r="GO424" t="e">
        <f>'Australia and Oceania'!E22+"$F;@!4ge"</f>
        <v>#VALUE!</v>
      </c>
      <c r="GP424" t="e">
        <f>'Australia and Oceania'!F22+"$F;@!4gf"</f>
        <v>#VALUE!</v>
      </c>
      <c r="GQ424" t="e">
        <f>'Australia and Oceania'!G22+"$F;@!4gg"</f>
        <v>#VALUE!</v>
      </c>
      <c r="GR424" t="e">
        <f>'Australia and Oceania'!H22+"$F;@!4gh"</f>
        <v>#VALUE!</v>
      </c>
      <c r="GS424" t="e">
        <f>'Australia and Oceania'!A23+"$F;@!4gi"</f>
        <v>#VALUE!</v>
      </c>
      <c r="GT424" t="e">
        <f>'Australia and Oceania'!B23+"$F;@!4gj"</f>
        <v>#VALUE!</v>
      </c>
      <c r="GU424" t="e">
        <f>'Australia and Oceania'!C23+"$F;@!4gk"</f>
        <v>#VALUE!</v>
      </c>
      <c r="GV424" t="e">
        <f>'Australia and Oceania'!D23+"$F;@!4gl"</f>
        <v>#VALUE!</v>
      </c>
      <c r="GW424" t="e">
        <f>'Australia and Oceania'!E23+"$F;@!4gm"</f>
        <v>#VALUE!</v>
      </c>
      <c r="GX424" t="e">
        <f>'Australia and Oceania'!F23+"$F;@!4gn"</f>
        <v>#VALUE!</v>
      </c>
      <c r="GY424" t="e">
        <f>'Australia and Oceania'!G23+"$F;@!4go"</f>
        <v>#VALUE!</v>
      </c>
      <c r="GZ424" t="e">
        <f>'Australia and Oceania'!H23+"$F;@!4gp"</f>
        <v>#VALUE!</v>
      </c>
      <c r="HA424" t="e">
        <f>'Australia and Oceania'!A24+"$F;@!4gq"</f>
        <v>#VALUE!</v>
      </c>
      <c r="HB424" t="e">
        <f>'Australia and Oceania'!B24+"$F;@!4gr"</f>
        <v>#VALUE!</v>
      </c>
      <c r="HC424" t="e">
        <f>'Australia and Oceania'!C24+"$F;@!4gs"</f>
        <v>#VALUE!</v>
      </c>
      <c r="HD424" t="e">
        <f>'Australia and Oceania'!D24+"$F;@!4gt"</f>
        <v>#VALUE!</v>
      </c>
      <c r="HE424" t="e">
        <f>'Australia and Oceania'!E24+"$F;@!4gu"</f>
        <v>#VALUE!</v>
      </c>
      <c r="HF424" t="e">
        <f>'Australia and Oceania'!F24+"$F;@!4gv"</f>
        <v>#VALUE!</v>
      </c>
      <c r="HG424" t="e">
        <f>'Australia and Oceania'!G24+"$F;@!4gw"</f>
        <v>#VALUE!</v>
      </c>
      <c r="HH424" t="e">
        <f>'Australia and Oceania'!H24+"$F;@!4gx"</f>
        <v>#VALUE!</v>
      </c>
      <c r="HI424" t="e">
        <f>'Australia and Oceania'!A25+"$F;@!4gy"</f>
        <v>#VALUE!</v>
      </c>
      <c r="HJ424" t="e">
        <f>'Australia and Oceania'!B25+"$F;@!4gz"</f>
        <v>#VALUE!</v>
      </c>
      <c r="HK424" t="e">
        <f>'Australia and Oceania'!C25+"$F;@!4g{"</f>
        <v>#VALUE!</v>
      </c>
      <c r="HL424" t="e">
        <f>'Australia and Oceania'!D25+"$F;@!4g|"</f>
        <v>#VALUE!</v>
      </c>
      <c r="HM424" t="e">
        <f>'Australia and Oceania'!E25+"$F;@!4g}"</f>
        <v>#VALUE!</v>
      </c>
      <c r="HN424" t="e">
        <f>'Australia and Oceania'!F25+"$F;@!4g~"</f>
        <v>#VALUE!</v>
      </c>
      <c r="HO424" t="e">
        <f>'Australia and Oceania'!G25+"$F;@!4h#"</f>
        <v>#VALUE!</v>
      </c>
      <c r="HP424" t="e">
        <f>'Australia and Oceania'!H25+"$F;@!4h$"</f>
        <v>#VALUE!</v>
      </c>
      <c r="HQ424" t="e">
        <f>'Australia and Oceania'!A26+"$F;@!4h%"</f>
        <v>#VALUE!</v>
      </c>
      <c r="HR424" t="e">
        <f>'Australia and Oceania'!B26+"$F;@!4h&amp;"</f>
        <v>#VALUE!</v>
      </c>
      <c r="HS424" t="e">
        <f>'Australia and Oceania'!C26+"$F;@!4h'"</f>
        <v>#VALUE!</v>
      </c>
      <c r="HT424" t="e">
        <f>'Australia and Oceania'!D26+"$F;@!4h("</f>
        <v>#VALUE!</v>
      </c>
      <c r="HU424" t="e">
        <f>'Australia and Oceania'!E26+"$F;@!4h)"</f>
        <v>#VALUE!</v>
      </c>
      <c r="HV424" t="e">
        <f>'Australia and Oceania'!F26+"$F;@!4h."</f>
        <v>#VALUE!</v>
      </c>
      <c r="HW424" t="e">
        <f>'Australia and Oceania'!G26+"$F;@!4h/"</f>
        <v>#VALUE!</v>
      </c>
      <c r="HX424" t="e">
        <f>'Australia and Oceania'!H26+"$F;@!4h0"</f>
        <v>#VALUE!</v>
      </c>
      <c r="HY424" t="e">
        <f>'Australia and Oceania'!A27+"$F;@!4h1"</f>
        <v>#VALUE!</v>
      </c>
      <c r="HZ424" t="e">
        <f>'Australia and Oceania'!B27+"$F;@!4h2"</f>
        <v>#VALUE!</v>
      </c>
      <c r="IA424" t="e">
        <f>'Australia and Oceania'!C27+"$F;@!4h3"</f>
        <v>#VALUE!</v>
      </c>
      <c r="IB424" t="e">
        <f>'Australia and Oceania'!D27+"$F;@!4h4"</f>
        <v>#VALUE!</v>
      </c>
      <c r="IC424" t="e">
        <f>'Australia and Oceania'!E27+"$F;@!4h5"</f>
        <v>#VALUE!</v>
      </c>
      <c r="ID424" t="e">
        <f>'Australia and Oceania'!F27+"$F;@!4h6"</f>
        <v>#VALUE!</v>
      </c>
      <c r="IE424" t="e">
        <f>'Australia and Oceania'!G27+"$F;@!4h7"</f>
        <v>#VALUE!</v>
      </c>
      <c r="IF424" t="e">
        <f>'Australia and Oceania'!H27+"$F;@!4h8"</f>
        <v>#VALUE!</v>
      </c>
      <c r="IG424" t="e">
        <f>'Australia and Oceania'!A28+"$F;@!4h9"</f>
        <v>#VALUE!</v>
      </c>
      <c r="IH424" t="e">
        <f>'Australia and Oceania'!B28+"$F;@!4h:"</f>
        <v>#VALUE!</v>
      </c>
      <c r="II424" t="e">
        <f>'Australia and Oceania'!C28+"$F;@!4h;"</f>
        <v>#VALUE!</v>
      </c>
      <c r="IJ424" t="e">
        <f>'Australia and Oceania'!D28+"$F;@!4h&lt;"</f>
        <v>#VALUE!</v>
      </c>
      <c r="IK424" t="e">
        <f>'Australia and Oceania'!E28+"$F;@!4h="</f>
        <v>#VALUE!</v>
      </c>
      <c r="IL424" t="e">
        <f>'Australia and Oceania'!F28+"$F;@!4h&gt;"</f>
        <v>#VALUE!</v>
      </c>
      <c r="IM424" t="e">
        <f>'Australia and Oceania'!G28+"$F;@!4h?"</f>
        <v>#VALUE!</v>
      </c>
      <c r="IN424" t="e">
        <f>'Australia and Oceania'!H28+"$F;@!4h@"</f>
        <v>#VALUE!</v>
      </c>
      <c r="IO424" t="e">
        <f>'Australia and Oceania'!A29+"$F;@!4hA"</f>
        <v>#VALUE!</v>
      </c>
      <c r="IP424" t="e">
        <f>'Australia and Oceania'!B29+"$F;@!4hB"</f>
        <v>#VALUE!</v>
      </c>
      <c r="IQ424" t="e">
        <f>'Australia and Oceania'!C29+"$F;@!4hC"</f>
        <v>#VALUE!</v>
      </c>
      <c r="IR424" t="e">
        <f>'Australia and Oceania'!D29+"$F;@!4hD"</f>
        <v>#VALUE!</v>
      </c>
      <c r="IS424" t="e">
        <f>'Australia and Oceania'!E29+"$F;@!4hE"</f>
        <v>#VALUE!</v>
      </c>
      <c r="IT424" t="e">
        <f>'Australia and Oceania'!F29+"$F;@!4hF"</f>
        <v>#VALUE!</v>
      </c>
      <c r="IU424" t="e">
        <f>'Australia and Oceania'!G29+"$F;@!4hG"</f>
        <v>#VALUE!</v>
      </c>
      <c r="IV424" t="e">
        <f>'Australia and Oceania'!H29+"$F;@!4hH"</f>
        <v>#VALUE!</v>
      </c>
    </row>
    <row r="425" spans="6:256" x14ac:dyDescent="0.35">
      <c r="F425" t="e">
        <f>'Australia and Oceania'!A30+"$F;@!4hI"</f>
        <v>#VALUE!</v>
      </c>
      <c r="G425" t="e">
        <f>'Australia and Oceania'!B30+"$F;@!4hJ"</f>
        <v>#VALUE!</v>
      </c>
      <c r="H425" t="e">
        <f>'Australia and Oceania'!C30+"$F;@!4hK"</f>
        <v>#VALUE!</v>
      </c>
      <c r="I425" t="e">
        <f>'Australia and Oceania'!D30+"$F;@!4hL"</f>
        <v>#VALUE!</v>
      </c>
      <c r="J425" t="e">
        <f>'Australia and Oceania'!E30+"$F;@!4hM"</f>
        <v>#VALUE!</v>
      </c>
      <c r="K425" t="e">
        <f>'Australia and Oceania'!F30+"$F;@!4hN"</f>
        <v>#VALUE!</v>
      </c>
      <c r="L425" t="e">
        <f>'Australia and Oceania'!G30+"$F;@!4hO"</f>
        <v>#VALUE!</v>
      </c>
      <c r="M425" t="e">
        <f>'Australia and Oceania'!H30+"$F;@!4hP"</f>
        <v>#VALUE!</v>
      </c>
      <c r="N425" t="e">
        <f>'Australia and Oceania'!A31+"$F;@!4hQ"</f>
        <v>#VALUE!</v>
      </c>
      <c r="O425" t="e">
        <f>'Australia and Oceania'!B31+"$F;@!4hR"</f>
        <v>#VALUE!</v>
      </c>
      <c r="P425" t="e">
        <f>'Australia and Oceania'!C31+"$F;@!4hS"</f>
        <v>#VALUE!</v>
      </c>
      <c r="Q425" t="e">
        <f>'Australia and Oceania'!D31+"$F;@!4hT"</f>
        <v>#VALUE!</v>
      </c>
      <c r="R425" t="e">
        <f>'Australia and Oceania'!E31+"$F;@!4hU"</f>
        <v>#VALUE!</v>
      </c>
      <c r="S425" t="e">
        <f>'Australia and Oceania'!F31+"$F;@!4hV"</f>
        <v>#VALUE!</v>
      </c>
      <c r="T425" t="e">
        <f>'Australia and Oceania'!G31+"$F;@!4hW"</f>
        <v>#VALUE!</v>
      </c>
      <c r="U425" t="e">
        <f>'Australia and Oceania'!H31+"$F;@!4hX"</f>
        <v>#VALUE!</v>
      </c>
      <c r="V425" t="e">
        <f>'Australia and Oceania'!A32+"$F;@!4hY"</f>
        <v>#VALUE!</v>
      </c>
      <c r="W425" t="e">
        <f>'Australia and Oceania'!B32+"$F;@!4hZ"</f>
        <v>#VALUE!</v>
      </c>
      <c r="X425" t="e">
        <f>'Australia and Oceania'!C32+"$F;@!4h["</f>
        <v>#VALUE!</v>
      </c>
      <c r="Y425" t="e">
        <f>'Australia and Oceania'!D32+"$F;@!4h\"</f>
        <v>#VALUE!</v>
      </c>
      <c r="Z425" t="e">
        <f>'Australia and Oceania'!E32+"$F;@!4h]"</f>
        <v>#VALUE!</v>
      </c>
      <c r="AA425" t="e">
        <f>'Australia and Oceania'!F32+"$F;@!4h^"</f>
        <v>#VALUE!</v>
      </c>
      <c r="AB425" t="e">
        <f>'Australia and Oceania'!G32+"$F;@!4h_"</f>
        <v>#VALUE!</v>
      </c>
      <c r="AC425" t="e">
        <f>'Australia and Oceania'!H32+"$F;@!4h`"</f>
        <v>#VALUE!</v>
      </c>
      <c r="AD425" t="e">
        <f>'Australia and Oceania'!A33+"$F;@!4ha"</f>
        <v>#VALUE!</v>
      </c>
      <c r="AE425" t="e">
        <f>'Australia and Oceania'!B33+"$F;@!4hb"</f>
        <v>#VALUE!</v>
      </c>
      <c r="AF425" t="e">
        <f>'Australia and Oceania'!C33+"$F;@!4hc"</f>
        <v>#VALUE!</v>
      </c>
      <c r="AG425" t="e">
        <f>'Australia and Oceania'!D33+"$F;@!4hd"</f>
        <v>#VALUE!</v>
      </c>
      <c r="AH425" t="e">
        <f>'Australia and Oceania'!E33+"$F;@!4he"</f>
        <v>#VALUE!</v>
      </c>
      <c r="AI425" t="e">
        <f>'Australia and Oceania'!F33+"$F;@!4hf"</f>
        <v>#VALUE!</v>
      </c>
      <c r="AJ425" t="e">
        <f>'Australia and Oceania'!G33+"$F;@!4hg"</f>
        <v>#VALUE!</v>
      </c>
      <c r="AK425" t="e">
        <f>'Australia and Oceania'!H33+"$F;@!4hh"</f>
        <v>#VALUE!</v>
      </c>
      <c r="AL425" t="e">
        <f>'Australia and Oceania'!A34+"$F;@!4hi"</f>
        <v>#VALUE!</v>
      </c>
      <c r="AM425" t="e">
        <f>'Australia and Oceania'!B34+"$F;@!4hj"</f>
        <v>#VALUE!</v>
      </c>
      <c r="AN425" t="e">
        <f>'Australia and Oceania'!C34+"$F;@!4hk"</f>
        <v>#VALUE!</v>
      </c>
      <c r="AO425" t="e">
        <f>'Australia and Oceania'!D34+"$F;@!4hl"</f>
        <v>#VALUE!</v>
      </c>
      <c r="AP425" t="e">
        <f>'Australia and Oceania'!E34+"$F;@!4hm"</f>
        <v>#VALUE!</v>
      </c>
      <c r="AQ425" t="e">
        <f>'Australia and Oceania'!F34+"$F;@!4hn"</f>
        <v>#VALUE!</v>
      </c>
      <c r="AR425" t="e">
        <f>'Australia and Oceania'!G34+"$F;@!4ho"</f>
        <v>#VALUE!</v>
      </c>
      <c r="AS425" t="e">
        <f>'Australia and Oceania'!H34+"$F;@!4hp"</f>
        <v>#VALUE!</v>
      </c>
      <c r="AT425" t="e">
        <f>'Australia and Oceania'!A35+"$F;@!4hq"</f>
        <v>#VALUE!</v>
      </c>
      <c r="AU425" t="e">
        <f>'Australia and Oceania'!B35+"$F;@!4hr"</f>
        <v>#VALUE!</v>
      </c>
      <c r="AV425" t="e">
        <f>'Australia and Oceania'!C35+"$F;@!4hs"</f>
        <v>#VALUE!</v>
      </c>
      <c r="AW425" t="e">
        <f>'Australia and Oceania'!D35+"$F;@!4ht"</f>
        <v>#VALUE!</v>
      </c>
      <c r="AX425" t="e">
        <f>'Australia and Oceania'!E35+"$F;@!4hu"</f>
        <v>#VALUE!</v>
      </c>
      <c r="AY425" t="e">
        <f>'Australia and Oceania'!F35+"$F;@!4hv"</f>
        <v>#VALUE!</v>
      </c>
      <c r="AZ425" t="e">
        <f>'Australia and Oceania'!G35+"$F;@!4hw"</f>
        <v>#VALUE!</v>
      </c>
      <c r="BA425" t="e">
        <f>'Australia and Oceania'!H35+"$F;@!4hx"</f>
        <v>#VALUE!</v>
      </c>
      <c r="BB425" t="e">
        <f>'Australia and Oceania'!A36+"$F;@!4hy"</f>
        <v>#VALUE!</v>
      </c>
      <c r="BC425" t="e">
        <f>'Australia and Oceania'!B36+"$F;@!4hz"</f>
        <v>#VALUE!</v>
      </c>
      <c r="BD425" t="e">
        <f>'Australia and Oceania'!C36+"$F;@!4h{"</f>
        <v>#VALUE!</v>
      </c>
      <c r="BE425" t="e">
        <f>'Australia and Oceania'!D36+"$F;@!4h|"</f>
        <v>#VALUE!</v>
      </c>
      <c r="BF425" t="e">
        <f>'Australia and Oceania'!E36+"$F;@!4h}"</f>
        <v>#VALUE!</v>
      </c>
      <c r="BG425" t="e">
        <f>'Australia and Oceania'!F36+"$F;@!4h~"</f>
        <v>#VALUE!</v>
      </c>
      <c r="BH425" t="e">
        <f>'Australia and Oceania'!G36+"$F;@!4i#"</f>
        <v>#VALUE!</v>
      </c>
      <c r="BI425" t="e">
        <f>'Australia and Oceania'!H36+"$F;@!4i$"</f>
        <v>#VALUE!</v>
      </c>
      <c r="BJ425" t="e">
        <f>'Australia and Oceania'!A37+"$F;@!4i%"</f>
        <v>#VALUE!</v>
      </c>
      <c r="BK425" t="e">
        <f>'Australia and Oceania'!B37+"$F;@!4i&amp;"</f>
        <v>#VALUE!</v>
      </c>
      <c r="BL425" t="e">
        <f>'Australia and Oceania'!C37+"$F;@!4i'"</f>
        <v>#VALUE!</v>
      </c>
      <c r="BM425" t="e">
        <f>'Australia and Oceania'!D37+"$F;@!4i("</f>
        <v>#VALUE!</v>
      </c>
      <c r="BN425" t="e">
        <f>'Australia and Oceania'!E37+"$F;@!4i)"</f>
        <v>#VALUE!</v>
      </c>
      <c r="BO425" t="e">
        <f>'Australia and Oceania'!F37+"$F;@!4i."</f>
        <v>#VALUE!</v>
      </c>
      <c r="BP425" t="e">
        <f>'Australia and Oceania'!G37+"$F;@!4i/"</f>
        <v>#VALUE!</v>
      </c>
      <c r="BQ425" t="e">
        <f>'Australia and Oceania'!H37+"$F;@!4i0"</f>
        <v>#VALUE!</v>
      </c>
      <c r="BR425" t="e">
        <f>'Australia and Oceania'!A38+"$F;@!4i1"</f>
        <v>#VALUE!</v>
      </c>
      <c r="BS425" t="e">
        <f>'Australia and Oceania'!B38+"$F;@!4i2"</f>
        <v>#VALUE!</v>
      </c>
      <c r="BT425" t="e">
        <f>'Australia and Oceania'!C38+"$F;@!4i3"</f>
        <v>#VALUE!</v>
      </c>
      <c r="BU425" t="e">
        <f>'Australia and Oceania'!D38+"$F;@!4i4"</f>
        <v>#VALUE!</v>
      </c>
      <c r="BV425" t="e">
        <f>'Australia and Oceania'!E38+"$F;@!4i5"</f>
        <v>#VALUE!</v>
      </c>
      <c r="BW425" t="e">
        <f>'Australia and Oceania'!F38+"$F;@!4i6"</f>
        <v>#VALUE!</v>
      </c>
      <c r="BX425" t="e">
        <f>'Australia and Oceania'!G38+"$F;@!4i7"</f>
        <v>#VALUE!</v>
      </c>
      <c r="BY425" t="e">
        <f>'Australia and Oceania'!H38+"$F;@!4i8"</f>
        <v>#VALUE!</v>
      </c>
      <c r="BZ425" t="e">
        <f>'Australia and Oceania'!A39+"$F;@!4i9"</f>
        <v>#VALUE!</v>
      </c>
      <c r="CA425" t="e">
        <f>'Australia and Oceania'!B39+"$F;@!4i:"</f>
        <v>#VALUE!</v>
      </c>
      <c r="CB425" t="e">
        <f>'Australia and Oceania'!C39+"$F;@!4i;"</f>
        <v>#VALUE!</v>
      </c>
      <c r="CC425" t="e">
        <f>'Australia and Oceania'!D39+"$F;@!4i&lt;"</f>
        <v>#VALUE!</v>
      </c>
      <c r="CD425" t="e">
        <f>'Australia and Oceania'!E39+"$F;@!4i="</f>
        <v>#VALUE!</v>
      </c>
      <c r="CE425" t="e">
        <f>'Australia and Oceania'!F39+"$F;@!4i&gt;"</f>
        <v>#VALUE!</v>
      </c>
      <c r="CF425" t="e">
        <f>'Australia and Oceania'!G39+"$F;@!4i?"</f>
        <v>#VALUE!</v>
      </c>
      <c r="CG425" t="e">
        <f>'Australia and Oceania'!H39+"$F;@!4i@"</f>
        <v>#VALUE!</v>
      </c>
      <c r="CH425" t="e">
        <f>'Australia and Oceania'!A40+"$F;@!4iA"</f>
        <v>#VALUE!</v>
      </c>
      <c r="CI425" t="e">
        <f>'Australia and Oceania'!B40+"$F;@!4iB"</f>
        <v>#VALUE!</v>
      </c>
      <c r="CJ425" t="e">
        <f>'Australia and Oceania'!C40+"$F;@!4iC"</f>
        <v>#VALUE!</v>
      </c>
      <c r="CK425" t="e">
        <f>'Australia and Oceania'!D40+"$F;@!4iD"</f>
        <v>#VALUE!</v>
      </c>
      <c r="CL425" t="e">
        <f>'Australia and Oceania'!E40+"$F;@!4iE"</f>
        <v>#VALUE!</v>
      </c>
      <c r="CM425" t="e">
        <f>'Australia and Oceania'!F40+"$F;@!4iF"</f>
        <v>#VALUE!</v>
      </c>
      <c r="CN425" t="e">
        <f>'Australia and Oceania'!G40+"$F;@!4iG"</f>
        <v>#VALUE!</v>
      </c>
      <c r="CO425" t="e">
        <f>'Australia and Oceania'!H40+"$F;@!4iH"</f>
        <v>#VALUE!</v>
      </c>
      <c r="CP425" t="e">
        <f>'Australia and Oceania'!A41+"$F;@!4iI"</f>
        <v>#VALUE!</v>
      </c>
      <c r="CQ425" t="e">
        <f>'Australia and Oceania'!B41+"$F;@!4iJ"</f>
        <v>#VALUE!</v>
      </c>
      <c r="CR425" t="e">
        <f>'Australia and Oceania'!C41+"$F;@!4iK"</f>
        <v>#VALUE!</v>
      </c>
      <c r="CS425" t="e">
        <f>'Australia and Oceania'!D41+"$F;@!4iL"</f>
        <v>#VALUE!</v>
      </c>
      <c r="CT425" t="e">
        <f>'Australia and Oceania'!E41+"$F;@!4iM"</f>
        <v>#VALUE!</v>
      </c>
      <c r="CU425" t="e">
        <f>'Australia and Oceania'!F41+"$F;@!4iN"</f>
        <v>#VALUE!</v>
      </c>
      <c r="CV425" t="e">
        <f>'Australia and Oceania'!G41+"$F;@!4iO"</f>
        <v>#VALUE!</v>
      </c>
      <c r="CW425" t="e">
        <f>'Australia and Oceania'!H41+"$F;@!4iP"</f>
        <v>#VALUE!</v>
      </c>
      <c r="CX425" t="e">
        <f>'Australia and Oceania'!A42+"$F;@!4iQ"</f>
        <v>#VALUE!</v>
      </c>
      <c r="CY425" t="e">
        <f>'Australia and Oceania'!B42+"$F;@!4iR"</f>
        <v>#VALUE!</v>
      </c>
      <c r="CZ425" t="e">
        <f>'Australia and Oceania'!C42+"$F;@!4iS"</f>
        <v>#VALUE!</v>
      </c>
      <c r="DA425" t="e">
        <f>'Australia and Oceania'!D42+"$F;@!4iT"</f>
        <v>#VALUE!</v>
      </c>
      <c r="DB425" t="e">
        <f>'Australia and Oceania'!E42+"$F;@!4iU"</f>
        <v>#VALUE!</v>
      </c>
      <c r="DC425" t="e">
        <f>'Australia and Oceania'!F42+"$F;@!4iV"</f>
        <v>#VALUE!</v>
      </c>
      <c r="DD425" t="e">
        <f>'Australia and Oceania'!G42+"$F;@!4iW"</f>
        <v>#VALUE!</v>
      </c>
      <c r="DE425" t="e">
        <f>'Australia and Oceania'!H42+"$F;@!4iX"</f>
        <v>#VALUE!</v>
      </c>
      <c r="DF425" t="e">
        <f>'Australia and Oceania'!A43+"$F;@!4iY"</f>
        <v>#VALUE!</v>
      </c>
      <c r="DG425" t="e">
        <f>'Australia and Oceania'!B43+"$F;@!4iZ"</f>
        <v>#VALUE!</v>
      </c>
      <c r="DH425" t="e">
        <f>'Australia and Oceania'!C43+"$F;@!4i["</f>
        <v>#VALUE!</v>
      </c>
      <c r="DI425" t="e">
        <f>'Australia and Oceania'!D43+"$F;@!4i\"</f>
        <v>#VALUE!</v>
      </c>
      <c r="DJ425" t="e">
        <f>'Australia and Oceania'!E43+"$F;@!4i]"</f>
        <v>#VALUE!</v>
      </c>
      <c r="DK425" t="e">
        <f>'Australia and Oceania'!F43+"$F;@!4i^"</f>
        <v>#VALUE!</v>
      </c>
      <c r="DL425" t="e">
        <f>'Australia and Oceania'!G43+"$F;@!4i_"</f>
        <v>#VALUE!</v>
      </c>
      <c r="DM425" t="e">
        <f>'Australia and Oceania'!H43+"$F;@!4i`"</f>
        <v>#VALUE!</v>
      </c>
      <c r="DN425" t="e">
        <f>'Australia and Oceania'!A44+"$F;@!4ia"</f>
        <v>#VALUE!</v>
      </c>
      <c r="DO425" t="e">
        <f>'Australia and Oceania'!B44+"$F;@!4ib"</f>
        <v>#VALUE!</v>
      </c>
      <c r="DP425" t="e">
        <f>'Australia and Oceania'!C44+"$F;@!4ic"</f>
        <v>#VALUE!</v>
      </c>
      <c r="DQ425" t="e">
        <f>'Australia and Oceania'!D44+"$F;@!4id"</f>
        <v>#VALUE!</v>
      </c>
      <c r="DR425" t="e">
        <f>'Australia and Oceania'!E44+"$F;@!4ie"</f>
        <v>#VALUE!</v>
      </c>
      <c r="DS425" t="e">
        <f>'Australia and Oceania'!F44+"$F;@!4if"</f>
        <v>#VALUE!</v>
      </c>
      <c r="DT425" t="e">
        <f>'Australia and Oceania'!G44+"$F;@!4ig"</f>
        <v>#VALUE!</v>
      </c>
      <c r="DU425" t="e">
        <f>'Australia and Oceania'!H44+"$F;@!4ih"</f>
        <v>#VALUE!</v>
      </c>
      <c r="DV425" t="e">
        <f>'Australia and Oceania'!A45+"$F;@!4ii"</f>
        <v>#VALUE!</v>
      </c>
      <c r="DW425" t="e">
        <f>'Australia and Oceania'!B45+"$F;@!4ij"</f>
        <v>#VALUE!</v>
      </c>
      <c r="DX425" t="e">
        <f>'Australia and Oceania'!C45+"$F;@!4ik"</f>
        <v>#VALUE!</v>
      </c>
      <c r="DY425" t="e">
        <f>'Australia and Oceania'!D45+"$F;@!4il"</f>
        <v>#VALUE!</v>
      </c>
      <c r="DZ425" t="e">
        <f>'Australia and Oceania'!E45+"$F;@!4im"</f>
        <v>#VALUE!</v>
      </c>
      <c r="EA425" t="e">
        <f>'Australia and Oceania'!F45+"$F;@!4in"</f>
        <v>#VALUE!</v>
      </c>
      <c r="EB425" t="e">
        <f>'Australia and Oceania'!G45+"$F;@!4io"</f>
        <v>#VALUE!</v>
      </c>
      <c r="EC425" t="e">
        <f>'Australia and Oceania'!H45+"$F;@!4ip"</f>
        <v>#VALUE!</v>
      </c>
      <c r="ED425" t="e">
        <f>'Australia and Oceania'!A46+"$F;@!4iq"</f>
        <v>#VALUE!</v>
      </c>
      <c r="EE425" t="e">
        <f>'Australia and Oceania'!B46+"$F;@!4ir"</f>
        <v>#VALUE!</v>
      </c>
      <c r="EF425" t="e">
        <f>'Australia and Oceania'!C46+"$F;@!4is"</f>
        <v>#VALUE!</v>
      </c>
      <c r="EG425" t="e">
        <f>'Australia and Oceania'!D46+"$F;@!4it"</f>
        <v>#VALUE!</v>
      </c>
      <c r="EH425" t="e">
        <f>'Australia and Oceania'!E46+"$F;@!4iu"</f>
        <v>#VALUE!</v>
      </c>
      <c r="EI425" t="e">
        <f>'Australia and Oceania'!F46+"$F;@!4iv"</f>
        <v>#VALUE!</v>
      </c>
      <c r="EJ425" t="e">
        <f>'Australia and Oceania'!G46+"$F;@!4iw"</f>
        <v>#VALUE!</v>
      </c>
      <c r="EK425" t="e">
        <f>'Australia and Oceania'!H46+"$F;@!4ix"</f>
        <v>#VALUE!</v>
      </c>
      <c r="EL425" t="e">
        <f>'Australia and Oceania'!A47+"$F;@!4iy"</f>
        <v>#VALUE!</v>
      </c>
      <c r="EM425" t="e">
        <f>'Australia and Oceania'!B47+"$F;@!4iz"</f>
        <v>#VALUE!</v>
      </c>
      <c r="EN425" t="e">
        <f>'Australia and Oceania'!C47+"$F;@!4i{"</f>
        <v>#VALUE!</v>
      </c>
      <c r="EO425" t="e">
        <f>'Australia and Oceania'!D47+"$F;@!4i|"</f>
        <v>#VALUE!</v>
      </c>
      <c r="EP425" t="e">
        <f>'Australia and Oceania'!E47+"$F;@!4i}"</f>
        <v>#VALUE!</v>
      </c>
      <c r="EQ425" t="e">
        <f>'Australia and Oceania'!F47+"$F;@!4i~"</f>
        <v>#VALUE!</v>
      </c>
      <c r="ER425" t="e">
        <f>'Australia and Oceania'!G47+"$F;@!4j#"</f>
        <v>#VALUE!</v>
      </c>
      <c r="ES425" t="e">
        <f>'Australia and Oceania'!H47+"$F;@!4j$"</f>
        <v>#VALUE!</v>
      </c>
      <c r="ET425" t="e">
        <f>'Australia and Oceania'!A48+"$F;@!4j%"</f>
        <v>#VALUE!</v>
      </c>
      <c r="EU425" t="e">
        <f>'Australia and Oceania'!B48+"$F;@!4j&amp;"</f>
        <v>#VALUE!</v>
      </c>
      <c r="EV425" t="e">
        <f>'Australia and Oceania'!C48+"$F;@!4j'"</f>
        <v>#VALUE!</v>
      </c>
      <c r="EW425" t="e">
        <f>'Australia and Oceania'!D48+"$F;@!4j("</f>
        <v>#VALUE!</v>
      </c>
      <c r="EX425" t="e">
        <f>'Australia and Oceania'!E48+"$F;@!4j)"</f>
        <v>#VALUE!</v>
      </c>
      <c r="EY425" t="e">
        <f>'Australia and Oceania'!F48+"$F;@!4j."</f>
        <v>#VALUE!</v>
      </c>
      <c r="EZ425" t="e">
        <f>'Australia and Oceania'!G48+"$F;@!4j/"</f>
        <v>#VALUE!</v>
      </c>
      <c r="FA425" t="e">
        <f>'Australia and Oceania'!H48+"$F;@!4j0"</f>
        <v>#VALUE!</v>
      </c>
      <c r="FB425" t="e">
        <f>'Australia and Oceania'!A49+"$F;@!4j1"</f>
        <v>#VALUE!</v>
      </c>
      <c r="FC425" t="e">
        <f>'Australia and Oceania'!B49+"$F;@!4j2"</f>
        <v>#VALUE!</v>
      </c>
      <c r="FD425" t="e">
        <f>'Australia and Oceania'!C49+"$F;@!4j3"</f>
        <v>#VALUE!</v>
      </c>
      <c r="FE425" t="e">
        <f>'Australia and Oceania'!D49+"$F;@!4j4"</f>
        <v>#VALUE!</v>
      </c>
      <c r="FF425" t="e">
        <f>'Australia and Oceania'!E49+"$F;@!4j5"</f>
        <v>#VALUE!</v>
      </c>
      <c r="FG425" t="e">
        <f>'Australia and Oceania'!F49+"$F;@!4j6"</f>
        <v>#VALUE!</v>
      </c>
      <c r="FH425" t="e">
        <f>'Australia and Oceania'!G49+"$F;@!4j7"</f>
        <v>#VALUE!</v>
      </c>
      <c r="FI425" t="e">
        <f>'Australia and Oceania'!H49+"$F;@!4j8"</f>
        <v>#VALUE!</v>
      </c>
      <c r="FJ425" t="e">
        <f>'Australia and Oceania'!A50+"$F;@!4j9"</f>
        <v>#VALUE!</v>
      </c>
      <c r="FK425" t="e">
        <f>'Australia and Oceania'!B50+"$F;@!4j:"</f>
        <v>#VALUE!</v>
      </c>
      <c r="FL425" t="e">
        <f>'Australia and Oceania'!C50+"$F;@!4j;"</f>
        <v>#VALUE!</v>
      </c>
      <c r="FM425" t="e">
        <f>'Australia and Oceania'!D50+"$F;@!4j&lt;"</f>
        <v>#VALUE!</v>
      </c>
      <c r="FN425" t="e">
        <f>'Australia and Oceania'!E50+"$F;@!4j="</f>
        <v>#VALUE!</v>
      </c>
      <c r="FO425" t="e">
        <f>'Australia and Oceania'!F50+"$F;@!4j&gt;"</f>
        <v>#VALUE!</v>
      </c>
      <c r="FP425" t="e">
        <f>'Australia and Oceania'!G50+"$F;@!4j?"</f>
        <v>#VALUE!</v>
      </c>
      <c r="FQ425" t="e">
        <f>'Australia and Oceania'!H50+"$F;@!4j@"</f>
        <v>#VALUE!</v>
      </c>
      <c r="FR425" t="e">
        <f>'Australia and Oceania'!A51+"$F;@!4jA"</f>
        <v>#VALUE!</v>
      </c>
      <c r="FS425" t="e">
        <f>'Australia and Oceania'!B51+"$F;@!4jB"</f>
        <v>#VALUE!</v>
      </c>
      <c r="FT425" t="e">
        <f>'Australia and Oceania'!C51+"$F;@!4jC"</f>
        <v>#VALUE!</v>
      </c>
      <c r="FU425" t="e">
        <f>'Australia and Oceania'!D51+"$F;@!4jD"</f>
        <v>#VALUE!</v>
      </c>
      <c r="FV425" t="e">
        <f>'Australia and Oceania'!E51+"$F;@!4jE"</f>
        <v>#VALUE!</v>
      </c>
      <c r="FW425" t="e">
        <f>'Australia and Oceania'!F51+"$F;@!4jF"</f>
        <v>#VALUE!</v>
      </c>
      <c r="FX425" t="e">
        <f>'Australia and Oceania'!G51+"$F;@!4jG"</f>
        <v>#VALUE!</v>
      </c>
      <c r="FY425" t="e">
        <f>'Australia and Oceania'!H51+"$F;@!4jH"</f>
        <v>#VALUE!</v>
      </c>
      <c r="FZ425" t="e">
        <f>'Australia and Oceania'!A52+"$F;@!4jI"</f>
        <v>#VALUE!</v>
      </c>
      <c r="GA425" t="e">
        <f>'Australia and Oceania'!B52+"$F;@!4jJ"</f>
        <v>#VALUE!</v>
      </c>
      <c r="GB425" t="e">
        <f>'Australia and Oceania'!C52+"$F;@!4jK"</f>
        <v>#VALUE!</v>
      </c>
      <c r="GC425" t="e">
        <f>'Australia and Oceania'!D52+"$F;@!4jL"</f>
        <v>#VALUE!</v>
      </c>
      <c r="GD425" t="e">
        <f>'Australia and Oceania'!E52+"$F;@!4jM"</f>
        <v>#VALUE!</v>
      </c>
      <c r="GE425" t="e">
        <f>'Australia and Oceania'!F52+"$F;@!4jN"</f>
        <v>#VALUE!</v>
      </c>
      <c r="GF425" t="e">
        <f>'Australia and Oceania'!G52+"$F;@!4jO"</f>
        <v>#VALUE!</v>
      </c>
      <c r="GG425" t="e">
        <f>'Australia and Oceania'!H52+"$F;@!4jP"</f>
        <v>#VALUE!</v>
      </c>
      <c r="GH425" t="e">
        <f>'Australia and Oceania'!A53+"$F;@!4jQ"</f>
        <v>#VALUE!</v>
      </c>
      <c r="GI425" t="e">
        <f>'Australia and Oceania'!B53+"$F;@!4jR"</f>
        <v>#VALUE!</v>
      </c>
      <c r="GJ425" t="e">
        <f>'Australia and Oceania'!C53+"$F;@!4jS"</f>
        <v>#VALUE!</v>
      </c>
      <c r="GK425" t="e">
        <f>'Australia and Oceania'!D53+"$F;@!4jT"</f>
        <v>#VALUE!</v>
      </c>
      <c r="GL425" t="e">
        <f>'Australia and Oceania'!E53+"$F;@!4jU"</f>
        <v>#VALUE!</v>
      </c>
      <c r="GM425" t="e">
        <f>'Australia and Oceania'!F53+"$F;@!4jV"</f>
        <v>#VALUE!</v>
      </c>
      <c r="GN425" t="e">
        <f>'Australia and Oceania'!G53+"$F;@!4jW"</f>
        <v>#VALUE!</v>
      </c>
      <c r="GO425" t="e">
        <f>'Australia and Oceania'!H53+"$F;@!4jX"</f>
        <v>#VALUE!</v>
      </c>
      <c r="GP425" t="e">
        <f>'Australia and Oceania'!A54+"$F;@!4jY"</f>
        <v>#VALUE!</v>
      </c>
      <c r="GQ425" t="e">
        <f>'Australia and Oceania'!B54+"$F;@!4jZ"</f>
        <v>#VALUE!</v>
      </c>
      <c r="GR425" t="e">
        <f>'Australia and Oceania'!C54+"$F;@!4j["</f>
        <v>#VALUE!</v>
      </c>
      <c r="GS425" t="e">
        <f>'Australia and Oceania'!D54+"$F;@!4j\"</f>
        <v>#VALUE!</v>
      </c>
      <c r="GT425" t="e">
        <f>'Australia and Oceania'!E54+"$F;@!4j]"</f>
        <v>#VALUE!</v>
      </c>
      <c r="GU425" t="e">
        <f>'Australia and Oceania'!F54+"$F;@!4j^"</f>
        <v>#VALUE!</v>
      </c>
      <c r="GV425" t="e">
        <f>'Australia and Oceania'!G54+"$F;@!4j_"</f>
        <v>#VALUE!</v>
      </c>
      <c r="GW425" t="e">
        <f>'Australia and Oceania'!H54+"$F;@!4j`"</f>
        <v>#VALUE!</v>
      </c>
      <c r="GX425" t="e">
        <f>'Australia and Oceania'!A55+"$F;@!4ja"</f>
        <v>#VALUE!</v>
      </c>
      <c r="GY425" t="e">
        <f>'Australia and Oceania'!B55+"$F;@!4jb"</f>
        <v>#VALUE!</v>
      </c>
      <c r="GZ425" t="e">
        <f>'Australia and Oceania'!C55+"$F;@!4jc"</f>
        <v>#VALUE!</v>
      </c>
      <c r="HA425" t="e">
        <f>'Australia and Oceania'!D55+"$F;@!4jd"</f>
        <v>#VALUE!</v>
      </c>
      <c r="HB425" t="e">
        <f>'Australia and Oceania'!E55+"$F;@!4je"</f>
        <v>#VALUE!</v>
      </c>
      <c r="HC425" t="e">
        <f>'Australia and Oceania'!F55+"$F;@!4jf"</f>
        <v>#VALUE!</v>
      </c>
      <c r="HD425" t="e">
        <f>'Australia and Oceania'!G55+"$F;@!4jg"</f>
        <v>#VALUE!</v>
      </c>
      <c r="HE425" t="e">
        <f>'Australia and Oceania'!H55+"$F;@!4jh"</f>
        <v>#VALUE!</v>
      </c>
      <c r="HF425" t="e">
        <f>'Australia and Oceania'!A56+"$F;@!4ji"</f>
        <v>#VALUE!</v>
      </c>
      <c r="HG425" t="e">
        <f>'Australia and Oceania'!B56+"$F;@!4jj"</f>
        <v>#VALUE!</v>
      </c>
      <c r="HH425" t="e">
        <f>'Australia and Oceania'!C56+"$F;@!4jk"</f>
        <v>#VALUE!</v>
      </c>
      <c r="HI425" t="e">
        <f>'Australia and Oceania'!D56+"$F;@!4jl"</f>
        <v>#VALUE!</v>
      </c>
      <c r="HJ425" t="e">
        <f>'Australia and Oceania'!E56+"$F;@!4jm"</f>
        <v>#VALUE!</v>
      </c>
      <c r="HK425" t="e">
        <f>'Australia and Oceania'!F56+"$F;@!4jn"</f>
        <v>#VALUE!</v>
      </c>
      <c r="HL425" t="e">
        <f>'Australia and Oceania'!G56+"$F;@!4jo"</f>
        <v>#VALUE!</v>
      </c>
      <c r="HM425" t="e">
        <f>'Australia and Oceania'!H56+"$F;@!4jp"</f>
        <v>#VALUE!</v>
      </c>
      <c r="HN425" t="e">
        <f>'Australia and Oceania'!A57+"$F;@!4jq"</f>
        <v>#VALUE!</v>
      </c>
      <c r="HO425" t="e">
        <f>'Australia and Oceania'!B57+"$F;@!4jr"</f>
        <v>#VALUE!</v>
      </c>
      <c r="HP425" t="e">
        <f>'Australia and Oceania'!C57+"$F;@!4js"</f>
        <v>#VALUE!</v>
      </c>
      <c r="HQ425" t="e">
        <f>'Australia and Oceania'!D57+"$F;@!4jt"</f>
        <v>#VALUE!</v>
      </c>
      <c r="HR425" t="e">
        <f>'Australia and Oceania'!E57+"$F;@!4ju"</f>
        <v>#VALUE!</v>
      </c>
      <c r="HS425" t="e">
        <f>'Australia and Oceania'!F57+"$F;@!4jv"</f>
        <v>#VALUE!</v>
      </c>
      <c r="HT425" t="e">
        <f>'Australia and Oceania'!G57+"$F;@!4jw"</f>
        <v>#VALUE!</v>
      </c>
      <c r="HU425" t="e">
        <f>'Australia and Oceania'!H57+"$F;@!4jx"</f>
        <v>#VALUE!</v>
      </c>
      <c r="HV425" t="e">
        <f>'Australia and Oceania'!A58+"$F;@!4jy"</f>
        <v>#VALUE!</v>
      </c>
      <c r="HW425" t="e">
        <f>'Australia and Oceania'!B58+"$F;@!4jz"</f>
        <v>#VALUE!</v>
      </c>
      <c r="HX425" t="e">
        <f>'Australia and Oceania'!C58+"$F;@!4j{"</f>
        <v>#VALUE!</v>
      </c>
      <c r="HY425" t="e">
        <f>'Australia and Oceania'!D58+"$F;@!4j|"</f>
        <v>#VALUE!</v>
      </c>
      <c r="HZ425" t="e">
        <f>'Australia and Oceania'!E58+"$F;@!4j}"</f>
        <v>#VALUE!</v>
      </c>
      <c r="IA425" t="e">
        <f>'Australia and Oceania'!F58+"$F;@!4j~"</f>
        <v>#VALUE!</v>
      </c>
      <c r="IB425" t="e">
        <f>'Australia and Oceania'!G58+"$F;@!4k#"</f>
        <v>#VALUE!</v>
      </c>
      <c r="IC425" t="e">
        <f>'Australia and Oceania'!H58+"$F;@!4k$"</f>
        <v>#VALUE!</v>
      </c>
      <c r="ID425" t="e">
        <f>'Australia and Oceania'!A59+"$F;@!4k%"</f>
        <v>#VALUE!</v>
      </c>
      <c r="IE425" t="e">
        <f>'Australia and Oceania'!B59+"$F;@!4k&amp;"</f>
        <v>#VALUE!</v>
      </c>
      <c r="IF425" t="e">
        <f>'Australia and Oceania'!C59+"$F;@!4k'"</f>
        <v>#VALUE!</v>
      </c>
      <c r="IG425" t="e">
        <f>'Australia and Oceania'!D59+"$F;@!4k("</f>
        <v>#VALUE!</v>
      </c>
      <c r="IH425" t="e">
        <f>'Australia and Oceania'!E59+"$F;@!4k)"</f>
        <v>#VALUE!</v>
      </c>
      <c r="II425" t="e">
        <f>'Australia and Oceania'!F59+"$F;@!4k."</f>
        <v>#VALUE!</v>
      </c>
      <c r="IJ425" t="e">
        <f>'Australia and Oceania'!G59+"$F;@!4k/"</f>
        <v>#VALUE!</v>
      </c>
      <c r="IK425" t="e">
        <f>'Australia and Oceania'!H59+"$F;@!4k0"</f>
        <v>#VALUE!</v>
      </c>
      <c r="IL425" t="e">
        <f>'Australia and Oceania'!A60+"$F;@!4k1"</f>
        <v>#VALUE!</v>
      </c>
      <c r="IM425" t="e">
        <f>'Australia and Oceania'!B60+"$F;@!4k2"</f>
        <v>#VALUE!</v>
      </c>
      <c r="IN425" t="e">
        <f>'Australia and Oceania'!C60+"$F;@!4k3"</f>
        <v>#VALUE!</v>
      </c>
      <c r="IO425" t="e">
        <f>'Australia and Oceania'!D60+"$F;@!4k4"</f>
        <v>#VALUE!</v>
      </c>
      <c r="IP425" t="e">
        <f>'Australia and Oceania'!E60+"$F;@!4k5"</f>
        <v>#VALUE!</v>
      </c>
      <c r="IQ425" t="e">
        <f>'Australia and Oceania'!F60+"$F;@!4k6"</f>
        <v>#VALUE!</v>
      </c>
      <c r="IR425" t="e">
        <f>'Australia and Oceania'!G60+"$F;@!4k7"</f>
        <v>#VALUE!</v>
      </c>
      <c r="IS425" t="e">
        <f>'Australia and Oceania'!H60+"$F;@!4k8"</f>
        <v>#VALUE!</v>
      </c>
      <c r="IT425" t="e">
        <f>'Australia and Oceania'!A61+"$F;@!4k9"</f>
        <v>#VALUE!</v>
      </c>
      <c r="IU425" t="e">
        <f>'Australia and Oceania'!B61+"$F;@!4k:"</f>
        <v>#VALUE!</v>
      </c>
      <c r="IV425" t="e">
        <f>'Australia and Oceania'!C61+"$F;@!4k;"</f>
        <v>#VALUE!</v>
      </c>
    </row>
    <row r="426" spans="6:256" x14ac:dyDescent="0.35">
      <c r="F426" t="e">
        <f>'Australia and Oceania'!D61+"$F;@!4k&lt;"</f>
        <v>#VALUE!</v>
      </c>
      <c r="G426" t="e">
        <f>'Australia and Oceania'!E61+"$F;@!4k="</f>
        <v>#VALUE!</v>
      </c>
      <c r="H426" t="e">
        <f>'Australia and Oceania'!F61+"$F;@!4k&gt;"</f>
        <v>#VALUE!</v>
      </c>
      <c r="I426" t="e">
        <f>'Australia and Oceania'!G61+"$F;@!4k?"</f>
        <v>#VALUE!</v>
      </c>
      <c r="J426" t="e">
        <f>'Australia and Oceania'!H61+"$F;@!4k@"</f>
        <v>#VALUE!</v>
      </c>
      <c r="K426" t="e">
        <f>'Australia and Oceania'!A62+"$F;@!4kA"</f>
        <v>#VALUE!</v>
      </c>
      <c r="L426" t="e">
        <f>'Australia and Oceania'!B62+"$F;@!4kB"</f>
        <v>#VALUE!</v>
      </c>
      <c r="M426" t="e">
        <f>'Australia and Oceania'!C62+"$F;@!4kC"</f>
        <v>#VALUE!</v>
      </c>
      <c r="N426" t="e">
        <f>'Australia and Oceania'!D62+"$F;@!4kD"</f>
        <v>#VALUE!</v>
      </c>
      <c r="O426" t="e">
        <f>'Australia and Oceania'!E62+"$F;@!4kE"</f>
        <v>#VALUE!</v>
      </c>
      <c r="P426" t="e">
        <f>'Australia and Oceania'!F62+"$F;@!4kF"</f>
        <v>#VALUE!</v>
      </c>
      <c r="Q426" t="e">
        <f>'Australia and Oceania'!G62+"$F;@!4kG"</f>
        <v>#VALUE!</v>
      </c>
      <c r="R426" t="e">
        <f>'Australia and Oceania'!H62+"$F;@!4kH"</f>
        <v>#VALUE!</v>
      </c>
      <c r="S426" t="e">
        <f>'Australia and Oceania'!A63+"$F;@!4kI"</f>
        <v>#VALUE!</v>
      </c>
      <c r="T426" t="e">
        <f>'Australia and Oceania'!B63+"$F;@!4kJ"</f>
        <v>#VALUE!</v>
      </c>
      <c r="U426" t="e">
        <f>'Australia and Oceania'!C63+"$F;@!4kK"</f>
        <v>#VALUE!</v>
      </c>
      <c r="V426" t="e">
        <f>'Australia and Oceania'!D63+"$F;@!4kL"</f>
        <v>#VALUE!</v>
      </c>
      <c r="W426" t="e">
        <f>'Australia and Oceania'!E63+"$F;@!4kM"</f>
        <v>#VALUE!</v>
      </c>
      <c r="X426" t="e">
        <f>'Australia and Oceania'!F63+"$F;@!4kN"</f>
        <v>#VALUE!</v>
      </c>
      <c r="Y426" t="e">
        <f>'Australia and Oceania'!G63+"$F;@!4kO"</f>
        <v>#VALUE!</v>
      </c>
      <c r="Z426" t="e">
        <f>'Australia and Oceania'!H63+"$F;@!4kP"</f>
        <v>#VALUE!</v>
      </c>
      <c r="AA426" t="e">
        <f>'Australia and Oceania'!A64+"$F;@!4kQ"</f>
        <v>#VALUE!</v>
      </c>
      <c r="AB426" t="e">
        <f>'Australia and Oceania'!B64+"$F;@!4kR"</f>
        <v>#VALUE!</v>
      </c>
      <c r="AC426" t="e">
        <f>'Australia and Oceania'!C64+"$F;@!4kS"</f>
        <v>#VALUE!</v>
      </c>
      <c r="AD426" t="e">
        <f>'Australia and Oceania'!D64+"$F;@!4kT"</f>
        <v>#VALUE!</v>
      </c>
      <c r="AE426" t="e">
        <f>'Australia and Oceania'!E64+"$F;@!4kU"</f>
        <v>#VALUE!</v>
      </c>
      <c r="AF426" t="e">
        <f>'Australia and Oceania'!F64+"$F;@!4kV"</f>
        <v>#VALUE!</v>
      </c>
      <c r="AG426" t="e">
        <f>'Australia and Oceania'!G64+"$F;@!4kW"</f>
        <v>#VALUE!</v>
      </c>
      <c r="AH426" t="e">
        <f>'Australia and Oceania'!H64+"$F;@!4kX"</f>
        <v>#VALUE!</v>
      </c>
      <c r="AI426" t="e">
        <f>'Australia and Oceania'!A65+"$F;@!4kY"</f>
        <v>#VALUE!</v>
      </c>
      <c r="AJ426" t="e">
        <f>'Australia and Oceania'!B65+"$F;@!4kZ"</f>
        <v>#VALUE!</v>
      </c>
      <c r="AK426" t="e">
        <f>'Australia and Oceania'!C65+"$F;@!4k["</f>
        <v>#VALUE!</v>
      </c>
      <c r="AL426" t="e">
        <f>'Australia and Oceania'!D65+"$F;@!4k\"</f>
        <v>#VALUE!</v>
      </c>
      <c r="AM426" t="e">
        <f>'Australia and Oceania'!E65+"$F;@!4k]"</f>
        <v>#VALUE!</v>
      </c>
      <c r="AN426" t="e">
        <f>'Australia and Oceania'!F65+"$F;@!4k^"</f>
        <v>#VALUE!</v>
      </c>
      <c r="AO426" t="e">
        <f>'Australia and Oceania'!G65+"$F;@!4k_"</f>
        <v>#VALUE!</v>
      </c>
      <c r="AP426" t="e">
        <f>'Australia and Oceania'!H65+"$F;@!4k`"</f>
        <v>#VALUE!</v>
      </c>
      <c r="AQ426" t="e">
        <f>'Australia and Oceania'!A66+"$F;@!4ka"</f>
        <v>#VALUE!</v>
      </c>
      <c r="AR426" t="e">
        <f>'Australia and Oceania'!B66+"$F;@!4kb"</f>
        <v>#VALUE!</v>
      </c>
      <c r="AS426" t="e">
        <f>'Australia and Oceania'!C66+"$F;@!4kc"</f>
        <v>#VALUE!</v>
      </c>
      <c r="AT426" t="e">
        <f>'Australia and Oceania'!D66+"$F;@!4kd"</f>
        <v>#VALUE!</v>
      </c>
      <c r="AU426" t="e">
        <f>'Australia and Oceania'!E66+"$F;@!4ke"</f>
        <v>#VALUE!</v>
      </c>
      <c r="AV426" t="e">
        <f>'Australia and Oceania'!F66+"$F;@!4kf"</f>
        <v>#VALUE!</v>
      </c>
      <c r="AW426" t="e">
        <f>'Australia and Oceania'!G66+"$F;@!4kg"</f>
        <v>#VALUE!</v>
      </c>
      <c r="AX426" t="e">
        <f>'Australia and Oceania'!H66+"$F;@!4kh"</f>
        <v>#VALUE!</v>
      </c>
      <c r="AY426" t="e">
        <f>'Australia and Oceania'!A67+"$F;@!4ki"</f>
        <v>#VALUE!</v>
      </c>
      <c r="AZ426" t="e">
        <f>'Australia and Oceania'!B67+"$F;@!4kj"</f>
        <v>#VALUE!</v>
      </c>
      <c r="BA426" t="e">
        <f>'Australia and Oceania'!C67+"$F;@!4kk"</f>
        <v>#VALUE!</v>
      </c>
      <c r="BB426" t="e">
        <f>'Australia and Oceania'!D67+"$F;@!4kl"</f>
        <v>#VALUE!</v>
      </c>
      <c r="BC426" t="e">
        <f>'Australia and Oceania'!E67+"$F;@!4km"</f>
        <v>#VALUE!</v>
      </c>
      <c r="BD426" t="e">
        <f>'Australia and Oceania'!F67+"$F;@!4kn"</f>
        <v>#VALUE!</v>
      </c>
      <c r="BE426" t="e">
        <f>'Australia and Oceania'!G67+"$F;@!4ko"</f>
        <v>#VALUE!</v>
      </c>
      <c r="BF426" t="e">
        <f>'Australia and Oceania'!H67+"$F;@!4kp"</f>
        <v>#VALUE!</v>
      </c>
      <c r="BG426" t="e">
        <f>'Australia and Oceania'!A68+"$F;@!4kq"</f>
        <v>#VALUE!</v>
      </c>
      <c r="BH426" t="e">
        <f>'Australia and Oceania'!B68+"$F;@!4kr"</f>
        <v>#VALUE!</v>
      </c>
      <c r="BI426" t="e">
        <f>'Australia and Oceania'!C68+"$F;@!4ks"</f>
        <v>#VALUE!</v>
      </c>
      <c r="BJ426" t="e">
        <f>'Australia and Oceania'!D68+"$F;@!4kt"</f>
        <v>#VALUE!</v>
      </c>
      <c r="BK426" t="e">
        <f>'Australia and Oceania'!E68+"$F;@!4ku"</f>
        <v>#VALUE!</v>
      </c>
      <c r="BL426" t="e">
        <f>'Australia and Oceania'!F68+"$F;@!4kv"</f>
        <v>#VALUE!</v>
      </c>
      <c r="BM426" t="e">
        <f>'Australia and Oceania'!G68+"$F;@!4kw"</f>
        <v>#VALUE!</v>
      </c>
      <c r="BN426" t="e">
        <f>'Australia and Oceania'!H68+"$F;@!4kx"</f>
        <v>#VALUE!</v>
      </c>
      <c r="BO426" t="e">
        <f>'Australia and Oceania'!A69+"$F;@!4ky"</f>
        <v>#VALUE!</v>
      </c>
      <c r="BP426" t="e">
        <f>'Australia and Oceania'!B69+"$F;@!4kz"</f>
        <v>#VALUE!</v>
      </c>
      <c r="BQ426" t="e">
        <f>'Australia and Oceania'!C69+"$F;@!4k{"</f>
        <v>#VALUE!</v>
      </c>
      <c r="BR426" t="e">
        <f>'Australia and Oceania'!D69+"$F;@!4k|"</f>
        <v>#VALUE!</v>
      </c>
      <c r="BS426" t="e">
        <f>'Australia and Oceania'!E69+"$F;@!4k}"</f>
        <v>#VALUE!</v>
      </c>
      <c r="BT426" t="e">
        <f>'Australia and Oceania'!F69+"$F;@!4k~"</f>
        <v>#VALUE!</v>
      </c>
      <c r="BU426" t="e">
        <f>'Australia and Oceania'!G69+"$F;@!4l#"</f>
        <v>#VALUE!</v>
      </c>
      <c r="BV426" t="e">
        <f>'Australia and Oceania'!H69+"$F;@!4l$"</f>
        <v>#VALUE!</v>
      </c>
      <c r="BW426" t="e">
        <f>'Australia and Oceania'!A70+"$F;@!4l%"</f>
        <v>#VALUE!</v>
      </c>
      <c r="BX426" t="e">
        <f>'Australia and Oceania'!B70+"$F;@!4l&amp;"</f>
        <v>#VALUE!</v>
      </c>
      <c r="BY426" t="e">
        <f>'Australia and Oceania'!C70+"$F;@!4l'"</f>
        <v>#VALUE!</v>
      </c>
      <c r="BZ426" t="e">
        <f>'Australia and Oceania'!D70+"$F;@!4l("</f>
        <v>#VALUE!</v>
      </c>
      <c r="CA426" t="e">
        <f>'Australia and Oceania'!E70+"$F;@!4l)"</f>
        <v>#VALUE!</v>
      </c>
      <c r="CB426" t="e">
        <f>'Australia and Oceania'!F70+"$F;@!4l."</f>
        <v>#VALUE!</v>
      </c>
      <c r="CC426" t="e">
        <f>'Australia and Oceania'!G70+"$F;@!4l/"</f>
        <v>#VALUE!</v>
      </c>
      <c r="CD426" t="e">
        <f>'Australia and Oceania'!H70+"$F;@!4l0"</f>
        <v>#VALUE!</v>
      </c>
      <c r="CE426" t="e">
        <f>'Australia and Oceania'!A71+"$F;@!4l1"</f>
        <v>#VALUE!</v>
      </c>
      <c r="CF426" t="e">
        <f>'Australia and Oceania'!B71+"$F;@!4l2"</f>
        <v>#VALUE!</v>
      </c>
      <c r="CG426" t="e">
        <f>'Australia and Oceania'!C71+"$F;@!4l3"</f>
        <v>#VALUE!</v>
      </c>
      <c r="CH426" t="e">
        <f>'Australia and Oceania'!D71+"$F;@!4l4"</f>
        <v>#VALUE!</v>
      </c>
      <c r="CI426" t="e">
        <f>'Australia and Oceania'!E71+"$F;@!4l5"</f>
        <v>#VALUE!</v>
      </c>
      <c r="CJ426" t="e">
        <f>'Australia and Oceania'!F71+"$F;@!4l6"</f>
        <v>#VALUE!</v>
      </c>
      <c r="CK426" t="e">
        <f>'Australia and Oceania'!G71+"$F;@!4l7"</f>
        <v>#VALUE!</v>
      </c>
      <c r="CL426" t="e">
        <f>'Australia and Oceania'!H71+"$F;@!4l8"</f>
        <v>#VALUE!</v>
      </c>
      <c r="CM426" t="e">
        <f>'Australia and Oceania'!A72+"$F;@!4l9"</f>
        <v>#VALUE!</v>
      </c>
      <c r="CN426" t="e">
        <f>'Australia and Oceania'!B72+"$F;@!4l:"</f>
        <v>#VALUE!</v>
      </c>
      <c r="CO426" t="e">
        <f>'Australia and Oceania'!C72+"$F;@!4l;"</f>
        <v>#VALUE!</v>
      </c>
      <c r="CP426" t="e">
        <f>'Australia and Oceania'!D72+"$F;@!4l&lt;"</f>
        <v>#VALUE!</v>
      </c>
      <c r="CQ426" t="e">
        <f>'Australia and Oceania'!E72+"$F;@!4l="</f>
        <v>#VALUE!</v>
      </c>
      <c r="CR426" t="e">
        <f>'Australia and Oceania'!F72+"$F;@!4l&gt;"</f>
        <v>#VALUE!</v>
      </c>
      <c r="CS426" t="e">
        <f>'Australia and Oceania'!G72+"$F;@!4l?"</f>
        <v>#VALUE!</v>
      </c>
      <c r="CT426" t="e">
        <f>'Australia and Oceania'!H72+"$F;@!4l@"</f>
        <v>#VALUE!</v>
      </c>
      <c r="CU426" t="e">
        <f>'Australia and Oceania'!A73+"$F;@!4lA"</f>
        <v>#VALUE!</v>
      </c>
      <c r="CV426" t="e">
        <f>'Australia and Oceania'!B73+"$F;@!4lB"</f>
        <v>#VALUE!</v>
      </c>
      <c r="CW426" t="e">
        <f>'Australia and Oceania'!C73+"$F;@!4lC"</f>
        <v>#VALUE!</v>
      </c>
      <c r="CX426" t="e">
        <f>'Australia and Oceania'!D73+"$F;@!4lD"</f>
        <v>#VALUE!</v>
      </c>
      <c r="CY426" t="e">
        <f>'Australia and Oceania'!E73+"$F;@!4lE"</f>
        <v>#VALUE!</v>
      </c>
      <c r="CZ426" t="e">
        <f>'Australia and Oceania'!F73+"$F;@!4lF"</f>
        <v>#VALUE!</v>
      </c>
      <c r="DA426" t="e">
        <f>'Australia and Oceania'!G73+"$F;@!4lG"</f>
        <v>#VALUE!</v>
      </c>
      <c r="DB426" t="e">
        <f>'Australia and Oceania'!H73+"$F;@!4lH"</f>
        <v>#VALUE!</v>
      </c>
      <c r="DC426" t="e">
        <f>'Australia and Oceania'!A74+"$F;@!4lI"</f>
        <v>#VALUE!</v>
      </c>
      <c r="DD426" t="e">
        <f>'Australia and Oceania'!B74+"$F;@!4lJ"</f>
        <v>#VALUE!</v>
      </c>
      <c r="DE426" t="e">
        <f>'Australia and Oceania'!C74+"$F;@!4lK"</f>
        <v>#VALUE!</v>
      </c>
      <c r="DF426" t="e">
        <f>'Australia and Oceania'!D74+"$F;@!4lL"</f>
        <v>#VALUE!</v>
      </c>
      <c r="DG426" t="e">
        <f>'Australia and Oceania'!E74+"$F;@!4lM"</f>
        <v>#VALUE!</v>
      </c>
      <c r="DH426" t="e">
        <f>'Australia and Oceania'!F74+"$F;@!4lN"</f>
        <v>#VALUE!</v>
      </c>
      <c r="DI426" t="e">
        <f>'Australia and Oceania'!G74+"$F;@!4lO"</f>
        <v>#VALUE!</v>
      </c>
      <c r="DJ426" t="e">
        <f>'Australia and Oceania'!H74+"$F;@!4lP"</f>
        <v>#VALUE!</v>
      </c>
      <c r="DK426" t="e">
        <f>'Australia and Oceania'!A75+"$F;@!4lQ"</f>
        <v>#VALUE!</v>
      </c>
      <c r="DL426" t="e">
        <f>'Australia and Oceania'!B75+"$F;@!4lR"</f>
        <v>#VALUE!</v>
      </c>
      <c r="DM426" t="e">
        <f>'Australia and Oceania'!C75+"$F;@!4lS"</f>
        <v>#VALUE!</v>
      </c>
      <c r="DN426" t="e">
        <f>'Australia and Oceania'!D75+"$F;@!4lT"</f>
        <v>#VALUE!</v>
      </c>
      <c r="DO426" t="e">
        <f>'Australia and Oceania'!E75+"$F;@!4lU"</f>
        <v>#VALUE!</v>
      </c>
      <c r="DP426" t="e">
        <f>'Australia and Oceania'!F75+"$F;@!4lV"</f>
        <v>#VALUE!</v>
      </c>
      <c r="DQ426" t="e">
        <f>'Australia and Oceania'!G75+"$F;@!4lW"</f>
        <v>#VALUE!</v>
      </c>
      <c r="DR426" t="e">
        <f>'Australia and Oceania'!H75+"$F;@!4lX"</f>
        <v>#VALUE!</v>
      </c>
      <c r="DS426" t="e">
        <f>'Australia and Oceania'!A76+"$F;@!4lY"</f>
        <v>#VALUE!</v>
      </c>
      <c r="DT426" t="e">
        <f>'Australia and Oceania'!B76+"$F;@!4lZ"</f>
        <v>#VALUE!</v>
      </c>
      <c r="DU426" t="e">
        <f>'Australia and Oceania'!C76+"$F;@!4l["</f>
        <v>#VALUE!</v>
      </c>
      <c r="DV426" t="e">
        <f>'Australia and Oceania'!D76+"$F;@!4l\"</f>
        <v>#VALUE!</v>
      </c>
      <c r="DW426" t="e">
        <f>'Australia and Oceania'!E76+"$F;@!4l]"</f>
        <v>#VALUE!</v>
      </c>
      <c r="DX426" t="e">
        <f>'Australia and Oceania'!F76+"$F;@!4l^"</f>
        <v>#VALUE!</v>
      </c>
      <c r="DY426" t="e">
        <f>'Australia and Oceania'!G76+"$F;@!4l_"</f>
        <v>#VALUE!</v>
      </c>
      <c r="DZ426" t="e">
        <f>'Australia and Oceania'!H76+"$F;@!4l`"</f>
        <v>#VALUE!</v>
      </c>
      <c r="EA426" t="e">
        <f>'Australia and Oceania'!A77+"$F;@!4la"</f>
        <v>#VALUE!</v>
      </c>
      <c r="EB426" t="e">
        <f>'Australia and Oceania'!B77+"$F;@!4lb"</f>
        <v>#VALUE!</v>
      </c>
      <c r="EC426" t="e">
        <f>'Australia and Oceania'!C77+"$F;@!4lc"</f>
        <v>#VALUE!</v>
      </c>
      <c r="ED426" t="e">
        <f>'Australia and Oceania'!D77+"$F;@!4ld"</f>
        <v>#VALUE!</v>
      </c>
      <c r="EE426" t="e">
        <f>'Australia and Oceania'!E77+"$F;@!4le"</f>
        <v>#VALUE!</v>
      </c>
      <c r="EF426" t="e">
        <f>'Australia and Oceania'!F77+"$F;@!4lf"</f>
        <v>#VALUE!</v>
      </c>
      <c r="EG426" t="e">
        <f>'Australia and Oceania'!G77+"$F;@!4lg"</f>
        <v>#VALUE!</v>
      </c>
      <c r="EH426" t="e">
        <f>'Australia and Oceania'!H77+"$F;@!4lh"</f>
        <v>#VALUE!</v>
      </c>
      <c r="EI426" t="e">
        <f>'Australia and Oceania'!A78+"$F;@!4li"</f>
        <v>#VALUE!</v>
      </c>
      <c r="EJ426" t="e">
        <f>'Australia and Oceania'!B78+"$F;@!4lj"</f>
        <v>#VALUE!</v>
      </c>
      <c r="EK426" t="e">
        <f>'Australia and Oceania'!C78+"$F;@!4lk"</f>
        <v>#VALUE!</v>
      </c>
      <c r="EL426" t="e">
        <f>'Australia and Oceania'!D78+"$F;@!4ll"</f>
        <v>#VALUE!</v>
      </c>
      <c r="EM426" t="e">
        <f>'Australia and Oceania'!E78+"$F;@!4lm"</f>
        <v>#VALUE!</v>
      </c>
      <c r="EN426" t="e">
        <f>'Australia and Oceania'!F78+"$F;@!4ln"</f>
        <v>#VALUE!</v>
      </c>
      <c r="EO426" t="e">
        <f>'Australia and Oceania'!G78+"$F;@!4lo"</f>
        <v>#VALUE!</v>
      </c>
      <c r="EP426" t="e">
        <f>'Australia and Oceania'!H78+"$F;@!4lp"</f>
        <v>#VALUE!</v>
      </c>
      <c r="EQ426" t="e">
        <f>'Australia and Oceania'!A79+"$F;@!4lq"</f>
        <v>#VALUE!</v>
      </c>
      <c r="ER426" t="e">
        <f>'Australia and Oceania'!B79+"$F;@!4lr"</f>
        <v>#VALUE!</v>
      </c>
      <c r="ES426" t="e">
        <f>'Australia and Oceania'!C79+"$F;@!4ls"</f>
        <v>#VALUE!</v>
      </c>
      <c r="ET426" t="e">
        <f>'Australia and Oceania'!D79+"$F;@!4lt"</f>
        <v>#VALUE!</v>
      </c>
      <c r="EU426" t="e">
        <f>'Australia and Oceania'!E79+"$F;@!4lu"</f>
        <v>#VALUE!</v>
      </c>
      <c r="EV426" t="e">
        <f>'Australia and Oceania'!F79+"$F;@!4lv"</f>
        <v>#VALUE!</v>
      </c>
      <c r="EW426" t="e">
        <f>'Australia and Oceania'!G79+"$F;@!4lw"</f>
        <v>#VALUE!</v>
      </c>
      <c r="EX426" t="e">
        <f>'Australia and Oceania'!H79+"$F;@!4lx"</f>
        <v>#VALUE!</v>
      </c>
      <c r="EY426" t="e">
        <f>'Australia and Oceania'!A80+"$F;@!4ly"</f>
        <v>#VALUE!</v>
      </c>
      <c r="EZ426" t="e">
        <f>'Australia and Oceania'!B80+"$F;@!4lz"</f>
        <v>#VALUE!</v>
      </c>
      <c r="FA426" t="e">
        <f>'Australia and Oceania'!C80+"$F;@!4l{"</f>
        <v>#VALUE!</v>
      </c>
      <c r="FB426" t="e">
        <f>'Australia and Oceania'!D80+"$F;@!4l|"</f>
        <v>#VALUE!</v>
      </c>
      <c r="FC426" t="e">
        <f>'Australia and Oceania'!E80+"$F;@!4l}"</f>
        <v>#VALUE!</v>
      </c>
      <c r="FD426" t="e">
        <f>'Australia and Oceania'!F80+"$F;@!4l~"</f>
        <v>#VALUE!</v>
      </c>
      <c r="FE426" t="e">
        <f>'Australia and Oceania'!G80+"$F;@!4m#"</f>
        <v>#VALUE!</v>
      </c>
      <c r="FF426" t="e">
        <f>'Australia and Oceania'!H80+"$F;@!4m$"</f>
        <v>#VALUE!</v>
      </c>
      <c r="FG426" t="e">
        <f>'Australia and Oceania'!A81+"$F;@!4m%"</f>
        <v>#VALUE!</v>
      </c>
      <c r="FH426" t="e">
        <f>'Australia and Oceania'!B81+"$F;@!4m&amp;"</f>
        <v>#VALUE!</v>
      </c>
      <c r="FI426" t="e">
        <f>'Australia and Oceania'!C81+"$F;@!4m'"</f>
        <v>#VALUE!</v>
      </c>
      <c r="FJ426" t="e">
        <f>'Australia and Oceania'!D81+"$F;@!4m("</f>
        <v>#VALUE!</v>
      </c>
      <c r="FK426" t="e">
        <f>'Australia and Oceania'!E81+"$F;@!4m)"</f>
        <v>#VALUE!</v>
      </c>
      <c r="FL426" t="e">
        <f>'Australia and Oceania'!F81+"$F;@!4m."</f>
        <v>#VALUE!</v>
      </c>
      <c r="FM426" t="e">
        <f>'Australia and Oceania'!G81+"$F;@!4m/"</f>
        <v>#VALUE!</v>
      </c>
      <c r="FN426" t="e">
        <f>'Australia and Oceania'!H81+"$F;@!4m0"</f>
        <v>#VALUE!</v>
      </c>
      <c r="FO426" t="e">
        <f>'Australia and Oceania'!A82+"$F;@!4m1"</f>
        <v>#VALUE!</v>
      </c>
      <c r="FP426" t="e">
        <f>'Australia and Oceania'!B82+"$F;@!4m2"</f>
        <v>#VALUE!</v>
      </c>
      <c r="FQ426" t="e">
        <f>'Australia and Oceania'!C82+"$F;@!4m3"</f>
        <v>#VALUE!</v>
      </c>
      <c r="FR426" t="e">
        <f>'Australia and Oceania'!D82+"$F;@!4m4"</f>
        <v>#VALUE!</v>
      </c>
      <c r="FS426" t="e">
        <f>'Australia and Oceania'!E82+"$F;@!4m5"</f>
        <v>#VALUE!</v>
      </c>
      <c r="FT426" t="e">
        <f>'Australia and Oceania'!F82+"$F;@!4m6"</f>
        <v>#VALUE!</v>
      </c>
      <c r="FU426" t="e">
        <f>'Australia and Oceania'!G82+"$F;@!4m7"</f>
        <v>#VALUE!</v>
      </c>
      <c r="FV426" t="e">
        <f>'Australia and Oceania'!H82+"$F;@!4m8"</f>
        <v>#VALUE!</v>
      </c>
      <c r="FW426" t="e">
        <f>'Australia and Oceania'!A83+"$F;@!4m9"</f>
        <v>#VALUE!</v>
      </c>
      <c r="FX426" t="e">
        <f>'Australia and Oceania'!B83+"$F;@!4m:"</f>
        <v>#VALUE!</v>
      </c>
      <c r="FY426" t="e">
        <f>'Australia and Oceania'!C83+"$F;@!4m;"</f>
        <v>#VALUE!</v>
      </c>
      <c r="FZ426" t="e">
        <f>'Australia and Oceania'!D83+"$F;@!4m&lt;"</f>
        <v>#VALUE!</v>
      </c>
      <c r="GA426" t="e">
        <f>'Australia and Oceania'!E83+"$F;@!4m="</f>
        <v>#VALUE!</v>
      </c>
      <c r="GB426" t="e">
        <f>'Australia and Oceania'!F83+"$F;@!4m&gt;"</f>
        <v>#VALUE!</v>
      </c>
      <c r="GC426" t="e">
        <f>'Australia and Oceania'!G83+"$F;@!4m?"</f>
        <v>#VALUE!</v>
      </c>
      <c r="GD426" t="e">
        <f>'Australia and Oceania'!H83+"$F;@!4m@"</f>
        <v>#VALUE!</v>
      </c>
      <c r="GE426" t="e">
        <f>'Australia and Oceania'!A84+"$F;@!4mA"</f>
        <v>#VALUE!</v>
      </c>
      <c r="GF426" t="e">
        <f>'Australia and Oceania'!B84+"$F;@!4mB"</f>
        <v>#VALUE!</v>
      </c>
      <c r="GG426" t="e">
        <f>'Australia and Oceania'!C84+"$F;@!4mC"</f>
        <v>#VALUE!</v>
      </c>
      <c r="GH426" t="e">
        <f>'Australia and Oceania'!D84+"$F;@!4mD"</f>
        <v>#VALUE!</v>
      </c>
      <c r="GI426" t="e">
        <f>'Australia and Oceania'!E84+"$F;@!4mE"</f>
        <v>#VALUE!</v>
      </c>
      <c r="GJ426" t="e">
        <f>'Australia and Oceania'!F84+"$F;@!4mF"</f>
        <v>#VALUE!</v>
      </c>
      <c r="GK426" t="e">
        <f>'Australia and Oceania'!G84+"$F;@!4mG"</f>
        <v>#VALUE!</v>
      </c>
      <c r="GL426" t="e">
        <f>'Australia and Oceania'!H84+"$F;@!4mH"</f>
        <v>#VALUE!</v>
      </c>
      <c r="GM426" t="e">
        <f>'Australia and Oceania'!A85+"$F;@!4mI"</f>
        <v>#VALUE!</v>
      </c>
      <c r="GN426" t="e">
        <f>'Australia and Oceania'!B85+"$F;@!4mJ"</f>
        <v>#VALUE!</v>
      </c>
      <c r="GO426" t="e">
        <f>'Australia and Oceania'!C85+"$F;@!4mK"</f>
        <v>#VALUE!</v>
      </c>
      <c r="GP426" t="e">
        <f>'Australia and Oceania'!D85+"$F;@!4mL"</f>
        <v>#VALUE!</v>
      </c>
      <c r="GQ426" t="e">
        <f>'Australia and Oceania'!E85+"$F;@!4mM"</f>
        <v>#VALUE!</v>
      </c>
      <c r="GR426" t="e">
        <f>'Australia and Oceania'!F85+"$F;@!4mN"</f>
        <v>#VALUE!</v>
      </c>
      <c r="GS426" t="e">
        <f>'Australia and Oceania'!G85+"$F;@!4mO"</f>
        <v>#VALUE!</v>
      </c>
      <c r="GT426" t="e">
        <f>'Australia and Oceania'!H85+"$F;@!4mP"</f>
        <v>#VALUE!</v>
      </c>
      <c r="GU426" t="e">
        <f>'Australia and Oceania'!A86+"$F;@!4mQ"</f>
        <v>#VALUE!</v>
      </c>
      <c r="GV426" t="e">
        <f>'Australia and Oceania'!B86+"$F;@!4mR"</f>
        <v>#VALUE!</v>
      </c>
      <c r="GW426" t="e">
        <f>'Australia and Oceania'!C86+"$F;@!4mS"</f>
        <v>#VALUE!</v>
      </c>
      <c r="GX426" t="e">
        <f>'Australia and Oceania'!D86+"$F;@!4mT"</f>
        <v>#VALUE!</v>
      </c>
      <c r="GY426" t="e">
        <f>'Australia and Oceania'!E86+"$F;@!4mU"</f>
        <v>#VALUE!</v>
      </c>
      <c r="GZ426" t="e">
        <f>'Australia and Oceania'!F86+"$F;@!4mV"</f>
        <v>#VALUE!</v>
      </c>
      <c r="HA426" t="e">
        <f>'Australia and Oceania'!G86+"$F;@!4mW"</f>
        <v>#VALUE!</v>
      </c>
      <c r="HB426" t="e">
        <f>'Australia and Oceania'!H86+"$F;@!4mX"</f>
        <v>#VALUE!</v>
      </c>
      <c r="HC426" t="e">
        <f>'Australia and Oceania'!A87+"$F;@!4mY"</f>
        <v>#VALUE!</v>
      </c>
      <c r="HD426" t="e">
        <f>'Australia and Oceania'!B87+"$F;@!4mZ"</f>
        <v>#VALUE!</v>
      </c>
      <c r="HE426" t="e">
        <f>'Australia and Oceania'!C87+"$F;@!4m["</f>
        <v>#VALUE!</v>
      </c>
      <c r="HF426" t="e">
        <f>'Australia and Oceania'!D87+"$F;@!4m\"</f>
        <v>#VALUE!</v>
      </c>
      <c r="HG426" t="e">
        <f>'Australia and Oceania'!E87+"$F;@!4m]"</f>
        <v>#VALUE!</v>
      </c>
      <c r="HH426" t="e">
        <f>'Australia and Oceania'!F87+"$F;@!4m^"</f>
        <v>#VALUE!</v>
      </c>
      <c r="HI426" t="e">
        <f>'Australia and Oceania'!G87+"$F;@!4m_"</f>
        <v>#VALUE!</v>
      </c>
      <c r="HJ426" t="e">
        <f>'Australia and Oceania'!H87+"$F;@!4m`"</f>
        <v>#VALUE!</v>
      </c>
      <c r="HK426" t="e">
        <f>'Australia and Oceania'!A88+"$F;@!4ma"</f>
        <v>#VALUE!</v>
      </c>
      <c r="HL426" t="e">
        <f>'Australia and Oceania'!B88+"$F;@!4mb"</f>
        <v>#VALUE!</v>
      </c>
      <c r="HM426" t="e">
        <f>'Australia and Oceania'!C88+"$F;@!4mc"</f>
        <v>#VALUE!</v>
      </c>
      <c r="HN426" t="e">
        <f>'Australia and Oceania'!D88+"$F;@!4md"</f>
        <v>#VALUE!</v>
      </c>
      <c r="HO426" t="e">
        <f>'Australia and Oceania'!E88+"$F;@!4me"</f>
        <v>#VALUE!</v>
      </c>
      <c r="HP426" t="e">
        <f>'Australia and Oceania'!F88+"$F;@!4mf"</f>
        <v>#VALUE!</v>
      </c>
      <c r="HQ426" t="e">
        <f>'Australia and Oceania'!G88+"$F;@!4mg"</f>
        <v>#VALUE!</v>
      </c>
      <c r="HR426" t="e">
        <f>'Australia and Oceania'!H88+"$F;@!4mh"</f>
        <v>#VALUE!</v>
      </c>
      <c r="HS426" t="e">
        <f>'Australia and Oceania'!A89+"$F;@!4mi"</f>
        <v>#VALUE!</v>
      </c>
      <c r="HT426" t="e">
        <f>'Australia and Oceania'!B89+"$F;@!4mj"</f>
        <v>#VALUE!</v>
      </c>
      <c r="HU426" t="e">
        <f>'Australia and Oceania'!C89+"$F;@!4mk"</f>
        <v>#VALUE!</v>
      </c>
      <c r="HV426" t="e">
        <f>'Australia and Oceania'!D89+"$F;@!4ml"</f>
        <v>#VALUE!</v>
      </c>
      <c r="HW426" t="e">
        <f>'Australia and Oceania'!E89+"$F;@!4mm"</f>
        <v>#VALUE!</v>
      </c>
      <c r="HX426" t="e">
        <f>'Australia and Oceania'!F89+"$F;@!4mn"</f>
        <v>#VALUE!</v>
      </c>
      <c r="HY426" t="e">
        <f>'Australia and Oceania'!G89+"$F;@!4mo"</f>
        <v>#VALUE!</v>
      </c>
      <c r="HZ426" t="e">
        <f>'Australia and Oceania'!H89+"$F;@!4mp"</f>
        <v>#VALUE!</v>
      </c>
      <c r="IA426" t="e">
        <f>'Australia and Oceania'!A90+"$F;@!4mq"</f>
        <v>#VALUE!</v>
      </c>
      <c r="IB426" t="e">
        <f>'Australia and Oceania'!B90+"$F;@!4mr"</f>
        <v>#VALUE!</v>
      </c>
      <c r="IC426" t="e">
        <f>'Australia and Oceania'!C90+"$F;@!4ms"</f>
        <v>#VALUE!</v>
      </c>
      <c r="ID426" t="e">
        <f>'Australia and Oceania'!D90+"$F;@!4mt"</f>
        <v>#VALUE!</v>
      </c>
      <c r="IE426" t="e">
        <f>'Australia and Oceania'!E90+"$F;@!4mu"</f>
        <v>#VALUE!</v>
      </c>
      <c r="IF426" t="e">
        <f>'Australia and Oceania'!F90+"$F;@!4mv"</f>
        <v>#VALUE!</v>
      </c>
      <c r="IG426" t="e">
        <f>'Australia and Oceania'!G90+"$F;@!4mw"</f>
        <v>#VALUE!</v>
      </c>
      <c r="IH426" t="e">
        <f>'Australia and Oceania'!H90+"$F;@!4mx"</f>
        <v>#VALUE!</v>
      </c>
      <c r="II426" t="e">
        <f>'Australia and Oceania'!A91+"$F;@!4my"</f>
        <v>#VALUE!</v>
      </c>
      <c r="IJ426" t="e">
        <f>'Australia and Oceania'!B91+"$F;@!4mz"</f>
        <v>#VALUE!</v>
      </c>
      <c r="IK426" t="e">
        <f>'Australia and Oceania'!C91+"$F;@!4m{"</f>
        <v>#VALUE!</v>
      </c>
      <c r="IL426" t="e">
        <f>'Australia and Oceania'!D91+"$F;@!4m|"</f>
        <v>#VALUE!</v>
      </c>
      <c r="IM426" t="e">
        <f>'Australia and Oceania'!E91+"$F;@!4m}"</f>
        <v>#VALUE!</v>
      </c>
      <c r="IN426" t="e">
        <f>'Australia and Oceania'!F91+"$F;@!4m~"</f>
        <v>#VALUE!</v>
      </c>
      <c r="IO426" t="e">
        <f>'Australia and Oceania'!G91+"$F;@!4n#"</f>
        <v>#VALUE!</v>
      </c>
      <c r="IP426" t="e">
        <f>'Australia and Oceania'!H91+"$F;@!4n$"</f>
        <v>#VALUE!</v>
      </c>
      <c r="IQ426" t="e">
        <f>'Australia and Oceania'!A92+"$F;@!4n%"</f>
        <v>#VALUE!</v>
      </c>
      <c r="IR426" t="e">
        <f>'Australia and Oceania'!B92+"$F;@!4n&amp;"</f>
        <v>#VALUE!</v>
      </c>
      <c r="IS426" t="e">
        <f>'Australia and Oceania'!C92+"$F;@!4n'"</f>
        <v>#VALUE!</v>
      </c>
      <c r="IT426" t="e">
        <f>'Australia and Oceania'!D92+"$F;@!4n("</f>
        <v>#VALUE!</v>
      </c>
      <c r="IU426" t="e">
        <f>'Australia and Oceania'!E92+"$F;@!4n)"</f>
        <v>#VALUE!</v>
      </c>
      <c r="IV426" t="e">
        <f>'Australia and Oceania'!F92+"$F;@!4n."</f>
        <v>#VALUE!</v>
      </c>
    </row>
    <row r="427" spans="6:256" x14ac:dyDescent="0.35">
      <c r="F427" t="e">
        <f>'Australia and Oceania'!G92+"$F;@!4n/"</f>
        <v>#VALUE!</v>
      </c>
      <c r="G427" t="e">
        <f>'Australia and Oceania'!H92+"$F;@!4n0"</f>
        <v>#VALUE!</v>
      </c>
      <c r="H427" t="e">
        <f>'Australia and Oceania'!A93+"$F;@!4n1"</f>
        <v>#VALUE!</v>
      </c>
      <c r="I427" t="e">
        <f>'Australia and Oceania'!B93+"$F;@!4n2"</f>
        <v>#VALUE!</v>
      </c>
      <c r="J427" t="e">
        <f>'Australia and Oceania'!C93+"$F;@!4n3"</f>
        <v>#VALUE!</v>
      </c>
      <c r="K427" t="e">
        <f>'Australia and Oceania'!D93+"$F;@!4n4"</f>
        <v>#VALUE!</v>
      </c>
      <c r="L427" t="e">
        <f>'Australia and Oceania'!E93+"$F;@!4n5"</f>
        <v>#VALUE!</v>
      </c>
      <c r="M427" t="e">
        <f>'Australia and Oceania'!F93+"$F;@!4n6"</f>
        <v>#VALUE!</v>
      </c>
      <c r="N427" t="e">
        <f>'Australia and Oceania'!G93+"$F;@!4n7"</f>
        <v>#VALUE!</v>
      </c>
      <c r="O427" t="e">
        <f>'Australia and Oceania'!H93+"$F;@!4n8"</f>
        <v>#VALUE!</v>
      </c>
      <c r="P427" t="e">
        <f>'Australia and Oceania'!A94+"$F;@!4n9"</f>
        <v>#VALUE!</v>
      </c>
      <c r="Q427" t="e">
        <f>'Australia and Oceania'!B94+"$F;@!4n:"</f>
        <v>#VALUE!</v>
      </c>
      <c r="R427" t="e">
        <f>'Australia and Oceania'!C94+"$F;@!4n;"</f>
        <v>#VALUE!</v>
      </c>
      <c r="S427" t="e">
        <f>'Australia and Oceania'!D94+"$F;@!4n&lt;"</f>
        <v>#VALUE!</v>
      </c>
      <c r="T427" t="e">
        <f>'Australia and Oceania'!E94+"$F;@!4n="</f>
        <v>#VALUE!</v>
      </c>
      <c r="U427" t="e">
        <f>'Australia and Oceania'!F94+"$F;@!4n&gt;"</f>
        <v>#VALUE!</v>
      </c>
      <c r="V427" t="e">
        <f>'Australia and Oceania'!G94+"$F;@!4n?"</f>
        <v>#VALUE!</v>
      </c>
      <c r="W427" t="e">
        <f>'Australia and Oceania'!H94+"$F;@!4n@"</f>
        <v>#VALUE!</v>
      </c>
      <c r="X427" t="e">
        <f>'Australia and Oceania'!A95+"$F;@!4nA"</f>
        <v>#VALUE!</v>
      </c>
      <c r="Y427" t="e">
        <f>'Australia and Oceania'!B95+"$F;@!4nB"</f>
        <v>#VALUE!</v>
      </c>
      <c r="Z427" t="e">
        <f>'Australia and Oceania'!C95+"$F;@!4nC"</f>
        <v>#VALUE!</v>
      </c>
      <c r="AA427" t="e">
        <f>'Australia and Oceania'!D95+"$F;@!4nD"</f>
        <v>#VALUE!</v>
      </c>
      <c r="AB427" t="e">
        <f>'Australia and Oceania'!E95+"$F;@!4nE"</f>
        <v>#VALUE!</v>
      </c>
      <c r="AC427" t="e">
        <f>'Australia and Oceania'!F95+"$F;@!4nF"</f>
        <v>#VALUE!</v>
      </c>
      <c r="AD427" t="e">
        <f>'Australia and Oceania'!G95+"$F;@!4nG"</f>
        <v>#VALUE!</v>
      </c>
      <c r="AE427" t="e">
        <f>'Australia and Oceania'!H95+"$F;@!4nH"</f>
        <v>#VALUE!</v>
      </c>
      <c r="AF427" t="e">
        <f>'Australia and Oceania'!A96+"$F;@!4nI"</f>
        <v>#VALUE!</v>
      </c>
      <c r="AG427" t="e">
        <f>'Australia and Oceania'!B96+"$F;@!4nJ"</f>
        <v>#VALUE!</v>
      </c>
      <c r="AH427" t="e">
        <f>'Australia and Oceania'!C96+"$F;@!4nK"</f>
        <v>#VALUE!</v>
      </c>
      <c r="AI427" t="e">
        <f>'Australia and Oceania'!D96+"$F;@!4nL"</f>
        <v>#VALUE!</v>
      </c>
      <c r="AJ427" t="e">
        <f>'Australia and Oceania'!E96+"$F;@!4nM"</f>
        <v>#VALUE!</v>
      </c>
      <c r="AK427" t="e">
        <f>'Australia and Oceania'!F96+"$F;@!4nN"</f>
        <v>#VALUE!</v>
      </c>
      <c r="AL427" t="e">
        <f>'Australia and Oceania'!G96+"$F;@!4nO"</f>
        <v>#VALUE!</v>
      </c>
      <c r="AM427" t="e">
        <f>'Australia and Oceania'!H96+"$F;@!4nP"</f>
        <v>#VALUE!</v>
      </c>
      <c r="AN427" t="e">
        <f>'Australia and Oceania'!A97+"$F;@!4nQ"</f>
        <v>#VALUE!</v>
      </c>
      <c r="AO427" t="e">
        <f>'Australia and Oceania'!B97+"$F;@!4nR"</f>
        <v>#VALUE!</v>
      </c>
      <c r="AP427" t="e">
        <f>'Australia and Oceania'!C97+"$F;@!4nS"</f>
        <v>#VALUE!</v>
      </c>
      <c r="AQ427" t="e">
        <f>'Australia and Oceania'!D97+"$F;@!4nT"</f>
        <v>#VALUE!</v>
      </c>
      <c r="AR427" t="e">
        <f>'Australia and Oceania'!E97+"$F;@!4nU"</f>
        <v>#VALUE!</v>
      </c>
      <c r="AS427" t="e">
        <f>'Australia and Oceania'!F97+"$F;@!4nV"</f>
        <v>#VALUE!</v>
      </c>
      <c r="AT427" t="e">
        <f>'Australia and Oceania'!G97+"$F;@!4nW"</f>
        <v>#VALUE!</v>
      </c>
      <c r="AU427" t="e">
        <f>'Australia and Oceania'!H97+"$F;@!4nX"</f>
        <v>#VALUE!</v>
      </c>
      <c r="AV427" t="e">
        <f>'Australia and Oceania'!A98+"$F;@!4nY"</f>
        <v>#VALUE!</v>
      </c>
      <c r="AW427" t="e">
        <f>'Australia and Oceania'!B98+"$F;@!4nZ"</f>
        <v>#VALUE!</v>
      </c>
      <c r="AX427" t="e">
        <f>'Australia and Oceania'!C98+"$F;@!4n["</f>
        <v>#VALUE!</v>
      </c>
      <c r="AY427" t="e">
        <f>'Australia and Oceania'!D98+"$F;@!4n\"</f>
        <v>#VALUE!</v>
      </c>
      <c r="AZ427" t="e">
        <f>'Australia and Oceania'!E98+"$F;@!4n]"</f>
        <v>#VALUE!</v>
      </c>
      <c r="BA427" t="e">
        <f>'Australia and Oceania'!F98+"$F;@!4n^"</f>
        <v>#VALUE!</v>
      </c>
      <c r="BB427" t="e">
        <f>'Australia and Oceania'!G98+"$F;@!4n_"</f>
        <v>#VALUE!</v>
      </c>
      <c r="BC427" t="e">
        <f>'Australia and Oceania'!H98+"$F;@!4n`"</f>
        <v>#VALUE!</v>
      </c>
      <c r="BD427" t="e">
        <f>'Australia and Oceania'!A99+"$F;@!4na"</f>
        <v>#VALUE!</v>
      </c>
      <c r="BE427" t="e">
        <f>'Australia and Oceania'!B99+"$F;@!4nb"</f>
        <v>#VALUE!</v>
      </c>
      <c r="BF427" t="e">
        <f>'Australia and Oceania'!C99+"$F;@!4nc"</f>
        <v>#VALUE!</v>
      </c>
      <c r="BG427" t="e">
        <f>'Australia and Oceania'!D99+"$F;@!4nd"</f>
        <v>#VALUE!</v>
      </c>
      <c r="BH427" t="e">
        <f>'Australia and Oceania'!E99+"$F;@!4ne"</f>
        <v>#VALUE!</v>
      </c>
      <c r="BI427" t="e">
        <f>'Australia and Oceania'!F99+"$F;@!4nf"</f>
        <v>#VALUE!</v>
      </c>
      <c r="BJ427" t="e">
        <f>'Australia and Oceania'!G99+"$F;@!4ng"</f>
        <v>#VALUE!</v>
      </c>
      <c r="BK427" t="e">
        <f>'Australia and Oceania'!H99+"$F;@!4nh"</f>
        <v>#VALUE!</v>
      </c>
      <c r="BL427" t="e">
        <f>'Australia and Oceania'!A100+"$F;@!4ni"</f>
        <v>#VALUE!</v>
      </c>
      <c r="BM427" t="e">
        <f>'Australia and Oceania'!B100+"$F;@!4nj"</f>
        <v>#VALUE!</v>
      </c>
      <c r="BN427" t="e">
        <f>'Australia and Oceania'!C100+"$F;@!4nk"</f>
        <v>#VALUE!</v>
      </c>
      <c r="BO427" t="e">
        <f>'Australia and Oceania'!D100+"$F;@!4nl"</f>
        <v>#VALUE!</v>
      </c>
      <c r="BP427" t="e">
        <f>'Australia and Oceania'!E100+"$F;@!4nm"</f>
        <v>#VALUE!</v>
      </c>
      <c r="BQ427" t="e">
        <f>'Australia and Oceania'!F100+"$F;@!4nn"</f>
        <v>#VALUE!</v>
      </c>
      <c r="BR427" t="e">
        <f>'Australia and Oceania'!G100+"$F;@!4no"</f>
        <v>#VALUE!</v>
      </c>
      <c r="BS427" t="e">
        <f>'Australia and Oceania'!H100+"$F;@!4np"</f>
        <v>#VALUE!</v>
      </c>
      <c r="BT427" t="e">
        <f>'Australia and Oceania'!A101+"$F;@!4nq"</f>
        <v>#VALUE!</v>
      </c>
      <c r="BU427" t="e">
        <f>'Australia and Oceania'!B101+"$F;@!4nr"</f>
        <v>#VALUE!</v>
      </c>
      <c r="BV427" t="e">
        <f>'Australia and Oceania'!C101+"$F;@!4ns"</f>
        <v>#VALUE!</v>
      </c>
      <c r="BW427" t="e">
        <f>'Australia and Oceania'!D101+"$F;@!4nt"</f>
        <v>#VALUE!</v>
      </c>
      <c r="BX427" t="e">
        <f>'Australia and Oceania'!E101+"$F;@!4nu"</f>
        <v>#VALUE!</v>
      </c>
      <c r="BY427" t="e">
        <f>'Australia and Oceania'!F101+"$F;@!4nv"</f>
        <v>#VALUE!</v>
      </c>
      <c r="BZ427" t="e">
        <f>'Australia and Oceania'!G101+"$F;@!4nw"</f>
        <v>#VALUE!</v>
      </c>
      <c r="CA427" t="e">
        <f>'Australia and Oceania'!H101+"$F;@!4nx"</f>
        <v>#VALUE!</v>
      </c>
      <c r="CB427" t="e">
        <f>'Australia and Oceania'!A102+"$F;@!4ny"</f>
        <v>#VALUE!</v>
      </c>
      <c r="CC427" t="e">
        <f>'Australia and Oceania'!B102+"$F;@!4nz"</f>
        <v>#VALUE!</v>
      </c>
      <c r="CD427" t="e">
        <f>'Australia and Oceania'!C102+"$F;@!4n{"</f>
        <v>#VALUE!</v>
      </c>
      <c r="CE427" t="e">
        <f>'Australia and Oceania'!D102+"$F;@!4n|"</f>
        <v>#VALUE!</v>
      </c>
      <c r="CF427" t="e">
        <f>'Australia and Oceania'!E102+"$F;@!4n}"</f>
        <v>#VALUE!</v>
      </c>
      <c r="CG427" t="e">
        <f>'Australia and Oceania'!F102+"$F;@!4n~"</f>
        <v>#VALUE!</v>
      </c>
      <c r="CH427" t="e">
        <f>'Australia and Oceania'!G102+"$F;@!4o#"</f>
        <v>#VALUE!</v>
      </c>
      <c r="CI427" t="e">
        <f>'Australia and Oceania'!H102+"$F;@!4o$"</f>
        <v>#VALUE!</v>
      </c>
      <c r="CJ427" t="e">
        <f>'Australia and Oceania'!A103+"$F;@!4o%"</f>
        <v>#VALUE!</v>
      </c>
      <c r="CK427" t="e">
        <f>'Australia and Oceania'!B103+"$F;@!4o&amp;"</f>
        <v>#VALUE!</v>
      </c>
      <c r="CL427" t="e">
        <f>'Australia and Oceania'!C103+"$F;@!4o'"</f>
        <v>#VALUE!</v>
      </c>
      <c r="CM427" t="e">
        <f>'Australia and Oceania'!D103+"$F;@!4o("</f>
        <v>#VALUE!</v>
      </c>
      <c r="CN427" t="e">
        <f>'Australia and Oceania'!E103+"$F;@!4o)"</f>
        <v>#VALUE!</v>
      </c>
      <c r="CO427" t="e">
        <f>'Australia and Oceania'!F103+"$F;@!4o."</f>
        <v>#VALUE!</v>
      </c>
      <c r="CP427" t="e">
        <f>'Australia and Oceania'!G103+"$F;@!4o/"</f>
        <v>#VALUE!</v>
      </c>
      <c r="CQ427" t="e">
        <f>'Australia and Oceania'!H103+"$F;@!4o0"</f>
        <v>#VALUE!</v>
      </c>
      <c r="CR427" t="e">
        <f>'Australia and Oceania'!A104+"$F;@!4o1"</f>
        <v>#VALUE!</v>
      </c>
      <c r="CS427" t="e">
        <f>'Australia and Oceania'!B104+"$F;@!4o2"</f>
        <v>#VALUE!</v>
      </c>
      <c r="CT427" t="e">
        <f>'Australia and Oceania'!C104+"$F;@!4o3"</f>
        <v>#VALUE!</v>
      </c>
      <c r="CU427" t="e">
        <f>'Australia and Oceania'!D104+"$F;@!4o4"</f>
        <v>#VALUE!</v>
      </c>
      <c r="CV427" t="e">
        <f>'Australia and Oceania'!E104+"$F;@!4o5"</f>
        <v>#VALUE!</v>
      </c>
      <c r="CW427" t="e">
        <f>'Australia and Oceania'!F104+"$F;@!4o6"</f>
        <v>#VALUE!</v>
      </c>
      <c r="CX427" t="e">
        <f>'Australia and Oceania'!G104+"$F;@!4o7"</f>
        <v>#VALUE!</v>
      </c>
      <c r="CY427" t="e">
        <f>'Australia and Oceania'!H104+"$F;@!4o8"</f>
        <v>#VALUE!</v>
      </c>
      <c r="CZ427" t="e">
        <f>'Australia and Oceania'!A105+"$F;@!4o9"</f>
        <v>#VALUE!</v>
      </c>
      <c r="DA427" t="e">
        <f>'Australia and Oceania'!B105+"$F;@!4o:"</f>
        <v>#VALUE!</v>
      </c>
      <c r="DB427" t="e">
        <f>'Australia and Oceania'!C105+"$F;@!4o;"</f>
        <v>#VALUE!</v>
      </c>
      <c r="DC427" t="e">
        <f>'Australia and Oceania'!D105+"$F;@!4o&lt;"</f>
        <v>#VALUE!</v>
      </c>
      <c r="DD427" t="e">
        <f>'Australia and Oceania'!E105+"$F;@!4o="</f>
        <v>#VALUE!</v>
      </c>
      <c r="DE427" t="e">
        <f>'Australia and Oceania'!F105+"$F;@!4o&gt;"</f>
        <v>#VALUE!</v>
      </c>
      <c r="DF427" t="e">
        <f>'Australia and Oceania'!G105+"$F;@!4o?"</f>
        <v>#VALUE!</v>
      </c>
      <c r="DG427" t="e">
        <f>'Australia and Oceania'!H105+"$F;@!4o@"</f>
        <v>#VALUE!</v>
      </c>
      <c r="DH427" t="e">
        <f>'Australia and Oceania'!A106+"$F;@!4oA"</f>
        <v>#VALUE!</v>
      </c>
      <c r="DI427" t="e">
        <f>'Australia and Oceania'!B106+"$F;@!4oB"</f>
        <v>#VALUE!</v>
      </c>
      <c r="DJ427" t="e">
        <f>'Australia and Oceania'!C106+"$F;@!4oC"</f>
        <v>#VALUE!</v>
      </c>
      <c r="DK427" t="e">
        <f>'Australia and Oceania'!D106+"$F;@!4oD"</f>
        <v>#VALUE!</v>
      </c>
      <c r="DL427" t="e">
        <f>'Australia and Oceania'!E106+"$F;@!4oE"</f>
        <v>#VALUE!</v>
      </c>
      <c r="DM427" t="e">
        <f>'Australia and Oceania'!F106+"$F;@!4oF"</f>
        <v>#VALUE!</v>
      </c>
      <c r="DN427" t="e">
        <f>'Australia and Oceania'!G106+"$F;@!4oG"</f>
        <v>#VALUE!</v>
      </c>
      <c r="DO427" t="e">
        <f>'Australia and Oceania'!H106+"$F;@!4oH"</f>
        <v>#VALUE!</v>
      </c>
      <c r="DP427" t="e">
        <f>'Australia and Oceania'!A107+"$F;@!4oI"</f>
        <v>#VALUE!</v>
      </c>
      <c r="DQ427" t="e">
        <f>'Australia and Oceania'!B107+"$F;@!4oJ"</f>
        <v>#VALUE!</v>
      </c>
      <c r="DR427" t="e">
        <f>'Australia and Oceania'!C107+"$F;@!4oK"</f>
        <v>#VALUE!</v>
      </c>
      <c r="DS427" t="e">
        <f>'Australia and Oceania'!D107+"$F;@!4oL"</f>
        <v>#VALUE!</v>
      </c>
      <c r="DT427" t="e">
        <f>'Australia and Oceania'!E107+"$F;@!4oM"</f>
        <v>#VALUE!</v>
      </c>
      <c r="DU427" t="e">
        <f>'Australia and Oceania'!F107+"$F;@!4oN"</f>
        <v>#VALUE!</v>
      </c>
      <c r="DV427" t="e">
        <f>'Australia and Oceania'!G107+"$F;@!4oO"</f>
        <v>#VALUE!</v>
      </c>
      <c r="DW427" t="e">
        <f>'Australia and Oceania'!H107+"$F;@!4oP"</f>
        <v>#VALUE!</v>
      </c>
      <c r="DX427" t="e">
        <f>'Australia and Oceania'!A108+"$F;@!4oQ"</f>
        <v>#VALUE!</v>
      </c>
      <c r="DY427" t="e">
        <f>'Australia and Oceania'!B108+"$F;@!4oR"</f>
        <v>#VALUE!</v>
      </c>
      <c r="DZ427" t="e">
        <f>'Australia and Oceania'!C108+"$F;@!4oS"</f>
        <v>#VALUE!</v>
      </c>
      <c r="EA427" t="e">
        <f>'Australia and Oceania'!D108+"$F;@!4oT"</f>
        <v>#VALUE!</v>
      </c>
      <c r="EB427" t="e">
        <f>'Australia and Oceania'!E108+"$F;@!4oU"</f>
        <v>#VALUE!</v>
      </c>
      <c r="EC427" t="e">
        <f>'Australia and Oceania'!F108+"$F;@!4oV"</f>
        <v>#VALUE!</v>
      </c>
      <c r="ED427" t="e">
        <f>'Australia and Oceania'!G108+"$F;@!4oW"</f>
        <v>#VALUE!</v>
      </c>
      <c r="EE427" t="e">
        <f>'Australia and Oceania'!H108+"$F;@!4oX"</f>
        <v>#VALUE!</v>
      </c>
      <c r="EF427" t="e">
        <f>'Australia and Oceania'!A109+"$F;@!4oY"</f>
        <v>#VALUE!</v>
      </c>
      <c r="EG427" t="e">
        <f>'Australia and Oceania'!B109+"$F;@!4oZ"</f>
        <v>#VALUE!</v>
      </c>
      <c r="EH427" t="e">
        <f>'Australia and Oceania'!C109+"$F;@!4o["</f>
        <v>#VALUE!</v>
      </c>
      <c r="EI427" t="e">
        <f>'Australia and Oceania'!D109+"$F;@!4o\"</f>
        <v>#VALUE!</v>
      </c>
      <c r="EJ427" t="e">
        <f>'Australia and Oceania'!E109+"$F;@!4o]"</f>
        <v>#VALUE!</v>
      </c>
      <c r="EK427" t="e">
        <f>'Australia and Oceania'!F109+"$F;@!4o^"</f>
        <v>#VALUE!</v>
      </c>
      <c r="EL427" t="e">
        <f>'Australia and Oceania'!G109+"$F;@!4o_"</f>
        <v>#VALUE!</v>
      </c>
      <c r="EM427" t="e">
        <f>'Australia and Oceania'!H109+"$F;@!4o`"</f>
        <v>#VALUE!</v>
      </c>
      <c r="EN427" t="e">
        <f>'Australia and Oceania'!A110+"$F;@!4oa"</f>
        <v>#VALUE!</v>
      </c>
      <c r="EO427" t="e">
        <f>'Australia and Oceania'!B110+"$F;@!4ob"</f>
        <v>#VALUE!</v>
      </c>
      <c r="EP427" t="e">
        <f>'Australia and Oceania'!C110+"$F;@!4oc"</f>
        <v>#VALUE!</v>
      </c>
      <c r="EQ427" t="e">
        <f>'Australia and Oceania'!D110+"$F;@!4od"</f>
        <v>#VALUE!</v>
      </c>
      <c r="ER427" t="e">
        <f>'Australia and Oceania'!E110+"$F;@!4oe"</f>
        <v>#VALUE!</v>
      </c>
      <c r="ES427" t="e">
        <f>'Australia and Oceania'!F110+"$F;@!4of"</f>
        <v>#VALUE!</v>
      </c>
      <c r="ET427" t="e">
        <f>'Australia and Oceania'!G110+"$F;@!4og"</f>
        <v>#VALUE!</v>
      </c>
      <c r="EU427" t="e">
        <f>'Australia and Oceania'!H110+"$F;@!4oh"</f>
        <v>#VALUE!</v>
      </c>
      <c r="EV427" t="e">
        <f>'Australia and Oceania'!A111+"$F;@!4oi"</f>
        <v>#VALUE!</v>
      </c>
      <c r="EW427" t="e">
        <f>'Australia and Oceania'!B111+"$F;@!4oj"</f>
        <v>#VALUE!</v>
      </c>
      <c r="EX427" t="e">
        <f>'Australia and Oceania'!C111+"$F;@!4ok"</f>
        <v>#VALUE!</v>
      </c>
      <c r="EY427" t="e">
        <f>'Australia and Oceania'!D111+"$F;@!4ol"</f>
        <v>#VALUE!</v>
      </c>
      <c r="EZ427" t="e">
        <f>'Australia and Oceania'!E111+"$F;@!4om"</f>
        <v>#VALUE!</v>
      </c>
      <c r="FA427" t="e">
        <f>'Australia and Oceania'!F111+"$F;@!4on"</f>
        <v>#VALUE!</v>
      </c>
      <c r="FB427" t="e">
        <f>'Australia and Oceania'!G111+"$F;@!4oo"</f>
        <v>#VALUE!</v>
      </c>
      <c r="FC427" t="e">
        <f>'Australia and Oceania'!H111+"$F;@!4op"</f>
        <v>#VALUE!</v>
      </c>
      <c r="FD427" t="e">
        <f>'Australia and Oceania'!A112+"$F;@!4oq"</f>
        <v>#VALUE!</v>
      </c>
      <c r="FE427" t="e">
        <f>'Australia and Oceania'!B112+"$F;@!4or"</f>
        <v>#VALUE!</v>
      </c>
      <c r="FF427" t="e">
        <f>'Australia and Oceania'!C112+"$F;@!4os"</f>
        <v>#VALUE!</v>
      </c>
      <c r="FG427" t="e">
        <f>'Australia and Oceania'!D112+"$F;@!4ot"</f>
        <v>#VALUE!</v>
      </c>
      <c r="FH427" t="e">
        <f>'Australia and Oceania'!E112+"$F;@!4ou"</f>
        <v>#VALUE!</v>
      </c>
      <c r="FI427" t="e">
        <f>'Australia and Oceania'!F112+"$F;@!4ov"</f>
        <v>#VALUE!</v>
      </c>
      <c r="FJ427" t="e">
        <f>'Australia and Oceania'!G112+"$F;@!4ow"</f>
        <v>#VALUE!</v>
      </c>
      <c r="FK427" t="e">
        <f>'Australia and Oceania'!H112+"$F;@!4ox"</f>
        <v>#VALUE!</v>
      </c>
      <c r="FL427" t="e">
        <f>'Australia and Oceania'!A113+"$F;@!4oy"</f>
        <v>#VALUE!</v>
      </c>
      <c r="FM427" t="e">
        <f>'Australia and Oceania'!B113+"$F;@!4oz"</f>
        <v>#VALUE!</v>
      </c>
      <c r="FN427" t="e">
        <f>'Australia and Oceania'!C113+"$F;@!4o{"</f>
        <v>#VALUE!</v>
      </c>
      <c r="FO427" t="e">
        <f>'Australia and Oceania'!D113+"$F;@!4o|"</f>
        <v>#VALUE!</v>
      </c>
      <c r="FP427" t="e">
        <f>'Australia and Oceania'!E113+"$F;@!4o}"</f>
        <v>#VALUE!</v>
      </c>
      <c r="FQ427" t="e">
        <f>'Australia and Oceania'!F113+"$F;@!4o~"</f>
        <v>#VALUE!</v>
      </c>
      <c r="FR427" t="e">
        <f>'Australia and Oceania'!G113+"$F;@!4p#"</f>
        <v>#VALUE!</v>
      </c>
      <c r="FS427" t="e">
        <f>'Australia and Oceania'!H113+"$F;@!4p$"</f>
        <v>#VALUE!</v>
      </c>
      <c r="FT427" t="e">
        <f>'Australia and Oceania'!A114+"$F;@!4p%"</f>
        <v>#VALUE!</v>
      </c>
      <c r="FU427" t="e">
        <f>'Australia and Oceania'!B114+"$F;@!4p&amp;"</f>
        <v>#VALUE!</v>
      </c>
      <c r="FV427" t="e">
        <f>'Australia and Oceania'!C114+"$F;@!4p'"</f>
        <v>#VALUE!</v>
      </c>
      <c r="FW427" t="e">
        <f>'Australia and Oceania'!D114+"$F;@!4p("</f>
        <v>#VALUE!</v>
      </c>
      <c r="FX427" t="e">
        <f>'Australia and Oceania'!E114+"$F;@!4p)"</f>
        <v>#VALUE!</v>
      </c>
      <c r="FY427" t="e">
        <f>'Australia and Oceania'!F114+"$F;@!4p."</f>
        <v>#VALUE!</v>
      </c>
      <c r="FZ427" t="e">
        <f>'Australia and Oceania'!G114+"$F;@!4p/"</f>
        <v>#VALUE!</v>
      </c>
      <c r="GA427" t="e">
        <f>'Australia and Oceania'!H114+"$F;@!4p0"</f>
        <v>#VALUE!</v>
      </c>
      <c r="GB427" t="e">
        <f>'Australia and Oceania'!A115+"$F;@!4p1"</f>
        <v>#VALUE!</v>
      </c>
      <c r="GC427" t="e">
        <f>'Australia and Oceania'!B115+"$F;@!4p2"</f>
        <v>#VALUE!</v>
      </c>
      <c r="GD427" t="e">
        <f>'Australia and Oceania'!C115+"$F;@!4p3"</f>
        <v>#VALUE!</v>
      </c>
      <c r="GE427" t="e">
        <f>'Australia and Oceania'!D115+"$F;@!4p4"</f>
        <v>#VALUE!</v>
      </c>
      <c r="GF427" t="e">
        <f>'Australia and Oceania'!E115+"$F;@!4p5"</f>
        <v>#VALUE!</v>
      </c>
      <c r="GG427" t="e">
        <f>'Australia and Oceania'!F115+"$F;@!4p6"</f>
        <v>#VALUE!</v>
      </c>
      <c r="GH427" t="e">
        <f>'Australia and Oceania'!G115+"$F;@!4p7"</f>
        <v>#VALUE!</v>
      </c>
      <c r="GI427" t="e">
        <f>'Australia and Oceania'!H115+"$F;@!4p8"</f>
        <v>#VALUE!</v>
      </c>
      <c r="GJ427" t="e">
        <f>'Australia and Oceania'!A116+"$F;@!4p9"</f>
        <v>#VALUE!</v>
      </c>
      <c r="GK427" t="e">
        <f>'Australia and Oceania'!B116+"$F;@!4p:"</f>
        <v>#VALUE!</v>
      </c>
      <c r="GL427" t="e">
        <f>'Australia and Oceania'!C116+"$F;@!4p;"</f>
        <v>#VALUE!</v>
      </c>
      <c r="GM427" t="e">
        <f>'Australia and Oceania'!D116+"$F;@!4p&lt;"</f>
        <v>#VALUE!</v>
      </c>
      <c r="GN427" t="e">
        <f>'Australia and Oceania'!E116+"$F;@!4p="</f>
        <v>#VALUE!</v>
      </c>
      <c r="GO427" t="e">
        <f>'Australia and Oceania'!F116+"$F;@!4p&gt;"</f>
        <v>#VALUE!</v>
      </c>
      <c r="GP427" t="e">
        <f>'Australia and Oceania'!G116+"$F;@!4p?"</f>
        <v>#VALUE!</v>
      </c>
      <c r="GQ427" t="e">
        <f>'Australia and Oceania'!H116+"$F;@!4p@"</f>
        <v>#VALUE!</v>
      </c>
      <c r="GR427" t="e">
        <f>'Australia and Oceania'!A117+"$F;@!4pA"</f>
        <v>#VALUE!</v>
      </c>
      <c r="GS427" t="e">
        <f>'Australia and Oceania'!B117+"$F;@!4pB"</f>
        <v>#VALUE!</v>
      </c>
      <c r="GT427" t="e">
        <f>'Australia and Oceania'!C117+"$F;@!4pC"</f>
        <v>#VALUE!</v>
      </c>
      <c r="GU427" t="e">
        <f>'Australia and Oceania'!D117+"$F;@!4pD"</f>
        <v>#VALUE!</v>
      </c>
      <c r="GV427" t="e">
        <f>'Australia and Oceania'!E117+"$F;@!4pE"</f>
        <v>#VALUE!</v>
      </c>
      <c r="GW427" t="e">
        <f>'Australia and Oceania'!F117+"$F;@!4pF"</f>
        <v>#VALUE!</v>
      </c>
      <c r="GX427" t="e">
        <f>'Australia and Oceania'!G117+"$F;@!4pG"</f>
        <v>#VALUE!</v>
      </c>
      <c r="GY427" t="e">
        <f>'Australia and Oceania'!H117+"$F;@!4pH"</f>
        <v>#VALUE!</v>
      </c>
      <c r="GZ427" t="e">
        <f>'Australia and Oceania'!A118+"$F;@!4pI"</f>
        <v>#VALUE!</v>
      </c>
      <c r="HA427" t="e">
        <f>'Australia and Oceania'!B118+"$F;@!4pJ"</f>
        <v>#VALUE!</v>
      </c>
      <c r="HB427" t="e">
        <f>'Australia and Oceania'!C118+"$F;@!4pK"</f>
        <v>#VALUE!</v>
      </c>
      <c r="HC427" t="e">
        <f>'Australia and Oceania'!D118+"$F;@!4pL"</f>
        <v>#VALUE!</v>
      </c>
      <c r="HD427" t="e">
        <f>'Australia and Oceania'!E118+"$F;@!4pM"</f>
        <v>#VALUE!</v>
      </c>
      <c r="HE427" t="e">
        <f>'Australia and Oceania'!F118+"$F;@!4pN"</f>
        <v>#VALUE!</v>
      </c>
      <c r="HF427" t="e">
        <f>'Australia and Oceania'!G118+"$F;@!4pO"</f>
        <v>#VALUE!</v>
      </c>
      <c r="HG427" t="e">
        <f>'Australia and Oceania'!H118+"$F;@!4pP"</f>
        <v>#VALUE!</v>
      </c>
      <c r="HH427" t="e">
        <f>'Australia and Oceania'!A119+"$F;@!4pQ"</f>
        <v>#VALUE!</v>
      </c>
      <c r="HI427" t="e">
        <f>'Australia and Oceania'!B119+"$F;@!4pR"</f>
        <v>#VALUE!</v>
      </c>
      <c r="HJ427" t="e">
        <f>'Australia and Oceania'!C119+"$F;@!4pS"</f>
        <v>#VALUE!</v>
      </c>
      <c r="HK427" t="e">
        <f>'Australia and Oceania'!D119+"$F;@!4pT"</f>
        <v>#VALUE!</v>
      </c>
      <c r="HL427" t="e">
        <f>'Australia and Oceania'!E119+"$F;@!4pU"</f>
        <v>#VALUE!</v>
      </c>
      <c r="HM427" t="e">
        <f>'Australia and Oceania'!F119+"$F;@!4pV"</f>
        <v>#VALUE!</v>
      </c>
      <c r="HN427" t="e">
        <f>'Australia and Oceania'!G119+"$F;@!4pW"</f>
        <v>#VALUE!</v>
      </c>
      <c r="HO427" t="e">
        <f>'Australia and Oceania'!H119+"$F;@!4pX"</f>
        <v>#VALUE!</v>
      </c>
      <c r="HP427" t="e">
        <f>'Australia and Oceania'!A120+"$F;@!4pY"</f>
        <v>#VALUE!</v>
      </c>
      <c r="HQ427" t="e">
        <f>'Australia and Oceania'!B120+"$F;@!4pZ"</f>
        <v>#VALUE!</v>
      </c>
      <c r="HR427" t="e">
        <f>'Australia and Oceania'!C120+"$F;@!4p["</f>
        <v>#VALUE!</v>
      </c>
      <c r="HS427" t="e">
        <f>'Australia and Oceania'!D120+"$F;@!4p\"</f>
        <v>#VALUE!</v>
      </c>
      <c r="HT427" t="e">
        <f>'Australia and Oceania'!E120+"$F;@!4p]"</f>
        <v>#VALUE!</v>
      </c>
      <c r="HU427" t="e">
        <f>'Australia and Oceania'!F120+"$F;@!4p^"</f>
        <v>#VALUE!</v>
      </c>
      <c r="HV427" t="e">
        <f>'Australia and Oceania'!G120+"$F;@!4p_"</f>
        <v>#VALUE!</v>
      </c>
      <c r="HW427" t="e">
        <f>'Australia and Oceania'!H120+"$F;@!4p`"</f>
        <v>#VALUE!</v>
      </c>
      <c r="HX427" t="e">
        <f>'Australia and Oceania'!A121+"$F;@!4pa"</f>
        <v>#VALUE!</v>
      </c>
      <c r="HY427" t="e">
        <f>'Australia and Oceania'!B121+"$F;@!4pb"</f>
        <v>#VALUE!</v>
      </c>
      <c r="HZ427" t="e">
        <f>'Australia and Oceania'!C121+"$F;@!4pc"</f>
        <v>#VALUE!</v>
      </c>
      <c r="IA427" t="e">
        <f>'Australia and Oceania'!D121+"$F;@!4pd"</f>
        <v>#VALUE!</v>
      </c>
      <c r="IB427" t="e">
        <f>'Australia and Oceania'!E121+"$F;@!4pe"</f>
        <v>#VALUE!</v>
      </c>
      <c r="IC427" t="e">
        <f>'Australia and Oceania'!F121+"$F;@!4pf"</f>
        <v>#VALUE!</v>
      </c>
      <c r="ID427" t="e">
        <f>'Australia and Oceania'!G121+"$F;@!4pg"</f>
        <v>#VALUE!</v>
      </c>
      <c r="IE427" t="e">
        <f>'Australia and Oceania'!H121+"$F;@!4ph"</f>
        <v>#VALUE!</v>
      </c>
      <c r="IF427" t="e">
        <f>'Australia and Oceania'!A122+"$F;@!4pi"</f>
        <v>#VALUE!</v>
      </c>
      <c r="IG427" t="e">
        <f>'Australia and Oceania'!B122+"$F;@!4pj"</f>
        <v>#VALUE!</v>
      </c>
      <c r="IH427" t="e">
        <f>'Australia and Oceania'!C122+"$F;@!4pk"</f>
        <v>#VALUE!</v>
      </c>
      <c r="II427" t="e">
        <f>'Australia and Oceania'!D122+"$F;@!4pl"</f>
        <v>#VALUE!</v>
      </c>
      <c r="IJ427" t="e">
        <f>'Australia and Oceania'!E122+"$F;@!4pm"</f>
        <v>#VALUE!</v>
      </c>
      <c r="IK427" t="e">
        <f>'Australia and Oceania'!F122+"$F;@!4pn"</f>
        <v>#VALUE!</v>
      </c>
      <c r="IL427" t="e">
        <f>'Australia and Oceania'!G122+"$F;@!4po"</f>
        <v>#VALUE!</v>
      </c>
      <c r="IM427" t="e">
        <f>'Australia and Oceania'!H122+"$F;@!4pp"</f>
        <v>#VALUE!</v>
      </c>
      <c r="IN427" t="e">
        <f>'Australia and Oceania'!A123+"$F;@!4pq"</f>
        <v>#VALUE!</v>
      </c>
      <c r="IO427" t="e">
        <f>'Australia and Oceania'!B123+"$F;@!4pr"</f>
        <v>#VALUE!</v>
      </c>
      <c r="IP427" t="e">
        <f>'Australia and Oceania'!C123+"$F;@!4ps"</f>
        <v>#VALUE!</v>
      </c>
      <c r="IQ427" t="e">
        <f>'Australia and Oceania'!D123+"$F;@!4pt"</f>
        <v>#VALUE!</v>
      </c>
      <c r="IR427" t="e">
        <f>'Australia and Oceania'!E123+"$F;@!4pu"</f>
        <v>#VALUE!</v>
      </c>
      <c r="IS427" t="e">
        <f>'Australia and Oceania'!F123+"$F;@!4pv"</f>
        <v>#VALUE!</v>
      </c>
      <c r="IT427" t="e">
        <f>'Australia and Oceania'!G123+"$F;@!4pw"</f>
        <v>#VALUE!</v>
      </c>
      <c r="IU427" t="e">
        <f>'Australia and Oceania'!H123+"$F;@!4px"</f>
        <v>#VALUE!</v>
      </c>
      <c r="IV427" t="e">
        <f>'Australia and Oceania'!A124+"$F;@!4py"</f>
        <v>#VALUE!</v>
      </c>
    </row>
    <row r="428" spans="6:256" x14ac:dyDescent="0.35">
      <c r="F428" t="e">
        <f>'Australia and Oceania'!B124+"$F;@!4pz"</f>
        <v>#VALUE!</v>
      </c>
      <c r="G428" t="e">
        <f>'Australia and Oceania'!C124+"$F;@!4p{"</f>
        <v>#VALUE!</v>
      </c>
      <c r="H428" t="e">
        <f>'Australia and Oceania'!D124+"$F;@!4p|"</f>
        <v>#VALUE!</v>
      </c>
      <c r="I428" t="e">
        <f>'Australia and Oceania'!E124+"$F;@!4p}"</f>
        <v>#VALUE!</v>
      </c>
      <c r="J428" t="e">
        <f>'Australia and Oceania'!F124+"$F;@!4p~"</f>
        <v>#VALUE!</v>
      </c>
      <c r="K428" t="e">
        <f>'Australia and Oceania'!G124+"$F;@!4q#"</f>
        <v>#VALUE!</v>
      </c>
      <c r="L428" t="e">
        <f>'Australia and Oceania'!H124+"$F;@!4q$"</f>
        <v>#VALUE!</v>
      </c>
      <c r="M428" t="e">
        <f>'Australia and Oceania'!A125+"$F;@!4q%"</f>
        <v>#VALUE!</v>
      </c>
      <c r="N428" t="e">
        <f>'Australia and Oceania'!B125+"$F;@!4q&amp;"</f>
        <v>#VALUE!</v>
      </c>
      <c r="O428" t="e">
        <f>'Australia and Oceania'!C125+"$F;@!4q'"</f>
        <v>#VALUE!</v>
      </c>
      <c r="P428" t="e">
        <f>'Australia and Oceania'!D125+"$F;@!4q("</f>
        <v>#VALUE!</v>
      </c>
      <c r="Q428" t="e">
        <f>'Australia and Oceania'!E125+"$F;@!4q)"</f>
        <v>#VALUE!</v>
      </c>
      <c r="R428" t="e">
        <f>'Australia and Oceania'!F125+"$F;@!4q."</f>
        <v>#VALUE!</v>
      </c>
      <c r="S428" t="e">
        <f>'Australia and Oceania'!G125+"$F;@!4q/"</f>
        <v>#VALUE!</v>
      </c>
      <c r="T428" t="e">
        <f>'Australia and Oceania'!H125+"$F;@!4q0"</f>
        <v>#VALUE!</v>
      </c>
      <c r="U428" t="e">
        <f>'Australia and Oceania'!A126+"$F;@!4q1"</f>
        <v>#VALUE!</v>
      </c>
      <c r="V428" t="e">
        <f>'Australia and Oceania'!B126+"$F;@!4q2"</f>
        <v>#VALUE!</v>
      </c>
      <c r="W428" t="e">
        <f>'Australia and Oceania'!C126+"$F;@!4q3"</f>
        <v>#VALUE!</v>
      </c>
      <c r="X428" t="e">
        <f>'Australia and Oceania'!D126+"$F;@!4q4"</f>
        <v>#VALUE!</v>
      </c>
      <c r="Y428" t="e">
        <f>'Australia and Oceania'!E126+"$F;@!4q5"</f>
        <v>#VALUE!</v>
      </c>
      <c r="Z428" t="e">
        <f>'Australia and Oceania'!F126+"$F;@!4q6"</f>
        <v>#VALUE!</v>
      </c>
      <c r="AA428" t="e">
        <f>'Australia and Oceania'!G126+"$F;@!4q7"</f>
        <v>#VALUE!</v>
      </c>
      <c r="AB428" t="e">
        <f>'Australia and Oceania'!H126+"$F;@!4q8"</f>
        <v>#VALUE!</v>
      </c>
      <c r="AC428" t="e">
        <f>'Australia and Oceania'!A127+"$F;@!4q9"</f>
        <v>#VALUE!</v>
      </c>
      <c r="AD428" t="e">
        <f>'Australia and Oceania'!B127+"$F;@!4q:"</f>
        <v>#VALUE!</v>
      </c>
      <c r="AE428" t="e">
        <f>'Australia and Oceania'!C127+"$F;@!4q;"</f>
        <v>#VALUE!</v>
      </c>
      <c r="AF428" t="e">
        <f>'Australia and Oceania'!D127+"$F;@!4q&lt;"</f>
        <v>#VALUE!</v>
      </c>
      <c r="AG428" t="e">
        <f>'Australia and Oceania'!E127+"$F;@!4q="</f>
        <v>#VALUE!</v>
      </c>
      <c r="AH428" t="e">
        <f>'Australia and Oceania'!F127+"$F;@!4q&gt;"</f>
        <v>#VALUE!</v>
      </c>
      <c r="AI428" t="e">
        <f>'Australia and Oceania'!G127+"$F;@!4q?"</f>
        <v>#VALUE!</v>
      </c>
      <c r="AJ428" t="e">
        <f>'Australia and Oceania'!H127+"$F;@!4q@"</f>
        <v>#VALUE!</v>
      </c>
      <c r="AK428" t="e">
        <f>'Australia and Oceania'!A128+"$F;@!4qA"</f>
        <v>#VALUE!</v>
      </c>
      <c r="AL428" t="e">
        <f>'Australia and Oceania'!B128+"$F;@!4qB"</f>
        <v>#VALUE!</v>
      </c>
      <c r="AM428" t="e">
        <f>'Australia and Oceania'!C128+"$F;@!4qC"</f>
        <v>#VALUE!</v>
      </c>
      <c r="AN428" t="e">
        <f>'Australia and Oceania'!D128+"$F;@!4qD"</f>
        <v>#VALUE!</v>
      </c>
      <c r="AO428" t="e">
        <f>'Australia and Oceania'!E128+"$F;@!4qE"</f>
        <v>#VALUE!</v>
      </c>
      <c r="AP428" t="e">
        <f>'Australia and Oceania'!F128+"$F;@!4qF"</f>
        <v>#VALUE!</v>
      </c>
      <c r="AQ428" t="e">
        <f>'Australia and Oceania'!G128+"$F;@!4qG"</f>
        <v>#VALUE!</v>
      </c>
      <c r="AR428" t="e">
        <f>'Australia and Oceania'!H128+"$F;@!4qH"</f>
        <v>#VALUE!</v>
      </c>
      <c r="AS428" t="e">
        <f>'Australia and Oceania'!A129+"$F;@!4qI"</f>
        <v>#VALUE!</v>
      </c>
      <c r="AT428" t="e">
        <f>'Australia and Oceania'!B129+"$F;@!4qJ"</f>
        <v>#VALUE!</v>
      </c>
      <c r="AU428" t="e">
        <f>'Australia and Oceania'!C129+"$F;@!4qK"</f>
        <v>#VALUE!</v>
      </c>
      <c r="AV428" t="e">
        <f>'Australia and Oceania'!D129+"$F;@!4qL"</f>
        <v>#VALUE!</v>
      </c>
      <c r="AW428" t="e">
        <f>'Australia and Oceania'!E129+"$F;@!4qM"</f>
        <v>#VALUE!</v>
      </c>
      <c r="AX428" t="e">
        <f>'Australia and Oceania'!F129+"$F;@!4qN"</f>
        <v>#VALUE!</v>
      </c>
      <c r="AY428" t="e">
        <f>'Australia and Oceania'!G129+"$F;@!4qO"</f>
        <v>#VALUE!</v>
      </c>
      <c r="AZ428" t="e">
        <f>'Australia and Oceania'!H129+"$F;@!4qP"</f>
        <v>#VALUE!</v>
      </c>
      <c r="BA428" t="e">
        <f>'Australia and Oceania'!A130+"$F;@!4qQ"</f>
        <v>#VALUE!</v>
      </c>
      <c r="BB428" t="e">
        <f>'Australia and Oceania'!B130+"$F;@!4qR"</f>
        <v>#VALUE!</v>
      </c>
      <c r="BC428" t="e">
        <f>'Australia and Oceania'!C130+"$F;@!4qS"</f>
        <v>#VALUE!</v>
      </c>
      <c r="BD428" t="e">
        <f>'Australia and Oceania'!D130+"$F;@!4qT"</f>
        <v>#VALUE!</v>
      </c>
      <c r="BE428" t="e">
        <f>'Australia and Oceania'!E130+"$F;@!4qU"</f>
        <v>#VALUE!</v>
      </c>
      <c r="BF428" t="e">
        <f>'Australia and Oceania'!F130+"$F;@!4qV"</f>
        <v>#VALUE!</v>
      </c>
      <c r="BG428" t="e">
        <f>'Australia and Oceania'!G130+"$F;@!4qW"</f>
        <v>#VALUE!</v>
      </c>
      <c r="BH428" t="e">
        <f>'Australia and Oceania'!H130+"$F;@!4qX"</f>
        <v>#VALUE!</v>
      </c>
      <c r="BI428" t="e">
        <f>'Australia and Oceania'!A131+"$F;@!4qY"</f>
        <v>#VALUE!</v>
      </c>
      <c r="BJ428" t="e">
        <f>'Australia and Oceania'!B131+"$F;@!4qZ"</f>
        <v>#VALUE!</v>
      </c>
      <c r="BK428" t="e">
        <f>'Australia and Oceania'!C131+"$F;@!4q["</f>
        <v>#VALUE!</v>
      </c>
      <c r="BL428" t="e">
        <f>'Australia and Oceania'!D131+"$F;@!4q\"</f>
        <v>#VALUE!</v>
      </c>
      <c r="BM428" t="e">
        <f>'Australia and Oceania'!E131+"$F;@!4q]"</f>
        <v>#VALUE!</v>
      </c>
      <c r="BN428" t="e">
        <f>'Australia and Oceania'!F131+"$F;@!4q^"</f>
        <v>#VALUE!</v>
      </c>
      <c r="BO428" t="e">
        <f>'Australia and Oceania'!G131+"$F;@!4q_"</f>
        <v>#VALUE!</v>
      </c>
      <c r="BP428" t="e">
        <f>'Australia and Oceania'!H131+"$F;@!4q`"</f>
        <v>#VALUE!</v>
      </c>
      <c r="BQ428" t="e">
        <f>'Australia and Oceania'!A132+"$F;@!4qa"</f>
        <v>#VALUE!</v>
      </c>
      <c r="BR428" t="e">
        <f>'Australia and Oceania'!B132+"$F;@!4qb"</f>
        <v>#VALUE!</v>
      </c>
      <c r="BS428" t="e">
        <f>'Australia and Oceania'!C132+"$F;@!4qc"</f>
        <v>#VALUE!</v>
      </c>
      <c r="BT428" t="e">
        <f>'Australia and Oceania'!D132+"$F;@!4qd"</f>
        <v>#VALUE!</v>
      </c>
      <c r="BU428" t="e">
        <f>'Australia and Oceania'!E132+"$F;@!4qe"</f>
        <v>#VALUE!</v>
      </c>
      <c r="BV428" t="e">
        <f>'Australia and Oceania'!F132+"$F;@!4qf"</f>
        <v>#VALUE!</v>
      </c>
      <c r="BW428" t="e">
        <f>'Australia and Oceania'!G132+"$F;@!4qg"</f>
        <v>#VALUE!</v>
      </c>
      <c r="BX428" t="e">
        <f>'Australia and Oceania'!H132+"$F;@!4qh"</f>
        <v>#VALUE!</v>
      </c>
      <c r="BY428" t="e">
        <f>'Australia and Oceania'!A133+"$F;@!4qi"</f>
        <v>#VALUE!</v>
      </c>
      <c r="BZ428" t="e">
        <f>'Australia and Oceania'!B133+"$F;@!4qj"</f>
        <v>#VALUE!</v>
      </c>
      <c r="CA428" t="e">
        <f>'Australia and Oceania'!C133+"$F;@!4qk"</f>
        <v>#VALUE!</v>
      </c>
      <c r="CB428" t="e">
        <f>'Australia and Oceania'!D133+"$F;@!4ql"</f>
        <v>#VALUE!</v>
      </c>
      <c r="CC428" t="e">
        <f>'Australia and Oceania'!E133+"$F;@!4qm"</f>
        <v>#VALUE!</v>
      </c>
      <c r="CD428" t="e">
        <f>'Australia and Oceania'!F133+"$F;@!4qn"</f>
        <v>#VALUE!</v>
      </c>
      <c r="CE428" t="e">
        <f>'Australia and Oceania'!G133+"$F;@!4qo"</f>
        <v>#VALUE!</v>
      </c>
      <c r="CF428" t="e">
        <f>'Australia and Oceania'!H133+"$F;@!4qp"</f>
        <v>#VALUE!</v>
      </c>
      <c r="CG428" t="e">
        <f>'Australia and Oceania'!A134+"$F;@!4qq"</f>
        <v>#VALUE!</v>
      </c>
      <c r="CH428" t="e">
        <f>'Australia and Oceania'!B134+"$F;@!4qr"</f>
        <v>#VALUE!</v>
      </c>
      <c r="CI428" t="e">
        <f>'Australia and Oceania'!C134+"$F;@!4qs"</f>
        <v>#VALUE!</v>
      </c>
      <c r="CJ428" t="e">
        <f>'Australia and Oceania'!D134+"$F;@!4qt"</f>
        <v>#VALUE!</v>
      </c>
      <c r="CK428" t="e">
        <f>'Australia and Oceania'!E134+"$F;@!4qu"</f>
        <v>#VALUE!</v>
      </c>
      <c r="CL428" t="e">
        <f>'Australia and Oceania'!F134+"$F;@!4qv"</f>
        <v>#VALUE!</v>
      </c>
      <c r="CM428" t="e">
        <f>'Australia and Oceania'!G134+"$F;@!4qw"</f>
        <v>#VALUE!</v>
      </c>
      <c r="CN428" t="e">
        <f>'Australia and Oceania'!H134+"$F;@!4qx"</f>
        <v>#VALUE!</v>
      </c>
      <c r="CO428" t="e">
        <f>'Australia and Oceania'!A135+"$F;@!4qy"</f>
        <v>#VALUE!</v>
      </c>
      <c r="CP428" t="e">
        <f>'Australia and Oceania'!B135+"$F;@!4qz"</f>
        <v>#VALUE!</v>
      </c>
      <c r="CQ428" t="e">
        <f>'Australia and Oceania'!C135+"$F;@!4q{"</f>
        <v>#VALUE!</v>
      </c>
      <c r="CR428" t="e">
        <f>'Australia and Oceania'!D135+"$F;@!4q|"</f>
        <v>#VALUE!</v>
      </c>
      <c r="CS428" t="e">
        <f>'Australia and Oceania'!E135+"$F;@!4q}"</f>
        <v>#VALUE!</v>
      </c>
      <c r="CT428" t="e">
        <f>'Australia and Oceania'!F135+"$F;@!4q~"</f>
        <v>#VALUE!</v>
      </c>
      <c r="CU428" t="e">
        <f>'Australia and Oceania'!G135+"$F;@!4r#"</f>
        <v>#VALUE!</v>
      </c>
      <c r="CV428" t="e">
        <f>'Australia and Oceania'!H135+"$F;@!4r$"</f>
        <v>#VALUE!</v>
      </c>
      <c r="CW428" t="e">
        <f>'Australia and Oceania'!A136+"$F;@!4r%"</f>
        <v>#VALUE!</v>
      </c>
      <c r="CX428" t="e">
        <f>'Australia and Oceania'!B136+"$F;@!4r&amp;"</f>
        <v>#VALUE!</v>
      </c>
      <c r="CY428" t="e">
        <f>'Australia and Oceania'!C136+"$F;@!4r'"</f>
        <v>#VALUE!</v>
      </c>
      <c r="CZ428" t="e">
        <f>'Australia and Oceania'!D136+"$F;@!4r("</f>
        <v>#VALUE!</v>
      </c>
      <c r="DA428" t="e">
        <f>'Australia and Oceania'!E136+"$F;@!4r)"</f>
        <v>#VALUE!</v>
      </c>
      <c r="DB428" t="e">
        <f>'Australia and Oceania'!F136+"$F;@!4r."</f>
        <v>#VALUE!</v>
      </c>
      <c r="DC428" t="e">
        <f>'Australia and Oceania'!G136+"$F;@!4r/"</f>
        <v>#VALUE!</v>
      </c>
      <c r="DD428" t="e">
        <f>'Australia and Oceania'!H136+"$F;@!4r0"</f>
        <v>#VALUE!</v>
      </c>
      <c r="DE428" t="e">
        <f>'Australia and Oceania'!A137+"$F;@!4r1"</f>
        <v>#VALUE!</v>
      </c>
      <c r="DF428" t="e">
        <f>'Australia and Oceania'!B137+"$F;@!4r2"</f>
        <v>#VALUE!</v>
      </c>
      <c r="DG428" t="e">
        <f>'Australia and Oceania'!C137+"$F;@!4r3"</f>
        <v>#VALUE!</v>
      </c>
      <c r="DH428" t="e">
        <f>'Australia and Oceania'!D137+"$F;@!4r4"</f>
        <v>#VALUE!</v>
      </c>
      <c r="DI428" t="e">
        <f>'Australia and Oceania'!E137+"$F;@!4r5"</f>
        <v>#VALUE!</v>
      </c>
      <c r="DJ428" t="e">
        <f>'Australia and Oceania'!F137+"$F;@!4r6"</f>
        <v>#VALUE!</v>
      </c>
      <c r="DK428" t="e">
        <f>'Australia and Oceania'!G137+"$F;@!4r7"</f>
        <v>#VALUE!</v>
      </c>
      <c r="DL428" t="e">
        <f>'Australia and Oceania'!H137+"$F;@!4r8"</f>
        <v>#VALUE!</v>
      </c>
      <c r="DM428" t="e">
        <f>'Australia and Oceania'!A138+"$F;@!4r9"</f>
        <v>#VALUE!</v>
      </c>
      <c r="DN428" t="e">
        <f>'Australia and Oceania'!B138+"$F;@!4r:"</f>
        <v>#VALUE!</v>
      </c>
      <c r="DO428" t="e">
        <f>'Australia and Oceania'!C138+"$F;@!4r;"</f>
        <v>#VALUE!</v>
      </c>
      <c r="DP428" t="e">
        <f>'Australia and Oceania'!D138+"$F;@!4r&lt;"</f>
        <v>#VALUE!</v>
      </c>
      <c r="DQ428" t="e">
        <f>'Australia and Oceania'!E138+"$F;@!4r="</f>
        <v>#VALUE!</v>
      </c>
      <c r="DR428" t="e">
        <f>'Australia and Oceania'!F138+"$F;@!4r&gt;"</f>
        <v>#VALUE!</v>
      </c>
      <c r="DS428" t="e">
        <f>'Australia and Oceania'!G138+"$F;@!4r?"</f>
        <v>#VALUE!</v>
      </c>
      <c r="DT428" t="e">
        <f>'Australia and Oceania'!H138+"$F;@!4r@"</f>
        <v>#VALUE!</v>
      </c>
      <c r="DU428" t="e">
        <f>'Australia and Oceania'!A139+"$F;@!4rA"</f>
        <v>#VALUE!</v>
      </c>
      <c r="DV428" t="e">
        <f>'Australia and Oceania'!B139+"$F;@!4rB"</f>
        <v>#VALUE!</v>
      </c>
      <c r="DW428" t="e">
        <f>'Australia and Oceania'!C139+"$F;@!4rC"</f>
        <v>#VALUE!</v>
      </c>
      <c r="DX428" t="e">
        <f>'Australia and Oceania'!D139+"$F;@!4rD"</f>
        <v>#VALUE!</v>
      </c>
      <c r="DY428" t="e">
        <f>'Australia and Oceania'!E139+"$F;@!4rE"</f>
        <v>#VALUE!</v>
      </c>
      <c r="DZ428" t="e">
        <f>'Australia and Oceania'!F139+"$F;@!4rF"</f>
        <v>#VALUE!</v>
      </c>
      <c r="EA428" t="e">
        <f>'Australia and Oceania'!G139+"$F;@!4rG"</f>
        <v>#VALUE!</v>
      </c>
      <c r="EB428" t="e">
        <f>'Australia and Oceania'!H139+"$F;@!4rH"</f>
        <v>#VALUE!</v>
      </c>
      <c r="EC428" t="e">
        <f>'Australia and Oceania'!A140+"$F;@!4rI"</f>
        <v>#VALUE!</v>
      </c>
      <c r="ED428" t="e">
        <f>'Australia and Oceania'!B140+"$F;@!4rJ"</f>
        <v>#VALUE!</v>
      </c>
      <c r="EE428" t="e">
        <f>'Australia and Oceania'!C140+"$F;@!4rK"</f>
        <v>#VALUE!</v>
      </c>
      <c r="EF428" t="e">
        <f>'Australia and Oceania'!D140+"$F;@!4rL"</f>
        <v>#VALUE!</v>
      </c>
      <c r="EG428" t="e">
        <f>'Australia and Oceania'!E140+"$F;@!4rM"</f>
        <v>#VALUE!</v>
      </c>
      <c r="EH428" t="e">
        <f>'Australia and Oceania'!F140+"$F;@!4rN"</f>
        <v>#VALUE!</v>
      </c>
      <c r="EI428" t="e">
        <f>'Australia and Oceania'!G140+"$F;@!4rO"</f>
        <v>#VALUE!</v>
      </c>
      <c r="EJ428" t="e">
        <f>'Australia and Oceania'!H140+"$F;@!4rP"</f>
        <v>#VALUE!</v>
      </c>
      <c r="EK428" t="e">
        <f>'Australia and Oceania'!A141+"$F;@!4rQ"</f>
        <v>#VALUE!</v>
      </c>
      <c r="EL428" t="e">
        <f>'Australia and Oceania'!B141+"$F;@!4rR"</f>
        <v>#VALUE!</v>
      </c>
      <c r="EM428" t="e">
        <f>'Australia and Oceania'!C141+"$F;@!4rS"</f>
        <v>#VALUE!</v>
      </c>
      <c r="EN428" t="e">
        <f>'Australia and Oceania'!D141+"$F;@!4rT"</f>
        <v>#VALUE!</v>
      </c>
      <c r="EO428" t="e">
        <f>'Australia and Oceania'!E141+"$F;@!4rU"</f>
        <v>#VALUE!</v>
      </c>
      <c r="EP428" t="e">
        <f>'Australia and Oceania'!F141+"$F;@!4rV"</f>
        <v>#VALUE!</v>
      </c>
      <c r="EQ428" t="e">
        <f>'Australia and Oceania'!G141+"$F;@!4rW"</f>
        <v>#VALUE!</v>
      </c>
      <c r="ER428" t="e">
        <f>'Australia and Oceania'!H141+"$F;@!4rX"</f>
        <v>#VALUE!</v>
      </c>
      <c r="ES428" t="e">
        <f>'Australia and Oceania'!A142+"$F;@!4rY"</f>
        <v>#VALUE!</v>
      </c>
      <c r="ET428" t="e">
        <f>'Australia and Oceania'!B142+"$F;@!4rZ"</f>
        <v>#VALUE!</v>
      </c>
      <c r="EU428" t="e">
        <f>'Australia and Oceania'!C142+"$F;@!4r["</f>
        <v>#VALUE!</v>
      </c>
      <c r="EV428" t="e">
        <f>'Australia and Oceania'!D142+"$F;@!4r\"</f>
        <v>#VALUE!</v>
      </c>
      <c r="EW428" t="e">
        <f>'Australia and Oceania'!E142+"$F;@!4r]"</f>
        <v>#VALUE!</v>
      </c>
      <c r="EX428" t="e">
        <f>'Australia and Oceania'!F142+"$F;@!4r^"</f>
        <v>#VALUE!</v>
      </c>
      <c r="EY428" t="e">
        <f>'Australia and Oceania'!G142+"$F;@!4r_"</f>
        <v>#VALUE!</v>
      </c>
      <c r="EZ428" t="e">
        <f>'Australia and Oceania'!H142+"$F;@!4r`"</f>
        <v>#VALUE!</v>
      </c>
      <c r="FA428" t="e">
        <f>'Australia and Oceania'!A143+"$F;@!4ra"</f>
        <v>#VALUE!</v>
      </c>
      <c r="FB428" t="e">
        <f>'Australia and Oceania'!B143+"$F;@!4rb"</f>
        <v>#VALUE!</v>
      </c>
      <c r="FC428" t="e">
        <f>'Australia and Oceania'!C143+"$F;@!4rc"</f>
        <v>#VALUE!</v>
      </c>
      <c r="FD428" t="e">
        <f>'Australia and Oceania'!D143+"$F;@!4rd"</f>
        <v>#VALUE!</v>
      </c>
      <c r="FE428" t="e">
        <f>'Australia and Oceania'!E143+"$F;@!4re"</f>
        <v>#VALUE!</v>
      </c>
      <c r="FF428" t="e">
        <f>'Australia and Oceania'!F143+"$F;@!4rf"</f>
        <v>#VALUE!</v>
      </c>
      <c r="FG428" t="e">
        <f>'Australia and Oceania'!G143+"$F;@!4rg"</f>
        <v>#VALUE!</v>
      </c>
      <c r="FH428" t="e">
        <f>'Australia and Oceania'!H143+"$F;@!4rh"</f>
        <v>#VALUE!</v>
      </c>
      <c r="FI428" t="e">
        <f>'Australia and Oceania'!A144+"$F;@!4ri"</f>
        <v>#VALUE!</v>
      </c>
      <c r="FJ428" t="e">
        <f>'Australia and Oceania'!B144+"$F;@!4rj"</f>
        <v>#VALUE!</v>
      </c>
      <c r="FK428" t="e">
        <f>'Australia and Oceania'!C144+"$F;@!4rk"</f>
        <v>#VALUE!</v>
      </c>
      <c r="FL428" t="e">
        <f>'Australia and Oceania'!D144+"$F;@!4rl"</f>
        <v>#VALUE!</v>
      </c>
      <c r="FM428" t="e">
        <f>'Australia and Oceania'!E144+"$F;@!4rm"</f>
        <v>#VALUE!</v>
      </c>
      <c r="FN428" t="e">
        <f>'Australia and Oceania'!F144+"$F;@!4rn"</f>
        <v>#VALUE!</v>
      </c>
      <c r="FO428" t="e">
        <f>'Australia and Oceania'!G144+"$F;@!4ro"</f>
        <v>#VALUE!</v>
      </c>
      <c r="FP428" t="e">
        <f>'Australia and Oceania'!H144+"$F;@!4rp"</f>
        <v>#VALUE!</v>
      </c>
      <c r="FQ428" t="e">
        <f>'Australia and Oceania'!A145+"$F;@!4rq"</f>
        <v>#VALUE!</v>
      </c>
      <c r="FR428" t="e">
        <f>'Australia and Oceania'!B145+"$F;@!4rr"</f>
        <v>#VALUE!</v>
      </c>
      <c r="FS428" t="e">
        <f>'Australia and Oceania'!C145+"$F;@!4rs"</f>
        <v>#VALUE!</v>
      </c>
      <c r="FT428" t="e">
        <f>'Australia and Oceania'!D145+"$F;@!4rt"</f>
        <v>#VALUE!</v>
      </c>
      <c r="FU428" t="e">
        <f>'Australia and Oceania'!E145+"$F;@!4ru"</f>
        <v>#VALUE!</v>
      </c>
      <c r="FV428" t="e">
        <f>'Australia and Oceania'!F145+"$F;@!4rv"</f>
        <v>#VALUE!</v>
      </c>
      <c r="FW428" t="e">
        <f>'Australia and Oceania'!G145+"$F;@!4rw"</f>
        <v>#VALUE!</v>
      </c>
      <c r="FX428" t="e">
        <f>'Australia and Oceania'!H145+"$F;@!4rx"</f>
        <v>#VALUE!</v>
      </c>
      <c r="FY428" t="e">
        <f>'Australia and Oceania'!A146+"$F;@!4ry"</f>
        <v>#VALUE!</v>
      </c>
      <c r="FZ428" t="e">
        <f>'Australia and Oceania'!B146+"$F;@!4rz"</f>
        <v>#VALUE!</v>
      </c>
      <c r="GA428" t="e">
        <f>'Australia and Oceania'!C146+"$F;@!4r{"</f>
        <v>#VALUE!</v>
      </c>
      <c r="GB428" t="e">
        <f>'Australia and Oceania'!D146+"$F;@!4r|"</f>
        <v>#VALUE!</v>
      </c>
      <c r="GC428" t="e">
        <f>'Australia and Oceania'!E146+"$F;@!4r}"</f>
        <v>#VALUE!</v>
      </c>
      <c r="GD428" t="e">
        <f>'Australia and Oceania'!F146+"$F;@!4r~"</f>
        <v>#VALUE!</v>
      </c>
      <c r="GE428" t="e">
        <f>'Australia and Oceania'!G146+"$F;@!4s#"</f>
        <v>#VALUE!</v>
      </c>
      <c r="GF428" t="e">
        <f>'Australia and Oceania'!H146+"$F;@!4s$"</f>
        <v>#VALUE!</v>
      </c>
      <c r="GG428" t="e">
        <f>'Australia and Oceania'!A147+"$F;@!4s%"</f>
        <v>#VALUE!</v>
      </c>
      <c r="GH428" t="e">
        <f>'Australia and Oceania'!B147+"$F;@!4s&amp;"</f>
        <v>#VALUE!</v>
      </c>
      <c r="GI428" t="e">
        <f>'Australia and Oceania'!C147+"$F;@!4s'"</f>
        <v>#VALUE!</v>
      </c>
      <c r="GJ428" t="e">
        <f>'Australia and Oceania'!D147+"$F;@!4s("</f>
        <v>#VALUE!</v>
      </c>
      <c r="GK428" t="e">
        <f>'Australia and Oceania'!E147+"$F;@!4s)"</f>
        <v>#VALUE!</v>
      </c>
      <c r="GL428" t="e">
        <f>'Australia and Oceania'!F147+"$F;@!4s."</f>
        <v>#VALUE!</v>
      </c>
      <c r="GM428" t="e">
        <f>'Australia and Oceania'!G147+"$F;@!4s/"</f>
        <v>#VALUE!</v>
      </c>
      <c r="GN428" t="e">
        <f>'Australia and Oceania'!H147+"$F;@!4s0"</f>
        <v>#VALUE!</v>
      </c>
      <c r="GO428" t="e">
        <f>'Australia and Oceania'!A148+"$F;@!4s1"</f>
        <v>#VALUE!</v>
      </c>
      <c r="GP428" t="e">
        <f>'Australia and Oceania'!B148+"$F;@!4s2"</f>
        <v>#VALUE!</v>
      </c>
      <c r="GQ428" t="e">
        <f>'Australia and Oceania'!C148+"$F;@!4s3"</f>
        <v>#VALUE!</v>
      </c>
      <c r="GR428" t="e">
        <f>'Australia and Oceania'!D148+"$F;@!4s4"</f>
        <v>#VALUE!</v>
      </c>
      <c r="GS428" t="e">
        <f>'Australia and Oceania'!E148+"$F;@!4s5"</f>
        <v>#VALUE!</v>
      </c>
      <c r="GT428" t="e">
        <f>'Australia and Oceania'!F148+"$F;@!4s6"</f>
        <v>#VALUE!</v>
      </c>
      <c r="GU428" t="e">
        <f>'Australia and Oceania'!G148+"$F;@!4s7"</f>
        <v>#VALUE!</v>
      </c>
      <c r="GV428" t="e">
        <f>'Australia and Oceania'!H148+"$F;@!4s8"</f>
        <v>#VALUE!</v>
      </c>
      <c r="GW428" t="e">
        <f>'Australia and Oceania'!A149+"$F;@!4s9"</f>
        <v>#VALUE!</v>
      </c>
      <c r="GX428" t="e">
        <f>'Australia and Oceania'!B149+"$F;@!4s:"</f>
        <v>#VALUE!</v>
      </c>
      <c r="GY428" t="e">
        <f>'Australia and Oceania'!C149+"$F;@!4s;"</f>
        <v>#VALUE!</v>
      </c>
      <c r="GZ428" t="e">
        <f>'Australia and Oceania'!D149+"$F;@!4s&lt;"</f>
        <v>#VALUE!</v>
      </c>
      <c r="HA428" t="e">
        <f>'Australia and Oceania'!E149+"$F;@!4s="</f>
        <v>#VALUE!</v>
      </c>
      <c r="HB428" t="e">
        <f>'Australia and Oceania'!F149+"$F;@!4s&gt;"</f>
        <v>#VALUE!</v>
      </c>
      <c r="HC428" t="e">
        <f>'Australia and Oceania'!G149+"$F;@!4s?"</f>
        <v>#VALUE!</v>
      </c>
      <c r="HD428" t="e">
        <f>'Australia and Oceania'!H149+"$F;@!4s@"</f>
        <v>#VALUE!</v>
      </c>
      <c r="HE428" t="e">
        <f>'Australia and Oceania'!A150+"$F;@!4sA"</f>
        <v>#VALUE!</v>
      </c>
      <c r="HF428" t="e">
        <f>'Australia and Oceania'!B150+"$F;@!4sB"</f>
        <v>#VALUE!</v>
      </c>
      <c r="HG428" t="e">
        <f>'Australia and Oceania'!C150+"$F;@!4sC"</f>
        <v>#VALUE!</v>
      </c>
      <c r="HH428" t="e">
        <f>'Australia and Oceania'!D150+"$F;@!4sD"</f>
        <v>#VALUE!</v>
      </c>
      <c r="HI428" t="e">
        <f>'Australia and Oceania'!E150+"$F;@!4sE"</f>
        <v>#VALUE!</v>
      </c>
      <c r="HJ428" t="e">
        <f>'Australia and Oceania'!F150+"$F;@!4sF"</f>
        <v>#VALUE!</v>
      </c>
      <c r="HK428" t="e">
        <f>'Australia and Oceania'!G150+"$F;@!4sG"</f>
        <v>#VALUE!</v>
      </c>
      <c r="HL428" t="e">
        <f>'Australia and Oceania'!H150+"$F;@!4sH"</f>
        <v>#VALUE!</v>
      </c>
      <c r="HM428" t="e">
        <f>'Australia and Oceania'!A151+"$F;@!4sI"</f>
        <v>#VALUE!</v>
      </c>
      <c r="HN428" t="e">
        <f>'Australia and Oceania'!B151+"$F;@!4sJ"</f>
        <v>#VALUE!</v>
      </c>
      <c r="HO428" t="e">
        <f>'Australia and Oceania'!C151+"$F;@!4sK"</f>
        <v>#VALUE!</v>
      </c>
      <c r="HP428" t="e">
        <f>'Australia and Oceania'!D151+"$F;@!4sL"</f>
        <v>#VALUE!</v>
      </c>
      <c r="HQ428" t="e">
        <f>'Australia and Oceania'!E151+"$F;@!4sM"</f>
        <v>#VALUE!</v>
      </c>
      <c r="HR428" t="e">
        <f>'Australia and Oceania'!F151+"$F;@!4sN"</f>
        <v>#VALUE!</v>
      </c>
      <c r="HS428" t="e">
        <f>'Australia and Oceania'!G151+"$F;@!4sO"</f>
        <v>#VALUE!</v>
      </c>
      <c r="HT428" t="e">
        <f>'Australia and Oceania'!H151+"$F;@!4sP"</f>
        <v>#VALUE!</v>
      </c>
      <c r="HU428" t="e">
        <f>'Australia and Oceania'!A152+"$F;@!4sQ"</f>
        <v>#VALUE!</v>
      </c>
      <c r="HV428" t="e">
        <f>'Australia and Oceania'!B152+"$F;@!4sR"</f>
        <v>#VALUE!</v>
      </c>
      <c r="HW428" t="e">
        <f>'Australia and Oceania'!C152+"$F;@!4sS"</f>
        <v>#VALUE!</v>
      </c>
      <c r="HX428" t="e">
        <f>'Australia and Oceania'!D152+"$F;@!4sT"</f>
        <v>#VALUE!</v>
      </c>
      <c r="HY428" t="e">
        <f>'Australia and Oceania'!E152+"$F;@!4sU"</f>
        <v>#VALUE!</v>
      </c>
      <c r="HZ428" t="e">
        <f>'Australia and Oceania'!F152+"$F;@!4sV"</f>
        <v>#VALUE!</v>
      </c>
      <c r="IA428" t="e">
        <f>'Australia and Oceania'!G152+"$F;@!4sW"</f>
        <v>#VALUE!</v>
      </c>
      <c r="IB428" t="e">
        <f>'Australia and Oceania'!H152+"$F;@!4sX"</f>
        <v>#VALUE!</v>
      </c>
      <c r="IC428" t="e">
        <f>'Australia and Oceania'!A153+"$F;@!4sY"</f>
        <v>#VALUE!</v>
      </c>
      <c r="ID428" t="e">
        <f>'Australia and Oceania'!B153+"$F;@!4sZ"</f>
        <v>#VALUE!</v>
      </c>
      <c r="IE428" t="e">
        <f>'Australia and Oceania'!C153+"$F;@!4s["</f>
        <v>#VALUE!</v>
      </c>
      <c r="IF428" t="e">
        <f>'Australia and Oceania'!D153+"$F;@!4s\"</f>
        <v>#VALUE!</v>
      </c>
      <c r="IG428" t="e">
        <f>'Australia and Oceania'!E153+"$F;@!4s]"</f>
        <v>#VALUE!</v>
      </c>
      <c r="IH428" t="e">
        <f>'Australia and Oceania'!F153+"$F;@!4s^"</f>
        <v>#VALUE!</v>
      </c>
      <c r="II428" t="e">
        <f>'Australia and Oceania'!G153+"$F;@!4s_"</f>
        <v>#VALUE!</v>
      </c>
      <c r="IJ428" t="e">
        <f>'Australia and Oceania'!H153+"$F;@!4s`"</f>
        <v>#VALUE!</v>
      </c>
      <c r="IK428" t="e">
        <f>'Australia and Oceania'!A154+"$F;@!4sa"</f>
        <v>#VALUE!</v>
      </c>
      <c r="IL428" t="e">
        <f>'Australia and Oceania'!B154+"$F;@!4sb"</f>
        <v>#VALUE!</v>
      </c>
      <c r="IM428" t="e">
        <f>'Australia and Oceania'!C154+"$F;@!4sc"</f>
        <v>#VALUE!</v>
      </c>
      <c r="IN428" t="e">
        <f>'Australia and Oceania'!D154+"$F;@!4sd"</f>
        <v>#VALUE!</v>
      </c>
      <c r="IO428" t="e">
        <f>'Australia and Oceania'!E154+"$F;@!4se"</f>
        <v>#VALUE!</v>
      </c>
      <c r="IP428" t="e">
        <f>'Australia and Oceania'!F154+"$F;@!4sf"</f>
        <v>#VALUE!</v>
      </c>
      <c r="IQ428" t="e">
        <f>'Australia and Oceania'!G154+"$F;@!4sg"</f>
        <v>#VALUE!</v>
      </c>
      <c r="IR428" t="e">
        <f>'Australia and Oceania'!H154+"$F;@!4sh"</f>
        <v>#VALUE!</v>
      </c>
      <c r="IS428" t="e">
        <f>'Australia and Oceania'!A155+"$F;@!4si"</f>
        <v>#VALUE!</v>
      </c>
      <c r="IT428" t="e">
        <f>'Australia and Oceania'!B155+"$F;@!4sj"</f>
        <v>#VALUE!</v>
      </c>
      <c r="IU428" t="e">
        <f>'Australia and Oceania'!C155+"$F;@!4sk"</f>
        <v>#VALUE!</v>
      </c>
      <c r="IV428" t="e">
        <f>'Australia and Oceania'!D155+"$F;@!4sl"</f>
        <v>#VALUE!</v>
      </c>
    </row>
    <row r="429" spans="6:256" x14ac:dyDescent="0.35">
      <c r="F429" t="e">
        <f>'Australia and Oceania'!E155+"$F;@!4sm"</f>
        <v>#VALUE!</v>
      </c>
      <c r="G429" t="e">
        <f>'Australia and Oceania'!F155+"$F;@!4sn"</f>
        <v>#VALUE!</v>
      </c>
      <c r="H429" t="e">
        <f>'Australia and Oceania'!G155+"$F;@!4so"</f>
        <v>#VALUE!</v>
      </c>
      <c r="I429" t="e">
        <f>'Australia and Oceania'!H155+"$F;@!4sp"</f>
        <v>#VALUE!</v>
      </c>
      <c r="J429" t="e">
        <f>'Australia and Oceania'!A156+"$F;@!4sq"</f>
        <v>#VALUE!</v>
      </c>
      <c r="K429" t="e">
        <f>'Australia and Oceania'!B156+"$F;@!4sr"</f>
        <v>#VALUE!</v>
      </c>
      <c r="L429" t="e">
        <f>'Australia and Oceania'!C156+"$F;@!4ss"</f>
        <v>#VALUE!</v>
      </c>
      <c r="M429" t="e">
        <f>'Australia and Oceania'!D156+"$F;@!4st"</f>
        <v>#VALUE!</v>
      </c>
      <c r="N429" t="e">
        <f>'Australia and Oceania'!E156+"$F;@!4su"</f>
        <v>#VALUE!</v>
      </c>
      <c r="O429" t="e">
        <f>'Australia and Oceania'!F156+"$F;@!4sv"</f>
        <v>#VALUE!</v>
      </c>
      <c r="P429" t="e">
        <f>'Australia and Oceania'!G156+"$F;@!4sw"</f>
        <v>#VALUE!</v>
      </c>
      <c r="Q429" t="e">
        <f>'Australia and Oceania'!H156+"$F;@!4sx"</f>
        <v>#VALUE!</v>
      </c>
      <c r="R429" t="e">
        <f>'Australia and Oceania'!A157+"$F;@!4sy"</f>
        <v>#VALUE!</v>
      </c>
      <c r="S429" t="e">
        <f>'Australia and Oceania'!B157+"$F;@!4sz"</f>
        <v>#VALUE!</v>
      </c>
      <c r="T429" t="e">
        <f>'Australia and Oceania'!C157+"$F;@!4s{"</f>
        <v>#VALUE!</v>
      </c>
      <c r="U429" t="e">
        <f>'Australia and Oceania'!D157+"$F;@!4s|"</f>
        <v>#VALUE!</v>
      </c>
      <c r="V429" t="e">
        <f>'Australia and Oceania'!E157+"$F;@!4s}"</f>
        <v>#VALUE!</v>
      </c>
      <c r="W429" t="e">
        <f>'Australia and Oceania'!F157+"$F;@!4s~"</f>
        <v>#VALUE!</v>
      </c>
      <c r="X429" t="e">
        <f>'Australia and Oceania'!G157+"$F;@!4t#"</f>
        <v>#VALUE!</v>
      </c>
      <c r="Y429" t="e">
        <f>'Australia and Oceania'!H157+"$F;@!4t$"</f>
        <v>#VALUE!</v>
      </c>
      <c r="Z429" t="e">
        <f>'Australia and Oceania'!A158+"$F;@!4t%"</f>
        <v>#VALUE!</v>
      </c>
      <c r="AA429" t="e">
        <f>'Australia and Oceania'!B158+"$F;@!4t&amp;"</f>
        <v>#VALUE!</v>
      </c>
      <c r="AB429" t="e">
        <f>'Australia and Oceania'!C158+"$F;@!4t'"</f>
        <v>#VALUE!</v>
      </c>
      <c r="AC429" t="e">
        <f>'Australia and Oceania'!D158+"$F;@!4t("</f>
        <v>#VALUE!</v>
      </c>
      <c r="AD429" t="e">
        <f>'Australia and Oceania'!E158+"$F;@!4t)"</f>
        <v>#VALUE!</v>
      </c>
      <c r="AE429" t="e">
        <f>'Australia and Oceania'!F158+"$F;@!4t."</f>
        <v>#VALUE!</v>
      </c>
      <c r="AF429" t="e">
        <f>'Australia and Oceania'!G158+"$F;@!4t/"</f>
        <v>#VALUE!</v>
      </c>
      <c r="AG429" t="e">
        <f>'Australia and Oceania'!H158+"$F;@!4t0"</f>
        <v>#VALUE!</v>
      </c>
      <c r="AH429" t="e">
        <f>'Australia and Oceania'!A159+"$F;@!4t1"</f>
        <v>#VALUE!</v>
      </c>
      <c r="AI429" t="e">
        <f>'Australia and Oceania'!B159+"$F;@!4t2"</f>
        <v>#VALUE!</v>
      </c>
      <c r="AJ429" t="e">
        <f>'Australia and Oceania'!C159+"$F;@!4t3"</f>
        <v>#VALUE!</v>
      </c>
      <c r="AK429" t="e">
        <f>'Australia and Oceania'!D159+"$F;@!4t4"</f>
        <v>#VALUE!</v>
      </c>
      <c r="AL429" t="e">
        <f>'Australia and Oceania'!E159+"$F;@!4t5"</f>
        <v>#VALUE!</v>
      </c>
      <c r="AM429" t="e">
        <f>'Australia and Oceania'!F159+"$F;@!4t6"</f>
        <v>#VALUE!</v>
      </c>
      <c r="AN429" t="e">
        <f>'Australia and Oceania'!G159+"$F;@!4t7"</f>
        <v>#VALUE!</v>
      </c>
      <c r="AO429" t="e">
        <f>'Australia and Oceania'!H159+"$F;@!4t8"</f>
        <v>#VALUE!</v>
      </c>
      <c r="AP429" t="e">
        <f>'Australia and Oceania'!A160+"$F;@!4t9"</f>
        <v>#VALUE!</v>
      </c>
      <c r="AQ429" t="e">
        <f>'Australia and Oceania'!B160+"$F;@!4t:"</f>
        <v>#VALUE!</v>
      </c>
      <c r="AR429" t="e">
        <f>'Australia and Oceania'!C160+"$F;@!4t;"</f>
        <v>#VALUE!</v>
      </c>
      <c r="AS429" t="e">
        <f>'Australia and Oceania'!D160+"$F;@!4t&lt;"</f>
        <v>#VALUE!</v>
      </c>
      <c r="AT429" t="e">
        <f>'Australia and Oceania'!E160+"$F;@!4t="</f>
        <v>#VALUE!</v>
      </c>
      <c r="AU429" t="e">
        <f>'Australia and Oceania'!F160+"$F;@!4t&gt;"</f>
        <v>#VALUE!</v>
      </c>
      <c r="AV429" t="e">
        <f>'Australia and Oceania'!G160+"$F;@!4t?"</f>
        <v>#VALUE!</v>
      </c>
      <c r="AW429" t="e">
        <f>'Australia and Oceania'!H160+"$F;@!4t@"</f>
        <v>#VALUE!</v>
      </c>
      <c r="AX429" t="e">
        <f>'Australia and Oceania'!A161+"$F;@!4tA"</f>
        <v>#VALUE!</v>
      </c>
      <c r="AY429" t="e">
        <f>'Australia and Oceania'!B161+"$F;@!4tB"</f>
        <v>#VALUE!</v>
      </c>
      <c r="AZ429" t="e">
        <f>'Australia and Oceania'!C161+"$F;@!4tC"</f>
        <v>#VALUE!</v>
      </c>
      <c r="BA429" t="e">
        <f>'Australia and Oceania'!D161+"$F;@!4tD"</f>
        <v>#VALUE!</v>
      </c>
      <c r="BB429" t="e">
        <f>'Australia and Oceania'!E161+"$F;@!4tE"</f>
        <v>#VALUE!</v>
      </c>
      <c r="BC429" t="e">
        <f>'Australia and Oceania'!F161+"$F;@!4tF"</f>
        <v>#VALUE!</v>
      </c>
      <c r="BD429" t="e">
        <f>'Australia and Oceania'!G161+"$F;@!4tG"</f>
        <v>#VALUE!</v>
      </c>
      <c r="BE429" t="e">
        <f>'Australia and Oceania'!H161+"$F;@!4tH"</f>
        <v>#VALUE!</v>
      </c>
      <c r="BF429" t="e">
        <f>'Australia and Oceania'!A162+"$F;@!4tI"</f>
        <v>#VALUE!</v>
      </c>
      <c r="BG429" t="e">
        <f>'Australia and Oceania'!B162+"$F;@!4tJ"</f>
        <v>#VALUE!</v>
      </c>
      <c r="BH429" t="e">
        <f>'Australia and Oceania'!C162+"$F;@!4tK"</f>
        <v>#VALUE!</v>
      </c>
      <c r="BI429" t="e">
        <f>'Australia and Oceania'!D162+"$F;@!4tL"</f>
        <v>#VALUE!</v>
      </c>
      <c r="BJ429" t="e">
        <f>'Australia and Oceania'!E162+"$F;@!4tM"</f>
        <v>#VALUE!</v>
      </c>
      <c r="BK429" t="e">
        <f>'Australia and Oceania'!F162+"$F;@!4tN"</f>
        <v>#VALUE!</v>
      </c>
      <c r="BL429" t="e">
        <f>'Australia and Oceania'!G162+"$F;@!4tO"</f>
        <v>#VALUE!</v>
      </c>
      <c r="BM429" t="e">
        <f>'Australia and Oceania'!H162+"$F;@!4tP"</f>
        <v>#VALUE!</v>
      </c>
      <c r="BN429" t="e">
        <f>'Australia and Oceania'!A163+"$F;@!4tQ"</f>
        <v>#VALUE!</v>
      </c>
      <c r="BO429" t="e">
        <f>'Australia and Oceania'!B163+"$F;@!4tR"</f>
        <v>#VALUE!</v>
      </c>
      <c r="BP429" t="e">
        <f>'Australia and Oceania'!C163+"$F;@!4tS"</f>
        <v>#VALUE!</v>
      </c>
      <c r="BQ429" t="e">
        <f>'Australia and Oceania'!D163+"$F;@!4tT"</f>
        <v>#VALUE!</v>
      </c>
      <c r="BR429" t="e">
        <f>'Australia and Oceania'!E163+"$F;@!4tU"</f>
        <v>#VALUE!</v>
      </c>
      <c r="BS429" t="e">
        <f>'Australia and Oceania'!F163+"$F;@!4tV"</f>
        <v>#VALUE!</v>
      </c>
      <c r="BT429" t="e">
        <f>'Australia and Oceania'!G163+"$F;@!4tW"</f>
        <v>#VALUE!</v>
      </c>
      <c r="BU429" t="e">
        <f>'Australia and Oceania'!H163+"$F;@!4tX"</f>
        <v>#VALUE!</v>
      </c>
      <c r="BV429" t="e">
        <f>'Australia and Oceania'!A164+"$F;@!4tY"</f>
        <v>#VALUE!</v>
      </c>
      <c r="BW429" t="e">
        <f>'Australia and Oceania'!B164+"$F;@!4tZ"</f>
        <v>#VALUE!</v>
      </c>
      <c r="BX429" t="e">
        <f>'Australia and Oceania'!C164+"$F;@!4t["</f>
        <v>#VALUE!</v>
      </c>
      <c r="BY429" t="e">
        <f>'Australia and Oceania'!D164+"$F;@!4t\"</f>
        <v>#VALUE!</v>
      </c>
      <c r="BZ429" t="e">
        <f>'Australia and Oceania'!E164+"$F;@!4t]"</f>
        <v>#VALUE!</v>
      </c>
      <c r="CA429" t="e">
        <f>'Australia and Oceania'!F164+"$F;@!4t^"</f>
        <v>#VALUE!</v>
      </c>
      <c r="CB429" t="e">
        <f>'Australia and Oceania'!G164+"$F;@!4t_"</f>
        <v>#VALUE!</v>
      </c>
      <c r="CC429" t="e">
        <f>'Australia and Oceania'!H164+"$F;@!4t`"</f>
        <v>#VALUE!</v>
      </c>
      <c r="CD429" t="e">
        <f>'Australia and Oceania'!A165+"$F;@!4ta"</f>
        <v>#VALUE!</v>
      </c>
      <c r="CE429" t="e">
        <f>'Australia and Oceania'!B165+"$F;@!4tb"</f>
        <v>#VALUE!</v>
      </c>
      <c r="CF429" t="e">
        <f>'Australia and Oceania'!C165+"$F;@!4tc"</f>
        <v>#VALUE!</v>
      </c>
      <c r="CG429" t="e">
        <f>'Australia and Oceania'!D165+"$F;@!4td"</f>
        <v>#VALUE!</v>
      </c>
      <c r="CH429" t="e">
        <f>'Australia and Oceania'!E165+"$F;@!4te"</f>
        <v>#VALUE!</v>
      </c>
      <c r="CI429" t="e">
        <f>'Australia and Oceania'!F165+"$F;@!4tf"</f>
        <v>#VALUE!</v>
      </c>
      <c r="CJ429" t="e">
        <f>'Australia and Oceania'!G165+"$F;@!4tg"</f>
        <v>#VALUE!</v>
      </c>
      <c r="CK429" t="e">
        <f>'Australia and Oceania'!H165+"$F;@!4th"</f>
        <v>#VALUE!</v>
      </c>
      <c r="CL429" t="e">
        <f>'Australia and Oceania'!A166+"$F;@!4ti"</f>
        <v>#VALUE!</v>
      </c>
      <c r="CM429" t="e">
        <f>'Australia and Oceania'!B166+"$F;@!4tj"</f>
        <v>#VALUE!</v>
      </c>
      <c r="CN429" t="e">
        <f>'Australia and Oceania'!C166+"$F;@!4tk"</f>
        <v>#VALUE!</v>
      </c>
      <c r="CO429" t="e">
        <f>'Australia and Oceania'!D166+"$F;@!4tl"</f>
        <v>#VALUE!</v>
      </c>
      <c r="CP429" t="e">
        <f>'Australia and Oceania'!E166+"$F;@!4tm"</f>
        <v>#VALUE!</v>
      </c>
      <c r="CQ429" t="e">
        <f>'Australia and Oceania'!F166+"$F;@!4tn"</f>
        <v>#VALUE!</v>
      </c>
      <c r="CR429" t="e">
        <f>'Australia and Oceania'!G166+"$F;@!4to"</f>
        <v>#VALUE!</v>
      </c>
      <c r="CS429" t="e">
        <f>'Australia and Oceania'!H166+"$F;@!4tp"</f>
        <v>#VALUE!</v>
      </c>
      <c r="CT429" t="e">
        <f>'Australia and Oceania'!A167+"$F;@!4tq"</f>
        <v>#VALUE!</v>
      </c>
      <c r="CU429" t="e">
        <f>'Australia and Oceania'!B167+"$F;@!4tr"</f>
        <v>#VALUE!</v>
      </c>
      <c r="CV429" t="e">
        <f>'Australia and Oceania'!C167+"$F;@!4ts"</f>
        <v>#VALUE!</v>
      </c>
      <c r="CW429" t="e">
        <f>'Australia and Oceania'!D167+"$F;@!4tt"</f>
        <v>#VALUE!</v>
      </c>
      <c r="CX429" t="e">
        <f>'Australia and Oceania'!E167+"$F;@!4tu"</f>
        <v>#VALUE!</v>
      </c>
      <c r="CY429" t="e">
        <f>'Australia and Oceania'!F167+"$F;@!4tv"</f>
        <v>#VALUE!</v>
      </c>
      <c r="CZ429" t="e">
        <f>'Australia and Oceania'!G167+"$F;@!4tw"</f>
        <v>#VALUE!</v>
      </c>
      <c r="DA429" t="e">
        <f>'Australia and Oceania'!H167+"$F;@!4tx"</f>
        <v>#VALUE!</v>
      </c>
      <c r="DB429" t="e">
        <f>'Australia and Oceania'!A168+"$F;@!4ty"</f>
        <v>#VALUE!</v>
      </c>
      <c r="DC429" t="e">
        <f>'Australia and Oceania'!B168+"$F;@!4tz"</f>
        <v>#VALUE!</v>
      </c>
      <c r="DD429" t="e">
        <f>'Australia and Oceania'!C168+"$F;@!4t{"</f>
        <v>#VALUE!</v>
      </c>
      <c r="DE429" t="e">
        <f>'Australia and Oceania'!D168+"$F;@!4t|"</f>
        <v>#VALUE!</v>
      </c>
      <c r="DF429" t="e">
        <f>'Australia and Oceania'!E168+"$F;@!4t}"</f>
        <v>#VALUE!</v>
      </c>
      <c r="DG429" t="e">
        <f>'Australia and Oceania'!F168+"$F;@!4t~"</f>
        <v>#VALUE!</v>
      </c>
      <c r="DH429" t="e">
        <f>'Australia and Oceania'!G168+"$F;@!4u#"</f>
        <v>#VALUE!</v>
      </c>
      <c r="DI429" t="e">
        <f>'Australia and Oceania'!H168+"$F;@!4u$"</f>
        <v>#VALUE!</v>
      </c>
      <c r="DJ429" t="e">
        <f>'Australia and Oceania'!A169+"$F;@!4u%"</f>
        <v>#VALUE!</v>
      </c>
      <c r="DK429" t="e">
        <f>'Australia and Oceania'!B169+"$F;@!4u&amp;"</f>
        <v>#VALUE!</v>
      </c>
      <c r="DL429" t="e">
        <f>'Australia and Oceania'!C169+"$F;@!4u'"</f>
        <v>#VALUE!</v>
      </c>
      <c r="DM429" t="e">
        <f>'Australia and Oceania'!D169+"$F;@!4u("</f>
        <v>#VALUE!</v>
      </c>
      <c r="DN429" t="e">
        <f>'Australia and Oceania'!E169+"$F;@!4u)"</f>
        <v>#VALUE!</v>
      </c>
      <c r="DO429" t="e">
        <f>'Australia and Oceania'!F169+"$F;@!4u."</f>
        <v>#VALUE!</v>
      </c>
      <c r="DP429" t="e">
        <f>'Australia and Oceania'!G169+"$F;@!4u/"</f>
        <v>#VALUE!</v>
      </c>
      <c r="DQ429" t="e">
        <f>'Australia and Oceania'!H169+"$F;@!4u0"</f>
        <v>#VALUE!</v>
      </c>
      <c r="DR429" t="e">
        <f>'Australia and Oceania'!A170+"$F;@!4u1"</f>
        <v>#VALUE!</v>
      </c>
      <c r="DS429" t="e">
        <f>'Australia and Oceania'!B170+"$F;@!4u2"</f>
        <v>#VALUE!</v>
      </c>
      <c r="DT429" t="e">
        <f>'Australia and Oceania'!C170+"$F;@!4u3"</f>
        <v>#VALUE!</v>
      </c>
      <c r="DU429" t="e">
        <f>'Australia and Oceania'!D170+"$F;@!4u4"</f>
        <v>#VALUE!</v>
      </c>
      <c r="DV429" t="e">
        <f>'Australia and Oceania'!E170+"$F;@!4u5"</f>
        <v>#VALUE!</v>
      </c>
      <c r="DW429" t="e">
        <f>'Australia and Oceania'!F170+"$F;@!4u6"</f>
        <v>#VALUE!</v>
      </c>
      <c r="DX429" t="e">
        <f>'Australia and Oceania'!G170+"$F;@!4u7"</f>
        <v>#VALUE!</v>
      </c>
      <c r="DY429" t="e">
        <f>'Australia and Oceania'!H170+"$F;@!4u8"</f>
        <v>#VALUE!</v>
      </c>
      <c r="DZ429" t="e">
        <f>'Australia and Oceania'!A171+"$F;@!4u9"</f>
        <v>#VALUE!</v>
      </c>
      <c r="EA429" t="e">
        <f>'Australia and Oceania'!B171+"$F;@!4u:"</f>
        <v>#VALUE!</v>
      </c>
      <c r="EB429" t="e">
        <f>'Australia and Oceania'!C171+"$F;@!4u;"</f>
        <v>#VALUE!</v>
      </c>
      <c r="EC429" t="e">
        <f>'Australia and Oceania'!D171+"$F;@!4u&lt;"</f>
        <v>#VALUE!</v>
      </c>
      <c r="ED429" t="e">
        <f>'Australia and Oceania'!E171+"$F;@!4u="</f>
        <v>#VALUE!</v>
      </c>
      <c r="EE429" t="e">
        <f>'Australia and Oceania'!F171+"$F;@!4u&gt;"</f>
        <v>#VALUE!</v>
      </c>
      <c r="EF429" t="e">
        <f>'Australia and Oceania'!G171+"$F;@!4u?"</f>
        <v>#VALUE!</v>
      </c>
      <c r="EG429" t="e">
        <f>'Australia and Oceania'!H171+"$F;@!4u@"</f>
        <v>#VALUE!</v>
      </c>
      <c r="EH429" t="e">
        <f>'Australia and Oceania'!A172+"$F;@!4uA"</f>
        <v>#VALUE!</v>
      </c>
      <c r="EI429" t="e">
        <f>'Australia and Oceania'!B172+"$F;@!4uB"</f>
        <v>#VALUE!</v>
      </c>
      <c r="EJ429" t="e">
        <f>'Australia and Oceania'!C172+"$F;@!4uC"</f>
        <v>#VALUE!</v>
      </c>
      <c r="EK429" t="e">
        <f>'Australia and Oceania'!D172+"$F;@!4uD"</f>
        <v>#VALUE!</v>
      </c>
      <c r="EL429" t="e">
        <f>'Australia and Oceania'!E172+"$F;@!4uE"</f>
        <v>#VALUE!</v>
      </c>
      <c r="EM429" t="e">
        <f>'Australia and Oceania'!F172+"$F;@!4uF"</f>
        <v>#VALUE!</v>
      </c>
      <c r="EN429" t="e">
        <f>'Australia and Oceania'!G172+"$F;@!4uG"</f>
        <v>#VALUE!</v>
      </c>
      <c r="EO429" t="e">
        <f>'Australia and Oceania'!H172+"$F;@!4uH"</f>
        <v>#VALUE!</v>
      </c>
      <c r="EP429" t="e">
        <f>'Australia and Oceania'!A173+"$F;@!4uI"</f>
        <v>#VALUE!</v>
      </c>
      <c r="EQ429" t="e">
        <f>'Australia and Oceania'!B173+"$F;@!4uJ"</f>
        <v>#VALUE!</v>
      </c>
      <c r="ER429" t="e">
        <f>'Australia and Oceania'!C173+"$F;@!4uK"</f>
        <v>#VALUE!</v>
      </c>
      <c r="ES429" t="e">
        <f>'Australia and Oceania'!D173+"$F;@!4uL"</f>
        <v>#VALUE!</v>
      </c>
      <c r="ET429" t="e">
        <f>'Australia and Oceania'!E173+"$F;@!4uM"</f>
        <v>#VALUE!</v>
      </c>
      <c r="EU429" t="e">
        <f>'Australia and Oceania'!F173+"$F;@!4uN"</f>
        <v>#VALUE!</v>
      </c>
      <c r="EV429" t="e">
        <f>'Australia and Oceania'!G173+"$F;@!4uO"</f>
        <v>#VALUE!</v>
      </c>
      <c r="EW429" t="e">
        <f>'Australia and Oceania'!H173+"$F;@!4uP"</f>
        <v>#VALUE!</v>
      </c>
      <c r="EX429" t="e">
        <f>'Australia and Oceania'!A174+"$F;@!4uQ"</f>
        <v>#VALUE!</v>
      </c>
      <c r="EY429" t="e">
        <f>'Australia and Oceania'!B174+"$F;@!4uR"</f>
        <v>#VALUE!</v>
      </c>
      <c r="EZ429" t="e">
        <f>'Australia and Oceania'!C174+"$F;@!4uS"</f>
        <v>#VALUE!</v>
      </c>
      <c r="FA429" t="e">
        <f>'Australia and Oceania'!D174+"$F;@!4uT"</f>
        <v>#VALUE!</v>
      </c>
      <c r="FB429" t="e">
        <f>'Australia and Oceania'!E174+"$F;@!4uU"</f>
        <v>#VALUE!</v>
      </c>
      <c r="FC429" t="e">
        <f>'Australia and Oceania'!F174+"$F;@!4uV"</f>
        <v>#VALUE!</v>
      </c>
      <c r="FD429" t="e">
        <f>'Australia and Oceania'!G174+"$F;@!4uW"</f>
        <v>#VALUE!</v>
      </c>
      <c r="FE429" t="e">
        <f>'Australia and Oceania'!H174+"$F;@!4uX"</f>
        <v>#VALUE!</v>
      </c>
      <c r="FF429" t="e">
        <f>'Australia and Oceania'!A175+"$F;@!4uY"</f>
        <v>#VALUE!</v>
      </c>
      <c r="FG429" t="e">
        <f>'Australia and Oceania'!B175+"$F;@!4uZ"</f>
        <v>#VALUE!</v>
      </c>
      <c r="FH429" t="e">
        <f>'Australia and Oceania'!C175+"$F;@!4u["</f>
        <v>#VALUE!</v>
      </c>
      <c r="FI429" t="e">
        <f>'Australia and Oceania'!D175+"$F;@!4u\"</f>
        <v>#VALUE!</v>
      </c>
      <c r="FJ429" t="e">
        <f>'Australia and Oceania'!E175+"$F;@!4u]"</f>
        <v>#VALUE!</v>
      </c>
      <c r="FK429" t="e">
        <f>'Australia and Oceania'!F175+"$F;@!4u^"</f>
        <v>#VALUE!</v>
      </c>
      <c r="FL429" t="e">
        <f>'Australia and Oceania'!G175+"$F;@!4u_"</f>
        <v>#VALUE!</v>
      </c>
      <c r="FM429" t="e">
        <f>'Australia and Oceania'!H175+"$F;@!4u`"</f>
        <v>#VALUE!</v>
      </c>
      <c r="FN429" t="e">
        <f>'Australia and Oceania'!A176+"$F;@!4ua"</f>
        <v>#VALUE!</v>
      </c>
      <c r="FO429" t="e">
        <f>'Australia and Oceania'!B176+"$F;@!4ub"</f>
        <v>#VALUE!</v>
      </c>
      <c r="FP429" t="e">
        <f>'Australia and Oceania'!C176+"$F;@!4uc"</f>
        <v>#VALUE!</v>
      </c>
      <c r="FQ429" t="e">
        <f>'Australia and Oceania'!D176+"$F;@!4ud"</f>
        <v>#VALUE!</v>
      </c>
      <c r="FR429" t="e">
        <f>'Australia and Oceania'!E176+"$F;@!4ue"</f>
        <v>#VALUE!</v>
      </c>
      <c r="FS429" t="e">
        <f>'Australia and Oceania'!F176+"$F;@!4uf"</f>
        <v>#VALUE!</v>
      </c>
      <c r="FT429" t="e">
        <f>'Australia and Oceania'!G176+"$F;@!4ug"</f>
        <v>#VALUE!</v>
      </c>
      <c r="FU429" t="e">
        <f>'Australia and Oceania'!H176+"$F;@!4uh"</f>
        <v>#VALUE!</v>
      </c>
      <c r="FV429" t="e">
        <f>'Australia and Oceania'!A177+"$F;@!4ui"</f>
        <v>#VALUE!</v>
      </c>
      <c r="FW429" t="e">
        <f>'Australia and Oceania'!B177+"$F;@!4uj"</f>
        <v>#VALUE!</v>
      </c>
      <c r="FX429" t="e">
        <f>'Australia and Oceania'!C177+"$F;@!4uk"</f>
        <v>#VALUE!</v>
      </c>
      <c r="FY429" t="e">
        <f>'Australia and Oceania'!D177+"$F;@!4ul"</f>
        <v>#VALUE!</v>
      </c>
      <c r="FZ429" t="e">
        <f>'Australia and Oceania'!E177+"$F;@!4um"</f>
        <v>#VALUE!</v>
      </c>
      <c r="GA429" t="e">
        <f>'Australia and Oceania'!F177+"$F;@!4un"</f>
        <v>#VALUE!</v>
      </c>
      <c r="GB429" t="e">
        <f>'Australia and Oceania'!G177+"$F;@!4uo"</f>
        <v>#VALUE!</v>
      </c>
      <c r="GC429" t="e">
        <f>'Australia and Oceania'!H177+"$F;@!4up"</f>
        <v>#VALUE!</v>
      </c>
      <c r="GD429" t="e">
        <f>'Australia and Oceania'!A178+"$F;@!4uq"</f>
        <v>#VALUE!</v>
      </c>
      <c r="GE429" t="e">
        <f>'Australia and Oceania'!B178+"$F;@!4ur"</f>
        <v>#VALUE!</v>
      </c>
      <c r="GF429" t="e">
        <f>'Australia and Oceania'!C178+"$F;@!4us"</f>
        <v>#VALUE!</v>
      </c>
      <c r="GG429" t="e">
        <f>'Australia and Oceania'!D178+"$F;@!4ut"</f>
        <v>#VALUE!</v>
      </c>
      <c r="GH429" t="e">
        <f>'Australia and Oceania'!E178+"$F;@!4uu"</f>
        <v>#VALUE!</v>
      </c>
      <c r="GI429" t="e">
        <f>'Australia and Oceania'!F178+"$F;@!4uv"</f>
        <v>#VALUE!</v>
      </c>
      <c r="GJ429" t="e">
        <f>'Australia and Oceania'!G178+"$F;@!4uw"</f>
        <v>#VALUE!</v>
      </c>
      <c r="GK429" t="e">
        <f>'Australia and Oceania'!H178+"$F;@!4ux"</f>
        <v>#VALUE!</v>
      </c>
      <c r="GL429" t="e">
        <f>'Australia and Oceania'!A179+"$F;@!4uy"</f>
        <v>#VALUE!</v>
      </c>
      <c r="GM429" t="e">
        <f>'Australia and Oceania'!B179+"$F;@!4uz"</f>
        <v>#VALUE!</v>
      </c>
      <c r="GN429" t="e">
        <f>'Australia and Oceania'!C179+"$F;@!4u{"</f>
        <v>#VALUE!</v>
      </c>
      <c r="GO429" t="e">
        <f>'Australia and Oceania'!D179+"$F;@!4u|"</f>
        <v>#VALUE!</v>
      </c>
      <c r="GP429" t="e">
        <f>'Australia and Oceania'!E179+"$F;@!4u}"</f>
        <v>#VALUE!</v>
      </c>
      <c r="GQ429" t="e">
        <f>'Australia and Oceania'!F179+"$F;@!4u~"</f>
        <v>#VALUE!</v>
      </c>
      <c r="GR429" t="e">
        <f>'Australia and Oceania'!G179+"$F;@!4v#"</f>
        <v>#VALUE!</v>
      </c>
      <c r="GS429" t="e">
        <f>'Australia and Oceania'!H179+"$F;@!4v$"</f>
        <v>#VALUE!</v>
      </c>
      <c r="GT429" t="e">
        <f>'Australia and Oceania'!A180+"$F;@!4v%"</f>
        <v>#VALUE!</v>
      </c>
      <c r="GU429" t="e">
        <f>'Australia and Oceania'!B180+"$F;@!4v&amp;"</f>
        <v>#VALUE!</v>
      </c>
      <c r="GV429" t="e">
        <f>'Australia and Oceania'!C180+"$F;@!4v'"</f>
        <v>#VALUE!</v>
      </c>
      <c r="GW429" t="e">
        <f>'Australia and Oceania'!D180+"$F;@!4v("</f>
        <v>#VALUE!</v>
      </c>
      <c r="GX429" t="e">
        <f>'Australia and Oceania'!E180+"$F;@!4v)"</f>
        <v>#VALUE!</v>
      </c>
      <c r="GY429" t="e">
        <f>'Australia and Oceania'!F180+"$F;@!4v."</f>
        <v>#VALUE!</v>
      </c>
      <c r="GZ429" t="e">
        <f>'Australia and Oceania'!G180+"$F;@!4v/"</f>
        <v>#VALUE!</v>
      </c>
      <c r="HA429" t="e">
        <f>'Australia and Oceania'!H180+"$F;@!4v0"</f>
        <v>#VALUE!</v>
      </c>
      <c r="HB429" t="e">
        <f>'Australia and Oceania'!A181+"$F;@!4v1"</f>
        <v>#VALUE!</v>
      </c>
      <c r="HC429" t="e">
        <f>'Australia and Oceania'!B181+"$F;@!4v2"</f>
        <v>#VALUE!</v>
      </c>
      <c r="HD429" t="e">
        <f>'Australia and Oceania'!C181+"$F;@!4v3"</f>
        <v>#VALUE!</v>
      </c>
      <c r="HE429" t="e">
        <f>'Australia and Oceania'!D181+"$F;@!4v4"</f>
        <v>#VALUE!</v>
      </c>
      <c r="HF429" t="e">
        <f>'Australia and Oceania'!E181+"$F;@!4v5"</f>
        <v>#VALUE!</v>
      </c>
      <c r="HG429" t="e">
        <f>'Australia and Oceania'!F181+"$F;@!4v6"</f>
        <v>#VALUE!</v>
      </c>
      <c r="HH429" t="e">
        <f>'Australia and Oceania'!G181+"$F;@!4v7"</f>
        <v>#VALUE!</v>
      </c>
      <c r="HI429" t="e">
        <f>'Australia and Oceania'!H181+"$F;@!4v8"</f>
        <v>#VALUE!</v>
      </c>
      <c r="HJ429" t="e">
        <f>'Australia and Oceania'!A182+"$F;@!4v9"</f>
        <v>#VALUE!</v>
      </c>
      <c r="HK429" t="e">
        <f>'Australia and Oceania'!B182+"$F;@!4v:"</f>
        <v>#VALUE!</v>
      </c>
      <c r="HL429" t="e">
        <f>'Australia and Oceania'!C182+"$F;@!4v;"</f>
        <v>#VALUE!</v>
      </c>
      <c r="HM429" t="e">
        <f>'Australia and Oceania'!D182+"$F;@!4v&lt;"</f>
        <v>#VALUE!</v>
      </c>
      <c r="HN429" t="e">
        <f>'Australia and Oceania'!E182+"$F;@!4v="</f>
        <v>#VALUE!</v>
      </c>
      <c r="HO429" t="e">
        <f>'Australia and Oceania'!F182+"$F;@!4v&gt;"</f>
        <v>#VALUE!</v>
      </c>
      <c r="HP429" t="e">
        <f>'Australia and Oceania'!G182+"$F;@!4v?"</f>
        <v>#VALUE!</v>
      </c>
      <c r="HQ429" t="e">
        <f>'Australia and Oceania'!H182+"$F;@!4v@"</f>
        <v>#VALUE!</v>
      </c>
      <c r="HR429" t="e">
        <f>'Australia and Oceania'!A183+"$F;@!4vA"</f>
        <v>#VALUE!</v>
      </c>
      <c r="HS429" t="e">
        <f>'Australia and Oceania'!B183+"$F;@!4vB"</f>
        <v>#VALUE!</v>
      </c>
      <c r="HT429" t="e">
        <f>'Australia and Oceania'!C183+"$F;@!4vC"</f>
        <v>#VALUE!</v>
      </c>
      <c r="HU429" t="e">
        <f>'Australia and Oceania'!D183+"$F;@!4vD"</f>
        <v>#VALUE!</v>
      </c>
      <c r="HV429" t="e">
        <f>'Australia and Oceania'!E183+"$F;@!4vE"</f>
        <v>#VALUE!</v>
      </c>
      <c r="HW429" t="e">
        <f>'Australia and Oceania'!F183+"$F;@!4vF"</f>
        <v>#VALUE!</v>
      </c>
      <c r="HX429" t="e">
        <f>'Australia and Oceania'!G183+"$F;@!4vG"</f>
        <v>#VALUE!</v>
      </c>
      <c r="HY429" t="e">
        <f>'Australia and Oceania'!H183+"$F;@!4vH"</f>
        <v>#VALUE!</v>
      </c>
      <c r="HZ429" t="e">
        <f>'Australia and Oceania'!A184+"$F;@!4vI"</f>
        <v>#VALUE!</v>
      </c>
      <c r="IA429" t="e">
        <f>'Australia and Oceania'!B184+"$F;@!4vJ"</f>
        <v>#VALUE!</v>
      </c>
      <c r="IB429" t="e">
        <f>'Australia and Oceania'!C184+"$F;@!4vK"</f>
        <v>#VALUE!</v>
      </c>
      <c r="IC429" t="e">
        <f>'Australia and Oceania'!D184+"$F;@!4vL"</f>
        <v>#VALUE!</v>
      </c>
      <c r="ID429" t="e">
        <f>'Australia and Oceania'!E184+"$F;@!4vM"</f>
        <v>#VALUE!</v>
      </c>
      <c r="IE429" t="e">
        <f>'Australia and Oceania'!F184+"$F;@!4vN"</f>
        <v>#VALUE!</v>
      </c>
      <c r="IF429" t="e">
        <f>'Australia and Oceania'!G184+"$F;@!4vO"</f>
        <v>#VALUE!</v>
      </c>
      <c r="IG429" t="e">
        <f>'Australia and Oceania'!H184+"$F;@!4vP"</f>
        <v>#VALUE!</v>
      </c>
      <c r="IH429" t="e">
        <f>'Australia and Oceania'!A185+"$F;@!4vQ"</f>
        <v>#VALUE!</v>
      </c>
      <c r="II429" t="e">
        <f>'Australia and Oceania'!B185+"$F;@!4vR"</f>
        <v>#VALUE!</v>
      </c>
      <c r="IJ429" t="e">
        <f>'Australia and Oceania'!C185+"$F;@!4vS"</f>
        <v>#VALUE!</v>
      </c>
      <c r="IK429" t="e">
        <f>'Australia and Oceania'!D185+"$F;@!4vT"</f>
        <v>#VALUE!</v>
      </c>
      <c r="IL429" t="e">
        <f>'Australia and Oceania'!E185+"$F;@!4vU"</f>
        <v>#VALUE!</v>
      </c>
      <c r="IM429" t="e">
        <f>'Australia and Oceania'!F185+"$F;@!4vV"</f>
        <v>#VALUE!</v>
      </c>
      <c r="IN429" t="e">
        <f>'Australia and Oceania'!G185+"$F;@!4vW"</f>
        <v>#VALUE!</v>
      </c>
      <c r="IO429" t="e">
        <f>'Australia and Oceania'!H185+"$F;@!4vX"</f>
        <v>#VALUE!</v>
      </c>
      <c r="IP429" t="e">
        <f>'Australia and Oceania'!A186+"$F;@!4vY"</f>
        <v>#VALUE!</v>
      </c>
      <c r="IQ429" t="e">
        <f>'Australia and Oceania'!B186+"$F;@!4vZ"</f>
        <v>#VALUE!</v>
      </c>
      <c r="IR429" t="e">
        <f>'Australia and Oceania'!C186+"$F;@!4v["</f>
        <v>#VALUE!</v>
      </c>
      <c r="IS429" t="e">
        <f>'Australia and Oceania'!D186+"$F;@!4v\"</f>
        <v>#VALUE!</v>
      </c>
      <c r="IT429" t="e">
        <f>'Australia and Oceania'!E186+"$F;@!4v]"</f>
        <v>#VALUE!</v>
      </c>
      <c r="IU429" t="e">
        <f>'Australia and Oceania'!F186+"$F;@!4v^"</f>
        <v>#VALUE!</v>
      </c>
      <c r="IV429" t="e">
        <f>'Australia and Oceania'!G186+"$F;@!4v_"</f>
        <v>#VALUE!</v>
      </c>
    </row>
    <row r="430" spans="6:256" x14ac:dyDescent="0.35">
      <c r="F430" t="e">
        <f>'Australia and Oceania'!H186+"$F;@!4v`"</f>
        <v>#VALUE!</v>
      </c>
      <c r="G430" t="e">
        <f>'Australia and Oceania'!A187+"$F;@!4va"</f>
        <v>#VALUE!</v>
      </c>
      <c r="H430" t="e">
        <f>'Australia and Oceania'!B187+"$F;@!4vb"</f>
        <v>#VALUE!</v>
      </c>
      <c r="I430" t="e">
        <f>'Australia and Oceania'!C187+"$F;@!4vc"</f>
        <v>#VALUE!</v>
      </c>
      <c r="J430" t="e">
        <f>'Australia and Oceania'!D187+"$F;@!4vd"</f>
        <v>#VALUE!</v>
      </c>
      <c r="K430" t="e">
        <f>'Australia and Oceania'!E187+"$F;@!4ve"</f>
        <v>#VALUE!</v>
      </c>
      <c r="L430" t="e">
        <f>'Australia and Oceania'!F187+"$F;@!4vf"</f>
        <v>#VALUE!</v>
      </c>
      <c r="M430" t="e">
        <f>'Australia and Oceania'!G187+"$F;@!4vg"</f>
        <v>#VALUE!</v>
      </c>
      <c r="N430" t="e">
        <f>'Australia and Oceania'!H187+"$F;@!4vh"</f>
        <v>#VALUE!</v>
      </c>
      <c r="O430" t="e">
        <f>'Australia and Oceania'!A188+"$F;@!4vi"</f>
        <v>#VALUE!</v>
      </c>
      <c r="P430" t="e">
        <f>'Australia and Oceania'!B188+"$F;@!4vj"</f>
        <v>#VALUE!</v>
      </c>
      <c r="Q430" t="e">
        <f>'Australia and Oceania'!C188+"$F;@!4vk"</f>
        <v>#VALUE!</v>
      </c>
      <c r="R430" t="e">
        <f>'Australia and Oceania'!D188+"$F;@!4vl"</f>
        <v>#VALUE!</v>
      </c>
      <c r="S430" t="e">
        <f>'Australia and Oceania'!E188+"$F;@!4vm"</f>
        <v>#VALUE!</v>
      </c>
      <c r="T430" t="e">
        <f>'Australia and Oceania'!F188+"$F;@!4vn"</f>
        <v>#VALUE!</v>
      </c>
      <c r="U430" t="e">
        <f>'Australia and Oceania'!G188+"$F;@!4vo"</f>
        <v>#VALUE!</v>
      </c>
      <c r="V430" t="e">
        <f>'Australia and Oceania'!H188+"$F;@!4vp"</f>
        <v>#VALUE!</v>
      </c>
      <c r="W430" t="e">
        <f>'Australia and Oceania'!A189+"$F;@!4vq"</f>
        <v>#VALUE!</v>
      </c>
      <c r="X430" t="e">
        <f>'Australia and Oceania'!B189+"$F;@!4vr"</f>
        <v>#VALUE!</v>
      </c>
      <c r="Y430" t="e">
        <f>'Australia and Oceania'!C189+"$F;@!4vs"</f>
        <v>#VALUE!</v>
      </c>
      <c r="Z430" t="e">
        <f>'Australia and Oceania'!D189+"$F;@!4vt"</f>
        <v>#VALUE!</v>
      </c>
      <c r="AA430" t="e">
        <f>'Australia and Oceania'!E189+"$F;@!4vu"</f>
        <v>#VALUE!</v>
      </c>
      <c r="AB430" t="e">
        <f>'Australia and Oceania'!F189+"$F;@!4vv"</f>
        <v>#VALUE!</v>
      </c>
      <c r="AC430" t="e">
        <f>'Australia and Oceania'!G189+"$F;@!4vw"</f>
        <v>#VALUE!</v>
      </c>
      <c r="AD430" t="e">
        <f>'Australia and Oceania'!H189+"$F;@!4vx"</f>
        <v>#VALUE!</v>
      </c>
      <c r="AE430" t="e">
        <f>'Australia and Oceania'!A190+"$F;@!4vy"</f>
        <v>#VALUE!</v>
      </c>
      <c r="AF430" t="e">
        <f>'Australia and Oceania'!B190+"$F;@!4vz"</f>
        <v>#VALUE!</v>
      </c>
      <c r="AG430" t="e">
        <f>'Australia and Oceania'!C190+"$F;@!4v{"</f>
        <v>#VALUE!</v>
      </c>
      <c r="AH430" t="e">
        <f>'Australia and Oceania'!D190+"$F;@!4v|"</f>
        <v>#VALUE!</v>
      </c>
      <c r="AI430" t="e">
        <f>'Australia and Oceania'!E190+"$F;@!4v}"</f>
        <v>#VALUE!</v>
      </c>
      <c r="AJ430" t="e">
        <f>'Australia and Oceania'!F190+"$F;@!4v~"</f>
        <v>#VALUE!</v>
      </c>
      <c r="AK430" t="e">
        <f>'Australia and Oceania'!G190+"$F;@!4w#"</f>
        <v>#VALUE!</v>
      </c>
      <c r="AL430" t="e">
        <f>'Australia and Oceania'!H190+"$F;@!4w$"</f>
        <v>#VALUE!</v>
      </c>
      <c r="AM430" t="e">
        <f>'Australia and Oceania'!A191+"$F;@!4w%"</f>
        <v>#VALUE!</v>
      </c>
      <c r="AN430" t="e">
        <f>'Australia and Oceania'!B191+"$F;@!4w&amp;"</f>
        <v>#VALUE!</v>
      </c>
      <c r="AO430" t="e">
        <f>'Australia and Oceania'!C191+"$F;@!4w'"</f>
        <v>#VALUE!</v>
      </c>
      <c r="AP430" t="e">
        <f>'Australia and Oceania'!D191+"$F;@!4w("</f>
        <v>#VALUE!</v>
      </c>
      <c r="AQ430" t="e">
        <f>'Australia and Oceania'!E191+"$F;@!4w)"</f>
        <v>#VALUE!</v>
      </c>
      <c r="AR430" t="e">
        <f>'Australia and Oceania'!F191+"$F;@!4w."</f>
        <v>#VALUE!</v>
      </c>
      <c r="AS430" t="e">
        <f>'Australia and Oceania'!G191+"$F;@!4w/"</f>
        <v>#VALUE!</v>
      </c>
      <c r="AT430" t="e">
        <f>'Australia and Oceania'!H191+"$F;@!4w0"</f>
        <v>#VALUE!</v>
      </c>
      <c r="AU430" t="e">
        <f>'Australia and Oceania'!A192+"$F;@!4w1"</f>
        <v>#VALUE!</v>
      </c>
      <c r="AV430" t="e">
        <f>'Australia and Oceania'!B192+"$F;@!4w2"</f>
        <v>#VALUE!</v>
      </c>
      <c r="AW430" t="e">
        <f>'Australia and Oceania'!C192+"$F;@!4w3"</f>
        <v>#VALUE!</v>
      </c>
      <c r="AX430" t="e">
        <f>'Australia and Oceania'!D192+"$F;@!4w4"</f>
        <v>#VALUE!</v>
      </c>
      <c r="AY430" t="e">
        <f>'Australia and Oceania'!E192+"$F;@!4w5"</f>
        <v>#VALUE!</v>
      </c>
      <c r="AZ430" t="e">
        <f>'Australia and Oceania'!F192+"$F;@!4w6"</f>
        <v>#VALUE!</v>
      </c>
      <c r="BA430" t="e">
        <f>'Australia and Oceania'!G192+"$F;@!4w7"</f>
        <v>#VALUE!</v>
      </c>
      <c r="BB430" t="e">
        <f>'Australia and Oceania'!H192+"$F;@!4w8"</f>
        <v>#VALUE!</v>
      </c>
      <c r="BC430" t="e">
        <f>'Australia and Oceania'!A193+"$F;@!4w9"</f>
        <v>#VALUE!</v>
      </c>
      <c r="BD430" t="e">
        <f>'Australia and Oceania'!B193+"$F;@!4w:"</f>
        <v>#VALUE!</v>
      </c>
      <c r="BE430" t="e">
        <f>'Australia and Oceania'!C193+"$F;@!4w;"</f>
        <v>#VALUE!</v>
      </c>
      <c r="BF430" t="e">
        <f>'Australia and Oceania'!D193+"$F;@!4w&lt;"</f>
        <v>#VALUE!</v>
      </c>
      <c r="BG430" t="e">
        <f>'Australia and Oceania'!E193+"$F;@!4w="</f>
        <v>#VALUE!</v>
      </c>
      <c r="BH430" t="e">
        <f>'Australia and Oceania'!F193+"$F;@!4w&gt;"</f>
        <v>#VALUE!</v>
      </c>
      <c r="BI430" t="e">
        <f>'Australia and Oceania'!G193+"$F;@!4w?"</f>
        <v>#VALUE!</v>
      </c>
      <c r="BJ430" t="e">
        <f>'Australia and Oceania'!H193+"$F;@!4w@"</f>
        <v>#VALUE!</v>
      </c>
      <c r="BK430" t="e">
        <f>'Australia and Oceania'!A194+"$F;@!4wA"</f>
        <v>#VALUE!</v>
      </c>
      <c r="BL430" t="e">
        <f>'Australia and Oceania'!B194+"$F;@!4wB"</f>
        <v>#VALUE!</v>
      </c>
      <c r="BM430" t="e">
        <f>'Australia and Oceania'!C194+"$F;@!4wC"</f>
        <v>#VALUE!</v>
      </c>
      <c r="BN430" t="e">
        <f>'Australia and Oceania'!D194+"$F;@!4wD"</f>
        <v>#VALUE!</v>
      </c>
      <c r="BO430" t="e">
        <f>'Australia and Oceania'!E194+"$F;@!4wE"</f>
        <v>#VALUE!</v>
      </c>
      <c r="BP430" t="e">
        <f>'Australia and Oceania'!F194+"$F;@!4wF"</f>
        <v>#VALUE!</v>
      </c>
      <c r="BQ430" t="e">
        <f>'Australia and Oceania'!G194+"$F;@!4wG"</f>
        <v>#VALUE!</v>
      </c>
      <c r="BR430" t="e">
        <f>'Australia and Oceania'!H194+"$F;@!4wH"</f>
        <v>#VALUE!</v>
      </c>
      <c r="BS430" t="e">
        <f>'Australia and Oceania'!A195+"$F;@!4wI"</f>
        <v>#VALUE!</v>
      </c>
      <c r="BT430" t="e">
        <f>'Australia and Oceania'!B195+"$F;@!4wJ"</f>
        <v>#VALUE!</v>
      </c>
      <c r="BU430" t="e">
        <f>'Australia and Oceania'!C195+"$F;@!4wK"</f>
        <v>#VALUE!</v>
      </c>
      <c r="BV430" t="e">
        <f>'Australia and Oceania'!D195+"$F;@!4wL"</f>
        <v>#VALUE!</v>
      </c>
      <c r="BW430" t="e">
        <f>'Australia and Oceania'!E195+"$F;@!4wM"</f>
        <v>#VALUE!</v>
      </c>
      <c r="BX430" t="e">
        <f>'Australia and Oceania'!F195+"$F;@!4wN"</f>
        <v>#VALUE!</v>
      </c>
      <c r="BY430" t="e">
        <f>'Australia and Oceania'!G195+"$F;@!4wO"</f>
        <v>#VALUE!</v>
      </c>
      <c r="BZ430" t="e">
        <f>'Australia and Oceania'!H195+"$F;@!4wP"</f>
        <v>#VALUE!</v>
      </c>
      <c r="CA430" t="e">
        <f>'Australia and Oceania'!A196+"$F;@!4wQ"</f>
        <v>#VALUE!</v>
      </c>
      <c r="CB430" t="e">
        <f>'Australia and Oceania'!B196+"$F;@!4wR"</f>
        <v>#VALUE!</v>
      </c>
      <c r="CC430" t="e">
        <f>'Australia and Oceania'!C196+"$F;@!4wS"</f>
        <v>#VALUE!</v>
      </c>
      <c r="CD430" t="e">
        <f>'Australia and Oceania'!D196+"$F;@!4wT"</f>
        <v>#VALUE!</v>
      </c>
      <c r="CE430" t="e">
        <f>'Australia and Oceania'!E196+"$F;@!4wU"</f>
        <v>#VALUE!</v>
      </c>
      <c r="CF430" t="e">
        <f>'Australia and Oceania'!F196+"$F;@!4wV"</f>
        <v>#VALUE!</v>
      </c>
      <c r="CG430" t="e">
        <f>'Australia and Oceania'!G196+"$F;@!4wW"</f>
        <v>#VALUE!</v>
      </c>
      <c r="CH430" t="e">
        <f>'Australia and Oceania'!H196+"$F;@!4wX"</f>
        <v>#VALUE!</v>
      </c>
      <c r="CI430" t="e">
        <f>'Australia and Oceania'!A197+"$F;@!4wY"</f>
        <v>#VALUE!</v>
      </c>
      <c r="CJ430" t="e">
        <f>'Australia and Oceania'!B197+"$F;@!4wZ"</f>
        <v>#VALUE!</v>
      </c>
      <c r="CK430" t="e">
        <f>'Australia and Oceania'!C197+"$F;@!4w["</f>
        <v>#VALUE!</v>
      </c>
      <c r="CL430" t="e">
        <f>'Australia and Oceania'!D197+"$F;@!4w\"</f>
        <v>#VALUE!</v>
      </c>
      <c r="CM430" t="e">
        <f>'Australia and Oceania'!E197+"$F;@!4w]"</f>
        <v>#VALUE!</v>
      </c>
      <c r="CN430" t="e">
        <f>'Australia and Oceania'!F197+"$F;@!4w^"</f>
        <v>#VALUE!</v>
      </c>
      <c r="CO430" t="e">
        <f>'Australia and Oceania'!G197+"$F;@!4w_"</f>
        <v>#VALUE!</v>
      </c>
      <c r="CP430" t="e">
        <f>'Australia and Oceania'!H197+"$F;@!4w`"</f>
        <v>#VALUE!</v>
      </c>
      <c r="CQ430" t="e">
        <f>'Australia and Oceania'!A198+"$F;@!4wa"</f>
        <v>#VALUE!</v>
      </c>
      <c r="CR430" t="e">
        <f>'Australia and Oceania'!B198+"$F;@!4wb"</f>
        <v>#VALUE!</v>
      </c>
      <c r="CS430" t="e">
        <f>'Australia and Oceania'!C198+"$F;@!4wc"</f>
        <v>#VALUE!</v>
      </c>
      <c r="CT430" t="e">
        <f>'Australia and Oceania'!D198+"$F;@!4wd"</f>
        <v>#VALUE!</v>
      </c>
      <c r="CU430" t="e">
        <f>'Australia and Oceania'!E198+"$F;@!4we"</f>
        <v>#VALUE!</v>
      </c>
      <c r="CV430" t="e">
        <f>'Australia and Oceania'!F198+"$F;@!4wf"</f>
        <v>#VALUE!</v>
      </c>
      <c r="CW430" t="e">
        <f>'Australia and Oceania'!G198+"$F;@!4wg"</f>
        <v>#VALUE!</v>
      </c>
      <c r="CX430" t="e">
        <f>'Australia and Oceania'!H198+"$F;@!4wh"</f>
        <v>#VALUE!</v>
      </c>
      <c r="CY430" t="e">
        <f>'Australia and Oceania'!A199+"$F;@!4wi"</f>
        <v>#VALUE!</v>
      </c>
      <c r="CZ430" t="e">
        <f>'Australia and Oceania'!B199+"$F;@!4wj"</f>
        <v>#VALUE!</v>
      </c>
      <c r="DA430" t="e">
        <f>'Australia and Oceania'!C199+"$F;@!4wk"</f>
        <v>#VALUE!</v>
      </c>
      <c r="DB430" t="e">
        <f>'Australia and Oceania'!D199+"$F;@!4wl"</f>
        <v>#VALUE!</v>
      </c>
      <c r="DC430" t="e">
        <f>'Australia and Oceania'!E199+"$F;@!4wm"</f>
        <v>#VALUE!</v>
      </c>
      <c r="DD430" t="e">
        <f>'Australia and Oceania'!F199+"$F;@!4wn"</f>
        <v>#VALUE!</v>
      </c>
      <c r="DE430" t="e">
        <f>'Australia and Oceania'!G199+"$F;@!4wo"</f>
        <v>#VALUE!</v>
      </c>
      <c r="DF430" t="e">
        <f>'Australia and Oceania'!H199+"$F;@!4wp"</f>
        <v>#VALUE!</v>
      </c>
      <c r="DG430" t="e">
        <f>'Australia and Oceania'!A200+"$F;@!4wq"</f>
        <v>#VALUE!</v>
      </c>
      <c r="DH430" t="e">
        <f>'Australia and Oceania'!B200+"$F;@!4wr"</f>
        <v>#VALUE!</v>
      </c>
      <c r="DI430" t="e">
        <f>'Australia and Oceania'!C200+"$F;@!4ws"</f>
        <v>#VALUE!</v>
      </c>
      <c r="DJ430" t="e">
        <f>'Australia and Oceania'!D200+"$F;@!4wt"</f>
        <v>#VALUE!</v>
      </c>
      <c r="DK430" t="e">
        <f>'Australia and Oceania'!E200+"$F;@!4wu"</f>
        <v>#VALUE!</v>
      </c>
      <c r="DL430" t="e">
        <f>'Australia and Oceania'!F200+"$F;@!4wv"</f>
        <v>#VALUE!</v>
      </c>
      <c r="DM430" t="e">
        <f>'Australia and Oceania'!G200+"$F;@!4ww"</f>
        <v>#VALUE!</v>
      </c>
      <c r="DN430" t="e">
        <f>'Australia and Oceania'!H200+"$F;@!4wx"</f>
        <v>#VALUE!</v>
      </c>
      <c r="DO430" t="e">
        <f>'Australia and Oceania'!A201+"$F;@!4wy"</f>
        <v>#VALUE!</v>
      </c>
      <c r="DP430" t="e">
        <f>'Australia and Oceania'!B201+"$F;@!4wz"</f>
        <v>#VALUE!</v>
      </c>
      <c r="DQ430" t="e">
        <f>'Australia and Oceania'!C201+"$F;@!4w{"</f>
        <v>#VALUE!</v>
      </c>
      <c r="DR430" t="e">
        <f>'Australia and Oceania'!D201+"$F;@!4w|"</f>
        <v>#VALUE!</v>
      </c>
      <c r="DS430" t="e">
        <f>'Australia and Oceania'!E201+"$F;@!4w}"</f>
        <v>#VALUE!</v>
      </c>
      <c r="DT430" t="e">
        <f>'Australia and Oceania'!F201+"$F;@!4w~"</f>
        <v>#VALUE!</v>
      </c>
      <c r="DU430" t="e">
        <f>'Australia and Oceania'!G201+"$F;@!4x#"</f>
        <v>#VALUE!</v>
      </c>
      <c r="DV430" t="e">
        <f>'Australia and Oceania'!H201+"$F;@!4x$"</f>
        <v>#VALUE!</v>
      </c>
      <c r="DW430" t="e">
        <f>'Australia and Oceania'!A202+"$F;@!4x%"</f>
        <v>#VALUE!</v>
      </c>
      <c r="DX430" t="e">
        <f>'Australia and Oceania'!B202+"$F;@!4x&amp;"</f>
        <v>#VALUE!</v>
      </c>
      <c r="DY430" t="e">
        <f>'Australia and Oceania'!C202+"$F;@!4x'"</f>
        <v>#VALUE!</v>
      </c>
      <c r="DZ430" t="e">
        <f>'Australia and Oceania'!D202+"$F;@!4x("</f>
        <v>#VALUE!</v>
      </c>
      <c r="EA430" t="e">
        <f>'Australia and Oceania'!E202+"$F;@!4x)"</f>
        <v>#VALUE!</v>
      </c>
      <c r="EB430" t="e">
        <f>'Australia and Oceania'!F202+"$F;@!4x."</f>
        <v>#VALUE!</v>
      </c>
      <c r="EC430" t="e">
        <f>'Australia and Oceania'!G202+"$F;@!4x/"</f>
        <v>#VALUE!</v>
      </c>
      <c r="ED430" t="e">
        <f>'Australia and Oceania'!H202+"$F;@!4x0"</f>
        <v>#VALUE!</v>
      </c>
      <c r="EE430" t="e">
        <f>'Australia and Oceania'!A203+"$F;@!4x1"</f>
        <v>#VALUE!</v>
      </c>
      <c r="EF430" t="e">
        <f>'Australia and Oceania'!B203+"$F;@!4x2"</f>
        <v>#VALUE!</v>
      </c>
      <c r="EG430" t="e">
        <f>'Australia and Oceania'!C203+"$F;@!4x3"</f>
        <v>#VALUE!</v>
      </c>
      <c r="EH430" t="e">
        <f>'Australia and Oceania'!D203+"$F;@!4x4"</f>
        <v>#VALUE!</v>
      </c>
      <c r="EI430" t="e">
        <f>'Australia and Oceania'!E203+"$F;@!4x5"</f>
        <v>#VALUE!</v>
      </c>
      <c r="EJ430" t="e">
        <f>'Australia and Oceania'!F203+"$F;@!4x6"</f>
        <v>#VALUE!</v>
      </c>
      <c r="EK430" t="e">
        <f>'Australia and Oceania'!G203+"$F;@!4x7"</f>
        <v>#VALUE!</v>
      </c>
      <c r="EL430" t="e">
        <f>'Australia and Oceania'!H203+"$F;@!4x8"</f>
        <v>#VALUE!</v>
      </c>
      <c r="EM430" t="e">
        <f>'Australia and Oceania'!A204+"$F;@!4x9"</f>
        <v>#VALUE!</v>
      </c>
      <c r="EN430" t="e">
        <f>'Australia and Oceania'!B204+"$F;@!4x:"</f>
        <v>#VALUE!</v>
      </c>
      <c r="EO430" t="e">
        <f>'Australia and Oceania'!C204+"$F;@!4x;"</f>
        <v>#VALUE!</v>
      </c>
      <c r="EP430" t="e">
        <f>'Australia and Oceania'!D204+"$F;@!4x&lt;"</f>
        <v>#VALUE!</v>
      </c>
      <c r="EQ430" t="e">
        <f>'Australia and Oceania'!E204+"$F;@!4x="</f>
        <v>#VALUE!</v>
      </c>
      <c r="ER430" t="e">
        <f>'Australia and Oceania'!F204+"$F;@!4x&gt;"</f>
        <v>#VALUE!</v>
      </c>
      <c r="ES430" t="e">
        <f>'Australia and Oceania'!G204+"$F;@!4x?"</f>
        <v>#VALUE!</v>
      </c>
      <c r="ET430" t="e">
        <f>'Australia and Oceania'!H204+"$F;@!4x@"</f>
        <v>#VALUE!</v>
      </c>
      <c r="EU430" t="e">
        <f>'Australia and Oceania'!A205+"$F;@!4xA"</f>
        <v>#VALUE!</v>
      </c>
      <c r="EV430" t="e">
        <f>'Australia and Oceania'!B205+"$F;@!4xB"</f>
        <v>#VALUE!</v>
      </c>
      <c r="EW430" t="e">
        <f>'Australia and Oceania'!C205+"$F;@!4xC"</f>
        <v>#VALUE!</v>
      </c>
      <c r="EX430" t="e">
        <f>'Australia and Oceania'!D205+"$F;@!4xD"</f>
        <v>#VALUE!</v>
      </c>
      <c r="EY430" t="e">
        <f>'Australia and Oceania'!E205+"$F;@!4xE"</f>
        <v>#VALUE!</v>
      </c>
      <c r="EZ430" t="e">
        <f>'Australia and Oceania'!F205+"$F;@!4xF"</f>
        <v>#VALUE!</v>
      </c>
      <c r="FA430" t="e">
        <f>'Australia and Oceania'!G205+"$F;@!4xG"</f>
        <v>#VALUE!</v>
      </c>
      <c r="FB430" t="e">
        <f>'Australia and Oceania'!H205+"$F;@!4xH"</f>
        <v>#VALUE!</v>
      </c>
      <c r="FC430" t="e">
        <f>'Australia and Oceania'!A206+"$F;@!4xI"</f>
        <v>#VALUE!</v>
      </c>
      <c r="FD430" t="e">
        <f>'Australia and Oceania'!B206+"$F;@!4xJ"</f>
        <v>#VALUE!</v>
      </c>
      <c r="FE430" t="e">
        <f>'Australia and Oceania'!C206+"$F;@!4xK"</f>
        <v>#VALUE!</v>
      </c>
      <c r="FF430" t="e">
        <f>'Australia and Oceania'!D206+"$F;@!4xL"</f>
        <v>#VALUE!</v>
      </c>
      <c r="FG430" t="e">
        <f>'Australia and Oceania'!E206+"$F;@!4xM"</f>
        <v>#VALUE!</v>
      </c>
      <c r="FH430" t="e">
        <f>'Australia and Oceania'!F206+"$F;@!4xN"</f>
        <v>#VALUE!</v>
      </c>
      <c r="FI430" t="e">
        <f>'Australia and Oceania'!G206+"$F;@!4xO"</f>
        <v>#VALUE!</v>
      </c>
      <c r="FJ430" t="e">
        <f>'Australia and Oceania'!H206+"$F;@!4xP"</f>
        <v>#VALUE!</v>
      </c>
      <c r="FK430" t="e">
        <f>'Australia and Oceania'!A207+"$F;@!4xQ"</f>
        <v>#VALUE!</v>
      </c>
      <c r="FL430" t="e">
        <f>'Australia and Oceania'!B207+"$F;@!4xR"</f>
        <v>#VALUE!</v>
      </c>
      <c r="FM430" t="e">
        <f>'Australia and Oceania'!C207+"$F;@!4xS"</f>
        <v>#VALUE!</v>
      </c>
      <c r="FN430" t="e">
        <f>'Australia and Oceania'!D207+"$F;@!4xT"</f>
        <v>#VALUE!</v>
      </c>
      <c r="FO430" t="e">
        <f>'Australia and Oceania'!E207+"$F;@!4xU"</f>
        <v>#VALUE!</v>
      </c>
      <c r="FP430" t="e">
        <f>'Australia and Oceania'!F207+"$F;@!4xV"</f>
        <v>#VALUE!</v>
      </c>
      <c r="FQ430" t="e">
        <f>'Australia and Oceania'!G207+"$F;@!4xW"</f>
        <v>#VALUE!</v>
      </c>
      <c r="FR430" t="e">
        <f>'Australia and Oceania'!H207+"$F;@!4xX"</f>
        <v>#VALUE!</v>
      </c>
      <c r="FS430" t="e">
        <f>'Australia and Oceania'!A208+"$F;@!4xY"</f>
        <v>#VALUE!</v>
      </c>
      <c r="FT430" t="e">
        <f>'Australia and Oceania'!B208+"$F;@!4xZ"</f>
        <v>#VALUE!</v>
      </c>
      <c r="FU430" t="e">
        <f>'Australia and Oceania'!C208+"$F;@!4x["</f>
        <v>#VALUE!</v>
      </c>
      <c r="FV430" t="e">
        <f>'Australia and Oceania'!D208+"$F;@!4x\"</f>
        <v>#VALUE!</v>
      </c>
      <c r="FW430" t="e">
        <f>'Australia and Oceania'!E208+"$F;@!4x]"</f>
        <v>#VALUE!</v>
      </c>
      <c r="FX430" t="e">
        <f>'Australia and Oceania'!F208+"$F;@!4x^"</f>
        <v>#VALUE!</v>
      </c>
      <c r="FY430" t="e">
        <f>'Australia and Oceania'!G208+"$F;@!4x_"</f>
        <v>#VALUE!</v>
      </c>
      <c r="FZ430" t="e">
        <f>'Australia and Oceania'!H208+"$F;@!4x`"</f>
        <v>#VALUE!</v>
      </c>
      <c r="GA430" t="e">
        <f>'Australia and Oceania'!A209+"$F;@!4xa"</f>
        <v>#VALUE!</v>
      </c>
      <c r="GB430" t="e">
        <f>'Australia and Oceania'!B209+"$F;@!4xb"</f>
        <v>#VALUE!</v>
      </c>
      <c r="GC430" t="e">
        <f>'Australia and Oceania'!C209+"$F;@!4xc"</f>
        <v>#VALUE!</v>
      </c>
      <c r="GD430" t="e">
        <f>'Australia and Oceania'!D209+"$F;@!4xd"</f>
        <v>#VALUE!</v>
      </c>
      <c r="GE430" t="e">
        <f>'Australia and Oceania'!E209+"$F;@!4xe"</f>
        <v>#VALUE!</v>
      </c>
      <c r="GF430" t="e">
        <f>'Australia and Oceania'!F209+"$F;@!4xf"</f>
        <v>#VALUE!</v>
      </c>
      <c r="GG430" t="e">
        <f>'Australia and Oceania'!G209+"$F;@!4xg"</f>
        <v>#VALUE!</v>
      </c>
      <c r="GH430" t="e">
        <f>'Australia and Oceania'!H209+"$F;@!4xh"</f>
        <v>#VALUE!</v>
      </c>
      <c r="GI430" t="e">
        <f>'Australia and Oceania'!A210+"$F;@!4xi"</f>
        <v>#VALUE!</v>
      </c>
      <c r="GJ430" t="e">
        <f>'Australia and Oceania'!B210+"$F;@!4xj"</f>
        <v>#VALUE!</v>
      </c>
      <c r="GK430" t="e">
        <f>'Australia and Oceania'!C210+"$F;@!4xk"</f>
        <v>#VALUE!</v>
      </c>
      <c r="GL430" t="e">
        <f>'Australia and Oceania'!D210+"$F;@!4xl"</f>
        <v>#VALUE!</v>
      </c>
      <c r="GM430" t="e">
        <f>'Australia and Oceania'!E210+"$F;@!4xm"</f>
        <v>#VALUE!</v>
      </c>
      <c r="GN430" t="e">
        <f>'Australia and Oceania'!F210+"$F;@!4xn"</f>
        <v>#VALUE!</v>
      </c>
      <c r="GO430" t="e">
        <f>'Australia and Oceania'!G210+"$F;@!4xo"</f>
        <v>#VALUE!</v>
      </c>
      <c r="GP430" t="e">
        <f>'Australia and Oceania'!H210+"$F;@!4xp"</f>
        <v>#VALUE!</v>
      </c>
      <c r="GQ430" t="e">
        <f>'Australia and Oceania'!A211+"$F;@!4xq"</f>
        <v>#VALUE!</v>
      </c>
      <c r="GR430" t="e">
        <f>'Australia and Oceania'!B211+"$F;@!4xr"</f>
        <v>#VALUE!</v>
      </c>
      <c r="GS430" t="e">
        <f>'Australia and Oceania'!C211+"$F;@!4xs"</f>
        <v>#VALUE!</v>
      </c>
      <c r="GT430" t="e">
        <f>'Australia and Oceania'!D211+"$F;@!4xt"</f>
        <v>#VALUE!</v>
      </c>
      <c r="GU430" t="e">
        <f>'Australia and Oceania'!E211+"$F;@!4xu"</f>
        <v>#VALUE!</v>
      </c>
      <c r="GV430" t="e">
        <f>'Australia and Oceania'!F211+"$F;@!4xv"</f>
        <v>#VALUE!</v>
      </c>
      <c r="GW430" t="e">
        <f>'Australia and Oceania'!G211+"$F;@!4xw"</f>
        <v>#VALUE!</v>
      </c>
      <c r="GX430" t="e">
        <f>'Australia and Oceania'!H211+"$F;@!4xx"</f>
        <v>#VALUE!</v>
      </c>
      <c r="GY430" t="e">
        <f>'Australia and Oceania'!A212+"$F;@!4xy"</f>
        <v>#VALUE!</v>
      </c>
      <c r="GZ430" t="e">
        <f>'Australia and Oceania'!B212+"$F;@!4xz"</f>
        <v>#VALUE!</v>
      </c>
      <c r="HA430" t="e">
        <f>'Australia and Oceania'!C212+"$F;@!4x{"</f>
        <v>#VALUE!</v>
      </c>
      <c r="HB430" t="e">
        <f>'Australia and Oceania'!D212+"$F;@!4x|"</f>
        <v>#VALUE!</v>
      </c>
      <c r="HC430" t="e">
        <f>'Australia and Oceania'!E212+"$F;@!4x}"</f>
        <v>#VALUE!</v>
      </c>
      <c r="HD430" t="e">
        <f>'Australia and Oceania'!F212+"$F;@!4x~"</f>
        <v>#VALUE!</v>
      </c>
      <c r="HE430" t="e">
        <f>'Australia and Oceania'!G212+"$F;@!4y#"</f>
        <v>#VALUE!</v>
      </c>
      <c r="HF430" t="e">
        <f>'Australia and Oceania'!H212+"$F;@!4y$"</f>
        <v>#VALUE!</v>
      </c>
      <c r="HG430" t="e">
        <f>'Australia and Oceania'!A213+"$F;@!4y%"</f>
        <v>#VALUE!</v>
      </c>
      <c r="HH430" t="e">
        <f>'Australia and Oceania'!B213+"$F;@!4y&amp;"</f>
        <v>#VALUE!</v>
      </c>
      <c r="HI430" t="e">
        <f>'Australia and Oceania'!C213+"$F;@!4y'"</f>
        <v>#VALUE!</v>
      </c>
      <c r="HJ430" t="e">
        <f>'Australia and Oceania'!D213+"$F;@!4y("</f>
        <v>#VALUE!</v>
      </c>
      <c r="HK430" t="e">
        <f>'Australia and Oceania'!E213+"$F;@!4y)"</f>
        <v>#VALUE!</v>
      </c>
      <c r="HL430" t="e">
        <f>'Australia and Oceania'!F213+"$F;@!4y."</f>
        <v>#VALUE!</v>
      </c>
      <c r="HM430" t="e">
        <f>'Australia and Oceania'!G213+"$F;@!4y/"</f>
        <v>#VALUE!</v>
      </c>
      <c r="HN430" t="e">
        <f>'Australia and Oceania'!H213+"$F;@!4y0"</f>
        <v>#VALUE!</v>
      </c>
      <c r="HO430" t="e">
        <f>'Australia and Oceania'!A214+"$F;@!4y1"</f>
        <v>#VALUE!</v>
      </c>
      <c r="HP430" t="e">
        <f>'Australia and Oceania'!B214+"$F;@!4y2"</f>
        <v>#VALUE!</v>
      </c>
      <c r="HQ430" t="e">
        <f>'Australia and Oceania'!C214+"$F;@!4y3"</f>
        <v>#VALUE!</v>
      </c>
      <c r="HR430" t="e">
        <f>'Australia and Oceania'!D214+"$F;@!4y4"</f>
        <v>#VALUE!</v>
      </c>
      <c r="HS430" t="e">
        <f>'Australia and Oceania'!E214+"$F;@!4y5"</f>
        <v>#VALUE!</v>
      </c>
      <c r="HT430" t="e">
        <f>'Australia and Oceania'!F214+"$F;@!4y6"</f>
        <v>#VALUE!</v>
      </c>
      <c r="HU430" t="e">
        <f>'Australia and Oceania'!G214+"$F;@!4y7"</f>
        <v>#VALUE!</v>
      </c>
      <c r="HV430" t="e">
        <f>'Australia and Oceania'!H214+"$F;@!4y8"</f>
        <v>#VALUE!</v>
      </c>
      <c r="HW430" t="e">
        <f>'Australia and Oceania'!A215+"$F;@!4y9"</f>
        <v>#VALUE!</v>
      </c>
      <c r="HX430" t="e">
        <f>'Australia and Oceania'!B215+"$F;@!4y:"</f>
        <v>#VALUE!</v>
      </c>
      <c r="HY430" t="e">
        <f>'Australia and Oceania'!C215+"$F;@!4y;"</f>
        <v>#VALUE!</v>
      </c>
      <c r="HZ430" t="e">
        <f>'Australia and Oceania'!D215+"$F;@!4y&lt;"</f>
        <v>#VALUE!</v>
      </c>
      <c r="IA430" t="e">
        <f>'Australia and Oceania'!E215+"$F;@!4y="</f>
        <v>#VALUE!</v>
      </c>
      <c r="IB430" t="e">
        <f>'Australia and Oceania'!F215+"$F;@!4y&gt;"</f>
        <v>#VALUE!</v>
      </c>
      <c r="IC430" t="e">
        <f>'Australia and Oceania'!G215+"$F;@!4y?"</f>
        <v>#VALUE!</v>
      </c>
      <c r="ID430" t="e">
        <f>'Australia and Oceania'!H215+"$F;@!4y@"</f>
        <v>#VALUE!</v>
      </c>
      <c r="IE430" t="e">
        <f>'Australia and Oceania'!A216+"$F;@!4yA"</f>
        <v>#VALUE!</v>
      </c>
      <c r="IF430" t="e">
        <f>'Australia and Oceania'!B216+"$F;@!4yB"</f>
        <v>#VALUE!</v>
      </c>
      <c r="IG430" t="e">
        <f>'Australia and Oceania'!C216+"$F;@!4yC"</f>
        <v>#VALUE!</v>
      </c>
      <c r="IH430" t="e">
        <f>'Australia and Oceania'!D216+"$F;@!4yD"</f>
        <v>#VALUE!</v>
      </c>
      <c r="II430" t="e">
        <f>'Australia and Oceania'!E216+"$F;@!4yE"</f>
        <v>#VALUE!</v>
      </c>
      <c r="IJ430" t="e">
        <f>'Australia and Oceania'!F216+"$F;@!4yF"</f>
        <v>#VALUE!</v>
      </c>
      <c r="IK430" t="e">
        <f>'Australia and Oceania'!G216+"$F;@!4yG"</f>
        <v>#VALUE!</v>
      </c>
      <c r="IL430" t="e">
        <f>'Australia and Oceania'!H216+"$F;@!4yH"</f>
        <v>#VALUE!</v>
      </c>
      <c r="IM430" t="e">
        <f>'Australia and Oceania'!A217+"$F;@!4yI"</f>
        <v>#VALUE!</v>
      </c>
      <c r="IN430" t="e">
        <f>'Australia and Oceania'!B217+"$F;@!4yJ"</f>
        <v>#VALUE!</v>
      </c>
      <c r="IO430" t="e">
        <f>'Australia and Oceania'!C217+"$F;@!4yK"</f>
        <v>#VALUE!</v>
      </c>
      <c r="IP430" t="e">
        <f>'Australia and Oceania'!D217+"$F;@!4yL"</f>
        <v>#VALUE!</v>
      </c>
      <c r="IQ430" t="e">
        <f>'Australia and Oceania'!E217+"$F;@!4yM"</f>
        <v>#VALUE!</v>
      </c>
      <c r="IR430" t="e">
        <f>'Australia and Oceania'!F217+"$F;@!4yN"</f>
        <v>#VALUE!</v>
      </c>
      <c r="IS430" t="e">
        <f>'Australia and Oceania'!G217+"$F;@!4yO"</f>
        <v>#VALUE!</v>
      </c>
      <c r="IT430" t="e">
        <f>'Australia and Oceania'!H217+"$F;@!4yP"</f>
        <v>#VALUE!</v>
      </c>
      <c r="IU430" t="e">
        <f>'Australia and Oceania'!A218+"$F;@!4yQ"</f>
        <v>#VALUE!</v>
      </c>
      <c r="IV430" t="e">
        <f>'Australia and Oceania'!B218+"$F;@!4yR"</f>
        <v>#VALUE!</v>
      </c>
    </row>
    <row r="431" spans="6:256" x14ac:dyDescent="0.35">
      <c r="F431" t="e">
        <f>'Australia and Oceania'!C218+"$F;@!4yS"</f>
        <v>#VALUE!</v>
      </c>
      <c r="G431" t="e">
        <f>'Australia and Oceania'!D218+"$F;@!4yT"</f>
        <v>#VALUE!</v>
      </c>
      <c r="H431" t="e">
        <f>'Australia and Oceania'!E218+"$F;@!4yU"</f>
        <v>#VALUE!</v>
      </c>
      <c r="I431" t="e">
        <f>'Australia and Oceania'!F218+"$F;@!4yV"</f>
        <v>#VALUE!</v>
      </c>
      <c r="J431" t="e">
        <f>'Australia and Oceania'!G218+"$F;@!4yW"</f>
        <v>#VALUE!</v>
      </c>
      <c r="K431" t="e">
        <f>'Australia and Oceania'!H218+"$F;@!4yX"</f>
        <v>#VALUE!</v>
      </c>
      <c r="L431" t="e">
        <f>'Australia and Oceania'!A219+"$F;@!4yY"</f>
        <v>#VALUE!</v>
      </c>
      <c r="M431" t="e">
        <f>'Australia and Oceania'!B219+"$F;@!4yZ"</f>
        <v>#VALUE!</v>
      </c>
      <c r="N431" t="e">
        <f>'Australia and Oceania'!C219+"$F;@!4y["</f>
        <v>#VALUE!</v>
      </c>
      <c r="O431" t="e">
        <f>'Australia and Oceania'!D219+"$F;@!4y\"</f>
        <v>#VALUE!</v>
      </c>
      <c r="P431" t="e">
        <f>'Australia and Oceania'!E219+"$F;@!4y]"</f>
        <v>#VALUE!</v>
      </c>
      <c r="Q431" t="e">
        <f>'Australia and Oceania'!F219+"$F;@!4y^"</f>
        <v>#VALUE!</v>
      </c>
      <c r="R431" t="e">
        <f>'Australia and Oceania'!G219+"$F;@!4y_"</f>
        <v>#VALUE!</v>
      </c>
      <c r="S431" t="e">
        <f>'Australia and Oceania'!H219+"$F;@!4y`"</f>
        <v>#VALUE!</v>
      </c>
      <c r="T431" t="e">
        <f>'Australia and Oceania'!A220+"$F;@!4ya"</f>
        <v>#VALUE!</v>
      </c>
      <c r="U431" t="e">
        <f>'Australia and Oceania'!B220+"$F;@!4yb"</f>
        <v>#VALUE!</v>
      </c>
      <c r="V431" t="e">
        <f>'Australia and Oceania'!C220+"$F;@!4yc"</f>
        <v>#VALUE!</v>
      </c>
      <c r="W431" t="e">
        <f>'Australia and Oceania'!D220+"$F;@!4yd"</f>
        <v>#VALUE!</v>
      </c>
      <c r="X431" t="e">
        <f>'Australia and Oceania'!E220+"$F;@!4ye"</f>
        <v>#VALUE!</v>
      </c>
      <c r="Y431" t="e">
        <f>'Australia and Oceania'!F220+"$F;@!4yf"</f>
        <v>#VALUE!</v>
      </c>
      <c r="Z431" t="e">
        <f>'Australia and Oceania'!G220+"$F;@!4yg"</f>
        <v>#VALUE!</v>
      </c>
      <c r="AA431" t="e">
        <f>'Australia and Oceania'!H220+"$F;@!4yh"</f>
        <v>#VALUE!</v>
      </c>
      <c r="AB431" t="e">
        <f>'Australia and Oceania'!A221+"$F;@!4yi"</f>
        <v>#VALUE!</v>
      </c>
      <c r="AC431" t="e">
        <f>'Australia and Oceania'!B221+"$F;@!4yj"</f>
        <v>#VALUE!</v>
      </c>
      <c r="AD431" t="e">
        <f>'Australia and Oceania'!C221+"$F;@!4yk"</f>
        <v>#VALUE!</v>
      </c>
      <c r="AE431" t="e">
        <f>'Australia and Oceania'!D221+"$F;@!4yl"</f>
        <v>#VALUE!</v>
      </c>
      <c r="AF431" t="e">
        <f>'Australia and Oceania'!E221+"$F;@!4ym"</f>
        <v>#VALUE!</v>
      </c>
      <c r="AG431" t="e">
        <f>'Australia and Oceania'!F221+"$F;@!4yn"</f>
        <v>#VALUE!</v>
      </c>
      <c r="AH431" t="e">
        <f>'Australia and Oceania'!G221+"$F;@!4yo"</f>
        <v>#VALUE!</v>
      </c>
      <c r="AI431" t="e">
        <f>'Australia and Oceania'!H221+"$F;@!4yp"</f>
        <v>#VALUE!</v>
      </c>
      <c r="AJ431" t="e">
        <f>'Australia and Oceania'!A222+"$F;@!4yq"</f>
        <v>#VALUE!</v>
      </c>
      <c r="AK431" t="e">
        <f>'Australia and Oceania'!B222+"$F;@!4yr"</f>
        <v>#VALUE!</v>
      </c>
      <c r="AL431" t="e">
        <f>'Australia and Oceania'!C222+"$F;@!4ys"</f>
        <v>#VALUE!</v>
      </c>
      <c r="AM431" t="e">
        <f>'Australia and Oceania'!D222+"$F;@!4yt"</f>
        <v>#VALUE!</v>
      </c>
      <c r="AN431" t="e">
        <f>'Australia and Oceania'!E222+"$F;@!4yu"</f>
        <v>#VALUE!</v>
      </c>
      <c r="AO431" t="e">
        <f>'Australia and Oceania'!F222+"$F;@!4yv"</f>
        <v>#VALUE!</v>
      </c>
      <c r="AP431" t="e">
        <f>'Australia and Oceania'!G222+"$F;@!4yw"</f>
        <v>#VALUE!</v>
      </c>
      <c r="AQ431" t="e">
        <f>'Australia and Oceania'!H222+"$F;@!4yx"</f>
        <v>#VALUE!</v>
      </c>
      <c r="AR431" t="e">
        <f>'Australia and Oceania'!A223+"$F;@!4yy"</f>
        <v>#VALUE!</v>
      </c>
      <c r="AS431" t="e">
        <f>'Australia and Oceania'!B223+"$F;@!4yz"</f>
        <v>#VALUE!</v>
      </c>
      <c r="AT431" t="e">
        <f>'Australia and Oceania'!C223+"$F;@!4y{"</f>
        <v>#VALUE!</v>
      </c>
      <c r="AU431" t="e">
        <f>'Australia and Oceania'!D223+"$F;@!4y|"</f>
        <v>#VALUE!</v>
      </c>
      <c r="AV431" t="e">
        <f>'Australia and Oceania'!E223+"$F;@!4y}"</f>
        <v>#VALUE!</v>
      </c>
      <c r="AW431" t="e">
        <f>'Australia and Oceania'!F223+"$F;@!4y~"</f>
        <v>#VALUE!</v>
      </c>
      <c r="AX431" t="e">
        <f>'Australia and Oceania'!G223+"$F;@!4z#"</f>
        <v>#VALUE!</v>
      </c>
      <c r="AY431" t="e">
        <f>'Australia and Oceania'!H223+"$F;@!4z$"</f>
        <v>#VALUE!</v>
      </c>
      <c r="AZ431" t="e">
        <f>'Australia and Oceania'!A224+"$F;@!4z%"</f>
        <v>#VALUE!</v>
      </c>
      <c r="BA431" t="e">
        <f>'Australia and Oceania'!B224+"$F;@!4z&amp;"</f>
        <v>#VALUE!</v>
      </c>
      <c r="BB431" t="e">
        <f>'Australia and Oceania'!C224+"$F;@!4z'"</f>
        <v>#VALUE!</v>
      </c>
      <c r="BC431" t="e">
        <f>'Australia and Oceania'!D224+"$F;@!4z("</f>
        <v>#VALUE!</v>
      </c>
      <c r="BD431" t="e">
        <f>'Australia and Oceania'!E224+"$F;@!4z)"</f>
        <v>#VALUE!</v>
      </c>
      <c r="BE431" t="e">
        <f>'Australia and Oceania'!F224+"$F;@!4z."</f>
        <v>#VALUE!</v>
      </c>
      <c r="BF431" t="e">
        <f>'Australia and Oceania'!G224+"$F;@!4z/"</f>
        <v>#VALUE!</v>
      </c>
      <c r="BG431" t="e">
        <f>'Australia and Oceania'!H224+"$F;@!4z0"</f>
        <v>#VALUE!</v>
      </c>
      <c r="BH431" t="e">
        <f>'Australia and Oceania'!A225+"$F;@!4z1"</f>
        <v>#VALUE!</v>
      </c>
      <c r="BI431" t="e">
        <f>'Australia and Oceania'!B225+"$F;@!4z2"</f>
        <v>#VALUE!</v>
      </c>
      <c r="BJ431" t="e">
        <f>'Australia and Oceania'!C225+"$F;@!4z3"</f>
        <v>#VALUE!</v>
      </c>
      <c r="BK431" t="e">
        <f>'Australia and Oceania'!D225+"$F;@!4z4"</f>
        <v>#VALUE!</v>
      </c>
      <c r="BL431" t="e">
        <f>'Australia and Oceania'!E225+"$F;@!4z5"</f>
        <v>#VALUE!</v>
      </c>
      <c r="BM431" t="e">
        <f>'Australia and Oceania'!F225+"$F;@!4z6"</f>
        <v>#VALUE!</v>
      </c>
      <c r="BN431" t="e">
        <f>'Australia and Oceania'!G225+"$F;@!4z7"</f>
        <v>#VALUE!</v>
      </c>
      <c r="BO431" t="e">
        <f>'Australia and Oceania'!H225+"$F;@!4z8"</f>
        <v>#VALUE!</v>
      </c>
      <c r="BP431" t="e">
        <f>'Australia and Oceania'!A226+"$F;@!4z9"</f>
        <v>#VALUE!</v>
      </c>
      <c r="BQ431" t="e">
        <f>'Australia and Oceania'!B226+"$F;@!4z:"</f>
        <v>#VALUE!</v>
      </c>
      <c r="BR431" t="e">
        <f>'Australia and Oceania'!C226+"$F;@!4z;"</f>
        <v>#VALUE!</v>
      </c>
      <c r="BS431" t="e">
        <f>'Australia and Oceania'!D226+"$F;@!4z&lt;"</f>
        <v>#VALUE!</v>
      </c>
      <c r="BT431" t="e">
        <f>'Australia and Oceania'!E226+"$F;@!4z="</f>
        <v>#VALUE!</v>
      </c>
      <c r="BU431" t="e">
        <f>'Australia and Oceania'!F226+"$F;@!4z&gt;"</f>
        <v>#VALUE!</v>
      </c>
      <c r="BV431" t="e">
        <f>'Australia and Oceania'!G226+"$F;@!4z?"</f>
        <v>#VALUE!</v>
      </c>
      <c r="BW431" t="e">
        <f>'Australia and Oceania'!H226+"$F;@!4z@"</f>
        <v>#VALUE!</v>
      </c>
      <c r="BX431" t="e">
        <f>'Australia and Oceania'!A227+"$F;@!4zA"</f>
        <v>#VALUE!</v>
      </c>
      <c r="BY431" t="e">
        <f>'Australia and Oceania'!B227+"$F;@!4zB"</f>
        <v>#VALUE!</v>
      </c>
      <c r="BZ431" t="e">
        <f>'Australia and Oceania'!C227+"$F;@!4zC"</f>
        <v>#VALUE!</v>
      </c>
      <c r="CA431" t="e">
        <f>'Australia and Oceania'!D227+"$F;@!4zD"</f>
        <v>#VALUE!</v>
      </c>
      <c r="CB431" t="e">
        <f>'Australia and Oceania'!E227+"$F;@!4zE"</f>
        <v>#VALUE!</v>
      </c>
      <c r="CC431" t="e">
        <f>'Australia and Oceania'!F227+"$F;@!4zF"</f>
        <v>#VALUE!</v>
      </c>
      <c r="CD431" t="e">
        <f>'Australia and Oceania'!G227+"$F;@!4zG"</f>
        <v>#VALUE!</v>
      </c>
      <c r="CE431" t="e">
        <f>'Australia and Oceania'!H227+"$F;@!4zH"</f>
        <v>#VALUE!</v>
      </c>
      <c r="CF431" t="e">
        <f>'Australia and Oceania'!A228+"$F;@!4zI"</f>
        <v>#VALUE!</v>
      </c>
      <c r="CG431" t="e">
        <f>'Australia and Oceania'!B228+"$F;@!4zJ"</f>
        <v>#VALUE!</v>
      </c>
      <c r="CH431" t="e">
        <f>'Australia and Oceania'!C228+"$F;@!4zK"</f>
        <v>#VALUE!</v>
      </c>
      <c r="CI431" t="e">
        <f>'Australia and Oceania'!D228+"$F;@!4zL"</f>
        <v>#VALUE!</v>
      </c>
      <c r="CJ431" t="e">
        <f>'Australia and Oceania'!E228+"$F;@!4zM"</f>
        <v>#VALUE!</v>
      </c>
      <c r="CK431" t="e">
        <f>'Australia and Oceania'!F228+"$F;@!4zN"</f>
        <v>#VALUE!</v>
      </c>
      <c r="CL431" t="e">
        <f>'Australia and Oceania'!G228+"$F;@!4zO"</f>
        <v>#VALUE!</v>
      </c>
      <c r="CM431" t="e">
        <f>'Australia and Oceania'!H228+"$F;@!4zP"</f>
        <v>#VALUE!</v>
      </c>
      <c r="CN431" t="e">
        <f>'Australia and Oceania'!A229+"$F;@!4zQ"</f>
        <v>#VALUE!</v>
      </c>
      <c r="CO431" t="e">
        <f>'Australia and Oceania'!B229+"$F;@!4zR"</f>
        <v>#VALUE!</v>
      </c>
      <c r="CP431" t="e">
        <f>'Australia and Oceania'!C229+"$F;@!4zS"</f>
        <v>#VALUE!</v>
      </c>
      <c r="CQ431" t="e">
        <f>'Australia and Oceania'!D229+"$F;@!4zT"</f>
        <v>#VALUE!</v>
      </c>
      <c r="CR431" t="e">
        <f>'Australia and Oceania'!E229+"$F;@!4zU"</f>
        <v>#VALUE!</v>
      </c>
      <c r="CS431" t="e">
        <f>'Australia and Oceania'!F229+"$F;@!4zV"</f>
        <v>#VALUE!</v>
      </c>
      <c r="CT431" t="e">
        <f>'Australia and Oceania'!G229+"$F;@!4zW"</f>
        <v>#VALUE!</v>
      </c>
      <c r="CU431" t="e">
        <f>'Australia and Oceania'!H229+"$F;@!4zX"</f>
        <v>#VALUE!</v>
      </c>
      <c r="CV431" t="e">
        <f>'Australia and Oceania'!A230+"$F;@!4zY"</f>
        <v>#VALUE!</v>
      </c>
      <c r="CW431" t="e">
        <f>'Australia and Oceania'!B230+"$F;@!4zZ"</f>
        <v>#VALUE!</v>
      </c>
      <c r="CX431" t="e">
        <f>'Australia and Oceania'!C230+"$F;@!4z["</f>
        <v>#VALUE!</v>
      </c>
      <c r="CY431" t="e">
        <f>'Australia and Oceania'!D230+"$F;@!4z\"</f>
        <v>#VALUE!</v>
      </c>
      <c r="CZ431" t="e">
        <f>'Australia and Oceania'!E230+"$F;@!4z]"</f>
        <v>#VALUE!</v>
      </c>
      <c r="DA431" t="e">
        <f>'Australia and Oceania'!F230+"$F;@!4z^"</f>
        <v>#VALUE!</v>
      </c>
      <c r="DB431" t="e">
        <f>'Australia and Oceania'!G230+"$F;@!4z_"</f>
        <v>#VALUE!</v>
      </c>
      <c r="DC431" t="e">
        <f>'Australia and Oceania'!H230+"$F;@!4z`"</f>
        <v>#VALUE!</v>
      </c>
      <c r="DD431" t="e">
        <f>'Australia and Oceania'!A231+"$F;@!4za"</f>
        <v>#VALUE!</v>
      </c>
      <c r="DE431" t="e">
        <f>'Australia and Oceania'!B231+"$F;@!4zb"</f>
        <v>#VALUE!</v>
      </c>
      <c r="DF431" t="e">
        <f>'Australia and Oceania'!C231+"$F;@!4zc"</f>
        <v>#VALUE!</v>
      </c>
      <c r="DG431" t="e">
        <f>'Australia and Oceania'!D231+"$F;@!4zd"</f>
        <v>#VALUE!</v>
      </c>
      <c r="DH431" t="e">
        <f>'Australia and Oceania'!E231+"$F;@!4ze"</f>
        <v>#VALUE!</v>
      </c>
      <c r="DI431" t="e">
        <f>'Australia and Oceania'!F231+"$F;@!4zf"</f>
        <v>#VALUE!</v>
      </c>
      <c r="DJ431" t="e">
        <f>'Australia and Oceania'!G231+"$F;@!4zg"</f>
        <v>#VALUE!</v>
      </c>
      <c r="DK431" t="e">
        <f>'Australia and Oceania'!H231+"$F;@!4zh"</f>
        <v>#VALUE!</v>
      </c>
      <c r="DL431" t="e">
        <f>'Australia and Oceania'!A232+"$F;@!4zi"</f>
        <v>#VALUE!</v>
      </c>
      <c r="DM431" t="e">
        <f>'Australia and Oceania'!B232+"$F;@!4zj"</f>
        <v>#VALUE!</v>
      </c>
      <c r="DN431" t="e">
        <f>'Australia and Oceania'!C232+"$F;@!4zk"</f>
        <v>#VALUE!</v>
      </c>
      <c r="DO431" t="e">
        <f>'Australia and Oceania'!D232+"$F;@!4zl"</f>
        <v>#VALUE!</v>
      </c>
      <c r="DP431" t="e">
        <f>'Australia and Oceania'!E232+"$F;@!4zm"</f>
        <v>#VALUE!</v>
      </c>
      <c r="DQ431" t="e">
        <f>'Australia and Oceania'!F232+"$F;@!4zn"</f>
        <v>#VALUE!</v>
      </c>
      <c r="DR431" t="e">
        <f>'Australia and Oceania'!G232+"$F;@!4zo"</f>
        <v>#VALUE!</v>
      </c>
      <c r="DS431" t="e">
        <f>'Australia and Oceania'!H232+"$F;@!4zp"</f>
        <v>#VALUE!</v>
      </c>
      <c r="DT431" t="e">
        <f>'Australia and Oceania'!A233+"$F;@!4zq"</f>
        <v>#VALUE!</v>
      </c>
      <c r="DU431" t="e">
        <f>'Australia and Oceania'!B233+"$F;@!4zr"</f>
        <v>#VALUE!</v>
      </c>
      <c r="DV431" t="e">
        <f>'Australia and Oceania'!C233+"$F;@!4zs"</f>
        <v>#VALUE!</v>
      </c>
      <c r="DW431" t="e">
        <f>'Australia and Oceania'!D233+"$F;@!4zt"</f>
        <v>#VALUE!</v>
      </c>
      <c r="DX431" t="e">
        <f>'Australia and Oceania'!E233+"$F;@!4zu"</f>
        <v>#VALUE!</v>
      </c>
      <c r="DY431" t="e">
        <f>'Australia and Oceania'!F233+"$F;@!4zv"</f>
        <v>#VALUE!</v>
      </c>
      <c r="DZ431" t="e">
        <f>'Australia and Oceania'!G233+"$F;@!4zw"</f>
        <v>#VALUE!</v>
      </c>
      <c r="EA431" t="e">
        <f>'Australia and Oceania'!H233+"$F;@!4zx"</f>
        <v>#VALUE!</v>
      </c>
      <c r="EB431" t="e">
        <f>'Australia and Oceania'!A234+"$F;@!4zy"</f>
        <v>#VALUE!</v>
      </c>
      <c r="EC431" t="e">
        <f>'Australia and Oceania'!B234+"$F;@!4zz"</f>
        <v>#VALUE!</v>
      </c>
      <c r="ED431" t="e">
        <f>'Australia and Oceania'!C234+"$F;@!4z{"</f>
        <v>#VALUE!</v>
      </c>
      <c r="EE431" t="e">
        <f>'Australia and Oceania'!D234+"$F;@!4z|"</f>
        <v>#VALUE!</v>
      </c>
      <c r="EF431" t="e">
        <f>'Australia and Oceania'!E234+"$F;@!4z}"</f>
        <v>#VALUE!</v>
      </c>
      <c r="EG431" t="e">
        <f>'Australia and Oceania'!F234+"$F;@!4z~"</f>
        <v>#VALUE!</v>
      </c>
      <c r="EH431" t="e">
        <f>'Australia and Oceania'!G234+"$F;@!4{#"</f>
        <v>#VALUE!</v>
      </c>
      <c r="EI431" t="e">
        <f>'Australia and Oceania'!H234+"$F;@!4{$"</f>
        <v>#VALUE!</v>
      </c>
      <c r="EJ431" t="e">
        <f>'Australia and Oceania'!A235+"$F;@!4{%"</f>
        <v>#VALUE!</v>
      </c>
      <c r="EK431" t="e">
        <f>'Australia and Oceania'!B235+"$F;@!4{&amp;"</f>
        <v>#VALUE!</v>
      </c>
      <c r="EL431" t="e">
        <f>'Australia and Oceania'!C235+"$F;@!4{'"</f>
        <v>#VALUE!</v>
      </c>
      <c r="EM431" t="e">
        <f>'Australia and Oceania'!D235+"$F;@!4{("</f>
        <v>#VALUE!</v>
      </c>
      <c r="EN431" t="e">
        <f>'Australia and Oceania'!E235+"$F;@!4{)"</f>
        <v>#VALUE!</v>
      </c>
      <c r="EO431" t="e">
        <f>'Australia and Oceania'!F235+"$F;@!4{."</f>
        <v>#VALUE!</v>
      </c>
      <c r="EP431" t="e">
        <f>'Australia and Oceania'!G235+"$F;@!4{/"</f>
        <v>#VALUE!</v>
      </c>
      <c r="EQ431" t="e">
        <f>'Australia and Oceania'!H235+"$F;@!4{0"</f>
        <v>#VALUE!</v>
      </c>
      <c r="ER431" t="e">
        <f>'Australia and Oceania'!A236+"$F;@!4{1"</f>
        <v>#VALUE!</v>
      </c>
      <c r="ES431" t="e">
        <f>'Australia and Oceania'!B236+"$F;@!4{2"</f>
        <v>#VALUE!</v>
      </c>
      <c r="ET431" t="e">
        <f>'Australia and Oceania'!C236+"$F;@!4{3"</f>
        <v>#VALUE!</v>
      </c>
      <c r="EU431" t="e">
        <f>'Australia and Oceania'!D236+"$F;@!4{4"</f>
        <v>#VALUE!</v>
      </c>
      <c r="EV431" t="e">
        <f>'Australia and Oceania'!E236+"$F;@!4{5"</f>
        <v>#VALUE!</v>
      </c>
      <c r="EW431" t="e">
        <f>'Australia and Oceania'!F236+"$F;@!4{6"</f>
        <v>#VALUE!</v>
      </c>
      <c r="EX431" t="e">
        <f>'Australia and Oceania'!G236+"$F;@!4{7"</f>
        <v>#VALUE!</v>
      </c>
      <c r="EY431" t="e">
        <f>'Australia and Oceania'!H236+"$F;@!4{8"</f>
        <v>#VALUE!</v>
      </c>
      <c r="EZ431" t="e">
        <f>'Australia and Oceania'!A237+"$F;@!4{9"</f>
        <v>#VALUE!</v>
      </c>
      <c r="FA431" t="e">
        <f>'Australia and Oceania'!B237+"$F;@!4{:"</f>
        <v>#VALUE!</v>
      </c>
      <c r="FB431" t="e">
        <f>'Australia and Oceania'!C237+"$F;@!4{;"</f>
        <v>#VALUE!</v>
      </c>
      <c r="FC431" t="e">
        <f>'Australia and Oceania'!D237+"$F;@!4{&lt;"</f>
        <v>#VALUE!</v>
      </c>
      <c r="FD431" t="e">
        <f>'Australia and Oceania'!E237+"$F;@!4{="</f>
        <v>#VALUE!</v>
      </c>
      <c r="FE431" t="e">
        <f>'Australia and Oceania'!F237+"$F;@!4{&gt;"</f>
        <v>#VALUE!</v>
      </c>
      <c r="FF431" t="e">
        <f>'Australia and Oceania'!G237+"$F;@!4{?"</f>
        <v>#VALUE!</v>
      </c>
      <c r="FG431" t="e">
        <f>'Australia and Oceania'!H237+"$F;@!4{@"</f>
        <v>#VALUE!</v>
      </c>
      <c r="FH431" t="e">
        <f>'Australia and Oceania'!A238+"$F;@!4{A"</f>
        <v>#VALUE!</v>
      </c>
      <c r="FI431" t="e">
        <f>'Australia and Oceania'!B238+"$F;@!4{B"</f>
        <v>#VALUE!</v>
      </c>
      <c r="FJ431" t="e">
        <f>'Australia and Oceania'!C238+"$F;@!4{C"</f>
        <v>#VALUE!</v>
      </c>
      <c r="FK431" t="e">
        <f>'Australia and Oceania'!D238+"$F;@!4{D"</f>
        <v>#VALUE!</v>
      </c>
      <c r="FL431" t="e">
        <f>'Australia and Oceania'!E238+"$F;@!4{E"</f>
        <v>#VALUE!</v>
      </c>
      <c r="FM431" t="e">
        <f>'Australia and Oceania'!F238+"$F;@!4{F"</f>
        <v>#VALUE!</v>
      </c>
      <c r="FN431" t="e">
        <f>'Australia and Oceania'!G238+"$F;@!4{G"</f>
        <v>#VALUE!</v>
      </c>
      <c r="FO431" t="e">
        <f>'Australia and Oceania'!H238+"$F;@!4{H"</f>
        <v>#VALUE!</v>
      </c>
      <c r="FP431" t="e">
        <f>'Australia and Oceania'!A239+"$F;@!4{I"</f>
        <v>#VALUE!</v>
      </c>
      <c r="FQ431" t="e">
        <f>'Australia and Oceania'!B239+"$F;@!4{J"</f>
        <v>#VALUE!</v>
      </c>
      <c r="FR431" t="e">
        <f>'Australia and Oceania'!C239+"$F;@!4{K"</f>
        <v>#VALUE!</v>
      </c>
      <c r="FS431" t="e">
        <f>'Australia and Oceania'!D239+"$F;@!4{L"</f>
        <v>#VALUE!</v>
      </c>
      <c r="FT431" t="e">
        <f>'Australia and Oceania'!E239+"$F;@!4{M"</f>
        <v>#VALUE!</v>
      </c>
      <c r="FU431" t="e">
        <f>'Australia and Oceania'!F239+"$F;@!4{N"</f>
        <v>#VALUE!</v>
      </c>
      <c r="FV431" t="e">
        <f>'Australia and Oceania'!G239+"$F;@!4{O"</f>
        <v>#VALUE!</v>
      </c>
      <c r="FW431" t="e">
        <f>'Australia and Oceania'!H239+"$F;@!4{P"</f>
        <v>#VALUE!</v>
      </c>
      <c r="FX431" t="e">
        <f>'Australia and Oceania'!A240+"$F;@!4{Q"</f>
        <v>#VALUE!</v>
      </c>
      <c r="FY431" t="e">
        <f>'Australia and Oceania'!B240+"$F;@!4{R"</f>
        <v>#VALUE!</v>
      </c>
      <c r="FZ431" t="e">
        <f>'Australia and Oceania'!C240+"$F;@!4{S"</f>
        <v>#VALUE!</v>
      </c>
      <c r="GA431" t="e">
        <f>'Australia and Oceania'!D240+"$F;@!4{T"</f>
        <v>#VALUE!</v>
      </c>
      <c r="GB431" t="e">
        <f>'Australia and Oceania'!E240+"$F;@!4{U"</f>
        <v>#VALUE!</v>
      </c>
      <c r="GC431" t="e">
        <f>'Australia and Oceania'!F240+"$F;@!4{V"</f>
        <v>#VALUE!</v>
      </c>
      <c r="GD431" t="e">
        <f>'Australia and Oceania'!G240+"$F;@!4{W"</f>
        <v>#VALUE!</v>
      </c>
      <c r="GE431" t="e">
        <f>'Australia and Oceania'!H240+"$F;@!4{X"</f>
        <v>#VALUE!</v>
      </c>
      <c r="GF431" t="e">
        <f>'Australia and Oceania'!A241+"$F;@!4{Y"</f>
        <v>#VALUE!</v>
      </c>
      <c r="GG431" t="e">
        <f>'Australia and Oceania'!B241+"$F;@!4{Z"</f>
        <v>#VALUE!</v>
      </c>
      <c r="GH431" t="e">
        <f>'Australia and Oceania'!C241+"$F;@!4{["</f>
        <v>#VALUE!</v>
      </c>
      <c r="GI431" t="e">
        <f>'Australia and Oceania'!D241+"$F;@!4{\"</f>
        <v>#VALUE!</v>
      </c>
      <c r="GJ431" t="e">
        <f>'Australia and Oceania'!E241+"$F;@!4{]"</f>
        <v>#VALUE!</v>
      </c>
      <c r="GK431" t="e">
        <f>'Australia and Oceania'!F241+"$F;@!4{^"</f>
        <v>#VALUE!</v>
      </c>
      <c r="GL431" t="e">
        <f>'Australia and Oceania'!G241+"$F;@!4{_"</f>
        <v>#VALUE!</v>
      </c>
      <c r="GM431" t="e">
        <f>'Australia and Oceania'!H241+"$F;@!4{`"</f>
        <v>#VALUE!</v>
      </c>
      <c r="GN431" t="e">
        <f>'Australia and Oceania'!A242+"$F;@!4{a"</f>
        <v>#VALUE!</v>
      </c>
      <c r="GO431" t="e">
        <f>'Australia and Oceania'!B242+"$F;@!4{b"</f>
        <v>#VALUE!</v>
      </c>
      <c r="GP431" t="e">
        <f>'Australia and Oceania'!C242+"$F;@!4{c"</f>
        <v>#VALUE!</v>
      </c>
      <c r="GQ431" t="e">
        <f>'Australia and Oceania'!D242+"$F;@!4{d"</f>
        <v>#VALUE!</v>
      </c>
      <c r="GR431" t="e">
        <f>'Australia and Oceania'!E242+"$F;@!4{e"</f>
        <v>#VALUE!</v>
      </c>
      <c r="GS431" t="e">
        <f>'Australia and Oceania'!F242+"$F;@!4{f"</f>
        <v>#VALUE!</v>
      </c>
      <c r="GT431" t="e">
        <f>'Australia and Oceania'!G242+"$F;@!4{g"</f>
        <v>#VALUE!</v>
      </c>
      <c r="GU431" t="e">
        <f>'Australia and Oceania'!H242+"$F;@!4{h"</f>
        <v>#VALUE!</v>
      </c>
      <c r="GV431" t="e">
        <f>'Australia and Oceania'!A243+"$F;@!4{i"</f>
        <v>#VALUE!</v>
      </c>
      <c r="GW431" t="e">
        <f>'Australia and Oceania'!B243+"$F;@!4{j"</f>
        <v>#VALUE!</v>
      </c>
      <c r="GX431" t="e">
        <f>'Australia and Oceania'!C243+"$F;@!4{k"</f>
        <v>#VALUE!</v>
      </c>
      <c r="GY431" t="e">
        <f>'Australia and Oceania'!D243+"$F;@!4{l"</f>
        <v>#VALUE!</v>
      </c>
      <c r="GZ431" t="e">
        <f>'Australia and Oceania'!E243+"$F;@!4{m"</f>
        <v>#VALUE!</v>
      </c>
      <c r="HA431" t="e">
        <f>'Australia and Oceania'!F243+"$F;@!4{n"</f>
        <v>#VALUE!</v>
      </c>
      <c r="HB431" t="e">
        <f>'Australia and Oceania'!G243+"$F;@!4{o"</f>
        <v>#VALUE!</v>
      </c>
      <c r="HC431" t="e">
        <f>'Australia and Oceania'!H243+"$F;@!4{p"</f>
        <v>#VALUE!</v>
      </c>
      <c r="HD431" t="e">
        <f>'Australia and Oceania'!A244+"$F;@!4{q"</f>
        <v>#VALUE!</v>
      </c>
      <c r="HE431" t="e">
        <f>'Australia and Oceania'!B244+"$F;@!4{r"</f>
        <v>#VALUE!</v>
      </c>
      <c r="HF431" t="e">
        <f>'Australia and Oceania'!C244+"$F;@!4{s"</f>
        <v>#VALUE!</v>
      </c>
      <c r="HG431" t="e">
        <f>'Australia and Oceania'!D244+"$F;@!4{t"</f>
        <v>#VALUE!</v>
      </c>
      <c r="HH431" t="e">
        <f>'Australia and Oceania'!E244+"$F;@!4{u"</f>
        <v>#VALUE!</v>
      </c>
      <c r="HI431" t="e">
        <f>'Australia and Oceania'!F244+"$F;@!4{v"</f>
        <v>#VALUE!</v>
      </c>
      <c r="HJ431" t="e">
        <f>'Australia and Oceania'!G244+"$F;@!4{w"</f>
        <v>#VALUE!</v>
      </c>
      <c r="HK431" t="e">
        <f>'Australia and Oceania'!H244+"$F;@!4{x"</f>
        <v>#VALUE!</v>
      </c>
      <c r="HL431" t="e">
        <f>'Australia and Oceania'!A245+"$F;@!4{y"</f>
        <v>#VALUE!</v>
      </c>
      <c r="HM431" t="e">
        <f>'Australia and Oceania'!B245+"$F;@!4{z"</f>
        <v>#VALUE!</v>
      </c>
      <c r="HN431" t="e">
        <f>'Australia and Oceania'!C245+"$F;@!4{{"</f>
        <v>#VALUE!</v>
      </c>
      <c r="HO431" t="e">
        <f>'Australia and Oceania'!D245+"$F;@!4{|"</f>
        <v>#VALUE!</v>
      </c>
      <c r="HP431" t="e">
        <f>'Australia and Oceania'!E245+"$F;@!4{}"</f>
        <v>#VALUE!</v>
      </c>
      <c r="HQ431" t="e">
        <f>'Australia and Oceania'!F245+"$F;@!4{~"</f>
        <v>#VALUE!</v>
      </c>
      <c r="HR431" t="e">
        <f>'Australia and Oceania'!G245+"$F;@!4|#"</f>
        <v>#VALUE!</v>
      </c>
      <c r="HS431" t="e">
        <f>'Australia and Oceania'!H245+"$F;@!4|$"</f>
        <v>#VALUE!</v>
      </c>
      <c r="HT431" t="e">
        <f>'Australia and Oceania'!A246+"$F;@!4|%"</f>
        <v>#VALUE!</v>
      </c>
      <c r="HU431" t="e">
        <f>'Australia and Oceania'!B246+"$F;@!4|&amp;"</f>
        <v>#VALUE!</v>
      </c>
      <c r="HV431" t="e">
        <f>'Australia and Oceania'!C246+"$F;@!4|'"</f>
        <v>#VALUE!</v>
      </c>
      <c r="HW431" t="e">
        <f>'Australia and Oceania'!D246+"$F;@!4|("</f>
        <v>#VALUE!</v>
      </c>
      <c r="HX431" t="e">
        <f>'Australia and Oceania'!E246+"$F;@!4|)"</f>
        <v>#VALUE!</v>
      </c>
      <c r="HY431" t="e">
        <f>'Australia and Oceania'!F246+"$F;@!4|."</f>
        <v>#VALUE!</v>
      </c>
      <c r="HZ431" t="e">
        <f>'Australia and Oceania'!G246+"$F;@!4|/"</f>
        <v>#VALUE!</v>
      </c>
      <c r="IA431" t="e">
        <f>'Australia and Oceania'!H246+"$F;@!4|0"</f>
        <v>#VALUE!</v>
      </c>
      <c r="IB431" t="e">
        <f>'Australia and Oceania'!A247+"$F;@!4|1"</f>
        <v>#VALUE!</v>
      </c>
      <c r="IC431" t="e">
        <f>'Australia and Oceania'!B247+"$F;@!4|2"</f>
        <v>#VALUE!</v>
      </c>
      <c r="ID431" t="e">
        <f>'Australia and Oceania'!C247+"$F;@!4|3"</f>
        <v>#VALUE!</v>
      </c>
      <c r="IE431" t="e">
        <f>'Australia and Oceania'!D247+"$F;@!4|4"</f>
        <v>#VALUE!</v>
      </c>
      <c r="IF431" t="e">
        <f>'Australia and Oceania'!E247+"$F;@!4|5"</f>
        <v>#VALUE!</v>
      </c>
      <c r="IG431" t="e">
        <f>'Australia and Oceania'!F247+"$F;@!4|6"</f>
        <v>#VALUE!</v>
      </c>
      <c r="IH431" t="e">
        <f>'Australia and Oceania'!G247+"$F;@!4|7"</f>
        <v>#VALUE!</v>
      </c>
      <c r="II431" t="e">
        <f>'Australia and Oceania'!H247+"$F;@!4|8"</f>
        <v>#VALUE!</v>
      </c>
      <c r="IJ431" t="e">
        <f>'Australia and Oceania'!A248+"$F;@!4|9"</f>
        <v>#VALUE!</v>
      </c>
      <c r="IK431" t="e">
        <f>'Australia and Oceania'!B248+"$F;@!4|:"</f>
        <v>#VALUE!</v>
      </c>
      <c r="IL431" t="e">
        <f>'Australia and Oceania'!C248+"$F;@!4|;"</f>
        <v>#VALUE!</v>
      </c>
      <c r="IM431" t="e">
        <f>'Australia and Oceania'!D248+"$F;@!4|&lt;"</f>
        <v>#VALUE!</v>
      </c>
      <c r="IN431" t="e">
        <f>'Australia and Oceania'!E248+"$F;@!4|="</f>
        <v>#VALUE!</v>
      </c>
      <c r="IO431" t="e">
        <f>'Australia and Oceania'!F248+"$F;@!4|&gt;"</f>
        <v>#VALUE!</v>
      </c>
      <c r="IP431" t="e">
        <f>'Australia and Oceania'!G248+"$F;@!4|?"</f>
        <v>#VALUE!</v>
      </c>
      <c r="IQ431" t="e">
        <f>'Australia and Oceania'!H248+"$F;@!4|@"</f>
        <v>#VALUE!</v>
      </c>
      <c r="IR431" t="e">
        <f>'Australia and Oceania'!A249+"$F;@!4|A"</f>
        <v>#VALUE!</v>
      </c>
      <c r="IS431" t="e">
        <f>'Australia and Oceania'!B249+"$F;@!4|B"</f>
        <v>#VALUE!</v>
      </c>
      <c r="IT431" t="e">
        <f>'Australia and Oceania'!C249+"$F;@!4|C"</f>
        <v>#VALUE!</v>
      </c>
      <c r="IU431" t="e">
        <f>'Australia and Oceania'!D249+"$F;@!4|D"</f>
        <v>#VALUE!</v>
      </c>
      <c r="IV431" t="e">
        <f>'Australia and Oceania'!E249+"$F;@!4|E"</f>
        <v>#VALUE!</v>
      </c>
    </row>
    <row r="432" spans="6:256" x14ac:dyDescent="0.35">
      <c r="F432" t="e">
        <f>'Australia and Oceania'!F249+"$F;@!4|F"</f>
        <v>#VALUE!</v>
      </c>
      <c r="G432" t="e">
        <f>'Australia and Oceania'!G249+"$F;@!4|G"</f>
        <v>#VALUE!</v>
      </c>
      <c r="H432" t="e">
        <f>'Australia and Oceania'!H249+"$F;@!4|H"</f>
        <v>#VALUE!</v>
      </c>
      <c r="I432" t="e">
        <f>'Australia and Oceania'!A250+"$F;@!4|I"</f>
        <v>#VALUE!</v>
      </c>
      <c r="J432" t="e">
        <f>'Australia and Oceania'!B250+"$F;@!4|J"</f>
        <v>#VALUE!</v>
      </c>
      <c r="K432" t="e">
        <f>'Australia and Oceania'!C250+"$F;@!4|K"</f>
        <v>#VALUE!</v>
      </c>
      <c r="L432" t="e">
        <f>'Australia and Oceania'!D250+"$F;@!4|L"</f>
        <v>#VALUE!</v>
      </c>
      <c r="M432" t="e">
        <f>'Australia and Oceania'!E250+"$F;@!4|M"</f>
        <v>#VALUE!</v>
      </c>
      <c r="N432" t="e">
        <f>'Australia and Oceania'!F250+"$F;@!4|N"</f>
        <v>#VALUE!</v>
      </c>
      <c r="O432" t="e">
        <f>'Australia and Oceania'!G250+"$F;@!4|O"</f>
        <v>#VALUE!</v>
      </c>
      <c r="P432" t="e">
        <f>'Australia and Oceania'!H250+"$F;@!4|P"</f>
        <v>#VALUE!</v>
      </c>
      <c r="Q432" t="e">
        <f>'Australia and Oceania'!A251+"$F;@!4|Q"</f>
        <v>#VALUE!</v>
      </c>
      <c r="R432" t="e">
        <f>'Australia and Oceania'!B251+"$F;@!4|R"</f>
        <v>#VALUE!</v>
      </c>
      <c r="S432" t="e">
        <f>'Australia and Oceania'!C251+"$F;@!4|S"</f>
        <v>#VALUE!</v>
      </c>
      <c r="T432" t="e">
        <f>'Australia and Oceania'!D251+"$F;@!4|T"</f>
        <v>#VALUE!</v>
      </c>
      <c r="U432" t="e">
        <f>'Australia and Oceania'!E251+"$F;@!4|U"</f>
        <v>#VALUE!</v>
      </c>
      <c r="V432" t="e">
        <f>'Australia and Oceania'!F251+"$F;@!4|V"</f>
        <v>#VALUE!</v>
      </c>
      <c r="W432" t="e">
        <f>'Australia and Oceania'!G251+"$F;@!4|W"</f>
        <v>#VALUE!</v>
      </c>
      <c r="X432" t="e">
        <f>'Australia and Oceania'!H251+"$F;@!4|X"</f>
        <v>#VALUE!</v>
      </c>
      <c r="Y432" t="e">
        <f>'Australia and Oceania'!A252+"$F;@!4|Y"</f>
        <v>#VALUE!</v>
      </c>
      <c r="Z432" t="e">
        <f>'Australia and Oceania'!B252+"$F;@!4|Z"</f>
        <v>#VALUE!</v>
      </c>
      <c r="AA432" t="e">
        <f>'Australia and Oceania'!C252+"$F;@!4|["</f>
        <v>#VALUE!</v>
      </c>
      <c r="AB432" t="e">
        <f>'Australia and Oceania'!D252+"$F;@!4|\"</f>
        <v>#VALUE!</v>
      </c>
      <c r="AC432" t="e">
        <f>'Australia and Oceania'!E252+"$F;@!4|]"</f>
        <v>#VALUE!</v>
      </c>
      <c r="AD432" t="e">
        <f>'Australia and Oceania'!F252+"$F;@!4|^"</f>
        <v>#VALUE!</v>
      </c>
      <c r="AE432" t="e">
        <f>'Australia and Oceania'!G252+"$F;@!4|_"</f>
        <v>#VALUE!</v>
      </c>
      <c r="AF432" t="e">
        <f>'Australia and Oceania'!H252+"$F;@!4|`"</f>
        <v>#VALUE!</v>
      </c>
      <c r="AG432" t="e">
        <f>'Australia and Oceania'!A253+"$F;@!4|a"</f>
        <v>#VALUE!</v>
      </c>
      <c r="AH432" t="e">
        <f>'Australia and Oceania'!B253+"$F;@!4|b"</f>
        <v>#VALUE!</v>
      </c>
      <c r="AI432" t="e">
        <f>'Australia and Oceania'!C253+"$F;@!4|c"</f>
        <v>#VALUE!</v>
      </c>
      <c r="AJ432" t="e">
        <f>'Australia and Oceania'!D253+"$F;@!4|d"</f>
        <v>#VALUE!</v>
      </c>
      <c r="AK432" t="e">
        <f>'Australia and Oceania'!E253+"$F;@!4|e"</f>
        <v>#VALUE!</v>
      </c>
      <c r="AL432" t="e">
        <f>'Australia and Oceania'!F253+"$F;@!4|f"</f>
        <v>#VALUE!</v>
      </c>
      <c r="AM432" t="e">
        <f>'Australia and Oceania'!G253+"$F;@!4|g"</f>
        <v>#VALUE!</v>
      </c>
      <c r="AN432" t="e">
        <f>'Australia and Oceania'!H253+"$F;@!4|h"</f>
        <v>#VALUE!</v>
      </c>
      <c r="AO432" t="e">
        <f>'Australia and Oceania'!A254+"$F;@!4|i"</f>
        <v>#VALUE!</v>
      </c>
      <c r="AP432" t="e">
        <f>'Australia and Oceania'!B254+"$F;@!4|j"</f>
        <v>#VALUE!</v>
      </c>
      <c r="AQ432" t="e">
        <f>'Australia and Oceania'!C254+"$F;@!4|k"</f>
        <v>#VALUE!</v>
      </c>
      <c r="AR432" t="e">
        <f>'Australia and Oceania'!D254+"$F;@!4|l"</f>
        <v>#VALUE!</v>
      </c>
      <c r="AS432" t="e">
        <f>'Australia and Oceania'!E254+"$F;@!4|m"</f>
        <v>#VALUE!</v>
      </c>
      <c r="AT432" t="e">
        <f>'Australia and Oceania'!F254+"$F;@!4|n"</f>
        <v>#VALUE!</v>
      </c>
      <c r="AU432" t="e">
        <f>'Australia and Oceania'!G254+"$F;@!4|o"</f>
        <v>#VALUE!</v>
      </c>
      <c r="AV432" t="e">
        <f>'Australia and Oceania'!H254+"$F;@!4|p"</f>
        <v>#VALUE!</v>
      </c>
      <c r="AW432" t="e">
        <f>'Australia and Oceania'!A255+"$F;@!4|q"</f>
        <v>#VALUE!</v>
      </c>
      <c r="AX432" t="e">
        <f>'Australia and Oceania'!B255+"$F;@!4|r"</f>
        <v>#VALUE!</v>
      </c>
      <c r="AY432" t="e">
        <f>'Australia and Oceania'!C255+"$F;@!4|s"</f>
        <v>#VALUE!</v>
      </c>
      <c r="AZ432" t="e">
        <f>'Australia and Oceania'!D255+"$F;@!4|t"</f>
        <v>#VALUE!</v>
      </c>
      <c r="BA432" t="e">
        <f>'Australia and Oceania'!E255+"$F;@!4|u"</f>
        <v>#VALUE!</v>
      </c>
      <c r="BB432" t="e">
        <f>'Australia and Oceania'!F255+"$F;@!4|v"</f>
        <v>#VALUE!</v>
      </c>
      <c r="BC432" t="e">
        <f>'Australia and Oceania'!G255+"$F;@!4|w"</f>
        <v>#VALUE!</v>
      </c>
      <c r="BD432" t="e">
        <f>'Australia and Oceania'!H255+"$F;@!4|x"</f>
        <v>#VALUE!</v>
      </c>
      <c r="BE432" t="e">
        <f>'Australia and Oceania'!A256+"$F;@!4|y"</f>
        <v>#VALUE!</v>
      </c>
      <c r="BF432" t="e">
        <f>'Australia and Oceania'!B256+"$F;@!4|z"</f>
        <v>#VALUE!</v>
      </c>
      <c r="BG432" t="e">
        <f>'Australia and Oceania'!C256+"$F;@!4|{"</f>
        <v>#VALUE!</v>
      </c>
      <c r="BH432" t="e">
        <f>'Australia and Oceania'!D256+"$F;@!4||"</f>
        <v>#VALUE!</v>
      </c>
      <c r="BI432" t="e">
        <f>'Australia and Oceania'!E256+"$F;@!4|}"</f>
        <v>#VALUE!</v>
      </c>
      <c r="BJ432" t="e">
        <f>'Australia and Oceania'!F256+"$F;@!4|~"</f>
        <v>#VALUE!</v>
      </c>
      <c r="BK432" t="e">
        <f>'Australia and Oceania'!G256+"$F;@!4}#"</f>
        <v>#VALUE!</v>
      </c>
      <c r="BL432" t="e">
        <f>'Australia and Oceania'!H256+"$F;@!4}$"</f>
        <v>#VALUE!</v>
      </c>
      <c r="BM432" t="e">
        <f>'Australia and Oceania'!A257+"$F;@!4}%"</f>
        <v>#VALUE!</v>
      </c>
      <c r="BN432" t="e">
        <f>'Australia and Oceania'!B257+"$F;@!4}&amp;"</f>
        <v>#VALUE!</v>
      </c>
      <c r="BO432" t="e">
        <f>'Australia and Oceania'!C257+"$F;@!4}'"</f>
        <v>#VALUE!</v>
      </c>
      <c r="BP432" t="e">
        <f>'Australia and Oceania'!D257+"$F;@!4}("</f>
        <v>#VALUE!</v>
      </c>
      <c r="BQ432" t="e">
        <f>'Australia and Oceania'!E257+"$F;@!4})"</f>
        <v>#VALUE!</v>
      </c>
      <c r="BR432" t="e">
        <f>'Australia and Oceania'!F257+"$F;@!4}."</f>
        <v>#VALUE!</v>
      </c>
      <c r="BS432" t="e">
        <f>'Australia and Oceania'!G257+"$F;@!4}/"</f>
        <v>#VALUE!</v>
      </c>
      <c r="BT432" t="e">
        <f>'Australia and Oceania'!H257+"$F;@!4}0"</f>
        <v>#VALUE!</v>
      </c>
      <c r="BU432" t="e">
        <f>'Australia and Oceania'!A258+"$F;@!4}1"</f>
        <v>#VALUE!</v>
      </c>
      <c r="BV432" t="e">
        <f>'Australia and Oceania'!B258+"$F;@!4}2"</f>
        <v>#VALUE!</v>
      </c>
      <c r="BW432" t="e">
        <f>'Australia and Oceania'!C258+"$F;@!4}3"</f>
        <v>#VALUE!</v>
      </c>
      <c r="BX432" t="e">
        <f>'Australia and Oceania'!D258+"$F;@!4}4"</f>
        <v>#VALUE!</v>
      </c>
      <c r="BY432" t="e">
        <f>'Australia and Oceania'!E258+"$F;@!4}5"</f>
        <v>#VALUE!</v>
      </c>
      <c r="BZ432" t="e">
        <f>'Australia and Oceania'!F258+"$F;@!4}6"</f>
        <v>#VALUE!</v>
      </c>
      <c r="CA432" t="e">
        <f>'Australia and Oceania'!G258+"$F;@!4}7"</f>
        <v>#VALUE!</v>
      </c>
      <c r="CB432" t="e">
        <f>'Australia and Oceania'!H258+"$F;@!4}8"</f>
        <v>#VALUE!</v>
      </c>
      <c r="CC432" t="e">
        <f>'Australia and Oceania'!A259+"$F;@!4}9"</f>
        <v>#VALUE!</v>
      </c>
      <c r="CD432" t="e">
        <f>'Australia and Oceania'!B259+"$F;@!4}:"</f>
        <v>#VALUE!</v>
      </c>
      <c r="CE432" t="e">
        <f>'Australia and Oceania'!C259+"$F;@!4};"</f>
        <v>#VALUE!</v>
      </c>
      <c r="CF432" t="e">
        <f>'Australia and Oceania'!D259+"$F;@!4}&lt;"</f>
        <v>#VALUE!</v>
      </c>
      <c r="CG432" t="e">
        <f>'Australia and Oceania'!E259+"$F;@!4}="</f>
        <v>#VALUE!</v>
      </c>
      <c r="CH432" t="e">
        <f>'Australia and Oceania'!F259+"$F;@!4}&gt;"</f>
        <v>#VALUE!</v>
      </c>
      <c r="CI432" t="e">
        <f>'Australia and Oceania'!G259+"$F;@!4}?"</f>
        <v>#VALUE!</v>
      </c>
      <c r="CJ432" t="e">
        <f>'Australia and Oceania'!H259+"$F;@!4}@"</f>
        <v>#VALUE!</v>
      </c>
      <c r="CK432" t="e">
        <f>'Australia and Oceania'!A260+"$F;@!4}A"</f>
        <v>#VALUE!</v>
      </c>
      <c r="CL432" t="e">
        <f>'Australia and Oceania'!B260+"$F;@!4}B"</f>
        <v>#VALUE!</v>
      </c>
      <c r="CM432" t="e">
        <f>'Australia and Oceania'!C260+"$F;@!4}C"</f>
        <v>#VALUE!</v>
      </c>
      <c r="CN432" t="e">
        <f>'Australia and Oceania'!D260+"$F;@!4}D"</f>
        <v>#VALUE!</v>
      </c>
      <c r="CO432" t="e">
        <f>'Australia and Oceania'!E260+"$F;@!4}E"</f>
        <v>#VALUE!</v>
      </c>
      <c r="CP432" t="e">
        <f>'Australia and Oceania'!F260+"$F;@!4}F"</f>
        <v>#VALUE!</v>
      </c>
      <c r="CQ432" t="e">
        <f>'Australia and Oceania'!G260+"$F;@!4}G"</f>
        <v>#VALUE!</v>
      </c>
      <c r="CR432" t="e">
        <f>'Australia and Oceania'!H260+"$F;@!4}H"</f>
        <v>#VALUE!</v>
      </c>
      <c r="CS432" t="e">
        <f>'Australia and Oceania'!A261+"$F;@!4}I"</f>
        <v>#VALUE!</v>
      </c>
      <c r="CT432" t="e">
        <f>'Australia and Oceania'!B261+"$F;@!4}J"</f>
        <v>#VALUE!</v>
      </c>
      <c r="CU432" t="e">
        <f>'Australia and Oceania'!C261+"$F;@!4}K"</f>
        <v>#VALUE!</v>
      </c>
      <c r="CV432" t="e">
        <f>'Australia and Oceania'!D261+"$F;@!4}L"</f>
        <v>#VALUE!</v>
      </c>
      <c r="CW432" t="e">
        <f>'Australia and Oceania'!E261+"$F;@!4}M"</f>
        <v>#VALUE!</v>
      </c>
      <c r="CX432" t="e">
        <f>'Australia and Oceania'!F261+"$F;@!4}N"</f>
        <v>#VALUE!</v>
      </c>
      <c r="CY432" t="e">
        <f>'Australia and Oceania'!G261+"$F;@!4}O"</f>
        <v>#VALUE!</v>
      </c>
      <c r="CZ432" t="e">
        <f>'Australia and Oceania'!H261+"$F;@!4}P"</f>
        <v>#VALUE!</v>
      </c>
      <c r="DA432" t="e">
        <f>'Australia and Oceania'!A262+"$F;@!4}Q"</f>
        <v>#VALUE!</v>
      </c>
      <c r="DB432" t="e">
        <f>'Australia and Oceania'!B262+"$F;@!4}R"</f>
        <v>#VALUE!</v>
      </c>
      <c r="DC432" t="e">
        <f>'Australia and Oceania'!C262+"$F;@!4}S"</f>
        <v>#VALUE!</v>
      </c>
      <c r="DD432" t="e">
        <f>'Australia and Oceania'!D262+"$F;@!4}T"</f>
        <v>#VALUE!</v>
      </c>
      <c r="DE432" t="e">
        <f>'Australia and Oceania'!E262+"$F;@!4}U"</f>
        <v>#VALUE!</v>
      </c>
      <c r="DF432" t="e">
        <f>'Australia and Oceania'!F262+"$F;@!4}V"</f>
        <v>#VALUE!</v>
      </c>
      <c r="DG432" t="e">
        <f>'Australia and Oceania'!G262+"$F;@!4}W"</f>
        <v>#VALUE!</v>
      </c>
      <c r="DH432" t="e">
        <f>'Australia and Oceania'!H262+"$F;@!4}X"</f>
        <v>#VALUE!</v>
      </c>
      <c r="DI432" t="e">
        <f>'Australia and Oceania'!A263+"$F;@!4}Y"</f>
        <v>#VALUE!</v>
      </c>
      <c r="DJ432" t="e">
        <f>'Australia and Oceania'!B263+"$F;@!4}Z"</f>
        <v>#VALUE!</v>
      </c>
      <c r="DK432" t="e">
        <f>'Australia and Oceania'!C263+"$F;@!4}["</f>
        <v>#VALUE!</v>
      </c>
      <c r="DL432" t="e">
        <f>'Australia and Oceania'!D263+"$F;@!4}\"</f>
        <v>#VALUE!</v>
      </c>
      <c r="DM432" t="e">
        <f>'Australia and Oceania'!E263+"$F;@!4}]"</f>
        <v>#VALUE!</v>
      </c>
      <c r="DN432" t="e">
        <f>'Australia and Oceania'!F263+"$F;@!4}^"</f>
        <v>#VALUE!</v>
      </c>
      <c r="DO432" t="e">
        <f>'Australia and Oceania'!G263+"$F;@!4}_"</f>
        <v>#VALUE!</v>
      </c>
      <c r="DP432" t="e">
        <f>'Australia and Oceania'!H263+"$F;@!4}`"</f>
        <v>#VALUE!</v>
      </c>
      <c r="DQ432" t="e">
        <f>'Australia and Oceania'!A264+"$F;@!4}a"</f>
        <v>#VALUE!</v>
      </c>
      <c r="DR432" t="e">
        <f>'Australia and Oceania'!B264+"$F;@!4}b"</f>
        <v>#VALUE!</v>
      </c>
      <c r="DS432" t="e">
        <f>'Australia and Oceania'!C264+"$F;@!4}c"</f>
        <v>#VALUE!</v>
      </c>
      <c r="DT432" t="e">
        <f>'Australia and Oceania'!D264+"$F;@!4}d"</f>
        <v>#VALUE!</v>
      </c>
      <c r="DU432" t="e">
        <f>'Australia and Oceania'!E264+"$F;@!4}e"</f>
        <v>#VALUE!</v>
      </c>
      <c r="DV432" t="e">
        <f>'Australia and Oceania'!F264+"$F;@!4}f"</f>
        <v>#VALUE!</v>
      </c>
      <c r="DW432" t="e">
        <f>'Australia and Oceania'!G264+"$F;@!4}g"</f>
        <v>#VALUE!</v>
      </c>
      <c r="DX432" t="e">
        <f>'Australia and Oceania'!H264+"$F;@!4}h"</f>
        <v>#VALUE!</v>
      </c>
      <c r="DY432" t="e">
        <f>'Australia and Oceania'!A265+"$F;@!4}i"</f>
        <v>#VALUE!</v>
      </c>
      <c r="DZ432" t="e">
        <f>'Australia and Oceania'!B265+"$F;@!4}j"</f>
        <v>#VALUE!</v>
      </c>
      <c r="EA432" t="e">
        <f>'Australia and Oceania'!C265+"$F;@!4}k"</f>
        <v>#VALUE!</v>
      </c>
      <c r="EB432" t="e">
        <f>'Australia and Oceania'!D265+"$F;@!4}l"</f>
        <v>#VALUE!</v>
      </c>
      <c r="EC432" t="e">
        <f>'Australia and Oceania'!E265+"$F;@!4}m"</f>
        <v>#VALUE!</v>
      </c>
      <c r="ED432" t="e">
        <f>'Australia and Oceania'!F265+"$F;@!4}n"</f>
        <v>#VALUE!</v>
      </c>
      <c r="EE432" t="e">
        <f>'Australia and Oceania'!G265+"$F;@!4}o"</f>
        <v>#VALUE!</v>
      </c>
      <c r="EF432" t="e">
        <f>'Australia and Oceania'!H265+"$F;@!4}p"</f>
        <v>#VALUE!</v>
      </c>
      <c r="EG432" t="e">
        <f>'Australia and Oceania'!A266+"$F;@!4}q"</f>
        <v>#VALUE!</v>
      </c>
      <c r="EH432" t="e">
        <f>'Australia and Oceania'!B266+"$F;@!4}r"</f>
        <v>#VALUE!</v>
      </c>
      <c r="EI432" t="e">
        <f>'Australia and Oceania'!C266+"$F;@!4}s"</f>
        <v>#VALUE!</v>
      </c>
      <c r="EJ432" t="e">
        <f>'Australia and Oceania'!D266+"$F;@!4}t"</f>
        <v>#VALUE!</v>
      </c>
      <c r="EK432" t="e">
        <f>'Australia and Oceania'!E266+"$F;@!4}u"</f>
        <v>#VALUE!</v>
      </c>
      <c r="EL432" t="e">
        <f>'Australia and Oceania'!F266+"$F;@!4}v"</f>
        <v>#VALUE!</v>
      </c>
      <c r="EM432" t="e">
        <f>'Australia and Oceania'!G266+"$F;@!4}w"</f>
        <v>#VALUE!</v>
      </c>
      <c r="EN432" t="e">
        <f>'Australia and Oceania'!H266+"$F;@!4}x"</f>
        <v>#VALUE!</v>
      </c>
      <c r="EO432" t="e">
        <f>'Australia and Oceania'!A267+"$F;@!4}y"</f>
        <v>#VALUE!</v>
      </c>
      <c r="EP432" t="e">
        <f>'Australia and Oceania'!B267+"$F;@!4}z"</f>
        <v>#VALUE!</v>
      </c>
      <c r="EQ432" t="e">
        <f>'Australia and Oceania'!C267+"$F;@!4}{"</f>
        <v>#VALUE!</v>
      </c>
      <c r="ER432" t="e">
        <f>'Australia and Oceania'!D267+"$F;@!4}|"</f>
        <v>#VALUE!</v>
      </c>
      <c r="ES432" t="e">
        <f>'Australia and Oceania'!E267+"$F;@!4}}"</f>
        <v>#VALUE!</v>
      </c>
      <c r="ET432" t="e">
        <f>'Australia and Oceania'!F267+"$F;@!4}~"</f>
        <v>#VALUE!</v>
      </c>
      <c r="EU432" t="e">
        <f>'Australia and Oceania'!G267+"$F;@!4~#"</f>
        <v>#VALUE!</v>
      </c>
      <c r="EV432" t="e">
        <f>'Australia and Oceania'!H267+"$F;@!4~$"</f>
        <v>#VALUE!</v>
      </c>
      <c r="EW432" t="e">
        <f>'Australia and Oceania'!A268+"$F;@!4~%"</f>
        <v>#VALUE!</v>
      </c>
      <c r="EX432" t="e">
        <f>'Australia and Oceania'!B268+"$F;@!4~&amp;"</f>
        <v>#VALUE!</v>
      </c>
      <c r="EY432" t="e">
        <f>'Australia and Oceania'!C268+"$F;@!4~'"</f>
        <v>#VALUE!</v>
      </c>
      <c r="EZ432" t="e">
        <f>'Australia and Oceania'!D268+"$F;@!4~("</f>
        <v>#VALUE!</v>
      </c>
      <c r="FA432" t="e">
        <f>'Australia and Oceania'!E268+"$F;@!4~)"</f>
        <v>#VALUE!</v>
      </c>
      <c r="FB432" t="e">
        <f>'Australia and Oceania'!F268+"$F;@!4~."</f>
        <v>#VALUE!</v>
      </c>
      <c r="FC432" t="e">
        <f>'Australia and Oceania'!G268+"$F;@!4~/"</f>
        <v>#VALUE!</v>
      </c>
      <c r="FD432" t="e">
        <f>'Australia and Oceania'!H268+"$F;@!4~0"</f>
        <v>#VALUE!</v>
      </c>
      <c r="FE432" t="e">
        <f>'Australia and Oceania'!A269+"$F;@!4~1"</f>
        <v>#VALUE!</v>
      </c>
      <c r="FF432" t="e">
        <f>'Australia and Oceania'!B269+"$F;@!4~2"</f>
        <v>#VALUE!</v>
      </c>
      <c r="FG432" t="e">
        <f>'Australia and Oceania'!C269+"$F;@!4~3"</f>
        <v>#VALUE!</v>
      </c>
      <c r="FH432" t="e">
        <f>'Australia and Oceania'!D269+"$F;@!4~4"</f>
        <v>#VALUE!</v>
      </c>
      <c r="FI432" t="e">
        <f>'Australia and Oceania'!E269+"$F;@!4~5"</f>
        <v>#VALUE!</v>
      </c>
      <c r="FJ432" t="e">
        <f>'Australia and Oceania'!F269+"$F;@!4~6"</f>
        <v>#VALUE!</v>
      </c>
      <c r="FK432" t="e">
        <f>'Australia and Oceania'!G269+"$F;@!4~7"</f>
        <v>#VALUE!</v>
      </c>
      <c r="FL432" t="e">
        <f>'Australia and Oceania'!H269+"$F;@!4~8"</f>
        <v>#VALUE!</v>
      </c>
      <c r="FM432" t="e">
        <f>'Australia and Oceania'!A270+"$F;@!4~9"</f>
        <v>#VALUE!</v>
      </c>
      <c r="FN432" t="e">
        <f>'Australia and Oceania'!B270+"$F;@!4~:"</f>
        <v>#VALUE!</v>
      </c>
      <c r="FO432" t="e">
        <f>'Australia and Oceania'!C270+"$F;@!4~;"</f>
        <v>#VALUE!</v>
      </c>
      <c r="FP432" t="e">
        <f>'Australia and Oceania'!D270+"$F;@!4~&lt;"</f>
        <v>#VALUE!</v>
      </c>
      <c r="FQ432" t="e">
        <f>'Australia and Oceania'!E270+"$F;@!4~="</f>
        <v>#VALUE!</v>
      </c>
      <c r="FR432" t="e">
        <f>'Australia and Oceania'!F270+"$F;@!4~&gt;"</f>
        <v>#VALUE!</v>
      </c>
      <c r="FS432" t="e">
        <f>'Australia and Oceania'!G270+"$F;@!4~?"</f>
        <v>#VALUE!</v>
      </c>
      <c r="FT432" t="e">
        <f>'Australia and Oceania'!H270+"$F;@!4~@"</f>
        <v>#VALUE!</v>
      </c>
      <c r="FU432" t="e">
        <f>'Australia and Oceania'!A271+"$F;@!4~A"</f>
        <v>#VALUE!</v>
      </c>
      <c r="FV432" t="e">
        <f>'Australia and Oceania'!B271+"$F;@!4~B"</f>
        <v>#VALUE!</v>
      </c>
      <c r="FW432" t="e">
        <f>'Australia and Oceania'!C271+"$F;@!4~C"</f>
        <v>#VALUE!</v>
      </c>
      <c r="FX432" t="e">
        <f>'Australia and Oceania'!D271+"$F;@!4~D"</f>
        <v>#VALUE!</v>
      </c>
      <c r="FY432" t="e">
        <f>'Australia and Oceania'!E271+"$F;@!4~E"</f>
        <v>#VALUE!</v>
      </c>
      <c r="FZ432" t="e">
        <f>'Australia and Oceania'!F271+"$F;@!4~F"</f>
        <v>#VALUE!</v>
      </c>
      <c r="GA432" t="e">
        <f>'Australia and Oceania'!G271+"$F;@!4~G"</f>
        <v>#VALUE!</v>
      </c>
      <c r="GB432" t="e">
        <f>'Australia and Oceania'!H271+"$F;@!4~H"</f>
        <v>#VALUE!</v>
      </c>
      <c r="GC432" t="e">
        <f>'Australia and Oceania'!A272+"$F;@!4~I"</f>
        <v>#VALUE!</v>
      </c>
      <c r="GD432" t="e">
        <f>'Australia and Oceania'!B272+"$F;@!4~J"</f>
        <v>#VALUE!</v>
      </c>
      <c r="GE432" t="e">
        <f>'Australia and Oceania'!C272+"$F;@!4~K"</f>
        <v>#VALUE!</v>
      </c>
      <c r="GF432" t="e">
        <f>'Australia and Oceania'!D272+"$F;@!4~L"</f>
        <v>#VALUE!</v>
      </c>
      <c r="GG432" t="e">
        <f>'Australia and Oceania'!E272+"$F;@!4~M"</f>
        <v>#VALUE!</v>
      </c>
      <c r="GH432" t="e">
        <f>'Australia and Oceania'!F272+"$F;@!4~N"</f>
        <v>#VALUE!</v>
      </c>
      <c r="GI432" t="e">
        <f>'Australia and Oceania'!G272+"$F;@!4~O"</f>
        <v>#VALUE!</v>
      </c>
      <c r="GJ432" t="e">
        <f>'Australia and Oceania'!H272+"$F;@!4~P"</f>
        <v>#VALUE!</v>
      </c>
      <c r="GK432" t="e">
        <f>'Australia and Oceania'!A273+"$F;@!4~Q"</f>
        <v>#VALUE!</v>
      </c>
      <c r="GL432" t="e">
        <f>'Australia and Oceania'!B273+"$F;@!4~R"</f>
        <v>#VALUE!</v>
      </c>
      <c r="GM432" t="e">
        <f>'Australia and Oceania'!C273+"$F;@!4~S"</f>
        <v>#VALUE!</v>
      </c>
      <c r="GN432" t="e">
        <f>'Australia and Oceania'!D273+"$F;@!4~T"</f>
        <v>#VALUE!</v>
      </c>
      <c r="GO432" t="e">
        <f>'Australia and Oceania'!E273+"$F;@!4~U"</f>
        <v>#VALUE!</v>
      </c>
      <c r="GP432" t="e">
        <f>'Australia and Oceania'!F273+"$F;@!4~V"</f>
        <v>#VALUE!</v>
      </c>
      <c r="GQ432" t="e">
        <f>'Australia and Oceania'!G273+"$F;@!4~W"</f>
        <v>#VALUE!</v>
      </c>
      <c r="GR432" t="e">
        <f>'Australia and Oceania'!H273+"$F;@!4~X"</f>
        <v>#VALUE!</v>
      </c>
      <c r="GS432" t="e">
        <f>'Australia and Oceania'!A274+"$F;@!4~Y"</f>
        <v>#VALUE!</v>
      </c>
      <c r="GT432" t="e">
        <f>'Australia and Oceania'!B274+"$F;@!4~Z"</f>
        <v>#VALUE!</v>
      </c>
      <c r="GU432" t="e">
        <f>'Australia and Oceania'!C274+"$F;@!4~["</f>
        <v>#VALUE!</v>
      </c>
      <c r="GV432" t="e">
        <f>'Australia and Oceania'!D274+"$F;@!4~\"</f>
        <v>#VALUE!</v>
      </c>
      <c r="GW432" t="e">
        <f>'Australia and Oceania'!E274+"$F;@!4~]"</f>
        <v>#VALUE!</v>
      </c>
      <c r="GX432" t="e">
        <f>'Australia and Oceania'!F274+"$F;@!4~^"</f>
        <v>#VALUE!</v>
      </c>
      <c r="GY432" t="e">
        <f>'Australia and Oceania'!G274+"$F;@!4~_"</f>
        <v>#VALUE!</v>
      </c>
      <c r="GZ432" t="e">
        <f>'Australia and Oceania'!H274+"$F;@!4~`"</f>
        <v>#VALUE!</v>
      </c>
      <c r="HA432" t="e">
        <f>'Australia and Oceania'!A275+"$F;@!4~a"</f>
        <v>#VALUE!</v>
      </c>
      <c r="HB432" t="e">
        <f>'Australia and Oceania'!B275+"$F;@!4~b"</f>
        <v>#VALUE!</v>
      </c>
      <c r="HC432" t="e">
        <f>'Australia and Oceania'!C275+"$F;@!4~c"</f>
        <v>#VALUE!</v>
      </c>
      <c r="HD432" t="e">
        <f>'Australia and Oceania'!D275+"$F;@!4~d"</f>
        <v>#VALUE!</v>
      </c>
      <c r="HE432" t="e">
        <f>'Australia and Oceania'!E275+"$F;@!4~e"</f>
        <v>#VALUE!</v>
      </c>
      <c r="HF432" t="e">
        <f>'Australia and Oceania'!F275+"$F;@!4~f"</f>
        <v>#VALUE!</v>
      </c>
      <c r="HG432" t="e">
        <f>'Australia and Oceania'!G275+"$F;@!4~g"</f>
        <v>#VALUE!</v>
      </c>
      <c r="HH432" t="e">
        <f>'Australia and Oceania'!H275+"$F;@!4~h"</f>
        <v>#VALUE!</v>
      </c>
      <c r="HI432" t="e">
        <f>'Australia and Oceania'!A276+"$F;@!4~i"</f>
        <v>#VALUE!</v>
      </c>
      <c r="HJ432" t="e">
        <f>'Australia and Oceania'!B276+"$F;@!4~j"</f>
        <v>#VALUE!</v>
      </c>
      <c r="HK432" t="e">
        <f>'Australia and Oceania'!C276+"$F;@!4~k"</f>
        <v>#VALUE!</v>
      </c>
      <c r="HL432" t="e">
        <f>'Australia and Oceania'!D276+"$F;@!4~l"</f>
        <v>#VALUE!</v>
      </c>
      <c r="HM432" t="e">
        <f>'Australia and Oceania'!E276+"$F;@!4~m"</f>
        <v>#VALUE!</v>
      </c>
      <c r="HN432" t="e">
        <f>'Australia and Oceania'!F276+"$F;@!4~n"</f>
        <v>#VALUE!</v>
      </c>
      <c r="HO432" t="e">
        <f>'Australia and Oceania'!G276+"$F;@!4~o"</f>
        <v>#VALUE!</v>
      </c>
      <c r="HP432" t="e">
        <f>'Australia and Oceania'!H276+"$F;@!4~p"</f>
        <v>#VALUE!</v>
      </c>
      <c r="HQ432" t="e">
        <f>'Australia and Oceania'!A277+"$F;@!4~q"</f>
        <v>#VALUE!</v>
      </c>
      <c r="HR432" t="e">
        <f>'Australia and Oceania'!B277+"$F;@!4~r"</f>
        <v>#VALUE!</v>
      </c>
      <c r="HS432" t="e">
        <f>'Australia and Oceania'!C277+"$F;@!4~s"</f>
        <v>#VALUE!</v>
      </c>
      <c r="HT432" t="e">
        <f>'Australia and Oceania'!D277+"$F;@!4~t"</f>
        <v>#VALUE!</v>
      </c>
      <c r="HU432" t="e">
        <f>'Australia and Oceania'!E277+"$F;@!4~u"</f>
        <v>#VALUE!</v>
      </c>
      <c r="HV432" t="e">
        <f>'Australia and Oceania'!F277+"$F;@!4~v"</f>
        <v>#VALUE!</v>
      </c>
      <c r="HW432" t="e">
        <f>'Australia and Oceania'!G277+"$F;@!4~w"</f>
        <v>#VALUE!</v>
      </c>
      <c r="HX432" t="e">
        <f>'Australia and Oceania'!H277+"$F;@!4~x"</f>
        <v>#VALUE!</v>
      </c>
      <c r="HY432" t="e">
        <f>'Australia and Oceania'!A278+"$F;@!4~y"</f>
        <v>#VALUE!</v>
      </c>
      <c r="HZ432" t="e">
        <f>'Australia and Oceania'!B278+"$F;@!4~z"</f>
        <v>#VALUE!</v>
      </c>
      <c r="IA432" t="e">
        <f>'Australia and Oceania'!C278+"$F;@!4~{"</f>
        <v>#VALUE!</v>
      </c>
      <c r="IB432" t="e">
        <f>'Australia and Oceania'!D278+"$F;@!4~|"</f>
        <v>#VALUE!</v>
      </c>
      <c r="IC432" t="e">
        <f>'Australia and Oceania'!E278+"$F;@!4~}"</f>
        <v>#VALUE!</v>
      </c>
      <c r="ID432" t="e">
        <f>'Australia and Oceania'!F278+"$F;@!4~~"</f>
        <v>#VALUE!</v>
      </c>
      <c r="IE432" t="e">
        <f>'Australia and Oceania'!G278+"$F;@!5##"</f>
        <v>#VALUE!</v>
      </c>
      <c r="IF432" t="e">
        <f>'Australia and Oceania'!H278+"$F;@!5#$"</f>
        <v>#VALUE!</v>
      </c>
      <c r="IG432" t="e">
        <f>'Australia and Oceania'!A279+"$F;@!5#%"</f>
        <v>#VALUE!</v>
      </c>
      <c r="IH432" t="e">
        <f>'Australia and Oceania'!B279+"$F;@!5#&amp;"</f>
        <v>#VALUE!</v>
      </c>
      <c r="II432" t="e">
        <f>'Australia and Oceania'!C279+"$F;@!5#'"</f>
        <v>#VALUE!</v>
      </c>
      <c r="IJ432" t="e">
        <f>'Australia and Oceania'!D279+"$F;@!5#("</f>
        <v>#VALUE!</v>
      </c>
      <c r="IK432" t="e">
        <f>'Australia and Oceania'!E279+"$F;@!5#)"</f>
        <v>#VALUE!</v>
      </c>
      <c r="IL432" t="e">
        <f>'Australia and Oceania'!F279+"$F;@!5#."</f>
        <v>#VALUE!</v>
      </c>
      <c r="IM432" t="e">
        <f>'Australia and Oceania'!G279+"$F;@!5#/"</f>
        <v>#VALUE!</v>
      </c>
      <c r="IN432" t="e">
        <f>'Australia and Oceania'!H279+"$F;@!5#0"</f>
        <v>#VALUE!</v>
      </c>
      <c r="IO432" t="e">
        <f>'Australia and Oceania'!A280+"$F;@!5#1"</f>
        <v>#VALUE!</v>
      </c>
      <c r="IP432" t="e">
        <f>'Australia and Oceania'!B280+"$F;@!5#2"</f>
        <v>#VALUE!</v>
      </c>
      <c r="IQ432" t="e">
        <f>'Australia and Oceania'!C280+"$F;@!5#3"</f>
        <v>#VALUE!</v>
      </c>
      <c r="IR432" t="e">
        <f>'Australia and Oceania'!D280+"$F;@!5#4"</f>
        <v>#VALUE!</v>
      </c>
      <c r="IS432" t="e">
        <f>'Australia and Oceania'!E280+"$F;@!5#5"</f>
        <v>#VALUE!</v>
      </c>
      <c r="IT432" t="e">
        <f>'Australia and Oceania'!F280+"$F;@!5#6"</f>
        <v>#VALUE!</v>
      </c>
      <c r="IU432" t="e">
        <f>'Australia and Oceania'!G280+"$F;@!5#7"</f>
        <v>#VALUE!</v>
      </c>
      <c r="IV432" t="e">
        <f>'Australia and Oceania'!H280+"$F;@!5#8"</f>
        <v>#VALUE!</v>
      </c>
    </row>
    <row r="433" spans="6:256" x14ac:dyDescent="0.35">
      <c r="F433" t="e">
        <f>'Australia and Oceania'!A281+"$F;@!5#9"</f>
        <v>#VALUE!</v>
      </c>
      <c r="G433" t="e">
        <f>'Australia and Oceania'!B281+"$F;@!5#:"</f>
        <v>#VALUE!</v>
      </c>
      <c r="H433" t="e">
        <f>'Australia and Oceania'!C281+"$F;@!5#;"</f>
        <v>#VALUE!</v>
      </c>
      <c r="I433" t="e">
        <f>'Australia and Oceania'!D281+"$F;@!5#&lt;"</f>
        <v>#VALUE!</v>
      </c>
      <c r="J433" t="e">
        <f>'Australia and Oceania'!E281+"$F;@!5#="</f>
        <v>#VALUE!</v>
      </c>
      <c r="K433" t="e">
        <f>'Australia and Oceania'!F281+"$F;@!5#&gt;"</f>
        <v>#VALUE!</v>
      </c>
      <c r="L433" t="e">
        <f>'Australia and Oceania'!G281+"$F;@!5#?"</f>
        <v>#VALUE!</v>
      </c>
      <c r="M433" t="e">
        <f>'Australia and Oceania'!H281+"$F;@!5#@"</f>
        <v>#VALUE!</v>
      </c>
      <c r="N433" t="e">
        <f>'Australia and Oceania'!A282+"$F;@!5#A"</f>
        <v>#VALUE!</v>
      </c>
      <c r="O433" t="e">
        <f>'Australia and Oceania'!B282+"$F;@!5#B"</f>
        <v>#VALUE!</v>
      </c>
      <c r="P433" t="e">
        <f>'Australia and Oceania'!C282+"$F;@!5#C"</f>
        <v>#VALUE!</v>
      </c>
      <c r="Q433" t="e">
        <f>'Australia and Oceania'!D282+"$F;@!5#D"</f>
        <v>#VALUE!</v>
      </c>
      <c r="R433" t="e">
        <f>'Australia and Oceania'!E282+"$F;@!5#E"</f>
        <v>#VALUE!</v>
      </c>
      <c r="S433" t="e">
        <f>'Australia and Oceania'!F282+"$F;@!5#F"</f>
        <v>#VALUE!</v>
      </c>
      <c r="T433" t="e">
        <f>'Australia and Oceania'!G282+"$F;@!5#G"</f>
        <v>#VALUE!</v>
      </c>
      <c r="U433" t="e">
        <f>'Australia and Oceania'!H282+"$F;@!5#H"</f>
        <v>#VALUE!</v>
      </c>
      <c r="V433" t="e">
        <f>'Australia and Oceania'!A283+"$F;@!5#I"</f>
        <v>#VALUE!</v>
      </c>
      <c r="W433" t="e">
        <f>'Australia and Oceania'!B283+"$F;@!5#J"</f>
        <v>#VALUE!</v>
      </c>
      <c r="X433" t="e">
        <f>'Australia and Oceania'!C283+"$F;@!5#K"</f>
        <v>#VALUE!</v>
      </c>
      <c r="Y433" t="e">
        <f>'Australia and Oceania'!D283+"$F;@!5#L"</f>
        <v>#VALUE!</v>
      </c>
      <c r="Z433" t="e">
        <f>'Australia and Oceania'!E283+"$F;@!5#M"</f>
        <v>#VALUE!</v>
      </c>
      <c r="AA433" t="e">
        <f>'Australia and Oceania'!F283+"$F;@!5#N"</f>
        <v>#VALUE!</v>
      </c>
      <c r="AB433" t="e">
        <f>'Australia and Oceania'!G283+"$F;@!5#O"</f>
        <v>#VALUE!</v>
      </c>
      <c r="AC433" t="e">
        <f>'Australia and Oceania'!H283+"$F;@!5#P"</f>
        <v>#VALUE!</v>
      </c>
      <c r="AD433" t="e">
        <f>'Australia and Oceania'!A284+"$F;@!5#Q"</f>
        <v>#VALUE!</v>
      </c>
      <c r="AE433" t="e">
        <f>'Australia and Oceania'!B284+"$F;@!5#R"</f>
        <v>#VALUE!</v>
      </c>
      <c r="AF433" t="e">
        <f>'Australia and Oceania'!C284+"$F;@!5#S"</f>
        <v>#VALUE!</v>
      </c>
      <c r="AG433" t="e">
        <f>'Australia and Oceania'!D284+"$F;@!5#T"</f>
        <v>#VALUE!</v>
      </c>
      <c r="AH433" t="e">
        <f>'Australia and Oceania'!E284+"$F;@!5#U"</f>
        <v>#VALUE!</v>
      </c>
      <c r="AI433" t="e">
        <f>'Australia and Oceania'!F284+"$F;@!5#V"</f>
        <v>#VALUE!</v>
      </c>
      <c r="AJ433" t="e">
        <f>'Australia and Oceania'!G284+"$F;@!5#W"</f>
        <v>#VALUE!</v>
      </c>
      <c r="AK433" t="e">
        <f>'Australia and Oceania'!H284+"$F;@!5#X"</f>
        <v>#VALUE!</v>
      </c>
      <c r="AL433" t="e">
        <f>'Australia and Oceania'!A285+"$F;@!5#Y"</f>
        <v>#VALUE!</v>
      </c>
      <c r="AM433" t="e">
        <f>'Australia and Oceania'!B285+"$F;@!5#Z"</f>
        <v>#VALUE!</v>
      </c>
      <c r="AN433" t="e">
        <f>'Australia and Oceania'!C285+"$F;@!5#["</f>
        <v>#VALUE!</v>
      </c>
      <c r="AO433" t="e">
        <f>'Australia and Oceania'!D285+"$F;@!5#\"</f>
        <v>#VALUE!</v>
      </c>
      <c r="AP433" t="e">
        <f>'Australia and Oceania'!F285+"$F;@!5#]"</f>
        <v>#VALUE!</v>
      </c>
      <c r="AQ433" t="e">
        <f>'Australia and Oceania'!G285+"$F;@!5#^"</f>
        <v>#VALUE!</v>
      </c>
      <c r="AR433" t="e">
        <f>'Australia and Oceania'!H285+"$F;@!5#_"</f>
        <v>#VALUE!</v>
      </c>
      <c r="AS433" t="e">
        <f>'Australia and Oceania'!A286+"$F;@!5#`"</f>
        <v>#VALUE!</v>
      </c>
      <c r="AT433" t="e">
        <f>'Australia and Oceania'!B286+"$F;@!5#a"</f>
        <v>#VALUE!</v>
      </c>
      <c r="AU433" t="e">
        <f>'Australia and Oceania'!C286+"$F;@!5#b"</f>
        <v>#VALUE!</v>
      </c>
      <c r="AV433" t="e">
        <f>'Australia and Oceania'!D286+"$F;@!5#c"</f>
        <v>#VALUE!</v>
      </c>
      <c r="AW433" t="e">
        <f>'Australia and Oceania'!E286+"$F;@!5#d"</f>
        <v>#VALUE!</v>
      </c>
      <c r="AX433" t="e">
        <f>'Australia and Oceania'!F286+"$F;@!5#e"</f>
        <v>#VALUE!</v>
      </c>
      <c r="AY433" t="e">
        <f>'Australia and Oceania'!G286+"$F;@!5#f"</f>
        <v>#VALUE!</v>
      </c>
      <c r="AZ433" t="e">
        <f>'Australia and Oceania'!H286+"$F;@!5#g"</f>
        <v>#VALUE!</v>
      </c>
      <c r="BA433" t="e">
        <f>'Australia and Oceania'!A287+"$F;@!5#h"</f>
        <v>#VALUE!</v>
      </c>
      <c r="BB433" t="e">
        <f>'Australia and Oceania'!B287+"$F;@!5#i"</f>
        <v>#VALUE!</v>
      </c>
      <c r="BC433" t="e">
        <f>'Australia and Oceania'!C287+"$F;@!5#j"</f>
        <v>#VALUE!</v>
      </c>
      <c r="BD433" t="e">
        <f>'Australia and Oceania'!D287+"$F;@!5#k"</f>
        <v>#VALUE!</v>
      </c>
      <c r="BE433" t="e">
        <f>'Australia and Oceania'!E287+"$F;@!5#l"</f>
        <v>#VALUE!</v>
      </c>
      <c r="BF433" t="e">
        <f>'Australia and Oceania'!F287+"$F;@!5#m"</f>
        <v>#VALUE!</v>
      </c>
      <c r="BG433" t="e">
        <f>'Australia and Oceania'!G287+"$F;@!5#n"</f>
        <v>#VALUE!</v>
      </c>
      <c r="BH433" t="e">
        <f>'Australia and Oceania'!H287+"$F;@!5#o"</f>
        <v>#VALUE!</v>
      </c>
      <c r="BI433" t="e">
        <f>'Australia and Oceania'!A288+"$F;@!5#p"</f>
        <v>#VALUE!</v>
      </c>
      <c r="BJ433" t="e">
        <f>'Australia and Oceania'!B288+"$F;@!5#q"</f>
        <v>#VALUE!</v>
      </c>
      <c r="BK433" t="e">
        <f>'Australia and Oceania'!C288+"$F;@!5#r"</f>
        <v>#VALUE!</v>
      </c>
      <c r="BL433" t="e">
        <f>'Australia and Oceania'!D288+"$F;@!5#s"</f>
        <v>#VALUE!</v>
      </c>
      <c r="BM433" t="e">
        <f>'Australia and Oceania'!E288+"$F;@!5#t"</f>
        <v>#VALUE!</v>
      </c>
      <c r="BN433" t="e">
        <f>'Australia and Oceania'!F288+"$F;@!5#u"</f>
        <v>#VALUE!</v>
      </c>
      <c r="BO433" t="e">
        <f>'Australia and Oceania'!G288+"$F;@!5#v"</f>
        <v>#VALUE!</v>
      </c>
      <c r="BP433" t="e">
        <f>'Australia and Oceania'!H288+"$F;@!5#w"</f>
        <v>#VALUE!</v>
      </c>
      <c r="BQ433" t="e">
        <f>'Australia and Oceania'!A289+"$F;@!5#x"</f>
        <v>#VALUE!</v>
      </c>
      <c r="BR433" t="e">
        <f>'Australia and Oceania'!B289+"$F;@!5#y"</f>
        <v>#VALUE!</v>
      </c>
      <c r="BS433" t="e">
        <f>'Australia and Oceania'!C289+"$F;@!5#z"</f>
        <v>#VALUE!</v>
      </c>
      <c r="BT433" t="e">
        <f>'Australia and Oceania'!D289+"$F;@!5#{"</f>
        <v>#VALUE!</v>
      </c>
      <c r="BU433" t="e">
        <f>'Australia and Oceania'!E289+"$F;@!5#|"</f>
        <v>#VALUE!</v>
      </c>
      <c r="BV433" t="e">
        <f>'Australia and Oceania'!F289+"$F;@!5#}"</f>
        <v>#VALUE!</v>
      </c>
      <c r="BW433" t="e">
        <f>'Australia and Oceania'!G289+"$F;@!5#~"</f>
        <v>#VALUE!</v>
      </c>
      <c r="BX433" t="e">
        <f>'Australia and Oceania'!H289+"$F;@!5$#"</f>
        <v>#VALUE!</v>
      </c>
      <c r="BY433" t="e">
        <f>'Australia and Oceania'!A290+"$F;@!5$$"</f>
        <v>#VALUE!</v>
      </c>
      <c r="BZ433" t="e">
        <f>'Australia and Oceania'!B290+"$F;@!5$%"</f>
        <v>#VALUE!</v>
      </c>
      <c r="CA433" t="e">
        <f>'Australia and Oceania'!C290+"$F;@!5$&amp;"</f>
        <v>#VALUE!</v>
      </c>
      <c r="CB433" t="e">
        <f>'Australia and Oceania'!D290+"$F;@!5$'"</f>
        <v>#VALUE!</v>
      </c>
      <c r="CC433" t="e">
        <f>'Australia and Oceania'!E290+"$F;@!5$("</f>
        <v>#VALUE!</v>
      </c>
      <c r="CD433" t="e">
        <f>'Australia and Oceania'!F290+"$F;@!5$)"</f>
        <v>#VALUE!</v>
      </c>
      <c r="CE433" t="e">
        <f>'Australia and Oceania'!G290+"$F;@!5$."</f>
        <v>#VALUE!</v>
      </c>
      <c r="CF433" t="e">
        <f>'Australia and Oceania'!H290+"$F;@!5$/"</f>
        <v>#VALUE!</v>
      </c>
      <c r="CG433" t="e">
        <f>'Australia and Oceania'!A291+"$F;@!5$0"</f>
        <v>#VALUE!</v>
      </c>
      <c r="CH433" t="e">
        <f>'Australia and Oceania'!B291+"$F;@!5$1"</f>
        <v>#VALUE!</v>
      </c>
      <c r="CI433" t="e">
        <f>'Australia and Oceania'!C291+"$F;@!5$2"</f>
        <v>#VALUE!</v>
      </c>
      <c r="CJ433" t="e">
        <f>'Australia and Oceania'!D291+"$F;@!5$3"</f>
        <v>#VALUE!</v>
      </c>
      <c r="CK433" t="e">
        <f>'Australia and Oceania'!E291+"$F;@!5$4"</f>
        <v>#VALUE!</v>
      </c>
      <c r="CL433" t="e">
        <f>'Australia and Oceania'!F291+"$F;@!5$5"</f>
        <v>#VALUE!</v>
      </c>
      <c r="CM433" t="e">
        <f>'Australia and Oceania'!G291+"$F;@!5$6"</f>
        <v>#VALUE!</v>
      </c>
      <c r="CN433" t="e">
        <f>'Australia and Oceania'!H291+"$F;@!5$7"</f>
        <v>#VALUE!</v>
      </c>
      <c r="CO433" t="e">
        <f>'Australia and Oceania'!A292+"$F;@!5$8"</f>
        <v>#VALUE!</v>
      </c>
      <c r="CP433" t="e">
        <f>'Australia and Oceania'!B292+"$F;@!5$9"</f>
        <v>#VALUE!</v>
      </c>
      <c r="CQ433" t="e">
        <f>'Australia and Oceania'!C292+"$F;@!5$:"</f>
        <v>#VALUE!</v>
      </c>
      <c r="CR433" t="e">
        <f>'Australia and Oceania'!D292+"$F;@!5$;"</f>
        <v>#VALUE!</v>
      </c>
      <c r="CS433" t="e">
        <f>'Australia and Oceania'!E292+"$F;@!5$&lt;"</f>
        <v>#VALUE!</v>
      </c>
      <c r="CT433" t="e">
        <f>'Australia and Oceania'!F292+"$F;@!5$="</f>
        <v>#VALUE!</v>
      </c>
      <c r="CU433" t="e">
        <f>'Australia and Oceania'!G292+"$F;@!5$&gt;"</f>
        <v>#VALUE!</v>
      </c>
      <c r="CV433" t="e">
        <f>'Australia and Oceania'!H292+"$F;@!5$?"</f>
        <v>#VALUE!</v>
      </c>
      <c r="CW433" t="e">
        <f>'Australia and Oceania'!A293+"$F;@!5$@"</f>
        <v>#VALUE!</v>
      </c>
      <c r="CX433" t="e">
        <f>'Australia and Oceania'!B293+"$F;@!5$A"</f>
        <v>#VALUE!</v>
      </c>
      <c r="CY433" t="e">
        <f>'Australia and Oceania'!C293+"$F;@!5$B"</f>
        <v>#VALUE!</v>
      </c>
      <c r="CZ433" t="e">
        <f>'Australia and Oceania'!D293+"$F;@!5$C"</f>
        <v>#VALUE!</v>
      </c>
      <c r="DA433" t="e">
        <f>'Australia and Oceania'!E293+"$F;@!5$D"</f>
        <v>#VALUE!</v>
      </c>
      <c r="DB433" t="e">
        <f>'Australia and Oceania'!F293+"$F;@!5$E"</f>
        <v>#VALUE!</v>
      </c>
      <c r="DC433" t="e">
        <f>'Australia and Oceania'!G293+"$F;@!5$F"</f>
        <v>#VALUE!</v>
      </c>
      <c r="DD433" t="e">
        <f>'Australia and Oceania'!H293+"$F;@!5$G"</f>
        <v>#VALUE!</v>
      </c>
      <c r="DE433" t="e">
        <f>'Australia and Oceania'!A294+"$F;@!5$H"</f>
        <v>#VALUE!</v>
      </c>
      <c r="DF433" t="e">
        <f>'Australia and Oceania'!B294+"$F;@!5$I"</f>
        <v>#VALUE!</v>
      </c>
      <c r="DG433" t="e">
        <f>'Australia and Oceania'!C294+"$F;@!5$J"</f>
        <v>#VALUE!</v>
      </c>
      <c r="DH433" t="e">
        <f>'Australia and Oceania'!D294+"$F;@!5$K"</f>
        <v>#VALUE!</v>
      </c>
      <c r="DI433" t="e">
        <f>'Australia and Oceania'!E294+"$F;@!5$L"</f>
        <v>#VALUE!</v>
      </c>
      <c r="DJ433" t="e">
        <f>'Australia and Oceania'!F294+"$F;@!5$M"</f>
        <v>#VALUE!</v>
      </c>
      <c r="DK433" t="e">
        <f>'Australia and Oceania'!G294+"$F;@!5$N"</f>
        <v>#VALUE!</v>
      </c>
      <c r="DL433" t="e">
        <f>'Australia and Oceania'!H294+"$F;@!5$O"</f>
        <v>#VALUE!</v>
      </c>
      <c r="DM433" t="e">
        <f>'Australia and Oceania'!A295+"$F;@!5$P"</f>
        <v>#VALUE!</v>
      </c>
      <c r="DN433" t="e">
        <f>'Australia and Oceania'!B295+"$F;@!5$Q"</f>
        <v>#VALUE!</v>
      </c>
      <c r="DO433" t="e">
        <f>'Australia and Oceania'!C295+"$F;@!5$R"</f>
        <v>#VALUE!</v>
      </c>
      <c r="DP433" t="e">
        <f>'Australia and Oceania'!D295+"$F;@!5$S"</f>
        <v>#VALUE!</v>
      </c>
      <c r="DQ433" t="e">
        <f>'Australia and Oceania'!E295+"$F;@!5$T"</f>
        <v>#VALUE!</v>
      </c>
      <c r="DR433" t="e">
        <f>'Australia and Oceania'!F295+"$F;@!5$U"</f>
        <v>#VALUE!</v>
      </c>
      <c r="DS433" t="e">
        <f>'Australia and Oceania'!G295+"$F;@!5$V"</f>
        <v>#VALUE!</v>
      </c>
      <c r="DT433" t="e">
        <f>'Australia and Oceania'!H295+"$F;@!5$W"</f>
        <v>#VALUE!</v>
      </c>
      <c r="DU433" t="e">
        <f>'Australia and Oceania'!A296+"$F;@!5$X"</f>
        <v>#VALUE!</v>
      </c>
      <c r="DV433" t="e">
        <f>'Australia and Oceania'!B296+"$F;@!5$Y"</f>
        <v>#VALUE!</v>
      </c>
      <c r="DW433" t="e">
        <f>'Australia and Oceania'!C296+"$F;@!5$Z"</f>
        <v>#VALUE!</v>
      </c>
      <c r="DX433" t="e">
        <f>'Australia and Oceania'!D296+"$F;@!5$["</f>
        <v>#VALUE!</v>
      </c>
      <c r="DY433" t="e">
        <f>'Australia and Oceania'!E296+"$F;@!5$\"</f>
        <v>#VALUE!</v>
      </c>
      <c r="DZ433" t="e">
        <f>'Australia and Oceania'!F296+"$F;@!5$]"</f>
        <v>#VALUE!</v>
      </c>
      <c r="EA433" t="e">
        <f>'Australia and Oceania'!G296+"$F;@!5$^"</f>
        <v>#VALUE!</v>
      </c>
      <c r="EB433" t="e">
        <f>'Australia and Oceania'!H296+"$F;@!5$_"</f>
        <v>#VALUE!</v>
      </c>
      <c r="EC433" t="e">
        <f>'Australia and Oceania'!A297+"$F;@!5$`"</f>
        <v>#VALUE!</v>
      </c>
      <c r="ED433" t="e">
        <f>'Australia and Oceania'!B297+"$F;@!5$a"</f>
        <v>#VALUE!</v>
      </c>
      <c r="EE433" t="e">
        <f>'Australia and Oceania'!C297+"$F;@!5$b"</f>
        <v>#VALUE!</v>
      </c>
      <c r="EF433" t="e">
        <f>'Australia and Oceania'!D297+"$F;@!5$c"</f>
        <v>#VALUE!</v>
      </c>
      <c r="EG433" t="e">
        <f>'Australia and Oceania'!E297+"$F;@!5$d"</f>
        <v>#VALUE!</v>
      </c>
      <c r="EH433" t="e">
        <f>'Australia and Oceania'!F297+"$F;@!5$e"</f>
        <v>#VALUE!</v>
      </c>
      <c r="EI433" t="e">
        <f>'Australia and Oceania'!G297+"$F;@!5$f"</f>
        <v>#VALUE!</v>
      </c>
      <c r="EJ433" t="e">
        <f>'Australia and Oceania'!H297+"$F;@!5$g"</f>
        <v>#VALUE!</v>
      </c>
      <c r="EK433" t="e">
        <f>'Australia and Oceania'!A298+"$F;@!5$h"</f>
        <v>#VALUE!</v>
      </c>
      <c r="EL433" t="e">
        <f>'Australia and Oceania'!B298+"$F;@!5$i"</f>
        <v>#VALUE!</v>
      </c>
      <c r="EM433" t="e">
        <f>'Australia and Oceania'!C298+"$F;@!5$j"</f>
        <v>#VALUE!</v>
      </c>
      <c r="EN433" t="e">
        <f>'Australia and Oceania'!D298+"$F;@!5$k"</f>
        <v>#VALUE!</v>
      </c>
      <c r="EO433" t="e">
        <f>'Australia and Oceania'!E298+"$F;@!5$l"</f>
        <v>#VALUE!</v>
      </c>
      <c r="EP433" t="e">
        <f>'Australia and Oceania'!F298+"$F;@!5$m"</f>
        <v>#VALUE!</v>
      </c>
      <c r="EQ433" t="e">
        <f>'Australia and Oceania'!G298+"$F;@!5$n"</f>
        <v>#VALUE!</v>
      </c>
      <c r="ER433" t="e">
        <f>'Australia and Oceania'!H298+"$F;@!5$o"</f>
        <v>#VALUE!</v>
      </c>
      <c r="ES433" t="e">
        <f>'Australia and Oceania'!A299+"$F;@!5$p"</f>
        <v>#VALUE!</v>
      </c>
      <c r="ET433" t="e">
        <f>'Australia and Oceania'!B299+"$F;@!5$q"</f>
        <v>#VALUE!</v>
      </c>
      <c r="EU433" t="e">
        <f>'Australia and Oceania'!C299+"$F;@!5$r"</f>
        <v>#VALUE!</v>
      </c>
      <c r="EV433" t="e">
        <f>'Australia and Oceania'!D299+"$F;@!5$s"</f>
        <v>#VALUE!</v>
      </c>
      <c r="EW433" t="e">
        <f>'Australia and Oceania'!E299+"$F;@!5$t"</f>
        <v>#VALUE!</v>
      </c>
      <c r="EX433" t="e">
        <f>'Australia and Oceania'!F299+"$F;@!5$u"</f>
        <v>#VALUE!</v>
      </c>
      <c r="EY433" t="e">
        <f>'Australia and Oceania'!G299+"$F;@!5$v"</f>
        <v>#VALUE!</v>
      </c>
      <c r="EZ433" t="e">
        <f>'Australia and Oceania'!H299+"$F;@!5$w"</f>
        <v>#VALUE!</v>
      </c>
      <c r="FA433" t="e">
        <f>'Australia and Oceania'!A300+"$F;@!5$x"</f>
        <v>#VALUE!</v>
      </c>
      <c r="FB433" t="e">
        <f>'Australia and Oceania'!B300+"$F;@!5$y"</f>
        <v>#VALUE!</v>
      </c>
      <c r="FC433" t="e">
        <f>'Australia and Oceania'!C300+"$F;@!5$z"</f>
        <v>#VALUE!</v>
      </c>
      <c r="FD433" t="e">
        <f>'Australia and Oceania'!D300+"$F;@!5${"</f>
        <v>#VALUE!</v>
      </c>
      <c r="FE433" t="e">
        <f>'Australia and Oceania'!E300+"$F;@!5$|"</f>
        <v>#VALUE!</v>
      </c>
      <c r="FF433" t="e">
        <f>'Australia and Oceania'!F300+"$F;@!5$}"</f>
        <v>#VALUE!</v>
      </c>
      <c r="FG433" t="e">
        <f>'Australia and Oceania'!G300+"$F;@!5$~"</f>
        <v>#VALUE!</v>
      </c>
      <c r="FH433" t="e">
        <f>'Australia and Oceania'!H300+"$F;@!5%#"</f>
        <v>#VALUE!</v>
      </c>
      <c r="FI433" t="e">
        <f>'Australia and Oceania'!A301+"$F;@!5%$"</f>
        <v>#VALUE!</v>
      </c>
      <c r="FJ433" t="e">
        <f>'Australia and Oceania'!B301+"$F;@!5%%"</f>
        <v>#VALUE!</v>
      </c>
      <c r="FK433" t="e">
        <f>'Australia and Oceania'!C301+"$F;@!5%&amp;"</f>
        <v>#VALUE!</v>
      </c>
      <c r="FL433" t="e">
        <f>'Australia and Oceania'!D301+"$F;@!5%'"</f>
        <v>#VALUE!</v>
      </c>
      <c r="FM433" t="e">
        <f>'Australia and Oceania'!E301+"$F;@!5%("</f>
        <v>#VALUE!</v>
      </c>
      <c r="FN433" t="e">
        <f>'Australia and Oceania'!F301+"$F;@!5%)"</f>
        <v>#VALUE!</v>
      </c>
      <c r="FO433" t="e">
        <f>'Australia and Oceania'!G301+"$F;@!5%."</f>
        <v>#VALUE!</v>
      </c>
      <c r="FP433" t="e">
        <f>'Australia and Oceania'!H301+"$F;@!5%/"</f>
        <v>#VALUE!</v>
      </c>
      <c r="FQ433" t="e">
        <f>'Australia and Oceania'!A302+"$F;@!5%0"</f>
        <v>#VALUE!</v>
      </c>
      <c r="FR433" t="e">
        <f>'Australia and Oceania'!B302+"$F;@!5%1"</f>
        <v>#VALUE!</v>
      </c>
      <c r="FS433" t="e">
        <f>'Australia and Oceania'!C302+"$F;@!5%2"</f>
        <v>#VALUE!</v>
      </c>
      <c r="FT433" t="e">
        <f>'Australia and Oceania'!D302+"$F;@!5%3"</f>
        <v>#VALUE!</v>
      </c>
      <c r="FU433" t="e">
        <f>'Australia and Oceania'!E302+"$F;@!5%4"</f>
        <v>#VALUE!</v>
      </c>
      <c r="FV433" t="e">
        <f>'Australia and Oceania'!F302+"$F;@!5%5"</f>
        <v>#VALUE!</v>
      </c>
      <c r="FW433" t="e">
        <f>'Australia and Oceania'!G302+"$F;@!5%6"</f>
        <v>#VALUE!</v>
      </c>
      <c r="FX433" t="e">
        <f>'Australia and Oceania'!H302+"$F;@!5%7"</f>
        <v>#VALUE!</v>
      </c>
      <c r="FY433" t="e">
        <f>'Australia and Oceania'!A303+"$F;@!5%8"</f>
        <v>#VALUE!</v>
      </c>
      <c r="FZ433" t="e">
        <f>'Australia and Oceania'!B303+"$F;@!5%9"</f>
        <v>#VALUE!</v>
      </c>
      <c r="GA433" t="e">
        <f>'Australia and Oceania'!C303+"$F;@!5%:"</f>
        <v>#VALUE!</v>
      </c>
      <c r="GB433" t="e">
        <f>'Australia and Oceania'!D303+"$F;@!5%;"</f>
        <v>#VALUE!</v>
      </c>
      <c r="GC433" t="e">
        <f>'Australia and Oceania'!E303+"$F;@!5%&lt;"</f>
        <v>#VALUE!</v>
      </c>
      <c r="GD433" t="e">
        <f>'Australia and Oceania'!F303+"$F;@!5%="</f>
        <v>#VALUE!</v>
      </c>
      <c r="GE433" t="e">
        <f>'Australia and Oceania'!G303+"$F;@!5%&gt;"</f>
        <v>#VALUE!</v>
      </c>
      <c r="GF433" t="e">
        <f>'Australia and Oceania'!H303+"$F;@!5%?"</f>
        <v>#VALUE!</v>
      </c>
      <c r="GG433" t="e">
        <f>'Australia and Oceania'!A:A*"$F;@!5%@"</f>
        <v>#VALUE!</v>
      </c>
      <c r="GH433" t="e">
        <f>'Australia and Oceania'!B:B*"$F;@!5%A"</f>
        <v>#VALUE!</v>
      </c>
      <c r="GI433" t="e">
        <f>'Australia and Oceania'!C:C*"$F;@!5%B"</f>
        <v>#VALUE!</v>
      </c>
      <c r="GJ433" t="e">
        <f>'Australia and Oceania'!D:D*"$F;@!5%C"</f>
        <v>#VALUE!</v>
      </c>
      <c r="GK433" t="e">
        <f>'Australia and Oceania'!E:E*"$F;@!5%D"</f>
        <v>#VALUE!</v>
      </c>
      <c r="GL433" t="e">
        <f>'Australia and Oceania'!F:F*"$F;@!5%E"</f>
        <v>#VALUE!</v>
      </c>
      <c r="GM433" t="e">
        <f>'Australia and Oceania'!G:G*"$F;@!5%F"</f>
        <v>#VALUE!</v>
      </c>
      <c r="GN433" t="e">
        <f>'Australia and Oceania'!H:H*"$F;@!5%G"</f>
        <v>#VALUE!</v>
      </c>
      <c r="GO433" t="e">
        <f>'Australia and Oceania'!I:I*"$F;@!5%H"</f>
        <v>#VALUE!</v>
      </c>
      <c r="GP433" t="e">
        <f>'Australia and Oceania'!J:J*"$F;@!5%I"</f>
        <v>#VALUE!</v>
      </c>
      <c r="GQ433" t="e">
        <f>'Australia and Oceania'!K:K*"$F;@!5%J"</f>
        <v>#VALUE!</v>
      </c>
      <c r="GR433" t="e">
        <f>'Australia and Oceania'!L:L*"$F;@!5%K"</f>
        <v>#VALUE!</v>
      </c>
      <c r="GS433" t="e">
        <f>'Australia and Oceania'!M:M*"$F;@!5%L"</f>
        <v>#VALUE!</v>
      </c>
      <c r="GT433" t="e">
        <f>'Australia and Oceania'!N:N*"$F;@!5%M"</f>
        <v>#VALUE!</v>
      </c>
      <c r="GU433" t="e">
        <f>'Australia and Oceania'!O:O*"$F;@!5%N"</f>
        <v>#VALUE!</v>
      </c>
      <c r="GV433" t="e">
        <f>'Australia and Oceania'!P:P*"$F;@!5%O"</f>
        <v>#VALUE!</v>
      </c>
      <c r="GW433" t="e">
        <f>'Australia and Oceania'!Q:Q*"$F;@!5%P"</f>
        <v>#VALUE!</v>
      </c>
      <c r="GX433" t="e">
        <f>'Australia and Oceania'!R:R*"$F;@!5%Q"</f>
        <v>#VALUE!</v>
      </c>
      <c r="GY433" t="e">
        <f>'Australia and Oceania'!S:S*"$F;@!5%R"</f>
        <v>#VALUE!</v>
      </c>
      <c r="GZ433" t="e">
        <f>'Australia and Oceania'!T:T*"$F;@!5%S"</f>
        <v>#VALUE!</v>
      </c>
      <c r="HA433" t="e">
        <f>'Australia and Oceania'!U:U*"$F;@!5%T"</f>
        <v>#VALUE!</v>
      </c>
      <c r="HB433" t="e">
        <f>'Australia and Oceania'!V:V*"$F;@!5%U"</f>
        <v>#VALUE!</v>
      </c>
      <c r="HC433" t="e">
        <f>'Australia and Oceania'!W:W*"$F;@!5%V"</f>
        <v>#VALUE!</v>
      </c>
      <c r="HD433" t="e">
        <f>'Australia and Oceania'!X:X*"$F;@!5%W"</f>
        <v>#VALUE!</v>
      </c>
      <c r="HE433" t="e">
        <f>'Australia and Oceania'!Y:Y*"$F;@!5%X"</f>
        <v>#VALUE!</v>
      </c>
      <c r="HF433" t="e">
        <f>'Australia and Oceania'!Z:Z*"$F;@!5%Y"</f>
        <v>#VALUE!</v>
      </c>
      <c r="HG433" t="e">
        <f>'Australia and Oceania'!AA:AA*"$F;@!5%Z"</f>
        <v>#VALUE!</v>
      </c>
      <c r="HH433" t="e">
        <f>'Australia and Oceania'!AB:AB*"$F;@!5%["</f>
        <v>#VALUE!</v>
      </c>
      <c r="HI433" t="e">
        <f>'Australia and Oceania'!AC:AC*"$F;@!5%\"</f>
        <v>#VALUE!</v>
      </c>
      <c r="HJ433" t="e">
        <f>'Australia and Oceania'!AD:AD*"$F;@!5%]"</f>
        <v>#VALUE!</v>
      </c>
      <c r="HK433" t="e">
        <f>'Australia and Oceania'!AE:AE*"$F;@!5%^"</f>
        <v>#VALUE!</v>
      </c>
      <c r="HL433" t="e">
        <f>'Australia and Oceania'!AF:AF*"$F;@!5%_"</f>
        <v>#VALUE!</v>
      </c>
      <c r="HM433" t="e">
        <f>'Australia and Oceania'!AG:AG*"$F;@!5%`"</f>
        <v>#VALUE!</v>
      </c>
      <c r="HN433" t="e">
        <f>'Australia and Oceania'!AH:AH*"$F;@!5%a"</f>
        <v>#VALUE!</v>
      </c>
      <c r="HO433" t="e">
        <f>'Australia and Oceania'!AI:AI*"$F;@!5%b"</f>
        <v>#VALUE!</v>
      </c>
      <c r="HP433" t="e">
        <f>'Australia and Oceania'!AJ:AJ*"$F;@!5%c"</f>
        <v>#VALUE!</v>
      </c>
      <c r="HQ433" t="e">
        <f>'Australia and Oceania'!AK:AK*"$F;@!5%d"</f>
        <v>#VALUE!</v>
      </c>
      <c r="HR433" t="e">
        <f>'Australia and Oceania'!AL:AL*"$F;@!5%e"</f>
        <v>#VALUE!</v>
      </c>
      <c r="HS433" t="e">
        <f>'Australia and Oceania'!AM:AM*"$F;@!5%f"</f>
        <v>#VALUE!</v>
      </c>
      <c r="HT433" t="e">
        <f>'Australia and Oceania'!AN:AN*"$F;@!5%g"</f>
        <v>#VALUE!</v>
      </c>
      <c r="HU433" t="e">
        <f>'Australia and Oceania'!AO:AO*"$F;@!5%h"</f>
        <v>#VALUE!</v>
      </c>
      <c r="HV433" t="e">
        <f>'Australia and Oceania'!AP:AP*"$F;@!5%i"</f>
        <v>#VALUE!</v>
      </c>
      <c r="HW433" t="e">
        <f>'Australia and Oceania'!AQ:AQ*"$F;@!5%j"</f>
        <v>#VALUE!</v>
      </c>
      <c r="HX433" t="e">
        <f>'Australia and Oceania'!AR:AR*"$F;@!5%k"</f>
        <v>#VALUE!</v>
      </c>
      <c r="HY433" t="e">
        <f>'Australia and Oceania'!AS:AS*"$F;@!5%l"</f>
        <v>#VALUE!</v>
      </c>
      <c r="HZ433" t="e">
        <f>'Australia and Oceania'!AT:AT*"$F;@!5%m"</f>
        <v>#VALUE!</v>
      </c>
      <c r="IA433" t="e">
        <f>'Australia and Oceania'!AU:AU*"$F;@!5%n"</f>
        <v>#VALUE!</v>
      </c>
      <c r="IB433" t="e">
        <f>'Australia and Oceania'!AV:AV*"$F;@!5%o"</f>
        <v>#VALUE!</v>
      </c>
      <c r="IC433" t="e">
        <f>'Australia and Oceania'!AW:AW*"$F;@!5%p"</f>
        <v>#VALUE!</v>
      </c>
      <c r="ID433" t="e">
        <f>'Australia and Oceania'!AX:AX*"$F;@!5%q"</f>
        <v>#VALUE!</v>
      </c>
      <c r="IE433" t="e">
        <f>'Australia and Oceania'!AY:AY*"$F;@!5%r"</f>
        <v>#VALUE!</v>
      </c>
      <c r="IF433" t="e">
        <f>'Australia and Oceania'!AZ:AZ*"$F;@!5%s"</f>
        <v>#VALUE!</v>
      </c>
      <c r="IG433" t="e">
        <f>'Australia and Oceania'!BA:BA*"$F;@!5%t"</f>
        <v>#VALUE!</v>
      </c>
      <c r="IH433" t="e">
        <f>'Australia and Oceania'!BB:BB*"$F;@!5%u"</f>
        <v>#VALUE!</v>
      </c>
      <c r="II433" t="e">
        <f>'Australia and Oceania'!BC:BC*"$F;@!5%v"</f>
        <v>#VALUE!</v>
      </c>
      <c r="IJ433" t="e">
        <f>'Australia and Oceania'!BD:BD*"$F;@!5%w"</f>
        <v>#VALUE!</v>
      </c>
      <c r="IK433" t="e">
        <f>'Australia and Oceania'!BE:BE*"$F;@!5%x"</f>
        <v>#VALUE!</v>
      </c>
      <c r="IL433" t="e">
        <f>'Australia and Oceania'!BF:BF*"$F;@!5%y"</f>
        <v>#VALUE!</v>
      </c>
      <c r="IM433" t="e">
        <f>'Australia and Oceania'!1:1-"$F;@!5%z"</f>
        <v>#VALUE!</v>
      </c>
      <c r="IN433" t="e">
        <f>'Australia and Oceania'!2:2-"$F;@!5%{"</f>
        <v>#VALUE!</v>
      </c>
      <c r="IO433" t="e">
        <f>'Australia and Oceania'!3:3-"$F;@!5%|"</f>
        <v>#VALUE!</v>
      </c>
      <c r="IP433" t="e">
        <f>'Australia and Oceania'!4:4-"$F;@!5%}"</f>
        <v>#VALUE!</v>
      </c>
      <c r="IQ433" t="e">
        <f>'Australia and Oceania'!5:5-"$F;@!5%~"</f>
        <v>#VALUE!</v>
      </c>
      <c r="IR433" t="e">
        <f>'Australia and Oceania'!6:6-"$F;@!5&amp;#"</f>
        <v>#VALUE!</v>
      </c>
      <c r="IS433" t="e">
        <f>'Australia and Oceania'!7:7-"$F;@!5&amp;$"</f>
        <v>#VALUE!</v>
      </c>
      <c r="IT433" t="e">
        <f>'Australia and Oceania'!8:8-"$F;@!5&amp;%"</f>
        <v>#VALUE!</v>
      </c>
      <c r="IU433" t="e">
        <f>'Australia and Oceania'!9:9-"$F;@!5&amp;&amp;"</f>
        <v>#VALUE!</v>
      </c>
      <c r="IV433" t="e">
        <f>'Australia and Oceania'!10:10-"$F;@!5&amp;'"</f>
        <v>#VALUE!</v>
      </c>
    </row>
    <row r="434" spans="6:256" x14ac:dyDescent="0.35">
      <c r="F434" t="e">
        <f>'Australia and Oceania'!11:11-"$F;@!5&amp;("</f>
        <v>#VALUE!</v>
      </c>
      <c r="G434" t="e">
        <f>'Australia and Oceania'!12:12-"$F;@!5&amp;)"</f>
        <v>#VALUE!</v>
      </c>
      <c r="H434" t="e">
        <f>'Australia and Oceania'!13:13-"$F;@!5&amp;."</f>
        <v>#VALUE!</v>
      </c>
      <c r="I434" t="e">
        <f>'Australia and Oceania'!14:14-"$F;@!5&amp;/"</f>
        <v>#VALUE!</v>
      </c>
      <c r="J434" t="e">
        <f>'Australia and Oceania'!15:15-"$F;@!5&amp;0"</f>
        <v>#VALUE!</v>
      </c>
      <c r="K434" t="e">
        <f>'Australia and Oceania'!16:16-"$F;@!5&amp;1"</f>
        <v>#VALUE!</v>
      </c>
      <c r="L434" t="e">
        <f>'Australia and Oceania'!17:17-"$F;@!5&amp;2"</f>
        <v>#VALUE!</v>
      </c>
      <c r="M434" t="e">
        <f>'Australia and Oceania'!18:18-"$F;@!5&amp;3"</f>
        <v>#VALUE!</v>
      </c>
      <c r="N434" t="e">
        <f>'Australia and Oceania'!19:19-"$F;@!5&amp;4"</f>
        <v>#VALUE!</v>
      </c>
      <c r="O434" t="e">
        <f>'Australia and Oceania'!20:20-"$F;@!5&amp;5"</f>
        <v>#VALUE!</v>
      </c>
      <c r="P434" t="e">
        <f>'Australia and Oceania'!21:21-"$F;@!5&amp;6"</f>
        <v>#VALUE!</v>
      </c>
      <c r="Q434" t="e">
        <f>'Australia and Oceania'!22:22-"$F;@!5&amp;7"</f>
        <v>#VALUE!</v>
      </c>
      <c r="R434" t="e">
        <f>'Australia and Oceania'!23:23-"$F;@!5&amp;8"</f>
        <v>#VALUE!</v>
      </c>
      <c r="S434" t="e">
        <f>'Australia and Oceania'!24:24-"$F;@!5&amp;9"</f>
        <v>#VALUE!</v>
      </c>
      <c r="T434" t="e">
        <f>'Australia and Oceania'!25:25-"$F;@!5&amp;:"</f>
        <v>#VALUE!</v>
      </c>
      <c r="U434" t="e">
        <f>'Australia and Oceania'!26:26-"$F;@!5&amp;;"</f>
        <v>#VALUE!</v>
      </c>
      <c r="V434" t="e">
        <f>'Australia and Oceania'!27:27-"$F;@!5&amp;&lt;"</f>
        <v>#VALUE!</v>
      </c>
      <c r="W434" t="e">
        <f>'Australia and Oceania'!28:28-"$F;@!5&amp;="</f>
        <v>#VALUE!</v>
      </c>
      <c r="X434" t="e">
        <f>'Australia and Oceania'!29:29-"$F;@!5&amp;&gt;"</f>
        <v>#VALUE!</v>
      </c>
      <c r="Y434" t="e">
        <f>'Australia and Oceania'!30:30-"$F;@!5&amp;?"</f>
        <v>#VALUE!</v>
      </c>
      <c r="Z434" t="e">
        <f>'Australia and Oceania'!31:31-"$F;@!5&amp;@"</f>
        <v>#VALUE!</v>
      </c>
      <c r="AA434" t="e">
        <f>'Australia and Oceania'!32:32-"$F;@!5&amp;A"</f>
        <v>#VALUE!</v>
      </c>
      <c r="AB434" t="e">
        <f>'Australia and Oceania'!33:33-"$F;@!5&amp;B"</f>
        <v>#VALUE!</v>
      </c>
      <c r="AC434" t="e">
        <f>'Australia and Oceania'!34:34-"$F;@!5&amp;C"</f>
        <v>#VALUE!</v>
      </c>
      <c r="AD434" t="e">
        <f>'Australia and Oceania'!35:35-"$F;@!5&amp;D"</f>
        <v>#VALUE!</v>
      </c>
      <c r="AE434" t="e">
        <f>'Australia and Oceania'!36:36-"$F;@!5&amp;E"</f>
        <v>#VALUE!</v>
      </c>
      <c r="AF434" t="e">
        <f>'Australia and Oceania'!37:37-"$F;@!5&amp;F"</f>
        <v>#VALUE!</v>
      </c>
      <c r="AG434" t="e">
        <f>'Australia and Oceania'!38:38-"$F;@!5&amp;G"</f>
        <v>#VALUE!</v>
      </c>
      <c r="AH434" t="e">
        <f>'Australia and Oceania'!39:39-"$F;@!5&amp;H"</f>
        <v>#VALUE!</v>
      </c>
      <c r="AI434" t="e">
        <f>'Australia and Oceania'!40:40-"$F;@!5&amp;I"</f>
        <v>#VALUE!</v>
      </c>
      <c r="AJ434" t="e">
        <f>'Australia and Oceania'!41:41-"$F;@!5&amp;J"</f>
        <v>#VALUE!</v>
      </c>
      <c r="AK434" t="e">
        <f>'Australia and Oceania'!42:42-"$F;@!5&amp;K"</f>
        <v>#VALUE!</v>
      </c>
      <c r="AL434" t="e">
        <f>'Australia and Oceania'!43:43-"$F;@!5&amp;L"</f>
        <v>#VALUE!</v>
      </c>
      <c r="AM434" t="e">
        <f>'Australia and Oceania'!44:44-"$F;@!5&amp;M"</f>
        <v>#VALUE!</v>
      </c>
      <c r="AN434" t="e">
        <f>'Australia and Oceania'!45:45-"$F;@!5&amp;N"</f>
        <v>#VALUE!</v>
      </c>
      <c r="AO434" t="e">
        <f>'Australia and Oceania'!46:46-"$F;@!5&amp;O"</f>
        <v>#VALUE!</v>
      </c>
      <c r="AP434" t="e">
        <f>'Australia and Oceania'!47:47-"$F;@!5&amp;P"</f>
        <v>#VALUE!</v>
      </c>
      <c r="AQ434" t="e">
        <f>'Australia and Oceania'!48:48-"$F;@!5&amp;Q"</f>
        <v>#VALUE!</v>
      </c>
      <c r="AR434" t="e">
        <f>'Australia and Oceania'!49:49-"$F;@!5&amp;R"</f>
        <v>#VALUE!</v>
      </c>
      <c r="AS434" t="e">
        <f>'Australia and Oceania'!50:50-"$F;@!5&amp;S"</f>
        <v>#VALUE!</v>
      </c>
      <c r="AT434" t="e">
        <f>'Australia and Oceania'!51:51-"$F;@!5&amp;T"</f>
        <v>#VALUE!</v>
      </c>
      <c r="AU434" t="e">
        <f>'Australia and Oceania'!52:52-"$F;@!5&amp;U"</f>
        <v>#VALUE!</v>
      </c>
      <c r="AV434" t="e">
        <f>'Australia and Oceania'!53:53-"$F;@!5&amp;V"</f>
        <v>#VALUE!</v>
      </c>
      <c r="AW434" t="e">
        <f>'Australia and Oceania'!54:54-"$F;@!5&amp;W"</f>
        <v>#VALUE!</v>
      </c>
      <c r="AX434" t="e">
        <f>'Australia and Oceania'!55:55-"$F;@!5&amp;X"</f>
        <v>#VALUE!</v>
      </c>
      <c r="AY434" t="e">
        <f>'Australia and Oceania'!56:56-"$F;@!5&amp;Y"</f>
        <v>#VALUE!</v>
      </c>
      <c r="AZ434" t="e">
        <f>'Australia and Oceania'!57:57-"$F;@!5&amp;Z"</f>
        <v>#VALUE!</v>
      </c>
      <c r="BA434" t="e">
        <f>'Australia and Oceania'!58:58-"$F;@!5&amp;["</f>
        <v>#VALUE!</v>
      </c>
      <c r="BB434" t="e">
        <f>'Australia and Oceania'!59:59-"$F;@!5&amp;\"</f>
        <v>#VALUE!</v>
      </c>
      <c r="BC434" t="e">
        <f>'Australia and Oceania'!60:60-"$F;@!5&amp;]"</f>
        <v>#VALUE!</v>
      </c>
      <c r="BD434" t="e">
        <f>'Australia and Oceania'!61:61-"$F;@!5&amp;^"</f>
        <v>#VALUE!</v>
      </c>
      <c r="BE434" t="e">
        <f>'Australia and Oceania'!62:62-"$F;@!5&amp;_"</f>
        <v>#VALUE!</v>
      </c>
      <c r="BF434" t="e">
        <f>'Australia and Oceania'!63:63-"$F;@!5&amp;`"</f>
        <v>#VALUE!</v>
      </c>
      <c r="BG434" t="e">
        <f>'Australia and Oceania'!64:64-"$F;@!5&amp;a"</f>
        <v>#VALUE!</v>
      </c>
      <c r="BH434" t="e">
        <f>'Australia and Oceania'!65:65-"$F;@!5&amp;b"</f>
        <v>#VALUE!</v>
      </c>
      <c r="BI434" t="e">
        <f>'Australia and Oceania'!66:66-"$F;@!5&amp;c"</f>
        <v>#VALUE!</v>
      </c>
      <c r="BJ434" t="e">
        <f>'Australia and Oceania'!67:67-"$F;@!5&amp;d"</f>
        <v>#VALUE!</v>
      </c>
      <c r="BK434" t="e">
        <f>'Australia and Oceania'!68:68-"$F;@!5&amp;e"</f>
        <v>#VALUE!</v>
      </c>
      <c r="BL434" t="e">
        <f>'Australia and Oceania'!69:69-"$F;@!5&amp;f"</f>
        <v>#VALUE!</v>
      </c>
      <c r="BM434" t="e">
        <f>'Australia and Oceania'!70:70-"$F;@!5&amp;g"</f>
        <v>#VALUE!</v>
      </c>
      <c r="BN434" t="e">
        <f>'Australia and Oceania'!71:71-"$F;@!5&amp;h"</f>
        <v>#VALUE!</v>
      </c>
      <c r="BO434" t="e">
        <f>'Australia and Oceania'!72:72-"$F;@!5&amp;i"</f>
        <v>#VALUE!</v>
      </c>
      <c r="BP434" t="e">
        <f>'Australia and Oceania'!73:73-"$F;@!5&amp;j"</f>
        <v>#VALUE!</v>
      </c>
      <c r="BQ434" t="e">
        <f>'Australia and Oceania'!74:74-"$F;@!5&amp;k"</f>
        <v>#VALUE!</v>
      </c>
      <c r="BR434" t="e">
        <f>'Australia and Oceania'!75:75-"$F;@!5&amp;l"</f>
        <v>#VALUE!</v>
      </c>
      <c r="BS434" t="e">
        <f>'Australia and Oceania'!76:76-"$F;@!5&amp;m"</f>
        <v>#VALUE!</v>
      </c>
      <c r="BT434" t="e">
        <f>'Australia and Oceania'!77:77-"$F;@!5&amp;n"</f>
        <v>#VALUE!</v>
      </c>
      <c r="BU434" t="e">
        <f>'Australia and Oceania'!78:78-"$F;@!5&amp;o"</f>
        <v>#VALUE!</v>
      </c>
      <c r="BV434" t="e">
        <f>'Australia and Oceania'!79:79-"$F;@!5&amp;p"</f>
        <v>#VALUE!</v>
      </c>
      <c r="BW434" t="e">
        <f>'Australia and Oceania'!80:80-"$F;@!5&amp;q"</f>
        <v>#VALUE!</v>
      </c>
      <c r="BX434" t="e">
        <f>'Australia and Oceania'!81:81-"$F;@!5&amp;r"</f>
        <v>#VALUE!</v>
      </c>
      <c r="BY434" t="e">
        <f>'Australia and Oceania'!82:82-"$F;@!5&amp;s"</f>
        <v>#VALUE!</v>
      </c>
      <c r="BZ434" t="e">
        <f>'Australia and Oceania'!83:83-"$F;@!5&amp;t"</f>
        <v>#VALUE!</v>
      </c>
      <c r="CA434" t="e">
        <f>'Australia and Oceania'!84:84-"$F;@!5&amp;u"</f>
        <v>#VALUE!</v>
      </c>
      <c r="CB434" t="e">
        <f>'Australia and Oceania'!85:85-"$F;@!5&amp;v"</f>
        <v>#VALUE!</v>
      </c>
      <c r="CC434" t="e">
        <f>'Australia and Oceania'!86:86-"$F;@!5&amp;w"</f>
        <v>#VALUE!</v>
      </c>
      <c r="CD434" t="e">
        <f>'Australia and Oceania'!87:87-"$F;@!5&amp;x"</f>
        <v>#VALUE!</v>
      </c>
      <c r="CE434" t="e">
        <f>'Australia and Oceania'!88:88-"$F;@!5&amp;y"</f>
        <v>#VALUE!</v>
      </c>
      <c r="CF434" t="e">
        <f>'Australia and Oceania'!89:89-"$F;@!5&amp;z"</f>
        <v>#VALUE!</v>
      </c>
      <c r="CG434" t="e">
        <f>'Australia and Oceania'!90:90-"$F;@!5&amp;{"</f>
        <v>#VALUE!</v>
      </c>
      <c r="CH434" t="e">
        <f>'Australia and Oceania'!91:91-"$F;@!5&amp;|"</f>
        <v>#VALUE!</v>
      </c>
      <c r="CI434" t="e">
        <f>'Australia and Oceania'!92:92-"$F;@!5&amp;}"</f>
        <v>#VALUE!</v>
      </c>
      <c r="CJ434" t="e">
        <f>'Australia and Oceania'!93:93-"$F;@!5&amp;~"</f>
        <v>#VALUE!</v>
      </c>
      <c r="CK434" t="e">
        <f>'Australia and Oceania'!94:94-"$F;@!5'#"</f>
        <v>#VALUE!</v>
      </c>
      <c r="CL434" t="e">
        <f>'Australia and Oceania'!95:95-"$F;@!5'$"</f>
        <v>#VALUE!</v>
      </c>
      <c r="CM434" t="e">
        <f>'Australia and Oceania'!96:96-"$F;@!5'%"</f>
        <v>#VALUE!</v>
      </c>
      <c r="CN434" t="e">
        <f>'Australia and Oceania'!97:97-"$F;@!5'&amp;"</f>
        <v>#VALUE!</v>
      </c>
      <c r="CO434" t="e">
        <f>'Australia and Oceania'!98:98-"$F;@!5''"</f>
        <v>#VALUE!</v>
      </c>
      <c r="CP434" t="e">
        <f>'Australia and Oceania'!99:99-"$F;@!5'("</f>
        <v>#VALUE!</v>
      </c>
      <c r="CQ434" t="e">
        <f>'Australia and Oceania'!100:100-"$F;@!5')"</f>
        <v>#VALUE!</v>
      </c>
      <c r="CR434" t="e">
        <f>'Australia and Oceania'!101:101-"$F;@!5'."</f>
        <v>#VALUE!</v>
      </c>
      <c r="CS434" t="e">
        <f>'Australia and Oceania'!102:102-"$F;@!5'/"</f>
        <v>#VALUE!</v>
      </c>
      <c r="CT434" t="e">
        <f>'Australia and Oceania'!103:103-"$F;@!5'0"</f>
        <v>#VALUE!</v>
      </c>
      <c r="CU434" t="e">
        <f>'Australia and Oceania'!104:104-"$F;@!5'1"</f>
        <v>#VALUE!</v>
      </c>
      <c r="CV434" t="e">
        <f>'Australia and Oceania'!105:105-"$F;@!5'2"</f>
        <v>#VALUE!</v>
      </c>
      <c r="CW434" t="e">
        <f>'Australia and Oceania'!106:106-"$F;@!5'3"</f>
        <v>#VALUE!</v>
      </c>
      <c r="CX434" t="e">
        <f>'Australia and Oceania'!107:107-"$F;@!5'4"</f>
        <v>#VALUE!</v>
      </c>
      <c r="CY434" t="e">
        <f>'Australia and Oceania'!108:108-"$F;@!5'5"</f>
        <v>#VALUE!</v>
      </c>
      <c r="CZ434" t="e">
        <f>'Australia and Oceania'!109:109-"$F;@!5'6"</f>
        <v>#VALUE!</v>
      </c>
      <c r="DA434" t="e">
        <f>'Australia and Oceania'!110:110-"$F;@!5'7"</f>
        <v>#VALUE!</v>
      </c>
      <c r="DB434" t="e">
        <f>'Australia and Oceania'!111:111-"$F;@!5'8"</f>
        <v>#VALUE!</v>
      </c>
      <c r="DC434" t="e">
        <f>'Australia and Oceania'!112:112-"$F;@!5'9"</f>
        <v>#VALUE!</v>
      </c>
      <c r="DD434" t="e">
        <f>'Australia and Oceania'!113:113-"$F;@!5':"</f>
        <v>#VALUE!</v>
      </c>
      <c r="DE434" t="e">
        <f>'Australia and Oceania'!114:114-"$F;@!5';"</f>
        <v>#VALUE!</v>
      </c>
      <c r="DF434" t="e">
        <f>'Australia and Oceania'!115:115-"$F;@!5'&lt;"</f>
        <v>#VALUE!</v>
      </c>
      <c r="DG434" t="e">
        <f>'Australia and Oceania'!116:116-"$F;@!5'="</f>
        <v>#VALUE!</v>
      </c>
      <c r="DH434" t="e">
        <f>'Australia and Oceania'!117:117-"$F;@!5'&gt;"</f>
        <v>#VALUE!</v>
      </c>
      <c r="DI434" t="e">
        <f>'Australia and Oceania'!118:118-"$F;@!5'?"</f>
        <v>#VALUE!</v>
      </c>
      <c r="DJ434" t="e">
        <f>'Australia and Oceania'!119:119-"$F;@!5'@"</f>
        <v>#VALUE!</v>
      </c>
      <c r="DK434" t="e">
        <f>'Australia and Oceania'!120:120-"$F;@!5'A"</f>
        <v>#VALUE!</v>
      </c>
      <c r="DL434" t="e">
        <f>'Australia and Oceania'!121:121-"$F;@!5'B"</f>
        <v>#VALUE!</v>
      </c>
      <c r="DM434" t="e">
        <f>'Australia and Oceania'!122:122-"$F;@!5'C"</f>
        <v>#VALUE!</v>
      </c>
      <c r="DN434" t="e">
        <f>'Australia and Oceania'!123:123-"$F;@!5'D"</f>
        <v>#VALUE!</v>
      </c>
      <c r="DO434" t="e">
        <f>'Australia and Oceania'!124:124-"$F;@!5'E"</f>
        <v>#VALUE!</v>
      </c>
      <c r="DP434" t="e">
        <f>'Australia and Oceania'!125:125-"$F;@!5'F"</f>
        <v>#VALUE!</v>
      </c>
      <c r="DQ434" t="e">
        <f>'Australia and Oceania'!126:126-"$F;@!5'G"</f>
        <v>#VALUE!</v>
      </c>
      <c r="DR434" t="e">
        <f>'Australia and Oceania'!127:127-"$F;@!5'H"</f>
        <v>#VALUE!</v>
      </c>
      <c r="DS434" t="e">
        <f>'Australia and Oceania'!128:128-"$F;@!5'I"</f>
        <v>#VALUE!</v>
      </c>
      <c r="DT434" t="e">
        <f>'Australia and Oceania'!129:129-"$F;@!5'J"</f>
        <v>#VALUE!</v>
      </c>
      <c r="DU434" t="e">
        <f>'Australia and Oceania'!130:130-"$F;@!5'K"</f>
        <v>#VALUE!</v>
      </c>
      <c r="DV434" t="e">
        <f>'Australia and Oceania'!131:131-"$F;@!5'L"</f>
        <v>#VALUE!</v>
      </c>
      <c r="DW434" t="e">
        <f>'Australia and Oceania'!132:132-"$F;@!5'M"</f>
        <v>#VALUE!</v>
      </c>
      <c r="DX434" t="e">
        <f>'Australia and Oceania'!133:133-"$F;@!5'N"</f>
        <v>#VALUE!</v>
      </c>
      <c r="DY434" t="e">
        <f>'Australia and Oceania'!134:134-"$F;@!5'O"</f>
        <v>#VALUE!</v>
      </c>
      <c r="DZ434" t="e">
        <f>'Australia and Oceania'!135:135-"$F;@!5'P"</f>
        <v>#VALUE!</v>
      </c>
      <c r="EA434" t="e">
        <f>'Australia and Oceania'!136:136-"$F;@!5'Q"</f>
        <v>#VALUE!</v>
      </c>
      <c r="EB434" t="e">
        <f>'Australia and Oceania'!137:137-"$F;@!5'R"</f>
        <v>#VALUE!</v>
      </c>
      <c r="EC434" t="e">
        <f>'Australia and Oceania'!138:138-"$F;@!5'S"</f>
        <v>#VALUE!</v>
      </c>
      <c r="ED434" t="e">
        <f>'Australia and Oceania'!139:139-"$F;@!5'T"</f>
        <v>#VALUE!</v>
      </c>
      <c r="EE434" t="e">
        <f>'Australia and Oceania'!140:140-"$F;@!5'U"</f>
        <v>#VALUE!</v>
      </c>
      <c r="EF434" t="e">
        <f>'Australia and Oceania'!141:141-"$F;@!5'V"</f>
        <v>#VALUE!</v>
      </c>
      <c r="EG434" t="e">
        <f>'Australia and Oceania'!142:142-"$F;@!5'W"</f>
        <v>#VALUE!</v>
      </c>
      <c r="EH434" t="e">
        <f>'Australia and Oceania'!143:143-"$F;@!5'X"</f>
        <v>#VALUE!</v>
      </c>
      <c r="EI434" t="e">
        <f>'Australia and Oceania'!144:144-"$F;@!5'Y"</f>
        <v>#VALUE!</v>
      </c>
      <c r="EJ434" t="e">
        <f>'Australia and Oceania'!145:145-"$F;@!5'Z"</f>
        <v>#VALUE!</v>
      </c>
      <c r="EK434" t="e">
        <f>'Australia and Oceania'!146:146-"$F;@!5'["</f>
        <v>#VALUE!</v>
      </c>
      <c r="EL434" t="e">
        <f>'Australia and Oceania'!147:147-"$F;@!5'\"</f>
        <v>#VALUE!</v>
      </c>
      <c r="EM434" t="e">
        <f>'Australia and Oceania'!148:148-"$F;@!5']"</f>
        <v>#VALUE!</v>
      </c>
      <c r="EN434" t="e">
        <f>'Australia and Oceania'!149:149-"$F;@!5'^"</f>
        <v>#VALUE!</v>
      </c>
      <c r="EO434" t="e">
        <f>'Australia and Oceania'!150:150-"$F;@!5'_"</f>
        <v>#VALUE!</v>
      </c>
      <c r="EP434" t="e">
        <f>'Australia and Oceania'!151:151-"$F;@!5'`"</f>
        <v>#VALUE!</v>
      </c>
      <c r="EQ434" t="e">
        <f>'Australia and Oceania'!152:152-"$F;@!5'a"</f>
        <v>#VALUE!</v>
      </c>
      <c r="ER434" t="e">
        <f>'Australia and Oceania'!153:153-"$F;@!5'b"</f>
        <v>#VALUE!</v>
      </c>
      <c r="ES434" t="e">
        <f>'Australia and Oceania'!154:154-"$F;@!5'c"</f>
        <v>#VALUE!</v>
      </c>
      <c r="ET434" t="e">
        <f>'Australia and Oceania'!155:155-"$F;@!5'd"</f>
        <v>#VALUE!</v>
      </c>
      <c r="EU434" t="e">
        <f>'Australia and Oceania'!156:156-"$F;@!5'e"</f>
        <v>#VALUE!</v>
      </c>
      <c r="EV434" t="e">
        <f>'Australia and Oceania'!157:157-"$F;@!5'f"</f>
        <v>#VALUE!</v>
      </c>
      <c r="EW434" t="e">
        <f>'Australia and Oceania'!158:158-"$F;@!5'g"</f>
        <v>#VALUE!</v>
      </c>
      <c r="EX434" t="e">
        <f>'Australia and Oceania'!159:159-"$F;@!5'h"</f>
        <v>#VALUE!</v>
      </c>
      <c r="EY434" t="e">
        <f>'Australia and Oceania'!160:160-"$F;@!5'i"</f>
        <v>#VALUE!</v>
      </c>
      <c r="EZ434" t="e">
        <f>'Australia and Oceania'!161:161-"$F;@!5'j"</f>
        <v>#VALUE!</v>
      </c>
      <c r="FA434" t="e">
        <f>'Australia and Oceania'!162:162-"$F;@!5'k"</f>
        <v>#VALUE!</v>
      </c>
      <c r="FB434" t="e">
        <f>'Australia and Oceania'!163:163-"$F;@!5'l"</f>
        <v>#VALUE!</v>
      </c>
      <c r="FC434" t="e">
        <f>'Australia and Oceania'!164:164-"$F;@!5'm"</f>
        <v>#VALUE!</v>
      </c>
      <c r="FD434" t="e">
        <f>'Australia and Oceania'!165:165-"$F;@!5'n"</f>
        <v>#VALUE!</v>
      </c>
      <c r="FE434" t="e">
        <f>'Australia and Oceania'!166:166-"$F;@!5'o"</f>
        <v>#VALUE!</v>
      </c>
      <c r="FF434" t="e">
        <f>'Australia and Oceania'!167:167-"$F;@!5'p"</f>
        <v>#VALUE!</v>
      </c>
      <c r="FG434" t="e">
        <f>'Australia and Oceania'!168:168-"$F;@!5'q"</f>
        <v>#VALUE!</v>
      </c>
      <c r="FH434" t="e">
        <f>'Australia and Oceania'!169:169-"$F;@!5'r"</f>
        <v>#VALUE!</v>
      </c>
      <c r="FI434" t="e">
        <f>'Australia and Oceania'!170:170-"$F;@!5's"</f>
        <v>#VALUE!</v>
      </c>
      <c r="FJ434" t="e">
        <f>'Australia and Oceania'!171:171-"$F;@!5't"</f>
        <v>#VALUE!</v>
      </c>
      <c r="FK434" t="e">
        <f>'Australia and Oceania'!172:172-"$F;@!5'u"</f>
        <v>#VALUE!</v>
      </c>
      <c r="FL434" t="e">
        <f>'Australia and Oceania'!173:173-"$F;@!5'v"</f>
        <v>#VALUE!</v>
      </c>
      <c r="FM434" t="e">
        <f>'Australia and Oceania'!174:174-"$F;@!5'w"</f>
        <v>#VALUE!</v>
      </c>
      <c r="FN434" t="e">
        <f>'Australia and Oceania'!175:175-"$F;@!5'x"</f>
        <v>#VALUE!</v>
      </c>
      <c r="FO434" t="e">
        <f>'Australia and Oceania'!176:176-"$F;@!5'y"</f>
        <v>#VALUE!</v>
      </c>
      <c r="FP434" t="e">
        <f>'Australia and Oceania'!177:177-"$F;@!5'z"</f>
        <v>#VALUE!</v>
      </c>
      <c r="FQ434" t="e">
        <f>'Australia and Oceania'!178:178-"$F;@!5'{"</f>
        <v>#VALUE!</v>
      </c>
      <c r="FR434" t="e">
        <f>'Australia and Oceania'!179:179-"$F;@!5'|"</f>
        <v>#VALUE!</v>
      </c>
      <c r="FS434" t="e">
        <f>'Australia and Oceania'!180:180-"$F;@!5'}"</f>
        <v>#VALUE!</v>
      </c>
      <c r="FT434" t="e">
        <f>'Australia and Oceania'!181:181-"$F;@!5'~"</f>
        <v>#VALUE!</v>
      </c>
      <c r="FU434" t="e">
        <f>'Australia and Oceania'!182:182-"$F;@!5(#"</f>
        <v>#VALUE!</v>
      </c>
      <c r="FV434" t="e">
        <f>'Australia and Oceania'!183:183-"$F;@!5($"</f>
        <v>#VALUE!</v>
      </c>
      <c r="FW434" t="e">
        <f>'Australia and Oceania'!184:184-"$F;@!5(%"</f>
        <v>#VALUE!</v>
      </c>
      <c r="FX434" t="e">
        <f>'Australia and Oceania'!185:185-"$F;@!5(&amp;"</f>
        <v>#VALUE!</v>
      </c>
      <c r="FY434" t="e">
        <f>'Australia and Oceania'!186:186-"$F;@!5('"</f>
        <v>#VALUE!</v>
      </c>
      <c r="FZ434" t="e">
        <f>'Australia and Oceania'!187:187-"$F;@!5(("</f>
        <v>#VALUE!</v>
      </c>
      <c r="GA434" t="e">
        <f>'Australia and Oceania'!188:188-"$F;@!5()"</f>
        <v>#VALUE!</v>
      </c>
      <c r="GB434" t="e">
        <f>'Australia and Oceania'!189:189-"$F;@!5(."</f>
        <v>#VALUE!</v>
      </c>
      <c r="GC434" t="e">
        <f>'Australia and Oceania'!190:190-"$F;@!5(/"</f>
        <v>#VALUE!</v>
      </c>
      <c r="GD434" t="e">
        <f>'Australia and Oceania'!191:191-"$F;@!5(0"</f>
        <v>#VALUE!</v>
      </c>
      <c r="GE434" t="e">
        <f>'Australia and Oceania'!192:192-"$F;@!5(1"</f>
        <v>#VALUE!</v>
      </c>
      <c r="GF434" t="e">
        <f>'Australia and Oceania'!193:193-"$F;@!5(2"</f>
        <v>#VALUE!</v>
      </c>
      <c r="GG434" t="e">
        <f>'Australia and Oceania'!194:194-"$F;@!5(3"</f>
        <v>#VALUE!</v>
      </c>
      <c r="GH434" t="e">
        <f>'Australia and Oceania'!195:195-"$F;@!5(4"</f>
        <v>#VALUE!</v>
      </c>
      <c r="GI434" t="e">
        <f>'Australia and Oceania'!196:196-"$F;@!5(5"</f>
        <v>#VALUE!</v>
      </c>
      <c r="GJ434" t="e">
        <f>'Australia and Oceania'!197:197-"$F;@!5(6"</f>
        <v>#VALUE!</v>
      </c>
      <c r="GK434" t="e">
        <f>'Australia and Oceania'!198:198-"$F;@!5(7"</f>
        <v>#VALUE!</v>
      </c>
      <c r="GL434" t="e">
        <f>'Australia and Oceania'!199:199-"$F;@!5(8"</f>
        <v>#VALUE!</v>
      </c>
      <c r="GM434" t="e">
        <f>'Australia and Oceania'!200:200-"$F;@!5(9"</f>
        <v>#VALUE!</v>
      </c>
      <c r="GN434" t="e">
        <f>'Australia and Oceania'!201:201-"$F;@!5(:"</f>
        <v>#VALUE!</v>
      </c>
      <c r="GO434" t="e">
        <f>'Australia and Oceania'!202:202-"$F;@!5(;"</f>
        <v>#VALUE!</v>
      </c>
      <c r="GP434" t="e">
        <f>'Australia and Oceania'!203:203-"$F;@!5(&lt;"</f>
        <v>#VALUE!</v>
      </c>
      <c r="GQ434" t="e">
        <f>'Australia and Oceania'!204:204-"$F;@!5(="</f>
        <v>#VALUE!</v>
      </c>
      <c r="GR434" t="e">
        <f>'Australia and Oceania'!205:205-"$F;@!5(&gt;"</f>
        <v>#VALUE!</v>
      </c>
      <c r="GS434" t="e">
        <f>'Australia and Oceania'!206:206-"$F;@!5(?"</f>
        <v>#VALUE!</v>
      </c>
      <c r="GT434" t="e">
        <f>'Australia and Oceania'!207:207-"$F;@!5(@"</f>
        <v>#VALUE!</v>
      </c>
      <c r="GU434" t="e">
        <f>'Australia and Oceania'!208:208-"$F;@!5(A"</f>
        <v>#VALUE!</v>
      </c>
      <c r="GV434" t="e">
        <f>'Australia and Oceania'!209:209-"$F;@!5(B"</f>
        <v>#VALUE!</v>
      </c>
      <c r="GW434" t="e">
        <f>'Australia and Oceania'!210:210-"$F;@!5(C"</f>
        <v>#VALUE!</v>
      </c>
      <c r="GX434" t="e">
        <f>'Australia and Oceania'!211:211-"$F;@!5(D"</f>
        <v>#VALUE!</v>
      </c>
      <c r="GY434" t="e">
        <f>'Australia and Oceania'!212:212-"$F;@!5(E"</f>
        <v>#VALUE!</v>
      </c>
      <c r="GZ434" t="e">
        <f>'Australia and Oceania'!213:213-"$F;@!5(F"</f>
        <v>#VALUE!</v>
      </c>
      <c r="HA434" t="e">
        <f>'Australia and Oceania'!214:214-"$F;@!5(G"</f>
        <v>#VALUE!</v>
      </c>
      <c r="HB434" t="e">
        <f>'Australia and Oceania'!215:215-"$F;@!5(H"</f>
        <v>#VALUE!</v>
      </c>
      <c r="HC434" t="e">
        <f>'Australia and Oceania'!216:216-"$F;@!5(I"</f>
        <v>#VALUE!</v>
      </c>
      <c r="HD434" t="e">
        <f>'Australia and Oceania'!217:217-"$F;@!5(J"</f>
        <v>#VALUE!</v>
      </c>
      <c r="HE434" t="e">
        <f>'Australia and Oceania'!218:218-"$F;@!5(K"</f>
        <v>#VALUE!</v>
      </c>
      <c r="HF434" t="e">
        <f>'Australia and Oceania'!219:219-"$F;@!5(L"</f>
        <v>#VALUE!</v>
      </c>
      <c r="HG434" t="e">
        <f>'Australia and Oceania'!220:220-"$F;@!5(M"</f>
        <v>#VALUE!</v>
      </c>
      <c r="HH434" t="e">
        <f>'Australia and Oceania'!221:221-"$F;@!5(N"</f>
        <v>#VALUE!</v>
      </c>
      <c r="HI434" t="e">
        <f>'Australia and Oceania'!222:222-"$F;@!5(O"</f>
        <v>#VALUE!</v>
      </c>
      <c r="HJ434" t="e">
        <f>'Australia and Oceania'!223:223-"$F;@!5(P"</f>
        <v>#VALUE!</v>
      </c>
      <c r="HK434" t="e">
        <f>'Australia and Oceania'!224:224-"$F;@!5(Q"</f>
        <v>#VALUE!</v>
      </c>
      <c r="HL434" t="e">
        <f>'Australia and Oceania'!225:225-"$F;@!5(R"</f>
        <v>#VALUE!</v>
      </c>
      <c r="HM434" t="e">
        <f>'Australia and Oceania'!226:226-"$F;@!5(S"</f>
        <v>#VALUE!</v>
      </c>
      <c r="HN434" t="e">
        <f>'Australia and Oceania'!227:227-"$F;@!5(T"</f>
        <v>#VALUE!</v>
      </c>
      <c r="HO434" t="e">
        <f>'Australia and Oceania'!228:228-"$F;@!5(U"</f>
        <v>#VALUE!</v>
      </c>
      <c r="HP434" t="e">
        <f>'Australia and Oceania'!229:229-"$F;@!5(V"</f>
        <v>#VALUE!</v>
      </c>
      <c r="HQ434" t="e">
        <f>'Australia and Oceania'!230:230-"$F;@!5(W"</f>
        <v>#VALUE!</v>
      </c>
      <c r="HR434" t="e">
        <f>'Australia and Oceania'!231:231-"$F;@!5(X"</f>
        <v>#VALUE!</v>
      </c>
      <c r="HS434" t="e">
        <f>'Australia and Oceania'!232:232-"$F;@!5(Y"</f>
        <v>#VALUE!</v>
      </c>
      <c r="HT434" t="e">
        <f>'Australia and Oceania'!233:233-"$F;@!5(Z"</f>
        <v>#VALUE!</v>
      </c>
      <c r="HU434" t="e">
        <f>'Australia and Oceania'!234:234-"$F;@!5(["</f>
        <v>#VALUE!</v>
      </c>
      <c r="HV434" t="e">
        <f>'Australia and Oceania'!235:235-"$F;@!5(\"</f>
        <v>#VALUE!</v>
      </c>
      <c r="HW434" t="e">
        <f>'Australia and Oceania'!236:236-"$F;@!5(]"</f>
        <v>#VALUE!</v>
      </c>
      <c r="HX434" t="e">
        <f>'Australia and Oceania'!237:237-"$F;@!5(^"</f>
        <v>#VALUE!</v>
      </c>
      <c r="HY434" t="e">
        <f>'Australia and Oceania'!238:238-"$F;@!5(_"</f>
        <v>#VALUE!</v>
      </c>
      <c r="HZ434" t="e">
        <f>'Australia and Oceania'!239:239-"$F;@!5(`"</f>
        <v>#VALUE!</v>
      </c>
      <c r="IA434" t="e">
        <f>'Australia and Oceania'!240:240-"$F;@!5(a"</f>
        <v>#VALUE!</v>
      </c>
      <c r="IB434" t="e">
        <f>'Australia and Oceania'!241:241-"$F;@!5(b"</f>
        <v>#VALUE!</v>
      </c>
      <c r="IC434" t="e">
        <f>'Australia and Oceania'!242:242-"$F;@!5(c"</f>
        <v>#VALUE!</v>
      </c>
      <c r="ID434" t="e">
        <f>'Australia and Oceania'!243:243-"$F;@!5(d"</f>
        <v>#VALUE!</v>
      </c>
      <c r="IE434" t="e">
        <f>'Australia and Oceania'!244:244-"$F;@!5(e"</f>
        <v>#VALUE!</v>
      </c>
      <c r="IF434" t="e">
        <f>'Australia and Oceania'!245:245-"$F;@!5(f"</f>
        <v>#VALUE!</v>
      </c>
      <c r="IG434" t="e">
        <f>'Australia and Oceania'!246:246-"$F;@!5(g"</f>
        <v>#VALUE!</v>
      </c>
      <c r="IH434" t="e">
        <f>'Australia and Oceania'!247:247-"$F;@!5(h"</f>
        <v>#VALUE!</v>
      </c>
      <c r="II434" t="e">
        <f>'Australia and Oceania'!248:248-"$F;@!5(i"</f>
        <v>#VALUE!</v>
      </c>
      <c r="IJ434" t="e">
        <f>'Australia and Oceania'!249:249-"$F;@!5(j"</f>
        <v>#VALUE!</v>
      </c>
      <c r="IK434" t="e">
        <f>'Australia and Oceania'!250:250-"$F;@!5(k"</f>
        <v>#VALUE!</v>
      </c>
      <c r="IL434" t="e">
        <f>'Australia and Oceania'!251:251-"$F;@!5(l"</f>
        <v>#VALUE!</v>
      </c>
      <c r="IM434" t="e">
        <f>'Australia and Oceania'!252:252-"$F;@!5(m"</f>
        <v>#VALUE!</v>
      </c>
      <c r="IN434" t="e">
        <f>'Australia and Oceania'!253:253-"$F;@!5(n"</f>
        <v>#VALUE!</v>
      </c>
      <c r="IO434" t="e">
        <f>'Australia and Oceania'!254:254-"$F;@!5(o"</f>
        <v>#VALUE!</v>
      </c>
      <c r="IP434" t="e">
        <f>'Australia and Oceania'!255:255-"$F;@!5(p"</f>
        <v>#VALUE!</v>
      </c>
      <c r="IQ434" t="e">
        <f>'Australia and Oceania'!256:256-"$F;@!5(q"</f>
        <v>#VALUE!</v>
      </c>
      <c r="IR434" t="e">
        <f>'Australia and Oceania'!257:257-"$F;@!5(r"</f>
        <v>#VALUE!</v>
      </c>
      <c r="IS434" t="e">
        <f>'Australia and Oceania'!258:258-"$F;@!5(s"</f>
        <v>#VALUE!</v>
      </c>
      <c r="IT434" t="e">
        <f>'Australia and Oceania'!259:259-"$F;@!5(t"</f>
        <v>#VALUE!</v>
      </c>
      <c r="IU434" t="e">
        <f>'Australia and Oceania'!260:260-"$F;@!5(u"</f>
        <v>#VALUE!</v>
      </c>
      <c r="IV434" t="e">
        <f>'Australia and Oceania'!261:261-"$F;@!5(v"</f>
        <v>#VALUE!</v>
      </c>
    </row>
    <row r="435" spans="6:256" x14ac:dyDescent="0.35">
      <c r="F435" t="e">
        <f>'Australia and Oceania'!262:262-"$F;@!5(w"</f>
        <v>#VALUE!</v>
      </c>
      <c r="G435" t="e">
        <f>'Australia and Oceania'!263:263-"$F;@!5(x"</f>
        <v>#VALUE!</v>
      </c>
      <c r="H435" t="e">
        <f>'Australia and Oceania'!264:264-"$F;@!5(y"</f>
        <v>#VALUE!</v>
      </c>
      <c r="I435" t="e">
        <f>'Australia and Oceania'!265:265-"$F;@!5(z"</f>
        <v>#VALUE!</v>
      </c>
      <c r="J435" t="e">
        <f>'Australia and Oceania'!266:266-"$F;@!5({"</f>
        <v>#VALUE!</v>
      </c>
      <c r="K435" t="e">
        <f>'Australia and Oceania'!267:267-"$F;@!5(|"</f>
        <v>#VALUE!</v>
      </c>
      <c r="L435" t="e">
        <f>'Australia and Oceania'!268:268-"$F;@!5(}"</f>
        <v>#VALUE!</v>
      </c>
      <c r="M435" t="e">
        <f>'Australia and Oceania'!269:269-"$F;@!5(~"</f>
        <v>#VALUE!</v>
      </c>
      <c r="N435" t="e">
        <f>'Australia and Oceania'!270:270-"$F;@!5)#"</f>
        <v>#VALUE!</v>
      </c>
      <c r="O435" t="e">
        <f>'Australia and Oceania'!271:271-"$F;@!5)$"</f>
        <v>#VALUE!</v>
      </c>
      <c r="P435" t="e">
        <f>'Australia and Oceania'!272:272-"$F;@!5)%"</f>
        <v>#VALUE!</v>
      </c>
      <c r="Q435" t="e">
        <f>'Australia and Oceania'!273:273-"$F;@!5)&amp;"</f>
        <v>#VALUE!</v>
      </c>
      <c r="R435" t="e">
        <f>'Australia and Oceania'!274:274-"$F;@!5)'"</f>
        <v>#VALUE!</v>
      </c>
      <c r="S435" t="e">
        <f>'Australia and Oceania'!275:275-"$F;@!5)("</f>
        <v>#VALUE!</v>
      </c>
      <c r="T435" t="e">
        <f>'Australia and Oceania'!276:276-"$F;@!5))"</f>
        <v>#VALUE!</v>
      </c>
      <c r="U435" t="e">
        <f>'Australia and Oceania'!277:277-"$F;@!5)."</f>
        <v>#VALUE!</v>
      </c>
      <c r="V435" t="e">
        <f>'Australia and Oceania'!278:278-"$F;@!5)/"</f>
        <v>#VALUE!</v>
      </c>
      <c r="W435" t="e">
        <f>'Australia and Oceania'!279:279-"$F;@!5)0"</f>
        <v>#VALUE!</v>
      </c>
      <c r="X435" t="e">
        <f>'Australia and Oceania'!280:280-"$F;@!5)1"</f>
        <v>#VALUE!</v>
      </c>
      <c r="Y435" t="e">
        <f>'Australia and Oceania'!281:281-"$F;@!5)2"</f>
        <v>#VALUE!</v>
      </c>
      <c r="Z435" t="e">
        <f>'Australia and Oceania'!282:282-"$F;@!5)3"</f>
        <v>#VALUE!</v>
      </c>
      <c r="AA435" t="e">
        <f>'Australia and Oceania'!283:283-"$F;@!5)4"</f>
        <v>#VALUE!</v>
      </c>
      <c r="AB435" t="e">
        <f>'Australia and Oceania'!284:284-"$F;@!5)5"</f>
        <v>#VALUE!</v>
      </c>
      <c r="AC435" t="e">
        <f>'Australia and Oceania'!285:285-"$F;@!5)6"</f>
        <v>#VALUE!</v>
      </c>
      <c r="AD435" t="e">
        <f>'Australia and Oceania'!286:286-"$F;@!5)7"</f>
        <v>#VALUE!</v>
      </c>
      <c r="AE435" t="e">
        <f>'Australia and Oceania'!287:287-"$F;@!5)8"</f>
        <v>#VALUE!</v>
      </c>
      <c r="AF435" t="e">
        <f>'Australia and Oceania'!288:288-"$F;@!5)9"</f>
        <v>#VALUE!</v>
      </c>
      <c r="AG435" t="e">
        <f>'Australia and Oceania'!289:289-"$F;@!5):"</f>
        <v>#VALUE!</v>
      </c>
      <c r="AH435" t="e">
        <f>'Australia and Oceania'!290:290-"$F;@!5);"</f>
        <v>#VALUE!</v>
      </c>
      <c r="AI435" t="e">
        <f>'Australia and Oceania'!291:291-"$F;@!5)&lt;"</f>
        <v>#VALUE!</v>
      </c>
      <c r="AJ435" t="e">
        <f>'Australia and Oceania'!292:292-"$F;@!5)="</f>
        <v>#VALUE!</v>
      </c>
      <c r="AK435" t="e">
        <f>'Australia and Oceania'!293:293-"$F;@!5)&gt;"</f>
        <v>#VALUE!</v>
      </c>
      <c r="AL435" t="e">
        <f>'Australia and Oceania'!294:294-"$F;@!5)?"</f>
        <v>#VALUE!</v>
      </c>
      <c r="AM435" t="e">
        <f>'Australia and Oceania'!295:295-"$F;@!5)@"</f>
        <v>#VALUE!</v>
      </c>
      <c r="AN435" t="e">
        <f>'Australia and Oceania'!296:296-"$F;@!5)A"</f>
        <v>#VALUE!</v>
      </c>
      <c r="AO435" t="e">
        <f>'Australia and Oceania'!297:297-"$F;@!5)B"</f>
        <v>#VALUE!</v>
      </c>
      <c r="AP435" t="e">
        <f>'Australia and Oceania'!298:298-"$F;@!5)C"</f>
        <v>#VALUE!</v>
      </c>
      <c r="AQ435" t="e">
        <f>'Australia and Oceania'!299:299-"$F;@!5)D"</f>
        <v>#VALUE!</v>
      </c>
      <c r="AR435" t="e">
        <f>'Australia and Oceania'!300:300-"$F;@!5)E"</f>
        <v>#VALUE!</v>
      </c>
      <c r="AS435" t="e">
        <f>'Australia and Oceania'!301:301-"$F;@!5)F"</f>
        <v>#VALUE!</v>
      </c>
      <c r="AT435" t="e">
        <f>'Australia and Oceania'!302:302-"$F;@!5)G"</f>
        <v>#VALUE!</v>
      </c>
      <c r="AU435" t="e">
        <f>'Australia and Oceania'!303:303-"$F;@!5)H"</f>
        <v>#VALUE!</v>
      </c>
      <c r="AV435" t="e">
        <f>'Australia and Oceania'!304:304-"$F;@!5)I"</f>
        <v>#VALUE!</v>
      </c>
      <c r="AW435" t="e">
        <f>'Australia and Oceania'!305:305-"$F;@!5)J"</f>
        <v>#VALUE!</v>
      </c>
      <c r="AX435" t="e">
        <f>'Australia and Oceania'!306:306-"$F;@!5)K"</f>
        <v>#VALUE!</v>
      </c>
      <c r="AY435" t="e">
        <f>'Australia and Oceania'!307:307-"$F;@!5)L"</f>
        <v>#VALUE!</v>
      </c>
      <c r="AZ435" t="e">
        <f>'Australia and Oceania'!308:308-"$F;@!5)M"</f>
        <v>#VALUE!</v>
      </c>
      <c r="BA435" t="e">
        <f>'Australia and Oceania'!309:309-"$F;@!5)N"</f>
        <v>#VALUE!</v>
      </c>
      <c r="BB435" t="e">
        <f>'Australia and Oceania'!310:310-"$F;@!5)O"</f>
        <v>#VALUE!</v>
      </c>
      <c r="BC435" t="e">
        <f>'Australia and Oceania'!311:311-"$F;@!5)P"</f>
        <v>#VALUE!</v>
      </c>
      <c r="BD435" t="e">
        <f>'Australia and Oceania'!312:312-"$F;@!5)Q"</f>
        <v>#VALUE!</v>
      </c>
      <c r="BE435" t="e">
        <f>'Australia and Oceania'!313:313-"$F;@!5)R"</f>
        <v>#VALUE!</v>
      </c>
      <c r="BF435" t="e">
        <f>'Australia and Oceania'!314:314-"$F;@!5)S"</f>
        <v>#VALUE!</v>
      </c>
      <c r="BG435" t="e">
        <f>'Australia and Oceania'!315:315-"$F;@!5)T"</f>
        <v>#VALUE!</v>
      </c>
      <c r="BH435" t="e">
        <f>'Australia and Oceania'!316:316-"$F;@!5)U"</f>
        <v>#VALUE!</v>
      </c>
      <c r="BI435" t="e">
        <f>'Australia and Oceania'!317:317-"$F;@!5)V"</f>
        <v>#VALUE!</v>
      </c>
      <c r="BJ435" t="e">
        <f>'Australia and Oceania'!318:318-"$F;@!5)W"</f>
        <v>#VALUE!</v>
      </c>
      <c r="BK435" t="e">
        <f>'Australia and Oceania'!319:319-"$F;@!5)X"</f>
        <v>#VALUE!</v>
      </c>
      <c r="BL435" t="e">
        <f>'Australia and Oceania'!320:320-"$F;@!5)Y"</f>
        <v>#VALUE!</v>
      </c>
      <c r="BM435" t="e">
        <f>'Australia and Oceania'!321:321-"$F;@!5)Z"</f>
        <v>#VALUE!</v>
      </c>
      <c r="BN435" t="e">
        <f>'Australia and Oceania'!322:322-"$F;@!5)["</f>
        <v>#VALUE!</v>
      </c>
      <c r="BO435" t="e">
        <f>'Australia and Oceania'!323:323-"$F;@!5)\"</f>
        <v>#VALUE!</v>
      </c>
      <c r="BP435" t="e">
        <f>'Australia and Oceania'!324:324-"$F;@!5)]"</f>
        <v>#VALUE!</v>
      </c>
      <c r="BQ435" t="e">
        <f>'Australia and Oceania'!325:325-"$F;@!5)^"</f>
        <v>#VALUE!</v>
      </c>
      <c r="BR435" t="e">
        <f>'Australia and Oceania'!326:326-"$F;@!5)_"</f>
        <v>#VALUE!</v>
      </c>
      <c r="BS435" t="e">
        <f>'Australia and Oceania'!327:327-"$F;@!5)`"</f>
        <v>#VALUE!</v>
      </c>
      <c r="BT435" t="e">
        <f>'Australia and Oceania'!328:328-"$F;@!5)a"</f>
        <v>#VALUE!</v>
      </c>
      <c r="BU435" t="e">
        <f>'Australia and Oceania'!329:329-"$F;@!5)b"</f>
        <v>#VALUE!</v>
      </c>
      <c r="BV435" t="e">
        <f>'Australia and Oceania'!330:330-"$F;@!5)c"</f>
        <v>#VALUE!</v>
      </c>
      <c r="BW435" t="e">
        <f>'Australia and Oceania'!331:331-"$F;@!5)d"</f>
        <v>#VALUE!</v>
      </c>
      <c r="BX435" t="e">
        <f>'Australia and Oceania'!332:332-"$F;@!5)e"</f>
        <v>#VALUE!</v>
      </c>
      <c r="BY435" t="e">
        <f>'Australia and Oceania'!333:333-"$F;@!5)f"</f>
        <v>#VALUE!</v>
      </c>
      <c r="BZ435" t="e">
        <f>'Australia and Oceania'!334:334-"$F;@!5)g"</f>
        <v>#VALUE!</v>
      </c>
      <c r="CA435" t="e">
        <f>'Australia and Oceania'!335:335-"$F;@!5)h"</f>
        <v>#VALUE!</v>
      </c>
      <c r="CB435" t="e">
        <f>'Australia and Oceania'!336:336-"$F;@!5)i"</f>
        <v>#VALUE!</v>
      </c>
      <c r="CC435" t="e">
        <f>'Australia and Oceania'!337:337-"$F;@!5)j"</f>
        <v>#VALUE!</v>
      </c>
      <c r="CD435" t="e">
        <f>'Australia and Oceania'!338:338-"$F;@!5)k"</f>
        <v>#VALUE!</v>
      </c>
      <c r="CE435" t="e">
        <f>'Australia and Oceania'!339:339-"$F;@!5)l"</f>
        <v>#VALUE!</v>
      </c>
      <c r="CF435" t="e">
        <f>'Australia and Oceania'!340:340-"$F;@!5)m"</f>
        <v>#VALUE!</v>
      </c>
      <c r="CG435" t="e">
        <f>'Australia and Oceania'!341:341-"$F;@!5)n"</f>
        <v>#VALUE!</v>
      </c>
      <c r="CH435" t="e">
        <f>'Australia and Oceania'!342:342-"$F;@!5)o"</f>
        <v>#VALUE!</v>
      </c>
      <c r="CI435" t="e">
        <f>'Australia and Oceania'!343:343-"$F;@!5)p"</f>
        <v>#VALUE!</v>
      </c>
      <c r="CJ435" t="e">
        <f>'Australia and Oceania'!344:344-"$F;@!5)q"</f>
        <v>#VALUE!</v>
      </c>
      <c r="CK435" t="e">
        <f>'Australia and Oceania'!345:345-"$F;@!5)r"</f>
        <v>#VALUE!</v>
      </c>
      <c r="CL435" t="e">
        <f>'Australia and Oceania'!346:346-"$F;@!5)s"</f>
        <v>#VALUE!</v>
      </c>
      <c r="CM435" t="e">
        <f>'Australia and Oceania'!347:347-"$F;@!5)t"</f>
        <v>#VALUE!</v>
      </c>
      <c r="CN435" t="e">
        <f>'Australia and Oceania'!348:348-"$F;@!5)u"</f>
        <v>#VALUE!</v>
      </c>
      <c r="CO435" t="e">
        <f>'Australia and Oceania'!349:349-"$F;@!5)v"</f>
        <v>#VALUE!</v>
      </c>
      <c r="CP435" t="e">
        <f>'Australia and Oceania'!350:350-"$F;@!5)w"</f>
        <v>#VALUE!</v>
      </c>
      <c r="CQ435" t="e">
        <f>'Australia and Oceania'!351:351-"$F;@!5)x"</f>
        <v>#VALUE!</v>
      </c>
      <c r="CR435" t="e">
        <f>'Australia and Oceania'!352:352-"$F;@!5)y"</f>
        <v>#VALUE!</v>
      </c>
      <c r="CS435" t="e">
        <f>'Australia and Oceania'!353:353-"$F;@!5)z"</f>
        <v>#VALUE!</v>
      </c>
      <c r="CT435" t="e">
        <f>'Australia and Oceania'!354:354-"$F;@!5){"</f>
        <v>#VALUE!</v>
      </c>
      <c r="CU435" t="e">
        <f>'Australia and Oceania'!355:355-"$F;@!5)|"</f>
        <v>#VALUE!</v>
      </c>
      <c r="CV435" t="e">
        <f>'Australia and Oceania'!356:356-"$F;@!5)}"</f>
        <v>#VALUE!</v>
      </c>
      <c r="CW435" t="e">
        <f>'Australia and Oceania'!357:357-"$F;@!5)~"</f>
        <v>#VALUE!</v>
      </c>
      <c r="CX435" t="e">
        <f>'Australia and Oceania'!358:358-"$F;@!5.#"</f>
        <v>#VALUE!</v>
      </c>
      <c r="CY435" t="e">
        <f>'Australia and Oceania'!359:359-"$F;@!5.$"</f>
        <v>#VALUE!</v>
      </c>
      <c r="CZ435" t="e">
        <f>'Australia and Oceania'!360:360-"$F;@!5.%"</f>
        <v>#VALUE!</v>
      </c>
      <c r="DA435" t="e">
        <f>'Australia and Oceania'!361:361-"$F;@!5.&amp;"</f>
        <v>#VALUE!</v>
      </c>
      <c r="DB435" t="e">
        <f>'Australia and Oceania'!362:362-"$F;@!5.'"</f>
        <v>#VALUE!</v>
      </c>
      <c r="DC435" t="e">
        <f>'Australia and Oceania'!363:363-"$F;@!5.("</f>
        <v>#VALUE!</v>
      </c>
      <c r="DD435" t="e">
        <f>'Australia and Oceania'!364:364-"$F;@!5.)"</f>
        <v>#VALUE!</v>
      </c>
      <c r="DE435" t="e">
        <f>'Australia and Oceania'!365:365-"$F;@!5.."</f>
        <v>#VALUE!</v>
      </c>
      <c r="DF435" t="e">
        <f>'Australia and Oceania'!366:366-"$F;@!5./"</f>
        <v>#VALUE!</v>
      </c>
      <c r="DG435" t="e">
        <f>'Australia and Oceania'!367:367-"$F;@!5.0"</f>
        <v>#VALUE!</v>
      </c>
      <c r="DH435" t="e">
        <f>'Australia and Oceania'!368:368-"$F;@!5.1"</f>
        <v>#VALUE!</v>
      </c>
      <c r="DI435" t="e">
        <f>'Australia and Oceania'!369:369-"$F;@!5.2"</f>
        <v>#VALUE!</v>
      </c>
      <c r="DJ435" t="e">
        <f>'Australia and Oceania'!370:370-"$F;@!5.3"</f>
        <v>#VALUE!</v>
      </c>
      <c r="DK435" t="e">
        <f>'Australia and Oceania'!371:371-"$F;@!5.4"</f>
        <v>#VALUE!</v>
      </c>
      <c r="DL435" t="e">
        <f>'Australia and Oceania'!372:372-"$F;@!5.5"</f>
        <v>#VALUE!</v>
      </c>
      <c r="DM435" t="e">
        <f>'Australia and Oceania'!373:373-"$F;@!5.6"</f>
        <v>#VALUE!</v>
      </c>
      <c r="DN435" t="e">
        <f>'Australia and Oceania'!374:374-"$F;@!5.7"</f>
        <v>#VALUE!</v>
      </c>
      <c r="DO435" t="e">
        <f>'Australia and Oceania'!375:375-"$F;@!5.8"</f>
        <v>#VALUE!</v>
      </c>
      <c r="DP435" t="e">
        <f>'Australia and Oceania'!376:376-"$F;@!5.9"</f>
        <v>#VALUE!</v>
      </c>
      <c r="DQ435" t="e">
        <f>'Australia and Oceania'!377:377-"$F;@!5.:"</f>
        <v>#VALUE!</v>
      </c>
      <c r="DR435" t="e">
        <f>'Australia and Oceania'!378:378-"$F;@!5.;"</f>
        <v>#VALUE!</v>
      </c>
      <c r="DS435" t="e">
        <f>'Australia and Oceania'!379:379-"$F;@!5.&lt;"</f>
        <v>#VALUE!</v>
      </c>
      <c r="DT435" t="e">
        <f>'Australia and Oceania'!380:380-"$F;@!5.="</f>
        <v>#VALUE!</v>
      </c>
      <c r="DU435" t="e">
        <f>'Australia and Oceania'!381:381-"$F;@!5.&gt;"</f>
        <v>#VALUE!</v>
      </c>
      <c r="DV435" t="e">
        <f>'Australia and Oceania'!382:382-"$F;@!5.?"</f>
        <v>#VALUE!</v>
      </c>
      <c r="DW435" t="e">
        <f>'Australia and Oceania'!383:383-"$F;@!5.@"</f>
        <v>#VALUE!</v>
      </c>
      <c r="DX435" t="e">
        <f>'Australia and Oceania'!384:384-"$F;@!5.A"</f>
        <v>#VALUE!</v>
      </c>
      <c r="DY435" t="e">
        <f>'Australia and Oceania'!385:385-"$F;@!5.B"</f>
        <v>#VALUE!</v>
      </c>
      <c r="DZ435" t="e">
        <f>'Australia and Oceania'!386:386-"$F;@!5.C"</f>
        <v>#VALUE!</v>
      </c>
      <c r="EA435" t="e">
        <f>'Australia and Oceania'!387:387-"$F;@!5.D"</f>
        <v>#VALUE!</v>
      </c>
      <c r="EB435" t="e">
        <f>'Australia and Oceania'!388:388-"$F;@!5.E"</f>
        <v>#VALUE!</v>
      </c>
      <c r="EC435" t="e">
        <f>'Australia and Oceania'!389:389-"$F;@!5.F"</f>
        <v>#VALUE!</v>
      </c>
      <c r="ED435" t="e">
        <f>'Australia and Oceania'!390:390-"$F;@!5.G"</f>
        <v>#VALUE!</v>
      </c>
      <c r="EE435" t="e">
        <f>'Australia and Oceania'!391:391-"$F;@!5.H"</f>
        <v>#VALUE!</v>
      </c>
      <c r="EF435" t="e">
        <f>'Australia and Oceania'!392:392-"$F;@!5.I"</f>
        <v>#VALUE!</v>
      </c>
      <c r="EG435" t="e">
        <f>'Australia and Oceania'!393:393-"$F;@!5.J"</f>
        <v>#VALUE!</v>
      </c>
      <c r="EH435" t="e">
        <f>'Australia and Oceania'!394:394-"$F;@!5.K"</f>
        <v>#VALUE!</v>
      </c>
      <c r="EI435" t="e">
        <f>'Australia and Oceania'!395:395-"$F;@!5.L"</f>
        <v>#VALUE!</v>
      </c>
      <c r="EJ435" t="e">
        <f>'Australia and Oceania'!396:396-"$F;@!5.M"</f>
        <v>#VALUE!</v>
      </c>
      <c r="EK435" t="e">
        <f>'Australia and Oceania'!397:397-"$F;@!5.N"</f>
        <v>#VALUE!</v>
      </c>
      <c r="EL435" t="e">
        <f>'Australia and Oceania'!398:398-"$F;@!5.O"</f>
        <v>#VALUE!</v>
      </c>
      <c r="EM435" t="e">
        <f>'Australia and Oceania'!399:399-"$F;@!5.P"</f>
        <v>#VALUE!</v>
      </c>
      <c r="EN435" t="e">
        <f>'Australia and Oceania'!400:400-"$F;@!5.Q"</f>
        <v>#VALUE!</v>
      </c>
      <c r="EO435" t="e">
        <f>'Australia and Oceania'!401:401-"$F;@!5.R"</f>
        <v>#VALUE!</v>
      </c>
      <c r="EP435" t="e">
        <f>'Australia and Oceania'!402:402-"$F;@!5.S"</f>
        <v>#VALUE!</v>
      </c>
      <c r="EQ435" t="e">
        <f>'Australia and Oceania'!403:403-"$F;@!5.T"</f>
        <v>#VALUE!</v>
      </c>
      <c r="ER435" t="e">
        <f>'Australia and Oceania'!404:404-"$F;@!5.U"</f>
        <v>#VALUE!</v>
      </c>
      <c r="ES435" t="e">
        <f>'Australia and Oceania'!405:405-"$F;@!5.V"</f>
        <v>#VALUE!</v>
      </c>
      <c r="ET435" t="e">
        <f>'Australia and Oceania'!406:406-"$F;@!5.W"</f>
        <v>#VALUE!</v>
      </c>
      <c r="EU435" t="e">
        <f>'Australia and Oceania'!407:407-"$F;@!5.X"</f>
        <v>#VALUE!</v>
      </c>
      <c r="EV435" t="e">
        <f>'Australia and Oceania'!408:408-"$F;@!5.Y"</f>
        <v>#VALUE!</v>
      </c>
      <c r="EW435" t="e">
        <f>'Australia and Oceania'!409:409-"$F;@!5.Z"</f>
        <v>#VALUE!</v>
      </c>
      <c r="EX435" t="e">
        <f>'Australia and Oceania'!410:410-"$F;@!5.["</f>
        <v>#VALUE!</v>
      </c>
      <c r="EY435" t="e">
        <f>'Australia and Oceania'!411:411-"$F;@!5.\"</f>
        <v>#VALUE!</v>
      </c>
      <c r="EZ435" t="e">
        <f>'Australia and Oceania'!412:412-"$F;@!5.]"</f>
        <v>#VALUE!</v>
      </c>
      <c r="FA435" t="e">
        <f>'Australia and Oceania'!413:413-"$F;@!5.^"</f>
        <v>#VALUE!</v>
      </c>
      <c r="FB435" t="e">
        <f>'Australia and Oceania'!414:414-"$F;@!5._"</f>
        <v>#VALUE!</v>
      </c>
      <c r="FC435" t="e">
        <f>'Australia and Oceania'!415:415-"$F;@!5.`"</f>
        <v>#VALUE!</v>
      </c>
      <c r="FD435" t="e">
        <f>'Australia and Oceania'!416:416-"$F;@!5.a"</f>
        <v>#VALUE!</v>
      </c>
      <c r="FE435" t="e">
        <f>'Australia and Oceania'!417:417-"$F;@!5.b"</f>
        <v>#VALUE!</v>
      </c>
      <c r="FF435" t="e">
        <f>'Australia and Oceania'!418:418-"$F;@!5.c"</f>
        <v>#VALUE!</v>
      </c>
      <c r="FG435" t="e">
        <f>'Australia and Oceania'!419:419-"$F;@!5.d"</f>
        <v>#VALUE!</v>
      </c>
      <c r="FH435" t="e">
        <f>'Australia and Oceania'!420:420-"$F;@!5.e"</f>
        <v>#VALUE!</v>
      </c>
      <c r="FI435" t="e">
        <f>'Australia and Oceania'!421:421-"$F;@!5.f"</f>
        <v>#VALUE!</v>
      </c>
      <c r="FJ435" t="e">
        <f>'Australia and Oceania'!422:422-"$F;@!5.g"</f>
        <v>#VALUE!</v>
      </c>
      <c r="FK435" t="e">
        <f>'Australia and Oceania'!423:423-"$F;@!5.h"</f>
        <v>#VALUE!</v>
      </c>
      <c r="FL435" t="e">
        <f>'Australia and Oceania'!424:424-"$F;@!5.i"</f>
        <v>#VALUE!</v>
      </c>
      <c r="FM435" t="e">
        <f>'Australia and Oceania'!425:425-"$F;@!5.j"</f>
        <v>#VALUE!</v>
      </c>
      <c r="FN435" t="e">
        <f>'Australia and Oceania'!426:426-"$F;@!5.k"</f>
        <v>#VALUE!</v>
      </c>
      <c r="FO435" t="e">
        <f>'Australia and Oceania'!427:427-"$F;@!5.l"</f>
        <v>#VALUE!</v>
      </c>
      <c r="FP435" t="e">
        <f>'Australia and Oceania'!428:428-"$F;@!5.m"</f>
        <v>#VALUE!</v>
      </c>
      <c r="FQ435" t="e">
        <f>'Australia and Oceania'!429:429-"$F;@!5.n"</f>
        <v>#VALUE!</v>
      </c>
      <c r="FR435" t="e">
        <f>'Australia and Oceania'!430:430-"$F;@!5.o"</f>
        <v>#VALUE!</v>
      </c>
      <c r="FS435" t="e">
        <f>'Australia and Oceania'!431:431-"$F;@!5.p"</f>
        <v>#VALUE!</v>
      </c>
      <c r="FT435" t="e">
        <f>'Australia and Oceania'!432:432-"$F;@!5.q"</f>
        <v>#VALUE!</v>
      </c>
      <c r="FU435" t="e">
        <f>'Australia and Oceania'!433:433-"$F;@!5.r"</f>
        <v>#VALUE!</v>
      </c>
      <c r="FV435" t="e">
        <f>'Australia and Oceania'!434:434-"$F;@!5.s"</f>
        <v>#VALUE!</v>
      </c>
      <c r="FW435" t="e">
        <f>'Australia and Oceania'!435:435-"$F;@!5.t"</f>
        <v>#VALUE!</v>
      </c>
      <c r="FX435" t="e">
        <f>'Australia and Oceania'!436:436-"$F;@!5.u"</f>
        <v>#VALUE!</v>
      </c>
      <c r="FY435" t="e">
        <f>'Australia and Oceania'!437:437-"$F;@!5.v"</f>
        <v>#VALUE!</v>
      </c>
      <c r="FZ435" t="e">
        <f>'Australia and Oceania'!438:438-"$F;@!5.w"</f>
        <v>#VALUE!</v>
      </c>
      <c r="GA435" t="e">
        <f>'Australia and Oceania'!439:439-"$F;@!5.x"</f>
        <v>#VALUE!</v>
      </c>
      <c r="GB435" t="e">
        <f>'Australia and Oceania'!440:440-"$F;@!5.y"</f>
        <v>#VALUE!</v>
      </c>
      <c r="GC435" t="e">
        <f>'Australia and Oceania'!441:441-"$F;@!5.z"</f>
        <v>#VALUE!</v>
      </c>
      <c r="GD435" t="e">
        <f>'Australia and Oceania'!442:442-"$F;@!5.{"</f>
        <v>#VALUE!</v>
      </c>
      <c r="GE435" t="e">
        <f>'Australia and Oceania'!443:443-"$F;@!5.|"</f>
        <v>#VALUE!</v>
      </c>
      <c r="GF435" t="e">
        <f>'Australia and Oceania'!444:444-"$F;@!5.}"</f>
        <v>#VALUE!</v>
      </c>
      <c r="GG435" t="e">
        <f>'Australia and Oceania'!445:445-"$F;@!5.~"</f>
        <v>#VALUE!</v>
      </c>
      <c r="GH435" t="e">
        <f>'Australia and Oceania'!446:446-"$F;@!5/#"</f>
        <v>#VALUE!</v>
      </c>
      <c r="GI435" t="e">
        <f>'Australia and Oceania'!447:447-"$F;@!5/$"</f>
        <v>#VALUE!</v>
      </c>
      <c r="GJ435" t="e">
        <f>'Australia and Oceania'!448:448-"$F;@!5/%"</f>
        <v>#VALUE!</v>
      </c>
      <c r="GK435" t="e">
        <f>'Australia and Oceania'!449:449-"$F;@!5/&amp;"</f>
        <v>#VALUE!</v>
      </c>
      <c r="GL435" t="e">
        <f>'Australia and Oceania'!450:450-"$F;@!5/'"</f>
        <v>#VALUE!</v>
      </c>
      <c r="GM435" t="e">
        <f>'Australia and Oceania'!451:451-"$F;@!5/("</f>
        <v>#VALUE!</v>
      </c>
      <c r="GN435" t="e">
        <f>'Australia and Oceania'!452:452-"$F;@!5/)"</f>
        <v>#VALUE!</v>
      </c>
      <c r="GO435" t="e">
        <f>'Australia and Oceania'!453:453-"$F;@!5/."</f>
        <v>#VALUE!</v>
      </c>
      <c r="GP435" t="e">
        <f>'Australia and Oceania'!454:454-"$F;@!5//"</f>
        <v>#VALUE!</v>
      </c>
      <c r="GQ435" t="e">
        <f>'Australia and Oceania'!455:455-"$F;@!5/0"</f>
        <v>#VALUE!</v>
      </c>
      <c r="GR435" t="e">
        <f>'Australia and Oceania'!456:456-"$F;@!5/1"</f>
        <v>#VALUE!</v>
      </c>
      <c r="GS435" t="e">
        <f>'Australia and Oceania'!457:457-"$F;@!5/2"</f>
        <v>#VALUE!</v>
      </c>
      <c r="GT435" t="e">
        <f>'Australia and Oceania'!458:458-"$F;@!5/3"</f>
        <v>#VALUE!</v>
      </c>
      <c r="GU435" t="e">
        <f>'Australia and Oceania'!459:459-"$F;@!5/4"</f>
        <v>#VALUE!</v>
      </c>
      <c r="GV435" t="e">
        <f>'Australia and Oceania'!460:460-"$F;@!5/5"</f>
        <v>#VALUE!</v>
      </c>
      <c r="GW435" t="e">
        <f>'Australia and Oceania'!461:461-"$F;@!5/6"</f>
        <v>#VALUE!</v>
      </c>
      <c r="GX435" t="e">
        <f>'Australia and Oceania'!462:462-"$F;@!5/7"</f>
        <v>#VALUE!</v>
      </c>
      <c r="GY435" t="e">
        <f>'Australia and Oceania'!463:463-"$F;@!5/8"</f>
        <v>#VALUE!</v>
      </c>
      <c r="GZ435" t="e">
        <f>'Australia and Oceania'!464:464-"$F;@!5/9"</f>
        <v>#VALUE!</v>
      </c>
      <c r="HA435" t="e">
        <f>'Australia and Oceania'!465:465-"$F;@!5/:"</f>
        <v>#VALUE!</v>
      </c>
      <c r="HB435" t="e">
        <f>'Australia and Oceania'!466:466-"$F;@!5/;"</f>
        <v>#VALUE!</v>
      </c>
      <c r="HC435" t="e">
        <f>'Australia and Oceania'!467:467-"$F;@!5/&lt;"</f>
        <v>#VALUE!</v>
      </c>
      <c r="HD435" t="e">
        <f>'Australia and Oceania'!468:468-"$F;@!5/="</f>
        <v>#VALUE!</v>
      </c>
      <c r="HE435" t="e">
        <f>'Australia and Oceania'!469:469-"$F;@!5/&gt;"</f>
        <v>#VALUE!</v>
      </c>
      <c r="HF435" t="e">
        <f>'Australia and Oceania'!470:470-"$F;@!5/?"</f>
        <v>#VALUE!</v>
      </c>
      <c r="HG435" t="e">
        <f>'Australia and Oceania'!471:471-"$F;@!5/@"</f>
        <v>#VALUE!</v>
      </c>
      <c r="HH435" t="e">
        <f>'Australia and Oceania'!472:472-"$F;@!5/A"</f>
        <v>#VALUE!</v>
      </c>
      <c r="HI435" t="e">
        <f>'Australia and Oceania'!473:473-"$F;@!5/B"</f>
        <v>#VALUE!</v>
      </c>
      <c r="HJ435" t="e">
        <f>'Australia and Oceania'!474:474-"$F;@!5/C"</f>
        <v>#VALUE!</v>
      </c>
      <c r="HK435" t="e">
        <f>'Australia and Oceania'!475:475-"$F;@!5/D"</f>
        <v>#VALUE!</v>
      </c>
      <c r="HL435" t="e">
        <f>'Australia and Oceania'!476:476-"$F;@!5/E"</f>
        <v>#VALUE!</v>
      </c>
      <c r="HM435" t="e">
        <f>'Australia and Oceania'!477:477-"$F;@!5/F"</f>
        <v>#VALUE!</v>
      </c>
      <c r="HN435" t="e">
        <f>'Australia and Oceania'!478:478-"$F;@!5/G"</f>
        <v>#VALUE!</v>
      </c>
      <c r="HO435" t="e">
        <f>'Australia and Oceania'!479:479-"$F;@!5/H"</f>
        <v>#VALUE!</v>
      </c>
      <c r="HP435" t="e">
        <f>'Australia and Oceania'!480:480-"$F;@!5/I"</f>
        <v>#VALUE!</v>
      </c>
      <c r="HQ435" t="e">
        <f>'Australia and Oceania'!481:481-"$F;@!5/J"</f>
        <v>#VALUE!</v>
      </c>
      <c r="HR435" t="e">
        <f>'Australia and Oceania'!482:482-"$F;@!5/K"</f>
        <v>#VALUE!</v>
      </c>
      <c r="HS435" t="e">
        <f>'Australia and Oceania'!483:483-"$F;@!5/L"</f>
        <v>#VALUE!</v>
      </c>
      <c r="HT435" t="e">
        <f>'Australia and Oceania'!484:484-"$F;@!5/M"</f>
        <v>#VALUE!</v>
      </c>
      <c r="HU435" t="e">
        <f>'Australia and Oceania'!485:485-"$F;@!5/N"</f>
        <v>#VALUE!</v>
      </c>
      <c r="HV435" t="e">
        <f>'Australia and Oceania'!486:486-"$F;@!5/O"</f>
        <v>#VALUE!</v>
      </c>
      <c r="HW435" t="e">
        <f>'Australia and Oceania'!487:487-"$F;@!5/P"</f>
        <v>#VALUE!</v>
      </c>
      <c r="HX435" t="e">
        <f>'Australia and Oceania'!488:488-"$F;@!5/Q"</f>
        <v>#VALUE!</v>
      </c>
      <c r="HY435" t="e">
        <f>'Australia and Oceania'!489:489-"$F;@!5/R"</f>
        <v>#VALUE!</v>
      </c>
      <c r="HZ435" t="e">
        <f>'Australia and Oceania'!490:490-"$F;@!5/S"</f>
        <v>#VALUE!</v>
      </c>
      <c r="IA435" t="e">
        <f>'Australia and Oceania'!491:491-"$F;@!5/T"</f>
        <v>#VALUE!</v>
      </c>
      <c r="IB435" t="e">
        <f>'Australia and Oceania'!492:492-"$F;@!5/U"</f>
        <v>#VALUE!</v>
      </c>
      <c r="IC435" t="e">
        <f>'Australia and Oceania'!493:493-"$F;@!5/V"</f>
        <v>#VALUE!</v>
      </c>
      <c r="ID435" t="e">
        <f>'Australia and Oceania'!494:494-"$F;@!5/W"</f>
        <v>#VALUE!</v>
      </c>
      <c r="IE435" t="e">
        <f>'Australia and Oceania'!495:495-"$F;@!5/X"</f>
        <v>#VALUE!</v>
      </c>
      <c r="IF435" t="e">
        <f>'Australia and Oceania'!496:496-"$F;@!5/Y"</f>
        <v>#VALUE!</v>
      </c>
      <c r="IG435" t="e">
        <f>'Australia and Oceania'!497:497-"$F;@!5/Z"</f>
        <v>#VALUE!</v>
      </c>
      <c r="IH435" t="e">
        <f>'Australia and Oceania'!498:498-"$F;@!5/["</f>
        <v>#VALUE!</v>
      </c>
      <c r="II435" t="e">
        <f>'Australia and Oceania'!499:499-"$F;@!5/\"</f>
        <v>#VALUE!</v>
      </c>
      <c r="IJ435" t="e">
        <f>'Australia and Oceania'!500:500-"$F;@!5/]"</f>
        <v>#VALUE!</v>
      </c>
      <c r="IK435" t="e">
        <f>'Australia and Oceania'!501:501-"$F;@!5/^"</f>
        <v>#VALUE!</v>
      </c>
      <c r="IL435" t="e">
        <f>'Australia and Oceania'!502:502-"$F;@!5/_"</f>
        <v>#VALUE!</v>
      </c>
      <c r="IM435" t="e">
        <f>'Australia and Oceania'!503:503-"$F;@!5/`"</f>
        <v>#VALUE!</v>
      </c>
      <c r="IN435" t="e">
        <f>Africa!A1+"$F;@!5/a"</f>
        <v>#VALUE!</v>
      </c>
      <c r="IO435" t="e">
        <f>Africa!B1+"$F;@!5/b"</f>
        <v>#VALUE!</v>
      </c>
      <c r="IP435" t="e">
        <f>Africa!C1+"$F;@!5/c"</f>
        <v>#VALUE!</v>
      </c>
      <c r="IQ435" t="e">
        <f>Africa!D1+"$F;@!5/d"</f>
        <v>#VALUE!</v>
      </c>
      <c r="IR435" t="e">
        <f>Africa!E1+"$F;@!5/e"</f>
        <v>#VALUE!</v>
      </c>
      <c r="IS435" t="e">
        <f>Africa!F1+"$F;@!5/f"</f>
        <v>#VALUE!</v>
      </c>
      <c r="IT435" t="e">
        <f>Africa!G1+"$F;@!5/g"</f>
        <v>#VALUE!</v>
      </c>
      <c r="IU435" t="e">
        <f>Africa!H1+"$F;@!5/h"</f>
        <v>#VALUE!</v>
      </c>
      <c r="IV435" t="e">
        <f>Africa!A2+"$F;@!5/i"</f>
        <v>#VALUE!</v>
      </c>
    </row>
    <row r="436" spans="6:256" x14ac:dyDescent="0.35">
      <c r="F436" t="e">
        <f>Africa!B2+"$F;@!5/j"</f>
        <v>#VALUE!</v>
      </c>
      <c r="G436" t="e">
        <f>Africa!C2+"$F;@!5/k"</f>
        <v>#VALUE!</v>
      </c>
      <c r="H436" t="e">
        <f>Africa!D2+"$F;@!5/l"</f>
        <v>#VALUE!</v>
      </c>
      <c r="I436" t="e">
        <f>Africa!E2+"$F;@!5/m"</f>
        <v>#VALUE!</v>
      </c>
      <c r="J436" t="e">
        <f>Africa!F2+"$F;@!5/n"</f>
        <v>#VALUE!</v>
      </c>
      <c r="K436" t="e">
        <f>Africa!G2+"$F;@!5/o"</f>
        <v>#VALUE!</v>
      </c>
      <c r="L436" t="e">
        <f>Africa!H2+"$F;@!5/p"</f>
        <v>#VALUE!</v>
      </c>
      <c r="M436" t="e">
        <f>Africa!A3+"$F;@!5/q"</f>
        <v>#VALUE!</v>
      </c>
      <c r="N436" t="e">
        <f>Africa!B3+"$F;@!5/r"</f>
        <v>#VALUE!</v>
      </c>
      <c r="O436" t="e">
        <f>Africa!C3+"$F;@!5/s"</f>
        <v>#VALUE!</v>
      </c>
      <c r="P436" t="e">
        <f>Africa!D3+"$F;@!5/t"</f>
        <v>#VALUE!</v>
      </c>
      <c r="Q436" t="e">
        <f>Africa!E3+"$F;@!5/u"</f>
        <v>#VALUE!</v>
      </c>
      <c r="R436" t="e">
        <f>Africa!F3+"$F;@!5/v"</f>
        <v>#VALUE!</v>
      </c>
      <c r="S436" t="e">
        <f>Africa!G3+"$F;@!5/w"</f>
        <v>#VALUE!</v>
      </c>
      <c r="T436" t="e">
        <f>Africa!H3+"$F;@!5/x"</f>
        <v>#VALUE!</v>
      </c>
      <c r="U436" t="e">
        <f>Africa!A4+"$F;@!5/y"</f>
        <v>#VALUE!</v>
      </c>
      <c r="V436" t="e">
        <f>Africa!B4+"$F;@!5/z"</f>
        <v>#VALUE!</v>
      </c>
      <c r="W436" t="e">
        <f>Africa!C4+"$F;@!5/{"</f>
        <v>#VALUE!</v>
      </c>
      <c r="X436" t="e">
        <f>Africa!D4+"$F;@!5/|"</f>
        <v>#VALUE!</v>
      </c>
      <c r="Y436" t="e">
        <f>Africa!E4+"$F;@!5/}"</f>
        <v>#VALUE!</v>
      </c>
      <c r="Z436" t="e">
        <f>Africa!F4+"$F;@!5/~"</f>
        <v>#VALUE!</v>
      </c>
      <c r="AA436" t="e">
        <f>Africa!G4+"$F;@!50#"</f>
        <v>#VALUE!</v>
      </c>
      <c r="AB436" t="e">
        <f>Africa!H4+"$F;@!50$"</f>
        <v>#VALUE!</v>
      </c>
      <c r="AC436" t="e">
        <f>Africa!A5+"$F;@!50%"</f>
        <v>#VALUE!</v>
      </c>
      <c r="AD436" t="e">
        <f>Africa!B5+"$F;@!50&amp;"</f>
        <v>#VALUE!</v>
      </c>
      <c r="AE436" t="e">
        <f>Africa!C5+"$F;@!50'"</f>
        <v>#VALUE!</v>
      </c>
      <c r="AF436" t="e">
        <f>Africa!D5+"$F;@!50("</f>
        <v>#VALUE!</v>
      </c>
      <c r="AG436" t="e">
        <f>Africa!E5+"$F;@!50)"</f>
        <v>#VALUE!</v>
      </c>
      <c r="AH436" t="e">
        <f>Africa!F5+"$F;@!50."</f>
        <v>#VALUE!</v>
      </c>
      <c r="AI436" t="e">
        <f>Africa!G5+"$F;@!50/"</f>
        <v>#VALUE!</v>
      </c>
      <c r="AJ436" t="e">
        <f>Africa!H5+"$F;@!500"</f>
        <v>#VALUE!</v>
      </c>
      <c r="AK436" t="e">
        <f>Africa!A6+"$F;@!501"</f>
        <v>#VALUE!</v>
      </c>
      <c r="AL436" t="e">
        <f>Africa!B6+"$F;@!502"</f>
        <v>#VALUE!</v>
      </c>
      <c r="AM436" t="e">
        <f>Africa!C6+"$F;@!503"</f>
        <v>#VALUE!</v>
      </c>
      <c r="AN436" t="e">
        <f>Africa!D6+"$F;@!504"</f>
        <v>#VALUE!</v>
      </c>
      <c r="AO436" t="e">
        <f>Africa!E6+"$F;@!505"</f>
        <v>#VALUE!</v>
      </c>
      <c r="AP436" t="e">
        <f>Africa!F6+"$F;@!506"</f>
        <v>#VALUE!</v>
      </c>
      <c r="AQ436" t="e">
        <f>Africa!G6+"$F;@!507"</f>
        <v>#VALUE!</v>
      </c>
      <c r="AR436" t="e">
        <f>Africa!H6+"$F;@!508"</f>
        <v>#VALUE!</v>
      </c>
      <c r="AS436" t="e">
        <f>Africa!A7+"$F;@!509"</f>
        <v>#VALUE!</v>
      </c>
      <c r="AT436" t="e">
        <f>Africa!B7+"$F;@!50:"</f>
        <v>#VALUE!</v>
      </c>
      <c r="AU436" t="e">
        <f>Africa!C7+"$F;@!50;"</f>
        <v>#VALUE!</v>
      </c>
      <c r="AV436" t="e">
        <f>Africa!D7+"$F;@!50&lt;"</f>
        <v>#VALUE!</v>
      </c>
      <c r="AW436" t="e">
        <f>Africa!E7+"$F;@!50="</f>
        <v>#VALUE!</v>
      </c>
      <c r="AX436" t="e">
        <f>Africa!F7+"$F;@!50&gt;"</f>
        <v>#VALUE!</v>
      </c>
      <c r="AY436" t="e">
        <f>Africa!G7+"$F;@!50?"</f>
        <v>#VALUE!</v>
      </c>
      <c r="AZ436" t="e">
        <f>Africa!H7+"$F;@!50@"</f>
        <v>#VALUE!</v>
      </c>
      <c r="BA436" t="e">
        <f>Africa!A8+"$F;@!50A"</f>
        <v>#VALUE!</v>
      </c>
      <c r="BB436" t="e">
        <f>Africa!B8+"$F;@!50B"</f>
        <v>#VALUE!</v>
      </c>
      <c r="BC436" t="e">
        <f>Africa!C8+"$F;@!50C"</f>
        <v>#VALUE!</v>
      </c>
      <c r="BD436" t="e">
        <f>Africa!D8+"$F;@!50D"</f>
        <v>#VALUE!</v>
      </c>
      <c r="BE436" t="e">
        <f>Africa!E8+"$F;@!50E"</f>
        <v>#VALUE!</v>
      </c>
      <c r="BF436" t="e">
        <f>Africa!F8+"$F;@!50F"</f>
        <v>#VALUE!</v>
      </c>
      <c r="BG436" t="e">
        <f>Africa!G8+"$F;@!50G"</f>
        <v>#VALUE!</v>
      </c>
      <c r="BH436" t="e">
        <f>Africa!H8+"$F;@!50H"</f>
        <v>#VALUE!</v>
      </c>
      <c r="BI436" t="e">
        <f>Africa!A9+"$F;@!50I"</f>
        <v>#VALUE!</v>
      </c>
      <c r="BJ436" t="e">
        <f>Africa!B9+"$F;@!50J"</f>
        <v>#VALUE!</v>
      </c>
      <c r="BK436" t="e">
        <f>Africa!C9+"$F;@!50K"</f>
        <v>#VALUE!</v>
      </c>
      <c r="BL436" t="e">
        <f>Africa!D9+"$F;@!50L"</f>
        <v>#VALUE!</v>
      </c>
      <c r="BM436" t="e">
        <f>Africa!E9+"$F;@!50M"</f>
        <v>#VALUE!</v>
      </c>
      <c r="BN436" t="e">
        <f>Africa!F9+"$F;@!50N"</f>
        <v>#VALUE!</v>
      </c>
      <c r="BO436" t="e">
        <f>Africa!G9+"$F;@!50O"</f>
        <v>#VALUE!</v>
      </c>
      <c r="BP436" t="e">
        <f>Africa!H9+"$F;@!50P"</f>
        <v>#VALUE!</v>
      </c>
      <c r="BQ436" t="e">
        <f>Africa!A10+"$F;@!50Q"</f>
        <v>#VALUE!</v>
      </c>
      <c r="BR436" t="e">
        <f>Africa!B10+"$F;@!50R"</f>
        <v>#VALUE!</v>
      </c>
      <c r="BS436" t="e">
        <f>Africa!C10+"$F;@!50S"</f>
        <v>#VALUE!</v>
      </c>
      <c r="BT436" t="e">
        <f>Africa!D10+"$F;@!50T"</f>
        <v>#VALUE!</v>
      </c>
      <c r="BU436" t="e">
        <f>Africa!E10+"$F;@!50U"</f>
        <v>#VALUE!</v>
      </c>
      <c r="BV436" t="e">
        <f>Africa!F10+"$F;@!50V"</f>
        <v>#VALUE!</v>
      </c>
      <c r="BW436" t="e">
        <f>Africa!G10+"$F;@!50W"</f>
        <v>#VALUE!</v>
      </c>
      <c r="BX436" t="e">
        <f>Africa!H10+"$F;@!50X"</f>
        <v>#VALUE!</v>
      </c>
      <c r="BY436" t="e">
        <f>Africa!A11+"$F;@!50Y"</f>
        <v>#VALUE!</v>
      </c>
      <c r="BZ436" t="e">
        <f>Africa!B11+"$F;@!50Z"</f>
        <v>#VALUE!</v>
      </c>
      <c r="CA436" t="e">
        <f>Africa!C11+"$F;@!50["</f>
        <v>#VALUE!</v>
      </c>
      <c r="CB436" t="e">
        <f>Africa!D11+"$F;@!50\"</f>
        <v>#VALUE!</v>
      </c>
      <c r="CC436" t="e">
        <f>Africa!E11+"$F;@!50]"</f>
        <v>#VALUE!</v>
      </c>
      <c r="CD436" t="e">
        <f>Africa!F11+"$F;@!50^"</f>
        <v>#VALUE!</v>
      </c>
      <c r="CE436" t="e">
        <f>Africa!G11+"$F;@!50_"</f>
        <v>#VALUE!</v>
      </c>
      <c r="CF436" t="e">
        <f>Africa!H11+"$F;@!50`"</f>
        <v>#VALUE!</v>
      </c>
      <c r="CG436" t="e">
        <f>Africa!A12+"$F;@!50a"</f>
        <v>#VALUE!</v>
      </c>
      <c r="CH436" t="e">
        <f>Africa!B12+"$F;@!50b"</f>
        <v>#VALUE!</v>
      </c>
      <c r="CI436" t="e">
        <f>Africa!C12+"$F;@!50c"</f>
        <v>#VALUE!</v>
      </c>
      <c r="CJ436" t="e">
        <f>Africa!D12+"$F;@!50d"</f>
        <v>#VALUE!</v>
      </c>
      <c r="CK436" t="e">
        <f>Africa!E12+"$F;@!50e"</f>
        <v>#VALUE!</v>
      </c>
      <c r="CL436" t="e">
        <f>Africa!F12+"$F;@!50f"</f>
        <v>#VALUE!</v>
      </c>
      <c r="CM436" t="e">
        <f>Africa!G12+"$F;@!50g"</f>
        <v>#VALUE!</v>
      </c>
      <c r="CN436" t="e">
        <f>Africa!H12+"$F;@!50h"</f>
        <v>#VALUE!</v>
      </c>
      <c r="CO436" t="e">
        <f>Africa!A13+"$F;@!50i"</f>
        <v>#VALUE!</v>
      </c>
      <c r="CP436" t="e">
        <f>Africa!B13+"$F;@!50j"</f>
        <v>#VALUE!</v>
      </c>
      <c r="CQ436" t="e">
        <f>Africa!C13+"$F;@!50k"</f>
        <v>#VALUE!</v>
      </c>
      <c r="CR436" t="e">
        <f>Africa!D13+"$F;@!50l"</f>
        <v>#VALUE!</v>
      </c>
      <c r="CS436" t="e">
        <f>Africa!E13+"$F;@!50m"</f>
        <v>#VALUE!</v>
      </c>
      <c r="CT436" t="e">
        <f>Africa!F13+"$F;@!50n"</f>
        <v>#VALUE!</v>
      </c>
      <c r="CU436" t="e">
        <f>Africa!G13+"$F;@!50o"</f>
        <v>#VALUE!</v>
      </c>
      <c r="CV436" t="e">
        <f>Africa!H13+"$F;@!50p"</f>
        <v>#VALUE!</v>
      </c>
      <c r="CW436" t="e">
        <f>Africa!A14+"$F;@!50q"</f>
        <v>#VALUE!</v>
      </c>
      <c r="CX436" t="e">
        <f>Africa!B14+"$F;@!50r"</f>
        <v>#VALUE!</v>
      </c>
      <c r="CY436" t="e">
        <f>Africa!C14+"$F;@!50s"</f>
        <v>#VALUE!</v>
      </c>
      <c r="CZ436" t="e">
        <f>Africa!D14+"$F;@!50t"</f>
        <v>#VALUE!</v>
      </c>
      <c r="DA436" t="e">
        <f>Africa!E14+"$F;@!50u"</f>
        <v>#VALUE!</v>
      </c>
      <c r="DB436" t="e">
        <f>Africa!F14+"$F;@!50v"</f>
        <v>#VALUE!</v>
      </c>
      <c r="DC436" t="e">
        <f>Africa!G14+"$F;@!50w"</f>
        <v>#VALUE!</v>
      </c>
      <c r="DD436" t="e">
        <f>Africa!H14+"$F;@!50x"</f>
        <v>#VALUE!</v>
      </c>
      <c r="DE436" t="e">
        <f>Africa!A15+"$F;@!50y"</f>
        <v>#VALUE!</v>
      </c>
      <c r="DF436" t="e">
        <f>Africa!B15+"$F;@!50z"</f>
        <v>#VALUE!</v>
      </c>
      <c r="DG436" t="e">
        <f>Africa!C15+"$F;@!50{"</f>
        <v>#VALUE!</v>
      </c>
      <c r="DH436" t="e">
        <f>Africa!D15+"$F;@!50|"</f>
        <v>#VALUE!</v>
      </c>
      <c r="DI436" t="e">
        <f>Africa!E15+"$F;@!50}"</f>
        <v>#VALUE!</v>
      </c>
      <c r="DJ436" t="e">
        <f>Africa!F15+"$F;@!50~"</f>
        <v>#VALUE!</v>
      </c>
      <c r="DK436" t="e">
        <f>Africa!G15+"$F;@!51#"</f>
        <v>#VALUE!</v>
      </c>
      <c r="DL436" t="e">
        <f>Africa!H15+"$F;@!51$"</f>
        <v>#VALUE!</v>
      </c>
      <c r="DM436" t="e">
        <f>Africa!A16+"$F;@!51%"</f>
        <v>#VALUE!</v>
      </c>
      <c r="DN436" t="e">
        <f>Africa!B16+"$F;@!51&amp;"</f>
        <v>#VALUE!</v>
      </c>
      <c r="DO436" t="e">
        <f>Africa!C16+"$F;@!51'"</f>
        <v>#VALUE!</v>
      </c>
      <c r="DP436" t="e">
        <f>Africa!D16+"$F;@!51("</f>
        <v>#VALUE!</v>
      </c>
      <c r="DQ436" t="e">
        <f>Africa!E16+"$F;@!51)"</f>
        <v>#VALUE!</v>
      </c>
      <c r="DR436" t="e">
        <f>Africa!F16+"$F;@!51."</f>
        <v>#VALUE!</v>
      </c>
      <c r="DS436" t="e">
        <f>Africa!G16+"$F;@!51/"</f>
        <v>#VALUE!</v>
      </c>
      <c r="DT436" t="e">
        <f>Africa!H16+"$F;@!510"</f>
        <v>#VALUE!</v>
      </c>
      <c r="DU436" t="e">
        <f>Africa!A17+"$F;@!511"</f>
        <v>#VALUE!</v>
      </c>
      <c r="DV436" t="e">
        <f>Africa!B17+"$F;@!512"</f>
        <v>#VALUE!</v>
      </c>
      <c r="DW436" t="e">
        <f>Africa!C17+"$F;@!513"</f>
        <v>#VALUE!</v>
      </c>
      <c r="DX436" t="e">
        <f>Africa!D17+"$F;@!514"</f>
        <v>#VALUE!</v>
      </c>
      <c r="DY436" t="e">
        <f>Africa!E17+"$F;@!515"</f>
        <v>#VALUE!</v>
      </c>
      <c r="DZ436" t="e">
        <f>Africa!F17+"$F;@!516"</f>
        <v>#VALUE!</v>
      </c>
      <c r="EA436" t="e">
        <f>Africa!G17+"$F;@!517"</f>
        <v>#VALUE!</v>
      </c>
      <c r="EB436" t="e">
        <f>Africa!H17+"$F;@!518"</f>
        <v>#VALUE!</v>
      </c>
      <c r="EC436" t="e">
        <f>Africa!A18+"$F;@!519"</f>
        <v>#VALUE!</v>
      </c>
      <c r="ED436" t="e">
        <f>Africa!B18+"$F;@!51:"</f>
        <v>#VALUE!</v>
      </c>
      <c r="EE436" t="e">
        <f>Africa!C18+"$F;@!51;"</f>
        <v>#VALUE!</v>
      </c>
      <c r="EF436" t="e">
        <f>Africa!D18+"$F;@!51&lt;"</f>
        <v>#VALUE!</v>
      </c>
      <c r="EG436" t="e">
        <f>Africa!E18+"$F;@!51="</f>
        <v>#VALUE!</v>
      </c>
      <c r="EH436" t="e">
        <f>Africa!F18+"$F;@!51&gt;"</f>
        <v>#VALUE!</v>
      </c>
      <c r="EI436" t="e">
        <f>Africa!G18+"$F;@!51?"</f>
        <v>#VALUE!</v>
      </c>
      <c r="EJ436" t="e">
        <f>Africa!H18+"$F;@!51@"</f>
        <v>#VALUE!</v>
      </c>
      <c r="EK436" t="e">
        <f>Africa!A19+"$F;@!51A"</f>
        <v>#VALUE!</v>
      </c>
      <c r="EL436" t="e">
        <f>Africa!B19+"$F;@!51B"</f>
        <v>#VALUE!</v>
      </c>
      <c r="EM436" t="e">
        <f>Africa!C19+"$F;@!51C"</f>
        <v>#VALUE!</v>
      </c>
      <c r="EN436" t="e">
        <f>Africa!D19+"$F;@!51D"</f>
        <v>#VALUE!</v>
      </c>
      <c r="EO436" t="e">
        <f>Africa!E19+"$F;@!51E"</f>
        <v>#VALUE!</v>
      </c>
      <c r="EP436" t="e">
        <f>Africa!F19+"$F;@!51F"</f>
        <v>#VALUE!</v>
      </c>
      <c r="EQ436" t="e">
        <f>Africa!G19+"$F;@!51G"</f>
        <v>#VALUE!</v>
      </c>
      <c r="ER436" t="e">
        <f>Africa!H19+"$F;@!51H"</f>
        <v>#VALUE!</v>
      </c>
      <c r="ES436" t="e">
        <f>Africa!A20+"$F;@!51I"</f>
        <v>#VALUE!</v>
      </c>
      <c r="ET436" t="e">
        <f>Africa!B20+"$F;@!51J"</f>
        <v>#VALUE!</v>
      </c>
      <c r="EU436" t="e">
        <f>Africa!C20+"$F;@!51K"</f>
        <v>#VALUE!</v>
      </c>
      <c r="EV436" t="e">
        <f>Africa!D20+"$F;@!51L"</f>
        <v>#VALUE!</v>
      </c>
      <c r="EW436" t="e">
        <f>Africa!E20+"$F;@!51M"</f>
        <v>#VALUE!</v>
      </c>
      <c r="EX436" t="e">
        <f>Africa!F20+"$F;@!51N"</f>
        <v>#VALUE!</v>
      </c>
      <c r="EY436" t="e">
        <f>Africa!G20+"$F;@!51O"</f>
        <v>#VALUE!</v>
      </c>
      <c r="EZ436" t="e">
        <f>Africa!H20+"$F;@!51P"</f>
        <v>#VALUE!</v>
      </c>
      <c r="FA436" t="e">
        <f>Africa!A21+"$F;@!51Q"</f>
        <v>#VALUE!</v>
      </c>
      <c r="FB436" t="e">
        <f>Africa!B21+"$F;@!51R"</f>
        <v>#VALUE!</v>
      </c>
      <c r="FC436" t="e">
        <f>Africa!C21+"$F;@!51S"</f>
        <v>#VALUE!</v>
      </c>
      <c r="FD436" t="e">
        <f>Africa!D21+"$F;@!51T"</f>
        <v>#VALUE!</v>
      </c>
      <c r="FE436" t="e">
        <f>Africa!E21+"$F;@!51U"</f>
        <v>#VALUE!</v>
      </c>
      <c r="FF436" t="e">
        <f>Africa!F21+"$F;@!51V"</f>
        <v>#VALUE!</v>
      </c>
      <c r="FG436" t="e">
        <f>Africa!G21+"$F;@!51W"</f>
        <v>#VALUE!</v>
      </c>
      <c r="FH436" t="e">
        <f>Africa!H21+"$F;@!51X"</f>
        <v>#VALUE!</v>
      </c>
      <c r="FI436" t="e">
        <f>Africa!A22+"$F;@!51Y"</f>
        <v>#VALUE!</v>
      </c>
      <c r="FJ436" t="e">
        <f>Africa!B22+"$F;@!51Z"</f>
        <v>#VALUE!</v>
      </c>
      <c r="FK436" t="e">
        <f>Africa!C22+"$F;@!51["</f>
        <v>#VALUE!</v>
      </c>
      <c r="FL436" t="e">
        <f>Africa!D22+"$F;@!51\"</f>
        <v>#VALUE!</v>
      </c>
      <c r="FM436" t="e">
        <f>Africa!E22+"$F;@!51]"</f>
        <v>#VALUE!</v>
      </c>
      <c r="FN436" t="e">
        <f>Africa!F22+"$F;@!51^"</f>
        <v>#VALUE!</v>
      </c>
      <c r="FO436" t="e">
        <f>Africa!G22+"$F;@!51_"</f>
        <v>#VALUE!</v>
      </c>
      <c r="FP436" t="e">
        <f>Africa!H22+"$F;@!51`"</f>
        <v>#VALUE!</v>
      </c>
      <c r="FQ436" t="e">
        <f>Africa!A23+"$F;@!51a"</f>
        <v>#VALUE!</v>
      </c>
      <c r="FR436" t="e">
        <f>Africa!B23+"$F;@!51b"</f>
        <v>#VALUE!</v>
      </c>
      <c r="FS436" t="e">
        <f>Africa!C23+"$F;@!51c"</f>
        <v>#VALUE!</v>
      </c>
      <c r="FT436" t="e">
        <f>Africa!D23+"$F;@!51d"</f>
        <v>#VALUE!</v>
      </c>
      <c r="FU436" t="e">
        <f>Africa!E23+"$F;@!51e"</f>
        <v>#VALUE!</v>
      </c>
      <c r="FV436" t="e">
        <f>Africa!F23+"$F;@!51f"</f>
        <v>#VALUE!</v>
      </c>
      <c r="FW436" t="e">
        <f>Africa!G23+"$F;@!51g"</f>
        <v>#VALUE!</v>
      </c>
      <c r="FX436" t="e">
        <f>Africa!H23+"$F;@!51h"</f>
        <v>#VALUE!</v>
      </c>
      <c r="FY436" t="e">
        <f>Africa!A24+"$F;@!51i"</f>
        <v>#VALUE!</v>
      </c>
      <c r="FZ436" t="e">
        <f>Africa!B24+"$F;@!51j"</f>
        <v>#VALUE!</v>
      </c>
      <c r="GA436" t="e">
        <f>Africa!C24+"$F;@!51k"</f>
        <v>#VALUE!</v>
      </c>
      <c r="GB436" t="e">
        <f>Africa!D24+"$F;@!51l"</f>
        <v>#VALUE!</v>
      </c>
      <c r="GC436" t="e">
        <f>Africa!E24+"$F;@!51m"</f>
        <v>#VALUE!</v>
      </c>
      <c r="GD436" t="e">
        <f>Africa!F24+"$F;@!51n"</f>
        <v>#VALUE!</v>
      </c>
      <c r="GE436" t="e">
        <f>Africa!G24+"$F;@!51o"</f>
        <v>#VALUE!</v>
      </c>
      <c r="GF436" t="e">
        <f>Africa!H24+"$F;@!51p"</f>
        <v>#VALUE!</v>
      </c>
      <c r="GG436" t="e">
        <f>Africa!A25+"$F;@!51q"</f>
        <v>#VALUE!</v>
      </c>
      <c r="GH436" t="e">
        <f>Africa!B25+"$F;@!51r"</f>
        <v>#VALUE!</v>
      </c>
      <c r="GI436" t="e">
        <f>Africa!C25+"$F;@!51s"</f>
        <v>#VALUE!</v>
      </c>
      <c r="GJ436" t="e">
        <f>Africa!D25+"$F;@!51t"</f>
        <v>#VALUE!</v>
      </c>
      <c r="GK436" t="e">
        <f>Africa!E25+"$F;@!51u"</f>
        <v>#VALUE!</v>
      </c>
      <c r="GL436" t="e">
        <f>Africa!F25+"$F;@!51v"</f>
        <v>#VALUE!</v>
      </c>
      <c r="GM436" t="e">
        <f>Africa!G25+"$F;@!51w"</f>
        <v>#VALUE!</v>
      </c>
      <c r="GN436" t="e">
        <f>Africa!H25+"$F;@!51x"</f>
        <v>#VALUE!</v>
      </c>
      <c r="GO436" t="e">
        <f>Africa!A26+"$F;@!51y"</f>
        <v>#VALUE!</v>
      </c>
      <c r="GP436" t="e">
        <f>Africa!B26+"$F;@!51z"</f>
        <v>#VALUE!</v>
      </c>
      <c r="GQ436" t="e">
        <f>Africa!C26+"$F;@!51{"</f>
        <v>#VALUE!</v>
      </c>
      <c r="GR436" t="e">
        <f>Africa!D26+"$F;@!51|"</f>
        <v>#VALUE!</v>
      </c>
      <c r="GS436" t="e">
        <f>Africa!E26+"$F;@!51}"</f>
        <v>#VALUE!</v>
      </c>
      <c r="GT436" t="e">
        <f>Africa!F26+"$F;@!51~"</f>
        <v>#VALUE!</v>
      </c>
      <c r="GU436" t="e">
        <f>Africa!G26+"$F;@!52#"</f>
        <v>#VALUE!</v>
      </c>
      <c r="GV436" t="e">
        <f>Africa!H26+"$F;@!52$"</f>
        <v>#VALUE!</v>
      </c>
      <c r="GW436" t="e">
        <f>Africa!A27+"$F;@!52%"</f>
        <v>#VALUE!</v>
      </c>
      <c r="GX436" t="e">
        <f>Africa!B27+"$F;@!52&amp;"</f>
        <v>#VALUE!</v>
      </c>
      <c r="GY436" t="e">
        <f>Africa!C27+"$F;@!52'"</f>
        <v>#VALUE!</v>
      </c>
      <c r="GZ436" t="e">
        <f>Africa!D27+"$F;@!52("</f>
        <v>#VALUE!</v>
      </c>
      <c r="HA436" t="e">
        <f>Africa!E27+"$F;@!52)"</f>
        <v>#VALUE!</v>
      </c>
      <c r="HB436" t="e">
        <f>Africa!F27+"$F;@!52."</f>
        <v>#VALUE!</v>
      </c>
      <c r="HC436" t="e">
        <f>Africa!G27+"$F;@!52/"</f>
        <v>#VALUE!</v>
      </c>
      <c r="HD436" t="e">
        <f>Africa!H27+"$F;@!520"</f>
        <v>#VALUE!</v>
      </c>
      <c r="HE436" t="e">
        <f>Africa!A28+"$F;@!521"</f>
        <v>#VALUE!</v>
      </c>
      <c r="HF436" t="e">
        <f>Africa!B28+"$F;@!522"</f>
        <v>#VALUE!</v>
      </c>
      <c r="HG436" t="e">
        <f>Africa!C28+"$F;@!523"</f>
        <v>#VALUE!</v>
      </c>
      <c r="HH436" t="e">
        <f>Africa!D28+"$F;@!524"</f>
        <v>#VALUE!</v>
      </c>
      <c r="HI436" t="e">
        <f>Africa!E28+"$F;@!525"</f>
        <v>#VALUE!</v>
      </c>
      <c r="HJ436" t="e">
        <f>Africa!F28+"$F;@!526"</f>
        <v>#VALUE!</v>
      </c>
      <c r="HK436" t="e">
        <f>Africa!G28+"$F;@!527"</f>
        <v>#VALUE!</v>
      </c>
      <c r="HL436" t="e">
        <f>Africa!H28+"$F;@!528"</f>
        <v>#VALUE!</v>
      </c>
      <c r="HM436" t="e">
        <f>Africa!A29+"$F;@!529"</f>
        <v>#VALUE!</v>
      </c>
      <c r="HN436" t="e">
        <f>Africa!B29+"$F;@!52:"</f>
        <v>#VALUE!</v>
      </c>
      <c r="HO436" t="e">
        <f>Africa!C29+"$F;@!52;"</f>
        <v>#VALUE!</v>
      </c>
      <c r="HP436" t="e">
        <f>Africa!D29+"$F;@!52&lt;"</f>
        <v>#VALUE!</v>
      </c>
      <c r="HQ436" t="e">
        <f>Africa!E29+"$F;@!52="</f>
        <v>#VALUE!</v>
      </c>
      <c r="HR436" t="e">
        <f>Africa!F29+"$F;@!52&gt;"</f>
        <v>#VALUE!</v>
      </c>
      <c r="HS436" t="e">
        <f>Africa!G29+"$F;@!52?"</f>
        <v>#VALUE!</v>
      </c>
      <c r="HT436" t="e">
        <f>Africa!H29+"$F;@!52@"</f>
        <v>#VALUE!</v>
      </c>
      <c r="HU436" t="e">
        <f>Africa!A30+"$F;@!52A"</f>
        <v>#VALUE!</v>
      </c>
      <c r="HV436" t="e">
        <f>Africa!B30+"$F;@!52B"</f>
        <v>#VALUE!</v>
      </c>
      <c r="HW436" t="e">
        <f>Africa!C30+"$F;@!52C"</f>
        <v>#VALUE!</v>
      </c>
      <c r="HX436" t="e">
        <f>Africa!D30+"$F;@!52D"</f>
        <v>#VALUE!</v>
      </c>
      <c r="HY436" t="e">
        <f>Africa!E30+"$F;@!52E"</f>
        <v>#VALUE!</v>
      </c>
      <c r="HZ436" t="e">
        <f>Africa!F30+"$F;@!52F"</f>
        <v>#VALUE!</v>
      </c>
      <c r="IA436" t="e">
        <f>Africa!G30+"$F;@!52G"</f>
        <v>#VALUE!</v>
      </c>
      <c r="IB436" t="e">
        <f>Africa!H30+"$F;@!52H"</f>
        <v>#VALUE!</v>
      </c>
      <c r="IC436" t="e">
        <f>Africa!A31+"$F;@!52I"</f>
        <v>#VALUE!</v>
      </c>
      <c r="ID436" t="e">
        <f>Africa!B31+"$F;@!52J"</f>
        <v>#VALUE!</v>
      </c>
      <c r="IE436" t="e">
        <f>Africa!C31+"$F;@!52K"</f>
        <v>#VALUE!</v>
      </c>
      <c r="IF436" t="e">
        <f>Africa!D31+"$F;@!52L"</f>
        <v>#VALUE!</v>
      </c>
      <c r="IG436" t="e">
        <f>Africa!E31+"$F;@!52M"</f>
        <v>#VALUE!</v>
      </c>
      <c r="IH436" t="e">
        <f>Africa!F31+"$F;@!52N"</f>
        <v>#VALUE!</v>
      </c>
      <c r="II436" t="e">
        <f>Africa!G31+"$F;@!52O"</f>
        <v>#VALUE!</v>
      </c>
      <c r="IJ436" t="e">
        <f>Africa!H31+"$F;@!52P"</f>
        <v>#VALUE!</v>
      </c>
      <c r="IK436" t="e">
        <f>Africa!A32+"$F;@!52Q"</f>
        <v>#VALUE!</v>
      </c>
      <c r="IL436" t="e">
        <f>Africa!B32+"$F;@!52R"</f>
        <v>#VALUE!</v>
      </c>
      <c r="IM436" t="e">
        <f>Africa!C32+"$F;@!52S"</f>
        <v>#VALUE!</v>
      </c>
      <c r="IN436" t="e">
        <f>Africa!D32+"$F;@!52T"</f>
        <v>#VALUE!</v>
      </c>
      <c r="IO436" t="e">
        <f>Africa!E32+"$F;@!52U"</f>
        <v>#VALUE!</v>
      </c>
      <c r="IP436" t="e">
        <f>Africa!F32+"$F;@!52V"</f>
        <v>#VALUE!</v>
      </c>
      <c r="IQ436" t="e">
        <f>Africa!G32+"$F;@!52W"</f>
        <v>#VALUE!</v>
      </c>
      <c r="IR436" t="e">
        <f>Africa!H32+"$F;@!52X"</f>
        <v>#VALUE!</v>
      </c>
      <c r="IS436" t="e">
        <f>Africa!A33+"$F;@!52Y"</f>
        <v>#VALUE!</v>
      </c>
      <c r="IT436" t="e">
        <f>Africa!B33+"$F;@!52Z"</f>
        <v>#VALUE!</v>
      </c>
      <c r="IU436" t="e">
        <f>Africa!C33+"$F;@!52["</f>
        <v>#VALUE!</v>
      </c>
      <c r="IV436" t="e">
        <f>Africa!D33+"$F;@!52\"</f>
        <v>#VALUE!</v>
      </c>
    </row>
    <row r="437" spans="6:256" x14ac:dyDescent="0.35">
      <c r="F437" t="e">
        <f>Africa!E33+"$F;@!52]"</f>
        <v>#VALUE!</v>
      </c>
      <c r="G437" t="e">
        <f>Africa!F33+"$F;@!52^"</f>
        <v>#VALUE!</v>
      </c>
      <c r="H437" t="e">
        <f>Africa!G33+"$F;@!52_"</f>
        <v>#VALUE!</v>
      </c>
      <c r="I437" t="e">
        <f>Africa!H33+"$F;@!52`"</f>
        <v>#VALUE!</v>
      </c>
      <c r="J437" t="e">
        <f>Africa!A34+"$F;@!52a"</f>
        <v>#VALUE!</v>
      </c>
      <c r="K437" t="e">
        <f>Africa!B34+"$F;@!52b"</f>
        <v>#VALUE!</v>
      </c>
      <c r="L437" t="e">
        <f>Africa!C34+"$F;@!52c"</f>
        <v>#VALUE!</v>
      </c>
      <c r="M437" t="e">
        <f>Africa!D34+"$F;@!52d"</f>
        <v>#VALUE!</v>
      </c>
      <c r="N437" t="e">
        <f>Africa!E34+"$F;@!52e"</f>
        <v>#VALUE!</v>
      </c>
      <c r="O437" t="e">
        <f>Africa!F34+"$F;@!52f"</f>
        <v>#VALUE!</v>
      </c>
      <c r="P437" t="e">
        <f>Africa!G34+"$F;@!52g"</f>
        <v>#VALUE!</v>
      </c>
      <c r="Q437" t="e">
        <f>Africa!H34+"$F;@!52h"</f>
        <v>#VALUE!</v>
      </c>
      <c r="R437" t="e">
        <f>Africa!A35+"$F;@!52i"</f>
        <v>#VALUE!</v>
      </c>
      <c r="S437" t="e">
        <f>Africa!B35+"$F;@!52j"</f>
        <v>#VALUE!</v>
      </c>
      <c r="T437" t="e">
        <f>Africa!C35+"$F;@!52k"</f>
        <v>#VALUE!</v>
      </c>
      <c r="U437" t="e">
        <f>Africa!D35+"$F;@!52l"</f>
        <v>#VALUE!</v>
      </c>
      <c r="V437" t="e">
        <f>Africa!E35+"$F;@!52m"</f>
        <v>#VALUE!</v>
      </c>
      <c r="W437" t="e">
        <f>Africa!F35+"$F;@!52n"</f>
        <v>#VALUE!</v>
      </c>
      <c r="X437" t="e">
        <f>Africa!G35+"$F;@!52o"</f>
        <v>#VALUE!</v>
      </c>
      <c r="Y437" t="e">
        <f>Africa!H35+"$F;@!52p"</f>
        <v>#VALUE!</v>
      </c>
      <c r="Z437" t="e">
        <f>Africa!A36+"$F;@!52q"</f>
        <v>#VALUE!</v>
      </c>
      <c r="AA437" t="e">
        <f>Africa!B36+"$F;@!52r"</f>
        <v>#VALUE!</v>
      </c>
      <c r="AB437" t="e">
        <f>Africa!C36+"$F;@!52s"</f>
        <v>#VALUE!</v>
      </c>
      <c r="AC437" t="e">
        <f>Africa!D36+"$F;@!52t"</f>
        <v>#VALUE!</v>
      </c>
      <c r="AD437" t="e">
        <f>Africa!E36+"$F;@!52u"</f>
        <v>#VALUE!</v>
      </c>
      <c r="AE437" t="e">
        <f>Africa!F36+"$F;@!52v"</f>
        <v>#VALUE!</v>
      </c>
      <c r="AF437" t="e">
        <f>Africa!G36+"$F;@!52w"</f>
        <v>#VALUE!</v>
      </c>
      <c r="AG437" t="e">
        <f>Africa!H36+"$F;@!52x"</f>
        <v>#VALUE!</v>
      </c>
      <c r="AH437" t="e">
        <f>Africa!A37+"$F;@!52y"</f>
        <v>#VALUE!</v>
      </c>
      <c r="AI437" t="e">
        <f>Africa!B37+"$F;@!52z"</f>
        <v>#VALUE!</v>
      </c>
      <c r="AJ437" t="e">
        <f>Africa!C37+"$F;@!52{"</f>
        <v>#VALUE!</v>
      </c>
      <c r="AK437" t="e">
        <f>Africa!D37+"$F;@!52|"</f>
        <v>#VALUE!</v>
      </c>
      <c r="AL437" t="e">
        <f>Africa!E37+"$F;@!52}"</f>
        <v>#VALUE!</v>
      </c>
      <c r="AM437" t="e">
        <f>Africa!F37+"$F;@!52~"</f>
        <v>#VALUE!</v>
      </c>
      <c r="AN437" t="e">
        <f>Africa!G37+"$F;@!53#"</f>
        <v>#VALUE!</v>
      </c>
      <c r="AO437" t="e">
        <f>Africa!H37+"$F;@!53$"</f>
        <v>#VALUE!</v>
      </c>
      <c r="AP437" t="e">
        <f>Africa!A38+"$F;@!53%"</f>
        <v>#VALUE!</v>
      </c>
      <c r="AQ437" t="e">
        <f>Africa!B38+"$F;@!53&amp;"</f>
        <v>#VALUE!</v>
      </c>
      <c r="AR437" t="e">
        <f>Africa!C38+"$F;@!53'"</f>
        <v>#VALUE!</v>
      </c>
      <c r="AS437" t="e">
        <f>Africa!D38+"$F;@!53("</f>
        <v>#VALUE!</v>
      </c>
      <c r="AT437" t="e">
        <f>Africa!E38+"$F;@!53)"</f>
        <v>#VALUE!</v>
      </c>
      <c r="AU437" t="e">
        <f>Africa!F38+"$F;@!53."</f>
        <v>#VALUE!</v>
      </c>
      <c r="AV437" t="e">
        <f>Africa!G38+"$F;@!53/"</f>
        <v>#VALUE!</v>
      </c>
      <c r="AW437" t="e">
        <f>Africa!H38+"$F;@!530"</f>
        <v>#VALUE!</v>
      </c>
      <c r="AX437" t="e">
        <f>Africa!A39+"$F;@!531"</f>
        <v>#VALUE!</v>
      </c>
      <c r="AY437" t="e">
        <f>Africa!B39+"$F;@!532"</f>
        <v>#VALUE!</v>
      </c>
      <c r="AZ437" t="e">
        <f>Africa!C39+"$F;@!533"</f>
        <v>#VALUE!</v>
      </c>
      <c r="BA437" t="e">
        <f>Africa!D39+"$F;@!534"</f>
        <v>#VALUE!</v>
      </c>
      <c r="BB437" t="e">
        <f>Africa!E39+"$F;@!535"</f>
        <v>#VALUE!</v>
      </c>
      <c r="BC437" t="e">
        <f>Africa!F39+"$F;@!536"</f>
        <v>#VALUE!</v>
      </c>
      <c r="BD437" t="e">
        <f>Africa!G39+"$F;@!537"</f>
        <v>#VALUE!</v>
      </c>
      <c r="BE437" t="e">
        <f>Africa!H39+"$F;@!538"</f>
        <v>#VALUE!</v>
      </c>
      <c r="BF437" t="e">
        <f>Africa!A40+"$F;@!539"</f>
        <v>#VALUE!</v>
      </c>
      <c r="BG437" t="e">
        <f>Africa!B40+"$F;@!53:"</f>
        <v>#VALUE!</v>
      </c>
      <c r="BH437" t="e">
        <f>Africa!C40+"$F;@!53;"</f>
        <v>#VALUE!</v>
      </c>
      <c r="BI437" t="e">
        <f>Africa!D40+"$F;@!53&lt;"</f>
        <v>#VALUE!</v>
      </c>
      <c r="BJ437" t="e">
        <f>Africa!E40+"$F;@!53="</f>
        <v>#VALUE!</v>
      </c>
      <c r="BK437" t="e">
        <f>Africa!F40+"$F;@!53&gt;"</f>
        <v>#VALUE!</v>
      </c>
      <c r="BL437" t="e">
        <f>Africa!G40+"$F;@!53?"</f>
        <v>#VALUE!</v>
      </c>
      <c r="BM437" t="e">
        <f>Africa!H40+"$F;@!53@"</f>
        <v>#VALUE!</v>
      </c>
      <c r="BN437" t="e">
        <f>Africa!A41+"$F;@!53A"</f>
        <v>#VALUE!</v>
      </c>
      <c r="BO437" t="e">
        <f>Africa!B41+"$F;@!53B"</f>
        <v>#VALUE!</v>
      </c>
      <c r="BP437" t="e">
        <f>Africa!C41+"$F;@!53C"</f>
        <v>#VALUE!</v>
      </c>
      <c r="BQ437" t="e">
        <f>Africa!D41+"$F;@!53D"</f>
        <v>#VALUE!</v>
      </c>
      <c r="BR437" t="e">
        <f>Africa!E41+"$F;@!53E"</f>
        <v>#VALUE!</v>
      </c>
      <c r="BS437" t="e">
        <f>Africa!F41+"$F;@!53F"</f>
        <v>#VALUE!</v>
      </c>
      <c r="BT437" t="e">
        <f>Africa!G41+"$F;@!53G"</f>
        <v>#VALUE!</v>
      </c>
      <c r="BU437" t="e">
        <f>Africa!H41+"$F;@!53H"</f>
        <v>#VALUE!</v>
      </c>
      <c r="BV437" t="e">
        <f>Africa!A42+"$F;@!53I"</f>
        <v>#VALUE!</v>
      </c>
      <c r="BW437" t="e">
        <f>Africa!B42+"$F;@!53J"</f>
        <v>#VALUE!</v>
      </c>
      <c r="BX437" t="e">
        <f>Africa!C42+"$F;@!53K"</f>
        <v>#VALUE!</v>
      </c>
      <c r="BY437" t="e">
        <f>Africa!D42+"$F;@!53L"</f>
        <v>#VALUE!</v>
      </c>
      <c r="BZ437" t="e">
        <f>Africa!E42+"$F;@!53M"</f>
        <v>#VALUE!</v>
      </c>
      <c r="CA437" t="e">
        <f>Africa!F42+"$F;@!53N"</f>
        <v>#VALUE!</v>
      </c>
      <c r="CB437" t="e">
        <f>Africa!G42+"$F;@!53O"</f>
        <v>#VALUE!</v>
      </c>
      <c r="CC437" t="e">
        <f>Africa!H42+"$F;@!53P"</f>
        <v>#VALUE!</v>
      </c>
      <c r="CD437" t="e">
        <f>Africa!A43+"$F;@!53Q"</f>
        <v>#VALUE!</v>
      </c>
      <c r="CE437" t="e">
        <f>Africa!B43+"$F;@!53R"</f>
        <v>#VALUE!</v>
      </c>
      <c r="CF437" t="e">
        <f>Africa!C43+"$F;@!53S"</f>
        <v>#VALUE!</v>
      </c>
      <c r="CG437" t="e">
        <f>Africa!D43+"$F;@!53T"</f>
        <v>#VALUE!</v>
      </c>
      <c r="CH437" t="e">
        <f>Africa!E43+"$F;@!53U"</f>
        <v>#VALUE!</v>
      </c>
      <c r="CI437" t="e">
        <f>Africa!F43+"$F;@!53V"</f>
        <v>#VALUE!</v>
      </c>
      <c r="CJ437" t="e">
        <f>Africa!G43+"$F;@!53W"</f>
        <v>#VALUE!</v>
      </c>
      <c r="CK437" t="e">
        <f>Africa!H43+"$F;@!53X"</f>
        <v>#VALUE!</v>
      </c>
      <c r="CL437" t="e">
        <f>Africa!A44+"$F;@!53Y"</f>
        <v>#VALUE!</v>
      </c>
      <c r="CM437" t="e">
        <f>Africa!B44+"$F;@!53Z"</f>
        <v>#VALUE!</v>
      </c>
      <c r="CN437" t="e">
        <f>Africa!C44+"$F;@!53["</f>
        <v>#VALUE!</v>
      </c>
      <c r="CO437" t="e">
        <f>Africa!D44+"$F;@!53\"</f>
        <v>#VALUE!</v>
      </c>
      <c r="CP437" t="e">
        <f>Africa!E44+"$F;@!53]"</f>
        <v>#VALUE!</v>
      </c>
      <c r="CQ437" t="e">
        <f>Africa!F44+"$F;@!53^"</f>
        <v>#VALUE!</v>
      </c>
      <c r="CR437" t="e">
        <f>Africa!G44+"$F;@!53_"</f>
        <v>#VALUE!</v>
      </c>
      <c r="CS437" t="e">
        <f>Africa!H44+"$F;@!53`"</f>
        <v>#VALUE!</v>
      </c>
      <c r="CT437" t="e">
        <f>Africa!A45+"$F;@!53a"</f>
        <v>#VALUE!</v>
      </c>
      <c r="CU437" t="e">
        <f>Africa!B45+"$F;@!53b"</f>
        <v>#VALUE!</v>
      </c>
      <c r="CV437" t="e">
        <f>Africa!C45+"$F;@!53c"</f>
        <v>#VALUE!</v>
      </c>
      <c r="CW437" t="e">
        <f>Africa!D45+"$F;@!53d"</f>
        <v>#VALUE!</v>
      </c>
      <c r="CX437" t="e">
        <f>Africa!E45+"$F;@!53e"</f>
        <v>#VALUE!</v>
      </c>
      <c r="CY437" t="e">
        <f>Africa!F45+"$F;@!53f"</f>
        <v>#VALUE!</v>
      </c>
      <c r="CZ437" t="e">
        <f>Africa!G45+"$F;@!53g"</f>
        <v>#VALUE!</v>
      </c>
      <c r="DA437" t="e">
        <f>Africa!H45+"$F;@!53h"</f>
        <v>#VALUE!</v>
      </c>
      <c r="DB437" t="e">
        <f>Africa!A46+"$F;@!53i"</f>
        <v>#VALUE!</v>
      </c>
      <c r="DC437" t="e">
        <f>Africa!B46+"$F;@!53j"</f>
        <v>#VALUE!</v>
      </c>
      <c r="DD437" t="e">
        <f>Africa!C46+"$F;@!53k"</f>
        <v>#VALUE!</v>
      </c>
      <c r="DE437" t="e">
        <f>Africa!D46+"$F;@!53l"</f>
        <v>#VALUE!</v>
      </c>
      <c r="DF437" t="e">
        <f>Africa!E46+"$F;@!53m"</f>
        <v>#VALUE!</v>
      </c>
      <c r="DG437" t="e">
        <f>Africa!F46+"$F;@!53n"</f>
        <v>#VALUE!</v>
      </c>
      <c r="DH437" t="e">
        <f>Africa!G46+"$F;@!53o"</f>
        <v>#VALUE!</v>
      </c>
      <c r="DI437" t="e">
        <f>Africa!H46+"$F;@!53p"</f>
        <v>#VALUE!</v>
      </c>
      <c r="DJ437" t="e">
        <f>Africa!A47+"$F;@!53q"</f>
        <v>#VALUE!</v>
      </c>
      <c r="DK437" t="e">
        <f>Africa!B47+"$F;@!53r"</f>
        <v>#VALUE!</v>
      </c>
      <c r="DL437" t="e">
        <f>Africa!C47+"$F;@!53s"</f>
        <v>#VALUE!</v>
      </c>
      <c r="DM437" t="e">
        <f>Africa!D47+"$F;@!53t"</f>
        <v>#VALUE!</v>
      </c>
      <c r="DN437" t="e">
        <f>Africa!E47+"$F;@!53u"</f>
        <v>#VALUE!</v>
      </c>
      <c r="DO437" t="e">
        <f>Africa!F47+"$F;@!53v"</f>
        <v>#VALUE!</v>
      </c>
      <c r="DP437" t="e">
        <f>Africa!G47+"$F;@!53w"</f>
        <v>#VALUE!</v>
      </c>
      <c r="DQ437" t="e">
        <f>Africa!H47+"$F;@!53x"</f>
        <v>#VALUE!</v>
      </c>
      <c r="DR437" t="e">
        <f>Africa!A48+"$F;@!53y"</f>
        <v>#VALUE!</v>
      </c>
      <c r="DS437" t="e">
        <f>Africa!B48+"$F;@!53z"</f>
        <v>#VALUE!</v>
      </c>
      <c r="DT437" t="e">
        <f>Africa!C48+"$F;@!53{"</f>
        <v>#VALUE!</v>
      </c>
      <c r="DU437" t="e">
        <f>Africa!D48+"$F;@!53|"</f>
        <v>#VALUE!</v>
      </c>
      <c r="DV437" t="e">
        <f>Africa!E48+"$F;@!53}"</f>
        <v>#VALUE!</v>
      </c>
      <c r="DW437" t="e">
        <f>Africa!F48+"$F;@!53~"</f>
        <v>#VALUE!</v>
      </c>
      <c r="DX437" t="e">
        <f>Africa!G48+"$F;@!54#"</f>
        <v>#VALUE!</v>
      </c>
      <c r="DY437" t="e">
        <f>Africa!H48+"$F;@!54$"</f>
        <v>#VALUE!</v>
      </c>
      <c r="DZ437" t="e">
        <f>Africa!A49+"$F;@!54%"</f>
        <v>#VALUE!</v>
      </c>
      <c r="EA437" t="e">
        <f>Africa!B49+"$F;@!54&amp;"</f>
        <v>#VALUE!</v>
      </c>
      <c r="EB437" t="e">
        <f>Africa!C49+"$F;@!54'"</f>
        <v>#VALUE!</v>
      </c>
      <c r="EC437" t="e">
        <f>Africa!D49+"$F;@!54("</f>
        <v>#VALUE!</v>
      </c>
      <c r="ED437" t="e">
        <f>Africa!E49+"$F;@!54)"</f>
        <v>#VALUE!</v>
      </c>
      <c r="EE437" t="e">
        <f>Africa!F49+"$F;@!54."</f>
        <v>#VALUE!</v>
      </c>
      <c r="EF437" t="e">
        <f>Africa!G49+"$F;@!54/"</f>
        <v>#VALUE!</v>
      </c>
      <c r="EG437" t="e">
        <f>Africa!H49+"$F;@!540"</f>
        <v>#VALUE!</v>
      </c>
      <c r="EH437" t="e">
        <f>Africa!A50+"$F;@!541"</f>
        <v>#VALUE!</v>
      </c>
      <c r="EI437" t="e">
        <f>Africa!B50+"$F;@!542"</f>
        <v>#VALUE!</v>
      </c>
      <c r="EJ437" t="e">
        <f>Africa!C50+"$F;@!543"</f>
        <v>#VALUE!</v>
      </c>
      <c r="EK437" t="e">
        <f>Africa!D50+"$F;@!544"</f>
        <v>#VALUE!</v>
      </c>
      <c r="EL437" t="e">
        <f>Africa!E50+"$F;@!545"</f>
        <v>#VALUE!</v>
      </c>
      <c r="EM437" t="e">
        <f>Africa!F50+"$F;@!546"</f>
        <v>#VALUE!</v>
      </c>
      <c r="EN437" t="e">
        <f>Africa!G50+"$F;@!547"</f>
        <v>#VALUE!</v>
      </c>
      <c r="EO437" t="e">
        <f>Africa!H50+"$F;@!548"</f>
        <v>#VALUE!</v>
      </c>
      <c r="EP437" t="e">
        <f>Africa!A51+"$F;@!549"</f>
        <v>#VALUE!</v>
      </c>
      <c r="EQ437" t="e">
        <f>Africa!B51+"$F;@!54:"</f>
        <v>#VALUE!</v>
      </c>
      <c r="ER437" t="e">
        <f>Africa!C51+"$F;@!54;"</f>
        <v>#VALUE!</v>
      </c>
      <c r="ES437" t="e">
        <f>Africa!D51+"$F;@!54&lt;"</f>
        <v>#VALUE!</v>
      </c>
      <c r="ET437" t="e">
        <f>Africa!E51+"$F;@!54="</f>
        <v>#VALUE!</v>
      </c>
      <c r="EU437" t="e">
        <f>Africa!F51+"$F;@!54&gt;"</f>
        <v>#VALUE!</v>
      </c>
      <c r="EV437" t="e">
        <f>Africa!G51+"$F;@!54?"</f>
        <v>#VALUE!</v>
      </c>
      <c r="EW437" t="e">
        <f>Africa!H51+"$F;@!54@"</f>
        <v>#VALUE!</v>
      </c>
      <c r="EX437" t="e">
        <f>Africa!A52+"$F;@!54A"</f>
        <v>#VALUE!</v>
      </c>
      <c r="EY437" t="e">
        <f>Africa!B52+"$F;@!54B"</f>
        <v>#VALUE!</v>
      </c>
      <c r="EZ437" t="e">
        <f>Africa!C52+"$F;@!54C"</f>
        <v>#VALUE!</v>
      </c>
      <c r="FA437" t="e">
        <f>Africa!D52+"$F;@!54D"</f>
        <v>#VALUE!</v>
      </c>
      <c r="FB437" t="e">
        <f>Africa!E52+"$F;@!54E"</f>
        <v>#VALUE!</v>
      </c>
      <c r="FC437" t="e">
        <f>Africa!F52+"$F;@!54F"</f>
        <v>#VALUE!</v>
      </c>
      <c r="FD437" t="e">
        <f>Africa!G52+"$F;@!54G"</f>
        <v>#VALUE!</v>
      </c>
      <c r="FE437" t="e">
        <f>Africa!H52+"$F;@!54H"</f>
        <v>#VALUE!</v>
      </c>
      <c r="FF437" t="e">
        <f>Africa!A53+"$F;@!54I"</f>
        <v>#VALUE!</v>
      </c>
      <c r="FG437" t="e">
        <f>Africa!B53+"$F;@!54J"</f>
        <v>#VALUE!</v>
      </c>
      <c r="FH437" t="e">
        <f>Africa!C53+"$F;@!54K"</f>
        <v>#VALUE!</v>
      </c>
      <c r="FI437" t="e">
        <f>Africa!D53+"$F;@!54L"</f>
        <v>#VALUE!</v>
      </c>
      <c r="FJ437" t="e">
        <f>Africa!E53+"$F;@!54M"</f>
        <v>#VALUE!</v>
      </c>
      <c r="FK437" t="e">
        <f>Africa!F53+"$F;@!54N"</f>
        <v>#VALUE!</v>
      </c>
      <c r="FL437" t="e">
        <f>Africa!G53+"$F;@!54O"</f>
        <v>#VALUE!</v>
      </c>
      <c r="FM437" t="e">
        <f>Africa!H53+"$F;@!54P"</f>
        <v>#VALUE!</v>
      </c>
      <c r="FN437" t="e">
        <f>Africa!A54+"$F;@!54Q"</f>
        <v>#VALUE!</v>
      </c>
      <c r="FO437" t="e">
        <f>Africa!B54+"$F;@!54R"</f>
        <v>#VALUE!</v>
      </c>
      <c r="FP437" t="e">
        <f>Africa!C54+"$F;@!54S"</f>
        <v>#VALUE!</v>
      </c>
      <c r="FQ437" t="e">
        <f>Africa!D54+"$F;@!54T"</f>
        <v>#VALUE!</v>
      </c>
      <c r="FR437" t="e">
        <f>Africa!E54+"$F;@!54U"</f>
        <v>#VALUE!</v>
      </c>
      <c r="FS437" t="e">
        <f>Africa!F54+"$F;@!54V"</f>
        <v>#VALUE!</v>
      </c>
      <c r="FT437" t="e">
        <f>Africa!G54+"$F;@!54W"</f>
        <v>#VALUE!</v>
      </c>
      <c r="FU437" t="e">
        <f>Africa!H54+"$F;@!54X"</f>
        <v>#VALUE!</v>
      </c>
      <c r="FV437" t="e">
        <f>Africa!A55+"$F;@!54Y"</f>
        <v>#VALUE!</v>
      </c>
      <c r="FW437" t="e">
        <f>Africa!B55+"$F;@!54Z"</f>
        <v>#VALUE!</v>
      </c>
      <c r="FX437" t="e">
        <f>Africa!C55+"$F;@!54["</f>
        <v>#VALUE!</v>
      </c>
      <c r="FY437" t="e">
        <f>Africa!D55+"$F;@!54\"</f>
        <v>#VALUE!</v>
      </c>
      <c r="FZ437" t="e">
        <f>Africa!E55+"$F;@!54]"</f>
        <v>#VALUE!</v>
      </c>
      <c r="GA437" t="e">
        <f>Africa!F55+"$F;@!54^"</f>
        <v>#VALUE!</v>
      </c>
      <c r="GB437" t="e">
        <f>Africa!G55+"$F;@!54_"</f>
        <v>#VALUE!</v>
      </c>
      <c r="GC437" t="e">
        <f>Africa!H55+"$F;@!54`"</f>
        <v>#VALUE!</v>
      </c>
      <c r="GD437" t="e">
        <f>Africa!A56+"$F;@!54a"</f>
        <v>#VALUE!</v>
      </c>
      <c r="GE437" t="e">
        <f>Africa!B56+"$F;@!54b"</f>
        <v>#VALUE!</v>
      </c>
      <c r="GF437" t="e">
        <f>Africa!C56+"$F;@!54c"</f>
        <v>#VALUE!</v>
      </c>
      <c r="GG437" t="e">
        <f>Africa!D56+"$F;@!54d"</f>
        <v>#VALUE!</v>
      </c>
      <c r="GH437" t="e">
        <f>Africa!E56+"$F;@!54e"</f>
        <v>#VALUE!</v>
      </c>
      <c r="GI437" t="e">
        <f>Africa!F56+"$F;@!54f"</f>
        <v>#VALUE!</v>
      </c>
      <c r="GJ437" t="e">
        <f>Africa!G56+"$F;@!54g"</f>
        <v>#VALUE!</v>
      </c>
      <c r="GK437" t="e">
        <f>Africa!H56+"$F;@!54h"</f>
        <v>#VALUE!</v>
      </c>
      <c r="GL437" t="e">
        <f>Africa!A57+"$F;@!54i"</f>
        <v>#VALUE!</v>
      </c>
      <c r="GM437" t="e">
        <f>Africa!B57+"$F;@!54j"</f>
        <v>#VALUE!</v>
      </c>
      <c r="GN437" t="e">
        <f>Africa!C57+"$F;@!54k"</f>
        <v>#VALUE!</v>
      </c>
      <c r="GO437" t="e">
        <f>Africa!D57+"$F;@!54l"</f>
        <v>#VALUE!</v>
      </c>
      <c r="GP437" t="e">
        <f>Africa!E57+"$F;@!54m"</f>
        <v>#VALUE!</v>
      </c>
      <c r="GQ437" t="e">
        <f>Africa!F57+"$F;@!54n"</f>
        <v>#VALUE!</v>
      </c>
      <c r="GR437" t="e">
        <f>Africa!G57+"$F;@!54o"</f>
        <v>#VALUE!</v>
      </c>
      <c r="GS437" t="e">
        <f>Africa!H57+"$F;@!54p"</f>
        <v>#VALUE!</v>
      </c>
      <c r="GT437" t="e">
        <f>Africa!A58+"$F;@!54q"</f>
        <v>#VALUE!</v>
      </c>
      <c r="GU437" t="e">
        <f>Africa!B58+"$F;@!54r"</f>
        <v>#VALUE!</v>
      </c>
      <c r="GV437" t="e">
        <f>Africa!C58+"$F;@!54s"</f>
        <v>#VALUE!</v>
      </c>
      <c r="GW437" t="e">
        <f>Africa!D58+"$F;@!54t"</f>
        <v>#VALUE!</v>
      </c>
      <c r="GX437" t="e">
        <f>Africa!E58+"$F;@!54u"</f>
        <v>#VALUE!</v>
      </c>
      <c r="GY437" t="e">
        <f>Africa!F58+"$F;@!54v"</f>
        <v>#VALUE!</v>
      </c>
      <c r="GZ437" t="e">
        <f>Africa!G58+"$F;@!54w"</f>
        <v>#VALUE!</v>
      </c>
      <c r="HA437" t="e">
        <f>Africa!H58+"$F;@!54x"</f>
        <v>#VALUE!</v>
      </c>
      <c r="HB437" t="e">
        <f>Africa!A59+"$F;@!54y"</f>
        <v>#VALUE!</v>
      </c>
      <c r="HC437" t="e">
        <f>Africa!B59+"$F;@!54z"</f>
        <v>#VALUE!</v>
      </c>
      <c r="HD437" t="e">
        <f>Africa!C59+"$F;@!54{"</f>
        <v>#VALUE!</v>
      </c>
      <c r="HE437" t="e">
        <f>Africa!D59+"$F;@!54|"</f>
        <v>#VALUE!</v>
      </c>
      <c r="HF437" t="e">
        <f>Africa!E59+"$F;@!54}"</f>
        <v>#VALUE!</v>
      </c>
      <c r="HG437" t="e">
        <f>Africa!F59+"$F;@!54~"</f>
        <v>#VALUE!</v>
      </c>
      <c r="HH437" t="e">
        <f>Africa!G59+"$F;@!55#"</f>
        <v>#VALUE!</v>
      </c>
      <c r="HI437" t="e">
        <f>Africa!H59+"$F;@!55$"</f>
        <v>#VALUE!</v>
      </c>
      <c r="HJ437" t="e">
        <f>Africa!A60+"$F;@!55%"</f>
        <v>#VALUE!</v>
      </c>
      <c r="HK437" t="e">
        <f>Africa!B60+"$F;@!55&amp;"</f>
        <v>#VALUE!</v>
      </c>
      <c r="HL437" t="e">
        <f>Africa!C60+"$F;@!55'"</f>
        <v>#VALUE!</v>
      </c>
      <c r="HM437" t="e">
        <f>Africa!D60+"$F;@!55("</f>
        <v>#VALUE!</v>
      </c>
      <c r="HN437" t="e">
        <f>Africa!E60+"$F;@!55)"</f>
        <v>#VALUE!</v>
      </c>
      <c r="HO437" t="e">
        <f>Africa!F60+"$F;@!55."</f>
        <v>#VALUE!</v>
      </c>
      <c r="HP437" t="e">
        <f>Africa!G60+"$F;@!55/"</f>
        <v>#VALUE!</v>
      </c>
      <c r="HQ437" t="e">
        <f>Africa!H60+"$F;@!550"</f>
        <v>#VALUE!</v>
      </c>
      <c r="HR437" t="e">
        <f>Africa!A61+"$F;@!551"</f>
        <v>#VALUE!</v>
      </c>
      <c r="HS437" t="e">
        <f>Africa!B61+"$F;@!552"</f>
        <v>#VALUE!</v>
      </c>
      <c r="HT437" t="e">
        <f>Africa!C61+"$F;@!553"</f>
        <v>#VALUE!</v>
      </c>
      <c r="HU437" t="e">
        <f>Africa!D61+"$F;@!554"</f>
        <v>#VALUE!</v>
      </c>
      <c r="HV437" t="e">
        <f>Africa!E61+"$F;@!555"</f>
        <v>#VALUE!</v>
      </c>
      <c r="HW437" t="e">
        <f>Africa!F61+"$F;@!556"</f>
        <v>#VALUE!</v>
      </c>
      <c r="HX437" t="e">
        <f>Africa!G61+"$F;@!557"</f>
        <v>#VALUE!</v>
      </c>
      <c r="HY437" t="e">
        <f>Africa!H61+"$F;@!558"</f>
        <v>#VALUE!</v>
      </c>
      <c r="HZ437" t="e">
        <f>Africa!A62+"$F;@!559"</f>
        <v>#VALUE!</v>
      </c>
      <c r="IA437" t="e">
        <f>Africa!B62+"$F;@!55:"</f>
        <v>#VALUE!</v>
      </c>
      <c r="IB437" t="e">
        <f>Africa!C62+"$F;@!55;"</f>
        <v>#VALUE!</v>
      </c>
      <c r="IC437" t="e">
        <f>Africa!D62+"$F;@!55&lt;"</f>
        <v>#VALUE!</v>
      </c>
      <c r="ID437" t="e">
        <f>Africa!E62+"$F;@!55="</f>
        <v>#VALUE!</v>
      </c>
      <c r="IE437" t="e">
        <f>Africa!F62+"$F;@!55&gt;"</f>
        <v>#VALUE!</v>
      </c>
      <c r="IF437" t="e">
        <f>Africa!G62+"$F;@!55?"</f>
        <v>#VALUE!</v>
      </c>
      <c r="IG437" t="e">
        <f>Africa!H62+"$F;@!55@"</f>
        <v>#VALUE!</v>
      </c>
      <c r="IH437" t="e">
        <f>Africa!A63+"$F;@!55A"</f>
        <v>#VALUE!</v>
      </c>
      <c r="II437" t="e">
        <f>Africa!B63+"$F;@!55B"</f>
        <v>#VALUE!</v>
      </c>
      <c r="IJ437" t="e">
        <f>Africa!C63+"$F;@!55C"</f>
        <v>#VALUE!</v>
      </c>
      <c r="IK437" t="e">
        <f>Africa!D63+"$F;@!55D"</f>
        <v>#VALUE!</v>
      </c>
      <c r="IL437" t="e">
        <f>Africa!E63+"$F;@!55E"</f>
        <v>#VALUE!</v>
      </c>
      <c r="IM437" t="e">
        <f>Africa!F63+"$F;@!55F"</f>
        <v>#VALUE!</v>
      </c>
      <c r="IN437" t="e">
        <f>Africa!G63+"$F;@!55G"</f>
        <v>#VALUE!</v>
      </c>
      <c r="IO437" t="e">
        <f>Africa!H63+"$F;@!55H"</f>
        <v>#VALUE!</v>
      </c>
      <c r="IP437" t="e">
        <f>Africa!A64+"$F;@!55I"</f>
        <v>#VALUE!</v>
      </c>
      <c r="IQ437" t="e">
        <f>Africa!B64+"$F;@!55J"</f>
        <v>#VALUE!</v>
      </c>
      <c r="IR437" t="e">
        <f>Africa!C64+"$F;@!55K"</f>
        <v>#VALUE!</v>
      </c>
      <c r="IS437" t="e">
        <f>Africa!D64+"$F;@!55L"</f>
        <v>#VALUE!</v>
      </c>
      <c r="IT437" t="e">
        <f>Africa!E64+"$F;@!55M"</f>
        <v>#VALUE!</v>
      </c>
      <c r="IU437" t="e">
        <f>Africa!F64+"$F;@!55N"</f>
        <v>#VALUE!</v>
      </c>
      <c r="IV437" t="e">
        <f>Africa!G64+"$F;@!55O"</f>
        <v>#VALUE!</v>
      </c>
    </row>
    <row r="438" spans="6:256" x14ac:dyDescent="0.35">
      <c r="F438" t="e">
        <f>Africa!H64+"$F;@!55P"</f>
        <v>#VALUE!</v>
      </c>
      <c r="G438" t="e">
        <f>Africa!A65+"$F;@!55Q"</f>
        <v>#VALUE!</v>
      </c>
      <c r="H438" t="e">
        <f>Africa!B65+"$F;@!55R"</f>
        <v>#VALUE!</v>
      </c>
      <c r="I438" t="e">
        <f>Africa!C65+"$F;@!55S"</f>
        <v>#VALUE!</v>
      </c>
      <c r="J438" t="e">
        <f>Africa!D65+"$F;@!55T"</f>
        <v>#VALUE!</v>
      </c>
      <c r="K438" t="e">
        <f>Africa!E65+"$F;@!55U"</f>
        <v>#VALUE!</v>
      </c>
      <c r="L438" t="e">
        <f>Africa!F65+"$F;@!55V"</f>
        <v>#VALUE!</v>
      </c>
      <c r="M438" t="e">
        <f>Africa!G65+"$F;@!55W"</f>
        <v>#VALUE!</v>
      </c>
      <c r="N438" t="e">
        <f>Africa!H65+"$F;@!55X"</f>
        <v>#VALUE!</v>
      </c>
      <c r="O438" t="e">
        <f>Africa!A66+"$F;@!55Y"</f>
        <v>#VALUE!</v>
      </c>
      <c r="P438" t="e">
        <f>Africa!B66+"$F;@!55Z"</f>
        <v>#VALUE!</v>
      </c>
      <c r="Q438" t="e">
        <f>Africa!C66+"$F;@!55["</f>
        <v>#VALUE!</v>
      </c>
      <c r="R438" t="e">
        <f>Africa!D66+"$F;@!55\"</f>
        <v>#VALUE!</v>
      </c>
      <c r="S438" t="e">
        <f>Africa!E66+"$F;@!55]"</f>
        <v>#VALUE!</v>
      </c>
      <c r="T438" t="e">
        <f>Africa!F66+"$F;@!55^"</f>
        <v>#VALUE!</v>
      </c>
      <c r="U438" t="e">
        <f>Africa!G66+"$F;@!55_"</f>
        <v>#VALUE!</v>
      </c>
      <c r="V438" t="e">
        <f>Africa!H66+"$F;@!55`"</f>
        <v>#VALUE!</v>
      </c>
      <c r="W438" t="e">
        <f>Africa!A67+"$F;@!55a"</f>
        <v>#VALUE!</v>
      </c>
      <c r="X438" t="e">
        <f>Africa!B67+"$F;@!55b"</f>
        <v>#VALUE!</v>
      </c>
      <c r="Y438" t="e">
        <f>Africa!C67+"$F;@!55c"</f>
        <v>#VALUE!</v>
      </c>
      <c r="Z438" t="e">
        <f>Africa!D67+"$F;@!55d"</f>
        <v>#VALUE!</v>
      </c>
      <c r="AA438" t="e">
        <f>Africa!E67+"$F;@!55e"</f>
        <v>#VALUE!</v>
      </c>
      <c r="AB438" t="e">
        <f>Africa!F67+"$F;@!55f"</f>
        <v>#VALUE!</v>
      </c>
      <c r="AC438" t="e">
        <f>Africa!G67+"$F;@!55g"</f>
        <v>#VALUE!</v>
      </c>
      <c r="AD438" t="e">
        <f>Africa!H67+"$F;@!55h"</f>
        <v>#VALUE!</v>
      </c>
      <c r="AE438" t="e">
        <f>Africa!A68+"$F;@!55i"</f>
        <v>#VALUE!</v>
      </c>
      <c r="AF438" t="e">
        <f>Africa!B68+"$F;@!55j"</f>
        <v>#VALUE!</v>
      </c>
      <c r="AG438" t="e">
        <f>Africa!C68+"$F;@!55k"</f>
        <v>#VALUE!</v>
      </c>
      <c r="AH438" t="e">
        <f>Africa!D68+"$F;@!55l"</f>
        <v>#VALUE!</v>
      </c>
      <c r="AI438" t="e">
        <f>Africa!E68+"$F;@!55m"</f>
        <v>#VALUE!</v>
      </c>
      <c r="AJ438" t="e">
        <f>Africa!F68+"$F;@!55n"</f>
        <v>#VALUE!</v>
      </c>
      <c r="AK438" t="e">
        <f>Africa!G68+"$F;@!55o"</f>
        <v>#VALUE!</v>
      </c>
      <c r="AL438" t="e">
        <f>Africa!H68+"$F;@!55p"</f>
        <v>#VALUE!</v>
      </c>
      <c r="AM438" t="e">
        <f>Africa!A69+"$F;@!55q"</f>
        <v>#VALUE!</v>
      </c>
      <c r="AN438" t="e">
        <f>Africa!B69+"$F;@!55r"</f>
        <v>#VALUE!</v>
      </c>
      <c r="AO438" t="e">
        <f>Africa!C69+"$F;@!55s"</f>
        <v>#VALUE!</v>
      </c>
      <c r="AP438" t="e">
        <f>Africa!D69+"$F;@!55t"</f>
        <v>#VALUE!</v>
      </c>
      <c r="AQ438" t="e">
        <f>Africa!E69+"$F;@!55u"</f>
        <v>#VALUE!</v>
      </c>
      <c r="AR438" t="e">
        <f>Africa!F69+"$F;@!55v"</f>
        <v>#VALUE!</v>
      </c>
      <c r="AS438" t="e">
        <f>Africa!G69+"$F;@!55w"</f>
        <v>#VALUE!</v>
      </c>
      <c r="AT438" t="e">
        <f>Africa!H69+"$F;@!55x"</f>
        <v>#VALUE!</v>
      </c>
      <c r="AU438" t="e">
        <f>Africa!A70+"$F;@!55y"</f>
        <v>#VALUE!</v>
      </c>
      <c r="AV438" t="e">
        <f>Africa!B70+"$F;@!55z"</f>
        <v>#VALUE!</v>
      </c>
      <c r="AW438" t="e">
        <f>Africa!C70+"$F;@!55{"</f>
        <v>#VALUE!</v>
      </c>
      <c r="AX438" t="e">
        <f>Africa!D70+"$F;@!55|"</f>
        <v>#VALUE!</v>
      </c>
      <c r="AY438" t="e">
        <f>Africa!E70+"$F;@!55}"</f>
        <v>#VALUE!</v>
      </c>
      <c r="AZ438" t="e">
        <f>Africa!F70+"$F;@!55~"</f>
        <v>#VALUE!</v>
      </c>
      <c r="BA438" t="e">
        <f>Africa!G70+"$F;@!56#"</f>
        <v>#VALUE!</v>
      </c>
      <c r="BB438" t="e">
        <f>Africa!H70+"$F;@!56$"</f>
        <v>#VALUE!</v>
      </c>
      <c r="BC438" t="e">
        <f>Africa!A71+"$F;@!56%"</f>
        <v>#VALUE!</v>
      </c>
      <c r="BD438" t="e">
        <f>Africa!B71+"$F;@!56&amp;"</f>
        <v>#VALUE!</v>
      </c>
      <c r="BE438" t="e">
        <f>Africa!C71+"$F;@!56'"</f>
        <v>#VALUE!</v>
      </c>
      <c r="BF438" t="e">
        <f>Africa!D71+"$F;@!56("</f>
        <v>#VALUE!</v>
      </c>
      <c r="BG438" t="e">
        <f>Africa!E71+"$F;@!56)"</f>
        <v>#VALUE!</v>
      </c>
      <c r="BH438" t="e">
        <f>Africa!F71+"$F;@!56."</f>
        <v>#VALUE!</v>
      </c>
      <c r="BI438" t="e">
        <f>Africa!G71+"$F;@!56/"</f>
        <v>#VALUE!</v>
      </c>
      <c r="BJ438" t="e">
        <f>Africa!H71+"$F;@!560"</f>
        <v>#VALUE!</v>
      </c>
      <c r="BK438" t="e">
        <f>Africa!A72+"$F;@!561"</f>
        <v>#VALUE!</v>
      </c>
      <c r="BL438" t="e">
        <f>Africa!B72+"$F;@!562"</f>
        <v>#VALUE!</v>
      </c>
      <c r="BM438" t="e">
        <f>Africa!C72+"$F;@!563"</f>
        <v>#VALUE!</v>
      </c>
      <c r="BN438" t="e">
        <f>Africa!D72+"$F;@!564"</f>
        <v>#VALUE!</v>
      </c>
      <c r="BO438" t="e">
        <f>Africa!E72+"$F;@!565"</f>
        <v>#VALUE!</v>
      </c>
      <c r="BP438" t="e">
        <f>Africa!F72+"$F;@!566"</f>
        <v>#VALUE!</v>
      </c>
      <c r="BQ438" t="e">
        <f>Africa!G72+"$F;@!567"</f>
        <v>#VALUE!</v>
      </c>
      <c r="BR438" t="e">
        <f>Africa!H72+"$F;@!568"</f>
        <v>#VALUE!</v>
      </c>
      <c r="BS438" t="e">
        <f>Africa!A73+"$F;@!569"</f>
        <v>#VALUE!</v>
      </c>
      <c r="BT438" t="e">
        <f>Africa!B73+"$F;@!56:"</f>
        <v>#VALUE!</v>
      </c>
      <c r="BU438" t="e">
        <f>Africa!C73+"$F;@!56;"</f>
        <v>#VALUE!</v>
      </c>
      <c r="BV438" t="e">
        <f>Africa!D73+"$F;@!56&lt;"</f>
        <v>#VALUE!</v>
      </c>
      <c r="BW438" t="e">
        <f>Africa!E73+"$F;@!56="</f>
        <v>#VALUE!</v>
      </c>
      <c r="BX438" t="e">
        <f>Africa!F73+"$F;@!56&gt;"</f>
        <v>#VALUE!</v>
      </c>
      <c r="BY438" t="e">
        <f>Africa!G73+"$F;@!56?"</f>
        <v>#VALUE!</v>
      </c>
      <c r="BZ438" t="e">
        <f>Africa!H73+"$F;@!56@"</f>
        <v>#VALUE!</v>
      </c>
      <c r="CA438" t="e">
        <f>Africa!A74+"$F;@!56A"</f>
        <v>#VALUE!</v>
      </c>
      <c r="CB438" t="e">
        <f>Africa!B74+"$F;@!56B"</f>
        <v>#VALUE!</v>
      </c>
      <c r="CC438" t="e">
        <f>Africa!C74+"$F;@!56C"</f>
        <v>#VALUE!</v>
      </c>
      <c r="CD438" t="e">
        <f>Africa!D74+"$F;@!56D"</f>
        <v>#VALUE!</v>
      </c>
      <c r="CE438" t="e">
        <f>Africa!E74+"$F;@!56E"</f>
        <v>#VALUE!</v>
      </c>
      <c r="CF438" t="e">
        <f>Africa!F74+"$F;@!56F"</f>
        <v>#VALUE!</v>
      </c>
      <c r="CG438" t="e">
        <f>Africa!G74+"$F;@!56G"</f>
        <v>#VALUE!</v>
      </c>
      <c r="CH438" t="e">
        <f>Africa!H74+"$F;@!56H"</f>
        <v>#VALUE!</v>
      </c>
      <c r="CI438" t="e">
        <f>Africa!A75+"$F;@!56I"</f>
        <v>#VALUE!</v>
      </c>
      <c r="CJ438" t="e">
        <f>Africa!B75+"$F;@!56J"</f>
        <v>#VALUE!</v>
      </c>
      <c r="CK438" t="e">
        <f>Africa!C75+"$F;@!56K"</f>
        <v>#VALUE!</v>
      </c>
      <c r="CL438" t="e">
        <f>Africa!D75+"$F;@!56L"</f>
        <v>#VALUE!</v>
      </c>
      <c r="CM438" t="e">
        <f>Africa!E75+"$F;@!56M"</f>
        <v>#VALUE!</v>
      </c>
      <c r="CN438" t="e">
        <f>Africa!F75+"$F;@!56N"</f>
        <v>#VALUE!</v>
      </c>
      <c r="CO438" t="e">
        <f>Africa!G75+"$F;@!56O"</f>
        <v>#VALUE!</v>
      </c>
      <c r="CP438" t="e">
        <f>Africa!H75+"$F;@!56P"</f>
        <v>#VALUE!</v>
      </c>
      <c r="CQ438" t="e">
        <f>Africa!A76+"$F;@!56Q"</f>
        <v>#VALUE!</v>
      </c>
      <c r="CR438" t="e">
        <f>Africa!B76+"$F;@!56R"</f>
        <v>#VALUE!</v>
      </c>
      <c r="CS438" t="e">
        <f>Africa!C76+"$F;@!56S"</f>
        <v>#VALUE!</v>
      </c>
      <c r="CT438" t="e">
        <f>Africa!D76+"$F;@!56T"</f>
        <v>#VALUE!</v>
      </c>
      <c r="CU438" t="e">
        <f>Africa!E76+"$F;@!56U"</f>
        <v>#VALUE!</v>
      </c>
      <c r="CV438" t="e">
        <f>Africa!F76+"$F;@!56V"</f>
        <v>#VALUE!</v>
      </c>
      <c r="CW438" t="e">
        <f>Africa!G76+"$F;@!56W"</f>
        <v>#VALUE!</v>
      </c>
      <c r="CX438" t="e">
        <f>Africa!H76+"$F;@!56X"</f>
        <v>#VALUE!</v>
      </c>
      <c r="CY438" t="e">
        <f>Africa!A77+"$F;@!56Y"</f>
        <v>#VALUE!</v>
      </c>
      <c r="CZ438" t="e">
        <f>Africa!B77+"$F;@!56Z"</f>
        <v>#VALUE!</v>
      </c>
      <c r="DA438" t="e">
        <f>Africa!C77+"$F;@!56["</f>
        <v>#VALUE!</v>
      </c>
      <c r="DB438" t="e">
        <f>Africa!D77+"$F;@!56\"</f>
        <v>#VALUE!</v>
      </c>
      <c r="DC438" t="e">
        <f>Africa!E77+"$F;@!56]"</f>
        <v>#VALUE!</v>
      </c>
      <c r="DD438" t="e">
        <f>Africa!F77+"$F;@!56^"</f>
        <v>#VALUE!</v>
      </c>
      <c r="DE438" t="e">
        <f>Africa!G77+"$F;@!56_"</f>
        <v>#VALUE!</v>
      </c>
      <c r="DF438" t="e">
        <f>Africa!H77+"$F;@!56`"</f>
        <v>#VALUE!</v>
      </c>
      <c r="DG438" t="e">
        <f>Africa!A78+"$F;@!56a"</f>
        <v>#VALUE!</v>
      </c>
      <c r="DH438" t="e">
        <f>Africa!B78+"$F;@!56b"</f>
        <v>#VALUE!</v>
      </c>
      <c r="DI438" t="e">
        <f>Africa!C78+"$F;@!56c"</f>
        <v>#VALUE!</v>
      </c>
      <c r="DJ438" t="e">
        <f>Africa!D78+"$F;@!56d"</f>
        <v>#VALUE!</v>
      </c>
      <c r="DK438" t="e">
        <f>Africa!E78+"$F;@!56e"</f>
        <v>#VALUE!</v>
      </c>
      <c r="DL438" t="e">
        <f>Africa!F78+"$F;@!56f"</f>
        <v>#VALUE!</v>
      </c>
      <c r="DM438" t="e">
        <f>Africa!G78+"$F;@!56g"</f>
        <v>#VALUE!</v>
      </c>
      <c r="DN438" t="e">
        <f>Africa!H78+"$F;@!56h"</f>
        <v>#VALUE!</v>
      </c>
      <c r="DO438" t="e">
        <f>Africa!A79+"$F;@!56i"</f>
        <v>#VALUE!</v>
      </c>
      <c r="DP438" t="e">
        <f>Africa!B79+"$F;@!56j"</f>
        <v>#VALUE!</v>
      </c>
      <c r="DQ438" t="e">
        <f>Africa!C79+"$F;@!56k"</f>
        <v>#VALUE!</v>
      </c>
      <c r="DR438" t="e">
        <f>Africa!D79+"$F;@!56l"</f>
        <v>#VALUE!</v>
      </c>
      <c r="DS438" t="e">
        <f>Africa!E79+"$F;@!56m"</f>
        <v>#VALUE!</v>
      </c>
      <c r="DT438" t="e">
        <f>Africa!F79+"$F;@!56n"</f>
        <v>#VALUE!</v>
      </c>
      <c r="DU438" t="e">
        <f>Africa!G79+"$F;@!56o"</f>
        <v>#VALUE!</v>
      </c>
      <c r="DV438" t="e">
        <f>Africa!H79+"$F;@!56p"</f>
        <v>#VALUE!</v>
      </c>
      <c r="DW438" t="e">
        <f>Africa!A80+"$F;@!56q"</f>
        <v>#VALUE!</v>
      </c>
      <c r="DX438" t="e">
        <f>Africa!B80+"$F;@!56r"</f>
        <v>#VALUE!</v>
      </c>
      <c r="DY438" t="e">
        <f>Africa!C80+"$F;@!56s"</f>
        <v>#VALUE!</v>
      </c>
      <c r="DZ438" t="e">
        <f>Africa!D80+"$F;@!56t"</f>
        <v>#VALUE!</v>
      </c>
      <c r="EA438" t="e">
        <f>Africa!E80+"$F;@!56u"</f>
        <v>#VALUE!</v>
      </c>
      <c r="EB438" t="e">
        <f>Africa!F80+"$F;@!56v"</f>
        <v>#VALUE!</v>
      </c>
      <c r="EC438" t="e">
        <f>Africa!G80+"$F;@!56w"</f>
        <v>#VALUE!</v>
      </c>
      <c r="ED438" t="e">
        <f>Africa!H80+"$F;@!56x"</f>
        <v>#VALUE!</v>
      </c>
      <c r="EE438" t="e">
        <f>Africa!A81+"$F;@!56y"</f>
        <v>#VALUE!</v>
      </c>
      <c r="EF438" t="e">
        <f>Africa!B81+"$F;@!56z"</f>
        <v>#VALUE!</v>
      </c>
      <c r="EG438" t="e">
        <f>Africa!C81+"$F;@!56{"</f>
        <v>#VALUE!</v>
      </c>
      <c r="EH438" t="e">
        <f>Africa!D81+"$F;@!56|"</f>
        <v>#VALUE!</v>
      </c>
      <c r="EI438" t="e">
        <f>Africa!E81+"$F;@!56}"</f>
        <v>#VALUE!</v>
      </c>
      <c r="EJ438" t="e">
        <f>Africa!F81+"$F;@!56~"</f>
        <v>#VALUE!</v>
      </c>
      <c r="EK438" t="e">
        <f>Africa!G81+"$F;@!57#"</f>
        <v>#VALUE!</v>
      </c>
      <c r="EL438" t="e">
        <f>Africa!H81+"$F;@!57$"</f>
        <v>#VALUE!</v>
      </c>
      <c r="EM438" t="e">
        <f>Africa!A82+"$F;@!57%"</f>
        <v>#VALUE!</v>
      </c>
      <c r="EN438" t="e">
        <f>Africa!B82+"$F;@!57&amp;"</f>
        <v>#VALUE!</v>
      </c>
      <c r="EO438" t="e">
        <f>Africa!C82+"$F;@!57'"</f>
        <v>#VALUE!</v>
      </c>
      <c r="EP438" t="e">
        <f>Africa!D82+"$F;@!57("</f>
        <v>#VALUE!</v>
      </c>
      <c r="EQ438" t="e">
        <f>Africa!E82+"$F;@!57)"</f>
        <v>#VALUE!</v>
      </c>
      <c r="ER438" t="e">
        <f>Africa!F82+"$F;@!57."</f>
        <v>#VALUE!</v>
      </c>
      <c r="ES438" t="e">
        <f>Africa!G82+"$F;@!57/"</f>
        <v>#VALUE!</v>
      </c>
      <c r="ET438" t="e">
        <f>Africa!H82+"$F;@!570"</f>
        <v>#VALUE!</v>
      </c>
      <c r="EU438" t="e">
        <f>Africa!A83+"$F;@!571"</f>
        <v>#VALUE!</v>
      </c>
      <c r="EV438" t="e">
        <f>Africa!B83+"$F;@!572"</f>
        <v>#VALUE!</v>
      </c>
      <c r="EW438" t="e">
        <f>Africa!C83+"$F;@!573"</f>
        <v>#VALUE!</v>
      </c>
      <c r="EX438" t="e">
        <f>Africa!D83+"$F;@!574"</f>
        <v>#VALUE!</v>
      </c>
      <c r="EY438" t="e">
        <f>Africa!E83+"$F;@!575"</f>
        <v>#VALUE!</v>
      </c>
      <c r="EZ438" t="e">
        <f>Africa!F83+"$F;@!576"</f>
        <v>#VALUE!</v>
      </c>
      <c r="FA438" t="e">
        <f>Africa!G83+"$F;@!577"</f>
        <v>#VALUE!</v>
      </c>
      <c r="FB438" t="e">
        <f>Africa!H83+"$F;@!578"</f>
        <v>#VALUE!</v>
      </c>
      <c r="FC438" t="e">
        <f>Africa!A84+"$F;@!579"</f>
        <v>#VALUE!</v>
      </c>
      <c r="FD438" t="e">
        <f>Africa!B84+"$F;@!57:"</f>
        <v>#VALUE!</v>
      </c>
      <c r="FE438" t="e">
        <f>Africa!C84+"$F;@!57;"</f>
        <v>#VALUE!</v>
      </c>
      <c r="FF438" t="e">
        <f>Africa!D84+"$F;@!57&lt;"</f>
        <v>#VALUE!</v>
      </c>
      <c r="FG438" t="e">
        <f>Africa!E84+"$F;@!57="</f>
        <v>#VALUE!</v>
      </c>
      <c r="FH438" t="e">
        <f>Africa!F84+"$F;@!57&gt;"</f>
        <v>#VALUE!</v>
      </c>
      <c r="FI438" t="e">
        <f>Africa!G84+"$F;@!57?"</f>
        <v>#VALUE!</v>
      </c>
      <c r="FJ438" t="e">
        <f>Africa!H84+"$F;@!57@"</f>
        <v>#VALUE!</v>
      </c>
      <c r="FK438" t="e">
        <f>Africa!A85+"$F;@!57A"</f>
        <v>#VALUE!</v>
      </c>
      <c r="FL438" t="e">
        <f>Africa!B85+"$F;@!57B"</f>
        <v>#VALUE!</v>
      </c>
      <c r="FM438" t="e">
        <f>Africa!C85+"$F;@!57C"</f>
        <v>#VALUE!</v>
      </c>
      <c r="FN438" t="e">
        <f>Africa!D85+"$F;@!57D"</f>
        <v>#VALUE!</v>
      </c>
      <c r="FO438" t="e">
        <f>Africa!E85+"$F;@!57E"</f>
        <v>#VALUE!</v>
      </c>
      <c r="FP438" t="e">
        <f>Africa!F85+"$F;@!57F"</f>
        <v>#VALUE!</v>
      </c>
      <c r="FQ438" t="e">
        <f>Africa!G85+"$F;@!57G"</f>
        <v>#VALUE!</v>
      </c>
      <c r="FR438" t="e">
        <f>Africa!H85+"$F;@!57H"</f>
        <v>#VALUE!</v>
      </c>
      <c r="FS438" t="e">
        <f>Africa!A86+"$F;@!57I"</f>
        <v>#VALUE!</v>
      </c>
      <c r="FT438" t="e">
        <f>Africa!B86+"$F;@!57J"</f>
        <v>#VALUE!</v>
      </c>
      <c r="FU438" t="e">
        <f>Africa!C86+"$F;@!57K"</f>
        <v>#VALUE!</v>
      </c>
      <c r="FV438" t="e">
        <f>Africa!D86+"$F;@!57L"</f>
        <v>#VALUE!</v>
      </c>
      <c r="FW438" t="e">
        <f>Africa!E86+"$F;@!57M"</f>
        <v>#VALUE!</v>
      </c>
      <c r="FX438" t="e">
        <f>Africa!F86+"$F;@!57N"</f>
        <v>#VALUE!</v>
      </c>
      <c r="FY438" t="e">
        <f>Africa!G86+"$F;@!57O"</f>
        <v>#VALUE!</v>
      </c>
      <c r="FZ438" t="e">
        <f>Africa!H86+"$F;@!57P"</f>
        <v>#VALUE!</v>
      </c>
      <c r="GA438" t="e">
        <f>Africa!A87+"$F;@!57Q"</f>
        <v>#VALUE!</v>
      </c>
      <c r="GB438" t="e">
        <f>Africa!B87+"$F;@!57R"</f>
        <v>#VALUE!</v>
      </c>
      <c r="GC438" t="e">
        <f>Africa!C87+"$F;@!57S"</f>
        <v>#VALUE!</v>
      </c>
      <c r="GD438" t="e">
        <f>Africa!D87+"$F;@!57T"</f>
        <v>#VALUE!</v>
      </c>
      <c r="GE438" t="e">
        <f>Africa!E87+"$F;@!57U"</f>
        <v>#VALUE!</v>
      </c>
      <c r="GF438" t="e">
        <f>Africa!F87+"$F;@!57V"</f>
        <v>#VALUE!</v>
      </c>
      <c r="GG438" t="e">
        <f>Africa!G87+"$F;@!57W"</f>
        <v>#VALUE!</v>
      </c>
      <c r="GH438" t="e">
        <f>Africa!H87+"$F;@!57X"</f>
        <v>#VALUE!</v>
      </c>
      <c r="GI438" t="e">
        <f>Africa!A88+"$F;@!57Y"</f>
        <v>#VALUE!</v>
      </c>
      <c r="GJ438" t="e">
        <f>Africa!B88+"$F;@!57Z"</f>
        <v>#VALUE!</v>
      </c>
      <c r="GK438" t="e">
        <f>Africa!C88+"$F;@!57["</f>
        <v>#VALUE!</v>
      </c>
      <c r="GL438" t="e">
        <f>Africa!D88+"$F;@!57\"</f>
        <v>#VALUE!</v>
      </c>
      <c r="GM438" t="e">
        <f>Africa!E88+"$F;@!57]"</f>
        <v>#VALUE!</v>
      </c>
      <c r="GN438" t="e">
        <f>Africa!F88+"$F;@!57^"</f>
        <v>#VALUE!</v>
      </c>
      <c r="GO438" t="e">
        <f>Africa!G88+"$F;@!57_"</f>
        <v>#VALUE!</v>
      </c>
      <c r="GP438" t="e">
        <f>Africa!H88+"$F;@!57`"</f>
        <v>#VALUE!</v>
      </c>
      <c r="GQ438" t="e">
        <f>Africa!A89+"$F;@!57a"</f>
        <v>#VALUE!</v>
      </c>
      <c r="GR438" t="e">
        <f>Africa!B89+"$F;@!57b"</f>
        <v>#VALUE!</v>
      </c>
      <c r="GS438" t="e">
        <f>Africa!C89+"$F;@!57c"</f>
        <v>#VALUE!</v>
      </c>
      <c r="GT438" t="e">
        <f>Africa!D89+"$F;@!57d"</f>
        <v>#VALUE!</v>
      </c>
      <c r="GU438" t="e">
        <f>Africa!E89+"$F;@!57e"</f>
        <v>#VALUE!</v>
      </c>
      <c r="GV438" t="e">
        <f>Africa!F89+"$F;@!57f"</f>
        <v>#VALUE!</v>
      </c>
      <c r="GW438" t="e">
        <f>Africa!G89+"$F;@!57g"</f>
        <v>#VALUE!</v>
      </c>
      <c r="GX438" t="e">
        <f>Africa!H89+"$F;@!57h"</f>
        <v>#VALUE!</v>
      </c>
      <c r="GY438" t="e">
        <f>Africa!A90+"$F;@!57i"</f>
        <v>#VALUE!</v>
      </c>
      <c r="GZ438" t="e">
        <f>Africa!B90+"$F;@!57j"</f>
        <v>#VALUE!</v>
      </c>
      <c r="HA438" t="e">
        <f>Africa!C90+"$F;@!57k"</f>
        <v>#VALUE!</v>
      </c>
      <c r="HB438" t="e">
        <f>Africa!D90+"$F;@!57l"</f>
        <v>#VALUE!</v>
      </c>
      <c r="HC438" t="e">
        <f>Africa!E90+"$F;@!57m"</f>
        <v>#VALUE!</v>
      </c>
      <c r="HD438" t="e">
        <f>Africa!F90+"$F;@!57n"</f>
        <v>#VALUE!</v>
      </c>
      <c r="HE438" t="e">
        <f>Africa!G90+"$F;@!57o"</f>
        <v>#VALUE!</v>
      </c>
      <c r="HF438" t="e">
        <f>Africa!H90+"$F;@!57p"</f>
        <v>#VALUE!</v>
      </c>
      <c r="HG438" t="e">
        <f>Africa!A91+"$F;@!57q"</f>
        <v>#VALUE!</v>
      </c>
      <c r="HH438" t="e">
        <f>Africa!B91+"$F;@!57r"</f>
        <v>#VALUE!</v>
      </c>
      <c r="HI438" t="e">
        <f>Africa!C91+"$F;@!57s"</f>
        <v>#VALUE!</v>
      </c>
      <c r="HJ438" t="e">
        <f>Africa!D91+"$F;@!57t"</f>
        <v>#VALUE!</v>
      </c>
      <c r="HK438" t="e">
        <f>Africa!E91+"$F;@!57u"</f>
        <v>#VALUE!</v>
      </c>
      <c r="HL438" t="e">
        <f>Africa!F91+"$F;@!57v"</f>
        <v>#VALUE!</v>
      </c>
      <c r="HM438" t="e">
        <f>Africa!G91+"$F;@!57w"</f>
        <v>#VALUE!</v>
      </c>
      <c r="HN438" t="e">
        <f>Africa!H91+"$F;@!57x"</f>
        <v>#VALUE!</v>
      </c>
      <c r="HO438" t="e">
        <f>Africa!A92+"$F;@!57y"</f>
        <v>#VALUE!</v>
      </c>
      <c r="HP438" t="e">
        <f>Africa!B92+"$F;@!57z"</f>
        <v>#VALUE!</v>
      </c>
      <c r="HQ438" t="e">
        <f>Africa!C92+"$F;@!57{"</f>
        <v>#VALUE!</v>
      </c>
      <c r="HR438" t="e">
        <f>Africa!D92+"$F;@!57|"</f>
        <v>#VALUE!</v>
      </c>
      <c r="HS438" t="e">
        <f>Africa!E92+"$F;@!57}"</f>
        <v>#VALUE!</v>
      </c>
      <c r="HT438" t="e">
        <f>Africa!F92+"$F;@!57~"</f>
        <v>#VALUE!</v>
      </c>
      <c r="HU438" t="e">
        <f>Africa!G92+"$F;@!58#"</f>
        <v>#VALUE!</v>
      </c>
      <c r="HV438" t="e">
        <f>Africa!H92+"$F;@!58$"</f>
        <v>#VALUE!</v>
      </c>
      <c r="HW438" t="e">
        <f>Africa!A93+"$F;@!58%"</f>
        <v>#VALUE!</v>
      </c>
      <c r="HX438" t="e">
        <f>Africa!B93+"$F;@!58&amp;"</f>
        <v>#VALUE!</v>
      </c>
      <c r="HY438" t="e">
        <f>Africa!C93+"$F;@!58'"</f>
        <v>#VALUE!</v>
      </c>
      <c r="HZ438" t="e">
        <f>Africa!D93+"$F;@!58("</f>
        <v>#VALUE!</v>
      </c>
      <c r="IA438" t="e">
        <f>Africa!E93+"$F;@!58)"</f>
        <v>#VALUE!</v>
      </c>
      <c r="IB438" t="e">
        <f>Africa!F93+"$F;@!58."</f>
        <v>#VALUE!</v>
      </c>
      <c r="IC438" t="e">
        <f>Africa!G93+"$F;@!58/"</f>
        <v>#VALUE!</v>
      </c>
      <c r="ID438" t="e">
        <f>Africa!H93+"$F;@!580"</f>
        <v>#VALUE!</v>
      </c>
      <c r="IE438" t="e">
        <f>Africa!A94+"$F;@!581"</f>
        <v>#VALUE!</v>
      </c>
      <c r="IF438" t="e">
        <f>Africa!B94+"$F;@!582"</f>
        <v>#VALUE!</v>
      </c>
      <c r="IG438" t="e">
        <f>Africa!C94+"$F;@!583"</f>
        <v>#VALUE!</v>
      </c>
      <c r="IH438" t="e">
        <f>Africa!D94+"$F;@!584"</f>
        <v>#VALUE!</v>
      </c>
      <c r="II438" t="e">
        <f>Africa!E94+"$F;@!585"</f>
        <v>#VALUE!</v>
      </c>
      <c r="IJ438" t="e">
        <f>Africa!F94+"$F;@!586"</f>
        <v>#VALUE!</v>
      </c>
      <c r="IK438" t="e">
        <f>Africa!G94+"$F;@!587"</f>
        <v>#VALUE!</v>
      </c>
      <c r="IL438" t="e">
        <f>Africa!H94+"$F;@!588"</f>
        <v>#VALUE!</v>
      </c>
      <c r="IM438" t="e">
        <f>Africa!A95+"$F;@!589"</f>
        <v>#VALUE!</v>
      </c>
      <c r="IN438" t="e">
        <f>Africa!B95+"$F;@!58:"</f>
        <v>#VALUE!</v>
      </c>
      <c r="IO438" t="e">
        <f>Africa!C95+"$F;@!58;"</f>
        <v>#VALUE!</v>
      </c>
      <c r="IP438" t="e">
        <f>Africa!D95+"$F;@!58&lt;"</f>
        <v>#VALUE!</v>
      </c>
      <c r="IQ438" t="e">
        <f>Africa!E95+"$F;@!58="</f>
        <v>#VALUE!</v>
      </c>
      <c r="IR438" t="e">
        <f>Africa!F95+"$F;@!58&gt;"</f>
        <v>#VALUE!</v>
      </c>
      <c r="IS438" t="e">
        <f>Africa!G95+"$F;@!58?"</f>
        <v>#VALUE!</v>
      </c>
      <c r="IT438" t="e">
        <f>Africa!H95+"$F;@!58@"</f>
        <v>#VALUE!</v>
      </c>
      <c r="IU438" t="e">
        <f>Africa!A96+"$F;@!58A"</f>
        <v>#VALUE!</v>
      </c>
      <c r="IV438" t="e">
        <f>Africa!B96+"$F;@!58B"</f>
        <v>#VALUE!</v>
      </c>
    </row>
    <row r="439" spans="6:256" x14ac:dyDescent="0.35">
      <c r="F439" t="e">
        <f>Africa!C96+"$F;@!58C"</f>
        <v>#VALUE!</v>
      </c>
      <c r="G439" t="e">
        <f>Africa!D96+"$F;@!58D"</f>
        <v>#VALUE!</v>
      </c>
      <c r="H439" t="e">
        <f>Africa!E96+"$F;@!58E"</f>
        <v>#VALUE!</v>
      </c>
      <c r="I439" t="e">
        <f>Africa!F96+"$F;@!58F"</f>
        <v>#VALUE!</v>
      </c>
      <c r="J439" t="e">
        <f>Africa!G96+"$F;@!58G"</f>
        <v>#VALUE!</v>
      </c>
      <c r="K439" t="e">
        <f>Africa!H96+"$F;@!58H"</f>
        <v>#VALUE!</v>
      </c>
      <c r="L439" t="e">
        <f>Africa!A97+"$F;@!58I"</f>
        <v>#VALUE!</v>
      </c>
      <c r="M439" t="e">
        <f>Africa!B97+"$F;@!58J"</f>
        <v>#VALUE!</v>
      </c>
      <c r="N439" t="e">
        <f>Africa!C97+"$F;@!58K"</f>
        <v>#VALUE!</v>
      </c>
      <c r="O439" t="e">
        <f>Africa!D97+"$F;@!58L"</f>
        <v>#VALUE!</v>
      </c>
      <c r="P439" t="e">
        <f>Africa!E97+"$F;@!58M"</f>
        <v>#VALUE!</v>
      </c>
      <c r="Q439" t="e">
        <f>Africa!F97+"$F;@!58N"</f>
        <v>#VALUE!</v>
      </c>
      <c r="R439" t="e">
        <f>Africa!G97+"$F;@!58O"</f>
        <v>#VALUE!</v>
      </c>
      <c r="S439" t="e">
        <f>Africa!H97+"$F;@!58P"</f>
        <v>#VALUE!</v>
      </c>
      <c r="T439" t="e">
        <f>Africa!A98+"$F;@!58Q"</f>
        <v>#VALUE!</v>
      </c>
      <c r="U439" t="e">
        <f>Africa!B98+"$F;@!58R"</f>
        <v>#VALUE!</v>
      </c>
      <c r="V439" t="e">
        <f>Africa!C98+"$F;@!58S"</f>
        <v>#VALUE!</v>
      </c>
      <c r="W439" t="e">
        <f>Africa!D98+"$F;@!58T"</f>
        <v>#VALUE!</v>
      </c>
      <c r="X439" t="e">
        <f>Africa!E98+"$F;@!58U"</f>
        <v>#VALUE!</v>
      </c>
      <c r="Y439" t="e">
        <f>Africa!F98+"$F;@!58V"</f>
        <v>#VALUE!</v>
      </c>
      <c r="Z439" t="e">
        <f>Africa!G98+"$F;@!58W"</f>
        <v>#VALUE!</v>
      </c>
      <c r="AA439" t="e">
        <f>Africa!H98+"$F;@!58X"</f>
        <v>#VALUE!</v>
      </c>
      <c r="AB439" t="e">
        <f>Africa!A99+"$F;@!58Y"</f>
        <v>#VALUE!</v>
      </c>
      <c r="AC439" t="e">
        <f>Africa!B99+"$F;@!58Z"</f>
        <v>#VALUE!</v>
      </c>
      <c r="AD439" t="e">
        <f>Africa!C99+"$F;@!58["</f>
        <v>#VALUE!</v>
      </c>
      <c r="AE439" t="e">
        <f>Africa!D99+"$F;@!58\"</f>
        <v>#VALUE!</v>
      </c>
      <c r="AF439" t="e">
        <f>Africa!E99+"$F;@!58]"</f>
        <v>#VALUE!</v>
      </c>
      <c r="AG439" t="e">
        <f>Africa!F99+"$F;@!58^"</f>
        <v>#VALUE!</v>
      </c>
      <c r="AH439" t="e">
        <f>Africa!G99+"$F;@!58_"</f>
        <v>#VALUE!</v>
      </c>
      <c r="AI439" t="e">
        <f>Africa!H99+"$F;@!58`"</f>
        <v>#VALUE!</v>
      </c>
      <c r="AJ439" t="e">
        <f>Africa!A100+"$F;@!58a"</f>
        <v>#VALUE!</v>
      </c>
      <c r="AK439" t="e">
        <f>Africa!B100+"$F;@!58b"</f>
        <v>#VALUE!</v>
      </c>
      <c r="AL439" t="e">
        <f>Africa!C100+"$F;@!58c"</f>
        <v>#VALUE!</v>
      </c>
      <c r="AM439" t="e">
        <f>Africa!D100+"$F;@!58d"</f>
        <v>#VALUE!</v>
      </c>
      <c r="AN439" t="e">
        <f>Africa!E100+"$F;@!58e"</f>
        <v>#VALUE!</v>
      </c>
      <c r="AO439" t="e">
        <f>Africa!F100+"$F;@!58f"</f>
        <v>#VALUE!</v>
      </c>
      <c r="AP439" t="e">
        <f>Africa!G100+"$F;@!58g"</f>
        <v>#VALUE!</v>
      </c>
      <c r="AQ439" t="e">
        <f>Africa!H100+"$F;@!58h"</f>
        <v>#VALUE!</v>
      </c>
      <c r="AR439" t="e">
        <f>Africa!A101+"$F;@!58i"</f>
        <v>#VALUE!</v>
      </c>
      <c r="AS439" t="e">
        <f>Africa!B101+"$F;@!58j"</f>
        <v>#VALUE!</v>
      </c>
      <c r="AT439" t="e">
        <f>Africa!C101+"$F;@!58k"</f>
        <v>#VALUE!</v>
      </c>
      <c r="AU439" t="e">
        <f>Africa!D101+"$F;@!58l"</f>
        <v>#VALUE!</v>
      </c>
      <c r="AV439" t="e">
        <f>Africa!E101+"$F;@!58m"</f>
        <v>#VALUE!</v>
      </c>
      <c r="AW439" t="e">
        <f>Africa!F101+"$F;@!58n"</f>
        <v>#VALUE!</v>
      </c>
      <c r="AX439" t="e">
        <f>Africa!G101+"$F;@!58o"</f>
        <v>#VALUE!</v>
      </c>
      <c r="AY439" t="e">
        <f>Africa!H101+"$F;@!58p"</f>
        <v>#VALUE!</v>
      </c>
      <c r="AZ439" t="e">
        <f>Africa!A102+"$F;@!58q"</f>
        <v>#VALUE!</v>
      </c>
      <c r="BA439" t="e">
        <f>Africa!B102+"$F;@!58r"</f>
        <v>#VALUE!</v>
      </c>
      <c r="BB439" t="e">
        <f>Africa!C102+"$F;@!58s"</f>
        <v>#VALUE!</v>
      </c>
      <c r="BC439" t="e">
        <f>Africa!D102+"$F;@!58t"</f>
        <v>#VALUE!</v>
      </c>
      <c r="BD439" t="e">
        <f>Africa!E102+"$F;@!58u"</f>
        <v>#VALUE!</v>
      </c>
      <c r="BE439" t="e">
        <f>Africa!F102+"$F;@!58v"</f>
        <v>#VALUE!</v>
      </c>
      <c r="BF439" t="e">
        <f>Africa!G102+"$F;@!58w"</f>
        <v>#VALUE!</v>
      </c>
      <c r="BG439" t="e">
        <f>Africa!H102+"$F;@!58x"</f>
        <v>#VALUE!</v>
      </c>
      <c r="BH439" t="e">
        <f>Africa!A103+"$F;@!58y"</f>
        <v>#VALUE!</v>
      </c>
      <c r="BI439" t="e">
        <f>Africa!B103+"$F;@!58z"</f>
        <v>#VALUE!</v>
      </c>
      <c r="BJ439" t="e">
        <f>Africa!C103+"$F;@!58{"</f>
        <v>#VALUE!</v>
      </c>
      <c r="BK439" t="e">
        <f>Africa!D103+"$F;@!58|"</f>
        <v>#VALUE!</v>
      </c>
      <c r="BL439" t="e">
        <f>Africa!E103+"$F;@!58}"</f>
        <v>#VALUE!</v>
      </c>
      <c r="BM439" t="e">
        <f>Africa!F103+"$F;@!58~"</f>
        <v>#VALUE!</v>
      </c>
      <c r="BN439" t="e">
        <f>Africa!G103+"$F;@!59#"</f>
        <v>#VALUE!</v>
      </c>
      <c r="BO439" t="e">
        <f>Africa!H103+"$F;@!59$"</f>
        <v>#VALUE!</v>
      </c>
      <c r="BP439" t="e">
        <f>Africa!A104+"$F;@!59%"</f>
        <v>#VALUE!</v>
      </c>
      <c r="BQ439" t="e">
        <f>Africa!B104+"$F;@!59&amp;"</f>
        <v>#VALUE!</v>
      </c>
      <c r="BR439" t="e">
        <f>Africa!C104+"$F;@!59'"</f>
        <v>#VALUE!</v>
      </c>
      <c r="BS439" t="e">
        <f>Africa!D104+"$F;@!59("</f>
        <v>#VALUE!</v>
      </c>
      <c r="BT439" t="e">
        <f>Africa!E104+"$F;@!59)"</f>
        <v>#VALUE!</v>
      </c>
      <c r="BU439" t="e">
        <f>Africa!F104+"$F;@!59."</f>
        <v>#VALUE!</v>
      </c>
      <c r="BV439" t="e">
        <f>Africa!G104+"$F;@!59/"</f>
        <v>#VALUE!</v>
      </c>
      <c r="BW439" t="e">
        <f>Africa!H104+"$F;@!590"</f>
        <v>#VALUE!</v>
      </c>
      <c r="BX439" t="e">
        <f>Africa!A105+"$F;@!591"</f>
        <v>#VALUE!</v>
      </c>
      <c r="BY439" t="e">
        <f>Africa!B105+"$F;@!592"</f>
        <v>#VALUE!</v>
      </c>
      <c r="BZ439" t="e">
        <f>Africa!C105+"$F;@!593"</f>
        <v>#VALUE!</v>
      </c>
      <c r="CA439" t="e">
        <f>Africa!D105+"$F;@!594"</f>
        <v>#VALUE!</v>
      </c>
      <c r="CB439" t="e">
        <f>Africa!E105+"$F;@!595"</f>
        <v>#VALUE!</v>
      </c>
      <c r="CC439" t="e">
        <f>Africa!F105+"$F;@!596"</f>
        <v>#VALUE!</v>
      </c>
      <c r="CD439" t="e">
        <f>Africa!G105+"$F;@!597"</f>
        <v>#VALUE!</v>
      </c>
      <c r="CE439" t="e">
        <f>Africa!H105+"$F;@!598"</f>
        <v>#VALUE!</v>
      </c>
      <c r="CF439" t="e">
        <f>Africa!A106+"$F;@!599"</f>
        <v>#VALUE!</v>
      </c>
      <c r="CG439" t="e">
        <f>Africa!B106+"$F;@!59:"</f>
        <v>#VALUE!</v>
      </c>
      <c r="CH439" t="e">
        <f>Africa!C106+"$F;@!59;"</f>
        <v>#VALUE!</v>
      </c>
      <c r="CI439" t="e">
        <f>Africa!D106+"$F;@!59&lt;"</f>
        <v>#VALUE!</v>
      </c>
      <c r="CJ439" t="e">
        <f>Africa!E106+"$F;@!59="</f>
        <v>#VALUE!</v>
      </c>
      <c r="CK439" t="e">
        <f>Africa!F106+"$F;@!59&gt;"</f>
        <v>#VALUE!</v>
      </c>
      <c r="CL439" t="e">
        <f>Africa!G106+"$F;@!59?"</f>
        <v>#VALUE!</v>
      </c>
      <c r="CM439" t="e">
        <f>Africa!H106+"$F;@!59@"</f>
        <v>#VALUE!</v>
      </c>
      <c r="CN439" t="e">
        <f>Africa!A107+"$F;@!59A"</f>
        <v>#VALUE!</v>
      </c>
      <c r="CO439" t="e">
        <f>Africa!B107+"$F;@!59B"</f>
        <v>#VALUE!</v>
      </c>
      <c r="CP439" t="e">
        <f>Africa!C107+"$F;@!59C"</f>
        <v>#VALUE!</v>
      </c>
      <c r="CQ439" t="e">
        <f>Africa!D107+"$F;@!59D"</f>
        <v>#VALUE!</v>
      </c>
      <c r="CR439" t="e">
        <f>Africa!E107+"$F;@!59E"</f>
        <v>#VALUE!</v>
      </c>
      <c r="CS439" t="e">
        <f>Africa!F107+"$F;@!59F"</f>
        <v>#VALUE!</v>
      </c>
      <c r="CT439" t="e">
        <f>Africa!G107+"$F;@!59G"</f>
        <v>#VALUE!</v>
      </c>
      <c r="CU439" t="e">
        <f>Africa!H107+"$F;@!59H"</f>
        <v>#VALUE!</v>
      </c>
      <c r="CV439" t="e">
        <f>Africa!A108+"$F;@!59I"</f>
        <v>#VALUE!</v>
      </c>
      <c r="CW439" t="e">
        <f>Africa!B108+"$F;@!59J"</f>
        <v>#VALUE!</v>
      </c>
      <c r="CX439" t="e">
        <f>Africa!C108+"$F;@!59K"</f>
        <v>#VALUE!</v>
      </c>
      <c r="CY439" t="e">
        <f>Africa!D108+"$F;@!59L"</f>
        <v>#VALUE!</v>
      </c>
      <c r="CZ439" t="e">
        <f>Africa!E108+"$F;@!59M"</f>
        <v>#VALUE!</v>
      </c>
      <c r="DA439" t="e">
        <f>Africa!F108+"$F;@!59N"</f>
        <v>#VALUE!</v>
      </c>
      <c r="DB439" t="e">
        <f>Africa!G108+"$F;@!59O"</f>
        <v>#VALUE!</v>
      </c>
      <c r="DC439" t="e">
        <f>Africa!H108+"$F;@!59P"</f>
        <v>#VALUE!</v>
      </c>
      <c r="DD439" t="e">
        <f>Africa!A109+"$F;@!59Q"</f>
        <v>#VALUE!</v>
      </c>
      <c r="DE439" t="e">
        <f>Africa!B109+"$F;@!59R"</f>
        <v>#VALUE!</v>
      </c>
      <c r="DF439" t="e">
        <f>Africa!C109+"$F;@!59S"</f>
        <v>#VALUE!</v>
      </c>
      <c r="DG439" t="e">
        <f>Africa!D109+"$F;@!59T"</f>
        <v>#VALUE!</v>
      </c>
      <c r="DH439" t="e">
        <f>Africa!E109+"$F;@!59U"</f>
        <v>#VALUE!</v>
      </c>
      <c r="DI439" t="e">
        <f>Africa!F109+"$F;@!59V"</f>
        <v>#VALUE!</v>
      </c>
      <c r="DJ439" t="e">
        <f>Africa!G109+"$F;@!59W"</f>
        <v>#VALUE!</v>
      </c>
      <c r="DK439" t="e">
        <f>Africa!H109+"$F;@!59X"</f>
        <v>#VALUE!</v>
      </c>
      <c r="DL439" t="e">
        <f>Africa!A110+"$F;@!59Y"</f>
        <v>#VALUE!</v>
      </c>
      <c r="DM439" t="e">
        <f>Africa!B110+"$F;@!59Z"</f>
        <v>#VALUE!</v>
      </c>
      <c r="DN439" t="e">
        <f>Africa!C110+"$F;@!59["</f>
        <v>#VALUE!</v>
      </c>
      <c r="DO439" t="e">
        <f>Africa!D110+"$F;@!59\"</f>
        <v>#VALUE!</v>
      </c>
      <c r="DP439" t="e">
        <f>Africa!E110+"$F;@!59]"</f>
        <v>#VALUE!</v>
      </c>
      <c r="DQ439" t="e">
        <f>Africa!F110+"$F;@!59^"</f>
        <v>#VALUE!</v>
      </c>
      <c r="DR439" t="e">
        <f>Africa!G110+"$F;@!59_"</f>
        <v>#VALUE!</v>
      </c>
      <c r="DS439" t="e">
        <f>Africa!H110+"$F;@!59`"</f>
        <v>#VALUE!</v>
      </c>
      <c r="DT439" t="e">
        <f>Africa!A111+"$F;@!59a"</f>
        <v>#VALUE!</v>
      </c>
      <c r="DU439" t="e">
        <f>Africa!B111+"$F;@!59b"</f>
        <v>#VALUE!</v>
      </c>
      <c r="DV439" t="e">
        <f>Africa!C111+"$F;@!59c"</f>
        <v>#VALUE!</v>
      </c>
      <c r="DW439" t="e">
        <f>Africa!D111+"$F;@!59d"</f>
        <v>#VALUE!</v>
      </c>
      <c r="DX439" t="e">
        <f>Africa!E111+"$F;@!59e"</f>
        <v>#VALUE!</v>
      </c>
      <c r="DY439" t="e">
        <f>Africa!F111+"$F;@!59f"</f>
        <v>#VALUE!</v>
      </c>
      <c r="DZ439" t="e">
        <f>Africa!G111+"$F;@!59g"</f>
        <v>#VALUE!</v>
      </c>
      <c r="EA439" t="e">
        <f>Africa!H111+"$F;@!59h"</f>
        <v>#VALUE!</v>
      </c>
      <c r="EB439" t="e">
        <f>Africa!A112+"$F;@!59i"</f>
        <v>#VALUE!</v>
      </c>
      <c r="EC439" t="e">
        <f>Africa!B112+"$F;@!59j"</f>
        <v>#VALUE!</v>
      </c>
      <c r="ED439" t="e">
        <f>Africa!C112+"$F;@!59k"</f>
        <v>#VALUE!</v>
      </c>
      <c r="EE439" t="e">
        <f>Africa!D112+"$F;@!59l"</f>
        <v>#VALUE!</v>
      </c>
      <c r="EF439" t="e">
        <f>Africa!E112+"$F;@!59m"</f>
        <v>#VALUE!</v>
      </c>
      <c r="EG439" t="e">
        <f>Africa!F112+"$F;@!59n"</f>
        <v>#VALUE!</v>
      </c>
      <c r="EH439" t="e">
        <f>Africa!G112+"$F;@!59o"</f>
        <v>#VALUE!</v>
      </c>
      <c r="EI439" t="e">
        <f>Africa!H112+"$F;@!59p"</f>
        <v>#VALUE!</v>
      </c>
      <c r="EJ439" t="e">
        <f>Africa!A113+"$F;@!59q"</f>
        <v>#VALUE!</v>
      </c>
      <c r="EK439" t="e">
        <f>Africa!B113+"$F;@!59r"</f>
        <v>#VALUE!</v>
      </c>
      <c r="EL439" t="e">
        <f>Africa!C113+"$F;@!59s"</f>
        <v>#VALUE!</v>
      </c>
      <c r="EM439" t="e">
        <f>Africa!D113+"$F;@!59t"</f>
        <v>#VALUE!</v>
      </c>
      <c r="EN439" t="e">
        <f>Africa!E113+"$F;@!59u"</f>
        <v>#VALUE!</v>
      </c>
      <c r="EO439" t="e">
        <f>Africa!F113+"$F;@!59v"</f>
        <v>#VALUE!</v>
      </c>
      <c r="EP439" t="e">
        <f>Africa!G113+"$F;@!59w"</f>
        <v>#VALUE!</v>
      </c>
      <c r="EQ439" t="e">
        <f>Africa!H113+"$F;@!59x"</f>
        <v>#VALUE!</v>
      </c>
      <c r="ER439" t="e">
        <f>Africa!A114+"$F;@!59y"</f>
        <v>#VALUE!</v>
      </c>
      <c r="ES439" t="e">
        <f>Africa!B114+"$F;@!59z"</f>
        <v>#VALUE!</v>
      </c>
      <c r="ET439" t="e">
        <f>Africa!C114+"$F;@!59{"</f>
        <v>#VALUE!</v>
      </c>
      <c r="EU439" t="e">
        <f>Africa!D114+"$F;@!59|"</f>
        <v>#VALUE!</v>
      </c>
      <c r="EV439" t="e">
        <f>Africa!E114+"$F;@!59}"</f>
        <v>#VALUE!</v>
      </c>
      <c r="EW439" t="e">
        <f>Africa!F114+"$F;@!59~"</f>
        <v>#VALUE!</v>
      </c>
      <c r="EX439" t="e">
        <f>Africa!G114+"$F;@!5:#"</f>
        <v>#VALUE!</v>
      </c>
      <c r="EY439" t="e">
        <f>Africa!H114+"$F;@!5:$"</f>
        <v>#VALUE!</v>
      </c>
      <c r="EZ439" t="e">
        <f>Africa!A115+"$F;@!5:%"</f>
        <v>#VALUE!</v>
      </c>
      <c r="FA439" t="e">
        <f>Africa!B115+"$F;@!5:&amp;"</f>
        <v>#VALUE!</v>
      </c>
      <c r="FB439" t="e">
        <f>Africa!C115+"$F;@!5:'"</f>
        <v>#VALUE!</v>
      </c>
      <c r="FC439" t="e">
        <f>Africa!D115+"$F;@!5:("</f>
        <v>#VALUE!</v>
      </c>
      <c r="FD439" t="e">
        <f>Africa!E115+"$F;@!5:)"</f>
        <v>#VALUE!</v>
      </c>
      <c r="FE439" t="e">
        <f>Africa!F115+"$F;@!5:."</f>
        <v>#VALUE!</v>
      </c>
      <c r="FF439" t="e">
        <f>Africa!G115+"$F;@!5:/"</f>
        <v>#VALUE!</v>
      </c>
      <c r="FG439" t="e">
        <f>Africa!H115+"$F;@!5:0"</f>
        <v>#VALUE!</v>
      </c>
      <c r="FH439" t="e">
        <f>Africa!A116+"$F;@!5:1"</f>
        <v>#VALUE!</v>
      </c>
      <c r="FI439" t="e">
        <f>Africa!B116+"$F;@!5:2"</f>
        <v>#VALUE!</v>
      </c>
      <c r="FJ439" t="e">
        <f>Africa!C116+"$F;@!5:3"</f>
        <v>#VALUE!</v>
      </c>
      <c r="FK439" t="e">
        <f>Africa!D116+"$F;@!5:4"</f>
        <v>#VALUE!</v>
      </c>
      <c r="FL439" t="e">
        <f>Africa!E116+"$F;@!5:5"</f>
        <v>#VALUE!</v>
      </c>
      <c r="FM439" t="e">
        <f>Africa!F116+"$F;@!5:6"</f>
        <v>#VALUE!</v>
      </c>
      <c r="FN439" t="e">
        <f>Africa!G116+"$F;@!5:7"</f>
        <v>#VALUE!</v>
      </c>
      <c r="FO439" t="e">
        <f>Africa!H116+"$F;@!5:8"</f>
        <v>#VALUE!</v>
      </c>
      <c r="FP439" t="e">
        <f>Africa!A117+"$F;@!5:9"</f>
        <v>#VALUE!</v>
      </c>
      <c r="FQ439" t="e">
        <f>Africa!B117+"$F;@!5::"</f>
        <v>#VALUE!</v>
      </c>
      <c r="FR439" t="e">
        <f>Africa!C117+"$F;@!5:;"</f>
        <v>#VALUE!</v>
      </c>
      <c r="FS439" t="e">
        <f>Africa!D117+"$F;@!5:&lt;"</f>
        <v>#VALUE!</v>
      </c>
      <c r="FT439" t="e">
        <f>Africa!E117+"$F;@!5:="</f>
        <v>#VALUE!</v>
      </c>
      <c r="FU439" t="e">
        <f>Africa!F117+"$F;@!5:&gt;"</f>
        <v>#VALUE!</v>
      </c>
      <c r="FV439" t="e">
        <f>Africa!G117+"$F;@!5:?"</f>
        <v>#VALUE!</v>
      </c>
      <c r="FW439" t="e">
        <f>Africa!H117+"$F;@!5:@"</f>
        <v>#VALUE!</v>
      </c>
      <c r="FX439" t="e">
        <f>Africa!A118+"$F;@!5:A"</f>
        <v>#VALUE!</v>
      </c>
      <c r="FY439" t="e">
        <f>Africa!B118+"$F;@!5:B"</f>
        <v>#VALUE!</v>
      </c>
      <c r="FZ439" t="e">
        <f>Africa!C118+"$F;@!5:C"</f>
        <v>#VALUE!</v>
      </c>
      <c r="GA439" t="e">
        <f>Africa!D118+"$F;@!5:D"</f>
        <v>#VALUE!</v>
      </c>
      <c r="GB439" t="e">
        <f>Africa!E118+"$F;@!5:E"</f>
        <v>#VALUE!</v>
      </c>
      <c r="GC439" t="e">
        <f>Africa!F118+"$F;@!5:F"</f>
        <v>#VALUE!</v>
      </c>
      <c r="GD439" t="e">
        <f>Africa!G118+"$F;@!5:G"</f>
        <v>#VALUE!</v>
      </c>
      <c r="GE439" t="e">
        <f>Africa!H118+"$F;@!5:H"</f>
        <v>#VALUE!</v>
      </c>
      <c r="GF439" t="e">
        <f>Africa!A119+"$F;@!5:I"</f>
        <v>#VALUE!</v>
      </c>
      <c r="GG439" t="e">
        <f>Africa!B119+"$F;@!5:J"</f>
        <v>#VALUE!</v>
      </c>
      <c r="GH439" t="e">
        <f>Africa!C119+"$F;@!5:K"</f>
        <v>#VALUE!</v>
      </c>
      <c r="GI439" t="e">
        <f>Africa!D119+"$F;@!5:L"</f>
        <v>#VALUE!</v>
      </c>
      <c r="GJ439" t="e">
        <f>Africa!E119+"$F;@!5:M"</f>
        <v>#VALUE!</v>
      </c>
      <c r="GK439" t="e">
        <f>Africa!F119+"$F;@!5:N"</f>
        <v>#VALUE!</v>
      </c>
      <c r="GL439" t="e">
        <f>Africa!G119+"$F;@!5:O"</f>
        <v>#VALUE!</v>
      </c>
      <c r="GM439" t="e">
        <f>Africa!H119+"$F;@!5:P"</f>
        <v>#VALUE!</v>
      </c>
      <c r="GN439" t="e">
        <f>Africa!A120+"$F;@!5:Q"</f>
        <v>#VALUE!</v>
      </c>
      <c r="GO439" t="e">
        <f>Africa!B120+"$F;@!5:R"</f>
        <v>#VALUE!</v>
      </c>
      <c r="GP439" t="e">
        <f>Africa!C120+"$F;@!5:S"</f>
        <v>#VALUE!</v>
      </c>
      <c r="GQ439" t="e">
        <f>Africa!D120+"$F;@!5:T"</f>
        <v>#VALUE!</v>
      </c>
      <c r="GR439" t="e">
        <f>Africa!E120+"$F;@!5:U"</f>
        <v>#VALUE!</v>
      </c>
      <c r="GS439" t="e">
        <f>Africa!F120+"$F;@!5:V"</f>
        <v>#VALUE!</v>
      </c>
      <c r="GT439" t="e">
        <f>Africa!G120+"$F;@!5:W"</f>
        <v>#VALUE!</v>
      </c>
      <c r="GU439" t="e">
        <f>Africa!H120+"$F;@!5:X"</f>
        <v>#VALUE!</v>
      </c>
      <c r="GV439" t="e">
        <f>Africa!A121+"$F;@!5:Y"</f>
        <v>#VALUE!</v>
      </c>
      <c r="GW439" t="e">
        <f>Africa!B121+"$F;@!5:Z"</f>
        <v>#VALUE!</v>
      </c>
      <c r="GX439" t="e">
        <f>Africa!C121+"$F;@!5:["</f>
        <v>#VALUE!</v>
      </c>
      <c r="GY439" t="e">
        <f>Africa!D121+"$F;@!5:\"</f>
        <v>#VALUE!</v>
      </c>
      <c r="GZ439" t="e">
        <f>Africa!E121+"$F;@!5:]"</f>
        <v>#VALUE!</v>
      </c>
      <c r="HA439" t="e">
        <f>Africa!F121+"$F;@!5:^"</f>
        <v>#VALUE!</v>
      </c>
      <c r="HB439" t="e">
        <f>Africa!G121+"$F;@!5:_"</f>
        <v>#VALUE!</v>
      </c>
      <c r="HC439" t="e">
        <f>Africa!H121+"$F;@!5:`"</f>
        <v>#VALUE!</v>
      </c>
      <c r="HD439" t="e">
        <f>Africa!A122+"$F;@!5:a"</f>
        <v>#VALUE!</v>
      </c>
      <c r="HE439" t="e">
        <f>Africa!B122+"$F;@!5:b"</f>
        <v>#VALUE!</v>
      </c>
      <c r="HF439" t="e">
        <f>Africa!C122+"$F;@!5:c"</f>
        <v>#VALUE!</v>
      </c>
      <c r="HG439" t="e">
        <f>Africa!D122+"$F;@!5:d"</f>
        <v>#VALUE!</v>
      </c>
      <c r="HH439" t="e">
        <f>Africa!E122+"$F;@!5:e"</f>
        <v>#VALUE!</v>
      </c>
      <c r="HI439" t="e">
        <f>Africa!F122+"$F;@!5:f"</f>
        <v>#VALUE!</v>
      </c>
      <c r="HJ439" t="e">
        <f>Africa!G122+"$F;@!5:g"</f>
        <v>#VALUE!</v>
      </c>
      <c r="HK439" t="e">
        <f>Africa!H122+"$F;@!5:h"</f>
        <v>#VALUE!</v>
      </c>
      <c r="HL439" t="e">
        <f>Africa!A123+"$F;@!5:i"</f>
        <v>#VALUE!</v>
      </c>
      <c r="HM439" t="e">
        <f>Africa!B123+"$F;@!5:j"</f>
        <v>#VALUE!</v>
      </c>
      <c r="HN439" t="e">
        <f>Africa!C123+"$F;@!5:k"</f>
        <v>#VALUE!</v>
      </c>
      <c r="HO439" t="e">
        <f>Africa!D123+"$F;@!5:l"</f>
        <v>#VALUE!</v>
      </c>
      <c r="HP439" t="e">
        <f>Africa!E123+"$F;@!5:m"</f>
        <v>#VALUE!</v>
      </c>
      <c r="HQ439" t="e">
        <f>Africa!F123+"$F;@!5:n"</f>
        <v>#VALUE!</v>
      </c>
      <c r="HR439" t="e">
        <f>Africa!G123+"$F;@!5:o"</f>
        <v>#VALUE!</v>
      </c>
      <c r="HS439" t="e">
        <f>Africa!H123+"$F;@!5:p"</f>
        <v>#VALUE!</v>
      </c>
      <c r="HT439" t="e">
        <f>Africa!A124+"$F;@!5:q"</f>
        <v>#VALUE!</v>
      </c>
      <c r="HU439" t="e">
        <f>Africa!B124+"$F;@!5:r"</f>
        <v>#VALUE!</v>
      </c>
      <c r="HV439" t="e">
        <f>Africa!C124+"$F;@!5:s"</f>
        <v>#VALUE!</v>
      </c>
      <c r="HW439" t="e">
        <f>Africa!D124+"$F;@!5:t"</f>
        <v>#VALUE!</v>
      </c>
      <c r="HX439" t="e">
        <f>Africa!E124+"$F;@!5:u"</f>
        <v>#VALUE!</v>
      </c>
      <c r="HY439" t="e">
        <f>Africa!F124+"$F;@!5:v"</f>
        <v>#VALUE!</v>
      </c>
      <c r="HZ439" t="e">
        <f>Africa!G124+"$F;@!5:w"</f>
        <v>#VALUE!</v>
      </c>
      <c r="IA439" t="e">
        <f>Africa!H124+"$F;@!5:x"</f>
        <v>#VALUE!</v>
      </c>
      <c r="IB439" t="e">
        <f>Africa!A125+"$F;@!5:y"</f>
        <v>#VALUE!</v>
      </c>
      <c r="IC439" t="e">
        <f>Africa!B125+"$F;@!5:z"</f>
        <v>#VALUE!</v>
      </c>
      <c r="ID439" t="e">
        <f>Africa!C125+"$F;@!5:{"</f>
        <v>#VALUE!</v>
      </c>
      <c r="IE439" t="e">
        <f>Africa!D125+"$F;@!5:|"</f>
        <v>#VALUE!</v>
      </c>
      <c r="IF439" t="e">
        <f>Africa!E125+"$F;@!5:}"</f>
        <v>#VALUE!</v>
      </c>
      <c r="IG439" t="e">
        <f>Africa!F125+"$F;@!5:~"</f>
        <v>#VALUE!</v>
      </c>
      <c r="IH439" t="e">
        <f>Africa!G125+"$F;@!5;#"</f>
        <v>#VALUE!</v>
      </c>
      <c r="II439" t="e">
        <f>Africa!H125+"$F;@!5;$"</f>
        <v>#VALUE!</v>
      </c>
      <c r="IJ439" t="e">
        <f>Africa!A126+"$F;@!5;%"</f>
        <v>#VALUE!</v>
      </c>
      <c r="IK439" t="e">
        <f>Africa!B126+"$F;@!5;&amp;"</f>
        <v>#VALUE!</v>
      </c>
      <c r="IL439" t="e">
        <f>Africa!C126+"$F;@!5;'"</f>
        <v>#VALUE!</v>
      </c>
      <c r="IM439" t="e">
        <f>Africa!D126+"$F;@!5;("</f>
        <v>#VALUE!</v>
      </c>
      <c r="IN439" t="e">
        <f>Africa!E126+"$F;@!5;)"</f>
        <v>#VALUE!</v>
      </c>
      <c r="IO439" t="e">
        <f>Africa!F126+"$F;@!5;."</f>
        <v>#VALUE!</v>
      </c>
      <c r="IP439" t="e">
        <f>Africa!G126+"$F;@!5;/"</f>
        <v>#VALUE!</v>
      </c>
      <c r="IQ439" t="e">
        <f>Africa!H126+"$F;@!5;0"</f>
        <v>#VALUE!</v>
      </c>
      <c r="IR439" t="e">
        <f>Africa!A127+"$F;@!5;1"</f>
        <v>#VALUE!</v>
      </c>
      <c r="IS439" t="e">
        <f>Africa!B127+"$F;@!5;2"</f>
        <v>#VALUE!</v>
      </c>
      <c r="IT439" t="e">
        <f>Africa!C127+"$F;@!5;3"</f>
        <v>#VALUE!</v>
      </c>
      <c r="IU439" t="e">
        <f>Africa!D127+"$F;@!5;4"</f>
        <v>#VALUE!</v>
      </c>
      <c r="IV439" t="e">
        <f>Africa!E127+"$F;@!5;5"</f>
        <v>#VALUE!</v>
      </c>
    </row>
    <row r="440" spans="6:256" x14ac:dyDescent="0.35">
      <c r="F440" t="e">
        <f>Africa!F127+"$F;@!5;6"</f>
        <v>#VALUE!</v>
      </c>
      <c r="G440" t="e">
        <f>Africa!G127+"$F;@!5;7"</f>
        <v>#VALUE!</v>
      </c>
      <c r="H440" t="e">
        <f>Africa!H127+"$F;@!5;8"</f>
        <v>#VALUE!</v>
      </c>
      <c r="I440" t="e">
        <f>Africa!A128+"$F;@!5;9"</f>
        <v>#VALUE!</v>
      </c>
      <c r="J440" t="e">
        <f>Africa!B128+"$F;@!5;:"</f>
        <v>#VALUE!</v>
      </c>
      <c r="K440" t="e">
        <f>Africa!C128+"$F;@!5;;"</f>
        <v>#VALUE!</v>
      </c>
      <c r="L440" t="e">
        <f>Africa!D128+"$F;@!5;&lt;"</f>
        <v>#VALUE!</v>
      </c>
      <c r="M440" t="e">
        <f>Africa!E128+"$F;@!5;="</f>
        <v>#VALUE!</v>
      </c>
      <c r="N440" t="e">
        <f>Africa!F128+"$F;@!5;&gt;"</f>
        <v>#VALUE!</v>
      </c>
      <c r="O440" t="e">
        <f>Africa!G128+"$F;@!5;?"</f>
        <v>#VALUE!</v>
      </c>
      <c r="P440" t="e">
        <f>Africa!H128+"$F;@!5;@"</f>
        <v>#VALUE!</v>
      </c>
      <c r="Q440" t="e">
        <f>Africa!A129+"$F;@!5;A"</f>
        <v>#VALUE!</v>
      </c>
      <c r="R440" t="e">
        <f>Africa!B129+"$F;@!5;B"</f>
        <v>#VALUE!</v>
      </c>
      <c r="S440" t="e">
        <f>Africa!C129+"$F;@!5;C"</f>
        <v>#VALUE!</v>
      </c>
      <c r="T440" t="e">
        <f>Africa!D129+"$F;@!5;D"</f>
        <v>#VALUE!</v>
      </c>
      <c r="U440" t="e">
        <f>Africa!E129+"$F;@!5;E"</f>
        <v>#VALUE!</v>
      </c>
      <c r="V440" t="e">
        <f>Africa!F129+"$F;@!5;F"</f>
        <v>#VALUE!</v>
      </c>
      <c r="W440" t="e">
        <f>Africa!G129+"$F;@!5;G"</f>
        <v>#VALUE!</v>
      </c>
      <c r="X440" t="e">
        <f>Africa!H129+"$F;@!5;H"</f>
        <v>#VALUE!</v>
      </c>
      <c r="Y440" t="e">
        <f>Africa!A130+"$F;@!5;I"</f>
        <v>#VALUE!</v>
      </c>
      <c r="Z440" t="e">
        <f>Africa!B130+"$F;@!5;J"</f>
        <v>#VALUE!</v>
      </c>
      <c r="AA440" t="e">
        <f>Africa!C130+"$F;@!5;K"</f>
        <v>#VALUE!</v>
      </c>
      <c r="AB440" t="e">
        <f>Africa!D130+"$F;@!5;L"</f>
        <v>#VALUE!</v>
      </c>
      <c r="AC440" t="e">
        <f>Africa!E130+"$F;@!5;M"</f>
        <v>#VALUE!</v>
      </c>
      <c r="AD440" t="e">
        <f>Africa!F130+"$F;@!5;N"</f>
        <v>#VALUE!</v>
      </c>
      <c r="AE440" t="e">
        <f>Africa!G130+"$F;@!5;O"</f>
        <v>#VALUE!</v>
      </c>
      <c r="AF440" t="e">
        <f>Africa!H130+"$F;@!5;P"</f>
        <v>#VALUE!</v>
      </c>
      <c r="AG440" t="e">
        <f>Africa!A131+"$F;@!5;Q"</f>
        <v>#VALUE!</v>
      </c>
      <c r="AH440" t="e">
        <f>Africa!B131+"$F;@!5;R"</f>
        <v>#VALUE!</v>
      </c>
      <c r="AI440" t="e">
        <f>Africa!C131+"$F;@!5;S"</f>
        <v>#VALUE!</v>
      </c>
      <c r="AJ440" t="e">
        <f>Africa!D131+"$F;@!5;T"</f>
        <v>#VALUE!</v>
      </c>
      <c r="AK440" t="e">
        <f>Africa!E131+"$F;@!5;U"</f>
        <v>#VALUE!</v>
      </c>
      <c r="AL440" t="e">
        <f>Africa!F131+"$F;@!5;V"</f>
        <v>#VALUE!</v>
      </c>
      <c r="AM440" t="e">
        <f>Africa!G131+"$F;@!5;W"</f>
        <v>#VALUE!</v>
      </c>
      <c r="AN440" t="e">
        <f>Africa!H131+"$F;@!5;X"</f>
        <v>#VALUE!</v>
      </c>
      <c r="AO440" t="e">
        <f>Africa!A132+"$F;@!5;Y"</f>
        <v>#VALUE!</v>
      </c>
      <c r="AP440" t="e">
        <f>Africa!B132+"$F;@!5;Z"</f>
        <v>#VALUE!</v>
      </c>
      <c r="AQ440" t="e">
        <f>Africa!C132+"$F;@!5;["</f>
        <v>#VALUE!</v>
      </c>
      <c r="AR440" t="e">
        <f>Africa!D132+"$F;@!5;\"</f>
        <v>#VALUE!</v>
      </c>
      <c r="AS440" t="e">
        <f>Africa!E132+"$F;@!5;]"</f>
        <v>#VALUE!</v>
      </c>
      <c r="AT440" t="e">
        <f>Africa!F132+"$F;@!5;^"</f>
        <v>#VALUE!</v>
      </c>
      <c r="AU440" t="e">
        <f>Africa!G132+"$F;@!5;_"</f>
        <v>#VALUE!</v>
      </c>
      <c r="AV440" t="e">
        <f>Africa!H132+"$F;@!5;`"</f>
        <v>#VALUE!</v>
      </c>
      <c r="AW440" t="e">
        <f>Africa!A133+"$F;@!5;a"</f>
        <v>#VALUE!</v>
      </c>
      <c r="AX440" t="e">
        <f>Africa!B133+"$F;@!5;b"</f>
        <v>#VALUE!</v>
      </c>
      <c r="AY440" t="e">
        <f>Africa!C133+"$F;@!5;c"</f>
        <v>#VALUE!</v>
      </c>
      <c r="AZ440" t="e">
        <f>Africa!D133+"$F;@!5;d"</f>
        <v>#VALUE!</v>
      </c>
      <c r="BA440" t="e">
        <f>Africa!E133+"$F;@!5;e"</f>
        <v>#VALUE!</v>
      </c>
      <c r="BB440" t="e">
        <f>Africa!F133+"$F;@!5;f"</f>
        <v>#VALUE!</v>
      </c>
      <c r="BC440" t="e">
        <f>Africa!G133+"$F;@!5;g"</f>
        <v>#VALUE!</v>
      </c>
      <c r="BD440" t="e">
        <f>Africa!H133+"$F;@!5;h"</f>
        <v>#VALUE!</v>
      </c>
      <c r="BE440" t="e">
        <f>Africa!A134+"$F;@!5;i"</f>
        <v>#VALUE!</v>
      </c>
      <c r="BF440" t="e">
        <f>Africa!B134+"$F;@!5;j"</f>
        <v>#VALUE!</v>
      </c>
      <c r="BG440" t="e">
        <f>Africa!C134+"$F;@!5;k"</f>
        <v>#VALUE!</v>
      </c>
      <c r="BH440" t="e">
        <f>Africa!D134+"$F;@!5;l"</f>
        <v>#VALUE!</v>
      </c>
      <c r="BI440" t="e">
        <f>Africa!E134+"$F;@!5;m"</f>
        <v>#VALUE!</v>
      </c>
      <c r="BJ440" t="e">
        <f>Africa!F134+"$F;@!5;n"</f>
        <v>#VALUE!</v>
      </c>
      <c r="BK440" t="e">
        <f>Africa!G134+"$F;@!5;o"</f>
        <v>#VALUE!</v>
      </c>
      <c r="BL440" t="e">
        <f>Africa!H134+"$F;@!5;p"</f>
        <v>#VALUE!</v>
      </c>
      <c r="BM440" t="e">
        <f>Africa!A135+"$F;@!5;q"</f>
        <v>#VALUE!</v>
      </c>
      <c r="BN440" t="e">
        <f>Africa!B135+"$F;@!5;r"</f>
        <v>#VALUE!</v>
      </c>
      <c r="BO440" t="e">
        <f>Africa!C135+"$F;@!5;s"</f>
        <v>#VALUE!</v>
      </c>
      <c r="BP440" t="e">
        <f>Africa!D135+"$F;@!5;t"</f>
        <v>#VALUE!</v>
      </c>
      <c r="BQ440" t="e">
        <f>Africa!E135+"$F;@!5;u"</f>
        <v>#VALUE!</v>
      </c>
      <c r="BR440" t="e">
        <f>Africa!F135+"$F;@!5;v"</f>
        <v>#VALUE!</v>
      </c>
      <c r="BS440" t="e">
        <f>Africa!G135+"$F;@!5;w"</f>
        <v>#VALUE!</v>
      </c>
      <c r="BT440" t="e">
        <f>Africa!H135+"$F;@!5;x"</f>
        <v>#VALUE!</v>
      </c>
      <c r="BU440" t="e">
        <f>Africa!A136+"$F;@!5;y"</f>
        <v>#VALUE!</v>
      </c>
      <c r="BV440" t="e">
        <f>Africa!B136+"$F;@!5;z"</f>
        <v>#VALUE!</v>
      </c>
      <c r="BW440" t="e">
        <f>Africa!C136+"$F;@!5;{"</f>
        <v>#VALUE!</v>
      </c>
      <c r="BX440" t="e">
        <f>Africa!D136+"$F;@!5;|"</f>
        <v>#VALUE!</v>
      </c>
      <c r="BY440" t="e">
        <f>Africa!E136+"$F;@!5;}"</f>
        <v>#VALUE!</v>
      </c>
      <c r="BZ440" t="e">
        <f>Africa!F136+"$F;@!5;~"</f>
        <v>#VALUE!</v>
      </c>
      <c r="CA440" t="e">
        <f>Africa!G136+"$F;@!5&lt;#"</f>
        <v>#VALUE!</v>
      </c>
      <c r="CB440" t="e">
        <f>Africa!H136+"$F;@!5&lt;$"</f>
        <v>#VALUE!</v>
      </c>
      <c r="CC440" t="e">
        <f>Africa!A137+"$F;@!5&lt;%"</f>
        <v>#VALUE!</v>
      </c>
      <c r="CD440" t="e">
        <f>Africa!B137+"$F;@!5&lt;&amp;"</f>
        <v>#VALUE!</v>
      </c>
      <c r="CE440" t="e">
        <f>Africa!C137+"$F;@!5&lt;'"</f>
        <v>#VALUE!</v>
      </c>
      <c r="CF440" t="e">
        <f>Africa!D137+"$F;@!5&lt;("</f>
        <v>#VALUE!</v>
      </c>
      <c r="CG440" t="e">
        <f>Africa!E137+"$F;@!5&lt;)"</f>
        <v>#VALUE!</v>
      </c>
      <c r="CH440" t="e">
        <f>Africa!F137+"$F;@!5&lt;."</f>
        <v>#VALUE!</v>
      </c>
      <c r="CI440" t="e">
        <f>Africa!G137+"$F;@!5&lt;/"</f>
        <v>#VALUE!</v>
      </c>
      <c r="CJ440" t="e">
        <f>Africa!H137+"$F;@!5&lt;0"</f>
        <v>#VALUE!</v>
      </c>
      <c r="CK440" t="e">
        <f>Africa!A138+"$F;@!5&lt;1"</f>
        <v>#VALUE!</v>
      </c>
      <c r="CL440" t="e">
        <f>Africa!B138+"$F;@!5&lt;2"</f>
        <v>#VALUE!</v>
      </c>
      <c r="CM440" t="e">
        <f>Africa!C138+"$F;@!5&lt;3"</f>
        <v>#VALUE!</v>
      </c>
      <c r="CN440" t="e">
        <f>Africa!D138+"$F;@!5&lt;4"</f>
        <v>#VALUE!</v>
      </c>
      <c r="CO440" t="e">
        <f>Africa!E138+"$F;@!5&lt;5"</f>
        <v>#VALUE!</v>
      </c>
      <c r="CP440" t="e">
        <f>Africa!F138+"$F;@!5&lt;6"</f>
        <v>#VALUE!</v>
      </c>
      <c r="CQ440" t="e">
        <f>Africa!G138+"$F;@!5&lt;7"</f>
        <v>#VALUE!</v>
      </c>
      <c r="CR440" t="e">
        <f>Africa!H138+"$F;@!5&lt;8"</f>
        <v>#VALUE!</v>
      </c>
      <c r="CS440" t="e">
        <f>Africa!A139+"$F;@!5&lt;9"</f>
        <v>#VALUE!</v>
      </c>
      <c r="CT440" t="e">
        <f>Africa!B139+"$F;@!5&lt;:"</f>
        <v>#VALUE!</v>
      </c>
      <c r="CU440" t="e">
        <f>Africa!C139+"$F;@!5&lt;;"</f>
        <v>#VALUE!</v>
      </c>
      <c r="CV440" t="e">
        <f>Africa!D139+"$F;@!5&lt;&lt;"</f>
        <v>#VALUE!</v>
      </c>
      <c r="CW440" t="e">
        <f>Africa!E139+"$F;@!5&lt;="</f>
        <v>#VALUE!</v>
      </c>
      <c r="CX440" t="e">
        <f>Africa!F139+"$F;@!5&lt;&gt;"</f>
        <v>#VALUE!</v>
      </c>
      <c r="CY440" t="e">
        <f>Africa!G139+"$F;@!5&lt;?"</f>
        <v>#VALUE!</v>
      </c>
      <c r="CZ440" t="e">
        <f>Africa!H139+"$F;@!5&lt;@"</f>
        <v>#VALUE!</v>
      </c>
      <c r="DA440" t="e">
        <f>Africa!A140+"$F;@!5&lt;A"</f>
        <v>#VALUE!</v>
      </c>
      <c r="DB440" t="e">
        <f>Africa!B140+"$F;@!5&lt;B"</f>
        <v>#VALUE!</v>
      </c>
      <c r="DC440" t="e">
        <f>Africa!C140+"$F;@!5&lt;C"</f>
        <v>#VALUE!</v>
      </c>
      <c r="DD440" t="e">
        <f>Africa!D140+"$F;@!5&lt;D"</f>
        <v>#VALUE!</v>
      </c>
      <c r="DE440" t="e">
        <f>Africa!E140+"$F;@!5&lt;E"</f>
        <v>#VALUE!</v>
      </c>
      <c r="DF440" t="e">
        <f>Africa!F140+"$F;@!5&lt;F"</f>
        <v>#VALUE!</v>
      </c>
      <c r="DG440" t="e">
        <f>Africa!G140+"$F;@!5&lt;G"</f>
        <v>#VALUE!</v>
      </c>
      <c r="DH440" t="e">
        <f>Africa!H140+"$F;@!5&lt;H"</f>
        <v>#VALUE!</v>
      </c>
      <c r="DI440" t="e">
        <f>Africa!A141+"$F;@!5&lt;I"</f>
        <v>#VALUE!</v>
      </c>
      <c r="DJ440" t="e">
        <f>Africa!B141+"$F;@!5&lt;J"</f>
        <v>#VALUE!</v>
      </c>
      <c r="DK440" t="e">
        <f>Africa!C141+"$F;@!5&lt;K"</f>
        <v>#VALUE!</v>
      </c>
      <c r="DL440" t="e">
        <f>Africa!D141+"$F;@!5&lt;L"</f>
        <v>#VALUE!</v>
      </c>
      <c r="DM440" t="e">
        <f>Africa!E141+"$F;@!5&lt;M"</f>
        <v>#VALUE!</v>
      </c>
      <c r="DN440" t="e">
        <f>Africa!F141+"$F;@!5&lt;N"</f>
        <v>#VALUE!</v>
      </c>
      <c r="DO440" t="e">
        <f>Africa!G141+"$F;@!5&lt;O"</f>
        <v>#VALUE!</v>
      </c>
      <c r="DP440" t="e">
        <f>Africa!H141+"$F;@!5&lt;P"</f>
        <v>#VALUE!</v>
      </c>
      <c r="DQ440" t="e">
        <f>Africa!A142+"$F;@!5&lt;Q"</f>
        <v>#VALUE!</v>
      </c>
      <c r="DR440" t="e">
        <f>Africa!B142+"$F;@!5&lt;R"</f>
        <v>#VALUE!</v>
      </c>
      <c r="DS440" t="e">
        <f>Africa!C142+"$F;@!5&lt;S"</f>
        <v>#VALUE!</v>
      </c>
      <c r="DT440" t="e">
        <f>Africa!D142+"$F;@!5&lt;T"</f>
        <v>#VALUE!</v>
      </c>
      <c r="DU440" t="e">
        <f>Africa!E142+"$F;@!5&lt;U"</f>
        <v>#VALUE!</v>
      </c>
      <c r="DV440" t="e">
        <f>Africa!F142+"$F;@!5&lt;V"</f>
        <v>#VALUE!</v>
      </c>
      <c r="DW440" t="e">
        <f>Africa!G142+"$F;@!5&lt;W"</f>
        <v>#VALUE!</v>
      </c>
      <c r="DX440" t="e">
        <f>Africa!H142+"$F;@!5&lt;X"</f>
        <v>#VALUE!</v>
      </c>
      <c r="DY440" t="e">
        <f>Africa!A143+"$F;@!5&lt;Y"</f>
        <v>#VALUE!</v>
      </c>
      <c r="DZ440" t="e">
        <f>Africa!B143+"$F;@!5&lt;Z"</f>
        <v>#VALUE!</v>
      </c>
      <c r="EA440" t="e">
        <f>Africa!C143+"$F;@!5&lt;["</f>
        <v>#VALUE!</v>
      </c>
      <c r="EB440" t="e">
        <f>Africa!D143+"$F;@!5&lt;\"</f>
        <v>#VALUE!</v>
      </c>
      <c r="EC440" t="e">
        <f>Africa!E143+"$F;@!5&lt;]"</f>
        <v>#VALUE!</v>
      </c>
      <c r="ED440" t="e">
        <f>Africa!F143+"$F;@!5&lt;^"</f>
        <v>#VALUE!</v>
      </c>
      <c r="EE440" t="e">
        <f>Africa!G143+"$F;@!5&lt;_"</f>
        <v>#VALUE!</v>
      </c>
      <c r="EF440" t="e">
        <f>Africa!H143+"$F;@!5&lt;`"</f>
        <v>#VALUE!</v>
      </c>
      <c r="EG440" t="e">
        <f>Africa!A144+"$F;@!5&lt;a"</f>
        <v>#VALUE!</v>
      </c>
      <c r="EH440" t="e">
        <f>Africa!B144+"$F;@!5&lt;b"</f>
        <v>#VALUE!</v>
      </c>
      <c r="EI440" t="e">
        <f>Africa!C144+"$F;@!5&lt;c"</f>
        <v>#VALUE!</v>
      </c>
      <c r="EJ440" t="e">
        <f>Africa!D144+"$F;@!5&lt;d"</f>
        <v>#VALUE!</v>
      </c>
      <c r="EK440" t="e">
        <f>Africa!E144+"$F;@!5&lt;e"</f>
        <v>#VALUE!</v>
      </c>
      <c r="EL440" t="e">
        <f>Africa!F144+"$F;@!5&lt;f"</f>
        <v>#VALUE!</v>
      </c>
      <c r="EM440" t="e">
        <f>Africa!G144+"$F;@!5&lt;g"</f>
        <v>#VALUE!</v>
      </c>
      <c r="EN440" t="e">
        <f>Africa!H144+"$F;@!5&lt;h"</f>
        <v>#VALUE!</v>
      </c>
      <c r="EO440" t="e">
        <f>Africa!A145+"$F;@!5&lt;i"</f>
        <v>#VALUE!</v>
      </c>
      <c r="EP440" t="e">
        <f>Africa!B145+"$F;@!5&lt;j"</f>
        <v>#VALUE!</v>
      </c>
      <c r="EQ440" t="e">
        <f>Africa!C145+"$F;@!5&lt;k"</f>
        <v>#VALUE!</v>
      </c>
      <c r="ER440" t="e">
        <f>Africa!D145+"$F;@!5&lt;l"</f>
        <v>#VALUE!</v>
      </c>
      <c r="ES440" t="e">
        <f>Africa!E145+"$F;@!5&lt;m"</f>
        <v>#VALUE!</v>
      </c>
      <c r="ET440" t="e">
        <f>Africa!F145+"$F;@!5&lt;n"</f>
        <v>#VALUE!</v>
      </c>
      <c r="EU440" t="e">
        <f>Africa!G145+"$F;@!5&lt;o"</f>
        <v>#VALUE!</v>
      </c>
      <c r="EV440" t="e">
        <f>Africa!H145+"$F;@!5&lt;p"</f>
        <v>#VALUE!</v>
      </c>
      <c r="EW440" t="e">
        <f>Africa!A146+"$F;@!5&lt;q"</f>
        <v>#VALUE!</v>
      </c>
      <c r="EX440" t="e">
        <f>Africa!B146+"$F;@!5&lt;r"</f>
        <v>#VALUE!</v>
      </c>
      <c r="EY440" t="e">
        <f>Africa!C146+"$F;@!5&lt;s"</f>
        <v>#VALUE!</v>
      </c>
      <c r="EZ440" t="e">
        <f>Africa!D146+"$F;@!5&lt;t"</f>
        <v>#VALUE!</v>
      </c>
      <c r="FA440" t="e">
        <f>Africa!E146+"$F;@!5&lt;u"</f>
        <v>#VALUE!</v>
      </c>
      <c r="FB440" t="e">
        <f>Africa!F146+"$F;@!5&lt;v"</f>
        <v>#VALUE!</v>
      </c>
      <c r="FC440" t="e">
        <f>Africa!G146+"$F;@!5&lt;w"</f>
        <v>#VALUE!</v>
      </c>
      <c r="FD440" t="e">
        <f>Africa!H146+"$F;@!5&lt;x"</f>
        <v>#VALUE!</v>
      </c>
      <c r="FE440" t="e">
        <f>Africa!A147+"$F;@!5&lt;y"</f>
        <v>#VALUE!</v>
      </c>
      <c r="FF440" t="e">
        <f>Africa!B147+"$F;@!5&lt;z"</f>
        <v>#VALUE!</v>
      </c>
      <c r="FG440" t="e">
        <f>Africa!C147+"$F;@!5&lt;{"</f>
        <v>#VALUE!</v>
      </c>
      <c r="FH440" t="e">
        <f>Africa!D147+"$F;@!5&lt;|"</f>
        <v>#VALUE!</v>
      </c>
      <c r="FI440" t="e">
        <f>Africa!E147+"$F;@!5&lt;}"</f>
        <v>#VALUE!</v>
      </c>
      <c r="FJ440" t="e">
        <f>Africa!F147+"$F;@!5&lt;~"</f>
        <v>#VALUE!</v>
      </c>
      <c r="FK440" t="e">
        <f>Africa!G147+"$F;@!5=#"</f>
        <v>#VALUE!</v>
      </c>
      <c r="FL440" t="e">
        <f>Africa!H147+"$F;@!5=$"</f>
        <v>#VALUE!</v>
      </c>
      <c r="FM440" t="e">
        <f>Africa!A148+"$F;@!5=%"</f>
        <v>#VALUE!</v>
      </c>
      <c r="FN440" t="e">
        <f>Africa!B148+"$F;@!5=&amp;"</f>
        <v>#VALUE!</v>
      </c>
      <c r="FO440" t="e">
        <f>Africa!C148+"$F;@!5='"</f>
        <v>#VALUE!</v>
      </c>
      <c r="FP440" t="e">
        <f>Africa!D148+"$F;@!5=("</f>
        <v>#VALUE!</v>
      </c>
      <c r="FQ440" t="e">
        <f>Africa!E148+"$F;@!5=)"</f>
        <v>#VALUE!</v>
      </c>
      <c r="FR440" t="e">
        <f>Africa!F148+"$F;@!5=."</f>
        <v>#VALUE!</v>
      </c>
      <c r="FS440" t="e">
        <f>Africa!G148+"$F;@!5=/"</f>
        <v>#VALUE!</v>
      </c>
      <c r="FT440" t="e">
        <f>Africa!H148+"$F;@!5=0"</f>
        <v>#VALUE!</v>
      </c>
      <c r="FU440" t="e">
        <f>Africa!A149+"$F;@!5=1"</f>
        <v>#VALUE!</v>
      </c>
      <c r="FV440" t="e">
        <f>Africa!B149+"$F;@!5=2"</f>
        <v>#VALUE!</v>
      </c>
      <c r="FW440" t="e">
        <f>Africa!C149+"$F;@!5=3"</f>
        <v>#VALUE!</v>
      </c>
      <c r="FX440" t="e">
        <f>Africa!D149+"$F;@!5=4"</f>
        <v>#VALUE!</v>
      </c>
      <c r="FY440" t="e">
        <f>Africa!E149+"$F;@!5=5"</f>
        <v>#VALUE!</v>
      </c>
      <c r="FZ440" t="e">
        <f>Africa!F149+"$F;@!5=6"</f>
        <v>#VALUE!</v>
      </c>
      <c r="GA440" t="e">
        <f>Africa!G149+"$F;@!5=7"</f>
        <v>#VALUE!</v>
      </c>
      <c r="GB440" t="e">
        <f>Africa!H149+"$F;@!5=8"</f>
        <v>#VALUE!</v>
      </c>
      <c r="GC440" t="e">
        <f>Africa!A150+"$F;@!5=9"</f>
        <v>#VALUE!</v>
      </c>
      <c r="GD440" t="e">
        <f>Africa!B150+"$F;@!5=:"</f>
        <v>#VALUE!</v>
      </c>
      <c r="GE440" t="e">
        <f>Africa!C150+"$F;@!5=;"</f>
        <v>#VALUE!</v>
      </c>
      <c r="GF440" t="e">
        <f>Africa!D150+"$F;@!5=&lt;"</f>
        <v>#VALUE!</v>
      </c>
      <c r="GG440" t="e">
        <f>Africa!E150+"$F;@!5=="</f>
        <v>#VALUE!</v>
      </c>
      <c r="GH440" t="e">
        <f>Africa!F150+"$F;@!5=&gt;"</f>
        <v>#VALUE!</v>
      </c>
      <c r="GI440" t="e">
        <f>Africa!G150+"$F;@!5=?"</f>
        <v>#VALUE!</v>
      </c>
      <c r="GJ440" t="e">
        <f>Africa!H150+"$F;@!5=@"</f>
        <v>#VALUE!</v>
      </c>
      <c r="GK440" t="e">
        <f>Africa!A151+"$F;@!5=A"</f>
        <v>#VALUE!</v>
      </c>
      <c r="GL440" t="e">
        <f>Africa!B151+"$F;@!5=B"</f>
        <v>#VALUE!</v>
      </c>
      <c r="GM440" t="e">
        <f>Africa!C151+"$F;@!5=C"</f>
        <v>#VALUE!</v>
      </c>
      <c r="GN440" t="e">
        <f>Africa!D151+"$F;@!5=D"</f>
        <v>#VALUE!</v>
      </c>
      <c r="GO440" t="e">
        <f>Africa!E151+"$F;@!5=E"</f>
        <v>#VALUE!</v>
      </c>
      <c r="GP440" t="e">
        <f>Africa!F151+"$F;@!5=F"</f>
        <v>#VALUE!</v>
      </c>
      <c r="GQ440" t="e">
        <f>Africa!G151+"$F;@!5=G"</f>
        <v>#VALUE!</v>
      </c>
      <c r="GR440" t="e">
        <f>Africa!H151+"$F;@!5=H"</f>
        <v>#VALUE!</v>
      </c>
      <c r="GS440" t="e">
        <f>Africa!A152+"$F;@!5=I"</f>
        <v>#VALUE!</v>
      </c>
      <c r="GT440" t="e">
        <f>Africa!B152+"$F;@!5=J"</f>
        <v>#VALUE!</v>
      </c>
      <c r="GU440" t="e">
        <f>Africa!C152+"$F;@!5=K"</f>
        <v>#VALUE!</v>
      </c>
      <c r="GV440" t="e">
        <f>Africa!D152+"$F;@!5=L"</f>
        <v>#VALUE!</v>
      </c>
      <c r="GW440" t="e">
        <f>Africa!E152+"$F;@!5=M"</f>
        <v>#VALUE!</v>
      </c>
      <c r="GX440" t="e">
        <f>Africa!F152+"$F;@!5=N"</f>
        <v>#VALUE!</v>
      </c>
      <c r="GY440" t="e">
        <f>Africa!G152+"$F;@!5=O"</f>
        <v>#VALUE!</v>
      </c>
      <c r="GZ440" t="e">
        <f>Africa!H152+"$F;@!5=P"</f>
        <v>#VALUE!</v>
      </c>
      <c r="HA440" t="e">
        <f>Africa!A153+"$F;@!5=Q"</f>
        <v>#VALUE!</v>
      </c>
      <c r="HB440" t="e">
        <f>Africa!B153+"$F;@!5=R"</f>
        <v>#VALUE!</v>
      </c>
      <c r="HC440" t="e">
        <f>Africa!C153+"$F;@!5=S"</f>
        <v>#VALUE!</v>
      </c>
      <c r="HD440" t="e">
        <f>Africa!D153+"$F;@!5=T"</f>
        <v>#VALUE!</v>
      </c>
      <c r="HE440" t="e">
        <f>Africa!E153+"$F;@!5=U"</f>
        <v>#VALUE!</v>
      </c>
      <c r="HF440" t="e">
        <f>Africa!F153+"$F;@!5=V"</f>
        <v>#VALUE!</v>
      </c>
      <c r="HG440" t="e">
        <f>Africa!G153+"$F;@!5=W"</f>
        <v>#VALUE!</v>
      </c>
      <c r="HH440" t="e">
        <f>Africa!H153+"$F;@!5=X"</f>
        <v>#VALUE!</v>
      </c>
      <c r="HI440" t="e">
        <f>Africa!A154+"$F;@!5=Y"</f>
        <v>#VALUE!</v>
      </c>
      <c r="HJ440" t="e">
        <f>Africa!B154+"$F;@!5=Z"</f>
        <v>#VALUE!</v>
      </c>
      <c r="HK440" t="e">
        <f>Africa!C154+"$F;@!5=["</f>
        <v>#VALUE!</v>
      </c>
      <c r="HL440" t="e">
        <f>Africa!D154+"$F;@!5=\"</f>
        <v>#VALUE!</v>
      </c>
      <c r="HM440" t="e">
        <f>Africa!E154+"$F;@!5=]"</f>
        <v>#VALUE!</v>
      </c>
      <c r="HN440" t="e">
        <f>Africa!F154+"$F;@!5=^"</f>
        <v>#VALUE!</v>
      </c>
      <c r="HO440" t="e">
        <f>Africa!G154+"$F;@!5=_"</f>
        <v>#VALUE!</v>
      </c>
      <c r="HP440" t="e">
        <f>Africa!H154+"$F;@!5=`"</f>
        <v>#VALUE!</v>
      </c>
      <c r="HQ440" t="e">
        <f>Africa!A155+"$F;@!5=a"</f>
        <v>#VALUE!</v>
      </c>
      <c r="HR440" t="e">
        <f>Africa!B155+"$F;@!5=b"</f>
        <v>#VALUE!</v>
      </c>
      <c r="HS440" t="e">
        <f>Africa!C155+"$F;@!5=c"</f>
        <v>#VALUE!</v>
      </c>
      <c r="HT440" t="e">
        <f>Africa!D155+"$F;@!5=d"</f>
        <v>#VALUE!</v>
      </c>
      <c r="HU440" t="e">
        <f>Africa!E155+"$F;@!5=e"</f>
        <v>#VALUE!</v>
      </c>
      <c r="HV440" t="e">
        <f>Africa!F155+"$F;@!5=f"</f>
        <v>#VALUE!</v>
      </c>
      <c r="HW440" t="e">
        <f>Africa!G155+"$F;@!5=g"</f>
        <v>#VALUE!</v>
      </c>
      <c r="HX440" t="e">
        <f>Africa!H155+"$F;@!5=h"</f>
        <v>#VALUE!</v>
      </c>
      <c r="HY440" t="e">
        <f>Africa!A156+"$F;@!5=i"</f>
        <v>#VALUE!</v>
      </c>
      <c r="HZ440" t="e">
        <f>Africa!B156+"$F;@!5=j"</f>
        <v>#VALUE!</v>
      </c>
      <c r="IA440" t="e">
        <f>Africa!C156+"$F;@!5=k"</f>
        <v>#VALUE!</v>
      </c>
      <c r="IB440" t="e">
        <f>Africa!D156+"$F;@!5=l"</f>
        <v>#VALUE!</v>
      </c>
      <c r="IC440" t="e">
        <f>Africa!E156+"$F;@!5=m"</f>
        <v>#VALUE!</v>
      </c>
      <c r="ID440" t="e">
        <f>Africa!F156+"$F;@!5=n"</f>
        <v>#VALUE!</v>
      </c>
      <c r="IE440" t="e">
        <f>Africa!G156+"$F;@!5=o"</f>
        <v>#VALUE!</v>
      </c>
      <c r="IF440" t="e">
        <f>Africa!H156+"$F;@!5=p"</f>
        <v>#VALUE!</v>
      </c>
      <c r="IG440" t="e">
        <f>Africa!A157+"$F;@!5=q"</f>
        <v>#VALUE!</v>
      </c>
      <c r="IH440" t="e">
        <f>Africa!B157+"$F;@!5=r"</f>
        <v>#VALUE!</v>
      </c>
      <c r="II440" t="e">
        <f>Africa!C157+"$F;@!5=s"</f>
        <v>#VALUE!</v>
      </c>
      <c r="IJ440" t="e">
        <f>Africa!D157+"$F;@!5=t"</f>
        <v>#VALUE!</v>
      </c>
      <c r="IK440" t="e">
        <f>Africa!E157+"$F;@!5=u"</f>
        <v>#VALUE!</v>
      </c>
      <c r="IL440" t="e">
        <f>Africa!F157+"$F;@!5=v"</f>
        <v>#VALUE!</v>
      </c>
      <c r="IM440" t="e">
        <f>Africa!G157+"$F;@!5=w"</f>
        <v>#VALUE!</v>
      </c>
      <c r="IN440" t="e">
        <f>Africa!H157+"$F;@!5=x"</f>
        <v>#VALUE!</v>
      </c>
      <c r="IO440" t="e">
        <f>Africa!A158+"$F;@!5=y"</f>
        <v>#VALUE!</v>
      </c>
      <c r="IP440" t="e">
        <f>Africa!B158+"$F;@!5=z"</f>
        <v>#VALUE!</v>
      </c>
      <c r="IQ440" t="e">
        <f>Africa!C158+"$F;@!5={"</f>
        <v>#VALUE!</v>
      </c>
      <c r="IR440" t="e">
        <f>Africa!D158+"$F;@!5=|"</f>
        <v>#VALUE!</v>
      </c>
      <c r="IS440" t="e">
        <f>Africa!E158+"$F;@!5=}"</f>
        <v>#VALUE!</v>
      </c>
      <c r="IT440" t="e">
        <f>Africa!F158+"$F;@!5=~"</f>
        <v>#VALUE!</v>
      </c>
      <c r="IU440" t="e">
        <f>Africa!G158+"$F;@!5&gt;#"</f>
        <v>#VALUE!</v>
      </c>
      <c r="IV440" t="e">
        <f>Africa!H158+"$F;@!5&gt;$"</f>
        <v>#VALUE!</v>
      </c>
    </row>
    <row r="441" spans="6:256" x14ac:dyDescent="0.35">
      <c r="F441" t="e">
        <f>Africa!A159+"$F;@!5&gt;%"</f>
        <v>#VALUE!</v>
      </c>
      <c r="G441" t="e">
        <f>Africa!B159+"$F;@!5&gt;&amp;"</f>
        <v>#VALUE!</v>
      </c>
      <c r="H441" t="e">
        <f>Africa!C159+"$F;@!5&gt;'"</f>
        <v>#VALUE!</v>
      </c>
      <c r="I441" t="e">
        <f>Africa!D159+"$F;@!5&gt;("</f>
        <v>#VALUE!</v>
      </c>
      <c r="J441" t="e">
        <f>Africa!E159+"$F;@!5&gt;)"</f>
        <v>#VALUE!</v>
      </c>
      <c r="K441" t="e">
        <f>Africa!F159+"$F;@!5&gt;."</f>
        <v>#VALUE!</v>
      </c>
      <c r="L441" t="e">
        <f>Africa!G159+"$F;@!5&gt;/"</f>
        <v>#VALUE!</v>
      </c>
      <c r="M441" t="e">
        <f>Africa!H159+"$F;@!5&gt;0"</f>
        <v>#VALUE!</v>
      </c>
      <c r="N441" t="e">
        <f>Africa!A160+"$F;@!5&gt;1"</f>
        <v>#VALUE!</v>
      </c>
      <c r="O441" t="e">
        <f>Africa!B160+"$F;@!5&gt;2"</f>
        <v>#VALUE!</v>
      </c>
      <c r="P441" t="e">
        <f>Africa!C160+"$F;@!5&gt;3"</f>
        <v>#VALUE!</v>
      </c>
      <c r="Q441" t="e">
        <f>Africa!D160+"$F;@!5&gt;4"</f>
        <v>#VALUE!</v>
      </c>
      <c r="R441" t="e">
        <f>Africa!E160+"$F;@!5&gt;5"</f>
        <v>#VALUE!</v>
      </c>
      <c r="S441" t="e">
        <f>Africa!F160+"$F;@!5&gt;6"</f>
        <v>#VALUE!</v>
      </c>
      <c r="T441" t="e">
        <f>Africa!G160+"$F;@!5&gt;7"</f>
        <v>#VALUE!</v>
      </c>
      <c r="U441" t="e">
        <f>Africa!H160+"$F;@!5&gt;8"</f>
        <v>#VALUE!</v>
      </c>
      <c r="V441" t="e">
        <f>Africa!A161+"$F;@!5&gt;9"</f>
        <v>#VALUE!</v>
      </c>
      <c r="W441" t="e">
        <f>Africa!B161+"$F;@!5&gt;:"</f>
        <v>#VALUE!</v>
      </c>
      <c r="X441" t="e">
        <f>Africa!C161+"$F;@!5&gt;;"</f>
        <v>#VALUE!</v>
      </c>
      <c r="Y441" t="e">
        <f>Africa!D161+"$F;@!5&gt;&lt;"</f>
        <v>#VALUE!</v>
      </c>
      <c r="Z441" t="e">
        <f>Africa!E161+"$F;@!5&gt;="</f>
        <v>#VALUE!</v>
      </c>
      <c r="AA441" t="e">
        <f>Africa!F161+"$F;@!5&gt;&gt;"</f>
        <v>#VALUE!</v>
      </c>
      <c r="AB441" t="e">
        <f>Africa!G161+"$F;@!5&gt;?"</f>
        <v>#VALUE!</v>
      </c>
      <c r="AC441" t="e">
        <f>Africa!H161+"$F;@!5&gt;@"</f>
        <v>#VALUE!</v>
      </c>
      <c r="AD441" t="e">
        <f>Africa!A162+"$F;@!5&gt;A"</f>
        <v>#VALUE!</v>
      </c>
      <c r="AE441" t="e">
        <f>Africa!B162+"$F;@!5&gt;B"</f>
        <v>#VALUE!</v>
      </c>
      <c r="AF441" t="e">
        <f>Africa!C162+"$F;@!5&gt;C"</f>
        <v>#VALUE!</v>
      </c>
      <c r="AG441" t="e">
        <f>Africa!D162+"$F;@!5&gt;D"</f>
        <v>#VALUE!</v>
      </c>
      <c r="AH441" t="e">
        <f>Africa!E162+"$F;@!5&gt;E"</f>
        <v>#VALUE!</v>
      </c>
      <c r="AI441" t="e">
        <f>Africa!F162+"$F;@!5&gt;F"</f>
        <v>#VALUE!</v>
      </c>
      <c r="AJ441" t="e">
        <f>Africa!G162+"$F;@!5&gt;G"</f>
        <v>#VALUE!</v>
      </c>
      <c r="AK441" t="e">
        <f>Africa!H162+"$F;@!5&gt;H"</f>
        <v>#VALUE!</v>
      </c>
      <c r="AL441" t="e">
        <f>Africa!A163+"$F;@!5&gt;I"</f>
        <v>#VALUE!</v>
      </c>
      <c r="AM441" t="e">
        <f>Africa!B163+"$F;@!5&gt;J"</f>
        <v>#VALUE!</v>
      </c>
      <c r="AN441" t="e">
        <f>Africa!C163+"$F;@!5&gt;K"</f>
        <v>#VALUE!</v>
      </c>
      <c r="AO441" t="e">
        <f>Africa!D163+"$F;@!5&gt;L"</f>
        <v>#VALUE!</v>
      </c>
      <c r="AP441" t="e">
        <f>Africa!E163+"$F;@!5&gt;M"</f>
        <v>#VALUE!</v>
      </c>
      <c r="AQ441" t="e">
        <f>Africa!F163+"$F;@!5&gt;N"</f>
        <v>#VALUE!</v>
      </c>
      <c r="AR441" t="e">
        <f>Africa!G163+"$F;@!5&gt;O"</f>
        <v>#VALUE!</v>
      </c>
      <c r="AS441" t="e">
        <f>Africa!H163+"$F;@!5&gt;P"</f>
        <v>#VALUE!</v>
      </c>
      <c r="AT441" t="e">
        <f>Africa!A164+"$F;@!5&gt;Q"</f>
        <v>#VALUE!</v>
      </c>
      <c r="AU441" t="e">
        <f>Africa!B164+"$F;@!5&gt;R"</f>
        <v>#VALUE!</v>
      </c>
      <c r="AV441" t="e">
        <f>Africa!C164+"$F;@!5&gt;S"</f>
        <v>#VALUE!</v>
      </c>
      <c r="AW441" t="e">
        <f>Africa!D164+"$F;@!5&gt;T"</f>
        <v>#VALUE!</v>
      </c>
      <c r="AX441" t="e">
        <f>Africa!E164+"$F;@!5&gt;U"</f>
        <v>#VALUE!</v>
      </c>
      <c r="AY441" t="e">
        <f>Africa!F164+"$F;@!5&gt;V"</f>
        <v>#VALUE!</v>
      </c>
      <c r="AZ441" t="e">
        <f>Africa!G164+"$F;@!5&gt;W"</f>
        <v>#VALUE!</v>
      </c>
      <c r="BA441" t="e">
        <f>Africa!H164+"$F;@!5&gt;X"</f>
        <v>#VALUE!</v>
      </c>
      <c r="BB441" t="e">
        <f>Africa!A165+"$F;@!5&gt;Y"</f>
        <v>#VALUE!</v>
      </c>
      <c r="BC441" t="e">
        <f>Africa!B165+"$F;@!5&gt;Z"</f>
        <v>#VALUE!</v>
      </c>
      <c r="BD441" t="e">
        <f>Africa!C165+"$F;@!5&gt;["</f>
        <v>#VALUE!</v>
      </c>
      <c r="BE441" t="e">
        <f>Africa!D165+"$F;@!5&gt;\"</f>
        <v>#VALUE!</v>
      </c>
      <c r="BF441" t="e">
        <f>Africa!E165+"$F;@!5&gt;]"</f>
        <v>#VALUE!</v>
      </c>
      <c r="BG441" t="e">
        <f>Africa!F165+"$F;@!5&gt;^"</f>
        <v>#VALUE!</v>
      </c>
      <c r="BH441" t="e">
        <f>Africa!G165+"$F;@!5&gt;_"</f>
        <v>#VALUE!</v>
      </c>
      <c r="BI441" t="e">
        <f>Africa!H165+"$F;@!5&gt;`"</f>
        <v>#VALUE!</v>
      </c>
      <c r="BJ441" t="e">
        <f>Africa!A166+"$F;@!5&gt;a"</f>
        <v>#VALUE!</v>
      </c>
      <c r="BK441" t="e">
        <f>Africa!B166+"$F;@!5&gt;b"</f>
        <v>#VALUE!</v>
      </c>
      <c r="BL441" t="e">
        <f>Africa!C166+"$F;@!5&gt;c"</f>
        <v>#VALUE!</v>
      </c>
      <c r="BM441" t="e">
        <f>Africa!D166+"$F;@!5&gt;d"</f>
        <v>#VALUE!</v>
      </c>
      <c r="BN441" t="e">
        <f>Africa!E166+"$F;@!5&gt;e"</f>
        <v>#VALUE!</v>
      </c>
      <c r="BO441" t="e">
        <f>Africa!F166+"$F;@!5&gt;f"</f>
        <v>#VALUE!</v>
      </c>
      <c r="BP441" t="e">
        <f>Africa!G166+"$F;@!5&gt;g"</f>
        <v>#VALUE!</v>
      </c>
      <c r="BQ441" t="e">
        <f>Africa!H166+"$F;@!5&gt;h"</f>
        <v>#VALUE!</v>
      </c>
      <c r="BR441" t="e">
        <f>Africa!A167+"$F;@!5&gt;i"</f>
        <v>#VALUE!</v>
      </c>
      <c r="BS441" t="e">
        <f>Africa!B167+"$F;@!5&gt;j"</f>
        <v>#VALUE!</v>
      </c>
      <c r="BT441" t="e">
        <f>Africa!C167+"$F;@!5&gt;k"</f>
        <v>#VALUE!</v>
      </c>
      <c r="BU441" t="e">
        <f>Africa!D167+"$F;@!5&gt;l"</f>
        <v>#VALUE!</v>
      </c>
      <c r="BV441" t="e">
        <f>Africa!E167+"$F;@!5&gt;m"</f>
        <v>#VALUE!</v>
      </c>
      <c r="BW441" t="e">
        <f>Africa!F167+"$F;@!5&gt;n"</f>
        <v>#VALUE!</v>
      </c>
      <c r="BX441" t="e">
        <f>Africa!G167+"$F;@!5&gt;o"</f>
        <v>#VALUE!</v>
      </c>
      <c r="BY441" t="e">
        <f>Africa!H167+"$F;@!5&gt;p"</f>
        <v>#VALUE!</v>
      </c>
      <c r="BZ441" t="e">
        <f>Africa!A168+"$F;@!5&gt;q"</f>
        <v>#VALUE!</v>
      </c>
      <c r="CA441" t="e">
        <f>Africa!B168+"$F;@!5&gt;r"</f>
        <v>#VALUE!</v>
      </c>
      <c r="CB441" t="e">
        <f>Africa!C168+"$F;@!5&gt;s"</f>
        <v>#VALUE!</v>
      </c>
      <c r="CC441" t="e">
        <f>Africa!D168+"$F;@!5&gt;t"</f>
        <v>#VALUE!</v>
      </c>
      <c r="CD441" t="e">
        <f>Africa!E168+"$F;@!5&gt;u"</f>
        <v>#VALUE!</v>
      </c>
      <c r="CE441" t="e">
        <f>Africa!F168+"$F;@!5&gt;v"</f>
        <v>#VALUE!</v>
      </c>
      <c r="CF441" t="e">
        <f>Africa!G168+"$F;@!5&gt;w"</f>
        <v>#VALUE!</v>
      </c>
      <c r="CG441" t="e">
        <f>Africa!H168+"$F;@!5&gt;x"</f>
        <v>#VALUE!</v>
      </c>
      <c r="CH441" t="e">
        <f>Africa!A169+"$F;@!5&gt;y"</f>
        <v>#VALUE!</v>
      </c>
      <c r="CI441" t="e">
        <f>Africa!B169+"$F;@!5&gt;z"</f>
        <v>#VALUE!</v>
      </c>
      <c r="CJ441" t="e">
        <f>Africa!C169+"$F;@!5&gt;{"</f>
        <v>#VALUE!</v>
      </c>
      <c r="CK441" t="e">
        <f>Africa!D169+"$F;@!5&gt;|"</f>
        <v>#VALUE!</v>
      </c>
      <c r="CL441" t="e">
        <f>Africa!E169+"$F;@!5&gt;}"</f>
        <v>#VALUE!</v>
      </c>
      <c r="CM441" t="e">
        <f>Africa!F169+"$F;@!5&gt;~"</f>
        <v>#VALUE!</v>
      </c>
      <c r="CN441" t="e">
        <f>Africa!G169+"$F;@!5?#"</f>
        <v>#VALUE!</v>
      </c>
      <c r="CO441" t="e">
        <f>Africa!H169+"$F;@!5?$"</f>
        <v>#VALUE!</v>
      </c>
      <c r="CP441" t="e">
        <f>Africa!A170+"$F;@!5?%"</f>
        <v>#VALUE!</v>
      </c>
      <c r="CQ441" t="e">
        <f>Africa!B170+"$F;@!5?&amp;"</f>
        <v>#VALUE!</v>
      </c>
      <c r="CR441" t="e">
        <f>Africa!C170+"$F;@!5?'"</f>
        <v>#VALUE!</v>
      </c>
      <c r="CS441" t="e">
        <f>Africa!D170+"$F;@!5?("</f>
        <v>#VALUE!</v>
      </c>
      <c r="CT441" t="e">
        <f>Africa!E170+"$F;@!5?)"</f>
        <v>#VALUE!</v>
      </c>
      <c r="CU441" t="e">
        <f>Africa!F170+"$F;@!5?."</f>
        <v>#VALUE!</v>
      </c>
      <c r="CV441" t="e">
        <f>Africa!G170+"$F;@!5?/"</f>
        <v>#VALUE!</v>
      </c>
      <c r="CW441" t="e">
        <f>Africa!H170+"$F;@!5?0"</f>
        <v>#VALUE!</v>
      </c>
      <c r="CX441" t="e">
        <f>Africa!A171+"$F;@!5?1"</f>
        <v>#VALUE!</v>
      </c>
      <c r="CY441" t="e">
        <f>Africa!B171+"$F;@!5?2"</f>
        <v>#VALUE!</v>
      </c>
      <c r="CZ441" t="e">
        <f>Africa!C171+"$F;@!5?3"</f>
        <v>#VALUE!</v>
      </c>
      <c r="DA441" t="e">
        <f>Africa!D171+"$F;@!5?4"</f>
        <v>#VALUE!</v>
      </c>
      <c r="DB441" t="e">
        <f>Africa!E171+"$F;@!5?5"</f>
        <v>#VALUE!</v>
      </c>
      <c r="DC441" t="e">
        <f>Africa!F171+"$F;@!5?6"</f>
        <v>#VALUE!</v>
      </c>
      <c r="DD441" t="e">
        <f>Africa!G171+"$F;@!5?7"</f>
        <v>#VALUE!</v>
      </c>
      <c r="DE441" t="e">
        <f>Africa!H171+"$F;@!5?8"</f>
        <v>#VALUE!</v>
      </c>
      <c r="DF441" t="e">
        <f>Africa!A172+"$F;@!5?9"</f>
        <v>#VALUE!</v>
      </c>
      <c r="DG441" t="e">
        <f>Africa!B172+"$F;@!5?:"</f>
        <v>#VALUE!</v>
      </c>
      <c r="DH441" t="e">
        <f>Africa!C172+"$F;@!5?;"</f>
        <v>#VALUE!</v>
      </c>
      <c r="DI441" t="e">
        <f>Africa!D172+"$F;@!5?&lt;"</f>
        <v>#VALUE!</v>
      </c>
      <c r="DJ441" t="e">
        <f>Africa!E172+"$F;@!5?="</f>
        <v>#VALUE!</v>
      </c>
      <c r="DK441" t="e">
        <f>Africa!F172+"$F;@!5?&gt;"</f>
        <v>#VALUE!</v>
      </c>
      <c r="DL441" t="e">
        <f>Africa!G172+"$F;@!5??"</f>
        <v>#VALUE!</v>
      </c>
      <c r="DM441" t="e">
        <f>Africa!H172+"$F;@!5?@"</f>
        <v>#VALUE!</v>
      </c>
      <c r="DN441" t="e">
        <f>Africa!A173+"$F;@!5?A"</f>
        <v>#VALUE!</v>
      </c>
      <c r="DO441" t="e">
        <f>Africa!B173+"$F;@!5?B"</f>
        <v>#VALUE!</v>
      </c>
      <c r="DP441" t="e">
        <f>Africa!C173+"$F;@!5?C"</f>
        <v>#VALUE!</v>
      </c>
      <c r="DQ441" t="e">
        <f>Africa!D173+"$F;@!5?D"</f>
        <v>#VALUE!</v>
      </c>
      <c r="DR441" t="e">
        <f>Africa!E173+"$F;@!5?E"</f>
        <v>#VALUE!</v>
      </c>
      <c r="DS441" t="e">
        <f>Africa!F173+"$F;@!5?F"</f>
        <v>#VALUE!</v>
      </c>
      <c r="DT441" t="e">
        <f>Africa!G173+"$F;@!5?G"</f>
        <v>#VALUE!</v>
      </c>
      <c r="DU441" t="e">
        <f>Africa!H173+"$F;@!5?H"</f>
        <v>#VALUE!</v>
      </c>
      <c r="DV441" t="e">
        <f>Africa!A174+"$F;@!5?I"</f>
        <v>#VALUE!</v>
      </c>
      <c r="DW441" t="e">
        <f>Africa!B174+"$F;@!5?J"</f>
        <v>#VALUE!</v>
      </c>
      <c r="DX441" t="e">
        <f>Africa!C174+"$F;@!5?K"</f>
        <v>#VALUE!</v>
      </c>
      <c r="DY441" t="e">
        <f>Africa!D174+"$F;@!5?L"</f>
        <v>#VALUE!</v>
      </c>
      <c r="DZ441" t="e">
        <f>Africa!E174+"$F;@!5?M"</f>
        <v>#VALUE!</v>
      </c>
      <c r="EA441" t="e">
        <f>Africa!F174+"$F;@!5?N"</f>
        <v>#VALUE!</v>
      </c>
      <c r="EB441" t="e">
        <f>Africa!G174+"$F;@!5?O"</f>
        <v>#VALUE!</v>
      </c>
      <c r="EC441" t="e">
        <f>Africa!H174+"$F;@!5?P"</f>
        <v>#VALUE!</v>
      </c>
      <c r="ED441" t="e">
        <f>Africa!A175+"$F;@!5?Q"</f>
        <v>#VALUE!</v>
      </c>
      <c r="EE441" t="e">
        <f>Africa!B175+"$F;@!5?R"</f>
        <v>#VALUE!</v>
      </c>
      <c r="EF441" t="e">
        <f>Africa!C175+"$F;@!5?S"</f>
        <v>#VALUE!</v>
      </c>
      <c r="EG441" t="e">
        <f>Africa!D175+"$F;@!5?T"</f>
        <v>#VALUE!</v>
      </c>
      <c r="EH441" t="e">
        <f>Africa!E175+"$F;@!5?U"</f>
        <v>#VALUE!</v>
      </c>
      <c r="EI441" t="e">
        <f>Africa!F175+"$F;@!5?V"</f>
        <v>#VALUE!</v>
      </c>
      <c r="EJ441" t="e">
        <f>Africa!G175+"$F;@!5?W"</f>
        <v>#VALUE!</v>
      </c>
      <c r="EK441" t="e">
        <f>Africa!H175+"$F;@!5?X"</f>
        <v>#VALUE!</v>
      </c>
      <c r="EL441" t="e">
        <f>Africa!A176+"$F;@!5?Y"</f>
        <v>#VALUE!</v>
      </c>
      <c r="EM441" t="e">
        <f>Africa!B176+"$F;@!5?Z"</f>
        <v>#VALUE!</v>
      </c>
      <c r="EN441" t="e">
        <f>Africa!C176+"$F;@!5?["</f>
        <v>#VALUE!</v>
      </c>
      <c r="EO441" t="e">
        <f>Africa!D176+"$F;@!5?\"</f>
        <v>#VALUE!</v>
      </c>
      <c r="EP441" t="e">
        <f>Africa!E176+"$F;@!5?]"</f>
        <v>#VALUE!</v>
      </c>
      <c r="EQ441" t="e">
        <f>Africa!F176+"$F;@!5?^"</f>
        <v>#VALUE!</v>
      </c>
      <c r="ER441" t="e">
        <f>Africa!G176+"$F;@!5?_"</f>
        <v>#VALUE!</v>
      </c>
      <c r="ES441" t="e">
        <f>Africa!H176+"$F;@!5?`"</f>
        <v>#VALUE!</v>
      </c>
      <c r="ET441" t="e">
        <f>Africa!A177+"$F;@!5?a"</f>
        <v>#VALUE!</v>
      </c>
      <c r="EU441" t="e">
        <f>Africa!B177+"$F;@!5?b"</f>
        <v>#VALUE!</v>
      </c>
      <c r="EV441" t="e">
        <f>Africa!C177+"$F;@!5?c"</f>
        <v>#VALUE!</v>
      </c>
      <c r="EW441" t="e">
        <f>Africa!D177+"$F;@!5?d"</f>
        <v>#VALUE!</v>
      </c>
      <c r="EX441" t="e">
        <f>Africa!E177+"$F;@!5?e"</f>
        <v>#VALUE!</v>
      </c>
      <c r="EY441" t="e">
        <f>Africa!F177+"$F;@!5?f"</f>
        <v>#VALUE!</v>
      </c>
      <c r="EZ441" t="e">
        <f>Africa!G177+"$F;@!5?g"</f>
        <v>#VALUE!</v>
      </c>
      <c r="FA441" t="e">
        <f>Africa!H177+"$F;@!5?h"</f>
        <v>#VALUE!</v>
      </c>
      <c r="FB441" t="e">
        <f>Africa!A178+"$F;@!5?i"</f>
        <v>#VALUE!</v>
      </c>
      <c r="FC441" t="e">
        <f>Africa!B178+"$F;@!5?j"</f>
        <v>#VALUE!</v>
      </c>
      <c r="FD441" t="e">
        <f>Africa!C178+"$F;@!5?k"</f>
        <v>#VALUE!</v>
      </c>
      <c r="FE441" t="e">
        <f>Africa!D178+"$F;@!5?l"</f>
        <v>#VALUE!</v>
      </c>
      <c r="FF441" t="e">
        <f>Africa!E178+"$F;@!5?m"</f>
        <v>#VALUE!</v>
      </c>
      <c r="FG441" t="e">
        <f>Africa!F178+"$F;@!5?n"</f>
        <v>#VALUE!</v>
      </c>
      <c r="FH441" t="e">
        <f>Africa!G178+"$F;@!5?o"</f>
        <v>#VALUE!</v>
      </c>
      <c r="FI441" t="e">
        <f>Africa!H178+"$F;@!5?p"</f>
        <v>#VALUE!</v>
      </c>
      <c r="FJ441" t="e">
        <f>Africa!A179+"$F;@!5?q"</f>
        <v>#VALUE!</v>
      </c>
      <c r="FK441" t="e">
        <f>Africa!B179+"$F;@!5?r"</f>
        <v>#VALUE!</v>
      </c>
      <c r="FL441" t="e">
        <f>Africa!C179+"$F;@!5?s"</f>
        <v>#VALUE!</v>
      </c>
      <c r="FM441" t="e">
        <f>Africa!D179+"$F;@!5?t"</f>
        <v>#VALUE!</v>
      </c>
      <c r="FN441" t="e">
        <f>Africa!E179+"$F;@!5?u"</f>
        <v>#VALUE!</v>
      </c>
      <c r="FO441" t="e">
        <f>Africa!F179+"$F;@!5?v"</f>
        <v>#VALUE!</v>
      </c>
      <c r="FP441" t="e">
        <f>Africa!G179+"$F;@!5?w"</f>
        <v>#VALUE!</v>
      </c>
      <c r="FQ441" t="e">
        <f>Africa!H179+"$F;@!5?x"</f>
        <v>#VALUE!</v>
      </c>
      <c r="FR441" t="e">
        <f>Africa!A180+"$F;@!5?y"</f>
        <v>#VALUE!</v>
      </c>
      <c r="FS441" t="e">
        <f>Africa!B180+"$F;@!5?z"</f>
        <v>#VALUE!</v>
      </c>
      <c r="FT441" t="e">
        <f>Africa!C180+"$F;@!5?{"</f>
        <v>#VALUE!</v>
      </c>
      <c r="FU441" t="e">
        <f>Africa!D180+"$F;@!5?|"</f>
        <v>#VALUE!</v>
      </c>
      <c r="FV441" t="e">
        <f>Africa!E180+"$F;@!5?}"</f>
        <v>#VALUE!</v>
      </c>
      <c r="FW441" t="e">
        <f>Africa!F180+"$F;@!5?~"</f>
        <v>#VALUE!</v>
      </c>
      <c r="FX441" t="e">
        <f>Africa!G180+"$F;@!5@#"</f>
        <v>#VALUE!</v>
      </c>
      <c r="FY441" t="e">
        <f>Africa!H180+"$F;@!5@$"</f>
        <v>#VALUE!</v>
      </c>
      <c r="FZ441" t="e">
        <f>Africa!A181+"$F;@!5@%"</f>
        <v>#VALUE!</v>
      </c>
      <c r="GA441" t="e">
        <f>Africa!B181+"$F;@!5@&amp;"</f>
        <v>#VALUE!</v>
      </c>
      <c r="GB441" t="e">
        <f>Africa!C181+"$F;@!5@'"</f>
        <v>#VALUE!</v>
      </c>
      <c r="GC441" t="e">
        <f>Africa!D181+"$F;@!5@("</f>
        <v>#VALUE!</v>
      </c>
      <c r="GD441" t="e">
        <f>Africa!E181+"$F;@!5@)"</f>
        <v>#VALUE!</v>
      </c>
      <c r="GE441" t="e">
        <f>Africa!F181+"$F;@!5@."</f>
        <v>#VALUE!</v>
      </c>
      <c r="GF441" t="e">
        <f>Africa!G181+"$F;@!5@/"</f>
        <v>#VALUE!</v>
      </c>
      <c r="GG441" t="e">
        <f>Africa!H181+"$F;@!5@0"</f>
        <v>#VALUE!</v>
      </c>
      <c r="GH441" t="e">
        <f>Africa!A182+"$F;@!5@1"</f>
        <v>#VALUE!</v>
      </c>
      <c r="GI441" t="e">
        <f>Africa!B182+"$F;@!5@2"</f>
        <v>#VALUE!</v>
      </c>
      <c r="GJ441" t="e">
        <f>Africa!C182+"$F;@!5@3"</f>
        <v>#VALUE!</v>
      </c>
      <c r="GK441" t="e">
        <f>Africa!D182+"$F;@!5@4"</f>
        <v>#VALUE!</v>
      </c>
      <c r="GL441" t="e">
        <f>Africa!E182+"$F;@!5@5"</f>
        <v>#VALUE!</v>
      </c>
      <c r="GM441" t="e">
        <f>Africa!F182+"$F;@!5@6"</f>
        <v>#VALUE!</v>
      </c>
      <c r="GN441" t="e">
        <f>Africa!G182+"$F;@!5@7"</f>
        <v>#VALUE!</v>
      </c>
      <c r="GO441" t="e">
        <f>Africa!H182+"$F;@!5@8"</f>
        <v>#VALUE!</v>
      </c>
      <c r="GP441" t="e">
        <f>Africa!A183+"$F;@!5@9"</f>
        <v>#VALUE!</v>
      </c>
      <c r="GQ441" t="e">
        <f>Africa!B183+"$F;@!5@:"</f>
        <v>#VALUE!</v>
      </c>
      <c r="GR441" t="e">
        <f>Africa!C183+"$F;@!5@;"</f>
        <v>#VALUE!</v>
      </c>
      <c r="GS441" t="e">
        <f>Africa!D183+"$F;@!5@&lt;"</f>
        <v>#VALUE!</v>
      </c>
      <c r="GT441" t="e">
        <f>Africa!E183+"$F;@!5@="</f>
        <v>#VALUE!</v>
      </c>
      <c r="GU441" t="e">
        <f>Africa!F183+"$F;@!5@&gt;"</f>
        <v>#VALUE!</v>
      </c>
      <c r="GV441" t="e">
        <f>Africa!G183+"$F;@!5@?"</f>
        <v>#VALUE!</v>
      </c>
      <c r="GW441" t="e">
        <f>Africa!H183+"$F;@!5@@"</f>
        <v>#VALUE!</v>
      </c>
      <c r="GX441" t="e">
        <f>Africa!A184+"$F;@!5@A"</f>
        <v>#VALUE!</v>
      </c>
      <c r="GY441" t="e">
        <f>Africa!B184+"$F;@!5@B"</f>
        <v>#VALUE!</v>
      </c>
      <c r="GZ441" t="e">
        <f>Africa!C184+"$F;@!5@C"</f>
        <v>#VALUE!</v>
      </c>
      <c r="HA441" t="e">
        <f>Africa!D184+"$F;@!5@D"</f>
        <v>#VALUE!</v>
      </c>
      <c r="HB441" t="e">
        <f>Africa!E184+"$F;@!5@E"</f>
        <v>#VALUE!</v>
      </c>
      <c r="HC441" t="e">
        <f>Africa!F184+"$F;@!5@F"</f>
        <v>#VALUE!</v>
      </c>
      <c r="HD441" t="e">
        <f>Africa!G184+"$F;@!5@G"</f>
        <v>#VALUE!</v>
      </c>
      <c r="HE441" t="e">
        <f>Africa!H184+"$F;@!5@H"</f>
        <v>#VALUE!</v>
      </c>
      <c r="HF441" t="e">
        <f>Africa!A185+"$F;@!5@I"</f>
        <v>#VALUE!</v>
      </c>
      <c r="HG441" t="e">
        <f>Africa!B185+"$F;@!5@J"</f>
        <v>#VALUE!</v>
      </c>
      <c r="HH441" t="e">
        <f>Africa!C185+"$F;@!5@K"</f>
        <v>#VALUE!</v>
      </c>
      <c r="HI441" t="e">
        <f>Africa!D185+"$F;@!5@L"</f>
        <v>#VALUE!</v>
      </c>
      <c r="HJ441" t="e">
        <f>Africa!E185+"$F;@!5@M"</f>
        <v>#VALUE!</v>
      </c>
      <c r="HK441" t="e">
        <f>Africa!F185+"$F;@!5@N"</f>
        <v>#VALUE!</v>
      </c>
      <c r="HL441" t="e">
        <f>Africa!G185+"$F;@!5@O"</f>
        <v>#VALUE!</v>
      </c>
      <c r="HM441" t="e">
        <f>Africa!H185+"$F;@!5@P"</f>
        <v>#VALUE!</v>
      </c>
      <c r="HN441" t="e">
        <f>Africa!A186+"$F;@!5@Q"</f>
        <v>#VALUE!</v>
      </c>
      <c r="HO441" t="e">
        <f>Africa!B186+"$F;@!5@R"</f>
        <v>#VALUE!</v>
      </c>
      <c r="HP441" t="e">
        <f>Africa!C186+"$F;@!5@S"</f>
        <v>#VALUE!</v>
      </c>
      <c r="HQ441" t="e">
        <f>Africa!D186+"$F;@!5@T"</f>
        <v>#VALUE!</v>
      </c>
      <c r="HR441" t="e">
        <f>Africa!E186+"$F;@!5@U"</f>
        <v>#VALUE!</v>
      </c>
      <c r="HS441" t="e">
        <f>Africa!F186+"$F;@!5@V"</f>
        <v>#VALUE!</v>
      </c>
      <c r="HT441" t="e">
        <f>Africa!G186+"$F;@!5@W"</f>
        <v>#VALUE!</v>
      </c>
      <c r="HU441" t="e">
        <f>Africa!H186+"$F;@!5@X"</f>
        <v>#VALUE!</v>
      </c>
      <c r="HV441" t="e">
        <f>Africa!A187+"$F;@!5@Y"</f>
        <v>#VALUE!</v>
      </c>
      <c r="HW441" t="e">
        <f>Africa!B187+"$F;@!5@Z"</f>
        <v>#VALUE!</v>
      </c>
      <c r="HX441" t="e">
        <f>Africa!C187+"$F;@!5@["</f>
        <v>#VALUE!</v>
      </c>
      <c r="HY441" t="e">
        <f>Africa!D187+"$F;@!5@\"</f>
        <v>#VALUE!</v>
      </c>
      <c r="HZ441" t="e">
        <f>Africa!E187+"$F;@!5@]"</f>
        <v>#VALUE!</v>
      </c>
      <c r="IA441" t="e">
        <f>Africa!F187+"$F;@!5@^"</f>
        <v>#VALUE!</v>
      </c>
      <c r="IB441" t="e">
        <f>Africa!G187+"$F;@!5@_"</f>
        <v>#VALUE!</v>
      </c>
      <c r="IC441" t="e">
        <f>Africa!H187+"$F;@!5@`"</f>
        <v>#VALUE!</v>
      </c>
      <c r="ID441" t="e">
        <f>Africa!A188+"$F;@!5@a"</f>
        <v>#VALUE!</v>
      </c>
      <c r="IE441" t="e">
        <f>Africa!B188+"$F;@!5@b"</f>
        <v>#VALUE!</v>
      </c>
      <c r="IF441" t="e">
        <f>Africa!C188+"$F;@!5@c"</f>
        <v>#VALUE!</v>
      </c>
      <c r="IG441" t="e">
        <f>Africa!D188+"$F;@!5@d"</f>
        <v>#VALUE!</v>
      </c>
      <c r="IH441" t="e">
        <f>Africa!E188+"$F;@!5@e"</f>
        <v>#VALUE!</v>
      </c>
      <c r="II441" t="e">
        <f>Africa!F188+"$F;@!5@f"</f>
        <v>#VALUE!</v>
      </c>
      <c r="IJ441" t="e">
        <f>Africa!G188+"$F;@!5@g"</f>
        <v>#VALUE!</v>
      </c>
      <c r="IK441" t="e">
        <f>Africa!H188+"$F;@!5@h"</f>
        <v>#VALUE!</v>
      </c>
      <c r="IL441" t="e">
        <f>Africa!A189+"$F;@!5@i"</f>
        <v>#VALUE!</v>
      </c>
      <c r="IM441" t="e">
        <f>Africa!B189+"$F;@!5@j"</f>
        <v>#VALUE!</v>
      </c>
      <c r="IN441" t="e">
        <f>Africa!C189+"$F;@!5@k"</f>
        <v>#VALUE!</v>
      </c>
      <c r="IO441" t="e">
        <f>Africa!D189+"$F;@!5@l"</f>
        <v>#VALUE!</v>
      </c>
      <c r="IP441" t="e">
        <f>Africa!E189+"$F;@!5@m"</f>
        <v>#VALUE!</v>
      </c>
      <c r="IQ441" t="e">
        <f>Africa!F189+"$F;@!5@n"</f>
        <v>#VALUE!</v>
      </c>
      <c r="IR441" t="e">
        <f>Africa!G189+"$F;@!5@o"</f>
        <v>#VALUE!</v>
      </c>
      <c r="IS441" t="e">
        <f>Africa!H189+"$F;@!5@p"</f>
        <v>#VALUE!</v>
      </c>
      <c r="IT441" t="e">
        <f>Africa!A190+"$F;@!5@q"</f>
        <v>#VALUE!</v>
      </c>
      <c r="IU441" t="e">
        <f>Africa!B190+"$F;@!5@r"</f>
        <v>#VALUE!</v>
      </c>
      <c r="IV441" t="e">
        <f>Africa!C190+"$F;@!5@s"</f>
        <v>#VALUE!</v>
      </c>
    </row>
    <row r="442" spans="6:256" x14ac:dyDescent="0.35">
      <c r="F442" t="e">
        <f>Africa!D190+"$F;@!5@t"</f>
        <v>#VALUE!</v>
      </c>
      <c r="G442" t="e">
        <f>Africa!E190+"$F;@!5@u"</f>
        <v>#VALUE!</v>
      </c>
      <c r="H442" t="e">
        <f>Africa!F190+"$F;@!5@v"</f>
        <v>#VALUE!</v>
      </c>
      <c r="I442" t="e">
        <f>Africa!G190+"$F;@!5@w"</f>
        <v>#VALUE!</v>
      </c>
      <c r="J442" t="e">
        <f>Africa!H190+"$F;@!5@x"</f>
        <v>#VALUE!</v>
      </c>
      <c r="K442" t="e">
        <f>Africa!A191+"$F;@!5@y"</f>
        <v>#VALUE!</v>
      </c>
      <c r="L442" t="e">
        <f>Africa!B191+"$F;@!5@z"</f>
        <v>#VALUE!</v>
      </c>
      <c r="M442" t="e">
        <f>Africa!C191+"$F;@!5@{"</f>
        <v>#VALUE!</v>
      </c>
      <c r="N442" t="e">
        <f>Africa!D191+"$F;@!5@|"</f>
        <v>#VALUE!</v>
      </c>
      <c r="O442" t="e">
        <f>Africa!E191+"$F;@!5@}"</f>
        <v>#VALUE!</v>
      </c>
      <c r="P442" t="e">
        <f>Africa!F191+"$F;@!5@~"</f>
        <v>#VALUE!</v>
      </c>
      <c r="Q442" t="e">
        <f>Africa!G191+"$F;@!5A#"</f>
        <v>#VALUE!</v>
      </c>
      <c r="R442" t="e">
        <f>Africa!H191+"$F;@!5A$"</f>
        <v>#VALUE!</v>
      </c>
      <c r="S442" t="e">
        <f>Africa!A192+"$F;@!5A%"</f>
        <v>#VALUE!</v>
      </c>
      <c r="T442" t="e">
        <f>Africa!B192+"$F;@!5A&amp;"</f>
        <v>#VALUE!</v>
      </c>
      <c r="U442" t="e">
        <f>Africa!C192+"$F;@!5A'"</f>
        <v>#VALUE!</v>
      </c>
      <c r="V442" t="e">
        <f>Africa!D192+"$F;@!5A("</f>
        <v>#VALUE!</v>
      </c>
      <c r="W442" t="e">
        <f>Africa!E192+"$F;@!5A)"</f>
        <v>#VALUE!</v>
      </c>
      <c r="X442" t="e">
        <f>Africa!F192+"$F;@!5A."</f>
        <v>#VALUE!</v>
      </c>
      <c r="Y442" t="e">
        <f>Africa!G192+"$F;@!5A/"</f>
        <v>#VALUE!</v>
      </c>
      <c r="Z442" t="e">
        <f>Africa!H192+"$F;@!5A0"</f>
        <v>#VALUE!</v>
      </c>
      <c r="AA442" t="e">
        <f>Africa!A193+"$F;@!5A1"</f>
        <v>#VALUE!</v>
      </c>
      <c r="AB442" t="e">
        <f>Africa!B193+"$F;@!5A2"</f>
        <v>#VALUE!</v>
      </c>
      <c r="AC442" t="e">
        <f>Africa!C193+"$F;@!5A3"</f>
        <v>#VALUE!</v>
      </c>
      <c r="AD442" t="e">
        <f>Africa!D193+"$F;@!5A4"</f>
        <v>#VALUE!</v>
      </c>
      <c r="AE442" t="e">
        <f>Africa!E193+"$F;@!5A5"</f>
        <v>#VALUE!</v>
      </c>
      <c r="AF442" t="e">
        <f>Africa!F193+"$F;@!5A6"</f>
        <v>#VALUE!</v>
      </c>
      <c r="AG442" t="e">
        <f>Africa!G193+"$F;@!5A7"</f>
        <v>#VALUE!</v>
      </c>
      <c r="AH442" t="e">
        <f>Africa!H193+"$F;@!5A8"</f>
        <v>#VALUE!</v>
      </c>
      <c r="AI442" t="e">
        <f>Africa!A194+"$F;@!5A9"</f>
        <v>#VALUE!</v>
      </c>
      <c r="AJ442" t="e">
        <f>Africa!B194+"$F;@!5A:"</f>
        <v>#VALUE!</v>
      </c>
      <c r="AK442" t="e">
        <f>Africa!C194+"$F;@!5A;"</f>
        <v>#VALUE!</v>
      </c>
      <c r="AL442" t="e">
        <f>Africa!D194+"$F;@!5A&lt;"</f>
        <v>#VALUE!</v>
      </c>
      <c r="AM442" t="e">
        <f>Africa!E194+"$F;@!5A="</f>
        <v>#VALUE!</v>
      </c>
      <c r="AN442" t="e">
        <f>Africa!F194+"$F;@!5A&gt;"</f>
        <v>#VALUE!</v>
      </c>
      <c r="AO442" t="e">
        <f>Africa!G194+"$F;@!5A?"</f>
        <v>#VALUE!</v>
      </c>
      <c r="AP442" t="e">
        <f>Africa!H194+"$F;@!5A@"</f>
        <v>#VALUE!</v>
      </c>
      <c r="AQ442" t="e">
        <f>Africa!A195+"$F;@!5AA"</f>
        <v>#VALUE!</v>
      </c>
      <c r="AR442" t="e">
        <f>Africa!B195+"$F;@!5AB"</f>
        <v>#VALUE!</v>
      </c>
      <c r="AS442" t="e">
        <f>Africa!C195+"$F;@!5AC"</f>
        <v>#VALUE!</v>
      </c>
      <c r="AT442" t="e">
        <f>Africa!D195+"$F;@!5AD"</f>
        <v>#VALUE!</v>
      </c>
      <c r="AU442" t="e">
        <f>Africa!E195+"$F;@!5AE"</f>
        <v>#VALUE!</v>
      </c>
      <c r="AV442" t="e">
        <f>Africa!F195+"$F;@!5AF"</f>
        <v>#VALUE!</v>
      </c>
      <c r="AW442" t="e">
        <f>Africa!G195+"$F;@!5AG"</f>
        <v>#VALUE!</v>
      </c>
      <c r="AX442" t="e">
        <f>Africa!H195+"$F;@!5AH"</f>
        <v>#VALUE!</v>
      </c>
      <c r="AY442" t="e">
        <f>Africa!A196+"$F;@!5AI"</f>
        <v>#VALUE!</v>
      </c>
      <c r="AZ442" t="e">
        <f>Africa!B196+"$F;@!5AJ"</f>
        <v>#VALUE!</v>
      </c>
      <c r="BA442" t="e">
        <f>Africa!C196+"$F;@!5AK"</f>
        <v>#VALUE!</v>
      </c>
      <c r="BB442" t="e">
        <f>Africa!D196+"$F;@!5AL"</f>
        <v>#VALUE!</v>
      </c>
      <c r="BC442" t="e">
        <f>Africa!F196+"$F;@!5AM"</f>
        <v>#VALUE!</v>
      </c>
      <c r="BD442" t="e">
        <f>Africa!G196+"$F;@!5AN"</f>
        <v>#VALUE!</v>
      </c>
      <c r="BE442" t="e">
        <f>Africa!H196+"$F;@!5AO"</f>
        <v>#VALUE!</v>
      </c>
      <c r="BF442" t="e">
        <f>Africa!A197+"$F;@!5AP"</f>
        <v>#VALUE!</v>
      </c>
      <c r="BG442" t="e">
        <f>Africa!B197+"$F;@!5AQ"</f>
        <v>#VALUE!</v>
      </c>
      <c r="BH442" t="e">
        <f>Africa!C197+"$F;@!5AR"</f>
        <v>#VALUE!</v>
      </c>
      <c r="BI442" t="e">
        <f>Africa!D197+"$F;@!5AS"</f>
        <v>#VALUE!</v>
      </c>
      <c r="BJ442" t="e">
        <f>Africa!G197+"$F;@!5AT"</f>
        <v>#VALUE!</v>
      </c>
      <c r="BK442" t="e">
        <f>Africa!H197+"$F;@!5AU"</f>
        <v>#VALUE!</v>
      </c>
      <c r="BL442" t="e">
        <f>Africa!A198+"$F;@!5AV"</f>
        <v>#VALUE!</v>
      </c>
      <c r="BM442" t="e">
        <f>Africa!B198+"$F;@!5AW"</f>
        <v>#VALUE!</v>
      </c>
      <c r="BN442" t="e">
        <f>Africa!C198+"$F;@!5AX"</f>
        <v>#VALUE!</v>
      </c>
      <c r="BO442" t="e">
        <f>Africa!D198+"$F;@!5AY"</f>
        <v>#VALUE!</v>
      </c>
      <c r="BP442" t="e">
        <f>Africa!E198+"$F;@!5AZ"</f>
        <v>#VALUE!</v>
      </c>
      <c r="BQ442" t="e">
        <f>Africa!F198+"$F;@!5A["</f>
        <v>#VALUE!</v>
      </c>
      <c r="BR442" t="e">
        <f>Africa!G198+"$F;@!5A\"</f>
        <v>#VALUE!</v>
      </c>
      <c r="BS442" t="e">
        <f>Africa!H198+"$F;@!5A]"</f>
        <v>#VALUE!</v>
      </c>
      <c r="BT442" t="e">
        <f>Africa!A199+"$F;@!5A^"</f>
        <v>#VALUE!</v>
      </c>
      <c r="BU442" t="e">
        <f>Africa!B199+"$F;@!5A_"</f>
        <v>#VALUE!</v>
      </c>
      <c r="BV442" t="e">
        <f>Africa!C199+"$F;@!5A`"</f>
        <v>#VALUE!</v>
      </c>
      <c r="BW442" t="e">
        <f>Africa!D199+"$F;@!5Aa"</f>
        <v>#VALUE!</v>
      </c>
      <c r="BX442" t="e">
        <f>Africa!E199+"$F;@!5Ab"</f>
        <v>#VALUE!</v>
      </c>
      <c r="BY442" t="e">
        <f>Africa!F199+"$F;@!5Ac"</f>
        <v>#VALUE!</v>
      </c>
      <c r="BZ442" t="e">
        <f>Africa!G199+"$F;@!5Ad"</f>
        <v>#VALUE!</v>
      </c>
      <c r="CA442" t="e">
        <f>Africa!H199+"$F;@!5Ae"</f>
        <v>#VALUE!</v>
      </c>
      <c r="CB442" t="e">
        <f>Africa!A200+"$F;@!5Af"</f>
        <v>#VALUE!</v>
      </c>
      <c r="CC442" t="e">
        <f>Africa!B200+"$F;@!5Ag"</f>
        <v>#VALUE!</v>
      </c>
      <c r="CD442" t="e">
        <f>Africa!C200+"$F;@!5Ah"</f>
        <v>#VALUE!</v>
      </c>
      <c r="CE442" t="e">
        <f>Africa!D200+"$F;@!5Ai"</f>
        <v>#VALUE!</v>
      </c>
      <c r="CF442" t="e">
        <f>Africa!E200+"$F;@!5Aj"</f>
        <v>#VALUE!</v>
      </c>
      <c r="CG442" t="e">
        <f>Africa!F200+"$F;@!5Ak"</f>
        <v>#VALUE!</v>
      </c>
      <c r="CH442" t="e">
        <f>Africa!G200+"$F;@!5Al"</f>
        <v>#VALUE!</v>
      </c>
      <c r="CI442" t="e">
        <f>Africa!H200+"$F;@!5Am"</f>
        <v>#VALUE!</v>
      </c>
      <c r="CJ442" t="e">
        <f>Africa!A201+"$F;@!5An"</f>
        <v>#VALUE!</v>
      </c>
      <c r="CK442" t="e">
        <f>Africa!B201+"$F;@!5Ao"</f>
        <v>#VALUE!</v>
      </c>
      <c r="CL442" t="e">
        <f>Africa!C201+"$F;@!5Ap"</f>
        <v>#VALUE!</v>
      </c>
      <c r="CM442" t="e">
        <f>Africa!D201+"$F;@!5Aq"</f>
        <v>#VALUE!</v>
      </c>
      <c r="CN442" t="e">
        <f>Africa!E201+"$F;@!5Ar"</f>
        <v>#VALUE!</v>
      </c>
      <c r="CO442" t="e">
        <f>Africa!F201+"$F;@!5As"</f>
        <v>#VALUE!</v>
      </c>
      <c r="CP442" t="e">
        <f>Africa!G201+"$F;@!5At"</f>
        <v>#VALUE!</v>
      </c>
      <c r="CQ442" t="e">
        <f>Africa!H201+"$F;@!5Au"</f>
        <v>#VALUE!</v>
      </c>
      <c r="CR442" t="e">
        <f>Africa!A202+"$F;@!5Av"</f>
        <v>#VALUE!</v>
      </c>
      <c r="CS442" t="e">
        <f>Africa!B202+"$F;@!5Aw"</f>
        <v>#VALUE!</v>
      </c>
      <c r="CT442" t="e">
        <f>Africa!C202+"$F;@!5Ax"</f>
        <v>#VALUE!</v>
      </c>
      <c r="CU442" t="e">
        <f>Africa!D202+"$F;@!5Ay"</f>
        <v>#VALUE!</v>
      </c>
      <c r="CV442" t="e">
        <f>Africa!E202+"$F;@!5Az"</f>
        <v>#VALUE!</v>
      </c>
      <c r="CW442" t="e">
        <f>Africa!F202+"$F;@!5A{"</f>
        <v>#VALUE!</v>
      </c>
      <c r="CX442" t="e">
        <f>Africa!G202+"$F;@!5A|"</f>
        <v>#VALUE!</v>
      </c>
      <c r="CY442" t="e">
        <f>Africa!H202+"$F;@!5A}"</f>
        <v>#VALUE!</v>
      </c>
      <c r="CZ442" t="e">
        <f>Africa!A203+"$F;@!5A~"</f>
        <v>#VALUE!</v>
      </c>
      <c r="DA442" t="e">
        <f>Africa!B203+"$F;@!5B#"</f>
        <v>#VALUE!</v>
      </c>
      <c r="DB442" t="e">
        <f>Africa!C203+"$F;@!5B$"</f>
        <v>#VALUE!</v>
      </c>
      <c r="DC442" t="e">
        <f>Africa!D203+"$F;@!5B%"</f>
        <v>#VALUE!</v>
      </c>
      <c r="DD442" t="e">
        <f>Africa!E203+"$F;@!5B&amp;"</f>
        <v>#VALUE!</v>
      </c>
      <c r="DE442" t="e">
        <f>Africa!F203+"$F;@!5B'"</f>
        <v>#VALUE!</v>
      </c>
      <c r="DF442" t="e">
        <f>Africa!G203+"$F;@!5B("</f>
        <v>#VALUE!</v>
      </c>
      <c r="DG442" t="e">
        <f>Africa!H203+"$F;@!5B)"</f>
        <v>#VALUE!</v>
      </c>
      <c r="DH442" t="e">
        <f>Africa!A204+"$F;@!5B."</f>
        <v>#VALUE!</v>
      </c>
      <c r="DI442" t="e">
        <f>Africa!B204+"$F;@!5B/"</f>
        <v>#VALUE!</v>
      </c>
      <c r="DJ442" t="e">
        <f>Africa!C204+"$F;@!5B0"</f>
        <v>#VALUE!</v>
      </c>
      <c r="DK442" t="e">
        <f>Africa!D204+"$F;@!5B1"</f>
        <v>#VALUE!</v>
      </c>
      <c r="DL442" t="e">
        <f>Africa!E204+"$F;@!5B2"</f>
        <v>#VALUE!</v>
      </c>
      <c r="DM442" t="e">
        <f>Africa!F204+"$F;@!5B3"</f>
        <v>#VALUE!</v>
      </c>
      <c r="DN442" t="e">
        <f>Africa!G204+"$F;@!5B4"</f>
        <v>#VALUE!</v>
      </c>
      <c r="DO442" t="e">
        <f>Africa!H204+"$F;@!5B5"</f>
        <v>#VALUE!</v>
      </c>
      <c r="DP442" t="e">
        <f>Africa!A205+"$F;@!5B6"</f>
        <v>#VALUE!</v>
      </c>
      <c r="DQ442" t="e">
        <f>Africa!B205+"$F;@!5B7"</f>
        <v>#VALUE!</v>
      </c>
      <c r="DR442" t="e">
        <f>Africa!C205+"$F;@!5B8"</f>
        <v>#VALUE!</v>
      </c>
      <c r="DS442" t="e">
        <f>Africa!D205+"$F;@!5B9"</f>
        <v>#VALUE!</v>
      </c>
      <c r="DT442" t="e">
        <f>Africa!E205+"$F;@!5B:"</f>
        <v>#VALUE!</v>
      </c>
      <c r="DU442" t="e">
        <f>Africa!F205+"$F;@!5B;"</f>
        <v>#VALUE!</v>
      </c>
      <c r="DV442" t="e">
        <f>Africa!G205+"$F;@!5B&lt;"</f>
        <v>#VALUE!</v>
      </c>
      <c r="DW442" t="e">
        <f>Africa!H205+"$F;@!5B="</f>
        <v>#VALUE!</v>
      </c>
      <c r="DX442" t="e">
        <f>Africa!A206+"$F;@!5B&gt;"</f>
        <v>#VALUE!</v>
      </c>
      <c r="DY442" t="e">
        <f>Africa!B206+"$F;@!5B?"</f>
        <v>#VALUE!</v>
      </c>
      <c r="DZ442" t="e">
        <f>Africa!C206+"$F;@!5B@"</f>
        <v>#VALUE!</v>
      </c>
      <c r="EA442" t="e">
        <f>Africa!D206+"$F;@!5BA"</f>
        <v>#VALUE!</v>
      </c>
      <c r="EB442" t="e">
        <f>Africa!E206+"$F;@!5BB"</f>
        <v>#VALUE!</v>
      </c>
      <c r="EC442" t="e">
        <f>Africa!F206+"$F;@!5BC"</f>
        <v>#VALUE!</v>
      </c>
      <c r="ED442" t="e">
        <f>Africa!G206+"$F;@!5BD"</f>
        <v>#VALUE!</v>
      </c>
      <c r="EE442" t="e">
        <f>Africa!A207+"$F;@!5BE"</f>
        <v>#VALUE!</v>
      </c>
      <c r="EF442" t="e">
        <f>Africa!B207+"$F;@!5BF"</f>
        <v>#VALUE!</v>
      </c>
      <c r="EG442" t="e">
        <f>Africa!C207+"$F;@!5BG"</f>
        <v>#VALUE!</v>
      </c>
      <c r="EH442" t="e">
        <f>Africa!D207+"$F;@!5BH"</f>
        <v>#VALUE!</v>
      </c>
      <c r="EI442" t="e">
        <f>Africa!E207+"$F;@!5BI"</f>
        <v>#VALUE!</v>
      </c>
      <c r="EJ442" t="e">
        <f>Africa!F207+"$F;@!5BJ"</f>
        <v>#VALUE!</v>
      </c>
      <c r="EK442" t="e">
        <f>Africa!G207+"$F;@!5BK"</f>
        <v>#VALUE!</v>
      </c>
      <c r="EL442" t="e">
        <f>Africa!H207+"$F;@!5BL"</f>
        <v>#VALUE!</v>
      </c>
      <c r="EM442" t="e">
        <f>Africa!A208+"$F;@!5BM"</f>
        <v>#VALUE!</v>
      </c>
      <c r="EN442" t="e">
        <f>Africa!B208+"$F;@!5BN"</f>
        <v>#VALUE!</v>
      </c>
      <c r="EO442" t="e">
        <f>Africa!C208+"$F;@!5BO"</f>
        <v>#VALUE!</v>
      </c>
      <c r="EP442" t="e">
        <f>Africa!D208+"$F;@!5BP"</f>
        <v>#VALUE!</v>
      </c>
      <c r="EQ442" t="e">
        <f>Africa!E208+"$F;@!5BQ"</f>
        <v>#VALUE!</v>
      </c>
      <c r="ER442" t="e">
        <f>Africa!F208+"$F;@!5BR"</f>
        <v>#VALUE!</v>
      </c>
      <c r="ES442" t="e">
        <f>Africa!G208+"$F;@!5BS"</f>
        <v>#VALUE!</v>
      </c>
      <c r="ET442" t="e">
        <f>Africa!H208+"$F;@!5BT"</f>
        <v>#VALUE!</v>
      </c>
      <c r="EU442" t="e">
        <f>Africa!A209+"$F;@!5BU"</f>
        <v>#VALUE!</v>
      </c>
      <c r="EV442" t="e">
        <f>Africa!B209+"$F;@!5BV"</f>
        <v>#VALUE!</v>
      </c>
      <c r="EW442" t="e">
        <f>Africa!C209+"$F;@!5BW"</f>
        <v>#VALUE!</v>
      </c>
      <c r="EX442" t="e">
        <f>Africa!D209+"$F;@!5BX"</f>
        <v>#VALUE!</v>
      </c>
      <c r="EY442" t="e">
        <f>Africa!E209+"$F;@!5BY"</f>
        <v>#VALUE!</v>
      </c>
      <c r="EZ442" t="e">
        <f>Africa!F209+"$F;@!5BZ"</f>
        <v>#VALUE!</v>
      </c>
      <c r="FA442" t="e">
        <f>Africa!G209+"$F;@!5B["</f>
        <v>#VALUE!</v>
      </c>
      <c r="FB442" t="e">
        <f>Africa!H209+"$F;@!5B\"</f>
        <v>#VALUE!</v>
      </c>
      <c r="FC442" t="e">
        <f>Africa!A210+"$F;@!5B]"</f>
        <v>#VALUE!</v>
      </c>
      <c r="FD442" t="e">
        <f>Africa!B210+"$F;@!5B^"</f>
        <v>#VALUE!</v>
      </c>
      <c r="FE442" t="e">
        <f>Africa!C210+"$F;@!5B_"</f>
        <v>#VALUE!</v>
      </c>
      <c r="FF442" t="e">
        <f>Africa!D210+"$F;@!5B`"</f>
        <v>#VALUE!</v>
      </c>
      <c r="FG442" t="e">
        <f>Africa!E210+"$F;@!5Ba"</f>
        <v>#VALUE!</v>
      </c>
      <c r="FH442" t="e">
        <f>Africa!F210+"$F;@!5Bb"</f>
        <v>#VALUE!</v>
      </c>
      <c r="FI442" t="e">
        <f>Africa!G210+"$F;@!5Bc"</f>
        <v>#VALUE!</v>
      </c>
      <c r="FJ442" t="e">
        <f>Africa!H210+"$F;@!5Bd"</f>
        <v>#VALUE!</v>
      </c>
      <c r="FK442" t="e">
        <f>Africa!A211+"$F;@!5Be"</f>
        <v>#VALUE!</v>
      </c>
      <c r="FL442" t="e">
        <f>Africa!B211+"$F;@!5Bf"</f>
        <v>#VALUE!</v>
      </c>
      <c r="FM442" t="e">
        <f>Africa!C211+"$F;@!5Bg"</f>
        <v>#VALUE!</v>
      </c>
      <c r="FN442" t="e">
        <f>Africa!D211+"$F;@!5Bh"</f>
        <v>#VALUE!</v>
      </c>
      <c r="FO442" t="e">
        <f>Africa!E211+"$F;@!5Bi"</f>
        <v>#VALUE!</v>
      </c>
      <c r="FP442" t="e">
        <f>Africa!F211+"$F;@!5Bj"</f>
        <v>#VALUE!</v>
      </c>
      <c r="FQ442" t="e">
        <f>Africa!G211+"$F;@!5Bk"</f>
        <v>#VALUE!</v>
      </c>
      <c r="FR442" t="e">
        <f>Africa!H211+"$F;@!5Bl"</f>
        <v>#VALUE!</v>
      </c>
      <c r="FS442" t="e">
        <f>Africa!A212+"$F;@!5Bm"</f>
        <v>#VALUE!</v>
      </c>
      <c r="FT442" t="e">
        <f>Africa!B212+"$F;@!5Bn"</f>
        <v>#VALUE!</v>
      </c>
      <c r="FU442" t="e">
        <f>Africa!C212+"$F;@!5Bo"</f>
        <v>#VALUE!</v>
      </c>
      <c r="FV442" t="e">
        <f>Africa!D212+"$F;@!5Bp"</f>
        <v>#VALUE!</v>
      </c>
      <c r="FW442" t="e">
        <f>Africa!E212+"$F;@!5Bq"</f>
        <v>#VALUE!</v>
      </c>
      <c r="FX442" t="e">
        <f>Africa!F212+"$F;@!5Br"</f>
        <v>#VALUE!</v>
      </c>
      <c r="FY442" t="e">
        <f>Africa!G212+"$F;@!5Bs"</f>
        <v>#VALUE!</v>
      </c>
      <c r="FZ442" t="e">
        <f>Africa!H212+"$F;@!5Bt"</f>
        <v>#VALUE!</v>
      </c>
      <c r="GA442" t="e">
        <f>Africa!A213+"$F;@!5Bu"</f>
        <v>#VALUE!</v>
      </c>
      <c r="GB442" t="e">
        <f>Africa!B213+"$F;@!5Bv"</f>
        <v>#VALUE!</v>
      </c>
      <c r="GC442" t="e">
        <f>Africa!C213+"$F;@!5Bw"</f>
        <v>#VALUE!</v>
      </c>
      <c r="GD442" t="e">
        <f>Africa!D213+"$F;@!5Bx"</f>
        <v>#VALUE!</v>
      </c>
      <c r="GE442" t="e">
        <f>Africa!E213+"$F;@!5By"</f>
        <v>#VALUE!</v>
      </c>
      <c r="GF442" t="e">
        <f>Africa!F213+"$F;@!5Bz"</f>
        <v>#VALUE!</v>
      </c>
      <c r="GG442" t="e">
        <f>Africa!G213+"$F;@!5B{"</f>
        <v>#VALUE!</v>
      </c>
      <c r="GH442" t="e">
        <f>Africa!H213+"$F;@!5B|"</f>
        <v>#VALUE!</v>
      </c>
      <c r="GI442" t="e">
        <f>Africa!A214+"$F;@!5B}"</f>
        <v>#VALUE!</v>
      </c>
      <c r="GJ442" t="e">
        <f>Africa!B214+"$F;@!5B~"</f>
        <v>#VALUE!</v>
      </c>
      <c r="GK442" t="e">
        <f>Africa!C214+"$F;@!5C#"</f>
        <v>#VALUE!</v>
      </c>
      <c r="GL442" t="e">
        <f>Africa!D214+"$F;@!5C$"</f>
        <v>#VALUE!</v>
      </c>
      <c r="GM442" t="e">
        <f>Africa!E214+"$F;@!5C%"</f>
        <v>#VALUE!</v>
      </c>
      <c r="GN442" t="e">
        <f>Africa!F214+"$F;@!5C&amp;"</f>
        <v>#VALUE!</v>
      </c>
      <c r="GO442" t="e">
        <f>Africa!G214+"$F;@!5C'"</f>
        <v>#VALUE!</v>
      </c>
      <c r="GP442" t="e">
        <f>Africa!H214+"$F;@!5C("</f>
        <v>#VALUE!</v>
      </c>
      <c r="GQ442" t="e">
        <f>Africa!A215+"$F;@!5C)"</f>
        <v>#VALUE!</v>
      </c>
      <c r="GR442" t="e">
        <f>Africa!B215+"$F;@!5C."</f>
        <v>#VALUE!</v>
      </c>
      <c r="GS442" t="e">
        <f>Africa!C215+"$F;@!5C/"</f>
        <v>#VALUE!</v>
      </c>
      <c r="GT442" t="e">
        <f>Africa!D215+"$F;@!5C0"</f>
        <v>#VALUE!</v>
      </c>
      <c r="GU442" t="e">
        <f>Africa!E215+"$F;@!5C1"</f>
        <v>#VALUE!</v>
      </c>
      <c r="GV442" t="e">
        <f>Africa!F215+"$F;@!5C2"</f>
        <v>#VALUE!</v>
      </c>
      <c r="GW442" t="e">
        <f>Africa!G215+"$F;@!5C3"</f>
        <v>#VALUE!</v>
      </c>
      <c r="GX442" t="e">
        <f>Africa!H215+"$F;@!5C4"</f>
        <v>#VALUE!</v>
      </c>
      <c r="GY442" t="e">
        <f>Africa!A216+"$F;@!5C5"</f>
        <v>#VALUE!</v>
      </c>
      <c r="GZ442" t="e">
        <f>Africa!B216+"$F;@!5C6"</f>
        <v>#VALUE!</v>
      </c>
      <c r="HA442" t="e">
        <f>Africa!C216+"$F;@!5C7"</f>
        <v>#VALUE!</v>
      </c>
      <c r="HB442" t="e">
        <f>Africa!D216+"$F;@!5C8"</f>
        <v>#VALUE!</v>
      </c>
      <c r="HC442" t="e">
        <f>Africa!E216+"$F;@!5C9"</f>
        <v>#VALUE!</v>
      </c>
      <c r="HD442" t="e">
        <f>Africa!F216+"$F;@!5C:"</f>
        <v>#VALUE!</v>
      </c>
      <c r="HE442" t="e">
        <f>Africa!G216+"$F;@!5C;"</f>
        <v>#VALUE!</v>
      </c>
      <c r="HF442" t="e">
        <f>Africa!H216+"$F;@!5C&lt;"</f>
        <v>#VALUE!</v>
      </c>
      <c r="HG442" t="e">
        <f>Africa!A217+"$F;@!5C="</f>
        <v>#VALUE!</v>
      </c>
      <c r="HH442" t="e">
        <f>Africa!B217+"$F;@!5C&gt;"</f>
        <v>#VALUE!</v>
      </c>
      <c r="HI442" t="e">
        <f>Africa!C217+"$F;@!5C?"</f>
        <v>#VALUE!</v>
      </c>
      <c r="HJ442" t="e">
        <f>Africa!D217+"$F;@!5C@"</f>
        <v>#VALUE!</v>
      </c>
      <c r="HK442" t="e">
        <f>Africa!E217+"$F;@!5CA"</f>
        <v>#VALUE!</v>
      </c>
      <c r="HL442" t="e">
        <f>Africa!F217+"$F;@!5CB"</f>
        <v>#VALUE!</v>
      </c>
      <c r="HM442" t="e">
        <f>Africa!G217+"$F;@!5CC"</f>
        <v>#VALUE!</v>
      </c>
      <c r="HN442" t="e">
        <f>Africa!H217+"$F;@!5CD"</f>
        <v>#VALUE!</v>
      </c>
      <c r="HO442" t="e">
        <f>Africa!A218+"$F;@!5CE"</f>
        <v>#VALUE!</v>
      </c>
      <c r="HP442" t="e">
        <f>Africa!B218+"$F;@!5CF"</f>
        <v>#VALUE!</v>
      </c>
      <c r="HQ442" t="e">
        <f>Africa!C218+"$F;@!5CG"</f>
        <v>#VALUE!</v>
      </c>
      <c r="HR442" t="e">
        <f>Africa!D218+"$F;@!5CH"</f>
        <v>#VALUE!</v>
      </c>
      <c r="HS442" t="e">
        <f>Africa!E218+"$F;@!5CI"</f>
        <v>#VALUE!</v>
      </c>
      <c r="HT442" t="e">
        <f>Africa!F218+"$F;@!5CJ"</f>
        <v>#VALUE!</v>
      </c>
      <c r="HU442" t="e">
        <f>Africa!G218+"$F;@!5CK"</f>
        <v>#VALUE!</v>
      </c>
      <c r="HV442" t="e">
        <f>Africa!H218+"$F;@!5CL"</f>
        <v>#VALUE!</v>
      </c>
      <c r="HW442" t="e">
        <f>Africa!A219+"$F;@!5CM"</f>
        <v>#VALUE!</v>
      </c>
      <c r="HX442" t="e">
        <f>Africa!B219+"$F;@!5CN"</f>
        <v>#VALUE!</v>
      </c>
      <c r="HY442" t="e">
        <f>Africa!C219+"$F;@!5CO"</f>
        <v>#VALUE!</v>
      </c>
      <c r="HZ442" t="e">
        <f>Africa!D219+"$F;@!5CP"</f>
        <v>#VALUE!</v>
      </c>
      <c r="IA442" t="e">
        <f>Africa!E219+"$F;@!5CQ"</f>
        <v>#VALUE!</v>
      </c>
      <c r="IB442" t="e">
        <f>Africa!F219+"$F;@!5CR"</f>
        <v>#VALUE!</v>
      </c>
      <c r="IC442" t="e">
        <f>Africa!G219+"$F;@!5CS"</f>
        <v>#VALUE!</v>
      </c>
      <c r="ID442" t="e">
        <f>Africa!H219+"$F;@!5CT"</f>
        <v>#VALUE!</v>
      </c>
      <c r="IE442" t="e">
        <f>Africa!A220+"$F;@!5CU"</f>
        <v>#VALUE!</v>
      </c>
      <c r="IF442" t="e">
        <f>Africa!B220+"$F;@!5CV"</f>
        <v>#VALUE!</v>
      </c>
      <c r="IG442" t="e">
        <f>Africa!C220+"$F;@!5CW"</f>
        <v>#VALUE!</v>
      </c>
      <c r="IH442" t="e">
        <f>Africa!D220+"$F;@!5CX"</f>
        <v>#VALUE!</v>
      </c>
      <c r="II442" t="e">
        <f>Africa!E220+"$F;@!5CY"</f>
        <v>#VALUE!</v>
      </c>
      <c r="IJ442" t="e">
        <f>Africa!F220+"$F;@!5CZ"</f>
        <v>#VALUE!</v>
      </c>
      <c r="IK442" t="e">
        <f>Africa!G220+"$F;@!5C["</f>
        <v>#VALUE!</v>
      </c>
      <c r="IL442" t="e">
        <f>Africa!H220+"$F;@!5C\"</f>
        <v>#VALUE!</v>
      </c>
      <c r="IM442" t="e">
        <f>Africa!A221+"$F;@!5C]"</f>
        <v>#VALUE!</v>
      </c>
      <c r="IN442" t="e">
        <f>Africa!B221+"$F;@!5C^"</f>
        <v>#VALUE!</v>
      </c>
      <c r="IO442" t="e">
        <f>Africa!C221+"$F;@!5C_"</f>
        <v>#VALUE!</v>
      </c>
      <c r="IP442" t="e">
        <f>Africa!D221+"$F;@!5C`"</f>
        <v>#VALUE!</v>
      </c>
      <c r="IQ442" t="e">
        <f>Africa!E221+"$F;@!5Ca"</f>
        <v>#VALUE!</v>
      </c>
      <c r="IR442" t="e">
        <f>Africa!F221+"$F;@!5Cb"</f>
        <v>#VALUE!</v>
      </c>
      <c r="IS442" t="e">
        <f>Africa!G221+"$F;@!5Cc"</f>
        <v>#VALUE!</v>
      </c>
      <c r="IT442" t="e">
        <f>Africa!H221+"$F;@!5Cd"</f>
        <v>#VALUE!</v>
      </c>
      <c r="IU442" t="e">
        <f>Africa!A222+"$F;@!5Ce"</f>
        <v>#VALUE!</v>
      </c>
      <c r="IV442" t="e">
        <f>Africa!B222+"$F;@!5Cf"</f>
        <v>#VALUE!</v>
      </c>
    </row>
    <row r="443" spans="6:256" x14ac:dyDescent="0.35">
      <c r="F443" t="e">
        <f>Africa!C222+"$F;@!5Cg"</f>
        <v>#VALUE!</v>
      </c>
      <c r="G443" t="e">
        <f>Africa!D222+"$F;@!5Ch"</f>
        <v>#VALUE!</v>
      </c>
      <c r="H443" t="e">
        <f>Africa!E222+"$F;@!5Ci"</f>
        <v>#VALUE!</v>
      </c>
      <c r="I443" t="e">
        <f>Africa!F222+"$F;@!5Cj"</f>
        <v>#VALUE!</v>
      </c>
      <c r="J443" t="e">
        <f>Africa!G222+"$F;@!5Ck"</f>
        <v>#VALUE!</v>
      </c>
      <c r="K443" t="e">
        <f>Africa!H222+"$F;@!5Cl"</f>
        <v>#VALUE!</v>
      </c>
      <c r="L443" t="e">
        <f>Africa!A223+"$F;@!5Cm"</f>
        <v>#VALUE!</v>
      </c>
      <c r="M443" t="e">
        <f>Africa!B223+"$F;@!5Cn"</f>
        <v>#VALUE!</v>
      </c>
      <c r="N443" t="e">
        <f>Africa!C223+"$F;@!5Co"</f>
        <v>#VALUE!</v>
      </c>
      <c r="O443" t="e">
        <f>Africa!D223+"$F;@!5Cp"</f>
        <v>#VALUE!</v>
      </c>
      <c r="P443" t="e">
        <f>Africa!E223+"$F;@!5Cq"</f>
        <v>#VALUE!</v>
      </c>
      <c r="Q443" t="e">
        <f>Africa!F223+"$F;@!5Cr"</f>
        <v>#VALUE!</v>
      </c>
      <c r="R443" t="e">
        <f>Africa!G223+"$F;@!5Cs"</f>
        <v>#VALUE!</v>
      </c>
      <c r="S443" t="e">
        <f>Africa!H223+"$F;@!5Ct"</f>
        <v>#VALUE!</v>
      </c>
      <c r="T443" t="e">
        <f>Africa!A224+"$F;@!5Cu"</f>
        <v>#VALUE!</v>
      </c>
      <c r="U443" t="e">
        <f>Africa!B224+"$F;@!5Cv"</f>
        <v>#VALUE!</v>
      </c>
      <c r="V443" t="e">
        <f>Africa!C224+"$F;@!5Cw"</f>
        <v>#VALUE!</v>
      </c>
      <c r="W443" t="e">
        <f>Africa!D224+"$F;@!5Cx"</f>
        <v>#VALUE!</v>
      </c>
      <c r="X443" t="e">
        <f>Africa!E224+"$F;@!5Cy"</f>
        <v>#VALUE!</v>
      </c>
      <c r="Y443" t="e">
        <f>Africa!F224+"$F;@!5Cz"</f>
        <v>#VALUE!</v>
      </c>
      <c r="Z443" t="e">
        <f>Africa!G224+"$F;@!5C{"</f>
        <v>#VALUE!</v>
      </c>
      <c r="AA443" t="e">
        <f>Africa!H224+"$F;@!5C|"</f>
        <v>#VALUE!</v>
      </c>
      <c r="AB443" t="e">
        <f>Africa!A225+"$F;@!5C}"</f>
        <v>#VALUE!</v>
      </c>
      <c r="AC443" t="e">
        <f>Africa!B225+"$F;@!5C~"</f>
        <v>#VALUE!</v>
      </c>
      <c r="AD443" t="e">
        <f>Africa!C225+"$F;@!5D#"</f>
        <v>#VALUE!</v>
      </c>
      <c r="AE443" t="e">
        <f>Africa!D225+"$F;@!5D$"</f>
        <v>#VALUE!</v>
      </c>
      <c r="AF443" t="e">
        <f>Africa!E225+"$F;@!5D%"</f>
        <v>#VALUE!</v>
      </c>
      <c r="AG443" t="e">
        <f>Africa!F225+"$F;@!5D&amp;"</f>
        <v>#VALUE!</v>
      </c>
      <c r="AH443" t="e">
        <f>Africa!G225+"$F;@!5D'"</f>
        <v>#VALUE!</v>
      </c>
      <c r="AI443" t="e">
        <f>Africa!H225+"$F;@!5D("</f>
        <v>#VALUE!</v>
      </c>
      <c r="AJ443" t="e">
        <f>Africa!A226+"$F;@!5D)"</f>
        <v>#VALUE!</v>
      </c>
      <c r="AK443" t="e">
        <f>Africa!B226+"$F;@!5D."</f>
        <v>#VALUE!</v>
      </c>
      <c r="AL443" t="e">
        <f>Africa!C226+"$F;@!5D/"</f>
        <v>#VALUE!</v>
      </c>
      <c r="AM443" t="e">
        <f>Africa!D226+"$F;@!5D0"</f>
        <v>#VALUE!</v>
      </c>
      <c r="AN443" t="e">
        <f>Africa!E226+"$F;@!5D1"</f>
        <v>#VALUE!</v>
      </c>
      <c r="AO443" t="e">
        <f>Africa!F226+"$F;@!5D2"</f>
        <v>#VALUE!</v>
      </c>
      <c r="AP443" t="e">
        <f>Africa!G226+"$F;@!5D3"</f>
        <v>#VALUE!</v>
      </c>
      <c r="AQ443" t="e">
        <f>Africa!H226+"$F;@!5D4"</f>
        <v>#VALUE!</v>
      </c>
      <c r="AR443" t="e">
        <f>Africa!A227+"$F;@!5D5"</f>
        <v>#VALUE!</v>
      </c>
      <c r="AS443" t="e">
        <f>Africa!B227+"$F;@!5D6"</f>
        <v>#VALUE!</v>
      </c>
      <c r="AT443" t="e">
        <f>Africa!C227+"$F;@!5D7"</f>
        <v>#VALUE!</v>
      </c>
      <c r="AU443" t="e">
        <f>Africa!D227+"$F;@!5D8"</f>
        <v>#VALUE!</v>
      </c>
      <c r="AV443" t="e">
        <f>Africa!E227+"$F;@!5D9"</f>
        <v>#VALUE!</v>
      </c>
      <c r="AW443" t="e">
        <f>Africa!F227+"$F;@!5D:"</f>
        <v>#VALUE!</v>
      </c>
      <c r="AX443" t="e">
        <f>Africa!G227+"$F;@!5D;"</f>
        <v>#VALUE!</v>
      </c>
      <c r="AY443" t="e">
        <f>Africa!H227+"$F;@!5D&lt;"</f>
        <v>#VALUE!</v>
      </c>
      <c r="AZ443" t="e">
        <f>Africa!A228+"$F;@!5D="</f>
        <v>#VALUE!</v>
      </c>
      <c r="BA443" t="e">
        <f>Africa!B228+"$F;@!5D&gt;"</f>
        <v>#VALUE!</v>
      </c>
      <c r="BB443" t="e">
        <f>Africa!C228+"$F;@!5D?"</f>
        <v>#VALUE!</v>
      </c>
      <c r="BC443" t="e">
        <f>Africa!D228+"$F;@!5D@"</f>
        <v>#VALUE!</v>
      </c>
      <c r="BD443" t="e">
        <f>Africa!E228+"$F;@!5DA"</f>
        <v>#VALUE!</v>
      </c>
      <c r="BE443" t="e">
        <f>Africa!F228+"$F;@!5DB"</f>
        <v>#VALUE!</v>
      </c>
      <c r="BF443" t="e">
        <f>Africa!G228+"$F;@!5DC"</f>
        <v>#VALUE!</v>
      </c>
      <c r="BG443" t="e">
        <f>Africa!H228+"$F;@!5DD"</f>
        <v>#VALUE!</v>
      </c>
      <c r="BH443" t="e">
        <f>Africa!A229+"$F;@!5DE"</f>
        <v>#VALUE!</v>
      </c>
      <c r="BI443" t="e">
        <f>Africa!B229+"$F;@!5DF"</f>
        <v>#VALUE!</v>
      </c>
      <c r="BJ443" t="e">
        <f>Africa!C229+"$F;@!5DG"</f>
        <v>#VALUE!</v>
      </c>
      <c r="BK443" t="e">
        <f>Africa!D229+"$F;@!5DH"</f>
        <v>#VALUE!</v>
      </c>
      <c r="BL443" t="e">
        <f>Africa!E229+"$F;@!5DI"</f>
        <v>#VALUE!</v>
      </c>
      <c r="BM443" t="e">
        <f>Africa!F229+"$F;@!5DJ"</f>
        <v>#VALUE!</v>
      </c>
      <c r="BN443" t="e">
        <f>Africa!G229+"$F;@!5DK"</f>
        <v>#VALUE!</v>
      </c>
      <c r="BO443" t="e">
        <f>Africa!H229+"$F;@!5DL"</f>
        <v>#VALUE!</v>
      </c>
      <c r="BP443" t="e">
        <f>Africa!A230+"$F;@!5DM"</f>
        <v>#VALUE!</v>
      </c>
      <c r="BQ443" t="e">
        <f>Africa!B230+"$F;@!5DN"</f>
        <v>#VALUE!</v>
      </c>
      <c r="BR443" t="e">
        <f>Africa!C230+"$F;@!5DO"</f>
        <v>#VALUE!</v>
      </c>
      <c r="BS443" t="e">
        <f>Africa!D230+"$F;@!5DP"</f>
        <v>#VALUE!</v>
      </c>
      <c r="BT443" t="e">
        <f>Africa!E230+"$F;@!5DQ"</f>
        <v>#VALUE!</v>
      </c>
      <c r="BU443" t="e">
        <f>Africa!F230+"$F;@!5DR"</f>
        <v>#VALUE!</v>
      </c>
      <c r="BV443" t="e">
        <f>Africa!G230+"$F;@!5DS"</f>
        <v>#VALUE!</v>
      </c>
      <c r="BW443" t="e">
        <f>Africa!H230+"$F;@!5DT"</f>
        <v>#VALUE!</v>
      </c>
      <c r="BX443" t="e">
        <f>Africa!A231+"$F;@!5DU"</f>
        <v>#VALUE!</v>
      </c>
      <c r="BY443" t="e">
        <f>Africa!B231+"$F;@!5DV"</f>
        <v>#VALUE!</v>
      </c>
      <c r="BZ443" t="e">
        <f>Africa!C231+"$F;@!5DW"</f>
        <v>#VALUE!</v>
      </c>
      <c r="CA443" t="e">
        <f>Africa!D231+"$F;@!5DX"</f>
        <v>#VALUE!</v>
      </c>
      <c r="CB443" t="e">
        <f>Africa!E231+"$F;@!5DY"</f>
        <v>#VALUE!</v>
      </c>
      <c r="CC443" t="e">
        <f>Africa!F231+"$F;@!5DZ"</f>
        <v>#VALUE!</v>
      </c>
      <c r="CD443" t="e">
        <f>Africa!G231+"$F;@!5D["</f>
        <v>#VALUE!</v>
      </c>
      <c r="CE443" t="e">
        <f>Africa!H231+"$F;@!5D\"</f>
        <v>#VALUE!</v>
      </c>
      <c r="CF443" t="e">
        <f>Africa!A232+"$F;@!5D]"</f>
        <v>#VALUE!</v>
      </c>
      <c r="CG443" t="e">
        <f>Africa!B232+"$F;@!5D^"</f>
        <v>#VALUE!</v>
      </c>
      <c r="CH443" t="e">
        <f>Africa!C232+"$F;@!5D_"</f>
        <v>#VALUE!</v>
      </c>
      <c r="CI443" t="e">
        <f>Africa!D232+"$F;@!5D`"</f>
        <v>#VALUE!</v>
      </c>
      <c r="CJ443" t="e">
        <f>Africa!E232+"$F;@!5Da"</f>
        <v>#VALUE!</v>
      </c>
      <c r="CK443" t="e">
        <f>Africa!F232+"$F;@!5Db"</f>
        <v>#VALUE!</v>
      </c>
      <c r="CL443" t="e">
        <f>Africa!G232+"$F;@!5Dc"</f>
        <v>#VALUE!</v>
      </c>
      <c r="CM443" t="e">
        <f>Africa!H232+"$F;@!5Dd"</f>
        <v>#VALUE!</v>
      </c>
      <c r="CN443" t="e">
        <f>Africa!A233+"$F;@!5De"</f>
        <v>#VALUE!</v>
      </c>
      <c r="CO443" t="e">
        <f>Africa!B233+"$F;@!5Df"</f>
        <v>#VALUE!</v>
      </c>
      <c r="CP443" t="e">
        <f>Africa!C233+"$F;@!5Dg"</f>
        <v>#VALUE!</v>
      </c>
      <c r="CQ443" t="e">
        <f>Africa!D233+"$F;@!5Dh"</f>
        <v>#VALUE!</v>
      </c>
      <c r="CR443" t="e">
        <f>Africa!E233+"$F;@!5Di"</f>
        <v>#VALUE!</v>
      </c>
      <c r="CS443" t="e">
        <f>Africa!F233+"$F;@!5Dj"</f>
        <v>#VALUE!</v>
      </c>
      <c r="CT443" t="e">
        <f>Africa!G233+"$F;@!5Dk"</f>
        <v>#VALUE!</v>
      </c>
      <c r="CU443" t="e">
        <f>Africa!H233+"$F;@!5Dl"</f>
        <v>#VALUE!</v>
      </c>
      <c r="CV443" t="e">
        <f>Africa!A234+"$F;@!5Dm"</f>
        <v>#VALUE!</v>
      </c>
      <c r="CW443" t="e">
        <f>Africa!B234+"$F;@!5Dn"</f>
        <v>#VALUE!</v>
      </c>
      <c r="CX443" t="e">
        <f>Africa!C234+"$F;@!5Do"</f>
        <v>#VALUE!</v>
      </c>
      <c r="CY443" t="e">
        <f>Africa!D234+"$F;@!5Dp"</f>
        <v>#VALUE!</v>
      </c>
      <c r="CZ443" t="e">
        <f>Africa!E234+"$F;@!5Dq"</f>
        <v>#VALUE!</v>
      </c>
      <c r="DA443" t="e">
        <f>Africa!F234+"$F;@!5Dr"</f>
        <v>#VALUE!</v>
      </c>
      <c r="DB443" t="e">
        <f>Africa!G234+"$F;@!5Ds"</f>
        <v>#VALUE!</v>
      </c>
      <c r="DC443" t="e">
        <f>Africa!H234+"$F;@!5Dt"</f>
        <v>#VALUE!</v>
      </c>
      <c r="DD443" t="e">
        <f>Africa!A235+"$F;@!5Du"</f>
        <v>#VALUE!</v>
      </c>
      <c r="DE443" t="e">
        <f>Africa!B235+"$F;@!5Dv"</f>
        <v>#VALUE!</v>
      </c>
      <c r="DF443" t="e">
        <f>Africa!C235+"$F;@!5Dw"</f>
        <v>#VALUE!</v>
      </c>
      <c r="DG443" t="e">
        <f>Africa!D235+"$F;@!5Dx"</f>
        <v>#VALUE!</v>
      </c>
      <c r="DH443" t="e">
        <f>Africa!E235+"$F;@!5Dy"</f>
        <v>#VALUE!</v>
      </c>
      <c r="DI443" t="e">
        <f>Africa!F235+"$F;@!5Dz"</f>
        <v>#VALUE!</v>
      </c>
      <c r="DJ443" t="e">
        <f>Africa!G235+"$F;@!5D{"</f>
        <v>#VALUE!</v>
      </c>
      <c r="DK443" t="e">
        <f>Africa!H235+"$F;@!5D|"</f>
        <v>#VALUE!</v>
      </c>
      <c r="DL443" t="e">
        <f>Africa!A236+"$F;@!5D}"</f>
        <v>#VALUE!</v>
      </c>
      <c r="DM443" t="e">
        <f>Africa!B236+"$F;@!5D~"</f>
        <v>#VALUE!</v>
      </c>
      <c r="DN443" t="e">
        <f>Africa!C236+"$F;@!5E#"</f>
        <v>#VALUE!</v>
      </c>
      <c r="DO443" t="e">
        <f>Africa!D236+"$F;@!5E$"</f>
        <v>#VALUE!</v>
      </c>
      <c r="DP443" t="e">
        <f>Africa!E236+"$F;@!5E%"</f>
        <v>#VALUE!</v>
      </c>
      <c r="DQ443" t="e">
        <f>Africa!F236+"$F;@!5E&amp;"</f>
        <v>#VALUE!</v>
      </c>
      <c r="DR443" t="e">
        <f>Africa!G236+"$F;@!5E'"</f>
        <v>#VALUE!</v>
      </c>
      <c r="DS443" t="e">
        <f>Africa!H236+"$F;@!5E("</f>
        <v>#VALUE!</v>
      </c>
      <c r="DT443" t="e">
        <f>Africa!A237+"$F;@!5E)"</f>
        <v>#VALUE!</v>
      </c>
      <c r="DU443" t="e">
        <f>Africa!B237+"$F;@!5E."</f>
        <v>#VALUE!</v>
      </c>
      <c r="DV443" t="e">
        <f>Africa!C237+"$F;@!5E/"</f>
        <v>#VALUE!</v>
      </c>
      <c r="DW443" t="e">
        <f>Africa!D237+"$F;@!5E0"</f>
        <v>#VALUE!</v>
      </c>
      <c r="DX443" t="e">
        <f>Africa!E237+"$F;@!5E1"</f>
        <v>#VALUE!</v>
      </c>
      <c r="DY443" t="e">
        <f>Africa!F237+"$F;@!5E2"</f>
        <v>#VALUE!</v>
      </c>
      <c r="DZ443" t="e">
        <f>Africa!G237+"$F;@!5E3"</f>
        <v>#VALUE!</v>
      </c>
      <c r="EA443" t="e">
        <f>Africa!H237+"$F;@!5E4"</f>
        <v>#VALUE!</v>
      </c>
      <c r="EB443" t="e">
        <f>Africa!A238+"$F;@!5E5"</f>
        <v>#VALUE!</v>
      </c>
      <c r="EC443" t="e">
        <f>Africa!B238+"$F;@!5E6"</f>
        <v>#VALUE!</v>
      </c>
      <c r="ED443" t="e">
        <f>Africa!C238+"$F;@!5E7"</f>
        <v>#VALUE!</v>
      </c>
      <c r="EE443" t="e">
        <f>Africa!D238+"$F;@!5E8"</f>
        <v>#VALUE!</v>
      </c>
      <c r="EF443" t="e">
        <f>Africa!E238+"$F;@!5E9"</f>
        <v>#VALUE!</v>
      </c>
      <c r="EG443" t="e">
        <f>Africa!F238+"$F;@!5E:"</f>
        <v>#VALUE!</v>
      </c>
      <c r="EH443" t="e">
        <f>Africa!G238+"$F;@!5E;"</f>
        <v>#VALUE!</v>
      </c>
      <c r="EI443" t="e">
        <f>Africa!H238+"$F;@!5E&lt;"</f>
        <v>#VALUE!</v>
      </c>
      <c r="EJ443" t="e">
        <f>Africa!A239+"$F;@!5E="</f>
        <v>#VALUE!</v>
      </c>
      <c r="EK443" t="e">
        <f>Africa!B239+"$F;@!5E&gt;"</f>
        <v>#VALUE!</v>
      </c>
      <c r="EL443" t="e">
        <f>Africa!C239+"$F;@!5E?"</f>
        <v>#VALUE!</v>
      </c>
      <c r="EM443" t="e">
        <f>Africa!D239+"$F;@!5E@"</f>
        <v>#VALUE!</v>
      </c>
      <c r="EN443" t="e">
        <f>Africa!E239+"$F;@!5EA"</f>
        <v>#VALUE!</v>
      </c>
      <c r="EO443" t="e">
        <f>Africa!F239+"$F;@!5EB"</f>
        <v>#VALUE!</v>
      </c>
      <c r="EP443" t="e">
        <f>Africa!G239+"$F;@!5EC"</f>
        <v>#VALUE!</v>
      </c>
      <c r="EQ443" t="e">
        <f>Africa!H239+"$F;@!5ED"</f>
        <v>#VALUE!</v>
      </c>
      <c r="ER443" t="e">
        <f>Africa!A240+"$F;@!5EE"</f>
        <v>#VALUE!</v>
      </c>
      <c r="ES443" t="e">
        <f>Africa!B240+"$F;@!5EF"</f>
        <v>#VALUE!</v>
      </c>
      <c r="ET443" t="e">
        <f>Africa!C240+"$F;@!5EG"</f>
        <v>#VALUE!</v>
      </c>
      <c r="EU443" t="e">
        <f>Africa!D240+"$F;@!5EH"</f>
        <v>#VALUE!</v>
      </c>
      <c r="EV443" t="e">
        <f>Africa!E240+"$F;@!5EI"</f>
        <v>#VALUE!</v>
      </c>
      <c r="EW443" t="e">
        <f>Africa!F240+"$F;@!5EJ"</f>
        <v>#VALUE!</v>
      </c>
      <c r="EX443" t="e">
        <f>Africa!G240+"$F;@!5EK"</f>
        <v>#VALUE!</v>
      </c>
      <c r="EY443" t="e">
        <f>Africa!H240+"$F;@!5EL"</f>
        <v>#VALUE!</v>
      </c>
      <c r="EZ443" t="e">
        <f>Africa!A241+"$F;@!5EM"</f>
        <v>#VALUE!</v>
      </c>
      <c r="FA443" t="e">
        <f>Africa!B241+"$F;@!5EN"</f>
        <v>#VALUE!</v>
      </c>
      <c r="FB443" t="e">
        <f>Africa!C241+"$F;@!5EO"</f>
        <v>#VALUE!</v>
      </c>
      <c r="FC443" t="e">
        <f>Africa!D241+"$F;@!5EP"</f>
        <v>#VALUE!</v>
      </c>
      <c r="FD443" t="e">
        <f>Africa!E241+"$F;@!5EQ"</f>
        <v>#VALUE!</v>
      </c>
      <c r="FE443" t="e">
        <f>Africa!F241+"$F;@!5ER"</f>
        <v>#VALUE!</v>
      </c>
      <c r="FF443" t="e">
        <f>Africa!G241+"$F;@!5ES"</f>
        <v>#VALUE!</v>
      </c>
      <c r="FG443" t="e">
        <f>Africa!H241+"$F;@!5ET"</f>
        <v>#VALUE!</v>
      </c>
      <c r="FH443" t="e">
        <f>Africa!A242+"$F;@!5EU"</f>
        <v>#VALUE!</v>
      </c>
      <c r="FI443" t="e">
        <f>Africa!B242+"$F;@!5EV"</f>
        <v>#VALUE!</v>
      </c>
      <c r="FJ443" t="e">
        <f>Africa!C242+"$F;@!5EW"</f>
        <v>#VALUE!</v>
      </c>
      <c r="FK443" t="e">
        <f>Africa!D242+"$F;@!5EX"</f>
        <v>#VALUE!</v>
      </c>
      <c r="FL443" t="e">
        <f>Africa!E242+"$F;@!5EY"</f>
        <v>#VALUE!</v>
      </c>
      <c r="FM443" t="e">
        <f>Africa!F242+"$F;@!5EZ"</f>
        <v>#VALUE!</v>
      </c>
      <c r="FN443" t="e">
        <f>Africa!G242+"$F;@!5E["</f>
        <v>#VALUE!</v>
      </c>
      <c r="FO443" t="e">
        <f>Africa!H242+"$F;@!5E\"</f>
        <v>#VALUE!</v>
      </c>
      <c r="FP443" t="e">
        <f>Africa!A243+"$F;@!5E]"</f>
        <v>#VALUE!</v>
      </c>
      <c r="FQ443" t="e">
        <f>Africa!B243+"$F;@!5E^"</f>
        <v>#VALUE!</v>
      </c>
      <c r="FR443" t="e">
        <f>Africa!C243+"$F;@!5E_"</f>
        <v>#VALUE!</v>
      </c>
      <c r="FS443" t="e">
        <f>Africa!D243+"$F;@!5E`"</f>
        <v>#VALUE!</v>
      </c>
      <c r="FT443" t="e">
        <f>Africa!E243+"$F;@!5Ea"</f>
        <v>#VALUE!</v>
      </c>
      <c r="FU443" t="e">
        <f>Africa!F243+"$F;@!5Eb"</f>
        <v>#VALUE!</v>
      </c>
      <c r="FV443" t="e">
        <f>Africa!G243+"$F;@!5Ec"</f>
        <v>#VALUE!</v>
      </c>
      <c r="FW443" t="e">
        <f>Africa!H243+"$F;@!5Ed"</f>
        <v>#VALUE!</v>
      </c>
      <c r="FX443" t="e">
        <f>Africa!A244+"$F;@!5Ee"</f>
        <v>#VALUE!</v>
      </c>
      <c r="FY443" t="e">
        <f>Africa!B244+"$F;@!5Ef"</f>
        <v>#VALUE!</v>
      </c>
      <c r="FZ443" t="e">
        <f>Africa!C244+"$F;@!5Eg"</f>
        <v>#VALUE!</v>
      </c>
      <c r="GA443" t="e">
        <f>Africa!D244+"$F;@!5Eh"</f>
        <v>#VALUE!</v>
      </c>
      <c r="GB443" t="e">
        <f>Africa!E244+"$F;@!5Ei"</f>
        <v>#VALUE!</v>
      </c>
      <c r="GC443" t="e">
        <f>Africa!F244+"$F;@!5Ej"</f>
        <v>#VALUE!</v>
      </c>
      <c r="GD443" t="e">
        <f>Africa!G244+"$F;@!5Ek"</f>
        <v>#VALUE!</v>
      </c>
      <c r="GE443" t="e">
        <f>Africa!H244+"$F;@!5El"</f>
        <v>#VALUE!</v>
      </c>
      <c r="GF443" t="e">
        <f>Africa!A245+"$F;@!5Em"</f>
        <v>#VALUE!</v>
      </c>
      <c r="GG443" t="e">
        <f>Africa!B245+"$F;@!5En"</f>
        <v>#VALUE!</v>
      </c>
      <c r="GH443" t="e">
        <f>Africa!C245+"$F;@!5Eo"</f>
        <v>#VALUE!</v>
      </c>
      <c r="GI443" t="e">
        <f>Africa!D245+"$F;@!5Ep"</f>
        <v>#VALUE!</v>
      </c>
      <c r="GJ443" t="e">
        <f>Africa!E245+"$F;@!5Eq"</f>
        <v>#VALUE!</v>
      </c>
      <c r="GK443" t="e">
        <f>Africa!F245+"$F;@!5Er"</f>
        <v>#VALUE!</v>
      </c>
      <c r="GL443" t="e">
        <f>Africa!G245+"$F;@!5Es"</f>
        <v>#VALUE!</v>
      </c>
      <c r="GM443" t="e">
        <f>Africa!H245+"$F;@!5Et"</f>
        <v>#VALUE!</v>
      </c>
      <c r="GN443" t="e">
        <f>Africa!A246+"$F;@!5Eu"</f>
        <v>#VALUE!</v>
      </c>
      <c r="GO443" t="e">
        <f>Africa!B246+"$F;@!5Ev"</f>
        <v>#VALUE!</v>
      </c>
      <c r="GP443" t="e">
        <f>Africa!C246+"$F;@!5Ew"</f>
        <v>#VALUE!</v>
      </c>
      <c r="GQ443" t="e">
        <f>Africa!D246+"$F;@!5Ex"</f>
        <v>#VALUE!</v>
      </c>
      <c r="GR443" t="e">
        <f>Africa!E246+"$F;@!5Ey"</f>
        <v>#VALUE!</v>
      </c>
      <c r="GS443" t="e">
        <f>Africa!F246+"$F;@!5Ez"</f>
        <v>#VALUE!</v>
      </c>
      <c r="GT443" t="e">
        <f>Africa!G246+"$F;@!5E{"</f>
        <v>#VALUE!</v>
      </c>
      <c r="GU443" t="e">
        <f>Africa!H246+"$F;@!5E|"</f>
        <v>#VALUE!</v>
      </c>
      <c r="GV443" t="e">
        <f>Africa!A247+"$F;@!5E}"</f>
        <v>#VALUE!</v>
      </c>
      <c r="GW443" t="e">
        <f>Africa!B247+"$F;@!5E~"</f>
        <v>#VALUE!</v>
      </c>
      <c r="GX443" t="e">
        <f>Africa!C247+"$F;@!5F#"</f>
        <v>#VALUE!</v>
      </c>
      <c r="GY443" t="e">
        <f>Africa!D247+"$F;@!5F$"</f>
        <v>#VALUE!</v>
      </c>
      <c r="GZ443" t="e">
        <f>Africa!E247+"$F;@!5F%"</f>
        <v>#VALUE!</v>
      </c>
      <c r="HA443" t="e">
        <f>Africa!F247+"$F;@!5F&amp;"</f>
        <v>#VALUE!</v>
      </c>
      <c r="HB443" t="e">
        <f>Africa!G247+"$F;@!5F'"</f>
        <v>#VALUE!</v>
      </c>
      <c r="HC443" t="e">
        <f>Africa!H247+"$F;@!5F("</f>
        <v>#VALUE!</v>
      </c>
      <c r="HD443" t="e">
        <f>Africa!A248+"$F;@!5F)"</f>
        <v>#VALUE!</v>
      </c>
      <c r="HE443" t="e">
        <f>Africa!B248+"$F;@!5F."</f>
        <v>#VALUE!</v>
      </c>
      <c r="HF443" t="e">
        <f>Africa!C248+"$F;@!5F/"</f>
        <v>#VALUE!</v>
      </c>
      <c r="HG443" t="e">
        <f>Africa!D248+"$F;@!5F0"</f>
        <v>#VALUE!</v>
      </c>
      <c r="HH443" t="e">
        <f>Africa!E248+"$F;@!5F1"</f>
        <v>#VALUE!</v>
      </c>
      <c r="HI443" t="e">
        <f>Africa!F248+"$F;@!5F2"</f>
        <v>#VALUE!</v>
      </c>
      <c r="HJ443" t="e">
        <f>Africa!G248+"$F;@!5F3"</f>
        <v>#VALUE!</v>
      </c>
      <c r="HK443" t="e">
        <f>Africa!H248+"$F;@!5F4"</f>
        <v>#VALUE!</v>
      </c>
      <c r="HL443" t="e">
        <f>Africa!A249+"$F;@!5F5"</f>
        <v>#VALUE!</v>
      </c>
      <c r="HM443" t="e">
        <f>Africa!B249+"$F;@!5F6"</f>
        <v>#VALUE!</v>
      </c>
      <c r="HN443" t="e">
        <f>Africa!C249+"$F;@!5F7"</f>
        <v>#VALUE!</v>
      </c>
      <c r="HO443" t="e">
        <f>Africa!D249+"$F;@!5F8"</f>
        <v>#VALUE!</v>
      </c>
      <c r="HP443" t="e">
        <f>Africa!E249+"$F;@!5F9"</f>
        <v>#VALUE!</v>
      </c>
      <c r="HQ443" t="e">
        <f>Africa!F249+"$F;@!5F:"</f>
        <v>#VALUE!</v>
      </c>
      <c r="HR443" t="e">
        <f>Africa!G249+"$F;@!5F;"</f>
        <v>#VALUE!</v>
      </c>
      <c r="HS443" t="e">
        <f>Africa!H249+"$F;@!5F&lt;"</f>
        <v>#VALUE!</v>
      </c>
      <c r="HT443" t="e">
        <f>Africa!A250+"$F;@!5F="</f>
        <v>#VALUE!</v>
      </c>
      <c r="HU443" t="e">
        <f>Africa!B250+"$F;@!5F&gt;"</f>
        <v>#VALUE!</v>
      </c>
      <c r="HV443" t="e">
        <f>Africa!C250+"$F;@!5F?"</f>
        <v>#VALUE!</v>
      </c>
      <c r="HW443" t="e">
        <f>Africa!D250+"$F;@!5F@"</f>
        <v>#VALUE!</v>
      </c>
      <c r="HX443" t="e">
        <f>Africa!E250+"$F;@!5FA"</f>
        <v>#VALUE!</v>
      </c>
      <c r="HY443" t="e">
        <f>Africa!F250+"$F;@!5FB"</f>
        <v>#VALUE!</v>
      </c>
      <c r="HZ443" t="e">
        <f>Africa!G250+"$F;@!5FC"</f>
        <v>#VALUE!</v>
      </c>
      <c r="IA443" t="e">
        <f>Africa!H250+"$F;@!5FD"</f>
        <v>#VALUE!</v>
      </c>
      <c r="IB443" t="e">
        <f>Africa!A251+"$F;@!5FE"</f>
        <v>#VALUE!</v>
      </c>
      <c r="IC443" t="e">
        <f>Africa!B251+"$F;@!5FF"</f>
        <v>#VALUE!</v>
      </c>
      <c r="ID443" t="e">
        <f>Africa!C251+"$F;@!5FG"</f>
        <v>#VALUE!</v>
      </c>
      <c r="IE443" t="e">
        <f>Africa!D251+"$F;@!5FH"</f>
        <v>#VALUE!</v>
      </c>
      <c r="IF443" t="e">
        <f>Africa!E251+"$F;@!5FI"</f>
        <v>#VALUE!</v>
      </c>
      <c r="IG443" t="e">
        <f>Africa!F251+"$F;@!5FJ"</f>
        <v>#VALUE!</v>
      </c>
      <c r="IH443" t="e">
        <f>Africa!G251+"$F;@!5FK"</f>
        <v>#VALUE!</v>
      </c>
      <c r="II443" t="e">
        <f>Africa!H251+"$F;@!5FL"</f>
        <v>#VALUE!</v>
      </c>
      <c r="IJ443" t="e">
        <f>Africa!A252+"$F;@!5FM"</f>
        <v>#VALUE!</v>
      </c>
      <c r="IK443" t="e">
        <f>Africa!B252+"$F;@!5FN"</f>
        <v>#VALUE!</v>
      </c>
      <c r="IL443" t="e">
        <f>Africa!C252+"$F;@!5FO"</f>
        <v>#VALUE!</v>
      </c>
      <c r="IM443" t="e">
        <f>Africa!D252+"$F;@!5FP"</f>
        <v>#VALUE!</v>
      </c>
      <c r="IN443" t="e">
        <f>Africa!E252+"$F;@!5FQ"</f>
        <v>#VALUE!</v>
      </c>
      <c r="IO443" t="e">
        <f>Africa!F252+"$F;@!5FR"</f>
        <v>#VALUE!</v>
      </c>
      <c r="IP443" t="e">
        <f>Africa!G252+"$F;@!5FS"</f>
        <v>#VALUE!</v>
      </c>
      <c r="IQ443" t="e">
        <f>Africa!H252+"$F;@!5FT"</f>
        <v>#VALUE!</v>
      </c>
      <c r="IR443" t="e">
        <f>Africa!A253+"$F;@!5FU"</f>
        <v>#VALUE!</v>
      </c>
      <c r="IS443" t="e">
        <f>Africa!B253+"$F;@!5FV"</f>
        <v>#VALUE!</v>
      </c>
      <c r="IT443" t="e">
        <f>Africa!C253+"$F;@!5FW"</f>
        <v>#VALUE!</v>
      </c>
      <c r="IU443" t="e">
        <f>Africa!D253+"$F;@!5FX"</f>
        <v>#VALUE!</v>
      </c>
      <c r="IV443" t="e">
        <f>Africa!E253+"$F;@!5FY"</f>
        <v>#VALUE!</v>
      </c>
    </row>
    <row r="444" spans="6:256" x14ac:dyDescent="0.35">
      <c r="F444" t="e">
        <f>Africa!F253+"$F;@!5FZ"</f>
        <v>#VALUE!</v>
      </c>
      <c r="G444" t="e">
        <f>Africa!G253+"$F;@!5F["</f>
        <v>#VALUE!</v>
      </c>
      <c r="H444" t="e">
        <f>Africa!H253+"$F;@!5F\"</f>
        <v>#VALUE!</v>
      </c>
      <c r="I444" t="e">
        <f>Africa!A254+"$F;@!5F]"</f>
        <v>#VALUE!</v>
      </c>
      <c r="J444" t="e">
        <f>Africa!B254+"$F;@!5F^"</f>
        <v>#VALUE!</v>
      </c>
      <c r="K444" t="e">
        <f>Africa!C254+"$F;@!5F_"</f>
        <v>#VALUE!</v>
      </c>
      <c r="L444" t="e">
        <f>Africa!D254+"$F;@!5F`"</f>
        <v>#VALUE!</v>
      </c>
      <c r="M444" t="e">
        <f>Africa!E254+"$F;@!5Fa"</f>
        <v>#VALUE!</v>
      </c>
      <c r="N444" t="e">
        <f>Africa!F254+"$F;@!5Fb"</f>
        <v>#VALUE!</v>
      </c>
      <c r="O444" t="e">
        <f>Africa!G254+"$F;@!5Fc"</f>
        <v>#VALUE!</v>
      </c>
      <c r="P444" t="e">
        <f>Africa!H254+"$F;@!5Fd"</f>
        <v>#VALUE!</v>
      </c>
      <c r="Q444" t="e">
        <f>Africa!A255+"$F;@!5Fe"</f>
        <v>#VALUE!</v>
      </c>
      <c r="R444" t="e">
        <f>Africa!B255+"$F;@!5Ff"</f>
        <v>#VALUE!</v>
      </c>
      <c r="S444" t="e">
        <f>Africa!C255+"$F;@!5Fg"</f>
        <v>#VALUE!</v>
      </c>
      <c r="T444" t="e">
        <f>Africa!D255+"$F;@!5Fh"</f>
        <v>#VALUE!</v>
      </c>
      <c r="U444" t="e">
        <f>Africa!E255+"$F;@!5Fi"</f>
        <v>#VALUE!</v>
      </c>
      <c r="V444" t="e">
        <f>Africa!F255+"$F;@!5Fj"</f>
        <v>#VALUE!</v>
      </c>
      <c r="W444" t="e">
        <f>Africa!G255+"$F;@!5Fk"</f>
        <v>#VALUE!</v>
      </c>
      <c r="X444" t="e">
        <f>Africa!H255+"$F;@!5Fl"</f>
        <v>#VALUE!</v>
      </c>
      <c r="Y444" t="e">
        <f>Africa!A256+"$F;@!5Fm"</f>
        <v>#VALUE!</v>
      </c>
      <c r="Z444" t="e">
        <f>Africa!B256+"$F;@!5Fn"</f>
        <v>#VALUE!</v>
      </c>
      <c r="AA444" t="e">
        <f>Africa!C256+"$F;@!5Fo"</f>
        <v>#VALUE!</v>
      </c>
      <c r="AB444" t="e">
        <f>Africa!D256+"$F;@!5Fp"</f>
        <v>#VALUE!</v>
      </c>
      <c r="AC444" t="e">
        <f>Africa!E256+"$F;@!5Fq"</f>
        <v>#VALUE!</v>
      </c>
      <c r="AD444" t="e">
        <f>Africa!F256+"$F;@!5Fr"</f>
        <v>#VALUE!</v>
      </c>
      <c r="AE444" t="e">
        <f>Africa!G256+"$F;@!5Fs"</f>
        <v>#VALUE!</v>
      </c>
      <c r="AF444" t="e">
        <f>Africa!H256+"$F;@!5Ft"</f>
        <v>#VALUE!</v>
      </c>
      <c r="AG444" t="e">
        <f>Africa!A257+"$F;@!5Fu"</f>
        <v>#VALUE!</v>
      </c>
      <c r="AH444" t="e">
        <f>Africa!B257+"$F;@!5Fv"</f>
        <v>#VALUE!</v>
      </c>
      <c r="AI444" t="e">
        <f>Africa!C257+"$F;@!5Fw"</f>
        <v>#VALUE!</v>
      </c>
      <c r="AJ444" t="e">
        <f>Africa!D257+"$F;@!5Fx"</f>
        <v>#VALUE!</v>
      </c>
      <c r="AK444" t="e">
        <f>Africa!E257+"$F;@!5Fy"</f>
        <v>#VALUE!</v>
      </c>
      <c r="AL444" t="e">
        <f>Africa!F257+"$F;@!5Fz"</f>
        <v>#VALUE!</v>
      </c>
      <c r="AM444" t="e">
        <f>Africa!G257+"$F;@!5F{"</f>
        <v>#VALUE!</v>
      </c>
      <c r="AN444" t="e">
        <f>Africa!H257+"$F;@!5F|"</f>
        <v>#VALUE!</v>
      </c>
      <c r="AO444" t="e">
        <f>Africa!A258+"$F;@!5F}"</f>
        <v>#VALUE!</v>
      </c>
      <c r="AP444" t="e">
        <f>Africa!B258+"$F;@!5F~"</f>
        <v>#VALUE!</v>
      </c>
      <c r="AQ444" t="e">
        <f>Africa!C258+"$F;@!5G#"</f>
        <v>#VALUE!</v>
      </c>
      <c r="AR444" t="e">
        <f>Africa!D258+"$F;@!5G$"</f>
        <v>#VALUE!</v>
      </c>
      <c r="AS444" t="e">
        <f>Africa!E258+"$F;@!5G%"</f>
        <v>#VALUE!</v>
      </c>
      <c r="AT444" t="e">
        <f>Africa!F258+"$F;@!5G&amp;"</f>
        <v>#VALUE!</v>
      </c>
      <c r="AU444" t="e">
        <f>Africa!G258+"$F;@!5G'"</f>
        <v>#VALUE!</v>
      </c>
      <c r="AV444" t="e">
        <f>Africa!H258+"$F;@!5G("</f>
        <v>#VALUE!</v>
      </c>
      <c r="AW444" t="e">
        <f>Africa!A259+"$F;@!5G)"</f>
        <v>#VALUE!</v>
      </c>
      <c r="AX444" t="e">
        <f>Africa!B259+"$F;@!5G."</f>
        <v>#VALUE!</v>
      </c>
      <c r="AY444" t="e">
        <f>Africa!C259+"$F;@!5G/"</f>
        <v>#VALUE!</v>
      </c>
      <c r="AZ444" t="e">
        <f>Africa!D259+"$F;@!5G0"</f>
        <v>#VALUE!</v>
      </c>
      <c r="BA444" t="e">
        <f>Africa!E259+"$F;@!5G1"</f>
        <v>#VALUE!</v>
      </c>
      <c r="BB444" t="e">
        <f>Africa!F259+"$F;@!5G2"</f>
        <v>#VALUE!</v>
      </c>
      <c r="BC444" t="e">
        <f>Africa!G259+"$F;@!5G3"</f>
        <v>#VALUE!</v>
      </c>
      <c r="BD444" t="e">
        <f>Africa!H259+"$F;@!5G4"</f>
        <v>#VALUE!</v>
      </c>
      <c r="BE444" t="e">
        <f>Africa!A260+"$F;@!5G5"</f>
        <v>#VALUE!</v>
      </c>
      <c r="BF444" t="e">
        <f>Africa!B260+"$F;@!5G6"</f>
        <v>#VALUE!</v>
      </c>
      <c r="BG444" t="e">
        <f>Africa!C260+"$F;@!5G7"</f>
        <v>#VALUE!</v>
      </c>
      <c r="BH444" t="e">
        <f>Africa!D260+"$F;@!5G8"</f>
        <v>#VALUE!</v>
      </c>
      <c r="BI444" t="e">
        <f>Africa!E260+"$F;@!5G9"</f>
        <v>#VALUE!</v>
      </c>
      <c r="BJ444" t="e">
        <f>Africa!F260+"$F;@!5G:"</f>
        <v>#VALUE!</v>
      </c>
      <c r="BK444" t="e">
        <f>Africa!G260+"$F;@!5G;"</f>
        <v>#VALUE!</v>
      </c>
      <c r="BL444" t="e">
        <f>Africa!H260+"$F;@!5G&lt;"</f>
        <v>#VALUE!</v>
      </c>
      <c r="BM444" t="e">
        <f>Africa!A261+"$F;@!5G="</f>
        <v>#VALUE!</v>
      </c>
      <c r="BN444" t="e">
        <f>Africa!B261+"$F;@!5G&gt;"</f>
        <v>#VALUE!</v>
      </c>
      <c r="BO444" t="e">
        <f>Africa!C261+"$F;@!5G?"</f>
        <v>#VALUE!</v>
      </c>
      <c r="BP444" t="e">
        <f>Africa!D261+"$F;@!5G@"</f>
        <v>#VALUE!</v>
      </c>
      <c r="BQ444" t="e">
        <f>Africa!E261+"$F;@!5GA"</f>
        <v>#VALUE!</v>
      </c>
      <c r="BR444" t="e">
        <f>Africa!F261+"$F;@!5GB"</f>
        <v>#VALUE!</v>
      </c>
      <c r="BS444" t="e">
        <f>Africa!G261+"$F;@!5GC"</f>
        <v>#VALUE!</v>
      </c>
      <c r="BT444" t="e">
        <f>Africa!H261+"$F;@!5GD"</f>
        <v>#VALUE!</v>
      </c>
      <c r="BU444" t="e">
        <f>Africa!A262+"$F;@!5GE"</f>
        <v>#VALUE!</v>
      </c>
      <c r="BV444" t="e">
        <f>Africa!B262+"$F;@!5GF"</f>
        <v>#VALUE!</v>
      </c>
      <c r="BW444" t="e">
        <f>Africa!C262+"$F;@!5GG"</f>
        <v>#VALUE!</v>
      </c>
      <c r="BX444" t="e">
        <f>Africa!D262+"$F;@!5GH"</f>
        <v>#VALUE!</v>
      </c>
      <c r="BY444" t="e">
        <f>Africa!E262+"$F;@!5GI"</f>
        <v>#VALUE!</v>
      </c>
      <c r="BZ444" t="e">
        <f>Africa!F262+"$F;@!5GJ"</f>
        <v>#VALUE!</v>
      </c>
      <c r="CA444" t="e">
        <f>Africa!G262+"$F;@!5GK"</f>
        <v>#VALUE!</v>
      </c>
      <c r="CB444" t="e">
        <f>Africa!H262+"$F;@!5GL"</f>
        <v>#VALUE!</v>
      </c>
      <c r="CC444" t="e">
        <f>Africa!A263+"$F;@!5GM"</f>
        <v>#VALUE!</v>
      </c>
      <c r="CD444" t="e">
        <f>Africa!B263+"$F;@!5GN"</f>
        <v>#VALUE!</v>
      </c>
      <c r="CE444" t="e">
        <f>Africa!C263+"$F;@!5GO"</f>
        <v>#VALUE!</v>
      </c>
      <c r="CF444" t="e">
        <f>Africa!D263+"$F;@!5GP"</f>
        <v>#VALUE!</v>
      </c>
      <c r="CG444" t="e">
        <f>Africa!E263+"$F;@!5GQ"</f>
        <v>#VALUE!</v>
      </c>
      <c r="CH444" t="e">
        <f>Africa!F263+"$F;@!5GR"</f>
        <v>#VALUE!</v>
      </c>
      <c r="CI444" t="e">
        <f>Africa!G263+"$F;@!5GS"</f>
        <v>#VALUE!</v>
      </c>
      <c r="CJ444" t="e">
        <f>Africa!H263+"$F;@!5GT"</f>
        <v>#VALUE!</v>
      </c>
      <c r="CK444" t="e">
        <f>Africa!A264+"$F;@!5GU"</f>
        <v>#VALUE!</v>
      </c>
      <c r="CL444" t="e">
        <f>Africa!B264+"$F;@!5GV"</f>
        <v>#VALUE!</v>
      </c>
      <c r="CM444" t="e">
        <f>Africa!C264+"$F;@!5GW"</f>
        <v>#VALUE!</v>
      </c>
      <c r="CN444" t="e">
        <f>Africa!D264+"$F;@!5GX"</f>
        <v>#VALUE!</v>
      </c>
      <c r="CO444" t="e">
        <f>Africa!E264+"$F;@!5GY"</f>
        <v>#VALUE!</v>
      </c>
      <c r="CP444" t="e">
        <f>Africa!F264+"$F;@!5GZ"</f>
        <v>#VALUE!</v>
      </c>
      <c r="CQ444" t="e">
        <f>Africa!G264+"$F;@!5G["</f>
        <v>#VALUE!</v>
      </c>
      <c r="CR444" t="e">
        <f>Africa!H264+"$F;@!5G\"</f>
        <v>#VALUE!</v>
      </c>
      <c r="CS444" t="e">
        <f>Africa!A265+"$F;@!5G]"</f>
        <v>#VALUE!</v>
      </c>
      <c r="CT444" t="e">
        <f>Africa!B265+"$F;@!5G^"</f>
        <v>#VALUE!</v>
      </c>
      <c r="CU444" t="e">
        <f>Africa!C265+"$F;@!5G_"</f>
        <v>#VALUE!</v>
      </c>
      <c r="CV444" t="e">
        <f>Africa!D265+"$F;@!5G`"</f>
        <v>#VALUE!</v>
      </c>
      <c r="CW444" t="e">
        <f>Africa!E265+"$F;@!5Ga"</f>
        <v>#VALUE!</v>
      </c>
      <c r="CX444" t="e">
        <f>Africa!F265+"$F;@!5Gb"</f>
        <v>#VALUE!</v>
      </c>
      <c r="CY444" t="e">
        <f>Africa!G265+"$F;@!5Gc"</f>
        <v>#VALUE!</v>
      </c>
      <c r="CZ444" t="e">
        <f>Africa!H265+"$F;@!5Gd"</f>
        <v>#VALUE!</v>
      </c>
      <c r="DA444" t="e">
        <f>Africa!A266+"$F;@!5Ge"</f>
        <v>#VALUE!</v>
      </c>
      <c r="DB444" t="e">
        <f>Africa!B266+"$F;@!5Gf"</f>
        <v>#VALUE!</v>
      </c>
      <c r="DC444" t="e">
        <f>Africa!C266+"$F;@!5Gg"</f>
        <v>#VALUE!</v>
      </c>
      <c r="DD444" t="e">
        <f>Africa!D266+"$F;@!5Gh"</f>
        <v>#VALUE!</v>
      </c>
      <c r="DE444" t="e">
        <f>Africa!E266+"$F;@!5Gi"</f>
        <v>#VALUE!</v>
      </c>
      <c r="DF444" t="e">
        <f>Africa!F266+"$F;@!5Gj"</f>
        <v>#VALUE!</v>
      </c>
      <c r="DG444" t="e">
        <f>Africa!G266+"$F;@!5Gk"</f>
        <v>#VALUE!</v>
      </c>
      <c r="DH444" t="e">
        <f>Africa!H266+"$F;@!5Gl"</f>
        <v>#VALUE!</v>
      </c>
      <c r="DI444" t="e">
        <f>Africa!A267+"$F;@!5Gm"</f>
        <v>#VALUE!</v>
      </c>
      <c r="DJ444" t="e">
        <f>Africa!B267+"$F;@!5Gn"</f>
        <v>#VALUE!</v>
      </c>
      <c r="DK444" t="e">
        <f>Africa!C267+"$F;@!5Go"</f>
        <v>#VALUE!</v>
      </c>
      <c r="DL444" t="e">
        <f>Africa!D267+"$F;@!5Gp"</f>
        <v>#VALUE!</v>
      </c>
      <c r="DM444" t="e">
        <f>Africa!E267+"$F;@!5Gq"</f>
        <v>#VALUE!</v>
      </c>
      <c r="DN444" t="e">
        <f>Africa!F267+"$F;@!5Gr"</f>
        <v>#VALUE!</v>
      </c>
      <c r="DO444" t="e">
        <f>Africa!G267+"$F;@!5Gs"</f>
        <v>#VALUE!</v>
      </c>
      <c r="DP444" t="e">
        <f>Africa!H267+"$F;@!5Gt"</f>
        <v>#VALUE!</v>
      </c>
      <c r="DQ444" t="e">
        <f>Africa!A268+"$F;@!5Gu"</f>
        <v>#VALUE!</v>
      </c>
      <c r="DR444" t="e">
        <f>Africa!B268+"$F;@!5Gv"</f>
        <v>#VALUE!</v>
      </c>
      <c r="DS444" t="e">
        <f>Africa!C268+"$F;@!5Gw"</f>
        <v>#VALUE!</v>
      </c>
      <c r="DT444" t="e">
        <f>Africa!D268+"$F;@!5Gx"</f>
        <v>#VALUE!</v>
      </c>
      <c r="DU444" t="e">
        <f>Africa!E268+"$F;@!5Gy"</f>
        <v>#VALUE!</v>
      </c>
      <c r="DV444" t="e">
        <f>Africa!F268+"$F;@!5Gz"</f>
        <v>#VALUE!</v>
      </c>
      <c r="DW444" t="e">
        <f>Africa!G268+"$F;@!5G{"</f>
        <v>#VALUE!</v>
      </c>
      <c r="DX444" t="e">
        <f>Africa!H268+"$F;@!5G|"</f>
        <v>#VALUE!</v>
      </c>
      <c r="DY444" t="e">
        <f>Africa!A269+"$F;@!5G}"</f>
        <v>#VALUE!</v>
      </c>
      <c r="DZ444" t="e">
        <f>Africa!B269+"$F;@!5G~"</f>
        <v>#VALUE!</v>
      </c>
      <c r="EA444" t="e">
        <f>Africa!C269+"$F;@!5H#"</f>
        <v>#VALUE!</v>
      </c>
      <c r="EB444" t="e">
        <f>Africa!D269+"$F;@!5H$"</f>
        <v>#VALUE!</v>
      </c>
      <c r="EC444" t="e">
        <f>Africa!E269+"$F;@!5H%"</f>
        <v>#VALUE!</v>
      </c>
      <c r="ED444" t="e">
        <f>Africa!F269+"$F;@!5H&amp;"</f>
        <v>#VALUE!</v>
      </c>
      <c r="EE444" t="e">
        <f>Africa!G269+"$F;@!5H'"</f>
        <v>#VALUE!</v>
      </c>
      <c r="EF444" t="e">
        <f>Africa!H269+"$F;@!5H("</f>
        <v>#VALUE!</v>
      </c>
      <c r="EG444" t="e">
        <f>Africa!A270+"$F;@!5H)"</f>
        <v>#VALUE!</v>
      </c>
      <c r="EH444" t="e">
        <f>Africa!B270+"$F;@!5H."</f>
        <v>#VALUE!</v>
      </c>
      <c r="EI444" t="e">
        <f>Africa!C270+"$F;@!5H/"</f>
        <v>#VALUE!</v>
      </c>
      <c r="EJ444" t="e">
        <f>Africa!D270+"$F;@!5H0"</f>
        <v>#VALUE!</v>
      </c>
      <c r="EK444" t="e">
        <f>Africa!E270+"$F;@!5H1"</f>
        <v>#VALUE!</v>
      </c>
      <c r="EL444" t="e">
        <f>Africa!F270+"$F;@!5H2"</f>
        <v>#VALUE!</v>
      </c>
      <c r="EM444" t="e">
        <f>Africa!G270+"$F;@!5H3"</f>
        <v>#VALUE!</v>
      </c>
      <c r="EN444" t="e">
        <f>Africa!H270+"$F;@!5H4"</f>
        <v>#VALUE!</v>
      </c>
      <c r="EO444" t="e">
        <f>Africa!A271+"$F;@!5H5"</f>
        <v>#VALUE!</v>
      </c>
      <c r="EP444" t="e">
        <f>Africa!B271+"$F;@!5H6"</f>
        <v>#VALUE!</v>
      </c>
      <c r="EQ444" t="e">
        <f>Africa!C271+"$F;@!5H7"</f>
        <v>#VALUE!</v>
      </c>
      <c r="ER444" t="e">
        <f>Africa!D271+"$F;@!5H8"</f>
        <v>#VALUE!</v>
      </c>
      <c r="ES444" t="e">
        <f>Africa!E271+"$F;@!5H9"</f>
        <v>#VALUE!</v>
      </c>
      <c r="ET444" t="e">
        <f>Africa!F271+"$F;@!5H:"</f>
        <v>#VALUE!</v>
      </c>
      <c r="EU444" t="e">
        <f>Africa!G271+"$F;@!5H;"</f>
        <v>#VALUE!</v>
      </c>
      <c r="EV444" t="e">
        <f>Africa!H271+"$F;@!5H&lt;"</f>
        <v>#VALUE!</v>
      </c>
      <c r="EW444" t="e">
        <f>Africa!A272+"$F;@!5H="</f>
        <v>#VALUE!</v>
      </c>
      <c r="EX444" t="e">
        <f>Africa!B272+"$F;@!5H&gt;"</f>
        <v>#VALUE!</v>
      </c>
      <c r="EY444" t="e">
        <f>Africa!C272+"$F;@!5H?"</f>
        <v>#VALUE!</v>
      </c>
      <c r="EZ444" t="e">
        <f>Africa!D272+"$F;@!5H@"</f>
        <v>#VALUE!</v>
      </c>
      <c r="FA444" t="e">
        <f>Africa!E272+"$F;@!5HA"</f>
        <v>#VALUE!</v>
      </c>
      <c r="FB444" t="e">
        <f>Africa!F272+"$F;@!5HB"</f>
        <v>#VALUE!</v>
      </c>
      <c r="FC444" t="e">
        <f>Africa!G272+"$F;@!5HC"</f>
        <v>#VALUE!</v>
      </c>
      <c r="FD444" t="e">
        <f>Africa!H272+"$F;@!5HD"</f>
        <v>#VALUE!</v>
      </c>
      <c r="FE444" t="e">
        <f>Africa!A273+"$F;@!5HE"</f>
        <v>#VALUE!</v>
      </c>
      <c r="FF444" t="e">
        <f>Africa!B273+"$F;@!5HF"</f>
        <v>#VALUE!</v>
      </c>
      <c r="FG444" t="e">
        <f>Africa!C273+"$F;@!5HG"</f>
        <v>#VALUE!</v>
      </c>
      <c r="FH444" t="e">
        <f>Africa!D273+"$F;@!5HH"</f>
        <v>#VALUE!</v>
      </c>
      <c r="FI444" t="e">
        <f>Africa!E273+"$F;@!5HI"</f>
        <v>#VALUE!</v>
      </c>
      <c r="FJ444" t="e">
        <f>Africa!F273+"$F;@!5HJ"</f>
        <v>#VALUE!</v>
      </c>
      <c r="FK444" t="e">
        <f>Africa!G273+"$F;@!5HK"</f>
        <v>#VALUE!</v>
      </c>
      <c r="FL444" t="e">
        <f>Africa!H273+"$F;@!5HL"</f>
        <v>#VALUE!</v>
      </c>
      <c r="FM444" t="e">
        <f>Africa!A274+"$F;@!5HM"</f>
        <v>#VALUE!</v>
      </c>
      <c r="FN444" t="e">
        <f>Africa!B274+"$F;@!5HN"</f>
        <v>#VALUE!</v>
      </c>
      <c r="FO444" t="e">
        <f>Africa!C274+"$F;@!5HO"</f>
        <v>#VALUE!</v>
      </c>
      <c r="FP444" t="e">
        <f>Africa!D274+"$F;@!5HP"</f>
        <v>#VALUE!</v>
      </c>
      <c r="FQ444" t="e">
        <f>Africa!E274+"$F;@!5HQ"</f>
        <v>#VALUE!</v>
      </c>
      <c r="FR444" t="e">
        <f>Africa!F274+"$F;@!5HR"</f>
        <v>#VALUE!</v>
      </c>
      <c r="FS444" t="e">
        <f>Africa!G274+"$F;@!5HS"</f>
        <v>#VALUE!</v>
      </c>
      <c r="FT444" t="e">
        <f>Africa!H274+"$F;@!5HT"</f>
        <v>#VALUE!</v>
      </c>
      <c r="FU444" t="e">
        <f>Africa!A275+"$F;@!5HU"</f>
        <v>#VALUE!</v>
      </c>
      <c r="FV444" t="e">
        <f>Africa!B275+"$F;@!5HV"</f>
        <v>#VALUE!</v>
      </c>
      <c r="FW444" t="e">
        <f>Africa!C275+"$F;@!5HW"</f>
        <v>#VALUE!</v>
      </c>
      <c r="FX444" t="e">
        <f>Africa!D275+"$F;@!5HX"</f>
        <v>#VALUE!</v>
      </c>
      <c r="FY444" t="e">
        <f>Africa!E275+"$F;@!5HY"</f>
        <v>#VALUE!</v>
      </c>
      <c r="FZ444" t="e">
        <f>Africa!F275+"$F;@!5HZ"</f>
        <v>#VALUE!</v>
      </c>
      <c r="GA444" t="e">
        <f>Africa!G275+"$F;@!5H["</f>
        <v>#VALUE!</v>
      </c>
      <c r="GB444" t="e">
        <f>Africa!H275+"$F;@!5H\"</f>
        <v>#VALUE!</v>
      </c>
      <c r="GC444" t="e">
        <f>Africa!A276+"$F;@!5H]"</f>
        <v>#VALUE!</v>
      </c>
      <c r="GD444" t="e">
        <f>Africa!B276+"$F;@!5H^"</f>
        <v>#VALUE!</v>
      </c>
      <c r="GE444" t="e">
        <f>Africa!C276+"$F;@!5H_"</f>
        <v>#VALUE!</v>
      </c>
      <c r="GF444" t="e">
        <f>Africa!D276+"$F;@!5H`"</f>
        <v>#VALUE!</v>
      </c>
      <c r="GG444" t="e">
        <f>Africa!E276+"$F;@!5Ha"</f>
        <v>#VALUE!</v>
      </c>
      <c r="GH444" t="e">
        <f>Africa!F276+"$F;@!5Hb"</f>
        <v>#VALUE!</v>
      </c>
      <c r="GI444" t="e">
        <f>Africa!G276+"$F;@!5Hc"</f>
        <v>#VALUE!</v>
      </c>
      <c r="GJ444" t="e">
        <f>Africa!H276+"$F;@!5Hd"</f>
        <v>#VALUE!</v>
      </c>
      <c r="GK444" t="e">
        <f>Africa!A277+"$F;@!5He"</f>
        <v>#VALUE!</v>
      </c>
      <c r="GL444" t="e">
        <f>Africa!B277+"$F;@!5Hf"</f>
        <v>#VALUE!</v>
      </c>
      <c r="GM444" t="e">
        <f>Africa!C277+"$F;@!5Hg"</f>
        <v>#VALUE!</v>
      </c>
      <c r="GN444" t="e">
        <f>Africa!D277+"$F;@!5Hh"</f>
        <v>#VALUE!</v>
      </c>
      <c r="GO444" t="e">
        <f>Africa!E277+"$F;@!5Hi"</f>
        <v>#VALUE!</v>
      </c>
      <c r="GP444" t="e">
        <f>Africa!F277+"$F;@!5Hj"</f>
        <v>#VALUE!</v>
      </c>
      <c r="GQ444" t="e">
        <f>Africa!G277+"$F;@!5Hk"</f>
        <v>#VALUE!</v>
      </c>
      <c r="GR444" t="e">
        <f>Africa!H277+"$F;@!5Hl"</f>
        <v>#VALUE!</v>
      </c>
      <c r="GS444" t="e">
        <f>Africa!A278+"$F;@!5Hm"</f>
        <v>#VALUE!</v>
      </c>
      <c r="GT444" t="e">
        <f>Africa!B278+"$F;@!5Hn"</f>
        <v>#VALUE!</v>
      </c>
      <c r="GU444" t="e">
        <f>Africa!C278+"$F;@!5Ho"</f>
        <v>#VALUE!</v>
      </c>
      <c r="GV444" t="e">
        <f>Africa!D278+"$F;@!5Hp"</f>
        <v>#VALUE!</v>
      </c>
      <c r="GW444" t="e">
        <f>Africa!E278+"$F;@!5Hq"</f>
        <v>#VALUE!</v>
      </c>
      <c r="GX444" t="e">
        <f>Africa!F278+"$F;@!5Hr"</f>
        <v>#VALUE!</v>
      </c>
      <c r="GY444" t="e">
        <f>Africa!G278+"$F;@!5Hs"</f>
        <v>#VALUE!</v>
      </c>
      <c r="GZ444" t="e">
        <f>Africa!H278+"$F;@!5Ht"</f>
        <v>#VALUE!</v>
      </c>
      <c r="HA444" t="e">
        <f>Africa!A279+"$F;@!5Hu"</f>
        <v>#VALUE!</v>
      </c>
      <c r="HB444" t="e">
        <f>Africa!B279+"$F;@!5Hv"</f>
        <v>#VALUE!</v>
      </c>
      <c r="HC444" t="e">
        <f>Africa!C279+"$F;@!5Hw"</f>
        <v>#VALUE!</v>
      </c>
      <c r="HD444" t="e">
        <f>Africa!D279+"$F;@!5Hx"</f>
        <v>#VALUE!</v>
      </c>
      <c r="HE444" t="e">
        <f>Africa!E279+"$F;@!5Hy"</f>
        <v>#VALUE!</v>
      </c>
      <c r="HF444" t="e">
        <f>Africa!F279+"$F;@!5Hz"</f>
        <v>#VALUE!</v>
      </c>
      <c r="HG444" t="e">
        <f>Africa!G279+"$F;@!5H{"</f>
        <v>#VALUE!</v>
      </c>
      <c r="HH444" t="e">
        <f>Africa!H279+"$F;@!5H|"</f>
        <v>#VALUE!</v>
      </c>
      <c r="HI444" t="e">
        <f>Africa!A280+"$F;@!5H}"</f>
        <v>#VALUE!</v>
      </c>
      <c r="HJ444" t="e">
        <f>Africa!B280+"$F;@!5H~"</f>
        <v>#VALUE!</v>
      </c>
      <c r="HK444" t="e">
        <f>Africa!C280+"$F;@!5I#"</f>
        <v>#VALUE!</v>
      </c>
      <c r="HL444" t="e">
        <f>Africa!D280+"$F;@!5I$"</f>
        <v>#VALUE!</v>
      </c>
      <c r="HM444" t="e">
        <f>Africa!E280+"$F;@!5I%"</f>
        <v>#VALUE!</v>
      </c>
      <c r="HN444" t="e">
        <f>Africa!F280+"$F;@!5I&amp;"</f>
        <v>#VALUE!</v>
      </c>
      <c r="HO444" t="e">
        <f>Africa!G280+"$F;@!5I'"</f>
        <v>#VALUE!</v>
      </c>
      <c r="HP444" t="e">
        <f>Africa!H280+"$F;@!5I("</f>
        <v>#VALUE!</v>
      </c>
      <c r="HQ444" t="e">
        <f>Africa!A281+"$F;@!5I)"</f>
        <v>#VALUE!</v>
      </c>
      <c r="HR444" t="e">
        <f>Africa!B281+"$F;@!5I."</f>
        <v>#VALUE!</v>
      </c>
      <c r="HS444" t="e">
        <f>Africa!C281+"$F;@!5I/"</f>
        <v>#VALUE!</v>
      </c>
      <c r="HT444" t="e">
        <f>Africa!D281+"$F;@!5I0"</f>
        <v>#VALUE!</v>
      </c>
      <c r="HU444" t="e">
        <f>Africa!E281+"$F;@!5I1"</f>
        <v>#VALUE!</v>
      </c>
      <c r="HV444" t="e">
        <f>Africa!F281+"$F;@!5I2"</f>
        <v>#VALUE!</v>
      </c>
      <c r="HW444" t="e">
        <f>Africa!G281+"$F;@!5I3"</f>
        <v>#VALUE!</v>
      </c>
      <c r="HX444" t="e">
        <f>Africa!H281+"$F;@!5I4"</f>
        <v>#VALUE!</v>
      </c>
      <c r="HY444" t="e">
        <f>Africa!A282+"$F;@!5I5"</f>
        <v>#VALUE!</v>
      </c>
      <c r="HZ444" t="e">
        <f>Africa!B282+"$F;@!5I6"</f>
        <v>#VALUE!</v>
      </c>
      <c r="IA444" t="e">
        <f>Africa!C282+"$F;@!5I7"</f>
        <v>#VALUE!</v>
      </c>
      <c r="IB444" t="e">
        <f>Africa!D282+"$F;@!5I8"</f>
        <v>#VALUE!</v>
      </c>
      <c r="IC444" t="e">
        <f>Africa!E282+"$F;@!5I9"</f>
        <v>#VALUE!</v>
      </c>
      <c r="ID444" t="e">
        <f>Africa!F282+"$F;@!5I:"</f>
        <v>#VALUE!</v>
      </c>
      <c r="IE444" t="e">
        <f>Africa!G282+"$F;@!5I;"</f>
        <v>#VALUE!</v>
      </c>
      <c r="IF444" t="e">
        <f>Africa!H282+"$F;@!5I&lt;"</f>
        <v>#VALUE!</v>
      </c>
      <c r="IG444" t="e">
        <f>Africa!A283+"$F;@!5I="</f>
        <v>#VALUE!</v>
      </c>
      <c r="IH444" t="e">
        <f>Africa!B283+"$F;@!5I&gt;"</f>
        <v>#VALUE!</v>
      </c>
      <c r="II444" t="e">
        <f>Africa!C283+"$F;@!5I?"</f>
        <v>#VALUE!</v>
      </c>
      <c r="IJ444" t="e">
        <f>Africa!D283+"$F;@!5I@"</f>
        <v>#VALUE!</v>
      </c>
      <c r="IK444" t="e">
        <f>Africa!E283+"$F;@!5IA"</f>
        <v>#VALUE!</v>
      </c>
      <c r="IL444" t="e">
        <f>Africa!F283+"$F;@!5IB"</f>
        <v>#VALUE!</v>
      </c>
      <c r="IM444" t="e">
        <f>Africa!G283+"$F;@!5IC"</f>
        <v>#VALUE!</v>
      </c>
      <c r="IN444" t="e">
        <f>Africa!H283+"$F;@!5ID"</f>
        <v>#VALUE!</v>
      </c>
      <c r="IO444" t="e">
        <f>Africa!A284+"$F;@!5IE"</f>
        <v>#VALUE!</v>
      </c>
      <c r="IP444" t="e">
        <f>Africa!B284+"$F;@!5IF"</f>
        <v>#VALUE!</v>
      </c>
      <c r="IQ444" t="e">
        <f>Africa!C284+"$F;@!5IG"</f>
        <v>#VALUE!</v>
      </c>
      <c r="IR444" t="e">
        <f>Africa!D284+"$F;@!5IH"</f>
        <v>#VALUE!</v>
      </c>
      <c r="IS444" t="e">
        <f>Africa!E284+"$F;@!5II"</f>
        <v>#VALUE!</v>
      </c>
      <c r="IT444" t="e">
        <f>Africa!F284+"$F;@!5IJ"</f>
        <v>#VALUE!</v>
      </c>
      <c r="IU444" t="e">
        <f>Africa!G284+"$F;@!5IK"</f>
        <v>#VALUE!</v>
      </c>
      <c r="IV444" t="e">
        <f>Africa!H284+"$F;@!5IL"</f>
        <v>#VALUE!</v>
      </c>
    </row>
    <row r="445" spans="6:256" x14ac:dyDescent="0.35">
      <c r="F445" t="e">
        <f>Africa!A285+"$F;@!5IM"</f>
        <v>#VALUE!</v>
      </c>
      <c r="G445" t="e">
        <f>Africa!B285+"$F;@!5IN"</f>
        <v>#VALUE!</v>
      </c>
      <c r="H445" t="e">
        <f>Africa!C285+"$F;@!5IO"</f>
        <v>#VALUE!</v>
      </c>
      <c r="I445" t="e">
        <f>Africa!D285+"$F;@!5IP"</f>
        <v>#VALUE!</v>
      </c>
      <c r="J445" t="e">
        <f>Africa!E285+"$F;@!5IQ"</f>
        <v>#VALUE!</v>
      </c>
      <c r="K445" t="e">
        <f>Africa!F285+"$F;@!5IR"</f>
        <v>#VALUE!</v>
      </c>
      <c r="L445" t="e">
        <f>Africa!G285+"$F;@!5IS"</f>
        <v>#VALUE!</v>
      </c>
      <c r="M445" t="e">
        <f>Africa!H285+"$F;@!5IT"</f>
        <v>#VALUE!</v>
      </c>
      <c r="N445" t="e">
        <f>Africa!A286+"$F;@!5IU"</f>
        <v>#VALUE!</v>
      </c>
      <c r="O445" t="e">
        <f>Africa!B286+"$F;@!5IV"</f>
        <v>#VALUE!</v>
      </c>
      <c r="P445" t="e">
        <f>Africa!C286+"$F;@!5IW"</f>
        <v>#VALUE!</v>
      </c>
      <c r="Q445" t="e">
        <f>Africa!D286+"$F;@!5IX"</f>
        <v>#VALUE!</v>
      </c>
      <c r="R445" t="e">
        <f>Africa!E286+"$F;@!5IY"</f>
        <v>#VALUE!</v>
      </c>
      <c r="S445" t="e">
        <f>Africa!F286+"$F;@!5IZ"</f>
        <v>#VALUE!</v>
      </c>
      <c r="T445" t="e">
        <f>Africa!G286+"$F;@!5I["</f>
        <v>#VALUE!</v>
      </c>
      <c r="U445" t="e">
        <f>Africa!H286+"$F;@!5I\"</f>
        <v>#VALUE!</v>
      </c>
      <c r="V445" t="e">
        <f>Africa!A287+"$F;@!5I]"</f>
        <v>#VALUE!</v>
      </c>
      <c r="W445" t="e">
        <f>Africa!B287+"$F;@!5I^"</f>
        <v>#VALUE!</v>
      </c>
      <c r="X445" t="e">
        <f>Africa!C287+"$F;@!5I_"</f>
        <v>#VALUE!</v>
      </c>
      <c r="Y445" t="e">
        <f>Africa!D287+"$F;@!5I`"</f>
        <v>#VALUE!</v>
      </c>
      <c r="Z445" t="e">
        <f>Africa!E287+"$F;@!5Ia"</f>
        <v>#VALUE!</v>
      </c>
      <c r="AA445" t="e">
        <f>Africa!F287+"$F;@!5Ib"</f>
        <v>#VALUE!</v>
      </c>
      <c r="AB445" t="e">
        <f>Africa!G287+"$F;@!5Ic"</f>
        <v>#VALUE!</v>
      </c>
      <c r="AC445" t="e">
        <f>Africa!H287+"$F;@!5Id"</f>
        <v>#VALUE!</v>
      </c>
      <c r="AD445" t="e">
        <f>Africa!A288+"$F;@!5Ie"</f>
        <v>#VALUE!</v>
      </c>
      <c r="AE445" t="e">
        <f>Africa!B288+"$F;@!5If"</f>
        <v>#VALUE!</v>
      </c>
      <c r="AF445" t="e">
        <f>Africa!C288+"$F;@!5Ig"</f>
        <v>#VALUE!</v>
      </c>
      <c r="AG445" t="e">
        <f>Africa!D288+"$F;@!5Ih"</f>
        <v>#VALUE!</v>
      </c>
      <c r="AH445" t="e">
        <f>Africa!E288+"$F;@!5Ii"</f>
        <v>#VALUE!</v>
      </c>
      <c r="AI445" t="e">
        <f>Africa!F288+"$F;@!5Ij"</f>
        <v>#VALUE!</v>
      </c>
      <c r="AJ445" t="e">
        <f>Africa!G288+"$F;@!5Ik"</f>
        <v>#VALUE!</v>
      </c>
      <c r="AK445" t="e">
        <f>Africa!H288+"$F;@!5Il"</f>
        <v>#VALUE!</v>
      </c>
      <c r="AL445" t="e">
        <f>Africa!A289+"$F;@!5Im"</f>
        <v>#VALUE!</v>
      </c>
      <c r="AM445" t="e">
        <f>Africa!B289+"$F;@!5In"</f>
        <v>#VALUE!</v>
      </c>
      <c r="AN445" t="e">
        <f>Africa!C289+"$F;@!5Io"</f>
        <v>#VALUE!</v>
      </c>
      <c r="AO445" t="e">
        <f>Africa!D289+"$F;@!5Ip"</f>
        <v>#VALUE!</v>
      </c>
      <c r="AP445" t="e">
        <f>Africa!E289+"$F;@!5Iq"</f>
        <v>#VALUE!</v>
      </c>
      <c r="AQ445" t="e">
        <f>Africa!F289+"$F;@!5Ir"</f>
        <v>#VALUE!</v>
      </c>
      <c r="AR445" t="e">
        <f>Africa!G289+"$F;@!5Is"</f>
        <v>#VALUE!</v>
      </c>
      <c r="AS445" t="e">
        <f>Africa!H289+"$F;@!5It"</f>
        <v>#VALUE!</v>
      </c>
      <c r="AT445" t="e">
        <f>Africa!A290+"$F;@!5Iu"</f>
        <v>#VALUE!</v>
      </c>
      <c r="AU445" t="e">
        <f>Africa!B290+"$F;@!5Iv"</f>
        <v>#VALUE!</v>
      </c>
      <c r="AV445" t="e">
        <f>Africa!C290+"$F;@!5Iw"</f>
        <v>#VALUE!</v>
      </c>
      <c r="AW445" t="e">
        <f>Africa!D290+"$F;@!5Ix"</f>
        <v>#VALUE!</v>
      </c>
      <c r="AX445" t="e">
        <f>Africa!E290+"$F;@!5Iy"</f>
        <v>#VALUE!</v>
      </c>
      <c r="AY445" t="e">
        <f>Africa!F290+"$F;@!5Iz"</f>
        <v>#VALUE!</v>
      </c>
      <c r="AZ445" t="e">
        <f>Africa!G290+"$F;@!5I{"</f>
        <v>#VALUE!</v>
      </c>
      <c r="BA445" t="e">
        <f>Africa!H290+"$F;@!5I|"</f>
        <v>#VALUE!</v>
      </c>
      <c r="BB445" t="e">
        <f>Africa!A291+"$F;@!5I}"</f>
        <v>#VALUE!</v>
      </c>
      <c r="BC445" t="e">
        <f>Africa!B291+"$F;@!5I~"</f>
        <v>#VALUE!</v>
      </c>
      <c r="BD445" t="e">
        <f>Africa!C291+"$F;@!5J#"</f>
        <v>#VALUE!</v>
      </c>
      <c r="BE445" t="e">
        <f>Africa!D291+"$F;@!5J$"</f>
        <v>#VALUE!</v>
      </c>
      <c r="BF445" t="e">
        <f>Africa!E291+"$F;@!5J%"</f>
        <v>#VALUE!</v>
      </c>
      <c r="BG445" t="e">
        <f>Africa!F291+"$F;@!5J&amp;"</f>
        <v>#VALUE!</v>
      </c>
      <c r="BH445" t="e">
        <f>Africa!G291+"$F;@!5J'"</f>
        <v>#VALUE!</v>
      </c>
      <c r="BI445" t="e">
        <f>Africa!H291+"$F;@!5J("</f>
        <v>#VALUE!</v>
      </c>
      <c r="BJ445" t="e">
        <f>Africa!A292+"$F;@!5J)"</f>
        <v>#VALUE!</v>
      </c>
      <c r="BK445" t="e">
        <f>Africa!B292+"$F;@!5J."</f>
        <v>#VALUE!</v>
      </c>
      <c r="BL445" t="e">
        <f>Africa!C292+"$F;@!5J/"</f>
        <v>#VALUE!</v>
      </c>
      <c r="BM445" t="e">
        <f>Africa!D292+"$F;@!5J0"</f>
        <v>#VALUE!</v>
      </c>
      <c r="BN445" t="e">
        <f>Africa!E292+"$F;@!5J1"</f>
        <v>#VALUE!</v>
      </c>
      <c r="BO445" t="e">
        <f>Africa!F292+"$F;@!5J2"</f>
        <v>#VALUE!</v>
      </c>
      <c r="BP445" t="e">
        <f>Africa!G292+"$F;@!5J3"</f>
        <v>#VALUE!</v>
      </c>
      <c r="BQ445" t="e">
        <f>Africa!H292+"$F;@!5J4"</f>
        <v>#VALUE!</v>
      </c>
      <c r="BR445" t="e">
        <f>Africa!A293+"$F;@!5J5"</f>
        <v>#VALUE!</v>
      </c>
      <c r="BS445" t="e">
        <f>Africa!B293+"$F;@!5J6"</f>
        <v>#VALUE!</v>
      </c>
      <c r="BT445" t="e">
        <f>Africa!C293+"$F;@!5J7"</f>
        <v>#VALUE!</v>
      </c>
      <c r="BU445" t="e">
        <f>Africa!D293+"$F;@!5J8"</f>
        <v>#VALUE!</v>
      </c>
      <c r="BV445" t="e">
        <f>Africa!E293+"$F;@!5J9"</f>
        <v>#VALUE!</v>
      </c>
      <c r="BW445" t="e">
        <f>Africa!F293+"$F;@!5J:"</f>
        <v>#VALUE!</v>
      </c>
      <c r="BX445" t="e">
        <f>Africa!G293+"$F;@!5J;"</f>
        <v>#VALUE!</v>
      </c>
      <c r="BY445" t="e">
        <f>Africa!H293+"$F;@!5J&lt;"</f>
        <v>#VALUE!</v>
      </c>
      <c r="BZ445" t="e">
        <f>Africa!A294+"$F;@!5J="</f>
        <v>#VALUE!</v>
      </c>
      <c r="CA445" t="e">
        <f>Africa!B294+"$F;@!5J&gt;"</f>
        <v>#VALUE!</v>
      </c>
      <c r="CB445" t="e">
        <f>Africa!C294+"$F;@!5J?"</f>
        <v>#VALUE!</v>
      </c>
      <c r="CC445" t="e">
        <f>Africa!D294+"$F;@!5J@"</f>
        <v>#VALUE!</v>
      </c>
      <c r="CD445" t="e">
        <f>Africa!E294+"$F;@!5JA"</f>
        <v>#VALUE!</v>
      </c>
      <c r="CE445" t="e">
        <f>Africa!F294+"$F;@!5JB"</f>
        <v>#VALUE!</v>
      </c>
      <c r="CF445" t="e">
        <f>Africa!G294+"$F;@!5JC"</f>
        <v>#VALUE!</v>
      </c>
      <c r="CG445" t="e">
        <f>Africa!H294+"$F;@!5JD"</f>
        <v>#VALUE!</v>
      </c>
      <c r="CH445" t="e">
        <f>Africa!A295+"$F;@!5JE"</f>
        <v>#VALUE!</v>
      </c>
      <c r="CI445" t="e">
        <f>Africa!B295+"$F;@!5JF"</f>
        <v>#VALUE!</v>
      </c>
      <c r="CJ445" t="e">
        <f>Africa!C295+"$F;@!5JG"</f>
        <v>#VALUE!</v>
      </c>
      <c r="CK445" t="e">
        <f>Africa!D295+"$F;@!5JH"</f>
        <v>#VALUE!</v>
      </c>
      <c r="CL445" t="e">
        <f>Africa!E295+"$F;@!5JI"</f>
        <v>#VALUE!</v>
      </c>
      <c r="CM445" t="e">
        <f>Africa!F295+"$F;@!5JJ"</f>
        <v>#VALUE!</v>
      </c>
      <c r="CN445" t="e">
        <f>Africa!G295+"$F;@!5JK"</f>
        <v>#VALUE!</v>
      </c>
      <c r="CO445" t="e">
        <f>Africa!H295+"$F;@!5JL"</f>
        <v>#VALUE!</v>
      </c>
      <c r="CP445" t="e">
        <f>Africa!A296+"$F;@!5JM"</f>
        <v>#VALUE!</v>
      </c>
      <c r="CQ445" t="e">
        <f>Africa!B296+"$F;@!5JN"</f>
        <v>#VALUE!</v>
      </c>
      <c r="CR445" t="e">
        <f>Africa!C296+"$F;@!5JO"</f>
        <v>#VALUE!</v>
      </c>
      <c r="CS445" t="e">
        <f>Africa!D296+"$F;@!5JP"</f>
        <v>#VALUE!</v>
      </c>
      <c r="CT445" t="e">
        <f>Africa!E296+"$F;@!5JQ"</f>
        <v>#VALUE!</v>
      </c>
      <c r="CU445" t="e">
        <f>Africa!F296+"$F;@!5JR"</f>
        <v>#VALUE!</v>
      </c>
      <c r="CV445" t="e">
        <f>Africa!G296+"$F;@!5JS"</f>
        <v>#VALUE!</v>
      </c>
      <c r="CW445" t="e">
        <f>Africa!H296+"$F;@!5JT"</f>
        <v>#VALUE!</v>
      </c>
      <c r="CX445" t="e">
        <f>Africa!A297+"$F;@!5JU"</f>
        <v>#VALUE!</v>
      </c>
      <c r="CY445" t="e">
        <f>Africa!B297+"$F;@!5JV"</f>
        <v>#VALUE!</v>
      </c>
      <c r="CZ445" t="e">
        <f>Africa!C297+"$F;@!5JW"</f>
        <v>#VALUE!</v>
      </c>
      <c r="DA445" t="e">
        <f>Africa!D297+"$F;@!5JX"</f>
        <v>#VALUE!</v>
      </c>
      <c r="DB445" t="e">
        <f>Africa!E297+"$F;@!5JY"</f>
        <v>#VALUE!</v>
      </c>
      <c r="DC445" t="e">
        <f>Africa!F297+"$F;@!5JZ"</f>
        <v>#VALUE!</v>
      </c>
      <c r="DD445" t="e">
        <f>Africa!G297+"$F;@!5J["</f>
        <v>#VALUE!</v>
      </c>
      <c r="DE445" t="e">
        <f>Africa!H297+"$F;@!5J\"</f>
        <v>#VALUE!</v>
      </c>
      <c r="DF445" t="e">
        <f>Africa!A298+"$F;@!5J]"</f>
        <v>#VALUE!</v>
      </c>
      <c r="DG445" t="e">
        <f>Africa!B298+"$F;@!5J^"</f>
        <v>#VALUE!</v>
      </c>
      <c r="DH445" t="e">
        <f>Africa!C298+"$F;@!5J_"</f>
        <v>#VALUE!</v>
      </c>
      <c r="DI445" t="e">
        <f>Africa!D298+"$F;@!5J`"</f>
        <v>#VALUE!</v>
      </c>
      <c r="DJ445" t="e">
        <f>Africa!E298+"$F;@!5Ja"</f>
        <v>#VALUE!</v>
      </c>
      <c r="DK445" t="e">
        <f>Africa!F298+"$F;@!5Jb"</f>
        <v>#VALUE!</v>
      </c>
      <c r="DL445" t="e">
        <f>Africa!G298+"$F;@!5Jc"</f>
        <v>#VALUE!</v>
      </c>
      <c r="DM445" t="e">
        <f>Africa!H298+"$F;@!5Jd"</f>
        <v>#VALUE!</v>
      </c>
      <c r="DN445" t="e">
        <f>Africa!A299+"$F;@!5Je"</f>
        <v>#VALUE!</v>
      </c>
      <c r="DO445" t="e">
        <f>Africa!B299+"$F;@!5Jf"</f>
        <v>#VALUE!</v>
      </c>
      <c r="DP445" t="e">
        <f>Africa!C299+"$F;@!5Jg"</f>
        <v>#VALUE!</v>
      </c>
      <c r="DQ445" t="e">
        <f>Africa!D299+"$F;@!5Jh"</f>
        <v>#VALUE!</v>
      </c>
      <c r="DR445" t="e">
        <f>Africa!E299+"$F;@!5Ji"</f>
        <v>#VALUE!</v>
      </c>
      <c r="DS445" t="e">
        <f>Africa!F299+"$F;@!5Jj"</f>
        <v>#VALUE!</v>
      </c>
      <c r="DT445" t="e">
        <f>Africa!G299+"$F;@!5Jk"</f>
        <v>#VALUE!</v>
      </c>
      <c r="DU445" t="e">
        <f>Africa!H299+"$F;@!5Jl"</f>
        <v>#VALUE!</v>
      </c>
      <c r="DV445" t="e">
        <f>Africa!A300+"$F;@!5Jm"</f>
        <v>#VALUE!</v>
      </c>
      <c r="DW445" t="e">
        <f>Africa!B300+"$F;@!5Jn"</f>
        <v>#VALUE!</v>
      </c>
      <c r="DX445" t="e">
        <f>Africa!C300+"$F;@!5Jo"</f>
        <v>#VALUE!</v>
      </c>
      <c r="DY445" t="e">
        <f>Africa!D300+"$F;@!5Jp"</f>
        <v>#VALUE!</v>
      </c>
      <c r="DZ445" t="e">
        <f>Africa!E300+"$F;@!5Jq"</f>
        <v>#VALUE!</v>
      </c>
      <c r="EA445" t="e">
        <f>Africa!F300+"$F;@!5Jr"</f>
        <v>#VALUE!</v>
      </c>
      <c r="EB445" t="e">
        <f>Africa!G300+"$F;@!5Js"</f>
        <v>#VALUE!</v>
      </c>
      <c r="EC445" t="e">
        <f>Africa!H300+"$F;@!5Jt"</f>
        <v>#VALUE!</v>
      </c>
      <c r="ED445" t="e">
        <f>Africa!A301+"$F;@!5Ju"</f>
        <v>#VALUE!</v>
      </c>
      <c r="EE445" t="e">
        <f>Africa!B301+"$F;@!5Jv"</f>
        <v>#VALUE!</v>
      </c>
      <c r="EF445" t="e">
        <f>Africa!C301+"$F;@!5Jw"</f>
        <v>#VALUE!</v>
      </c>
      <c r="EG445" t="e">
        <f>Africa!D301+"$F;@!5Jx"</f>
        <v>#VALUE!</v>
      </c>
      <c r="EH445" t="e">
        <f>Africa!E301+"$F;@!5Jy"</f>
        <v>#VALUE!</v>
      </c>
      <c r="EI445" t="e">
        <f>Africa!F301+"$F;@!5Jz"</f>
        <v>#VALUE!</v>
      </c>
      <c r="EJ445" t="e">
        <f>Africa!G301+"$F;@!5J{"</f>
        <v>#VALUE!</v>
      </c>
      <c r="EK445" t="e">
        <f>Africa!H301+"$F;@!5J|"</f>
        <v>#VALUE!</v>
      </c>
      <c r="EL445" t="e">
        <f>Africa!A302+"$F;@!5J}"</f>
        <v>#VALUE!</v>
      </c>
      <c r="EM445" t="e">
        <f>Africa!B302+"$F;@!5J~"</f>
        <v>#VALUE!</v>
      </c>
      <c r="EN445" t="e">
        <f>Africa!C302+"$F;@!5K#"</f>
        <v>#VALUE!</v>
      </c>
      <c r="EO445" t="e">
        <f>Africa!D302+"$F;@!5K$"</f>
        <v>#VALUE!</v>
      </c>
      <c r="EP445" t="e">
        <f>Africa!E302+"$F;@!5K%"</f>
        <v>#VALUE!</v>
      </c>
      <c r="EQ445" t="e">
        <f>Africa!F302+"$F;@!5K&amp;"</f>
        <v>#VALUE!</v>
      </c>
      <c r="ER445" t="e">
        <f>Africa!G302+"$F;@!5K'"</f>
        <v>#VALUE!</v>
      </c>
      <c r="ES445" t="e">
        <f>Africa!H302+"$F;@!5K("</f>
        <v>#VALUE!</v>
      </c>
      <c r="ET445" t="e">
        <f>Africa!A303+"$F;@!5K)"</f>
        <v>#VALUE!</v>
      </c>
      <c r="EU445" t="e">
        <f>Africa!B303+"$F;@!5K."</f>
        <v>#VALUE!</v>
      </c>
      <c r="EV445" t="e">
        <f>Africa!C303+"$F;@!5K/"</f>
        <v>#VALUE!</v>
      </c>
      <c r="EW445" t="e">
        <f>Africa!D303+"$F;@!5K0"</f>
        <v>#VALUE!</v>
      </c>
      <c r="EX445" t="e">
        <f>Africa!E303+"$F;@!5K1"</f>
        <v>#VALUE!</v>
      </c>
      <c r="EY445" t="e">
        <f>Africa!F303+"$F;@!5K2"</f>
        <v>#VALUE!</v>
      </c>
      <c r="EZ445" t="e">
        <f>Africa!G303+"$F;@!5K3"</f>
        <v>#VALUE!</v>
      </c>
      <c r="FA445" t="e">
        <f>Africa!H303+"$F;@!5K4"</f>
        <v>#VALUE!</v>
      </c>
      <c r="FB445" t="e">
        <f>Africa!A304+"$F;@!5K5"</f>
        <v>#VALUE!</v>
      </c>
      <c r="FC445" t="e">
        <f>Africa!B304+"$F;@!5K6"</f>
        <v>#VALUE!</v>
      </c>
      <c r="FD445" t="e">
        <f>Africa!C304+"$F;@!5K7"</f>
        <v>#VALUE!</v>
      </c>
      <c r="FE445" t="e">
        <f>Africa!D304+"$F;@!5K8"</f>
        <v>#VALUE!</v>
      </c>
      <c r="FF445" t="e">
        <f>Africa!E304+"$F;@!5K9"</f>
        <v>#VALUE!</v>
      </c>
      <c r="FG445" t="e">
        <f>Africa!F304+"$F;@!5K:"</f>
        <v>#VALUE!</v>
      </c>
      <c r="FH445" t="e">
        <f>Africa!G304+"$F;@!5K;"</f>
        <v>#VALUE!</v>
      </c>
      <c r="FI445" t="e">
        <f>Africa!H304+"$F;@!5K&lt;"</f>
        <v>#VALUE!</v>
      </c>
      <c r="FJ445" t="e">
        <f>Africa!A305+"$F;@!5K="</f>
        <v>#VALUE!</v>
      </c>
      <c r="FK445" t="e">
        <f>Africa!B305+"$F;@!5K&gt;"</f>
        <v>#VALUE!</v>
      </c>
      <c r="FL445" t="e">
        <f>Africa!C305+"$F;@!5K?"</f>
        <v>#VALUE!</v>
      </c>
      <c r="FM445" t="e">
        <f>Africa!D305+"$F;@!5K@"</f>
        <v>#VALUE!</v>
      </c>
      <c r="FN445" t="e">
        <f>Africa!E305+"$F;@!5KA"</f>
        <v>#VALUE!</v>
      </c>
      <c r="FO445" t="e">
        <f>Africa!F305+"$F;@!5KB"</f>
        <v>#VALUE!</v>
      </c>
      <c r="FP445" t="e">
        <f>Africa!G305+"$F;@!5KC"</f>
        <v>#VALUE!</v>
      </c>
      <c r="FQ445" t="e">
        <f>Africa!H305+"$F;@!5KD"</f>
        <v>#VALUE!</v>
      </c>
      <c r="FR445" t="e">
        <f>Africa!A306+"$F;@!5KE"</f>
        <v>#VALUE!</v>
      </c>
      <c r="FS445" t="e">
        <f>Africa!B306+"$F;@!5KF"</f>
        <v>#VALUE!</v>
      </c>
      <c r="FT445" t="e">
        <f>Africa!C306+"$F;@!5KG"</f>
        <v>#VALUE!</v>
      </c>
      <c r="FU445" t="e">
        <f>Africa!D306+"$F;@!5KH"</f>
        <v>#VALUE!</v>
      </c>
      <c r="FV445" t="e">
        <f>Africa!E306+"$F;@!5KI"</f>
        <v>#VALUE!</v>
      </c>
      <c r="FW445" t="e">
        <f>Africa!F306+"$F;@!5KJ"</f>
        <v>#VALUE!</v>
      </c>
      <c r="FX445" t="e">
        <f>Africa!G306+"$F;@!5KK"</f>
        <v>#VALUE!</v>
      </c>
      <c r="FY445" t="e">
        <f>Africa!H306+"$F;@!5KL"</f>
        <v>#VALUE!</v>
      </c>
      <c r="FZ445" t="e">
        <f>Africa!A307+"$F;@!5KM"</f>
        <v>#VALUE!</v>
      </c>
      <c r="GA445" t="e">
        <f>Africa!B307+"$F;@!5KN"</f>
        <v>#VALUE!</v>
      </c>
      <c r="GB445" t="e">
        <f>Africa!C307+"$F;@!5KO"</f>
        <v>#VALUE!</v>
      </c>
      <c r="GC445" t="e">
        <f>Africa!D307+"$F;@!5KP"</f>
        <v>#VALUE!</v>
      </c>
      <c r="GD445" t="e">
        <f>Africa!E307+"$F;@!5KQ"</f>
        <v>#VALUE!</v>
      </c>
      <c r="GE445" t="e">
        <f>Africa!F307+"$F;@!5KR"</f>
        <v>#VALUE!</v>
      </c>
      <c r="GF445" t="e">
        <f>Africa!G307+"$F;@!5KS"</f>
        <v>#VALUE!</v>
      </c>
      <c r="GG445" t="e">
        <f>Africa!H307+"$F;@!5KT"</f>
        <v>#VALUE!</v>
      </c>
      <c r="GH445" t="e">
        <f>Africa!A308+"$F;@!5KU"</f>
        <v>#VALUE!</v>
      </c>
      <c r="GI445" t="e">
        <f>Africa!B308+"$F;@!5KV"</f>
        <v>#VALUE!</v>
      </c>
      <c r="GJ445" t="e">
        <f>Africa!C308+"$F;@!5KW"</f>
        <v>#VALUE!</v>
      </c>
      <c r="GK445" t="e">
        <f>Africa!D308+"$F;@!5KX"</f>
        <v>#VALUE!</v>
      </c>
      <c r="GL445" t="e">
        <f>Africa!E308+"$F;@!5KY"</f>
        <v>#VALUE!</v>
      </c>
      <c r="GM445" t="e">
        <f>Africa!F308+"$F;@!5KZ"</f>
        <v>#VALUE!</v>
      </c>
      <c r="GN445" t="e">
        <f>Africa!G308+"$F;@!5K["</f>
        <v>#VALUE!</v>
      </c>
      <c r="GO445" t="e">
        <f>Africa!H308+"$F;@!5K\"</f>
        <v>#VALUE!</v>
      </c>
      <c r="GP445" t="e">
        <f>Africa!A309+"$F;@!5K]"</f>
        <v>#VALUE!</v>
      </c>
      <c r="GQ445" t="e">
        <f>Africa!B309+"$F;@!5K^"</f>
        <v>#VALUE!</v>
      </c>
      <c r="GR445" t="e">
        <f>Africa!C309+"$F;@!5K_"</f>
        <v>#VALUE!</v>
      </c>
      <c r="GS445" t="e">
        <f>Africa!D309+"$F;@!5K`"</f>
        <v>#VALUE!</v>
      </c>
      <c r="GT445" t="e">
        <f>Africa!E309+"$F;@!5Ka"</f>
        <v>#VALUE!</v>
      </c>
      <c r="GU445" t="e">
        <f>Africa!F309+"$F;@!5Kb"</f>
        <v>#VALUE!</v>
      </c>
      <c r="GV445" t="e">
        <f>Africa!G309+"$F;@!5Kc"</f>
        <v>#VALUE!</v>
      </c>
      <c r="GW445" t="e">
        <f>Africa!H309+"$F;@!5Kd"</f>
        <v>#VALUE!</v>
      </c>
      <c r="GX445" t="e">
        <f>Africa!A310+"$F;@!5Ke"</f>
        <v>#VALUE!</v>
      </c>
      <c r="GY445" t="e">
        <f>Africa!B310+"$F;@!5Kf"</f>
        <v>#VALUE!</v>
      </c>
      <c r="GZ445" t="e">
        <f>Africa!C310+"$F;@!5Kg"</f>
        <v>#VALUE!</v>
      </c>
      <c r="HA445" t="e">
        <f>Africa!D310+"$F;@!5Kh"</f>
        <v>#VALUE!</v>
      </c>
      <c r="HB445" t="e">
        <f>Africa!E310+"$F;@!5Ki"</f>
        <v>#VALUE!</v>
      </c>
      <c r="HC445" t="e">
        <f>Africa!F310+"$F;@!5Kj"</f>
        <v>#VALUE!</v>
      </c>
      <c r="HD445" t="e">
        <f>Africa!G310+"$F;@!5Kk"</f>
        <v>#VALUE!</v>
      </c>
      <c r="HE445" t="e">
        <f>Africa!H310+"$F;@!5Kl"</f>
        <v>#VALUE!</v>
      </c>
      <c r="HF445" t="e">
        <f>Africa!A311+"$F;@!5Km"</f>
        <v>#VALUE!</v>
      </c>
      <c r="HG445" t="e">
        <f>Africa!B311+"$F;@!5Kn"</f>
        <v>#VALUE!</v>
      </c>
      <c r="HH445" t="e">
        <f>Africa!C311+"$F;@!5Ko"</f>
        <v>#VALUE!</v>
      </c>
      <c r="HI445" t="e">
        <f>Africa!D311+"$F;@!5Kp"</f>
        <v>#VALUE!</v>
      </c>
      <c r="HJ445" t="e">
        <f>Africa!E311+"$F;@!5Kq"</f>
        <v>#VALUE!</v>
      </c>
      <c r="HK445" t="e">
        <f>Africa!F311+"$F;@!5Kr"</f>
        <v>#VALUE!</v>
      </c>
      <c r="HL445" t="e">
        <f>Africa!G311+"$F;@!5Ks"</f>
        <v>#VALUE!</v>
      </c>
      <c r="HM445" t="e">
        <f>Africa!H311+"$F;@!5Kt"</f>
        <v>#VALUE!</v>
      </c>
      <c r="HN445" t="e">
        <f>Africa!A312+"$F;@!5Ku"</f>
        <v>#VALUE!</v>
      </c>
      <c r="HO445" t="e">
        <f>Africa!B312+"$F;@!5Kv"</f>
        <v>#VALUE!</v>
      </c>
      <c r="HP445" t="e">
        <f>Africa!C312+"$F;@!5Kw"</f>
        <v>#VALUE!</v>
      </c>
      <c r="HQ445" t="e">
        <f>Africa!D312+"$F;@!5Kx"</f>
        <v>#VALUE!</v>
      </c>
      <c r="HR445" t="e">
        <f>Africa!E312+"$F;@!5Ky"</f>
        <v>#VALUE!</v>
      </c>
      <c r="HS445" t="e">
        <f>Africa!F312+"$F;@!5Kz"</f>
        <v>#VALUE!</v>
      </c>
      <c r="HT445" t="e">
        <f>Africa!G312+"$F;@!5K{"</f>
        <v>#VALUE!</v>
      </c>
      <c r="HU445" t="e">
        <f>Africa!H312+"$F;@!5K|"</f>
        <v>#VALUE!</v>
      </c>
      <c r="HV445" t="e">
        <f>Africa!A313+"$F;@!5K}"</f>
        <v>#VALUE!</v>
      </c>
      <c r="HW445" t="e">
        <f>Africa!B313+"$F;@!5K~"</f>
        <v>#VALUE!</v>
      </c>
      <c r="HX445" t="e">
        <f>Africa!C313+"$F;@!5L#"</f>
        <v>#VALUE!</v>
      </c>
      <c r="HY445" t="e">
        <f>Africa!D313+"$F;@!5L$"</f>
        <v>#VALUE!</v>
      </c>
      <c r="HZ445" t="e">
        <f>Africa!E313+"$F;@!5L%"</f>
        <v>#VALUE!</v>
      </c>
      <c r="IA445" t="e">
        <f>Africa!F313+"$F;@!5L&amp;"</f>
        <v>#VALUE!</v>
      </c>
      <c r="IB445" t="e">
        <f>Africa!G313+"$F;@!5L'"</f>
        <v>#VALUE!</v>
      </c>
      <c r="IC445" t="e">
        <f>Africa!H313+"$F;@!5L("</f>
        <v>#VALUE!</v>
      </c>
      <c r="ID445" t="e">
        <f>Africa!A314+"$F;@!5L)"</f>
        <v>#VALUE!</v>
      </c>
      <c r="IE445" t="e">
        <f>Africa!B314+"$F;@!5L."</f>
        <v>#VALUE!</v>
      </c>
      <c r="IF445" t="e">
        <f>Africa!C314+"$F;@!5L/"</f>
        <v>#VALUE!</v>
      </c>
      <c r="IG445" t="e">
        <f>Africa!D314+"$F;@!5L0"</f>
        <v>#VALUE!</v>
      </c>
      <c r="IH445" t="e">
        <f>Africa!E314+"$F;@!5L1"</f>
        <v>#VALUE!</v>
      </c>
      <c r="II445" t="e">
        <f>Africa!F314+"$F;@!5L2"</f>
        <v>#VALUE!</v>
      </c>
      <c r="IJ445" t="e">
        <f>Africa!G314+"$F;@!5L3"</f>
        <v>#VALUE!</v>
      </c>
      <c r="IK445" t="e">
        <f>Africa!H314+"$F;@!5L4"</f>
        <v>#VALUE!</v>
      </c>
      <c r="IL445" t="e">
        <f>Africa!A315+"$F;@!5L5"</f>
        <v>#VALUE!</v>
      </c>
      <c r="IM445" t="e">
        <f>Africa!B315+"$F;@!5L6"</f>
        <v>#VALUE!</v>
      </c>
      <c r="IN445" t="e">
        <f>Africa!C315+"$F;@!5L7"</f>
        <v>#VALUE!</v>
      </c>
      <c r="IO445" t="e">
        <f>Africa!D315+"$F;@!5L8"</f>
        <v>#VALUE!</v>
      </c>
      <c r="IP445" t="e">
        <f>Africa!E315+"$F;@!5L9"</f>
        <v>#VALUE!</v>
      </c>
      <c r="IQ445" t="e">
        <f>Africa!F315+"$F;@!5L:"</f>
        <v>#VALUE!</v>
      </c>
      <c r="IR445" t="e">
        <f>Africa!G315+"$F;@!5L;"</f>
        <v>#VALUE!</v>
      </c>
      <c r="IS445" t="e">
        <f>Africa!H315+"$F;@!5L&lt;"</f>
        <v>#VALUE!</v>
      </c>
      <c r="IT445" t="e">
        <f>Africa!A316+"$F;@!5L="</f>
        <v>#VALUE!</v>
      </c>
      <c r="IU445" t="e">
        <f>Africa!B316+"$F;@!5L&gt;"</f>
        <v>#VALUE!</v>
      </c>
      <c r="IV445" t="e">
        <f>Africa!C316+"$F;@!5L?"</f>
        <v>#VALUE!</v>
      </c>
    </row>
    <row r="446" spans="6:256" x14ac:dyDescent="0.35">
      <c r="F446" t="e">
        <f>Africa!D316+"$F;@!5L@"</f>
        <v>#VALUE!</v>
      </c>
      <c r="G446" t="e">
        <f>Africa!E316+"$F;@!5LA"</f>
        <v>#VALUE!</v>
      </c>
      <c r="H446" t="e">
        <f>Africa!F316+"$F;@!5LB"</f>
        <v>#VALUE!</v>
      </c>
      <c r="I446" t="e">
        <f>Africa!G316+"$F;@!5LC"</f>
        <v>#VALUE!</v>
      </c>
      <c r="J446" t="e">
        <f>Africa!H316+"$F;@!5LD"</f>
        <v>#VALUE!</v>
      </c>
      <c r="K446" t="e">
        <f>Africa!A317+"$F;@!5LE"</f>
        <v>#VALUE!</v>
      </c>
      <c r="L446" t="e">
        <f>Africa!B317+"$F;@!5LF"</f>
        <v>#VALUE!</v>
      </c>
      <c r="M446" t="e">
        <f>Africa!C317+"$F;@!5LG"</f>
        <v>#VALUE!</v>
      </c>
      <c r="N446" t="e">
        <f>Africa!D317+"$F;@!5LH"</f>
        <v>#VALUE!</v>
      </c>
      <c r="O446" t="e">
        <f>Africa!E317+"$F;@!5LI"</f>
        <v>#VALUE!</v>
      </c>
      <c r="P446" t="e">
        <f>Africa!F317+"$F;@!5LJ"</f>
        <v>#VALUE!</v>
      </c>
      <c r="Q446" t="e">
        <f>Africa!G317+"$F;@!5LK"</f>
        <v>#VALUE!</v>
      </c>
      <c r="R446" t="e">
        <f>Africa!H317+"$F;@!5LL"</f>
        <v>#VALUE!</v>
      </c>
      <c r="S446" t="e">
        <f>Africa!A318+"$F;@!5LM"</f>
        <v>#VALUE!</v>
      </c>
      <c r="T446" t="e">
        <f>Africa!B318+"$F;@!5LN"</f>
        <v>#VALUE!</v>
      </c>
      <c r="U446" t="e">
        <f>Africa!C318+"$F;@!5LO"</f>
        <v>#VALUE!</v>
      </c>
      <c r="V446" t="e">
        <f>Africa!D318+"$F;@!5LP"</f>
        <v>#VALUE!</v>
      </c>
      <c r="W446" t="e">
        <f>Africa!E318+"$F;@!5LQ"</f>
        <v>#VALUE!</v>
      </c>
      <c r="X446" t="e">
        <f>Africa!F318+"$F;@!5LR"</f>
        <v>#VALUE!</v>
      </c>
      <c r="Y446" t="e">
        <f>Africa!G318+"$F;@!5LS"</f>
        <v>#VALUE!</v>
      </c>
      <c r="Z446" t="e">
        <f>Africa!H318+"$F;@!5LT"</f>
        <v>#VALUE!</v>
      </c>
      <c r="AA446" t="e">
        <f>Africa!A319+"$F;@!5LU"</f>
        <v>#VALUE!</v>
      </c>
      <c r="AB446" t="e">
        <f>Africa!B319+"$F;@!5LV"</f>
        <v>#VALUE!</v>
      </c>
      <c r="AC446" t="e">
        <f>Africa!C319+"$F;@!5LW"</f>
        <v>#VALUE!</v>
      </c>
      <c r="AD446" t="e">
        <f>Africa!D319+"$F;@!5LX"</f>
        <v>#VALUE!</v>
      </c>
      <c r="AE446" t="e">
        <f>Africa!E319+"$F;@!5LY"</f>
        <v>#VALUE!</v>
      </c>
      <c r="AF446" t="e">
        <f>Africa!F319+"$F;@!5LZ"</f>
        <v>#VALUE!</v>
      </c>
      <c r="AG446" t="e">
        <f>Africa!G319+"$F;@!5L["</f>
        <v>#VALUE!</v>
      </c>
      <c r="AH446" t="e">
        <f>Africa!H319+"$F;@!5L\"</f>
        <v>#VALUE!</v>
      </c>
      <c r="AI446" t="e">
        <f>Africa!A320+"$F;@!5L]"</f>
        <v>#VALUE!</v>
      </c>
      <c r="AJ446" t="e">
        <f>Africa!B320+"$F;@!5L^"</f>
        <v>#VALUE!</v>
      </c>
      <c r="AK446" t="e">
        <f>Africa!C320+"$F;@!5L_"</f>
        <v>#VALUE!</v>
      </c>
      <c r="AL446" t="e">
        <f>Africa!D320+"$F;@!5L`"</f>
        <v>#VALUE!</v>
      </c>
      <c r="AM446" t="e">
        <f>Africa!E320+"$F;@!5La"</f>
        <v>#VALUE!</v>
      </c>
      <c r="AN446" t="e">
        <f>Africa!F320+"$F;@!5Lb"</f>
        <v>#VALUE!</v>
      </c>
      <c r="AO446" t="e">
        <f>Africa!G320+"$F;@!5Lc"</f>
        <v>#VALUE!</v>
      </c>
      <c r="AP446" t="e">
        <f>Africa!H320+"$F;@!5Ld"</f>
        <v>#VALUE!</v>
      </c>
      <c r="AQ446" t="e">
        <f>Africa!A321+"$F;@!5Le"</f>
        <v>#VALUE!</v>
      </c>
      <c r="AR446" t="e">
        <f>Africa!B321+"$F;@!5Lf"</f>
        <v>#VALUE!</v>
      </c>
      <c r="AS446" t="e">
        <f>Africa!C321+"$F;@!5Lg"</f>
        <v>#VALUE!</v>
      </c>
      <c r="AT446" t="e">
        <f>Africa!D321+"$F;@!5Lh"</f>
        <v>#VALUE!</v>
      </c>
      <c r="AU446" t="e">
        <f>Africa!E321+"$F;@!5Li"</f>
        <v>#VALUE!</v>
      </c>
      <c r="AV446" t="e">
        <f>Africa!F321+"$F;@!5Lj"</f>
        <v>#VALUE!</v>
      </c>
      <c r="AW446" t="e">
        <f>Africa!G321+"$F;@!5Lk"</f>
        <v>#VALUE!</v>
      </c>
      <c r="AX446" t="e">
        <f>Africa!H321+"$F;@!5Ll"</f>
        <v>#VALUE!</v>
      </c>
      <c r="AY446" t="e">
        <f>Africa!A322+"$F;@!5Lm"</f>
        <v>#VALUE!</v>
      </c>
      <c r="AZ446" t="e">
        <f>Africa!B322+"$F;@!5Ln"</f>
        <v>#VALUE!</v>
      </c>
      <c r="BA446" t="e">
        <f>Africa!C322+"$F;@!5Lo"</f>
        <v>#VALUE!</v>
      </c>
      <c r="BB446" t="e">
        <f>Africa!D322+"$F;@!5Lp"</f>
        <v>#VALUE!</v>
      </c>
      <c r="BC446" t="e">
        <f>Africa!E322+"$F;@!5Lq"</f>
        <v>#VALUE!</v>
      </c>
      <c r="BD446" t="e">
        <f>Africa!F322+"$F;@!5Lr"</f>
        <v>#VALUE!</v>
      </c>
      <c r="BE446" t="e">
        <f>Africa!G322+"$F;@!5Ls"</f>
        <v>#VALUE!</v>
      </c>
      <c r="BF446" t="e">
        <f>Africa!H322+"$F;@!5Lt"</f>
        <v>#VALUE!</v>
      </c>
      <c r="BG446" t="e">
        <f>Africa!A323+"$F;@!5Lu"</f>
        <v>#VALUE!</v>
      </c>
      <c r="BH446" t="e">
        <f>Africa!B323+"$F;@!5Lv"</f>
        <v>#VALUE!</v>
      </c>
      <c r="BI446" t="e">
        <f>Africa!C323+"$F;@!5Lw"</f>
        <v>#VALUE!</v>
      </c>
      <c r="BJ446" t="e">
        <f>Africa!D323+"$F;@!5Lx"</f>
        <v>#VALUE!</v>
      </c>
      <c r="BK446" t="e">
        <f>Africa!E323+"$F;@!5Ly"</f>
        <v>#VALUE!</v>
      </c>
      <c r="BL446" t="e">
        <f>Africa!F323+"$F;@!5Lz"</f>
        <v>#VALUE!</v>
      </c>
      <c r="BM446" t="e">
        <f>Africa!G323+"$F;@!5L{"</f>
        <v>#VALUE!</v>
      </c>
      <c r="BN446" t="e">
        <f>Africa!H323+"$F;@!5L|"</f>
        <v>#VALUE!</v>
      </c>
      <c r="BO446" t="e">
        <f>Africa!A324+"$F;@!5L}"</f>
        <v>#VALUE!</v>
      </c>
      <c r="BP446" t="e">
        <f>Africa!B324+"$F;@!5L~"</f>
        <v>#VALUE!</v>
      </c>
      <c r="BQ446" t="e">
        <f>Africa!C324+"$F;@!5M#"</f>
        <v>#VALUE!</v>
      </c>
      <c r="BR446" t="e">
        <f>Africa!D324+"$F;@!5M$"</f>
        <v>#VALUE!</v>
      </c>
      <c r="BS446" t="e">
        <f>Africa!E324+"$F;@!5M%"</f>
        <v>#VALUE!</v>
      </c>
      <c r="BT446" t="e">
        <f>Africa!F324+"$F;@!5M&amp;"</f>
        <v>#VALUE!</v>
      </c>
      <c r="BU446" t="e">
        <f>Africa!G324+"$F;@!5M'"</f>
        <v>#VALUE!</v>
      </c>
      <c r="BV446" t="e">
        <f>Africa!H324+"$F;@!5M("</f>
        <v>#VALUE!</v>
      </c>
      <c r="BW446" t="e">
        <f>Africa!A325+"$F;@!5M)"</f>
        <v>#VALUE!</v>
      </c>
      <c r="BX446" t="e">
        <f>Africa!B325+"$F;@!5M."</f>
        <v>#VALUE!</v>
      </c>
      <c r="BY446" t="e">
        <f>Africa!C325+"$F;@!5M/"</f>
        <v>#VALUE!</v>
      </c>
      <c r="BZ446" t="e">
        <f>Africa!D325+"$F;@!5M0"</f>
        <v>#VALUE!</v>
      </c>
      <c r="CA446" t="e">
        <f>Africa!E325+"$F;@!5M1"</f>
        <v>#VALUE!</v>
      </c>
      <c r="CB446" t="e">
        <f>Africa!F325+"$F;@!5M2"</f>
        <v>#VALUE!</v>
      </c>
      <c r="CC446" t="e">
        <f>Africa!G325+"$F;@!5M3"</f>
        <v>#VALUE!</v>
      </c>
      <c r="CD446" t="e">
        <f>Africa!H325+"$F;@!5M4"</f>
        <v>#VALUE!</v>
      </c>
      <c r="CE446" t="e">
        <f>Africa!A326+"$F;@!5M5"</f>
        <v>#VALUE!</v>
      </c>
      <c r="CF446" t="e">
        <f>Africa!B326+"$F;@!5M6"</f>
        <v>#VALUE!</v>
      </c>
      <c r="CG446" t="e">
        <f>Africa!C326+"$F;@!5M7"</f>
        <v>#VALUE!</v>
      </c>
      <c r="CH446" t="e">
        <f>Africa!D326+"$F;@!5M8"</f>
        <v>#VALUE!</v>
      </c>
      <c r="CI446" t="e">
        <f>Africa!E326+"$F;@!5M9"</f>
        <v>#VALUE!</v>
      </c>
      <c r="CJ446" t="e">
        <f>Africa!F326+"$F;@!5M:"</f>
        <v>#VALUE!</v>
      </c>
      <c r="CK446" t="e">
        <f>Africa!G326+"$F;@!5M;"</f>
        <v>#VALUE!</v>
      </c>
      <c r="CL446" t="e">
        <f>Africa!H326+"$F;@!5M&lt;"</f>
        <v>#VALUE!</v>
      </c>
      <c r="CM446" t="e">
        <f>Africa!A327+"$F;@!5M="</f>
        <v>#VALUE!</v>
      </c>
      <c r="CN446" t="e">
        <f>Africa!B327+"$F;@!5M&gt;"</f>
        <v>#VALUE!</v>
      </c>
      <c r="CO446" t="e">
        <f>Africa!C327+"$F;@!5M?"</f>
        <v>#VALUE!</v>
      </c>
      <c r="CP446" t="e">
        <f>Africa!D327+"$F;@!5M@"</f>
        <v>#VALUE!</v>
      </c>
      <c r="CQ446" t="e">
        <f>Africa!E327+"$F;@!5MA"</f>
        <v>#VALUE!</v>
      </c>
      <c r="CR446" t="e">
        <f>Africa!F327+"$F;@!5MB"</f>
        <v>#VALUE!</v>
      </c>
      <c r="CS446" t="e">
        <f>Africa!G327+"$F;@!5MC"</f>
        <v>#VALUE!</v>
      </c>
      <c r="CT446" t="e">
        <f>Africa!H327+"$F;@!5MD"</f>
        <v>#VALUE!</v>
      </c>
      <c r="CU446" t="e">
        <f>Africa!A328+"$F;@!5ME"</f>
        <v>#VALUE!</v>
      </c>
      <c r="CV446" t="e">
        <f>Africa!B328+"$F;@!5MF"</f>
        <v>#VALUE!</v>
      </c>
      <c r="CW446" t="e">
        <f>Africa!C328+"$F;@!5MG"</f>
        <v>#VALUE!</v>
      </c>
      <c r="CX446" t="e">
        <f>Africa!D328+"$F;@!5MH"</f>
        <v>#VALUE!</v>
      </c>
      <c r="CY446" t="e">
        <f>Africa!E328+"$F;@!5MI"</f>
        <v>#VALUE!</v>
      </c>
      <c r="CZ446" t="e">
        <f>Africa!F328+"$F;@!5MJ"</f>
        <v>#VALUE!</v>
      </c>
      <c r="DA446" t="e">
        <f>Africa!G328+"$F;@!5MK"</f>
        <v>#VALUE!</v>
      </c>
      <c r="DB446" t="e">
        <f>Africa!H328+"$F;@!5ML"</f>
        <v>#VALUE!</v>
      </c>
      <c r="DC446" t="e">
        <f>Africa!A329+"$F;@!5MM"</f>
        <v>#VALUE!</v>
      </c>
      <c r="DD446" t="e">
        <f>Africa!B329+"$F;@!5MN"</f>
        <v>#VALUE!</v>
      </c>
      <c r="DE446" t="e">
        <f>Africa!C329+"$F;@!5MO"</f>
        <v>#VALUE!</v>
      </c>
      <c r="DF446" t="e">
        <f>Africa!D329+"$F;@!5MP"</f>
        <v>#VALUE!</v>
      </c>
      <c r="DG446" t="e">
        <f>Africa!E329+"$F;@!5MQ"</f>
        <v>#VALUE!</v>
      </c>
      <c r="DH446" t="e">
        <f>Africa!F329+"$F;@!5MR"</f>
        <v>#VALUE!</v>
      </c>
      <c r="DI446" t="e">
        <f>Africa!G329+"$F;@!5MS"</f>
        <v>#VALUE!</v>
      </c>
      <c r="DJ446" t="e">
        <f>Africa!H329+"$F;@!5MT"</f>
        <v>#VALUE!</v>
      </c>
      <c r="DK446" t="e">
        <f>Africa!A330+"$F;@!5MU"</f>
        <v>#VALUE!</v>
      </c>
      <c r="DL446" t="e">
        <f>Africa!B330+"$F;@!5MV"</f>
        <v>#VALUE!</v>
      </c>
      <c r="DM446" t="e">
        <f>Africa!C330+"$F;@!5MW"</f>
        <v>#VALUE!</v>
      </c>
      <c r="DN446" t="e">
        <f>Africa!D330+"$F;@!5MX"</f>
        <v>#VALUE!</v>
      </c>
      <c r="DO446" t="e">
        <f>Africa!G330+"$F;@!5MY"</f>
        <v>#VALUE!</v>
      </c>
      <c r="DP446" t="e">
        <f>Africa!H330+"$F;@!5MZ"</f>
        <v>#VALUE!</v>
      </c>
      <c r="DQ446" t="e">
        <f>Africa!A331+"$F;@!5M["</f>
        <v>#VALUE!</v>
      </c>
      <c r="DR446" t="e">
        <f>Africa!B331+"$F;@!5M\"</f>
        <v>#VALUE!</v>
      </c>
      <c r="DS446" t="e">
        <f>Africa!C331+"$F;@!5M]"</f>
        <v>#VALUE!</v>
      </c>
      <c r="DT446" t="e">
        <f>Africa!D331+"$F;@!5M^"</f>
        <v>#VALUE!</v>
      </c>
      <c r="DU446" t="e">
        <f>Africa!E331+"$F;@!5M_"</f>
        <v>#VALUE!</v>
      </c>
      <c r="DV446" t="e">
        <f>Africa!F331+"$F;@!5M`"</f>
        <v>#VALUE!</v>
      </c>
      <c r="DW446" t="e">
        <f>Africa!G331+"$F;@!5Ma"</f>
        <v>#VALUE!</v>
      </c>
      <c r="DX446" t="e">
        <f>Africa!H331+"$F;@!5Mb"</f>
        <v>#VALUE!</v>
      </c>
      <c r="DY446" t="e">
        <f>Africa!A332+"$F;@!5Mc"</f>
        <v>#VALUE!</v>
      </c>
      <c r="DZ446" t="e">
        <f>Africa!B332+"$F;@!5Md"</f>
        <v>#VALUE!</v>
      </c>
      <c r="EA446" t="e">
        <f>Africa!C332+"$F;@!5Me"</f>
        <v>#VALUE!</v>
      </c>
      <c r="EB446" t="e">
        <f>Africa!D332+"$F;@!5Mf"</f>
        <v>#VALUE!</v>
      </c>
      <c r="EC446" t="e">
        <f>Africa!E332+"$F;@!5Mg"</f>
        <v>#VALUE!</v>
      </c>
      <c r="ED446" t="e">
        <f>Africa!F332+"$F;@!5Mh"</f>
        <v>#VALUE!</v>
      </c>
      <c r="EE446" t="e">
        <f>Africa!G332+"$F;@!5Mi"</f>
        <v>#VALUE!</v>
      </c>
      <c r="EF446" t="e">
        <f>Africa!H332+"$F;@!5Mj"</f>
        <v>#VALUE!</v>
      </c>
      <c r="EG446" t="e">
        <f>Africa!A333+"$F;@!5Mk"</f>
        <v>#VALUE!</v>
      </c>
      <c r="EH446" t="e">
        <f>Africa!B333+"$F;@!5Ml"</f>
        <v>#VALUE!</v>
      </c>
      <c r="EI446" t="e">
        <f>Africa!C333+"$F;@!5Mm"</f>
        <v>#VALUE!</v>
      </c>
      <c r="EJ446" t="e">
        <f>Africa!D333+"$F;@!5Mn"</f>
        <v>#VALUE!</v>
      </c>
      <c r="EK446" t="e">
        <f>Africa!E333+"$F;@!5Mo"</f>
        <v>#VALUE!</v>
      </c>
      <c r="EL446" t="e">
        <f>Africa!F333+"$F;@!5Mp"</f>
        <v>#VALUE!</v>
      </c>
      <c r="EM446" t="e">
        <f>Africa!G333+"$F;@!5Mq"</f>
        <v>#VALUE!</v>
      </c>
      <c r="EN446" t="e">
        <f>Africa!H333+"$F;@!5Mr"</f>
        <v>#VALUE!</v>
      </c>
      <c r="EO446" t="e">
        <f>Africa!A334+"$F;@!5Ms"</f>
        <v>#VALUE!</v>
      </c>
      <c r="EP446" t="e">
        <f>Africa!B334+"$F;@!5Mt"</f>
        <v>#VALUE!</v>
      </c>
      <c r="EQ446" t="e">
        <f>Africa!C334+"$F;@!5Mu"</f>
        <v>#VALUE!</v>
      </c>
      <c r="ER446" t="e">
        <f>Africa!D334+"$F;@!5Mv"</f>
        <v>#VALUE!</v>
      </c>
      <c r="ES446" t="e">
        <f>Africa!E334+"$F;@!5Mw"</f>
        <v>#VALUE!</v>
      </c>
      <c r="ET446" t="e">
        <f>Africa!F334+"$F;@!5Mx"</f>
        <v>#VALUE!</v>
      </c>
      <c r="EU446" t="e">
        <f>Africa!G334+"$F;@!5My"</f>
        <v>#VALUE!</v>
      </c>
      <c r="EV446" t="e">
        <f>Africa!H334+"$F;@!5Mz"</f>
        <v>#VALUE!</v>
      </c>
      <c r="EW446" t="e">
        <f>Africa!A335+"$F;@!5M{"</f>
        <v>#VALUE!</v>
      </c>
      <c r="EX446" t="e">
        <f>Africa!B335+"$F;@!5M|"</f>
        <v>#VALUE!</v>
      </c>
      <c r="EY446" t="e">
        <f>Africa!C335+"$F;@!5M}"</f>
        <v>#VALUE!</v>
      </c>
      <c r="EZ446" t="e">
        <f>Africa!D335+"$F;@!5M~"</f>
        <v>#VALUE!</v>
      </c>
      <c r="FA446" t="e">
        <f>Africa!E335+"$F;@!5N#"</f>
        <v>#VALUE!</v>
      </c>
      <c r="FB446" t="e">
        <f>Africa!F335+"$F;@!5N$"</f>
        <v>#VALUE!</v>
      </c>
      <c r="FC446" t="e">
        <f>Africa!G335+"$F;@!5N%"</f>
        <v>#VALUE!</v>
      </c>
      <c r="FD446" t="e">
        <f>Africa!H335+"$F;@!5N&amp;"</f>
        <v>#VALUE!</v>
      </c>
      <c r="FE446" t="e">
        <f>Africa!A336+"$F;@!5N'"</f>
        <v>#VALUE!</v>
      </c>
      <c r="FF446" t="e">
        <f>Africa!B336+"$F;@!5N("</f>
        <v>#VALUE!</v>
      </c>
      <c r="FG446" t="e">
        <f>Africa!C336+"$F;@!5N)"</f>
        <v>#VALUE!</v>
      </c>
      <c r="FH446" t="e">
        <f>Africa!D336+"$F;@!5N."</f>
        <v>#VALUE!</v>
      </c>
      <c r="FI446" t="e">
        <f>Africa!E336+"$F;@!5N/"</f>
        <v>#VALUE!</v>
      </c>
      <c r="FJ446" t="e">
        <f>Africa!F336+"$F;@!5N0"</f>
        <v>#VALUE!</v>
      </c>
      <c r="FK446" t="e">
        <f>Africa!G336+"$F;@!5N1"</f>
        <v>#VALUE!</v>
      </c>
      <c r="FL446" t="e">
        <f>Africa!H336+"$F;@!5N2"</f>
        <v>#VALUE!</v>
      </c>
      <c r="FM446" t="e">
        <f>Africa!A337+"$F;@!5N3"</f>
        <v>#VALUE!</v>
      </c>
      <c r="FN446" t="e">
        <f>Africa!B337+"$F;@!5N4"</f>
        <v>#VALUE!</v>
      </c>
      <c r="FO446" t="e">
        <f>Africa!C337+"$F;@!5N5"</f>
        <v>#VALUE!</v>
      </c>
      <c r="FP446" t="e">
        <f>Africa!D337+"$F;@!5N6"</f>
        <v>#VALUE!</v>
      </c>
      <c r="FQ446" t="e">
        <f>Africa!E337+"$F;@!5N7"</f>
        <v>#VALUE!</v>
      </c>
      <c r="FR446" t="e">
        <f>Africa!F337+"$F;@!5N8"</f>
        <v>#VALUE!</v>
      </c>
      <c r="FS446" t="e">
        <f>Africa!G337+"$F;@!5N9"</f>
        <v>#VALUE!</v>
      </c>
      <c r="FT446" t="e">
        <f>Africa!H337+"$F;@!5N:"</f>
        <v>#VALUE!</v>
      </c>
      <c r="FU446" t="e">
        <f>Africa!A338+"$F;@!5N;"</f>
        <v>#VALUE!</v>
      </c>
      <c r="FV446" t="e">
        <f>Africa!B338+"$F;@!5N&lt;"</f>
        <v>#VALUE!</v>
      </c>
      <c r="FW446" t="e">
        <f>Africa!C338+"$F;@!5N="</f>
        <v>#VALUE!</v>
      </c>
      <c r="FX446" t="e">
        <f>Africa!D338+"$F;@!5N&gt;"</f>
        <v>#VALUE!</v>
      </c>
      <c r="FY446" t="e">
        <f>Africa!E338+"$F;@!5N?"</f>
        <v>#VALUE!</v>
      </c>
      <c r="FZ446" t="e">
        <f>Africa!F338+"$F;@!5N@"</f>
        <v>#VALUE!</v>
      </c>
      <c r="GA446" t="e">
        <f>Africa!G338+"$F;@!5NA"</f>
        <v>#VALUE!</v>
      </c>
      <c r="GB446" t="e">
        <f>Africa!H338+"$F;@!5NB"</f>
        <v>#VALUE!</v>
      </c>
      <c r="GC446" t="e">
        <f>Africa!A339+"$F;@!5NC"</f>
        <v>#VALUE!</v>
      </c>
      <c r="GD446" t="e">
        <f>Africa!B339+"$F;@!5ND"</f>
        <v>#VALUE!</v>
      </c>
      <c r="GE446" t="e">
        <f>Africa!C339+"$F;@!5NE"</f>
        <v>#VALUE!</v>
      </c>
      <c r="GF446" t="e">
        <f>Africa!D339+"$F;@!5NF"</f>
        <v>#VALUE!</v>
      </c>
      <c r="GG446" t="e">
        <f>Africa!E339+"$F;@!5NG"</f>
        <v>#VALUE!</v>
      </c>
      <c r="GH446" t="e">
        <f>Africa!F339+"$F;@!5NH"</f>
        <v>#VALUE!</v>
      </c>
      <c r="GI446" t="e">
        <f>Africa!G339+"$F;@!5NI"</f>
        <v>#VALUE!</v>
      </c>
      <c r="GJ446" t="e">
        <f>Africa!H339+"$F;@!5NJ"</f>
        <v>#VALUE!</v>
      </c>
      <c r="GK446" t="e">
        <f>Africa!A340+"$F;@!5NK"</f>
        <v>#VALUE!</v>
      </c>
      <c r="GL446" t="e">
        <f>Africa!B340+"$F;@!5NL"</f>
        <v>#VALUE!</v>
      </c>
      <c r="GM446" t="e">
        <f>Africa!C340+"$F;@!5NM"</f>
        <v>#VALUE!</v>
      </c>
      <c r="GN446" t="e">
        <f>Africa!D340+"$F;@!5NN"</f>
        <v>#VALUE!</v>
      </c>
      <c r="GO446" t="e">
        <f>Africa!E340+"$F;@!5NO"</f>
        <v>#VALUE!</v>
      </c>
      <c r="GP446" t="e">
        <f>Africa!F340+"$F;@!5NP"</f>
        <v>#VALUE!</v>
      </c>
      <c r="GQ446" t="e">
        <f>Africa!G340+"$F;@!5NQ"</f>
        <v>#VALUE!</v>
      </c>
      <c r="GR446" t="e">
        <f>Africa!H340+"$F;@!5NR"</f>
        <v>#VALUE!</v>
      </c>
      <c r="GS446" t="e">
        <f>Africa!A341+"$F;@!5NS"</f>
        <v>#VALUE!</v>
      </c>
      <c r="GT446" t="e">
        <f>Africa!B341+"$F;@!5NT"</f>
        <v>#VALUE!</v>
      </c>
      <c r="GU446" t="e">
        <f>Africa!C341+"$F;@!5NU"</f>
        <v>#VALUE!</v>
      </c>
      <c r="GV446" t="e">
        <f>Africa!D341+"$F;@!5NV"</f>
        <v>#VALUE!</v>
      </c>
      <c r="GW446" t="e">
        <f>Africa!E341+"$F;@!5NW"</f>
        <v>#VALUE!</v>
      </c>
      <c r="GX446" t="e">
        <f>Africa!F341+"$F;@!5NX"</f>
        <v>#VALUE!</v>
      </c>
      <c r="GY446" t="e">
        <f>Africa!G341+"$F;@!5NY"</f>
        <v>#VALUE!</v>
      </c>
      <c r="GZ446" t="e">
        <f>Africa!H341+"$F;@!5NZ"</f>
        <v>#VALUE!</v>
      </c>
      <c r="HA446" t="e">
        <f>Africa!A342+"$F;@!5N["</f>
        <v>#VALUE!</v>
      </c>
      <c r="HB446" t="e">
        <f>Africa!B342+"$F;@!5N\"</f>
        <v>#VALUE!</v>
      </c>
      <c r="HC446" t="e">
        <f>Africa!C342+"$F;@!5N]"</f>
        <v>#VALUE!</v>
      </c>
      <c r="HD446" t="e">
        <f>Africa!D342+"$F;@!5N^"</f>
        <v>#VALUE!</v>
      </c>
      <c r="HE446" t="e">
        <f>Africa!E342+"$F;@!5N_"</f>
        <v>#VALUE!</v>
      </c>
      <c r="HF446" t="e">
        <f>Africa!F342+"$F;@!5N`"</f>
        <v>#VALUE!</v>
      </c>
      <c r="HG446" t="e">
        <f>Africa!G342+"$F;@!5Na"</f>
        <v>#VALUE!</v>
      </c>
      <c r="HH446" t="e">
        <f>Africa!H342+"$F;@!5Nb"</f>
        <v>#VALUE!</v>
      </c>
      <c r="HI446" t="e">
        <f>Africa!A343+"$F;@!5Nc"</f>
        <v>#VALUE!</v>
      </c>
      <c r="HJ446" t="e">
        <f>Africa!B343+"$F;@!5Nd"</f>
        <v>#VALUE!</v>
      </c>
      <c r="HK446" t="e">
        <f>Africa!C343+"$F;@!5Ne"</f>
        <v>#VALUE!</v>
      </c>
      <c r="HL446" t="e">
        <f>Africa!D343+"$F;@!5Nf"</f>
        <v>#VALUE!</v>
      </c>
      <c r="HM446" t="e">
        <f>Africa!E343+"$F;@!5Ng"</f>
        <v>#VALUE!</v>
      </c>
      <c r="HN446" t="e">
        <f>Africa!F343+"$F;@!5Nh"</f>
        <v>#VALUE!</v>
      </c>
      <c r="HO446" t="e">
        <f>Africa!G343+"$F;@!5Ni"</f>
        <v>#VALUE!</v>
      </c>
      <c r="HP446" t="e">
        <f>Africa!H343+"$F;@!5Nj"</f>
        <v>#VALUE!</v>
      </c>
      <c r="HQ446" t="e">
        <f>Africa!A344+"$F;@!5Nk"</f>
        <v>#VALUE!</v>
      </c>
      <c r="HR446" t="e">
        <f>Africa!B344+"$F;@!5Nl"</f>
        <v>#VALUE!</v>
      </c>
      <c r="HS446" t="e">
        <f>Africa!C344+"$F;@!5Nm"</f>
        <v>#VALUE!</v>
      </c>
      <c r="HT446" t="e">
        <f>Africa!D344+"$F;@!5Nn"</f>
        <v>#VALUE!</v>
      </c>
      <c r="HU446" t="e">
        <f>Africa!E344+"$F;@!5No"</f>
        <v>#VALUE!</v>
      </c>
      <c r="HV446" t="e">
        <f>Africa!F344+"$F;@!5Np"</f>
        <v>#VALUE!</v>
      </c>
      <c r="HW446" t="e">
        <f>Africa!G344+"$F;@!5Nq"</f>
        <v>#VALUE!</v>
      </c>
      <c r="HX446" t="e">
        <f>Africa!H344+"$F;@!5Nr"</f>
        <v>#VALUE!</v>
      </c>
      <c r="HY446" t="e">
        <f>Africa!A345+"$F;@!5Ns"</f>
        <v>#VALUE!</v>
      </c>
      <c r="HZ446" t="e">
        <f>Africa!B345+"$F;@!5Nt"</f>
        <v>#VALUE!</v>
      </c>
      <c r="IA446" t="e">
        <f>Africa!C345+"$F;@!5Nu"</f>
        <v>#VALUE!</v>
      </c>
      <c r="IB446" t="e">
        <f>Africa!D345+"$F;@!5Nv"</f>
        <v>#VALUE!</v>
      </c>
      <c r="IC446" t="e">
        <f>Africa!E345+"$F;@!5Nw"</f>
        <v>#VALUE!</v>
      </c>
      <c r="ID446" t="e">
        <f>Africa!F345+"$F;@!5Nx"</f>
        <v>#VALUE!</v>
      </c>
      <c r="IE446" t="e">
        <f>Africa!G345+"$F;@!5Ny"</f>
        <v>#VALUE!</v>
      </c>
      <c r="IF446" t="e">
        <f>Africa!H345+"$F;@!5Nz"</f>
        <v>#VALUE!</v>
      </c>
      <c r="IG446" t="e">
        <f>Africa!A346+"$F;@!5N{"</f>
        <v>#VALUE!</v>
      </c>
      <c r="IH446" t="e">
        <f>Africa!B346+"$F;@!5N|"</f>
        <v>#VALUE!</v>
      </c>
      <c r="II446" t="e">
        <f>Africa!C346+"$F;@!5N}"</f>
        <v>#VALUE!</v>
      </c>
      <c r="IJ446" t="e">
        <f>Africa!D346+"$F;@!5N~"</f>
        <v>#VALUE!</v>
      </c>
      <c r="IK446" t="e">
        <f>Africa!E346+"$F;@!5O#"</f>
        <v>#VALUE!</v>
      </c>
      <c r="IL446" t="e">
        <f>Africa!F346+"$F;@!5O$"</f>
        <v>#VALUE!</v>
      </c>
      <c r="IM446" t="e">
        <f>Africa!G346+"$F;@!5O%"</f>
        <v>#VALUE!</v>
      </c>
      <c r="IN446" t="e">
        <f>Africa!H346+"$F;@!5O&amp;"</f>
        <v>#VALUE!</v>
      </c>
      <c r="IO446" t="e">
        <f>Africa!A347+"$F;@!5O'"</f>
        <v>#VALUE!</v>
      </c>
      <c r="IP446" t="e">
        <f>Africa!B347+"$F;@!5O("</f>
        <v>#VALUE!</v>
      </c>
      <c r="IQ446" t="e">
        <f>Africa!C347+"$F;@!5O)"</f>
        <v>#VALUE!</v>
      </c>
      <c r="IR446" t="e">
        <f>Africa!D347+"$F;@!5O."</f>
        <v>#VALUE!</v>
      </c>
      <c r="IS446" t="e">
        <f>Africa!E347+"$F;@!5O/"</f>
        <v>#VALUE!</v>
      </c>
      <c r="IT446" t="e">
        <f>Africa!F347+"$F;@!5O0"</f>
        <v>#VALUE!</v>
      </c>
      <c r="IU446" t="e">
        <f>Africa!G347+"$F;@!5O1"</f>
        <v>#VALUE!</v>
      </c>
      <c r="IV446" t="e">
        <f>Africa!H347+"$F;@!5O2"</f>
        <v>#VALUE!</v>
      </c>
    </row>
    <row r="447" spans="6:256" x14ac:dyDescent="0.35">
      <c r="F447" t="e">
        <f>Africa!A348+"$F;@!5O3"</f>
        <v>#VALUE!</v>
      </c>
      <c r="G447" t="e">
        <f>Africa!B348+"$F;@!5O4"</f>
        <v>#VALUE!</v>
      </c>
      <c r="H447" t="e">
        <f>Africa!C348+"$F;@!5O5"</f>
        <v>#VALUE!</v>
      </c>
      <c r="I447" t="e">
        <f>Africa!D348+"$F;@!5O6"</f>
        <v>#VALUE!</v>
      </c>
      <c r="J447" t="e">
        <f>Africa!E348+"$F;@!5O7"</f>
        <v>#VALUE!</v>
      </c>
      <c r="K447" t="e">
        <f>Africa!F348+"$F;@!5O8"</f>
        <v>#VALUE!</v>
      </c>
      <c r="L447" t="e">
        <f>Africa!G348+"$F;@!5O9"</f>
        <v>#VALUE!</v>
      </c>
      <c r="M447" t="e">
        <f>Africa!H348+"$F;@!5O:"</f>
        <v>#VALUE!</v>
      </c>
      <c r="N447" t="e">
        <f>Africa!A349+"$F;@!5O;"</f>
        <v>#VALUE!</v>
      </c>
      <c r="O447" t="e">
        <f>Africa!B349+"$F;@!5O&lt;"</f>
        <v>#VALUE!</v>
      </c>
      <c r="P447" t="e">
        <f>Africa!C349+"$F;@!5O="</f>
        <v>#VALUE!</v>
      </c>
      <c r="Q447" t="e">
        <f>Africa!D349+"$F;@!5O&gt;"</f>
        <v>#VALUE!</v>
      </c>
      <c r="R447" t="e">
        <f>Africa!E349+"$F;@!5O?"</f>
        <v>#VALUE!</v>
      </c>
      <c r="S447" t="e">
        <f>Africa!F349+"$F;@!5O@"</f>
        <v>#VALUE!</v>
      </c>
      <c r="T447" t="e">
        <f>Africa!G349+"$F;@!5OA"</f>
        <v>#VALUE!</v>
      </c>
      <c r="U447" t="e">
        <f>Africa!H349+"$F;@!5OB"</f>
        <v>#VALUE!</v>
      </c>
      <c r="V447" t="e">
        <f>Africa!A350+"$F;@!5OC"</f>
        <v>#VALUE!</v>
      </c>
      <c r="W447" t="e">
        <f>Africa!B350+"$F;@!5OD"</f>
        <v>#VALUE!</v>
      </c>
      <c r="X447" t="e">
        <f>Africa!C350+"$F;@!5OE"</f>
        <v>#VALUE!</v>
      </c>
      <c r="Y447" t="e">
        <f>Africa!D350+"$F;@!5OF"</f>
        <v>#VALUE!</v>
      </c>
      <c r="Z447" t="e">
        <f>Africa!E350+"$F;@!5OG"</f>
        <v>#VALUE!</v>
      </c>
      <c r="AA447" t="e">
        <f>Africa!F350+"$F;@!5OH"</f>
        <v>#VALUE!</v>
      </c>
      <c r="AB447" t="e">
        <f>Africa!G350+"$F;@!5OI"</f>
        <v>#VALUE!</v>
      </c>
      <c r="AC447" t="e">
        <f>Africa!H350+"$F;@!5OJ"</f>
        <v>#VALUE!</v>
      </c>
      <c r="AD447" t="e">
        <f>Africa!A351+"$F;@!5OK"</f>
        <v>#VALUE!</v>
      </c>
      <c r="AE447" t="e">
        <f>Africa!B351+"$F;@!5OL"</f>
        <v>#VALUE!</v>
      </c>
      <c r="AF447" t="e">
        <f>Africa!C351+"$F;@!5OM"</f>
        <v>#VALUE!</v>
      </c>
      <c r="AG447" t="e">
        <f>Africa!D351+"$F;@!5ON"</f>
        <v>#VALUE!</v>
      </c>
      <c r="AH447" t="e">
        <f>Africa!E351+"$F;@!5OO"</f>
        <v>#VALUE!</v>
      </c>
      <c r="AI447" t="e">
        <f>Africa!F351+"$F;@!5OP"</f>
        <v>#VALUE!</v>
      </c>
      <c r="AJ447" t="e">
        <f>Africa!G351+"$F;@!5OQ"</f>
        <v>#VALUE!</v>
      </c>
      <c r="AK447" t="e">
        <f>Africa!H351+"$F;@!5OR"</f>
        <v>#VALUE!</v>
      </c>
      <c r="AL447" t="e">
        <f>Africa!A352+"$F;@!5OS"</f>
        <v>#VALUE!</v>
      </c>
      <c r="AM447" t="e">
        <f>Africa!B352+"$F;@!5OT"</f>
        <v>#VALUE!</v>
      </c>
      <c r="AN447" t="e">
        <f>Africa!C352+"$F;@!5OU"</f>
        <v>#VALUE!</v>
      </c>
      <c r="AO447" t="e">
        <f>Africa!D352+"$F;@!5OV"</f>
        <v>#VALUE!</v>
      </c>
      <c r="AP447" t="e">
        <f>Africa!E352+"$F;@!5OW"</f>
        <v>#VALUE!</v>
      </c>
      <c r="AQ447" t="e">
        <f>Africa!F352+"$F;@!5OX"</f>
        <v>#VALUE!</v>
      </c>
      <c r="AR447" t="e">
        <f>Africa!G352+"$F;@!5OY"</f>
        <v>#VALUE!</v>
      </c>
      <c r="AS447" t="e">
        <f>Africa!H352+"$F;@!5OZ"</f>
        <v>#VALUE!</v>
      </c>
      <c r="AT447" t="e">
        <f>Africa!A353+"$F;@!5O["</f>
        <v>#VALUE!</v>
      </c>
      <c r="AU447" t="e">
        <f>Africa!B353+"$F;@!5O\"</f>
        <v>#VALUE!</v>
      </c>
      <c r="AV447" t="e">
        <f>Africa!C353+"$F;@!5O]"</f>
        <v>#VALUE!</v>
      </c>
      <c r="AW447" t="e">
        <f>Africa!D353+"$F;@!5O^"</f>
        <v>#VALUE!</v>
      </c>
      <c r="AX447" t="e">
        <f>Africa!E353+"$F;@!5O_"</f>
        <v>#VALUE!</v>
      </c>
      <c r="AY447" t="e">
        <f>Africa!F353+"$F;@!5O`"</f>
        <v>#VALUE!</v>
      </c>
      <c r="AZ447" t="e">
        <f>Africa!G353+"$F;@!5Oa"</f>
        <v>#VALUE!</v>
      </c>
      <c r="BA447" t="e">
        <f>Africa!H353+"$F;@!5Ob"</f>
        <v>#VALUE!</v>
      </c>
      <c r="BB447" t="e">
        <f>Africa!A354+"$F;@!5Oc"</f>
        <v>#VALUE!</v>
      </c>
      <c r="BC447" t="e">
        <f>Africa!B354+"$F;@!5Od"</f>
        <v>#VALUE!</v>
      </c>
      <c r="BD447" t="e">
        <f>Africa!C354+"$F;@!5Oe"</f>
        <v>#VALUE!</v>
      </c>
      <c r="BE447" t="e">
        <f>Africa!D354+"$F;@!5Of"</f>
        <v>#VALUE!</v>
      </c>
      <c r="BF447" t="e">
        <f>Africa!E354+"$F;@!5Og"</f>
        <v>#VALUE!</v>
      </c>
      <c r="BG447" t="e">
        <f>Africa!F354+"$F;@!5Oh"</f>
        <v>#VALUE!</v>
      </c>
      <c r="BH447" t="e">
        <f>Africa!G354+"$F;@!5Oi"</f>
        <v>#VALUE!</v>
      </c>
      <c r="BI447" t="e">
        <f>Africa!H354+"$F;@!5Oj"</f>
        <v>#VALUE!</v>
      </c>
      <c r="BJ447" t="e">
        <f>Africa!A355+"$F;@!5Ok"</f>
        <v>#VALUE!</v>
      </c>
      <c r="BK447" t="e">
        <f>Africa!B355+"$F;@!5Ol"</f>
        <v>#VALUE!</v>
      </c>
      <c r="BL447" t="e">
        <f>Africa!C355+"$F;@!5Om"</f>
        <v>#VALUE!</v>
      </c>
      <c r="BM447" t="e">
        <f>Africa!D355+"$F;@!5On"</f>
        <v>#VALUE!</v>
      </c>
      <c r="BN447" t="e">
        <f>Africa!E355+"$F;@!5Oo"</f>
        <v>#VALUE!</v>
      </c>
      <c r="BO447" t="e">
        <f>Africa!F355+"$F;@!5Op"</f>
        <v>#VALUE!</v>
      </c>
      <c r="BP447" t="e">
        <f>Africa!G355+"$F;@!5Oq"</f>
        <v>#VALUE!</v>
      </c>
      <c r="BQ447" t="e">
        <f>Africa!H355+"$F;@!5Or"</f>
        <v>#VALUE!</v>
      </c>
      <c r="BR447" t="e">
        <f>Africa!A356+"$F;@!5Os"</f>
        <v>#VALUE!</v>
      </c>
      <c r="BS447" t="e">
        <f>Africa!B356+"$F;@!5Ot"</f>
        <v>#VALUE!</v>
      </c>
      <c r="BT447" t="e">
        <f>Africa!C356+"$F;@!5Ou"</f>
        <v>#VALUE!</v>
      </c>
      <c r="BU447" t="e">
        <f>Africa!D356+"$F;@!5Ov"</f>
        <v>#VALUE!</v>
      </c>
      <c r="BV447" t="e">
        <f>Africa!E356+"$F;@!5Ow"</f>
        <v>#VALUE!</v>
      </c>
      <c r="BW447" t="e">
        <f>Africa!F356+"$F;@!5Ox"</f>
        <v>#VALUE!</v>
      </c>
      <c r="BX447" t="e">
        <f>Africa!G356+"$F;@!5Oy"</f>
        <v>#VALUE!</v>
      </c>
      <c r="BY447" t="e">
        <f>Africa!H356+"$F;@!5Oz"</f>
        <v>#VALUE!</v>
      </c>
      <c r="BZ447" t="e">
        <f>Africa!A357+"$F;@!5O{"</f>
        <v>#VALUE!</v>
      </c>
      <c r="CA447" t="e">
        <f>Africa!B357+"$F;@!5O|"</f>
        <v>#VALUE!</v>
      </c>
      <c r="CB447" t="e">
        <f>Africa!C357+"$F;@!5O}"</f>
        <v>#VALUE!</v>
      </c>
      <c r="CC447" t="e">
        <f>Africa!D357+"$F;@!5O~"</f>
        <v>#VALUE!</v>
      </c>
      <c r="CD447" t="e">
        <f>Africa!E357+"$F;@!5P#"</f>
        <v>#VALUE!</v>
      </c>
      <c r="CE447" t="e">
        <f>Africa!F357+"$F;@!5P$"</f>
        <v>#VALUE!</v>
      </c>
      <c r="CF447" t="e">
        <f>Africa!G357+"$F;@!5P%"</f>
        <v>#VALUE!</v>
      </c>
      <c r="CG447" t="e">
        <f>Africa!H357+"$F;@!5P&amp;"</f>
        <v>#VALUE!</v>
      </c>
      <c r="CH447" t="e">
        <f>Africa!A358+"$F;@!5P'"</f>
        <v>#VALUE!</v>
      </c>
      <c r="CI447" t="e">
        <f>Africa!B358+"$F;@!5P("</f>
        <v>#VALUE!</v>
      </c>
      <c r="CJ447" t="e">
        <f>Africa!C358+"$F;@!5P)"</f>
        <v>#VALUE!</v>
      </c>
      <c r="CK447" t="e">
        <f>Africa!D358+"$F;@!5P."</f>
        <v>#VALUE!</v>
      </c>
      <c r="CL447" t="e">
        <f>Africa!E358+"$F;@!5P/"</f>
        <v>#VALUE!</v>
      </c>
      <c r="CM447" t="e">
        <f>Africa!F358+"$F;@!5P0"</f>
        <v>#VALUE!</v>
      </c>
      <c r="CN447" t="e">
        <f>Africa!G358+"$F;@!5P1"</f>
        <v>#VALUE!</v>
      </c>
      <c r="CO447" t="e">
        <f>Africa!H358+"$F;@!5P2"</f>
        <v>#VALUE!</v>
      </c>
      <c r="CP447" t="e">
        <f>Africa!A359+"$F;@!5P3"</f>
        <v>#VALUE!</v>
      </c>
      <c r="CQ447" t="e">
        <f>Africa!B359+"$F;@!5P4"</f>
        <v>#VALUE!</v>
      </c>
      <c r="CR447" t="e">
        <f>Africa!C359+"$F;@!5P5"</f>
        <v>#VALUE!</v>
      </c>
      <c r="CS447" t="e">
        <f>Africa!D359+"$F;@!5P6"</f>
        <v>#VALUE!</v>
      </c>
      <c r="CT447" t="e">
        <f>Africa!E359+"$F;@!5P7"</f>
        <v>#VALUE!</v>
      </c>
      <c r="CU447" t="e">
        <f>Africa!F359+"$F;@!5P8"</f>
        <v>#VALUE!</v>
      </c>
      <c r="CV447" t="e">
        <f>Africa!G359+"$F;@!5P9"</f>
        <v>#VALUE!</v>
      </c>
      <c r="CW447" t="e">
        <f>Africa!H359+"$F;@!5P:"</f>
        <v>#VALUE!</v>
      </c>
      <c r="CX447" t="e">
        <f>Africa!A360+"$F;@!5P;"</f>
        <v>#VALUE!</v>
      </c>
      <c r="CY447" t="e">
        <f>Africa!B360+"$F;@!5P&lt;"</f>
        <v>#VALUE!</v>
      </c>
      <c r="CZ447" t="e">
        <f>Africa!C360+"$F;@!5P="</f>
        <v>#VALUE!</v>
      </c>
      <c r="DA447" t="e">
        <f>Africa!D360+"$F;@!5P&gt;"</f>
        <v>#VALUE!</v>
      </c>
      <c r="DB447" t="e">
        <f>Africa!E360+"$F;@!5P?"</f>
        <v>#VALUE!</v>
      </c>
      <c r="DC447" t="e">
        <f>Africa!F360+"$F;@!5P@"</f>
        <v>#VALUE!</v>
      </c>
      <c r="DD447" t="e">
        <f>Africa!G360+"$F;@!5PA"</f>
        <v>#VALUE!</v>
      </c>
      <c r="DE447" t="e">
        <f>Africa!H360+"$F;@!5PB"</f>
        <v>#VALUE!</v>
      </c>
      <c r="DF447" t="e">
        <f>Africa!A361+"$F;@!5PC"</f>
        <v>#VALUE!</v>
      </c>
      <c r="DG447" t="e">
        <f>Africa!B361+"$F;@!5PD"</f>
        <v>#VALUE!</v>
      </c>
      <c r="DH447" t="e">
        <f>Africa!C361+"$F;@!5PE"</f>
        <v>#VALUE!</v>
      </c>
      <c r="DI447" t="e">
        <f>Africa!D361+"$F;@!5PF"</f>
        <v>#VALUE!</v>
      </c>
      <c r="DJ447" t="e">
        <f>Africa!E361+"$F;@!5PG"</f>
        <v>#VALUE!</v>
      </c>
      <c r="DK447" t="e">
        <f>Africa!F361+"$F;@!5PH"</f>
        <v>#VALUE!</v>
      </c>
      <c r="DL447" t="e">
        <f>Africa!G361+"$F;@!5PI"</f>
        <v>#VALUE!</v>
      </c>
      <c r="DM447" t="e">
        <f>Africa!H361+"$F;@!5PJ"</f>
        <v>#VALUE!</v>
      </c>
      <c r="DN447" t="e">
        <f>Africa!A362+"$F;@!5PK"</f>
        <v>#VALUE!</v>
      </c>
      <c r="DO447" t="e">
        <f>Africa!B362+"$F;@!5PL"</f>
        <v>#VALUE!</v>
      </c>
      <c r="DP447" t="e">
        <f>Africa!C362+"$F;@!5PM"</f>
        <v>#VALUE!</v>
      </c>
      <c r="DQ447" t="e">
        <f>Africa!D362+"$F;@!5PN"</f>
        <v>#VALUE!</v>
      </c>
      <c r="DR447" t="e">
        <f>Africa!E362+"$F;@!5PO"</f>
        <v>#VALUE!</v>
      </c>
      <c r="DS447" t="e">
        <f>Africa!F362+"$F;@!5PP"</f>
        <v>#VALUE!</v>
      </c>
      <c r="DT447" t="e">
        <f>Africa!G362+"$F;@!5PQ"</f>
        <v>#VALUE!</v>
      </c>
      <c r="DU447" t="e">
        <f>Africa!H362+"$F;@!5PR"</f>
        <v>#VALUE!</v>
      </c>
      <c r="DV447" t="e">
        <f>Africa!A363+"$F;@!5PS"</f>
        <v>#VALUE!</v>
      </c>
      <c r="DW447" t="e">
        <f>Africa!B363+"$F;@!5PT"</f>
        <v>#VALUE!</v>
      </c>
      <c r="DX447" t="e">
        <f>Africa!C363+"$F;@!5PU"</f>
        <v>#VALUE!</v>
      </c>
      <c r="DY447" t="e">
        <f>Africa!D363+"$F;@!5PV"</f>
        <v>#VALUE!</v>
      </c>
      <c r="DZ447" t="e">
        <f>Africa!E363+"$F;@!5PW"</f>
        <v>#VALUE!</v>
      </c>
      <c r="EA447" t="e">
        <f>Africa!F363+"$F;@!5PX"</f>
        <v>#VALUE!</v>
      </c>
      <c r="EB447" t="e">
        <f>Africa!G363+"$F;@!5PY"</f>
        <v>#VALUE!</v>
      </c>
      <c r="EC447" t="e">
        <f>Africa!H363+"$F;@!5PZ"</f>
        <v>#VALUE!</v>
      </c>
      <c r="ED447" t="e">
        <f>Africa!A364+"$F;@!5P["</f>
        <v>#VALUE!</v>
      </c>
      <c r="EE447" t="e">
        <f>Africa!B364+"$F;@!5P\"</f>
        <v>#VALUE!</v>
      </c>
      <c r="EF447" t="e">
        <f>Africa!C364+"$F;@!5P]"</f>
        <v>#VALUE!</v>
      </c>
      <c r="EG447" t="e">
        <f>Africa!D364+"$F;@!5P^"</f>
        <v>#VALUE!</v>
      </c>
      <c r="EH447" t="e">
        <f>Africa!E364+"$F;@!5P_"</f>
        <v>#VALUE!</v>
      </c>
      <c r="EI447" t="e">
        <f>Africa!F364+"$F;@!5P`"</f>
        <v>#VALUE!</v>
      </c>
      <c r="EJ447" t="e">
        <f>Africa!G364+"$F;@!5Pa"</f>
        <v>#VALUE!</v>
      </c>
      <c r="EK447" t="e">
        <f>Africa!H364+"$F;@!5Pb"</f>
        <v>#VALUE!</v>
      </c>
      <c r="EL447" t="e">
        <f>Africa!A365+"$F;@!5Pc"</f>
        <v>#VALUE!</v>
      </c>
      <c r="EM447" t="e">
        <f>Africa!B365+"$F;@!5Pd"</f>
        <v>#VALUE!</v>
      </c>
      <c r="EN447" t="e">
        <f>Africa!C365+"$F;@!5Pe"</f>
        <v>#VALUE!</v>
      </c>
      <c r="EO447" t="e">
        <f>Africa!D365+"$F;@!5Pf"</f>
        <v>#VALUE!</v>
      </c>
      <c r="EP447" t="e">
        <f>Africa!E365+"$F;@!5Pg"</f>
        <v>#VALUE!</v>
      </c>
      <c r="EQ447" t="e">
        <f>Africa!F365+"$F;@!5Ph"</f>
        <v>#VALUE!</v>
      </c>
      <c r="ER447" t="e">
        <f>Africa!G365+"$F;@!5Pi"</f>
        <v>#VALUE!</v>
      </c>
      <c r="ES447" t="e">
        <f>Africa!H365+"$F;@!5Pj"</f>
        <v>#VALUE!</v>
      </c>
      <c r="ET447" t="e">
        <f>Africa!A366+"$F;@!5Pk"</f>
        <v>#VALUE!</v>
      </c>
      <c r="EU447" t="e">
        <f>Africa!B366+"$F;@!5Pl"</f>
        <v>#VALUE!</v>
      </c>
      <c r="EV447" t="e">
        <f>Africa!C366+"$F;@!5Pm"</f>
        <v>#VALUE!</v>
      </c>
      <c r="EW447" t="e">
        <f>Africa!D366+"$F;@!5Pn"</f>
        <v>#VALUE!</v>
      </c>
      <c r="EX447" t="e">
        <f>Africa!E366+"$F;@!5Po"</f>
        <v>#VALUE!</v>
      </c>
      <c r="EY447" t="e">
        <f>Africa!F366+"$F;@!5Pp"</f>
        <v>#VALUE!</v>
      </c>
      <c r="EZ447" t="e">
        <f>Africa!G366+"$F;@!5Pq"</f>
        <v>#VALUE!</v>
      </c>
      <c r="FA447" t="e">
        <f>Africa!H366+"$F;@!5Pr"</f>
        <v>#VALUE!</v>
      </c>
      <c r="FB447" t="e">
        <f>Africa!A367+"$F;@!5Ps"</f>
        <v>#VALUE!</v>
      </c>
      <c r="FC447" t="e">
        <f>Africa!B367+"$F;@!5Pt"</f>
        <v>#VALUE!</v>
      </c>
      <c r="FD447" t="e">
        <f>Africa!C367+"$F;@!5Pu"</f>
        <v>#VALUE!</v>
      </c>
      <c r="FE447" t="e">
        <f>Africa!D367+"$F;@!5Pv"</f>
        <v>#VALUE!</v>
      </c>
      <c r="FF447" t="e">
        <f>Africa!E367+"$F;@!5Pw"</f>
        <v>#VALUE!</v>
      </c>
      <c r="FG447" t="e">
        <f>Africa!F367+"$F;@!5Px"</f>
        <v>#VALUE!</v>
      </c>
      <c r="FH447" t="e">
        <f>Africa!G367+"$F;@!5Py"</f>
        <v>#VALUE!</v>
      </c>
      <c r="FI447" t="e">
        <f>Africa!H367+"$F;@!5Pz"</f>
        <v>#VALUE!</v>
      </c>
      <c r="FJ447" t="e">
        <f>Africa!A368+"$F;@!5P{"</f>
        <v>#VALUE!</v>
      </c>
      <c r="FK447" t="e">
        <f>Africa!B368+"$F;@!5P|"</f>
        <v>#VALUE!</v>
      </c>
      <c r="FL447" t="e">
        <f>Africa!C368+"$F;@!5P}"</f>
        <v>#VALUE!</v>
      </c>
      <c r="FM447" t="e">
        <f>Africa!D368+"$F;@!5P~"</f>
        <v>#VALUE!</v>
      </c>
      <c r="FN447" t="e">
        <f>Africa!E368+"$F;@!5Q#"</f>
        <v>#VALUE!</v>
      </c>
      <c r="FO447" t="e">
        <f>Africa!F368+"$F;@!5Q$"</f>
        <v>#VALUE!</v>
      </c>
      <c r="FP447" t="e">
        <f>Africa!G368+"$F;@!5Q%"</f>
        <v>#VALUE!</v>
      </c>
      <c r="FQ447" t="e">
        <f>Africa!H368+"$F;@!5Q&amp;"</f>
        <v>#VALUE!</v>
      </c>
      <c r="FR447" t="e">
        <f>Africa!A369+"$F;@!5Q'"</f>
        <v>#VALUE!</v>
      </c>
      <c r="FS447" t="e">
        <f>Africa!B369+"$F;@!5Q("</f>
        <v>#VALUE!</v>
      </c>
      <c r="FT447" t="e">
        <f>Africa!C369+"$F;@!5Q)"</f>
        <v>#VALUE!</v>
      </c>
      <c r="FU447" t="e">
        <f>Africa!D369+"$F;@!5Q."</f>
        <v>#VALUE!</v>
      </c>
      <c r="FV447" t="e">
        <f>Africa!E369+"$F;@!5Q/"</f>
        <v>#VALUE!</v>
      </c>
      <c r="FW447" t="e">
        <f>Africa!F369+"$F;@!5Q0"</f>
        <v>#VALUE!</v>
      </c>
      <c r="FX447" t="e">
        <f>Africa!G369+"$F;@!5Q1"</f>
        <v>#VALUE!</v>
      </c>
      <c r="FY447" t="e">
        <f>Africa!H369+"$F;@!5Q2"</f>
        <v>#VALUE!</v>
      </c>
      <c r="FZ447" t="e">
        <f>Africa!A370+"$F;@!5Q3"</f>
        <v>#VALUE!</v>
      </c>
      <c r="GA447" t="e">
        <f>Africa!B370+"$F;@!5Q4"</f>
        <v>#VALUE!</v>
      </c>
      <c r="GB447" t="e">
        <f>Africa!C370+"$F;@!5Q5"</f>
        <v>#VALUE!</v>
      </c>
      <c r="GC447" t="e">
        <f>Africa!D370+"$F;@!5Q6"</f>
        <v>#VALUE!</v>
      </c>
      <c r="GD447" t="e">
        <f>Africa!E370+"$F;@!5Q7"</f>
        <v>#VALUE!</v>
      </c>
      <c r="GE447" t="e">
        <f>Africa!F370+"$F;@!5Q8"</f>
        <v>#VALUE!</v>
      </c>
      <c r="GF447" t="e">
        <f>Africa!G370+"$F;@!5Q9"</f>
        <v>#VALUE!</v>
      </c>
      <c r="GG447" t="e">
        <f>Africa!H370+"$F;@!5Q:"</f>
        <v>#VALUE!</v>
      </c>
      <c r="GH447" t="e">
        <f>Africa!A371+"$F;@!5Q;"</f>
        <v>#VALUE!</v>
      </c>
      <c r="GI447" t="e">
        <f>Africa!B371+"$F;@!5Q&lt;"</f>
        <v>#VALUE!</v>
      </c>
      <c r="GJ447" t="e">
        <f>Africa!C371+"$F;@!5Q="</f>
        <v>#VALUE!</v>
      </c>
      <c r="GK447" t="e">
        <f>Africa!D371+"$F;@!5Q&gt;"</f>
        <v>#VALUE!</v>
      </c>
      <c r="GL447" t="e">
        <f>Africa!E371+"$F;@!5Q?"</f>
        <v>#VALUE!</v>
      </c>
      <c r="GM447" t="e">
        <f>Africa!F371+"$F;@!5Q@"</f>
        <v>#VALUE!</v>
      </c>
      <c r="GN447" t="e">
        <f>Africa!G371+"$F;@!5QA"</f>
        <v>#VALUE!</v>
      </c>
      <c r="GO447" t="e">
        <f>Africa!H371+"$F;@!5QB"</f>
        <v>#VALUE!</v>
      </c>
      <c r="GP447" t="e">
        <f>Africa!A372+"$F;@!5QC"</f>
        <v>#VALUE!</v>
      </c>
      <c r="GQ447" t="e">
        <f>Africa!B372+"$F;@!5QD"</f>
        <v>#VALUE!</v>
      </c>
      <c r="GR447" t="e">
        <f>Africa!C372+"$F;@!5QE"</f>
        <v>#VALUE!</v>
      </c>
      <c r="GS447" t="e">
        <f>Africa!D372+"$F;@!5QF"</f>
        <v>#VALUE!</v>
      </c>
      <c r="GT447" t="e">
        <f>Africa!E372+"$F;@!5QG"</f>
        <v>#VALUE!</v>
      </c>
      <c r="GU447" t="e">
        <f>Africa!F372+"$F;@!5QH"</f>
        <v>#VALUE!</v>
      </c>
      <c r="GV447" t="e">
        <f>Africa!G372+"$F;@!5QI"</f>
        <v>#VALUE!</v>
      </c>
      <c r="GW447" t="e">
        <f>Africa!H372+"$F;@!5QJ"</f>
        <v>#VALUE!</v>
      </c>
      <c r="GX447" t="e">
        <f>Africa!A373+"$F;@!5QK"</f>
        <v>#VALUE!</v>
      </c>
      <c r="GY447" t="e">
        <f>Africa!B373+"$F;@!5QL"</f>
        <v>#VALUE!</v>
      </c>
      <c r="GZ447" t="e">
        <f>Africa!C373+"$F;@!5QM"</f>
        <v>#VALUE!</v>
      </c>
      <c r="HA447" t="e">
        <f>Africa!D373+"$F;@!5QN"</f>
        <v>#VALUE!</v>
      </c>
      <c r="HB447" t="e">
        <f>Africa!E373+"$F;@!5QO"</f>
        <v>#VALUE!</v>
      </c>
      <c r="HC447" t="e">
        <f>Africa!F373+"$F;@!5QP"</f>
        <v>#VALUE!</v>
      </c>
      <c r="HD447" t="e">
        <f>Africa!G373+"$F;@!5QQ"</f>
        <v>#VALUE!</v>
      </c>
      <c r="HE447" t="e">
        <f>Africa!H373+"$F;@!5QR"</f>
        <v>#VALUE!</v>
      </c>
      <c r="HF447" t="e">
        <f>Africa!A374+"$F;@!5QS"</f>
        <v>#VALUE!</v>
      </c>
      <c r="HG447" t="e">
        <f>Africa!B374+"$F;@!5QT"</f>
        <v>#VALUE!</v>
      </c>
      <c r="HH447" t="e">
        <f>Africa!C374+"$F;@!5QU"</f>
        <v>#VALUE!</v>
      </c>
      <c r="HI447" t="e">
        <f>Africa!D374+"$F;@!5QV"</f>
        <v>#VALUE!</v>
      </c>
      <c r="HJ447" t="e">
        <f>Africa!E374+"$F;@!5QW"</f>
        <v>#VALUE!</v>
      </c>
      <c r="HK447" t="e">
        <f>Africa!F374+"$F;@!5QX"</f>
        <v>#VALUE!</v>
      </c>
      <c r="HL447" t="e">
        <f>Africa!G374+"$F;@!5QY"</f>
        <v>#VALUE!</v>
      </c>
      <c r="HM447" t="e">
        <f>Africa!H374+"$F;@!5QZ"</f>
        <v>#VALUE!</v>
      </c>
      <c r="HN447" t="e">
        <f>Africa!A375+"$F;@!5Q["</f>
        <v>#VALUE!</v>
      </c>
      <c r="HO447" t="e">
        <f>Africa!B375+"$F;@!5Q\"</f>
        <v>#VALUE!</v>
      </c>
      <c r="HP447" t="e">
        <f>Africa!C375+"$F;@!5Q]"</f>
        <v>#VALUE!</v>
      </c>
      <c r="HQ447" t="e">
        <f>Africa!D375+"$F;@!5Q^"</f>
        <v>#VALUE!</v>
      </c>
      <c r="HR447" t="e">
        <f>Africa!E375+"$F;@!5Q_"</f>
        <v>#VALUE!</v>
      </c>
      <c r="HS447" t="e">
        <f>Africa!F375+"$F;@!5Q`"</f>
        <v>#VALUE!</v>
      </c>
      <c r="HT447" t="e">
        <f>Africa!G375+"$F;@!5Qa"</f>
        <v>#VALUE!</v>
      </c>
      <c r="HU447" t="e">
        <f>Africa!H375+"$F;@!5Qb"</f>
        <v>#VALUE!</v>
      </c>
      <c r="HV447" t="e">
        <f>Africa!A:A*"$F;@!5Qc"</f>
        <v>#VALUE!</v>
      </c>
      <c r="HW447" t="e">
        <f>Africa!B:B*"$F;@!5Qd"</f>
        <v>#VALUE!</v>
      </c>
      <c r="HX447" t="e">
        <f>Africa!C:C*"$F;@!5Qe"</f>
        <v>#VALUE!</v>
      </c>
      <c r="HY447" t="e">
        <f>Africa!D:D*"$F;@!5Qf"</f>
        <v>#VALUE!</v>
      </c>
      <c r="HZ447" t="e">
        <f>Africa!E:E*"$F;@!5Qg"</f>
        <v>#VALUE!</v>
      </c>
      <c r="IA447" t="e">
        <f>Africa!F:F*"$F;@!5Qh"</f>
        <v>#VALUE!</v>
      </c>
      <c r="IB447" t="e">
        <f>Africa!G:G*"$F;@!5Qi"</f>
        <v>#VALUE!</v>
      </c>
      <c r="IC447" t="e">
        <f>Africa!H:H*"$F;@!5Qj"</f>
        <v>#VALUE!</v>
      </c>
      <c r="ID447" t="e">
        <f>Africa!I:I*"$F;@!5Qk"</f>
        <v>#VALUE!</v>
      </c>
      <c r="IE447" t="e">
        <f>Africa!J:J*"$F;@!5Ql"</f>
        <v>#VALUE!</v>
      </c>
      <c r="IF447" t="e">
        <f>Africa!K:K*"$F;@!5Qm"</f>
        <v>#VALUE!</v>
      </c>
      <c r="IG447" t="e">
        <f>Africa!L:L*"$F;@!5Qn"</f>
        <v>#VALUE!</v>
      </c>
      <c r="IH447" t="e">
        <f>Africa!M:M*"$F;@!5Qo"</f>
        <v>#VALUE!</v>
      </c>
      <c r="II447" t="e">
        <f>Africa!N:N*"$F;@!5Qp"</f>
        <v>#VALUE!</v>
      </c>
      <c r="IJ447" t="e">
        <f>Africa!O:O*"$F;@!5Qq"</f>
        <v>#VALUE!</v>
      </c>
      <c r="IK447" t="e">
        <f>Africa!P:P*"$F;@!5Qr"</f>
        <v>#VALUE!</v>
      </c>
      <c r="IL447" t="e">
        <f>Africa!Q:Q*"$F;@!5Qs"</f>
        <v>#VALUE!</v>
      </c>
      <c r="IM447" t="e">
        <f>Africa!R:R*"$F;@!5Qt"</f>
        <v>#VALUE!</v>
      </c>
      <c r="IN447" t="e">
        <f>Africa!S:S*"$F;@!5Qu"</f>
        <v>#VALUE!</v>
      </c>
      <c r="IO447" t="e">
        <f>Africa!T:T*"$F;@!5Qv"</f>
        <v>#VALUE!</v>
      </c>
      <c r="IP447" t="e">
        <f>Africa!U:U*"$F;@!5Qw"</f>
        <v>#VALUE!</v>
      </c>
      <c r="IQ447" t="e">
        <f>Africa!V:V*"$F;@!5Qx"</f>
        <v>#VALUE!</v>
      </c>
      <c r="IR447" t="e">
        <f>Africa!W:W*"$F;@!5Qy"</f>
        <v>#VALUE!</v>
      </c>
      <c r="IS447" t="e">
        <f>Africa!X:X*"$F;@!5Qz"</f>
        <v>#VALUE!</v>
      </c>
      <c r="IT447" t="e">
        <f>Africa!Y:Y*"$F;@!5Q{"</f>
        <v>#VALUE!</v>
      </c>
      <c r="IU447" t="e">
        <f>Africa!Z:Z*"$F;@!5Q|"</f>
        <v>#VALUE!</v>
      </c>
      <c r="IV447" t="e">
        <f>Africa!AA:AA*"$F;@!5Q}"</f>
        <v>#VALUE!</v>
      </c>
    </row>
    <row r="448" spans="6:256" x14ac:dyDescent="0.35">
      <c r="F448" t="e">
        <f>Africa!AB:AB*"$F;@!5Q~"</f>
        <v>#VALUE!</v>
      </c>
      <c r="G448" t="e">
        <f>Africa!AC:AC*"$F;@!5R#"</f>
        <v>#VALUE!</v>
      </c>
      <c r="H448" t="e">
        <f>Africa!AD:AD*"$F;@!5R$"</f>
        <v>#VALUE!</v>
      </c>
      <c r="I448" t="e">
        <f>Africa!AE:AE*"$F;@!5R%"</f>
        <v>#VALUE!</v>
      </c>
      <c r="J448" t="e">
        <f>Africa!AF:AF*"$F;@!5R&amp;"</f>
        <v>#VALUE!</v>
      </c>
      <c r="K448" t="e">
        <f>Africa!AG:AG*"$F;@!5R'"</f>
        <v>#VALUE!</v>
      </c>
      <c r="L448" t="e">
        <f>Africa!AH:AH*"$F;@!5R("</f>
        <v>#VALUE!</v>
      </c>
      <c r="M448" t="e">
        <f>Africa!AI:AI*"$F;@!5R)"</f>
        <v>#VALUE!</v>
      </c>
      <c r="N448" t="e">
        <f>Africa!AJ:AJ*"$F;@!5R."</f>
        <v>#VALUE!</v>
      </c>
      <c r="O448" t="e">
        <f>Africa!AK:AK*"$F;@!5R/"</f>
        <v>#VALUE!</v>
      </c>
      <c r="P448" t="e">
        <f>Africa!AL:AL*"$F;@!5R0"</f>
        <v>#VALUE!</v>
      </c>
      <c r="Q448" t="e">
        <f>Africa!AM:AM*"$F;@!5R1"</f>
        <v>#VALUE!</v>
      </c>
      <c r="R448" t="e">
        <f>Africa!AN:AN*"$F;@!5R2"</f>
        <v>#VALUE!</v>
      </c>
      <c r="S448" t="e">
        <f>Africa!AO:AO*"$F;@!5R3"</f>
        <v>#VALUE!</v>
      </c>
      <c r="T448" t="e">
        <f>Africa!AP:AP*"$F;@!5R4"</f>
        <v>#VALUE!</v>
      </c>
      <c r="U448" t="e">
        <f>Africa!AQ:AQ*"$F;@!5R5"</f>
        <v>#VALUE!</v>
      </c>
      <c r="V448" t="e">
        <f>Africa!AR:AR*"$F;@!5R6"</f>
        <v>#VALUE!</v>
      </c>
      <c r="W448" t="e">
        <f>Africa!AS:AS*"$F;@!5R7"</f>
        <v>#VALUE!</v>
      </c>
      <c r="X448" t="e">
        <f>Africa!AT:AT*"$F;@!5R8"</f>
        <v>#VALUE!</v>
      </c>
      <c r="Y448" t="e">
        <f>Africa!AU:AU*"$F;@!5R9"</f>
        <v>#VALUE!</v>
      </c>
      <c r="Z448" t="e">
        <f>Africa!AV:AV*"$F;@!5R:"</f>
        <v>#VALUE!</v>
      </c>
      <c r="AA448" t="e">
        <f>Africa!AW:AW*"$F;@!5R;"</f>
        <v>#VALUE!</v>
      </c>
      <c r="AB448" t="e">
        <f>Africa!AX:AX*"$F;@!5R&lt;"</f>
        <v>#VALUE!</v>
      </c>
      <c r="AC448" t="e">
        <f>Africa!AY:AY*"$F;@!5R="</f>
        <v>#VALUE!</v>
      </c>
      <c r="AD448" t="e">
        <f>Africa!AZ:AZ*"$F;@!5R&gt;"</f>
        <v>#VALUE!</v>
      </c>
      <c r="AE448" t="e">
        <f>Africa!BA:BA*"$F;@!5R?"</f>
        <v>#VALUE!</v>
      </c>
      <c r="AF448" t="e">
        <f>Africa!BB:BB*"$F;@!5R@"</f>
        <v>#VALUE!</v>
      </c>
      <c r="AG448" t="e">
        <f>Africa!BC:BC*"$F;@!5RA"</f>
        <v>#VALUE!</v>
      </c>
      <c r="AH448" t="e">
        <f>Africa!BD:BD*"$F;@!5RB"</f>
        <v>#VALUE!</v>
      </c>
      <c r="AI448" t="e">
        <f>Africa!BE:BE*"$F;@!5RC"</f>
        <v>#VALUE!</v>
      </c>
      <c r="AJ448" t="e">
        <f>Africa!BF:BF*"$F;@!5RD"</f>
        <v>#VALUE!</v>
      </c>
      <c r="AK448" t="e">
        <f>Africa!1:1-"$F;@!5RE"</f>
        <v>#VALUE!</v>
      </c>
      <c r="AL448" t="e">
        <f>Africa!2:2-"$F;@!5RF"</f>
        <v>#VALUE!</v>
      </c>
      <c r="AM448" t="e">
        <f>Africa!3:3-"$F;@!5RG"</f>
        <v>#VALUE!</v>
      </c>
      <c r="AN448" t="e">
        <f>Africa!4:4-"$F;@!5RH"</f>
        <v>#VALUE!</v>
      </c>
      <c r="AO448" t="e">
        <f>Africa!5:5-"$F;@!5RI"</f>
        <v>#VALUE!</v>
      </c>
      <c r="AP448" t="e">
        <f>Africa!6:6-"$F;@!5RJ"</f>
        <v>#VALUE!</v>
      </c>
      <c r="AQ448" t="e">
        <f>Africa!7:7-"$F;@!5RK"</f>
        <v>#VALUE!</v>
      </c>
      <c r="AR448" t="e">
        <f>Africa!8:8-"$F;@!5RL"</f>
        <v>#VALUE!</v>
      </c>
      <c r="AS448" t="e">
        <f>Africa!9:9-"$F;@!5RM"</f>
        <v>#VALUE!</v>
      </c>
      <c r="AT448" t="e">
        <f>Africa!10:10-"$F;@!5RN"</f>
        <v>#VALUE!</v>
      </c>
      <c r="AU448" t="e">
        <f>Africa!11:11-"$F;@!5RO"</f>
        <v>#VALUE!</v>
      </c>
      <c r="AV448" t="e">
        <f>Africa!12:12-"$F;@!5RP"</f>
        <v>#VALUE!</v>
      </c>
      <c r="AW448" t="e">
        <f>Africa!13:13-"$F;@!5RQ"</f>
        <v>#VALUE!</v>
      </c>
      <c r="AX448" t="e">
        <f>Africa!14:14-"$F;@!5RR"</f>
        <v>#VALUE!</v>
      </c>
      <c r="AY448" t="e">
        <f>Africa!15:15-"$F;@!5RS"</f>
        <v>#VALUE!</v>
      </c>
      <c r="AZ448" t="e">
        <f>Africa!16:16-"$F;@!5RT"</f>
        <v>#VALUE!</v>
      </c>
      <c r="BA448" t="e">
        <f>Africa!17:17-"$F;@!5RU"</f>
        <v>#VALUE!</v>
      </c>
      <c r="BB448" t="e">
        <f>Africa!18:18-"$F;@!5RV"</f>
        <v>#VALUE!</v>
      </c>
      <c r="BC448" t="e">
        <f>Africa!19:19-"$F;@!5RW"</f>
        <v>#VALUE!</v>
      </c>
      <c r="BD448" t="e">
        <f>Africa!20:20-"$F;@!5RX"</f>
        <v>#VALUE!</v>
      </c>
      <c r="BE448" t="e">
        <f>Africa!21:21-"$F;@!5RY"</f>
        <v>#VALUE!</v>
      </c>
      <c r="BF448" t="e">
        <f>Africa!22:22-"$F;@!5RZ"</f>
        <v>#VALUE!</v>
      </c>
      <c r="BG448" t="e">
        <f>Africa!23:23-"$F;@!5R["</f>
        <v>#VALUE!</v>
      </c>
      <c r="BH448" t="e">
        <f>Africa!24:24-"$F;@!5R\"</f>
        <v>#VALUE!</v>
      </c>
      <c r="BI448" t="e">
        <f>Africa!25:25-"$F;@!5R]"</f>
        <v>#VALUE!</v>
      </c>
      <c r="BJ448" t="e">
        <f>Africa!26:26-"$F;@!5R^"</f>
        <v>#VALUE!</v>
      </c>
      <c r="BK448" t="e">
        <f>Africa!27:27-"$F;@!5R_"</f>
        <v>#VALUE!</v>
      </c>
      <c r="BL448" t="e">
        <f>Africa!28:28-"$F;@!5R`"</f>
        <v>#VALUE!</v>
      </c>
      <c r="BM448" t="e">
        <f>Africa!29:29-"$F;@!5Ra"</f>
        <v>#VALUE!</v>
      </c>
      <c r="BN448" t="e">
        <f>Africa!30:30-"$F;@!5Rb"</f>
        <v>#VALUE!</v>
      </c>
      <c r="BO448" t="e">
        <f>Africa!31:31-"$F;@!5Rc"</f>
        <v>#VALUE!</v>
      </c>
      <c r="BP448" t="e">
        <f>Africa!32:32-"$F;@!5Rd"</f>
        <v>#VALUE!</v>
      </c>
      <c r="BQ448" t="e">
        <f>Africa!33:33-"$F;@!5Re"</f>
        <v>#VALUE!</v>
      </c>
      <c r="BR448" t="e">
        <f>Africa!34:34-"$F;@!5Rf"</f>
        <v>#VALUE!</v>
      </c>
      <c r="BS448" t="e">
        <f>Africa!35:35-"$F;@!5Rg"</f>
        <v>#VALUE!</v>
      </c>
      <c r="BT448" t="e">
        <f>Africa!36:36-"$F;@!5Rh"</f>
        <v>#VALUE!</v>
      </c>
      <c r="BU448" t="e">
        <f>Africa!37:37-"$F;@!5Ri"</f>
        <v>#VALUE!</v>
      </c>
      <c r="BV448" t="e">
        <f>Africa!38:38-"$F;@!5Rj"</f>
        <v>#VALUE!</v>
      </c>
      <c r="BW448" t="e">
        <f>Africa!39:39-"$F;@!5Rk"</f>
        <v>#VALUE!</v>
      </c>
      <c r="BX448" t="e">
        <f>Africa!40:40-"$F;@!5Rl"</f>
        <v>#VALUE!</v>
      </c>
      <c r="BY448" t="e">
        <f>Africa!41:41-"$F;@!5Rm"</f>
        <v>#VALUE!</v>
      </c>
      <c r="BZ448" t="e">
        <f>Africa!42:42-"$F;@!5Rn"</f>
        <v>#VALUE!</v>
      </c>
      <c r="CA448" t="e">
        <f>Africa!43:43-"$F;@!5Ro"</f>
        <v>#VALUE!</v>
      </c>
      <c r="CB448" t="e">
        <f>Africa!44:44-"$F;@!5Rp"</f>
        <v>#VALUE!</v>
      </c>
      <c r="CC448" t="e">
        <f>Africa!45:45-"$F;@!5Rq"</f>
        <v>#VALUE!</v>
      </c>
      <c r="CD448" t="e">
        <f>Africa!46:46-"$F;@!5Rr"</f>
        <v>#VALUE!</v>
      </c>
      <c r="CE448" t="e">
        <f>Africa!47:47-"$F;@!5Rs"</f>
        <v>#VALUE!</v>
      </c>
      <c r="CF448" t="e">
        <f>Africa!48:48-"$F;@!5Rt"</f>
        <v>#VALUE!</v>
      </c>
      <c r="CG448" t="e">
        <f>Africa!49:49-"$F;@!5Ru"</f>
        <v>#VALUE!</v>
      </c>
      <c r="CH448" t="e">
        <f>Africa!50:50-"$F;@!5Rv"</f>
        <v>#VALUE!</v>
      </c>
      <c r="CI448" t="e">
        <f>Africa!51:51-"$F;@!5Rw"</f>
        <v>#VALUE!</v>
      </c>
      <c r="CJ448" t="e">
        <f>Africa!52:52-"$F;@!5Rx"</f>
        <v>#VALUE!</v>
      </c>
      <c r="CK448" t="e">
        <f>Africa!53:53-"$F;@!5Ry"</f>
        <v>#VALUE!</v>
      </c>
      <c r="CL448" t="e">
        <f>Africa!54:54-"$F;@!5Rz"</f>
        <v>#VALUE!</v>
      </c>
      <c r="CM448" t="e">
        <f>Africa!55:55-"$F;@!5R{"</f>
        <v>#VALUE!</v>
      </c>
      <c r="CN448" t="e">
        <f>Africa!56:56-"$F;@!5R|"</f>
        <v>#VALUE!</v>
      </c>
      <c r="CO448" t="e">
        <f>Africa!57:57-"$F;@!5R}"</f>
        <v>#VALUE!</v>
      </c>
      <c r="CP448" t="e">
        <f>Africa!58:58-"$F;@!5R~"</f>
        <v>#VALUE!</v>
      </c>
      <c r="CQ448" t="e">
        <f>Africa!59:59-"$F;@!5S#"</f>
        <v>#VALUE!</v>
      </c>
      <c r="CR448" t="e">
        <f>Africa!60:60-"$F;@!5S$"</f>
        <v>#VALUE!</v>
      </c>
      <c r="CS448" t="e">
        <f>Africa!61:61-"$F;@!5S%"</f>
        <v>#VALUE!</v>
      </c>
      <c r="CT448" t="e">
        <f>Africa!62:62-"$F;@!5S&amp;"</f>
        <v>#VALUE!</v>
      </c>
      <c r="CU448" t="e">
        <f>Africa!63:63-"$F;@!5S'"</f>
        <v>#VALUE!</v>
      </c>
      <c r="CV448" t="e">
        <f>Africa!64:64-"$F;@!5S("</f>
        <v>#VALUE!</v>
      </c>
      <c r="CW448" t="e">
        <f>Africa!65:65-"$F;@!5S)"</f>
        <v>#VALUE!</v>
      </c>
      <c r="CX448" t="e">
        <f>Africa!66:66-"$F;@!5S."</f>
        <v>#VALUE!</v>
      </c>
      <c r="CY448" t="e">
        <f>Africa!67:67-"$F;@!5S/"</f>
        <v>#VALUE!</v>
      </c>
      <c r="CZ448" t="e">
        <f>Africa!68:68-"$F;@!5S0"</f>
        <v>#VALUE!</v>
      </c>
      <c r="DA448" t="e">
        <f>Africa!69:69-"$F;@!5S1"</f>
        <v>#VALUE!</v>
      </c>
      <c r="DB448" t="e">
        <f>Africa!70:70-"$F;@!5S2"</f>
        <v>#VALUE!</v>
      </c>
      <c r="DC448" t="e">
        <f>Africa!71:71-"$F;@!5S3"</f>
        <v>#VALUE!</v>
      </c>
      <c r="DD448" t="e">
        <f>Africa!72:72-"$F;@!5S4"</f>
        <v>#VALUE!</v>
      </c>
      <c r="DE448" t="e">
        <f>Africa!73:73-"$F;@!5S5"</f>
        <v>#VALUE!</v>
      </c>
      <c r="DF448" t="e">
        <f>Africa!74:74-"$F;@!5S6"</f>
        <v>#VALUE!</v>
      </c>
      <c r="DG448" t="e">
        <f>Africa!75:75-"$F;@!5S7"</f>
        <v>#VALUE!</v>
      </c>
      <c r="DH448" t="e">
        <f>Africa!76:76-"$F;@!5S8"</f>
        <v>#VALUE!</v>
      </c>
      <c r="DI448" t="e">
        <f>Africa!77:77-"$F;@!5S9"</f>
        <v>#VALUE!</v>
      </c>
      <c r="DJ448" t="e">
        <f>Africa!78:78-"$F;@!5S:"</f>
        <v>#VALUE!</v>
      </c>
      <c r="DK448" t="e">
        <f>Africa!79:79-"$F;@!5S;"</f>
        <v>#VALUE!</v>
      </c>
      <c r="DL448" t="e">
        <f>Africa!80:80-"$F;@!5S&lt;"</f>
        <v>#VALUE!</v>
      </c>
      <c r="DM448" t="e">
        <f>Africa!81:81-"$F;@!5S="</f>
        <v>#VALUE!</v>
      </c>
      <c r="DN448" t="e">
        <f>Africa!82:82-"$F;@!5S&gt;"</f>
        <v>#VALUE!</v>
      </c>
      <c r="DO448" t="e">
        <f>Africa!83:83-"$F;@!5S?"</f>
        <v>#VALUE!</v>
      </c>
      <c r="DP448" t="e">
        <f>Africa!84:84-"$F;@!5S@"</f>
        <v>#VALUE!</v>
      </c>
      <c r="DQ448" t="e">
        <f>Africa!85:85-"$F;@!5SA"</f>
        <v>#VALUE!</v>
      </c>
      <c r="DR448" t="e">
        <f>Africa!86:86-"$F;@!5SB"</f>
        <v>#VALUE!</v>
      </c>
      <c r="DS448" t="e">
        <f>Africa!87:87-"$F;@!5SC"</f>
        <v>#VALUE!</v>
      </c>
      <c r="DT448" t="e">
        <f>Africa!88:88-"$F;@!5SD"</f>
        <v>#VALUE!</v>
      </c>
      <c r="DU448" t="e">
        <f>Africa!89:89-"$F;@!5SE"</f>
        <v>#VALUE!</v>
      </c>
      <c r="DV448" t="e">
        <f>Africa!90:90-"$F;@!5SF"</f>
        <v>#VALUE!</v>
      </c>
      <c r="DW448" t="e">
        <f>Africa!91:91-"$F;@!5SG"</f>
        <v>#VALUE!</v>
      </c>
      <c r="DX448" t="e">
        <f>Africa!92:92-"$F;@!5SH"</f>
        <v>#VALUE!</v>
      </c>
      <c r="DY448" t="e">
        <f>Africa!93:93-"$F;@!5SI"</f>
        <v>#VALUE!</v>
      </c>
      <c r="DZ448" t="e">
        <f>Africa!94:94-"$F;@!5SJ"</f>
        <v>#VALUE!</v>
      </c>
      <c r="EA448" t="e">
        <f>Africa!95:95-"$F;@!5SK"</f>
        <v>#VALUE!</v>
      </c>
      <c r="EB448" t="e">
        <f>Africa!96:96-"$F;@!5SL"</f>
        <v>#VALUE!</v>
      </c>
      <c r="EC448" t="e">
        <f>Africa!97:97-"$F;@!5SM"</f>
        <v>#VALUE!</v>
      </c>
      <c r="ED448" t="e">
        <f>Africa!98:98-"$F;@!5SN"</f>
        <v>#VALUE!</v>
      </c>
      <c r="EE448" t="e">
        <f>Africa!99:99-"$F;@!5SO"</f>
        <v>#VALUE!</v>
      </c>
      <c r="EF448" t="e">
        <f>Africa!100:100-"$F;@!5SP"</f>
        <v>#VALUE!</v>
      </c>
      <c r="EG448" t="e">
        <f>Africa!101:101-"$F;@!5SQ"</f>
        <v>#VALUE!</v>
      </c>
      <c r="EH448" t="e">
        <f>Africa!102:102-"$F;@!5SR"</f>
        <v>#VALUE!</v>
      </c>
      <c r="EI448" t="e">
        <f>Africa!103:103-"$F;@!5SS"</f>
        <v>#VALUE!</v>
      </c>
      <c r="EJ448" t="e">
        <f>Africa!104:104-"$F;@!5ST"</f>
        <v>#VALUE!</v>
      </c>
      <c r="EK448" t="e">
        <f>Africa!105:105-"$F;@!5SU"</f>
        <v>#VALUE!</v>
      </c>
      <c r="EL448" t="e">
        <f>Africa!106:106-"$F;@!5SV"</f>
        <v>#VALUE!</v>
      </c>
      <c r="EM448" t="e">
        <f>Africa!107:107-"$F;@!5SW"</f>
        <v>#VALUE!</v>
      </c>
      <c r="EN448" t="e">
        <f>Africa!108:108-"$F;@!5SX"</f>
        <v>#VALUE!</v>
      </c>
      <c r="EO448" t="e">
        <f>Africa!109:109-"$F;@!5SY"</f>
        <v>#VALUE!</v>
      </c>
      <c r="EP448" t="e">
        <f>Africa!110:110-"$F;@!5SZ"</f>
        <v>#VALUE!</v>
      </c>
      <c r="EQ448" t="e">
        <f>Africa!111:111-"$F;@!5S["</f>
        <v>#VALUE!</v>
      </c>
      <c r="ER448" t="e">
        <f>Africa!112:112-"$F;@!5S\"</f>
        <v>#VALUE!</v>
      </c>
      <c r="ES448" t="e">
        <f>Africa!113:113-"$F;@!5S]"</f>
        <v>#VALUE!</v>
      </c>
      <c r="ET448" t="e">
        <f>Africa!114:114-"$F;@!5S^"</f>
        <v>#VALUE!</v>
      </c>
      <c r="EU448" t="e">
        <f>Africa!115:115-"$F;@!5S_"</f>
        <v>#VALUE!</v>
      </c>
      <c r="EV448" t="e">
        <f>Africa!116:116-"$F;@!5S`"</f>
        <v>#VALUE!</v>
      </c>
      <c r="EW448" t="e">
        <f>Africa!117:117-"$F;@!5Sa"</f>
        <v>#VALUE!</v>
      </c>
      <c r="EX448" t="e">
        <f>Africa!118:118-"$F;@!5Sb"</f>
        <v>#VALUE!</v>
      </c>
      <c r="EY448" t="e">
        <f>Africa!119:119-"$F;@!5Sc"</f>
        <v>#VALUE!</v>
      </c>
      <c r="EZ448" t="e">
        <f>Africa!120:120-"$F;@!5Sd"</f>
        <v>#VALUE!</v>
      </c>
      <c r="FA448" t="e">
        <f>Africa!121:121-"$F;@!5Se"</f>
        <v>#VALUE!</v>
      </c>
      <c r="FB448" t="e">
        <f>Africa!122:122-"$F;@!5Sf"</f>
        <v>#VALUE!</v>
      </c>
      <c r="FC448" t="e">
        <f>Africa!123:123-"$F;@!5Sg"</f>
        <v>#VALUE!</v>
      </c>
      <c r="FD448" t="e">
        <f>Africa!124:124-"$F;@!5Sh"</f>
        <v>#VALUE!</v>
      </c>
      <c r="FE448" t="e">
        <f>Africa!125:125-"$F;@!5Si"</f>
        <v>#VALUE!</v>
      </c>
      <c r="FF448" t="e">
        <f>Africa!126:126-"$F;@!5Sj"</f>
        <v>#VALUE!</v>
      </c>
      <c r="FG448" t="e">
        <f>Africa!127:127-"$F;@!5Sk"</f>
        <v>#VALUE!</v>
      </c>
      <c r="FH448" t="e">
        <f>Africa!128:128-"$F;@!5Sl"</f>
        <v>#VALUE!</v>
      </c>
      <c r="FI448" t="e">
        <f>Africa!129:129-"$F;@!5Sm"</f>
        <v>#VALUE!</v>
      </c>
      <c r="FJ448" t="e">
        <f>Africa!130:130-"$F;@!5Sn"</f>
        <v>#VALUE!</v>
      </c>
      <c r="FK448" t="e">
        <f>Africa!131:131-"$F;@!5So"</f>
        <v>#VALUE!</v>
      </c>
      <c r="FL448" t="e">
        <f>Africa!132:132-"$F;@!5Sp"</f>
        <v>#VALUE!</v>
      </c>
      <c r="FM448" t="e">
        <f>Africa!133:133-"$F;@!5Sq"</f>
        <v>#VALUE!</v>
      </c>
      <c r="FN448" t="e">
        <f>Africa!134:134-"$F;@!5Sr"</f>
        <v>#VALUE!</v>
      </c>
      <c r="FO448" t="e">
        <f>Africa!135:135-"$F;@!5Ss"</f>
        <v>#VALUE!</v>
      </c>
      <c r="FP448" t="e">
        <f>Africa!136:136-"$F;@!5St"</f>
        <v>#VALUE!</v>
      </c>
      <c r="FQ448" t="e">
        <f>Africa!137:137-"$F;@!5Su"</f>
        <v>#VALUE!</v>
      </c>
      <c r="FR448" t="e">
        <f>Africa!138:138-"$F;@!5Sv"</f>
        <v>#VALUE!</v>
      </c>
      <c r="FS448" t="e">
        <f>Africa!139:139-"$F;@!5Sw"</f>
        <v>#VALUE!</v>
      </c>
      <c r="FT448" t="e">
        <f>Africa!140:140-"$F;@!5Sx"</f>
        <v>#VALUE!</v>
      </c>
      <c r="FU448" t="e">
        <f>Africa!141:141-"$F;@!5Sy"</f>
        <v>#VALUE!</v>
      </c>
      <c r="FV448" t="e">
        <f>Africa!142:142-"$F;@!5Sz"</f>
        <v>#VALUE!</v>
      </c>
      <c r="FW448" t="e">
        <f>Africa!143:143-"$F;@!5S{"</f>
        <v>#VALUE!</v>
      </c>
      <c r="FX448" t="e">
        <f>Africa!144:144-"$F;@!5S|"</f>
        <v>#VALUE!</v>
      </c>
      <c r="FY448" t="e">
        <f>Africa!145:145-"$F;@!5S}"</f>
        <v>#VALUE!</v>
      </c>
      <c r="FZ448" t="e">
        <f>Africa!146:146-"$F;@!5S~"</f>
        <v>#VALUE!</v>
      </c>
      <c r="GA448" t="e">
        <f>Africa!147:147-"$F;@!5T#"</f>
        <v>#VALUE!</v>
      </c>
      <c r="GB448" t="e">
        <f>Africa!148:148-"$F;@!5T$"</f>
        <v>#VALUE!</v>
      </c>
      <c r="GC448" t="e">
        <f>Africa!149:149-"$F;@!5T%"</f>
        <v>#VALUE!</v>
      </c>
      <c r="GD448" t="e">
        <f>Africa!150:150-"$F;@!5T&amp;"</f>
        <v>#VALUE!</v>
      </c>
      <c r="GE448" t="e">
        <f>Africa!151:151-"$F;@!5T'"</f>
        <v>#VALUE!</v>
      </c>
      <c r="GF448" t="e">
        <f>Africa!152:152-"$F;@!5T("</f>
        <v>#VALUE!</v>
      </c>
      <c r="GG448" t="e">
        <f>Africa!153:153-"$F;@!5T)"</f>
        <v>#VALUE!</v>
      </c>
      <c r="GH448" t="e">
        <f>Africa!154:154-"$F;@!5T."</f>
        <v>#VALUE!</v>
      </c>
      <c r="GI448" t="e">
        <f>Africa!155:155-"$F;@!5T/"</f>
        <v>#VALUE!</v>
      </c>
      <c r="GJ448" t="e">
        <f>Africa!156:156-"$F;@!5T0"</f>
        <v>#VALUE!</v>
      </c>
      <c r="GK448" t="e">
        <f>Africa!157:157-"$F;@!5T1"</f>
        <v>#VALUE!</v>
      </c>
      <c r="GL448" t="e">
        <f>Africa!158:158-"$F;@!5T2"</f>
        <v>#VALUE!</v>
      </c>
      <c r="GM448" t="e">
        <f>Africa!159:159-"$F;@!5T3"</f>
        <v>#VALUE!</v>
      </c>
      <c r="GN448" t="e">
        <f>Africa!160:160-"$F;@!5T4"</f>
        <v>#VALUE!</v>
      </c>
      <c r="GO448" t="e">
        <f>Africa!161:161-"$F;@!5T5"</f>
        <v>#VALUE!</v>
      </c>
      <c r="GP448" t="e">
        <f>Africa!162:162-"$F;@!5T6"</f>
        <v>#VALUE!</v>
      </c>
      <c r="GQ448" t="e">
        <f>Africa!163:163-"$F;@!5T7"</f>
        <v>#VALUE!</v>
      </c>
      <c r="GR448" t="e">
        <f>Africa!164:164-"$F;@!5T8"</f>
        <v>#VALUE!</v>
      </c>
      <c r="GS448" t="e">
        <f>Africa!165:165-"$F;@!5T9"</f>
        <v>#VALUE!</v>
      </c>
      <c r="GT448" t="e">
        <f>Africa!166:166-"$F;@!5T:"</f>
        <v>#VALUE!</v>
      </c>
      <c r="GU448" t="e">
        <f>Africa!167:167-"$F;@!5T;"</f>
        <v>#VALUE!</v>
      </c>
      <c r="GV448" t="e">
        <f>Africa!168:168-"$F;@!5T&lt;"</f>
        <v>#VALUE!</v>
      </c>
      <c r="GW448" t="e">
        <f>Africa!169:169-"$F;@!5T="</f>
        <v>#VALUE!</v>
      </c>
      <c r="GX448" t="e">
        <f>Africa!170:170-"$F;@!5T&gt;"</f>
        <v>#VALUE!</v>
      </c>
      <c r="GY448" t="e">
        <f>Africa!171:171-"$F;@!5T?"</f>
        <v>#VALUE!</v>
      </c>
      <c r="GZ448" t="e">
        <f>Africa!172:172-"$F;@!5T@"</f>
        <v>#VALUE!</v>
      </c>
      <c r="HA448" t="e">
        <f>Africa!173:173-"$F;@!5TA"</f>
        <v>#VALUE!</v>
      </c>
      <c r="HB448" t="e">
        <f>Africa!174:174-"$F;@!5TB"</f>
        <v>#VALUE!</v>
      </c>
      <c r="HC448" t="e">
        <f>Africa!175:175-"$F;@!5TC"</f>
        <v>#VALUE!</v>
      </c>
      <c r="HD448" t="e">
        <f>Africa!176:176-"$F;@!5TD"</f>
        <v>#VALUE!</v>
      </c>
      <c r="HE448" t="e">
        <f>Africa!177:177-"$F;@!5TE"</f>
        <v>#VALUE!</v>
      </c>
      <c r="HF448" t="e">
        <f>Africa!178:178-"$F;@!5TF"</f>
        <v>#VALUE!</v>
      </c>
      <c r="HG448" t="e">
        <f>Africa!179:179-"$F;@!5TG"</f>
        <v>#VALUE!</v>
      </c>
      <c r="HH448" t="e">
        <f>Africa!180:180-"$F;@!5TH"</f>
        <v>#VALUE!</v>
      </c>
      <c r="HI448" t="e">
        <f>Africa!181:181-"$F;@!5TI"</f>
        <v>#VALUE!</v>
      </c>
      <c r="HJ448" t="e">
        <f>Africa!182:182-"$F;@!5TJ"</f>
        <v>#VALUE!</v>
      </c>
      <c r="HK448" t="e">
        <f>Africa!183:183-"$F;@!5TK"</f>
        <v>#VALUE!</v>
      </c>
      <c r="HL448" t="e">
        <f>Africa!184:184-"$F;@!5TL"</f>
        <v>#VALUE!</v>
      </c>
      <c r="HM448" t="e">
        <f>Africa!185:185-"$F;@!5TM"</f>
        <v>#VALUE!</v>
      </c>
      <c r="HN448" t="e">
        <f>Africa!186:186-"$F;@!5TN"</f>
        <v>#VALUE!</v>
      </c>
      <c r="HO448" t="e">
        <f>Africa!187:187-"$F;@!5TO"</f>
        <v>#VALUE!</v>
      </c>
      <c r="HP448" t="e">
        <f>Africa!188:188-"$F;@!5TP"</f>
        <v>#VALUE!</v>
      </c>
      <c r="HQ448" t="e">
        <f>Africa!189:189-"$F;@!5TQ"</f>
        <v>#VALUE!</v>
      </c>
      <c r="HR448" t="e">
        <f>Africa!190:190-"$F;@!5TR"</f>
        <v>#VALUE!</v>
      </c>
      <c r="HS448" t="e">
        <f>Africa!191:191-"$F;@!5TS"</f>
        <v>#VALUE!</v>
      </c>
      <c r="HT448" t="e">
        <f>Africa!192:192-"$F;@!5TT"</f>
        <v>#VALUE!</v>
      </c>
      <c r="HU448" t="e">
        <f>Africa!193:193-"$F;@!5TU"</f>
        <v>#VALUE!</v>
      </c>
      <c r="HV448" t="e">
        <f>Africa!194:194-"$F;@!5TV"</f>
        <v>#VALUE!</v>
      </c>
      <c r="HW448" t="e">
        <f>Africa!195:195-"$F;@!5TW"</f>
        <v>#VALUE!</v>
      </c>
      <c r="HX448" t="e">
        <f>Africa!196:196-"$F;@!5TX"</f>
        <v>#VALUE!</v>
      </c>
      <c r="HY448" t="e">
        <f>Africa!197:197-"$F;@!5TY"</f>
        <v>#VALUE!</v>
      </c>
      <c r="HZ448" t="e">
        <f>Africa!198:198-"$F;@!5TZ"</f>
        <v>#VALUE!</v>
      </c>
      <c r="IA448" t="e">
        <f>Africa!199:199-"$F;@!5T["</f>
        <v>#VALUE!</v>
      </c>
      <c r="IB448" t="e">
        <f>Africa!200:200-"$F;@!5T\"</f>
        <v>#VALUE!</v>
      </c>
      <c r="IC448" t="e">
        <f>Africa!201:201-"$F;@!5T]"</f>
        <v>#VALUE!</v>
      </c>
      <c r="ID448" t="e">
        <f>Africa!202:202-"$F;@!5T^"</f>
        <v>#VALUE!</v>
      </c>
      <c r="IE448" t="e">
        <f>Africa!203:203-"$F;@!5T_"</f>
        <v>#VALUE!</v>
      </c>
      <c r="IF448" t="e">
        <f>Africa!204:204-"$F;@!5T`"</f>
        <v>#VALUE!</v>
      </c>
      <c r="IG448" t="e">
        <f>Africa!205:205-"$F;@!5Ta"</f>
        <v>#VALUE!</v>
      </c>
      <c r="IH448" t="e">
        <f>Africa!206:206-"$F;@!5Tb"</f>
        <v>#VALUE!</v>
      </c>
      <c r="II448" t="e">
        <f>Africa!207:207-"$F;@!5Tc"</f>
        <v>#VALUE!</v>
      </c>
      <c r="IJ448" t="e">
        <f>Africa!208:208-"$F;@!5Td"</f>
        <v>#VALUE!</v>
      </c>
      <c r="IK448" t="e">
        <f>Africa!209:209-"$F;@!5Te"</f>
        <v>#VALUE!</v>
      </c>
      <c r="IL448" t="e">
        <f>Africa!210:210-"$F;@!5Tf"</f>
        <v>#VALUE!</v>
      </c>
      <c r="IM448" t="e">
        <f>Africa!211:211-"$F;@!5Tg"</f>
        <v>#VALUE!</v>
      </c>
      <c r="IN448" t="e">
        <f>Africa!212:212-"$F;@!5Th"</f>
        <v>#VALUE!</v>
      </c>
      <c r="IO448" t="e">
        <f>Africa!213:213-"$F;@!5Ti"</f>
        <v>#VALUE!</v>
      </c>
      <c r="IP448" t="e">
        <f>Africa!214:214-"$F;@!5Tj"</f>
        <v>#VALUE!</v>
      </c>
      <c r="IQ448" t="e">
        <f>Africa!215:215-"$F;@!5Tk"</f>
        <v>#VALUE!</v>
      </c>
      <c r="IR448" t="e">
        <f>Africa!216:216-"$F;@!5Tl"</f>
        <v>#VALUE!</v>
      </c>
      <c r="IS448" t="e">
        <f>Africa!217:217-"$F;@!5Tm"</f>
        <v>#VALUE!</v>
      </c>
      <c r="IT448" t="e">
        <f>Africa!218:218-"$F;@!5Tn"</f>
        <v>#VALUE!</v>
      </c>
      <c r="IU448" t="e">
        <f>Africa!219:219-"$F;@!5To"</f>
        <v>#VALUE!</v>
      </c>
      <c r="IV448" t="e">
        <f>Africa!220:220-"$F;@!5Tp"</f>
        <v>#VALUE!</v>
      </c>
    </row>
    <row r="449" spans="6:256" x14ac:dyDescent="0.35">
      <c r="F449" t="e">
        <f>Africa!221:221-"$F;@!5Tq"</f>
        <v>#VALUE!</v>
      </c>
      <c r="G449" t="e">
        <f>Africa!222:222-"$F;@!5Tr"</f>
        <v>#VALUE!</v>
      </c>
      <c r="H449" t="e">
        <f>Africa!223:223-"$F;@!5Ts"</f>
        <v>#VALUE!</v>
      </c>
      <c r="I449" t="e">
        <f>Africa!224:224-"$F;@!5Tt"</f>
        <v>#VALUE!</v>
      </c>
      <c r="J449" t="e">
        <f>Africa!225:225-"$F;@!5Tu"</f>
        <v>#VALUE!</v>
      </c>
      <c r="K449" t="e">
        <f>Africa!226:226-"$F;@!5Tv"</f>
        <v>#VALUE!</v>
      </c>
      <c r="L449" t="e">
        <f>Africa!227:227-"$F;@!5Tw"</f>
        <v>#VALUE!</v>
      </c>
      <c r="M449" t="e">
        <f>Africa!228:228-"$F;@!5Tx"</f>
        <v>#VALUE!</v>
      </c>
      <c r="N449" t="e">
        <f>Africa!229:229-"$F;@!5Ty"</f>
        <v>#VALUE!</v>
      </c>
      <c r="O449" t="e">
        <f>Africa!230:230-"$F;@!5Tz"</f>
        <v>#VALUE!</v>
      </c>
      <c r="P449" t="e">
        <f>Africa!231:231-"$F;@!5T{"</f>
        <v>#VALUE!</v>
      </c>
      <c r="Q449" t="e">
        <f>Africa!232:232-"$F;@!5T|"</f>
        <v>#VALUE!</v>
      </c>
      <c r="R449" t="e">
        <f>Africa!233:233-"$F;@!5T}"</f>
        <v>#VALUE!</v>
      </c>
      <c r="S449" t="e">
        <f>Africa!234:234-"$F;@!5T~"</f>
        <v>#VALUE!</v>
      </c>
      <c r="T449" t="e">
        <f>Africa!235:235-"$F;@!5U#"</f>
        <v>#VALUE!</v>
      </c>
      <c r="U449" t="e">
        <f>Africa!236:236-"$F;@!5U$"</f>
        <v>#VALUE!</v>
      </c>
      <c r="V449" t="e">
        <f>Africa!237:237-"$F;@!5U%"</f>
        <v>#VALUE!</v>
      </c>
      <c r="W449" t="e">
        <f>Africa!238:238-"$F;@!5U&amp;"</f>
        <v>#VALUE!</v>
      </c>
      <c r="X449" t="e">
        <f>Africa!239:239-"$F;@!5U'"</f>
        <v>#VALUE!</v>
      </c>
      <c r="Y449" t="e">
        <f>Africa!240:240-"$F;@!5U("</f>
        <v>#VALUE!</v>
      </c>
      <c r="Z449" t="e">
        <f>Africa!241:241-"$F;@!5U)"</f>
        <v>#VALUE!</v>
      </c>
      <c r="AA449" t="e">
        <f>Africa!242:242-"$F;@!5U."</f>
        <v>#VALUE!</v>
      </c>
      <c r="AB449" t="e">
        <f>Africa!243:243-"$F;@!5U/"</f>
        <v>#VALUE!</v>
      </c>
      <c r="AC449" t="e">
        <f>Africa!244:244-"$F;@!5U0"</f>
        <v>#VALUE!</v>
      </c>
      <c r="AD449" t="e">
        <f>Africa!245:245-"$F;@!5U1"</f>
        <v>#VALUE!</v>
      </c>
      <c r="AE449" t="e">
        <f>Africa!246:246-"$F;@!5U2"</f>
        <v>#VALUE!</v>
      </c>
      <c r="AF449" t="e">
        <f>Africa!247:247-"$F;@!5U3"</f>
        <v>#VALUE!</v>
      </c>
      <c r="AG449" t="e">
        <f>Africa!248:248-"$F;@!5U4"</f>
        <v>#VALUE!</v>
      </c>
      <c r="AH449" t="e">
        <f>Africa!249:249-"$F;@!5U5"</f>
        <v>#VALUE!</v>
      </c>
      <c r="AI449" t="e">
        <f>Africa!250:250-"$F;@!5U6"</f>
        <v>#VALUE!</v>
      </c>
      <c r="AJ449" t="e">
        <f>Africa!251:251-"$F;@!5U7"</f>
        <v>#VALUE!</v>
      </c>
      <c r="AK449" t="e">
        <f>Africa!252:252-"$F;@!5U8"</f>
        <v>#VALUE!</v>
      </c>
      <c r="AL449" t="e">
        <f>Africa!253:253-"$F;@!5U9"</f>
        <v>#VALUE!</v>
      </c>
      <c r="AM449" t="e">
        <f>Africa!254:254-"$F;@!5U:"</f>
        <v>#VALUE!</v>
      </c>
      <c r="AN449" t="e">
        <f>Africa!255:255-"$F;@!5U;"</f>
        <v>#VALUE!</v>
      </c>
      <c r="AO449" t="e">
        <f>Africa!256:256-"$F;@!5U&lt;"</f>
        <v>#VALUE!</v>
      </c>
      <c r="AP449" t="e">
        <f>Africa!257:257-"$F;@!5U="</f>
        <v>#VALUE!</v>
      </c>
      <c r="AQ449" t="e">
        <f>Africa!258:258-"$F;@!5U&gt;"</f>
        <v>#VALUE!</v>
      </c>
      <c r="AR449" t="e">
        <f>Africa!259:259-"$F;@!5U?"</f>
        <v>#VALUE!</v>
      </c>
      <c r="AS449" t="e">
        <f>Africa!260:260-"$F;@!5U@"</f>
        <v>#VALUE!</v>
      </c>
      <c r="AT449" t="e">
        <f>Africa!261:261-"$F;@!5UA"</f>
        <v>#VALUE!</v>
      </c>
      <c r="AU449" t="e">
        <f>Africa!262:262-"$F;@!5UB"</f>
        <v>#VALUE!</v>
      </c>
      <c r="AV449" t="e">
        <f>Africa!263:263-"$F;@!5UC"</f>
        <v>#VALUE!</v>
      </c>
      <c r="AW449" t="e">
        <f>Africa!264:264-"$F;@!5UD"</f>
        <v>#VALUE!</v>
      </c>
      <c r="AX449" t="e">
        <f>Africa!265:265-"$F;@!5UE"</f>
        <v>#VALUE!</v>
      </c>
      <c r="AY449" t="e">
        <f>Africa!266:266-"$F;@!5UF"</f>
        <v>#VALUE!</v>
      </c>
      <c r="AZ449" t="e">
        <f>Africa!267:267-"$F;@!5UG"</f>
        <v>#VALUE!</v>
      </c>
      <c r="BA449" t="e">
        <f>Africa!268:268-"$F;@!5UH"</f>
        <v>#VALUE!</v>
      </c>
      <c r="BB449" t="e">
        <f>Africa!269:269-"$F;@!5UI"</f>
        <v>#VALUE!</v>
      </c>
      <c r="BC449" t="e">
        <f>Africa!270:270-"$F;@!5UJ"</f>
        <v>#VALUE!</v>
      </c>
      <c r="BD449" t="e">
        <f>Africa!271:271-"$F;@!5UK"</f>
        <v>#VALUE!</v>
      </c>
      <c r="BE449" t="e">
        <f>Africa!272:272-"$F;@!5UL"</f>
        <v>#VALUE!</v>
      </c>
      <c r="BF449" t="e">
        <f>Africa!273:273-"$F;@!5UM"</f>
        <v>#VALUE!</v>
      </c>
      <c r="BG449" t="e">
        <f>Africa!274:274-"$F;@!5UN"</f>
        <v>#VALUE!</v>
      </c>
      <c r="BH449" t="e">
        <f>Africa!275:275-"$F;@!5UO"</f>
        <v>#VALUE!</v>
      </c>
      <c r="BI449" t="e">
        <f>Africa!276:276-"$F;@!5UP"</f>
        <v>#VALUE!</v>
      </c>
      <c r="BJ449" t="e">
        <f>Africa!277:277-"$F;@!5UQ"</f>
        <v>#VALUE!</v>
      </c>
      <c r="BK449" t="e">
        <f>Africa!278:278-"$F;@!5UR"</f>
        <v>#VALUE!</v>
      </c>
      <c r="BL449" t="e">
        <f>Africa!279:279-"$F;@!5US"</f>
        <v>#VALUE!</v>
      </c>
      <c r="BM449" t="e">
        <f>Africa!280:280-"$F;@!5UT"</f>
        <v>#VALUE!</v>
      </c>
      <c r="BN449" t="e">
        <f>Africa!281:281-"$F;@!5UU"</f>
        <v>#VALUE!</v>
      </c>
      <c r="BO449" t="e">
        <f>Africa!282:282-"$F;@!5UV"</f>
        <v>#VALUE!</v>
      </c>
      <c r="BP449" t="e">
        <f>Africa!283:283-"$F;@!5UW"</f>
        <v>#VALUE!</v>
      </c>
      <c r="BQ449" t="e">
        <f>Africa!284:284-"$F;@!5UX"</f>
        <v>#VALUE!</v>
      </c>
      <c r="BR449" t="e">
        <f>Africa!285:285-"$F;@!5UY"</f>
        <v>#VALUE!</v>
      </c>
      <c r="BS449" t="e">
        <f>Africa!286:286-"$F;@!5UZ"</f>
        <v>#VALUE!</v>
      </c>
      <c r="BT449" t="e">
        <f>Africa!287:287-"$F;@!5U["</f>
        <v>#VALUE!</v>
      </c>
      <c r="BU449" t="e">
        <f>Africa!288:288-"$F;@!5U\"</f>
        <v>#VALUE!</v>
      </c>
      <c r="BV449" t="e">
        <f>Africa!289:289-"$F;@!5U]"</f>
        <v>#VALUE!</v>
      </c>
      <c r="BW449" t="e">
        <f>Africa!290:290-"$F;@!5U^"</f>
        <v>#VALUE!</v>
      </c>
      <c r="BX449" t="e">
        <f>Africa!291:291-"$F;@!5U_"</f>
        <v>#VALUE!</v>
      </c>
      <c r="BY449" t="e">
        <f>Africa!292:292-"$F;@!5U`"</f>
        <v>#VALUE!</v>
      </c>
      <c r="BZ449" t="e">
        <f>Africa!293:293-"$F;@!5Ua"</f>
        <v>#VALUE!</v>
      </c>
      <c r="CA449" t="e">
        <f>Africa!294:294-"$F;@!5Ub"</f>
        <v>#VALUE!</v>
      </c>
      <c r="CB449" t="e">
        <f>Africa!295:295-"$F;@!5Uc"</f>
        <v>#VALUE!</v>
      </c>
      <c r="CC449" t="e">
        <f>Africa!296:296-"$F;@!5Ud"</f>
        <v>#VALUE!</v>
      </c>
      <c r="CD449" t="e">
        <f>Africa!297:297-"$F;@!5Ue"</f>
        <v>#VALUE!</v>
      </c>
      <c r="CE449" t="e">
        <f>Africa!298:298-"$F;@!5Uf"</f>
        <v>#VALUE!</v>
      </c>
      <c r="CF449" t="e">
        <f>Africa!299:299-"$F;@!5Ug"</f>
        <v>#VALUE!</v>
      </c>
      <c r="CG449" t="e">
        <f>Africa!300:300-"$F;@!5Uh"</f>
        <v>#VALUE!</v>
      </c>
      <c r="CH449" t="e">
        <f>Africa!301:301-"$F;@!5Ui"</f>
        <v>#VALUE!</v>
      </c>
      <c r="CI449" t="e">
        <f>Africa!302:302-"$F;@!5Uj"</f>
        <v>#VALUE!</v>
      </c>
      <c r="CJ449" t="e">
        <f>Africa!303:303-"$F;@!5Uk"</f>
        <v>#VALUE!</v>
      </c>
      <c r="CK449" t="e">
        <f>Africa!304:304-"$F;@!5Ul"</f>
        <v>#VALUE!</v>
      </c>
      <c r="CL449" t="e">
        <f>Africa!305:305-"$F;@!5Um"</f>
        <v>#VALUE!</v>
      </c>
      <c r="CM449" t="e">
        <f>Africa!306:306-"$F;@!5Un"</f>
        <v>#VALUE!</v>
      </c>
      <c r="CN449" t="e">
        <f>Africa!307:307-"$F;@!5Uo"</f>
        <v>#VALUE!</v>
      </c>
      <c r="CO449" t="e">
        <f>Africa!308:308-"$F;@!5Up"</f>
        <v>#VALUE!</v>
      </c>
      <c r="CP449" t="e">
        <f>Africa!309:309-"$F;@!5Uq"</f>
        <v>#VALUE!</v>
      </c>
      <c r="CQ449" t="e">
        <f>Africa!310:310-"$F;@!5Ur"</f>
        <v>#VALUE!</v>
      </c>
      <c r="CR449" t="e">
        <f>Africa!311:311-"$F;@!5Us"</f>
        <v>#VALUE!</v>
      </c>
      <c r="CS449" t="e">
        <f>Africa!312:312-"$F;@!5Ut"</f>
        <v>#VALUE!</v>
      </c>
      <c r="CT449" t="e">
        <f>Africa!313:313-"$F;@!5Uu"</f>
        <v>#VALUE!</v>
      </c>
      <c r="CU449" t="e">
        <f>Africa!314:314-"$F;@!5Uv"</f>
        <v>#VALUE!</v>
      </c>
      <c r="CV449" t="e">
        <f>Africa!315:315-"$F;@!5Uw"</f>
        <v>#VALUE!</v>
      </c>
      <c r="CW449" t="e">
        <f>Africa!316:316-"$F;@!5Ux"</f>
        <v>#VALUE!</v>
      </c>
      <c r="CX449" t="e">
        <f>Africa!317:317-"$F;@!5Uy"</f>
        <v>#VALUE!</v>
      </c>
      <c r="CY449" t="e">
        <f>Africa!318:318-"$F;@!5Uz"</f>
        <v>#VALUE!</v>
      </c>
      <c r="CZ449" t="e">
        <f>Africa!319:319-"$F;@!5U{"</f>
        <v>#VALUE!</v>
      </c>
      <c r="DA449" t="e">
        <f>Africa!320:320-"$F;@!5U|"</f>
        <v>#VALUE!</v>
      </c>
      <c r="DB449" t="e">
        <f>Africa!321:321-"$F;@!5U}"</f>
        <v>#VALUE!</v>
      </c>
      <c r="DC449" t="e">
        <f>Africa!322:322-"$F;@!5U~"</f>
        <v>#VALUE!</v>
      </c>
      <c r="DD449" t="e">
        <f>Africa!323:323-"$F;@!5V#"</f>
        <v>#VALUE!</v>
      </c>
      <c r="DE449" t="e">
        <f>Africa!324:324-"$F;@!5V$"</f>
        <v>#VALUE!</v>
      </c>
      <c r="DF449" t="e">
        <f>Africa!325:325-"$F;@!5V%"</f>
        <v>#VALUE!</v>
      </c>
      <c r="DG449" t="e">
        <f>Africa!326:326-"$F;@!5V&amp;"</f>
        <v>#VALUE!</v>
      </c>
      <c r="DH449" t="e">
        <f>Africa!327:327-"$F;@!5V'"</f>
        <v>#VALUE!</v>
      </c>
      <c r="DI449" t="e">
        <f>Africa!328:328-"$F;@!5V("</f>
        <v>#VALUE!</v>
      </c>
      <c r="DJ449" t="e">
        <f>Africa!329:329-"$F;@!5V)"</f>
        <v>#VALUE!</v>
      </c>
      <c r="DK449" t="e">
        <f>Africa!330:330-"$F;@!5V."</f>
        <v>#VALUE!</v>
      </c>
      <c r="DL449" t="e">
        <f>Africa!331:331-"$F;@!5V/"</f>
        <v>#VALUE!</v>
      </c>
      <c r="DM449" t="e">
        <f>Africa!332:332-"$F;@!5V0"</f>
        <v>#VALUE!</v>
      </c>
      <c r="DN449" t="e">
        <f>Africa!333:333-"$F;@!5V1"</f>
        <v>#VALUE!</v>
      </c>
      <c r="DO449" t="e">
        <f>Africa!334:334-"$F;@!5V2"</f>
        <v>#VALUE!</v>
      </c>
      <c r="DP449" t="e">
        <f>Africa!335:335-"$F;@!5V3"</f>
        <v>#VALUE!</v>
      </c>
      <c r="DQ449" t="e">
        <f>Africa!336:336-"$F;@!5V4"</f>
        <v>#VALUE!</v>
      </c>
      <c r="DR449" t="e">
        <f>Africa!337:337-"$F;@!5V5"</f>
        <v>#VALUE!</v>
      </c>
      <c r="DS449" t="e">
        <f>Africa!338:338-"$F;@!5V6"</f>
        <v>#VALUE!</v>
      </c>
      <c r="DT449" t="e">
        <f>Africa!339:339-"$F;@!5V7"</f>
        <v>#VALUE!</v>
      </c>
      <c r="DU449" t="e">
        <f>Africa!340:340-"$F;@!5V8"</f>
        <v>#VALUE!</v>
      </c>
      <c r="DV449" t="e">
        <f>Africa!341:341-"$F;@!5V9"</f>
        <v>#VALUE!</v>
      </c>
      <c r="DW449" t="e">
        <f>Africa!342:342-"$F;@!5V:"</f>
        <v>#VALUE!</v>
      </c>
      <c r="DX449" t="e">
        <f>Africa!343:343-"$F;@!5V;"</f>
        <v>#VALUE!</v>
      </c>
      <c r="DY449" t="e">
        <f>Africa!344:344-"$F;@!5V&lt;"</f>
        <v>#VALUE!</v>
      </c>
      <c r="DZ449" t="e">
        <f>Africa!345:345-"$F;@!5V="</f>
        <v>#VALUE!</v>
      </c>
      <c r="EA449" t="e">
        <f>Africa!346:346-"$F;@!5V&gt;"</f>
        <v>#VALUE!</v>
      </c>
      <c r="EB449" t="e">
        <f>Africa!347:347-"$F;@!5V?"</f>
        <v>#VALUE!</v>
      </c>
      <c r="EC449" t="e">
        <f>Africa!348:348-"$F;@!5V@"</f>
        <v>#VALUE!</v>
      </c>
      <c r="ED449" t="e">
        <f>Africa!349:349-"$F;@!5VA"</f>
        <v>#VALUE!</v>
      </c>
      <c r="EE449" t="e">
        <f>Africa!350:350-"$F;@!5VB"</f>
        <v>#VALUE!</v>
      </c>
      <c r="EF449" t="e">
        <f>Africa!351:351-"$F;@!5VC"</f>
        <v>#VALUE!</v>
      </c>
      <c r="EG449" t="e">
        <f>Africa!352:352-"$F;@!5VD"</f>
        <v>#VALUE!</v>
      </c>
      <c r="EH449" t="e">
        <f>Africa!353:353-"$F;@!5VE"</f>
        <v>#VALUE!</v>
      </c>
      <c r="EI449" t="e">
        <f>Africa!354:354-"$F;@!5VF"</f>
        <v>#VALUE!</v>
      </c>
      <c r="EJ449" t="e">
        <f>Africa!355:355-"$F;@!5VG"</f>
        <v>#VALUE!</v>
      </c>
      <c r="EK449" t="e">
        <f>Africa!356:356-"$F;@!5VH"</f>
        <v>#VALUE!</v>
      </c>
      <c r="EL449" t="e">
        <f>Africa!357:357-"$F;@!5VI"</f>
        <v>#VALUE!</v>
      </c>
      <c r="EM449" t="e">
        <f>Africa!358:358-"$F;@!5VJ"</f>
        <v>#VALUE!</v>
      </c>
      <c r="EN449" t="e">
        <f>Africa!359:359-"$F;@!5VK"</f>
        <v>#VALUE!</v>
      </c>
      <c r="EO449" t="e">
        <f>Africa!360:360-"$F;@!5VL"</f>
        <v>#VALUE!</v>
      </c>
      <c r="EP449" t="e">
        <f>Africa!361:361-"$F;@!5VM"</f>
        <v>#VALUE!</v>
      </c>
      <c r="EQ449" t="e">
        <f>Africa!362:362-"$F;@!5VN"</f>
        <v>#VALUE!</v>
      </c>
      <c r="ER449" t="e">
        <f>Africa!363:363-"$F;@!5VO"</f>
        <v>#VALUE!</v>
      </c>
      <c r="ES449" t="e">
        <f>Africa!364:364-"$F;@!5VP"</f>
        <v>#VALUE!</v>
      </c>
      <c r="ET449" t="e">
        <f>Africa!365:365-"$F;@!5VQ"</f>
        <v>#VALUE!</v>
      </c>
      <c r="EU449" t="e">
        <f>Africa!366:366-"$F;@!5VR"</f>
        <v>#VALUE!</v>
      </c>
      <c r="EV449" t="e">
        <f>Africa!367:367-"$F;@!5VS"</f>
        <v>#VALUE!</v>
      </c>
      <c r="EW449" t="e">
        <f>Africa!368:368-"$F;@!5VT"</f>
        <v>#VALUE!</v>
      </c>
      <c r="EX449" t="e">
        <f>Africa!369:369-"$F;@!5VU"</f>
        <v>#VALUE!</v>
      </c>
      <c r="EY449" t="e">
        <f>Africa!370:370-"$F;@!5VV"</f>
        <v>#VALUE!</v>
      </c>
      <c r="EZ449" t="e">
        <f>Africa!371:371-"$F;@!5VW"</f>
        <v>#VALUE!</v>
      </c>
      <c r="FA449" t="e">
        <f>Africa!372:372-"$F;@!5VX"</f>
        <v>#VALUE!</v>
      </c>
      <c r="FB449" t="e">
        <f>Africa!373:373-"$F;@!5VY"</f>
        <v>#VALUE!</v>
      </c>
      <c r="FC449" t="e">
        <f>Africa!374:374-"$F;@!5VZ"</f>
        <v>#VALUE!</v>
      </c>
      <c r="FD449" t="e">
        <f>Africa!375:375-"$F;@!5V["</f>
        <v>#VALUE!</v>
      </c>
      <c r="FE449" t="e">
        <f>Africa!376:376-"$F;@!5V\"</f>
        <v>#VALUE!</v>
      </c>
      <c r="FF449" t="e">
        <f>Africa!377:377-"$F;@!5V]"</f>
        <v>#VALUE!</v>
      </c>
      <c r="FG449" t="e">
        <f>Africa!378:378-"$F;@!5V^"</f>
        <v>#VALUE!</v>
      </c>
      <c r="FH449" t="e">
        <f>Africa!379:379-"$F;@!5V_"</f>
        <v>#VALUE!</v>
      </c>
      <c r="FI449" t="e">
        <f>Africa!380:380-"$F;@!5V`"</f>
        <v>#VALUE!</v>
      </c>
      <c r="FJ449" t="e">
        <f>Africa!381:381-"$F;@!5Va"</f>
        <v>#VALUE!</v>
      </c>
      <c r="FK449" t="e">
        <f>Africa!382:382-"$F;@!5Vb"</f>
        <v>#VALUE!</v>
      </c>
      <c r="FL449" t="e">
        <f>Africa!383:383-"$F;@!5Vc"</f>
        <v>#VALUE!</v>
      </c>
      <c r="FM449" t="e">
        <f>Africa!384:384-"$F;@!5Vd"</f>
        <v>#VALUE!</v>
      </c>
      <c r="FN449" t="e">
        <f>Africa!385:385-"$F;@!5Ve"</f>
        <v>#VALUE!</v>
      </c>
      <c r="FO449" t="e">
        <f>Africa!386:386-"$F;@!5Vf"</f>
        <v>#VALUE!</v>
      </c>
      <c r="FP449" t="e">
        <f>Africa!387:387-"$F;@!5Vg"</f>
        <v>#VALUE!</v>
      </c>
      <c r="FQ449" t="e">
        <f>Africa!388:388-"$F;@!5Vh"</f>
        <v>#VALUE!</v>
      </c>
      <c r="FR449" t="e">
        <f>Africa!389:389-"$F;@!5Vi"</f>
        <v>#VALUE!</v>
      </c>
      <c r="FS449" t="e">
        <f>Africa!390:390-"$F;@!5Vj"</f>
        <v>#VALUE!</v>
      </c>
      <c r="FT449" t="e">
        <f>Africa!391:391-"$F;@!5Vk"</f>
        <v>#VALUE!</v>
      </c>
      <c r="FU449" t="e">
        <f>Africa!392:392-"$F;@!5Vl"</f>
        <v>#VALUE!</v>
      </c>
      <c r="FV449" t="e">
        <f>Africa!393:393-"$F;@!5Vm"</f>
        <v>#VALUE!</v>
      </c>
      <c r="FW449" t="e">
        <f>Africa!394:394-"$F;@!5Vn"</f>
        <v>#VALUE!</v>
      </c>
      <c r="FX449" t="e">
        <f>Africa!395:395-"$F;@!5Vo"</f>
        <v>#VALUE!</v>
      </c>
      <c r="FY449" t="e">
        <f>Africa!396:396-"$F;@!5Vp"</f>
        <v>#VALUE!</v>
      </c>
      <c r="FZ449" t="e">
        <f>Africa!397:397-"$F;@!5Vq"</f>
        <v>#VALUE!</v>
      </c>
      <c r="GA449" t="e">
        <f>Africa!398:398-"$F;@!5Vr"</f>
        <v>#VALUE!</v>
      </c>
      <c r="GB449" t="e">
        <f>Africa!399:399-"$F;@!5Vs"</f>
        <v>#VALUE!</v>
      </c>
      <c r="GC449" t="e">
        <f>Africa!400:400-"$F;@!5Vt"</f>
        <v>#VALUE!</v>
      </c>
      <c r="GD449" t="e">
        <f>Africa!401:401-"$F;@!5Vu"</f>
        <v>#VALUE!</v>
      </c>
      <c r="GE449" t="e">
        <f>Africa!402:402-"$F;@!5Vv"</f>
        <v>#VALUE!</v>
      </c>
      <c r="GF449" t="e">
        <f>Africa!403:403-"$F;@!5Vw"</f>
        <v>#VALUE!</v>
      </c>
      <c r="GG449" t="e">
        <f>Africa!404:404-"$F;@!5Vx"</f>
        <v>#VALUE!</v>
      </c>
      <c r="GH449" t="e">
        <f>Africa!405:405-"$F;@!5Vy"</f>
        <v>#VALUE!</v>
      </c>
      <c r="GI449" t="e">
        <f>Africa!406:406-"$F;@!5Vz"</f>
        <v>#VALUE!</v>
      </c>
      <c r="GJ449" t="e">
        <f>Africa!407:407-"$F;@!5V{"</f>
        <v>#VALUE!</v>
      </c>
      <c r="GK449" t="e">
        <f>Africa!408:408-"$F;@!5V|"</f>
        <v>#VALUE!</v>
      </c>
      <c r="GL449" t="e">
        <f>Africa!409:409-"$F;@!5V}"</f>
        <v>#VALUE!</v>
      </c>
      <c r="GM449" t="e">
        <f>Africa!410:410-"$F;@!5V~"</f>
        <v>#VALUE!</v>
      </c>
      <c r="GN449" t="e">
        <f>Africa!411:411-"$F;@!5W#"</f>
        <v>#VALUE!</v>
      </c>
      <c r="GO449" t="e">
        <f>Africa!412:412-"$F;@!5W$"</f>
        <v>#VALUE!</v>
      </c>
      <c r="GP449" t="e">
        <f>Africa!413:413-"$F;@!5W%"</f>
        <v>#VALUE!</v>
      </c>
      <c r="GQ449" t="e">
        <f>Africa!414:414-"$F;@!5W&amp;"</f>
        <v>#VALUE!</v>
      </c>
      <c r="GR449" t="e">
        <f>Africa!415:415-"$F;@!5W'"</f>
        <v>#VALUE!</v>
      </c>
      <c r="GS449" t="e">
        <f>Africa!416:416-"$F;@!5W("</f>
        <v>#VALUE!</v>
      </c>
      <c r="GT449" t="e">
        <f>Africa!417:417-"$F;@!5W)"</f>
        <v>#VALUE!</v>
      </c>
      <c r="GU449" t="e">
        <f>Africa!418:418-"$F;@!5W."</f>
        <v>#VALUE!</v>
      </c>
      <c r="GV449" t="e">
        <f>Africa!419:419-"$F;@!5W/"</f>
        <v>#VALUE!</v>
      </c>
      <c r="GW449" t="e">
        <f>Africa!420:420-"$F;@!5W0"</f>
        <v>#VALUE!</v>
      </c>
      <c r="GX449" t="e">
        <f>Africa!421:421-"$F;@!5W1"</f>
        <v>#VALUE!</v>
      </c>
      <c r="GY449" t="e">
        <f>Africa!422:422-"$F;@!5W2"</f>
        <v>#VALUE!</v>
      </c>
      <c r="GZ449" t="e">
        <f>Africa!423:423-"$F;@!5W3"</f>
        <v>#VALUE!</v>
      </c>
      <c r="HA449" t="e">
        <f>Africa!424:424-"$F;@!5W4"</f>
        <v>#VALUE!</v>
      </c>
      <c r="HB449" t="e">
        <f>Africa!425:425-"$F;@!5W5"</f>
        <v>#VALUE!</v>
      </c>
      <c r="HC449" t="e">
        <f>Africa!426:426-"$F;@!5W6"</f>
        <v>#VALUE!</v>
      </c>
      <c r="HD449" t="e">
        <f>Africa!427:427-"$F;@!5W7"</f>
        <v>#VALUE!</v>
      </c>
      <c r="HE449" t="e">
        <f>Africa!428:428-"$F;@!5W8"</f>
        <v>#VALUE!</v>
      </c>
      <c r="HF449" t="e">
        <f>Africa!429:429-"$F;@!5W9"</f>
        <v>#VALUE!</v>
      </c>
      <c r="HG449" t="e">
        <f>Africa!430:430-"$F;@!5W:"</f>
        <v>#VALUE!</v>
      </c>
      <c r="HH449" t="e">
        <f>Africa!431:431-"$F;@!5W;"</f>
        <v>#VALUE!</v>
      </c>
      <c r="HI449" t="e">
        <f>Africa!432:432-"$F;@!5W&lt;"</f>
        <v>#VALUE!</v>
      </c>
      <c r="HJ449" t="e">
        <f>Africa!433:433-"$F;@!5W="</f>
        <v>#VALUE!</v>
      </c>
      <c r="HK449" t="e">
        <f>Africa!434:434-"$F;@!5W&gt;"</f>
        <v>#VALUE!</v>
      </c>
      <c r="HL449" t="e">
        <f>Africa!435:435-"$F;@!5W?"</f>
        <v>#VALUE!</v>
      </c>
      <c r="HM449" t="e">
        <f>Africa!436:436-"$F;@!5W@"</f>
        <v>#VALUE!</v>
      </c>
      <c r="HN449" t="e">
        <f>Africa!437:437-"$F;@!5WA"</f>
        <v>#VALUE!</v>
      </c>
      <c r="HO449" t="e">
        <f>Africa!438:438-"$F;@!5WB"</f>
        <v>#VALUE!</v>
      </c>
      <c r="HP449" t="e">
        <f>Africa!439:439-"$F;@!5WC"</f>
        <v>#VALUE!</v>
      </c>
      <c r="HQ449" t="e">
        <f>Africa!440:440-"$F;@!5WD"</f>
        <v>#VALUE!</v>
      </c>
      <c r="HR449" t="e">
        <f>Africa!441:441-"$F;@!5WE"</f>
        <v>#VALUE!</v>
      </c>
      <c r="HS449" t="e">
        <f>Africa!442:442-"$F;@!5WF"</f>
        <v>#VALUE!</v>
      </c>
      <c r="HT449" t="e">
        <f>Africa!443:443-"$F;@!5WG"</f>
        <v>#VALUE!</v>
      </c>
      <c r="HU449" t="e">
        <f>Africa!444:444-"$F;@!5WH"</f>
        <v>#VALUE!</v>
      </c>
      <c r="HV449" t="e">
        <f>Africa!445:445-"$F;@!5WI"</f>
        <v>#VALUE!</v>
      </c>
      <c r="HW449" t="e">
        <f>Africa!446:446-"$F;@!5WJ"</f>
        <v>#VALUE!</v>
      </c>
      <c r="HX449" t="e">
        <f>Africa!447:447-"$F;@!5WK"</f>
        <v>#VALUE!</v>
      </c>
      <c r="HY449" t="e">
        <f>Africa!448:448-"$F;@!5WL"</f>
        <v>#VALUE!</v>
      </c>
      <c r="HZ449" t="e">
        <f>Africa!449:449-"$F;@!5WM"</f>
        <v>#VALUE!</v>
      </c>
      <c r="IA449" t="e">
        <f>Africa!450:450-"$F;@!5WN"</f>
        <v>#VALUE!</v>
      </c>
      <c r="IB449" t="e">
        <f>Africa!451:451-"$F;@!5WO"</f>
        <v>#VALUE!</v>
      </c>
      <c r="IC449" t="e">
        <f>Africa!452:452-"$F;@!5WP"</f>
        <v>#VALUE!</v>
      </c>
      <c r="ID449" t="e">
        <f>Africa!453:453-"$F;@!5WQ"</f>
        <v>#VALUE!</v>
      </c>
      <c r="IE449" t="e">
        <f>Africa!454:454-"$F;@!5WR"</f>
        <v>#VALUE!</v>
      </c>
      <c r="IF449" t="e">
        <f>Africa!455:455-"$F;@!5WS"</f>
        <v>#VALUE!</v>
      </c>
      <c r="IG449" t="e">
        <f>Africa!456:456-"$F;@!5WT"</f>
        <v>#VALUE!</v>
      </c>
      <c r="IH449" t="e">
        <f>Africa!457:457-"$F;@!5WU"</f>
        <v>#VALUE!</v>
      </c>
      <c r="II449" t="e">
        <f>Africa!458:458-"$F;@!5WV"</f>
        <v>#VALUE!</v>
      </c>
      <c r="IJ449" t="e">
        <f>Africa!459:459-"$F;@!5WW"</f>
        <v>#VALUE!</v>
      </c>
      <c r="IK449" t="e">
        <f>Africa!460:460-"$F;@!5WX"</f>
        <v>#VALUE!</v>
      </c>
      <c r="IL449" t="e">
        <f>Africa!461:461-"$F;@!5WY"</f>
        <v>#VALUE!</v>
      </c>
      <c r="IM449" t="e">
        <f>Africa!462:462-"$F;@!5WZ"</f>
        <v>#VALUE!</v>
      </c>
      <c r="IN449" t="e">
        <f>Africa!463:463-"$F;@!5W["</f>
        <v>#VALUE!</v>
      </c>
      <c r="IO449" t="e">
        <f>Africa!464:464-"$F;@!5W\"</f>
        <v>#VALUE!</v>
      </c>
      <c r="IP449" t="e">
        <f>Africa!465:465-"$F;@!5W]"</f>
        <v>#VALUE!</v>
      </c>
      <c r="IQ449" t="e">
        <f>Africa!466:466-"$F;@!5W^"</f>
        <v>#VALUE!</v>
      </c>
      <c r="IR449" t="e">
        <f>Africa!467:467-"$F;@!5W_"</f>
        <v>#VALUE!</v>
      </c>
      <c r="IS449" t="e">
        <f>Africa!468:468-"$F;@!5W`"</f>
        <v>#VALUE!</v>
      </c>
      <c r="IT449" t="e">
        <f>Africa!469:469-"$F;@!5Wa"</f>
        <v>#VALUE!</v>
      </c>
      <c r="IU449" t="e">
        <f>Africa!470:470-"$F;@!5Wb"</f>
        <v>#VALUE!</v>
      </c>
      <c r="IV449" t="e">
        <f>Africa!471:471-"$F;@!5Wc"</f>
        <v>#VALUE!</v>
      </c>
    </row>
    <row r="450" spans="6:256" x14ac:dyDescent="0.35">
      <c r="F450" t="e">
        <f>Africa!472:472-"$F;@!5Wd"</f>
        <v>#VALUE!</v>
      </c>
      <c r="G450" t="e">
        <f>Africa!473:473-"$F;@!5We"</f>
        <v>#VALUE!</v>
      </c>
      <c r="H450" t="e">
        <f>Africa!474:474-"$F;@!5Wf"</f>
        <v>#VALUE!</v>
      </c>
      <c r="I450" t="e">
        <f>Africa!475:475-"$F;@!5Wg"</f>
        <v>#VALUE!</v>
      </c>
      <c r="J450" t="e">
        <f>Africa!476:476-"$F;@!5Wh"</f>
        <v>#VALUE!</v>
      </c>
      <c r="K450" t="e">
        <f>Africa!477:477-"$F;@!5Wi"</f>
        <v>#VALUE!</v>
      </c>
      <c r="L450" t="e">
        <f>Africa!478:478-"$F;@!5Wj"</f>
        <v>#VALUE!</v>
      </c>
      <c r="M450" t="e">
        <f>Africa!479:479-"$F;@!5Wk"</f>
        <v>#VALUE!</v>
      </c>
      <c r="N450" t="e">
        <f>Africa!480:480-"$F;@!5Wl"</f>
        <v>#VALUE!</v>
      </c>
      <c r="O450" t="e">
        <f>Africa!481:481-"$F;@!5Wm"</f>
        <v>#VALUE!</v>
      </c>
      <c r="P450" t="e">
        <f>Africa!482:482-"$F;@!5Wn"</f>
        <v>#VALUE!</v>
      </c>
      <c r="Q450" t="e">
        <f>Africa!483:483-"$F;@!5Wo"</f>
        <v>#VALUE!</v>
      </c>
      <c r="R450" t="e">
        <f>Africa!484:484-"$F;@!5Wp"</f>
        <v>#VALUE!</v>
      </c>
      <c r="S450" t="e">
        <f>Africa!485:485-"$F;@!5Wq"</f>
        <v>#VALUE!</v>
      </c>
      <c r="T450" t="e">
        <f>Africa!486:486-"$F;@!5Wr"</f>
        <v>#VALUE!</v>
      </c>
      <c r="U450" t="e">
        <f>Africa!487:487-"$F;@!5Ws"</f>
        <v>#VALUE!</v>
      </c>
      <c r="V450" t="e">
        <f>Africa!488:488-"$F;@!5Wt"</f>
        <v>#VALUE!</v>
      </c>
      <c r="W450" t="e">
        <f>Africa!489:489-"$F;@!5Wu"</f>
        <v>#VALUE!</v>
      </c>
      <c r="X450" t="e">
        <f>Africa!490:490-"$F;@!5Wv"</f>
        <v>#VALUE!</v>
      </c>
      <c r="Y450" t="e">
        <f>Africa!491:491-"$F;@!5Ww"</f>
        <v>#VALUE!</v>
      </c>
      <c r="Z450" t="e">
        <f>Africa!492:492-"$F;@!5Wx"</f>
        <v>#VALUE!</v>
      </c>
      <c r="AA450" t="e">
        <f>Africa!493:493-"$F;@!5Wy"</f>
        <v>#VALUE!</v>
      </c>
      <c r="AB450" t="e">
        <f>Africa!494:494-"$F;@!5Wz"</f>
        <v>#VALUE!</v>
      </c>
      <c r="AC450" t="e">
        <f>Africa!495:495-"$F;@!5W{"</f>
        <v>#VALUE!</v>
      </c>
      <c r="AD450" t="e">
        <f>Africa!496:496-"$F;@!5W|"</f>
        <v>#VALUE!</v>
      </c>
      <c r="AE450" t="e">
        <f>Africa!497:497-"$F;@!5W}"</f>
        <v>#VALUE!</v>
      </c>
      <c r="AF450" t="e">
        <f>Africa!498:498-"$F;@!5W~"</f>
        <v>#VALUE!</v>
      </c>
      <c r="AG450" t="e">
        <f>Africa!499:499-"$F;@!5X#"</f>
        <v>#VALUE!</v>
      </c>
      <c r="AH450" t="e">
        <f>Africa!500:500-"$F;@!5X$"</f>
        <v>#VALUE!</v>
      </c>
      <c r="AI450" t="e">
        <f>Africa!501:501-"$F;@!5X%"</f>
        <v>#VALUE!</v>
      </c>
      <c r="AJ450" t="e">
        <f>Africa!502:502-"$F;@!5X&amp;"</f>
        <v>#VALUE!</v>
      </c>
      <c r="AK450" t="e">
        <f>Africa!503:503-"$F;@!5X'"</f>
        <v>#VALUE!</v>
      </c>
      <c r="AL450" t="e">
        <f>Africa!504:504-"$F;@!5X("</f>
        <v>#VALUE!</v>
      </c>
      <c r="AM450" t="e">
        <f>Africa!505:505-"$F;@!5X)"</f>
        <v>#VALUE!</v>
      </c>
      <c r="AN450" t="e">
        <f>Africa!506:506-"$F;@!5X."</f>
        <v>#VALUE!</v>
      </c>
      <c r="AO450" t="e">
        <f>Africa!507:507-"$F;@!5X/"</f>
        <v>#VALUE!</v>
      </c>
      <c r="AP450" t="e">
        <f>Africa!508:508-"$F;@!5X0"</f>
        <v>#VALUE!</v>
      </c>
      <c r="AQ450" t="e">
        <f>Africa!509:509-"$F;@!5X1"</f>
        <v>#VALUE!</v>
      </c>
      <c r="AR450" t="e">
        <f>Africa!510:510-"$F;@!5X2"</f>
        <v>#VALUE!</v>
      </c>
      <c r="AS450" t="e">
        <f>Africa!511:511-"$F;@!5X3"</f>
        <v>#VALUE!</v>
      </c>
      <c r="AT450" t="e">
        <f>Africa!512:512-"$F;@!5X4"</f>
        <v>#VALUE!</v>
      </c>
      <c r="AU450" t="e">
        <f>Africa!513:513-"$F;@!5X5"</f>
        <v>#VALUE!</v>
      </c>
      <c r="AV450" t="e">
        <f>Africa!514:514-"$F;@!5X6"</f>
        <v>#VALUE!</v>
      </c>
      <c r="AW450" t="e">
        <f>Africa!515:515-"$F;@!5X7"</f>
        <v>#VALUE!</v>
      </c>
      <c r="AX450" t="e">
        <f>Africa!516:516-"$F;@!5X8"</f>
        <v>#VALUE!</v>
      </c>
      <c r="AY450" t="e">
        <f>Africa!517:517-"$F;@!5X9"</f>
        <v>#VALUE!</v>
      </c>
      <c r="AZ450" t="e">
        <f>Africa!518:518-"$F;@!5X:"</f>
        <v>#VALUE!</v>
      </c>
      <c r="BA450" t="e">
        <f>Africa!519:519-"$F;@!5X;"</f>
        <v>#VALUE!</v>
      </c>
      <c r="BB450" t="e">
        <f>Africa!520:520-"$F;@!5X&lt;"</f>
        <v>#VALUE!</v>
      </c>
      <c r="BC450" t="e">
        <f>Africa!521:521-"$F;@!5X="</f>
        <v>#VALUE!</v>
      </c>
      <c r="BD450" t="e">
        <f>Africa!522:522-"$F;@!5X&gt;"</f>
        <v>#VALUE!</v>
      </c>
      <c r="BE450" t="e">
        <f>Africa!523:523-"$F;@!5X?"</f>
        <v>#VALUE!</v>
      </c>
      <c r="BF450" t="e">
        <f>Africa!524:524-"$F;@!5X@"</f>
        <v>#VALUE!</v>
      </c>
      <c r="BG450" t="e">
        <f>Africa!525:525-"$F;@!5XA"</f>
        <v>#VALUE!</v>
      </c>
      <c r="BH450" t="e">
        <f>Africa!526:526-"$F;@!5XB"</f>
        <v>#VALUE!</v>
      </c>
      <c r="BI450" t="e">
        <f>Africa!527:527-"$F;@!5XC"</f>
        <v>#VALUE!</v>
      </c>
      <c r="BJ450" t="e">
        <f>Africa!528:528-"$F;@!5XD"</f>
        <v>#VALUE!</v>
      </c>
      <c r="BK450" t="e">
        <f>Africa!529:529-"$F;@!5XE"</f>
        <v>#VALUE!</v>
      </c>
      <c r="BL450" t="e">
        <f>Africa!530:530-"$F;@!5XF"</f>
        <v>#VALUE!</v>
      </c>
      <c r="BM450" t="e">
        <f>Africa!531:531-"$F;@!5XG"</f>
        <v>#VALUE!</v>
      </c>
      <c r="BN450" t="e">
        <f>Africa!532:532-"$F;@!5XH"</f>
        <v>#VALUE!</v>
      </c>
      <c r="BO450" t="e">
        <f>Africa!533:533-"$F;@!5XI"</f>
        <v>#VALUE!</v>
      </c>
      <c r="BP450" t="e">
        <f>Africa!534:534-"$F;@!5XJ"</f>
        <v>#VALUE!</v>
      </c>
      <c r="BQ450" t="e">
        <f>Africa!535:535-"$F;@!5XK"</f>
        <v>#VALUE!</v>
      </c>
      <c r="BR450" t="e">
        <f>Africa!536:536-"$F;@!5XL"</f>
        <v>#VALUE!</v>
      </c>
      <c r="BS450" t="e">
        <f>Africa!537:537-"$F;@!5XM"</f>
        <v>#VALUE!</v>
      </c>
      <c r="BT450" t="e">
        <f>Africa!538:538-"$F;@!5XN"</f>
        <v>#VALUE!</v>
      </c>
      <c r="BU450" t="e">
        <f>Africa!539:539-"$F;@!5XO"</f>
        <v>#VALUE!</v>
      </c>
      <c r="BV450" t="e">
        <f>Africa!540:540-"$F;@!5XP"</f>
        <v>#VALUE!</v>
      </c>
      <c r="BW450" t="e">
        <f>Africa!541:541-"$F;@!5XQ"</f>
        <v>#VALUE!</v>
      </c>
      <c r="BX450" t="e">
        <f>Africa!542:542-"$F;@!5XR"</f>
        <v>#VALUE!</v>
      </c>
      <c r="BY450" t="e">
        <f>Africa!543:543-"$F;@!5XS"</f>
        <v>#VALUE!</v>
      </c>
      <c r="BZ450" t="e">
        <f>Africa!544:544-"$F;@!5XT"</f>
        <v>#VALUE!</v>
      </c>
      <c r="CA450" t="e">
        <f>Africa!545:545-"$F;@!5XU"</f>
        <v>#VALUE!</v>
      </c>
      <c r="CB450" t="e">
        <f>Africa!546:546-"$F;@!5XV"</f>
        <v>#VALUE!</v>
      </c>
      <c r="CC450" t="e">
        <f>Africa!547:547-"$F;@!5XW"</f>
        <v>#VALUE!</v>
      </c>
      <c r="CD450" t="e">
        <f>Africa!548:548-"$F;@!5XX"</f>
        <v>#VALUE!</v>
      </c>
      <c r="CE450" t="e">
        <f>Africa!549:549-"$F;@!5XY"</f>
        <v>#VALUE!</v>
      </c>
      <c r="CF450" t="e">
        <f>Africa!550:550-"$F;@!5XZ"</f>
        <v>#VALUE!</v>
      </c>
      <c r="CG450" t="e">
        <f>Africa!551:551-"$F;@!5X["</f>
        <v>#VALUE!</v>
      </c>
      <c r="CH450" t="e">
        <f>Africa!552:552-"$F;@!5X\"</f>
        <v>#VALUE!</v>
      </c>
      <c r="CI450" t="e">
        <f>Africa!553:553-"$F;@!5X]"</f>
        <v>#VALUE!</v>
      </c>
      <c r="CJ450" t="e">
        <f>Africa!554:554-"$F;@!5X^"</f>
        <v>#VALUE!</v>
      </c>
      <c r="CK450" t="e">
        <f>Africa!555:555-"$F;@!5X_"</f>
        <v>#VALUE!</v>
      </c>
      <c r="CL450" t="e">
        <f>Africa!556:556-"$F;@!5X`"</f>
        <v>#VALUE!</v>
      </c>
      <c r="CM450" t="e">
        <f>Africa!557:557-"$F;@!5Xa"</f>
        <v>#VALUE!</v>
      </c>
      <c r="CN450" t="e">
        <f>Africa!558:558-"$F;@!5Xb"</f>
        <v>#VALUE!</v>
      </c>
      <c r="CO450" t="e">
        <f>Africa!559:559-"$F;@!5Xc"</f>
        <v>#VALUE!</v>
      </c>
      <c r="CP450" t="e">
        <f>Africa!560:560-"$F;@!5Xd"</f>
        <v>#VALUE!</v>
      </c>
      <c r="CQ450" t="e">
        <f>Africa!561:561-"$F;@!5Xe"</f>
        <v>#VALUE!</v>
      </c>
      <c r="CR450" t="e">
        <f>Africa!562:562-"$F;@!5Xf"</f>
        <v>#VALUE!</v>
      </c>
      <c r="CS450" t="e">
        <f>Africa!563:563-"$F;@!5Xg"</f>
        <v>#VALUE!</v>
      </c>
      <c r="CT450" t="e">
        <f>Africa!564:564-"$F;@!5Xh"</f>
        <v>#VALUE!</v>
      </c>
      <c r="CU450" t="e">
        <f>Africa!565:565-"$F;@!5Xi"</f>
        <v>#VALUE!</v>
      </c>
      <c r="CV450" t="e">
        <f>Africa!566:566-"$F;@!5Xj"</f>
        <v>#VALUE!</v>
      </c>
      <c r="CW450" t="e">
        <f>Africa!567:567-"$F;@!5Xk"</f>
        <v>#VALUE!</v>
      </c>
      <c r="CX450" t="e">
        <f>Africa!568:568-"$F;@!5Xl"</f>
        <v>#VALUE!</v>
      </c>
      <c r="CY450" t="e">
        <f>Africa!569:569-"$F;@!5Xm"</f>
        <v>#VALUE!</v>
      </c>
      <c r="CZ450" t="e">
        <f>Africa!570:570-"$F;@!5Xn"</f>
        <v>#VALUE!</v>
      </c>
      <c r="DA450" t="e">
        <f>Africa!571:571-"$F;@!5Xo"</f>
        <v>#VALUE!</v>
      </c>
      <c r="DB450" t="e">
        <f>Africa!572:572-"$F;@!5Xp"</f>
        <v>#VALUE!</v>
      </c>
      <c r="DC450" t="e">
        <f>Africa!573:573-"$F;@!5Xq"</f>
        <v>#VALUE!</v>
      </c>
      <c r="DD450" t="e">
        <f>Africa!574:574-"$F;@!5Xr"</f>
        <v>#VALUE!</v>
      </c>
      <c r="DE450" t="e">
        <f>Africa!575:575-"$F;@!5Xs"</f>
        <v>#VALUE!</v>
      </c>
      <c r="DF450" t="e">
        <f>International!A1+"$F;@!5Xt"</f>
        <v>#VALUE!</v>
      </c>
      <c r="DG450" t="e">
        <f>International!B1+"$F;@!5Xu"</f>
        <v>#VALUE!</v>
      </c>
      <c r="DH450" t="e">
        <f>International!C1+"$F;@!5Xv"</f>
        <v>#VALUE!</v>
      </c>
      <c r="DI450" t="e">
        <f>International!D1+"$F;@!5Xw"</f>
        <v>#VALUE!</v>
      </c>
      <c r="DJ450" t="e">
        <f>International!E1+"$F;@!5Xx"</f>
        <v>#VALUE!</v>
      </c>
      <c r="DK450" t="e">
        <f>International!F1+"$F;@!5Xy"</f>
        <v>#VALUE!</v>
      </c>
      <c r="DL450" t="e">
        <f>International!G1+"$F;@!5Xz"</f>
        <v>#VALUE!</v>
      </c>
      <c r="DM450" t="e">
        <f>International!H1+"$F;@!5X{"</f>
        <v>#VALUE!</v>
      </c>
      <c r="DN450" t="e">
        <f>International!A2+"$F;@!5X|"</f>
        <v>#VALUE!</v>
      </c>
      <c r="DO450" t="e">
        <f>International!B2+"$F;@!5X}"</f>
        <v>#VALUE!</v>
      </c>
      <c r="DP450" t="e">
        <f>International!C2+"$F;@!5X~"</f>
        <v>#VALUE!</v>
      </c>
      <c r="DQ450" t="e">
        <f>International!D2+"$F;@!5Y#"</f>
        <v>#VALUE!</v>
      </c>
      <c r="DR450" t="e">
        <f>International!E2+"$F;@!5Y$"</f>
        <v>#VALUE!</v>
      </c>
      <c r="DS450" t="e">
        <f>International!F2+"$F;@!5Y%"</f>
        <v>#VALUE!</v>
      </c>
      <c r="DT450" t="e">
        <f>International!G2+"$F;@!5Y&amp;"</f>
        <v>#VALUE!</v>
      </c>
      <c r="DU450" t="e">
        <f>International!H2+"$F;@!5Y'"</f>
        <v>#VALUE!</v>
      </c>
      <c r="DV450" t="e">
        <f>International!A3+"$F;@!5Y("</f>
        <v>#VALUE!</v>
      </c>
      <c r="DW450" t="e">
        <f>International!B3+"$F;@!5Y)"</f>
        <v>#VALUE!</v>
      </c>
      <c r="DX450" t="e">
        <f>International!C3+"$F;@!5Y."</f>
        <v>#VALUE!</v>
      </c>
      <c r="DY450" t="e">
        <f>International!D3+"$F;@!5Y/"</f>
        <v>#VALUE!</v>
      </c>
      <c r="DZ450" t="e">
        <f>International!E3+"$F;@!5Y0"</f>
        <v>#VALUE!</v>
      </c>
      <c r="EA450" t="e">
        <f>International!F3+"$F;@!5Y1"</f>
        <v>#VALUE!</v>
      </c>
      <c r="EB450" t="e">
        <f>International!G3+"$F;@!5Y2"</f>
        <v>#VALUE!</v>
      </c>
      <c r="EC450" t="e">
        <f>International!H3+"$F;@!5Y3"</f>
        <v>#VALUE!</v>
      </c>
      <c r="ED450" t="e">
        <f>International!A4+"$F;@!5Y4"</f>
        <v>#VALUE!</v>
      </c>
      <c r="EE450" t="e">
        <f>International!B4+"$F;@!5Y5"</f>
        <v>#VALUE!</v>
      </c>
      <c r="EF450" t="e">
        <f>International!C4+"$F;@!5Y6"</f>
        <v>#VALUE!</v>
      </c>
      <c r="EG450" t="e">
        <f>International!D4+"$F;@!5Y7"</f>
        <v>#VALUE!</v>
      </c>
      <c r="EH450" t="e">
        <f>International!E4+"$F;@!5Y8"</f>
        <v>#VALUE!</v>
      </c>
      <c r="EI450" t="e">
        <f>International!F4+"$F;@!5Y9"</f>
        <v>#VALUE!</v>
      </c>
      <c r="EJ450" t="e">
        <f>International!G4+"$F;@!5Y:"</f>
        <v>#VALUE!</v>
      </c>
      <c r="EK450" t="e">
        <f>International!H4+"$F;@!5Y;"</f>
        <v>#VALUE!</v>
      </c>
      <c r="EL450" t="e">
        <f>International!A5+"$F;@!5Y&lt;"</f>
        <v>#VALUE!</v>
      </c>
      <c r="EM450" t="e">
        <f>International!B5+"$F;@!5Y="</f>
        <v>#VALUE!</v>
      </c>
      <c r="EN450" t="e">
        <f>International!C5+"$F;@!5Y&gt;"</f>
        <v>#VALUE!</v>
      </c>
      <c r="EO450" t="e">
        <f>International!D5+"$F;@!5Y?"</f>
        <v>#VALUE!</v>
      </c>
      <c r="EP450" t="e">
        <f>International!E5+"$F;@!5Y@"</f>
        <v>#VALUE!</v>
      </c>
      <c r="EQ450" t="e">
        <f>International!F5+"$F;@!5YA"</f>
        <v>#VALUE!</v>
      </c>
      <c r="ER450" t="e">
        <f>International!G5+"$F;@!5YB"</f>
        <v>#VALUE!</v>
      </c>
      <c r="ES450" t="e">
        <f>International!H5+"$F;@!5YC"</f>
        <v>#VALUE!</v>
      </c>
      <c r="ET450" t="e">
        <f>International!A6+"$F;@!5YD"</f>
        <v>#VALUE!</v>
      </c>
      <c r="EU450" t="e">
        <f>International!B6+"$F;@!5YE"</f>
        <v>#VALUE!</v>
      </c>
      <c r="EV450" t="e">
        <f>International!C6+"$F;@!5YF"</f>
        <v>#VALUE!</v>
      </c>
      <c r="EW450" t="e">
        <f>International!D6+"$F;@!5YG"</f>
        <v>#VALUE!</v>
      </c>
      <c r="EX450" t="e">
        <f>International!E6+"$F;@!5YH"</f>
        <v>#VALUE!</v>
      </c>
      <c r="EY450" t="e">
        <f>International!F6+"$F;@!5YI"</f>
        <v>#VALUE!</v>
      </c>
      <c r="EZ450" t="e">
        <f>International!G6+"$F;@!5YJ"</f>
        <v>#VALUE!</v>
      </c>
      <c r="FA450" t="e">
        <f>International!H6+"$F;@!5YK"</f>
        <v>#VALUE!</v>
      </c>
      <c r="FB450" t="e">
        <f>International!A7+"$F;@!5YL"</f>
        <v>#VALUE!</v>
      </c>
      <c r="FC450" t="e">
        <f>International!B7+"$F;@!5YM"</f>
        <v>#VALUE!</v>
      </c>
      <c r="FD450" t="e">
        <f>International!C7+"$F;@!5YN"</f>
        <v>#VALUE!</v>
      </c>
      <c r="FE450" t="e">
        <f>International!D7+"$F;@!5YO"</f>
        <v>#VALUE!</v>
      </c>
      <c r="FF450" t="e">
        <f>International!E7+"$F;@!5YP"</f>
        <v>#VALUE!</v>
      </c>
      <c r="FG450" t="e">
        <f>International!F7+"$F;@!5YQ"</f>
        <v>#VALUE!</v>
      </c>
      <c r="FH450" t="e">
        <f>International!G7+"$F;@!5YR"</f>
        <v>#VALUE!</v>
      </c>
      <c r="FI450" t="e">
        <f>International!H7+"$F;@!5YS"</f>
        <v>#VALUE!</v>
      </c>
      <c r="FJ450" t="e">
        <f>International!A11+"$F;@!5YT"</f>
        <v>#VALUE!</v>
      </c>
      <c r="FK450" t="e">
        <f>International!B11+"$F;@!5YU"</f>
        <v>#VALUE!</v>
      </c>
      <c r="FL450" t="e">
        <f>International!C11+"$F;@!5YV"</f>
        <v>#VALUE!</v>
      </c>
      <c r="FM450" t="e">
        <f>International!D11+"$F;@!5YW"</f>
        <v>#VALUE!</v>
      </c>
      <c r="FN450" t="e">
        <f>International!E11+"$F;@!5YX"</f>
        <v>#VALUE!</v>
      </c>
      <c r="FO450" t="e">
        <f>International!F11+"$F;@!5YY"</f>
        <v>#VALUE!</v>
      </c>
      <c r="FP450" t="e">
        <f>International!G11+"$F;@!5YZ"</f>
        <v>#VALUE!</v>
      </c>
      <c r="FQ450" t="e">
        <f>International!H11+"$F;@!5Y["</f>
        <v>#VALUE!</v>
      </c>
      <c r="FR450" t="e">
        <f>International!A12+"$F;@!5Y\"</f>
        <v>#VALUE!</v>
      </c>
      <c r="FS450" t="e">
        <f>International!B12+"$F;@!5Y]"</f>
        <v>#VALUE!</v>
      </c>
      <c r="FT450" t="e">
        <f>International!C12+"$F;@!5Y^"</f>
        <v>#VALUE!</v>
      </c>
      <c r="FU450" t="e">
        <f>International!D12+"$F;@!5Y_"</f>
        <v>#VALUE!</v>
      </c>
      <c r="FV450" t="e">
        <f>International!E12+"$F;@!5Y`"</f>
        <v>#VALUE!</v>
      </c>
      <c r="FW450" t="e">
        <f>International!F12+"$F;@!5Ya"</f>
        <v>#VALUE!</v>
      </c>
      <c r="FX450" t="e">
        <f>International!G12+"$F;@!5Yb"</f>
        <v>#VALUE!</v>
      </c>
      <c r="FY450" t="e">
        <f>International!H12+"$F;@!5Yc"</f>
        <v>#VALUE!</v>
      </c>
      <c r="FZ450" t="e">
        <f>International!A13+"$F;@!5Yd"</f>
        <v>#VALUE!</v>
      </c>
      <c r="GA450" t="e">
        <f>International!B13+"$F;@!5Ye"</f>
        <v>#VALUE!</v>
      </c>
      <c r="GB450" t="e">
        <f>International!C13+"$F;@!5Yf"</f>
        <v>#VALUE!</v>
      </c>
      <c r="GC450" t="e">
        <f>International!D13+"$F;@!5Yg"</f>
        <v>#VALUE!</v>
      </c>
      <c r="GD450" t="e">
        <f>International!E13+"$F;@!5Yh"</f>
        <v>#VALUE!</v>
      </c>
      <c r="GE450" t="e">
        <f>International!F13+"$F;@!5Yi"</f>
        <v>#VALUE!</v>
      </c>
      <c r="GF450" t="e">
        <f>International!G13+"$F;@!5Yj"</f>
        <v>#VALUE!</v>
      </c>
      <c r="GG450" t="e">
        <f>International!H13+"$F;@!5Yk"</f>
        <v>#VALUE!</v>
      </c>
      <c r="GH450" t="e">
        <f>International!A14+"$F;@!5Yl"</f>
        <v>#VALUE!</v>
      </c>
      <c r="GI450" t="e">
        <f>International!B14+"$F;@!5Ym"</f>
        <v>#VALUE!</v>
      </c>
      <c r="GJ450" t="e">
        <f>International!C14+"$F;@!5Yn"</f>
        <v>#VALUE!</v>
      </c>
      <c r="GK450" t="e">
        <f>International!D14+"$F;@!5Yo"</f>
        <v>#VALUE!</v>
      </c>
      <c r="GL450" t="e">
        <f>International!E14+"$F;@!5Yp"</f>
        <v>#VALUE!</v>
      </c>
      <c r="GM450" t="e">
        <f>International!F14+"$F;@!5Yq"</f>
        <v>#VALUE!</v>
      </c>
      <c r="GN450" t="e">
        <f>International!G14+"$F;@!5Yr"</f>
        <v>#VALUE!</v>
      </c>
      <c r="GO450" t="e">
        <f>International!H14+"$F;@!5Ys"</f>
        <v>#VALUE!</v>
      </c>
      <c r="GP450" t="e">
        <f>International!A15+"$F;@!5Yt"</f>
        <v>#VALUE!</v>
      </c>
      <c r="GQ450" t="e">
        <f>International!B15+"$F;@!5Yu"</f>
        <v>#VALUE!</v>
      </c>
      <c r="GR450" t="e">
        <f>International!C15+"$F;@!5Yv"</f>
        <v>#VALUE!</v>
      </c>
      <c r="GS450" t="e">
        <f>International!D15+"$F;@!5Yw"</f>
        <v>#VALUE!</v>
      </c>
      <c r="GT450" t="e">
        <f>International!E15+"$F;@!5Yx"</f>
        <v>#VALUE!</v>
      </c>
      <c r="GU450" t="e">
        <f>International!F15+"$F;@!5Yy"</f>
        <v>#VALUE!</v>
      </c>
      <c r="GV450" t="e">
        <f>International!G15+"$F;@!5Yz"</f>
        <v>#VALUE!</v>
      </c>
      <c r="GW450" t="e">
        <f>International!H15+"$F;@!5Y{"</f>
        <v>#VALUE!</v>
      </c>
      <c r="GX450" t="e">
        <f>International!A16+"$F;@!5Y|"</f>
        <v>#VALUE!</v>
      </c>
      <c r="GY450" t="e">
        <f>International!B16+"$F;@!5Y}"</f>
        <v>#VALUE!</v>
      </c>
      <c r="GZ450" t="e">
        <f>International!C16+"$F;@!5Y~"</f>
        <v>#VALUE!</v>
      </c>
      <c r="HA450" t="e">
        <f>International!D16+"$F;@!5Z#"</f>
        <v>#VALUE!</v>
      </c>
      <c r="HB450" t="e">
        <f>International!E16+"$F;@!5Z$"</f>
        <v>#VALUE!</v>
      </c>
      <c r="HC450" t="e">
        <f>International!F16+"$F;@!5Z%"</f>
        <v>#VALUE!</v>
      </c>
      <c r="HD450" t="e">
        <f>International!G16+"$F;@!5Z&amp;"</f>
        <v>#VALUE!</v>
      </c>
      <c r="HE450" t="e">
        <f>International!H16+"$F;@!5Z'"</f>
        <v>#VALUE!</v>
      </c>
      <c r="HF450" t="e">
        <f>International!A17+"$F;@!5Z("</f>
        <v>#VALUE!</v>
      </c>
      <c r="HG450" t="e">
        <f>International!B17+"$F;@!5Z)"</f>
        <v>#VALUE!</v>
      </c>
      <c r="HH450" t="e">
        <f>International!C17+"$F;@!5Z."</f>
        <v>#VALUE!</v>
      </c>
      <c r="HI450" t="e">
        <f>International!D17+"$F;@!5Z/"</f>
        <v>#VALUE!</v>
      </c>
      <c r="HJ450" t="e">
        <f>International!E17+"$F;@!5Z0"</f>
        <v>#VALUE!</v>
      </c>
      <c r="HK450" t="e">
        <f>International!F17+"$F;@!5Z1"</f>
        <v>#VALUE!</v>
      </c>
      <c r="HL450" t="e">
        <f>International!G17+"$F;@!5Z2"</f>
        <v>#VALUE!</v>
      </c>
      <c r="HM450" t="e">
        <f>International!H17+"$F;@!5Z3"</f>
        <v>#VALUE!</v>
      </c>
      <c r="HN450" t="e">
        <f>International!A18+"$F;@!5Z4"</f>
        <v>#VALUE!</v>
      </c>
      <c r="HO450" t="e">
        <f>International!B18+"$F;@!5Z5"</f>
        <v>#VALUE!</v>
      </c>
      <c r="HP450" t="e">
        <f>International!C18+"$F;@!5Z6"</f>
        <v>#VALUE!</v>
      </c>
      <c r="HQ450" t="e">
        <f>International!D18+"$F;@!5Z7"</f>
        <v>#VALUE!</v>
      </c>
      <c r="HR450" t="e">
        <f>International!E18+"$F;@!5Z8"</f>
        <v>#VALUE!</v>
      </c>
      <c r="HS450" t="e">
        <f>International!F18+"$F;@!5Z9"</f>
        <v>#VALUE!</v>
      </c>
      <c r="HT450" t="e">
        <f>International!G18+"$F;@!5Z:"</f>
        <v>#VALUE!</v>
      </c>
      <c r="HU450" t="e">
        <f>International!H18+"$F;@!5Z;"</f>
        <v>#VALUE!</v>
      </c>
      <c r="HV450" t="e">
        <f>International!A19+"$F;@!5Z&lt;"</f>
        <v>#VALUE!</v>
      </c>
      <c r="HW450" t="e">
        <f>International!B19+"$F;@!5Z="</f>
        <v>#VALUE!</v>
      </c>
      <c r="HX450" t="e">
        <f>International!C19+"$F;@!5Z&gt;"</f>
        <v>#VALUE!</v>
      </c>
      <c r="HY450" t="e">
        <f>International!D19+"$F;@!5Z?"</f>
        <v>#VALUE!</v>
      </c>
      <c r="HZ450" t="e">
        <f>International!E19+"$F;@!5Z@"</f>
        <v>#VALUE!</v>
      </c>
      <c r="IA450" t="e">
        <f>International!F19+"$F;@!5ZA"</f>
        <v>#VALUE!</v>
      </c>
      <c r="IB450" t="e">
        <f>International!G19+"$F;@!5ZB"</f>
        <v>#VALUE!</v>
      </c>
      <c r="IC450" t="e">
        <f>International!H19+"$F;@!5ZC"</f>
        <v>#VALUE!</v>
      </c>
      <c r="ID450" t="e">
        <f>International!A20+"$F;@!5ZD"</f>
        <v>#VALUE!</v>
      </c>
      <c r="IE450" t="e">
        <f>International!B20+"$F;@!5ZE"</f>
        <v>#VALUE!</v>
      </c>
      <c r="IF450" t="e">
        <f>International!C20+"$F;@!5ZF"</f>
        <v>#VALUE!</v>
      </c>
      <c r="IG450" t="e">
        <f>International!D20+"$F;@!5ZG"</f>
        <v>#VALUE!</v>
      </c>
      <c r="IH450" t="e">
        <f>International!E20+"$F;@!5ZH"</f>
        <v>#VALUE!</v>
      </c>
      <c r="II450" t="e">
        <f>International!F20+"$F;@!5ZI"</f>
        <v>#VALUE!</v>
      </c>
      <c r="IJ450" t="e">
        <f>International!G20+"$F;@!5ZJ"</f>
        <v>#VALUE!</v>
      </c>
      <c r="IK450" t="e">
        <f>International!H20+"$F;@!5ZK"</f>
        <v>#VALUE!</v>
      </c>
      <c r="IL450" t="e">
        <f>International!A21+"$F;@!5ZL"</f>
        <v>#VALUE!</v>
      </c>
      <c r="IM450" t="e">
        <f>International!B21+"$F;@!5ZM"</f>
        <v>#VALUE!</v>
      </c>
      <c r="IN450" t="e">
        <f>International!C21+"$F;@!5ZN"</f>
        <v>#VALUE!</v>
      </c>
      <c r="IO450" t="e">
        <f>International!D21+"$F;@!5ZO"</f>
        <v>#VALUE!</v>
      </c>
      <c r="IP450" t="e">
        <f>International!E21+"$F;@!5ZP"</f>
        <v>#VALUE!</v>
      </c>
      <c r="IQ450" t="e">
        <f>International!F21+"$F;@!5ZQ"</f>
        <v>#VALUE!</v>
      </c>
      <c r="IR450" t="e">
        <f>International!G21+"$F;@!5ZR"</f>
        <v>#VALUE!</v>
      </c>
      <c r="IS450" t="e">
        <f>International!H21+"$F;@!5ZS"</f>
        <v>#VALUE!</v>
      </c>
      <c r="IT450" t="e">
        <f>International!A22+"$F;@!5ZT"</f>
        <v>#VALUE!</v>
      </c>
      <c r="IU450" t="e">
        <f>International!B22+"$F;@!5ZU"</f>
        <v>#VALUE!</v>
      </c>
      <c r="IV450" t="e">
        <f>International!C22+"$F;@!5ZV"</f>
        <v>#VALUE!</v>
      </c>
    </row>
    <row r="451" spans="6:256" x14ac:dyDescent="0.35">
      <c r="F451" t="e">
        <f>International!D22+"$F;@!5ZW"</f>
        <v>#VALUE!</v>
      </c>
      <c r="G451" t="e">
        <f>International!E22+"$F;@!5ZX"</f>
        <v>#VALUE!</v>
      </c>
      <c r="H451" t="e">
        <f>International!F22+"$F;@!5ZY"</f>
        <v>#VALUE!</v>
      </c>
      <c r="I451" t="e">
        <f>International!G22+"$F;@!5ZZ"</f>
        <v>#VALUE!</v>
      </c>
      <c r="J451" t="e">
        <f>International!H22+"$F;@!5Z["</f>
        <v>#VALUE!</v>
      </c>
      <c r="K451" t="e">
        <f>International!A23+"$F;@!5Z\"</f>
        <v>#VALUE!</v>
      </c>
      <c r="L451" t="e">
        <f>International!B23+"$F;@!5Z]"</f>
        <v>#VALUE!</v>
      </c>
      <c r="M451" t="e">
        <f>International!C23+"$F;@!5Z^"</f>
        <v>#VALUE!</v>
      </c>
      <c r="N451" t="e">
        <f>International!D23+"$F;@!5Z_"</f>
        <v>#VALUE!</v>
      </c>
      <c r="O451" t="e">
        <f>International!E23+"$F;@!5Z`"</f>
        <v>#VALUE!</v>
      </c>
      <c r="P451" t="e">
        <f>International!F23+"$F;@!5Za"</f>
        <v>#VALUE!</v>
      </c>
      <c r="Q451" t="e">
        <f>International!G23+"$F;@!5Zb"</f>
        <v>#VALUE!</v>
      </c>
      <c r="R451" t="e">
        <f>International!H23+"$F;@!5Zc"</f>
        <v>#VALUE!</v>
      </c>
      <c r="S451" t="e">
        <f>International!A24+"$F;@!5Zd"</f>
        <v>#VALUE!</v>
      </c>
      <c r="T451" t="e">
        <f>International!B24+"$F;@!5Ze"</f>
        <v>#VALUE!</v>
      </c>
      <c r="U451" t="e">
        <f>International!C24+"$F;@!5Zf"</f>
        <v>#VALUE!</v>
      </c>
      <c r="V451" t="e">
        <f>International!D24+"$F;@!5Zg"</f>
        <v>#VALUE!</v>
      </c>
      <c r="W451" t="e">
        <f>International!E24+"$F;@!5Zh"</f>
        <v>#VALUE!</v>
      </c>
      <c r="X451" t="e">
        <f>International!F24+"$F;@!5Zi"</f>
        <v>#VALUE!</v>
      </c>
      <c r="Y451" t="e">
        <f>International!G24+"$F;@!5Zj"</f>
        <v>#VALUE!</v>
      </c>
      <c r="Z451" t="e">
        <f>International!H24+"$F;@!5Zk"</f>
        <v>#VALUE!</v>
      </c>
      <c r="AA451" t="e">
        <f>International!A25+"$F;@!5Zl"</f>
        <v>#VALUE!</v>
      </c>
      <c r="AB451" t="e">
        <f>International!B25+"$F;@!5Zm"</f>
        <v>#VALUE!</v>
      </c>
      <c r="AC451" t="e">
        <f>International!C25+"$F;@!5Zn"</f>
        <v>#VALUE!</v>
      </c>
      <c r="AD451" t="e">
        <f>International!D25+"$F;@!5Zo"</f>
        <v>#VALUE!</v>
      </c>
      <c r="AE451" t="e">
        <f>International!E25+"$F;@!5Zp"</f>
        <v>#VALUE!</v>
      </c>
      <c r="AF451" t="e">
        <f>International!F25+"$F;@!5Zq"</f>
        <v>#VALUE!</v>
      </c>
      <c r="AG451" t="e">
        <f>International!G25+"$F;@!5Zr"</f>
        <v>#VALUE!</v>
      </c>
      <c r="AH451" t="e">
        <f>International!H25+"$F;@!5Zs"</f>
        <v>#VALUE!</v>
      </c>
      <c r="AI451" t="e">
        <f>International!A26+"$F;@!5Zt"</f>
        <v>#VALUE!</v>
      </c>
      <c r="AJ451" t="e">
        <f>International!B26+"$F;@!5Zu"</f>
        <v>#VALUE!</v>
      </c>
      <c r="AK451" t="e">
        <f>International!C26+"$F;@!5Zv"</f>
        <v>#VALUE!</v>
      </c>
      <c r="AL451" t="e">
        <f>International!D26+"$F;@!5Zw"</f>
        <v>#VALUE!</v>
      </c>
      <c r="AM451" t="e">
        <f>International!E26+"$F;@!5Zx"</f>
        <v>#VALUE!</v>
      </c>
      <c r="AN451" t="e">
        <f>International!F26+"$F;@!5Zy"</f>
        <v>#VALUE!</v>
      </c>
      <c r="AO451" t="e">
        <f>International!G26+"$F;@!5Zz"</f>
        <v>#VALUE!</v>
      </c>
      <c r="AP451" t="e">
        <f>International!H26+"$F;@!5Z{"</f>
        <v>#VALUE!</v>
      </c>
      <c r="AQ451" t="e">
        <f>International!A27+"$F;@!5Z|"</f>
        <v>#VALUE!</v>
      </c>
      <c r="AR451" t="e">
        <f>International!B27+"$F;@!5Z}"</f>
        <v>#VALUE!</v>
      </c>
      <c r="AS451" t="e">
        <f>International!C27+"$F;@!5Z~"</f>
        <v>#VALUE!</v>
      </c>
      <c r="AT451" t="e">
        <f>International!D27+"$F;@!5[#"</f>
        <v>#VALUE!</v>
      </c>
      <c r="AU451" t="e">
        <f>International!E27+"$F;@!5[$"</f>
        <v>#VALUE!</v>
      </c>
      <c r="AV451" t="e">
        <f>International!F27+"$F;@!5[%"</f>
        <v>#VALUE!</v>
      </c>
      <c r="AW451" t="e">
        <f>International!G27+"$F;@!5[&amp;"</f>
        <v>#VALUE!</v>
      </c>
      <c r="AX451" t="e">
        <f>International!H27+"$F;@!5['"</f>
        <v>#VALUE!</v>
      </c>
      <c r="AY451" t="e">
        <f>International!A28+"$F;@!5[("</f>
        <v>#VALUE!</v>
      </c>
      <c r="AZ451" t="e">
        <f>International!B28+"$F;@!5[)"</f>
        <v>#VALUE!</v>
      </c>
      <c r="BA451" t="e">
        <f>International!C28+"$F;@!5[."</f>
        <v>#VALUE!</v>
      </c>
      <c r="BB451" t="e">
        <f>International!D28+"$F;@!5[/"</f>
        <v>#VALUE!</v>
      </c>
      <c r="BC451" t="e">
        <f>International!E28+"$F;@!5[0"</f>
        <v>#VALUE!</v>
      </c>
      <c r="BD451" t="e">
        <f>International!F28+"$F;@!5[1"</f>
        <v>#VALUE!</v>
      </c>
      <c r="BE451" t="e">
        <f>International!G28+"$F;@!5[2"</f>
        <v>#VALUE!</v>
      </c>
      <c r="BF451" t="e">
        <f>International!H28+"$F;@!5[3"</f>
        <v>#VALUE!</v>
      </c>
      <c r="BG451" t="e">
        <f>International!A29+"$F;@!5[4"</f>
        <v>#VALUE!</v>
      </c>
      <c r="BH451" t="e">
        <f>International!B29+"$F;@!5[5"</f>
        <v>#VALUE!</v>
      </c>
      <c r="BI451" t="e">
        <f>International!C29+"$F;@!5[6"</f>
        <v>#VALUE!</v>
      </c>
      <c r="BJ451" t="e">
        <f>International!D29+"$F;@!5[7"</f>
        <v>#VALUE!</v>
      </c>
      <c r="BK451" t="e">
        <f>International!E29+"$F;@!5[8"</f>
        <v>#VALUE!</v>
      </c>
      <c r="BL451" t="e">
        <f>International!F29+"$F;@!5[9"</f>
        <v>#VALUE!</v>
      </c>
      <c r="BM451" t="e">
        <f>International!G29+"$F;@!5[:"</f>
        <v>#VALUE!</v>
      </c>
      <c r="BN451" t="e">
        <f>International!H29+"$F;@!5[;"</f>
        <v>#VALUE!</v>
      </c>
      <c r="BO451" t="e">
        <f>International!A30+"$F;@!5[&lt;"</f>
        <v>#VALUE!</v>
      </c>
      <c r="BP451" t="e">
        <f>International!B30+"$F;@!5[="</f>
        <v>#VALUE!</v>
      </c>
      <c r="BQ451" t="e">
        <f>International!C30+"$F;@!5[&gt;"</f>
        <v>#VALUE!</v>
      </c>
      <c r="BR451" t="e">
        <f>International!D30+"$F;@!5[?"</f>
        <v>#VALUE!</v>
      </c>
      <c r="BS451" t="e">
        <f>International!E30+"$F;@!5[@"</f>
        <v>#VALUE!</v>
      </c>
      <c r="BT451" t="e">
        <f>International!F30+"$F;@!5[A"</f>
        <v>#VALUE!</v>
      </c>
      <c r="BU451" t="e">
        <f>International!G30+"$F;@!5[B"</f>
        <v>#VALUE!</v>
      </c>
      <c r="BV451" t="e">
        <f>International!H30+"$F;@!5[C"</f>
        <v>#VALUE!</v>
      </c>
      <c r="BW451" t="e">
        <f>International!A31+"$F;@!5[D"</f>
        <v>#VALUE!</v>
      </c>
      <c r="BX451" t="e">
        <f>International!B31+"$F;@!5[E"</f>
        <v>#VALUE!</v>
      </c>
      <c r="BY451" t="e">
        <f>International!C31+"$F;@!5[F"</f>
        <v>#VALUE!</v>
      </c>
      <c r="BZ451" t="e">
        <f>International!D31+"$F;@!5[G"</f>
        <v>#VALUE!</v>
      </c>
      <c r="CA451" t="e">
        <f>International!E31+"$F;@!5[H"</f>
        <v>#VALUE!</v>
      </c>
      <c r="CB451" t="e">
        <f>International!F31+"$F;@!5[I"</f>
        <v>#VALUE!</v>
      </c>
      <c r="CC451" t="e">
        <f>International!G31+"$F;@!5[J"</f>
        <v>#VALUE!</v>
      </c>
      <c r="CD451" t="e">
        <f>International!H31+"$F;@!5[K"</f>
        <v>#VALUE!</v>
      </c>
      <c r="CE451" t="e">
        <f>International!A32+"$F;@!5[L"</f>
        <v>#VALUE!</v>
      </c>
      <c r="CF451" t="e">
        <f>International!B32+"$F;@!5[M"</f>
        <v>#VALUE!</v>
      </c>
      <c r="CG451" t="e">
        <f>International!C32+"$F;@!5[N"</f>
        <v>#VALUE!</v>
      </c>
      <c r="CH451" t="e">
        <f>International!D32+"$F;@!5[O"</f>
        <v>#VALUE!</v>
      </c>
      <c r="CI451" t="e">
        <f>International!E32+"$F;@!5[P"</f>
        <v>#VALUE!</v>
      </c>
      <c r="CJ451" t="e">
        <f>International!F32+"$F;@!5[Q"</f>
        <v>#VALUE!</v>
      </c>
      <c r="CK451" t="e">
        <f>International!G32+"$F;@!5[R"</f>
        <v>#VALUE!</v>
      </c>
      <c r="CL451" t="e">
        <f>International!H32+"$F;@!5[S"</f>
        <v>#VALUE!</v>
      </c>
      <c r="CM451" t="e">
        <f>International!A33+"$F;@!5[T"</f>
        <v>#VALUE!</v>
      </c>
      <c r="CN451" t="e">
        <f>International!B33+"$F;@!5[U"</f>
        <v>#VALUE!</v>
      </c>
      <c r="CO451" t="e">
        <f>International!C33+"$F;@!5[V"</f>
        <v>#VALUE!</v>
      </c>
      <c r="CP451" t="e">
        <f>International!D33+"$F;@!5[W"</f>
        <v>#VALUE!</v>
      </c>
      <c r="CQ451" t="e">
        <f>International!E33+"$F;@!5[X"</f>
        <v>#VALUE!</v>
      </c>
      <c r="CR451" t="e">
        <f>International!F33+"$F;@!5[Y"</f>
        <v>#VALUE!</v>
      </c>
      <c r="CS451" t="e">
        <f>International!G33+"$F;@!5[Z"</f>
        <v>#VALUE!</v>
      </c>
      <c r="CT451" t="e">
        <f>International!H33+"$F;@!5[["</f>
        <v>#VALUE!</v>
      </c>
      <c r="CU451" t="e">
        <f>International!A34+"$F;@!5[\"</f>
        <v>#VALUE!</v>
      </c>
      <c r="CV451" t="e">
        <f>International!B34+"$F;@!5[]"</f>
        <v>#VALUE!</v>
      </c>
      <c r="CW451" t="e">
        <f>International!C34+"$F;@!5[^"</f>
        <v>#VALUE!</v>
      </c>
      <c r="CX451" t="e">
        <f>International!D34+"$F;@!5[_"</f>
        <v>#VALUE!</v>
      </c>
      <c r="CY451" t="e">
        <f>International!E34+"$F;@!5[`"</f>
        <v>#VALUE!</v>
      </c>
      <c r="CZ451" t="e">
        <f>International!F34+"$F;@!5[a"</f>
        <v>#VALUE!</v>
      </c>
      <c r="DA451" t="e">
        <f>International!G34+"$F;@!5[b"</f>
        <v>#VALUE!</v>
      </c>
      <c r="DB451" t="e">
        <f>International!A35+"$F;@!5[c"</f>
        <v>#VALUE!</v>
      </c>
      <c r="DC451" t="e">
        <f>International!B35+"$F;@!5[d"</f>
        <v>#VALUE!</v>
      </c>
      <c r="DD451" t="e">
        <f>International!C35+"$F;@!5[e"</f>
        <v>#VALUE!</v>
      </c>
      <c r="DE451" t="e">
        <f>International!D35+"$F;@!5[f"</f>
        <v>#VALUE!</v>
      </c>
      <c r="DF451" t="e">
        <f>International!E35+"$F;@!5[g"</f>
        <v>#VALUE!</v>
      </c>
      <c r="DG451" t="e">
        <f>International!F35+"$F;@!5[h"</f>
        <v>#VALUE!</v>
      </c>
      <c r="DH451" t="e">
        <f>International!G35+"$F;@!5[i"</f>
        <v>#VALUE!</v>
      </c>
      <c r="DI451" t="e">
        <f>International!A36+"$F;@!5[j"</f>
        <v>#VALUE!</v>
      </c>
      <c r="DJ451" t="e">
        <f>International!B36+"$F;@!5[k"</f>
        <v>#VALUE!</v>
      </c>
      <c r="DK451" t="e">
        <f>International!C36+"$F;@!5[l"</f>
        <v>#VALUE!</v>
      </c>
      <c r="DL451" t="e">
        <f>International!D36+"$F;@!5[m"</f>
        <v>#VALUE!</v>
      </c>
      <c r="DM451" t="e">
        <f>International!E36+"$F;@!5[n"</f>
        <v>#VALUE!</v>
      </c>
      <c r="DN451" t="e">
        <f>International!F36+"$F;@!5[o"</f>
        <v>#VALUE!</v>
      </c>
      <c r="DO451" t="e">
        <f>International!G36+"$F;@!5[p"</f>
        <v>#VALUE!</v>
      </c>
      <c r="DP451" t="e">
        <f>International!A37+"$F;@!5[q"</f>
        <v>#VALUE!</v>
      </c>
      <c r="DQ451" t="e">
        <f>International!B37+"$F;@!5[r"</f>
        <v>#VALUE!</v>
      </c>
      <c r="DR451" t="e">
        <f>International!C37+"$F;@!5[s"</f>
        <v>#VALUE!</v>
      </c>
      <c r="DS451" t="e">
        <f>International!D37+"$F;@!5[t"</f>
        <v>#VALUE!</v>
      </c>
      <c r="DT451" t="e">
        <f>International!E37+"$F;@!5[u"</f>
        <v>#VALUE!</v>
      </c>
      <c r="DU451" t="e">
        <f>International!F37+"$F;@!5[v"</f>
        <v>#VALUE!</v>
      </c>
      <c r="DV451" t="e">
        <f>International!G37+"$F;@!5[w"</f>
        <v>#VALUE!</v>
      </c>
      <c r="DW451" t="e">
        <f>International!A38+"$F;@!5[x"</f>
        <v>#VALUE!</v>
      </c>
      <c r="DX451" t="e">
        <f>International!B38+"$F;@!5[y"</f>
        <v>#VALUE!</v>
      </c>
      <c r="DY451" t="e">
        <f>International!C38+"$F;@!5[z"</f>
        <v>#VALUE!</v>
      </c>
      <c r="DZ451" t="e">
        <f>International!D38+"$F;@!5[{"</f>
        <v>#VALUE!</v>
      </c>
      <c r="EA451" t="e">
        <f>International!E38+"$F;@!5[|"</f>
        <v>#VALUE!</v>
      </c>
      <c r="EB451" t="e">
        <f>International!F38+"$F;@!5[}"</f>
        <v>#VALUE!</v>
      </c>
      <c r="EC451" t="e">
        <f>International!G38+"$F;@!5[~"</f>
        <v>#VALUE!</v>
      </c>
      <c r="ED451" t="e">
        <f>International!A39+"$F;@!5\#"</f>
        <v>#VALUE!</v>
      </c>
      <c r="EE451" t="e">
        <f>International!B39+"$F;@!5\$"</f>
        <v>#VALUE!</v>
      </c>
      <c r="EF451" t="e">
        <f>International!C39+"$F;@!5\%"</f>
        <v>#VALUE!</v>
      </c>
      <c r="EG451" t="e">
        <f>International!D39+"$F;@!5\&amp;"</f>
        <v>#VALUE!</v>
      </c>
      <c r="EH451" t="e">
        <f>International!E39+"$F;@!5\'"</f>
        <v>#VALUE!</v>
      </c>
      <c r="EI451" t="e">
        <f>International!F39+"$F;@!5\("</f>
        <v>#VALUE!</v>
      </c>
      <c r="EJ451" t="e">
        <f>International!G39+"$F;@!5\)"</f>
        <v>#VALUE!</v>
      </c>
      <c r="EK451" t="e">
        <f>International!A40+"$F;@!5\."</f>
        <v>#VALUE!</v>
      </c>
      <c r="EL451" t="e">
        <f>International!B40+"$F;@!5\/"</f>
        <v>#VALUE!</v>
      </c>
      <c r="EM451" t="e">
        <f>International!C40+"$F;@!5\0"</f>
        <v>#VALUE!</v>
      </c>
      <c r="EN451" t="e">
        <f>International!D40+"$F;@!5\1"</f>
        <v>#VALUE!</v>
      </c>
      <c r="EO451" t="e">
        <f>International!E40+"$F;@!5\2"</f>
        <v>#VALUE!</v>
      </c>
      <c r="EP451" t="e">
        <f>International!F40+"$F;@!5\3"</f>
        <v>#VALUE!</v>
      </c>
      <c r="EQ451" t="e">
        <f>International!G40+"$F;@!5\4"</f>
        <v>#VALUE!</v>
      </c>
      <c r="ER451" t="e">
        <f>International!A41+"$F;@!5\5"</f>
        <v>#VALUE!</v>
      </c>
      <c r="ES451" t="e">
        <f>International!B41+"$F;@!5\6"</f>
        <v>#VALUE!</v>
      </c>
      <c r="ET451" t="e">
        <f>International!C41+"$F;@!5\7"</f>
        <v>#VALUE!</v>
      </c>
      <c r="EU451" t="e">
        <f>International!D41+"$F;@!5\8"</f>
        <v>#VALUE!</v>
      </c>
      <c r="EV451" t="e">
        <f>International!E41+"$F;@!5\9"</f>
        <v>#VALUE!</v>
      </c>
      <c r="EW451" t="e">
        <f>International!F41+"$F;@!5\:"</f>
        <v>#VALUE!</v>
      </c>
      <c r="EX451" t="e">
        <f>International!G41+"$F;@!5\;"</f>
        <v>#VALUE!</v>
      </c>
      <c r="EY451" t="e">
        <f>International!A42+"$F;@!5\&lt;"</f>
        <v>#VALUE!</v>
      </c>
      <c r="EZ451" t="e">
        <f>International!B42+"$F;@!5\="</f>
        <v>#VALUE!</v>
      </c>
      <c r="FA451" t="e">
        <f>International!C42+"$F;@!5\&gt;"</f>
        <v>#VALUE!</v>
      </c>
      <c r="FB451" t="e">
        <f>International!D42+"$F;@!5\?"</f>
        <v>#VALUE!</v>
      </c>
      <c r="FC451" t="e">
        <f>International!E42+"$F;@!5\@"</f>
        <v>#VALUE!</v>
      </c>
      <c r="FD451" t="e">
        <f>International!F42+"$F;@!5\A"</f>
        <v>#VALUE!</v>
      </c>
      <c r="FE451" t="e">
        <f>International!G42+"$F;@!5\B"</f>
        <v>#VALUE!</v>
      </c>
      <c r="FF451" t="e">
        <f>International!A43+"$F;@!5\C"</f>
        <v>#VALUE!</v>
      </c>
      <c r="FG451" t="e">
        <f>International!B43+"$F;@!5\D"</f>
        <v>#VALUE!</v>
      </c>
      <c r="FH451" t="e">
        <f>International!C43+"$F;@!5\E"</f>
        <v>#VALUE!</v>
      </c>
      <c r="FI451" t="e">
        <f>International!D43+"$F;@!5\F"</f>
        <v>#VALUE!</v>
      </c>
      <c r="FJ451" t="e">
        <f>International!E43+"$F;@!5\G"</f>
        <v>#VALUE!</v>
      </c>
      <c r="FK451" t="e">
        <f>International!F43+"$F;@!5\H"</f>
        <v>#VALUE!</v>
      </c>
      <c r="FL451" t="e">
        <f>International!G43+"$F;@!5\I"</f>
        <v>#VALUE!</v>
      </c>
      <c r="FM451" t="e">
        <f>International!A44+"$F;@!5\J"</f>
        <v>#VALUE!</v>
      </c>
      <c r="FN451" t="e">
        <f>International!B44+"$F;@!5\K"</f>
        <v>#VALUE!</v>
      </c>
      <c r="FO451" t="e">
        <f>International!C44+"$F;@!5\L"</f>
        <v>#VALUE!</v>
      </c>
      <c r="FP451" t="e">
        <f>International!D44+"$F;@!5\M"</f>
        <v>#VALUE!</v>
      </c>
      <c r="FQ451" t="e">
        <f>International!E44+"$F;@!5\N"</f>
        <v>#VALUE!</v>
      </c>
      <c r="FR451" t="e">
        <f>International!F44+"$F;@!5\O"</f>
        <v>#VALUE!</v>
      </c>
      <c r="FS451" t="e">
        <f>International!G44+"$F;@!5\P"</f>
        <v>#VALUE!</v>
      </c>
      <c r="FT451" t="e">
        <f>International!A45+"$F;@!5\Q"</f>
        <v>#VALUE!</v>
      </c>
      <c r="FU451" t="e">
        <f>International!B45+"$F;@!5\R"</f>
        <v>#VALUE!</v>
      </c>
      <c r="FV451" t="e">
        <f>International!C45+"$F;@!5\S"</f>
        <v>#VALUE!</v>
      </c>
      <c r="FW451" t="e">
        <f>International!D45+"$F;@!5\T"</f>
        <v>#VALUE!</v>
      </c>
      <c r="FX451" t="e">
        <f>International!E45+"$F;@!5\U"</f>
        <v>#VALUE!</v>
      </c>
      <c r="FY451" t="e">
        <f>International!F45+"$F;@!5\V"</f>
        <v>#VALUE!</v>
      </c>
      <c r="FZ451" t="e">
        <f>International!G45+"$F;@!5\W"</f>
        <v>#VALUE!</v>
      </c>
      <c r="GA451" t="e">
        <f>International!A46+"$F;@!5\X"</f>
        <v>#VALUE!</v>
      </c>
      <c r="GB451" t="e">
        <f>International!B46+"$F;@!5\Y"</f>
        <v>#VALUE!</v>
      </c>
      <c r="GC451" t="e">
        <f>International!C46+"$F;@!5\Z"</f>
        <v>#VALUE!</v>
      </c>
      <c r="GD451" t="e">
        <f>International!D46+"$F;@!5\["</f>
        <v>#VALUE!</v>
      </c>
      <c r="GE451" t="e">
        <f>International!E46+"$F;@!5\\"</f>
        <v>#VALUE!</v>
      </c>
      <c r="GF451" t="e">
        <f>International!F46+"$F;@!5\]"</f>
        <v>#VALUE!</v>
      </c>
      <c r="GG451" t="e">
        <f>International!G46+"$F;@!5\^"</f>
        <v>#VALUE!</v>
      </c>
      <c r="GH451" t="e">
        <f>International!H46+"$F;@!5\_"</f>
        <v>#VALUE!</v>
      </c>
      <c r="GI451" t="e">
        <f>International!A47+"$F;@!5\`"</f>
        <v>#VALUE!</v>
      </c>
      <c r="GJ451" t="e">
        <f>International!B47+"$F;@!5\a"</f>
        <v>#VALUE!</v>
      </c>
      <c r="GK451" t="e">
        <f>International!C47+"$F;@!5\b"</f>
        <v>#VALUE!</v>
      </c>
      <c r="GL451" t="e">
        <f>International!D47+"$F;@!5\c"</f>
        <v>#VALUE!</v>
      </c>
      <c r="GM451" t="e">
        <f>International!E47+"$F;@!5\d"</f>
        <v>#VALUE!</v>
      </c>
      <c r="GN451" t="e">
        <f>International!F47+"$F;@!5\e"</f>
        <v>#VALUE!</v>
      </c>
      <c r="GO451" t="e">
        <f>International!G47+"$F;@!5\f"</f>
        <v>#VALUE!</v>
      </c>
      <c r="GP451" t="e">
        <f>International!H47+"$F;@!5\g"</f>
        <v>#VALUE!</v>
      </c>
      <c r="GQ451" t="e">
        <f>International!A48+"$F;@!5\h"</f>
        <v>#VALUE!</v>
      </c>
      <c r="GR451" t="e">
        <f>International!B48+"$F;@!5\i"</f>
        <v>#VALUE!</v>
      </c>
      <c r="GS451" t="e">
        <f>International!C48+"$F;@!5\j"</f>
        <v>#VALUE!</v>
      </c>
      <c r="GT451" t="e">
        <f>International!D48+"$F;@!5\k"</f>
        <v>#VALUE!</v>
      </c>
      <c r="GU451" t="e">
        <f>International!E48+"$F;@!5\l"</f>
        <v>#VALUE!</v>
      </c>
      <c r="GV451" t="e">
        <f>International!F48+"$F;@!5\m"</f>
        <v>#VALUE!</v>
      </c>
      <c r="GW451" t="e">
        <f>International!G48+"$F;@!5\n"</f>
        <v>#VALUE!</v>
      </c>
      <c r="GX451" t="e">
        <f>International!H48+"$F;@!5\o"</f>
        <v>#VALUE!</v>
      </c>
      <c r="GY451" t="e">
        <f>International!A49+"$F;@!5\p"</f>
        <v>#VALUE!</v>
      </c>
      <c r="GZ451" t="e">
        <f>International!B49+"$F;@!5\q"</f>
        <v>#VALUE!</v>
      </c>
      <c r="HA451" t="e">
        <f>International!C49+"$F;@!5\r"</f>
        <v>#VALUE!</v>
      </c>
      <c r="HB451" t="e">
        <f>International!D49+"$F;@!5\s"</f>
        <v>#VALUE!</v>
      </c>
      <c r="HC451" t="e">
        <f>International!E49+"$F;@!5\t"</f>
        <v>#VALUE!</v>
      </c>
      <c r="HD451" t="e">
        <f>International!F49+"$F;@!5\u"</f>
        <v>#VALUE!</v>
      </c>
      <c r="HE451" t="e">
        <f>International!G49+"$F;@!5\v"</f>
        <v>#VALUE!</v>
      </c>
      <c r="HF451" t="e">
        <f>International!H49+"$F;@!5\w"</f>
        <v>#VALUE!</v>
      </c>
      <c r="HG451" t="e">
        <f>International!A50+"$F;@!5\x"</f>
        <v>#VALUE!</v>
      </c>
      <c r="HH451" t="e">
        <f>International!B50+"$F;@!5\y"</f>
        <v>#VALUE!</v>
      </c>
      <c r="HI451" t="e">
        <f>International!C50+"$F;@!5\z"</f>
        <v>#VALUE!</v>
      </c>
      <c r="HJ451" t="e">
        <f>International!D50+"$F;@!5\{"</f>
        <v>#VALUE!</v>
      </c>
      <c r="HK451" t="e">
        <f>International!E50+"$F;@!5\|"</f>
        <v>#VALUE!</v>
      </c>
      <c r="HL451" t="e">
        <f>International!F50+"$F;@!5\}"</f>
        <v>#VALUE!</v>
      </c>
      <c r="HM451" t="e">
        <f>International!G50+"$F;@!5\~"</f>
        <v>#VALUE!</v>
      </c>
      <c r="HN451" t="e">
        <f>International!H50+"$F;@!5]#"</f>
        <v>#VALUE!</v>
      </c>
      <c r="HO451" t="e">
        <f>International!A51+"$F;@!5]$"</f>
        <v>#VALUE!</v>
      </c>
      <c r="HP451" t="e">
        <f>International!B51+"$F;@!5]%"</f>
        <v>#VALUE!</v>
      </c>
      <c r="HQ451" t="e">
        <f>International!C51+"$F;@!5]&amp;"</f>
        <v>#VALUE!</v>
      </c>
      <c r="HR451" t="e">
        <f>International!D51+"$F;@!5]'"</f>
        <v>#VALUE!</v>
      </c>
      <c r="HS451" t="e">
        <f>International!E51+"$F;@!5]("</f>
        <v>#VALUE!</v>
      </c>
      <c r="HT451" t="e">
        <f>International!F51+"$F;@!5])"</f>
        <v>#VALUE!</v>
      </c>
      <c r="HU451" t="e">
        <f>International!G51+"$F;@!5]."</f>
        <v>#VALUE!</v>
      </c>
      <c r="HV451" t="e">
        <f>International!H51+"$F;@!5]/"</f>
        <v>#VALUE!</v>
      </c>
      <c r="HW451" t="e">
        <f>International!A52+"$F;@!5]0"</f>
        <v>#VALUE!</v>
      </c>
      <c r="HX451" t="e">
        <f>International!B52+"$F;@!5]1"</f>
        <v>#VALUE!</v>
      </c>
      <c r="HY451" t="e">
        <f>International!C52+"$F;@!5]2"</f>
        <v>#VALUE!</v>
      </c>
      <c r="HZ451" t="e">
        <f>International!D52+"$F;@!5]3"</f>
        <v>#VALUE!</v>
      </c>
      <c r="IA451" t="e">
        <f>International!E52+"$F;@!5]4"</f>
        <v>#VALUE!</v>
      </c>
      <c r="IB451" t="e">
        <f>International!F52+"$F;@!5]5"</f>
        <v>#VALUE!</v>
      </c>
      <c r="IC451" t="e">
        <f>International!G52+"$F;@!5]6"</f>
        <v>#VALUE!</v>
      </c>
      <c r="ID451" t="e">
        <f>International!H52+"$F;@!5]7"</f>
        <v>#VALUE!</v>
      </c>
      <c r="IE451" t="e">
        <f>International!A53+"$F;@!5]8"</f>
        <v>#VALUE!</v>
      </c>
      <c r="IF451" t="e">
        <f>International!B53+"$F;@!5]9"</f>
        <v>#VALUE!</v>
      </c>
      <c r="IG451" t="e">
        <f>International!C53+"$F;@!5]:"</f>
        <v>#VALUE!</v>
      </c>
      <c r="IH451" t="e">
        <f>International!D53+"$F;@!5];"</f>
        <v>#VALUE!</v>
      </c>
      <c r="II451" t="e">
        <f>International!E53+"$F;@!5]&lt;"</f>
        <v>#VALUE!</v>
      </c>
      <c r="IJ451" t="e">
        <f>International!F53+"$F;@!5]="</f>
        <v>#VALUE!</v>
      </c>
      <c r="IK451" t="e">
        <f>International!G53+"$F;@!5]&gt;"</f>
        <v>#VALUE!</v>
      </c>
      <c r="IL451" t="e">
        <f>International!H53+"$F;@!5]?"</f>
        <v>#VALUE!</v>
      </c>
      <c r="IM451" t="e">
        <f>International!A54+"$F;@!5]@"</f>
        <v>#VALUE!</v>
      </c>
      <c r="IN451" t="e">
        <f>International!B54+"$F;@!5]A"</f>
        <v>#VALUE!</v>
      </c>
      <c r="IO451" t="e">
        <f>International!C54+"$F;@!5]B"</f>
        <v>#VALUE!</v>
      </c>
      <c r="IP451" t="e">
        <f>International!D54+"$F;@!5]C"</f>
        <v>#VALUE!</v>
      </c>
      <c r="IQ451" t="e">
        <f>International!E54+"$F;@!5]D"</f>
        <v>#VALUE!</v>
      </c>
      <c r="IR451" t="e">
        <f>International!F54+"$F;@!5]E"</f>
        <v>#VALUE!</v>
      </c>
      <c r="IS451" t="e">
        <f>International!G54+"$F;@!5]F"</f>
        <v>#VALUE!</v>
      </c>
      <c r="IT451" t="e">
        <f>International!H54+"$F;@!5]G"</f>
        <v>#VALUE!</v>
      </c>
      <c r="IU451" t="e">
        <f>International!A55+"$F;@!5]H"</f>
        <v>#VALUE!</v>
      </c>
      <c r="IV451" t="e">
        <f>International!B55+"$F;@!5]I"</f>
        <v>#VALUE!</v>
      </c>
    </row>
    <row r="452" spans="6:256" x14ac:dyDescent="0.35">
      <c r="F452" t="e">
        <f>International!C55+"$F;@!5]J"</f>
        <v>#VALUE!</v>
      </c>
      <c r="G452" t="e">
        <f>International!D55+"$F;@!5]K"</f>
        <v>#VALUE!</v>
      </c>
      <c r="H452" t="e">
        <f>International!E55+"$F;@!5]L"</f>
        <v>#VALUE!</v>
      </c>
      <c r="I452" t="e">
        <f>International!F55+"$F;@!5]M"</f>
        <v>#VALUE!</v>
      </c>
      <c r="J452" t="e">
        <f>International!G55+"$F;@!5]N"</f>
        <v>#VALUE!</v>
      </c>
      <c r="K452" t="e">
        <f>International!H55+"$F;@!5]O"</f>
        <v>#VALUE!</v>
      </c>
      <c r="L452" t="e">
        <f>International!A56+"$F;@!5]P"</f>
        <v>#VALUE!</v>
      </c>
      <c r="M452" t="e">
        <f>International!B56+"$F;@!5]Q"</f>
        <v>#VALUE!</v>
      </c>
      <c r="N452" t="e">
        <f>International!C56+"$F;@!5]R"</f>
        <v>#VALUE!</v>
      </c>
      <c r="O452" t="e">
        <f>International!D56+"$F;@!5]S"</f>
        <v>#VALUE!</v>
      </c>
      <c r="P452" t="e">
        <f>International!E56+"$F;@!5]T"</f>
        <v>#VALUE!</v>
      </c>
      <c r="Q452" t="e">
        <f>International!F56+"$F;@!5]U"</f>
        <v>#VALUE!</v>
      </c>
      <c r="R452" t="e">
        <f>International!G56+"$F;@!5]V"</f>
        <v>#VALUE!</v>
      </c>
      <c r="S452" t="e">
        <f>International!H56+"$F;@!5]W"</f>
        <v>#VALUE!</v>
      </c>
      <c r="T452" t="e">
        <f>International!A57+"$F;@!5]X"</f>
        <v>#VALUE!</v>
      </c>
      <c r="U452" t="e">
        <f>International!B57+"$F;@!5]Y"</f>
        <v>#VALUE!</v>
      </c>
      <c r="V452" t="e">
        <f>International!C57+"$F;@!5]Z"</f>
        <v>#VALUE!</v>
      </c>
      <c r="W452" t="e">
        <f>International!D57+"$F;@!5]["</f>
        <v>#VALUE!</v>
      </c>
      <c r="X452" t="e">
        <f>International!E57+"$F;@!5]\"</f>
        <v>#VALUE!</v>
      </c>
      <c r="Y452" t="e">
        <f>International!F57+"$F;@!5]]"</f>
        <v>#VALUE!</v>
      </c>
      <c r="Z452" t="e">
        <f>International!G57+"$F;@!5]^"</f>
        <v>#VALUE!</v>
      </c>
      <c r="AA452" t="e">
        <f>International!H57+"$F;@!5]_"</f>
        <v>#VALUE!</v>
      </c>
      <c r="AB452" t="e">
        <f>International!A58+"$F;@!5]`"</f>
        <v>#VALUE!</v>
      </c>
      <c r="AC452" t="e">
        <f>International!B58+"$F;@!5]a"</f>
        <v>#VALUE!</v>
      </c>
      <c r="AD452" t="e">
        <f>International!C58+"$F;@!5]b"</f>
        <v>#VALUE!</v>
      </c>
      <c r="AE452" t="e">
        <f>International!D58+"$F;@!5]c"</f>
        <v>#VALUE!</v>
      </c>
      <c r="AF452" t="e">
        <f>International!E58+"$F;@!5]d"</f>
        <v>#VALUE!</v>
      </c>
      <c r="AG452" t="e">
        <f>International!F58+"$F;@!5]e"</f>
        <v>#VALUE!</v>
      </c>
      <c r="AH452" t="e">
        <f>International!G58+"$F;@!5]f"</f>
        <v>#VALUE!</v>
      </c>
      <c r="AI452" t="e">
        <f>International!H58+"$F;@!5]g"</f>
        <v>#VALUE!</v>
      </c>
      <c r="AJ452" t="e">
        <f>International!A59+"$F;@!5]h"</f>
        <v>#VALUE!</v>
      </c>
      <c r="AK452" t="e">
        <f>International!B59+"$F;@!5]i"</f>
        <v>#VALUE!</v>
      </c>
      <c r="AL452" t="e">
        <f>International!C59+"$F;@!5]j"</f>
        <v>#VALUE!</v>
      </c>
      <c r="AM452" t="e">
        <f>International!D59+"$F;@!5]k"</f>
        <v>#VALUE!</v>
      </c>
      <c r="AN452" t="e">
        <f>International!E59+"$F;@!5]l"</f>
        <v>#VALUE!</v>
      </c>
      <c r="AO452" t="e">
        <f>International!F59+"$F;@!5]m"</f>
        <v>#VALUE!</v>
      </c>
      <c r="AP452" t="e">
        <f>International!G59+"$F;@!5]n"</f>
        <v>#VALUE!</v>
      </c>
      <c r="AQ452" t="e">
        <f>International!H59+"$F;@!5]o"</f>
        <v>#VALUE!</v>
      </c>
      <c r="AR452" t="e">
        <f>International!A60+"$F;@!5]p"</f>
        <v>#VALUE!</v>
      </c>
      <c r="AS452" t="e">
        <f>International!B60+"$F;@!5]q"</f>
        <v>#VALUE!</v>
      </c>
      <c r="AT452" t="e">
        <f>International!C60+"$F;@!5]r"</f>
        <v>#VALUE!</v>
      </c>
      <c r="AU452" t="e">
        <f>International!D60+"$F;@!5]s"</f>
        <v>#VALUE!</v>
      </c>
      <c r="AV452" t="e">
        <f>International!E60+"$F;@!5]t"</f>
        <v>#VALUE!</v>
      </c>
      <c r="AW452" t="e">
        <f>International!F60+"$F;@!5]u"</f>
        <v>#VALUE!</v>
      </c>
      <c r="AX452" t="e">
        <f>International!G60+"$F;@!5]v"</f>
        <v>#VALUE!</v>
      </c>
      <c r="AY452" t="e">
        <f>International!H60+"$F;@!5]w"</f>
        <v>#VALUE!</v>
      </c>
      <c r="AZ452" t="e">
        <f>International!A61+"$F;@!5]x"</f>
        <v>#VALUE!</v>
      </c>
      <c r="BA452" t="e">
        <f>International!B61+"$F;@!5]y"</f>
        <v>#VALUE!</v>
      </c>
      <c r="BB452" t="e">
        <f>International!C61+"$F;@!5]z"</f>
        <v>#VALUE!</v>
      </c>
      <c r="BC452" t="e">
        <f>International!D61+"$F;@!5]{"</f>
        <v>#VALUE!</v>
      </c>
      <c r="BD452" t="e">
        <f>International!E61+"$F;@!5]|"</f>
        <v>#VALUE!</v>
      </c>
      <c r="BE452" t="e">
        <f>International!F61+"$F;@!5]}"</f>
        <v>#VALUE!</v>
      </c>
      <c r="BF452" t="e">
        <f>International!G61+"$F;@!5]~"</f>
        <v>#VALUE!</v>
      </c>
      <c r="BG452" t="e">
        <f>International!H61+"$F;@!5^#"</f>
        <v>#VALUE!</v>
      </c>
      <c r="BH452" t="e">
        <f>International!A62+"$F;@!5^$"</f>
        <v>#VALUE!</v>
      </c>
      <c r="BI452" t="e">
        <f>International!B62+"$F;@!5^%"</f>
        <v>#VALUE!</v>
      </c>
      <c r="BJ452" t="e">
        <f>International!C62+"$F;@!5^&amp;"</f>
        <v>#VALUE!</v>
      </c>
      <c r="BK452" t="e">
        <f>International!D62+"$F;@!5^'"</f>
        <v>#VALUE!</v>
      </c>
      <c r="BL452" t="e">
        <f>International!E62+"$F;@!5^("</f>
        <v>#VALUE!</v>
      </c>
      <c r="BM452" t="e">
        <f>International!F62+"$F;@!5^)"</f>
        <v>#VALUE!</v>
      </c>
      <c r="BN452" t="e">
        <f>International!G62+"$F;@!5^."</f>
        <v>#VALUE!</v>
      </c>
      <c r="BO452" t="e">
        <f>International!H62+"$F;@!5^/"</f>
        <v>#VALUE!</v>
      </c>
      <c r="BP452" t="e">
        <f>International!A63+"$F;@!5^0"</f>
        <v>#VALUE!</v>
      </c>
      <c r="BQ452" t="e">
        <f>International!B63+"$F;@!5^1"</f>
        <v>#VALUE!</v>
      </c>
      <c r="BR452" t="e">
        <f>International!C63+"$F;@!5^2"</f>
        <v>#VALUE!</v>
      </c>
      <c r="BS452" t="e">
        <f>International!D63+"$F;@!5^3"</f>
        <v>#VALUE!</v>
      </c>
      <c r="BT452" t="e">
        <f>International!E63+"$F;@!5^4"</f>
        <v>#VALUE!</v>
      </c>
      <c r="BU452" t="e">
        <f>International!F63+"$F;@!5^5"</f>
        <v>#VALUE!</v>
      </c>
      <c r="BV452" t="e">
        <f>International!G63+"$F;@!5^6"</f>
        <v>#VALUE!</v>
      </c>
      <c r="BW452" t="e">
        <f>International!H63+"$F;@!5^7"</f>
        <v>#VALUE!</v>
      </c>
      <c r="BX452" t="e">
        <f>International!A64+"$F;@!5^8"</f>
        <v>#VALUE!</v>
      </c>
      <c r="BY452" t="e">
        <f>International!B64+"$F;@!5^9"</f>
        <v>#VALUE!</v>
      </c>
      <c r="BZ452" t="e">
        <f>International!C64+"$F;@!5^:"</f>
        <v>#VALUE!</v>
      </c>
      <c r="CA452" t="e">
        <f>International!D64+"$F;@!5^;"</f>
        <v>#VALUE!</v>
      </c>
      <c r="CB452" t="e">
        <f>International!E64+"$F;@!5^&lt;"</f>
        <v>#VALUE!</v>
      </c>
      <c r="CC452" t="e">
        <f>International!F64+"$F;@!5^="</f>
        <v>#VALUE!</v>
      </c>
      <c r="CD452" t="e">
        <f>International!G64+"$F;@!5^&gt;"</f>
        <v>#VALUE!</v>
      </c>
      <c r="CE452" t="e">
        <f>International!H64+"$F;@!5^?"</f>
        <v>#VALUE!</v>
      </c>
      <c r="CF452" t="e">
        <f>International!A65+"$F;@!5^@"</f>
        <v>#VALUE!</v>
      </c>
      <c r="CG452" t="e">
        <f>International!B65+"$F;@!5^A"</f>
        <v>#VALUE!</v>
      </c>
      <c r="CH452" t="e">
        <f>International!C65+"$F;@!5^B"</f>
        <v>#VALUE!</v>
      </c>
      <c r="CI452" t="e">
        <f>International!D65+"$F;@!5^C"</f>
        <v>#VALUE!</v>
      </c>
      <c r="CJ452" t="e">
        <f>International!E65+"$F;@!5^D"</f>
        <v>#VALUE!</v>
      </c>
      <c r="CK452" t="e">
        <f>International!F65+"$F;@!5^E"</f>
        <v>#VALUE!</v>
      </c>
      <c r="CL452" t="e">
        <f>International!G65+"$F;@!5^F"</f>
        <v>#VALUE!</v>
      </c>
      <c r="CM452" t="e">
        <f>International!H65+"$F;@!5^G"</f>
        <v>#VALUE!</v>
      </c>
      <c r="CN452" t="e">
        <f>International!A66+"$F;@!5^H"</f>
        <v>#VALUE!</v>
      </c>
      <c r="CO452" t="e">
        <f>International!B66+"$F;@!5^I"</f>
        <v>#VALUE!</v>
      </c>
      <c r="CP452" t="e">
        <f>International!C66+"$F;@!5^J"</f>
        <v>#VALUE!</v>
      </c>
      <c r="CQ452" t="e">
        <f>International!D66+"$F;@!5^K"</f>
        <v>#VALUE!</v>
      </c>
      <c r="CR452" t="e">
        <f>International!E66+"$F;@!5^L"</f>
        <v>#VALUE!</v>
      </c>
      <c r="CS452" t="e">
        <f>International!F66+"$F;@!5^M"</f>
        <v>#VALUE!</v>
      </c>
      <c r="CT452" t="e">
        <f>International!G66+"$F;@!5^N"</f>
        <v>#VALUE!</v>
      </c>
      <c r="CU452" t="e">
        <f>International!H66+"$F;@!5^O"</f>
        <v>#VALUE!</v>
      </c>
      <c r="CV452" t="e">
        <f>International!A67+"$F;@!5^P"</f>
        <v>#VALUE!</v>
      </c>
      <c r="CW452" t="e">
        <f>International!B67+"$F;@!5^Q"</f>
        <v>#VALUE!</v>
      </c>
      <c r="CX452" t="e">
        <f>International!C67+"$F;@!5^R"</f>
        <v>#VALUE!</v>
      </c>
      <c r="CY452" t="e">
        <f>International!D67+"$F;@!5^S"</f>
        <v>#VALUE!</v>
      </c>
      <c r="CZ452" t="e">
        <f>International!E67+"$F;@!5^T"</f>
        <v>#VALUE!</v>
      </c>
      <c r="DA452" t="e">
        <f>International!F67+"$F;@!5^U"</f>
        <v>#VALUE!</v>
      </c>
      <c r="DB452" t="e">
        <f>International!G67+"$F;@!5^V"</f>
        <v>#VALUE!</v>
      </c>
      <c r="DC452" t="e">
        <f>International!H67+"$F;@!5^W"</f>
        <v>#VALUE!</v>
      </c>
      <c r="DD452" t="e">
        <f>International!A68+"$F;@!5^X"</f>
        <v>#VALUE!</v>
      </c>
      <c r="DE452" t="e">
        <f>International!B68+"$F;@!5^Y"</f>
        <v>#VALUE!</v>
      </c>
      <c r="DF452" t="e">
        <f>International!C68+"$F;@!5^Z"</f>
        <v>#VALUE!</v>
      </c>
      <c r="DG452" t="e">
        <f>International!D68+"$F;@!5^["</f>
        <v>#VALUE!</v>
      </c>
      <c r="DH452" t="e">
        <f>International!E68+"$F;@!5^\"</f>
        <v>#VALUE!</v>
      </c>
      <c r="DI452" t="e">
        <f>International!F68+"$F;@!5^]"</f>
        <v>#VALUE!</v>
      </c>
      <c r="DJ452" t="e">
        <f>International!G68+"$F;@!5^^"</f>
        <v>#VALUE!</v>
      </c>
      <c r="DK452" t="e">
        <f>International!H68+"$F;@!5^_"</f>
        <v>#VALUE!</v>
      </c>
      <c r="DL452" t="e">
        <f>International!A69+"$F;@!5^`"</f>
        <v>#VALUE!</v>
      </c>
      <c r="DM452" t="e">
        <f>International!B69+"$F;@!5^a"</f>
        <v>#VALUE!</v>
      </c>
      <c r="DN452" t="e">
        <f>International!C69+"$F;@!5^b"</f>
        <v>#VALUE!</v>
      </c>
      <c r="DO452" t="e">
        <f>International!D69+"$F;@!5^c"</f>
        <v>#VALUE!</v>
      </c>
      <c r="DP452" t="e">
        <f>International!E69+"$F;@!5^d"</f>
        <v>#VALUE!</v>
      </c>
      <c r="DQ452" t="e">
        <f>International!F69+"$F;@!5^e"</f>
        <v>#VALUE!</v>
      </c>
      <c r="DR452" t="e">
        <f>International!G69+"$F;@!5^f"</f>
        <v>#VALUE!</v>
      </c>
      <c r="DS452" t="e">
        <f>International!H69+"$F;@!5^g"</f>
        <v>#VALUE!</v>
      </c>
      <c r="DT452" t="e">
        <f>International!A70+"$F;@!5^h"</f>
        <v>#VALUE!</v>
      </c>
      <c r="DU452" t="e">
        <f>International!B70+"$F;@!5^i"</f>
        <v>#VALUE!</v>
      </c>
      <c r="DV452" t="e">
        <f>International!C70+"$F;@!5^j"</f>
        <v>#VALUE!</v>
      </c>
      <c r="DW452" t="e">
        <f>International!D70+"$F;@!5^k"</f>
        <v>#VALUE!</v>
      </c>
      <c r="DX452" t="e">
        <f>International!E70+"$F;@!5^l"</f>
        <v>#VALUE!</v>
      </c>
      <c r="DY452" t="e">
        <f>International!F70+"$F;@!5^m"</f>
        <v>#VALUE!</v>
      </c>
      <c r="DZ452" t="e">
        <f>International!G70+"$F;@!5^n"</f>
        <v>#VALUE!</v>
      </c>
      <c r="EA452" t="e">
        <f>International!H70+"$F;@!5^o"</f>
        <v>#VALUE!</v>
      </c>
      <c r="EB452" t="e">
        <f>International!A71+"$F;@!5^p"</f>
        <v>#VALUE!</v>
      </c>
      <c r="EC452" t="e">
        <f>International!B71+"$F;@!5^q"</f>
        <v>#VALUE!</v>
      </c>
      <c r="ED452" t="e">
        <f>International!C71+"$F;@!5^r"</f>
        <v>#VALUE!</v>
      </c>
      <c r="EE452" t="e">
        <f>International!D71+"$F;@!5^s"</f>
        <v>#VALUE!</v>
      </c>
      <c r="EF452" t="e">
        <f>International!E71+"$F;@!5^t"</f>
        <v>#VALUE!</v>
      </c>
      <c r="EG452" t="e">
        <f>International!F71+"$F;@!5^u"</f>
        <v>#VALUE!</v>
      </c>
      <c r="EH452" t="e">
        <f>International!G71+"$F;@!5^v"</f>
        <v>#VALUE!</v>
      </c>
      <c r="EI452" t="e">
        <f>International!H71+"$F;@!5^w"</f>
        <v>#VALUE!</v>
      </c>
      <c r="EJ452" t="e">
        <f>International!A72+"$F;@!5^x"</f>
        <v>#VALUE!</v>
      </c>
      <c r="EK452" t="e">
        <f>International!B72+"$F;@!5^y"</f>
        <v>#VALUE!</v>
      </c>
      <c r="EL452" t="e">
        <f>International!C72+"$F;@!5^z"</f>
        <v>#VALUE!</v>
      </c>
      <c r="EM452" t="e">
        <f>International!D72+"$F;@!5^{"</f>
        <v>#VALUE!</v>
      </c>
      <c r="EN452" t="e">
        <f>International!E72+"$F;@!5^|"</f>
        <v>#VALUE!</v>
      </c>
      <c r="EO452" t="e">
        <f>International!F72+"$F;@!5^}"</f>
        <v>#VALUE!</v>
      </c>
      <c r="EP452" t="e">
        <f>International!G72+"$F;@!5^~"</f>
        <v>#VALUE!</v>
      </c>
      <c r="EQ452" t="e">
        <f>International!H72+"$F;@!5_#"</f>
        <v>#VALUE!</v>
      </c>
      <c r="ER452" t="e">
        <f>International!A73+"$F;@!5_$"</f>
        <v>#VALUE!</v>
      </c>
      <c r="ES452" t="e">
        <f>International!B73+"$F;@!5_%"</f>
        <v>#VALUE!</v>
      </c>
      <c r="ET452" t="e">
        <f>International!C73+"$F;@!5_&amp;"</f>
        <v>#VALUE!</v>
      </c>
      <c r="EU452" t="e">
        <f>International!D73+"$F;@!5_'"</f>
        <v>#VALUE!</v>
      </c>
      <c r="EV452" t="e">
        <f>International!E73+"$F;@!5_("</f>
        <v>#VALUE!</v>
      </c>
      <c r="EW452" t="e">
        <f>International!F73+"$F;@!5_)"</f>
        <v>#VALUE!</v>
      </c>
      <c r="EX452" t="e">
        <f>International!G73+"$F;@!5_."</f>
        <v>#VALUE!</v>
      </c>
      <c r="EY452" t="e">
        <f>International!H73+"$F;@!5_/"</f>
        <v>#VALUE!</v>
      </c>
      <c r="EZ452" t="e">
        <f>International!A74+"$F;@!5_0"</f>
        <v>#VALUE!</v>
      </c>
      <c r="FA452" t="e">
        <f>International!B74+"$F;@!5_1"</f>
        <v>#VALUE!</v>
      </c>
      <c r="FB452" t="e">
        <f>International!C74+"$F;@!5_2"</f>
        <v>#VALUE!</v>
      </c>
      <c r="FC452" t="e">
        <f>International!D74+"$F;@!5_3"</f>
        <v>#VALUE!</v>
      </c>
      <c r="FD452" t="e">
        <f>International!E74+"$F;@!5_4"</f>
        <v>#VALUE!</v>
      </c>
      <c r="FE452" t="e">
        <f>International!F74+"$F;@!5_5"</f>
        <v>#VALUE!</v>
      </c>
      <c r="FF452" t="e">
        <f>International!G74+"$F;@!5_6"</f>
        <v>#VALUE!</v>
      </c>
      <c r="FG452" t="e">
        <f>International!H74+"$F;@!5_7"</f>
        <v>#VALUE!</v>
      </c>
      <c r="FH452" t="e">
        <f>International!A75+"$F;@!5_8"</f>
        <v>#VALUE!</v>
      </c>
      <c r="FI452" t="e">
        <f>International!B75+"$F;@!5_9"</f>
        <v>#VALUE!</v>
      </c>
      <c r="FJ452" t="e">
        <f>International!C75+"$F;@!5_:"</f>
        <v>#VALUE!</v>
      </c>
      <c r="FK452" t="e">
        <f>International!D75+"$F;@!5_;"</f>
        <v>#VALUE!</v>
      </c>
      <c r="FL452" t="e">
        <f>International!E75+"$F;@!5_&lt;"</f>
        <v>#VALUE!</v>
      </c>
      <c r="FM452" t="e">
        <f>International!F75+"$F;@!5_="</f>
        <v>#VALUE!</v>
      </c>
      <c r="FN452" t="e">
        <f>International!G75+"$F;@!5_&gt;"</f>
        <v>#VALUE!</v>
      </c>
      <c r="FO452" t="e">
        <f>International!H75+"$F;@!5_?"</f>
        <v>#VALUE!</v>
      </c>
      <c r="FP452" t="e">
        <f>International!A76+"$F;@!5_@"</f>
        <v>#VALUE!</v>
      </c>
      <c r="FQ452" t="e">
        <f>International!B76+"$F;@!5_A"</f>
        <v>#VALUE!</v>
      </c>
      <c r="FR452" t="e">
        <f>International!C76+"$F;@!5_B"</f>
        <v>#VALUE!</v>
      </c>
      <c r="FS452" t="e">
        <f>International!D76+"$F;@!5_C"</f>
        <v>#VALUE!</v>
      </c>
      <c r="FT452" t="e">
        <f>International!E76+"$F;@!5_D"</f>
        <v>#VALUE!</v>
      </c>
      <c r="FU452" t="e">
        <f>International!F76+"$F;@!5_E"</f>
        <v>#VALUE!</v>
      </c>
      <c r="FV452" t="e">
        <f>International!G76+"$F;@!5_F"</f>
        <v>#VALUE!</v>
      </c>
      <c r="FW452" t="e">
        <f>International!H76+"$F;@!5_G"</f>
        <v>#VALUE!</v>
      </c>
      <c r="FX452" t="e">
        <f>International!A77+"$F;@!5_H"</f>
        <v>#VALUE!</v>
      </c>
      <c r="FY452" t="e">
        <f>International!B77+"$F;@!5_I"</f>
        <v>#VALUE!</v>
      </c>
      <c r="FZ452" t="e">
        <f>International!C77+"$F;@!5_J"</f>
        <v>#VALUE!</v>
      </c>
      <c r="GA452" t="e">
        <f>International!D77+"$F;@!5_K"</f>
        <v>#VALUE!</v>
      </c>
      <c r="GB452" t="e">
        <f>International!E77+"$F;@!5_L"</f>
        <v>#VALUE!</v>
      </c>
      <c r="GC452" t="e">
        <f>International!F77+"$F;@!5_M"</f>
        <v>#VALUE!</v>
      </c>
      <c r="GD452" t="e">
        <f>International!G77+"$F;@!5_N"</f>
        <v>#VALUE!</v>
      </c>
      <c r="GE452" t="e">
        <f>International!H77+"$F;@!5_O"</f>
        <v>#VALUE!</v>
      </c>
      <c r="GF452" t="e">
        <f>International!A78+"$F;@!5_P"</f>
        <v>#VALUE!</v>
      </c>
      <c r="GG452" t="e">
        <f>International!B78+"$F;@!5_Q"</f>
        <v>#VALUE!</v>
      </c>
      <c r="GH452" t="e">
        <f>International!C78+"$F;@!5_R"</f>
        <v>#VALUE!</v>
      </c>
      <c r="GI452" t="e">
        <f>International!D78+"$F;@!5_S"</f>
        <v>#VALUE!</v>
      </c>
      <c r="GJ452" t="e">
        <f>International!E78+"$F;@!5_T"</f>
        <v>#VALUE!</v>
      </c>
      <c r="GK452" t="e">
        <f>International!F78+"$F;@!5_U"</f>
        <v>#VALUE!</v>
      </c>
      <c r="GL452" t="e">
        <f>International!G78+"$F;@!5_V"</f>
        <v>#VALUE!</v>
      </c>
      <c r="GM452" t="e">
        <f>International!H78+"$F;@!5_W"</f>
        <v>#VALUE!</v>
      </c>
      <c r="GN452" t="e">
        <f>International!A79+"$F;@!5_X"</f>
        <v>#VALUE!</v>
      </c>
      <c r="GO452" t="e">
        <f>International!B79+"$F;@!5_Y"</f>
        <v>#VALUE!</v>
      </c>
      <c r="GP452" t="e">
        <f>International!C79+"$F;@!5_Z"</f>
        <v>#VALUE!</v>
      </c>
      <c r="GQ452" t="e">
        <f>International!D79+"$F;@!5_["</f>
        <v>#VALUE!</v>
      </c>
      <c r="GR452" t="e">
        <f>International!E79+"$F;@!5_\"</f>
        <v>#VALUE!</v>
      </c>
      <c r="GS452" t="e">
        <f>International!F79+"$F;@!5_]"</f>
        <v>#VALUE!</v>
      </c>
      <c r="GT452" t="e">
        <f>International!G79+"$F;@!5_^"</f>
        <v>#VALUE!</v>
      </c>
      <c r="GU452" t="e">
        <f>International!H79+"$F;@!5__"</f>
        <v>#VALUE!</v>
      </c>
      <c r="GV452" t="e">
        <f>International!A80+"$F;@!5_`"</f>
        <v>#VALUE!</v>
      </c>
      <c r="GW452" t="e">
        <f>International!B80+"$F;@!5_a"</f>
        <v>#VALUE!</v>
      </c>
      <c r="GX452" t="e">
        <f>International!C80+"$F;@!5_b"</f>
        <v>#VALUE!</v>
      </c>
      <c r="GY452" t="e">
        <f>International!D80+"$F;@!5_c"</f>
        <v>#VALUE!</v>
      </c>
      <c r="GZ452" t="e">
        <f>International!E80+"$F;@!5_d"</f>
        <v>#VALUE!</v>
      </c>
      <c r="HA452" t="e">
        <f>International!F80+"$F;@!5_e"</f>
        <v>#VALUE!</v>
      </c>
      <c r="HB452" t="e">
        <f>International!G80+"$F;@!5_f"</f>
        <v>#VALUE!</v>
      </c>
      <c r="HC452" t="e">
        <f>International!H80+"$F;@!5_g"</f>
        <v>#VALUE!</v>
      </c>
      <c r="HD452" t="e">
        <f>International!A81+"$F;@!5_h"</f>
        <v>#VALUE!</v>
      </c>
      <c r="HE452" t="e">
        <f>International!B81+"$F;@!5_i"</f>
        <v>#VALUE!</v>
      </c>
      <c r="HF452" t="e">
        <f>International!C81+"$F;@!5_j"</f>
        <v>#VALUE!</v>
      </c>
      <c r="HG452" t="e">
        <f>International!D81+"$F;@!5_k"</f>
        <v>#VALUE!</v>
      </c>
      <c r="HH452" t="e">
        <f>International!E81+"$F;@!5_l"</f>
        <v>#VALUE!</v>
      </c>
      <c r="HI452" t="e">
        <f>International!F81+"$F;@!5_m"</f>
        <v>#VALUE!</v>
      </c>
      <c r="HJ452" t="e">
        <f>International!G81+"$F;@!5_n"</f>
        <v>#VALUE!</v>
      </c>
      <c r="HK452" t="e">
        <f>International!H81+"$F;@!5_o"</f>
        <v>#VALUE!</v>
      </c>
      <c r="HL452" t="e">
        <f>International!A82+"$F;@!5_p"</f>
        <v>#VALUE!</v>
      </c>
      <c r="HM452" t="e">
        <f>International!B82+"$F;@!5_q"</f>
        <v>#VALUE!</v>
      </c>
      <c r="HN452" t="e">
        <f>International!C82+"$F;@!5_r"</f>
        <v>#VALUE!</v>
      </c>
      <c r="HO452" t="e">
        <f>International!D82+"$F;@!5_s"</f>
        <v>#VALUE!</v>
      </c>
      <c r="HP452" t="e">
        <f>International!E82+"$F;@!5_t"</f>
        <v>#VALUE!</v>
      </c>
      <c r="HQ452" t="e">
        <f>International!F82+"$F;@!5_u"</f>
        <v>#VALUE!</v>
      </c>
      <c r="HR452" t="e">
        <f>International!G82+"$F;@!5_v"</f>
        <v>#VALUE!</v>
      </c>
      <c r="HS452" t="e">
        <f>International!H82+"$F;@!5_w"</f>
        <v>#VALUE!</v>
      </c>
      <c r="HT452" t="e">
        <f>International!A83+"$F;@!5_x"</f>
        <v>#VALUE!</v>
      </c>
      <c r="HU452" t="e">
        <f>International!B83+"$F;@!5_y"</f>
        <v>#VALUE!</v>
      </c>
      <c r="HV452" t="e">
        <f>International!C83+"$F;@!5_z"</f>
        <v>#VALUE!</v>
      </c>
      <c r="HW452" t="e">
        <f>International!D83+"$F;@!5_{"</f>
        <v>#VALUE!</v>
      </c>
      <c r="HX452" t="e">
        <f>International!E83+"$F;@!5_|"</f>
        <v>#VALUE!</v>
      </c>
      <c r="HY452" t="e">
        <f>International!F83+"$F;@!5_}"</f>
        <v>#VALUE!</v>
      </c>
      <c r="HZ452" t="e">
        <f>International!G83+"$F;@!5_~"</f>
        <v>#VALUE!</v>
      </c>
      <c r="IA452" t="e">
        <f>International!H83+"$F;@!5`#"</f>
        <v>#VALUE!</v>
      </c>
      <c r="IB452" t="e">
        <f>International!A84+"$F;@!5`$"</f>
        <v>#VALUE!</v>
      </c>
      <c r="IC452" t="e">
        <f>International!B84+"$F;@!5`%"</f>
        <v>#VALUE!</v>
      </c>
      <c r="ID452" t="e">
        <f>International!C84+"$F;@!5`&amp;"</f>
        <v>#VALUE!</v>
      </c>
      <c r="IE452" t="e">
        <f>International!D84+"$F;@!5`'"</f>
        <v>#VALUE!</v>
      </c>
      <c r="IF452" t="e">
        <f>International!E84+"$F;@!5`("</f>
        <v>#VALUE!</v>
      </c>
      <c r="IG452" t="e">
        <f>International!F84+"$F;@!5`)"</f>
        <v>#VALUE!</v>
      </c>
      <c r="IH452" t="e">
        <f>International!G84+"$F;@!5`."</f>
        <v>#VALUE!</v>
      </c>
      <c r="II452" t="e">
        <f>International!H84+"$F;@!5`/"</f>
        <v>#VALUE!</v>
      </c>
      <c r="IJ452" t="e">
        <f>International!A85+"$F;@!5`0"</f>
        <v>#VALUE!</v>
      </c>
      <c r="IK452" t="e">
        <f>International!B85+"$F;@!5`1"</f>
        <v>#VALUE!</v>
      </c>
      <c r="IL452" t="e">
        <f>International!C85+"$F;@!5`2"</f>
        <v>#VALUE!</v>
      </c>
      <c r="IM452" t="e">
        <f>International!D85+"$F;@!5`3"</f>
        <v>#VALUE!</v>
      </c>
      <c r="IN452" t="e">
        <f>International!E85+"$F;@!5`4"</f>
        <v>#VALUE!</v>
      </c>
      <c r="IO452" t="e">
        <f>International!F85+"$F;@!5`5"</f>
        <v>#VALUE!</v>
      </c>
      <c r="IP452" t="e">
        <f>International!G85+"$F;@!5`6"</f>
        <v>#VALUE!</v>
      </c>
      <c r="IQ452" t="e">
        <f>International!H85+"$F;@!5`7"</f>
        <v>#VALUE!</v>
      </c>
      <c r="IR452" t="e">
        <f>International!A86+"$F;@!5`8"</f>
        <v>#VALUE!</v>
      </c>
      <c r="IS452" t="e">
        <f>International!B86+"$F;@!5`9"</f>
        <v>#VALUE!</v>
      </c>
      <c r="IT452" t="e">
        <f>International!C86+"$F;@!5`:"</f>
        <v>#VALUE!</v>
      </c>
      <c r="IU452" t="e">
        <f>International!D86+"$F;@!5`;"</f>
        <v>#VALUE!</v>
      </c>
      <c r="IV452" t="e">
        <f>International!E86+"$F;@!5`&lt;"</f>
        <v>#VALUE!</v>
      </c>
    </row>
    <row r="453" spans="6:256" x14ac:dyDescent="0.35">
      <c r="F453" t="e">
        <f>International!F86+"$F;@!5`="</f>
        <v>#VALUE!</v>
      </c>
      <c r="G453" t="e">
        <f>International!G86+"$F;@!5`&gt;"</f>
        <v>#VALUE!</v>
      </c>
      <c r="H453" t="e">
        <f>International!H86+"$F;@!5`?"</f>
        <v>#VALUE!</v>
      </c>
      <c r="I453" t="e">
        <f>International!A87+"$F;@!5`@"</f>
        <v>#VALUE!</v>
      </c>
      <c r="J453" t="e">
        <f>International!B87+"$F;@!5`A"</f>
        <v>#VALUE!</v>
      </c>
      <c r="K453" t="e">
        <f>International!C87+"$F;@!5`B"</f>
        <v>#VALUE!</v>
      </c>
      <c r="L453" t="e">
        <f>International!D87+"$F;@!5`C"</f>
        <v>#VALUE!</v>
      </c>
      <c r="M453" t="e">
        <f>International!E87+"$F;@!5`D"</f>
        <v>#VALUE!</v>
      </c>
      <c r="N453" t="e">
        <f>International!F87+"$F;@!5`E"</f>
        <v>#VALUE!</v>
      </c>
      <c r="O453" t="e">
        <f>International!G87+"$F;@!5`F"</f>
        <v>#VALUE!</v>
      </c>
      <c r="P453" t="e">
        <f>International!H87+"$F;@!5`G"</f>
        <v>#VALUE!</v>
      </c>
      <c r="Q453" t="e">
        <f>International!A88+"$F;@!5`H"</f>
        <v>#VALUE!</v>
      </c>
      <c r="R453" t="e">
        <f>International!B88+"$F;@!5`I"</f>
        <v>#VALUE!</v>
      </c>
      <c r="S453" t="e">
        <f>International!C88+"$F;@!5`J"</f>
        <v>#VALUE!</v>
      </c>
      <c r="T453" t="e">
        <f>International!D88+"$F;@!5`K"</f>
        <v>#VALUE!</v>
      </c>
      <c r="U453" t="e">
        <f>International!E88+"$F;@!5`L"</f>
        <v>#VALUE!</v>
      </c>
      <c r="V453" t="e">
        <f>International!F88+"$F;@!5`M"</f>
        <v>#VALUE!</v>
      </c>
      <c r="W453" t="e">
        <f>International!G88+"$F;@!5`N"</f>
        <v>#VALUE!</v>
      </c>
      <c r="X453" t="e">
        <f>International!H88+"$F;@!5`O"</f>
        <v>#VALUE!</v>
      </c>
      <c r="Y453" t="e">
        <f>International!A89+"$F;@!5`P"</f>
        <v>#VALUE!</v>
      </c>
      <c r="Z453" t="e">
        <f>International!B89+"$F;@!5`Q"</f>
        <v>#VALUE!</v>
      </c>
      <c r="AA453" t="e">
        <f>International!C89+"$F;@!5`R"</f>
        <v>#VALUE!</v>
      </c>
      <c r="AB453" t="e">
        <f>International!D89+"$F;@!5`S"</f>
        <v>#VALUE!</v>
      </c>
      <c r="AC453" t="e">
        <f>International!E89+"$F;@!5`T"</f>
        <v>#VALUE!</v>
      </c>
      <c r="AD453" t="e">
        <f>International!F89+"$F;@!5`U"</f>
        <v>#VALUE!</v>
      </c>
      <c r="AE453" t="e">
        <f>International!G89+"$F;@!5`V"</f>
        <v>#VALUE!</v>
      </c>
      <c r="AF453" t="e">
        <f>International!H89+"$F;@!5`W"</f>
        <v>#VALUE!</v>
      </c>
      <c r="AG453" t="e">
        <f>International!A90+"$F;@!5`X"</f>
        <v>#VALUE!</v>
      </c>
      <c r="AH453" t="e">
        <f>International!B90+"$F;@!5`Y"</f>
        <v>#VALUE!</v>
      </c>
      <c r="AI453" t="e">
        <f>International!C90+"$F;@!5`Z"</f>
        <v>#VALUE!</v>
      </c>
      <c r="AJ453" t="e">
        <f>International!D90+"$F;@!5`["</f>
        <v>#VALUE!</v>
      </c>
      <c r="AK453" t="e">
        <f>International!E90+"$F;@!5`\"</f>
        <v>#VALUE!</v>
      </c>
      <c r="AL453" t="e">
        <f>International!F90+"$F;@!5`]"</f>
        <v>#VALUE!</v>
      </c>
      <c r="AM453" t="e">
        <f>International!G90+"$F;@!5`^"</f>
        <v>#VALUE!</v>
      </c>
      <c r="AN453" t="e">
        <f>International!H90+"$F;@!5`_"</f>
        <v>#VALUE!</v>
      </c>
      <c r="AO453" t="e">
        <f>International!A91+"$F;@!5``"</f>
        <v>#VALUE!</v>
      </c>
      <c r="AP453" t="e">
        <f>International!B91+"$F;@!5`a"</f>
        <v>#VALUE!</v>
      </c>
      <c r="AQ453" t="e">
        <f>International!C91+"$F;@!5`b"</f>
        <v>#VALUE!</v>
      </c>
      <c r="AR453" t="e">
        <f>International!D91+"$F;@!5`c"</f>
        <v>#VALUE!</v>
      </c>
      <c r="AS453" t="e">
        <f>International!E91+"$F;@!5`d"</f>
        <v>#VALUE!</v>
      </c>
      <c r="AT453" t="e">
        <f>International!F91+"$F;@!5`e"</f>
        <v>#VALUE!</v>
      </c>
      <c r="AU453" t="e">
        <f>International!G91+"$F;@!5`f"</f>
        <v>#VALUE!</v>
      </c>
      <c r="AV453" t="e">
        <f>International!A92+"$F;@!5`g"</f>
        <v>#VALUE!</v>
      </c>
      <c r="AW453" t="e">
        <f>International!B92+"$F;@!5`h"</f>
        <v>#VALUE!</v>
      </c>
      <c r="AX453" t="e">
        <f>International!C92+"$F;@!5`i"</f>
        <v>#VALUE!</v>
      </c>
      <c r="AY453" t="e">
        <f>International!D92+"$F;@!5`j"</f>
        <v>#VALUE!</v>
      </c>
      <c r="AZ453" t="e">
        <f>International!E92+"$F;@!5`k"</f>
        <v>#VALUE!</v>
      </c>
      <c r="BA453" t="e">
        <f>International!F92+"$F;@!5`l"</f>
        <v>#VALUE!</v>
      </c>
      <c r="BB453" t="e">
        <f>International!G92+"$F;@!5`m"</f>
        <v>#VALUE!</v>
      </c>
      <c r="BC453" t="e">
        <f>International!H92+"$F;@!5`n"</f>
        <v>#VALUE!</v>
      </c>
      <c r="BD453" t="e">
        <f>International!A93+"$F;@!5`o"</f>
        <v>#VALUE!</v>
      </c>
      <c r="BE453" t="e">
        <f>International!B93+"$F;@!5`p"</f>
        <v>#VALUE!</v>
      </c>
      <c r="BF453" t="e">
        <f>International!C93+"$F;@!5`q"</f>
        <v>#VALUE!</v>
      </c>
      <c r="BG453" t="e">
        <f>International!D93+"$F;@!5`r"</f>
        <v>#VALUE!</v>
      </c>
      <c r="BH453" t="e">
        <f>International!E93+"$F;@!5`s"</f>
        <v>#VALUE!</v>
      </c>
      <c r="BI453" t="e">
        <f>International!F93+"$F;@!5`t"</f>
        <v>#VALUE!</v>
      </c>
      <c r="BJ453" t="e">
        <f>International!G93+"$F;@!5`u"</f>
        <v>#VALUE!</v>
      </c>
      <c r="BK453" t="e">
        <f>International!H93+"$F;@!5`v"</f>
        <v>#VALUE!</v>
      </c>
      <c r="BL453" t="e">
        <f>International!A94+"$F;@!5`w"</f>
        <v>#VALUE!</v>
      </c>
      <c r="BM453" t="e">
        <f>International!B94+"$F;@!5`x"</f>
        <v>#VALUE!</v>
      </c>
      <c r="BN453" t="e">
        <f>International!C94+"$F;@!5`y"</f>
        <v>#VALUE!</v>
      </c>
      <c r="BO453" t="e">
        <f>International!D94+"$F;@!5`z"</f>
        <v>#VALUE!</v>
      </c>
      <c r="BP453" t="e">
        <f>International!E94+"$F;@!5`{"</f>
        <v>#VALUE!</v>
      </c>
      <c r="BQ453" t="e">
        <f>International!F94+"$F;@!5`|"</f>
        <v>#VALUE!</v>
      </c>
      <c r="BR453" t="e">
        <f>International!G94+"$F;@!5`}"</f>
        <v>#VALUE!</v>
      </c>
      <c r="BS453" t="e">
        <f>International!H94+"$F;@!5`~"</f>
        <v>#VALUE!</v>
      </c>
      <c r="BT453" t="e">
        <f>International!A95+"$F;@!5a#"</f>
        <v>#VALUE!</v>
      </c>
      <c r="BU453" t="e">
        <f>International!B95+"$F;@!5a$"</f>
        <v>#VALUE!</v>
      </c>
      <c r="BV453" t="e">
        <f>International!C95+"$F;@!5a%"</f>
        <v>#VALUE!</v>
      </c>
      <c r="BW453" t="e">
        <f>International!D95+"$F;@!5a&amp;"</f>
        <v>#VALUE!</v>
      </c>
      <c r="BX453" t="e">
        <f>International!E95+"$F;@!5a'"</f>
        <v>#VALUE!</v>
      </c>
      <c r="BY453" t="e">
        <f>International!F95+"$F;@!5a("</f>
        <v>#VALUE!</v>
      </c>
      <c r="BZ453" t="e">
        <f>International!G95+"$F;@!5a)"</f>
        <v>#VALUE!</v>
      </c>
      <c r="CA453" t="e">
        <f>International!H95+"$F;@!5a."</f>
        <v>#VALUE!</v>
      </c>
      <c r="CB453" t="e">
        <f>International!A96+"$F;@!5a/"</f>
        <v>#VALUE!</v>
      </c>
      <c r="CC453" t="e">
        <f>International!B96+"$F;@!5a0"</f>
        <v>#VALUE!</v>
      </c>
      <c r="CD453" t="e">
        <f>International!C96+"$F;@!5a1"</f>
        <v>#VALUE!</v>
      </c>
      <c r="CE453" t="e">
        <f>International!D96+"$F;@!5a2"</f>
        <v>#VALUE!</v>
      </c>
      <c r="CF453" t="e">
        <f>International!E96+"$F;@!5a3"</f>
        <v>#VALUE!</v>
      </c>
      <c r="CG453" t="e">
        <f>International!F96+"$F;@!5a4"</f>
        <v>#VALUE!</v>
      </c>
      <c r="CH453" t="e">
        <f>International!G96+"$F;@!5a5"</f>
        <v>#VALUE!</v>
      </c>
      <c r="CI453" t="e">
        <f>International!H96+"$F;@!5a6"</f>
        <v>#VALUE!</v>
      </c>
      <c r="CJ453" t="e">
        <f>International!A97+"$F;@!5a7"</f>
        <v>#VALUE!</v>
      </c>
      <c r="CK453" t="e">
        <f>International!B97+"$F;@!5a8"</f>
        <v>#VALUE!</v>
      </c>
      <c r="CL453" t="e">
        <f>International!C97+"$F;@!5a9"</f>
        <v>#VALUE!</v>
      </c>
      <c r="CM453" t="e">
        <f>International!D97+"$F;@!5a:"</f>
        <v>#VALUE!</v>
      </c>
      <c r="CN453" t="e">
        <f>International!E97+"$F;@!5a;"</f>
        <v>#VALUE!</v>
      </c>
      <c r="CO453" t="e">
        <f>International!F97+"$F;@!5a&lt;"</f>
        <v>#VALUE!</v>
      </c>
      <c r="CP453" t="e">
        <f>International!G97+"$F;@!5a="</f>
        <v>#VALUE!</v>
      </c>
      <c r="CQ453" t="e">
        <f>International!H97+"$F;@!5a&gt;"</f>
        <v>#VALUE!</v>
      </c>
      <c r="CR453" t="e">
        <f>International!A98+"$F;@!5a?"</f>
        <v>#VALUE!</v>
      </c>
      <c r="CS453" t="e">
        <f>International!B98+"$F;@!5a@"</f>
        <v>#VALUE!</v>
      </c>
      <c r="CT453" t="e">
        <f>International!C98+"$F;@!5aA"</f>
        <v>#VALUE!</v>
      </c>
      <c r="CU453" t="e">
        <f>International!D98+"$F;@!5aB"</f>
        <v>#VALUE!</v>
      </c>
      <c r="CV453" t="e">
        <f>International!E98+"$F;@!5aC"</f>
        <v>#VALUE!</v>
      </c>
      <c r="CW453" t="e">
        <f>International!F98+"$F;@!5aD"</f>
        <v>#VALUE!</v>
      </c>
      <c r="CX453" t="e">
        <f>International!G98+"$F;@!5aE"</f>
        <v>#VALUE!</v>
      </c>
      <c r="CY453" t="e">
        <f>International!H98+"$F;@!5aF"</f>
        <v>#VALUE!</v>
      </c>
      <c r="CZ453" t="e">
        <f>International!A99+"$F;@!5aG"</f>
        <v>#VALUE!</v>
      </c>
      <c r="DA453" t="e">
        <f>International!B99+"$F;@!5aH"</f>
        <v>#VALUE!</v>
      </c>
      <c r="DB453" t="e">
        <f>International!C99+"$F;@!5aI"</f>
        <v>#VALUE!</v>
      </c>
      <c r="DC453" t="e">
        <f>International!D99+"$F;@!5aJ"</f>
        <v>#VALUE!</v>
      </c>
      <c r="DD453" t="e">
        <f>International!E99+"$F;@!5aK"</f>
        <v>#VALUE!</v>
      </c>
      <c r="DE453" t="e">
        <f>International!F99+"$F;@!5aL"</f>
        <v>#VALUE!</v>
      </c>
      <c r="DF453" t="e">
        <f>International!G99+"$F;@!5aM"</f>
        <v>#VALUE!</v>
      </c>
      <c r="DG453" t="e">
        <f>International!H99+"$F;@!5aN"</f>
        <v>#VALUE!</v>
      </c>
      <c r="DH453" t="e">
        <f>International!A100+"$F;@!5aO"</f>
        <v>#VALUE!</v>
      </c>
      <c r="DI453" t="e">
        <f>International!B100+"$F;@!5aP"</f>
        <v>#VALUE!</v>
      </c>
      <c r="DJ453" t="e">
        <f>International!C100+"$F;@!5aQ"</f>
        <v>#VALUE!</v>
      </c>
      <c r="DK453" t="e">
        <f>International!D100+"$F;@!5aR"</f>
        <v>#VALUE!</v>
      </c>
      <c r="DL453" t="e">
        <f>International!E100+"$F;@!5aS"</f>
        <v>#VALUE!</v>
      </c>
      <c r="DM453" t="e">
        <f>International!F100+"$F;@!5aT"</f>
        <v>#VALUE!</v>
      </c>
      <c r="DN453" t="e">
        <f>International!G100+"$F;@!5aU"</f>
        <v>#VALUE!</v>
      </c>
      <c r="DO453" t="e">
        <f>International!H100+"$F;@!5aV"</f>
        <v>#VALUE!</v>
      </c>
      <c r="DP453" t="e">
        <f>International!A101+"$F;@!5aW"</f>
        <v>#VALUE!</v>
      </c>
      <c r="DQ453" t="e">
        <f>International!B101+"$F;@!5aX"</f>
        <v>#VALUE!</v>
      </c>
      <c r="DR453" t="e">
        <f>International!C101+"$F;@!5aY"</f>
        <v>#VALUE!</v>
      </c>
      <c r="DS453" t="e">
        <f>International!D101+"$F;@!5aZ"</f>
        <v>#VALUE!</v>
      </c>
      <c r="DT453" t="e">
        <f>International!E101+"$F;@!5a["</f>
        <v>#VALUE!</v>
      </c>
      <c r="DU453" t="e">
        <f>International!F101+"$F;@!5a\"</f>
        <v>#VALUE!</v>
      </c>
      <c r="DV453" t="e">
        <f>International!G101+"$F;@!5a]"</f>
        <v>#VALUE!</v>
      </c>
      <c r="DW453" t="e">
        <f>International!H101+"$F;@!5a^"</f>
        <v>#VALUE!</v>
      </c>
      <c r="DX453" t="e">
        <f>International!A102+"$F;@!5a_"</f>
        <v>#VALUE!</v>
      </c>
      <c r="DY453" t="e">
        <f>International!B102+"$F;@!5a`"</f>
        <v>#VALUE!</v>
      </c>
      <c r="DZ453" t="e">
        <f>International!C102+"$F;@!5aa"</f>
        <v>#VALUE!</v>
      </c>
      <c r="EA453" t="e">
        <f>International!D102+"$F;@!5ab"</f>
        <v>#VALUE!</v>
      </c>
      <c r="EB453" t="e">
        <f>International!E102+"$F;@!5ac"</f>
        <v>#VALUE!</v>
      </c>
      <c r="EC453" t="e">
        <f>International!F102+"$F;@!5ad"</f>
        <v>#VALUE!</v>
      </c>
      <c r="ED453" t="e">
        <f>International!G102+"$F;@!5ae"</f>
        <v>#VALUE!</v>
      </c>
      <c r="EE453" t="e">
        <f>International!H102+"$F;@!5af"</f>
        <v>#VALUE!</v>
      </c>
      <c r="EF453" t="e">
        <f>International!A103+"$F;@!5ag"</f>
        <v>#VALUE!</v>
      </c>
      <c r="EG453" t="e">
        <f>International!B103+"$F;@!5ah"</f>
        <v>#VALUE!</v>
      </c>
      <c r="EH453" t="e">
        <f>International!C103+"$F;@!5ai"</f>
        <v>#VALUE!</v>
      </c>
      <c r="EI453" t="e">
        <f>International!D103+"$F;@!5aj"</f>
        <v>#VALUE!</v>
      </c>
      <c r="EJ453" t="e">
        <f>International!E103+"$F;@!5ak"</f>
        <v>#VALUE!</v>
      </c>
      <c r="EK453" t="e">
        <f>International!F103+"$F;@!5al"</f>
        <v>#VALUE!</v>
      </c>
      <c r="EL453" t="e">
        <f>International!G103+"$F;@!5am"</f>
        <v>#VALUE!</v>
      </c>
      <c r="EM453" t="e">
        <f>International!H103+"$F;@!5an"</f>
        <v>#VALUE!</v>
      </c>
      <c r="EN453" t="e">
        <f>International!A104+"$F;@!5ao"</f>
        <v>#VALUE!</v>
      </c>
      <c r="EO453" t="e">
        <f>International!B104+"$F;@!5ap"</f>
        <v>#VALUE!</v>
      </c>
      <c r="EP453" t="e">
        <f>International!C104+"$F;@!5aq"</f>
        <v>#VALUE!</v>
      </c>
      <c r="EQ453" t="e">
        <f>International!D104+"$F;@!5ar"</f>
        <v>#VALUE!</v>
      </c>
      <c r="ER453" t="e">
        <f>International!E104+"$F;@!5as"</f>
        <v>#VALUE!</v>
      </c>
      <c r="ES453" t="e">
        <f>International!F104+"$F;@!5at"</f>
        <v>#VALUE!</v>
      </c>
      <c r="ET453" t="e">
        <f>International!G104+"$F;@!5au"</f>
        <v>#VALUE!</v>
      </c>
      <c r="EU453" t="e">
        <f>International!H104+"$F;@!5av"</f>
        <v>#VALUE!</v>
      </c>
      <c r="EV453" t="e">
        <f>International!A105+"$F;@!5aw"</f>
        <v>#VALUE!</v>
      </c>
      <c r="EW453" t="e">
        <f>International!B105+"$F;@!5ax"</f>
        <v>#VALUE!</v>
      </c>
      <c r="EX453" t="e">
        <f>International!C105+"$F;@!5ay"</f>
        <v>#VALUE!</v>
      </c>
      <c r="EY453" t="e">
        <f>International!D105+"$F;@!5az"</f>
        <v>#VALUE!</v>
      </c>
      <c r="EZ453" t="e">
        <f>International!E105+"$F;@!5a{"</f>
        <v>#VALUE!</v>
      </c>
      <c r="FA453" t="e">
        <f>International!F105+"$F;@!5a|"</f>
        <v>#VALUE!</v>
      </c>
      <c r="FB453" t="e">
        <f>International!G105+"$F;@!5a}"</f>
        <v>#VALUE!</v>
      </c>
      <c r="FC453" t="e">
        <f>International!H105+"$F;@!5a~"</f>
        <v>#VALUE!</v>
      </c>
      <c r="FD453" t="e">
        <f>International!A106+"$F;@!5b#"</f>
        <v>#VALUE!</v>
      </c>
      <c r="FE453" t="e">
        <f>International!B106+"$F;@!5b$"</f>
        <v>#VALUE!</v>
      </c>
      <c r="FF453" t="e">
        <f>International!C106+"$F;@!5b%"</f>
        <v>#VALUE!</v>
      </c>
      <c r="FG453" t="e">
        <f>International!D106+"$F;@!5b&amp;"</f>
        <v>#VALUE!</v>
      </c>
      <c r="FH453" t="e">
        <f>International!E106+"$F;@!5b'"</f>
        <v>#VALUE!</v>
      </c>
      <c r="FI453" t="e">
        <f>International!F106+"$F;@!5b("</f>
        <v>#VALUE!</v>
      </c>
      <c r="FJ453" t="e">
        <f>International!G106+"$F;@!5b)"</f>
        <v>#VALUE!</v>
      </c>
      <c r="FK453" t="e">
        <f>International!H106+"$F;@!5b."</f>
        <v>#VALUE!</v>
      </c>
      <c r="FL453" t="e">
        <f>International!A107+"$F;@!5b/"</f>
        <v>#VALUE!</v>
      </c>
      <c r="FM453" t="e">
        <f>International!B107+"$F;@!5b0"</f>
        <v>#VALUE!</v>
      </c>
      <c r="FN453" t="e">
        <f>International!C107+"$F;@!5b1"</f>
        <v>#VALUE!</v>
      </c>
      <c r="FO453" t="e">
        <f>International!D107+"$F;@!5b2"</f>
        <v>#VALUE!</v>
      </c>
      <c r="FP453" t="e">
        <f>International!E107+"$F;@!5b3"</f>
        <v>#VALUE!</v>
      </c>
      <c r="FQ453" t="e">
        <f>International!F107+"$F;@!5b4"</f>
        <v>#VALUE!</v>
      </c>
      <c r="FR453" t="e">
        <f>International!G107+"$F;@!5b5"</f>
        <v>#VALUE!</v>
      </c>
      <c r="FS453" t="e">
        <f>International!H107+"$F;@!5b6"</f>
        <v>#VALUE!</v>
      </c>
      <c r="FT453" t="e">
        <f>International!A108+"$F;@!5b7"</f>
        <v>#VALUE!</v>
      </c>
      <c r="FU453" t="e">
        <f>International!B108+"$F;@!5b8"</f>
        <v>#VALUE!</v>
      </c>
      <c r="FV453" t="e">
        <f>International!C108+"$F;@!5b9"</f>
        <v>#VALUE!</v>
      </c>
      <c r="FW453" t="e">
        <f>International!D108+"$F;@!5b:"</f>
        <v>#VALUE!</v>
      </c>
      <c r="FX453" t="e">
        <f>International!E108+"$F;@!5b;"</f>
        <v>#VALUE!</v>
      </c>
      <c r="FY453" t="e">
        <f>International!F108+"$F;@!5b&lt;"</f>
        <v>#VALUE!</v>
      </c>
      <c r="FZ453" t="e">
        <f>International!G108+"$F;@!5b="</f>
        <v>#VALUE!</v>
      </c>
      <c r="GA453" t="e">
        <f>International!A109+"$F;@!5b&gt;"</f>
        <v>#VALUE!</v>
      </c>
      <c r="GB453" t="e">
        <f>International!B109+"$F;@!5b?"</f>
        <v>#VALUE!</v>
      </c>
      <c r="GC453" t="e">
        <f>International!C109+"$F;@!5b@"</f>
        <v>#VALUE!</v>
      </c>
      <c r="GD453" t="e">
        <f>International!D109+"$F;@!5bA"</f>
        <v>#VALUE!</v>
      </c>
      <c r="GE453" t="e">
        <f>International!E109+"$F;@!5bB"</f>
        <v>#VALUE!</v>
      </c>
      <c r="GF453" t="e">
        <f>International!F109+"$F;@!5bC"</f>
        <v>#VALUE!</v>
      </c>
      <c r="GG453" t="e">
        <f>International!G109+"$F;@!5bD"</f>
        <v>#VALUE!</v>
      </c>
      <c r="GH453" t="e">
        <f>International!A110+"$F;@!5bE"</f>
        <v>#VALUE!</v>
      </c>
      <c r="GI453" t="e">
        <f>International!B110+"$F;@!5bF"</f>
        <v>#VALUE!</v>
      </c>
      <c r="GJ453" t="e">
        <f>International!C110+"$F;@!5bG"</f>
        <v>#VALUE!</v>
      </c>
      <c r="GK453" t="e">
        <f>International!D110+"$F;@!5bH"</f>
        <v>#VALUE!</v>
      </c>
      <c r="GL453" t="e">
        <f>International!E110+"$F;@!5bI"</f>
        <v>#VALUE!</v>
      </c>
      <c r="GM453" t="e">
        <f>International!F110+"$F;@!5bJ"</f>
        <v>#VALUE!</v>
      </c>
      <c r="GN453" t="e">
        <f>International!G110+"$F;@!5bK"</f>
        <v>#VALUE!</v>
      </c>
      <c r="GO453" t="e">
        <f>International!H110+"$F;@!5bL"</f>
        <v>#VALUE!</v>
      </c>
      <c r="GP453" t="e">
        <f>International!A111+"$F;@!5bM"</f>
        <v>#VALUE!</v>
      </c>
      <c r="GQ453" t="e">
        <f>International!B111+"$F;@!5bN"</f>
        <v>#VALUE!</v>
      </c>
      <c r="GR453" t="e">
        <f>International!C111+"$F;@!5bO"</f>
        <v>#VALUE!</v>
      </c>
      <c r="GS453" t="e">
        <f>International!D111+"$F;@!5bP"</f>
        <v>#VALUE!</v>
      </c>
      <c r="GT453" t="e">
        <f>International!E111+"$F;@!5bQ"</f>
        <v>#VALUE!</v>
      </c>
      <c r="GU453" t="e">
        <f>International!F111+"$F;@!5bR"</f>
        <v>#VALUE!</v>
      </c>
      <c r="GV453" t="e">
        <f>International!G111+"$F;@!5bS"</f>
        <v>#VALUE!</v>
      </c>
      <c r="GW453" t="e">
        <f>International!H111+"$F;@!5bT"</f>
        <v>#VALUE!</v>
      </c>
      <c r="GX453" t="e">
        <f>International!A112+"$F;@!5bU"</f>
        <v>#VALUE!</v>
      </c>
      <c r="GY453" t="e">
        <f>International!B112+"$F;@!5bV"</f>
        <v>#VALUE!</v>
      </c>
      <c r="GZ453" t="e">
        <f>International!C112+"$F;@!5bW"</f>
        <v>#VALUE!</v>
      </c>
      <c r="HA453" t="e">
        <f>International!D112+"$F;@!5bX"</f>
        <v>#VALUE!</v>
      </c>
      <c r="HB453" t="e">
        <f>International!E112+"$F;@!5bY"</f>
        <v>#VALUE!</v>
      </c>
      <c r="HC453" t="e">
        <f>International!F112+"$F;@!5bZ"</f>
        <v>#VALUE!</v>
      </c>
      <c r="HD453" t="e">
        <f>International!G112+"$F;@!5b["</f>
        <v>#VALUE!</v>
      </c>
      <c r="HE453" t="e">
        <f>International!H112+"$F;@!5b\"</f>
        <v>#VALUE!</v>
      </c>
      <c r="HF453" t="e">
        <f>International!A113+"$F;@!5b]"</f>
        <v>#VALUE!</v>
      </c>
      <c r="HG453" t="e">
        <f>International!B113+"$F;@!5b^"</f>
        <v>#VALUE!</v>
      </c>
      <c r="HH453" t="e">
        <f>International!C113+"$F;@!5b_"</f>
        <v>#VALUE!</v>
      </c>
      <c r="HI453" t="e">
        <f>International!D113+"$F;@!5b`"</f>
        <v>#VALUE!</v>
      </c>
      <c r="HJ453" t="e">
        <f>International!E113+"$F;@!5ba"</f>
        <v>#VALUE!</v>
      </c>
      <c r="HK453" t="e">
        <f>International!F113+"$F;@!5bb"</f>
        <v>#VALUE!</v>
      </c>
      <c r="HL453" t="e">
        <f>International!G113+"$F;@!5bc"</f>
        <v>#VALUE!</v>
      </c>
      <c r="HM453" t="e">
        <f>International!H113+"$F;@!5bd"</f>
        <v>#VALUE!</v>
      </c>
      <c r="HN453" t="e">
        <f>International!A114+"$F;@!5be"</f>
        <v>#VALUE!</v>
      </c>
      <c r="HO453" t="e">
        <f>International!B114+"$F;@!5bf"</f>
        <v>#VALUE!</v>
      </c>
      <c r="HP453" t="e">
        <f>International!C114+"$F;@!5bg"</f>
        <v>#VALUE!</v>
      </c>
      <c r="HQ453" t="e">
        <f>International!D114+"$F;@!5bh"</f>
        <v>#VALUE!</v>
      </c>
      <c r="HR453" t="e">
        <f>International!E114+"$F;@!5bi"</f>
        <v>#VALUE!</v>
      </c>
      <c r="HS453" t="e">
        <f>International!F114+"$F;@!5bj"</f>
        <v>#VALUE!</v>
      </c>
      <c r="HT453" t="e">
        <f>International!G114+"$F;@!5bk"</f>
        <v>#VALUE!</v>
      </c>
      <c r="HU453" t="e">
        <f>International!H114+"$F;@!5bl"</f>
        <v>#VALUE!</v>
      </c>
      <c r="HV453" t="e">
        <f>International!A115+"$F;@!5bm"</f>
        <v>#VALUE!</v>
      </c>
      <c r="HW453" t="e">
        <f>International!B115+"$F;@!5bn"</f>
        <v>#VALUE!</v>
      </c>
      <c r="HX453" t="e">
        <f>International!C115+"$F;@!5bo"</f>
        <v>#VALUE!</v>
      </c>
      <c r="HY453" t="e">
        <f>International!D115+"$F;@!5bp"</f>
        <v>#VALUE!</v>
      </c>
      <c r="HZ453" t="e">
        <f>International!E115+"$F;@!5bq"</f>
        <v>#VALUE!</v>
      </c>
      <c r="IA453" t="e">
        <f>International!F115+"$F;@!5br"</f>
        <v>#VALUE!</v>
      </c>
      <c r="IB453" t="e">
        <f>International!G115+"$F;@!5bs"</f>
        <v>#VALUE!</v>
      </c>
      <c r="IC453" t="e">
        <f>International!H115+"$F;@!5bt"</f>
        <v>#VALUE!</v>
      </c>
      <c r="ID453" t="e">
        <f>International!A116+"$F;@!5bu"</f>
        <v>#VALUE!</v>
      </c>
      <c r="IE453" t="e">
        <f>International!B116+"$F;@!5bv"</f>
        <v>#VALUE!</v>
      </c>
      <c r="IF453" t="e">
        <f>International!C116+"$F;@!5bw"</f>
        <v>#VALUE!</v>
      </c>
      <c r="IG453" t="e">
        <f>International!D116+"$F;@!5bx"</f>
        <v>#VALUE!</v>
      </c>
      <c r="IH453" t="e">
        <f>International!E116+"$F;@!5by"</f>
        <v>#VALUE!</v>
      </c>
      <c r="II453" t="e">
        <f>International!F116+"$F;@!5bz"</f>
        <v>#VALUE!</v>
      </c>
      <c r="IJ453" t="e">
        <f>International!G116+"$F;@!5b{"</f>
        <v>#VALUE!</v>
      </c>
      <c r="IK453" t="e">
        <f>International!H116+"$F;@!5b|"</f>
        <v>#VALUE!</v>
      </c>
      <c r="IL453" t="e">
        <f>International!A117+"$F;@!5b}"</f>
        <v>#VALUE!</v>
      </c>
      <c r="IM453" t="e">
        <f>International!B117+"$F;@!5b~"</f>
        <v>#VALUE!</v>
      </c>
      <c r="IN453" t="e">
        <f>International!C117+"$F;@!5c#"</f>
        <v>#VALUE!</v>
      </c>
      <c r="IO453" t="e">
        <f>International!D117+"$F;@!5c$"</f>
        <v>#VALUE!</v>
      </c>
      <c r="IP453" t="e">
        <f>International!E117+"$F;@!5c%"</f>
        <v>#VALUE!</v>
      </c>
      <c r="IQ453" t="e">
        <f>International!F117+"$F;@!5c&amp;"</f>
        <v>#VALUE!</v>
      </c>
      <c r="IR453" t="e">
        <f>International!G117+"$F;@!5c'"</f>
        <v>#VALUE!</v>
      </c>
      <c r="IS453" t="e">
        <f>International!H117+"$F;@!5c("</f>
        <v>#VALUE!</v>
      </c>
      <c r="IT453" t="e">
        <f>International!A118+"$F;@!5c)"</f>
        <v>#VALUE!</v>
      </c>
      <c r="IU453" t="e">
        <f>International!B118+"$F;@!5c."</f>
        <v>#VALUE!</v>
      </c>
      <c r="IV453" t="e">
        <f>International!C118+"$F;@!5c/"</f>
        <v>#VALUE!</v>
      </c>
    </row>
    <row r="454" spans="6:256" x14ac:dyDescent="0.35">
      <c r="F454" t="e">
        <f>International!D118+"$F;@!5c0"</f>
        <v>#VALUE!</v>
      </c>
      <c r="G454" t="e">
        <f>International!E118+"$F;@!5c1"</f>
        <v>#VALUE!</v>
      </c>
      <c r="H454" t="e">
        <f>International!F118+"$F;@!5c2"</f>
        <v>#VALUE!</v>
      </c>
      <c r="I454" t="e">
        <f>International!G118+"$F;@!5c3"</f>
        <v>#VALUE!</v>
      </c>
      <c r="J454" t="e">
        <f>International!H118+"$F;@!5c4"</f>
        <v>#VALUE!</v>
      </c>
      <c r="K454" t="e">
        <f>International!A119+"$F;@!5c5"</f>
        <v>#VALUE!</v>
      </c>
      <c r="L454" t="e">
        <f>International!B119+"$F;@!5c6"</f>
        <v>#VALUE!</v>
      </c>
      <c r="M454" t="e">
        <f>International!C119+"$F;@!5c7"</f>
        <v>#VALUE!</v>
      </c>
      <c r="N454" t="e">
        <f>International!D119+"$F;@!5c8"</f>
        <v>#VALUE!</v>
      </c>
      <c r="O454" t="e">
        <f>International!E119+"$F;@!5c9"</f>
        <v>#VALUE!</v>
      </c>
      <c r="P454" t="e">
        <f>International!F119+"$F;@!5c:"</f>
        <v>#VALUE!</v>
      </c>
      <c r="Q454" t="e">
        <f>International!G119+"$F;@!5c;"</f>
        <v>#VALUE!</v>
      </c>
      <c r="R454" t="e">
        <f>International!H119+"$F;@!5c&lt;"</f>
        <v>#VALUE!</v>
      </c>
      <c r="S454" t="e">
        <f>International!A120+"$F;@!5c="</f>
        <v>#VALUE!</v>
      </c>
      <c r="T454" t="e">
        <f>International!B120+"$F;@!5c&gt;"</f>
        <v>#VALUE!</v>
      </c>
      <c r="U454" t="e">
        <f>International!C120+"$F;@!5c?"</f>
        <v>#VALUE!</v>
      </c>
      <c r="V454" t="e">
        <f>International!D120+"$F;@!5c@"</f>
        <v>#VALUE!</v>
      </c>
      <c r="W454" t="e">
        <f>International!E120+"$F;@!5cA"</f>
        <v>#VALUE!</v>
      </c>
      <c r="X454" t="e">
        <f>International!F120+"$F;@!5cB"</f>
        <v>#VALUE!</v>
      </c>
      <c r="Y454" t="e">
        <f>International!G120+"$F;@!5cC"</f>
        <v>#VALUE!</v>
      </c>
      <c r="Z454" t="e">
        <f>International!H120+"$F;@!5cD"</f>
        <v>#VALUE!</v>
      </c>
      <c r="AA454" t="e">
        <f>International!A121+"$F;@!5cE"</f>
        <v>#VALUE!</v>
      </c>
      <c r="AB454" t="e">
        <f>International!B121+"$F;@!5cF"</f>
        <v>#VALUE!</v>
      </c>
      <c r="AC454" t="e">
        <f>International!C121+"$F;@!5cG"</f>
        <v>#VALUE!</v>
      </c>
      <c r="AD454" t="e">
        <f>International!D121+"$F;@!5cH"</f>
        <v>#VALUE!</v>
      </c>
      <c r="AE454" t="e">
        <f>International!E121+"$F;@!5cI"</f>
        <v>#VALUE!</v>
      </c>
      <c r="AF454" t="e">
        <f>International!F121+"$F;@!5cJ"</f>
        <v>#VALUE!</v>
      </c>
      <c r="AG454" t="e">
        <f>International!G121+"$F;@!5cK"</f>
        <v>#VALUE!</v>
      </c>
      <c r="AH454" t="e">
        <f>International!H121+"$F;@!5cL"</f>
        <v>#VALUE!</v>
      </c>
      <c r="AI454" t="e">
        <f>International!A122+"$F;@!5cM"</f>
        <v>#VALUE!</v>
      </c>
      <c r="AJ454" t="e">
        <f>International!B122+"$F;@!5cN"</f>
        <v>#VALUE!</v>
      </c>
      <c r="AK454" t="e">
        <f>International!C122+"$F;@!5cO"</f>
        <v>#VALUE!</v>
      </c>
      <c r="AL454" t="e">
        <f>International!D122+"$F;@!5cP"</f>
        <v>#VALUE!</v>
      </c>
      <c r="AM454" t="e">
        <f>International!E122+"$F;@!5cQ"</f>
        <v>#VALUE!</v>
      </c>
      <c r="AN454" t="e">
        <f>International!F122+"$F;@!5cR"</f>
        <v>#VALUE!</v>
      </c>
      <c r="AO454" t="e">
        <f>International!G122+"$F;@!5cS"</f>
        <v>#VALUE!</v>
      </c>
      <c r="AP454" t="e">
        <f>International!H122+"$F;@!5cT"</f>
        <v>#VALUE!</v>
      </c>
      <c r="AQ454" t="e">
        <f>International!A123+"$F;@!5cU"</f>
        <v>#VALUE!</v>
      </c>
      <c r="AR454" t="e">
        <f>International!B123+"$F;@!5cV"</f>
        <v>#VALUE!</v>
      </c>
      <c r="AS454" t="e">
        <f>International!C123+"$F;@!5cW"</f>
        <v>#VALUE!</v>
      </c>
      <c r="AT454" t="e">
        <f>International!D123+"$F;@!5cX"</f>
        <v>#VALUE!</v>
      </c>
      <c r="AU454" t="e">
        <f>International!E123+"$F;@!5cY"</f>
        <v>#VALUE!</v>
      </c>
      <c r="AV454" t="e">
        <f>International!F123+"$F;@!5cZ"</f>
        <v>#VALUE!</v>
      </c>
      <c r="AW454" t="e">
        <f>International!G123+"$F;@!5c["</f>
        <v>#VALUE!</v>
      </c>
      <c r="AX454" t="e">
        <f>International!H123+"$F;@!5c\"</f>
        <v>#VALUE!</v>
      </c>
      <c r="AY454" t="e">
        <f>International!A124+"$F;@!5c]"</f>
        <v>#VALUE!</v>
      </c>
      <c r="AZ454" t="e">
        <f>International!B124+"$F;@!5c^"</f>
        <v>#VALUE!</v>
      </c>
      <c r="BA454" t="e">
        <f>International!C124+"$F;@!5c_"</f>
        <v>#VALUE!</v>
      </c>
      <c r="BB454" t="e">
        <f>International!D124+"$F;@!5c`"</f>
        <v>#VALUE!</v>
      </c>
      <c r="BC454" t="e">
        <f>International!E124+"$F;@!5ca"</f>
        <v>#VALUE!</v>
      </c>
      <c r="BD454" t="e">
        <f>International!F124+"$F;@!5cb"</f>
        <v>#VALUE!</v>
      </c>
      <c r="BE454" t="e">
        <f>International!G124+"$F;@!5cc"</f>
        <v>#VALUE!</v>
      </c>
      <c r="BF454" t="e">
        <f>International!H124+"$F;@!5cd"</f>
        <v>#VALUE!</v>
      </c>
      <c r="BG454" t="e">
        <f>International!A125+"$F;@!5ce"</f>
        <v>#VALUE!</v>
      </c>
      <c r="BH454" t="e">
        <f>International!B125+"$F;@!5cf"</f>
        <v>#VALUE!</v>
      </c>
      <c r="BI454" t="e">
        <f>International!C125+"$F;@!5cg"</f>
        <v>#VALUE!</v>
      </c>
      <c r="BJ454" t="e">
        <f>International!D125+"$F;@!5ch"</f>
        <v>#VALUE!</v>
      </c>
      <c r="BK454" t="e">
        <f>International!E125+"$F;@!5ci"</f>
        <v>#VALUE!</v>
      </c>
      <c r="BL454" t="e">
        <f>International!F125+"$F;@!5cj"</f>
        <v>#VALUE!</v>
      </c>
      <c r="BM454" t="e">
        <f>International!G125+"$F;@!5ck"</f>
        <v>#VALUE!</v>
      </c>
      <c r="BN454" t="e">
        <f>International!H125+"$F;@!5cl"</f>
        <v>#VALUE!</v>
      </c>
      <c r="BO454" t="e">
        <f>International!A126+"$F;@!5cm"</f>
        <v>#VALUE!</v>
      </c>
      <c r="BP454" t="e">
        <f>International!B126+"$F;@!5cn"</f>
        <v>#VALUE!</v>
      </c>
      <c r="BQ454" t="e">
        <f>International!C126+"$F;@!5co"</f>
        <v>#VALUE!</v>
      </c>
      <c r="BR454" t="e">
        <f>International!D126+"$F;@!5cp"</f>
        <v>#VALUE!</v>
      </c>
      <c r="BS454" t="e">
        <f>International!E126+"$F;@!5cq"</f>
        <v>#VALUE!</v>
      </c>
      <c r="BT454" t="e">
        <f>International!F126+"$F;@!5cr"</f>
        <v>#VALUE!</v>
      </c>
      <c r="BU454" t="e">
        <f>International!G126+"$F;@!5cs"</f>
        <v>#VALUE!</v>
      </c>
      <c r="BV454" t="e">
        <f>International!H126+"$F;@!5ct"</f>
        <v>#VALUE!</v>
      </c>
      <c r="BW454" t="e">
        <f>International!A127+"$F;@!5cu"</f>
        <v>#VALUE!</v>
      </c>
      <c r="BX454" t="e">
        <f>International!B127+"$F;@!5cv"</f>
        <v>#VALUE!</v>
      </c>
      <c r="BY454" t="e">
        <f>International!C127+"$F;@!5cw"</f>
        <v>#VALUE!</v>
      </c>
      <c r="BZ454" t="e">
        <f>International!D127+"$F;@!5cx"</f>
        <v>#VALUE!</v>
      </c>
      <c r="CA454" t="e">
        <f>International!E127+"$F;@!5cy"</f>
        <v>#VALUE!</v>
      </c>
      <c r="CB454" t="e">
        <f>International!F127+"$F;@!5cz"</f>
        <v>#VALUE!</v>
      </c>
      <c r="CC454" t="e">
        <f>International!G127+"$F;@!5c{"</f>
        <v>#VALUE!</v>
      </c>
      <c r="CD454" t="e">
        <f>International!H127+"$F;@!5c|"</f>
        <v>#VALUE!</v>
      </c>
      <c r="CE454" t="e">
        <f>International!A128+"$F;@!5c}"</f>
        <v>#VALUE!</v>
      </c>
      <c r="CF454" t="e">
        <f>International!B128+"$F;@!5c~"</f>
        <v>#VALUE!</v>
      </c>
      <c r="CG454" t="e">
        <f>International!C128+"$F;@!5d#"</f>
        <v>#VALUE!</v>
      </c>
      <c r="CH454" t="e">
        <f>International!D128+"$F;@!5d$"</f>
        <v>#VALUE!</v>
      </c>
      <c r="CI454" t="e">
        <f>International!E128+"$F;@!5d%"</f>
        <v>#VALUE!</v>
      </c>
      <c r="CJ454" t="e">
        <f>International!F128+"$F;@!5d&amp;"</f>
        <v>#VALUE!</v>
      </c>
      <c r="CK454" t="e">
        <f>International!G128+"$F;@!5d'"</f>
        <v>#VALUE!</v>
      </c>
      <c r="CL454" t="e">
        <f>International!H128+"$F;@!5d("</f>
        <v>#VALUE!</v>
      </c>
      <c r="CM454" t="e">
        <f>International!A129+"$F;@!5d)"</f>
        <v>#VALUE!</v>
      </c>
      <c r="CN454" t="e">
        <f>International!B129+"$F;@!5d."</f>
        <v>#VALUE!</v>
      </c>
      <c r="CO454" t="e">
        <f>International!C129+"$F;@!5d/"</f>
        <v>#VALUE!</v>
      </c>
      <c r="CP454" t="e">
        <f>International!D129+"$F;@!5d0"</f>
        <v>#VALUE!</v>
      </c>
      <c r="CQ454" t="e">
        <f>International!E129+"$F;@!5d1"</f>
        <v>#VALUE!</v>
      </c>
      <c r="CR454" t="e">
        <f>International!F129+"$F;@!5d2"</f>
        <v>#VALUE!</v>
      </c>
      <c r="CS454" t="e">
        <f>International!G129+"$F;@!5d3"</f>
        <v>#VALUE!</v>
      </c>
      <c r="CT454" t="e">
        <f>International!H129+"$F;@!5d4"</f>
        <v>#VALUE!</v>
      </c>
      <c r="CU454" t="e">
        <f>International!A130+"$F;@!5d5"</f>
        <v>#VALUE!</v>
      </c>
      <c r="CV454" t="e">
        <f>International!B130+"$F;@!5d6"</f>
        <v>#VALUE!</v>
      </c>
      <c r="CW454" t="e">
        <f>International!C130+"$F;@!5d7"</f>
        <v>#VALUE!</v>
      </c>
      <c r="CX454" t="e">
        <f>International!D130+"$F;@!5d8"</f>
        <v>#VALUE!</v>
      </c>
      <c r="CY454" t="e">
        <f>International!E130+"$F;@!5d9"</f>
        <v>#VALUE!</v>
      </c>
      <c r="CZ454" t="e">
        <f>International!F130+"$F;@!5d:"</f>
        <v>#VALUE!</v>
      </c>
      <c r="DA454" t="e">
        <f>International!G130+"$F;@!5d;"</f>
        <v>#VALUE!</v>
      </c>
      <c r="DB454" t="e">
        <f>International!H130+"$F;@!5d&lt;"</f>
        <v>#VALUE!</v>
      </c>
      <c r="DC454" t="e">
        <f>International!A131+"$F;@!5d="</f>
        <v>#VALUE!</v>
      </c>
      <c r="DD454" t="e">
        <f>International!B131+"$F;@!5d&gt;"</f>
        <v>#VALUE!</v>
      </c>
      <c r="DE454" t="e">
        <f>International!C131+"$F;@!5d?"</f>
        <v>#VALUE!</v>
      </c>
      <c r="DF454" t="e">
        <f>International!D131+"$F;@!5d@"</f>
        <v>#VALUE!</v>
      </c>
      <c r="DG454" t="e">
        <f>International!E131+"$F;@!5dA"</f>
        <v>#VALUE!</v>
      </c>
      <c r="DH454" t="e">
        <f>International!F131+"$F;@!5dB"</f>
        <v>#VALUE!</v>
      </c>
      <c r="DI454" t="e">
        <f>International!G131+"$F;@!5dC"</f>
        <v>#VALUE!</v>
      </c>
      <c r="DJ454" t="e">
        <f>International!H131+"$F;@!5dD"</f>
        <v>#VALUE!</v>
      </c>
      <c r="DK454" t="e">
        <f>International!A132+"$F;@!5dE"</f>
        <v>#VALUE!</v>
      </c>
      <c r="DL454" t="e">
        <f>International!B132+"$F;@!5dF"</f>
        <v>#VALUE!</v>
      </c>
      <c r="DM454" t="e">
        <f>International!C132+"$F;@!5dG"</f>
        <v>#VALUE!</v>
      </c>
      <c r="DN454" t="e">
        <f>International!D132+"$F;@!5dH"</f>
        <v>#VALUE!</v>
      </c>
      <c r="DO454" t="e">
        <f>International!E132+"$F;@!5dI"</f>
        <v>#VALUE!</v>
      </c>
      <c r="DP454" t="e">
        <f>International!F132+"$F;@!5dJ"</f>
        <v>#VALUE!</v>
      </c>
      <c r="DQ454" t="e">
        <f>International!G132+"$F;@!5dK"</f>
        <v>#VALUE!</v>
      </c>
      <c r="DR454" t="e">
        <f>International!H132+"$F;@!5dL"</f>
        <v>#VALUE!</v>
      </c>
      <c r="DS454" t="e">
        <f>International!A133+"$F;@!5dM"</f>
        <v>#VALUE!</v>
      </c>
      <c r="DT454" t="e">
        <f>International!B133+"$F;@!5dN"</f>
        <v>#VALUE!</v>
      </c>
      <c r="DU454" t="e">
        <f>International!C133+"$F;@!5dO"</f>
        <v>#VALUE!</v>
      </c>
      <c r="DV454" t="e">
        <f>International!D133+"$F;@!5dP"</f>
        <v>#VALUE!</v>
      </c>
      <c r="DW454" t="e">
        <f>International!E133+"$F;@!5dQ"</f>
        <v>#VALUE!</v>
      </c>
      <c r="DX454" t="e">
        <f>International!F133+"$F;@!5dR"</f>
        <v>#VALUE!</v>
      </c>
      <c r="DY454" t="e">
        <f>International!G133+"$F;@!5dS"</f>
        <v>#VALUE!</v>
      </c>
      <c r="DZ454" t="e">
        <f>International!H133+"$F;@!5dT"</f>
        <v>#VALUE!</v>
      </c>
      <c r="EA454" t="e">
        <f>International!A134+"$F;@!5dU"</f>
        <v>#VALUE!</v>
      </c>
      <c r="EB454" t="e">
        <f>International!B134+"$F;@!5dV"</f>
        <v>#VALUE!</v>
      </c>
      <c r="EC454" t="e">
        <f>International!C134+"$F;@!5dW"</f>
        <v>#VALUE!</v>
      </c>
      <c r="ED454" t="e">
        <f>International!D134+"$F;@!5dX"</f>
        <v>#VALUE!</v>
      </c>
      <c r="EE454" t="e">
        <f>International!E134+"$F;@!5dY"</f>
        <v>#VALUE!</v>
      </c>
      <c r="EF454" t="e">
        <f>International!F134+"$F;@!5dZ"</f>
        <v>#VALUE!</v>
      </c>
      <c r="EG454" t="e">
        <f>International!G134+"$F;@!5d["</f>
        <v>#VALUE!</v>
      </c>
      <c r="EH454" t="e">
        <f>International!H134+"$F;@!5d\"</f>
        <v>#VALUE!</v>
      </c>
      <c r="EI454" t="e">
        <f>International!A135+"$F;@!5d]"</f>
        <v>#VALUE!</v>
      </c>
      <c r="EJ454" t="e">
        <f>International!B135+"$F;@!5d^"</f>
        <v>#VALUE!</v>
      </c>
      <c r="EK454" t="e">
        <f>International!C135+"$F;@!5d_"</f>
        <v>#VALUE!</v>
      </c>
      <c r="EL454" t="e">
        <f>International!D135+"$F;@!5d`"</f>
        <v>#VALUE!</v>
      </c>
      <c r="EM454" t="e">
        <f>International!E135+"$F;@!5da"</f>
        <v>#VALUE!</v>
      </c>
      <c r="EN454" t="e">
        <f>International!F135+"$F;@!5db"</f>
        <v>#VALUE!</v>
      </c>
      <c r="EO454" t="e">
        <f>International!G135+"$F;@!5dc"</f>
        <v>#VALUE!</v>
      </c>
      <c r="EP454" t="e">
        <f>International!H135+"$F;@!5dd"</f>
        <v>#VALUE!</v>
      </c>
      <c r="EQ454" t="e">
        <f>International!A136+"$F;@!5de"</f>
        <v>#VALUE!</v>
      </c>
      <c r="ER454" t="e">
        <f>International!B136+"$F;@!5df"</f>
        <v>#VALUE!</v>
      </c>
      <c r="ES454" t="e">
        <f>International!C136+"$F;@!5dg"</f>
        <v>#VALUE!</v>
      </c>
      <c r="ET454" t="e">
        <f>International!D136+"$F;@!5dh"</f>
        <v>#VALUE!</v>
      </c>
      <c r="EU454" t="e">
        <f>International!E136+"$F;@!5di"</f>
        <v>#VALUE!</v>
      </c>
      <c r="EV454" t="e">
        <f>International!F136+"$F;@!5dj"</f>
        <v>#VALUE!</v>
      </c>
      <c r="EW454" t="e">
        <f>International!G136+"$F;@!5dk"</f>
        <v>#VALUE!</v>
      </c>
      <c r="EX454" t="e">
        <f>International!H136+"$F;@!5dl"</f>
        <v>#VALUE!</v>
      </c>
      <c r="EY454" t="e">
        <f>International!A137+"$F;@!5dm"</f>
        <v>#VALUE!</v>
      </c>
      <c r="EZ454" t="e">
        <f>International!B137+"$F;@!5dn"</f>
        <v>#VALUE!</v>
      </c>
      <c r="FA454" t="e">
        <f>International!C137+"$F;@!5do"</f>
        <v>#VALUE!</v>
      </c>
      <c r="FB454" t="e">
        <f>International!D137+"$F;@!5dp"</f>
        <v>#VALUE!</v>
      </c>
      <c r="FC454" t="e">
        <f>International!E137+"$F;@!5dq"</f>
        <v>#VALUE!</v>
      </c>
      <c r="FD454" t="e">
        <f>International!F137+"$F;@!5dr"</f>
        <v>#VALUE!</v>
      </c>
      <c r="FE454" t="e">
        <f>International!G137+"$F;@!5ds"</f>
        <v>#VALUE!</v>
      </c>
      <c r="FF454" t="e">
        <f>International!H137+"$F;@!5dt"</f>
        <v>#VALUE!</v>
      </c>
      <c r="FG454" t="e">
        <f>International!A138+"$F;@!5du"</f>
        <v>#VALUE!</v>
      </c>
      <c r="FH454" t="e">
        <f>International!B138+"$F;@!5dv"</f>
        <v>#VALUE!</v>
      </c>
      <c r="FI454" t="e">
        <f>International!C138+"$F;@!5dw"</f>
        <v>#VALUE!</v>
      </c>
      <c r="FJ454" t="e">
        <f>International!D138+"$F;@!5dx"</f>
        <v>#VALUE!</v>
      </c>
      <c r="FK454" t="e">
        <f>International!F138+"$F;@!5dy"</f>
        <v>#VALUE!</v>
      </c>
      <c r="FL454" t="e">
        <f>International!A139+"$F;@!5dz"</f>
        <v>#VALUE!</v>
      </c>
      <c r="FM454" t="e">
        <f>International!B139+"$F;@!5d{"</f>
        <v>#VALUE!</v>
      </c>
      <c r="FN454" t="e">
        <f>International!C139+"$F;@!5d|"</f>
        <v>#VALUE!</v>
      </c>
      <c r="FO454" t="e">
        <f>International!D139+"$F;@!5d}"</f>
        <v>#VALUE!</v>
      </c>
      <c r="FP454" t="e">
        <f>International!E139+"$F;@!5d~"</f>
        <v>#VALUE!</v>
      </c>
      <c r="FQ454" t="e">
        <f>International!F139+"$F;@!5e#"</f>
        <v>#VALUE!</v>
      </c>
      <c r="FR454" t="e">
        <f>International!A:A*"$F;@!5e$"</f>
        <v>#VALUE!</v>
      </c>
      <c r="FS454" t="e">
        <f>International!B:B*"$F;@!5e%"</f>
        <v>#VALUE!</v>
      </c>
      <c r="FT454" t="e">
        <f>International!C:C*"$F;@!5e&amp;"</f>
        <v>#VALUE!</v>
      </c>
      <c r="FU454" t="e">
        <f>International!D:D*"$F;@!5e'"</f>
        <v>#VALUE!</v>
      </c>
      <c r="FV454" t="e">
        <f>International!E:E*"$F;@!5e("</f>
        <v>#VALUE!</v>
      </c>
      <c r="FW454" t="e">
        <f>International!F:F*"$F;@!5e)"</f>
        <v>#VALUE!</v>
      </c>
      <c r="FX454" t="e">
        <f>International!G:G*"$F;@!5e."</f>
        <v>#VALUE!</v>
      </c>
      <c r="FY454" t="e">
        <f>International!H:H*"$F;@!5e/"</f>
        <v>#VALUE!</v>
      </c>
      <c r="FZ454" t="e">
        <f>International!I:I*"$F;@!5e0"</f>
        <v>#VALUE!</v>
      </c>
      <c r="GA454" t="e">
        <f>International!J:J*"$F;@!5e1"</f>
        <v>#VALUE!</v>
      </c>
      <c r="GB454" t="e">
        <f>International!K:K*"$F;@!5e2"</f>
        <v>#VALUE!</v>
      </c>
      <c r="GC454" t="e">
        <f>International!L:L*"$F;@!5e3"</f>
        <v>#VALUE!</v>
      </c>
      <c r="GD454" t="e">
        <f>International!M:M*"$F;@!5e4"</f>
        <v>#VALUE!</v>
      </c>
      <c r="GE454" t="e">
        <f>International!N:N*"$F;@!5e5"</f>
        <v>#VALUE!</v>
      </c>
      <c r="GF454" t="e">
        <f>International!O:O*"$F;@!5e6"</f>
        <v>#VALUE!</v>
      </c>
      <c r="GG454" t="e">
        <f>International!P:P*"$F;@!5e7"</f>
        <v>#VALUE!</v>
      </c>
      <c r="GH454" t="e">
        <f>International!Q:Q*"$F;@!5e8"</f>
        <v>#VALUE!</v>
      </c>
      <c r="GI454" t="e">
        <f>International!R:R*"$F;@!5e9"</f>
        <v>#VALUE!</v>
      </c>
      <c r="GJ454" t="e">
        <f>International!S:S*"$F;@!5e:"</f>
        <v>#VALUE!</v>
      </c>
      <c r="GK454" t="e">
        <f>International!T:T*"$F;@!5e;"</f>
        <v>#VALUE!</v>
      </c>
      <c r="GL454" t="e">
        <f>International!U:U*"$F;@!5e&lt;"</f>
        <v>#VALUE!</v>
      </c>
      <c r="GM454" t="e">
        <f>International!V:V*"$F;@!5e="</f>
        <v>#VALUE!</v>
      </c>
      <c r="GN454" t="e">
        <f>International!W:W*"$F;@!5e&gt;"</f>
        <v>#VALUE!</v>
      </c>
      <c r="GO454" t="e">
        <f>International!X:X*"$F;@!5e?"</f>
        <v>#VALUE!</v>
      </c>
      <c r="GP454" t="e">
        <f>International!Y:Y*"$F;@!5e@"</f>
        <v>#VALUE!</v>
      </c>
      <c r="GQ454" t="e">
        <f>International!Z:Z*"$F;@!5eA"</f>
        <v>#VALUE!</v>
      </c>
      <c r="GR454" t="e">
        <f>International!AA:AA*"$F;@!5eB"</f>
        <v>#VALUE!</v>
      </c>
      <c r="GS454" t="e">
        <f>International!AB:AB*"$F;@!5eC"</f>
        <v>#VALUE!</v>
      </c>
      <c r="GT454" t="e">
        <f>International!AC:AC*"$F;@!5eD"</f>
        <v>#VALUE!</v>
      </c>
      <c r="GU454" t="e">
        <f>International!AD:AD*"$F;@!5eE"</f>
        <v>#VALUE!</v>
      </c>
      <c r="GV454" t="e">
        <f>International!AE:AE*"$F;@!5eF"</f>
        <v>#VALUE!</v>
      </c>
      <c r="GW454" t="e">
        <f>International!AF:AF*"$F;@!5eG"</f>
        <v>#VALUE!</v>
      </c>
      <c r="GX454" t="e">
        <f>International!AG:AG*"$F;@!5eH"</f>
        <v>#VALUE!</v>
      </c>
      <c r="GY454" t="e">
        <f>International!AH:AH*"$F;@!5eI"</f>
        <v>#VALUE!</v>
      </c>
      <c r="GZ454" t="e">
        <f>International!AI:AI*"$F;@!5eJ"</f>
        <v>#VALUE!</v>
      </c>
      <c r="HA454" t="e">
        <f>International!AJ:AJ*"$F;@!5eK"</f>
        <v>#VALUE!</v>
      </c>
      <c r="HB454" t="e">
        <f>International!AK:AK*"$F;@!5eL"</f>
        <v>#VALUE!</v>
      </c>
      <c r="HC454" t="e">
        <f>International!AL:AL*"$F;@!5eM"</f>
        <v>#VALUE!</v>
      </c>
      <c r="HD454" t="e">
        <f>International!AM:AM*"$F;@!5eN"</f>
        <v>#VALUE!</v>
      </c>
      <c r="HE454" t="e">
        <f>International!AN:AN*"$F;@!5eO"</f>
        <v>#VALUE!</v>
      </c>
      <c r="HF454" t="e">
        <f>International!AO:AO*"$F;@!5eP"</f>
        <v>#VALUE!</v>
      </c>
      <c r="HG454" t="e">
        <f>International!AP:AP*"$F;@!5eQ"</f>
        <v>#VALUE!</v>
      </c>
      <c r="HH454" t="e">
        <f>International!AQ:AQ*"$F;@!5eR"</f>
        <v>#VALUE!</v>
      </c>
      <c r="HI454" t="e">
        <f>International!AR:AR*"$F;@!5eS"</f>
        <v>#VALUE!</v>
      </c>
      <c r="HJ454" t="e">
        <f>International!AS:AS*"$F;@!5eT"</f>
        <v>#VALUE!</v>
      </c>
      <c r="HK454" t="e">
        <f>International!AT:AT*"$F;@!5eU"</f>
        <v>#VALUE!</v>
      </c>
      <c r="HL454" t="e">
        <f>International!AU:AU*"$F;@!5eV"</f>
        <v>#VALUE!</v>
      </c>
      <c r="HM454" t="e">
        <f>International!AV:AV*"$F;@!5eW"</f>
        <v>#VALUE!</v>
      </c>
      <c r="HN454" t="e">
        <f>International!AW:AW*"$F;@!5eX"</f>
        <v>#VALUE!</v>
      </c>
      <c r="HO454" t="e">
        <f>International!AX:AX*"$F;@!5eY"</f>
        <v>#VALUE!</v>
      </c>
      <c r="HP454" t="e">
        <f>International!AY:AY*"$F;@!5eZ"</f>
        <v>#VALUE!</v>
      </c>
      <c r="HQ454" t="e">
        <f>International!AZ:AZ*"$F;@!5e["</f>
        <v>#VALUE!</v>
      </c>
      <c r="HR454" t="e">
        <f>International!BA:BA*"$F;@!5e\"</f>
        <v>#VALUE!</v>
      </c>
      <c r="HS454" t="e">
        <f>International!BB:BB*"$F;@!5e]"</f>
        <v>#VALUE!</v>
      </c>
      <c r="HT454" t="e">
        <f>International!BC:BC*"$F;@!5e^"</f>
        <v>#VALUE!</v>
      </c>
      <c r="HU454" t="e">
        <f>International!BD:BD*"$F;@!5e_"</f>
        <v>#VALUE!</v>
      </c>
      <c r="HV454" t="e">
        <f>International!BE:BE*"$F;@!5e`"</f>
        <v>#VALUE!</v>
      </c>
      <c r="HW454" t="e">
        <f>International!BF:BF*"$F;@!5ea"</f>
        <v>#VALUE!</v>
      </c>
      <c r="HX454" t="e">
        <f>International!1:1-"$F;@!5eb"</f>
        <v>#VALUE!</v>
      </c>
      <c r="HY454" t="e">
        <f>International!2:2-"$F;@!5ec"</f>
        <v>#VALUE!</v>
      </c>
      <c r="HZ454" t="e">
        <f>International!3:3-"$F;@!5ed"</f>
        <v>#VALUE!</v>
      </c>
      <c r="IA454" t="e">
        <f>International!4:4-"$F;@!5ee"</f>
        <v>#VALUE!</v>
      </c>
      <c r="IB454" t="e">
        <f>International!5:5-"$F;@!5ef"</f>
        <v>#VALUE!</v>
      </c>
      <c r="IC454" t="e">
        <f>International!6:6-"$F;@!5eg"</f>
        <v>#VALUE!</v>
      </c>
      <c r="ID454" t="e">
        <f>International!7:7-"$F;@!5eh"</f>
        <v>#VALUE!</v>
      </c>
      <c r="IE454" t="e">
        <f>International!11:11-"$F;@!5ei"</f>
        <v>#VALUE!</v>
      </c>
      <c r="IF454" t="e">
        <f>International!12:12-"$F;@!5ej"</f>
        <v>#VALUE!</v>
      </c>
      <c r="IG454" t="e">
        <f>International!13:13-"$F;@!5ek"</f>
        <v>#VALUE!</v>
      </c>
      <c r="IH454" t="e">
        <f>International!14:14-"$F;@!5el"</f>
        <v>#VALUE!</v>
      </c>
      <c r="II454" t="e">
        <f>International!15:15-"$F;@!5em"</f>
        <v>#VALUE!</v>
      </c>
      <c r="IJ454" t="e">
        <f>International!16:16-"$F;@!5en"</f>
        <v>#VALUE!</v>
      </c>
      <c r="IK454" t="e">
        <f>International!17:17-"$F;@!5eo"</f>
        <v>#VALUE!</v>
      </c>
      <c r="IL454" t="e">
        <f>International!18:18-"$F;@!5ep"</f>
        <v>#VALUE!</v>
      </c>
      <c r="IM454" t="e">
        <f>International!19:19-"$F;@!5eq"</f>
        <v>#VALUE!</v>
      </c>
      <c r="IN454" t="e">
        <f>International!20:20-"$F;@!5er"</f>
        <v>#VALUE!</v>
      </c>
      <c r="IO454" t="e">
        <f>International!21:21-"$F;@!5es"</f>
        <v>#VALUE!</v>
      </c>
      <c r="IP454" t="e">
        <f>International!22:22-"$F;@!5et"</f>
        <v>#VALUE!</v>
      </c>
      <c r="IQ454" t="e">
        <f>International!23:23-"$F;@!5eu"</f>
        <v>#VALUE!</v>
      </c>
      <c r="IR454" t="e">
        <f>International!24:24-"$F;@!5ev"</f>
        <v>#VALUE!</v>
      </c>
      <c r="IS454" t="e">
        <f>International!25:25-"$F;@!5ew"</f>
        <v>#VALUE!</v>
      </c>
      <c r="IT454" t="e">
        <f>International!26:26-"$F;@!5ex"</f>
        <v>#VALUE!</v>
      </c>
      <c r="IU454" t="e">
        <f>International!27:27-"$F;@!5ey"</f>
        <v>#VALUE!</v>
      </c>
      <c r="IV454" t="e">
        <f>International!28:28-"$F;@!5ez"</f>
        <v>#VALUE!</v>
      </c>
    </row>
    <row r="455" spans="6:256" x14ac:dyDescent="0.35">
      <c r="F455" t="e">
        <f>International!29:29-"$F;@!5e{"</f>
        <v>#VALUE!</v>
      </c>
      <c r="G455" t="e">
        <f>International!30:30-"$F;@!5e|"</f>
        <v>#VALUE!</v>
      </c>
      <c r="H455" t="e">
        <f>International!31:31-"$F;@!5e}"</f>
        <v>#VALUE!</v>
      </c>
      <c r="I455" t="e">
        <f>International!32:32-"$F;@!5e~"</f>
        <v>#VALUE!</v>
      </c>
      <c r="J455" t="e">
        <f>International!33:33-"$F;@!5f#"</f>
        <v>#VALUE!</v>
      </c>
      <c r="K455" t="e">
        <f>International!34:34-"$F;@!5f$"</f>
        <v>#VALUE!</v>
      </c>
      <c r="L455" t="e">
        <f>International!35:35-"$F;@!5f%"</f>
        <v>#VALUE!</v>
      </c>
      <c r="M455" t="e">
        <f>International!36:36-"$F;@!5f&amp;"</f>
        <v>#VALUE!</v>
      </c>
      <c r="N455" t="e">
        <f>International!37:37-"$F;@!5f'"</f>
        <v>#VALUE!</v>
      </c>
      <c r="O455" t="e">
        <f>International!38:38-"$F;@!5f("</f>
        <v>#VALUE!</v>
      </c>
      <c r="P455" t="e">
        <f>International!39:39-"$F;@!5f)"</f>
        <v>#VALUE!</v>
      </c>
      <c r="Q455" t="e">
        <f>International!40:40-"$F;@!5f."</f>
        <v>#VALUE!</v>
      </c>
      <c r="R455" t="e">
        <f>International!41:41-"$F;@!5f/"</f>
        <v>#VALUE!</v>
      </c>
      <c r="S455" t="e">
        <f>International!42:42-"$F;@!5f0"</f>
        <v>#VALUE!</v>
      </c>
      <c r="T455" t="e">
        <f>International!43:43-"$F;@!5f1"</f>
        <v>#VALUE!</v>
      </c>
      <c r="U455" t="e">
        <f>International!44:44-"$F;@!5f2"</f>
        <v>#VALUE!</v>
      </c>
      <c r="V455" t="e">
        <f>International!45:45-"$F;@!5f3"</f>
        <v>#VALUE!</v>
      </c>
      <c r="W455" t="e">
        <f>International!46:46-"$F;@!5f4"</f>
        <v>#VALUE!</v>
      </c>
      <c r="X455" t="e">
        <f>International!47:47-"$F;@!5f5"</f>
        <v>#VALUE!</v>
      </c>
      <c r="Y455" t="e">
        <f>International!48:48-"$F;@!5f6"</f>
        <v>#VALUE!</v>
      </c>
      <c r="Z455" t="e">
        <f>International!49:49-"$F;@!5f7"</f>
        <v>#VALUE!</v>
      </c>
      <c r="AA455" t="e">
        <f>International!50:50-"$F;@!5f8"</f>
        <v>#VALUE!</v>
      </c>
      <c r="AB455" t="e">
        <f>International!51:51-"$F;@!5f9"</f>
        <v>#VALUE!</v>
      </c>
      <c r="AC455" t="e">
        <f>International!52:52-"$F;@!5f:"</f>
        <v>#VALUE!</v>
      </c>
      <c r="AD455" t="e">
        <f>International!53:53-"$F;@!5f;"</f>
        <v>#VALUE!</v>
      </c>
      <c r="AE455" t="e">
        <f>International!54:54-"$F;@!5f&lt;"</f>
        <v>#VALUE!</v>
      </c>
      <c r="AF455" t="e">
        <f>International!55:55-"$F;@!5f="</f>
        <v>#VALUE!</v>
      </c>
      <c r="AG455" t="e">
        <f>International!56:56-"$F;@!5f&gt;"</f>
        <v>#VALUE!</v>
      </c>
      <c r="AH455" t="e">
        <f>International!57:57-"$F;@!5f?"</f>
        <v>#VALUE!</v>
      </c>
      <c r="AI455" t="e">
        <f>International!58:58-"$F;@!5f@"</f>
        <v>#VALUE!</v>
      </c>
      <c r="AJ455" t="e">
        <f>International!59:59-"$F;@!5fA"</f>
        <v>#VALUE!</v>
      </c>
      <c r="AK455" t="e">
        <f>International!60:60-"$F;@!5fB"</f>
        <v>#VALUE!</v>
      </c>
      <c r="AL455" t="e">
        <f>International!61:61-"$F;@!5fC"</f>
        <v>#VALUE!</v>
      </c>
      <c r="AM455" t="e">
        <f>International!62:62-"$F;@!5fD"</f>
        <v>#VALUE!</v>
      </c>
      <c r="AN455" t="e">
        <f>International!63:63-"$F;@!5fE"</f>
        <v>#VALUE!</v>
      </c>
      <c r="AO455" t="e">
        <f>International!64:64-"$F;@!5fF"</f>
        <v>#VALUE!</v>
      </c>
      <c r="AP455" t="e">
        <f>International!65:65-"$F;@!5fG"</f>
        <v>#VALUE!</v>
      </c>
      <c r="AQ455" t="e">
        <f>International!66:66-"$F;@!5fH"</f>
        <v>#VALUE!</v>
      </c>
      <c r="AR455" t="e">
        <f>International!67:67-"$F;@!5fI"</f>
        <v>#VALUE!</v>
      </c>
      <c r="AS455" t="e">
        <f>International!68:68-"$F;@!5fJ"</f>
        <v>#VALUE!</v>
      </c>
      <c r="AT455" t="e">
        <f>International!69:69-"$F;@!5fK"</f>
        <v>#VALUE!</v>
      </c>
      <c r="AU455" t="e">
        <f>International!70:70-"$F;@!5fL"</f>
        <v>#VALUE!</v>
      </c>
      <c r="AV455" t="e">
        <f>International!71:71-"$F;@!5fM"</f>
        <v>#VALUE!</v>
      </c>
      <c r="AW455" t="e">
        <f>International!72:72-"$F;@!5fN"</f>
        <v>#VALUE!</v>
      </c>
      <c r="AX455" t="e">
        <f>International!73:73-"$F;@!5fO"</f>
        <v>#VALUE!</v>
      </c>
      <c r="AY455" t="e">
        <f>International!74:74-"$F;@!5fP"</f>
        <v>#VALUE!</v>
      </c>
      <c r="AZ455" t="e">
        <f>International!75:75-"$F;@!5fQ"</f>
        <v>#VALUE!</v>
      </c>
      <c r="BA455" t="e">
        <f>International!76:76-"$F;@!5fR"</f>
        <v>#VALUE!</v>
      </c>
      <c r="BB455" t="e">
        <f>International!77:77-"$F;@!5fS"</f>
        <v>#VALUE!</v>
      </c>
      <c r="BC455" t="e">
        <f>International!78:78-"$F;@!5fT"</f>
        <v>#VALUE!</v>
      </c>
      <c r="BD455" t="e">
        <f>International!79:79-"$F;@!5fU"</f>
        <v>#VALUE!</v>
      </c>
      <c r="BE455" t="e">
        <f>International!80:80-"$F;@!5fV"</f>
        <v>#VALUE!</v>
      </c>
      <c r="BF455" t="e">
        <f>International!81:81-"$F;@!5fW"</f>
        <v>#VALUE!</v>
      </c>
      <c r="BG455" t="e">
        <f>International!82:82-"$F;@!5fX"</f>
        <v>#VALUE!</v>
      </c>
      <c r="BH455" t="e">
        <f>International!83:83-"$F;@!5fY"</f>
        <v>#VALUE!</v>
      </c>
      <c r="BI455" t="e">
        <f>International!84:84-"$F;@!5fZ"</f>
        <v>#VALUE!</v>
      </c>
      <c r="BJ455" t="e">
        <f>International!85:85-"$F;@!5f["</f>
        <v>#VALUE!</v>
      </c>
      <c r="BK455" t="e">
        <f>International!86:86-"$F;@!5f\"</f>
        <v>#VALUE!</v>
      </c>
      <c r="BL455" t="e">
        <f>International!87:87-"$F;@!5f]"</f>
        <v>#VALUE!</v>
      </c>
      <c r="BM455" t="e">
        <f>International!88:88-"$F;@!5f^"</f>
        <v>#VALUE!</v>
      </c>
      <c r="BN455" t="e">
        <f>International!89:89-"$F;@!5f_"</f>
        <v>#VALUE!</v>
      </c>
      <c r="BO455" t="e">
        <f>International!90:90-"$F;@!5f`"</f>
        <v>#VALUE!</v>
      </c>
      <c r="BP455" t="e">
        <f>International!91:91-"$F;@!5fa"</f>
        <v>#VALUE!</v>
      </c>
      <c r="BQ455" t="e">
        <f>International!92:92-"$F;@!5fb"</f>
        <v>#VALUE!</v>
      </c>
      <c r="BR455" t="e">
        <f>International!93:93-"$F;@!5fc"</f>
        <v>#VALUE!</v>
      </c>
      <c r="BS455" t="e">
        <f>International!94:94-"$F;@!5fd"</f>
        <v>#VALUE!</v>
      </c>
      <c r="BT455" t="e">
        <f>International!95:95-"$F;@!5fe"</f>
        <v>#VALUE!</v>
      </c>
      <c r="BU455" t="e">
        <f>International!96:96-"$F;@!5ff"</f>
        <v>#VALUE!</v>
      </c>
      <c r="BV455" t="e">
        <f>International!97:97-"$F;@!5fg"</f>
        <v>#VALUE!</v>
      </c>
      <c r="BW455" t="e">
        <f>International!98:98-"$F;@!5fh"</f>
        <v>#VALUE!</v>
      </c>
      <c r="BX455" t="e">
        <f>International!99:99-"$F;@!5fi"</f>
        <v>#VALUE!</v>
      </c>
      <c r="BY455" t="e">
        <f>International!100:100-"$F;@!5fj"</f>
        <v>#VALUE!</v>
      </c>
      <c r="BZ455" t="e">
        <f>International!101:101-"$F;@!5fk"</f>
        <v>#VALUE!</v>
      </c>
      <c r="CA455" t="e">
        <f>International!102:102-"$F;@!5fl"</f>
        <v>#VALUE!</v>
      </c>
      <c r="CB455" t="e">
        <f>International!103:103-"$F;@!5fm"</f>
        <v>#VALUE!</v>
      </c>
      <c r="CC455" t="e">
        <f>International!104:104-"$F;@!5fn"</f>
        <v>#VALUE!</v>
      </c>
      <c r="CD455" t="e">
        <f>International!105:105-"$F;@!5fo"</f>
        <v>#VALUE!</v>
      </c>
      <c r="CE455" t="e">
        <f>International!106:106-"$F;@!5fp"</f>
        <v>#VALUE!</v>
      </c>
      <c r="CF455" t="e">
        <f>International!107:107-"$F;@!5fq"</f>
        <v>#VALUE!</v>
      </c>
      <c r="CG455" t="e">
        <f>International!108:108-"$F;@!5fr"</f>
        <v>#VALUE!</v>
      </c>
      <c r="CH455" t="e">
        <f>International!109:109-"$F;@!5fs"</f>
        <v>#VALUE!</v>
      </c>
      <c r="CI455" t="e">
        <f>International!110:110-"$F;@!5ft"</f>
        <v>#VALUE!</v>
      </c>
      <c r="CJ455" t="e">
        <f>International!111:111-"$F;@!5fu"</f>
        <v>#VALUE!</v>
      </c>
      <c r="CK455" t="e">
        <f>International!112:112-"$F;@!5fv"</f>
        <v>#VALUE!</v>
      </c>
      <c r="CL455" t="e">
        <f>International!113:113-"$F;@!5fw"</f>
        <v>#VALUE!</v>
      </c>
      <c r="CM455" t="e">
        <f>International!114:114-"$F;@!5fx"</f>
        <v>#VALUE!</v>
      </c>
      <c r="CN455" t="e">
        <f>International!115:115-"$F;@!5fy"</f>
        <v>#VALUE!</v>
      </c>
      <c r="CO455" t="e">
        <f>International!116:116-"$F;@!5fz"</f>
        <v>#VALUE!</v>
      </c>
      <c r="CP455" t="e">
        <f>International!117:117-"$F;@!5f{"</f>
        <v>#VALUE!</v>
      </c>
      <c r="CQ455" t="e">
        <f>International!118:118-"$F;@!5f|"</f>
        <v>#VALUE!</v>
      </c>
      <c r="CR455" t="e">
        <f>International!119:119-"$F;@!5f}"</f>
        <v>#VALUE!</v>
      </c>
      <c r="CS455" t="e">
        <f>International!120:120-"$F;@!5f~"</f>
        <v>#VALUE!</v>
      </c>
      <c r="CT455" t="e">
        <f>International!121:121-"$F;@!5g#"</f>
        <v>#VALUE!</v>
      </c>
      <c r="CU455" t="e">
        <f>International!122:122-"$F;@!5g$"</f>
        <v>#VALUE!</v>
      </c>
      <c r="CV455" t="e">
        <f>International!123:123-"$F;@!5g%"</f>
        <v>#VALUE!</v>
      </c>
      <c r="CW455" t="e">
        <f>International!124:124-"$F;@!5g&amp;"</f>
        <v>#VALUE!</v>
      </c>
      <c r="CX455" t="e">
        <f>International!125:125-"$F;@!5g'"</f>
        <v>#VALUE!</v>
      </c>
      <c r="CY455" t="e">
        <f>International!126:126-"$F;@!5g("</f>
        <v>#VALUE!</v>
      </c>
      <c r="CZ455" t="e">
        <f>International!127:127-"$F;@!5g)"</f>
        <v>#VALUE!</v>
      </c>
      <c r="DA455" t="e">
        <f>International!128:128-"$F;@!5g."</f>
        <v>#VALUE!</v>
      </c>
      <c r="DB455" t="e">
        <f>International!129:129-"$F;@!5g/"</f>
        <v>#VALUE!</v>
      </c>
      <c r="DC455" t="e">
        <f>International!130:130-"$F;@!5g0"</f>
        <v>#VALUE!</v>
      </c>
      <c r="DD455" t="e">
        <f>International!131:131-"$F;@!5g1"</f>
        <v>#VALUE!</v>
      </c>
      <c r="DE455" t="e">
        <f>International!132:132-"$F;@!5g2"</f>
        <v>#VALUE!</v>
      </c>
      <c r="DF455" t="e">
        <f>International!133:133-"$F;@!5g3"</f>
        <v>#VALUE!</v>
      </c>
      <c r="DG455" t="e">
        <f>International!134:134-"$F;@!5g4"</f>
        <v>#VALUE!</v>
      </c>
      <c r="DH455" t="e">
        <f>International!135:135-"$F;@!5g5"</f>
        <v>#VALUE!</v>
      </c>
      <c r="DI455" t="e">
        <f>International!136:136-"$F;@!5g6"</f>
        <v>#VALUE!</v>
      </c>
      <c r="DJ455" t="e">
        <f>International!137:137-"$F;@!5g7"</f>
        <v>#VALUE!</v>
      </c>
      <c r="DK455" t="e">
        <f>International!138:138-"$F;@!5g8"</f>
        <v>#VALUE!</v>
      </c>
      <c r="DL455" t="e">
        <f>International!139:139-"$F;@!5g9"</f>
        <v>#VALUE!</v>
      </c>
      <c r="DM455" t="e">
        <f>International!140:140-"$F;@!5g:"</f>
        <v>#VALUE!</v>
      </c>
      <c r="DN455" t="e">
        <f>International!141:141-"$F;@!5g;"</f>
        <v>#VALUE!</v>
      </c>
      <c r="DO455" t="e">
        <f>International!142:142-"$F;@!5g&lt;"</f>
        <v>#VALUE!</v>
      </c>
      <c r="DP455" t="e">
        <f>International!143:143-"$F;@!5g="</f>
        <v>#VALUE!</v>
      </c>
      <c r="DQ455" t="e">
        <f>International!144:144-"$F;@!5g&gt;"</f>
        <v>#VALUE!</v>
      </c>
      <c r="DR455" t="e">
        <f>International!145:145-"$F;@!5g?"</f>
        <v>#VALUE!</v>
      </c>
      <c r="DS455" t="e">
        <f>International!146:146-"$F;@!5g@"</f>
        <v>#VALUE!</v>
      </c>
      <c r="DT455" t="e">
        <f>International!147:147-"$F;@!5gA"</f>
        <v>#VALUE!</v>
      </c>
      <c r="DU455" t="e">
        <f>International!148:148-"$F;@!5gB"</f>
        <v>#VALUE!</v>
      </c>
      <c r="DV455" t="e">
        <f>International!149:149-"$F;@!5gC"</f>
        <v>#VALUE!</v>
      </c>
      <c r="DW455" t="e">
        <f>International!150:150-"$F;@!5gD"</f>
        <v>#VALUE!</v>
      </c>
      <c r="DX455" t="e">
        <f>International!151:151-"$F;@!5gE"</f>
        <v>#VALUE!</v>
      </c>
      <c r="DY455" t="e">
        <f>International!152:152-"$F;@!5gF"</f>
        <v>#VALUE!</v>
      </c>
      <c r="DZ455" t="e">
        <f>International!153:153-"$F;@!5gG"</f>
        <v>#VALUE!</v>
      </c>
      <c r="EA455" t="e">
        <f>International!154:154-"$F;@!5gH"</f>
        <v>#VALUE!</v>
      </c>
      <c r="EB455" t="e">
        <f>International!155:155-"$F;@!5gI"</f>
        <v>#VALUE!</v>
      </c>
      <c r="EC455" t="e">
        <f>International!156:156-"$F;@!5gJ"</f>
        <v>#VALUE!</v>
      </c>
      <c r="ED455" t="e">
        <f>International!157:157-"$F;@!5gK"</f>
        <v>#VALUE!</v>
      </c>
      <c r="EE455" t="e">
        <f>International!158:158-"$F;@!5gL"</f>
        <v>#VALUE!</v>
      </c>
      <c r="EF455" t="e">
        <f>International!159:159-"$F;@!5gM"</f>
        <v>#VALUE!</v>
      </c>
      <c r="EG455" t="e">
        <f>International!160:160-"$F;@!5gN"</f>
        <v>#VALUE!</v>
      </c>
      <c r="EH455" t="e">
        <f>International!161:161-"$F;@!5gO"</f>
        <v>#VALUE!</v>
      </c>
      <c r="EI455" t="e">
        <f>International!162:162-"$F;@!5gP"</f>
        <v>#VALUE!</v>
      </c>
      <c r="EJ455" t="e">
        <f>International!163:163-"$F;@!5gQ"</f>
        <v>#VALUE!</v>
      </c>
      <c r="EK455" t="e">
        <f>International!164:164-"$F;@!5gR"</f>
        <v>#VALUE!</v>
      </c>
      <c r="EL455" t="e">
        <f>International!165:165-"$F;@!5gS"</f>
        <v>#VALUE!</v>
      </c>
      <c r="EM455" t="e">
        <f>International!166:166-"$F;@!5gT"</f>
        <v>#VALUE!</v>
      </c>
      <c r="EN455" t="e">
        <f>International!167:167-"$F;@!5gU"</f>
        <v>#VALUE!</v>
      </c>
      <c r="EO455" t="e">
        <f>International!168:168-"$F;@!5gV"</f>
        <v>#VALUE!</v>
      </c>
      <c r="EP455" t="e">
        <f>International!169:169-"$F;@!5gW"</f>
        <v>#VALUE!</v>
      </c>
      <c r="EQ455" t="e">
        <f>International!170:170-"$F;@!5gX"</f>
        <v>#VALUE!</v>
      </c>
      <c r="ER455" t="e">
        <f>International!171:171-"$F;@!5gY"</f>
        <v>#VALUE!</v>
      </c>
      <c r="ES455" t="e">
        <f>International!172:172-"$F;@!5gZ"</f>
        <v>#VALUE!</v>
      </c>
      <c r="ET455" t="e">
        <f>International!173:173-"$F;@!5g["</f>
        <v>#VALUE!</v>
      </c>
      <c r="EU455" t="e">
        <f>International!174:174-"$F;@!5g\"</f>
        <v>#VALUE!</v>
      </c>
      <c r="EV455" t="e">
        <f>International!175:175-"$F;@!5g]"</f>
        <v>#VALUE!</v>
      </c>
      <c r="EW455" t="e">
        <f>International!176:176-"$F;@!5g^"</f>
        <v>#VALUE!</v>
      </c>
      <c r="EX455" t="e">
        <f>International!177:177-"$F;@!5g_"</f>
        <v>#VALUE!</v>
      </c>
      <c r="EY455" t="e">
        <f>International!178:178-"$F;@!5g`"</f>
        <v>#VALUE!</v>
      </c>
      <c r="EZ455" t="e">
        <f>International!179:179-"$F;@!5ga"</f>
        <v>#VALUE!</v>
      </c>
      <c r="FA455" t="e">
        <f>International!180:180-"$F;@!5gb"</f>
        <v>#VALUE!</v>
      </c>
      <c r="FB455" t="e">
        <f>International!181:181-"$F;@!5gc"</f>
        <v>#VALUE!</v>
      </c>
      <c r="FC455" t="e">
        <f>International!182:182-"$F;@!5gd"</f>
        <v>#VALUE!</v>
      </c>
      <c r="FD455" t="e">
        <f>International!183:183-"$F;@!5ge"</f>
        <v>#VALUE!</v>
      </c>
      <c r="FE455" t="e">
        <f>International!184:184-"$F;@!5gf"</f>
        <v>#VALUE!</v>
      </c>
      <c r="FF455" t="e">
        <f>International!185:185-"$F;@!5gg"</f>
        <v>#VALUE!</v>
      </c>
      <c r="FG455" t="e">
        <f>International!186:186-"$F;@!5gh"</f>
        <v>#VALUE!</v>
      </c>
      <c r="FH455" t="e">
        <f>International!187:187-"$F;@!5gi"</f>
        <v>#VALUE!</v>
      </c>
      <c r="FI455" t="e">
        <f>International!188:188-"$F;@!5gj"</f>
        <v>#VALUE!</v>
      </c>
      <c r="FJ455" t="e">
        <f>International!189:189-"$F;@!5gk"</f>
        <v>#VALUE!</v>
      </c>
      <c r="FK455" t="e">
        <f>International!190:190-"$F;@!5gl"</f>
        <v>#VALUE!</v>
      </c>
      <c r="FL455" t="e">
        <f>International!191:191-"$F;@!5gm"</f>
        <v>#VALUE!</v>
      </c>
      <c r="FM455" t="e">
        <f>International!192:192-"$F;@!5gn"</f>
        <v>#VALUE!</v>
      </c>
      <c r="FN455" t="e">
        <f>International!193:193-"$F;@!5go"</f>
        <v>#VALUE!</v>
      </c>
      <c r="FO455" t="e">
        <f>International!194:194-"$F;@!5gp"</f>
        <v>#VALUE!</v>
      </c>
      <c r="FP455" t="e">
        <f>International!195:195-"$F;@!5gq"</f>
        <v>#VALUE!</v>
      </c>
      <c r="FQ455" t="e">
        <f>International!196:196-"$F;@!5gr"</f>
        <v>#VALUE!</v>
      </c>
      <c r="FR455" t="e">
        <f>International!197:197-"$F;@!5gs"</f>
        <v>#VALUE!</v>
      </c>
      <c r="FS455" t="e">
        <f>International!198:198-"$F;@!5gt"</f>
        <v>#VALUE!</v>
      </c>
      <c r="FT455" t="e">
        <f>International!199:199-"$F;@!5gu"</f>
        <v>#VALUE!</v>
      </c>
      <c r="FU455" t="e">
        <f>International!200:200-"$F;@!5gv"</f>
        <v>#VALUE!</v>
      </c>
      <c r="FV455" t="e">
        <f>International!201:201-"$F;@!5gw"</f>
        <v>#VALUE!</v>
      </c>
      <c r="FW455" t="e">
        <f>International!202:202-"$F;@!5gx"</f>
        <v>#VALUE!</v>
      </c>
      <c r="FX455" t="e">
        <f>International!203:203-"$F;@!5gy"</f>
        <v>#VALUE!</v>
      </c>
      <c r="FY455" t="e">
        <f>International!204:204-"$F;@!5gz"</f>
        <v>#VALUE!</v>
      </c>
      <c r="FZ455" t="e">
        <f>International!205:205-"$F;@!5g{"</f>
        <v>#VALUE!</v>
      </c>
      <c r="GA455" t="e">
        <f>International!206:206-"$F;@!5g|"</f>
        <v>#VALUE!</v>
      </c>
      <c r="GB455" t="e">
        <f>International!207:207-"$F;@!5g}"</f>
        <v>#VALUE!</v>
      </c>
      <c r="GC455" t="e">
        <f>International!208:208-"$F;@!5g~"</f>
        <v>#VALUE!</v>
      </c>
      <c r="GD455" t="e">
        <f>International!209:209-"$F;@!5h#"</f>
        <v>#VALUE!</v>
      </c>
      <c r="GE455" t="e">
        <f>International!210:210-"$F;@!5h$"</f>
        <v>#VALUE!</v>
      </c>
      <c r="GF455" t="e">
        <f>International!211:211-"$F;@!5h%"</f>
        <v>#VALUE!</v>
      </c>
      <c r="GG455" t="e">
        <f>International!212:212-"$F;@!5h&amp;"</f>
        <v>#VALUE!</v>
      </c>
      <c r="GH455" t="e">
        <f>International!213:213-"$F;@!5h'"</f>
        <v>#VALUE!</v>
      </c>
      <c r="GI455" t="e">
        <f>International!214:214-"$F;@!5h("</f>
        <v>#VALUE!</v>
      </c>
      <c r="GJ455" t="e">
        <f>International!215:215-"$F;@!5h)"</f>
        <v>#VALUE!</v>
      </c>
      <c r="GK455" t="e">
        <f>International!216:216-"$F;@!5h."</f>
        <v>#VALUE!</v>
      </c>
      <c r="GL455" t="e">
        <f>International!217:217-"$F;@!5h/"</f>
        <v>#VALUE!</v>
      </c>
      <c r="GM455" t="e">
        <f>International!218:218-"$F;@!5h0"</f>
        <v>#VALUE!</v>
      </c>
      <c r="GN455" t="e">
        <f>International!219:219-"$F;@!5h1"</f>
        <v>#VALUE!</v>
      </c>
      <c r="GO455" t="e">
        <f>International!220:220-"$F;@!5h2"</f>
        <v>#VALUE!</v>
      </c>
      <c r="GP455" t="e">
        <f>International!221:221-"$F;@!5h3"</f>
        <v>#VALUE!</v>
      </c>
      <c r="GQ455" t="e">
        <f>International!222:222-"$F;@!5h4"</f>
        <v>#VALUE!</v>
      </c>
      <c r="GR455" t="e">
        <f>International!223:223-"$F;@!5h5"</f>
        <v>#VALUE!</v>
      </c>
      <c r="GS455" t="e">
        <f>International!224:224-"$F;@!5h6"</f>
        <v>#VALUE!</v>
      </c>
      <c r="GT455" t="e">
        <f>International!225:225-"$F;@!5h7"</f>
        <v>#VALUE!</v>
      </c>
      <c r="GU455" t="e">
        <f>International!226:226-"$F;@!5h8"</f>
        <v>#VALUE!</v>
      </c>
      <c r="GV455" t="e">
        <f>International!227:227-"$F;@!5h9"</f>
        <v>#VALUE!</v>
      </c>
      <c r="GW455" t="e">
        <f>International!228:228-"$F;@!5h:"</f>
        <v>#VALUE!</v>
      </c>
      <c r="GX455" t="e">
        <f>International!229:229-"$F;@!5h;"</f>
        <v>#VALUE!</v>
      </c>
      <c r="GY455" t="e">
        <f>International!230:230-"$F;@!5h&lt;"</f>
        <v>#VALUE!</v>
      </c>
      <c r="GZ455" t="e">
        <f>International!231:231-"$F;@!5h="</f>
        <v>#VALUE!</v>
      </c>
      <c r="HA455" t="e">
        <f>International!232:232-"$F;@!5h&gt;"</f>
        <v>#VALUE!</v>
      </c>
      <c r="HB455" t="e">
        <f>International!233:233-"$F;@!5h?"</f>
        <v>#VALUE!</v>
      </c>
      <c r="HC455" t="e">
        <f>International!234:234-"$F;@!5h@"</f>
        <v>#VALUE!</v>
      </c>
      <c r="HD455" t="e">
        <f>International!235:235-"$F;@!5hA"</f>
        <v>#VALUE!</v>
      </c>
      <c r="HE455" t="e">
        <f>International!236:236-"$F;@!5hB"</f>
        <v>#VALUE!</v>
      </c>
      <c r="HF455" t="e">
        <f>International!237:237-"$F;@!5hC"</f>
        <v>#VALUE!</v>
      </c>
      <c r="HG455" t="e">
        <f>International!238:238-"$F;@!5hD"</f>
        <v>#VALUE!</v>
      </c>
      <c r="HH455" t="e">
        <f>International!239:239-"$F;@!5hE"</f>
        <v>#VALUE!</v>
      </c>
      <c r="HI455" t="e">
        <f>International!240:240-"$F;@!5hF"</f>
        <v>#VALUE!</v>
      </c>
      <c r="HJ455" t="e">
        <f>International!241:241-"$F;@!5hG"</f>
        <v>#VALUE!</v>
      </c>
      <c r="HK455" t="e">
        <f>International!242:242-"$F;@!5hH"</f>
        <v>#VALUE!</v>
      </c>
      <c r="HL455" t="e">
        <f>International!243:243-"$F;@!5hI"</f>
        <v>#VALUE!</v>
      </c>
      <c r="HM455" t="e">
        <f>International!244:244-"$F;@!5hJ"</f>
        <v>#VALUE!</v>
      </c>
      <c r="HN455" t="e">
        <f>International!245:245-"$F;@!5hK"</f>
        <v>#VALUE!</v>
      </c>
      <c r="HO455" t="e">
        <f>International!246:246-"$F;@!5hL"</f>
        <v>#VALUE!</v>
      </c>
      <c r="HP455" t="e">
        <f>International!247:247-"$F;@!5hM"</f>
        <v>#VALUE!</v>
      </c>
      <c r="HQ455" t="e">
        <f>International!248:248-"$F;@!5hN"</f>
        <v>#VALUE!</v>
      </c>
      <c r="HR455" t="e">
        <f>International!249:249-"$F;@!5hO"</f>
        <v>#VALUE!</v>
      </c>
      <c r="HS455" t="e">
        <f>International!250:250-"$F;@!5hP"</f>
        <v>#VALUE!</v>
      </c>
      <c r="HT455" t="e">
        <f>International!251:251-"$F;@!5hQ"</f>
        <v>#VALUE!</v>
      </c>
      <c r="HU455" t="e">
        <f>International!252:252-"$F;@!5hR"</f>
        <v>#VALUE!</v>
      </c>
      <c r="HV455" t="e">
        <f>International!253:253-"$F;@!5hS"</f>
        <v>#VALUE!</v>
      </c>
      <c r="HW455" t="e">
        <f>International!254:254-"$F;@!5hT"</f>
        <v>#VALUE!</v>
      </c>
      <c r="HX455" t="e">
        <f>International!255:255-"$F;@!5hU"</f>
        <v>#VALUE!</v>
      </c>
      <c r="HY455" t="e">
        <f>International!256:256-"$F;@!5hV"</f>
        <v>#VALUE!</v>
      </c>
      <c r="HZ455" t="e">
        <f>International!257:257-"$F;@!5hW"</f>
        <v>#VALUE!</v>
      </c>
      <c r="IA455" t="e">
        <f>International!258:258-"$F;@!5hX"</f>
        <v>#VALUE!</v>
      </c>
      <c r="IB455" t="e">
        <f>International!259:259-"$F;@!5hY"</f>
        <v>#VALUE!</v>
      </c>
      <c r="IC455" t="e">
        <f>International!260:260-"$F;@!5hZ"</f>
        <v>#VALUE!</v>
      </c>
      <c r="ID455" t="e">
        <f>International!261:261-"$F;@!5h["</f>
        <v>#VALUE!</v>
      </c>
      <c r="IE455" t="e">
        <f>International!262:262-"$F;@!5h\"</f>
        <v>#VALUE!</v>
      </c>
      <c r="IF455" t="e">
        <f>International!263:263-"$F;@!5h]"</f>
        <v>#VALUE!</v>
      </c>
      <c r="IG455" t="e">
        <f>International!264:264-"$F;@!5h^"</f>
        <v>#VALUE!</v>
      </c>
      <c r="IH455" t="e">
        <f>International!265:265-"$F;@!5h_"</f>
        <v>#VALUE!</v>
      </c>
      <c r="II455" t="e">
        <f>International!266:266-"$F;@!5h`"</f>
        <v>#VALUE!</v>
      </c>
      <c r="IJ455" t="e">
        <f>International!267:267-"$F;@!5ha"</f>
        <v>#VALUE!</v>
      </c>
      <c r="IK455" t="e">
        <f>International!268:268-"$F;@!5hb"</f>
        <v>#VALUE!</v>
      </c>
      <c r="IL455" t="e">
        <f>International!269:269-"$F;@!5hc"</f>
        <v>#VALUE!</v>
      </c>
      <c r="IM455" t="e">
        <f>International!270:270-"$F;@!5hd"</f>
        <v>#VALUE!</v>
      </c>
      <c r="IN455" t="e">
        <f>International!271:271-"$F;@!5he"</f>
        <v>#VALUE!</v>
      </c>
      <c r="IO455" t="e">
        <f>International!272:272-"$F;@!5hf"</f>
        <v>#VALUE!</v>
      </c>
      <c r="IP455" t="e">
        <f>International!273:273-"$F;@!5hg"</f>
        <v>#VALUE!</v>
      </c>
      <c r="IQ455" t="e">
        <f>International!274:274-"$F;@!5hh"</f>
        <v>#VALUE!</v>
      </c>
      <c r="IR455" t="e">
        <f>International!275:275-"$F;@!5hi"</f>
        <v>#VALUE!</v>
      </c>
      <c r="IS455" t="e">
        <f>International!276:276-"$F;@!5hj"</f>
        <v>#VALUE!</v>
      </c>
      <c r="IT455" t="e">
        <f>International!277:277-"$F;@!5hk"</f>
        <v>#VALUE!</v>
      </c>
      <c r="IU455" t="e">
        <f>International!278:278-"$F;@!5hl"</f>
        <v>#VALUE!</v>
      </c>
      <c r="IV455" t="e">
        <f>International!279:279-"$F;@!5hm"</f>
        <v>#VALUE!</v>
      </c>
    </row>
    <row r="456" spans="6:256" x14ac:dyDescent="0.35">
      <c r="F456" t="e">
        <f>International!280:280-"$F;@!5hn"</f>
        <v>#VALUE!</v>
      </c>
      <c r="G456" t="e">
        <f>International!281:281-"$F;@!5ho"</f>
        <v>#VALUE!</v>
      </c>
      <c r="H456" t="e">
        <f>International!282:282-"$F;@!5hp"</f>
        <v>#VALUE!</v>
      </c>
      <c r="I456" t="e">
        <f>International!283:283-"$F;@!5hq"</f>
        <v>#VALUE!</v>
      </c>
      <c r="J456" t="e">
        <f>International!284:284-"$F;@!5hr"</f>
        <v>#VALUE!</v>
      </c>
      <c r="K456" t="e">
        <f>International!285:285-"$F;@!5hs"</f>
        <v>#VALUE!</v>
      </c>
      <c r="L456" t="e">
        <f>International!286:286-"$F;@!5ht"</f>
        <v>#VALUE!</v>
      </c>
      <c r="M456" t="e">
        <f>International!287:287-"$F;@!5hu"</f>
        <v>#VALUE!</v>
      </c>
      <c r="N456" t="e">
        <f>International!288:288-"$F;@!5hv"</f>
        <v>#VALUE!</v>
      </c>
      <c r="O456" t="e">
        <f>International!289:289-"$F;@!5hw"</f>
        <v>#VALUE!</v>
      </c>
      <c r="P456" t="e">
        <f>International!290:290-"$F;@!5hx"</f>
        <v>#VALUE!</v>
      </c>
      <c r="Q456" t="e">
        <f>International!291:291-"$F;@!5hy"</f>
        <v>#VALUE!</v>
      </c>
      <c r="R456" t="e">
        <f>International!292:292-"$F;@!5hz"</f>
        <v>#VALUE!</v>
      </c>
      <c r="S456" t="e">
        <f>International!293:293-"$F;@!5h{"</f>
        <v>#VALUE!</v>
      </c>
      <c r="T456" t="e">
        <f>International!294:294-"$F;@!5h|"</f>
        <v>#VALUE!</v>
      </c>
      <c r="U456" t="e">
        <f>International!295:295-"$F;@!5h}"</f>
        <v>#VALUE!</v>
      </c>
      <c r="V456" t="e">
        <f>International!296:296-"$F;@!5h~"</f>
        <v>#VALUE!</v>
      </c>
      <c r="W456" t="e">
        <f>International!297:297-"$F;@!5i#"</f>
        <v>#VALUE!</v>
      </c>
      <c r="X456" t="e">
        <f>International!298:298-"$F;@!5i$"</f>
        <v>#VALUE!</v>
      </c>
      <c r="Y456" t="e">
        <f>International!299:299-"$F;@!5i%"</f>
        <v>#VALUE!</v>
      </c>
      <c r="Z456" t="e">
        <f>International!300:300-"$F;@!5i&amp;"</f>
        <v>#VALUE!</v>
      </c>
      <c r="AA456" t="e">
        <f>International!301:301-"$F;@!5i'"</f>
        <v>#VALUE!</v>
      </c>
      <c r="AB456" t="e">
        <f>International!302:302-"$F;@!5i("</f>
        <v>#VALUE!</v>
      </c>
      <c r="AC456" t="e">
        <f>International!303:303-"$F;@!5i)"</f>
        <v>#VALUE!</v>
      </c>
      <c r="AD456" t="e">
        <f>International!304:304-"$F;@!5i."</f>
        <v>#VALUE!</v>
      </c>
      <c r="AE456" t="e">
        <f>International!305:305-"$F;@!5i/"</f>
        <v>#VALUE!</v>
      </c>
      <c r="AF456" t="e">
        <f>International!306:306-"$F;@!5i0"</f>
        <v>#VALUE!</v>
      </c>
      <c r="AG456" t="e">
        <f>International!307:307-"$F;@!5i1"</f>
        <v>#VALUE!</v>
      </c>
      <c r="AH456" t="e">
        <f>International!308:308-"$F;@!5i2"</f>
        <v>#VALUE!</v>
      </c>
      <c r="AI456" t="e">
        <f>International!309:309-"$F;@!5i3"</f>
        <v>#VALUE!</v>
      </c>
      <c r="AJ456" t="e">
        <f>International!310:310-"$F;@!5i4"</f>
        <v>#VALUE!</v>
      </c>
      <c r="AK456" t="e">
        <f>International!311:311-"$F;@!5i5"</f>
        <v>#VALUE!</v>
      </c>
      <c r="AL456" t="e">
        <f>International!312:312-"$F;@!5i6"</f>
        <v>#VALUE!</v>
      </c>
      <c r="AM456" t="e">
        <f>International!313:313-"$F;@!5i7"</f>
        <v>#VALUE!</v>
      </c>
      <c r="AN456" t="e">
        <f>International!314:314-"$F;@!5i8"</f>
        <v>#VALUE!</v>
      </c>
      <c r="AO456" t="e">
        <f>International!315:315-"$F;@!5i9"</f>
        <v>#VALUE!</v>
      </c>
      <c r="AP456" t="e">
        <f>International!316:316-"$F;@!5i:"</f>
        <v>#VALUE!</v>
      </c>
      <c r="AQ456" t="e">
        <f>International!317:317-"$F;@!5i;"</f>
        <v>#VALUE!</v>
      </c>
      <c r="AR456" t="e">
        <f>International!318:318-"$F;@!5i&lt;"</f>
        <v>#VALUE!</v>
      </c>
      <c r="AS456" t="e">
        <f>International!319:319-"$F;@!5i="</f>
        <v>#VALUE!</v>
      </c>
      <c r="AT456" t="e">
        <f>International!320:320-"$F;@!5i&gt;"</f>
        <v>#VALUE!</v>
      </c>
      <c r="AU456" t="e">
        <f>International!321:321-"$F;@!5i?"</f>
        <v>#VALUE!</v>
      </c>
      <c r="AV456" t="e">
        <f>International!322:322-"$F;@!5i@"</f>
        <v>#VALUE!</v>
      </c>
      <c r="AW456" t="e">
        <f>International!323:323-"$F;@!5iA"</f>
        <v>#VALUE!</v>
      </c>
      <c r="AX456" t="e">
        <f>International!324:324-"$F;@!5iB"</f>
        <v>#VALUE!</v>
      </c>
      <c r="AY456" t="e">
        <f>International!325:325-"$F;@!5iC"</f>
        <v>#VALUE!</v>
      </c>
      <c r="AZ456" t="e">
        <f>International!326:326-"$F;@!5iD"</f>
        <v>#VALUE!</v>
      </c>
      <c r="BA456" t="e">
        <f>International!327:327-"$F;@!5iE"</f>
        <v>#VALUE!</v>
      </c>
      <c r="BB456" t="e">
        <f>International!328:328-"$F;@!5iF"</f>
        <v>#VALUE!</v>
      </c>
      <c r="BC456" t="e">
        <f>International!329:329-"$F;@!5iG"</f>
        <v>#VALUE!</v>
      </c>
      <c r="BD456" t="e">
        <f>International!330:330-"$F;@!5iH"</f>
        <v>#VALUE!</v>
      </c>
      <c r="BE456" t="e">
        <f>International!331:331-"$F;@!5iI"</f>
        <v>#VALUE!</v>
      </c>
      <c r="BF456" t="e">
        <f>International!332:332-"$F;@!5iJ"</f>
        <v>#VALUE!</v>
      </c>
      <c r="BG456" t="e">
        <f>International!333:333-"$F;@!5iK"</f>
        <v>#VALUE!</v>
      </c>
      <c r="BH456" t="e">
        <f>International!334:334-"$F;@!5iL"</f>
        <v>#VALUE!</v>
      </c>
      <c r="BI456" t="e">
        <f>International!335:335-"$F;@!5iM"</f>
        <v>#VALUE!</v>
      </c>
      <c r="BJ456" t="e">
        <f>International!336:336-"$F;@!5iN"</f>
        <v>#VALUE!</v>
      </c>
      <c r="BK456" t="e">
        <f>International!337:337-"$F;@!5iO"</f>
        <v>#VALUE!</v>
      </c>
      <c r="BL456" t="e">
        <f>International!338:338-"$F;@!5iP"</f>
        <v>#VALUE!</v>
      </c>
      <c r="BM456" t="e">
        <f>International!339:339-"$F;@!5iQ"</f>
        <v>#VALUE!</v>
      </c>
      <c r="BN456" t="e">
        <f>#REF!+"$F;@!5iR"</f>
        <v>#REF!</v>
      </c>
      <c r="BO456" t="e">
        <f>#REF!+"$F;@!5iS"</f>
        <v>#REF!</v>
      </c>
      <c r="BP456" t="e">
        <f>#REF!+"$F;@!5iT"</f>
        <v>#REF!</v>
      </c>
      <c r="BQ456" t="e">
        <f>#REF!+"$F;@!5iU"</f>
        <v>#REF!</v>
      </c>
      <c r="BR456" t="e">
        <f>#REF!+"$F;@!5iV"</f>
        <v>#REF!</v>
      </c>
      <c r="BS456" t="e">
        <f>#REF!+"$F;@!5iW"</f>
        <v>#REF!</v>
      </c>
      <c r="BT456" t="e">
        <f>#REF!*"$F;@!5iX"</f>
        <v>#REF!</v>
      </c>
      <c r="BU456" t="e">
        <f>#REF!*"$F;@!5iY"</f>
        <v>#REF!</v>
      </c>
      <c r="BV456" t="e">
        <f>#REF!*"$F;@!5iZ"</f>
        <v>#REF!</v>
      </c>
      <c r="BW456" t="e">
        <f>#REF!*"$F;@!5i["</f>
        <v>#REF!</v>
      </c>
      <c r="BX456" t="e">
        <f>#REF!*"$F;@!5i\"</f>
        <v>#REF!</v>
      </c>
      <c r="BY456" t="e">
        <f>#REF!*"$F;@!5i]"</f>
        <v>#REF!</v>
      </c>
      <c r="BZ456" t="e">
        <f>#REF!*"$F;@!5i^"</f>
        <v>#REF!</v>
      </c>
      <c r="CA456" t="e">
        <f>#REF!*"$F;@!5i_"</f>
        <v>#REF!</v>
      </c>
      <c r="CB456" t="e">
        <f>#REF!*"$F;@!5i`"</f>
        <v>#REF!</v>
      </c>
      <c r="CC456" t="e">
        <f>#REF!*"$F;@!5ia"</f>
        <v>#REF!</v>
      </c>
      <c r="CD456" t="e">
        <f>#REF!*"$F;@!5ib"</f>
        <v>#REF!</v>
      </c>
      <c r="CE456" t="e">
        <f>#REF!*"$F;@!5ic"</f>
        <v>#REF!</v>
      </c>
      <c r="CF456" t="e">
        <f>#REF!*"$F;@!5id"</f>
        <v>#REF!</v>
      </c>
      <c r="CG456" t="e">
        <f>#REF!*"$F;@!5ie"</f>
        <v>#REF!</v>
      </c>
      <c r="CH456" t="e">
        <f>#REF!*"$F;@!5if"</f>
        <v>#REF!</v>
      </c>
      <c r="CI456" t="e">
        <f>#REF!*"$F;@!5ig"</f>
        <v>#REF!</v>
      </c>
      <c r="CJ456" t="e">
        <f>#REF!*"$F;@!5ih"</f>
        <v>#REF!</v>
      </c>
      <c r="CK456" t="e">
        <f>#REF!*"$F;@!5ii"</f>
        <v>#REF!</v>
      </c>
      <c r="CL456" t="e">
        <f>#REF!*"$F;@!5ij"</f>
        <v>#REF!</v>
      </c>
      <c r="CM456" t="e">
        <f>#REF!*"$F;@!5ik"</f>
        <v>#REF!</v>
      </c>
      <c r="CN456" t="e">
        <f>#REF!*"$F;@!5il"</f>
        <v>#REF!</v>
      </c>
      <c r="CO456" t="e">
        <f>#REF!*"$F;@!5im"</f>
        <v>#REF!</v>
      </c>
      <c r="CP456" t="e">
        <f>#REF!*"$F;@!5in"</f>
        <v>#REF!</v>
      </c>
      <c r="CQ456" t="e">
        <f>#REF!*"$F;@!5io"</f>
        <v>#REF!</v>
      </c>
      <c r="CR456" t="e">
        <f>#REF!*"$F;@!5ip"</f>
        <v>#REF!</v>
      </c>
      <c r="CS456" t="e">
        <f>#REF!*"$F;@!5iq"</f>
        <v>#REF!</v>
      </c>
      <c r="CT456" t="e">
        <f>#REF!*"$F;@!5ir"</f>
        <v>#REF!</v>
      </c>
      <c r="CU456" t="e">
        <f>#REF!*"$F;@!5is"</f>
        <v>#REF!</v>
      </c>
      <c r="CV456" t="e">
        <f>#REF!*"$F;@!5it"</f>
        <v>#REF!</v>
      </c>
      <c r="CW456" t="e">
        <f>#REF!*"$F;@!5iu"</f>
        <v>#REF!</v>
      </c>
      <c r="CX456" t="e">
        <f>#REF!*"$F;@!5iv"</f>
        <v>#REF!</v>
      </c>
      <c r="CY456" t="e">
        <f>#REF!*"$F;@!5iw"</f>
        <v>#REF!</v>
      </c>
      <c r="CZ456" t="e">
        <f>#REF!*"$F;@!5ix"</f>
        <v>#REF!</v>
      </c>
      <c r="DA456" t="e">
        <f>#REF!*"$F;@!5iy"</f>
        <v>#REF!</v>
      </c>
      <c r="DB456" t="e">
        <f>#REF!*"$F;@!5iz"</f>
        <v>#REF!</v>
      </c>
      <c r="DC456" t="e">
        <f>#REF!*"$F;@!5i{"</f>
        <v>#REF!</v>
      </c>
      <c r="DD456" t="e">
        <f>#REF!*"$F;@!5i|"</f>
        <v>#REF!</v>
      </c>
      <c r="DE456" t="e">
        <f>#REF!*"$F;@!5i}"</f>
        <v>#REF!</v>
      </c>
      <c r="DF456" t="e">
        <f>#REF!*"$F;@!5i~"</f>
        <v>#REF!</v>
      </c>
      <c r="DG456" t="e">
        <f>#REF!*"$F;@!5j#"</f>
        <v>#REF!</v>
      </c>
      <c r="DH456" t="e">
        <f>#REF!*"$F;@!5j$"</f>
        <v>#REF!</v>
      </c>
      <c r="DI456" t="e">
        <f>#REF!*"$F;@!5j%"</f>
        <v>#REF!</v>
      </c>
      <c r="DJ456" t="e">
        <f>#REF!*"$F;@!5j&amp;"</f>
        <v>#REF!</v>
      </c>
      <c r="DK456" t="e">
        <f>#REF!*"$F;@!5j'"</f>
        <v>#REF!</v>
      </c>
      <c r="DL456" t="e">
        <f>#REF!*"$F;@!5j("</f>
        <v>#REF!</v>
      </c>
      <c r="DM456" t="e">
        <f>#REF!*"$F;@!5j)"</f>
        <v>#REF!</v>
      </c>
      <c r="DN456" t="e">
        <f>#REF!*"$F;@!5j."</f>
        <v>#REF!</v>
      </c>
      <c r="DO456" t="e">
        <f>#REF!*"$F;@!5j/"</f>
        <v>#REF!</v>
      </c>
      <c r="DP456" t="e">
        <f>#REF!*"$F;@!5j0"</f>
        <v>#REF!</v>
      </c>
      <c r="DQ456" t="e">
        <f>#REF!*"$F;@!5j1"</f>
        <v>#REF!</v>
      </c>
      <c r="DR456" t="e">
        <f>#REF!*"$F;@!5j2"</f>
        <v>#REF!</v>
      </c>
      <c r="DS456" t="e">
        <f>#REF!*"$F;@!5j3"</f>
        <v>#REF!</v>
      </c>
      <c r="DT456" t="e">
        <f>#REF!*"$F;@!5j4"</f>
        <v>#REF!</v>
      </c>
      <c r="DU456" t="e">
        <f>#REF!*"$F;@!5j5"</f>
        <v>#REF!</v>
      </c>
      <c r="DV456" t="e">
        <f>#REF!*"$F;@!5j6"</f>
        <v>#REF!</v>
      </c>
      <c r="DW456" t="e">
        <f>#REF!*"$F;@!5j7"</f>
        <v>#REF!</v>
      </c>
      <c r="DX456" t="e">
        <f>#REF!-"$F;@!5j8"</f>
        <v>#REF!</v>
      </c>
      <c r="DY456" t="e">
        <f>#REF!-"$F;@!5j9"</f>
        <v>#REF!</v>
      </c>
      <c r="DZ456" t="e">
        <f>#REF!-"$F;@!5j:"</f>
        <v>#REF!</v>
      </c>
      <c r="EA456" t="e">
        <f>#REF!-"$F;@!5j;"</f>
        <v>#REF!</v>
      </c>
      <c r="EB456" t="e">
        <f>#REF!-"$F;@!5j&lt;"</f>
        <v>#REF!</v>
      </c>
      <c r="EC456" t="e">
        <f>#REF!-"$F;@!5j="</f>
        <v>#REF!</v>
      </c>
      <c r="ED456" t="e">
        <f>#REF!-"$F;@!5j&gt;"</f>
        <v>#REF!</v>
      </c>
      <c r="EE456" t="e">
        <f>#REF!-"$F;@!5j?"</f>
        <v>#REF!</v>
      </c>
      <c r="EF456" t="e">
        <f>#REF!-"$F;@!5j@"</f>
        <v>#REF!</v>
      </c>
      <c r="EG456" t="e">
        <f>#REF!-"$F;@!5jA"</f>
        <v>#REF!</v>
      </c>
      <c r="EH456" t="e">
        <f>#REF!-"$F;@!5jB"</f>
        <v>#REF!</v>
      </c>
      <c r="EI456" t="e">
        <f>#REF!-"$F;@!5jC"</f>
        <v>#REF!</v>
      </c>
      <c r="EJ456" t="e">
        <f>#REF!-"$F;@!5jD"</f>
        <v>#REF!</v>
      </c>
      <c r="EK456" t="e">
        <f>#REF!-"$F;@!5jE"</f>
        <v>#REF!</v>
      </c>
      <c r="EL456" t="e">
        <f>#REF!-"$F;@!5jF"</f>
        <v>#REF!</v>
      </c>
      <c r="EM456" t="e">
        <f>#REF!-"$F;@!5jG"</f>
        <v>#REF!</v>
      </c>
      <c r="EN456" t="e">
        <f>#REF!-"$F;@!5jH"</f>
        <v>#REF!</v>
      </c>
      <c r="EO456" t="e">
        <f>#REF!-"$F;@!5jI"</f>
        <v>#REF!</v>
      </c>
      <c r="EP456" t="e">
        <f>#REF!-"$F;@!5jJ"</f>
        <v>#REF!</v>
      </c>
      <c r="EQ456" t="e">
        <f>#REF!-"$F;@!5jK"</f>
        <v>#REF!</v>
      </c>
      <c r="ER456" t="e">
        <f>#REF!-"$F;@!5jL"</f>
        <v>#REF!</v>
      </c>
      <c r="ES456" t="e">
        <f>#REF!-"$F;@!5jM"</f>
        <v>#REF!</v>
      </c>
      <c r="ET456" t="e">
        <f>#REF!-"$F;@!5jN"</f>
        <v>#REF!</v>
      </c>
      <c r="EU456" t="e">
        <f>#REF!-"$F;@!5jO"</f>
        <v>#REF!</v>
      </c>
      <c r="EV456" t="e">
        <f>#REF!-"$F;@!5jP"</f>
        <v>#REF!</v>
      </c>
      <c r="EW456" t="e">
        <f>#REF!-"$F;@!5jQ"</f>
        <v>#REF!</v>
      </c>
      <c r="EX456" t="e">
        <f>#REF!-"$F;@!5jR"</f>
        <v>#REF!</v>
      </c>
      <c r="EY456" t="e">
        <f>#REF!-"$F;@!5jS"</f>
        <v>#REF!</v>
      </c>
      <c r="EZ456" t="e">
        <f>#REF!-"$F;@!5jT"</f>
        <v>#REF!</v>
      </c>
      <c r="FA456" t="e">
        <f>#REF!-"$F;@!5jU"</f>
        <v>#REF!</v>
      </c>
      <c r="FB456" t="e">
        <f>#REF!-"$F;@!5jV"</f>
        <v>#REF!</v>
      </c>
      <c r="FC456" t="e">
        <f>#REF!-"$F;@!5jW"</f>
        <v>#REF!</v>
      </c>
      <c r="FD456" t="e">
        <f>#REF!-"$F;@!5jX"</f>
        <v>#REF!</v>
      </c>
      <c r="FE456" t="e">
        <f>#REF!-"$F;@!5jY"</f>
        <v>#REF!</v>
      </c>
      <c r="FF456" t="e">
        <f>#REF!-"$F;@!5jZ"</f>
        <v>#REF!</v>
      </c>
      <c r="FG456" t="e">
        <f>#REF!-"$F;@!5j["</f>
        <v>#REF!</v>
      </c>
      <c r="FH456" t="e">
        <f>#REF!-"$F;@!5j\"</f>
        <v>#REF!</v>
      </c>
      <c r="FI456" t="e">
        <f>#REF!-"$F;@!5j]"</f>
        <v>#REF!</v>
      </c>
      <c r="FJ456" t="e">
        <f>#REF!-"$F;@!5j^"</f>
        <v>#REF!</v>
      </c>
      <c r="FK456" t="e">
        <f>#REF!-"$F;@!5j_"</f>
        <v>#REF!</v>
      </c>
      <c r="FL456" t="e">
        <f>#REF!-"$F;@!5j`"</f>
        <v>#REF!</v>
      </c>
      <c r="FM456" t="e">
        <f>#REF!-"$F;@!5ja"</f>
        <v>#REF!</v>
      </c>
      <c r="FN456" t="e">
        <f>#REF!-"$F;@!5jb"</f>
        <v>#REF!</v>
      </c>
      <c r="FO456" t="e">
        <f>#REF!-"$F;@!5jc"</f>
        <v>#REF!</v>
      </c>
      <c r="FP456" t="e">
        <f>#REF!-"$F;@!5jd"</f>
        <v>#REF!</v>
      </c>
      <c r="FQ456" t="e">
        <f>#REF!-"$F;@!5je"</f>
        <v>#REF!</v>
      </c>
      <c r="FR456" t="e">
        <f>#REF!-"$F;@!5jf"</f>
        <v>#REF!</v>
      </c>
      <c r="FS456" t="e">
        <f>#REF!-"$F;@!5jg"</f>
        <v>#REF!</v>
      </c>
      <c r="FT456" t="e">
        <f>#REF!-"$F;@!5jh"</f>
        <v>#REF!</v>
      </c>
      <c r="FU456" t="e">
        <f>#REF!-"$F;@!5ji"</f>
        <v>#REF!</v>
      </c>
      <c r="FV456" t="e">
        <f>#REF!-"$F;@!5jj"</f>
        <v>#REF!</v>
      </c>
      <c r="FW456" t="e">
        <f>#REF!-"$F;@!5jk"</f>
        <v>#REF!</v>
      </c>
      <c r="FX456" t="e">
        <f>#REF!-"$F;@!5jl"</f>
        <v>#REF!</v>
      </c>
      <c r="FY456" t="e">
        <f>#REF!-"$F;@!5jm"</f>
        <v>#REF!</v>
      </c>
      <c r="FZ456" t="e">
        <f>#REF!-"$F;@!5jn"</f>
        <v>#REF!</v>
      </c>
      <c r="GA456" t="e">
        <f>#REF!-"$F;@!5jo"</f>
        <v>#REF!</v>
      </c>
      <c r="GB456" t="e">
        <f>#REF!-"$F;@!5jp"</f>
        <v>#REF!</v>
      </c>
      <c r="GC456" t="e">
        <f>#REF!-"$F;@!5jq"</f>
        <v>#REF!</v>
      </c>
      <c r="GD456" t="e">
        <f>#REF!-"$F;@!5jr"</f>
        <v>#REF!</v>
      </c>
      <c r="GE456" t="e">
        <f>#REF!-"$F;@!5js"</f>
        <v>#REF!</v>
      </c>
      <c r="GF456" t="e">
        <f>#REF!-"$F;@!5jt"</f>
        <v>#REF!</v>
      </c>
      <c r="GG456" t="e">
        <f>#REF!-"$F;@!5ju"</f>
        <v>#REF!</v>
      </c>
      <c r="GH456" t="e">
        <f>#REF!-"$F;@!5jv"</f>
        <v>#REF!</v>
      </c>
      <c r="GI456" t="e">
        <f>#REF!-"$F;@!5jw"</f>
        <v>#REF!</v>
      </c>
      <c r="GJ456" t="e">
        <f>#REF!-"$F;@!5jx"</f>
        <v>#REF!</v>
      </c>
      <c r="GK456" t="e">
        <f>#REF!-"$F;@!5jy"</f>
        <v>#REF!</v>
      </c>
      <c r="GL456" t="e">
        <f>#REF!-"$F;@!5jz"</f>
        <v>#REF!</v>
      </c>
      <c r="GM456" t="e">
        <f>#REF!-"$F;@!5j{"</f>
        <v>#REF!</v>
      </c>
      <c r="GN456" t="e">
        <f>#REF!-"$F;@!5j|"</f>
        <v>#REF!</v>
      </c>
      <c r="GO456" t="e">
        <f>#REF!-"$F;@!5j}"</f>
        <v>#REF!</v>
      </c>
      <c r="GP456" t="e">
        <f>#REF!-"$F;@!5j~"</f>
        <v>#REF!</v>
      </c>
      <c r="GQ456" t="e">
        <f>#REF!-"$F;@!5k#"</f>
        <v>#REF!</v>
      </c>
      <c r="GR456" t="e">
        <f>#REF!-"$F;@!5k$"</f>
        <v>#REF!</v>
      </c>
      <c r="GS456" t="e">
        <f>#REF!-"$F;@!5k%"</f>
        <v>#REF!</v>
      </c>
      <c r="GT456" t="e">
        <f>#REF!-"$F;@!5k&amp;"</f>
        <v>#REF!</v>
      </c>
      <c r="GU456" t="e">
        <f>#REF!-"$F;@!5k'"</f>
        <v>#REF!</v>
      </c>
      <c r="GV456" t="e">
        <f>#REF!-"$F;@!5k("</f>
        <v>#REF!</v>
      </c>
      <c r="GW456" t="e">
        <f>#REF!-"$F;@!5k)"</f>
        <v>#REF!</v>
      </c>
      <c r="GX456" t="e">
        <f>#REF!-"$F;@!5k."</f>
        <v>#REF!</v>
      </c>
      <c r="GY456" t="e">
        <f>#REF!-"$F;@!5k/"</f>
        <v>#REF!</v>
      </c>
      <c r="GZ456" t="e">
        <f>#REF!-"$F;@!5k0"</f>
        <v>#REF!</v>
      </c>
      <c r="HA456" t="e">
        <f>#REF!-"$F;@!5k1"</f>
        <v>#REF!</v>
      </c>
      <c r="HB456" t="e">
        <f>#REF!-"$F;@!5k2"</f>
        <v>#REF!</v>
      </c>
      <c r="HC456" t="e">
        <f>#REF!-"$F;@!5k3"</f>
        <v>#REF!</v>
      </c>
      <c r="HD456" t="e">
        <f>#REF!-"$F;@!5k4"</f>
        <v>#REF!</v>
      </c>
      <c r="HE456" t="e">
        <f>#REF!-"$F;@!5k5"</f>
        <v>#REF!</v>
      </c>
      <c r="HF456" t="e">
        <f>#REF!-"$F;@!5k6"</f>
        <v>#REF!</v>
      </c>
      <c r="HG456" t="e">
        <f>#REF!-"$F;@!5k7"</f>
        <v>#REF!</v>
      </c>
      <c r="HH456" t="e">
        <f>#REF!-"$F;@!5k8"</f>
        <v>#REF!</v>
      </c>
      <c r="HI456" t="e">
        <f>#REF!-"$F;@!5k9"</f>
        <v>#REF!</v>
      </c>
      <c r="HJ456" t="e">
        <f>#REF!-"$F;@!5k:"</f>
        <v>#REF!</v>
      </c>
      <c r="HK456" t="e">
        <f>#REF!-"$F;@!5k;"</f>
        <v>#REF!</v>
      </c>
      <c r="HL456" t="e">
        <f>#REF!-"$F;@!5k&lt;"</f>
        <v>#REF!</v>
      </c>
      <c r="HM456" t="e">
        <f>#REF!-"$F;@!5k="</f>
        <v>#REF!</v>
      </c>
      <c r="HN456" t="e">
        <f>#REF!-"$F;@!5k&gt;"</f>
        <v>#REF!</v>
      </c>
      <c r="HO456" t="e">
        <f>#REF!-"$F;@!5k?"</f>
        <v>#REF!</v>
      </c>
      <c r="HP456" t="e">
        <f>#REF!-"$F;@!5k@"</f>
        <v>#REF!</v>
      </c>
      <c r="HQ456" t="e">
        <f>#REF!-"$F;@!5kA"</f>
        <v>#REF!</v>
      </c>
      <c r="HR456" t="e">
        <f>#REF!-"$F;@!5kB"</f>
        <v>#REF!</v>
      </c>
      <c r="HS456" t="e">
        <f>#REF!-"$F;@!5kC"</f>
        <v>#REF!</v>
      </c>
      <c r="HT456" t="e">
        <f>#REF!-"$F;@!5kD"</f>
        <v>#REF!</v>
      </c>
      <c r="HU456" t="e">
        <f>#REF!-"$F;@!5kE"</f>
        <v>#REF!</v>
      </c>
      <c r="HV456" t="e">
        <f>#REF!-"$F;@!5kF"</f>
        <v>#REF!</v>
      </c>
      <c r="HW456" t="e">
        <f>#REF!-"$F;@!5kG"</f>
        <v>#REF!</v>
      </c>
      <c r="HX456" t="e">
        <f>#REF!-"$F;@!5kH"</f>
        <v>#REF!</v>
      </c>
      <c r="HY456" t="e">
        <f>#REF!-"$F;@!5kI"</f>
        <v>#REF!</v>
      </c>
      <c r="HZ456" t="e">
        <f>#REF!-"$F;@!5kJ"</f>
        <v>#REF!</v>
      </c>
      <c r="IA456" t="e">
        <f>#REF!-"$F;@!5kK"</f>
        <v>#REF!</v>
      </c>
      <c r="IB456" t="e">
        <f>#REF!-"$F;@!5kL"</f>
        <v>#REF!</v>
      </c>
      <c r="IC456" t="e">
        <f>#REF!-"$F;@!5kM"</f>
        <v>#REF!</v>
      </c>
      <c r="ID456" t="e">
        <f>#REF!-"$F;@!5kN"</f>
        <v>#REF!</v>
      </c>
      <c r="IE456" t="e">
        <f>#REF!-"$F;@!5kO"</f>
        <v>#REF!</v>
      </c>
      <c r="IF456" t="e">
        <f>#REF!-"$F;@!5kP"</f>
        <v>#REF!</v>
      </c>
      <c r="IG456" t="e">
        <f>#REF!-"$F;@!5kQ"</f>
        <v>#REF!</v>
      </c>
      <c r="IH456" t="e">
        <f>#REF!-"$F;@!5kR"</f>
        <v>#REF!</v>
      </c>
      <c r="II456" t="e">
        <f>#REF!-"$F;@!5kS"</f>
        <v>#REF!</v>
      </c>
      <c r="IJ456" t="e">
        <f>#REF!-"$F;@!5kT"</f>
        <v>#REF!</v>
      </c>
      <c r="IK456" t="e">
        <f>#REF!-"$F;@!5kU"</f>
        <v>#REF!</v>
      </c>
      <c r="IL456" t="e">
        <f>#REF!-"$F;@!5kV"</f>
        <v>#REF!</v>
      </c>
      <c r="IM456" t="e">
        <f>#REF!-"$F;@!5kW"</f>
        <v>#REF!</v>
      </c>
      <c r="IN456" t="e">
        <f>#REF!-"$F;@!5kX"</f>
        <v>#REF!</v>
      </c>
      <c r="IO456" t="e">
        <f>#REF!-"$F;@!5kY"</f>
        <v>#REF!</v>
      </c>
      <c r="IP456" t="e">
        <f>#REF!-"$F;@!5kZ"</f>
        <v>#REF!</v>
      </c>
      <c r="IQ456" t="e">
        <f>#REF!-"$F;@!5k["</f>
        <v>#REF!</v>
      </c>
      <c r="IR456" t="e">
        <f>#REF!-"$F;@!5k\"</f>
        <v>#REF!</v>
      </c>
      <c r="IS456" t="e">
        <f>#REF!-"$F;@!5k]"</f>
        <v>#REF!</v>
      </c>
      <c r="IT456" t="e">
        <f>#REF!-"$F;@!5k^"</f>
        <v>#REF!</v>
      </c>
      <c r="IU456" t="e">
        <f>#REF!-"$F;@!5k_"</f>
        <v>#REF!</v>
      </c>
      <c r="IV456" t="e">
        <f>#REF!-"$F;@!5k`"</f>
        <v>#REF!</v>
      </c>
    </row>
    <row r="457" spans="6:256" x14ac:dyDescent="0.35">
      <c r="F457" t="e">
        <f>#REF!-"$F;@!5ka"</f>
        <v>#REF!</v>
      </c>
      <c r="G457" t="e">
        <f>#REF!-"$F;@!5kb"</f>
        <v>#REF!</v>
      </c>
      <c r="H457" t="e">
        <f>#REF!-"$F;@!5kc"</f>
        <v>#REF!</v>
      </c>
      <c r="I457" t="e">
        <f>#REF!-"$F;@!5kd"</f>
        <v>#REF!</v>
      </c>
      <c r="J457" t="e">
        <f>#REF!-"$F;@!5ke"</f>
        <v>#REF!</v>
      </c>
      <c r="K457" t="e">
        <f>#REF!-"$F;@!5kf"</f>
        <v>#REF!</v>
      </c>
      <c r="L457" t="e">
        <f>#REF!-"$F;@!5kg"</f>
        <v>#REF!</v>
      </c>
      <c r="M457" t="e">
        <f>#REF!-"$F;@!5kh"</f>
        <v>#REF!</v>
      </c>
      <c r="N457" t="e">
        <f>#REF!-"$F;@!5ki"</f>
        <v>#REF!</v>
      </c>
      <c r="O457" t="e">
        <f>#REF!-"$F;@!5kj"</f>
        <v>#REF!</v>
      </c>
      <c r="P457" t="e">
        <f>#REF!-"$F;@!5kk"</f>
        <v>#REF!</v>
      </c>
      <c r="Q457" t="e">
        <f>#REF!-"$F;@!5kl"</f>
        <v>#REF!</v>
      </c>
      <c r="R457" t="e">
        <f>#REF!-"$F;@!5km"</f>
        <v>#REF!</v>
      </c>
      <c r="S457" t="e">
        <f>#REF!-"$F;@!5kn"</f>
        <v>#REF!</v>
      </c>
      <c r="T457" t="e">
        <f>#REF!-"$F;@!5ko"</f>
        <v>#REF!</v>
      </c>
      <c r="U457" t="e">
        <f>#REF!-"$F;@!5kp"</f>
        <v>#REF!</v>
      </c>
      <c r="V457" t="e">
        <f>#REF!-"$F;@!5kq"</f>
        <v>#REF!</v>
      </c>
      <c r="W457" t="e">
        <f>#REF!-"$F;@!5kr"</f>
        <v>#REF!</v>
      </c>
      <c r="X457" t="e">
        <f>#REF!-"$F;@!5ks"</f>
        <v>#REF!</v>
      </c>
      <c r="Y457" t="e">
        <f>#REF!-"$F;@!5kt"</f>
        <v>#REF!</v>
      </c>
      <c r="Z457" t="e">
        <f>#REF!-"$F;@!5ku"</f>
        <v>#REF!</v>
      </c>
      <c r="AA457" t="e">
        <f>#REF!-"$F;@!5kv"</f>
        <v>#REF!</v>
      </c>
      <c r="AB457" t="e">
        <f>#REF!-"$F;@!5kw"</f>
        <v>#REF!</v>
      </c>
      <c r="AC457" t="e">
        <f>#REF!-"$F;@!5kx"</f>
        <v>#REF!</v>
      </c>
      <c r="AD457" t="e">
        <f>#REF!-"$F;@!5ky"</f>
        <v>#REF!</v>
      </c>
      <c r="AE457" t="e">
        <f>#REF!-"$F;@!5kz"</f>
        <v>#REF!</v>
      </c>
      <c r="AF457" t="e">
        <f>#REF!-"$F;@!5k{"</f>
        <v>#REF!</v>
      </c>
      <c r="AG457" t="e">
        <f>#REF!-"$F;@!5k|"</f>
        <v>#REF!</v>
      </c>
      <c r="AH457" t="e">
        <f>#REF!-"$F;@!5k}"</f>
        <v>#REF!</v>
      </c>
      <c r="AI457" t="e">
        <f>#REF!-"$F;@!5k~"</f>
        <v>#REF!</v>
      </c>
      <c r="AJ457" t="e">
        <f>#REF!-"$F;@!5l#"</f>
        <v>#REF!</v>
      </c>
      <c r="AK457" t="e">
        <f>#REF!-"$F;@!5l$"</f>
        <v>#REF!</v>
      </c>
      <c r="AL457" t="e">
        <f>#REF!-"$F;@!5l%"</f>
        <v>#REF!</v>
      </c>
      <c r="AM457" t="e">
        <f>#REF!-"$F;@!5l&amp;"</f>
        <v>#REF!</v>
      </c>
      <c r="AN457" t="e">
        <f>#REF!-"$F;@!5l'"</f>
        <v>#REF!</v>
      </c>
      <c r="AO457" t="e">
        <f>#REF!-"$F;@!5l("</f>
        <v>#REF!</v>
      </c>
      <c r="AP457" t="e">
        <f>#REF!-"$F;@!5l)"</f>
        <v>#REF!</v>
      </c>
      <c r="AQ457" t="e">
        <f>#REF!-"$F;@!5l."</f>
        <v>#REF!</v>
      </c>
      <c r="AR457" t="e">
        <f>#REF!-"$F;@!5l/"</f>
        <v>#REF!</v>
      </c>
      <c r="AS457" t="e">
        <f>#REF!-"$F;@!5l0"</f>
        <v>#REF!</v>
      </c>
      <c r="AT457" t="e">
        <f>#REF!-"$F;@!5l1"</f>
        <v>#REF!</v>
      </c>
      <c r="AU457" t="e">
        <f>#REF!-"$F;@!5l2"</f>
        <v>#REF!</v>
      </c>
      <c r="AV457" t="e">
        <f>#REF!-"$F;@!5l3"</f>
        <v>#REF!</v>
      </c>
      <c r="AW457" t="e">
        <f>#REF!-"$F;@!5l4"</f>
        <v>#REF!</v>
      </c>
      <c r="AX457" t="e">
        <f>#REF!-"$F;@!5l5"</f>
        <v>#REF!</v>
      </c>
      <c r="AY457" t="e">
        <f>#REF!-"$F;@!5l6"</f>
        <v>#REF!</v>
      </c>
      <c r="AZ457" t="e">
        <f>#REF!-"$F;@!5l7"</f>
        <v>#REF!</v>
      </c>
      <c r="BA457" t="e">
        <f>#REF!-"$F;@!5l8"</f>
        <v>#REF!</v>
      </c>
      <c r="BB457" t="e">
        <f>#REF!-"$F;@!5l9"</f>
        <v>#REF!</v>
      </c>
      <c r="BC457" t="e">
        <f>#REF!-"$F;@!5l:"</f>
        <v>#REF!</v>
      </c>
      <c r="BD457" t="e">
        <f>#REF!-"$F;@!5l;"</f>
        <v>#REF!</v>
      </c>
      <c r="BE457" t="e">
        <f>#REF!-"$F;@!5l&lt;"</f>
        <v>#REF!</v>
      </c>
      <c r="BF457" t="e">
        <f>#REF!-"$F;@!5l="</f>
        <v>#REF!</v>
      </c>
      <c r="BG457" t="e">
        <f>#REF!-"$F;@!5l&gt;"</f>
        <v>#REF!</v>
      </c>
      <c r="BH457" t="e">
        <f>#REF!-"$F;@!5l?"</f>
        <v>#REF!</v>
      </c>
      <c r="BI457" t="e">
        <f>#REF!-"$F;@!5l@"</f>
        <v>#REF!</v>
      </c>
      <c r="BJ457" t="e">
        <f>#REF!-"$F;@!5lA"</f>
        <v>#REF!</v>
      </c>
      <c r="BK457" t="e">
        <f>#REF!-"$F;@!5lB"</f>
        <v>#REF!</v>
      </c>
      <c r="BL457" t="e">
        <f>#REF!-"$F;@!5lC"</f>
        <v>#REF!</v>
      </c>
      <c r="BM457" t="e">
        <f>#REF!-"$F;@!5lD"</f>
        <v>#REF!</v>
      </c>
      <c r="BN457" t="e">
        <f>#REF!-"$F;@!5lE"</f>
        <v>#REF!</v>
      </c>
      <c r="BO457" t="e">
        <f>#REF!-"$F;@!5lF"</f>
        <v>#REF!</v>
      </c>
      <c r="BP457" t="e">
        <f>#REF!-"$F;@!5lG"</f>
        <v>#REF!</v>
      </c>
      <c r="BQ457" t="e">
        <f>#REF!-"$F;@!5lH"</f>
        <v>#REF!</v>
      </c>
      <c r="BR457" t="e">
        <f>#REF!-"$F;@!5lI"</f>
        <v>#REF!</v>
      </c>
      <c r="BS457" t="e">
        <f>#REF!-"$F;@!5lJ"</f>
        <v>#REF!</v>
      </c>
      <c r="BT457" t="e">
        <f>#REF!-"$F;@!5lK"</f>
        <v>#REF!</v>
      </c>
      <c r="BU457" t="e">
        <f>#REF!-"$F;@!5lL"</f>
        <v>#REF!</v>
      </c>
      <c r="BV457" t="e">
        <f>#REF!-"$F;@!5lM"</f>
        <v>#REF!</v>
      </c>
      <c r="BW457" t="e">
        <f>#REF!-"$F;@!5lN"</f>
        <v>#REF!</v>
      </c>
      <c r="BX457" t="e">
        <f>#REF!-"$F;@!5lO"</f>
        <v>#REF!</v>
      </c>
      <c r="BY457" t="e">
        <f>#REF!-"$F;@!5lP"</f>
        <v>#REF!</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5904"/>
  <sheetViews>
    <sheetView zoomScaleNormal="100" workbookViewId="0">
      <selection activeCell="A2" sqref="A2"/>
    </sheetView>
  </sheetViews>
  <sheetFormatPr defaultRowHeight="14.5" x14ac:dyDescent="0.35"/>
  <cols>
    <col min="1" max="1" width="16.453125" customWidth="1"/>
    <col min="2" max="2" width="19" customWidth="1"/>
    <col min="3" max="3" width="33.453125" customWidth="1"/>
    <col min="4" max="4" width="54.81640625" customWidth="1"/>
    <col min="5" max="5" width="31.453125" customWidth="1"/>
    <col min="6" max="6" width="12.54296875" customWidth="1"/>
    <col min="7" max="7" width="34.54296875" style="6" customWidth="1"/>
    <col min="8" max="9" width="14.26953125" customWidth="1"/>
  </cols>
  <sheetData>
    <row r="1" spans="1:9" ht="42" customHeight="1" x14ac:dyDescent="0.35">
      <c r="A1" s="1" t="s">
        <v>0</v>
      </c>
      <c r="B1" s="1" t="s">
        <v>1</v>
      </c>
      <c r="C1" s="1" t="s">
        <v>2</v>
      </c>
      <c r="D1" s="1" t="s">
        <v>3</v>
      </c>
      <c r="E1" s="7" t="s">
        <v>4</v>
      </c>
      <c r="F1" s="1" t="s">
        <v>5</v>
      </c>
      <c r="G1" s="1" t="s">
        <v>2296</v>
      </c>
      <c r="H1" s="1" t="s">
        <v>6</v>
      </c>
      <c r="I1" s="1" t="s">
        <v>7</v>
      </c>
    </row>
    <row r="2" spans="1:9" s="10" customFormat="1" ht="14" customHeight="1" x14ac:dyDescent="0.25">
      <c r="A2" s="8" t="s">
        <v>8</v>
      </c>
      <c r="B2" s="9" t="s">
        <v>2583</v>
      </c>
      <c r="C2" s="8" t="s">
        <v>20</v>
      </c>
      <c r="D2" s="9" t="s">
        <v>2584</v>
      </c>
      <c r="E2" s="8" t="s">
        <v>12</v>
      </c>
    </row>
    <row r="3" spans="1:9" s="10" customFormat="1" ht="14" customHeight="1" x14ac:dyDescent="0.25">
      <c r="A3" s="8" t="s">
        <v>8</v>
      </c>
      <c r="B3" s="9" t="s">
        <v>2583</v>
      </c>
      <c r="C3" s="8" t="s">
        <v>20</v>
      </c>
      <c r="D3" s="9" t="s">
        <v>2584</v>
      </c>
      <c r="E3" s="8" t="s">
        <v>87</v>
      </c>
    </row>
    <row r="4" spans="1:9" s="10" customFormat="1" ht="14" customHeight="1" x14ac:dyDescent="0.25">
      <c r="A4" s="8" t="s">
        <v>8</v>
      </c>
      <c r="B4" s="9" t="s">
        <v>2583</v>
      </c>
      <c r="C4" s="8" t="s">
        <v>20</v>
      </c>
      <c r="D4" s="9" t="s">
        <v>2584</v>
      </c>
      <c r="E4" s="8" t="s">
        <v>24</v>
      </c>
    </row>
    <row r="5" spans="1:9" s="10" customFormat="1" ht="14" customHeight="1" x14ac:dyDescent="0.25">
      <c r="A5" s="8" t="s">
        <v>8</v>
      </c>
      <c r="B5" s="9" t="s">
        <v>2583</v>
      </c>
      <c r="C5" s="3" t="s">
        <v>42</v>
      </c>
      <c r="D5" s="9" t="s">
        <v>2747</v>
      </c>
      <c r="E5" s="8" t="s">
        <v>12</v>
      </c>
    </row>
    <row r="6" spans="1:9" s="10" customFormat="1" ht="14" customHeight="1" x14ac:dyDescent="0.25">
      <c r="A6" s="8" t="s">
        <v>8</v>
      </c>
      <c r="B6" s="9" t="s">
        <v>2583</v>
      </c>
      <c r="C6" s="3" t="s">
        <v>42</v>
      </c>
      <c r="D6" s="9" t="s">
        <v>2747</v>
      </c>
      <c r="E6" s="3" t="s">
        <v>44</v>
      </c>
    </row>
    <row r="7" spans="1:9" s="10" customFormat="1" ht="14" customHeight="1" x14ac:dyDescent="0.25">
      <c r="A7" s="8" t="s">
        <v>8</v>
      </c>
      <c r="B7" s="9" t="s">
        <v>2583</v>
      </c>
      <c r="C7" s="3" t="s">
        <v>42</v>
      </c>
      <c r="D7" s="9" t="s">
        <v>2747</v>
      </c>
      <c r="E7" s="3" t="s">
        <v>87</v>
      </c>
    </row>
    <row r="8" spans="1:9" s="10" customFormat="1" ht="14" customHeight="1" x14ac:dyDescent="0.25">
      <c r="A8" s="8" t="s">
        <v>8</v>
      </c>
      <c r="B8" s="9" t="s">
        <v>2583</v>
      </c>
      <c r="C8" s="3" t="s">
        <v>42</v>
      </c>
      <c r="D8" s="9" t="s">
        <v>2747</v>
      </c>
      <c r="E8" s="3" t="s">
        <v>15</v>
      </c>
      <c r="F8" s="10" t="s">
        <v>16</v>
      </c>
      <c r="G8" s="10" t="s">
        <v>2748</v>
      </c>
    </row>
    <row r="9" spans="1:9" s="10" customFormat="1" ht="14" customHeight="1" x14ac:dyDescent="0.25">
      <c r="A9" s="8" t="s">
        <v>8</v>
      </c>
      <c r="B9" s="9" t="s">
        <v>2583</v>
      </c>
      <c r="C9" s="3" t="s">
        <v>42</v>
      </c>
      <c r="D9" s="9" t="s">
        <v>2747</v>
      </c>
      <c r="E9" s="3" t="s">
        <v>57</v>
      </c>
    </row>
    <row r="10" spans="1:9" s="10" customFormat="1" ht="14" customHeight="1" x14ac:dyDescent="0.25">
      <c r="A10" s="8" t="s">
        <v>8</v>
      </c>
      <c r="B10" s="9" t="s">
        <v>2583</v>
      </c>
      <c r="C10" s="3" t="s">
        <v>42</v>
      </c>
      <c r="D10" s="9" t="s">
        <v>2747</v>
      </c>
      <c r="E10" s="3" t="s">
        <v>24</v>
      </c>
    </row>
    <row r="11" spans="1:9" s="10" customFormat="1" ht="14" customHeight="1" x14ac:dyDescent="0.25">
      <c r="A11" s="8" t="s">
        <v>8</v>
      </c>
      <c r="B11" s="9" t="s">
        <v>2583</v>
      </c>
      <c r="C11" s="3" t="s">
        <v>42</v>
      </c>
      <c r="D11" s="9" t="s">
        <v>2747</v>
      </c>
      <c r="E11" s="3" t="s">
        <v>107</v>
      </c>
    </row>
    <row r="12" spans="1:9" s="10" customFormat="1" ht="14" customHeight="1" x14ac:dyDescent="0.25">
      <c r="A12" s="8" t="s">
        <v>8</v>
      </c>
      <c r="B12" s="9" t="s">
        <v>2583</v>
      </c>
      <c r="C12" s="3" t="s">
        <v>42</v>
      </c>
      <c r="D12" s="9" t="s">
        <v>2747</v>
      </c>
      <c r="E12" s="3" t="s">
        <v>82</v>
      </c>
    </row>
    <row r="13" spans="1:9" s="5" customFormat="1" x14ac:dyDescent="0.35">
      <c r="A13" s="3" t="s">
        <v>8</v>
      </c>
      <c r="B13" s="3" t="s">
        <v>2668</v>
      </c>
      <c r="C13" s="3" t="s">
        <v>20</v>
      </c>
      <c r="D13" s="3" t="s">
        <v>2664</v>
      </c>
      <c r="E13" s="3" t="s">
        <v>27</v>
      </c>
      <c r="F13" s="3"/>
      <c r="G13" s="11"/>
      <c r="H13" s="3" t="s">
        <v>16</v>
      </c>
      <c r="I13" s="3" t="s">
        <v>2667</v>
      </c>
    </row>
    <row r="14" spans="1:9" s="5" customFormat="1" x14ac:dyDescent="0.35">
      <c r="A14" s="3" t="s">
        <v>8</v>
      </c>
      <c r="B14" s="3" t="s">
        <v>2668</v>
      </c>
      <c r="C14" s="3" t="s">
        <v>20</v>
      </c>
      <c r="D14" s="3" t="s">
        <v>2664</v>
      </c>
      <c r="E14" s="3" t="s">
        <v>77</v>
      </c>
      <c r="F14" s="3"/>
      <c r="G14" s="3" t="s">
        <v>2344</v>
      </c>
      <c r="H14" s="3" t="s">
        <v>16</v>
      </c>
      <c r="I14" s="3" t="s">
        <v>2667</v>
      </c>
    </row>
    <row r="15" spans="1:9" s="5" customFormat="1" x14ac:dyDescent="0.35">
      <c r="A15" s="3" t="s">
        <v>8</v>
      </c>
      <c r="B15" s="3" t="s">
        <v>2668</v>
      </c>
      <c r="C15" s="3" t="s">
        <v>20</v>
      </c>
      <c r="D15" s="3" t="s">
        <v>2664</v>
      </c>
      <c r="E15" s="3" t="s">
        <v>15</v>
      </c>
      <c r="F15" s="3" t="s">
        <v>16</v>
      </c>
      <c r="G15" s="10" t="s">
        <v>2666</v>
      </c>
      <c r="H15" s="3" t="s">
        <v>16</v>
      </c>
      <c r="I15" s="3" t="s">
        <v>2667</v>
      </c>
    </row>
    <row r="16" spans="1:9" s="5" customFormat="1" x14ac:dyDescent="0.35">
      <c r="A16" s="3" t="s">
        <v>8</v>
      </c>
      <c r="B16" s="3" t="s">
        <v>2668</v>
      </c>
      <c r="C16" s="3" t="s">
        <v>20</v>
      </c>
      <c r="D16" s="3" t="s">
        <v>2664</v>
      </c>
      <c r="E16" s="3" t="s">
        <v>56</v>
      </c>
      <c r="F16" s="3" t="s">
        <v>16</v>
      </c>
      <c r="G16" s="3" t="s">
        <v>2665</v>
      </c>
      <c r="H16" s="3" t="s">
        <v>16</v>
      </c>
      <c r="I16" s="3" t="s">
        <v>2667</v>
      </c>
    </row>
    <row r="17" spans="1:9" s="5" customFormat="1" x14ac:dyDescent="0.35">
      <c r="A17" s="3" t="s">
        <v>8</v>
      </c>
      <c r="B17" s="3" t="s">
        <v>2668</v>
      </c>
      <c r="C17" s="3" t="s">
        <v>20</v>
      </c>
      <c r="D17" s="3" t="s">
        <v>2664</v>
      </c>
      <c r="E17" s="3" t="s">
        <v>62</v>
      </c>
      <c r="F17" s="3"/>
      <c r="G17" s="3"/>
      <c r="H17" s="3" t="s">
        <v>16</v>
      </c>
      <c r="I17" s="3" t="s">
        <v>2667</v>
      </c>
    </row>
    <row r="18" spans="1:9" s="5" customFormat="1" ht="14" customHeight="1" x14ac:dyDescent="0.35">
      <c r="A18" s="3" t="s">
        <v>8</v>
      </c>
      <c r="B18" s="3" t="s">
        <v>9</v>
      </c>
      <c r="C18" s="3" t="s">
        <v>10</v>
      </c>
      <c r="D18" s="3" t="s">
        <v>11</v>
      </c>
      <c r="E18" s="3" t="s">
        <v>12</v>
      </c>
      <c r="G18" s="11"/>
      <c r="H18" s="3" t="s">
        <v>13</v>
      </c>
      <c r="I18" s="3" t="s">
        <v>14</v>
      </c>
    </row>
    <row r="19" spans="1:9" s="5" customFormat="1" x14ac:dyDescent="0.35">
      <c r="A19" s="3" t="s">
        <v>8</v>
      </c>
      <c r="B19" s="3" t="s">
        <v>9</v>
      </c>
      <c r="C19" s="3" t="s">
        <v>10</v>
      </c>
      <c r="D19" s="3" t="s">
        <v>11</v>
      </c>
      <c r="E19" s="3" t="s">
        <v>15</v>
      </c>
      <c r="F19" s="3" t="s">
        <v>16</v>
      </c>
      <c r="G19" s="3" t="s">
        <v>17</v>
      </c>
      <c r="H19" s="3" t="s">
        <v>13</v>
      </c>
      <c r="I19" s="3" t="s">
        <v>14</v>
      </c>
    </row>
    <row r="20" spans="1:9" s="5" customFormat="1" x14ac:dyDescent="0.35">
      <c r="A20" s="3" t="s">
        <v>8</v>
      </c>
      <c r="B20" s="3" t="s">
        <v>9</v>
      </c>
      <c r="C20" s="3" t="s">
        <v>10</v>
      </c>
      <c r="D20" s="3" t="s">
        <v>18</v>
      </c>
      <c r="E20" s="3" t="s">
        <v>15</v>
      </c>
      <c r="F20" s="3" t="s">
        <v>16</v>
      </c>
      <c r="G20" s="3" t="s">
        <v>19</v>
      </c>
      <c r="H20" s="3" t="s">
        <v>13</v>
      </c>
      <c r="I20" s="3" t="s">
        <v>14</v>
      </c>
    </row>
    <row r="21" spans="1:9" s="5" customFormat="1" x14ac:dyDescent="0.35">
      <c r="A21" s="3" t="s">
        <v>8</v>
      </c>
      <c r="B21" s="3" t="s">
        <v>9</v>
      </c>
      <c r="C21" s="3" t="s">
        <v>20</v>
      </c>
      <c r="D21" s="3" t="s">
        <v>21</v>
      </c>
      <c r="E21" s="3" t="s">
        <v>12</v>
      </c>
      <c r="F21" s="3"/>
      <c r="G21" s="3"/>
      <c r="H21" s="3" t="s">
        <v>13</v>
      </c>
      <c r="I21" s="3" t="s">
        <v>22</v>
      </c>
    </row>
    <row r="22" spans="1:9" s="5" customFormat="1" x14ac:dyDescent="0.35">
      <c r="A22" s="3" t="s">
        <v>8</v>
      </c>
      <c r="B22" s="3" t="s">
        <v>9</v>
      </c>
      <c r="C22" s="3" t="s">
        <v>20</v>
      </c>
      <c r="D22" s="3" t="s">
        <v>21</v>
      </c>
      <c r="E22" s="3" t="s">
        <v>23</v>
      </c>
      <c r="F22" s="3"/>
      <c r="G22" s="3"/>
      <c r="H22" s="3" t="s">
        <v>13</v>
      </c>
      <c r="I22" s="3" t="s">
        <v>22</v>
      </c>
    </row>
    <row r="23" spans="1:9" s="5" customFormat="1" x14ac:dyDescent="0.35">
      <c r="A23" s="3" t="s">
        <v>8</v>
      </c>
      <c r="B23" s="3" t="s">
        <v>9</v>
      </c>
      <c r="C23" s="3" t="s">
        <v>20</v>
      </c>
      <c r="D23" s="3" t="s">
        <v>21</v>
      </c>
      <c r="E23" s="3" t="s">
        <v>25</v>
      </c>
      <c r="F23" s="3"/>
      <c r="G23" s="3"/>
      <c r="H23" s="3" t="s">
        <v>13</v>
      </c>
      <c r="I23" s="3" t="s">
        <v>22</v>
      </c>
    </row>
    <row r="24" spans="1:9" s="5" customFormat="1" x14ac:dyDescent="0.35">
      <c r="A24" s="3" t="s">
        <v>8</v>
      </c>
      <c r="B24" s="3" t="s">
        <v>9</v>
      </c>
      <c r="C24" s="3" t="s">
        <v>20</v>
      </c>
      <c r="D24" s="3" t="s">
        <v>21</v>
      </c>
      <c r="E24" s="3" t="s">
        <v>27</v>
      </c>
      <c r="F24" s="3"/>
      <c r="G24" s="3"/>
      <c r="H24" s="3" t="s">
        <v>13</v>
      </c>
      <c r="I24" s="3" t="s">
        <v>22</v>
      </c>
    </row>
    <row r="25" spans="1:9" s="5" customFormat="1" x14ac:dyDescent="0.35">
      <c r="A25" s="3" t="s">
        <v>8</v>
      </c>
      <c r="B25" s="3" t="s">
        <v>9</v>
      </c>
      <c r="C25" s="3" t="s">
        <v>20</v>
      </c>
      <c r="D25" s="3" t="s">
        <v>21</v>
      </c>
      <c r="E25" s="3" t="s">
        <v>28</v>
      </c>
      <c r="F25" s="3"/>
      <c r="G25" s="3" t="s">
        <v>2305</v>
      </c>
      <c r="H25" s="3" t="s">
        <v>13</v>
      </c>
      <c r="I25" s="3" t="s">
        <v>22</v>
      </c>
    </row>
    <row r="26" spans="1:9" s="5" customFormat="1" x14ac:dyDescent="0.35">
      <c r="A26" s="3" t="s">
        <v>8</v>
      </c>
      <c r="B26" s="3" t="s">
        <v>9</v>
      </c>
      <c r="C26" s="3" t="s">
        <v>20</v>
      </c>
      <c r="D26" s="3" t="s">
        <v>21</v>
      </c>
      <c r="E26" s="3" t="s">
        <v>31</v>
      </c>
      <c r="F26" s="3"/>
      <c r="G26" s="3" t="s">
        <v>2872</v>
      </c>
      <c r="H26" s="3" t="s">
        <v>13</v>
      </c>
      <c r="I26" s="3" t="s">
        <v>22</v>
      </c>
    </row>
    <row r="27" spans="1:9" s="5" customFormat="1" x14ac:dyDescent="0.35">
      <c r="A27" s="3" t="s">
        <v>8</v>
      </c>
      <c r="B27" s="3" t="s">
        <v>9</v>
      </c>
      <c r="C27" s="3" t="s">
        <v>20</v>
      </c>
      <c r="D27" s="3" t="s">
        <v>21</v>
      </c>
      <c r="E27" s="3" t="s">
        <v>15</v>
      </c>
      <c r="F27" s="3" t="s">
        <v>13</v>
      </c>
      <c r="G27" s="3" t="s">
        <v>30</v>
      </c>
      <c r="H27" s="3" t="s">
        <v>13</v>
      </c>
      <c r="I27" s="3" t="s">
        <v>22</v>
      </c>
    </row>
    <row r="28" spans="1:9" s="5" customFormat="1" x14ac:dyDescent="0.35">
      <c r="A28" s="3" t="s">
        <v>8</v>
      </c>
      <c r="B28" s="3" t="s">
        <v>9</v>
      </c>
      <c r="C28" s="3" t="s">
        <v>20</v>
      </c>
      <c r="D28" s="3" t="s">
        <v>21</v>
      </c>
      <c r="E28" s="3" t="s">
        <v>32</v>
      </c>
      <c r="F28" s="3" t="s">
        <v>33</v>
      </c>
      <c r="G28" s="3" t="s">
        <v>34</v>
      </c>
      <c r="H28" s="3" t="s">
        <v>13</v>
      </c>
      <c r="I28" s="3" t="s">
        <v>22</v>
      </c>
    </row>
    <row r="29" spans="1:9" s="5" customFormat="1" x14ac:dyDescent="0.35">
      <c r="A29" s="3" t="s">
        <v>8</v>
      </c>
      <c r="B29" s="3" t="s">
        <v>9</v>
      </c>
      <c r="C29" s="3" t="s">
        <v>20</v>
      </c>
      <c r="D29" s="3" t="s">
        <v>21</v>
      </c>
      <c r="E29" s="3" t="s">
        <v>26</v>
      </c>
      <c r="F29" s="3"/>
      <c r="G29" s="3"/>
      <c r="H29" s="3" t="s">
        <v>13</v>
      </c>
      <c r="I29" s="3" t="s">
        <v>22</v>
      </c>
    </row>
    <row r="30" spans="1:9" s="5" customFormat="1" x14ac:dyDescent="0.35">
      <c r="A30" s="3" t="s">
        <v>8</v>
      </c>
      <c r="B30" s="3" t="s">
        <v>9</v>
      </c>
      <c r="C30" s="3" t="s">
        <v>20</v>
      </c>
      <c r="D30" s="3" t="s">
        <v>21</v>
      </c>
      <c r="E30" s="3" t="s">
        <v>29</v>
      </c>
      <c r="F30" s="3"/>
      <c r="G30" s="3"/>
      <c r="H30" s="3" t="s">
        <v>13</v>
      </c>
      <c r="I30" s="3" t="s">
        <v>22</v>
      </c>
    </row>
    <row r="31" spans="1:9" s="5" customFormat="1" x14ac:dyDescent="0.35">
      <c r="A31" s="3" t="s">
        <v>8</v>
      </c>
      <c r="B31" s="3" t="s">
        <v>9</v>
      </c>
      <c r="C31" s="3" t="s">
        <v>20</v>
      </c>
      <c r="D31" s="3" t="s">
        <v>21</v>
      </c>
      <c r="E31" s="3" t="s">
        <v>24</v>
      </c>
      <c r="F31" s="3"/>
      <c r="G31" s="3"/>
      <c r="H31" s="3" t="s">
        <v>13</v>
      </c>
      <c r="I31" s="3" t="s">
        <v>22</v>
      </c>
    </row>
    <row r="32" spans="1:9" s="5" customFormat="1" x14ac:dyDescent="0.35">
      <c r="A32" s="3" t="s">
        <v>8</v>
      </c>
      <c r="B32" s="3" t="s">
        <v>9</v>
      </c>
      <c r="C32" s="3" t="s">
        <v>20</v>
      </c>
      <c r="D32" s="3" t="s">
        <v>35</v>
      </c>
      <c r="E32" s="3" t="s">
        <v>36</v>
      </c>
      <c r="F32" s="3"/>
      <c r="G32" s="3"/>
      <c r="H32" s="3" t="s">
        <v>13</v>
      </c>
      <c r="I32" s="3" t="s">
        <v>14</v>
      </c>
    </row>
    <row r="33" spans="1:9" s="5" customFormat="1" x14ac:dyDescent="0.35">
      <c r="A33" s="3" t="s">
        <v>8</v>
      </c>
      <c r="B33" s="3" t="s">
        <v>9</v>
      </c>
      <c r="C33" s="3" t="s">
        <v>20</v>
      </c>
      <c r="D33" s="3" t="s">
        <v>35</v>
      </c>
      <c r="E33" s="3" t="s">
        <v>27</v>
      </c>
      <c r="F33" s="3"/>
      <c r="G33" s="3"/>
      <c r="H33" s="3" t="s">
        <v>13</v>
      </c>
      <c r="I33" s="3" t="s">
        <v>14</v>
      </c>
    </row>
    <row r="34" spans="1:9" s="5" customFormat="1" x14ac:dyDescent="0.35">
      <c r="A34" s="3" t="s">
        <v>8</v>
      </c>
      <c r="B34" s="3" t="s">
        <v>9</v>
      </c>
      <c r="C34" s="3" t="s">
        <v>20</v>
      </c>
      <c r="D34" s="3" t="s">
        <v>35</v>
      </c>
      <c r="E34" s="3" t="s">
        <v>15</v>
      </c>
      <c r="F34" s="3" t="s">
        <v>13</v>
      </c>
      <c r="G34" s="3" t="s">
        <v>38</v>
      </c>
      <c r="H34" s="3" t="s">
        <v>13</v>
      </c>
      <c r="I34" s="3" t="s">
        <v>14</v>
      </c>
    </row>
    <row r="35" spans="1:9" s="5" customFormat="1" x14ac:dyDescent="0.35">
      <c r="A35" s="3" t="s">
        <v>8</v>
      </c>
      <c r="B35" s="3" t="s">
        <v>9</v>
      </c>
      <c r="C35" s="3" t="s">
        <v>20</v>
      </c>
      <c r="D35" s="3" t="s">
        <v>35</v>
      </c>
      <c r="E35" s="3" t="s">
        <v>37</v>
      </c>
      <c r="F35" s="3"/>
      <c r="G35" s="3"/>
      <c r="H35" s="3" t="s">
        <v>13</v>
      </c>
      <c r="I35" s="3" t="s">
        <v>14</v>
      </c>
    </row>
    <row r="36" spans="1:9" s="5" customFormat="1" x14ac:dyDescent="0.35">
      <c r="A36" s="3" t="s">
        <v>8</v>
      </c>
      <c r="B36" s="3" t="s">
        <v>9</v>
      </c>
      <c r="C36" s="3" t="s">
        <v>39</v>
      </c>
      <c r="D36" s="3" t="s">
        <v>40</v>
      </c>
      <c r="E36" s="3" t="s">
        <v>15</v>
      </c>
      <c r="F36" s="3" t="s">
        <v>16</v>
      </c>
      <c r="G36" s="3" t="s">
        <v>41</v>
      </c>
      <c r="H36" s="3" t="s">
        <v>13</v>
      </c>
      <c r="I36" s="3" t="s">
        <v>14</v>
      </c>
    </row>
    <row r="37" spans="1:9" s="5" customFormat="1" x14ac:dyDescent="0.35">
      <c r="A37" s="3" t="s">
        <v>8</v>
      </c>
      <c r="B37" s="3" t="s">
        <v>9</v>
      </c>
      <c r="C37" s="3" t="s">
        <v>42</v>
      </c>
      <c r="D37" s="3" t="s">
        <v>43</v>
      </c>
      <c r="E37" s="3" t="s">
        <v>44</v>
      </c>
      <c r="F37" s="3"/>
      <c r="G37" s="3"/>
      <c r="H37" s="3" t="s">
        <v>13</v>
      </c>
      <c r="I37" s="3" t="s">
        <v>14</v>
      </c>
    </row>
    <row r="38" spans="1:9" s="5" customFormat="1" x14ac:dyDescent="0.35">
      <c r="A38" s="3" t="s">
        <v>8</v>
      </c>
      <c r="B38" s="3" t="s">
        <v>9</v>
      </c>
      <c r="C38" s="3" t="s">
        <v>42</v>
      </c>
      <c r="D38" s="3" t="s">
        <v>43</v>
      </c>
      <c r="E38" s="3" t="s">
        <v>15</v>
      </c>
      <c r="F38" s="3"/>
      <c r="G38" s="3"/>
      <c r="H38" s="3" t="s">
        <v>13</v>
      </c>
      <c r="I38" s="3" t="s">
        <v>14</v>
      </c>
    </row>
    <row r="39" spans="1:9" s="5" customFormat="1" x14ac:dyDescent="0.35">
      <c r="A39" s="3" t="s">
        <v>8</v>
      </c>
      <c r="B39" s="3" t="s">
        <v>9</v>
      </c>
      <c r="C39" s="3" t="s">
        <v>42</v>
      </c>
      <c r="D39" s="3" t="s">
        <v>43</v>
      </c>
      <c r="E39" s="3" t="s">
        <v>24</v>
      </c>
      <c r="F39" s="3"/>
      <c r="G39" s="3"/>
      <c r="H39" s="3" t="s">
        <v>13</v>
      </c>
      <c r="I39" s="3" t="s">
        <v>14</v>
      </c>
    </row>
    <row r="40" spans="1:9" s="5" customFormat="1" x14ac:dyDescent="0.35">
      <c r="A40" s="3" t="s">
        <v>8</v>
      </c>
      <c r="B40" s="3" t="s">
        <v>9</v>
      </c>
      <c r="C40" s="3" t="s">
        <v>45</v>
      </c>
      <c r="D40" s="3" t="s">
        <v>46</v>
      </c>
      <c r="E40" s="3" t="s">
        <v>47</v>
      </c>
      <c r="F40" s="3"/>
      <c r="G40" s="3"/>
      <c r="H40" s="3" t="s">
        <v>13</v>
      </c>
      <c r="I40" s="3" t="s">
        <v>22</v>
      </c>
    </row>
    <row r="41" spans="1:9" s="5" customFormat="1" x14ac:dyDescent="0.35">
      <c r="A41" s="3" t="s">
        <v>8</v>
      </c>
      <c r="B41" s="3" t="s">
        <v>9</v>
      </c>
      <c r="C41" s="3" t="s">
        <v>45</v>
      </c>
      <c r="D41" s="3" t="s">
        <v>46</v>
      </c>
      <c r="E41" s="3" t="s">
        <v>15</v>
      </c>
      <c r="F41" s="3" t="s">
        <v>13</v>
      </c>
      <c r="G41" s="3" t="s">
        <v>48</v>
      </c>
      <c r="H41" s="3" t="s">
        <v>13</v>
      </c>
      <c r="I41" s="3" t="s">
        <v>22</v>
      </c>
    </row>
    <row r="42" spans="1:9" s="5" customFormat="1" x14ac:dyDescent="0.35">
      <c r="A42" s="3" t="s">
        <v>8</v>
      </c>
      <c r="B42" s="3" t="s">
        <v>9</v>
      </c>
      <c r="C42" s="3" t="s">
        <v>45</v>
      </c>
      <c r="D42" s="3" t="s">
        <v>46</v>
      </c>
      <c r="E42" s="3" t="s">
        <v>24</v>
      </c>
      <c r="F42" s="3"/>
      <c r="G42" s="3"/>
      <c r="H42" s="3" t="s">
        <v>13</v>
      </c>
      <c r="I42" s="3" t="s">
        <v>22</v>
      </c>
    </row>
    <row r="43" spans="1:9" s="5" customFormat="1" x14ac:dyDescent="0.35">
      <c r="A43" s="3" t="s">
        <v>8</v>
      </c>
      <c r="B43" s="3" t="s">
        <v>49</v>
      </c>
      <c r="C43" s="3" t="s">
        <v>39</v>
      </c>
      <c r="D43" s="3" t="s">
        <v>2919</v>
      </c>
      <c r="E43" s="3" t="s">
        <v>12</v>
      </c>
      <c r="F43" s="3"/>
      <c r="G43" s="3"/>
      <c r="H43" s="3" t="s">
        <v>16</v>
      </c>
      <c r="I43" s="3" t="s">
        <v>1459</v>
      </c>
    </row>
    <row r="44" spans="1:9" s="5" customFormat="1" x14ac:dyDescent="0.35">
      <c r="A44" s="3" t="s">
        <v>8</v>
      </c>
      <c r="B44" s="3" t="s">
        <v>49</v>
      </c>
      <c r="C44" s="3" t="s">
        <v>39</v>
      </c>
      <c r="D44" s="3" t="s">
        <v>2919</v>
      </c>
      <c r="E44" s="3" t="s">
        <v>25</v>
      </c>
      <c r="F44" s="3"/>
      <c r="G44" s="3"/>
      <c r="H44" s="3" t="s">
        <v>16</v>
      </c>
      <c r="I44" s="3" t="s">
        <v>1459</v>
      </c>
    </row>
    <row r="45" spans="1:9" s="5" customFormat="1" x14ac:dyDescent="0.35">
      <c r="A45" s="3" t="s">
        <v>8</v>
      </c>
      <c r="B45" s="3" t="s">
        <v>49</v>
      </c>
      <c r="C45" s="3" t="s">
        <v>39</v>
      </c>
      <c r="D45" s="3" t="s">
        <v>2919</v>
      </c>
      <c r="E45" s="3" t="s">
        <v>27</v>
      </c>
      <c r="H45" s="3" t="s">
        <v>16</v>
      </c>
      <c r="I45" s="3" t="s">
        <v>1459</v>
      </c>
    </row>
    <row r="46" spans="1:9" s="5" customFormat="1" x14ac:dyDescent="0.35">
      <c r="A46" s="3" t="s">
        <v>8</v>
      </c>
      <c r="B46" s="3" t="s">
        <v>49</v>
      </c>
      <c r="C46" s="3" t="s">
        <v>39</v>
      </c>
      <c r="D46" s="3" t="s">
        <v>2919</v>
      </c>
      <c r="E46" s="3" t="s">
        <v>142</v>
      </c>
      <c r="F46" s="3"/>
      <c r="G46" s="3"/>
      <c r="H46" s="3" t="s">
        <v>16</v>
      </c>
      <c r="I46" s="3" t="s">
        <v>1459</v>
      </c>
    </row>
    <row r="47" spans="1:9" s="5" customFormat="1" x14ac:dyDescent="0.35">
      <c r="A47" s="3" t="s">
        <v>8</v>
      </c>
      <c r="B47" s="3" t="s">
        <v>49</v>
      </c>
      <c r="C47" s="3" t="s">
        <v>39</v>
      </c>
      <c r="D47" s="3" t="s">
        <v>2919</v>
      </c>
      <c r="E47" s="3" t="s">
        <v>28</v>
      </c>
      <c r="F47" s="3"/>
      <c r="G47" s="3" t="s">
        <v>2352</v>
      </c>
      <c r="H47" s="3" t="s">
        <v>16</v>
      </c>
      <c r="I47" s="3" t="s">
        <v>1459</v>
      </c>
    </row>
    <row r="48" spans="1:9" s="5" customFormat="1" x14ac:dyDescent="0.35">
      <c r="A48" s="3" t="s">
        <v>8</v>
      </c>
      <c r="B48" s="3" t="s">
        <v>49</v>
      </c>
      <c r="C48" s="3" t="s">
        <v>39</v>
      </c>
      <c r="D48" s="3" t="s">
        <v>2919</v>
      </c>
      <c r="E48" s="3" t="s">
        <v>134</v>
      </c>
      <c r="F48" s="3"/>
      <c r="G48" s="3" t="s">
        <v>2389</v>
      </c>
      <c r="H48" s="3" t="s">
        <v>16</v>
      </c>
      <c r="I48" s="3" t="s">
        <v>1459</v>
      </c>
    </row>
    <row r="49" spans="1:9" s="5" customFormat="1" x14ac:dyDescent="0.35">
      <c r="A49" s="3" t="s">
        <v>8</v>
      </c>
      <c r="B49" s="3" t="s">
        <v>49</v>
      </c>
      <c r="C49" s="3" t="s">
        <v>39</v>
      </c>
      <c r="D49" s="3" t="s">
        <v>2919</v>
      </c>
      <c r="E49" s="3" t="s">
        <v>290</v>
      </c>
      <c r="F49" s="3"/>
      <c r="G49" s="3"/>
      <c r="H49" s="3" t="s">
        <v>16</v>
      </c>
      <c r="I49" s="3" t="s">
        <v>1459</v>
      </c>
    </row>
    <row r="50" spans="1:9" s="5" customFormat="1" x14ac:dyDescent="0.35">
      <c r="A50" s="3" t="s">
        <v>8</v>
      </c>
      <c r="B50" s="3" t="s">
        <v>49</v>
      </c>
      <c r="C50" s="3" t="s">
        <v>42</v>
      </c>
      <c r="D50" s="3" t="s">
        <v>50</v>
      </c>
      <c r="E50" s="3" t="s">
        <v>27</v>
      </c>
      <c r="F50" s="3"/>
      <c r="G50" s="3"/>
      <c r="H50" s="3" t="s">
        <v>16</v>
      </c>
      <c r="I50" s="3" t="s">
        <v>51</v>
      </c>
    </row>
    <row r="51" spans="1:9" s="5" customFormat="1" x14ac:dyDescent="0.35">
      <c r="A51" s="3" t="s">
        <v>8</v>
      </c>
      <c r="B51" s="3" t="s">
        <v>49</v>
      </c>
      <c r="C51" s="3" t="s">
        <v>42</v>
      </c>
      <c r="D51" s="3" t="s">
        <v>50</v>
      </c>
      <c r="E51" s="3" t="s">
        <v>15</v>
      </c>
      <c r="F51" s="3" t="s">
        <v>16</v>
      </c>
      <c r="G51" s="3" t="s">
        <v>52</v>
      </c>
      <c r="H51" s="3" t="s">
        <v>16</v>
      </c>
      <c r="I51" s="3" t="s">
        <v>51</v>
      </c>
    </row>
    <row r="52" spans="1:9" s="5" customFormat="1" x14ac:dyDescent="0.35">
      <c r="A52" s="3" t="s">
        <v>8</v>
      </c>
      <c r="B52" s="3" t="s">
        <v>49</v>
      </c>
      <c r="C52" s="3" t="s">
        <v>42</v>
      </c>
      <c r="D52" s="3" t="s">
        <v>50</v>
      </c>
      <c r="E52" s="3" t="s">
        <v>24</v>
      </c>
      <c r="F52" s="3"/>
      <c r="G52" s="3"/>
      <c r="H52" s="3" t="s">
        <v>16</v>
      </c>
      <c r="I52" s="3" t="s">
        <v>51</v>
      </c>
    </row>
    <row r="53" spans="1:9" s="5" customFormat="1" x14ac:dyDescent="0.35">
      <c r="A53" s="3" t="s">
        <v>8</v>
      </c>
      <c r="B53" s="3" t="s">
        <v>53</v>
      </c>
      <c r="C53" s="3" t="s">
        <v>10</v>
      </c>
      <c r="D53" s="3" t="s">
        <v>2988</v>
      </c>
      <c r="E53" s="3" t="s">
        <v>28</v>
      </c>
      <c r="F53" s="3" t="s">
        <v>16</v>
      </c>
      <c r="G53" s="3" t="s">
        <v>2989</v>
      </c>
      <c r="H53" s="3" t="s">
        <v>13</v>
      </c>
      <c r="I53" s="3" t="s">
        <v>59</v>
      </c>
    </row>
    <row r="54" spans="1:9" s="5" customFormat="1" x14ac:dyDescent="0.35">
      <c r="A54" s="3" t="s">
        <v>8</v>
      </c>
      <c r="B54" s="3" t="s">
        <v>53</v>
      </c>
      <c r="C54" s="3" t="s">
        <v>10</v>
      </c>
      <c r="D54" s="3" t="s">
        <v>2988</v>
      </c>
      <c r="E54" s="3" t="s">
        <v>24</v>
      </c>
      <c r="F54" s="3" t="s">
        <v>16</v>
      </c>
      <c r="G54" s="3" t="s">
        <v>2990</v>
      </c>
      <c r="H54" s="3" t="s">
        <v>13</v>
      </c>
      <c r="I54" s="3" t="s">
        <v>59</v>
      </c>
    </row>
    <row r="55" spans="1:9" s="5" customFormat="1" x14ac:dyDescent="0.35">
      <c r="A55" s="3" t="s">
        <v>8</v>
      </c>
      <c r="B55" s="3" t="s">
        <v>53</v>
      </c>
      <c r="C55" s="3" t="s">
        <v>20</v>
      </c>
      <c r="D55" s="3" t="s">
        <v>54</v>
      </c>
      <c r="E55" s="3" t="s">
        <v>12</v>
      </c>
      <c r="F55" s="3" t="s">
        <v>33</v>
      </c>
      <c r="G55" s="3" t="s">
        <v>55</v>
      </c>
      <c r="H55" s="3"/>
      <c r="I55" s="3"/>
    </row>
    <row r="56" spans="1:9" s="5" customFormat="1" x14ac:dyDescent="0.35">
      <c r="A56" s="3" t="s">
        <v>8</v>
      </c>
      <c r="B56" s="3" t="s">
        <v>53</v>
      </c>
      <c r="C56" s="3" t="s">
        <v>20</v>
      </c>
      <c r="D56" s="3" t="s">
        <v>54</v>
      </c>
      <c r="E56" s="3" t="s">
        <v>23</v>
      </c>
      <c r="F56" s="3" t="s">
        <v>33</v>
      </c>
      <c r="G56" s="3" t="s">
        <v>55</v>
      </c>
      <c r="H56" s="3"/>
      <c r="I56" s="3"/>
    </row>
    <row r="57" spans="1:9" s="5" customFormat="1" x14ac:dyDescent="0.35">
      <c r="A57" s="3" t="s">
        <v>8</v>
      </c>
      <c r="B57" s="3" t="s">
        <v>53</v>
      </c>
      <c r="C57" s="3" t="s">
        <v>20</v>
      </c>
      <c r="D57" s="3" t="s">
        <v>54</v>
      </c>
      <c r="E57" s="3" t="s">
        <v>25</v>
      </c>
      <c r="F57" s="3" t="s">
        <v>33</v>
      </c>
      <c r="G57" s="3" t="s">
        <v>55</v>
      </c>
      <c r="H57" s="3"/>
      <c r="I57" s="3"/>
    </row>
    <row r="58" spans="1:9" s="5" customFormat="1" x14ac:dyDescent="0.35">
      <c r="A58" s="3" t="s">
        <v>8</v>
      </c>
      <c r="B58" s="3" t="s">
        <v>53</v>
      </c>
      <c r="C58" s="3" t="s">
        <v>20</v>
      </c>
      <c r="D58" s="3" t="s">
        <v>54</v>
      </c>
      <c r="E58" s="3" t="s">
        <v>28</v>
      </c>
      <c r="F58" s="3" t="s">
        <v>33</v>
      </c>
      <c r="G58" s="3" t="s">
        <v>55</v>
      </c>
      <c r="H58" s="3"/>
      <c r="I58" s="3"/>
    </row>
    <row r="59" spans="1:9" s="5" customFormat="1" x14ac:dyDescent="0.35">
      <c r="A59" s="3" t="s">
        <v>8</v>
      </c>
      <c r="B59" s="3" t="s">
        <v>53</v>
      </c>
      <c r="C59" s="3" t="s">
        <v>20</v>
      </c>
      <c r="D59" s="3" t="s">
        <v>54</v>
      </c>
      <c r="E59" s="3" t="s">
        <v>57</v>
      </c>
      <c r="F59" s="3" t="s">
        <v>33</v>
      </c>
      <c r="G59" s="3" t="s">
        <v>55</v>
      </c>
      <c r="H59" s="3"/>
      <c r="I59" s="3"/>
    </row>
    <row r="60" spans="1:9" s="5" customFormat="1" x14ac:dyDescent="0.35">
      <c r="A60" s="3" t="s">
        <v>8</v>
      </c>
      <c r="B60" s="3" t="s">
        <v>53</v>
      </c>
      <c r="C60" s="3" t="s">
        <v>20</v>
      </c>
      <c r="D60" s="3" t="s">
        <v>54</v>
      </c>
      <c r="E60" s="3" t="s">
        <v>56</v>
      </c>
      <c r="F60" s="3" t="s">
        <v>33</v>
      </c>
      <c r="G60" s="3" t="s">
        <v>55</v>
      </c>
      <c r="H60" s="3"/>
      <c r="I60" s="3"/>
    </row>
    <row r="61" spans="1:9" s="5" customFormat="1" x14ac:dyDescent="0.35">
      <c r="A61" s="3" t="s">
        <v>8</v>
      </c>
      <c r="B61" s="3" t="s">
        <v>53</v>
      </c>
      <c r="C61" s="3" t="s">
        <v>20</v>
      </c>
      <c r="D61" s="3" t="s">
        <v>54</v>
      </c>
      <c r="E61" s="3" t="s">
        <v>32</v>
      </c>
      <c r="F61" s="3" t="s">
        <v>33</v>
      </c>
      <c r="G61" s="3" t="s">
        <v>55</v>
      </c>
      <c r="H61" s="3"/>
      <c r="I61" s="3"/>
    </row>
    <row r="62" spans="1:9" s="5" customFormat="1" x14ac:dyDescent="0.35">
      <c r="A62" s="3" t="s">
        <v>8</v>
      </c>
      <c r="B62" s="3" t="s">
        <v>53</v>
      </c>
      <c r="C62" s="3" t="s">
        <v>20</v>
      </c>
      <c r="D62" s="3" t="s">
        <v>58</v>
      </c>
      <c r="E62" s="3" t="s">
        <v>12</v>
      </c>
      <c r="F62" s="3"/>
      <c r="G62" s="3"/>
      <c r="H62" s="3" t="s">
        <v>13</v>
      </c>
      <c r="I62" s="3" t="s">
        <v>59</v>
      </c>
    </row>
    <row r="63" spans="1:9" s="5" customFormat="1" x14ac:dyDescent="0.35">
      <c r="A63" s="3" t="s">
        <v>8</v>
      </c>
      <c r="B63" s="3" t="s">
        <v>53</v>
      </c>
      <c r="C63" s="3" t="s">
        <v>20</v>
      </c>
      <c r="D63" s="3" t="s">
        <v>58</v>
      </c>
      <c r="E63" s="3" t="s">
        <v>60</v>
      </c>
      <c r="F63" s="3" t="s">
        <v>13</v>
      </c>
      <c r="G63" s="3" t="s">
        <v>61</v>
      </c>
      <c r="H63" s="3" t="s">
        <v>13</v>
      </c>
      <c r="I63" s="3" t="s">
        <v>59</v>
      </c>
    </row>
    <row r="64" spans="1:9" s="5" customFormat="1" x14ac:dyDescent="0.35">
      <c r="A64" s="3" t="s">
        <v>8</v>
      </c>
      <c r="B64" s="3" t="s">
        <v>53</v>
      </c>
      <c r="C64" s="3" t="s">
        <v>20</v>
      </c>
      <c r="D64" s="3" t="s">
        <v>58</v>
      </c>
      <c r="E64" s="3" t="s">
        <v>37</v>
      </c>
      <c r="F64" s="3" t="s">
        <v>13</v>
      </c>
      <c r="G64" s="3" t="s">
        <v>61</v>
      </c>
      <c r="H64" s="3" t="s">
        <v>13</v>
      </c>
      <c r="I64" s="3" t="s">
        <v>59</v>
      </c>
    </row>
    <row r="65" spans="1:9" s="5" customFormat="1" x14ac:dyDescent="0.35">
      <c r="A65" s="3" t="s">
        <v>8</v>
      </c>
      <c r="B65" s="3" t="s">
        <v>53</v>
      </c>
      <c r="C65" s="3" t="s">
        <v>20</v>
      </c>
      <c r="D65" s="3" t="s">
        <v>58</v>
      </c>
      <c r="E65" s="3" t="s">
        <v>62</v>
      </c>
      <c r="F65" s="3" t="s">
        <v>13</v>
      </c>
      <c r="G65" s="3" t="s">
        <v>61</v>
      </c>
      <c r="H65" s="3" t="s">
        <v>13</v>
      </c>
      <c r="I65" s="3" t="s">
        <v>59</v>
      </c>
    </row>
    <row r="66" spans="1:9" s="5" customFormat="1" x14ac:dyDescent="0.35">
      <c r="A66" s="3" t="s">
        <v>8</v>
      </c>
      <c r="B66" s="3" t="s">
        <v>53</v>
      </c>
      <c r="C66" s="3" t="s">
        <v>20</v>
      </c>
      <c r="D66" s="3" t="s">
        <v>63</v>
      </c>
      <c r="E66" s="3" t="s">
        <v>56</v>
      </c>
      <c r="F66" s="3" t="s">
        <v>13</v>
      </c>
      <c r="G66" s="3" t="s">
        <v>64</v>
      </c>
      <c r="H66" s="3" t="s">
        <v>13</v>
      </c>
      <c r="I66" s="3" t="s">
        <v>59</v>
      </c>
    </row>
    <row r="67" spans="1:9" s="5" customFormat="1" x14ac:dyDescent="0.35">
      <c r="A67" s="3" t="s">
        <v>8</v>
      </c>
      <c r="B67" s="3" t="s">
        <v>53</v>
      </c>
      <c r="C67" s="3" t="s">
        <v>20</v>
      </c>
      <c r="D67" s="3" t="s">
        <v>63</v>
      </c>
      <c r="E67" s="3" t="s">
        <v>32</v>
      </c>
      <c r="F67" s="3"/>
      <c r="G67" s="3"/>
      <c r="H67" s="3" t="s">
        <v>13</v>
      </c>
      <c r="I67" s="3" t="s">
        <v>59</v>
      </c>
    </row>
    <row r="68" spans="1:9" s="5" customFormat="1" x14ac:dyDescent="0.35">
      <c r="A68" s="3" t="s">
        <v>8</v>
      </c>
      <c r="B68" s="3" t="s">
        <v>53</v>
      </c>
      <c r="C68" s="3" t="s">
        <v>10</v>
      </c>
      <c r="D68" s="3" t="s">
        <v>65</v>
      </c>
      <c r="E68" s="3" t="s">
        <v>12</v>
      </c>
      <c r="F68" s="3"/>
      <c r="G68" s="3"/>
      <c r="H68" s="3"/>
      <c r="I68" s="3"/>
    </row>
    <row r="69" spans="1:9" s="5" customFormat="1" x14ac:dyDescent="0.35">
      <c r="A69" s="3" t="s">
        <v>8</v>
      </c>
      <c r="B69" s="3" t="s">
        <v>53</v>
      </c>
      <c r="C69" s="3" t="s">
        <v>10</v>
      </c>
      <c r="D69" s="3" t="s">
        <v>65</v>
      </c>
      <c r="E69" s="3" t="s">
        <v>15</v>
      </c>
      <c r="F69" s="3" t="s">
        <v>13</v>
      </c>
      <c r="G69" s="3" t="s">
        <v>66</v>
      </c>
      <c r="H69" s="3"/>
      <c r="I69" s="3"/>
    </row>
    <row r="70" spans="1:9" s="5" customFormat="1" x14ac:dyDescent="0.35">
      <c r="A70" s="3" t="s">
        <v>8</v>
      </c>
      <c r="B70" s="3" t="s">
        <v>53</v>
      </c>
      <c r="C70" s="3" t="s">
        <v>10</v>
      </c>
      <c r="D70" s="3" t="s">
        <v>65</v>
      </c>
      <c r="E70" s="3" t="s">
        <v>57</v>
      </c>
      <c r="F70" s="3"/>
      <c r="G70" s="3"/>
      <c r="H70" s="3"/>
      <c r="I70" s="3"/>
    </row>
    <row r="71" spans="1:9" s="5" customFormat="1" x14ac:dyDescent="0.35">
      <c r="A71" s="3" t="s">
        <v>8</v>
      </c>
      <c r="B71" s="3" t="s">
        <v>53</v>
      </c>
      <c r="C71" s="3" t="s">
        <v>10</v>
      </c>
      <c r="D71" s="3" t="s">
        <v>65</v>
      </c>
      <c r="E71" s="3" t="s">
        <v>32</v>
      </c>
      <c r="F71" s="3" t="s">
        <v>13</v>
      </c>
      <c r="G71" s="3" t="s">
        <v>67</v>
      </c>
      <c r="H71" s="3"/>
      <c r="I71" s="3"/>
    </row>
    <row r="72" spans="1:9" s="5" customFormat="1" x14ac:dyDescent="0.35">
      <c r="A72" s="3" t="s">
        <v>8</v>
      </c>
      <c r="B72" s="3" t="s">
        <v>53</v>
      </c>
      <c r="C72" s="3" t="s">
        <v>20</v>
      </c>
      <c r="D72" s="3" t="s">
        <v>68</v>
      </c>
      <c r="E72" s="3" t="s">
        <v>23</v>
      </c>
      <c r="F72" s="3"/>
      <c r="G72" s="3"/>
      <c r="H72" s="3" t="s">
        <v>13</v>
      </c>
      <c r="I72" s="3" t="s">
        <v>69</v>
      </c>
    </row>
    <row r="73" spans="1:9" s="5" customFormat="1" x14ac:dyDescent="0.35">
      <c r="A73" s="3" t="s">
        <v>8</v>
      </c>
      <c r="B73" s="3" t="s">
        <v>53</v>
      </c>
      <c r="C73" s="3" t="s">
        <v>20</v>
      </c>
      <c r="D73" s="3" t="s">
        <v>68</v>
      </c>
      <c r="E73" s="3" t="s">
        <v>25</v>
      </c>
      <c r="F73" s="3"/>
      <c r="G73" s="3"/>
      <c r="H73" s="3" t="s">
        <v>13</v>
      </c>
      <c r="I73" s="3" t="s">
        <v>69</v>
      </c>
    </row>
    <row r="74" spans="1:9" s="5" customFormat="1" x14ac:dyDescent="0.35">
      <c r="A74" s="3" t="s">
        <v>8</v>
      </c>
      <c r="B74" s="3" t="s">
        <v>53</v>
      </c>
      <c r="C74" s="3" t="s">
        <v>20</v>
      </c>
      <c r="D74" s="3" t="s">
        <v>68</v>
      </c>
      <c r="E74" s="3" t="s">
        <v>60</v>
      </c>
      <c r="F74" s="3"/>
      <c r="G74" s="3"/>
      <c r="H74" s="3" t="s">
        <v>13</v>
      </c>
      <c r="I74" s="3" t="s">
        <v>70</v>
      </c>
    </row>
    <row r="75" spans="1:9" s="5" customFormat="1" x14ac:dyDescent="0.35">
      <c r="A75" s="3" t="s">
        <v>8</v>
      </c>
      <c r="B75" s="3" t="s">
        <v>53</v>
      </c>
      <c r="C75" s="3" t="s">
        <v>20</v>
      </c>
      <c r="D75" s="3" t="s">
        <v>68</v>
      </c>
      <c r="E75" s="3" t="s">
        <v>71</v>
      </c>
      <c r="F75" s="3"/>
      <c r="G75" s="3"/>
      <c r="H75" s="3" t="s">
        <v>13</v>
      </c>
      <c r="I75" s="3" t="s">
        <v>70</v>
      </c>
    </row>
    <row r="76" spans="1:9" s="5" customFormat="1" x14ac:dyDescent="0.35">
      <c r="A76" s="3" t="s">
        <v>8</v>
      </c>
      <c r="B76" s="3" t="s">
        <v>53</v>
      </c>
      <c r="C76" s="3" t="s">
        <v>20</v>
      </c>
      <c r="D76" s="3" t="s">
        <v>68</v>
      </c>
      <c r="E76" s="3" t="s">
        <v>28</v>
      </c>
      <c r="F76" s="3" t="s">
        <v>33</v>
      </c>
      <c r="G76" s="3" t="s">
        <v>34</v>
      </c>
      <c r="H76" s="3"/>
      <c r="I76" s="3"/>
    </row>
    <row r="77" spans="1:9" s="5" customFormat="1" x14ac:dyDescent="0.35">
      <c r="A77" s="3" t="s">
        <v>8</v>
      </c>
      <c r="B77" s="3" t="s">
        <v>53</v>
      </c>
      <c r="C77" s="3" t="s">
        <v>20</v>
      </c>
      <c r="D77" s="3" t="s">
        <v>68</v>
      </c>
      <c r="E77" s="3" t="s">
        <v>15</v>
      </c>
      <c r="F77" s="3" t="s">
        <v>13</v>
      </c>
      <c r="G77" s="3" t="s">
        <v>72</v>
      </c>
      <c r="H77" s="3" t="s">
        <v>13</v>
      </c>
      <c r="I77" s="3" t="s">
        <v>69</v>
      </c>
    </row>
    <row r="78" spans="1:9" s="5" customFormat="1" x14ac:dyDescent="0.35">
      <c r="A78" s="3" t="s">
        <v>8</v>
      </c>
      <c r="B78" s="3" t="s">
        <v>53</v>
      </c>
      <c r="C78" s="3" t="s">
        <v>20</v>
      </c>
      <c r="D78" s="3" t="s">
        <v>68</v>
      </c>
      <c r="E78" s="3" t="s">
        <v>56</v>
      </c>
      <c r="F78" s="3"/>
      <c r="G78" s="3"/>
      <c r="H78" s="3" t="s">
        <v>13</v>
      </c>
      <c r="I78" s="3" t="s">
        <v>69</v>
      </c>
    </row>
    <row r="79" spans="1:9" s="5" customFormat="1" x14ac:dyDescent="0.35">
      <c r="A79" s="3" t="s">
        <v>8</v>
      </c>
      <c r="B79" s="3" t="s">
        <v>53</v>
      </c>
      <c r="C79" s="3" t="s">
        <v>20</v>
      </c>
      <c r="D79" s="3" t="s">
        <v>68</v>
      </c>
      <c r="E79" s="3" t="s">
        <v>37</v>
      </c>
      <c r="F79" s="3"/>
      <c r="G79" s="3"/>
      <c r="H79" s="3" t="s">
        <v>13</v>
      </c>
      <c r="I79" s="3" t="s">
        <v>69</v>
      </c>
    </row>
    <row r="80" spans="1:9" s="5" customFormat="1" x14ac:dyDescent="0.35">
      <c r="A80" s="3" t="s">
        <v>8</v>
      </c>
      <c r="B80" s="3" t="s">
        <v>53</v>
      </c>
      <c r="C80" s="3" t="s">
        <v>45</v>
      </c>
      <c r="D80" s="3" t="s">
        <v>2774</v>
      </c>
      <c r="E80" s="3" t="s">
        <v>56</v>
      </c>
      <c r="F80" s="3"/>
      <c r="G80" s="3"/>
      <c r="H80" s="3"/>
      <c r="I80" s="3"/>
    </row>
    <row r="81" spans="1:9" s="5" customFormat="1" x14ac:dyDescent="0.35">
      <c r="A81" s="3" t="s">
        <v>8</v>
      </c>
      <c r="B81" s="3" t="s">
        <v>53</v>
      </c>
      <c r="C81" s="3" t="s">
        <v>45</v>
      </c>
      <c r="D81" s="3" t="s">
        <v>2774</v>
      </c>
      <c r="E81" s="3" t="s">
        <v>24</v>
      </c>
      <c r="F81" s="3"/>
      <c r="G81" s="3"/>
      <c r="H81" s="3"/>
      <c r="I81" s="3"/>
    </row>
    <row r="82" spans="1:9" s="5" customFormat="1" x14ac:dyDescent="0.35">
      <c r="A82" s="3" t="s">
        <v>8</v>
      </c>
      <c r="B82" s="3" t="s">
        <v>53</v>
      </c>
      <c r="C82" s="3" t="s">
        <v>10</v>
      </c>
      <c r="D82" s="3" t="s">
        <v>2997</v>
      </c>
      <c r="E82" s="3" t="s">
        <v>47</v>
      </c>
      <c r="F82" s="3"/>
      <c r="G82" s="3"/>
      <c r="H82" s="3"/>
      <c r="I82" s="3"/>
    </row>
    <row r="83" spans="1:9" s="5" customFormat="1" x14ac:dyDescent="0.35">
      <c r="A83" s="3" t="s">
        <v>8</v>
      </c>
      <c r="B83" s="3" t="s">
        <v>53</v>
      </c>
      <c r="C83" s="3" t="s">
        <v>10</v>
      </c>
      <c r="D83" s="3" t="s">
        <v>2997</v>
      </c>
      <c r="E83" s="3" t="s">
        <v>15</v>
      </c>
      <c r="F83" s="3" t="s">
        <v>16</v>
      </c>
      <c r="G83" s="3" t="s">
        <v>2998</v>
      </c>
      <c r="H83" s="3"/>
      <c r="I83" s="3"/>
    </row>
    <row r="84" spans="1:9" s="5" customFormat="1" x14ac:dyDescent="0.35">
      <c r="A84" s="3" t="s">
        <v>8</v>
      </c>
      <c r="B84" s="3" t="s">
        <v>53</v>
      </c>
      <c r="C84" s="3" t="s">
        <v>10</v>
      </c>
      <c r="D84" s="3" t="s">
        <v>2997</v>
      </c>
      <c r="E84" s="3" t="s">
        <v>57</v>
      </c>
      <c r="F84" s="3"/>
      <c r="G84" s="3"/>
      <c r="H84" s="3"/>
      <c r="I84" s="3"/>
    </row>
    <row r="85" spans="1:9" s="5" customFormat="1" x14ac:dyDescent="0.35">
      <c r="A85" s="3" t="s">
        <v>8</v>
      </c>
      <c r="B85" s="3" t="s">
        <v>53</v>
      </c>
      <c r="C85" s="3" t="s">
        <v>10</v>
      </c>
      <c r="D85" s="3" t="s">
        <v>2997</v>
      </c>
      <c r="E85" s="3" t="s">
        <v>32</v>
      </c>
      <c r="F85" s="3"/>
      <c r="G85" s="3" t="s">
        <v>2999</v>
      </c>
      <c r="H85" s="3"/>
      <c r="I85" s="3"/>
    </row>
    <row r="86" spans="1:9" s="5" customFormat="1" x14ac:dyDescent="0.35">
      <c r="A86" s="3" t="s">
        <v>8</v>
      </c>
      <c r="B86" s="3" t="s">
        <v>53</v>
      </c>
      <c r="C86" s="3" t="s">
        <v>10</v>
      </c>
      <c r="D86" s="3" t="s">
        <v>2997</v>
      </c>
      <c r="E86" s="3" t="s">
        <v>134</v>
      </c>
      <c r="F86" s="3"/>
      <c r="G86" s="3"/>
      <c r="H86" s="3"/>
      <c r="I86" s="3"/>
    </row>
    <row r="87" spans="1:9" s="5" customFormat="1" x14ac:dyDescent="0.35">
      <c r="A87" s="3" t="s">
        <v>8</v>
      </c>
      <c r="B87" s="3" t="s">
        <v>53</v>
      </c>
      <c r="C87" s="3" t="s">
        <v>39</v>
      </c>
      <c r="D87" s="3" t="s">
        <v>73</v>
      </c>
      <c r="E87" s="3" t="s">
        <v>12</v>
      </c>
      <c r="F87" s="3"/>
      <c r="G87" s="3"/>
      <c r="H87" s="3" t="s">
        <v>16</v>
      </c>
      <c r="I87" s="3" t="s">
        <v>74</v>
      </c>
    </row>
    <row r="88" spans="1:9" s="5" customFormat="1" x14ac:dyDescent="0.35">
      <c r="A88" s="3" t="s">
        <v>8</v>
      </c>
      <c r="B88" s="3" t="s">
        <v>53</v>
      </c>
      <c r="C88" s="3" t="s">
        <v>39</v>
      </c>
      <c r="D88" s="3" t="s">
        <v>73</v>
      </c>
      <c r="E88" s="3" t="s">
        <v>27</v>
      </c>
      <c r="F88" s="3" t="s">
        <v>16</v>
      </c>
      <c r="G88" s="3" t="s">
        <v>75</v>
      </c>
      <c r="H88" s="3" t="s">
        <v>16</v>
      </c>
      <c r="I88" s="3" t="s">
        <v>74</v>
      </c>
    </row>
    <row r="89" spans="1:9" s="5" customFormat="1" x14ac:dyDescent="0.35">
      <c r="A89" s="3" t="s">
        <v>8</v>
      </c>
      <c r="B89" s="3" t="s">
        <v>53</v>
      </c>
      <c r="C89" s="3" t="s">
        <v>39</v>
      </c>
      <c r="D89" s="3" t="s">
        <v>73</v>
      </c>
      <c r="E89" s="3" t="s">
        <v>24</v>
      </c>
      <c r="F89" s="3" t="s">
        <v>16</v>
      </c>
      <c r="G89" s="3" t="s">
        <v>75</v>
      </c>
      <c r="H89" s="3" t="s">
        <v>16</v>
      </c>
      <c r="I89" s="3" t="s">
        <v>74</v>
      </c>
    </row>
    <row r="90" spans="1:9" s="5" customFormat="1" x14ac:dyDescent="0.35">
      <c r="A90" s="3" t="s">
        <v>8</v>
      </c>
      <c r="B90" s="3" t="s">
        <v>53</v>
      </c>
      <c r="C90" s="3" t="s">
        <v>10</v>
      </c>
      <c r="D90" s="3" t="s">
        <v>3006</v>
      </c>
      <c r="E90" s="3" t="s">
        <v>12</v>
      </c>
      <c r="F90" s="3"/>
      <c r="G90" s="3"/>
      <c r="H90" s="3"/>
      <c r="I90" s="3"/>
    </row>
    <row r="91" spans="1:9" s="5" customFormat="1" x14ac:dyDescent="0.35">
      <c r="A91" s="3" t="s">
        <v>8</v>
      </c>
      <c r="B91" s="3" t="s">
        <v>53</v>
      </c>
      <c r="C91" s="3" t="s">
        <v>10</v>
      </c>
      <c r="D91" s="3" t="s">
        <v>3006</v>
      </c>
      <c r="E91" s="3" t="s">
        <v>47</v>
      </c>
      <c r="F91" s="3"/>
      <c r="G91" s="3"/>
      <c r="H91" s="3"/>
      <c r="I91" s="3"/>
    </row>
    <row r="92" spans="1:9" s="5" customFormat="1" x14ac:dyDescent="0.35">
      <c r="A92" s="3" t="s">
        <v>8</v>
      </c>
      <c r="B92" s="3" t="s">
        <v>53</v>
      </c>
      <c r="C92" s="3" t="s">
        <v>10</v>
      </c>
      <c r="D92" s="3" t="s">
        <v>3006</v>
      </c>
      <c r="E92" s="3" t="s">
        <v>28</v>
      </c>
      <c r="F92" s="3"/>
      <c r="G92" s="3"/>
      <c r="H92" s="3"/>
      <c r="I92" s="3"/>
    </row>
    <row r="93" spans="1:9" s="5" customFormat="1" x14ac:dyDescent="0.35">
      <c r="A93" s="3" t="s">
        <v>8</v>
      </c>
      <c r="B93" s="3" t="s">
        <v>53</v>
      </c>
      <c r="C93" s="3" t="s">
        <v>10</v>
      </c>
      <c r="D93" s="3" t="s">
        <v>3006</v>
      </c>
      <c r="E93" s="3" t="s">
        <v>32</v>
      </c>
      <c r="F93" s="3"/>
      <c r="G93" s="3"/>
      <c r="H93" s="3"/>
      <c r="I93" s="3"/>
    </row>
    <row r="94" spans="1:9" s="5" customFormat="1" x14ac:dyDescent="0.35">
      <c r="A94" s="3" t="s">
        <v>8</v>
      </c>
      <c r="B94" s="3" t="s">
        <v>53</v>
      </c>
      <c r="C94" s="3" t="s">
        <v>10</v>
      </c>
      <c r="D94" s="3" t="s">
        <v>3006</v>
      </c>
      <c r="E94" s="3" t="s">
        <v>134</v>
      </c>
      <c r="F94" s="3"/>
      <c r="G94" s="3"/>
      <c r="H94" s="3"/>
      <c r="I94" s="3"/>
    </row>
    <row r="95" spans="1:9" s="5" customFormat="1" x14ac:dyDescent="0.35">
      <c r="A95" s="3" t="s">
        <v>8</v>
      </c>
      <c r="B95" s="3" t="s">
        <v>53</v>
      </c>
      <c r="C95" s="3" t="s">
        <v>10</v>
      </c>
      <c r="D95" s="3" t="s">
        <v>3006</v>
      </c>
      <c r="E95" s="3" t="s">
        <v>107</v>
      </c>
      <c r="F95" s="3"/>
      <c r="G95" s="3"/>
      <c r="H95" s="3"/>
      <c r="I95" s="3"/>
    </row>
    <row r="96" spans="1:9" s="5" customFormat="1" x14ac:dyDescent="0.35">
      <c r="A96" s="3" t="s">
        <v>8</v>
      </c>
      <c r="B96" s="3" t="s">
        <v>53</v>
      </c>
      <c r="C96" s="3" t="s">
        <v>45</v>
      </c>
      <c r="D96" s="3" t="s">
        <v>76</v>
      </c>
      <c r="E96" s="3" t="s">
        <v>77</v>
      </c>
      <c r="F96" s="3"/>
      <c r="G96" s="3"/>
      <c r="H96" s="3"/>
      <c r="I96" s="3"/>
    </row>
    <row r="97" spans="1:9" s="5" customFormat="1" x14ac:dyDescent="0.35">
      <c r="A97" s="3" t="s">
        <v>8</v>
      </c>
      <c r="B97" s="3" t="s">
        <v>53</v>
      </c>
      <c r="C97" s="3" t="s">
        <v>42</v>
      </c>
      <c r="D97" s="3" t="s">
        <v>78</v>
      </c>
      <c r="E97" s="3" t="s">
        <v>12</v>
      </c>
      <c r="F97" s="3"/>
      <c r="G97" s="3"/>
      <c r="H97" s="3" t="s">
        <v>13</v>
      </c>
      <c r="I97" s="3" t="s">
        <v>69</v>
      </c>
    </row>
    <row r="98" spans="1:9" s="5" customFormat="1" x14ac:dyDescent="0.35">
      <c r="A98" s="3" t="s">
        <v>8</v>
      </c>
      <c r="B98" s="3" t="s">
        <v>53</v>
      </c>
      <c r="C98" s="3" t="s">
        <v>42</v>
      </c>
      <c r="D98" s="3" t="s">
        <v>78</v>
      </c>
      <c r="E98" s="3" t="s">
        <v>23</v>
      </c>
      <c r="F98" s="3"/>
      <c r="G98" s="3"/>
      <c r="H98" s="3" t="s">
        <v>13</v>
      </c>
      <c r="I98" s="3" t="s">
        <v>69</v>
      </c>
    </row>
    <row r="99" spans="1:9" s="5" customFormat="1" x14ac:dyDescent="0.35">
      <c r="A99" s="3" t="s">
        <v>8</v>
      </c>
      <c r="B99" s="3" t="s">
        <v>53</v>
      </c>
      <c r="C99" s="3" t="s">
        <v>42</v>
      </c>
      <c r="D99" s="3" t="s">
        <v>78</v>
      </c>
      <c r="E99" s="3" t="s">
        <v>25</v>
      </c>
      <c r="F99" s="3"/>
      <c r="G99" s="3"/>
      <c r="H99" s="3" t="s">
        <v>13</v>
      </c>
      <c r="I99" s="3" t="s">
        <v>69</v>
      </c>
    </row>
    <row r="100" spans="1:9" s="5" customFormat="1" x14ac:dyDescent="0.35">
      <c r="A100" s="3" t="s">
        <v>8</v>
      </c>
      <c r="B100" s="3" t="s">
        <v>53</v>
      </c>
      <c r="C100" s="3" t="s">
        <v>42</v>
      </c>
      <c r="D100" s="3" t="s">
        <v>78</v>
      </c>
      <c r="E100" s="3" t="s">
        <v>27</v>
      </c>
      <c r="F100" s="3"/>
      <c r="G100" s="3"/>
      <c r="H100" s="3" t="s">
        <v>13</v>
      </c>
      <c r="I100" s="3" t="s">
        <v>69</v>
      </c>
    </row>
    <row r="101" spans="1:9" s="5" customFormat="1" x14ac:dyDescent="0.35">
      <c r="A101" s="3" t="s">
        <v>8</v>
      </c>
      <c r="B101" s="3" t="s">
        <v>53</v>
      </c>
      <c r="C101" s="3" t="s">
        <v>42</v>
      </c>
      <c r="D101" s="3" t="s">
        <v>78</v>
      </c>
      <c r="E101" s="3" t="s">
        <v>31</v>
      </c>
      <c r="F101" s="3" t="s">
        <v>33</v>
      </c>
      <c r="G101" s="3" t="s">
        <v>81</v>
      </c>
      <c r="H101" s="3" t="s">
        <v>13</v>
      </c>
      <c r="I101" s="3" t="s">
        <v>69</v>
      </c>
    </row>
    <row r="102" spans="1:9" s="5" customFormat="1" x14ac:dyDescent="0.35">
      <c r="A102" s="3" t="s">
        <v>8</v>
      </c>
      <c r="B102" s="3" t="s">
        <v>53</v>
      </c>
      <c r="C102" s="3" t="s">
        <v>42</v>
      </c>
      <c r="D102" s="3" t="s">
        <v>78</v>
      </c>
      <c r="E102" s="3" t="s">
        <v>15</v>
      </c>
      <c r="F102" s="3" t="s">
        <v>13</v>
      </c>
      <c r="G102" s="3" t="s">
        <v>80</v>
      </c>
      <c r="H102" s="3" t="s">
        <v>13</v>
      </c>
      <c r="I102" s="3" t="s">
        <v>69</v>
      </c>
    </row>
    <row r="103" spans="1:9" s="5" customFormat="1" x14ac:dyDescent="0.35">
      <c r="A103" s="3" t="s">
        <v>8</v>
      </c>
      <c r="B103" s="3" t="s">
        <v>53</v>
      </c>
      <c r="C103" s="3" t="s">
        <v>42</v>
      </c>
      <c r="D103" s="3" t="s">
        <v>78</v>
      </c>
      <c r="E103" s="3" t="s">
        <v>56</v>
      </c>
      <c r="F103" s="3" t="s">
        <v>13</v>
      </c>
      <c r="G103" s="3" t="s">
        <v>79</v>
      </c>
      <c r="H103" s="3" t="s">
        <v>13</v>
      </c>
      <c r="I103" s="3" t="s">
        <v>69</v>
      </c>
    </row>
    <row r="104" spans="1:9" s="5" customFormat="1" x14ac:dyDescent="0.35">
      <c r="A104" s="3" t="s">
        <v>8</v>
      </c>
      <c r="B104" s="3" t="s">
        <v>53</v>
      </c>
      <c r="C104" s="3" t="s">
        <v>42</v>
      </c>
      <c r="D104" s="3" t="s">
        <v>78</v>
      </c>
      <c r="E104" s="3" t="s">
        <v>82</v>
      </c>
      <c r="F104" s="3" t="s">
        <v>13</v>
      </c>
      <c r="G104" s="3" t="s">
        <v>83</v>
      </c>
      <c r="H104" s="3" t="s">
        <v>13</v>
      </c>
      <c r="I104" s="3" t="s">
        <v>69</v>
      </c>
    </row>
    <row r="105" spans="1:9" s="5" customFormat="1" x14ac:dyDescent="0.35">
      <c r="A105" s="3" t="s">
        <v>8</v>
      </c>
      <c r="B105" s="3" t="s">
        <v>2495</v>
      </c>
      <c r="C105" s="3" t="s">
        <v>20</v>
      </c>
      <c r="D105" s="3" t="s">
        <v>2496</v>
      </c>
      <c r="E105" s="3" t="s">
        <v>27</v>
      </c>
      <c r="F105" s="3"/>
      <c r="G105" s="3"/>
      <c r="H105" s="3" t="s">
        <v>16</v>
      </c>
      <c r="I105" s="3" t="s">
        <v>2497</v>
      </c>
    </row>
    <row r="106" spans="1:9" s="5" customFormat="1" x14ac:dyDescent="0.35">
      <c r="A106" s="3" t="s">
        <v>8</v>
      </c>
      <c r="B106" s="3" t="s">
        <v>2495</v>
      </c>
      <c r="C106" s="3" t="s">
        <v>20</v>
      </c>
      <c r="D106" s="3" t="s">
        <v>2496</v>
      </c>
      <c r="E106" s="3" t="s">
        <v>15</v>
      </c>
      <c r="F106" s="3"/>
      <c r="G106" s="3"/>
      <c r="H106" s="3" t="s">
        <v>16</v>
      </c>
      <c r="I106" s="3" t="s">
        <v>2497</v>
      </c>
    </row>
    <row r="107" spans="1:9" s="5" customFormat="1" x14ac:dyDescent="0.35">
      <c r="A107" s="3" t="s">
        <v>8</v>
      </c>
      <c r="B107" s="3" t="s">
        <v>2495</v>
      </c>
      <c r="C107" s="3" t="s">
        <v>20</v>
      </c>
      <c r="D107" s="3" t="s">
        <v>2496</v>
      </c>
      <c r="E107" s="3" t="s">
        <v>24</v>
      </c>
      <c r="F107" s="3"/>
      <c r="G107" s="3"/>
      <c r="H107" s="3" t="s">
        <v>16</v>
      </c>
      <c r="I107" s="3" t="s">
        <v>2497</v>
      </c>
    </row>
    <row r="108" spans="1:9" s="5" customFormat="1" x14ac:dyDescent="0.35">
      <c r="A108" s="3" t="s">
        <v>8</v>
      </c>
      <c r="B108" s="3" t="s">
        <v>84</v>
      </c>
      <c r="C108" s="3" t="s">
        <v>20</v>
      </c>
      <c r="D108" s="3" t="s">
        <v>85</v>
      </c>
      <c r="E108" s="3" t="s">
        <v>25</v>
      </c>
      <c r="F108" s="3"/>
      <c r="G108" s="3"/>
      <c r="H108" s="3" t="s">
        <v>16</v>
      </c>
      <c r="I108" s="3" t="s">
        <v>86</v>
      </c>
    </row>
    <row r="109" spans="1:9" s="5" customFormat="1" x14ac:dyDescent="0.35">
      <c r="A109" s="3" t="s">
        <v>8</v>
      </c>
      <c r="B109" s="3" t="s">
        <v>84</v>
      </c>
      <c r="C109" s="3" t="s">
        <v>20</v>
      </c>
      <c r="D109" s="3" t="s">
        <v>85</v>
      </c>
      <c r="E109" s="3" t="s">
        <v>27</v>
      </c>
      <c r="F109" s="3"/>
      <c r="G109" s="3" t="s">
        <v>2403</v>
      </c>
      <c r="H109" s="3" t="s">
        <v>16</v>
      </c>
      <c r="I109" s="3" t="s">
        <v>86</v>
      </c>
    </row>
    <row r="110" spans="1:9" s="5" customFormat="1" x14ac:dyDescent="0.35">
      <c r="A110" s="3" t="s">
        <v>8</v>
      </c>
      <c r="B110" s="3" t="s">
        <v>84</v>
      </c>
      <c r="C110" s="3" t="s">
        <v>20</v>
      </c>
      <c r="D110" s="3" t="s">
        <v>85</v>
      </c>
      <c r="E110" s="3" t="s">
        <v>77</v>
      </c>
      <c r="F110" s="3"/>
      <c r="G110" s="3"/>
      <c r="H110" s="3" t="s">
        <v>16</v>
      </c>
      <c r="I110" s="3" t="s">
        <v>86</v>
      </c>
    </row>
    <row r="111" spans="1:9" s="5" customFormat="1" x14ac:dyDescent="0.35">
      <c r="A111" s="3" t="s">
        <v>8</v>
      </c>
      <c r="B111" s="3" t="s">
        <v>84</v>
      </c>
      <c r="C111" s="3" t="s">
        <v>20</v>
      </c>
      <c r="D111" s="3" t="s">
        <v>85</v>
      </c>
      <c r="E111" s="3" t="s">
        <v>87</v>
      </c>
      <c r="F111" s="3"/>
      <c r="G111" s="3"/>
      <c r="H111" s="3" t="s">
        <v>16</v>
      </c>
      <c r="I111" s="3" t="s">
        <v>86</v>
      </c>
    </row>
    <row r="112" spans="1:9" s="5" customFormat="1" x14ac:dyDescent="0.35">
      <c r="A112" s="3" t="s">
        <v>8</v>
      </c>
      <c r="B112" s="3" t="s">
        <v>84</v>
      </c>
      <c r="C112" s="3" t="s">
        <v>20</v>
      </c>
      <c r="D112" s="3" t="s">
        <v>85</v>
      </c>
      <c r="E112" s="3" t="s">
        <v>15</v>
      </c>
      <c r="F112" s="3" t="s">
        <v>16</v>
      </c>
      <c r="G112" s="3" t="s">
        <v>88</v>
      </c>
      <c r="H112" s="3" t="s">
        <v>16</v>
      </c>
      <c r="I112" s="3" t="s">
        <v>86</v>
      </c>
    </row>
    <row r="113" spans="1:9" s="5" customFormat="1" x14ac:dyDescent="0.35">
      <c r="A113" s="3" t="s">
        <v>8</v>
      </c>
      <c r="B113" s="3" t="s">
        <v>84</v>
      </c>
      <c r="C113" s="3" t="s">
        <v>20</v>
      </c>
      <c r="D113" s="3" t="s">
        <v>85</v>
      </c>
      <c r="E113" s="3" t="s">
        <v>89</v>
      </c>
      <c r="F113" s="3"/>
      <c r="G113" s="3"/>
      <c r="H113" s="3" t="s">
        <v>16</v>
      </c>
      <c r="I113" s="3" t="s">
        <v>86</v>
      </c>
    </row>
    <row r="114" spans="1:9" s="5" customFormat="1" x14ac:dyDescent="0.35">
      <c r="A114" s="3" t="s">
        <v>8</v>
      </c>
      <c r="B114" s="3" t="s">
        <v>84</v>
      </c>
      <c r="C114" s="3" t="s">
        <v>20</v>
      </c>
      <c r="D114" s="3" t="s">
        <v>85</v>
      </c>
      <c r="E114" s="3" t="s">
        <v>24</v>
      </c>
      <c r="F114" s="3"/>
      <c r="G114" s="3" t="s">
        <v>2404</v>
      </c>
      <c r="H114" s="3" t="s">
        <v>16</v>
      </c>
      <c r="I114" s="3" t="s">
        <v>86</v>
      </c>
    </row>
    <row r="115" spans="1:9" s="5" customFormat="1" x14ac:dyDescent="0.35">
      <c r="A115" s="3" t="s">
        <v>8</v>
      </c>
      <c r="B115" s="3" t="s">
        <v>90</v>
      </c>
      <c r="C115" s="3" t="s">
        <v>20</v>
      </c>
      <c r="D115" s="3" t="s">
        <v>91</v>
      </c>
      <c r="E115" s="3" t="s">
        <v>27</v>
      </c>
      <c r="F115" s="3" t="s">
        <v>16</v>
      </c>
      <c r="G115" s="3" t="s">
        <v>93</v>
      </c>
      <c r="H115" s="3" t="s">
        <v>13</v>
      </c>
      <c r="I115" s="3" t="s">
        <v>92</v>
      </c>
    </row>
    <row r="116" spans="1:9" s="5" customFormat="1" x14ac:dyDescent="0.35">
      <c r="A116" s="3" t="s">
        <v>8</v>
      </c>
      <c r="B116" s="3" t="s">
        <v>90</v>
      </c>
      <c r="C116" s="3" t="s">
        <v>20</v>
      </c>
      <c r="D116" s="3" t="s">
        <v>91</v>
      </c>
      <c r="E116" s="3" t="s">
        <v>87</v>
      </c>
      <c r="F116" s="3" t="s">
        <v>16</v>
      </c>
      <c r="G116" s="3" t="s">
        <v>93</v>
      </c>
      <c r="H116" s="3" t="s">
        <v>13</v>
      </c>
      <c r="I116" s="3" t="s">
        <v>92</v>
      </c>
    </row>
    <row r="117" spans="1:9" s="5" customFormat="1" x14ac:dyDescent="0.35">
      <c r="A117" s="3" t="s">
        <v>8</v>
      </c>
      <c r="B117" s="3" t="s">
        <v>90</v>
      </c>
      <c r="C117" s="3" t="s">
        <v>20</v>
      </c>
      <c r="D117" s="3" t="s">
        <v>91</v>
      </c>
      <c r="E117" s="3" t="s">
        <v>15</v>
      </c>
      <c r="F117" s="3"/>
      <c r="G117" s="3"/>
      <c r="H117" s="3" t="s">
        <v>13</v>
      </c>
      <c r="I117" s="3" t="s">
        <v>92</v>
      </c>
    </row>
    <row r="118" spans="1:9" s="5" customFormat="1" x14ac:dyDescent="0.35">
      <c r="A118" s="3" t="s">
        <v>8</v>
      </c>
      <c r="B118" s="3" t="s">
        <v>90</v>
      </c>
      <c r="C118" s="3" t="s">
        <v>20</v>
      </c>
      <c r="D118" s="3" t="s">
        <v>91</v>
      </c>
      <c r="E118" s="3" t="s">
        <v>37</v>
      </c>
      <c r="F118" s="3" t="s">
        <v>16</v>
      </c>
      <c r="G118" s="3" t="s">
        <v>93</v>
      </c>
      <c r="H118" s="3" t="s">
        <v>13</v>
      </c>
      <c r="I118" s="3" t="s">
        <v>92</v>
      </c>
    </row>
    <row r="119" spans="1:9" s="5" customFormat="1" x14ac:dyDescent="0.35">
      <c r="A119" s="3" t="s">
        <v>8</v>
      </c>
      <c r="B119" s="3" t="s">
        <v>94</v>
      </c>
      <c r="C119" s="3" t="s">
        <v>42</v>
      </c>
      <c r="D119" s="3" t="s">
        <v>95</v>
      </c>
      <c r="E119" s="3" t="s">
        <v>12</v>
      </c>
      <c r="F119" s="3"/>
      <c r="G119" s="3"/>
      <c r="H119" s="3"/>
      <c r="I119" s="3"/>
    </row>
    <row r="120" spans="1:9" s="5" customFormat="1" x14ac:dyDescent="0.35">
      <c r="A120" s="3" t="s">
        <v>8</v>
      </c>
      <c r="B120" s="3" t="s">
        <v>94</v>
      </c>
      <c r="C120" s="3" t="s">
        <v>42</v>
      </c>
      <c r="D120" s="3" t="s">
        <v>95</v>
      </c>
      <c r="E120" s="3" t="s">
        <v>77</v>
      </c>
      <c r="F120" s="3"/>
      <c r="G120" s="3" t="s">
        <v>97</v>
      </c>
      <c r="H120" s="3"/>
      <c r="I120" s="3"/>
    </row>
    <row r="121" spans="1:9" s="5" customFormat="1" x14ac:dyDescent="0.35">
      <c r="A121" s="3" t="s">
        <v>8</v>
      </c>
      <c r="B121" s="3" t="s">
        <v>94</v>
      </c>
      <c r="C121" s="3" t="s">
        <v>42</v>
      </c>
      <c r="D121" s="3" t="s">
        <v>95</v>
      </c>
      <c r="E121" s="3" t="s">
        <v>44</v>
      </c>
      <c r="F121" s="3"/>
      <c r="G121" s="3"/>
      <c r="H121" s="3"/>
      <c r="I121" s="3"/>
    </row>
    <row r="122" spans="1:9" s="5" customFormat="1" x14ac:dyDescent="0.35">
      <c r="A122" s="3" t="s">
        <v>8</v>
      </c>
      <c r="B122" s="3" t="s">
        <v>94</v>
      </c>
      <c r="C122" s="3" t="s">
        <v>42</v>
      </c>
      <c r="D122" s="3" t="s">
        <v>95</v>
      </c>
      <c r="E122" s="3" t="s">
        <v>98</v>
      </c>
      <c r="F122" s="3"/>
      <c r="G122" s="3"/>
      <c r="H122" s="3"/>
      <c r="I122" s="3"/>
    </row>
    <row r="123" spans="1:9" s="5" customFormat="1" x14ac:dyDescent="0.35">
      <c r="A123" s="3" t="s">
        <v>8</v>
      </c>
      <c r="B123" s="3" t="s">
        <v>94</v>
      </c>
      <c r="C123" s="3" t="s">
        <v>42</v>
      </c>
      <c r="D123" s="3" t="s">
        <v>95</v>
      </c>
      <c r="E123" s="3" t="s">
        <v>56</v>
      </c>
      <c r="F123" s="3" t="s">
        <v>16</v>
      </c>
      <c r="G123" s="3" t="s">
        <v>96</v>
      </c>
      <c r="H123" s="3"/>
      <c r="I123" s="3"/>
    </row>
    <row r="124" spans="1:9" s="5" customFormat="1" x14ac:dyDescent="0.35">
      <c r="A124" s="3" t="s">
        <v>8</v>
      </c>
      <c r="B124" s="3" t="s">
        <v>94</v>
      </c>
      <c r="C124" s="3" t="s">
        <v>20</v>
      </c>
      <c r="D124" s="3" t="s">
        <v>99</v>
      </c>
      <c r="E124" s="3" t="s">
        <v>23</v>
      </c>
      <c r="F124" s="3"/>
      <c r="G124" s="3"/>
      <c r="H124" s="3" t="s">
        <v>13</v>
      </c>
      <c r="I124" s="3" t="s">
        <v>101</v>
      </c>
    </row>
    <row r="125" spans="1:9" s="5" customFormat="1" x14ac:dyDescent="0.35">
      <c r="A125" s="3" t="s">
        <v>8</v>
      </c>
      <c r="B125" s="3" t="s">
        <v>94</v>
      </c>
      <c r="C125" s="3" t="s">
        <v>20</v>
      </c>
      <c r="D125" s="3" t="s">
        <v>99</v>
      </c>
      <c r="E125" s="3" t="s">
        <v>25</v>
      </c>
      <c r="F125" s="3"/>
      <c r="G125" s="3"/>
      <c r="H125" s="3" t="s">
        <v>13</v>
      </c>
      <c r="I125" s="3" t="s">
        <v>101</v>
      </c>
    </row>
    <row r="126" spans="1:9" s="5" customFormat="1" x14ac:dyDescent="0.35">
      <c r="A126" s="3" t="s">
        <v>8</v>
      </c>
      <c r="B126" s="3" t="s">
        <v>94</v>
      </c>
      <c r="C126" s="3" t="s">
        <v>20</v>
      </c>
      <c r="D126" s="3" t="s">
        <v>99</v>
      </c>
      <c r="E126" s="3" t="s">
        <v>56</v>
      </c>
      <c r="F126" s="3" t="s">
        <v>13</v>
      </c>
      <c r="G126" s="3" t="s">
        <v>100</v>
      </c>
      <c r="H126" s="3" t="s">
        <v>13</v>
      </c>
      <c r="I126" s="3" t="s">
        <v>101</v>
      </c>
    </row>
    <row r="127" spans="1:9" s="5" customFormat="1" x14ac:dyDescent="0.35">
      <c r="A127" s="3" t="s">
        <v>8</v>
      </c>
      <c r="B127" s="3" t="s">
        <v>94</v>
      </c>
      <c r="C127" s="3" t="s">
        <v>45</v>
      </c>
      <c r="D127" s="3" t="s">
        <v>102</v>
      </c>
      <c r="E127" s="3" t="s">
        <v>36</v>
      </c>
      <c r="F127" s="3"/>
      <c r="G127" s="3"/>
      <c r="H127" s="3"/>
      <c r="I127" s="3"/>
    </row>
    <row r="128" spans="1:9" s="5" customFormat="1" x14ac:dyDescent="0.35">
      <c r="A128" s="3" t="s">
        <v>8</v>
      </c>
      <c r="B128" s="3" t="s">
        <v>94</v>
      </c>
      <c r="C128" s="3" t="s">
        <v>45</v>
      </c>
      <c r="D128" s="3" t="s">
        <v>102</v>
      </c>
      <c r="E128" s="3" t="s">
        <v>23</v>
      </c>
      <c r="F128" s="3"/>
      <c r="G128" s="3" t="s">
        <v>103</v>
      </c>
      <c r="H128" s="3"/>
      <c r="I128" s="3"/>
    </row>
    <row r="129" spans="1:9" s="5" customFormat="1" x14ac:dyDescent="0.35">
      <c r="A129" s="3" t="s">
        <v>8</v>
      </c>
      <c r="B129" s="3" t="s">
        <v>94</v>
      </c>
      <c r="C129" s="3" t="s">
        <v>39</v>
      </c>
      <c r="D129" s="3" t="s">
        <v>104</v>
      </c>
      <c r="E129" s="3" t="s">
        <v>12</v>
      </c>
      <c r="F129" s="3"/>
      <c r="G129" s="3"/>
      <c r="H129" s="3" t="s">
        <v>13</v>
      </c>
      <c r="I129" s="3" t="s">
        <v>106</v>
      </c>
    </row>
    <row r="130" spans="1:9" s="5" customFormat="1" x14ac:dyDescent="0.35">
      <c r="A130" s="3" t="s">
        <v>8</v>
      </c>
      <c r="B130" s="3" t="s">
        <v>94</v>
      </c>
      <c r="C130" s="3" t="s">
        <v>39</v>
      </c>
      <c r="D130" s="3" t="s">
        <v>104</v>
      </c>
      <c r="E130" s="3" t="s">
        <v>25</v>
      </c>
      <c r="F130" s="3"/>
      <c r="G130" s="3"/>
      <c r="H130" s="3" t="s">
        <v>13</v>
      </c>
      <c r="I130" s="3" t="s">
        <v>106</v>
      </c>
    </row>
    <row r="131" spans="1:9" s="5" customFormat="1" x14ac:dyDescent="0.35">
      <c r="A131" s="3" t="s">
        <v>8</v>
      </c>
      <c r="B131" s="3" t="s">
        <v>94</v>
      </c>
      <c r="C131" s="3" t="s">
        <v>39</v>
      </c>
      <c r="D131" s="3" t="s">
        <v>104</v>
      </c>
      <c r="E131" s="3" t="s">
        <v>27</v>
      </c>
      <c r="F131" s="3"/>
      <c r="G131" s="3"/>
      <c r="H131" s="3" t="s">
        <v>13</v>
      </c>
      <c r="I131" s="3" t="s">
        <v>106</v>
      </c>
    </row>
    <row r="132" spans="1:9" s="5" customFormat="1" x14ac:dyDescent="0.35">
      <c r="A132" s="3" t="s">
        <v>8</v>
      </c>
      <c r="B132" s="3" t="s">
        <v>94</v>
      </c>
      <c r="C132" s="3" t="s">
        <v>39</v>
      </c>
      <c r="D132" s="3" t="s">
        <v>104</v>
      </c>
      <c r="E132" s="3" t="s">
        <v>56</v>
      </c>
      <c r="F132" s="3" t="s">
        <v>16</v>
      </c>
      <c r="G132" s="3" t="s">
        <v>105</v>
      </c>
      <c r="H132" s="3" t="s">
        <v>13</v>
      </c>
      <c r="I132" s="3" t="s">
        <v>106</v>
      </c>
    </row>
    <row r="133" spans="1:9" s="5" customFormat="1" x14ac:dyDescent="0.35">
      <c r="A133" s="3" t="s">
        <v>8</v>
      </c>
      <c r="B133" s="3" t="s">
        <v>94</v>
      </c>
      <c r="C133" s="3" t="s">
        <v>39</v>
      </c>
      <c r="D133" s="3" t="s">
        <v>104</v>
      </c>
      <c r="E133" s="3" t="s">
        <v>107</v>
      </c>
      <c r="F133" s="3"/>
      <c r="G133" s="3"/>
      <c r="H133" s="3" t="s">
        <v>13</v>
      </c>
      <c r="I133" s="3" t="s">
        <v>106</v>
      </c>
    </row>
    <row r="134" spans="1:9" s="5" customFormat="1" x14ac:dyDescent="0.35">
      <c r="A134" s="3" t="s">
        <v>8</v>
      </c>
      <c r="B134" s="3" t="s">
        <v>94</v>
      </c>
      <c r="C134" s="3" t="s">
        <v>20</v>
      </c>
      <c r="D134" s="3" t="s">
        <v>108</v>
      </c>
      <c r="E134" s="3" t="s">
        <v>23</v>
      </c>
      <c r="F134" s="3"/>
      <c r="G134" s="3"/>
      <c r="H134" s="3" t="s">
        <v>13</v>
      </c>
      <c r="I134" s="3" t="s">
        <v>106</v>
      </c>
    </row>
    <row r="135" spans="1:9" s="5" customFormat="1" x14ac:dyDescent="0.35">
      <c r="A135" s="3" t="s">
        <v>8</v>
      </c>
      <c r="B135" s="3" t="s">
        <v>94</v>
      </c>
      <c r="C135" s="3" t="s">
        <v>20</v>
      </c>
      <c r="D135" s="3" t="s">
        <v>108</v>
      </c>
      <c r="E135" s="3" t="s">
        <v>27</v>
      </c>
      <c r="F135" s="3"/>
      <c r="G135" s="3"/>
      <c r="H135" s="3" t="s">
        <v>13</v>
      </c>
      <c r="I135" s="3" t="s">
        <v>106</v>
      </c>
    </row>
    <row r="136" spans="1:9" s="5" customFormat="1" x14ac:dyDescent="0.35">
      <c r="A136" s="3" t="s">
        <v>8</v>
      </c>
      <c r="B136" s="3" t="s">
        <v>94</v>
      </c>
      <c r="C136" s="3" t="s">
        <v>20</v>
      </c>
      <c r="D136" s="3" t="s">
        <v>108</v>
      </c>
      <c r="E136" s="3" t="s">
        <v>87</v>
      </c>
      <c r="F136" s="3"/>
      <c r="G136" s="3"/>
      <c r="H136" s="3" t="s">
        <v>13</v>
      </c>
      <c r="I136" s="3" t="s">
        <v>106</v>
      </c>
    </row>
    <row r="137" spans="1:9" s="5" customFormat="1" x14ac:dyDescent="0.35">
      <c r="A137" s="3" t="s">
        <v>8</v>
      </c>
      <c r="B137" s="3" t="s">
        <v>109</v>
      </c>
      <c r="C137" s="3" t="s">
        <v>42</v>
      </c>
      <c r="D137" s="3" t="s">
        <v>110</v>
      </c>
      <c r="E137" s="3" t="s">
        <v>25</v>
      </c>
      <c r="F137" s="3"/>
      <c r="G137" s="3"/>
      <c r="H137" s="3" t="s">
        <v>13</v>
      </c>
      <c r="I137" s="3" t="s">
        <v>111</v>
      </c>
    </row>
    <row r="138" spans="1:9" s="5" customFormat="1" x14ac:dyDescent="0.35">
      <c r="A138" s="3" t="s">
        <v>8</v>
      </c>
      <c r="B138" s="3" t="s">
        <v>109</v>
      </c>
      <c r="C138" s="3" t="s">
        <v>42</v>
      </c>
      <c r="D138" s="3" t="s">
        <v>110</v>
      </c>
      <c r="E138" s="3" t="s">
        <v>27</v>
      </c>
      <c r="F138" s="3"/>
      <c r="G138" s="3"/>
      <c r="H138" s="3" t="s">
        <v>13</v>
      </c>
      <c r="I138" s="3" t="s">
        <v>111</v>
      </c>
    </row>
    <row r="139" spans="1:9" s="5" customFormat="1" x14ac:dyDescent="0.35">
      <c r="A139" s="3" t="s">
        <v>8</v>
      </c>
      <c r="B139" s="3" t="s">
        <v>109</v>
      </c>
      <c r="C139" s="3" t="s">
        <v>42</v>
      </c>
      <c r="D139" s="3" t="s">
        <v>110</v>
      </c>
      <c r="E139" s="3" t="s">
        <v>77</v>
      </c>
      <c r="F139" s="3"/>
      <c r="G139" s="3"/>
      <c r="H139" s="3" t="s">
        <v>13</v>
      </c>
      <c r="I139" s="3" t="s">
        <v>111</v>
      </c>
    </row>
    <row r="140" spans="1:9" s="5" customFormat="1" x14ac:dyDescent="0.35">
      <c r="A140" s="3" t="s">
        <v>8</v>
      </c>
      <c r="B140" s="3" t="s">
        <v>109</v>
      </c>
      <c r="C140" s="3" t="s">
        <v>42</v>
      </c>
      <c r="D140" s="3" t="s">
        <v>110</v>
      </c>
      <c r="E140" s="3" t="s">
        <v>44</v>
      </c>
      <c r="F140" s="3"/>
      <c r="G140" s="3"/>
      <c r="H140" s="3" t="s">
        <v>13</v>
      </c>
      <c r="I140" s="3" t="s">
        <v>111</v>
      </c>
    </row>
    <row r="141" spans="1:9" s="5" customFormat="1" x14ac:dyDescent="0.35">
      <c r="A141" s="3" t="s">
        <v>8</v>
      </c>
      <c r="B141" s="3" t="s">
        <v>109</v>
      </c>
      <c r="C141" s="3" t="s">
        <v>42</v>
      </c>
      <c r="D141" s="3" t="s">
        <v>110</v>
      </c>
      <c r="E141" s="3" t="s">
        <v>37</v>
      </c>
      <c r="F141" s="3"/>
      <c r="G141" s="3"/>
      <c r="H141" s="3" t="s">
        <v>13</v>
      </c>
      <c r="I141" s="3" t="s">
        <v>111</v>
      </c>
    </row>
    <row r="142" spans="1:9" s="5" customFormat="1" x14ac:dyDescent="0.35">
      <c r="A142" s="3" t="s">
        <v>8</v>
      </c>
      <c r="B142" s="3" t="s">
        <v>109</v>
      </c>
      <c r="C142" s="3" t="s">
        <v>42</v>
      </c>
      <c r="D142" s="3" t="s">
        <v>110</v>
      </c>
      <c r="E142" s="3" t="s">
        <v>32</v>
      </c>
      <c r="F142" s="3" t="s">
        <v>13</v>
      </c>
      <c r="G142" s="3" t="s">
        <v>112</v>
      </c>
      <c r="H142" s="3" t="s">
        <v>13</v>
      </c>
      <c r="I142" s="3" t="s">
        <v>111</v>
      </c>
    </row>
    <row r="143" spans="1:9" s="5" customFormat="1" x14ac:dyDescent="0.35">
      <c r="A143" s="3" t="s">
        <v>8</v>
      </c>
      <c r="B143" s="3" t="s">
        <v>109</v>
      </c>
      <c r="C143" s="3" t="s">
        <v>42</v>
      </c>
      <c r="D143" s="3" t="s">
        <v>110</v>
      </c>
      <c r="E143" s="3" t="s">
        <v>26</v>
      </c>
      <c r="F143" s="3"/>
      <c r="G143" s="3"/>
      <c r="H143" s="3" t="s">
        <v>13</v>
      </c>
      <c r="I143" s="3" t="s">
        <v>111</v>
      </c>
    </row>
    <row r="144" spans="1:9" s="5" customFormat="1" x14ac:dyDescent="0.35">
      <c r="A144" s="3" t="s">
        <v>8</v>
      </c>
      <c r="B144" s="3" t="s">
        <v>109</v>
      </c>
      <c r="C144" s="3" t="s">
        <v>42</v>
      </c>
      <c r="D144" s="3" t="s">
        <v>110</v>
      </c>
      <c r="E144" s="3" t="s">
        <v>29</v>
      </c>
      <c r="F144" s="3" t="s">
        <v>13</v>
      </c>
      <c r="G144" s="3" t="s">
        <v>113</v>
      </c>
      <c r="H144" s="3" t="s">
        <v>13</v>
      </c>
      <c r="I144" s="3" t="s">
        <v>111</v>
      </c>
    </row>
    <row r="145" spans="1:9" s="5" customFormat="1" x14ac:dyDescent="0.35">
      <c r="A145" s="3" t="s">
        <v>8</v>
      </c>
      <c r="B145" s="3" t="s">
        <v>109</v>
      </c>
      <c r="C145" s="3" t="s">
        <v>20</v>
      </c>
      <c r="D145" s="3" t="s">
        <v>114</v>
      </c>
      <c r="E145" s="3" t="s">
        <v>12</v>
      </c>
      <c r="F145" s="3"/>
      <c r="G145" s="3"/>
      <c r="H145" s="3" t="s">
        <v>13</v>
      </c>
      <c r="I145" s="3" t="s">
        <v>115</v>
      </c>
    </row>
    <row r="146" spans="1:9" s="5" customFormat="1" x14ac:dyDescent="0.35">
      <c r="A146" s="3" t="s">
        <v>8</v>
      </c>
      <c r="B146" s="3" t="s">
        <v>109</v>
      </c>
      <c r="C146" s="3" t="s">
        <v>20</v>
      </c>
      <c r="D146" s="3" t="s">
        <v>114</v>
      </c>
      <c r="E146" s="3" t="s">
        <v>27</v>
      </c>
      <c r="F146" s="3"/>
      <c r="G146" s="3"/>
      <c r="H146" s="3" t="s">
        <v>13</v>
      </c>
      <c r="I146" s="3" t="s">
        <v>115</v>
      </c>
    </row>
    <row r="147" spans="1:9" s="5" customFormat="1" x14ac:dyDescent="0.35">
      <c r="A147" s="3" t="s">
        <v>8</v>
      </c>
      <c r="B147" s="3" t="s">
        <v>109</v>
      </c>
      <c r="C147" s="3" t="s">
        <v>20</v>
      </c>
      <c r="D147" s="3" t="s">
        <v>114</v>
      </c>
      <c r="E147" s="3" t="s">
        <v>77</v>
      </c>
      <c r="F147" s="3"/>
      <c r="G147" s="3"/>
      <c r="H147" s="3" t="s">
        <v>13</v>
      </c>
      <c r="I147" s="3" t="s">
        <v>115</v>
      </c>
    </row>
    <row r="148" spans="1:9" s="5" customFormat="1" x14ac:dyDescent="0.35">
      <c r="A148" s="3" t="s">
        <v>8</v>
      </c>
      <c r="B148" s="3" t="s">
        <v>109</v>
      </c>
      <c r="C148" s="3" t="s">
        <v>20</v>
      </c>
      <c r="D148" s="3" t="s">
        <v>114</v>
      </c>
      <c r="E148" s="3" t="s">
        <v>87</v>
      </c>
      <c r="F148" s="3"/>
      <c r="G148" s="3"/>
      <c r="H148" s="3" t="s">
        <v>13</v>
      </c>
      <c r="I148" s="3" t="s">
        <v>115</v>
      </c>
    </row>
    <row r="149" spans="1:9" s="5" customFormat="1" x14ac:dyDescent="0.35">
      <c r="A149" s="3" t="s">
        <v>8</v>
      </c>
      <c r="B149" s="3" t="s">
        <v>109</v>
      </c>
      <c r="C149" s="3" t="s">
        <v>20</v>
      </c>
      <c r="D149" s="3" t="s">
        <v>114</v>
      </c>
      <c r="E149" s="3" t="s">
        <v>15</v>
      </c>
      <c r="F149" s="3" t="s">
        <v>16</v>
      </c>
      <c r="G149" s="3" t="s">
        <v>116</v>
      </c>
      <c r="H149" s="3" t="s">
        <v>13</v>
      </c>
      <c r="I149" s="3" t="s">
        <v>115</v>
      </c>
    </row>
    <row r="150" spans="1:9" s="5" customFormat="1" x14ac:dyDescent="0.35">
      <c r="A150" s="3" t="s">
        <v>8</v>
      </c>
      <c r="B150" s="3" t="s">
        <v>109</v>
      </c>
      <c r="C150" s="3" t="s">
        <v>20</v>
      </c>
      <c r="D150" s="3" t="s">
        <v>114</v>
      </c>
      <c r="E150" s="3" t="s">
        <v>37</v>
      </c>
      <c r="F150" s="3"/>
      <c r="G150" s="3"/>
      <c r="H150" s="3" t="s">
        <v>13</v>
      </c>
      <c r="I150" s="3" t="s">
        <v>115</v>
      </c>
    </row>
    <row r="151" spans="1:9" s="5" customFormat="1" x14ac:dyDescent="0.35">
      <c r="A151" s="3" t="s">
        <v>8</v>
      </c>
      <c r="B151" s="3" t="s">
        <v>109</v>
      </c>
      <c r="C151" s="3" t="s">
        <v>45</v>
      </c>
      <c r="D151" s="3" t="s">
        <v>117</v>
      </c>
      <c r="E151" s="3" t="s">
        <v>24</v>
      </c>
      <c r="F151" s="3"/>
      <c r="G151" s="3"/>
      <c r="H151" s="3" t="s">
        <v>13</v>
      </c>
      <c r="I151" s="3" t="s">
        <v>111</v>
      </c>
    </row>
    <row r="152" spans="1:9" s="5" customFormat="1" x14ac:dyDescent="0.35">
      <c r="A152" s="3" t="s">
        <v>8</v>
      </c>
      <c r="B152" s="3" t="s">
        <v>118</v>
      </c>
      <c r="C152" s="3" t="s">
        <v>20</v>
      </c>
      <c r="D152" s="3" t="s">
        <v>119</v>
      </c>
      <c r="E152" s="3" t="s">
        <v>25</v>
      </c>
      <c r="F152" s="3"/>
      <c r="G152" s="3"/>
      <c r="H152" s="3" t="s">
        <v>13</v>
      </c>
      <c r="I152" s="3" t="s">
        <v>120</v>
      </c>
    </row>
    <row r="153" spans="1:9" s="5" customFormat="1" x14ac:dyDescent="0.35">
      <c r="A153" s="3" t="s">
        <v>8</v>
      </c>
      <c r="B153" s="3" t="s">
        <v>118</v>
      </c>
      <c r="C153" s="3" t="s">
        <v>20</v>
      </c>
      <c r="D153" s="3" t="s">
        <v>119</v>
      </c>
      <c r="E153" s="3" t="s">
        <v>60</v>
      </c>
      <c r="F153" s="3"/>
      <c r="G153" s="3"/>
      <c r="H153" s="3" t="s">
        <v>13</v>
      </c>
      <c r="I153" s="3" t="s">
        <v>120</v>
      </c>
    </row>
    <row r="154" spans="1:9" s="5" customFormat="1" x14ac:dyDescent="0.35">
      <c r="A154" s="3" t="s">
        <v>8</v>
      </c>
      <c r="B154" s="3" t="s">
        <v>118</v>
      </c>
      <c r="C154" s="3" t="s">
        <v>20</v>
      </c>
      <c r="D154" s="3" t="s">
        <v>119</v>
      </c>
      <c r="E154" s="3" t="s">
        <v>27</v>
      </c>
      <c r="F154" s="3" t="s">
        <v>33</v>
      </c>
      <c r="G154" s="3" t="s">
        <v>2683</v>
      </c>
      <c r="H154" s="3"/>
      <c r="I154" s="3"/>
    </row>
    <row r="155" spans="1:9" s="5" customFormat="1" x14ac:dyDescent="0.35">
      <c r="A155" s="3" t="s">
        <v>8</v>
      </c>
      <c r="B155" s="3" t="s">
        <v>118</v>
      </c>
      <c r="C155" s="3" t="s">
        <v>20</v>
      </c>
      <c r="D155" s="3" t="s">
        <v>119</v>
      </c>
      <c r="E155" s="3" t="s">
        <v>87</v>
      </c>
      <c r="F155" s="3"/>
      <c r="G155" s="3"/>
      <c r="H155" s="3" t="s">
        <v>13</v>
      </c>
      <c r="I155" s="3" t="s">
        <v>120</v>
      </c>
    </row>
    <row r="156" spans="1:9" s="5" customFormat="1" x14ac:dyDescent="0.35">
      <c r="A156" s="3" t="s">
        <v>8</v>
      </c>
      <c r="B156" s="3" t="s">
        <v>118</v>
      </c>
      <c r="C156" s="3" t="s">
        <v>20</v>
      </c>
      <c r="D156" s="3" t="s">
        <v>119</v>
      </c>
      <c r="E156" s="3" t="s">
        <v>15</v>
      </c>
      <c r="F156" s="3"/>
      <c r="G156" s="3"/>
      <c r="H156" s="3" t="s">
        <v>13</v>
      </c>
      <c r="I156" s="3" t="s">
        <v>120</v>
      </c>
    </row>
    <row r="157" spans="1:9" s="5" customFormat="1" x14ac:dyDescent="0.35">
      <c r="A157" s="3" t="s">
        <v>8</v>
      </c>
      <c r="B157" s="3" t="s">
        <v>118</v>
      </c>
      <c r="C157" s="3" t="s">
        <v>20</v>
      </c>
      <c r="D157" s="3" t="s">
        <v>119</v>
      </c>
      <c r="E157" s="3" t="s">
        <v>89</v>
      </c>
      <c r="F157" s="3"/>
      <c r="G157" s="3" t="s">
        <v>2685</v>
      </c>
      <c r="H157" s="3" t="s">
        <v>13</v>
      </c>
      <c r="I157" s="3" t="s">
        <v>120</v>
      </c>
    </row>
    <row r="158" spans="1:9" s="5" customFormat="1" x14ac:dyDescent="0.35">
      <c r="A158" s="3" t="s">
        <v>8</v>
      </c>
      <c r="B158" s="3" t="s">
        <v>118</v>
      </c>
      <c r="C158" s="3" t="s">
        <v>20</v>
      </c>
      <c r="D158" s="3" t="s">
        <v>119</v>
      </c>
      <c r="E158" s="3" t="s">
        <v>32</v>
      </c>
      <c r="F158" s="3" t="s">
        <v>33</v>
      </c>
      <c r="G158" s="3" t="s">
        <v>2684</v>
      </c>
      <c r="H158" s="3"/>
      <c r="I158" s="3"/>
    </row>
    <row r="159" spans="1:9" s="5" customFormat="1" x14ac:dyDescent="0.35">
      <c r="A159" s="3" t="s">
        <v>8</v>
      </c>
      <c r="B159" s="3" t="s">
        <v>118</v>
      </c>
      <c r="C159" s="3" t="s">
        <v>20</v>
      </c>
      <c r="D159" s="3" t="s">
        <v>119</v>
      </c>
      <c r="E159" s="3" t="s">
        <v>26</v>
      </c>
      <c r="F159" s="3" t="s">
        <v>33</v>
      </c>
      <c r="G159" s="3" t="s">
        <v>2683</v>
      </c>
      <c r="H159" s="3"/>
      <c r="I159" s="3"/>
    </row>
    <row r="160" spans="1:9" s="5" customFormat="1" x14ac:dyDescent="0.35">
      <c r="A160" s="3" t="s">
        <v>8</v>
      </c>
      <c r="B160" s="3" t="s">
        <v>118</v>
      </c>
      <c r="C160" s="3" t="s">
        <v>20</v>
      </c>
      <c r="D160" s="3" t="s">
        <v>119</v>
      </c>
      <c r="E160" s="3" t="s">
        <v>29</v>
      </c>
      <c r="F160" s="3" t="s">
        <v>33</v>
      </c>
      <c r="G160" s="3" t="s">
        <v>2683</v>
      </c>
      <c r="H160" s="3"/>
      <c r="I160" s="3"/>
    </row>
    <row r="161" spans="1:9" s="5" customFormat="1" x14ac:dyDescent="0.35">
      <c r="A161" s="3" t="s">
        <v>8</v>
      </c>
      <c r="B161" s="3" t="s">
        <v>118</v>
      </c>
      <c r="C161" s="3" t="s">
        <v>20</v>
      </c>
      <c r="D161" s="3" t="s">
        <v>119</v>
      </c>
      <c r="E161" s="3" t="s">
        <v>24</v>
      </c>
      <c r="F161" s="3" t="s">
        <v>33</v>
      </c>
      <c r="G161" s="3" t="s">
        <v>2683</v>
      </c>
      <c r="H161" s="3"/>
      <c r="I161" s="3"/>
    </row>
    <row r="162" spans="1:9" s="5" customFormat="1" x14ac:dyDescent="0.35">
      <c r="A162" s="3" t="s">
        <v>8</v>
      </c>
      <c r="B162" s="3" t="s">
        <v>118</v>
      </c>
      <c r="C162" s="3" t="s">
        <v>39</v>
      </c>
      <c r="D162" s="3" t="s">
        <v>2531</v>
      </c>
      <c r="E162" s="3" t="s">
        <v>47</v>
      </c>
      <c r="F162" s="3" t="s">
        <v>16</v>
      </c>
      <c r="G162" s="3" t="s">
        <v>2532</v>
      </c>
      <c r="H162" s="3" t="s">
        <v>16</v>
      </c>
      <c r="I162" s="3" t="s">
        <v>120</v>
      </c>
    </row>
    <row r="163" spans="1:9" s="5" customFormat="1" x14ac:dyDescent="0.35">
      <c r="A163" s="3" t="s">
        <v>8</v>
      </c>
      <c r="B163" s="3" t="s">
        <v>118</v>
      </c>
      <c r="C163" s="3" t="s">
        <v>39</v>
      </c>
      <c r="D163" s="3" t="s">
        <v>2531</v>
      </c>
      <c r="E163" s="3" t="s">
        <v>25</v>
      </c>
      <c r="F163" s="3" t="s">
        <v>16</v>
      </c>
      <c r="G163" s="3" t="s">
        <v>2532</v>
      </c>
      <c r="H163" s="3" t="s">
        <v>16</v>
      </c>
      <c r="I163" s="3" t="s">
        <v>120</v>
      </c>
    </row>
    <row r="164" spans="1:9" s="5" customFormat="1" x14ac:dyDescent="0.35">
      <c r="A164" s="3" t="s">
        <v>8</v>
      </c>
      <c r="B164" s="3" t="s">
        <v>118</v>
      </c>
      <c r="C164" s="3" t="s">
        <v>39</v>
      </c>
      <c r="D164" s="3" t="s">
        <v>2531</v>
      </c>
      <c r="E164" s="3" t="s">
        <v>27</v>
      </c>
      <c r="F164" s="3" t="s">
        <v>16</v>
      </c>
      <c r="G164" s="3" t="s">
        <v>2532</v>
      </c>
      <c r="H164" s="3" t="s">
        <v>16</v>
      </c>
      <c r="I164" s="3" t="s">
        <v>120</v>
      </c>
    </row>
    <row r="165" spans="1:9" s="5" customFormat="1" x14ac:dyDescent="0.35">
      <c r="A165" s="3" t="s">
        <v>8</v>
      </c>
      <c r="B165" s="3" t="s">
        <v>118</v>
      </c>
      <c r="C165" s="3" t="s">
        <v>39</v>
      </c>
      <c r="D165" s="3" t="s">
        <v>2531</v>
      </c>
      <c r="E165" s="3" t="s">
        <v>15</v>
      </c>
      <c r="F165" s="3" t="s">
        <v>16</v>
      </c>
      <c r="G165" s="3" t="s">
        <v>2532</v>
      </c>
      <c r="H165" s="3" t="s">
        <v>16</v>
      </c>
      <c r="I165" s="3" t="s">
        <v>120</v>
      </c>
    </row>
    <row r="166" spans="1:9" s="5" customFormat="1" x14ac:dyDescent="0.35">
      <c r="A166" s="3" t="s">
        <v>8</v>
      </c>
      <c r="B166" s="3" t="s">
        <v>118</v>
      </c>
      <c r="C166" s="3" t="s">
        <v>39</v>
      </c>
      <c r="D166" s="3" t="s">
        <v>2531</v>
      </c>
      <c r="E166" s="3" t="s">
        <v>24</v>
      </c>
      <c r="F166" s="3" t="s">
        <v>16</v>
      </c>
      <c r="G166" s="3" t="s">
        <v>2532</v>
      </c>
      <c r="H166" s="3" t="s">
        <v>16</v>
      </c>
      <c r="I166" s="3" t="s">
        <v>120</v>
      </c>
    </row>
    <row r="167" spans="1:9" s="5" customFormat="1" x14ac:dyDescent="0.35">
      <c r="A167" s="3" t="s">
        <v>8</v>
      </c>
      <c r="B167" s="3" t="s">
        <v>118</v>
      </c>
      <c r="C167" s="3" t="s">
        <v>39</v>
      </c>
      <c r="D167" s="3" t="s">
        <v>2531</v>
      </c>
      <c r="E167" s="3" t="s">
        <v>134</v>
      </c>
      <c r="F167" s="3" t="s">
        <v>16</v>
      </c>
      <c r="G167" s="3" t="s">
        <v>2532</v>
      </c>
      <c r="H167" s="3" t="s">
        <v>16</v>
      </c>
      <c r="I167" s="3" t="s">
        <v>120</v>
      </c>
    </row>
    <row r="168" spans="1:9" s="5" customFormat="1" x14ac:dyDescent="0.35">
      <c r="A168" s="3" t="s">
        <v>8</v>
      </c>
      <c r="B168" s="3" t="s">
        <v>118</v>
      </c>
      <c r="C168" s="3" t="s">
        <v>42</v>
      </c>
      <c r="D168" s="3" t="s">
        <v>2623</v>
      </c>
      <c r="E168" s="3" t="s">
        <v>12</v>
      </c>
      <c r="F168" s="3"/>
      <c r="G168" s="3"/>
      <c r="H168" s="3" t="s">
        <v>16</v>
      </c>
      <c r="I168" s="3" t="s">
        <v>120</v>
      </c>
    </row>
    <row r="169" spans="1:9" s="5" customFormat="1" x14ac:dyDescent="0.35">
      <c r="A169" s="3" t="s">
        <v>8</v>
      </c>
      <c r="B169" s="3" t="s">
        <v>118</v>
      </c>
      <c r="C169" s="3" t="s">
        <v>42</v>
      </c>
      <c r="D169" s="3" t="s">
        <v>2623</v>
      </c>
      <c r="E169" s="3" t="s">
        <v>47</v>
      </c>
      <c r="F169" s="3"/>
      <c r="G169" s="3"/>
      <c r="H169" s="3" t="s">
        <v>16</v>
      </c>
      <c r="I169" s="3" t="s">
        <v>120</v>
      </c>
    </row>
    <row r="170" spans="1:9" s="5" customFormat="1" x14ac:dyDescent="0.35">
      <c r="A170" s="3" t="s">
        <v>8</v>
      </c>
      <c r="B170" s="3" t="s">
        <v>118</v>
      </c>
      <c r="C170" s="3" t="s">
        <v>42</v>
      </c>
      <c r="D170" s="3" t="s">
        <v>2623</v>
      </c>
      <c r="E170" s="3" t="s">
        <v>44</v>
      </c>
      <c r="F170" s="3"/>
      <c r="G170" s="3"/>
      <c r="H170" s="3" t="s">
        <v>16</v>
      </c>
      <c r="I170" s="3" t="s">
        <v>120</v>
      </c>
    </row>
    <row r="171" spans="1:9" s="5" customFormat="1" x14ac:dyDescent="0.35">
      <c r="A171" s="3" t="s">
        <v>8</v>
      </c>
      <c r="B171" s="3" t="s">
        <v>118</v>
      </c>
      <c r="C171" s="3" t="s">
        <v>42</v>
      </c>
      <c r="D171" s="3" t="s">
        <v>2623</v>
      </c>
      <c r="E171" s="3" t="s">
        <v>15</v>
      </c>
      <c r="F171" s="3" t="s">
        <v>16</v>
      </c>
      <c r="G171" s="3" t="s">
        <v>2625</v>
      </c>
      <c r="H171" s="3" t="s">
        <v>16</v>
      </c>
      <c r="I171" s="3" t="s">
        <v>120</v>
      </c>
    </row>
    <row r="172" spans="1:9" s="5" customFormat="1" x14ac:dyDescent="0.35">
      <c r="A172" s="3" t="s">
        <v>8</v>
      </c>
      <c r="B172" s="3" t="s">
        <v>118</v>
      </c>
      <c r="C172" s="3" t="s">
        <v>42</v>
      </c>
      <c r="D172" s="3" t="s">
        <v>2623</v>
      </c>
      <c r="E172" s="3" t="s">
        <v>56</v>
      </c>
      <c r="F172" s="3" t="s">
        <v>16</v>
      </c>
      <c r="G172" s="3" t="s">
        <v>2624</v>
      </c>
      <c r="H172" s="3" t="s">
        <v>16</v>
      </c>
      <c r="I172" s="3" t="s">
        <v>120</v>
      </c>
    </row>
    <row r="173" spans="1:9" s="5" customFormat="1" x14ac:dyDescent="0.35">
      <c r="A173" s="3" t="s">
        <v>8</v>
      </c>
      <c r="B173" s="3" t="s">
        <v>118</v>
      </c>
      <c r="C173" s="3" t="s">
        <v>42</v>
      </c>
      <c r="D173" s="3" t="s">
        <v>2623</v>
      </c>
      <c r="E173" s="3" t="s">
        <v>62</v>
      </c>
      <c r="F173" s="3"/>
      <c r="G173" s="3"/>
      <c r="H173" s="3" t="s">
        <v>16</v>
      </c>
      <c r="I173" s="3" t="s">
        <v>120</v>
      </c>
    </row>
    <row r="174" spans="1:9" s="5" customFormat="1" x14ac:dyDescent="0.35">
      <c r="A174" s="3" t="s">
        <v>8</v>
      </c>
      <c r="B174" s="3" t="s">
        <v>118</v>
      </c>
      <c r="C174" s="3" t="s">
        <v>42</v>
      </c>
      <c r="D174" s="3" t="s">
        <v>2623</v>
      </c>
      <c r="E174" s="3" t="s">
        <v>134</v>
      </c>
      <c r="F174" s="3" t="s">
        <v>16</v>
      </c>
      <c r="G174" s="3" t="s">
        <v>2626</v>
      </c>
      <c r="H174" s="3" t="s">
        <v>16</v>
      </c>
      <c r="I174" s="3" t="s">
        <v>120</v>
      </c>
    </row>
    <row r="175" spans="1:9" s="5" customFormat="1" x14ac:dyDescent="0.35">
      <c r="A175" s="3" t="s">
        <v>8</v>
      </c>
      <c r="B175" s="3" t="s">
        <v>118</v>
      </c>
      <c r="C175" s="3" t="s">
        <v>42</v>
      </c>
      <c r="D175" s="3" t="s">
        <v>2623</v>
      </c>
      <c r="E175" s="3" t="s">
        <v>107</v>
      </c>
      <c r="F175" s="3" t="s">
        <v>16</v>
      </c>
      <c r="G175" s="3" t="s">
        <v>2627</v>
      </c>
      <c r="H175" s="3" t="s">
        <v>16</v>
      </c>
      <c r="I175" s="3" t="s">
        <v>120</v>
      </c>
    </row>
    <row r="176" spans="1:9" s="5" customFormat="1" x14ac:dyDescent="0.35">
      <c r="A176" s="3" t="s">
        <v>8</v>
      </c>
      <c r="B176" s="3" t="s">
        <v>118</v>
      </c>
      <c r="C176" s="3" t="s">
        <v>10</v>
      </c>
      <c r="D176" s="3" t="s">
        <v>121</v>
      </c>
      <c r="E176" s="3" t="s">
        <v>47</v>
      </c>
      <c r="F176" s="3"/>
      <c r="G176" s="3"/>
      <c r="H176" s="3"/>
      <c r="I176" s="3"/>
    </row>
    <row r="177" spans="1:10" s="5" customFormat="1" x14ac:dyDescent="0.35">
      <c r="A177" s="3" t="s">
        <v>8</v>
      </c>
      <c r="B177" s="3" t="s">
        <v>118</v>
      </c>
      <c r="C177" s="3" t="s">
        <v>10</v>
      </c>
      <c r="D177" s="3" t="s">
        <v>121</v>
      </c>
      <c r="E177" s="3" t="s">
        <v>15</v>
      </c>
      <c r="F177" s="3"/>
      <c r="G177" s="3"/>
      <c r="H177" s="3"/>
      <c r="I177" s="3"/>
    </row>
    <row r="178" spans="1:10" s="5" customFormat="1" x14ac:dyDescent="0.35">
      <c r="A178" s="3" t="s">
        <v>8</v>
      </c>
      <c r="B178" s="3" t="s">
        <v>118</v>
      </c>
      <c r="C178" s="3" t="s">
        <v>45</v>
      </c>
      <c r="D178" s="3" t="s">
        <v>122</v>
      </c>
      <c r="E178" s="3" t="s">
        <v>77</v>
      </c>
      <c r="F178" s="3"/>
      <c r="G178" s="3"/>
      <c r="H178" s="3"/>
      <c r="I178" s="3"/>
    </row>
    <row r="179" spans="1:10" s="5" customFormat="1" x14ac:dyDescent="0.35">
      <c r="A179" s="3" t="s">
        <v>8</v>
      </c>
      <c r="B179" s="3" t="s">
        <v>123</v>
      </c>
      <c r="C179" s="3" t="s">
        <v>42</v>
      </c>
      <c r="D179" s="3" t="s">
        <v>2749</v>
      </c>
      <c r="E179" s="3" t="s">
        <v>12</v>
      </c>
      <c r="F179" s="3"/>
      <c r="G179" s="3"/>
      <c r="H179" s="3"/>
      <c r="I179" s="3"/>
    </row>
    <row r="180" spans="1:10" s="5" customFormat="1" x14ac:dyDescent="0.35">
      <c r="A180" s="3" t="s">
        <v>8</v>
      </c>
      <c r="B180" s="3" t="s">
        <v>123</v>
      </c>
      <c r="C180" s="3" t="s">
        <v>42</v>
      </c>
      <c r="D180" s="3" t="s">
        <v>2749</v>
      </c>
      <c r="E180" s="3" t="s">
        <v>44</v>
      </c>
      <c r="F180" s="3"/>
      <c r="G180" s="3"/>
      <c r="H180" s="3"/>
      <c r="I180" s="3"/>
    </row>
    <row r="181" spans="1:10" s="5" customFormat="1" x14ac:dyDescent="0.35">
      <c r="A181" s="3" t="s">
        <v>8</v>
      </c>
      <c r="B181" s="3" t="s">
        <v>123</v>
      </c>
      <c r="C181" s="3" t="s">
        <v>42</v>
      </c>
      <c r="D181" s="3" t="s">
        <v>2749</v>
      </c>
      <c r="E181" s="3" t="s">
        <v>15</v>
      </c>
      <c r="F181" s="3" t="s">
        <v>16</v>
      </c>
      <c r="G181" s="3" t="s">
        <v>2750</v>
      </c>
      <c r="H181" s="3"/>
      <c r="I181" s="3"/>
    </row>
    <row r="182" spans="1:10" s="5" customFormat="1" x14ac:dyDescent="0.35">
      <c r="A182" s="3" t="s">
        <v>8</v>
      </c>
      <c r="B182" s="3" t="s">
        <v>123</v>
      </c>
      <c r="C182" s="3" t="s">
        <v>42</v>
      </c>
      <c r="D182" s="3" t="s">
        <v>2749</v>
      </c>
      <c r="E182" s="3" t="s">
        <v>175</v>
      </c>
      <c r="G182" s="3"/>
      <c r="H182" s="3"/>
      <c r="I182" s="3"/>
    </row>
    <row r="183" spans="1:10" s="5" customFormat="1" x14ac:dyDescent="0.35">
      <c r="A183" s="3" t="s">
        <v>8</v>
      </c>
      <c r="B183" s="3" t="s">
        <v>123</v>
      </c>
      <c r="C183" s="3" t="s">
        <v>42</v>
      </c>
      <c r="D183" s="3" t="s">
        <v>2749</v>
      </c>
      <c r="E183" s="3" t="s">
        <v>82</v>
      </c>
      <c r="F183" s="3" t="s">
        <v>16</v>
      </c>
      <c r="G183" s="3" t="s">
        <v>2751</v>
      </c>
      <c r="H183" s="3"/>
      <c r="I183" s="3"/>
    </row>
    <row r="184" spans="1:10" s="5" customFormat="1" x14ac:dyDescent="0.35">
      <c r="A184" s="3" t="s">
        <v>8</v>
      </c>
      <c r="B184" s="3" t="s">
        <v>123</v>
      </c>
      <c r="C184" s="3" t="s">
        <v>20</v>
      </c>
      <c r="D184" s="3" t="s">
        <v>124</v>
      </c>
      <c r="E184" s="3" t="s">
        <v>12</v>
      </c>
      <c r="F184" s="3"/>
      <c r="G184" s="3"/>
      <c r="H184" s="3"/>
      <c r="I184" s="3"/>
    </row>
    <row r="185" spans="1:10" s="5" customFormat="1" x14ac:dyDescent="0.35">
      <c r="A185" s="3" t="s">
        <v>8</v>
      </c>
      <c r="B185" s="3" t="s">
        <v>123</v>
      </c>
      <c r="C185" s="3" t="s">
        <v>20</v>
      </c>
      <c r="D185" s="3" t="s">
        <v>124</v>
      </c>
      <c r="E185" s="3" t="s">
        <v>27</v>
      </c>
      <c r="F185" s="3"/>
      <c r="G185" s="3"/>
      <c r="H185" s="3"/>
      <c r="I185" s="3"/>
    </row>
    <row r="186" spans="1:10" s="5" customFormat="1" x14ac:dyDescent="0.35">
      <c r="A186" s="3" t="s">
        <v>8</v>
      </c>
      <c r="B186" s="3" t="s">
        <v>123</v>
      </c>
      <c r="C186" s="3" t="s">
        <v>20</v>
      </c>
      <c r="D186" s="3" t="s">
        <v>124</v>
      </c>
      <c r="E186" s="3" t="s">
        <v>87</v>
      </c>
      <c r="F186" s="3"/>
      <c r="G186" s="3"/>
      <c r="H186" s="3"/>
      <c r="I186" s="3"/>
    </row>
    <row r="187" spans="1:10" s="5" customFormat="1" x14ac:dyDescent="0.35">
      <c r="A187" s="3" t="s">
        <v>8</v>
      </c>
      <c r="B187" s="3" t="s">
        <v>123</v>
      </c>
      <c r="C187" s="3" t="s">
        <v>20</v>
      </c>
      <c r="D187" s="3" t="s">
        <v>124</v>
      </c>
      <c r="E187" s="3" t="s">
        <v>15</v>
      </c>
      <c r="F187" s="3" t="s">
        <v>16</v>
      </c>
      <c r="G187" s="3" t="s">
        <v>88</v>
      </c>
      <c r="H187" s="3"/>
      <c r="I187" s="3"/>
    </row>
    <row r="188" spans="1:10" s="5" customFormat="1" x14ac:dyDescent="0.35">
      <c r="A188" s="3" t="s">
        <v>8</v>
      </c>
      <c r="B188" s="3" t="s">
        <v>123</v>
      </c>
      <c r="C188" s="3" t="s">
        <v>20</v>
      </c>
      <c r="D188" s="3" t="s">
        <v>124</v>
      </c>
      <c r="E188" s="3" t="s">
        <v>29</v>
      </c>
      <c r="F188" s="3"/>
      <c r="G188" s="3" t="s">
        <v>2332</v>
      </c>
      <c r="H188" s="3"/>
      <c r="I188" s="3"/>
    </row>
    <row r="189" spans="1:10" s="5" customFormat="1" x14ac:dyDescent="0.35">
      <c r="A189" s="3" t="s">
        <v>8</v>
      </c>
      <c r="B189" s="3" t="s">
        <v>123</v>
      </c>
      <c r="C189" s="3" t="s">
        <v>20</v>
      </c>
      <c r="D189" s="3" t="s">
        <v>124</v>
      </c>
      <c r="E189" s="3" t="s">
        <v>24</v>
      </c>
      <c r="F189" s="3" t="s">
        <v>16</v>
      </c>
      <c r="G189" s="3" t="s">
        <v>125</v>
      </c>
      <c r="H189" s="3"/>
      <c r="I189" s="3"/>
    </row>
    <row r="190" spans="1:10" s="5" customFormat="1" x14ac:dyDescent="0.35">
      <c r="A190" s="3" t="s">
        <v>8</v>
      </c>
      <c r="B190" s="3" t="s">
        <v>123</v>
      </c>
      <c r="C190" s="3" t="s">
        <v>45</v>
      </c>
      <c r="D190" s="3" t="s">
        <v>126</v>
      </c>
      <c r="E190" s="3" t="s">
        <v>77</v>
      </c>
      <c r="F190" s="3" t="s">
        <v>33</v>
      </c>
      <c r="G190" s="3" t="s">
        <v>34</v>
      </c>
      <c r="H190" s="3"/>
      <c r="I190" s="3"/>
      <c r="J190" s="10"/>
    </row>
    <row r="191" spans="1:10" s="5" customFormat="1" x14ac:dyDescent="0.35">
      <c r="A191" s="3" t="s">
        <v>8</v>
      </c>
      <c r="B191" s="3" t="s">
        <v>123</v>
      </c>
      <c r="C191" s="3" t="s">
        <v>45</v>
      </c>
      <c r="D191" s="3" t="s">
        <v>126</v>
      </c>
      <c r="E191" s="3" t="s">
        <v>87</v>
      </c>
      <c r="F191" s="3"/>
      <c r="G191" s="3"/>
      <c r="H191" s="3"/>
      <c r="I191" s="3"/>
    </row>
    <row r="192" spans="1:10" s="5" customFormat="1" x14ac:dyDescent="0.35">
      <c r="A192" s="3" t="s">
        <v>8</v>
      </c>
      <c r="B192" s="3" t="s">
        <v>123</v>
      </c>
      <c r="C192" s="3" t="s">
        <v>45</v>
      </c>
      <c r="D192" s="3" t="s">
        <v>126</v>
      </c>
      <c r="E192" s="3" t="s">
        <v>15</v>
      </c>
      <c r="F192" s="3" t="s">
        <v>33</v>
      </c>
      <c r="G192" s="3" t="s">
        <v>34</v>
      </c>
      <c r="H192" s="3"/>
      <c r="I192" s="3"/>
      <c r="J192" s="10"/>
    </row>
    <row r="193" spans="1:9" s="5" customFormat="1" x14ac:dyDescent="0.35">
      <c r="A193" s="3" t="s">
        <v>8</v>
      </c>
      <c r="B193" s="3" t="s">
        <v>123</v>
      </c>
      <c r="C193" s="3" t="s">
        <v>45</v>
      </c>
      <c r="D193" s="3" t="s">
        <v>126</v>
      </c>
      <c r="E193" s="3" t="s">
        <v>24</v>
      </c>
      <c r="F193" s="3"/>
      <c r="G193" s="3"/>
      <c r="H193" s="3"/>
      <c r="I193" s="3"/>
    </row>
    <row r="194" spans="1:9" s="5" customFormat="1" x14ac:dyDescent="0.35">
      <c r="A194" s="3" t="s">
        <v>8</v>
      </c>
      <c r="B194" s="3" t="s">
        <v>128</v>
      </c>
      <c r="C194" s="3" t="s">
        <v>129</v>
      </c>
      <c r="D194" s="3" t="s">
        <v>130</v>
      </c>
      <c r="E194" s="3" t="s">
        <v>12</v>
      </c>
      <c r="F194" s="3"/>
      <c r="G194" s="3"/>
      <c r="H194" s="3"/>
      <c r="I194" s="3"/>
    </row>
    <row r="195" spans="1:9" s="5" customFormat="1" x14ac:dyDescent="0.35">
      <c r="A195" s="3" t="s">
        <v>8</v>
      </c>
      <c r="B195" s="3" t="s">
        <v>128</v>
      </c>
      <c r="C195" s="3" t="s">
        <v>129</v>
      </c>
      <c r="D195" s="3" t="s">
        <v>130</v>
      </c>
      <c r="E195" s="3" t="s">
        <v>25</v>
      </c>
      <c r="F195" s="3" t="s">
        <v>13</v>
      </c>
      <c r="G195" s="3" t="s">
        <v>131</v>
      </c>
      <c r="H195" s="3"/>
      <c r="I195" s="3"/>
    </row>
    <row r="196" spans="1:9" s="5" customFormat="1" x14ac:dyDescent="0.35">
      <c r="A196" s="3" t="s">
        <v>8</v>
      </c>
      <c r="B196" s="3" t="s">
        <v>128</v>
      </c>
      <c r="C196" s="3" t="s">
        <v>129</v>
      </c>
      <c r="D196" s="3" t="s">
        <v>130</v>
      </c>
      <c r="E196" s="3" t="s">
        <v>60</v>
      </c>
      <c r="F196" s="3" t="s">
        <v>13</v>
      </c>
      <c r="G196" s="3" t="s">
        <v>131</v>
      </c>
      <c r="H196" s="3"/>
      <c r="I196" s="3"/>
    </row>
    <row r="197" spans="1:9" s="5" customFormat="1" x14ac:dyDescent="0.35">
      <c r="A197" s="3" t="s">
        <v>8</v>
      </c>
      <c r="B197" s="3" t="s">
        <v>128</v>
      </c>
      <c r="C197" s="3" t="s">
        <v>129</v>
      </c>
      <c r="D197" s="3" t="s">
        <v>130</v>
      </c>
      <c r="E197" s="3" t="s">
        <v>28</v>
      </c>
      <c r="F197" s="3" t="s">
        <v>13</v>
      </c>
      <c r="G197" s="3" t="s">
        <v>131</v>
      </c>
      <c r="H197" s="3"/>
      <c r="I197" s="3"/>
    </row>
    <row r="198" spans="1:9" s="5" customFormat="1" x14ac:dyDescent="0.35">
      <c r="A198" s="3" t="s">
        <v>8</v>
      </c>
      <c r="B198" s="3" t="s">
        <v>128</v>
      </c>
      <c r="C198" s="3" t="s">
        <v>129</v>
      </c>
      <c r="D198" s="3" t="s">
        <v>130</v>
      </c>
      <c r="E198" s="3" t="s">
        <v>87</v>
      </c>
      <c r="F198" s="3" t="s">
        <v>13</v>
      </c>
      <c r="G198" s="3" t="s">
        <v>131</v>
      </c>
      <c r="H198" s="3"/>
      <c r="I198" s="3"/>
    </row>
    <row r="199" spans="1:9" s="5" customFormat="1" x14ac:dyDescent="0.35">
      <c r="A199" s="3" t="s">
        <v>8</v>
      </c>
      <c r="B199" s="3" t="s">
        <v>128</v>
      </c>
      <c r="C199" s="3" t="s">
        <v>129</v>
      </c>
      <c r="D199" s="3" t="s">
        <v>130</v>
      </c>
      <c r="E199" s="3" t="s">
        <v>37</v>
      </c>
      <c r="F199" s="3" t="s">
        <v>13</v>
      </c>
      <c r="G199" s="3" t="s">
        <v>131</v>
      </c>
      <c r="H199" s="3"/>
      <c r="I199" s="3"/>
    </row>
    <row r="200" spans="1:9" s="5" customFormat="1" x14ac:dyDescent="0.35">
      <c r="A200" s="3" t="s">
        <v>8</v>
      </c>
      <c r="B200" s="3" t="s">
        <v>128</v>
      </c>
      <c r="C200" s="3" t="s">
        <v>129</v>
      </c>
      <c r="D200" s="3" t="s">
        <v>130</v>
      </c>
      <c r="E200" s="3" t="s">
        <v>32</v>
      </c>
      <c r="F200" s="3" t="s">
        <v>13</v>
      </c>
      <c r="G200" s="3" t="s">
        <v>131</v>
      </c>
      <c r="H200" s="3"/>
      <c r="I200" s="3"/>
    </row>
    <row r="201" spans="1:9" s="5" customFormat="1" x14ac:dyDescent="0.35">
      <c r="A201" s="3" t="s">
        <v>8</v>
      </c>
      <c r="B201" s="3" t="s">
        <v>128</v>
      </c>
      <c r="C201" s="3" t="s">
        <v>129</v>
      </c>
      <c r="D201" s="3" t="s">
        <v>130</v>
      </c>
      <c r="E201" s="3" t="s">
        <v>62</v>
      </c>
      <c r="F201" s="3" t="s">
        <v>13</v>
      </c>
      <c r="G201" s="3" t="s">
        <v>131</v>
      </c>
      <c r="H201" s="3"/>
      <c r="I201" s="3"/>
    </row>
    <row r="202" spans="1:9" s="5" customFormat="1" x14ac:dyDescent="0.35">
      <c r="A202" s="3" t="s">
        <v>8</v>
      </c>
      <c r="B202" s="3" t="s">
        <v>128</v>
      </c>
      <c r="C202" s="3" t="s">
        <v>129</v>
      </c>
      <c r="D202" s="3" t="s">
        <v>132</v>
      </c>
      <c r="E202" s="3" t="s">
        <v>15</v>
      </c>
      <c r="F202" s="3" t="s">
        <v>13</v>
      </c>
      <c r="G202" s="3" t="s">
        <v>133</v>
      </c>
      <c r="H202" s="3"/>
      <c r="I202" s="3"/>
    </row>
    <row r="203" spans="1:9" s="5" customFormat="1" x14ac:dyDescent="0.35">
      <c r="A203" s="3" t="s">
        <v>8</v>
      </c>
      <c r="B203" s="3" t="s">
        <v>128</v>
      </c>
      <c r="C203" s="3" t="s">
        <v>129</v>
      </c>
      <c r="D203" s="3" t="s">
        <v>132</v>
      </c>
      <c r="E203" s="3" t="s">
        <v>134</v>
      </c>
      <c r="F203" s="3" t="s">
        <v>13</v>
      </c>
      <c r="G203" s="3" t="s">
        <v>133</v>
      </c>
      <c r="H203" s="3"/>
      <c r="I203" s="3"/>
    </row>
    <row r="204" spans="1:9" s="5" customFormat="1" x14ac:dyDescent="0.35">
      <c r="A204" s="3" t="s">
        <v>8</v>
      </c>
      <c r="B204" s="3" t="s">
        <v>128</v>
      </c>
      <c r="C204" s="3" t="s">
        <v>129</v>
      </c>
      <c r="D204" s="3" t="s">
        <v>132</v>
      </c>
      <c r="E204" s="3" t="s">
        <v>107</v>
      </c>
      <c r="F204" s="3" t="s">
        <v>13</v>
      </c>
      <c r="G204" s="3" t="s">
        <v>133</v>
      </c>
      <c r="H204" s="3"/>
      <c r="I204" s="3"/>
    </row>
    <row r="205" spans="1:9" s="5" customFormat="1" x14ac:dyDescent="0.35">
      <c r="A205" s="3" t="s">
        <v>8</v>
      </c>
      <c r="B205" s="3" t="s">
        <v>128</v>
      </c>
      <c r="C205" s="3" t="s">
        <v>129</v>
      </c>
      <c r="D205" s="3" t="s">
        <v>135</v>
      </c>
      <c r="E205" s="3" t="s">
        <v>15</v>
      </c>
      <c r="F205" s="3" t="s">
        <v>13</v>
      </c>
      <c r="G205" s="3" t="s">
        <v>137</v>
      </c>
      <c r="H205" s="3"/>
      <c r="I205" s="3"/>
    </row>
    <row r="206" spans="1:9" s="5" customFormat="1" x14ac:dyDescent="0.35">
      <c r="A206" s="3" t="s">
        <v>8</v>
      </c>
      <c r="B206" s="3" t="s">
        <v>128</v>
      </c>
      <c r="C206" s="3" t="s">
        <v>129</v>
      </c>
      <c r="D206" s="3" t="s">
        <v>135</v>
      </c>
      <c r="E206" s="3" t="s">
        <v>56</v>
      </c>
      <c r="F206" s="3" t="s">
        <v>13</v>
      </c>
      <c r="G206" s="3" t="s">
        <v>136</v>
      </c>
      <c r="H206" s="3"/>
      <c r="I206" s="3"/>
    </row>
    <row r="207" spans="1:9" s="5" customFormat="1" x14ac:dyDescent="0.35">
      <c r="A207" s="3" t="s">
        <v>8</v>
      </c>
      <c r="B207" s="3" t="s">
        <v>128</v>
      </c>
      <c r="C207" s="3" t="s">
        <v>129</v>
      </c>
      <c r="D207" s="3" t="s">
        <v>135</v>
      </c>
      <c r="E207" s="3" t="s">
        <v>26</v>
      </c>
      <c r="F207" s="3"/>
      <c r="G207" s="3"/>
      <c r="H207" s="3"/>
      <c r="I207" s="3"/>
    </row>
    <row r="208" spans="1:9" s="5" customFormat="1" x14ac:dyDescent="0.35">
      <c r="A208" s="3" t="s">
        <v>8</v>
      </c>
      <c r="B208" s="3" t="s">
        <v>128</v>
      </c>
      <c r="C208" s="3" t="s">
        <v>129</v>
      </c>
      <c r="D208" s="3" t="s">
        <v>135</v>
      </c>
      <c r="E208" s="3" t="s">
        <v>29</v>
      </c>
      <c r="F208" s="3" t="s">
        <v>13</v>
      </c>
      <c r="G208" s="3" t="s">
        <v>136</v>
      </c>
      <c r="H208" s="3"/>
      <c r="I208" s="3"/>
    </row>
    <row r="209" spans="1:9" s="5" customFormat="1" x14ac:dyDescent="0.35">
      <c r="A209" s="3" t="s">
        <v>8</v>
      </c>
      <c r="B209" s="3" t="s">
        <v>128</v>
      </c>
      <c r="C209" s="3" t="s">
        <v>129</v>
      </c>
      <c r="D209" s="3" t="s">
        <v>135</v>
      </c>
      <c r="E209" s="3" t="s">
        <v>134</v>
      </c>
      <c r="F209" s="3"/>
      <c r="G209" s="3"/>
      <c r="H209" s="3"/>
      <c r="I209" s="3"/>
    </row>
    <row r="210" spans="1:9" s="5" customFormat="1" x14ac:dyDescent="0.35">
      <c r="A210" s="3" t="s">
        <v>8</v>
      </c>
      <c r="B210" s="3" t="s">
        <v>128</v>
      </c>
      <c r="C210" s="3" t="s">
        <v>10</v>
      </c>
      <c r="D210" s="3" t="s">
        <v>138</v>
      </c>
      <c r="E210" s="3" t="s">
        <v>32</v>
      </c>
      <c r="F210" s="3"/>
      <c r="G210" s="3"/>
      <c r="H210" s="3"/>
      <c r="I210" s="3"/>
    </row>
    <row r="211" spans="1:9" s="5" customFormat="1" x14ac:dyDescent="0.35">
      <c r="A211" s="3" t="s">
        <v>8</v>
      </c>
      <c r="B211" s="3" t="s">
        <v>128</v>
      </c>
      <c r="C211" s="3" t="s">
        <v>10</v>
      </c>
      <c r="D211" s="3" t="s">
        <v>138</v>
      </c>
      <c r="E211" s="3" t="s">
        <v>107</v>
      </c>
      <c r="F211" s="3"/>
      <c r="G211" s="3"/>
      <c r="H211" s="3"/>
      <c r="I211" s="3"/>
    </row>
    <row r="212" spans="1:9" s="5" customFormat="1" x14ac:dyDescent="0.35">
      <c r="A212" s="3" t="s">
        <v>8</v>
      </c>
      <c r="B212" s="3" t="s">
        <v>128</v>
      </c>
      <c r="C212" s="3" t="s">
        <v>10</v>
      </c>
      <c r="D212" s="3" t="s">
        <v>2884</v>
      </c>
      <c r="E212" s="3" t="s">
        <v>12</v>
      </c>
      <c r="F212" s="3"/>
      <c r="G212" s="3"/>
      <c r="H212" s="3"/>
      <c r="I212" s="3"/>
    </row>
    <row r="213" spans="1:9" s="5" customFormat="1" x14ac:dyDescent="0.35">
      <c r="A213" s="3" t="s">
        <v>8</v>
      </c>
      <c r="B213" s="3" t="s">
        <v>128</v>
      </c>
      <c r="C213" s="3" t="s">
        <v>10</v>
      </c>
      <c r="D213" s="3" t="s">
        <v>2884</v>
      </c>
      <c r="E213" s="3" t="s">
        <v>47</v>
      </c>
      <c r="F213" s="3"/>
      <c r="G213" s="3"/>
      <c r="H213" s="3"/>
      <c r="I213" s="3"/>
    </row>
    <row r="214" spans="1:9" s="5" customFormat="1" x14ac:dyDescent="0.35">
      <c r="A214" s="3" t="s">
        <v>8</v>
      </c>
      <c r="B214" s="3" t="s">
        <v>128</v>
      </c>
      <c r="C214" s="3" t="s">
        <v>10</v>
      </c>
      <c r="D214" s="3" t="s">
        <v>2885</v>
      </c>
      <c r="E214" s="3" t="s">
        <v>12</v>
      </c>
      <c r="F214" s="3"/>
      <c r="G214" s="3"/>
      <c r="H214" s="3"/>
      <c r="I214" s="3"/>
    </row>
    <row r="215" spans="1:9" s="5" customFormat="1" x14ac:dyDescent="0.35">
      <c r="A215" s="3" t="s">
        <v>8</v>
      </c>
      <c r="B215" s="3" t="s">
        <v>128</v>
      </c>
      <c r="C215" s="3" t="s">
        <v>10</v>
      </c>
      <c r="D215" s="3" t="s">
        <v>2885</v>
      </c>
      <c r="E215" s="3" t="s">
        <v>47</v>
      </c>
      <c r="F215" s="3"/>
      <c r="G215" s="3"/>
      <c r="H215" s="3"/>
      <c r="I215" s="3"/>
    </row>
    <row r="216" spans="1:9" s="5" customFormat="1" x14ac:dyDescent="0.35">
      <c r="A216" s="3" t="s">
        <v>8</v>
      </c>
      <c r="B216" s="3" t="s">
        <v>128</v>
      </c>
      <c r="C216" s="3" t="s">
        <v>129</v>
      </c>
      <c r="D216" s="3" t="s">
        <v>139</v>
      </c>
      <c r="E216" s="3" t="s">
        <v>12</v>
      </c>
      <c r="F216" s="3"/>
      <c r="G216" s="3"/>
      <c r="H216" s="3"/>
      <c r="I216" s="3"/>
    </row>
    <row r="217" spans="1:9" s="5" customFormat="1" x14ac:dyDescent="0.35">
      <c r="A217" s="3" t="s">
        <v>8</v>
      </c>
      <c r="B217" s="3" t="s">
        <v>128</v>
      </c>
      <c r="C217" s="3" t="s">
        <v>129</v>
      </c>
      <c r="D217" s="3" t="s">
        <v>139</v>
      </c>
      <c r="E217" s="3" t="s">
        <v>47</v>
      </c>
      <c r="F217" s="3"/>
      <c r="G217" s="3" t="s">
        <v>2371</v>
      </c>
      <c r="H217" s="3"/>
      <c r="I217" s="3"/>
    </row>
    <row r="218" spans="1:9" s="5" customFormat="1" x14ac:dyDescent="0.35">
      <c r="A218" s="3" t="s">
        <v>8</v>
      </c>
      <c r="B218" s="3" t="s">
        <v>128</v>
      </c>
      <c r="C218" s="3" t="s">
        <v>129</v>
      </c>
      <c r="D218" s="3" t="s">
        <v>139</v>
      </c>
      <c r="E218" s="3" t="s">
        <v>25</v>
      </c>
      <c r="F218" s="3"/>
      <c r="G218" s="3"/>
      <c r="H218" s="3"/>
      <c r="I218" s="3"/>
    </row>
    <row r="219" spans="1:9" s="5" customFormat="1" x14ac:dyDescent="0.35">
      <c r="A219" s="3" t="s">
        <v>8</v>
      </c>
      <c r="B219" s="3" t="s">
        <v>128</v>
      </c>
      <c r="C219" s="3" t="s">
        <v>129</v>
      </c>
      <c r="D219" s="3" t="s">
        <v>139</v>
      </c>
      <c r="E219" s="3" t="s">
        <v>141</v>
      </c>
      <c r="F219" s="3"/>
      <c r="G219" s="3"/>
      <c r="H219" s="3"/>
      <c r="I219" s="3"/>
    </row>
    <row r="220" spans="1:9" s="5" customFormat="1" x14ac:dyDescent="0.35">
      <c r="A220" s="3" t="s">
        <v>8</v>
      </c>
      <c r="B220" s="3" t="s">
        <v>128</v>
      </c>
      <c r="C220" s="3" t="s">
        <v>129</v>
      </c>
      <c r="D220" s="3" t="s">
        <v>139</v>
      </c>
      <c r="E220" s="3" t="s">
        <v>71</v>
      </c>
      <c r="F220" s="3"/>
      <c r="G220" s="3"/>
      <c r="H220" s="3"/>
      <c r="I220" s="3"/>
    </row>
    <row r="221" spans="1:9" s="5" customFormat="1" x14ac:dyDescent="0.35">
      <c r="A221" s="3" t="s">
        <v>8</v>
      </c>
      <c r="B221" s="3" t="s">
        <v>128</v>
      </c>
      <c r="C221" s="3" t="s">
        <v>129</v>
      </c>
      <c r="D221" s="3" t="s">
        <v>139</v>
      </c>
      <c r="E221" s="3" t="s">
        <v>142</v>
      </c>
      <c r="F221" s="3"/>
      <c r="G221" s="3"/>
      <c r="H221" s="3"/>
      <c r="I221" s="3"/>
    </row>
    <row r="222" spans="1:9" s="5" customFormat="1" x14ac:dyDescent="0.35">
      <c r="A222" s="3" t="s">
        <v>8</v>
      </c>
      <c r="B222" s="3" t="s">
        <v>128</v>
      </c>
      <c r="C222" s="3" t="s">
        <v>129</v>
      </c>
      <c r="D222" s="3" t="s">
        <v>139</v>
      </c>
      <c r="E222" s="3" t="s">
        <v>87</v>
      </c>
      <c r="F222" s="3"/>
      <c r="G222" s="3"/>
      <c r="H222" s="3"/>
      <c r="I222" s="3"/>
    </row>
    <row r="223" spans="1:9" s="5" customFormat="1" x14ac:dyDescent="0.35">
      <c r="A223" s="3" t="s">
        <v>8</v>
      </c>
      <c r="B223" s="3" t="s">
        <v>128</v>
      </c>
      <c r="C223" s="3" t="s">
        <v>129</v>
      </c>
      <c r="D223" s="3" t="s">
        <v>139</v>
      </c>
      <c r="E223" s="3" t="s">
        <v>15</v>
      </c>
      <c r="F223" s="3" t="s">
        <v>13</v>
      </c>
      <c r="G223" s="3" t="s">
        <v>143</v>
      </c>
      <c r="H223" s="3"/>
      <c r="I223" s="3"/>
    </row>
    <row r="224" spans="1:9" s="5" customFormat="1" x14ac:dyDescent="0.35">
      <c r="A224" s="3" t="s">
        <v>8</v>
      </c>
      <c r="B224" s="3" t="s">
        <v>128</v>
      </c>
      <c r="C224" s="3" t="s">
        <v>129</v>
      </c>
      <c r="D224" s="3" t="s">
        <v>139</v>
      </c>
      <c r="E224" s="3" t="s">
        <v>37</v>
      </c>
      <c r="F224" s="3"/>
      <c r="G224" s="3"/>
      <c r="H224" s="3"/>
      <c r="I224" s="3"/>
    </row>
    <row r="225" spans="1:9" s="5" customFormat="1" x14ac:dyDescent="0.35">
      <c r="A225" s="3" t="s">
        <v>8</v>
      </c>
      <c r="B225" s="3" t="s">
        <v>128</v>
      </c>
      <c r="C225" s="3" t="s">
        <v>129</v>
      </c>
      <c r="D225" s="3" t="s">
        <v>139</v>
      </c>
      <c r="E225" s="3" t="s">
        <v>32</v>
      </c>
      <c r="F225" s="3"/>
      <c r="G225" s="3" t="s">
        <v>140</v>
      </c>
      <c r="H225" s="3"/>
      <c r="I225" s="3"/>
    </row>
    <row r="226" spans="1:9" s="5" customFormat="1" x14ac:dyDescent="0.35">
      <c r="A226" s="3" t="s">
        <v>8</v>
      </c>
      <c r="B226" s="3" t="s">
        <v>128</v>
      </c>
      <c r="C226" s="3" t="s">
        <v>129</v>
      </c>
      <c r="D226" s="3" t="s">
        <v>139</v>
      </c>
      <c r="E226" s="3" t="s">
        <v>29</v>
      </c>
      <c r="F226" s="3"/>
      <c r="G226" s="3"/>
      <c r="H226" s="3"/>
      <c r="I226" s="3"/>
    </row>
    <row r="227" spans="1:9" s="5" customFormat="1" x14ac:dyDescent="0.35">
      <c r="A227" s="3" t="s">
        <v>8</v>
      </c>
      <c r="B227" s="3" t="s">
        <v>128</v>
      </c>
      <c r="C227" s="3" t="s">
        <v>129</v>
      </c>
      <c r="D227" s="3" t="s">
        <v>139</v>
      </c>
      <c r="E227" s="3" t="s">
        <v>62</v>
      </c>
      <c r="F227" s="3"/>
      <c r="G227" s="3"/>
      <c r="H227" s="3"/>
      <c r="I227" s="3"/>
    </row>
    <row r="228" spans="1:9" s="5" customFormat="1" x14ac:dyDescent="0.35">
      <c r="A228" s="3" t="s">
        <v>8</v>
      </c>
      <c r="B228" s="3" t="s">
        <v>128</v>
      </c>
      <c r="C228" s="3" t="s">
        <v>129</v>
      </c>
      <c r="D228" s="3" t="s">
        <v>139</v>
      </c>
      <c r="E228" s="3" t="s">
        <v>24</v>
      </c>
      <c r="F228" s="3"/>
      <c r="G228" s="3"/>
      <c r="H228" s="3"/>
      <c r="I228" s="3"/>
    </row>
    <row r="229" spans="1:9" s="5" customFormat="1" x14ac:dyDescent="0.35">
      <c r="A229" s="3" t="s">
        <v>8</v>
      </c>
      <c r="B229" s="3" t="s">
        <v>128</v>
      </c>
      <c r="C229" s="3" t="s">
        <v>129</v>
      </c>
      <c r="D229" s="3" t="s">
        <v>139</v>
      </c>
      <c r="E229" s="3" t="s">
        <v>134</v>
      </c>
      <c r="F229" s="3"/>
      <c r="G229" s="3"/>
      <c r="H229" s="3"/>
      <c r="I229" s="3"/>
    </row>
    <row r="230" spans="1:9" s="5" customFormat="1" x14ac:dyDescent="0.35">
      <c r="A230" s="3" t="s">
        <v>8</v>
      </c>
      <c r="B230" s="3" t="s">
        <v>128</v>
      </c>
      <c r="C230" s="3" t="s">
        <v>129</v>
      </c>
      <c r="D230" s="3" t="s">
        <v>139</v>
      </c>
      <c r="E230" s="3" t="s">
        <v>107</v>
      </c>
      <c r="F230" s="3" t="s">
        <v>13</v>
      </c>
      <c r="G230" s="3" t="s">
        <v>144</v>
      </c>
      <c r="H230" s="3"/>
      <c r="I230" s="3"/>
    </row>
    <row r="231" spans="1:9" s="5" customFormat="1" x14ac:dyDescent="0.35">
      <c r="A231" s="3" t="s">
        <v>8</v>
      </c>
      <c r="B231" s="3" t="s">
        <v>128</v>
      </c>
      <c r="C231" s="3" t="s">
        <v>10</v>
      </c>
      <c r="D231" s="3" t="s">
        <v>145</v>
      </c>
      <c r="E231" s="3" t="s">
        <v>87</v>
      </c>
      <c r="F231" s="3"/>
      <c r="G231" s="3"/>
      <c r="H231" s="3"/>
      <c r="I231" s="3"/>
    </row>
    <row r="232" spans="1:9" s="5" customFormat="1" x14ac:dyDescent="0.35">
      <c r="A232" s="3" t="s">
        <v>8</v>
      </c>
      <c r="B232" s="3" t="s">
        <v>128</v>
      </c>
      <c r="C232" s="3" t="s">
        <v>10</v>
      </c>
      <c r="D232" s="3" t="s">
        <v>145</v>
      </c>
      <c r="E232" s="3" t="s">
        <v>15</v>
      </c>
      <c r="F232" s="3"/>
      <c r="G232" s="3"/>
      <c r="H232" s="3"/>
      <c r="I232" s="3"/>
    </row>
    <row r="233" spans="1:9" s="5" customFormat="1" x14ac:dyDescent="0.35">
      <c r="A233" s="3" t="s">
        <v>8</v>
      </c>
      <c r="B233" s="3" t="s">
        <v>128</v>
      </c>
      <c r="C233" s="3" t="s">
        <v>10</v>
      </c>
      <c r="D233" s="3" t="s">
        <v>145</v>
      </c>
      <c r="E233" s="3" t="s">
        <v>32</v>
      </c>
      <c r="F233" s="3"/>
      <c r="G233" s="3"/>
      <c r="H233" s="3"/>
      <c r="I233" s="3"/>
    </row>
    <row r="234" spans="1:9" s="5" customFormat="1" x14ac:dyDescent="0.35">
      <c r="A234" s="3" t="s">
        <v>8</v>
      </c>
      <c r="B234" s="3" t="s">
        <v>128</v>
      </c>
      <c r="C234" s="3" t="s">
        <v>10</v>
      </c>
      <c r="D234" s="3" t="s">
        <v>145</v>
      </c>
      <c r="E234" s="3" t="s">
        <v>29</v>
      </c>
      <c r="F234" s="3"/>
      <c r="G234" s="3"/>
      <c r="H234" s="3"/>
      <c r="I234" s="3"/>
    </row>
    <row r="235" spans="1:9" s="5" customFormat="1" x14ac:dyDescent="0.35">
      <c r="A235" s="3" t="s">
        <v>8</v>
      </c>
      <c r="B235" s="3" t="s">
        <v>128</v>
      </c>
      <c r="C235" s="3" t="s">
        <v>42</v>
      </c>
      <c r="D235" s="3" t="s">
        <v>146</v>
      </c>
      <c r="E235" s="3" t="s">
        <v>12</v>
      </c>
      <c r="F235" s="3"/>
      <c r="G235" s="3"/>
      <c r="H235" s="3"/>
      <c r="I235" s="3"/>
    </row>
    <row r="236" spans="1:9" s="5" customFormat="1" x14ac:dyDescent="0.35">
      <c r="A236" s="3" t="s">
        <v>8</v>
      </c>
      <c r="B236" s="3" t="s">
        <v>128</v>
      </c>
      <c r="C236" s="3" t="s">
        <v>42</v>
      </c>
      <c r="D236" s="3" t="s">
        <v>146</v>
      </c>
      <c r="E236" s="3" t="s">
        <v>25</v>
      </c>
      <c r="F236" s="3"/>
      <c r="G236" s="3"/>
      <c r="H236" s="3"/>
      <c r="I236" s="3"/>
    </row>
    <row r="237" spans="1:9" s="5" customFormat="1" x14ac:dyDescent="0.35">
      <c r="A237" s="3" t="s">
        <v>8</v>
      </c>
      <c r="B237" s="3" t="s">
        <v>128</v>
      </c>
      <c r="C237" s="3" t="s">
        <v>42</v>
      </c>
      <c r="D237" s="3" t="s">
        <v>146</v>
      </c>
      <c r="E237" s="3" t="s">
        <v>60</v>
      </c>
      <c r="F237" s="3"/>
      <c r="G237" s="3"/>
      <c r="H237" s="3"/>
      <c r="I237" s="3"/>
    </row>
    <row r="238" spans="1:9" s="5" customFormat="1" x14ac:dyDescent="0.35">
      <c r="A238" s="3" t="s">
        <v>8</v>
      </c>
      <c r="B238" s="3" t="s">
        <v>128</v>
      </c>
      <c r="C238" s="3" t="s">
        <v>42</v>
      </c>
      <c r="D238" s="3" t="s">
        <v>146</v>
      </c>
      <c r="E238" s="3" t="s">
        <v>142</v>
      </c>
      <c r="F238" s="3" t="s">
        <v>13</v>
      </c>
      <c r="G238" s="3" t="s">
        <v>144</v>
      </c>
      <c r="H238" s="3"/>
      <c r="I238" s="3"/>
    </row>
    <row r="239" spans="1:9" s="5" customFormat="1" x14ac:dyDescent="0.35">
      <c r="A239" s="3" t="s">
        <v>8</v>
      </c>
      <c r="B239" s="3" t="s">
        <v>128</v>
      </c>
      <c r="C239" s="3" t="s">
        <v>42</v>
      </c>
      <c r="D239" s="3" t="s">
        <v>146</v>
      </c>
      <c r="E239" s="3" t="s">
        <v>87</v>
      </c>
      <c r="F239" s="3" t="s">
        <v>13</v>
      </c>
      <c r="G239" s="3" t="s">
        <v>144</v>
      </c>
      <c r="H239" s="3"/>
      <c r="I239" s="3"/>
    </row>
    <row r="240" spans="1:9" s="5" customFormat="1" x14ac:dyDescent="0.35">
      <c r="A240" s="3" t="s">
        <v>8</v>
      </c>
      <c r="B240" s="3" t="s">
        <v>128</v>
      </c>
      <c r="C240" s="3" t="s">
        <v>42</v>
      </c>
      <c r="D240" s="3" t="s">
        <v>146</v>
      </c>
      <c r="E240" s="3" t="s">
        <v>15</v>
      </c>
      <c r="F240" s="3" t="s">
        <v>13</v>
      </c>
      <c r="G240" s="3" t="s">
        <v>147</v>
      </c>
      <c r="H240" s="3"/>
      <c r="I240" s="3"/>
    </row>
    <row r="241" spans="1:9" s="5" customFormat="1" x14ac:dyDescent="0.35">
      <c r="A241" s="3" t="s">
        <v>8</v>
      </c>
      <c r="B241" s="3" t="s">
        <v>128</v>
      </c>
      <c r="C241" s="3" t="s">
        <v>42</v>
      </c>
      <c r="D241" s="3" t="s">
        <v>146</v>
      </c>
      <c r="E241" s="3" t="s">
        <v>57</v>
      </c>
      <c r="F241" s="3"/>
      <c r="G241" s="3" t="s">
        <v>2311</v>
      </c>
      <c r="H241" s="3"/>
      <c r="I241" s="3"/>
    </row>
    <row r="242" spans="1:9" s="5" customFormat="1" x14ac:dyDescent="0.35">
      <c r="A242" s="3" t="s">
        <v>8</v>
      </c>
      <c r="B242" s="3" t="s">
        <v>128</v>
      </c>
      <c r="C242" s="3" t="s">
        <v>42</v>
      </c>
      <c r="D242" s="3" t="s">
        <v>146</v>
      </c>
      <c r="E242" s="3" t="s">
        <v>37</v>
      </c>
      <c r="F242" s="3" t="s">
        <v>13</v>
      </c>
      <c r="G242" s="3" t="s">
        <v>144</v>
      </c>
      <c r="H242" s="3"/>
      <c r="I242" s="3"/>
    </row>
    <row r="243" spans="1:9" s="5" customFormat="1" x14ac:dyDescent="0.35">
      <c r="A243" s="3" t="s">
        <v>8</v>
      </c>
      <c r="B243" s="3" t="s">
        <v>128</v>
      </c>
      <c r="C243" s="3" t="s">
        <v>42</v>
      </c>
      <c r="D243" s="3" t="s">
        <v>146</v>
      </c>
      <c r="E243" s="3" t="s">
        <v>32</v>
      </c>
      <c r="F243" s="3" t="s">
        <v>13</v>
      </c>
      <c r="G243" s="3" t="s">
        <v>2372</v>
      </c>
      <c r="H243" s="3"/>
      <c r="I243" s="3"/>
    </row>
    <row r="244" spans="1:9" s="5" customFormat="1" x14ac:dyDescent="0.35">
      <c r="A244" s="3" t="s">
        <v>8</v>
      </c>
      <c r="B244" s="3" t="s">
        <v>128</v>
      </c>
      <c r="C244" s="3" t="s">
        <v>42</v>
      </c>
      <c r="D244" s="3" t="s">
        <v>146</v>
      </c>
      <c r="E244" s="3" t="s">
        <v>62</v>
      </c>
      <c r="F244" s="3" t="s">
        <v>16</v>
      </c>
      <c r="G244" s="3" t="s">
        <v>2628</v>
      </c>
      <c r="H244" s="3"/>
      <c r="I244" s="3"/>
    </row>
    <row r="245" spans="1:9" s="5" customFormat="1" x14ac:dyDescent="0.35">
      <c r="A245" s="3" t="s">
        <v>8</v>
      </c>
      <c r="B245" s="3" t="s">
        <v>128</v>
      </c>
      <c r="C245" s="3" t="s">
        <v>42</v>
      </c>
      <c r="D245" s="3" t="s">
        <v>146</v>
      </c>
      <c r="E245" s="3" t="s">
        <v>24</v>
      </c>
      <c r="F245" s="3" t="s">
        <v>13</v>
      </c>
      <c r="G245" s="3" t="s">
        <v>148</v>
      </c>
      <c r="H245" s="3"/>
      <c r="I245" s="3"/>
    </row>
    <row r="246" spans="1:9" s="5" customFormat="1" x14ac:dyDescent="0.35">
      <c r="A246" s="3" t="s">
        <v>8</v>
      </c>
      <c r="B246" s="3" t="s">
        <v>128</v>
      </c>
      <c r="C246" s="3" t="s">
        <v>42</v>
      </c>
      <c r="D246" s="3" t="s">
        <v>146</v>
      </c>
      <c r="E246" s="3" t="s">
        <v>134</v>
      </c>
      <c r="F246" s="3" t="s">
        <v>13</v>
      </c>
      <c r="G246" s="3" t="s">
        <v>149</v>
      </c>
      <c r="H246" s="3"/>
      <c r="I246" s="3"/>
    </row>
    <row r="247" spans="1:9" s="5" customFormat="1" x14ac:dyDescent="0.35">
      <c r="A247" s="3" t="s">
        <v>8</v>
      </c>
      <c r="B247" s="3" t="s">
        <v>128</v>
      </c>
      <c r="C247" s="3" t="s">
        <v>42</v>
      </c>
      <c r="D247" s="3" t="s">
        <v>146</v>
      </c>
      <c r="E247" s="3" t="s">
        <v>107</v>
      </c>
      <c r="F247" s="3" t="s">
        <v>13</v>
      </c>
      <c r="G247" s="3" t="s">
        <v>144</v>
      </c>
      <c r="H247" s="3"/>
      <c r="I247" s="3"/>
    </row>
    <row r="248" spans="1:9" s="5" customFormat="1" x14ac:dyDescent="0.35">
      <c r="A248" s="3" t="s">
        <v>8</v>
      </c>
      <c r="B248" s="3" t="s">
        <v>128</v>
      </c>
      <c r="C248" s="3" t="s">
        <v>129</v>
      </c>
      <c r="D248" s="3" t="s">
        <v>150</v>
      </c>
      <c r="E248" s="3" t="s">
        <v>25</v>
      </c>
      <c r="F248" s="3" t="s">
        <v>13</v>
      </c>
      <c r="G248" s="3" t="s">
        <v>231</v>
      </c>
      <c r="H248" s="3"/>
      <c r="I248" s="3"/>
    </row>
    <row r="249" spans="1:9" s="5" customFormat="1" x14ac:dyDescent="0.35">
      <c r="A249" s="3" t="s">
        <v>8</v>
      </c>
      <c r="B249" s="3" t="s">
        <v>128</v>
      </c>
      <c r="C249" s="3" t="s">
        <v>129</v>
      </c>
      <c r="D249" s="3" t="s">
        <v>150</v>
      </c>
      <c r="E249" s="3" t="s">
        <v>60</v>
      </c>
      <c r="F249" s="3" t="s">
        <v>13</v>
      </c>
      <c r="G249" s="3" t="s">
        <v>136</v>
      </c>
      <c r="H249" s="3"/>
      <c r="I249" s="3"/>
    </row>
    <row r="250" spans="1:9" s="5" customFormat="1" x14ac:dyDescent="0.35">
      <c r="A250" s="3" t="s">
        <v>8</v>
      </c>
      <c r="B250" s="3" t="s">
        <v>128</v>
      </c>
      <c r="C250" s="3" t="s">
        <v>129</v>
      </c>
      <c r="D250" s="3" t="s">
        <v>150</v>
      </c>
      <c r="E250" s="3" t="s">
        <v>71</v>
      </c>
      <c r="F250" s="3" t="s">
        <v>13</v>
      </c>
      <c r="G250" s="3" t="s">
        <v>136</v>
      </c>
      <c r="H250" s="3"/>
      <c r="I250" s="3"/>
    </row>
    <row r="251" spans="1:9" s="5" customFormat="1" x14ac:dyDescent="0.35">
      <c r="A251" s="3" t="s">
        <v>8</v>
      </c>
      <c r="B251" s="3" t="s">
        <v>128</v>
      </c>
      <c r="C251" s="3" t="s">
        <v>129</v>
      </c>
      <c r="D251" s="3" t="s">
        <v>150</v>
      </c>
      <c r="E251" s="3" t="s">
        <v>142</v>
      </c>
      <c r="F251" s="3" t="s">
        <v>13</v>
      </c>
      <c r="G251" s="3" t="s">
        <v>136</v>
      </c>
      <c r="H251" s="3"/>
      <c r="I251" s="3"/>
    </row>
    <row r="252" spans="1:9" s="5" customFormat="1" x14ac:dyDescent="0.35">
      <c r="A252" s="3" t="s">
        <v>8</v>
      </c>
      <c r="B252" s="3" t="s">
        <v>128</v>
      </c>
      <c r="C252" s="3" t="s">
        <v>129</v>
      </c>
      <c r="D252" s="3" t="s">
        <v>150</v>
      </c>
      <c r="E252" s="3" t="s">
        <v>98</v>
      </c>
      <c r="F252" s="3" t="s">
        <v>13</v>
      </c>
      <c r="G252" s="3" t="s">
        <v>136</v>
      </c>
      <c r="H252" s="3"/>
      <c r="I252" s="3"/>
    </row>
    <row r="253" spans="1:9" s="5" customFormat="1" x14ac:dyDescent="0.35">
      <c r="A253" s="3" t="s">
        <v>8</v>
      </c>
      <c r="B253" s="3" t="s">
        <v>128</v>
      </c>
      <c r="C253" s="3" t="s">
        <v>129</v>
      </c>
      <c r="D253" s="3" t="s">
        <v>150</v>
      </c>
      <c r="E253" s="3" t="s">
        <v>31</v>
      </c>
      <c r="F253" s="3" t="s">
        <v>13</v>
      </c>
      <c r="G253" s="3" t="s">
        <v>136</v>
      </c>
      <c r="H253" s="3"/>
      <c r="I253" s="3"/>
    </row>
    <row r="254" spans="1:9" s="5" customFormat="1" x14ac:dyDescent="0.35">
      <c r="A254" s="3" t="s">
        <v>8</v>
      </c>
      <c r="B254" s="3" t="s">
        <v>128</v>
      </c>
      <c r="C254" s="3" t="s">
        <v>129</v>
      </c>
      <c r="D254" s="3" t="s">
        <v>150</v>
      </c>
      <c r="E254" s="3" t="s">
        <v>15</v>
      </c>
      <c r="F254" s="3" t="s">
        <v>13</v>
      </c>
      <c r="G254" s="3" t="s">
        <v>151</v>
      </c>
      <c r="H254" s="3"/>
      <c r="I254" s="3"/>
    </row>
    <row r="255" spans="1:9" s="5" customFormat="1" x14ac:dyDescent="0.35">
      <c r="A255" s="3" t="s">
        <v>8</v>
      </c>
      <c r="B255" s="3" t="s">
        <v>128</v>
      </c>
      <c r="C255" s="3" t="s">
        <v>129</v>
      </c>
      <c r="D255" s="3" t="s">
        <v>150</v>
      </c>
      <c r="E255" s="3" t="s">
        <v>57</v>
      </c>
      <c r="F255" s="3"/>
      <c r="G255" s="3" t="s">
        <v>2373</v>
      </c>
      <c r="H255" s="3"/>
      <c r="I255" s="3"/>
    </row>
    <row r="256" spans="1:9" s="5" customFormat="1" x14ac:dyDescent="0.35">
      <c r="A256" s="3" t="s">
        <v>8</v>
      </c>
      <c r="B256" s="3" t="s">
        <v>128</v>
      </c>
      <c r="C256" s="3" t="s">
        <v>129</v>
      </c>
      <c r="D256" s="3" t="s">
        <v>150</v>
      </c>
      <c r="E256" s="3" t="s">
        <v>56</v>
      </c>
      <c r="F256" s="3" t="s">
        <v>13</v>
      </c>
      <c r="G256" s="3" t="s">
        <v>151</v>
      </c>
      <c r="H256" s="3"/>
      <c r="I256" s="3"/>
    </row>
    <row r="257" spans="1:9" s="5" customFormat="1" x14ac:dyDescent="0.35">
      <c r="A257" s="3" t="s">
        <v>8</v>
      </c>
      <c r="B257" s="3" t="s">
        <v>128</v>
      </c>
      <c r="C257" s="3" t="s">
        <v>129</v>
      </c>
      <c r="D257" s="3" t="s">
        <v>150</v>
      </c>
      <c r="E257" s="3" t="s">
        <v>32</v>
      </c>
      <c r="F257" s="3" t="s">
        <v>13</v>
      </c>
      <c r="G257" s="3" t="s">
        <v>151</v>
      </c>
      <c r="H257" s="3"/>
      <c r="I257" s="3"/>
    </row>
    <row r="258" spans="1:9" s="5" customFormat="1" x14ac:dyDescent="0.35">
      <c r="A258" s="3" t="s">
        <v>8</v>
      </c>
      <c r="B258" s="3" t="s">
        <v>128</v>
      </c>
      <c r="C258" s="3" t="s">
        <v>129</v>
      </c>
      <c r="D258" s="3" t="s">
        <v>150</v>
      </c>
      <c r="E258" s="3" t="s">
        <v>26</v>
      </c>
      <c r="F258" s="3" t="s">
        <v>13</v>
      </c>
      <c r="G258" s="3" t="s">
        <v>136</v>
      </c>
      <c r="H258" s="3"/>
      <c r="I258" s="3"/>
    </row>
    <row r="259" spans="1:9" s="5" customFormat="1" x14ac:dyDescent="0.35">
      <c r="A259" s="3" t="s">
        <v>8</v>
      </c>
      <c r="B259" s="3" t="s">
        <v>128</v>
      </c>
      <c r="C259" s="3" t="s">
        <v>129</v>
      </c>
      <c r="D259" s="3" t="s">
        <v>150</v>
      </c>
      <c r="E259" s="3" t="s">
        <v>29</v>
      </c>
      <c r="F259" s="3" t="s">
        <v>13</v>
      </c>
      <c r="G259" s="3" t="s">
        <v>136</v>
      </c>
      <c r="H259" s="3"/>
      <c r="I259" s="3"/>
    </row>
    <row r="260" spans="1:9" s="5" customFormat="1" x14ac:dyDescent="0.35">
      <c r="A260" s="3" t="s">
        <v>8</v>
      </c>
      <c r="B260" s="3" t="s">
        <v>128</v>
      </c>
      <c r="C260" s="3" t="s">
        <v>129</v>
      </c>
      <c r="D260" s="3" t="s">
        <v>150</v>
      </c>
      <c r="E260" s="3" t="s">
        <v>152</v>
      </c>
      <c r="F260" s="3" t="s">
        <v>13</v>
      </c>
      <c r="G260" s="3" t="s">
        <v>136</v>
      </c>
      <c r="H260" s="3"/>
      <c r="I260" s="3"/>
    </row>
    <row r="261" spans="1:9" s="5" customFormat="1" x14ac:dyDescent="0.35">
      <c r="A261" s="3" t="s">
        <v>8</v>
      </c>
      <c r="B261" s="3" t="s">
        <v>128</v>
      </c>
      <c r="C261" s="3" t="s">
        <v>129</v>
      </c>
      <c r="D261" s="3" t="s">
        <v>150</v>
      </c>
      <c r="E261" s="3" t="s">
        <v>24</v>
      </c>
      <c r="F261" s="3" t="s">
        <v>13</v>
      </c>
      <c r="G261" s="3" t="s">
        <v>136</v>
      </c>
      <c r="H261" s="3"/>
      <c r="I261" s="3"/>
    </row>
    <row r="262" spans="1:9" s="5" customFormat="1" x14ac:dyDescent="0.35">
      <c r="A262" s="3" t="s">
        <v>8</v>
      </c>
      <c r="B262" s="3" t="s">
        <v>128</v>
      </c>
      <c r="C262" s="3" t="s">
        <v>129</v>
      </c>
      <c r="D262" s="3" t="s">
        <v>150</v>
      </c>
      <c r="E262" s="3" t="s">
        <v>134</v>
      </c>
      <c r="F262" s="3" t="s">
        <v>13</v>
      </c>
      <c r="G262" s="3" t="s">
        <v>2374</v>
      </c>
      <c r="H262" s="3"/>
      <c r="I262" s="3"/>
    </row>
    <row r="263" spans="1:9" s="5" customFormat="1" x14ac:dyDescent="0.35">
      <c r="A263" s="3" t="s">
        <v>8</v>
      </c>
      <c r="B263" s="3" t="s">
        <v>128</v>
      </c>
      <c r="C263" s="3" t="s">
        <v>129</v>
      </c>
      <c r="D263" s="3" t="s">
        <v>150</v>
      </c>
      <c r="E263" s="3" t="s">
        <v>107</v>
      </c>
      <c r="F263" s="3" t="s">
        <v>13</v>
      </c>
      <c r="G263" s="3" t="s">
        <v>136</v>
      </c>
      <c r="H263" s="3"/>
      <c r="I263" s="3"/>
    </row>
    <row r="264" spans="1:9" s="5" customFormat="1" x14ac:dyDescent="0.35">
      <c r="A264" s="3" t="s">
        <v>8</v>
      </c>
      <c r="B264" s="3" t="s">
        <v>128</v>
      </c>
      <c r="C264" s="3" t="s">
        <v>10</v>
      </c>
      <c r="D264" s="3" t="s">
        <v>153</v>
      </c>
      <c r="E264" s="3" t="s">
        <v>12</v>
      </c>
      <c r="F264" s="3"/>
      <c r="G264" s="3"/>
      <c r="H264" s="3"/>
      <c r="I264" s="3"/>
    </row>
    <row r="265" spans="1:9" s="5" customFormat="1" x14ac:dyDescent="0.35">
      <c r="A265" s="3" t="s">
        <v>8</v>
      </c>
      <c r="B265" s="3" t="s">
        <v>128</v>
      </c>
      <c r="C265" s="3" t="s">
        <v>10</v>
      </c>
      <c r="D265" s="3" t="s">
        <v>153</v>
      </c>
      <c r="E265" s="3" t="s">
        <v>15</v>
      </c>
      <c r="F265" s="3" t="s">
        <v>16</v>
      </c>
      <c r="G265" s="3" t="s">
        <v>154</v>
      </c>
      <c r="H265" s="3"/>
      <c r="I265" s="3"/>
    </row>
    <row r="266" spans="1:9" s="5" customFormat="1" x14ac:dyDescent="0.35">
      <c r="A266" s="3" t="s">
        <v>8</v>
      </c>
      <c r="B266" s="3" t="s">
        <v>128</v>
      </c>
      <c r="C266" s="3" t="s">
        <v>10</v>
      </c>
      <c r="D266" s="3" t="s">
        <v>153</v>
      </c>
      <c r="E266" s="3" t="s">
        <v>32</v>
      </c>
      <c r="F266" s="3"/>
      <c r="G266" s="3"/>
      <c r="H266" s="3"/>
      <c r="I266" s="3"/>
    </row>
    <row r="267" spans="1:9" s="5" customFormat="1" x14ac:dyDescent="0.35">
      <c r="A267" s="3" t="s">
        <v>8</v>
      </c>
      <c r="B267" s="3" t="s">
        <v>128</v>
      </c>
      <c r="C267" s="3" t="s">
        <v>10</v>
      </c>
      <c r="D267" s="3" t="s">
        <v>155</v>
      </c>
      <c r="E267" s="3" t="s">
        <v>12</v>
      </c>
      <c r="F267" s="3"/>
      <c r="G267" s="3"/>
      <c r="H267" s="3"/>
      <c r="I267" s="3"/>
    </row>
    <row r="268" spans="1:9" s="5" customFormat="1" x14ac:dyDescent="0.35">
      <c r="A268" s="3" t="s">
        <v>8</v>
      </c>
      <c r="B268" s="3" t="s">
        <v>128</v>
      </c>
      <c r="C268" s="3" t="s">
        <v>10</v>
      </c>
      <c r="D268" s="3" t="s">
        <v>155</v>
      </c>
      <c r="E268" s="3" t="s">
        <v>47</v>
      </c>
      <c r="F268" s="3" t="s">
        <v>16</v>
      </c>
      <c r="G268" s="3" t="s">
        <v>2375</v>
      </c>
      <c r="H268" s="3"/>
      <c r="I268" s="3"/>
    </row>
    <row r="269" spans="1:9" s="5" customFormat="1" x14ac:dyDescent="0.35">
      <c r="A269" s="3" t="s">
        <v>8</v>
      </c>
      <c r="B269" s="3" t="s">
        <v>128</v>
      </c>
      <c r="C269" s="3" t="s">
        <v>10</v>
      </c>
      <c r="D269" s="3" t="s">
        <v>155</v>
      </c>
      <c r="E269" s="3" t="s">
        <v>32</v>
      </c>
      <c r="F269" s="3" t="s">
        <v>16</v>
      </c>
      <c r="G269" s="3" t="s">
        <v>2376</v>
      </c>
      <c r="H269" s="3"/>
      <c r="I269" s="3"/>
    </row>
    <row r="270" spans="1:9" s="5" customFormat="1" x14ac:dyDescent="0.35">
      <c r="A270" s="3" t="s">
        <v>8</v>
      </c>
      <c r="B270" s="3" t="s">
        <v>128</v>
      </c>
      <c r="C270" s="3" t="s">
        <v>10</v>
      </c>
      <c r="D270" s="3" t="s">
        <v>155</v>
      </c>
      <c r="E270" s="3" t="s">
        <v>29</v>
      </c>
      <c r="F270" s="3" t="s">
        <v>16</v>
      </c>
      <c r="G270" s="3" t="s">
        <v>2375</v>
      </c>
      <c r="H270" s="3"/>
      <c r="I270" s="3"/>
    </row>
    <row r="271" spans="1:9" s="5" customFormat="1" x14ac:dyDescent="0.35">
      <c r="A271" s="3" t="s">
        <v>8</v>
      </c>
      <c r="B271" s="3" t="s">
        <v>128</v>
      </c>
      <c r="C271" s="3" t="s">
        <v>10</v>
      </c>
      <c r="D271" s="3" t="s">
        <v>156</v>
      </c>
      <c r="E271" s="3" t="s">
        <v>12</v>
      </c>
      <c r="F271" s="3"/>
      <c r="G271" s="3"/>
      <c r="H271" s="3"/>
      <c r="I271" s="3"/>
    </row>
    <row r="272" spans="1:9" s="5" customFormat="1" x14ac:dyDescent="0.35">
      <c r="A272" s="3" t="s">
        <v>8</v>
      </c>
      <c r="B272" s="3" t="s">
        <v>128</v>
      </c>
      <c r="C272" s="3" t="s">
        <v>10</v>
      </c>
      <c r="D272" s="3" t="s">
        <v>156</v>
      </c>
      <c r="E272" s="3" t="s">
        <v>47</v>
      </c>
      <c r="F272" s="3"/>
      <c r="G272" s="3"/>
      <c r="H272" s="3"/>
      <c r="I272" s="3"/>
    </row>
    <row r="273" spans="1:9" s="5" customFormat="1" x14ac:dyDescent="0.35">
      <c r="A273" s="3" t="s">
        <v>8</v>
      </c>
      <c r="B273" s="3" t="s">
        <v>128</v>
      </c>
      <c r="C273" s="3" t="s">
        <v>10</v>
      </c>
      <c r="D273" s="3" t="s">
        <v>156</v>
      </c>
      <c r="E273" s="3" t="s">
        <v>15</v>
      </c>
      <c r="F273" s="3"/>
      <c r="G273" s="3"/>
      <c r="H273" s="3"/>
      <c r="I273" s="3"/>
    </row>
    <row r="274" spans="1:9" s="5" customFormat="1" x14ac:dyDescent="0.35">
      <c r="A274" s="3" t="s">
        <v>8</v>
      </c>
      <c r="B274" s="3" t="s">
        <v>128</v>
      </c>
      <c r="C274" s="3" t="s">
        <v>10</v>
      </c>
      <c r="D274" s="3" t="s">
        <v>156</v>
      </c>
      <c r="E274" s="3" t="s">
        <v>32</v>
      </c>
      <c r="F274" s="3" t="s">
        <v>16</v>
      </c>
      <c r="G274" s="3" t="s">
        <v>157</v>
      </c>
      <c r="H274" s="3"/>
      <c r="I274" s="3"/>
    </row>
    <row r="275" spans="1:9" s="5" customFormat="1" x14ac:dyDescent="0.35">
      <c r="A275" s="3" t="s">
        <v>8</v>
      </c>
      <c r="B275" s="3" t="s">
        <v>128</v>
      </c>
      <c r="C275" s="3" t="s">
        <v>129</v>
      </c>
      <c r="D275" s="3" t="s">
        <v>158</v>
      </c>
      <c r="E275" s="3" t="s">
        <v>47</v>
      </c>
      <c r="F275" s="3"/>
      <c r="G275" s="3" t="s">
        <v>2377</v>
      </c>
      <c r="H275" s="3"/>
      <c r="I275" s="3"/>
    </row>
    <row r="276" spans="1:9" s="5" customFormat="1" x14ac:dyDescent="0.35">
      <c r="A276" s="3" t="s">
        <v>8</v>
      </c>
      <c r="B276" s="3" t="s">
        <v>128</v>
      </c>
      <c r="C276" s="3" t="s">
        <v>129</v>
      </c>
      <c r="D276" s="3" t="s">
        <v>158</v>
      </c>
      <c r="E276" s="3" t="s">
        <v>25</v>
      </c>
      <c r="F276" s="3"/>
      <c r="G276" s="3"/>
      <c r="H276" s="3"/>
      <c r="I276" s="3"/>
    </row>
    <row r="277" spans="1:9" s="5" customFormat="1" x14ac:dyDescent="0.35">
      <c r="A277" s="3" t="s">
        <v>8</v>
      </c>
      <c r="B277" s="3" t="s">
        <v>128</v>
      </c>
      <c r="C277" s="3" t="s">
        <v>129</v>
      </c>
      <c r="D277" s="3" t="s">
        <v>158</v>
      </c>
      <c r="E277" s="3" t="s">
        <v>141</v>
      </c>
      <c r="F277" s="3"/>
      <c r="G277" s="3"/>
      <c r="H277" s="3"/>
      <c r="I277" s="3"/>
    </row>
    <row r="278" spans="1:9" s="5" customFormat="1" x14ac:dyDescent="0.35">
      <c r="A278" s="3" t="s">
        <v>8</v>
      </c>
      <c r="B278" s="3" t="s">
        <v>128</v>
      </c>
      <c r="C278" s="3" t="s">
        <v>129</v>
      </c>
      <c r="D278" s="3" t="s">
        <v>158</v>
      </c>
      <c r="E278" s="3" t="s">
        <v>71</v>
      </c>
      <c r="F278" s="3"/>
      <c r="G278" s="3"/>
      <c r="H278" s="3"/>
      <c r="I278" s="3"/>
    </row>
    <row r="279" spans="1:9" s="5" customFormat="1" x14ac:dyDescent="0.35">
      <c r="A279" s="3" t="s">
        <v>8</v>
      </c>
      <c r="B279" s="3" t="s">
        <v>128</v>
      </c>
      <c r="C279" s="3" t="s">
        <v>129</v>
      </c>
      <c r="D279" s="3" t="s">
        <v>158</v>
      </c>
      <c r="E279" s="3" t="s">
        <v>87</v>
      </c>
      <c r="F279" s="3"/>
      <c r="G279" s="3"/>
      <c r="H279" s="3"/>
      <c r="I279" s="3"/>
    </row>
    <row r="280" spans="1:9" s="5" customFormat="1" x14ac:dyDescent="0.35">
      <c r="A280" s="3" t="s">
        <v>8</v>
      </c>
      <c r="B280" s="3" t="s">
        <v>128</v>
      </c>
      <c r="C280" s="3" t="s">
        <v>129</v>
      </c>
      <c r="D280" s="3" t="s">
        <v>158</v>
      </c>
      <c r="E280" s="3" t="s">
        <v>15</v>
      </c>
      <c r="F280" s="3" t="s">
        <v>13</v>
      </c>
      <c r="G280" s="3" t="s">
        <v>160</v>
      </c>
      <c r="H280" s="3"/>
      <c r="I280" s="3"/>
    </row>
    <row r="281" spans="1:9" s="5" customFormat="1" x14ac:dyDescent="0.35">
      <c r="A281" s="3" t="s">
        <v>8</v>
      </c>
      <c r="B281" s="3" t="s">
        <v>128</v>
      </c>
      <c r="C281" s="3" t="s">
        <v>129</v>
      </c>
      <c r="D281" s="3" t="s">
        <v>158</v>
      </c>
      <c r="E281" s="3" t="s">
        <v>37</v>
      </c>
      <c r="F281" s="3"/>
      <c r="G281" s="3"/>
      <c r="H281" s="3"/>
      <c r="I281" s="3"/>
    </row>
    <row r="282" spans="1:9" s="5" customFormat="1" x14ac:dyDescent="0.35">
      <c r="A282" s="3" t="s">
        <v>8</v>
      </c>
      <c r="B282" s="3" t="s">
        <v>128</v>
      </c>
      <c r="C282" s="3" t="s">
        <v>129</v>
      </c>
      <c r="D282" s="3" t="s">
        <v>158</v>
      </c>
      <c r="E282" s="3" t="s">
        <v>32</v>
      </c>
      <c r="F282" s="3" t="s">
        <v>13</v>
      </c>
      <c r="G282" s="3" t="s">
        <v>159</v>
      </c>
      <c r="H282" s="3"/>
      <c r="I282" s="3"/>
    </row>
    <row r="283" spans="1:9" s="5" customFormat="1" x14ac:dyDescent="0.35">
      <c r="A283" s="3" t="s">
        <v>8</v>
      </c>
      <c r="B283" s="3" t="s">
        <v>128</v>
      </c>
      <c r="C283" s="3" t="s">
        <v>129</v>
      </c>
      <c r="D283" s="3" t="s">
        <v>158</v>
      </c>
      <c r="E283" s="3" t="s">
        <v>24</v>
      </c>
      <c r="F283" s="3"/>
      <c r="G283" s="3"/>
      <c r="H283" s="3"/>
      <c r="I283" s="3"/>
    </row>
    <row r="284" spans="1:9" s="5" customFormat="1" x14ac:dyDescent="0.35">
      <c r="A284" s="3" t="s">
        <v>8</v>
      </c>
      <c r="B284" s="3" t="s">
        <v>128</v>
      </c>
      <c r="C284" s="3" t="s">
        <v>129</v>
      </c>
      <c r="D284" s="3" t="s">
        <v>158</v>
      </c>
      <c r="E284" s="3" t="s">
        <v>134</v>
      </c>
      <c r="F284" s="3" t="s">
        <v>13</v>
      </c>
      <c r="G284" s="3" t="s">
        <v>161</v>
      </c>
      <c r="H284" s="3"/>
      <c r="I284" s="3"/>
    </row>
    <row r="285" spans="1:9" s="5" customFormat="1" x14ac:dyDescent="0.35">
      <c r="A285" s="3" t="s">
        <v>8</v>
      </c>
      <c r="B285" s="3" t="s">
        <v>128</v>
      </c>
      <c r="C285" s="3" t="s">
        <v>129</v>
      </c>
      <c r="D285" s="3" t="s">
        <v>158</v>
      </c>
      <c r="E285" s="3" t="s">
        <v>107</v>
      </c>
      <c r="F285" s="3" t="s">
        <v>13</v>
      </c>
      <c r="G285" s="3" t="s">
        <v>162</v>
      </c>
      <c r="H285" s="3"/>
      <c r="I285" s="3"/>
    </row>
    <row r="286" spans="1:9" s="5" customFormat="1" x14ac:dyDescent="0.35">
      <c r="A286" s="3" t="s">
        <v>8</v>
      </c>
      <c r="B286" s="3" t="s">
        <v>128</v>
      </c>
      <c r="C286" s="3" t="s">
        <v>10</v>
      </c>
      <c r="D286" s="3" t="s">
        <v>2767</v>
      </c>
      <c r="E286" s="3" t="s">
        <v>47</v>
      </c>
      <c r="F286" s="3"/>
      <c r="G286" s="3"/>
      <c r="H286" s="3"/>
      <c r="I286" s="3"/>
    </row>
    <row r="287" spans="1:9" s="5" customFormat="1" x14ac:dyDescent="0.35">
      <c r="A287" s="3" t="s">
        <v>8</v>
      </c>
      <c r="B287" s="3" t="s">
        <v>128</v>
      </c>
      <c r="C287" s="3" t="s">
        <v>10</v>
      </c>
      <c r="D287" s="3" t="s">
        <v>163</v>
      </c>
      <c r="E287" s="3" t="s">
        <v>47</v>
      </c>
      <c r="F287" s="3" t="s">
        <v>33</v>
      </c>
      <c r="G287" s="3" t="s">
        <v>164</v>
      </c>
      <c r="H287" s="3"/>
      <c r="I287" s="3"/>
    </row>
    <row r="288" spans="1:9" s="5" customFormat="1" x14ac:dyDescent="0.35">
      <c r="A288" s="3" t="s">
        <v>8</v>
      </c>
      <c r="B288" s="3" t="s">
        <v>128</v>
      </c>
      <c r="C288" s="3" t="s">
        <v>10</v>
      </c>
      <c r="D288" s="3" t="s">
        <v>163</v>
      </c>
      <c r="E288" s="3" t="s">
        <v>15</v>
      </c>
      <c r="F288" s="3"/>
      <c r="G288" s="3"/>
      <c r="H288" s="3"/>
      <c r="I288" s="3"/>
    </row>
    <row r="289" spans="1:9" s="5" customFormat="1" x14ac:dyDescent="0.35">
      <c r="A289" s="3" t="s">
        <v>8</v>
      </c>
      <c r="B289" s="3" t="s">
        <v>128</v>
      </c>
      <c r="C289" s="3" t="s">
        <v>10</v>
      </c>
      <c r="D289" s="3" t="s">
        <v>163</v>
      </c>
      <c r="E289" s="3" t="s">
        <v>32</v>
      </c>
      <c r="F289" s="3" t="s">
        <v>33</v>
      </c>
      <c r="G289" s="3" t="s">
        <v>164</v>
      </c>
      <c r="H289" s="3"/>
      <c r="I289" s="3"/>
    </row>
    <row r="290" spans="1:9" s="5" customFormat="1" x14ac:dyDescent="0.35">
      <c r="A290" s="3" t="s">
        <v>8</v>
      </c>
      <c r="B290" s="3" t="s">
        <v>128</v>
      </c>
      <c r="C290" s="3" t="s">
        <v>10</v>
      </c>
      <c r="D290" s="3" t="s">
        <v>163</v>
      </c>
      <c r="E290" s="3" t="s">
        <v>134</v>
      </c>
      <c r="F290" s="3" t="s">
        <v>33</v>
      </c>
      <c r="G290" s="3" t="s">
        <v>164</v>
      </c>
      <c r="H290" s="3"/>
      <c r="I290" s="3"/>
    </row>
    <row r="291" spans="1:9" s="5" customFormat="1" x14ac:dyDescent="0.35">
      <c r="A291" s="3" t="s">
        <v>8</v>
      </c>
      <c r="B291" s="3" t="s">
        <v>128</v>
      </c>
      <c r="C291" s="3" t="s">
        <v>129</v>
      </c>
      <c r="D291" s="3" t="s">
        <v>165</v>
      </c>
      <c r="E291" s="3" t="s">
        <v>77</v>
      </c>
      <c r="F291" s="3" t="s">
        <v>16</v>
      </c>
      <c r="G291" s="3" t="s">
        <v>167</v>
      </c>
      <c r="H291" s="3"/>
      <c r="I291" s="3"/>
    </row>
    <row r="292" spans="1:9" s="5" customFormat="1" x14ac:dyDescent="0.35">
      <c r="A292" s="3" t="s">
        <v>8</v>
      </c>
      <c r="B292" s="3" t="s">
        <v>128</v>
      </c>
      <c r="C292" s="3" t="s">
        <v>129</v>
      </c>
      <c r="D292" s="3" t="s">
        <v>165</v>
      </c>
      <c r="E292" s="3" t="s">
        <v>15</v>
      </c>
      <c r="F292" s="3" t="s">
        <v>16</v>
      </c>
      <c r="G292" s="3" t="s">
        <v>168</v>
      </c>
      <c r="H292" s="3"/>
      <c r="I292" s="3"/>
    </row>
    <row r="293" spans="1:9" s="5" customFormat="1" x14ac:dyDescent="0.35">
      <c r="A293" s="3" t="s">
        <v>8</v>
      </c>
      <c r="B293" s="3" t="s">
        <v>128</v>
      </c>
      <c r="C293" s="3" t="s">
        <v>129</v>
      </c>
      <c r="D293" s="3" t="s">
        <v>165</v>
      </c>
      <c r="E293" s="3" t="s">
        <v>37</v>
      </c>
      <c r="F293" s="3" t="s">
        <v>16</v>
      </c>
      <c r="G293" s="3" t="s">
        <v>169</v>
      </c>
      <c r="H293" s="3"/>
      <c r="I293" s="3"/>
    </row>
    <row r="294" spans="1:9" s="5" customFormat="1" x14ac:dyDescent="0.35">
      <c r="A294" s="3" t="s">
        <v>8</v>
      </c>
      <c r="B294" s="3" t="s">
        <v>128</v>
      </c>
      <c r="C294" s="3" t="s">
        <v>129</v>
      </c>
      <c r="D294" s="3" t="s">
        <v>165</v>
      </c>
      <c r="E294" s="3" t="s">
        <v>134</v>
      </c>
      <c r="F294" s="3" t="s">
        <v>16</v>
      </c>
      <c r="G294" s="3" t="s">
        <v>170</v>
      </c>
      <c r="H294" s="3"/>
      <c r="I294" s="3"/>
    </row>
    <row r="295" spans="1:9" s="5" customFormat="1" x14ac:dyDescent="0.35">
      <c r="A295" s="3" t="s">
        <v>8</v>
      </c>
      <c r="B295" s="3" t="s">
        <v>128</v>
      </c>
      <c r="C295" s="3" t="s">
        <v>10</v>
      </c>
      <c r="D295" s="3" t="s">
        <v>171</v>
      </c>
      <c r="E295" s="3" t="s">
        <v>25</v>
      </c>
      <c r="F295" s="3"/>
      <c r="G295" s="3"/>
      <c r="H295" s="3"/>
      <c r="I295" s="3"/>
    </row>
    <row r="296" spans="1:9" s="5" customFormat="1" x14ac:dyDescent="0.35">
      <c r="A296" s="3" t="s">
        <v>8</v>
      </c>
      <c r="B296" s="3" t="s">
        <v>128</v>
      </c>
      <c r="C296" s="3" t="s">
        <v>10</v>
      </c>
      <c r="D296" s="3" t="s">
        <v>171</v>
      </c>
      <c r="E296" s="3" t="s">
        <v>28</v>
      </c>
      <c r="F296" s="3"/>
      <c r="G296" s="3"/>
      <c r="H296" s="3"/>
      <c r="I296" s="3"/>
    </row>
    <row r="297" spans="1:9" s="5" customFormat="1" x14ac:dyDescent="0.35">
      <c r="A297" s="3" t="s">
        <v>8</v>
      </c>
      <c r="B297" s="3" t="s">
        <v>128</v>
      </c>
      <c r="C297" s="3" t="s">
        <v>10</v>
      </c>
      <c r="D297" s="3" t="s">
        <v>171</v>
      </c>
      <c r="E297" s="3" t="s">
        <v>15</v>
      </c>
      <c r="F297" s="3"/>
      <c r="G297" s="3"/>
      <c r="H297" s="3"/>
      <c r="I297" s="3"/>
    </row>
    <row r="298" spans="1:9" s="5" customFormat="1" x14ac:dyDescent="0.35">
      <c r="A298" s="3" t="s">
        <v>8</v>
      </c>
      <c r="B298" s="3" t="s">
        <v>128</v>
      </c>
      <c r="C298" s="3" t="s">
        <v>10</v>
      </c>
      <c r="D298" s="3" t="s">
        <v>171</v>
      </c>
      <c r="E298" s="3" t="s">
        <v>32</v>
      </c>
      <c r="F298" s="3"/>
      <c r="G298" s="3"/>
      <c r="H298" s="3"/>
      <c r="I298" s="3"/>
    </row>
    <row r="299" spans="1:9" s="5" customFormat="1" x14ac:dyDescent="0.35">
      <c r="A299" s="3" t="s">
        <v>8</v>
      </c>
      <c r="B299" s="3" t="s">
        <v>128</v>
      </c>
      <c r="C299" s="3" t="s">
        <v>10</v>
      </c>
      <c r="D299" s="3" t="s">
        <v>171</v>
      </c>
      <c r="E299" s="3" t="s">
        <v>29</v>
      </c>
      <c r="F299" s="3"/>
      <c r="G299" s="3"/>
      <c r="H299" s="3"/>
      <c r="I299" s="3"/>
    </row>
    <row r="300" spans="1:9" s="5" customFormat="1" x14ac:dyDescent="0.35">
      <c r="A300" s="3" t="s">
        <v>8</v>
      </c>
      <c r="B300" s="3" t="s">
        <v>128</v>
      </c>
      <c r="C300" s="3" t="s">
        <v>10</v>
      </c>
      <c r="D300" s="3" t="s">
        <v>171</v>
      </c>
      <c r="E300" s="3" t="s">
        <v>24</v>
      </c>
      <c r="F300" s="3"/>
      <c r="G300" s="3"/>
      <c r="H300" s="3"/>
      <c r="I300" s="3"/>
    </row>
    <row r="301" spans="1:9" s="5" customFormat="1" x14ac:dyDescent="0.35">
      <c r="A301" s="3" t="s">
        <v>8</v>
      </c>
      <c r="B301" s="3" t="s">
        <v>128</v>
      </c>
      <c r="C301" s="3" t="s">
        <v>10</v>
      </c>
      <c r="D301" s="3" t="s">
        <v>171</v>
      </c>
      <c r="E301" s="3" t="s">
        <v>134</v>
      </c>
      <c r="F301" s="3"/>
      <c r="G301" s="3"/>
      <c r="H301" s="3"/>
      <c r="I301" s="3"/>
    </row>
    <row r="302" spans="1:9" s="5" customFormat="1" x14ac:dyDescent="0.35">
      <c r="A302" s="3" t="s">
        <v>8</v>
      </c>
      <c r="B302" s="3" t="s">
        <v>128</v>
      </c>
      <c r="C302" s="3" t="s">
        <v>10</v>
      </c>
      <c r="D302" s="3" t="s">
        <v>2886</v>
      </c>
      <c r="E302" s="3" t="s">
        <v>47</v>
      </c>
      <c r="F302" s="3"/>
      <c r="G302" s="3"/>
      <c r="H302" s="3"/>
      <c r="I302" s="3"/>
    </row>
    <row r="303" spans="1:9" s="5" customFormat="1" x14ac:dyDescent="0.35">
      <c r="A303" s="3" t="s">
        <v>8</v>
      </c>
      <c r="B303" s="3" t="s">
        <v>128</v>
      </c>
      <c r="C303" s="3" t="s">
        <v>10</v>
      </c>
      <c r="D303" s="3" t="s">
        <v>2886</v>
      </c>
      <c r="E303" s="3" t="s">
        <v>57</v>
      </c>
      <c r="F303" s="3"/>
      <c r="G303" s="3" t="s">
        <v>2887</v>
      </c>
      <c r="H303" s="3"/>
      <c r="I303" s="3"/>
    </row>
    <row r="304" spans="1:9" s="5" customFormat="1" x14ac:dyDescent="0.35">
      <c r="A304" s="3" t="s">
        <v>8</v>
      </c>
      <c r="B304" s="3" t="s">
        <v>128</v>
      </c>
      <c r="C304" s="3" t="s">
        <v>129</v>
      </c>
      <c r="D304" s="3" t="s">
        <v>172</v>
      </c>
      <c r="E304" s="3" t="s">
        <v>47</v>
      </c>
      <c r="F304" s="3"/>
      <c r="G304" s="3" t="s">
        <v>2377</v>
      </c>
      <c r="H304" s="3"/>
      <c r="I304" s="3"/>
    </row>
    <row r="305" spans="1:9" s="5" customFormat="1" x14ac:dyDescent="0.35">
      <c r="A305" s="3" t="s">
        <v>8</v>
      </c>
      <c r="B305" s="3" t="s">
        <v>128</v>
      </c>
      <c r="C305" s="3" t="s">
        <v>129</v>
      </c>
      <c r="D305" s="3" t="s">
        <v>172</v>
      </c>
      <c r="E305" s="3" t="s">
        <v>25</v>
      </c>
      <c r="F305" s="3"/>
      <c r="G305" s="3" t="s">
        <v>2378</v>
      </c>
      <c r="H305" s="3"/>
      <c r="I305" s="3"/>
    </row>
    <row r="306" spans="1:9" s="5" customFormat="1" x14ac:dyDescent="0.35">
      <c r="A306" s="3" t="s">
        <v>8</v>
      </c>
      <c r="B306" s="3" t="s">
        <v>128</v>
      </c>
      <c r="C306" s="3" t="s">
        <v>129</v>
      </c>
      <c r="D306" s="3" t="s">
        <v>172</v>
      </c>
      <c r="E306" s="3" t="s">
        <v>141</v>
      </c>
      <c r="F306" s="3"/>
      <c r="G306" s="3"/>
      <c r="H306" s="3"/>
      <c r="I306" s="3"/>
    </row>
    <row r="307" spans="1:9" s="5" customFormat="1" x14ac:dyDescent="0.35">
      <c r="A307" s="3" t="s">
        <v>8</v>
      </c>
      <c r="B307" s="3" t="s">
        <v>128</v>
      </c>
      <c r="C307" s="3" t="s">
        <v>129</v>
      </c>
      <c r="D307" s="3" t="s">
        <v>172</v>
      </c>
      <c r="E307" s="3" t="s">
        <v>71</v>
      </c>
      <c r="F307" s="3"/>
      <c r="G307" s="3"/>
      <c r="H307" s="3"/>
      <c r="I307" s="3"/>
    </row>
    <row r="308" spans="1:9" s="5" customFormat="1" x14ac:dyDescent="0.35">
      <c r="A308" s="3" t="s">
        <v>8</v>
      </c>
      <c r="B308" s="3" t="s">
        <v>128</v>
      </c>
      <c r="C308" s="3" t="s">
        <v>129</v>
      </c>
      <c r="D308" s="3" t="s">
        <v>172</v>
      </c>
      <c r="E308" s="3" t="s">
        <v>142</v>
      </c>
      <c r="F308" s="3"/>
      <c r="G308" s="3"/>
      <c r="H308" s="3"/>
      <c r="I308" s="3"/>
    </row>
    <row r="309" spans="1:9" s="5" customFormat="1" x14ac:dyDescent="0.35">
      <c r="A309" s="3" t="s">
        <v>8</v>
      </c>
      <c r="B309" s="3" t="s">
        <v>128</v>
      </c>
      <c r="C309" s="3" t="s">
        <v>129</v>
      </c>
      <c r="D309" s="3" t="s">
        <v>172</v>
      </c>
      <c r="E309" s="3" t="s">
        <v>87</v>
      </c>
      <c r="F309" s="3"/>
      <c r="G309" s="3"/>
      <c r="H309" s="3"/>
      <c r="I309" s="3"/>
    </row>
    <row r="310" spans="1:9" s="5" customFormat="1" x14ac:dyDescent="0.35">
      <c r="A310" s="3" t="s">
        <v>8</v>
      </c>
      <c r="B310" s="3" t="s">
        <v>128</v>
      </c>
      <c r="C310" s="3" t="s">
        <v>129</v>
      </c>
      <c r="D310" s="3" t="s">
        <v>172</v>
      </c>
      <c r="E310" s="3" t="s">
        <v>15</v>
      </c>
      <c r="F310" s="3" t="s">
        <v>13</v>
      </c>
      <c r="G310" s="3" t="s">
        <v>173</v>
      </c>
      <c r="H310" s="3"/>
      <c r="I310" s="3"/>
    </row>
    <row r="311" spans="1:9" s="5" customFormat="1" x14ac:dyDescent="0.35">
      <c r="A311" s="3" t="s">
        <v>8</v>
      </c>
      <c r="B311" s="3" t="s">
        <v>128</v>
      </c>
      <c r="C311" s="3" t="s">
        <v>129</v>
      </c>
      <c r="D311" s="3" t="s">
        <v>172</v>
      </c>
      <c r="E311" s="3" t="s">
        <v>37</v>
      </c>
      <c r="F311" s="3"/>
      <c r="G311" s="3"/>
      <c r="H311" s="3"/>
      <c r="I311" s="3"/>
    </row>
    <row r="312" spans="1:9" s="5" customFormat="1" x14ac:dyDescent="0.35">
      <c r="A312" s="3" t="s">
        <v>8</v>
      </c>
      <c r="B312" s="3" t="s">
        <v>128</v>
      </c>
      <c r="C312" s="3" t="s">
        <v>129</v>
      </c>
      <c r="D312" s="3" t="s">
        <v>172</v>
      </c>
      <c r="E312" s="3" t="s">
        <v>32</v>
      </c>
      <c r="F312" s="3" t="s">
        <v>13</v>
      </c>
      <c r="G312" s="3" t="s">
        <v>2379</v>
      </c>
      <c r="H312" s="3"/>
      <c r="I312" s="3"/>
    </row>
    <row r="313" spans="1:9" s="5" customFormat="1" x14ac:dyDescent="0.35">
      <c r="A313" s="3" t="s">
        <v>8</v>
      </c>
      <c r="B313" s="3" t="s">
        <v>128</v>
      </c>
      <c r="C313" s="3" t="s">
        <v>129</v>
      </c>
      <c r="D313" s="3" t="s">
        <v>172</v>
      </c>
      <c r="E313" s="3" t="s">
        <v>29</v>
      </c>
      <c r="F313" s="3"/>
      <c r="G313" s="3"/>
      <c r="H313" s="3"/>
      <c r="I313" s="3"/>
    </row>
    <row r="314" spans="1:9" s="5" customFormat="1" x14ac:dyDescent="0.35">
      <c r="A314" s="3" t="s">
        <v>8</v>
      </c>
      <c r="B314" s="3" t="s">
        <v>128</v>
      </c>
      <c r="C314" s="3" t="s">
        <v>129</v>
      </c>
      <c r="D314" s="3" t="s">
        <v>172</v>
      </c>
      <c r="E314" s="3" t="s">
        <v>24</v>
      </c>
      <c r="F314" s="3"/>
      <c r="G314" s="3"/>
      <c r="H314" s="3"/>
      <c r="I314" s="3"/>
    </row>
    <row r="315" spans="1:9" s="5" customFormat="1" x14ac:dyDescent="0.35">
      <c r="A315" s="3" t="s">
        <v>8</v>
      </c>
      <c r="B315" s="3" t="s">
        <v>128</v>
      </c>
      <c r="C315" s="3" t="s">
        <v>129</v>
      </c>
      <c r="D315" s="3" t="s">
        <v>172</v>
      </c>
      <c r="E315" s="3" t="s">
        <v>134</v>
      </c>
      <c r="F315" s="3"/>
      <c r="G315" s="3"/>
      <c r="H315" s="3"/>
      <c r="I315" s="3"/>
    </row>
    <row r="316" spans="1:9" s="5" customFormat="1" x14ac:dyDescent="0.35">
      <c r="A316" s="3" t="s">
        <v>8</v>
      </c>
      <c r="B316" s="3" t="s">
        <v>128</v>
      </c>
      <c r="C316" s="3" t="s">
        <v>129</v>
      </c>
      <c r="D316" s="3" t="s">
        <v>172</v>
      </c>
      <c r="E316" s="3" t="s">
        <v>107</v>
      </c>
      <c r="F316" s="3"/>
      <c r="G316" s="3"/>
      <c r="H316" s="3"/>
      <c r="I316" s="3"/>
    </row>
    <row r="317" spans="1:9" s="5" customFormat="1" x14ac:dyDescent="0.35">
      <c r="A317" s="3" t="s">
        <v>8</v>
      </c>
      <c r="B317" s="3" t="s">
        <v>128</v>
      </c>
      <c r="C317" s="3" t="s">
        <v>10</v>
      </c>
      <c r="D317" s="3" t="s">
        <v>2889</v>
      </c>
      <c r="E317" s="3" t="s">
        <v>47</v>
      </c>
      <c r="F317" s="3"/>
      <c r="G317" s="3"/>
      <c r="H317" s="3"/>
      <c r="I317" s="3"/>
    </row>
    <row r="318" spans="1:9" s="5" customFormat="1" x14ac:dyDescent="0.35">
      <c r="A318" s="3" t="s">
        <v>8</v>
      </c>
      <c r="B318" s="3" t="s">
        <v>128</v>
      </c>
      <c r="C318" s="3" t="s">
        <v>10</v>
      </c>
      <c r="D318" s="3" t="s">
        <v>2889</v>
      </c>
      <c r="E318" s="3" t="s">
        <v>15</v>
      </c>
      <c r="F318" s="3" t="s">
        <v>16</v>
      </c>
      <c r="G318" s="3" t="s">
        <v>2890</v>
      </c>
      <c r="H318" s="3"/>
      <c r="I318" s="3"/>
    </row>
    <row r="319" spans="1:9" s="5" customFormat="1" x14ac:dyDescent="0.35">
      <c r="A319" s="3" t="s">
        <v>8</v>
      </c>
      <c r="B319" s="3" t="s">
        <v>128</v>
      </c>
      <c r="C319" s="3" t="s">
        <v>129</v>
      </c>
      <c r="D319" s="3" t="s">
        <v>174</v>
      </c>
      <c r="E319" s="3" t="s">
        <v>60</v>
      </c>
      <c r="F319" s="3"/>
      <c r="G319" s="3"/>
      <c r="H319" s="3"/>
      <c r="I319" s="3"/>
    </row>
    <row r="320" spans="1:9" s="5" customFormat="1" x14ac:dyDescent="0.35">
      <c r="A320" s="3" t="s">
        <v>8</v>
      </c>
      <c r="B320" s="3" t="s">
        <v>128</v>
      </c>
      <c r="C320" s="3" t="s">
        <v>129</v>
      </c>
      <c r="D320" s="3" t="s">
        <v>174</v>
      </c>
      <c r="E320" s="3" t="s">
        <v>15</v>
      </c>
      <c r="F320" s="3" t="s">
        <v>13</v>
      </c>
      <c r="G320" s="3" t="s">
        <v>176</v>
      </c>
      <c r="H320" s="3"/>
      <c r="I320" s="3"/>
    </row>
    <row r="321" spans="1:9" s="5" customFormat="1" x14ac:dyDescent="0.35">
      <c r="A321" s="3" t="s">
        <v>8</v>
      </c>
      <c r="B321" s="3" t="s">
        <v>128</v>
      </c>
      <c r="C321" s="3" t="s">
        <v>129</v>
      </c>
      <c r="D321" s="3" t="s">
        <v>174</v>
      </c>
      <c r="E321" s="3" t="s">
        <v>175</v>
      </c>
      <c r="F321" s="3"/>
      <c r="G321" s="3"/>
      <c r="H321" s="3"/>
      <c r="I321" s="3"/>
    </row>
    <row r="322" spans="1:9" s="5" customFormat="1" x14ac:dyDescent="0.35">
      <c r="A322" s="3" t="s">
        <v>8</v>
      </c>
      <c r="B322" s="3" t="s">
        <v>128</v>
      </c>
      <c r="C322" s="3" t="s">
        <v>129</v>
      </c>
      <c r="D322" s="3" t="s">
        <v>174</v>
      </c>
      <c r="E322" s="3" t="s">
        <v>32</v>
      </c>
      <c r="F322" s="3"/>
      <c r="G322" s="3"/>
      <c r="H322" s="3"/>
      <c r="I322" s="3"/>
    </row>
    <row r="323" spans="1:9" s="5" customFormat="1" x14ac:dyDescent="0.35">
      <c r="A323" s="3" t="s">
        <v>8</v>
      </c>
      <c r="B323" s="3" t="s">
        <v>128</v>
      </c>
      <c r="C323" s="3" t="s">
        <v>129</v>
      </c>
      <c r="D323" s="3" t="s">
        <v>174</v>
      </c>
      <c r="E323" s="3" t="s">
        <v>29</v>
      </c>
      <c r="F323" s="3" t="s">
        <v>13</v>
      </c>
      <c r="G323" s="3" t="s">
        <v>177</v>
      </c>
      <c r="H323" s="3"/>
      <c r="I323" s="3"/>
    </row>
    <row r="324" spans="1:9" s="5" customFormat="1" x14ac:dyDescent="0.35">
      <c r="A324" s="3" t="s">
        <v>8</v>
      </c>
      <c r="B324" s="3" t="s">
        <v>128</v>
      </c>
      <c r="C324" s="3" t="s">
        <v>129</v>
      </c>
      <c r="D324" s="3" t="s">
        <v>174</v>
      </c>
      <c r="E324" s="3" t="s">
        <v>62</v>
      </c>
      <c r="F324" s="3"/>
      <c r="G324" s="3"/>
      <c r="H324" s="3"/>
      <c r="I324" s="3"/>
    </row>
    <row r="325" spans="1:9" s="5" customFormat="1" x14ac:dyDescent="0.35">
      <c r="A325" s="3" t="s">
        <v>8</v>
      </c>
      <c r="B325" s="3" t="s">
        <v>128</v>
      </c>
      <c r="C325" s="3" t="s">
        <v>129</v>
      </c>
      <c r="D325" s="3" t="s">
        <v>174</v>
      </c>
      <c r="E325" s="3" t="s">
        <v>134</v>
      </c>
      <c r="F325" s="3"/>
      <c r="G325" s="3"/>
      <c r="H325" s="3"/>
      <c r="I325" s="3"/>
    </row>
    <row r="326" spans="1:9" s="5" customFormat="1" x14ac:dyDescent="0.35">
      <c r="A326" s="3" t="s">
        <v>8</v>
      </c>
      <c r="B326" s="3" t="s">
        <v>128</v>
      </c>
      <c r="C326" s="3" t="s">
        <v>10</v>
      </c>
      <c r="D326" s="3" t="s">
        <v>178</v>
      </c>
      <c r="E326" s="3" t="s">
        <v>47</v>
      </c>
      <c r="F326" s="3"/>
      <c r="G326" s="3"/>
      <c r="H326" s="3"/>
      <c r="I326" s="3"/>
    </row>
    <row r="327" spans="1:9" s="5" customFormat="1" x14ac:dyDescent="0.35">
      <c r="A327" s="3" t="s">
        <v>8</v>
      </c>
      <c r="B327" s="3" t="s">
        <v>128</v>
      </c>
      <c r="C327" s="3" t="s">
        <v>10</v>
      </c>
      <c r="D327" s="3" t="s">
        <v>178</v>
      </c>
      <c r="E327" s="3" t="s">
        <v>15</v>
      </c>
      <c r="F327" s="3" t="s">
        <v>13</v>
      </c>
      <c r="G327" s="3" t="s">
        <v>179</v>
      </c>
      <c r="H327" s="3"/>
      <c r="I327" s="3"/>
    </row>
    <row r="328" spans="1:9" s="5" customFormat="1" x14ac:dyDescent="0.35">
      <c r="A328" s="3" t="s">
        <v>8</v>
      </c>
      <c r="B328" s="3" t="s">
        <v>128</v>
      </c>
      <c r="C328" s="3" t="s">
        <v>10</v>
      </c>
      <c r="D328" s="3" t="s">
        <v>178</v>
      </c>
      <c r="E328" s="3" t="s">
        <v>107</v>
      </c>
      <c r="F328" s="3"/>
      <c r="G328" s="3"/>
      <c r="H328" s="3"/>
      <c r="I328" s="3"/>
    </row>
    <row r="329" spans="1:9" s="5" customFormat="1" x14ac:dyDescent="0.35">
      <c r="A329" s="3" t="s">
        <v>8</v>
      </c>
      <c r="B329" s="3" t="s">
        <v>128</v>
      </c>
      <c r="C329" s="3" t="s">
        <v>10</v>
      </c>
      <c r="D329" s="3" t="s">
        <v>180</v>
      </c>
      <c r="E329" s="3" t="s">
        <v>12</v>
      </c>
      <c r="F329" s="3"/>
      <c r="G329" s="3"/>
      <c r="H329" s="3"/>
      <c r="I329" s="3"/>
    </row>
    <row r="330" spans="1:9" s="5" customFormat="1" x14ac:dyDescent="0.35">
      <c r="A330" s="3" t="s">
        <v>8</v>
      </c>
      <c r="B330" s="3" t="s">
        <v>128</v>
      </c>
      <c r="C330" s="3" t="s">
        <v>10</v>
      </c>
      <c r="D330" s="3" t="s">
        <v>180</v>
      </c>
      <c r="E330" s="3" t="s">
        <v>47</v>
      </c>
      <c r="F330" s="3" t="s">
        <v>13</v>
      </c>
      <c r="G330" s="3" t="s">
        <v>181</v>
      </c>
      <c r="H330" s="3"/>
      <c r="I330" s="3"/>
    </row>
    <row r="331" spans="1:9" s="5" customFormat="1" x14ac:dyDescent="0.35">
      <c r="A331" s="3" t="s">
        <v>8</v>
      </c>
      <c r="B331" s="3" t="s">
        <v>128</v>
      </c>
      <c r="C331" s="3" t="s">
        <v>10</v>
      </c>
      <c r="D331" s="3" t="s">
        <v>180</v>
      </c>
      <c r="E331" s="3" t="s">
        <v>15</v>
      </c>
      <c r="F331" s="3" t="s">
        <v>13</v>
      </c>
      <c r="G331" s="3" t="s">
        <v>182</v>
      </c>
      <c r="H331" s="3"/>
      <c r="I331" s="3"/>
    </row>
    <row r="332" spans="1:9" s="5" customFormat="1" x14ac:dyDescent="0.35">
      <c r="A332" s="3" t="s">
        <v>8</v>
      </c>
      <c r="B332" s="3" t="s">
        <v>128</v>
      </c>
      <c r="C332" s="3" t="s">
        <v>10</v>
      </c>
      <c r="D332" s="3" t="s">
        <v>180</v>
      </c>
      <c r="E332" s="3" t="s">
        <v>107</v>
      </c>
      <c r="F332" s="3"/>
      <c r="G332" s="3"/>
      <c r="H332" s="3"/>
      <c r="I332" s="3"/>
    </row>
    <row r="333" spans="1:9" s="5" customFormat="1" x14ac:dyDescent="0.35">
      <c r="A333" s="3" t="s">
        <v>8</v>
      </c>
      <c r="B333" s="3" t="s">
        <v>128</v>
      </c>
      <c r="C333" s="3" t="s">
        <v>129</v>
      </c>
      <c r="D333" s="3" t="s">
        <v>183</v>
      </c>
      <c r="E333" s="3" t="s">
        <v>12</v>
      </c>
      <c r="F333" s="3"/>
      <c r="G333" s="3"/>
      <c r="H333" s="3"/>
      <c r="I333" s="3"/>
    </row>
    <row r="334" spans="1:9" s="5" customFormat="1" x14ac:dyDescent="0.35">
      <c r="A334" s="3" t="s">
        <v>8</v>
      </c>
      <c r="B334" s="3" t="s">
        <v>128</v>
      </c>
      <c r="C334" s="3" t="s">
        <v>129</v>
      </c>
      <c r="D334" s="3" t="s">
        <v>183</v>
      </c>
      <c r="E334" s="3" t="s">
        <v>87</v>
      </c>
      <c r="F334" s="3"/>
      <c r="G334" s="3"/>
      <c r="H334" s="3"/>
      <c r="I334" s="3"/>
    </row>
    <row r="335" spans="1:9" s="5" customFormat="1" x14ac:dyDescent="0.35">
      <c r="A335" s="3" t="s">
        <v>8</v>
      </c>
      <c r="B335" s="3" t="s">
        <v>128</v>
      </c>
      <c r="C335" s="3" t="s">
        <v>129</v>
      </c>
      <c r="D335" s="3" t="s">
        <v>183</v>
      </c>
      <c r="E335" s="3" t="s">
        <v>32</v>
      </c>
      <c r="F335" s="3"/>
      <c r="G335" s="3" t="s">
        <v>2293</v>
      </c>
      <c r="H335" s="3"/>
      <c r="I335" s="3"/>
    </row>
    <row r="336" spans="1:9" s="5" customFormat="1" x14ac:dyDescent="0.35">
      <c r="A336" s="3" t="s">
        <v>8</v>
      </c>
      <c r="B336" s="3" t="s">
        <v>128</v>
      </c>
      <c r="C336" s="3" t="s">
        <v>45</v>
      </c>
      <c r="D336" s="3" t="s">
        <v>184</v>
      </c>
      <c r="E336" s="3" t="s">
        <v>77</v>
      </c>
      <c r="F336" s="3" t="s">
        <v>33</v>
      </c>
      <c r="G336" s="3" t="s">
        <v>186</v>
      </c>
      <c r="H336" s="3"/>
      <c r="I336" s="3"/>
    </row>
    <row r="337" spans="1:9" s="5" customFormat="1" x14ac:dyDescent="0.35">
      <c r="A337" s="3" t="s">
        <v>8</v>
      </c>
      <c r="B337" s="3" t="s">
        <v>128</v>
      </c>
      <c r="C337" s="3" t="s">
        <v>45</v>
      </c>
      <c r="D337" s="3" t="s">
        <v>184</v>
      </c>
      <c r="E337" s="3" t="s">
        <v>185</v>
      </c>
      <c r="F337" s="3" t="s">
        <v>33</v>
      </c>
      <c r="G337" s="3" t="s">
        <v>186</v>
      </c>
      <c r="H337" s="3"/>
      <c r="I337" s="3"/>
    </row>
    <row r="338" spans="1:9" s="5" customFormat="1" x14ac:dyDescent="0.35">
      <c r="A338" s="3" t="s">
        <v>8</v>
      </c>
      <c r="B338" s="3" t="s">
        <v>128</v>
      </c>
      <c r="C338" s="3" t="s">
        <v>45</v>
      </c>
      <c r="D338" s="3" t="s">
        <v>184</v>
      </c>
      <c r="E338" s="3" t="s">
        <v>15</v>
      </c>
      <c r="F338" s="3" t="s">
        <v>33</v>
      </c>
      <c r="G338" s="3" t="s">
        <v>186</v>
      </c>
      <c r="H338" s="3"/>
      <c r="I338" s="3"/>
    </row>
    <row r="339" spans="1:9" s="5" customFormat="1" x14ac:dyDescent="0.35">
      <c r="A339" s="3" t="s">
        <v>8</v>
      </c>
      <c r="B339" s="3" t="s">
        <v>187</v>
      </c>
      <c r="C339" s="3" t="s">
        <v>10</v>
      </c>
      <c r="D339" s="3" t="s">
        <v>2629</v>
      </c>
      <c r="E339" s="3" t="s">
        <v>47</v>
      </c>
      <c r="F339" s="3" t="s">
        <v>16</v>
      </c>
      <c r="G339" s="3" t="s">
        <v>2630</v>
      </c>
      <c r="H339" s="3"/>
      <c r="I339" s="3"/>
    </row>
    <row r="340" spans="1:9" s="5" customFormat="1" x14ac:dyDescent="0.35">
      <c r="A340" s="3" t="s">
        <v>8</v>
      </c>
      <c r="B340" s="3" t="s">
        <v>187</v>
      </c>
      <c r="C340" s="3" t="s">
        <v>10</v>
      </c>
      <c r="D340" s="3" t="s">
        <v>2629</v>
      </c>
      <c r="E340" s="3" t="s">
        <v>15</v>
      </c>
      <c r="F340" s="3" t="s">
        <v>16</v>
      </c>
      <c r="G340" s="3" t="s">
        <v>2631</v>
      </c>
      <c r="H340" s="3" t="s">
        <v>13</v>
      </c>
      <c r="I340" s="3" t="s">
        <v>2632</v>
      </c>
    </row>
    <row r="341" spans="1:9" s="5" customFormat="1" x14ac:dyDescent="0.35">
      <c r="A341" s="3" t="s">
        <v>8</v>
      </c>
      <c r="B341" s="3" t="s">
        <v>187</v>
      </c>
      <c r="C341" s="3" t="s">
        <v>20</v>
      </c>
      <c r="D341" s="3" t="s">
        <v>188</v>
      </c>
      <c r="E341" s="3" t="s">
        <v>15</v>
      </c>
      <c r="F341" s="3" t="s">
        <v>13</v>
      </c>
      <c r="G341" s="3" t="s">
        <v>189</v>
      </c>
      <c r="H341" s="3" t="s">
        <v>13</v>
      </c>
      <c r="I341" s="3" t="s">
        <v>190</v>
      </c>
    </row>
    <row r="342" spans="1:9" s="5" customFormat="1" x14ac:dyDescent="0.35">
      <c r="A342" s="3" t="s">
        <v>8</v>
      </c>
      <c r="B342" s="3" t="s">
        <v>187</v>
      </c>
      <c r="C342" s="3" t="s">
        <v>20</v>
      </c>
      <c r="D342" s="3" t="s">
        <v>188</v>
      </c>
      <c r="E342" s="3" t="s">
        <v>32</v>
      </c>
      <c r="F342" s="3"/>
      <c r="G342" s="3" t="s">
        <v>2405</v>
      </c>
      <c r="H342" s="3" t="s">
        <v>13</v>
      </c>
      <c r="I342" s="3" t="s">
        <v>190</v>
      </c>
    </row>
    <row r="343" spans="1:9" s="5" customFormat="1" x14ac:dyDescent="0.35">
      <c r="A343" s="3" t="s">
        <v>8</v>
      </c>
      <c r="B343" s="3" t="s">
        <v>187</v>
      </c>
      <c r="C343" s="3" t="s">
        <v>20</v>
      </c>
      <c r="D343" s="3" t="s">
        <v>188</v>
      </c>
      <c r="E343" s="3" t="s">
        <v>191</v>
      </c>
      <c r="F343" s="3"/>
      <c r="G343" s="3"/>
      <c r="H343" s="3" t="s">
        <v>13</v>
      </c>
      <c r="I343" s="3" t="s">
        <v>190</v>
      </c>
    </row>
    <row r="344" spans="1:9" s="5" customFormat="1" x14ac:dyDescent="0.35">
      <c r="A344" s="3" t="s">
        <v>8</v>
      </c>
      <c r="B344" s="3" t="s">
        <v>187</v>
      </c>
      <c r="C344" s="3" t="s">
        <v>45</v>
      </c>
      <c r="D344" s="3" t="s">
        <v>192</v>
      </c>
      <c r="E344" s="3" t="s">
        <v>77</v>
      </c>
      <c r="F344" s="3"/>
      <c r="G344" s="3"/>
      <c r="H344" s="3"/>
      <c r="I344" s="3"/>
    </row>
    <row r="345" spans="1:9" s="5" customFormat="1" x14ac:dyDescent="0.35">
      <c r="A345" s="3" t="s">
        <v>8</v>
      </c>
      <c r="B345" s="3" t="s">
        <v>193</v>
      </c>
      <c r="C345" s="3" t="s">
        <v>10</v>
      </c>
      <c r="D345" s="3" t="s">
        <v>194</v>
      </c>
      <c r="E345" s="3" t="s">
        <v>47</v>
      </c>
      <c r="F345" s="3" t="s">
        <v>16</v>
      </c>
      <c r="G345" s="3" t="s">
        <v>195</v>
      </c>
      <c r="H345" s="3" t="s">
        <v>13</v>
      </c>
      <c r="I345" s="3" t="s">
        <v>69</v>
      </c>
    </row>
    <row r="346" spans="1:9" s="5" customFormat="1" x14ac:dyDescent="0.35">
      <c r="A346" s="3" t="s">
        <v>8</v>
      </c>
      <c r="B346" s="3" t="s">
        <v>193</v>
      </c>
      <c r="C346" s="3" t="s">
        <v>10</v>
      </c>
      <c r="D346" s="3" t="s">
        <v>194</v>
      </c>
      <c r="E346" s="3" t="s">
        <v>28</v>
      </c>
      <c r="F346" s="3"/>
      <c r="G346" s="3" t="s">
        <v>2789</v>
      </c>
      <c r="H346" s="3" t="s">
        <v>13</v>
      </c>
      <c r="I346" s="3" t="s">
        <v>69</v>
      </c>
    </row>
    <row r="347" spans="1:9" s="5" customFormat="1" x14ac:dyDescent="0.35">
      <c r="A347" s="3" t="s">
        <v>8</v>
      </c>
      <c r="B347" s="3" t="s">
        <v>193</v>
      </c>
      <c r="C347" s="3" t="s">
        <v>10</v>
      </c>
      <c r="D347" s="3" t="s">
        <v>194</v>
      </c>
      <c r="E347" s="3" t="s">
        <v>15</v>
      </c>
      <c r="F347" s="3"/>
      <c r="G347" s="3"/>
      <c r="H347" s="3" t="s">
        <v>13</v>
      </c>
      <c r="I347" s="3" t="s">
        <v>59</v>
      </c>
    </row>
    <row r="348" spans="1:9" s="5" customFormat="1" x14ac:dyDescent="0.35">
      <c r="A348" s="3" t="s">
        <v>8</v>
      </c>
      <c r="B348" s="3" t="s">
        <v>193</v>
      </c>
      <c r="C348" s="3" t="s">
        <v>10</v>
      </c>
      <c r="D348" s="3" t="s">
        <v>194</v>
      </c>
      <c r="E348" s="3" t="s">
        <v>32</v>
      </c>
      <c r="F348" s="3" t="s">
        <v>33</v>
      </c>
      <c r="G348" s="3" t="s">
        <v>875</v>
      </c>
      <c r="H348" s="3"/>
      <c r="I348" s="3"/>
    </row>
    <row r="349" spans="1:9" s="5" customFormat="1" x14ac:dyDescent="0.35">
      <c r="A349" s="3" t="s">
        <v>8</v>
      </c>
      <c r="B349" s="3" t="s">
        <v>193</v>
      </c>
      <c r="C349" s="3" t="s">
        <v>10</v>
      </c>
      <c r="D349" s="3" t="s">
        <v>196</v>
      </c>
      <c r="E349" s="3" t="s">
        <v>47</v>
      </c>
      <c r="F349" s="3"/>
      <c r="G349" s="3"/>
      <c r="H349" s="3" t="s">
        <v>13</v>
      </c>
      <c r="I349" s="3" t="s">
        <v>59</v>
      </c>
    </row>
    <row r="350" spans="1:9" s="5" customFormat="1" x14ac:dyDescent="0.35">
      <c r="A350" s="3" t="s">
        <v>8</v>
      </c>
      <c r="B350" s="3" t="s">
        <v>193</v>
      </c>
      <c r="C350" s="3" t="s">
        <v>10</v>
      </c>
      <c r="D350" s="3" t="s">
        <v>196</v>
      </c>
      <c r="E350" s="3" t="s">
        <v>28</v>
      </c>
      <c r="F350" s="3" t="s">
        <v>16</v>
      </c>
      <c r="G350" s="3" t="s">
        <v>197</v>
      </c>
      <c r="H350" s="3" t="s">
        <v>13</v>
      </c>
      <c r="I350" s="3" t="s">
        <v>59</v>
      </c>
    </row>
    <row r="351" spans="1:9" s="5" customFormat="1" x14ac:dyDescent="0.35">
      <c r="A351" s="3" t="s">
        <v>8</v>
      </c>
      <c r="B351" s="3" t="s">
        <v>193</v>
      </c>
      <c r="C351" s="3" t="s">
        <v>10</v>
      </c>
      <c r="D351" s="3" t="s">
        <v>196</v>
      </c>
      <c r="E351" s="3" t="s">
        <v>15</v>
      </c>
      <c r="F351" s="3"/>
      <c r="G351" s="3"/>
      <c r="H351" s="3" t="s">
        <v>13</v>
      </c>
      <c r="I351" s="3" t="s">
        <v>59</v>
      </c>
    </row>
    <row r="352" spans="1:9" s="5" customFormat="1" x14ac:dyDescent="0.35">
      <c r="A352" s="3" t="s">
        <v>8</v>
      </c>
      <c r="B352" s="3" t="s">
        <v>193</v>
      </c>
      <c r="C352" s="3" t="s">
        <v>10</v>
      </c>
      <c r="D352" s="3" t="s">
        <v>2826</v>
      </c>
      <c r="E352" s="3" t="s">
        <v>12</v>
      </c>
      <c r="F352" s="3"/>
      <c r="G352" s="3"/>
      <c r="H352" s="3" t="s">
        <v>13</v>
      </c>
      <c r="I352" s="3" t="s">
        <v>59</v>
      </c>
    </row>
    <row r="353" spans="1:9" s="5" customFormat="1" x14ac:dyDescent="0.35">
      <c r="A353" s="3" t="s">
        <v>8</v>
      </c>
      <c r="B353" s="3" t="s">
        <v>193</v>
      </c>
      <c r="C353" s="3" t="s">
        <v>10</v>
      </c>
      <c r="D353" s="3" t="s">
        <v>2826</v>
      </c>
      <c r="E353" s="3" t="s">
        <v>47</v>
      </c>
      <c r="F353" s="3"/>
      <c r="G353" s="3"/>
      <c r="H353" s="3" t="s">
        <v>13</v>
      </c>
      <c r="I353" s="3" t="s">
        <v>59</v>
      </c>
    </row>
    <row r="354" spans="1:9" s="5" customFormat="1" x14ac:dyDescent="0.35">
      <c r="A354" s="3" t="s">
        <v>8</v>
      </c>
      <c r="B354" s="3" t="s">
        <v>193</v>
      </c>
      <c r="C354" s="3" t="s">
        <v>10</v>
      </c>
      <c r="D354" s="3" t="s">
        <v>2826</v>
      </c>
      <c r="E354" s="3" t="s">
        <v>28</v>
      </c>
      <c r="F354" s="3" t="s">
        <v>16</v>
      </c>
      <c r="G354" s="3" t="s">
        <v>2827</v>
      </c>
      <c r="H354" s="3" t="s">
        <v>13</v>
      </c>
      <c r="I354" s="3" t="s">
        <v>59</v>
      </c>
    </row>
    <row r="355" spans="1:9" s="5" customFormat="1" x14ac:dyDescent="0.35">
      <c r="A355" s="3" t="s">
        <v>8</v>
      </c>
      <c r="B355" s="3" t="s">
        <v>193</v>
      </c>
      <c r="C355" s="3" t="s">
        <v>10</v>
      </c>
      <c r="D355" s="3" t="s">
        <v>2826</v>
      </c>
      <c r="E355" s="3" t="s">
        <v>32</v>
      </c>
      <c r="F355" s="3"/>
      <c r="G355" s="3" t="s">
        <v>2796</v>
      </c>
      <c r="H355" s="3" t="s">
        <v>13</v>
      </c>
      <c r="I355" s="3" t="s">
        <v>59</v>
      </c>
    </row>
    <row r="356" spans="1:9" s="5" customFormat="1" x14ac:dyDescent="0.35">
      <c r="A356" s="3" t="s">
        <v>8</v>
      </c>
      <c r="B356" s="3" t="s">
        <v>193</v>
      </c>
      <c r="C356" s="3" t="s">
        <v>10</v>
      </c>
      <c r="D356" s="3" t="s">
        <v>2984</v>
      </c>
      <c r="E356" s="3" t="s">
        <v>15</v>
      </c>
      <c r="F356" s="3" t="s">
        <v>16</v>
      </c>
      <c r="G356" s="3" t="s">
        <v>2985</v>
      </c>
      <c r="H356" s="3" t="s">
        <v>13</v>
      </c>
      <c r="I356" s="3" t="s">
        <v>59</v>
      </c>
    </row>
    <row r="357" spans="1:9" s="5" customFormat="1" x14ac:dyDescent="0.35">
      <c r="A357" s="3" t="s">
        <v>8</v>
      </c>
      <c r="B357" s="3" t="s">
        <v>193</v>
      </c>
      <c r="C357" s="3" t="s">
        <v>45</v>
      </c>
      <c r="D357" s="3" t="s">
        <v>198</v>
      </c>
      <c r="E357" s="3" t="s">
        <v>77</v>
      </c>
      <c r="F357" s="3"/>
      <c r="G357" s="3"/>
      <c r="H357" s="3"/>
      <c r="I357" s="3"/>
    </row>
    <row r="358" spans="1:9" s="5" customFormat="1" x14ac:dyDescent="0.35">
      <c r="A358" s="3" t="s">
        <v>8</v>
      </c>
      <c r="B358" s="3" t="s">
        <v>193</v>
      </c>
      <c r="C358" s="3" t="s">
        <v>20</v>
      </c>
      <c r="D358" s="3" t="s">
        <v>199</v>
      </c>
      <c r="E358" s="3" t="s">
        <v>15</v>
      </c>
      <c r="F358" s="3" t="s">
        <v>33</v>
      </c>
      <c r="G358" s="3" t="s">
        <v>200</v>
      </c>
      <c r="H358" s="3"/>
      <c r="I358" s="3"/>
    </row>
    <row r="359" spans="1:9" s="5" customFormat="1" x14ac:dyDescent="0.35">
      <c r="A359" s="3" t="s">
        <v>8</v>
      </c>
      <c r="B359" s="3" t="s">
        <v>193</v>
      </c>
      <c r="C359" s="3" t="s">
        <v>20</v>
      </c>
      <c r="D359" s="3" t="s">
        <v>201</v>
      </c>
      <c r="E359" s="3" t="s">
        <v>47</v>
      </c>
      <c r="F359" s="3"/>
      <c r="G359" s="3"/>
      <c r="H359" s="3" t="s">
        <v>13</v>
      </c>
      <c r="I359" s="3" t="s">
        <v>69</v>
      </c>
    </row>
    <row r="360" spans="1:9" s="5" customFormat="1" x14ac:dyDescent="0.35">
      <c r="A360" s="3" t="s">
        <v>8</v>
      </c>
      <c r="B360" s="3" t="s">
        <v>193</v>
      </c>
      <c r="C360" s="3" t="s">
        <v>20</v>
      </c>
      <c r="D360" s="3" t="s">
        <v>201</v>
      </c>
      <c r="E360" s="3" t="s">
        <v>60</v>
      </c>
      <c r="F360" s="3"/>
      <c r="G360" s="3"/>
      <c r="H360" s="3" t="s">
        <v>13</v>
      </c>
      <c r="I360" s="3" t="s">
        <v>69</v>
      </c>
    </row>
    <row r="361" spans="1:9" s="5" customFormat="1" x14ac:dyDescent="0.35">
      <c r="A361" s="3" t="s">
        <v>8</v>
      </c>
      <c r="B361" s="3" t="s">
        <v>193</v>
      </c>
      <c r="C361" s="3" t="s">
        <v>20</v>
      </c>
      <c r="D361" s="3" t="s">
        <v>201</v>
      </c>
      <c r="E361" s="3" t="s">
        <v>87</v>
      </c>
      <c r="F361" s="3"/>
      <c r="G361" s="3"/>
      <c r="H361" s="3" t="s">
        <v>13</v>
      </c>
      <c r="I361" s="3" t="s">
        <v>69</v>
      </c>
    </row>
    <row r="362" spans="1:9" s="5" customFormat="1" x14ac:dyDescent="0.35">
      <c r="A362" s="3" t="s">
        <v>8</v>
      </c>
      <c r="B362" s="3" t="s">
        <v>193</v>
      </c>
      <c r="C362" s="3" t="s">
        <v>20</v>
      </c>
      <c r="D362" s="3" t="s">
        <v>201</v>
      </c>
      <c r="E362" s="3" t="s">
        <v>98</v>
      </c>
      <c r="F362" s="3"/>
      <c r="G362" s="3"/>
      <c r="H362" s="3" t="s">
        <v>13</v>
      </c>
      <c r="I362" s="3" t="s">
        <v>69</v>
      </c>
    </row>
    <row r="363" spans="1:9" s="5" customFormat="1" x14ac:dyDescent="0.35">
      <c r="A363" s="3" t="s">
        <v>8</v>
      </c>
      <c r="B363" s="3" t="s">
        <v>193</v>
      </c>
      <c r="C363" s="3" t="s">
        <v>20</v>
      </c>
      <c r="D363" s="3" t="s">
        <v>201</v>
      </c>
      <c r="E363" s="3" t="s">
        <v>15</v>
      </c>
      <c r="F363" s="3" t="s">
        <v>13</v>
      </c>
      <c r="G363" s="3" t="s">
        <v>203</v>
      </c>
      <c r="H363" s="3" t="s">
        <v>13</v>
      </c>
      <c r="I363" s="3" t="s">
        <v>69</v>
      </c>
    </row>
    <row r="364" spans="1:9" s="5" customFormat="1" x14ac:dyDescent="0.35">
      <c r="A364" s="3" t="s">
        <v>8</v>
      </c>
      <c r="B364" s="3" t="s">
        <v>193</v>
      </c>
      <c r="C364" s="3" t="s">
        <v>20</v>
      </c>
      <c r="D364" s="3" t="s">
        <v>201</v>
      </c>
      <c r="E364" s="3" t="s">
        <v>56</v>
      </c>
      <c r="F364" s="3" t="s">
        <v>13</v>
      </c>
      <c r="G364" s="3" t="s">
        <v>202</v>
      </c>
      <c r="H364" s="3" t="s">
        <v>13</v>
      </c>
      <c r="I364" s="3" t="s">
        <v>69</v>
      </c>
    </row>
    <row r="365" spans="1:9" s="5" customFormat="1" x14ac:dyDescent="0.35">
      <c r="A365" s="3" t="s">
        <v>8</v>
      </c>
      <c r="B365" s="3" t="s">
        <v>193</v>
      </c>
      <c r="C365" s="3" t="s">
        <v>20</v>
      </c>
      <c r="D365" s="3" t="s">
        <v>201</v>
      </c>
      <c r="E365" s="3" t="s">
        <v>175</v>
      </c>
      <c r="F365" s="3"/>
      <c r="G365" s="3"/>
      <c r="H365" s="3" t="s">
        <v>13</v>
      </c>
      <c r="I365" s="3" t="s">
        <v>69</v>
      </c>
    </row>
    <row r="366" spans="1:9" s="5" customFormat="1" x14ac:dyDescent="0.35">
      <c r="A366" s="3" t="s">
        <v>8</v>
      </c>
      <c r="B366" s="3" t="s">
        <v>193</v>
      </c>
      <c r="C366" s="3" t="s">
        <v>20</v>
      </c>
      <c r="D366" s="3" t="s">
        <v>201</v>
      </c>
      <c r="E366" s="3" t="s">
        <v>32</v>
      </c>
      <c r="F366" s="3" t="s">
        <v>33</v>
      </c>
      <c r="G366" s="3" t="s">
        <v>2761</v>
      </c>
      <c r="H366" s="3"/>
      <c r="I366" s="3"/>
    </row>
    <row r="367" spans="1:9" s="5" customFormat="1" x14ac:dyDescent="0.35">
      <c r="A367" s="3" t="s">
        <v>8</v>
      </c>
      <c r="B367" s="3" t="s">
        <v>193</v>
      </c>
      <c r="C367" s="3" t="s">
        <v>20</v>
      </c>
      <c r="D367" s="3" t="s">
        <v>201</v>
      </c>
      <c r="E367" s="3" t="s">
        <v>62</v>
      </c>
      <c r="F367" s="3"/>
      <c r="G367" s="3"/>
      <c r="H367" s="3" t="s">
        <v>13</v>
      </c>
      <c r="I367" s="3" t="s">
        <v>69</v>
      </c>
    </row>
    <row r="368" spans="1:9" s="5" customFormat="1" x14ac:dyDescent="0.35">
      <c r="A368" s="3" t="s">
        <v>8</v>
      </c>
      <c r="B368" s="3" t="s">
        <v>193</v>
      </c>
      <c r="C368" s="3" t="s">
        <v>20</v>
      </c>
      <c r="D368" s="3" t="s">
        <v>201</v>
      </c>
      <c r="E368" s="3" t="s">
        <v>24</v>
      </c>
      <c r="F368" s="3"/>
      <c r="G368" s="3"/>
      <c r="H368" s="3" t="s">
        <v>13</v>
      </c>
      <c r="I368" s="3" t="s">
        <v>69</v>
      </c>
    </row>
    <row r="369" spans="1:9" s="5" customFormat="1" x14ac:dyDescent="0.35">
      <c r="A369" s="3" t="s">
        <v>8</v>
      </c>
      <c r="B369" s="3" t="s">
        <v>193</v>
      </c>
      <c r="C369" s="3" t="s">
        <v>20</v>
      </c>
      <c r="D369" s="3" t="s">
        <v>201</v>
      </c>
      <c r="E369" s="3" t="s">
        <v>107</v>
      </c>
      <c r="F369" s="3" t="s">
        <v>13</v>
      </c>
      <c r="G369" s="3" t="s">
        <v>144</v>
      </c>
      <c r="H369" s="3" t="s">
        <v>13</v>
      </c>
      <c r="I369" s="3" t="s">
        <v>69</v>
      </c>
    </row>
    <row r="370" spans="1:9" s="5" customFormat="1" x14ac:dyDescent="0.35">
      <c r="A370" s="3" t="s">
        <v>8</v>
      </c>
      <c r="B370" s="3" t="s">
        <v>193</v>
      </c>
      <c r="C370" s="3" t="s">
        <v>20</v>
      </c>
      <c r="D370" s="3" t="s">
        <v>2585</v>
      </c>
      <c r="E370" s="3" t="s">
        <v>47</v>
      </c>
      <c r="F370" s="3"/>
      <c r="G370" s="3"/>
      <c r="H370" s="3" t="s">
        <v>13</v>
      </c>
      <c r="I370" s="3" t="s">
        <v>69</v>
      </c>
    </row>
    <row r="371" spans="1:9" s="5" customFormat="1" x14ac:dyDescent="0.35">
      <c r="A371" s="3" t="s">
        <v>8</v>
      </c>
      <c r="B371" s="3" t="s">
        <v>193</v>
      </c>
      <c r="C371" s="3" t="s">
        <v>20</v>
      </c>
      <c r="D371" s="3" t="s">
        <v>2585</v>
      </c>
      <c r="E371" s="3" t="s">
        <v>25</v>
      </c>
      <c r="F371" s="3"/>
      <c r="G371" s="3"/>
      <c r="H371" s="3" t="s">
        <v>13</v>
      </c>
      <c r="I371" s="3" t="s">
        <v>69</v>
      </c>
    </row>
    <row r="372" spans="1:9" s="5" customFormat="1" x14ac:dyDescent="0.35">
      <c r="A372" s="3" t="s">
        <v>8</v>
      </c>
      <c r="B372" s="3" t="s">
        <v>193</v>
      </c>
      <c r="C372" s="3" t="s">
        <v>20</v>
      </c>
      <c r="D372" s="3" t="s">
        <v>2585</v>
      </c>
      <c r="E372" s="3" t="s">
        <v>60</v>
      </c>
      <c r="F372" s="3"/>
      <c r="G372" s="3"/>
      <c r="H372" s="3" t="s">
        <v>13</v>
      </c>
      <c r="I372" s="3" t="s">
        <v>69</v>
      </c>
    </row>
    <row r="373" spans="1:9" s="5" customFormat="1" x14ac:dyDescent="0.35">
      <c r="A373" s="3" t="s">
        <v>8</v>
      </c>
      <c r="B373" s="3" t="s">
        <v>193</v>
      </c>
      <c r="C373" s="3" t="s">
        <v>20</v>
      </c>
      <c r="D373" s="3" t="s">
        <v>2585</v>
      </c>
      <c r="E373" s="3" t="s">
        <v>77</v>
      </c>
      <c r="F373" s="3"/>
      <c r="G373" s="3"/>
      <c r="H373" s="3" t="s">
        <v>13</v>
      </c>
      <c r="I373" s="3" t="s">
        <v>69</v>
      </c>
    </row>
    <row r="374" spans="1:9" s="5" customFormat="1" x14ac:dyDescent="0.35">
      <c r="A374" s="3" t="s">
        <v>8</v>
      </c>
      <c r="B374" s="3" t="s">
        <v>193</v>
      </c>
      <c r="C374" s="3" t="s">
        <v>20</v>
      </c>
      <c r="D374" s="3" t="s">
        <v>2585</v>
      </c>
      <c r="E374" s="3" t="s">
        <v>28</v>
      </c>
      <c r="F374" s="3" t="s">
        <v>13</v>
      </c>
      <c r="G374" s="3" t="s">
        <v>205</v>
      </c>
      <c r="H374" s="3" t="s">
        <v>13</v>
      </c>
      <c r="I374" s="3" t="s">
        <v>69</v>
      </c>
    </row>
    <row r="375" spans="1:9" s="5" customFormat="1" x14ac:dyDescent="0.35">
      <c r="A375" s="3" t="s">
        <v>8</v>
      </c>
      <c r="B375" s="3" t="s">
        <v>193</v>
      </c>
      <c r="C375" s="3" t="s">
        <v>20</v>
      </c>
      <c r="D375" s="3" t="s">
        <v>2585</v>
      </c>
      <c r="E375" s="3" t="s">
        <v>98</v>
      </c>
      <c r="F375" s="3"/>
      <c r="G375" s="3"/>
      <c r="H375" s="3" t="s">
        <v>13</v>
      </c>
      <c r="I375" s="3" t="s">
        <v>69</v>
      </c>
    </row>
    <row r="376" spans="1:9" s="5" customFormat="1" x14ac:dyDescent="0.35">
      <c r="A376" s="3" t="s">
        <v>8</v>
      </c>
      <c r="B376" s="3" t="s">
        <v>193</v>
      </c>
      <c r="C376" s="3" t="s">
        <v>20</v>
      </c>
      <c r="D376" s="3" t="s">
        <v>2585</v>
      </c>
      <c r="E376" s="3" t="s">
        <v>15</v>
      </c>
      <c r="F376" s="3" t="s">
        <v>13</v>
      </c>
      <c r="G376" s="3" t="s">
        <v>204</v>
      </c>
      <c r="H376" s="3" t="s">
        <v>13</v>
      </c>
      <c r="I376" s="3" t="s">
        <v>69</v>
      </c>
    </row>
    <row r="377" spans="1:9" s="5" customFormat="1" x14ac:dyDescent="0.35">
      <c r="A377" s="3" t="s">
        <v>8</v>
      </c>
      <c r="B377" s="3" t="s">
        <v>193</v>
      </c>
      <c r="C377" s="3" t="s">
        <v>20</v>
      </c>
      <c r="D377" s="3" t="s">
        <v>2585</v>
      </c>
      <c r="E377" s="3" t="s">
        <v>57</v>
      </c>
      <c r="F377" s="3"/>
      <c r="G377" s="3"/>
      <c r="H377" s="3" t="s">
        <v>13</v>
      </c>
      <c r="I377" s="3" t="s">
        <v>69</v>
      </c>
    </row>
    <row r="378" spans="1:9" s="5" customFormat="1" x14ac:dyDescent="0.35">
      <c r="A378" s="3" t="s">
        <v>8</v>
      </c>
      <c r="B378" s="3" t="s">
        <v>193</v>
      </c>
      <c r="C378" s="3" t="s">
        <v>20</v>
      </c>
      <c r="D378" s="3" t="s">
        <v>2585</v>
      </c>
      <c r="E378" s="3" t="s">
        <v>56</v>
      </c>
      <c r="F378" s="3"/>
      <c r="G378" s="3"/>
      <c r="H378" s="3" t="s">
        <v>13</v>
      </c>
      <c r="I378" s="3" t="s">
        <v>69</v>
      </c>
    </row>
    <row r="379" spans="1:9" s="5" customFormat="1" x14ac:dyDescent="0.35">
      <c r="A379" s="3" t="s">
        <v>8</v>
      </c>
      <c r="B379" s="3" t="s">
        <v>193</v>
      </c>
      <c r="C379" s="3" t="s">
        <v>20</v>
      </c>
      <c r="D379" s="3" t="s">
        <v>2585</v>
      </c>
      <c r="E379" s="3" t="s">
        <v>89</v>
      </c>
      <c r="F379" s="3"/>
      <c r="G379" s="3"/>
      <c r="H379" s="3" t="s">
        <v>13</v>
      </c>
      <c r="I379" s="3" t="s">
        <v>69</v>
      </c>
    </row>
    <row r="380" spans="1:9" s="5" customFormat="1" x14ac:dyDescent="0.35">
      <c r="A380" s="3" t="s">
        <v>8</v>
      </c>
      <c r="B380" s="3" t="s">
        <v>193</v>
      </c>
      <c r="C380" s="3" t="s">
        <v>20</v>
      </c>
      <c r="D380" s="3" t="s">
        <v>2585</v>
      </c>
      <c r="E380" s="3" t="s">
        <v>29</v>
      </c>
      <c r="F380" s="3"/>
      <c r="G380" s="3"/>
      <c r="H380" s="3" t="s">
        <v>13</v>
      </c>
      <c r="I380" s="3" t="s">
        <v>69</v>
      </c>
    </row>
    <row r="381" spans="1:9" s="5" customFormat="1" x14ac:dyDescent="0.35">
      <c r="A381" s="3" t="s">
        <v>8</v>
      </c>
      <c r="B381" s="3" t="s">
        <v>193</v>
      </c>
      <c r="C381" s="3" t="s">
        <v>20</v>
      </c>
      <c r="D381" s="3" t="s">
        <v>2585</v>
      </c>
      <c r="E381" s="3" t="s">
        <v>62</v>
      </c>
      <c r="F381" s="3"/>
      <c r="G381" s="3"/>
      <c r="H381" s="3" t="s">
        <v>13</v>
      </c>
      <c r="I381" s="3" t="s">
        <v>69</v>
      </c>
    </row>
    <row r="382" spans="1:9" s="5" customFormat="1" x14ac:dyDescent="0.35">
      <c r="A382" s="3" t="s">
        <v>8</v>
      </c>
      <c r="B382" s="3" t="s">
        <v>193</v>
      </c>
      <c r="C382" s="3" t="s">
        <v>20</v>
      </c>
      <c r="D382" s="3" t="s">
        <v>2585</v>
      </c>
      <c r="E382" s="3" t="s">
        <v>134</v>
      </c>
      <c r="F382" s="3"/>
      <c r="G382" s="3"/>
      <c r="H382" s="3" t="s">
        <v>13</v>
      </c>
      <c r="I382" s="3" t="s">
        <v>69</v>
      </c>
    </row>
    <row r="383" spans="1:9" s="5" customFormat="1" x14ac:dyDescent="0.35">
      <c r="A383" s="3" t="s">
        <v>8</v>
      </c>
      <c r="B383" s="3" t="s">
        <v>193</v>
      </c>
      <c r="C383" s="3" t="s">
        <v>20</v>
      </c>
      <c r="D383" s="3" t="s">
        <v>2585</v>
      </c>
      <c r="E383" s="3" t="s">
        <v>107</v>
      </c>
      <c r="F383" s="3" t="s">
        <v>13</v>
      </c>
      <c r="G383" s="3" t="s">
        <v>206</v>
      </c>
      <c r="H383" s="3" t="s">
        <v>13</v>
      </c>
      <c r="I383" s="3" t="s">
        <v>69</v>
      </c>
    </row>
    <row r="384" spans="1:9" s="5" customFormat="1" x14ac:dyDescent="0.35">
      <c r="A384" s="3" t="s">
        <v>8</v>
      </c>
      <c r="B384" s="3" t="s">
        <v>193</v>
      </c>
      <c r="C384" s="3" t="s">
        <v>42</v>
      </c>
      <c r="D384" s="3" t="s">
        <v>207</v>
      </c>
      <c r="E384" s="3" t="s">
        <v>12</v>
      </c>
      <c r="F384" s="3"/>
      <c r="G384" s="3"/>
      <c r="H384" s="3" t="s">
        <v>13</v>
      </c>
      <c r="I384" s="3" t="s">
        <v>69</v>
      </c>
    </row>
    <row r="385" spans="1:9" s="5" customFormat="1" x14ac:dyDescent="0.35">
      <c r="A385" s="3" t="s">
        <v>8</v>
      </c>
      <c r="B385" s="3" t="s">
        <v>193</v>
      </c>
      <c r="C385" s="3" t="s">
        <v>42</v>
      </c>
      <c r="D385" s="3" t="s">
        <v>207</v>
      </c>
      <c r="E385" s="3" t="s">
        <v>15</v>
      </c>
      <c r="F385" s="3" t="s">
        <v>16</v>
      </c>
      <c r="G385" s="3" t="s">
        <v>144</v>
      </c>
      <c r="H385" s="3" t="s">
        <v>13</v>
      </c>
      <c r="I385" s="3" t="s">
        <v>69</v>
      </c>
    </row>
    <row r="386" spans="1:9" s="5" customFormat="1" x14ac:dyDescent="0.35">
      <c r="A386" s="3" t="s">
        <v>8</v>
      </c>
      <c r="B386" s="3" t="s">
        <v>193</v>
      </c>
      <c r="C386" s="3" t="s">
        <v>42</v>
      </c>
      <c r="D386" s="3" t="s">
        <v>207</v>
      </c>
      <c r="E386" s="3" t="s">
        <v>57</v>
      </c>
      <c r="F386" s="3"/>
      <c r="G386" s="3" t="s">
        <v>2311</v>
      </c>
      <c r="H386" s="3" t="s">
        <v>13</v>
      </c>
      <c r="I386" s="3" t="s">
        <v>69</v>
      </c>
    </row>
    <row r="387" spans="1:9" s="5" customFormat="1" x14ac:dyDescent="0.35">
      <c r="A387" s="3" t="s">
        <v>8</v>
      </c>
      <c r="B387" s="3" t="s">
        <v>193</v>
      </c>
      <c r="C387" s="3" t="s">
        <v>42</v>
      </c>
      <c r="D387" s="3" t="s">
        <v>207</v>
      </c>
      <c r="E387" s="3" t="s">
        <v>56</v>
      </c>
      <c r="F387" s="3" t="s">
        <v>13</v>
      </c>
      <c r="G387" s="3" t="s">
        <v>208</v>
      </c>
      <c r="H387" s="3" t="s">
        <v>13</v>
      </c>
      <c r="I387" s="3" t="s">
        <v>69</v>
      </c>
    </row>
    <row r="388" spans="1:9" s="5" customFormat="1" x14ac:dyDescent="0.35">
      <c r="A388" s="3" t="s">
        <v>8</v>
      </c>
      <c r="B388" s="3" t="s">
        <v>193</v>
      </c>
      <c r="C388" s="3" t="s">
        <v>42</v>
      </c>
      <c r="D388" s="3" t="s">
        <v>207</v>
      </c>
      <c r="E388" s="3" t="s">
        <v>107</v>
      </c>
      <c r="F388" s="3" t="s">
        <v>13</v>
      </c>
      <c r="G388" s="3" t="s">
        <v>144</v>
      </c>
      <c r="H388" s="3" t="s">
        <v>13</v>
      </c>
      <c r="I388" s="3" t="s">
        <v>69</v>
      </c>
    </row>
    <row r="389" spans="1:9" s="5" customFormat="1" x14ac:dyDescent="0.35">
      <c r="A389" s="3" t="s">
        <v>8</v>
      </c>
      <c r="B389" s="3" t="s">
        <v>193</v>
      </c>
      <c r="C389" s="3" t="s">
        <v>42</v>
      </c>
      <c r="D389" s="3" t="s">
        <v>207</v>
      </c>
      <c r="E389" s="3" t="s">
        <v>82</v>
      </c>
      <c r="F389" s="3" t="s">
        <v>13</v>
      </c>
      <c r="G389" s="3" t="s">
        <v>209</v>
      </c>
      <c r="H389" s="3" t="s">
        <v>13</v>
      </c>
      <c r="I389" s="3" t="s">
        <v>69</v>
      </c>
    </row>
    <row r="390" spans="1:9" s="5" customFormat="1" x14ac:dyDescent="0.35">
      <c r="A390" s="3" t="s">
        <v>8</v>
      </c>
      <c r="B390" s="3" t="s">
        <v>193</v>
      </c>
      <c r="C390" s="3" t="s">
        <v>20</v>
      </c>
      <c r="D390" s="3" t="s">
        <v>210</v>
      </c>
      <c r="E390" s="3" t="s">
        <v>12</v>
      </c>
      <c r="F390" s="3"/>
      <c r="G390" s="3"/>
      <c r="H390" s="3" t="s">
        <v>13</v>
      </c>
      <c r="I390" s="3" t="s">
        <v>59</v>
      </c>
    </row>
    <row r="391" spans="1:9" s="5" customFormat="1" x14ac:dyDescent="0.35">
      <c r="A391" s="3" t="s">
        <v>8</v>
      </c>
      <c r="B391" s="3" t="s">
        <v>193</v>
      </c>
      <c r="C391" s="3" t="s">
        <v>20</v>
      </c>
      <c r="D391" s="3" t="s">
        <v>210</v>
      </c>
      <c r="E391" s="3" t="s">
        <v>56</v>
      </c>
      <c r="F391" s="3"/>
      <c r="G391" s="3"/>
      <c r="H391" s="3" t="s">
        <v>13</v>
      </c>
      <c r="I391" s="3" t="s">
        <v>59</v>
      </c>
    </row>
    <row r="392" spans="1:9" s="5" customFormat="1" x14ac:dyDescent="0.35">
      <c r="A392" s="3" t="s">
        <v>8</v>
      </c>
      <c r="B392" s="3" t="s">
        <v>193</v>
      </c>
      <c r="C392" s="3" t="s">
        <v>20</v>
      </c>
      <c r="D392" s="3" t="s">
        <v>210</v>
      </c>
      <c r="E392" s="3" t="s">
        <v>29</v>
      </c>
      <c r="F392" s="3"/>
      <c r="G392" s="3"/>
      <c r="H392" s="3" t="s">
        <v>13</v>
      </c>
      <c r="I392" s="3" t="s">
        <v>59</v>
      </c>
    </row>
    <row r="393" spans="1:9" s="5" customFormat="1" x14ac:dyDescent="0.35">
      <c r="A393" s="3" t="s">
        <v>8</v>
      </c>
      <c r="B393" s="3" t="s">
        <v>193</v>
      </c>
      <c r="C393" s="3" t="s">
        <v>20</v>
      </c>
      <c r="D393" s="3" t="s">
        <v>211</v>
      </c>
      <c r="E393" s="3" t="s">
        <v>12</v>
      </c>
      <c r="F393" s="3" t="s">
        <v>33</v>
      </c>
      <c r="G393" s="3" t="s">
        <v>200</v>
      </c>
      <c r="H393" s="3"/>
      <c r="I393" s="3"/>
    </row>
    <row r="394" spans="1:9" s="5" customFormat="1" x14ac:dyDescent="0.35">
      <c r="A394" s="3" t="s">
        <v>8</v>
      </c>
      <c r="B394" s="3" t="s">
        <v>193</v>
      </c>
      <c r="C394" s="3" t="s">
        <v>20</v>
      </c>
      <c r="D394" s="3" t="s">
        <v>211</v>
      </c>
      <c r="E394" s="3" t="s">
        <v>28</v>
      </c>
      <c r="F394" s="3" t="s">
        <v>33</v>
      </c>
      <c r="G394" s="3" t="s">
        <v>200</v>
      </c>
      <c r="H394" s="3"/>
      <c r="I394" s="3"/>
    </row>
    <row r="395" spans="1:9" s="5" customFormat="1" x14ac:dyDescent="0.35">
      <c r="A395" s="3" t="s">
        <v>8</v>
      </c>
      <c r="B395" s="3" t="s">
        <v>193</v>
      </c>
      <c r="C395" s="3" t="s">
        <v>20</v>
      </c>
      <c r="D395" s="3" t="s">
        <v>211</v>
      </c>
      <c r="E395" s="3" t="s">
        <v>57</v>
      </c>
      <c r="F395" s="3" t="s">
        <v>33</v>
      </c>
      <c r="G395" s="3" t="s">
        <v>200</v>
      </c>
      <c r="H395" s="3"/>
      <c r="I395" s="3"/>
    </row>
    <row r="396" spans="1:9" s="5" customFormat="1" x14ac:dyDescent="0.35">
      <c r="A396" s="3" t="s">
        <v>8</v>
      </c>
      <c r="B396" s="3" t="s">
        <v>193</v>
      </c>
      <c r="C396" s="3" t="s">
        <v>20</v>
      </c>
      <c r="D396" s="3" t="s">
        <v>211</v>
      </c>
      <c r="E396" s="3" t="s">
        <v>29</v>
      </c>
      <c r="F396" s="3" t="s">
        <v>33</v>
      </c>
      <c r="G396" s="3" t="s">
        <v>200</v>
      </c>
      <c r="H396" s="3"/>
      <c r="I396" s="3"/>
    </row>
    <row r="397" spans="1:9" s="5" customFormat="1" x14ac:dyDescent="0.35">
      <c r="A397" s="3" t="s">
        <v>8</v>
      </c>
      <c r="B397" s="3" t="s">
        <v>193</v>
      </c>
      <c r="C397" s="3" t="s">
        <v>20</v>
      </c>
      <c r="D397" s="3" t="s">
        <v>211</v>
      </c>
      <c r="E397" s="3" t="s">
        <v>107</v>
      </c>
      <c r="F397" s="3" t="s">
        <v>33</v>
      </c>
      <c r="G397" s="3" t="s">
        <v>200</v>
      </c>
      <c r="H397" s="3"/>
      <c r="I397" s="3"/>
    </row>
    <row r="398" spans="1:9" s="5" customFormat="1" x14ac:dyDescent="0.35">
      <c r="A398" s="3" t="s">
        <v>8</v>
      </c>
      <c r="B398" s="3" t="s">
        <v>193</v>
      </c>
      <c r="C398" s="3" t="s">
        <v>45</v>
      </c>
      <c r="D398" s="3" t="s">
        <v>2776</v>
      </c>
      <c r="E398" s="3" t="s">
        <v>77</v>
      </c>
      <c r="F398" s="3" t="s">
        <v>33</v>
      </c>
      <c r="G398" s="3" t="s">
        <v>2762</v>
      </c>
      <c r="H398" s="3"/>
      <c r="I398" s="3"/>
    </row>
    <row r="399" spans="1:9" s="5" customFormat="1" x14ac:dyDescent="0.35">
      <c r="A399" s="3" t="s">
        <v>8</v>
      </c>
      <c r="B399" s="3" t="s">
        <v>193</v>
      </c>
      <c r="C399" s="3" t="s">
        <v>45</v>
      </c>
      <c r="D399" s="3" t="s">
        <v>2776</v>
      </c>
      <c r="E399" s="3" t="s">
        <v>98</v>
      </c>
      <c r="F399" s="3"/>
      <c r="G399" s="3"/>
      <c r="H399" s="3"/>
      <c r="I399" s="3"/>
    </row>
    <row r="400" spans="1:9" s="5" customFormat="1" x14ac:dyDescent="0.35">
      <c r="A400" s="3" t="s">
        <v>8</v>
      </c>
      <c r="B400" s="3" t="s">
        <v>193</v>
      </c>
      <c r="C400" s="3" t="s">
        <v>45</v>
      </c>
      <c r="D400" s="3" t="s">
        <v>2776</v>
      </c>
      <c r="E400" s="3" t="s">
        <v>24</v>
      </c>
      <c r="F400" s="3"/>
      <c r="G400" s="3"/>
      <c r="H400" s="3"/>
      <c r="I400" s="3"/>
    </row>
    <row r="401" spans="1:9" s="5" customFormat="1" x14ac:dyDescent="0.35">
      <c r="A401" s="3" t="s">
        <v>8</v>
      </c>
      <c r="B401" s="3" t="s">
        <v>193</v>
      </c>
      <c r="C401" s="3" t="s">
        <v>10</v>
      </c>
      <c r="D401" s="3" t="s">
        <v>212</v>
      </c>
      <c r="E401" s="3" t="s">
        <v>47</v>
      </c>
      <c r="F401" s="3" t="s">
        <v>16</v>
      </c>
      <c r="G401" s="3" t="s">
        <v>213</v>
      </c>
      <c r="H401" s="3" t="s">
        <v>13</v>
      </c>
      <c r="I401" s="3" t="s">
        <v>59</v>
      </c>
    </row>
    <row r="402" spans="1:9" s="5" customFormat="1" x14ac:dyDescent="0.35">
      <c r="A402" s="3" t="s">
        <v>8</v>
      </c>
      <c r="B402" s="3" t="s">
        <v>193</v>
      </c>
      <c r="C402" s="3" t="s">
        <v>10</v>
      </c>
      <c r="D402" s="3" t="s">
        <v>212</v>
      </c>
      <c r="E402" s="3" t="s">
        <v>15</v>
      </c>
      <c r="F402" s="3" t="s">
        <v>16</v>
      </c>
      <c r="G402" s="3" t="s">
        <v>214</v>
      </c>
      <c r="H402" s="3" t="s">
        <v>13</v>
      </c>
      <c r="I402" s="3" t="s">
        <v>59</v>
      </c>
    </row>
    <row r="403" spans="1:9" s="5" customFormat="1" x14ac:dyDescent="0.35">
      <c r="A403" s="3" t="s">
        <v>8</v>
      </c>
      <c r="B403" s="3" t="s">
        <v>193</v>
      </c>
      <c r="C403" s="3" t="s">
        <v>10</v>
      </c>
      <c r="D403" s="3" t="s">
        <v>212</v>
      </c>
      <c r="E403" s="3" t="s">
        <v>32</v>
      </c>
      <c r="F403" s="3" t="s">
        <v>33</v>
      </c>
      <c r="G403" s="3" t="s">
        <v>2762</v>
      </c>
      <c r="H403" s="3"/>
      <c r="I403" s="3"/>
    </row>
    <row r="404" spans="1:9" s="5" customFormat="1" x14ac:dyDescent="0.35">
      <c r="A404" s="3" t="s">
        <v>8</v>
      </c>
      <c r="B404" s="3" t="s">
        <v>193</v>
      </c>
      <c r="C404" s="3" t="s">
        <v>10</v>
      </c>
      <c r="D404" s="3" t="s">
        <v>212</v>
      </c>
      <c r="E404" s="3" t="s">
        <v>134</v>
      </c>
      <c r="F404" s="3" t="s">
        <v>16</v>
      </c>
      <c r="G404" s="3" t="s">
        <v>215</v>
      </c>
      <c r="H404" s="3" t="s">
        <v>13</v>
      </c>
      <c r="I404" s="3" t="s">
        <v>59</v>
      </c>
    </row>
    <row r="405" spans="1:9" s="5" customFormat="1" x14ac:dyDescent="0.35">
      <c r="A405" s="3" t="s">
        <v>8</v>
      </c>
      <c r="B405" s="3" t="s">
        <v>193</v>
      </c>
      <c r="C405" s="3" t="s">
        <v>10</v>
      </c>
      <c r="D405" s="3" t="s">
        <v>3003</v>
      </c>
      <c r="E405" s="3" t="s">
        <v>28</v>
      </c>
      <c r="F405" s="3" t="s">
        <v>16</v>
      </c>
      <c r="G405" s="3" t="s">
        <v>3004</v>
      </c>
      <c r="H405" s="3" t="s">
        <v>13</v>
      </c>
      <c r="I405" s="3" t="s">
        <v>59</v>
      </c>
    </row>
    <row r="406" spans="1:9" s="5" customFormat="1" x14ac:dyDescent="0.35">
      <c r="A406" s="3" t="s">
        <v>8</v>
      </c>
      <c r="B406" s="3" t="s">
        <v>193</v>
      </c>
      <c r="C406" s="3" t="s">
        <v>10</v>
      </c>
      <c r="D406" s="3" t="s">
        <v>3003</v>
      </c>
      <c r="E406" s="3" t="s">
        <v>15</v>
      </c>
      <c r="F406" s="3" t="s">
        <v>16</v>
      </c>
      <c r="G406" s="3" t="s">
        <v>3005</v>
      </c>
      <c r="H406" s="3" t="s">
        <v>13</v>
      </c>
      <c r="I406" s="3" t="s">
        <v>59</v>
      </c>
    </row>
    <row r="407" spans="1:9" s="5" customFormat="1" x14ac:dyDescent="0.35">
      <c r="A407" s="3" t="s">
        <v>8</v>
      </c>
      <c r="B407" s="3" t="s">
        <v>193</v>
      </c>
      <c r="C407" s="3" t="s">
        <v>45</v>
      </c>
      <c r="D407" s="3" t="s">
        <v>2262</v>
      </c>
      <c r="E407" s="3" t="s">
        <v>77</v>
      </c>
      <c r="F407" s="3"/>
      <c r="G407" s="3"/>
      <c r="H407" s="3"/>
      <c r="I407" s="3"/>
    </row>
    <row r="408" spans="1:9" s="5" customFormat="1" x14ac:dyDescent="0.35">
      <c r="A408" s="3" t="s">
        <v>8</v>
      </c>
      <c r="B408" s="3" t="s">
        <v>193</v>
      </c>
      <c r="C408" s="3" t="s">
        <v>45</v>
      </c>
      <c r="D408" s="3" t="s">
        <v>216</v>
      </c>
      <c r="E408" s="3" t="s">
        <v>166</v>
      </c>
      <c r="F408" s="3"/>
      <c r="G408" s="3"/>
      <c r="H408" s="3"/>
      <c r="I408" s="3"/>
    </row>
    <row r="409" spans="1:9" s="5" customFormat="1" x14ac:dyDescent="0.35">
      <c r="A409" s="3" t="s">
        <v>8</v>
      </c>
      <c r="B409" s="3" t="s">
        <v>193</v>
      </c>
      <c r="C409" s="3" t="s">
        <v>45</v>
      </c>
      <c r="D409" s="3" t="s">
        <v>216</v>
      </c>
      <c r="E409" s="3" t="s">
        <v>217</v>
      </c>
      <c r="F409" s="3"/>
      <c r="G409" s="3"/>
      <c r="H409" s="3"/>
      <c r="I409" s="3"/>
    </row>
    <row r="410" spans="1:9" s="5" customFormat="1" x14ac:dyDescent="0.35">
      <c r="A410" s="3" t="s">
        <v>8</v>
      </c>
      <c r="B410" s="3" t="s">
        <v>193</v>
      </c>
      <c r="C410" s="3" t="s">
        <v>45</v>
      </c>
      <c r="D410" s="3" t="s">
        <v>216</v>
      </c>
      <c r="E410" s="3" t="s">
        <v>220</v>
      </c>
      <c r="F410" s="3"/>
      <c r="G410" s="3"/>
      <c r="H410" s="3"/>
      <c r="I410" s="3"/>
    </row>
    <row r="411" spans="1:9" s="5" customFormat="1" x14ac:dyDescent="0.35">
      <c r="A411" s="3" t="s">
        <v>8</v>
      </c>
      <c r="B411" s="3" t="s">
        <v>193</v>
      </c>
      <c r="C411" s="3" t="s">
        <v>45</v>
      </c>
      <c r="D411" s="3" t="s">
        <v>216</v>
      </c>
      <c r="E411" s="3" t="s">
        <v>225</v>
      </c>
      <c r="F411" s="3"/>
      <c r="G411" s="3"/>
      <c r="H411" s="3"/>
      <c r="I411" s="3"/>
    </row>
    <row r="412" spans="1:9" s="5" customFormat="1" x14ac:dyDescent="0.35">
      <c r="A412" s="3" t="s">
        <v>8</v>
      </c>
      <c r="B412" s="3" t="s">
        <v>193</v>
      </c>
      <c r="C412" s="3" t="s">
        <v>45</v>
      </c>
      <c r="D412" s="3" t="s">
        <v>216</v>
      </c>
      <c r="E412" s="3" t="s">
        <v>77</v>
      </c>
      <c r="F412" s="3"/>
      <c r="G412" s="3"/>
      <c r="H412" s="3"/>
      <c r="I412" s="3"/>
    </row>
    <row r="413" spans="1:9" s="5" customFormat="1" x14ac:dyDescent="0.35">
      <c r="A413" s="3" t="s">
        <v>8</v>
      </c>
      <c r="B413" s="3" t="s">
        <v>193</v>
      </c>
      <c r="C413" s="3" t="s">
        <v>45</v>
      </c>
      <c r="D413" s="3" t="s">
        <v>216</v>
      </c>
      <c r="E413" s="3" t="s">
        <v>221</v>
      </c>
      <c r="F413" s="3"/>
      <c r="G413" s="3"/>
      <c r="H413" s="3"/>
      <c r="I413" s="3"/>
    </row>
    <row r="414" spans="1:9" s="5" customFormat="1" x14ac:dyDescent="0.35">
      <c r="A414" s="3" t="s">
        <v>8</v>
      </c>
      <c r="B414" s="3" t="s">
        <v>193</v>
      </c>
      <c r="C414" s="3" t="s">
        <v>45</v>
      </c>
      <c r="D414" s="3" t="s">
        <v>216</v>
      </c>
      <c r="E414" s="3" t="s">
        <v>222</v>
      </c>
      <c r="F414" s="3"/>
      <c r="G414" s="3"/>
      <c r="H414" s="3"/>
      <c r="I414" s="3"/>
    </row>
    <row r="415" spans="1:9" s="5" customFormat="1" x14ac:dyDescent="0.35">
      <c r="A415" s="3" t="s">
        <v>8</v>
      </c>
      <c r="B415" s="3" t="s">
        <v>193</v>
      </c>
      <c r="C415" s="3" t="s">
        <v>45</v>
      </c>
      <c r="D415" s="3" t="s">
        <v>216</v>
      </c>
      <c r="E415" s="3" t="s">
        <v>223</v>
      </c>
      <c r="F415" s="3"/>
      <c r="G415" s="3"/>
      <c r="H415" s="3"/>
      <c r="I415" s="3"/>
    </row>
    <row r="416" spans="1:9" s="5" customFormat="1" x14ac:dyDescent="0.35">
      <c r="A416" s="3" t="s">
        <v>8</v>
      </c>
      <c r="B416" s="3" t="s">
        <v>193</v>
      </c>
      <c r="C416" s="3" t="s">
        <v>45</v>
      </c>
      <c r="D416" s="3" t="s">
        <v>216</v>
      </c>
      <c r="E416" s="3" t="s">
        <v>226</v>
      </c>
      <c r="F416" s="3"/>
      <c r="G416" s="3"/>
      <c r="H416" s="3"/>
      <c r="I416" s="3"/>
    </row>
    <row r="417" spans="1:9" s="5" customFormat="1" x14ac:dyDescent="0.35">
      <c r="A417" s="3" t="s">
        <v>8</v>
      </c>
      <c r="B417" s="3" t="s">
        <v>193</v>
      </c>
      <c r="C417" s="3" t="s">
        <v>45</v>
      </c>
      <c r="D417" s="3" t="s">
        <v>216</v>
      </c>
      <c r="E417" s="3" t="s">
        <v>227</v>
      </c>
      <c r="F417" s="3"/>
      <c r="G417" s="3"/>
      <c r="H417" s="3"/>
      <c r="I417" s="3"/>
    </row>
    <row r="418" spans="1:9" s="5" customFormat="1" x14ac:dyDescent="0.35">
      <c r="A418" s="3" t="s">
        <v>8</v>
      </c>
      <c r="B418" s="3" t="s">
        <v>193</v>
      </c>
      <c r="C418" s="3" t="s">
        <v>45</v>
      </c>
      <c r="D418" s="3" t="s">
        <v>216</v>
      </c>
      <c r="E418" s="3" t="s">
        <v>228</v>
      </c>
      <c r="F418" s="3"/>
      <c r="G418" s="3"/>
      <c r="H418" s="3"/>
      <c r="I418" s="3"/>
    </row>
    <row r="419" spans="1:9" s="5" customFormat="1" x14ac:dyDescent="0.35">
      <c r="A419" s="3" t="s">
        <v>8</v>
      </c>
      <c r="B419" s="3" t="s">
        <v>193</v>
      </c>
      <c r="C419" s="3" t="s">
        <v>45</v>
      </c>
      <c r="D419" s="3" t="s">
        <v>216</v>
      </c>
      <c r="E419" s="3" t="s">
        <v>229</v>
      </c>
      <c r="F419" s="3"/>
      <c r="G419" s="3"/>
      <c r="H419" s="3"/>
      <c r="I419" s="3"/>
    </row>
    <row r="420" spans="1:9" s="5" customFormat="1" x14ac:dyDescent="0.35">
      <c r="A420" s="3" t="s">
        <v>8</v>
      </c>
      <c r="B420" s="3" t="s">
        <v>193</v>
      </c>
      <c r="C420" s="3" t="s">
        <v>45</v>
      </c>
      <c r="D420" s="3" t="s">
        <v>216</v>
      </c>
      <c r="E420" s="3" t="s">
        <v>230</v>
      </c>
      <c r="F420" s="3"/>
      <c r="G420" s="3"/>
      <c r="H420" s="3"/>
      <c r="I420" s="3"/>
    </row>
    <row r="421" spans="1:9" s="5" customFormat="1" x14ac:dyDescent="0.35">
      <c r="A421" s="3" t="s">
        <v>8</v>
      </c>
      <c r="B421" s="3" t="s">
        <v>193</v>
      </c>
      <c r="C421" s="3" t="s">
        <v>45</v>
      </c>
      <c r="D421" s="3" t="s">
        <v>216</v>
      </c>
      <c r="E421" s="3" t="s">
        <v>219</v>
      </c>
      <c r="F421" s="3"/>
      <c r="G421" s="3"/>
      <c r="H421" s="3"/>
      <c r="I421" s="3"/>
    </row>
    <row r="422" spans="1:9" s="5" customFormat="1" x14ac:dyDescent="0.35">
      <c r="A422" s="3" t="s">
        <v>8</v>
      </c>
      <c r="B422" s="3" t="s">
        <v>193</v>
      </c>
      <c r="C422" s="3" t="s">
        <v>45</v>
      </c>
      <c r="D422" s="3" t="s">
        <v>216</v>
      </c>
      <c r="E422" s="3" t="s">
        <v>218</v>
      </c>
      <c r="F422" s="3"/>
      <c r="G422" s="3"/>
      <c r="H422" s="3"/>
      <c r="I422" s="3"/>
    </row>
    <row r="423" spans="1:9" s="5" customFormat="1" x14ac:dyDescent="0.35">
      <c r="A423" s="3" t="s">
        <v>8</v>
      </c>
      <c r="B423" s="3" t="s">
        <v>193</v>
      </c>
      <c r="C423" s="3" t="s">
        <v>45</v>
      </c>
      <c r="D423" s="3" t="s">
        <v>216</v>
      </c>
      <c r="E423" s="3" t="s">
        <v>224</v>
      </c>
      <c r="F423" s="3"/>
      <c r="G423" s="3"/>
      <c r="H423" s="3"/>
      <c r="I423" s="3"/>
    </row>
    <row r="424" spans="1:9" s="5" customFormat="1" x14ac:dyDescent="0.35">
      <c r="A424" s="3" t="s">
        <v>8</v>
      </c>
      <c r="B424" s="3" t="s">
        <v>193</v>
      </c>
      <c r="C424" s="3" t="s">
        <v>39</v>
      </c>
      <c r="D424" s="3" t="s">
        <v>2588</v>
      </c>
      <c r="E424" s="3" t="s">
        <v>25</v>
      </c>
      <c r="F424" s="3" t="s">
        <v>13</v>
      </c>
      <c r="G424" s="3" t="s">
        <v>231</v>
      </c>
      <c r="H424" s="3" t="s">
        <v>13</v>
      </c>
      <c r="I424" s="3" t="s">
        <v>59</v>
      </c>
    </row>
    <row r="425" spans="1:9" s="5" customFormat="1" x14ac:dyDescent="0.35">
      <c r="A425" s="3" t="s">
        <v>8</v>
      </c>
      <c r="B425" s="3" t="s">
        <v>193</v>
      </c>
      <c r="C425" s="3" t="s">
        <v>39</v>
      </c>
      <c r="D425" s="3" t="s">
        <v>2588</v>
      </c>
      <c r="E425" s="3" t="s">
        <v>27</v>
      </c>
      <c r="F425" s="3" t="s">
        <v>13</v>
      </c>
      <c r="G425" s="3" t="s">
        <v>136</v>
      </c>
      <c r="H425" s="3" t="s">
        <v>13</v>
      </c>
      <c r="I425" s="3" t="s">
        <v>59</v>
      </c>
    </row>
    <row r="426" spans="1:9" s="5" customFormat="1" x14ac:dyDescent="0.35">
      <c r="A426" s="3" t="s">
        <v>8</v>
      </c>
      <c r="B426" s="3" t="s">
        <v>193</v>
      </c>
      <c r="C426" s="3" t="s">
        <v>39</v>
      </c>
      <c r="D426" s="3" t="s">
        <v>2588</v>
      </c>
      <c r="E426" s="3" t="s">
        <v>77</v>
      </c>
      <c r="F426" s="3" t="s">
        <v>13</v>
      </c>
      <c r="G426" s="3" t="s">
        <v>136</v>
      </c>
      <c r="H426" s="3" t="s">
        <v>13</v>
      </c>
      <c r="I426" s="3" t="s">
        <v>59</v>
      </c>
    </row>
    <row r="427" spans="1:9" s="5" customFormat="1" x14ac:dyDescent="0.35">
      <c r="A427" s="3" t="s">
        <v>8</v>
      </c>
      <c r="B427" s="3" t="s">
        <v>193</v>
      </c>
      <c r="C427" s="3" t="s">
        <v>39</v>
      </c>
      <c r="D427" s="3" t="s">
        <v>2588</v>
      </c>
      <c r="E427" s="3" t="s">
        <v>87</v>
      </c>
      <c r="F427" s="3" t="s">
        <v>13</v>
      </c>
      <c r="G427" s="3" t="s">
        <v>136</v>
      </c>
      <c r="H427" s="3" t="s">
        <v>13</v>
      </c>
      <c r="I427" s="3" t="s">
        <v>59</v>
      </c>
    </row>
    <row r="428" spans="1:9" s="5" customFormat="1" x14ac:dyDescent="0.35">
      <c r="A428" s="3" t="s">
        <v>8</v>
      </c>
      <c r="B428" s="3" t="s">
        <v>193</v>
      </c>
      <c r="C428" s="3" t="s">
        <v>39</v>
      </c>
      <c r="D428" s="3" t="s">
        <v>2588</v>
      </c>
      <c r="E428" s="3" t="s">
        <v>15</v>
      </c>
      <c r="F428" s="3" t="s">
        <v>13</v>
      </c>
      <c r="G428" s="3" t="s">
        <v>136</v>
      </c>
      <c r="H428" s="3" t="s">
        <v>13</v>
      </c>
      <c r="I428" s="3" t="s">
        <v>69</v>
      </c>
    </row>
    <row r="429" spans="1:9" s="5" customFormat="1" x14ac:dyDescent="0.35">
      <c r="A429" s="3" t="s">
        <v>8</v>
      </c>
      <c r="B429" s="3" t="s">
        <v>193</v>
      </c>
      <c r="C429" s="3" t="s">
        <v>39</v>
      </c>
      <c r="D429" s="3" t="s">
        <v>2588</v>
      </c>
      <c r="E429" s="3" t="s">
        <v>89</v>
      </c>
      <c r="F429" s="3" t="s">
        <v>13</v>
      </c>
      <c r="G429" s="3" t="s">
        <v>136</v>
      </c>
      <c r="H429" s="3" t="s">
        <v>13</v>
      </c>
      <c r="I429" s="3" t="s">
        <v>59</v>
      </c>
    </row>
    <row r="430" spans="1:9" s="5" customFormat="1" x14ac:dyDescent="0.35">
      <c r="A430" s="3" t="s">
        <v>8</v>
      </c>
      <c r="B430" s="3" t="s">
        <v>193</v>
      </c>
      <c r="C430" s="3" t="s">
        <v>39</v>
      </c>
      <c r="D430" s="3" t="s">
        <v>2588</v>
      </c>
      <c r="E430" s="3" t="s">
        <v>26</v>
      </c>
      <c r="F430" s="3" t="s">
        <v>13</v>
      </c>
      <c r="G430" s="3" t="s">
        <v>136</v>
      </c>
      <c r="H430" s="3" t="s">
        <v>13</v>
      </c>
      <c r="I430" s="3" t="s">
        <v>59</v>
      </c>
    </row>
    <row r="431" spans="1:9" s="5" customFormat="1" x14ac:dyDescent="0.35">
      <c r="A431" s="3" t="s">
        <v>8</v>
      </c>
      <c r="B431" s="3" t="s">
        <v>193</v>
      </c>
      <c r="C431" s="3" t="s">
        <v>39</v>
      </c>
      <c r="D431" s="3" t="s">
        <v>2588</v>
      </c>
      <c r="E431" s="3" t="s">
        <v>134</v>
      </c>
      <c r="F431" s="3" t="s">
        <v>13</v>
      </c>
      <c r="G431" s="3" t="s">
        <v>232</v>
      </c>
      <c r="H431" s="3" t="s">
        <v>13</v>
      </c>
      <c r="I431" s="3" t="s">
        <v>69</v>
      </c>
    </row>
    <row r="432" spans="1:9" s="5" customFormat="1" x14ac:dyDescent="0.35">
      <c r="A432" s="3" t="s">
        <v>8</v>
      </c>
      <c r="B432" s="3" t="s">
        <v>193</v>
      </c>
      <c r="C432" s="3" t="s">
        <v>45</v>
      </c>
      <c r="D432" s="3" t="s">
        <v>233</v>
      </c>
      <c r="E432" s="3" t="s">
        <v>77</v>
      </c>
      <c r="F432" s="3"/>
      <c r="G432" s="3"/>
      <c r="H432" s="3"/>
      <c r="I432" s="3"/>
    </row>
    <row r="433" spans="1:9" s="5" customFormat="1" x14ac:dyDescent="0.35">
      <c r="A433" s="3" t="s">
        <v>8</v>
      </c>
      <c r="B433" s="3" t="s">
        <v>193</v>
      </c>
      <c r="C433" s="3" t="s">
        <v>45</v>
      </c>
      <c r="D433" s="3" t="s">
        <v>234</v>
      </c>
      <c r="E433" s="3" t="s">
        <v>57</v>
      </c>
      <c r="F433" s="3"/>
      <c r="G433" s="3"/>
      <c r="H433" s="3"/>
      <c r="I433" s="3"/>
    </row>
    <row r="434" spans="1:9" s="5" customFormat="1" x14ac:dyDescent="0.35">
      <c r="A434" s="3" t="s">
        <v>8</v>
      </c>
      <c r="B434" s="3" t="s">
        <v>193</v>
      </c>
      <c r="C434" s="3" t="s">
        <v>45</v>
      </c>
      <c r="D434" s="3" t="s">
        <v>234</v>
      </c>
      <c r="E434" s="3" t="s">
        <v>32</v>
      </c>
      <c r="F434" s="3" t="s">
        <v>33</v>
      </c>
      <c r="G434" s="3" t="s">
        <v>34</v>
      </c>
      <c r="H434" s="3"/>
      <c r="I434" s="3"/>
    </row>
    <row r="435" spans="1:9" s="5" customFormat="1" x14ac:dyDescent="0.35">
      <c r="A435" s="3" t="s">
        <v>8</v>
      </c>
      <c r="B435" s="3" t="s">
        <v>193</v>
      </c>
      <c r="C435" s="3" t="s">
        <v>45</v>
      </c>
      <c r="D435" s="3" t="s">
        <v>235</v>
      </c>
      <c r="E435" s="3" t="s">
        <v>77</v>
      </c>
      <c r="F435" s="3"/>
      <c r="G435" s="3"/>
      <c r="H435" s="3"/>
      <c r="I435" s="3"/>
    </row>
    <row r="436" spans="1:9" s="5" customFormat="1" x14ac:dyDescent="0.35">
      <c r="A436" s="3" t="s">
        <v>8</v>
      </c>
      <c r="B436" s="3" t="s">
        <v>236</v>
      </c>
      <c r="C436" s="3" t="s">
        <v>45</v>
      </c>
      <c r="D436" s="3" t="s">
        <v>237</v>
      </c>
      <c r="E436" s="3" t="s">
        <v>77</v>
      </c>
      <c r="F436" s="3"/>
      <c r="G436" s="3"/>
      <c r="H436" s="3"/>
      <c r="I436" s="3"/>
    </row>
    <row r="437" spans="1:9" s="5" customFormat="1" x14ac:dyDescent="0.35">
      <c r="A437" s="3" t="s">
        <v>8</v>
      </c>
      <c r="B437" s="3" t="s">
        <v>236</v>
      </c>
      <c r="C437" s="3" t="s">
        <v>10</v>
      </c>
      <c r="D437" s="3" t="s">
        <v>238</v>
      </c>
      <c r="E437" s="3" t="s">
        <v>47</v>
      </c>
      <c r="F437" s="3"/>
      <c r="G437" s="3"/>
      <c r="H437" s="3" t="s">
        <v>13</v>
      </c>
      <c r="I437" s="3" t="s">
        <v>14</v>
      </c>
    </row>
    <row r="438" spans="1:9" s="5" customFormat="1" x14ac:dyDescent="0.35">
      <c r="A438" s="3" t="s">
        <v>8</v>
      </c>
      <c r="B438" s="3" t="s">
        <v>236</v>
      </c>
      <c r="C438" s="3" t="s">
        <v>10</v>
      </c>
      <c r="D438" s="3" t="s">
        <v>238</v>
      </c>
      <c r="E438" s="3" t="s">
        <v>15</v>
      </c>
      <c r="F438" s="3" t="s">
        <v>16</v>
      </c>
      <c r="G438" s="3" t="s">
        <v>239</v>
      </c>
      <c r="H438" s="3" t="s">
        <v>13</v>
      </c>
      <c r="I438" s="3" t="s">
        <v>14</v>
      </c>
    </row>
    <row r="439" spans="1:9" s="5" customFormat="1" x14ac:dyDescent="0.35">
      <c r="A439" s="3" t="s">
        <v>8</v>
      </c>
      <c r="B439" s="3" t="s">
        <v>236</v>
      </c>
      <c r="C439" s="3" t="s">
        <v>10</v>
      </c>
      <c r="D439" s="3" t="s">
        <v>238</v>
      </c>
      <c r="E439" s="3" t="s">
        <v>107</v>
      </c>
      <c r="F439" s="3" t="s">
        <v>16</v>
      </c>
      <c r="G439" s="3" t="s">
        <v>240</v>
      </c>
      <c r="H439" s="3" t="s">
        <v>13</v>
      </c>
      <c r="I439" s="3" t="s">
        <v>14</v>
      </c>
    </row>
    <row r="440" spans="1:9" s="5" customFormat="1" x14ac:dyDescent="0.35">
      <c r="A440" s="3" t="s">
        <v>8</v>
      </c>
      <c r="B440" s="3" t="s">
        <v>236</v>
      </c>
      <c r="C440" s="3" t="s">
        <v>20</v>
      </c>
      <c r="D440" s="3" t="s">
        <v>241</v>
      </c>
      <c r="E440" s="3" t="s">
        <v>12</v>
      </c>
      <c r="F440" s="3"/>
      <c r="G440" s="3"/>
      <c r="H440" s="3" t="s">
        <v>13</v>
      </c>
      <c r="I440" s="3" t="s">
        <v>22</v>
      </c>
    </row>
    <row r="441" spans="1:9" s="5" customFormat="1" x14ac:dyDescent="0.35">
      <c r="A441" s="3" t="s">
        <v>8</v>
      </c>
      <c r="B441" s="3" t="s">
        <v>236</v>
      </c>
      <c r="C441" s="3" t="s">
        <v>20</v>
      </c>
      <c r="D441" s="3" t="s">
        <v>241</v>
      </c>
      <c r="E441" s="3" t="s">
        <v>23</v>
      </c>
      <c r="F441" s="3"/>
      <c r="G441" s="3"/>
      <c r="H441" s="3" t="s">
        <v>13</v>
      </c>
      <c r="I441" s="3" t="s">
        <v>22</v>
      </c>
    </row>
    <row r="442" spans="1:9" s="5" customFormat="1" x14ac:dyDescent="0.35">
      <c r="A442" s="3" t="s">
        <v>8</v>
      </c>
      <c r="B442" s="3" t="s">
        <v>236</v>
      </c>
      <c r="C442" s="3" t="s">
        <v>20</v>
      </c>
      <c r="D442" s="3" t="s">
        <v>241</v>
      </c>
      <c r="E442" s="3" t="s">
        <v>25</v>
      </c>
      <c r="F442" s="3"/>
      <c r="G442" s="3"/>
      <c r="H442" s="3" t="s">
        <v>13</v>
      </c>
      <c r="I442" s="3" t="s">
        <v>22</v>
      </c>
    </row>
    <row r="443" spans="1:9" s="5" customFormat="1" x14ac:dyDescent="0.35">
      <c r="A443" s="3" t="s">
        <v>8</v>
      </c>
      <c r="B443" s="3" t="s">
        <v>236</v>
      </c>
      <c r="C443" s="3" t="s">
        <v>20</v>
      </c>
      <c r="D443" s="3" t="s">
        <v>241</v>
      </c>
      <c r="E443" s="3" t="s">
        <v>60</v>
      </c>
      <c r="F443" s="3"/>
      <c r="G443" s="3"/>
      <c r="H443" s="3" t="s">
        <v>13</v>
      </c>
      <c r="I443" s="3" t="s">
        <v>22</v>
      </c>
    </row>
    <row r="444" spans="1:9" s="5" customFormat="1" x14ac:dyDescent="0.35">
      <c r="A444" s="3" t="s">
        <v>8</v>
      </c>
      <c r="B444" s="3" t="s">
        <v>236</v>
      </c>
      <c r="C444" s="3" t="s">
        <v>20</v>
      </c>
      <c r="D444" s="3" t="s">
        <v>241</v>
      </c>
      <c r="E444" s="3" t="s">
        <v>87</v>
      </c>
      <c r="F444" s="3"/>
      <c r="G444" s="3"/>
      <c r="H444" s="3" t="s">
        <v>13</v>
      </c>
      <c r="I444" s="3" t="s">
        <v>22</v>
      </c>
    </row>
    <row r="445" spans="1:9" s="5" customFormat="1" x14ac:dyDescent="0.35">
      <c r="A445" s="3" t="s">
        <v>8</v>
      </c>
      <c r="B445" s="3" t="s">
        <v>236</v>
      </c>
      <c r="C445" s="3" t="s">
        <v>20</v>
      </c>
      <c r="D445" s="3" t="s">
        <v>241</v>
      </c>
      <c r="E445" s="3" t="s">
        <v>242</v>
      </c>
      <c r="F445" s="3"/>
      <c r="G445" s="3"/>
      <c r="H445" s="3" t="s">
        <v>13</v>
      </c>
      <c r="I445" s="3" t="s">
        <v>22</v>
      </c>
    </row>
    <row r="446" spans="1:9" s="5" customFormat="1" x14ac:dyDescent="0.35">
      <c r="A446" s="3" t="s">
        <v>8</v>
      </c>
      <c r="B446" s="3" t="s">
        <v>236</v>
      </c>
      <c r="C446" s="3" t="s">
        <v>20</v>
      </c>
      <c r="D446" s="3" t="s">
        <v>241</v>
      </c>
      <c r="E446" s="3" t="s">
        <v>15</v>
      </c>
      <c r="F446" s="3" t="s">
        <v>13</v>
      </c>
      <c r="G446" s="3" t="s">
        <v>243</v>
      </c>
      <c r="H446" s="3" t="s">
        <v>13</v>
      </c>
      <c r="I446" s="3" t="s">
        <v>22</v>
      </c>
    </row>
    <row r="447" spans="1:9" s="5" customFormat="1" x14ac:dyDescent="0.35">
      <c r="A447" s="3" t="s">
        <v>8</v>
      </c>
      <c r="B447" s="3" t="s">
        <v>236</v>
      </c>
      <c r="C447" s="3" t="s">
        <v>20</v>
      </c>
      <c r="D447" s="3" t="s">
        <v>241</v>
      </c>
      <c r="E447" s="3" t="s">
        <v>57</v>
      </c>
      <c r="F447" s="3"/>
      <c r="G447" s="3"/>
      <c r="H447" s="3" t="s">
        <v>13</v>
      </c>
      <c r="I447" s="3" t="s">
        <v>22</v>
      </c>
    </row>
    <row r="448" spans="1:9" s="5" customFormat="1" x14ac:dyDescent="0.35">
      <c r="A448" s="3" t="s">
        <v>8</v>
      </c>
      <c r="B448" s="3" t="s">
        <v>236</v>
      </c>
      <c r="C448" s="3" t="s">
        <v>20</v>
      </c>
      <c r="D448" s="3" t="s">
        <v>241</v>
      </c>
      <c r="E448" s="3" t="s">
        <v>56</v>
      </c>
      <c r="F448" s="3" t="s">
        <v>13</v>
      </c>
      <c r="G448" s="3" t="s">
        <v>2873</v>
      </c>
      <c r="H448" s="3" t="s">
        <v>13</v>
      </c>
      <c r="I448" s="3" t="s">
        <v>22</v>
      </c>
    </row>
    <row r="449" spans="1:9" s="5" customFormat="1" x14ac:dyDescent="0.35">
      <c r="A449" s="3" t="s">
        <v>8</v>
      </c>
      <c r="B449" s="3" t="s">
        <v>236</v>
      </c>
      <c r="C449" s="3" t="s">
        <v>20</v>
      </c>
      <c r="D449" s="3" t="s">
        <v>241</v>
      </c>
      <c r="E449" s="3" t="s">
        <v>89</v>
      </c>
      <c r="F449" s="3"/>
      <c r="G449" s="3"/>
      <c r="H449" s="3" t="s">
        <v>13</v>
      </c>
      <c r="I449" s="3" t="s">
        <v>22</v>
      </c>
    </row>
    <row r="450" spans="1:9" s="5" customFormat="1" x14ac:dyDescent="0.35">
      <c r="A450" s="3" t="s">
        <v>8</v>
      </c>
      <c r="B450" s="3" t="s">
        <v>236</v>
      </c>
      <c r="C450" s="3" t="s">
        <v>20</v>
      </c>
      <c r="D450" s="3" t="s">
        <v>241</v>
      </c>
      <c r="E450" s="3" t="s">
        <v>24</v>
      </c>
      <c r="F450" s="3"/>
      <c r="G450" s="3"/>
      <c r="H450" s="3" t="s">
        <v>13</v>
      </c>
      <c r="I450" s="3" t="s">
        <v>22</v>
      </c>
    </row>
    <row r="451" spans="1:9" s="5" customFormat="1" x14ac:dyDescent="0.35">
      <c r="A451" s="3" t="s">
        <v>8</v>
      </c>
      <c r="B451" s="3" t="s">
        <v>236</v>
      </c>
      <c r="C451" s="3" t="s">
        <v>20</v>
      </c>
      <c r="D451" s="3" t="s">
        <v>241</v>
      </c>
      <c r="E451" s="3" t="s">
        <v>244</v>
      </c>
      <c r="F451" s="3" t="s">
        <v>33</v>
      </c>
      <c r="G451" s="3" t="s">
        <v>164</v>
      </c>
      <c r="H451" s="3" t="s">
        <v>13</v>
      </c>
      <c r="I451" s="3" t="s">
        <v>22</v>
      </c>
    </row>
    <row r="452" spans="1:9" s="5" customFormat="1" x14ac:dyDescent="0.35">
      <c r="A452" s="3" t="s">
        <v>8</v>
      </c>
      <c r="B452" s="3" t="s">
        <v>236</v>
      </c>
      <c r="C452" s="3" t="s">
        <v>20</v>
      </c>
      <c r="D452" s="3" t="s">
        <v>241</v>
      </c>
      <c r="E452" s="3" t="s">
        <v>107</v>
      </c>
      <c r="F452" s="3"/>
      <c r="G452" s="3"/>
      <c r="H452" s="3" t="s">
        <v>13</v>
      </c>
      <c r="I452" s="3" t="s">
        <v>22</v>
      </c>
    </row>
    <row r="453" spans="1:9" s="5" customFormat="1" x14ac:dyDescent="0.35">
      <c r="A453" s="3" t="s">
        <v>8</v>
      </c>
      <c r="B453" s="3" t="s">
        <v>236</v>
      </c>
      <c r="C453" s="3" t="s">
        <v>45</v>
      </c>
      <c r="D453" s="3" t="s">
        <v>245</v>
      </c>
      <c r="E453" s="3" t="s">
        <v>77</v>
      </c>
      <c r="F453" s="3"/>
      <c r="G453" s="3"/>
      <c r="H453" s="3" t="s">
        <v>13</v>
      </c>
      <c r="I453" s="3" t="s">
        <v>14</v>
      </c>
    </row>
    <row r="454" spans="1:9" s="5" customFormat="1" x14ac:dyDescent="0.35">
      <c r="A454" s="3" t="s">
        <v>8</v>
      </c>
      <c r="B454" s="3" t="s">
        <v>236</v>
      </c>
      <c r="C454" s="3" t="s">
        <v>45</v>
      </c>
      <c r="D454" s="3" t="s">
        <v>245</v>
      </c>
      <c r="E454" s="3" t="s">
        <v>15</v>
      </c>
      <c r="F454" s="3" t="s">
        <v>13</v>
      </c>
      <c r="G454" s="3" t="s">
        <v>246</v>
      </c>
      <c r="H454" s="3" t="s">
        <v>13</v>
      </c>
      <c r="I454" s="3" t="s">
        <v>14</v>
      </c>
    </row>
    <row r="455" spans="1:9" s="5" customFormat="1" x14ac:dyDescent="0.35">
      <c r="A455" s="3" t="s">
        <v>8</v>
      </c>
      <c r="B455" s="3" t="s">
        <v>236</v>
      </c>
      <c r="C455" s="3" t="s">
        <v>45</v>
      </c>
      <c r="D455" s="3" t="s">
        <v>247</v>
      </c>
      <c r="E455" s="3" t="s">
        <v>77</v>
      </c>
      <c r="F455" s="3"/>
      <c r="G455" s="3"/>
      <c r="H455" s="3" t="s">
        <v>13</v>
      </c>
      <c r="I455" s="3" t="s">
        <v>14</v>
      </c>
    </row>
    <row r="456" spans="1:9" s="5" customFormat="1" x14ac:dyDescent="0.35">
      <c r="A456" s="3" t="s">
        <v>8</v>
      </c>
      <c r="B456" s="3" t="s">
        <v>236</v>
      </c>
      <c r="C456" s="3" t="s">
        <v>45</v>
      </c>
      <c r="D456" s="3" t="s">
        <v>247</v>
      </c>
      <c r="E456" s="3" t="s">
        <v>15</v>
      </c>
      <c r="F456" s="3" t="s">
        <v>13</v>
      </c>
      <c r="G456" s="3" t="s">
        <v>248</v>
      </c>
      <c r="H456" s="3" t="s">
        <v>13</v>
      </c>
      <c r="I456" s="3" t="s">
        <v>14</v>
      </c>
    </row>
    <row r="457" spans="1:9" s="5" customFormat="1" x14ac:dyDescent="0.35">
      <c r="A457" s="3" t="s">
        <v>8</v>
      </c>
      <c r="B457" s="3" t="s">
        <v>236</v>
      </c>
      <c r="C457" s="3" t="s">
        <v>45</v>
      </c>
      <c r="D457" s="3" t="s">
        <v>249</v>
      </c>
      <c r="E457" s="3" t="s">
        <v>77</v>
      </c>
      <c r="F457" s="3"/>
      <c r="G457" s="3"/>
      <c r="H457" s="3" t="s">
        <v>13</v>
      </c>
      <c r="I457" s="3" t="s">
        <v>14</v>
      </c>
    </row>
    <row r="458" spans="1:9" s="5" customFormat="1" x14ac:dyDescent="0.35">
      <c r="A458" s="3" t="s">
        <v>8</v>
      </c>
      <c r="B458" s="3" t="s">
        <v>236</v>
      </c>
      <c r="C458" s="3" t="s">
        <v>45</v>
      </c>
      <c r="D458" s="3" t="s">
        <v>249</v>
      </c>
      <c r="E458" s="3" t="s">
        <v>15</v>
      </c>
      <c r="F458" s="3" t="s">
        <v>13</v>
      </c>
      <c r="G458" s="3" t="s">
        <v>250</v>
      </c>
      <c r="H458" s="3" t="s">
        <v>13</v>
      </c>
      <c r="I458" s="3" t="s">
        <v>14</v>
      </c>
    </row>
    <row r="459" spans="1:9" s="5" customFormat="1" x14ac:dyDescent="0.35">
      <c r="A459" s="3" t="s">
        <v>8</v>
      </c>
      <c r="B459" s="3" t="s">
        <v>236</v>
      </c>
      <c r="C459" s="3" t="s">
        <v>45</v>
      </c>
      <c r="D459" s="3" t="s">
        <v>251</v>
      </c>
      <c r="E459" s="3" t="s">
        <v>185</v>
      </c>
      <c r="F459" s="3"/>
      <c r="G459" s="3" t="s">
        <v>2345</v>
      </c>
      <c r="H459" s="3"/>
      <c r="I459" s="3"/>
    </row>
    <row r="460" spans="1:9" s="5" customFormat="1" x14ac:dyDescent="0.35">
      <c r="A460" s="3" t="s">
        <v>8</v>
      </c>
      <c r="B460" s="3" t="s">
        <v>236</v>
      </c>
      <c r="C460" s="3" t="s">
        <v>45</v>
      </c>
      <c r="D460" s="3" t="s">
        <v>251</v>
      </c>
      <c r="E460" s="3" t="s">
        <v>15</v>
      </c>
      <c r="F460" s="3" t="s">
        <v>16</v>
      </c>
      <c r="G460" s="3" t="s">
        <v>252</v>
      </c>
      <c r="H460" s="3"/>
      <c r="I460" s="3"/>
    </row>
    <row r="461" spans="1:9" s="5" customFormat="1" x14ac:dyDescent="0.35">
      <c r="A461" s="3" t="s">
        <v>8</v>
      </c>
      <c r="B461" s="3" t="s">
        <v>236</v>
      </c>
      <c r="C461" s="3" t="s">
        <v>45</v>
      </c>
      <c r="D461" s="3" t="s">
        <v>253</v>
      </c>
      <c r="E461" s="3" t="s">
        <v>77</v>
      </c>
      <c r="F461" s="3"/>
      <c r="G461" s="3"/>
      <c r="H461" s="3" t="s">
        <v>13</v>
      </c>
      <c r="I461" s="3" t="s">
        <v>22</v>
      </c>
    </row>
    <row r="462" spans="1:9" s="5" customFormat="1" x14ac:dyDescent="0.35">
      <c r="A462" s="3" t="s">
        <v>8</v>
      </c>
      <c r="B462" s="3" t="s">
        <v>236</v>
      </c>
      <c r="C462" s="3" t="s">
        <v>42</v>
      </c>
      <c r="D462" s="3" t="s">
        <v>254</v>
      </c>
      <c r="E462" s="3" t="s">
        <v>12</v>
      </c>
      <c r="F462" s="3"/>
      <c r="G462" s="3"/>
      <c r="H462" s="3" t="s">
        <v>13</v>
      </c>
      <c r="I462" s="3" t="s">
        <v>22</v>
      </c>
    </row>
    <row r="463" spans="1:9" s="5" customFormat="1" x14ac:dyDescent="0.35">
      <c r="A463" s="3" t="s">
        <v>8</v>
      </c>
      <c r="B463" s="3" t="s">
        <v>236</v>
      </c>
      <c r="C463" s="3" t="s">
        <v>42</v>
      </c>
      <c r="D463" s="3" t="s">
        <v>254</v>
      </c>
      <c r="E463" s="3" t="s">
        <v>23</v>
      </c>
      <c r="F463" s="3" t="s">
        <v>16</v>
      </c>
      <c r="G463" s="3" t="s">
        <v>255</v>
      </c>
      <c r="H463" s="3" t="s">
        <v>13</v>
      </c>
      <c r="I463" s="3" t="s">
        <v>22</v>
      </c>
    </row>
    <row r="464" spans="1:9" s="5" customFormat="1" x14ac:dyDescent="0.35">
      <c r="A464" s="3" t="s">
        <v>8</v>
      </c>
      <c r="B464" s="3" t="s">
        <v>236</v>
      </c>
      <c r="C464" s="3" t="s">
        <v>42</v>
      </c>
      <c r="D464" s="3" t="s">
        <v>254</v>
      </c>
      <c r="E464" s="3" t="s">
        <v>25</v>
      </c>
      <c r="F464" s="3" t="s">
        <v>33</v>
      </c>
      <c r="G464" s="3" t="s">
        <v>97</v>
      </c>
      <c r="H464" s="3" t="s">
        <v>13</v>
      </c>
      <c r="I464" s="3" t="s">
        <v>22</v>
      </c>
    </row>
    <row r="465" spans="1:9" s="5" customFormat="1" x14ac:dyDescent="0.35">
      <c r="A465" s="3" t="s">
        <v>8</v>
      </c>
      <c r="B465" s="3" t="s">
        <v>236</v>
      </c>
      <c r="C465" s="3" t="s">
        <v>42</v>
      </c>
      <c r="D465" s="3" t="s">
        <v>254</v>
      </c>
      <c r="E465" s="3" t="s">
        <v>141</v>
      </c>
      <c r="F465" s="3" t="s">
        <v>13</v>
      </c>
      <c r="G465" s="3" t="s">
        <v>256</v>
      </c>
      <c r="H465" s="3" t="s">
        <v>13</v>
      </c>
      <c r="I465" s="3" t="s">
        <v>22</v>
      </c>
    </row>
    <row r="466" spans="1:9" s="5" customFormat="1" x14ac:dyDescent="0.35">
      <c r="A466" s="3" t="s">
        <v>8</v>
      </c>
      <c r="B466" s="3" t="s">
        <v>236</v>
      </c>
      <c r="C466" s="3" t="s">
        <v>42</v>
      </c>
      <c r="D466" s="3" t="s">
        <v>254</v>
      </c>
      <c r="E466" s="3" t="s">
        <v>87</v>
      </c>
      <c r="F466" s="3"/>
      <c r="G466" s="3"/>
      <c r="H466" s="3" t="s">
        <v>13</v>
      </c>
      <c r="I466" s="3" t="s">
        <v>22</v>
      </c>
    </row>
    <row r="467" spans="1:9" s="5" customFormat="1" x14ac:dyDescent="0.35">
      <c r="A467" s="3" t="s">
        <v>8</v>
      </c>
      <c r="B467" s="3" t="s">
        <v>236</v>
      </c>
      <c r="C467" s="3" t="s">
        <v>42</v>
      </c>
      <c r="D467" s="3" t="s">
        <v>254</v>
      </c>
      <c r="E467" s="3" t="s">
        <v>15</v>
      </c>
      <c r="F467" s="3"/>
      <c r="G467" s="3"/>
      <c r="H467" s="3" t="s">
        <v>13</v>
      </c>
      <c r="I467" s="3" t="s">
        <v>22</v>
      </c>
    </row>
    <row r="468" spans="1:9" s="5" customFormat="1" x14ac:dyDescent="0.35">
      <c r="A468" s="3" t="s">
        <v>8</v>
      </c>
      <c r="B468" s="3" t="s">
        <v>236</v>
      </c>
      <c r="C468" s="3" t="s">
        <v>42</v>
      </c>
      <c r="D468" s="3" t="s">
        <v>254</v>
      </c>
      <c r="E468" s="3" t="s">
        <v>57</v>
      </c>
      <c r="F468" s="3"/>
      <c r="G468" s="3" t="s">
        <v>2311</v>
      </c>
      <c r="H468" s="3" t="s">
        <v>13</v>
      </c>
      <c r="I468" s="3" t="s">
        <v>22</v>
      </c>
    </row>
    <row r="469" spans="1:9" s="5" customFormat="1" x14ac:dyDescent="0.35">
      <c r="A469" s="3" t="s">
        <v>8</v>
      </c>
      <c r="B469" s="3" t="s">
        <v>236</v>
      </c>
      <c r="C469" s="3" t="s">
        <v>42</v>
      </c>
      <c r="D469" s="3" t="s">
        <v>254</v>
      </c>
      <c r="E469" s="3" t="s">
        <v>56</v>
      </c>
      <c r="F469" s="3" t="s">
        <v>13</v>
      </c>
      <c r="G469" s="3" t="s">
        <v>257</v>
      </c>
      <c r="H469" s="3" t="s">
        <v>13</v>
      </c>
      <c r="I469" s="3" t="s">
        <v>22</v>
      </c>
    </row>
    <row r="470" spans="1:9" s="5" customFormat="1" x14ac:dyDescent="0.35">
      <c r="A470" s="3" t="s">
        <v>8</v>
      </c>
      <c r="B470" s="3" t="s">
        <v>236</v>
      </c>
      <c r="C470" s="3" t="s">
        <v>42</v>
      </c>
      <c r="D470" s="3" t="s">
        <v>254</v>
      </c>
      <c r="E470" s="3" t="s">
        <v>37</v>
      </c>
      <c r="F470" s="3"/>
      <c r="G470" s="3"/>
      <c r="H470" s="3" t="s">
        <v>13</v>
      </c>
      <c r="I470" s="3" t="s">
        <v>22</v>
      </c>
    </row>
    <row r="471" spans="1:9" s="5" customFormat="1" x14ac:dyDescent="0.35">
      <c r="A471" s="3" t="s">
        <v>8</v>
      </c>
      <c r="B471" s="3" t="s">
        <v>236</v>
      </c>
      <c r="C471" s="3" t="s">
        <v>42</v>
      </c>
      <c r="D471" s="3" t="s">
        <v>254</v>
      </c>
      <c r="E471" s="3" t="s">
        <v>107</v>
      </c>
      <c r="F471" s="3" t="s">
        <v>13</v>
      </c>
      <c r="G471" s="3" t="s">
        <v>258</v>
      </c>
      <c r="H471" s="3" t="s">
        <v>13</v>
      </c>
      <c r="I471" s="3" t="s">
        <v>22</v>
      </c>
    </row>
    <row r="472" spans="1:9" s="5" customFormat="1" x14ac:dyDescent="0.35">
      <c r="A472" s="3" t="s">
        <v>8</v>
      </c>
      <c r="B472" s="3" t="s">
        <v>236</v>
      </c>
      <c r="C472" s="3" t="s">
        <v>10</v>
      </c>
      <c r="D472" s="3" t="s">
        <v>2992</v>
      </c>
      <c r="E472" s="3" t="s">
        <v>12</v>
      </c>
      <c r="F472" s="3"/>
      <c r="G472" s="3"/>
      <c r="H472" s="3" t="s">
        <v>13</v>
      </c>
      <c r="I472" s="3" t="s">
        <v>14</v>
      </c>
    </row>
    <row r="473" spans="1:9" s="5" customFormat="1" x14ac:dyDescent="0.35">
      <c r="A473" s="3" t="s">
        <v>8</v>
      </c>
      <c r="B473" s="3" t="s">
        <v>236</v>
      </c>
      <c r="C473" s="3" t="s">
        <v>10</v>
      </c>
      <c r="D473" s="3" t="s">
        <v>2992</v>
      </c>
      <c r="E473" s="3" t="s">
        <v>47</v>
      </c>
      <c r="F473" s="3"/>
      <c r="G473" s="3"/>
      <c r="H473" s="3" t="s">
        <v>13</v>
      </c>
      <c r="I473" s="3" t="s">
        <v>14</v>
      </c>
    </row>
    <row r="474" spans="1:9" s="5" customFormat="1" x14ac:dyDescent="0.35">
      <c r="A474" s="3" t="s">
        <v>8</v>
      </c>
      <c r="B474" s="3" t="s">
        <v>236</v>
      </c>
      <c r="C474" s="3" t="s">
        <v>10</v>
      </c>
      <c r="D474" s="3" t="s">
        <v>2992</v>
      </c>
      <c r="E474" s="3" t="s">
        <v>15</v>
      </c>
      <c r="F474" s="3" t="s">
        <v>16</v>
      </c>
      <c r="G474" s="3" t="s">
        <v>2993</v>
      </c>
      <c r="H474" s="3" t="s">
        <v>13</v>
      </c>
      <c r="I474" s="3" t="s">
        <v>14</v>
      </c>
    </row>
    <row r="475" spans="1:9" s="5" customFormat="1" x14ac:dyDescent="0.35">
      <c r="A475" s="3" t="s">
        <v>8</v>
      </c>
      <c r="B475" s="3" t="s">
        <v>236</v>
      </c>
      <c r="C475" s="3" t="s">
        <v>10</v>
      </c>
      <c r="D475" s="3" t="s">
        <v>2992</v>
      </c>
      <c r="E475" s="3" t="s">
        <v>134</v>
      </c>
      <c r="F475" s="3" t="s">
        <v>16</v>
      </c>
      <c r="G475" s="3" t="s">
        <v>2994</v>
      </c>
      <c r="H475" s="3" t="s">
        <v>13</v>
      </c>
      <c r="I475" s="3" t="s">
        <v>14</v>
      </c>
    </row>
    <row r="476" spans="1:9" s="5" customFormat="1" x14ac:dyDescent="0.35">
      <c r="A476" s="3" t="s">
        <v>8</v>
      </c>
      <c r="B476" s="3" t="s">
        <v>236</v>
      </c>
      <c r="C476" s="3" t="s">
        <v>10</v>
      </c>
      <c r="D476" s="3" t="s">
        <v>2995</v>
      </c>
      <c r="E476" s="3" t="s">
        <v>12</v>
      </c>
      <c r="F476" s="3"/>
      <c r="G476" s="3"/>
      <c r="H476" s="3" t="s">
        <v>13</v>
      </c>
      <c r="I476" s="3" t="s">
        <v>14</v>
      </c>
    </row>
    <row r="477" spans="1:9" s="5" customFormat="1" x14ac:dyDescent="0.35">
      <c r="A477" s="3" t="s">
        <v>8</v>
      </c>
      <c r="B477" s="3" t="s">
        <v>236</v>
      </c>
      <c r="C477" s="3" t="s">
        <v>10</v>
      </c>
      <c r="D477" s="3" t="s">
        <v>2995</v>
      </c>
      <c r="E477" s="3" t="s">
        <v>47</v>
      </c>
      <c r="F477" s="3"/>
      <c r="G477" s="3"/>
      <c r="H477" s="3" t="s">
        <v>13</v>
      </c>
      <c r="I477" s="3" t="s">
        <v>14</v>
      </c>
    </row>
    <row r="478" spans="1:9" s="5" customFormat="1" x14ac:dyDescent="0.35">
      <c r="A478" s="3" t="s">
        <v>8</v>
      </c>
      <c r="B478" s="3" t="s">
        <v>236</v>
      </c>
      <c r="C478" s="3" t="s">
        <v>10</v>
      </c>
      <c r="D478" s="3" t="s">
        <v>2995</v>
      </c>
      <c r="E478" s="3" t="s">
        <v>37</v>
      </c>
      <c r="F478" s="3"/>
      <c r="G478" s="3"/>
      <c r="H478" s="3" t="s">
        <v>13</v>
      </c>
      <c r="I478" s="3" t="s">
        <v>14</v>
      </c>
    </row>
    <row r="479" spans="1:9" s="5" customFormat="1" x14ac:dyDescent="0.35">
      <c r="A479" s="3" t="s">
        <v>8</v>
      </c>
      <c r="B479" s="3" t="s">
        <v>236</v>
      </c>
      <c r="C479" s="3" t="s">
        <v>10</v>
      </c>
      <c r="D479" s="3" t="s">
        <v>2995</v>
      </c>
      <c r="E479" s="3" t="s">
        <v>15</v>
      </c>
      <c r="F479" s="3" t="s">
        <v>16</v>
      </c>
      <c r="G479" s="3" t="s">
        <v>2996</v>
      </c>
      <c r="H479" s="3" t="s">
        <v>13</v>
      </c>
      <c r="I479" s="3" t="s">
        <v>14</v>
      </c>
    </row>
    <row r="480" spans="1:9" s="5" customFormat="1" x14ac:dyDescent="0.35">
      <c r="A480" s="3" t="s">
        <v>8</v>
      </c>
      <c r="B480" s="3" t="s">
        <v>236</v>
      </c>
      <c r="C480" s="3" t="s">
        <v>10</v>
      </c>
      <c r="D480" s="3" t="s">
        <v>2995</v>
      </c>
      <c r="E480" s="3" t="s">
        <v>134</v>
      </c>
      <c r="F480" s="3"/>
      <c r="G480" s="3"/>
      <c r="H480" s="3" t="s">
        <v>13</v>
      </c>
      <c r="I480" s="3" t="s">
        <v>14</v>
      </c>
    </row>
    <row r="481" spans="1:9" s="5" customFormat="1" x14ac:dyDescent="0.35">
      <c r="A481" s="3" t="s">
        <v>8</v>
      </c>
      <c r="B481" s="3" t="s">
        <v>236</v>
      </c>
      <c r="C481" s="3" t="s">
        <v>45</v>
      </c>
      <c r="D481" s="3" t="s">
        <v>2712</v>
      </c>
      <c r="E481" s="3" t="s">
        <v>244</v>
      </c>
      <c r="F481" s="3"/>
      <c r="G481" s="3"/>
      <c r="H481" s="3"/>
      <c r="I481" s="3"/>
    </row>
    <row r="482" spans="1:9" s="5" customFormat="1" x14ac:dyDescent="0.35">
      <c r="A482" s="3" t="s">
        <v>8</v>
      </c>
      <c r="B482" s="3" t="s">
        <v>236</v>
      </c>
      <c r="C482" s="3" t="s">
        <v>45</v>
      </c>
      <c r="D482" s="3" t="s">
        <v>259</v>
      </c>
      <c r="E482" s="3" t="s">
        <v>23</v>
      </c>
      <c r="F482" s="3"/>
      <c r="G482" s="3" t="s">
        <v>2713</v>
      </c>
      <c r="H482" s="3"/>
      <c r="I482" s="3"/>
    </row>
    <row r="483" spans="1:9" s="5" customFormat="1" x14ac:dyDescent="0.35">
      <c r="A483" s="3" t="s">
        <v>8</v>
      </c>
      <c r="B483" s="3" t="s">
        <v>236</v>
      </c>
      <c r="C483" s="3" t="s">
        <v>45</v>
      </c>
      <c r="D483" s="3" t="s">
        <v>259</v>
      </c>
      <c r="E483" s="3" t="s">
        <v>56</v>
      </c>
      <c r="F483" s="3" t="s">
        <v>16</v>
      </c>
      <c r="G483" s="3" t="s">
        <v>2714</v>
      </c>
      <c r="H483" s="3"/>
      <c r="I483" s="3"/>
    </row>
    <row r="484" spans="1:9" s="5" customFormat="1" x14ac:dyDescent="0.35">
      <c r="A484" s="3" t="s">
        <v>8</v>
      </c>
      <c r="B484" s="3" t="s">
        <v>236</v>
      </c>
      <c r="C484" s="3" t="s">
        <v>45</v>
      </c>
      <c r="D484" s="3" t="s">
        <v>259</v>
      </c>
      <c r="E484" s="3" t="s">
        <v>244</v>
      </c>
      <c r="F484" s="3"/>
      <c r="G484" s="3"/>
      <c r="H484" s="3" t="s">
        <v>13</v>
      </c>
      <c r="I484" s="3" t="s">
        <v>22</v>
      </c>
    </row>
    <row r="485" spans="1:9" s="5" customFormat="1" x14ac:dyDescent="0.35">
      <c r="A485" s="3" t="s">
        <v>8</v>
      </c>
      <c r="B485" s="3" t="s">
        <v>236</v>
      </c>
      <c r="C485" s="3" t="s">
        <v>45</v>
      </c>
      <c r="D485" s="3" t="s">
        <v>260</v>
      </c>
      <c r="E485" s="3" t="s">
        <v>77</v>
      </c>
      <c r="F485" s="3"/>
      <c r="G485" s="3"/>
      <c r="H485" s="3"/>
      <c r="I485" s="3"/>
    </row>
    <row r="486" spans="1:9" s="5" customFormat="1" x14ac:dyDescent="0.35">
      <c r="A486" s="3" t="s">
        <v>8</v>
      </c>
      <c r="B486" s="3" t="s">
        <v>236</v>
      </c>
      <c r="C486" s="3" t="s">
        <v>45</v>
      </c>
      <c r="D486" s="3" t="s">
        <v>261</v>
      </c>
      <c r="E486" s="3" t="s">
        <v>77</v>
      </c>
      <c r="F486" s="3"/>
      <c r="G486" s="3"/>
      <c r="H486" s="3"/>
      <c r="I486" s="3"/>
    </row>
    <row r="487" spans="1:9" s="5" customFormat="1" x14ac:dyDescent="0.35">
      <c r="A487" s="3" t="s">
        <v>8</v>
      </c>
      <c r="B487" s="3" t="s">
        <v>236</v>
      </c>
      <c r="C487" s="3" t="s">
        <v>45</v>
      </c>
      <c r="D487" s="3" t="s">
        <v>261</v>
      </c>
      <c r="E487" s="3" t="s">
        <v>57</v>
      </c>
      <c r="F487" s="3"/>
      <c r="G487" s="3"/>
      <c r="H487" s="3"/>
      <c r="I487" s="3"/>
    </row>
    <row r="488" spans="1:9" s="5" customFormat="1" x14ac:dyDescent="0.35">
      <c r="A488" s="3" t="s">
        <v>8</v>
      </c>
      <c r="B488" s="3" t="s">
        <v>236</v>
      </c>
      <c r="C488" s="3" t="s">
        <v>39</v>
      </c>
      <c r="D488" s="3" t="s">
        <v>262</v>
      </c>
      <c r="E488" s="3" t="s">
        <v>27</v>
      </c>
      <c r="F488" s="3" t="s">
        <v>13</v>
      </c>
      <c r="G488" s="3" t="s">
        <v>136</v>
      </c>
      <c r="H488" s="3" t="s">
        <v>13</v>
      </c>
      <c r="I488" s="3" t="s">
        <v>14</v>
      </c>
    </row>
    <row r="489" spans="1:9" s="5" customFormat="1" x14ac:dyDescent="0.35">
      <c r="A489" s="3" t="s">
        <v>8</v>
      </c>
      <c r="B489" s="3" t="s">
        <v>236</v>
      </c>
      <c r="C489" s="3" t="s">
        <v>39</v>
      </c>
      <c r="D489" s="3" t="s">
        <v>262</v>
      </c>
      <c r="E489" s="3" t="s">
        <v>15</v>
      </c>
      <c r="F489" s="3" t="s">
        <v>13</v>
      </c>
      <c r="G489" s="3" t="s">
        <v>136</v>
      </c>
      <c r="H489" s="3" t="s">
        <v>13</v>
      </c>
      <c r="I489" s="3" t="s">
        <v>14</v>
      </c>
    </row>
    <row r="490" spans="1:9" s="5" customFormat="1" x14ac:dyDescent="0.35">
      <c r="A490" s="3" t="s">
        <v>8</v>
      </c>
      <c r="B490" s="3" t="s">
        <v>236</v>
      </c>
      <c r="C490" s="3" t="s">
        <v>39</v>
      </c>
      <c r="D490" s="3" t="s">
        <v>262</v>
      </c>
      <c r="E490" s="3" t="s">
        <v>32</v>
      </c>
      <c r="F490" s="3" t="s">
        <v>13</v>
      </c>
      <c r="G490" s="3" t="s">
        <v>263</v>
      </c>
      <c r="H490" s="3" t="s">
        <v>13</v>
      </c>
      <c r="I490" s="3" t="s">
        <v>14</v>
      </c>
    </row>
    <row r="491" spans="1:9" s="5" customFormat="1" x14ac:dyDescent="0.35">
      <c r="A491" s="3" t="s">
        <v>8</v>
      </c>
      <c r="B491" s="3" t="s">
        <v>236</v>
      </c>
      <c r="C491" s="3" t="s">
        <v>39</v>
      </c>
      <c r="D491" s="3" t="s">
        <v>262</v>
      </c>
      <c r="E491" s="3" t="s">
        <v>107</v>
      </c>
      <c r="F491" s="3" t="s">
        <v>13</v>
      </c>
      <c r="G491" s="3" t="s">
        <v>136</v>
      </c>
      <c r="H491" s="3" t="s">
        <v>13</v>
      </c>
      <c r="I491" s="3" t="s">
        <v>14</v>
      </c>
    </row>
    <row r="492" spans="1:9" s="5" customFormat="1" x14ac:dyDescent="0.35">
      <c r="A492" s="3" t="s">
        <v>8</v>
      </c>
      <c r="B492" s="3" t="s">
        <v>236</v>
      </c>
      <c r="C492" s="3" t="s">
        <v>20</v>
      </c>
      <c r="D492" s="3" t="s">
        <v>264</v>
      </c>
      <c r="E492" s="3" t="s">
        <v>47</v>
      </c>
      <c r="F492" s="3"/>
      <c r="G492" s="3"/>
      <c r="H492" s="3" t="s">
        <v>13</v>
      </c>
      <c r="I492" s="3" t="s">
        <v>14</v>
      </c>
    </row>
    <row r="493" spans="1:9" s="5" customFormat="1" x14ac:dyDescent="0.35">
      <c r="A493" s="3" t="s">
        <v>8</v>
      </c>
      <c r="B493" s="3" t="s">
        <v>236</v>
      </c>
      <c r="C493" s="3" t="s">
        <v>20</v>
      </c>
      <c r="D493" s="3" t="s">
        <v>264</v>
      </c>
      <c r="E493" s="3" t="s">
        <v>15</v>
      </c>
      <c r="F493" s="3" t="s">
        <v>16</v>
      </c>
      <c r="G493" s="3" t="s">
        <v>265</v>
      </c>
      <c r="H493" s="3" t="s">
        <v>13</v>
      </c>
      <c r="I493" s="3" t="s">
        <v>14</v>
      </c>
    </row>
    <row r="494" spans="1:9" s="5" customFormat="1" x14ac:dyDescent="0.35">
      <c r="A494" s="3" t="s">
        <v>8</v>
      </c>
      <c r="B494" s="3" t="s">
        <v>236</v>
      </c>
      <c r="C494" s="3" t="s">
        <v>10</v>
      </c>
      <c r="D494" s="3" t="s">
        <v>266</v>
      </c>
      <c r="E494" s="3" t="s">
        <v>12</v>
      </c>
      <c r="F494" s="3"/>
      <c r="G494" s="3"/>
      <c r="H494" s="3" t="s">
        <v>13</v>
      </c>
      <c r="I494" s="3" t="s">
        <v>22</v>
      </c>
    </row>
    <row r="495" spans="1:9" s="5" customFormat="1" x14ac:dyDescent="0.35">
      <c r="A495" s="3" t="s">
        <v>8</v>
      </c>
      <c r="B495" s="3" t="s">
        <v>236</v>
      </c>
      <c r="C495" s="3" t="s">
        <v>10</v>
      </c>
      <c r="D495" s="3" t="s">
        <v>266</v>
      </c>
      <c r="E495" s="3" t="s">
        <v>15</v>
      </c>
      <c r="F495" s="3" t="s">
        <v>13</v>
      </c>
      <c r="G495" s="3" t="s">
        <v>267</v>
      </c>
      <c r="H495" s="3" t="s">
        <v>13</v>
      </c>
      <c r="I495" s="3" t="s">
        <v>22</v>
      </c>
    </row>
    <row r="496" spans="1:9" s="5" customFormat="1" x14ac:dyDescent="0.35">
      <c r="A496" s="3" t="s">
        <v>8</v>
      </c>
      <c r="B496" s="3" t="s">
        <v>236</v>
      </c>
      <c r="C496" s="3" t="s">
        <v>10</v>
      </c>
      <c r="D496" s="3" t="s">
        <v>266</v>
      </c>
      <c r="E496" s="3" t="s">
        <v>29</v>
      </c>
      <c r="F496" s="3"/>
      <c r="G496" s="3"/>
      <c r="H496" s="3" t="s">
        <v>13</v>
      </c>
      <c r="I496" s="3" t="s">
        <v>22</v>
      </c>
    </row>
    <row r="497" spans="1:9" s="5" customFormat="1" x14ac:dyDescent="0.35">
      <c r="A497" s="3" t="s">
        <v>8</v>
      </c>
      <c r="B497" s="3" t="s">
        <v>236</v>
      </c>
      <c r="C497" s="3" t="s">
        <v>10</v>
      </c>
      <c r="D497" s="3" t="s">
        <v>268</v>
      </c>
      <c r="E497" s="3" t="s">
        <v>15</v>
      </c>
      <c r="F497" s="3" t="s">
        <v>16</v>
      </c>
      <c r="G497" s="3" t="s">
        <v>269</v>
      </c>
      <c r="H497" s="3" t="s">
        <v>13</v>
      </c>
      <c r="I497" s="3" t="s">
        <v>22</v>
      </c>
    </row>
    <row r="498" spans="1:9" s="5" customFormat="1" x14ac:dyDescent="0.35">
      <c r="A498" s="3" t="s">
        <v>8</v>
      </c>
      <c r="B498" s="3" t="s">
        <v>236</v>
      </c>
      <c r="C498" s="3" t="s">
        <v>10</v>
      </c>
      <c r="D498" s="3" t="s">
        <v>268</v>
      </c>
      <c r="E498" s="3" t="s">
        <v>37</v>
      </c>
      <c r="F498" s="3"/>
      <c r="G498" s="3"/>
      <c r="H498" s="3" t="s">
        <v>13</v>
      </c>
      <c r="I498" s="3" t="s">
        <v>22</v>
      </c>
    </row>
    <row r="499" spans="1:9" s="5" customFormat="1" x14ac:dyDescent="0.35">
      <c r="A499" s="3" t="s">
        <v>8</v>
      </c>
      <c r="B499" s="3" t="s">
        <v>236</v>
      </c>
      <c r="C499" s="3" t="s">
        <v>10</v>
      </c>
      <c r="D499" s="3" t="s">
        <v>270</v>
      </c>
      <c r="E499" s="3" t="s">
        <v>47</v>
      </c>
      <c r="F499" s="3"/>
      <c r="G499" s="3"/>
      <c r="H499" s="3"/>
      <c r="I499" s="3"/>
    </row>
    <row r="500" spans="1:9" s="5" customFormat="1" x14ac:dyDescent="0.35">
      <c r="A500" s="3" t="s">
        <v>8</v>
      </c>
      <c r="B500" s="3" t="s">
        <v>236</v>
      </c>
      <c r="C500" s="3" t="s">
        <v>10</v>
      </c>
      <c r="D500" s="3" t="s">
        <v>270</v>
      </c>
      <c r="E500" s="3" t="s">
        <v>15</v>
      </c>
      <c r="F500" s="3" t="s">
        <v>16</v>
      </c>
      <c r="G500" s="3" t="s">
        <v>271</v>
      </c>
      <c r="H500" s="3"/>
      <c r="I500" s="3"/>
    </row>
    <row r="501" spans="1:9" s="5" customFormat="1" x14ac:dyDescent="0.35">
      <c r="A501" s="3" t="s">
        <v>8</v>
      </c>
      <c r="B501" s="3" t="s">
        <v>236</v>
      </c>
      <c r="C501" s="3" t="s">
        <v>39</v>
      </c>
      <c r="D501" s="3" t="s">
        <v>272</v>
      </c>
      <c r="E501" s="3" t="s">
        <v>27</v>
      </c>
      <c r="F501" s="3" t="s">
        <v>13</v>
      </c>
      <c r="G501" s="3" t="s">
        <v>136</v>
      </c>
      <c r="H501" s="3" t="s">
        <v>13</v>
      </c>
      <c r="I501" s="3" t="s">
        <v>273</v>
      </c>
    </row>
    <row r="502" spans="1:9" s="5" customFormat="1" x14ac:dyDescent="0.35">
      <c r="A502" s="3" t="s">
        <v>8</v>
      </c>
      <c r="B502" s="3" t="s">
        <v>236</v>
      </c>
      <c r="C502" s="3" t="s">
        <v>39</v>
      </c>
      <c r="D502" s="3" t="s">
        <v>272</v>
      </c>
      <c r="E502" s="3" t="s">
        <v>32</v>
      </c>
      <c r="F502" s="3" t="s">
        <v>13</v>
      </c>
      <c r="G502" s="3" t="s">
        <v>2439</v>
      </c>
      <c r="H502" s="3" t="s">
        <v>13</v>
      </c>
      <c r="I502" s="3" t="s">
        <v>273</v>
      </c>
    </row>
    <row r="503" spans="1:9" s="5" customFormat="1" x14ac:dyDescent="0.35">
      <c r="A503" s="3" t="s">
        <v>8</v>
      </c>
      <c r="B503" s="3" t="s">
        <v>236</v>
      </c>
      <c r="C503" s="3" t="s">
        <v>39</v>
      </c>
      <c r="D503" s="3" t="s">
        <v>272</v>
      </c>
      <c r="E503" s="3" t="s">
        <v>26</v>
      </c>
      <c r="F503" s="3" t="s">
        <v>13</v>
      </c>
      <c r="G503" s="3" t="s">
        <v>136</v>
      </c>
      <c r="H503" s="3" t="s">
        <v>13</v>
      </c>
      <c r="I503" s="3" t="s">
        <v>273</v>
      </c>
    </row>
    <row r="504" spans="1:9" s="5" customFormat="1" x14ac:dyDescent="0.35">
      <c r="A504" s="3" t="s">
        <v>8</v>
      </c>
      <c r="B504" s="3" t="s">
        <v>236</v>
      </c>
      <c r="C504" s="3" t="s">
        <v>39</v>
      </c>
      <c r="D504" s="3" t="s">
        <v>272</v>
      </c>
      <c r="E504" s="3" t="s">
        <v>29</v>
      </c>
      <c r="F504" s="3" t="s">
        <v>13</v>
      </c>
      <c r="G504" s="3" t="s">
        <v>275</v>
      </c>
      <c r="H504" s="3" t="s">
        <v>13</v>
      </c>
      <c r="I504" s="3" t="s">
        <v>273</v>
      </c>
    </row>
    <row r="505" spans="1:9" s="5" customFormat="1" x14ac:dyDescent="0.35">
      <c r="A505" s="3" t="s">
        <v>8</v>
      </c>
      <c r="B505" s="3" t="s">
        <v>236</v>
      </c>
      <c r="C505" s="3" t="s">
        <v>39</v>
      </c>
      <c r="D505" s="3" t="s">
        <v>272</v>
      </c>
      <c r="E505" s="3" t="s">
        <v>24</v>
      </c>
      <c r="F505" s="3" t="s">
        <v>13</v>
      </c>
      <c r="G505" s="3" t="s">
        <v>136</v>
      </c>
      <c r="H505" s="3" t="s">
        <v>13</v>
      </c>
      <c r="I505" s="3" t="s">
        <v>273</v>
      </c>
    </row>
    <row r="506" spans="1:9" s="5" customFormat="1" x14ac:dyDescent="0.35">
      <c r="A506" s="3" t="s">
        <v>8</v>
      </c>
      <c r="B506" s="3" t="s">
        <v>236</v>
      </c>
      <c r="C506" s="3" t="s">
        <v>39</v>
      </c>
      <c r="D506" s="3" t="s">
        <v>272</v>
      </c>
      <c r="E506" s="3" t="s">
        <v>134</v>
      </c>
      <c r="F506" s="3" t="s">
        <v>13</v>
      </c>
      <c r="G506" s="3" t="s">
        <v>274</v>
      </c>
      <c r="H506" s="3" t="s">
        <v>13</v>
      </c>
      <c r="I506" s="3" t="s">
        <v>273</v>
      </c>
    </row>
    <row r="507" spans="1:9" s="5" customFormat="1" x14ac:dyDescent="0.35">
      <c r="A507" s="3" t="s">
        <v>8</v>
      </c>
      <c r="B507" s="3" t="s">
        <v>236</v>
      </c>
      <c r="C507" s="3" t="s">
        <v>45</v>
      </c>
      <c r="D507" s="3" t="s">
        <v>276</v>
      </c>
      <c r="E507" s="3" t="s">
        <v>47</v>
      </c>
      <c r="F507" s="3"/>
      <c r="G507" s="3"/>
      <c r="H507" s="3" t="s">
        <v>13</v>
      </c>
      <c r="I507" s="3" t="s">
        <v>22</v>
      </c>
    </row>
    <row r="508" spans="1:9" s="5" customFormat="1" x14ac:dyDescent="0.35">
      <c r="A508" s="3" t="s">
        <v>8</v>
      </c>
      <c r="B508" s="3" t="s">
        <v>236</v>
      </c>
      <c r="C508" s="3" t="s">
        <v>45</v>
      </c>
      <c r="D508" s="3" t="s">
        <v>276</v>
      </c>
      <c r="E508" s="3" t="s">
        <v>77</v>
      </c>
      <c r="F508" s="3"/>
      <c r="G508" s="3"/>
      <c r="H508" s="3" t="s">
        <v>13</v>
      </c>
      <c r="I508" s="3" t="s">
        <v>22</v>
      </c>
    </row>
    <row r="509" spans="1:9" s="5" customFormat="1" x14ac:dyDescent="0.35">
      <c r="A509" s="3" t="s">
        <v>8</v>
      </c>
      <c r="B509" s="3" t="s">
        <v>236</v>
      </c>
      <c r="C509" s="3" t="s">
        <v>45</v>
      </c>
      <c r="D509" s="3" t="s">
        <v>276</v>
      </c>
      <c r="E509" s="3" t="s">
        <v>15</v>
      </c>
      <c r="F509" s="3" t="s">
        <v>13</v>
      </c>
      <c r="G509" s="3" t="s">
        <v>277</v>
      </c>
      <c r="H509" s="3" t="s">
        <v>13</v>
      </c>
      <c r="I509" s="3" t="s">
        <v>22</v>
      </c>
    </row>
    <row r="510" spans="1:9" s="5" customFormat="1" x14ac:dyDescent="0.35">
      <c r="A510" s="3" t="s">
        <v>8</v>
      </c>
      <c r="B510" s="3" t="s">
        <v>236</v>
      </c>
      <c r="C510" s="3" t="s">
        <v>45</v>
      </c>
      <c r="D510" s="3" t="s">
        <v>278</v>
      </c>
      <c r="E510" s="3" t="s">
        <v>77</v>
      </c>
      <c r="F510" s="3"/>
      <c r="G510" s="3"/>
      <c r="H510" s="3" t="s">
        <v>13</v>
      </c>
      <c r="I510" s="3" t="s">
        <v>14</v>
      </c>
    </row>
    <row r="511" spans="1:9" s="5" customFormat="1" x14ac:dyDescent="0.35">
      <c r="A511" s="3" t="s">
        <v>8</v>
      </c>
      <c r="B511" s="3" t="s">
        <v>236</v>
      </c>
      <c r="C511" s="3" t="s">
        <v>10</v>
      </c>
      <c r="D511" s="3" t="s">
        <v>279</v>
      </c>
      <c r="E511" s="3" t="s">
        <v>36</v>
      </c>
      <c r="F511" s="3"/>
      <c r="G511" s="3"/>
      <c r="H511" s="3" t="s">
        <v>13</v>
      </c>
      <c r="I511" s="3" t="s">
        <v>14</v>
      </c>
    </row>
    <row r="512" spans="1:9" s="5" customFormat="1" x14ac:dyDescent="0.35">
      <c r="A512" s="3" t="s">
        <v>8</v>
      </c>
      <c r="B512" s="3" t="s">
        <v>236</v>
      </c>
      <c r="C512" s="3" t="s">
        <v>10</v>
      </c>
      <c r="D512" s="3" t="s">
        <v>279</v>
      </c>
      <c r="E512" s="3" t="s">
        <v>47</v>
      </c>
      <c r="F512" s="3" t="s">
        <v>16</v>
      </c>
      <c r="G512" s="3" t="s">
        <v>280</v>
      </c>
      <c r="H512" s="3" t="s">
        <v>13</v>
      </c>
      <c r="I512" s="3" t="s">
        <v>14</v>
      </c>
    </row>
    <row r="513" spans="1:9" s="5" customFormat="1" x14ac:dyDescent="0.35">
      <c r="A513" s="3" t="s">
        <v>8</v>
      </c>
      <c r="B513" s="3" t="s">
        <v>236</v>
      </c>
      <c r="C513" s="3" t="s">
        <v>10</v>
      </c>
      <c r="D513" s="3" t="s">
        <v>279</v>
      </c>
      <c r="E513" s="3" t="s">
        <v>15</v>
      </c>
      <c r="F513" s="3" t="s">
        <v>16</v>
      </c>
      <c r="G513" s="3" t="s">
        <v>281</v>
      </c>
      <c r="H513" s="3" t="s">
        <v>13</v>
      </c>
      <c r="I513" s="3" t="s">
        <v>14</v>
      </c>
    </row>
    <row r="514" spans="1:9" s="5" customFormat="1" x14ac:dyDescent="0.35">
      <c r="A514" s="3" t="s">
        <v>8</v>
      </c>
      <c r="B514" s="3" t="s">
        <v>236</v>
      </c>
      <c r="C514" s="3" t="s">
        <v>10</v>
      </c>
      <c r="D514" s="3" t="s">
        <v>279</v>
      </c>
      <c r="E514" s="3" t="s">
        <v>107</v>
      </c>
      <c r="F514" s="3" t="s">
        <v>16</v>
      </c>
      <c r="G514" s="3" t="s">
        <v>281</v>
      </c>
      <c r="H514" s="3" t="s">
        <v>13</v>
      </c>
      <c r="I514" s="3" t="s">
        <v>14</v>
      </c>
    </row>
    <row r="515" spans="1:9" s="5" customFormat="1" x14ac:dyDescent="0.35">
      <c r="A515" s="3" t="s">
        <v>8</v>
      </c>
      <c r="B515" s="3" t="s">
        <v>236</v>
      </c>
      <c r="C515" s="3" t="s">
        <v>45</v>
      </c>
      <c r="D515" s="3" t="s">
        <v>282</v>
      </c>
      <c r="E515" s="3" t="s">
        <v>23</v>
      </c>
      <c r="F515" s="3"/>
      <c r="G515" s="3"/>
      <c r="H515" s="3"/>
      <c r="I515" s="3"/>
    </row>
    <row r="516" spans="1:9" s="5" customFormat="1" x14ac:dyDescent="0.35">
      <c r="A516" s="3" t="s">
        <v>8</v>
      </c>
      <c r="B516" s="3" t="s">
        <v>236</v>
      </c>
      <c r="C516" s="3" t="s">
        <v>45</v>
      </c>
      <c r="D516" s="3" t="s">
        <v>282</v>
      </c>
      <c r="E516" s="3" t="s">
        <v>77</v>
      </c>
      <c r="F516" s="3"/>
      <c r="G516" s="3"/>
      <c r="H516" s="3"/>
      <c r="I516" s="3"/>
    </row>
    <row r="517" spans="1:9" s="5" customFormat="1" x14ac:dyDescent="0.35">
      <c r="A517" s="3" t="s">
        <v>8</v>
      </c>
      <c r="B517" s="3" t="s">
        <v>283</v>
      </c>
      <c r="C517" s="3" t="s">
        <v>20</v>
      </c>
      <c r="D517" s="3" t="s">
        <v>284</v>
      </c>
      <c r="E517" s="3" t="s">
        <v>47</v>
      </c>
      <c r="F517" s="3"/>
      <c r="G517" s="3"/>
      <c r="H517" s="3"/>
      <c r="I517" s="3"/>
    </row>
    <row r="518" spans="1:9" s="5" customFormat="1" x14ac:dyDescent="0.35">
      <c r="A518" s="3" t="s">
        <v>8</v>
      </c>
      <c r="B518" s="3" t="s">
        <v>283</v>
      </c>
      <c r="C518" s="3" t="s">
        <v>20</v>
      </c>
      <c r="D518" s="3" t="s">
        <v>284</v>
      </c>
      <c r="E518" s="3" t="s">
        <v>25</v>
      </c>
      <c r="F518" s="3"/>
      <c r="G518" s="3"/>
      <c r="H518" s="3"/>
      <c r="I518" s="3"/>
    </row>
    <row r="519" spans="1:9" s="5" customFormat="1" x14ac:dyDescent="0.35">
      <c r="A519" s="3" t="s">
        <v>8</v>
      </c>
      <c r="B519" s="3" t="s">
        <v>283</v>
      </c>
      <c r="C519" s="3" t="s">
        <v>20</v>
      </c>
      <c r="D519" s="3" t="s">
        <v>284</v>
      </c>
      <c r="E519" s="3" t="s">
        <v>28</v>
      </c>
      <c r="F519" s="3"/>
      <c r="G519" s="3"/>
      <c r="H519" s="3"/>
      <c r="I519" s="3"/>
    </row>
    <row r="520" spans="1:9" s="5" customFormat="1" x14ac:dyDescent="0.35">
      <c r="A520" s="3" t="s">
        <v>8</v>
      </c>
      <c r="B520" s="3" t="s">
        <v>283</v>
      </c>
      <c r="C520" s="3" t="s">
        <v>20</v>
      </c>
      <c r="D520" s="3" t="s">
        <v>284</v>
      </c>
      <c r="E520" s="3" t="s">
        <v>15</v>
      </c>
      <c r="F520" s="3" t="s">
        <v>13</v>
      </c>
      <c r="G520" s="3" t="s">
        <v>285</v>
      </c>
      <c r="H520" s="3"/>
      <c r="I520" s="3"/>
    </row>
    <row r="521" spans="1:9" s="5" customFormat="1" x14ac:dyDescent="0.35">
      <c r="A521" s="3" t="s">
        <v>8</v>
      </c>
      <c r="B521" s="3" t="s">
        <v>283</v>
      </c>
      <c r="C521" s="3" t="s">
        <v>20</v>
      </c>
      <c r="D521" s="3" t="s">
        <v>284</v>
      </c>
      <c r="E521" s="3" t="s">
        <v>29</v>
      </c>
      <c r="F521" s="3"/>
      <c r="G521" s="3"/>
      <c r="H521" s="3"/>
      <c r="I521" s="3"/>
    </row>
    <row r="522" spans="1:9" s="5" customFormat="1" x14ac:dyDescent="0.35">
      <c r="A522" s="3" t="s">
        <v>8</v>
      </c>
      <c r="B522" s="3" t="s">
        <v>283</v>
      </c>
      <c r="C522" s="3" t="s">
        <v>20</v>
      </c>
      <c r="D522" s="3" t="s">
        <v>284</v>
      </c>
      <c r="E522" s="3" t="s">
        <v>24</v>
      </c>
      <c r="F522" s="3"/>
      <c r="G522" s="3"/>
      <c r="H522" s="3"/>
      <c r="I522" s="3"/>
    </row>
    <row r="523" spans="1:9" s="5" customFormat="1" x14ac:dyDescent="0.35">
      <c r="A523" s="3" t="s">
        <v>8</v>
      </c>
      <c r="B523" s="3" t="s">
        <v>283</v>
      </c>
      <c r="C523" s="3" t="s">
        <v>39</v>
      </c>
      <c r="D523" s="3" t="s">
        <v>286</v>
      </c>
      <c r="E523" s="3" t="s">
        <v>25</v>
      </c>
      <c r="F523" s="3"/>
      <c r="G523" s="3"/>
      <c r="H523" s="3"/>
      <c r="I523" s="3"/>
    </row>
    <row r="524" spans="1:9" s="5" customFormat="1" x14ac:dyDescent="0.35">
      <c r="A524" s="3" t="s">
        <v>8</v>
      </c>
      <c r="B524" s="3" t="s">
        <v>283</v>
      </c>
      <c r="C524" s="3" t="s">
        <v>39</v>
      </c>
      <c r="D524" s="3" t="s">
        <v>286</v>
      </c>
      <c r="E524" s="3" t="s">
        <v>28</v>
      </c>
      <c r="F524" s="3"/>
      <c r="G524" s="3"/>
      <c r="H524" s="3"/>
      <c r="I524" s="3"/>
    </row>
    <row r="525" spans="1:9" s="5" customFormat="1" x14ac:dyDescent="0.35">
      <c r="A525" s="3" t="s">
        <v>8</v>
      </c>
      <c r="B525" s="3" t="s">
        <v>283</v>
      </c>
      <c r="C525" s="3" t="s">
        <v>39</v>
      </c>
      <c r="D525" s="3" t="s">
        <v>286</v>
      </c>
      <c r="E525" s="3" t="s">
        <v>15</v>
      </c>
      <c r="F525" s="3" t="s">
        <v>13</v>
      </c>
      <c r="G525" s="3" t="s">
        <v>287</v>
      </c>
      <c r="H525" s="3"/>
      <c r="I525" s="3"/>
    </row>
    <row r="526" spans="1:9" s="5" customFormat="1" x14ac:dyDescent="0.35">
      <c r="A526" s="3" t="s">
        <v>8</v>
      </c>
      <c r="B526" s="3" t="s">
        <v>288</v>
      </c>
      <c r="C526" s="3" t="s">
        <v>45</v>
      </c>
      <c r="D526" s="3" t="s">
        <v>289</v>
      </c>
      <c r="E526" s="3" t="s">
        <v>57</v>
      </c>
      <c r="F526" s="3"/>
      <c r="G526" s="3"/>
      <c r="H526" s="3" t="s">
        <v>13</v>
      </c>
      <c r="I526" s="3" t="s">
        <v>101</v>
      </c>
    </row>
    <row r="527" spans="1:9" s="5" customFormat="1" x14ac:dyDescent="0.35">
      <c r="A527" s="3" t="s">
        <v>8</v>
      </c>
      <c r="B527" s="3" t="s">
        <v>288</v>
      </c>
      <c r="C527" s="3" t="s">
        <v>45</v>
      </c>
      <c r="D527" s="3" t="s">
        <v>289</v>
      </c>
      <c r="E527" s="3" t="s">
        <v>47</v>
      </c>
      <c r="F527" s="3"/>
      <c r="G527" s="3"/>
      <c r="H527" s="3" t="s">
        <v>13</v>
      </c>
      <c r="I527" s="3" t="s">
        <v>101</v>
      </c>
    </row>
    <row r="528" spans="1:9" s="5" customFormat="1" x14ac:dyDescent="0.35">
      <c r="A528" s="3" t="s">
        <v>8</v>
      </c>
      <c r="B528" s="3" t="s">
        <v>288</v>
      </c>
      <c r="C528" s="3" t="s">
        <v>45</v>
      </c>
      <c r="D528" s="3" t="s">
        <v>289</v>
      </c>
      <c r="E528" s="3" t="s">
        <v>24</v>
      </c>
      <c r="F528" s="3"/>
      <c r="G528" s="3"/>
      <c r="H528" s="3" t="s">
        <v>13</v>
      </c>
      <c r="I528" s="3" t="s">
        <v>101</v>
      </c>
    </row>
    <row r="529" spans="1:9" s="5" customFormat="1" x14ac:dyDescent="0.35">
      <c r="A529" s="3" t="s">
        <v>8</v>
      </c>
      <c r="B529" s="3" t="s">
        <v>288</v>
      </c>
      <c r="C529" s="3" t="s">
        <v>45</v>
      </c>
      <c r="D529" s="3" t="s">
        <v>289</v>
      </c>
      <c r="E529" s="3" t="s">
        <v>290</v>
      </c>
      <c r="F529" s="3"/>
      <c r="G529" s="3"/>
      <c r="H529" s="3" t="s">
        <v>13</v>
      </c>
      <c r="I529" s="3" t="s">
        <v>101</v>
      </c>
    </row>
    <row r="530" spans="1:9" s="5" customFormat="1" x14ac:dyDescent="0.35">
      <c r="A530" s="3" t="s">
        <v>8</v>
      </c>
      <c r="B530" s="3" t="s">
        <v>288</v>
      </c>
      <c r="C530" s="3" t="s">
        <v>42</v>
      </c>
      <c r="D530" s="3" t="s">
        <v>291</v>
      </c>
      <c r="E530" s="3" t="s">
        <v>12</v>
      </c>
      <c r="F530" s="3"/>
      <c r="G530" s="3"/>
      <c r="H530" s="3"/>
      <c r="I530" s="3"/>
    </row>
    <row r="531" spans="1:9" s="5" customFormat="1" x14ac:dyDescent="0.35">
      <c r="A531" s="3" t="s">
        <v>8</v>
      </c>
      <c r="B531" s="3" t="s">
        <v>288</v>
      </c>
      <c r="C531" s="3" t="s">
        <v>42</v>
      </c>
      <c r="D531" s="3" t="s">
        <v>291</v>
      </c>
      <c r="E531" s="3" t="s">
        <v>25</v>
      </c>
      <c r="F531" s="3"/>
      <c r="G531" s="3"/>
      <c r="H531" s="3" t="s">
        <v>13</v>
      </c>
      <c r="I531" s="3" t="s">
        <v>293</v>
      </c>
    </row>
    <row r="532" spans="1:9" s="5" customFormat="1" x14ac:dyDescent="0.35">
      <c r="A532" s="3" t="s">
        <v>8</v>
      </c>
      <c r="B532" s="3" t="s">
        <v>288</v>
      </c>
      <c r="C532" s="3" t="s">
        <v>42</v>
      </c>
      <c r="D532" s="3" t="s">
        <v>291</v>
      </c>
      <c r="E532" s="3" t="s">
        <v>27</v>
      </c>
      <c r="F532" s="3"/>
      <c r="G532" s="3"/>
      <c r="H532" s="3" t="s">
        <v>13</v>
      </c>
      <c r="I532" s="3" t="s">
        <v>106</v>
      </c>
    </row>
    <row r="533" spans="1:9" s="5" customFormat="1" x14ac:dyDescent="0.35">
      <c r="A533" s="3" t="s">
        <v>8</v>
      </c>
      <c r="B533" s="3" t="s">
        <v>288</v>
      </c>
      <c r="C533" s="3" t="s">
        <v>42</v>
      </c>
      <c r="D533" s="3" t="s">
        <v>291</v>
      </c>
      <c r="E533" s="3" t="s">
        <v>56</v>
      </c>
      <c r="F533" s="3" t="s">
        <v>13</v>
      </c>
      <c r="G533" s="3" t="s">
        <v>292</v>
      </c>
      <c r="H533" s="3" t="s">
        <v>13</v>
      </c>
      <c r="I533" s="3" t="s">
        <v>293</v>
      </c>
    </row>
    <row r="534" spans="1:9" s="5" customFormat="1" x14ac:dyDescent="0.35">
      <c r="A534" s="3" t="s">
        <v>8</v>
      </c>
      <c r="B534" s="3" t="s">
        <v>288</v>
      </c>
      <c r="C534" s="3" t="s">
        <v>42</v>
      </c>
      <c r="D534" s="3" t="s">
        <v>291</v>
      </c>
      <c r="E534" s="3" t="s">
        <v>82</v>
      </c>
      <c r="F534" s="3" t="s">
        <v>13</v>
      </c>
      <c r="G534" s="3" t="s">
        <v>177</v>
      </c>
      <c r="H534" s="3" t="s">
        <v>13</v>
      </c>
      <c r="I534" s="3" t="s">
        <v>293</v>
      </c>
    </row>
    <row r="535" spans="1:9" s="5" customFormat="1" x14ac:dyDescent="0.35">
      <c r="A535" s="3" t="s">
        <v>8</v>
      </c>
      <c r="B535" s="3" t="s">
        <v>288</v>
      </c>
      <c r="C535" s="3" t="s">
        <v>45</v>
      </c>
      <c r="D535" s="3" t="s">
        <v>294</v>
      </c>
      <c r="E535" s="3" t="s">
        <v>77</v>
      </c>
      <c r="F535" s="3"/>
      <c r="G535" s="3"/>
      <c r="H535" s="3"/>
      <c r="I535" s="3"/>
    </row>
    <row r="536" spans="1:9" s="5" customFormat="1" x14ac:dyDescent="0.35">
      <c r="A536" s="3" t="s">
        <v>8</v>
      </c>
      <c r="B536" s="3" t="s">
        <v>288</v>
      </c>
      <c r="C536" s="3" t="s">
        <v>20</v>
      </c>
      <c r="D536" s="3" t="s">
        <v>295</v>
      </c>
      <c r="E536" s="3" t="s">
        <v>56</v>
      </c>
      <c r="F536" s="3"/>
      <c r="G536" s="3" t="s">
        <v>296</v>
      </c>
      <c r="H536" s="3" t="s">
        <v>13</v>
      </c>
      <c r="I536" s="3" t="s">
        <v>293</v>
      </c>
    </row>
    <row r="537" spans="1:9" s="5" customFormat="1" x14ac:dyDescent="0.35">
      <c r="A537" s="3" t="s">
        <v>8</v>
      </c>
      <c r="B537" s="3" t="s">
        <v>288</v>
      </c>
      <c r="C537" s="3" t="s">
        <v>20</v>
      </c>
      <c r="D537" s="3" t="s">
        <v>297</v>
      </c>
      <c r="E537" s="3" t="s">
        <v>23</v>
      </c>
      <c r="F537" s="3"/>
      <c r="G537" s="3"/>
      <c r="H537" s="3" t="s">
        <v>13</v>
      </c>
      <c r="I537" s="3" t="s">
        <v>293</v>
      </c>
    </row>
    <row r="538" spans="1:9" s="5" customFormat="1" x14ac:dyDescent="0.35">
      <c r="A538" s="3" t="s">
        <v>8</v>
      </c>
      <c r="B538" s="3" t="s">
        <v>288</v>
      </c>
      <c r="C538" s="3" t="s">
        <v>20</v>
      </c>
      <c r="D538" s="3" t="s">
        <v>297</v>
      </c>
      <c r="E538" s="3" t="s">
        <v>25</v>
      </c>
      <c r="F538" s="3"/>
      <c r="G538" s="3"/>
      <c r="H538" s="3" t="s">
        <v>13</v>
      </c>
      <c r="I538" s="3" t="s">
        <v>293</v>
      </c>
    </row>
    <row r="539" spans="1:9" s="5" customFormat="1" x14ac:dyDescent="0.35">
      <c r="A539" s="3" t="s">
        <v>8</v>
      </c>
      <c r="B539" s="3" t="s">
        <v>288</v>
      </c>
      <c r="C539" s="3" t="s">
        <v>20</v>
      </c>
      <c r="D539" s="3" t="s">
        <v>297</v>
      </c>
      <c r="E539" s="3" t="s">
        <v>60</v>
      </c>
      <c r="F539" s="3"/>
      <c r="G539" s="3"/>
      <c r="H539" s="3" t="s">
        <v>13</v>
      </c>
      <c r="I539" s="3" t="s">
        <v>293</v>
      </c>
    </row>
    <row r="540" spans="1:9" s="5" customFormat="1" x14ac:dyDescent="0.35">
      <c r="A540" s="3" t="s">
        <v>8</v>
      </c>
      <c r="B540" s="3" t="s">
        <v>288</v>
      </c>
      <c r="C540" s="3" t="s">
        <v>20</v>
      </c>
      <c r="D540" s="3" t="s">
        <v>297</v>
      </c>
      <c r="E540" s="3" t="s">
        <v>28</v>
      </c>
      <c r="F540" s="3"/>
      <c r="G540" s="3"/>
      <c r="H540" s="3" t="s">
        <v>13</v>
      </c>
      <c r="I540" s="3" t="s">
        <v>293</v>
      </c>
    </row>
    <row r="541" spans="1:9" s="5" customFormat="1" x14ac:dyDescent="0.35">
      <c r="A541" s="3" t="s">
        <v>8</v>
      </c>
      <c r="B541" s="3" t="s">
        <v>288</v>
      </c>
      <c r="C541" s="3" t="s">
        <v>20</v>
      </c>
      <c r="D541" s="3" t="s">
        <v>297</v>
      </c>
      <c r="E541" s="3" t="s">
        <v>56</v>
      </c>
      <c r="F541" s="3" t="s">
        <v>13</v>
      </c>
      <c r="G541" s="3" t="s">
        <v>298</v>
      </c>
      <c r="H541" s="3" t="s">
        <v>13</v>
      </c>
      <c r="I541" s="3" t="s">
        <v>293</v>
      </c>
    </row>
    <row r="542" spans="1:9" s="5" customFormat="1" x14ac:dyDescent="0.35">
      <c r="A542" s="3" t="s">
        <v>8</v>
      </c>
      <c r="B542" s="3" t="s">
        <v>288</v>
      </c>
      <c r="C542" s="3" t="s">
        <v>39</v>
      </c>
      <c r="D542" s="3" t="s">
        <v>299</v>
      </c>
      <c r="E542" s="3" t="s">
        <v>27</v>
      </c>
      <c r="F542" s="3" t="s">
        <v>16</v>
      </c>
      <c r="G542" s="3" t="s">
        <v>300</v>
      </c>
      <c r="H542" s="3" t="s">
        <v>13</v>
      </c>
      <c r="I542" s="3" t="s">
        <v>293</v>
      </c>
    </row>
    <row r="543" spans="1:9" s="5" customFormat="1" x14ac:dyDescent="0.35">
      <c r="A543" s="3" t="s">
        <v>8</v>
      </c>
      <c r="B543" s="3" t="s">
        <v>288</v>
      </c>
      <c r="C543" s="3" t="s">
        <v>39</v>
      </c>
      <c r="D543" s="3" t="s">
        <v>299</v>
      </c>
      <c r="E543" s="3" t="s">
        <v>77</v>
      </c>
      <c r="F543" s="3" t="s">
        <v>16</v>
      </c>
      <c r="G543" s="3" t="s">
        <v>300</v>
      </c>
      <c r="H543" s="3" t="s">
        <v>13</v>
      </c>
      <c r="I543" s="3" t="s">
        <v>293</v>
      </c>
    </row>
    <row r="544" spans="1:9" s="5" customFormat="1" x14ac:dyDescent="0.35">
      <c r="A544" s="3" t="s">
        <v>8</v>
      </c>
      <c r="B544" s="3" t="s">
        <v>288</v>
      </c>
      <c r="C544" s="3" t="s">
        <v>39</v>
      </c>
      <c r="D544" s="3" t="s">
        <v>299</v>
      </c>
      <c r="E544" s="3" t="s">
        <v>26</v>
      </c>
      <c r="F544" s="3" t="s">
        <v>16</v>
      </c>
      <c r="G544" s="3" t="s">
        <v>300</v>
      </c>
      <c r="H544" s="3" t="s">
        <v>13</v>
      </c>
      <c r="I544" s="3" t="s">
        <v>293</v>
      </c>
    </row>
    <row r="545" spans="1:9" s="5" customFormat="1" x14ac:dyDescent="0.35">
      <c r="A545" s="3" t="s">
        <v>8</v>
      </c>
      <c r="B545" s="3" t="s">
        <v>288</v>
      </c>
      <c r="C545" s="3" t="s">
        <v>39</v>
      </c>
      <c r="D545" s="3" t="s">
        <v>299</v>
      </c>
      <c r="E545" s="3" t="s">
        <v>134</v>
      </c>
      <c r="F545" s="3" t="s">
        <v>16</v>
      </c>
      <c r="G545" s="3" t="s">
        <v>300</v>
      </c>
      <c r="H545" s="3" t="s">
        <v>13</v>
      </c>
      <c r="I545" s="3" t="s">
        <v>293</v>
      </c>
    </row>
    <row r="546" spans="1:9" s="5" customFormat="1" x14ac:dyDescent="0.35">
      <c r="A546" s="3" t="s">
        <v>8</v>
      </c>
      <c r="B546" s="3" t="s">
        <v>288</v>
      </c>
      <c r="C546" s="3" t="s">
        <v>39</v>
      </c>
      <c r="D546" s="3" t="s">
        <v>299</v>
      </c>
      <c r="E546" s="3" t="s">
        <v>107</v>
      </c>
      <c r="F546" s="3" t="s">
        <v>16</v>
      </c>
      <c r="G546" s="3" t="s">
        <v>300</v>
      </c>
      <c r="H546" s="3" t="s">
        <v>13</v>
      </c>
      <c r="I546" s="3" t="s">
        <v>293</v>
      </c>
    </row>
    <row r="547" spans="1:9" s="5" customFormat="1" x14ac:dyDescent="0.35">
      <c r="A547" s="3" t="s">
        <v>8</v>
      </c>
      <c r="B547" s="3" t="s">
        <v>301</v>
      </c>
      <c r="C547" s="3" t="s">
        <v>302</v>
      </c>
      <c r="D547" s="3" t="s">
        <v>303</v>
      </c>
      <c r="E547" s="3" t="s">
        <v>12</v>
      </c>
      <c r="F547" s="3"/>
      <c r="G547" s="3"/>
      <c r="H547" s="3"/>
      <c r="I547" s="3"/>
    </row>
    <row r="548" spans="1:9" s="5" customFormat="1" x14ac:dyDescent="0.35">
      <c r="A548" s="3" t="s">
        <v>8</v>
      </c>
      <c r="B548" s="3" t="s">
        <v>301</v>
      </c>
      <c r="C548" s="3" t="s">
        <v>302</v>
      </c>
      <c r="D548" s="3" t="s">
        <v>303</v>
      </c>
      <c r="E548" s="3" t="s">
        <v>25</v>
      </c>
      <c r="F548" s="3"/>
      <c r="G548" s="3"/>
      <c r="H548" s="3"/>
      <c r="I548" s="3"/>
    </row>
    <row r="549" spans="1:9" s="5" customFormat="1" x14ac:dyDescent="0.35">
      <c r="A549" s="3" t="s">
        <v>8</v>
      </c>
      <c r="B549" s="3" t="s">
        <v>301</v>
      </c>
      <c r="C549" s="3" t="s">
        <v>302</v>
      </c>
      <c r="D549" s="3" t="s">
        <v>303</v>
      </c>
      <c r="E549" s="3" t="s">
        <v>142</v>
      </c>
      <c r="F549" s="3"/>
      <c r="G549" s="3"/>
      <c r="H549" s="3"/>
      <c r="I549" s="3"/>
    </row>
    <row r="550" spans="1:9" s="5" customFormat="1" x14ac:dyDescent="0.35">
      <c r="A550" s="3" t="s">
        <v>8</v>
      </c>
      <c r="B550" s="3" t="s">
        <v>301</v>
      </c>
      <c r="C550" s="3" t="s">
        <v>302</v>
      </c>
      <c r="D550" s="3" t="s">
        <v>303</v>
      </c>
      <c r="E550" s="3" t="s">
        <v>15</v>
      </c>
      <c r="F550" s="3" t="s">
        <v>16</v>
      </c>
      <c r="G550" s="3" t="s">
        <v>304</v>
      </c>
      <c r="H550" s="3"/>
      <c r="I550" s="3"/>
    </row>
    <row r="551" spans="1:9" s="5" customFormat="1" x14ac:dyDescent="0.35">
      <c r="A551" s="3" t="s">
        <v>8</v>
      </c>
      <c r="B551" s="3" t="s">
        <v>305</v>
      </c>
      <c r="C551" s="3" t="s">
        <v>20</v>
      </c>
      <c r="D551" s="3" t="s">
        <v>2633</v>
      </c>
      <c r="E551" s="3" t="s">
        <v>12</v>
      </c>
      <c r="F551" s="3"/>
      <c r="G551" s="3"/>
      <c r="H551" s="3"/>
      <c r="I551" s="3"/>
    </row>
    <row r="552" spans="1:9" s="5" customFormat="1" x14ac:dyDescent="0.35">
      <c r="A552" s="3" t="s">
        <v>8</v>
      </c>
      <c r="B552" s="3" t="s">
        <v>305</v>
      </c>
      <c r="C552" s="3" t="s">
        <v>20</v>
      </c>
      <c r="D552" s="3" t="s">
        <v>2633</v>
      </c>
      <c r="E552" s="3" t="s">
        <v>28</v>
      </c>
      <c r="F552" s="3"/>
      <c r="G552" s="3"/>
      <c r="H552" s="3"/>
      <c r="I552" s="3"/>
    </row>
    <row r="553" spans="1:9" s="5" customFormat="1" x14ac:dyDescent="0.35">
      <c r="A553" s="3" t="s">
        <v>8</v>
      </c>
      <c r="B553" s="3" t="s">
        <v>305</v>
      </c>
      <c r="C553" s="3" t="s">
        <v>20</v>
      </c>
      <c r="D553" s="3" t="s">
        <v>2633</v>
      </c>
      <c r="E553" s="3" t="s">
        <v>31</v>
      </c>
      <c r="F553" s="3" t="s">
        <v>33</v>
      </c>
      <c r="G553" s="3" t="s">
        <v>875</v>
      </c>
      <c r="H553" s="3"/>
      <c r="I553" s="3"/>
    </row>
    <row r="554" spans="1:9" s="5" customFormat="1" x14ac:dyDescent="0.35">
      <c r="A554" s="3" t="s">
        <v>8</v>
      </c>
      <c r="B554" s="3" t="s">
        <v>305</v>
      </c>
      <c r="C554" s="3" t="s">
        <v>20</v>
      </c>
      <c r="D554" s="3" t="s">
        <v>2633</v>
      </c>
      <c r="E554" s="3" t="s">
        <v>56</v>
      </c>
      <c r="F554" s="3" t="s">
        <v>33</v>
      </c>
      <c r="G554" s="3" t="s">
        <v>875</v>
      </c>
      <c r="H554" s="3"/>
      <c r="I554" s="3"/>
    </row>
    <row r="555" spans="1:9" s="5" customFormat="1" x14ac:dyDescent="0.35">
      <c r="A555" s="3" t="s">
        <v>8</v>
      </c>
      <c r="B555" s="3" t="s">
        <v>305</v>
      </c>
      <c r="C555" s="3" t="s">
        <v>20</v>
      </c>
      <c r="D555" s="3" t="s">
        <v>306</v>
      </c>
      <c r="E555" s="3" t="s">
        <v>12</v>
      </c>
      <c r="F555" s="3"/>
      <c r="G555" s="3"/>
      <c r="H555" s="3"/>
      <c r="I555" s="3"/>
    </row>
    <row r="556" spans="1:9" s="5" customFormat="1" x14ac:dyDescent="0.35">
      <c r="A556" s="3" t="s">
        <v>8</v>
      </c>
      <c r="B556" s="3" t="s">
        <v>305</v>
      </c>
      <c r="C556" s="3" t="s">
        <v>20</v>
      </c>
      <c r="D556" s="3" t="s">
        <v>306</v>
      </c>
      <c r="E556" s="3" t="s">
        <v>25</v>
      </c>
      <c r="F556" s="3"/>
      <c r="G556" s="3"/>
      <c r="H556" s="3"/>
      <c r="I556" s="3"/>
    </row>
    <row r="557" spans="1:9" s="5" customFormat="1" x14ac:dyDescent="0.35">
      <c r="A557" s="3" t="s">
        <v>8</v>
      </c>
      <c r="B557" s="3" t="s">
        <v>305</v>
      </c>
      <c r="C557" s="3" t="s">
        <v>20</v>
      </c>
      <c r="D557" s="3" t="s">
        <v>306</v>
      </c>
      <c r="E557" s="3" t="s">
        <v>142</v>
      </c>
      <c r="F557" s="3"/>
      <c r="G557" s="3"/>
      <c r="H557" s="3"/>
      <c r="I557" s="3"/>
    </row>
    <row r="558" spans="1:9" s="5" customFormat="1" x14ac:dyDescent="0.35">
      <c r="A558" s="3" t="s">
        <v>8</v>
      </c>
      <c r="B558" s="3" t="s">
        <v>305</v>
      </c>
      <c r="C558" s="3" t="s">
        <v>20</v>
      </c>
      <c r="D558" s="3" t="s">
        <v>306</v>
      </c>
      <c r="E558" s="3" t="s">
        <v>28</v>
      </c>
      <c r="F558" s="3"/>
      <c r="G558" s="3" t="s">
        <v>2961</v>
      </c>
      <c r="H558" s="3"/>
      <c r="I558" s="3"/>
    </row>
    <row r="559" spans="1:9" s="5" customFormat="1" x14ac:dyDescent="0.35">
      <c r="A559" s="3" t="s">
        <v>8</v>
      </c>
      <c r="B559" s="3" t="s">
        <v>305</v>
      </c>
      <c r="C559" s="3" t="s">
        <v>20</v>
      </c>
      <c r="D559" s="3" t="s">
        <v>306</v>
      </c>
      <c r="E559" s="3" t="s">
        <v>98</v>
      </c>
      <c r="F559" s="3"/>
      <c r="G559" s="3"/>
      <c r="H559" s="3"/>
      <c r="I559" s="3"/>
    </row>
    <row r="560" spans="1:9" s="5" customFormat="1" x14ac:dyDescent="0.35">
      <c r="A560" s="3" t="s">
        <v>8</v>
      </c>
      <c r="B560" s="3" t="s">
        <v>305</v>
      </c>
      <c r="C560" s="3" t="s">
        <v>20</v>
      </c>
      <c r="D560" s="3" t="s">
        <v>306</v>
      </c>
      <c r="E560" s="3" t="s">
        <v>31</v>
      </c>
      <c r="F560" s="3"/>
      <c r="G560" s="3"/>
      <c r="H560" s="3"/>
      <c r="I560" s="3"/>
    </row>
    <row r="561" spans="1:9" s="5" customFormat="1" x14ac:dyDescent="0.35">
      <c r="A561" s="3" t="s">
        <v>8</v>
      </c>
      <c r="B561" s="3" t="s">
        <v>305</v>
      </c>
      <c r="C561" s="3" t="s">
        <v>20</v>
      </c>
      <c r="D561" s="3" t="s">
        <v>306</v>
      </c>
      <c r="E561" s="3" t="s">
        <v>15</v>
      </c>
      <c r="F561" s="3" t="s">
        <v>16</v>
      </c>
      <c r="G561" s="3" t="s">
        <v>2963</v>
      </c>
      <c r="H561" s="3"/>
      <c r="I561" s="3"/>
    </row>
    <row r="562" spans="1:9" s="5" customFormat="1" x14ac:dyDescent="0.35">
      <c r="A562" s="3" t="s">
        <v>8</v>
      </c>
      <c r="B562" s="3" t="s">
        <v>305</v>
      </c>
      <c r="C562" s="3" t="s">
        <v>20</v>
      </c>
      <c r="D562" s="3" t="s">
        <v>306</v>
      </c>
      <c r="E562" s="3" t="s">
        <v>56</v>
      </c>
      <c r="F562" s="3" t="s">
        <v>13</v>
      </c>
      <c r="G562" s="3" t="s">
        <v>307</v>
      </c>
      <c r="H562" s="3"/>
      <c r="I562" s="3"/>
    </row>
    <row r="563" spans="1:9" s="5" customFormat="1" x14ac:dyDescent="0.35">
      <c r="A563" s="3" t="s">
        <v>8</v>
      </c>
      <c r="B563" s="3" t="s">
        <v>305</v>
      </c>
      <c r="C563" s="3" t="s">
        <v>20</v>
      </c>
      <c r="D563" s="3" t="s">
        <v>306</v>
      </c>
      <c r="E563" s="3" t="s">
        <v>24</v>
      </c>
      <c r="F563" s="3"/>
      <c r="G563" s="3" t="s">
        <v>2962</v>
      </c>
      <c r="H563" s="3"/>
      <c r="I563" s="3"/>
    </row>
    <row r="564" spans="1:9" s="5" customFormat="1" x14ac:dyDescent="0.35">
      <c r="A564" s="3" t="s">
        <v>8</v>
      </c>
      <c r="B564" s="3" t="s">
        <v>305</v>
      </c>
      <c r="C564" s="3" t="s">
        <v>20</v>
      </c>
      <c r="D564" s="3" t="s">
        <v>306</v>
      </c>
      <c r="E564" s="3" t="s">
        <v>134</v>
      </c>
      <c r="F564" s="3" t="s">
        <v>13</v>
      </c>
      <c r="G564" s="3" t="s">
        <v>308</v>
      </c>
      <c r="H564" s="3"/>
      <c r="I564" s="3"/>
    </row>
    <row r="565" spans="1:9" s="5" customFormat="1" x14ac:dyDescent="0.35">
      <c r="A565" s="3" t="s">
        <v>8</v>
      </c>
      <c r="B565" s="3" t="s">
        <v>305</v>
      </c>
      <c r="C565" s="3" t="s">
        <v>10</v>
      </c>
      <c r="D565" s="3" t="s">
        <v>309</v>
      </c>
      <c r="E565" s="3" t="s">
        <v>15</v>
      </c>
      <c r="F565" s="3" t="s">
        <v>16</v>
      </c>
      <c r="G565" s="3" t="s">
        <v>127</v>
      </c>
      <c r="H565" s="3"/>
      <c r="I565" s="3"/>
    </row>
    <row r="566" spans="1:9" s="5" customFormat="1" x14ac:dyDescent="0.35">
      <c r="A566" s="3" t="s">
        <v>8</v>
      </c>
      <c r="B566" s="3" t="s">
        <v>310</v>
      </c>
      <c r="C566" s="3" t="s">
        <v>20</v>
      </c>
      <c r="D566" s="3" t="s">
        <v>311</v>
      </c>
      <c r="E566" s="3" t="s">
        <v>12</v>
      </c>
      <c r="F566" s="3"/>
      <c r="G566" s="3"/>
      <c r="H566" s="3" t="s">
        <v>13</v>
      </c>
      <c r="I566" s="3" t="s">
        <v>312</v>
      </c>
    </row>
    <row r="567" spans="1:9" s="5" customFormat="1" x14ac:dyDescent="0.35">
      <c r="A567" s="3" t="s">
        <v>8</v>
      </c>
      <c r="B567" s="3" t="s">
        <v>310</v>
      </c>
      <c r="C567" s="3" t="s">
        <v>20</v>
      </c>
      <c r="D567" s="3" t="s">
        <v>311</v>
      </c>
      <c r="E567" s="3" t="s">
        <v>56</v>
      </c>
      <c r="F567" s="3"/>
      <c r="G567" s="3"/>
      <c r="H567" s="3" t="s">
        <v>13</v>
      </c>
      <c r="I567" s="3" t="s">
        <v>312</v>
      </c>
    </row>
    <row r="568" spans="1:9" s="5" customFormat="1" x14ac:dyDescent="0.35">
      <c r="A568" s="3" t="s">
        <v>8</v>
      </c>
      <c r="B568" s="3" t="s">
        <v>310</v>
      </c>
      <c r="C568" s="3" t="s">
        <v>20</v>
      </c>
      <c r="D568" s="3" t="s">
        <v>313</v>
      </c>
      <c r="E568" s="3" t="s">
        <v>27</v>
      </c>
      <c r="F568" s="3" t="s">
        <v>33</v>
      </c>
      <c r="G568" s="3" t="s">
        <v>314</v>
      </c>
      <c r="H568" s="3"/>
      <c r="I568" s="3"/>
    </row>
    <row r="569" spans="1:9" s="5" customFormat="1" x14ac:dyDescent="0.35">
      <c r="A569" s="3" t="s">
        <v>8</v>
      </c>
      <c r="B569" s="3" t="s">
        <v>310</v>
      </c>
      <c r="C569" s="3" t="s">
        <v>20</v>
      </c>
      <c r="D569" s="3" t="s">
        <v>313</v>
      </c>
      <c r="E569" s="3" t="s">
        <v>77</v>
      </c>
      <c r="F569" s="3" t="s">
        <v>33</v>
      </c>
      <c r="G569" s="3" t="s">
        <v>314</v>
      </c>
      <c r="H569" s="3"/>
      <c r="I569" s="3"/>
    </row>
    <row r="570" spans="1:9" s="5" customFormat="1" x14ac:dyDescent="0.35">
      <c r="A570" s="3" t="s">
        <v>8</v>
      </c>
      <c r="B570" s="3" t="s">
        <v>310</v>
      </c>
      <c r="C570" s="3" t="s">
        <v>20</v>
      </c>
      <c r="D570" s="3" t="s">
        <v>313</v>
      </c>
      <c r="E570" s="3" t="s">
        <v>28</v>
      </c>
      <c r="F570" s="3" t="s">
        <v>33</v>
      </c>
      <c r="G570" s="3" t="s">
        <v>314</v>
      </c>
      <c r="H570" s="3"/>
      <c r="I570" s="3"/>
    </row>
    <row r="571" spans="1:9" s="5" customFormat="1" x14ac:dyDescent="0.35">
      <c r="A571" s="3" t="s">
        <v>8</v>
      </c>
      <c r="B571" s="3" t="s">
        <v>310</v>
      </c>
      <c r="C571" s="3" t="s">
        <v>20</v>
      </c>
      <c r="D571" s="3" t="s">
        <v>313</v>
      </c>
      <c r="E571" s="3" t="s">
        <v>87</v>
      </c>
      <c r="F571" s="3" t="s">
        <v>33</v>
      </c>
      <c r="G571" s="3" t="s">
        <v>314</v>
      </c>
      <c r="H571" s="3"/>
      <c r="I571" s="3"/>
    </row>
    <row r="572" spans="1:9" s="5" customFormat="1" x14ac:dyDescent="0.35">
      <c r="A572" s="3" t="s">
        <v>8</v>
      </c>
      <c r="B572" s="3" t="s">
        <v>310</v>
      </c>
      <c r="C572" s="3" t="s">
        <v>20</v>
      </c>
      <c r="D572" s="3" t="s">
        <v>313</v>
      </c>
      <c r="E572" s="3" t="s">
        <v>15</v>
      </c>
      <c r="F572" s="3" t="s">
        <v>33</v>
      </c>
      <c r="G572" s="3" t="s">
        <v>314</v>
      </c>
      <c r="H572" s="3"/>
      <c r="I572" s="3"/>
    </row>
    <row r="573" spans="1:9" s="5" customFormat="1" x14ac:dyDescent="0.35">
      <c r="A573" s="3" t="s">
        <v>8</v>
      </c>
      <c r="B573" s="3" t="s">
        <v>310</v>
      </c>
      <c r="C573" s="3" t="s">
        <v>20</v>
      </c>
      <c r="D573" s="3" t="s">
        <v>313</v>
      </c>
      <c r="E573" s="3" t="s">
        <v>62</v>
      </c>
      <c r="F573" s="3" t="s">
        <v>33</v>
      </c>
      <c r="G573" s="3" t="s">
        <v>314</v>
      </c>
      <c r="H573" s="3"/>
      <c r="I573" s="3"/>
    </row>
    <row r="574" spans="1:9" s="5" customFormat="1" x14ac:dyDescent="0.35">
      <c r="A574" s="3" t="s">
        <v>8</v>
      </c>
      <c r="B574" s="3" t="s">
        <v>310</v>
      </c>
      <c r="C574" s="3" t="s">
        <v>20</v>
      </c>
      <c r="D574" s="3" t="s">
        <v>313</v>
      </c>
      <c r="E574" s="3" t="s">
        <v>24</v>
      </c>
      <c r="F574" s="3" t="s">
        <v>33</v>
      </c>
      <c r="G574" s="3" t="s">
        <v>314</v>
      </c>
      <c r="H574" s="3"/>
      <c r="I574" s="3"/>
    </row>
    <row r="575" spans="1:9" s="5" customFormat="1" x14ac:dyDescent="0.35">
      <c r="A575" s="3" t="s">
        <v>8</v>
      </c>
      <c r="B575" s="3" t="s">
        <v>310</v>
      </c>
      <c r="C575" s="3" t="s">
        <v>20</v>
      </c>
      <c r="D575" s="3" t="s">
        <v>313</v>
      </c>
      <c r="E575" s="3" t="s">
        <v>134</v>
      </c>
      <c r="F575" s="3" t="s">
        <v>33</v>
      </c>
      <c r="G575" s="3" t="s">
        <v>314</v>
      </c>
      <c r="H575" s="3"/>
      <c r="I575" s="3"/>
    </row>
    <row r="576" spans="1:9" s="5" customFormat="1" x14ac:dyDescent="0.35">
      <c r="A576" s="3" t="s">
        <v>8</v>
      </c>
      <c r="B576" s="3" t="s">
        <v>310</v>
      </c>
      <c r="C576" s="3" t="s">
        <v>42</v>
      </c>
      <c r="D576" s="3" t="s">
        <v>315</v>
      </c>
      <c r="E576" s="3" t="s">
        <v>36</v>
      </c>
      <c r="F576" s="3" t="s">
        <v>33</v>
      </c>
      <c r="G576" s="3" t="s">
        <v>314</v>
      </c>
      <c r="H576" s="3" t="s">
        <v>13</v>
      </c>
      <c r="I576" s="3" t="s">
        <v>316</v>
      </c>
    </row>
    <row r="577" spans="1:9" s="5" customFormat="1" x14ac:dyDescent="0.35">
      <c r="A577" s="3" t="s">
        <v>8</v>
      </c>
      <c r="B577" s="3" t="s">
        <v>310</v>
      </c>
      <c r="C577" s="3" t="s">
        <v>42</v>
      </c>
      <c r="D577" s="3" t="s">
        <v>315</v>
      </c>
      <c r="E577" s="3" t="s">
        <v>27</v>
      </c>
      <c r="F577" s="3"/>
      <c r="G577" s="3"/>
      <c r="H577" s="3" t="s">
        <v>13</v>
      </c>
      <c r="I577" s="3" t="s">
        <v>316</v>
      </c>
    </row>
    <row r="578" spans="1:9" s="5" customFormat="1" x14ac:dyDescent="0.35">
      <c r="A578" s="3" t="s">
        <v>8</v>
      </c>
      <c r="B578" s="3" t="s">
        <v>310</v>
      </c>
      <c r="C578" s="3" t="s">
        <v>42</v>
      </c>
      <c r="D578" s="3" t="s">
        <v>315</v>
      </c>
      <c r="E578" s="3" t="s">
        <v>77</v>
      </c>
      <c r="F578" s="3"/>
      <c r="G578" s="3"/>
      <c r="H578" s="3" t="s">
        <v>13</v>
      </c>
      <c r="I578" s="3" t="s">
        <v>316</v>
      </c>
    </row>
    <row r="579" spans="1:9" s="5" customFormat="1" x14ac:dyDescent="0.35">
      <c r="A579" s="3" t="s">
        <v>8</v>
      </c>
      <c r="B579" s="3" t="s">
        <v>310</v>
      </c>
      <c r="C579" s="3" t="s">
        <v>42</v>
      </c>
      <c r="D579" s="3" t="s">
        <v>315</v>
      </c>
      <c r="E579" s="3" t="s">
        <v>44</v>
      </c>
      <c r="F579" s="3"/>
      <c r="G579" s="3"/>
      <c r="H579" s="3" t="s">
        <v>13</v>
      </c>
      <c r="I579" s="3" t="s">
        <v>316</v>
      </c>
    </row>
    <row r="580" spans="1:9" s="5" customFormat="1" x14ac:dyDescent="0.35">
      <c r="A580" s="3" t="s">
        <v>8</v>
      </c>
      <c r="B580" s="3" t="s">
        <v>310</v>
      </c>
      <c r="C580" s="3" t="s">
        <v>42</v>
      </c>
      <c r="D580" s="3" t="s">
        <v>315</v>
      </c>
      <c r="E580" s="3" t="s">
        <v>87</v>
      </c>
      <c r="F580" s="3"/>
      <c r="G580" s="3"/>
      <c r="H580" s="3" t="s">
        <v>13</v>
      </c>
      <c r="I580" s="3" t="s">
        <v>316</v>
      </c>
    </row>
    <row r="581" spans="1:9" s="5" customFormat="1" x14ac:dyDescent="0.35">
      <c r="A581" s="3" t="s">
        <v>8</v>
      </c>
      <c r="B581" s="3" t="s">
        <v>310</v>
      </c>
      <c r="C581" s="3" t="s">
        <v>42</v>
      </c>
      <c r="D581" s="3" t="s">
        <v>315</v>
      </c>
      <c r="E581" s="3" t="s">
        <v>15</v>
      </c>
      <c r="F581" s="3" t="s">
        <v>13</v>
      </c>
      <c r="G581" s="3" t="s">
        <v>317</v>
      </c>
      <c r="H581" s="3" t="s">
        <v>13</v>
      </c>
      <c r="I581" s="3" t="s">
        <v>316</v>
      </c>
    </row>
    <row r="582" spans="1:9" s="5" customFormat="1" x14ac:dyDescent="0.35">
      <c r="A582" s="3" t="s">
        <v>8</v>
      </c>
      <c r="B582" s="3" t="s">
        <v>310</v>
      </c>
      <c r="C582" s="3" t="s">
        <v>42</v>
      </c>
      <c r="D582" s="3" t="s">
        <v>315</v>
      </c>
      <c r="E582" s="3" t="s">
        <v>37</v>
      </c>
      <c r="F582" s="3"/>
      <c r="G582" s="3" t="s">
        <v>2448</v>
      </c>
      <c r="H582" s="3" t="s">
        <v>13</v>
      </c>
      <c r="I582" s="3" t="s">
        <v>316</v>
      </c>
    </row>
    <row r="583" spans="1:9" s="5" customFormat="1" x14ac:dyDescent="0.35">
      <c r="A583" s="3" t="s">
        <v>8</v>
      </c>
      <c r="B583" s="3" t="s">
        <v>310</v>
      </c>
      <c r="C583" s="3" t="s">
        <v>42</v>
      </c>
      <c r="D583" s="3" t="s">
        <v>315</v>
      </c>
      <c r="E583" s="3" t="s">
        <v>29</v>
      </c>
      <c r="F583" s="3" t="s">
        <v>13</v>
      </c>
      <c r="G583" s="3" t="s">
        <v>2449</v>
      </c>
      <c r="H583" s="3" t="s">
        <v>13</v>
      </c>
      <c r="I583" s="3" t="s">
        <v>316</v>
      </c>
    </row>
    <row r="584" spans="1:9" s="5" customFormat="1" x14ac:dyDescent="0.35">
      <c r="A584" s="3" t="s">
        <v>8</v>
      </c>
      <c r="B584" s="3" t="s">
        <v>310</v>
      </c>
      <c r="C584" s="3" t="s">
        <v>42</v>
      </c>
      <c r="D584" s="3" t="s">
        <v>315</v>
      </c>
      <c r="E584" s="3" t="s">
        <v>134</v>
      </c>
      <c r="F584" s="3" t="s">
        <v>13</v>
      </c>
      <c r="G584" s="3" t="s">
        <v>318</v>
      </c>
      <c r="H584" s="3" t="s">
        <v>13</v>
      </c>
      <c r="I584" s="3" t="s">
        <v>316</v>
      </c>
    </row>
    <row r="585" spans="1:9" s="5" customFormat="1" x14ac:dyDescent="0.35">
      <c r="A585" s="3" t="s">
        <v>8</v>
      </c>
      <c r="B585" s="3" t="s">
        <v>319</v>
      </c>
      <c r="C585" s="3" t="s">
        <v>42</v>
      </c>
      <c r="D585" s="3" t="s">
        <v>320</v>
      </c>
      <c r="E585" s="3" t="s">
        <v>12</v>
      </c>
      <c r="F585" s="3"/>
      <c r="G585" s="3"/>
      <c r="H585" s="3"/>
      <c r="I585" s="3"/>
    </row>
    <row r="586" spans="1:9" s="5" customFormat="1" x14ac:dyDescent="0.35">
      <c r="A586" s="3" t="s">
        <v>8</v>
      </c>
      <c r="B586" s="3" t="s">
        <v>319</v>
      </c>
      <c r="C586" s="3" t="s">
        <v>42</v>
      </c>
      <c r="D586" s="3" t="s">
        <v>320</v>
      </c>
      <c r="E586" s="3" t="s">
        <v>36</v>
      </c>
      <c r="F586" s="3" t="s">
        <v>33</v>
      </c>
      <c r="G586" s="3" t="s">
        <v>314</v>
      </c>
      <c r="H586" s="3"/>
      <c r="I586" s="3"/>
    </row>
    <row r="587" spans="1:9" s="5" customFormat="1" x14ac:dyDescent="0.35">
      <c r="A587" s="3" t="s">
        <v>8</v>
      </c>
      <c r="B587" s="3" t="s">
        <v>319</v>
      </c>
      <c r="C587" s="3" t="s">
        <v>42</v>
      </c>
      <c r="D587" s="3" t="s">
        <v>320</v>
      </c>
      <c r="E587" s="3" t="s">
        <v>15</v>
      </c>
      <c r="F587" s="3" t="s">
        <v>13</v>
      </c>
      <c r="G587" s="3" t="s">
        <v>321</v>
      </c>
      <c r="H587" s="3"/>
      <c r="I587" s="3"/>
    </row>
    <row r="588" spans="1:9" s="5" customFormat="1" x14ac:dyDescent="0.35">
      <c r="A588" s="3" t="s">
        <v>8</v>
      </c>
      <c r="B588" s="3" t="s">
        <v>319</v>
      </c>
      <c r="C588" s="3" t="s">
        <v>42</v>
      </c>
      <c r="D588" s="3" t="s">
        <v>320</v>
      </c>
      <c r="E588" s="3" t="s">
        <v>24</v>
      </c>
      <c r="F588" s="3"/>
      <c r="G588" s="3"/>
      <c r="H588" s="3"/>
      <c r="I588" s="3"/>
    </row>
    <row r="589" spans="1:9" s="5" customFormat="1" x14ac:dyDescent="0.35">
      <c r="A589" s="3" t="s">
        <v>8</v>
      </c>
      <c r="B589" s="3" t="s">
        <v>319</v>
      </c>
      <c r="C589" s="3" t="s">
        <v>42</v>
      </c>
      <c r="D589" s="3" t="s">
        <v>320</v>
      </c>
      <c r="E589" s="3" t="s">
        <v>107</v>
      </c>
      <c r="F589" s="3" t="s">
        <v>16</v>
      </c>
      <c r="G589" s="3" t="s">
        <v>2830</v>
      </c>
      <c r="H589" s="3"/>
      <c r="I589" s="3"/>
    </row>
    <row r="590" spans="1:9" s="5" customFormat="1" x14ac:dyDescent="0.35">
      <c r="A590" s="3" t="s">
        <v>8</v>
      </c>
      <c r="B590" s="3" t="s">
        <v>319</v>
      </c>
      <c r="C590" s="3" t="s">
        <v>20</v>
      </c>
      <c r="D590" s="3" t="s">
        <v>322</v>
      </c>
      <c r="E590" s="3" t="s">
        <v>12</v>
      </c>
      <c r="F590" s="3"/>
      <c r="G590" s="3"/>
      <c r="H590" s="3"/>
      <c r="I590" s="3"/>
    </row>
    <row r="591" spans="1:9" s="5" customFormat="1" x14ac:dyDescent="0.35">
      <c r="A591" s="3" t="s">
        <v>8</v>
      </c>
      <c r="B591" s="3" t="s">
        <v>319</v>
      </c>
      <c r="C591" s="3" t="s">
        <v>20</v>
      </c>
      <c r="D591" s="3" t="s">
        <v>322</v>
      </c>
      <c r="E591" s="3" t="s">
        <v>60</v>
      </c>
      <c r="F591" s="3"/>
      <c r="G591" s="3"/>
      <c r="H591" s="3"/>
      <c r="I591" s="3"/>
    </row>
    <row r="592" spans="1:9" s="5" customFormat="1" x14ac:dyDescent="0.35">
      <c r="A592" s="3" t="s">
        <v>8</v>
      </c>
      <c r="B592" s="3" t="s">
        <v>319</v>
      </c>
      <c r="C592" s="3" t="s">
        <v>20</v>
      </c>
      <c r="D592" s="3" t="s">
        <v>322</v>
      </c>
      <c r="E592" s="3" t="s">
        <v>27</v>
      </c>
      <c r="F592" s="3"/>
      <c r="G592" s="3"/>
      <c r="H592" s="3"/>
      <c r="I592" s="3"/>
    </row>
    <row r="593" spans="1:9" s="5" customFormat="1" x14ac:dyDescent="0.35">
      <c r="A593" s="3" t="s">
        <v>8</v>
      </c>
      <c r="B593" s="3" t="s">
        <v>319</v>
      </c>
      <c r="C593" s="3" t="s">
        <v>20</v>
      </c>
      <c r="D593" s="3" t="s">
        <v>322</v>
      </c>
      <c r="E593" s="3" t="s">
        <v>77</v>
      </c>
      <c r="F593" s="3"/>
      <c r="G593" s="3"/>
      <c r="H593" s="3"/>
      <c r="I593" s="3"/>
    </row>
    <row r="594" spans="1:9" s="5" customFormat="1" x14ac:dyDescent="0.35">
      <c r="A594" s="3" t="s">
        <v>8</v>
      </c>
      <c r="B594" s="3" t="s">
        <v>319</v>
      </c>
      <c r="C594" s="3" t="s">
        <v>20</v>
      </c>
      <c r="D594" s="3" t="s">
        <v>322</v>
      </c>
      <c r="E594" s="3" t="s">
        <v>87</v>
      </c>
      <c r="F594" s="3"/>
      <c r="G594" s="3"/>
      <c r="H594" s="3"/>
      <c r="I594" s="3"/>
    </row>
    <row r="595" spans="1:9" s="5" customFormat="1" x14ac:dyDescent="0.35">
      <c r="A595" s="3" t="s">
        <v>8</v>
      </c>
      <c r="B595" s="3" t="s">
        <v>319</v>
      </c>
      <c r="C595" s="3" t="s">
        <v>20</v>
      </c>
      <c r="D595" s="3" t="s">
        <v>322</v>
      </c>
      <c r="E595" s="3" t="s">
        <v>15</v>
      </c>
      <c r="F595" s="3"/>
      <c r="G595" s="3"/>
      <c r="H595" s="3"/>
      <c r="I595" s="3"/>
    </row>
    <row r="596" spans="1:9" s="5" customFormat="1" x14ac:dyDescent="0.35">
      <c r="A596" s="3" t="s">
        <v>8</v>
      </c>
      <c r="B596" s="3" t="s">
        <v>319</v>
      </c>
      <c r="C596" s="3" t="s">
        <v>20</v>
      </c>
      <c r="D596" s="3" t="s">
        <v>322</v>
      </c>
      <c r="E596" s="3" t="s">
        <v>134</v>
      </c>
      <c r="F596" s="3"/>
      <c r="G596" s="3"/>
      <c r="H596" s="3"/>
      <c r="I596" s="3"/>
    </row>
    <row r="597" spans="1:9" s="5" customFormat="1" x14ac:dyDescent="0.35">
      <c r="A597" s="3" t="s">
        <v>8</v>
      </c>
      <c r="B597" s="3" t="s">
        <v>323</v>
      </c>
      <c r="C597" s="3" t="s">
        <v>42</v>
      </c>
      <c r="D597" s="3" t="s">
        <v>324</v>
      </c>
      <c r="E597" s="3" t="s">
        <v>12</v>
      </c>
      <c r="F597" s="3"/>
      <c r="G597" s="3"/>
      <c r="H597" s="3"/>
      <c r="I597" s="3"/>
    </row>
    <row r="598" spans="1:9" s="5" customFormat="1" x14ac:dyDescent="0.35">
      <c r="A598" s="3" t="s">
        <v>8</v>
      </c>
      <c r="B598" s="3" t="s">
        <v>323</v>
      </c>
      <c r="C598" s="3" t="s">
        <v>42</v>
      </c>
      <c r="D598" s="3" t="s">
        <v>324</v>
      </c>
      <c r="E598" s="3" t="s">
        <v>25</v>
      </c>
      <c r="F598" s="3"/>
      <c r="G598" s="3"/>
      <c r="H598" s="3"/>
      <c r="I598" s="3"/>
    </row>
    <row r="599" spans="1:9" s="5" customFormat="1" x14ac:dyDescent="0.35">
      <c r="A599" s="3" t="s">
        <v>8</v>
      </c>
      <c r="B599" s="3" t="s">
        <v>323</v>
      </c>
      <c r="C599" s="3" t="s">
        <v>42</v>
      </c>
      <c r="D599" s="3" t="s">
        <v>324</v>
      </c>
      <c r="E599" s="3" t="s">
        <v>141</v>
      </c>
      <c r="F599" s="3" t="s">
        <v>13</v>
      </c>
      <c r="G599" s="3" t="s">
        <v>325</v>
      </c>
      <c r="H599" s="3"/>
      <c r="I599" s="3"/>
    </row>
    <row r="600" spans="1:9" s="5" customFormat="1" x14ac:dyDescent="0.35">
      <c r="A600" s="3" t="s">
        <v>8</v>
      </c>
      <c r="B600" s="3" t="s">
        <v>323</v>
      </c>
      <c r="C600" s="3" t="s">
        <v>42</v>
      </c>
      <c r="D600" s="3" t="s">
        <v>324</v>
      </c>
      <c r="E600" s="3" t="s">
        <v>142</v>
      </c>
      <c r="F600" s="3"/>
      <c r="G600" s="3"/>
      <c r="H600" s="3"/>
      <c r="I600" s="3"/>
    </row>
    <row r="601" spans="1:9" s="5" customFormat="1" x14ac:dyDescent="0.35">
      <c r="A601" s="3" t="s">
        <v>8</v>
      </c>
      <c r="B601" s="3" t="s">
        <v>323</v>
      </c>
      <c r="C601" s="3" t="s">
        <v>42</v>
      </c>
      <c r="D601" s="3" t="s">
        <v>324</v>
      </c>
      <c r="E601" s="3" t="s">
        <v>28</v>
      </c>
      <c r="F601" s="3"/>
      <c r="G601" s="3" t="s">
        <v>2331</v>
      </c>
      <c r="H601" s="3"/>
      <c r="I601" s="3"/>
    </row>
    <row r="602" spans="1:9" s="5" customFormat="1" x14ac:dyDescent="0.35">
      <c r="A602" s="3" t="s">
        <v>8</v>
      </c>
      <c r="B602" s="3" t="s">
        <v>323</v>
      </c>
      <c r="C602" s="3" t="s">
        <v>42</v>
      </c>
      <c r="D602" s="3" t="s">
        <v>324</v>
      </c>
      <c r="E602" s="3" t="s">
        <v>87</v>
      </c>
      <c r="F602" s="3"/>
      <c r="G602" s="3"/>
      <c r="H602" s="3"/>
      <c r="I602" s="3"/>
    </row>
    <row r="603" spans="1:9" s="5" customFormat="1" x14ac:dyDescent="0.35">
      <c r="A603" s="3" t="s">
        <v>8</v>
      </c>
      <c r="B603" s="3" t="s">
        <v>323</v>
      </c>
      <c r="C603" s="3" t="s">
        <v>42</v>
      </c>
      <c r="D603" s="3" t="s">
        <v>324</v>
      </c>
      <c r="E603" s="3" t="s">
        <v>15</v>
      </c>
      <c r="F603" s="3" t="s">
        <v>13</v>
      </c>
      <c r="G603" s="3" t="s">
        <v>326</v>
      </c>
      <c r="H603" s="3"/>
      <c r="I603" s="3"/>
    </row>
    <row r="604" spans="1:9" s="5" customFormat="1" x14ac:dyDescent="0.35">
      <c r="A604" s="3" t="s">
        <v>8</v>
      </c>
      <c r="B604" s="3" t="s">
        <v>323</v>
      </c>
      <c r="C604" s="3" t="s">
        <v>42</v>
      </c>
      <c r="D604" s="3" t="s">
        <v>324</v>
      </c>
      <c r="E604" s="3" t="s">
        <v>57</v>
      </c>
      <c r="F604" s="3"/>
      <c r="G604" s="3"/>
      <c r="H604" s="3"/>
      <c r="I604" s="3"/>
    </row>
    <row r="605" spans="1:9" s="5" customFormat="1" x14ac:dyDescent="0.35">
      <c r="A605" s="3" t="s">
        <v>8</v>
      </c>
      <c r="B605" s="3" t="s">
        <v>323</v>
      </c>
      <c r="C605" s="3" t="s">
        <v>42</v>
      </c>
      <c r="D605" s="3" t="s">
        <v>324</v>
      </c>
      <c r="E605" s="3" t="s">
        <v>89</v>
      </c>
      <c r="F605" s="3"/>
      <c r="G605" s="3" t="s">
        <v>2328</v>
      </c>
      <c r="H605" s="3"/>
      <c r="I605" s="3"/>
    </row>
    <row r="606" spans="1:9" s="5" customFormat="1" x14ac:dyDescent="0.35">
      <c r="A606" s="3" t="s">
        <v>8</v>
      </c>
      <c r="B606" s="3" t="s">
        <v>323</v>
      </c>
      <c r="C606" s="3" t="s">
        <v>42</v>
      </c>
      <c r="D606" s="3" t="s">
        <v>324</v>
      </c>
      <c r="E606" s="3" t="s">
        <v>32</v>
      </c>
      <c r="F606" s="3"/>
      <c r="G606" s="3" t="s">
        <v>2329</v>
      </c>
      <c r="H606" s="3"/>
      <c r="I606" s="3"/>
    </row>
    <row r="607" spans="1:9" s="5" customFormat="1" x14ac:dyDescent="0.35">
      <c r="A607" s="3" t="s">
        <v>8</v>
      </c>
      <c r="B607" s="3" t="s">
        <v>323</v>
      </c>
      <c r="C607" s="3" t="s">
        <v>42</v>
      </c>
      <c r="D607" s="3" t="s">
        <v>324</v>
      </c>
      <c r="E607" s="3" t="s">
        <v>29</v>
      </c>
      <c r="F607" s="3"/>
      <c r="G607" s="3"/>
      <c r="H607" s="3"/>
      <c r="I607" s="3"/>
    </row>
    <row r="608" spans="1:9" s="5" customFormat="1" x14ac:dyDescent="0.35">
      <c r="A608" s="3" t="s">
        <v>8</v>
      </c>
      <c r="B608" s="3" t="s">
        <v>323</v>
      </c>
      <c r="C608" s="3" t="s">
        <v>42</v>
      </c>
      <c r="D608" s="3" t="s">
        <v>324</v>
      </c>
      <c r="E608" s="3" t="s">
        <v>134</v>
      </c>
      <c r="F608" s="3"/>
      <c r="G608" s="3"/>
      <c r="H608" s="3"/>
      <c r="I608" s="3"/>
    </row>
    <row r="609" spans="1:9" s="5" customFormat="1" x14ac:dyDescent="0.35">
      <c r="A609" s="3" t="s">
        <v>8</v>
      </c>
      <c r="B609" s="3" t="s">
        <v>323</v>
      </c>
      <c r="C609" s="3" t="s">
        <v>42</v>
      </c>
      <c r="D609" s="3" t="s">
        <v>324</v>
      </c>
      <c r="E609" s="3" t="s">
        <v>327</v>
      </c>
      <c r="F609" s="3"/>
      <c r="G609" s="3"/>
      <c r="H609" s="3"/>
      <c r="I609" s="3"/>
    </row>
    <row r="610" spans="1:9" s="5" customFormat="1" x14ac:dyDescent="0.35">
      <c r="A610" s="3" t="s">
        <v>8</v>
      </c>
      <c r="B610" s="3" t="s">
        <v>323</v>
      </c>
      <c r="C610" s="3" t="s">
        <v>42</v>
      </c>
      <c r="D610" s="3" t="s">
        <v>324</v>
      </c>
      <c r="E610" s="3" t="s">
        <v>107</v>
      </c>
      <c r="F610" s="3" t="s">
        <v>13</v>
      </c>
      <c r="G610" s="3" t="s">
        <v>2330</v>
      </c>
      <c r="H610" s="3"/>
      <c r="I610" s="3"/>
    </row>
    <row r="611" spans="1:9" s="5" customFormat="1" x14ac:dyDescent="0.35">
      <c r="A611" s="3" t="s">
        <v>8</v>
      </c>
      <c r="B611" s="3" t="s">
        <v>323</v>
      </c>
      <c r="C611" s="3" t="s">
        <v>39</v>
      </c>
      <c r="D611" s="3" t="s">
        <v>328</v>
      </c>
      <c r="E611" s="3" t="s">
        <v>57</v>
      </c>
      <c r="F611" s="3"/>
      <c r="G611" s="3"/>
      <c r="H611" s="3"/>
      <c r="I611" s="3"/>
    </row>
    <row r="612" spans="1:9" s="5" customFormat="1" x14ac:dyDescent="0.35">
      <c r="A612" s="3" t="s">
        <v>8</v>
      </c>
      <c r="B612" s="3" t="s">
        <v>323</v>
      </c>
      <c r="C612" s="3" t="s">
        <v>20</v>
      </c>
      <c r="D612" s="3" t="s">
        <v>329</v>
      </c>
      <c r="E612" s="3" t="s">
        <v>25</v>
      </c>
      <c r="F612" s="3"/>
      <c r="G612" s="3"/>
      <c r="H612" s="3"/>
      <c r="I612" s="3"/>
    </row>
    <row r="613" spans="1:9" s="5" customFormat="1" x14ac:dyDescent="0.35">
      <c r="A613" s="3" t="s">
        <v>8</v>
      </c>
      <c r="B613" s="3" t="s">
        <v>323</v>
      </c>
      <c r="C613" s="3" t="s">
        <v>20</v>
      </c>
      <c r="D613" s="3" t="s">
        <v>329</v>
      </c>
      <c r="E613" s="3" t="s">
        <v>15</v>
      </c>
      <c r="F613" s="3" t="s">
        <v>13</v>
      </c>
      <c r="G613" s="3" t="s">
        <v>330</v>
      </c>
      <c r="H613" s="3"/>
      <c r="I613" s="3"/>
    </row>
    <row r="614" spans="1:9" s="5" customFormat="1" x14ac:dyDescent="0.35">
      <c r="A614" s="3" t="s">
        <v>8</v>
      </c>
      <c r="B614" s="3" t="s">
        <v>323</v>
      </c>
      <c r="C614" s="3" t="s">
        <v>39</v>
      </c>
      <c r="D614" s="3" t="s">
        <v>331</v>
      </c>
      <c r="E614" s="3" t="s">
        <v>47</v>
      </c>
      <c r="F614" s="3"/>
      <c r="G614" s="3"/>
      <c r="H614" s="3"/>
      <c r="I614" s="3"/>
    </row>
    <row r="615" spans="1:9" s="5" customFormat="1" x14ac:dyDescent="0.35">
      <c r="A615" s="3" t="s">
        <v>8</v>
      </c>
      <c r="B615" s="3" t="s">
        <v>323</v>
      </c>
      <c r="C615" s="3" t="s">
        <v>39</v>
      </c>
      <c r="D615" s="3" t="s">
        <v>331</v>
      </c>
      <c r="E615" s="3" t="s">
        <v>25</v>
      </c>
      <c r="F615" s="3"/>
      <c r="G615" s="3"/>
      <c r="H615" s="3"/>
      <c r="I615" s="3"/>
    </row>
    <row r="616" spans="1:9" s="5" customFormat="1" x14ac:dyDescent="0.35">
      <c r="A616" s="3" t="s">
        <v>8</v>
      </c>
      <c r="B616" s="3" t="s">
        <v>323</v>
      </c>
      <c r="C616" s="3" t="s">
        <v>39</v>
      </c>
      <c r="D616" s="3" t="s">
        <v>331</v>
      </c>
      <c r="E616" s="3" t="s">
        <v>77</v>
      </c>
      <c r="F616" s="3"/>
      <c r="G616" s="3"/>
      <c r="H616" s="3"/>
      <c r="I616" s="3"/>
    </row>
    <row r="617" spans="1:9" s="5" customFormat="1" x14ac:dyDescent="0.35">
      <c r="A617" s="3" t="s">
        <v>8</v>
      </c>
      <c r="B617" s="3" t="s">
        <v>323</v>
      </c>
      <c r="C617" s="3" t="s">
        <v>39</v>
      </c>
      <c r="D617" s="3" t="s">
        <v>331</v>
      </c>
      <c r="E617" s="3" t="s">
        <v>87</v>
      </c>
      <c r="F617" s="3"/>
      <c r="G617" s="3"/>
      <c r="H617" s="3"/>
      <c r="I617" s="3"/>
    </row>
    <row r="618" spans="1:9" s="5" customFormat="1" x14ac:dyDescent="0.35">
      <c r="A618" s="3" t="s">
        <v>8</v>
      </c>
      <c r="B618" s="3" t="s">
        <v>323</v>
      </c>
      <c r="C618" s="3" t="s">
        <v>39</v>
      </c>
      <c r="D618" s="3" t="s">
        <v>331</v>
      </c>
      <c r="E618" s="3" t="s">
        <v>15</v>
      </c>
      <c r="F618" s="3" t="s">
        <v>16</v>
      </c>
      <c r="G618" s="3" t="s">
        <v>2957</v>
      </c>
      <c r="H618" s="3"/>
      <c r="I618" s="3"/>
    </row>
    <row r="619" spans="1:9" s="5" customFormat="1" x14ac:dyDescent="0.35">
      <c r="A619" s="3" t="s">
        <v>8</v>
      </c>
      <c r="B619" s="3" t="s">
        <v>323</v>
      </c>
      <c r="C619" s="3" t="s">
        <v>39</v>
      </c>
      <c r="D619" s="3" t="s">
        <v>331</v>
      </c>
      <c r="E619" s="3" t="s">
        <v>32</v>
      </c>
      <c r="F619" s="3" t="s">
        <v>16</v>
      </c>
      <c r="G619" s="3" t="s">
        <v>2958</v>
      </c>
      <c r="H619" s="3"/>
      <c r="I619" s="3"/>
    </row>
    <row r="620" spans="1:9" s="5" customFormat="1" x14ac:dyDescent="0.35">
      <c r="A620" s="3" t="s">
        <v>8</v>
      </c>
      <c r="B620" s="3" t="s">
        <v>323</v>
      </c>
      <c r="C620" s="3" t="s">
        <v>39</v>
      </c>
      <c r="D620" s="3" t="s">
        <v>331</v>
      </c>
      <c r="E620" s="3" t="s">
        <v>134</v>
      </c>
      <c r="F620" s="3" t="s">
        <v>13</v>
      </c>
      <c r="G620" s="3" t="s">
        <v>332</v>
      </c>
      <c r="H620" s="3"/>
      <c r="I620" s="3"/>
    </row>
    <row r="621" spans="1:9" s="5" customFormat="1" x14ac:dyDescent="0.35">
      <c r="A621" s="3" t="s">
        <v>8</v>
      </c>
      <c r="B621" s="3" t="s">
        <v>323</v>
      </c>
      <c r="C621" s="3" t="s">
        <v>45</v>
      </c>
      <c r="D621" s="3" t="s">
        <v>333</v>
      </c>
      <c r="E621" s="3" t="s">
        <v>77</v>
      </c>
      <c r="F621" s="3"/>
      <c r="G621" s="3"/>
      <c r="H621" s="3"/>
      <c r="I621" s="3"/>
    </row>
    <row r="622" spans="1:9" s="5" customFormat="1" x14ac:dyDescent="0.35">
      <c r="A622" s="3" t="s">
        <v>8</v>
      </c>
      <c r="B622" s="3" t="s">
        <v>323</v>
      </c>
      <c r="C622" s="3" t="s">
        <v>45</v>
      </c>
      <c r="D622" s="3" t="s">
        <v>2765</v>
      </c>
      <c r="E622" s="3" t="s">
        <v>24</v>
      </c>
      <c r="F622" s="3"/>
      <c r="G622" s="3"/>
      <c r="H622" s="3"/>
      <c r="I622" s="3"/>
    </row>
    <row r="623" spans="1:9" s="5" customFormat="1" x14ac:dyDescent="0.35">
      <c r="A623" s="3" t="s">
        <v>8</v>
      </c>
      <c r="B623" s="3" t="s">
        <v>323</v>
      </c>
      <c r="C623" s="3" t="s">
        <v>20</v>
      </c>
      <c r="D623" s="3" t="s">
        <v>334</v>
      </c>
      <c r="E623" s="3" t="s">
        <v>12</v>
      </c>
      <c r="F623" s="3" t="s">
        <v>33</v>
      </c>
      <c r="G623" s="3" t="s">
        <v>335</v>
      </c>
      <c r="H623" s="3"/>
      <c r="I623" s="3"/>
    </row>
    <row r="624" spans="1:9" s="5" customFormat="1" x14ac:dyDescent="0.35">
      <c r="A624" s="3" t="s">
        <v>8</v>
      </c>
      <c r="B624" s="3" t="s">
        <v>323</v>
      </c>
      <c r="C624" s="3" t="s">
        <v>20</v>
      </c>
      <c r="D624" s="3" t="s">
        <v>334</v>
      </c>
      <c r="E624" s="3" t="s">
        <v>25</v>
      </c>
      <c r="F624" s="3" t="s">
        <v>33</v>
      </c>
      <c r="G624" s="3" t="s">
        <v>335</v>
      </c>
      <c r="H624" s="3"/>
      <c r="I624" s="3"/>
    </row>
    <row r="625" spans="1:9" s="5" customFormat="1" x14ac:dyDescent="0.35">
      <c r="A625" s="3" t="s">
        <v>8</v>
      </c>
      <c r="B625" s="3" t="s">
        <v>323</v>
      </c>
      <c r="C625" s="3" t="s">
        <v>20</v>
      </c>
      <c r="D625" s="3" t="s">
        <v>334</v>
      </c>
      <c r="E625" s="3" t="s">
        <v>28</v>
      </c>
      <c r="F625" s="3" t="s">
        <v>33</v>
      </c>
      <c r="G625" s="3" t="s">
        <v>335</v>
      </c>
      <c r="H625" s="3"/>
      <c r="I625" s="3"/>
    </row>
    <row r="626" spans="1:9" s="5" customFormat="1" x14ac:dyDescent="0.35">
      <c r="A626" s="3" t="s">
        <v>8</v>
      </c>
      <c r="B626" s="3" t="s">
        <v>323</v>
      </c>
      <c r="C626" s="3" t="s">
        <v>20</v>
      </c>
      <c r="D626" s="3" t="s">
        <v>334</v>
      </c>
      <c r="E626" s="3" t="s">
        <v>57</v>
      </c>
      <c r="F626" s="3" t="s">
        <v>33</v>
      </c>
      <c r="G626" s="3" t="s">
        <v>335</v>
      </c>
      <c r="H626" s="3"/>
      <c r="I626" s="3"/>
    </row>
    <row r="627" spans="1:9" s="5" customFormat="1" x14ac:dyDescent="0.35">
      <c r="A627" s="3" t="s">
        <v>8</v>
      </c>
      <c r="B627" s="3" t="s">
        <v>323</v>
      </c>
      <c r="C627" s="3" t="s">
        <v>20</v>
      </c>
      <c r="D627" s="3" t="s">
        <v>334</v>
      </c>
      <c r="E627" s="3" t="s">
        <v>89</v>
      </c>
      <c r="F627" s="3" t="s">
        <v>33</v>
      </c>
      <c r="G627" s="3" t="s">
        <v>335</v>
      </c>
      <c r="H627" s="3"/>
      <c r="I627" s="3"/>
    </row>
    <row r="628" spans="1:9" s="5" customFormat="1" x14ac:dyDescent="0.35">
      <c r="A628" s="3" t="s">
        <v>8</v>
      </c>
      <c r="B628" s="3" t="s">
        <v>323</v>
      </c>
      <c r="C628" s="3" t="s">
        <v>20</v>
      </c>
      <c r="D628" s="3" t="s">
        <v>334</v>
      </c>
      <c r="E628" s="3" t="s">
        <v>32</v>
      </c>
      <c r="F628" s="3" t="s">
        <v>33</v>
      </c>
      <c r="G628" s="3" t="s">
        <v>335</v>
      </c>
      <c r="H628" s="3"/>
      <c r="I628" s="3"/>
    </row>
    <row r="629" spans="1:9" s="5" customFormat="1" x14ac:dyDescent="0.35">
      <c r="A629" s="3" t="s">
        <v>8</v>
      </c>
      <c r="B629" s="3" t="s">
        <v>323</v>
      </c>
      <c r="C629" s="3" t="s">
        <v>20</v>
      </c>
      <c r="D629" s="3" t="s">
        <v>334</v>
      </c>
      <c r="E629" s="3" t="s">
        <v>134</v>
      </c>
      <c r="F629" s="3" t="s">
        <v>33</v>
      </c>
      <c r="G629" s="3" t="s">
        <v>335</v>
      </c>
      <c r="H629" s="3"/>
      <c r="I629" s="3"/>
    </row>
    <row r="630" spans="1:9" s="5" customFormat="1" x14ac:dyDescent="0.35">
      <c r="A630" s="3" t="s">
        <v>8</v>
      </c>
      <c r="B630" s="3" t="s">
        <v>323</v>
      </c>
      <c r="C630" s="3" t="s">
        <v>20</v>
      </c>
      <c r="D630" s="3" t="s">
        <v>334</v>
      </c>
      <c r="E630" s="3" t="s">
        <v>327</v>
      </c>
      <c r="F630" s="3" t="s">
        <v>33</v>
      </c>
      <c r="G630" s="3" t="s">
        <v>335</v>
      </c>
      <c r="H630" s="3"/>
      <c r="I630" s="3"/>
    </row>
    <row r="631" spans="1:9" s="5" customFormat="1" x14ac:dyDescent="0.35">
      <c r="A631" s="3" t="s">
        <v>8</v>
      </c>
      <c r="B631" s="3" t="s">
        <v>323</v>
      </c>
      <c r="C631" s="3" t="s">
        <v>20</v>
      </c>
      <c r="D631" s="3" t="s">
        <v>334</v>
      </c>
      <c r="E631" s="3" t="s">
        <v>107</v>
      </c>
      <c r="F631" s="3" t="s">
        <v>33</v>
      </c>
      <c r="G631" s="3" t="s">
        <v>335</v>
      </c>
      <c r="H631" s="3"/>
      <c r="I631" s="3"/>
    </row>
    <row r="632" spans="1:9" s="5" customFormat="1" x14ac:dyDescent="0.35">
      <c r="A632" s="3" t="s">
        <v>8</v>
      </c>
      <c r="B632" s="3" t="s">
        <v>323</v>
      </c>
      <c r="C632" s="3" t="s">
        <v>302</v>
      </c>
      <c r="D632" s="3" t="s">
        <v>336</v>
      </c>
      <c r="E632" s="3" t="s">
        <v>12</v>
      </c>
      <c r="F632" s="3"/>
      <c r="G632" s="3"/>
      <c r="H632" s="3"/>
      <c r="I632" s="3"/>
    </row>
    <row r="633" spans="1:9" s="5" customFormat="1" x14ac:dyDescent="0.35">
      <c r="A633" s="3" t="s">
        <v>8</v>
      </c>
      <c r="B633" s="3" t="s">
        <v>323</v>
      </c>
      <c r="C633" s="3" t="s">
        <v>302</v>
      </c>
      <c r="D633" s="3" t="s">
        <v>336</v>
      </c>
      <c r="E633" s="3" t="s">
        <v>60</v>
      </c>
      <c r="F633" s="3" t="s">
        <v>16</v>
      </c>
      <c r="G633" s="3" t="s">
        <v>2715</v>
      </c>
      <c r="H633" s="3"/>
      <c r="I633" s="3"/>
    </row>
    <row r="634" spans="1:9" s="5" customFormat="1" x14ac:dyDescent="0.35">
      <c r="A634" s="3" t="s">
        <v>8</v>
      </c>
      <c r="B634" s="3" t="s">
        <v>323</v>
      </c>
      <c r="C634" s="3" t="s">
        <v>302</v>
      </c>
      <c r="D634" s="3" t="s">
        <v>336</v>
      </c>
      <c r="E634" s="3" t="s">
        <v>15</v>
      </c>
      <c r="F634" s="3"/>
      <c r="G634" s="3"/>
      <c r="H634" s="3"/>
      <c r="I634" s="3"/>
    </row>
    <row r="635" spans="1:9" s="5" customFormat="1" x14ac:dyDescent="0.35">
      <c r="A635" s="3" t="s">
        <v>8</v>
      </c>
      <c r="B635" s="3" t="s">
        <v>323</v>
      </c>
      <c r="C635" s="3" t="s">
        <v>10</v>
      </c>
      <c r="D635" s="3" t="s">
        <v>2891</v>
      </c>
      <c r="E635" s="3" t="s">
        <v>15</v>
      </c>
      <c r="F635" s="3" t="s">
        <v>16</v>
      </c>
      <c r="G635" s="3" t="s">
        <v>2892</v>
      </c>
      <c r="H635" s="3"/>
      <c r="I635" s="3"/>
    </row>
    <row r="636" spans="1:9" s="5" customFormat="1" x14ac:dyDescent="0.35">
      <c r="A636" s="3" t="s">
        <v>8</v>
      </c>
      <c r="B636" s="3" t="s">
        <v>323</v>
      </c>
      <c r="C636" s="3" t="s">
        <v>10</v>
      </c>
      <c r="D636" s="3" t="s">
        <v>2891</v>
      </c>
      <c r="E636" s="3" t="s">
        <v>134</v>
      </c>
      <c r="F636" s="3" t="s">
        <v>16</v>
      </c>
      <c r="G636" s="3" t="s">
        <v>2893</v>
      </c>
      <c r="H636" s="3"/>
      <c r="I636" s="3"/>
    </row>
    <row r="637" spans="1:9" s="5" customFormat="1" x14ac:dyDescent="0.35">
      <c r="A637" s="3" t="s">
        <v>8</v>
      </c>
      <c r="B637" s="3" t="s">
        <v>323</v>
      </c>
      <c r="C637" s="3" t="s">
        <v>10</v>
      </c>
      <c r="D637" s="3" t="s">
        <v>2769</v>
      </c>
      <c r="E637" s="3" t="s">
        <v>12</v>
      </c>
      <c r="F637" s="3"/>
      <c r="G637" s="3"/>
      <c r="H637" s="3"/>
      <c r="I637" s="3"/>
    </row>
    <row r="638" spans="1:9" s="5" customFormat="1" x14ac:dyDescent="0.35">
      <c r="A638" s="3" t="s">
        <v>8</v>
      </c>
      <c r="B638" s="3" t="s">
        <v>323</v>
      </c>
      <c r="C638" s="3" t="s">
        <v>10</v>
      </c>
      <c r="D638" s="3" t="s">
        <v>2769</v>
      </c>
      <c r="E638" s="3" t="s">
        <v>47</v>
      </c>
      <c r="F638" s="3"/>
      <c r="G638" s="3"/>
      <c r="H638" s="3"/>
      <c r="I638" s="3"/>
    </row>
    <row r="639" spans="1:9" s="5" customFormat="1" x14ac:dyDescent="0.35">
      <c r="A639" s="3" t="s">
        <v>8</v>
      </c>
      <c r="B639" s="3" t="s">
        <v>323</v>
      </c>
      <c r="C639" s="3" t="s">
        <v>10</v>
      </c>
      <c r="D639" s="3" t="s">
        <v>2769</v>
      </c>
      <c r="E639" s="3" t="s">
        <v>28</v>
      </c>
      <c r="F639" s="3"/>
      <c r="G639" s="3"/>
      <c r="H639" s="3"/>
      <c r="I639" s="3"/>
    </row>
    <row r="640" spans="1:9" s="5" customFormat="1" x14ac:dyDescent="0.35">
      <c r="A640" s="3" t="s">
        <v>8</v>
      </c>
      <c r="B640" s="3" t="s">
        <v>323</v>
      </c>
      <c r="C640" s="3" t="s">
        <v>10</v>
      </c>
      <c r="D640" s="3" t="s">
        <v>2769</v>
      </c>
      <c r="E640" s="3" t="s">
        <v>15</v>
      </c>
      <c r="F640" s="3" t="s">
        <v>16</v>
      </c>
      <c r="G640" s="3" t="s">
        <v>2770</v>
      </c>
      <c r="H640" s="3"/>
      <c r="I640" s="3"/>
    </row>
    <row r="641" spans="1:9" s="5" customFormat="1" x14ac:dyDescent="0.35">
      <c r="A641" s="3" t="s">
        <v>8</v>
      </c>
      <c r="B641" s="3" t="s">
        <v>323</v>
      </c>
      <c r="C641" s="3" t="s">
        <v>10</v>
      </c>
      <c r="D641" s="3" t="s">
        <v>2769</v>
      </c>
      <c r="E641" s="3" t="s">
        <v>57</v>
      </c>
      <c r="F641" s="3"/>
      <c r="G641" s="3"/>
      <c r="H641" s="3"/>
      <c r="I641" s="3"/>
    </row>
    <row r="642" spans="1:9" s="5" customFormat="1" x14ac:dyDescent="0.35">
      <c r="A642" s="3" t="s">
        <v>8</v>
      </c>
      <c r="B642" s="3" t="s">
        <v>323</v>
      </c>
      <c r="C642" s="3" t="s">
        <v>45</v>
      </c>
      <c r="D642" s="3" t="s">
        <v>337</v>
      </c>
      <c r="E642" s="3" t="s">
        <v>47</v>
      </c>
      <c r="F642" s="3" t="s">
        <v>33</v>
      </c>
      <c r="G642" s="3" t="s">
        <v>2771</v>
      </c>
      <c r="H642" s="3"/>
      <c r="I642" s="3"/>
    </row>
    <row r="643" spans="1:9" s="5" customFormat="1" x14ac:dyDescent="0.35">
      <c r="A643" s="3" t="s">
        <v>8</v>
      </c>
      <c r="B643" s="3" t="s">
        <v>323</v>
      </c>
      <c r="C643" s="3" t="s">
        <v>45</v>
      </c>
      <c r="D643" s="3" t="s">
        <v>337</v>
      </c>
      <c r="E643" s="3" t="s">
        <v>25</v>
      </c>
      <c r="F643" s="3" t="s">
        <v>33</v>
      </c>
      <c r="G643" s="3" t="s">
        <v>2771</v>
      </c>
      <c r="H643" s="3"/>
      <c r="I643" s="3"/>
    </row>
    <row r="644" spans="1:9" s="5" customFormat="1" x14ac:dyDescent="0.35">
      <c r="A644" s="3" t="s">
        <v>8</v>
      </c>
      <c r="B644" s="3" t="s">
        <v>323</v>
      </c>
      <c r="C644" s="3" t="s">
        <v>45</v>
      </c>
      <c r="D644" s="3" t="s">
        <v>337</v>
      </c>
      <c r="E644" s="3" t="s">
        <v>60</v>
      </c>
      <c r="F644" s="3" t="s">
        <v>33</v>
      </c>
      <c r="G644" s="3" t="s">
        <v>2771</v>
      </c>
      <c r="H644" s="3"/>
      <c r="I644" s="3"/>
    </row>
    <row r="645" spans="1:9" s="5" customFormat="1" x14ac:dyDescent="0.35">
      <c r="A645" s="3" t="s">
        <v>8</v>
      </c>
      <c r="B645" s="3" t="s">
        <v>323</v>
      </c>
      <c r="C645" s="3" t="s">
        <v>45</v>
      </c>
      <c r="D645" s="3" t="s">
        <v>337</v>
      </c>
      <c r="E645" s="3" t="s">
        <v>242</v>
      </c>
      <c r="F645" s="3" t="s">
        <v>33</v>
      </c>
      <c r="G645" s="3" t="s">
        <v>2771</v>
      </c>
      <c r="H645" s="3"/>
      <c r="I645" s="3"/>
    </row>
    <row r="646" spans="1:9" s="5" customFormat="1" x14ac:dyDescent="0.35">
      <c r="A646" s="3" t="s">
        <v>8</v>
      </c>
      <c r="B646" s="3" t="s">
        <v>323</v>
      </c>
      <c r="C646" s="3" t="s">
        <v>45</v>
      </c>
      <c r="D646" s="3" t="s">
        <v>337</v>
      </c>
      <c r="E646" s="3" t="s">
        <v>15</v>
      </c>
      <c r="F646" s="3" t="s">
        <v>33</v>
      </c>
      <c r="G646" s="3" t="s">
        <v>2771</v>
      </c>
      <c r="H646" s="3"/>
      <c r="I646" s="3"/>
    </row>
    <row r="647" spans="1:9" s="5" customFormat="1" x14ac:dyDescent="0.35">
      <c r="A647" s="3" t="s">
        <v>8</v>
      </c>
      <c r="B647" s="3" t="s">
        <v>323</v>
      </c>
      <c r="C647" s="3" t="s">
        <v>45</v>
      </c>
      <c r="D647" s="3" t="s">
        <v>337</v>
      </c>
      <c r="E647" s="3" t="s">
        <v>56</v>
      </c>
      <c r="F647" s="3" t="s">
        <v>33</v>
      </c>
      <c r="G647" s="3" t="s">
        <v>2771</v>
      </c>
      <c r="H647" s="3"/>
      <c r="I647" s="3"/>
    </row>
    <row r="648" spans="1:9" s="5" customFormat="1" x14ac:dyDescent="0.35">
      <c r="A648" s="3" t="s">
        <v>8</v>
      </c>
      <c r="B648" s="3" t="s">
        <v>323</v>
      </c>
      <c r="C648" s="3" t="s">
        <v>45</v>
      </c>
      <c r="D648" s="3" t="s">
        <v>338</v>
      </c>
      <c r="E648" s="3" t="s">
        <v>87</v>
      </c>
      <c r="F648" s="3"/>
      <c r="G648" s="3"/>
      <c r="H648" s="3"/>
      <c r="I648" s="3"/>
    </row>
    <row r="649" spans="1:9" s="5" customFormat="1" x14ac:dyDescent="0.35">
      <c r="A649" s="3" t="s">
        <v>8</v>
      </c>
      <c r="B649" s="3" t="s">
        <v>323</v>
      </c>
      <c r="C649" s="3" t="s">
        <v>45</v>
      </c>
      <c r="D649" s="3" t="s">
        <v>339</v>
      </c>
      <c r="E649" s="3" t="s">
        <v>77</v>
      </c>
      <c r="F649" s="3"/>
      <c r="G649" s="3"/>
      <c r="H649" s="3"/>
      <c r="I649" s="3"/>
    </row>
    <row r="650" spans="1:9" s="5" customFormat="1" x14ac:dyDescent="0.35">
      <c r="A650" s="3" t="s">
        <v>8</v>
      </c>
      <c r="B650" s="3" t="s">
        <v>323</v>
      </c>
      <c r="C650" s="3" t="s">
        <v>45</v>
      </c>
      <c r="D650" s="3" t="s">
        <v>339</v>
      </c>
      <c r="E650" s="3" t="s">
        <v>28</v>
      </c>
      <c r="F650" s="3"/>
      <c r="G650" s="3"/>
      <c r="H650" s="3"/>
      <c r="I650" s="3"/>
    </row>
    <row r="651" spans="1:9" s="5" customFormat="1" x14ac:dyDescent="0.35">
      <c r="A651" s="3" t="s">
        <v>8</v>
      </c>
      <c r="B651" s="3" t="s">
        <v>323</v>
      </c>
      <c r="C651" s="3" t="s">
        <v>45</v>
      </c>
      <c r="D651" s="3" t="s">
        <v>339</v>
      </c>
      <c r="E651" s="3" t="s">
        <v>185</v>
      </c>
      <c r="F651" s="3"/>
      <c r="G651" s="3"/>
      <c r="H651" s="3"/>
      <c r="I651" s="3"/>
    </row>
    <row r="652" spans="1:9" s="5" customFormat="1" x14ac:dyDescent="0.35">
      <c r="A652" s="3" t="s">
        <v>8</v>
      </c>
      <c r="B652" s="3" t="s">
        <v>340</v>
      </c>
      <c r="C652" s="3" t="s">
        <v>39</v>
      </c>
      <c r="D652" s="3" t="s">
        <v>341</v>
      </c>
      <c r="E652" s="3" t="s">
        <v>25</v>
      </c>
      <c r="F652" s="3"/>
      <c r="G652" s="3"/>
      <c r="H652" s="3"/>
      <c r="I652" s="3"/>
    </row>
    <row r="653" spans="1:9" s="5" customFormat="1" x14ac:dyDescent="0.35">
      <c r="A653" s="3" t="s">
        <v>8</v>
      </c>
      <c r="B653" s="3" t="s">
        <v>340</v>
      </c>
      <c r="C653" s="3" t="s">
        <v>39</v>
      </c>
      <c r="D653" s="3" t="s">
        <v>341</v>
      </c>
      <c r="E653" s="3" t="s">
        <v>15</v>
      </c>
      <c r="F653" s="3" t="s">
        <v>13</v>
      </c>
      <c r="G653" s="3" t="s">
        <v>342</v>
      </c>
      <c r="H653" s="3"/>
      <c r="I653" s="3"/>
    </row>
    <row r="654" spans="1:9" s="5" customFormat="1" x14ac:dyDescent="0.35">
      <c r="A654" s="3" t="s">
        <v>8</v>
      </c>
      <c r="B654" s="3" t="s">
        <v>340</v>
      </c>
      <c r="C654" s="3" t="s">
        <v>39</v>
      </c>
      <c r="D654" s="3" t="s">
        <v>343</v>
      </c>
      <c r="E654" s="3" t="s">
        <v>25</v>
      </c>
      <c r="F654" s="3" t="s">
        <v>13</v>
      </c>
      <c r="G654" s="3" t="s">
        <v>344</v>
      </c>
      <c r="H654" s="3"/>
      <c r="I654" s="3"/>
    </row>
    <row r="655" spans="1:9" s="5" customFormat="1" x14ac:dyDescent="0.35">
      <c r="A655" s="3" t="s">
        <v>8</v>
      </c>
      <c r="B655" s="3" t="s">
        <v>340</v>
      </c>
      <c r="C655" s="3" t="s">
        <v>39</v>
      </c>
      <c r="D655" s="3" t="s">
        <v>343</v>
      </c>
      <c r="E655" s="3" t="s">
        <v>142</v>
      </c>
      <c r="F655" s="3" t="s">
        <v>13</v>
      </c>
      <c r="G655" s="3" t="s">
        <v>344</v>
      </c>
      <c r="H655" s="3"/>
      <c r="I655" s="3"/>
    </row>
    <row r="656" spans="1:9" s="5" customFormat="1" x14ac:dyDescent="0.35">
      <c r="A656" s="3" t="s">
        <v>8</v>
      </c>
      <c r="B656" s="3" t="s">
        <v>340</v>
      </c>
      <c r="C656" s="3" t="s">
        <v>20</v>
      </c>
      <c r="D656" s="3" t="s">
        <v>345</v>
      </c>
      <c r="E656" s="3" t="s">
        <v>25</v>
      </c>
      <c r="F656" s="3" t="s">
        <v>33</v>
      </c>
      <c r="G656" s="3" t="s">
        <v>346</v>
      </c>
      <c r="H656" s="3"/>
      <c r="I656" s="3"/>
    </row>
    <row r="657" spans="1:9" s="5" customFormat="1" x14ac:dyDescent="0.35">
      <c r="A657" s="3" t="s">
        <v>8</v>
      </c>
      <c r="B657" s="3" t="s">
        <v>340</v>
      </c>
      <c r="C657" s="3" t="s">
        <v>20</v>
      </c>
      <c r="D657" s="3" t="s">
        <v>345</v>
      </c>
      <c r="E657" s="3" t="s">
        <v>28</v>
      </c>
      <c r="F657" s="3" t="s">
        <v>33</v>
      </c>
      <c r="G657" s="3" t="s">
        <v>346</v>
      </c>
      <c r="H657" s="3"/>
      <c r="I657" s="3"/>
    </row>
    <row r="658" spans="1:9" s="5" customFormat="1" x14ac:dyDescent="0.35">
      <c r="A658" s="3" t="s">
        <v>8</v>
      </c>
      <c r="B658" s="3" t="s">
        <v>340</v>
      </c>
      <c r="C658" s="3" t="s">
        <v>20</v>
      </c>
      <c r="D658" s="3" t="s">
        <v>345</v>
      </c>
      <c r="E658" s="3" t="s">
        <v>31</v>
      </c>
      <c r="F658" s="3" t="s">
        <v>33</v>
      </c>
      <c r="G658" s="3" t="s">
        <v>346</v>
      </c>
      <c r="H658" s="3"/>
      <c r="I658" s="3"/>
    </row>
    <row r="659" spans="1:9" s="5" customFormat="1" x14ac:dyDescent="0.35">
      <c r="A659" s="3" t="s">
        <v>8</v>
      </c>
      <c r="B659" s="3" t="s">
        <v>340</v>
      </c>
      <c r="C659" s="3" t="s">
        <v>20</v>
      </c>
      <c r="D659" s="3" t="s">
        <v>347</v>
      </c>
      <c r="E659" s="3" t="s">
        <v>47</v>
      </c>
      <c r="F659" s="3"/>
      <c r="G659" s="3"/>
      <c r="H659" s="3"/>
      <c r="I659" s="3"/>
    </row>
    <row r="660" spans="1:9" s="5" customFormat="1" x14ac:dyDescent="0.35">
      <c r="A660" s="3" t="s">
        <v>8</v>
      </c>
      <c r="B660" s="3" t="s">
        <v>340</v>
      </c>
      <c r="C660" s="3" t="s">
        <v>20</v>
      </c>
      <c r="D660" s="3" t="s">
        <v>347</v>
      </c>
      <c r="E660" s="3" t="s">
        <v>25</v>
      </c>
      <c r="F660" s="3"/>
      <c r="G660" s="3"/>
      <c r="H660" s="3"/>
      <c r="I660" s="3"/>
    </row>
    <row r="661" spans="1:9" s="5" customFormat="1" x14ac:dyDescent="0.35">
      <c r="A661" s="3" t="s">
        <v>8</v>
      </c>
      <c r="B661" s="3" t="s">
        <v>340</v>
      </c>
      <c r="C661" s="3" t="s">
        <v>20</v>
      </c>
      <c r="D661" s="3" t="s">
        <v>347</v>
      </c>
      <c r="E661" s="3" t="s">
        <v>28</v>
      </c>
      <c r="F661" s="3"/>
      <c r="G661" s="3"/>
      <c r="H661" s="3"/>
      <c r="I661" s="3"/>
    </row>
    <row r="662" spans="1:9" s="5" customFormat="1" x14ac:dyDescent="0.35">
      <c r="A662" s="3" t="s">
        <v>8</v>
      </c>
      <c r="B662" s="3" t="s">
        <v>340</v>
      </c>
      <c r="C662" s="3" t="s">
        <v>20</v>
      </c>
      <c r="D662" s="3" t="s">
        <v>347</v>
      </c>
      <c r="E662" s="3" t="s">
        <v>31</v>
      </c>
      <c r="F662" s="3"/>
      <c r="G662" s="3"/>
      <c r="H662" s="3"/>
      <c r="I662" s="3"/>
    </row>
    <row r="663" spans="1:9" s="5" customFormat="1" x14ac:dyDescent="0.35">
      <c r="A663" s="3" t="s">
        <v>8</v>
      </c>
      <c r="B663" s="3" t="s">
        <v>340</v>
      </c>
      <c r="C663" s="3" t="s">
        <v>20</v>
      </c>
      <c r="D663" s="3" t="s">
        <v>347</v>
      </c>
      <c r="E663" s="3" t="s">
        <v>185</v>
      </c>
      <c r="F663" s="3"/>
      <c r="G663" s="3" t="s">
        <v>2345</v>
      </c>
      <c r="H663" s="3"/>
      <c r="I663" s="3"/>
    </row>
    <row r="664" spans="1:9" s="5" customFormat="1" x14ac:dyDescent="0.35">
      <c r="A664" s="3" t="s">
        <v>8</v>
      </c>
      <c r="B664" s="3" t="s">
        <v>340</v>
      </c>
      <c r="C664" s="3" t="s">
        <v>20</v>
      </c>
      <c r="D664" s="3" t="s">
        <v>347</v>
      </c>
      <c r="E664" s="3" t="s">
        <v>15</v>
      </c>
      <c r="F664" s="3"/>
      <c r="G664" s="3"/>
      <c r="H664" s="3"/>
      <c r="I664" s="3"/>
    </row>
    <row r="665" spans="1:9" s="5" customFormat="1" x14ac:dyDescent="0.35">
      <c r="A665" s="3" t="s">
        <v>8</v>
      </c>
      <c r="B665" s="3" t="s">
        <v>340</v>
      </c>
      <c r="C665" s="3" t="s">
        <v>20</v>
      </c>
      <c r="D665" s="3" t="s">
        <v>347</v>
      </c>
      <c r="E665" s="3" t="s">
        <v>57</v>
      </c>
      <c r="F665" s="3"/>
      <c r="G665" s="3"/>
      <c r="H665" s="3"/>
      <c r="I665" s="3"/>
    </row>
    <row r="666" spans="1:9" s="5" customFormat="1" x14ac:dyDescent="0.35">
      <c r="A666" s="3" t="s">
        <v>8</v>
      </c>
      <c r="B666" s="3" t="s">
        <v>340</v>
      </c>
      <c r="C666" s="3" t="s">
        <v>20</v>
      </c>
      <c r="D666" s="3" t="s">
        <v>347</v>
      </c>
      <c r="E666" s="3" t="s">
        <v>29</v>
      </c>
      <c r="F666" s="3"/>
      <c r="G666" s="3"/>
      <c r="H666" s="3"/>
      <c r="I666" s="3"/>
    </row>
    <row r="667" spans="1:9" s="5" customFormat="1" x14ac:dyDescent="0.35">
      <c r="A667" s="3" t="s">
        <v>8</v>
      </c>
      <c r="B667" s="3" t="s">
        <v>340</v>
      </c>
      <c r="C667" s="3" t="s">
        <v>20</v>
      </c>
      <c r="D667" s="3" t="s">
        <v>348</v>
      </c>
      <c r="E667" s="3" t="s">
        <v>47</v>
      </c>
      <c r="F667" s="3" t="s">
        <v>33</v>
      </c>
      <c r="G667" s="3" t="s">
        <v>346</v>
      </c>
      <c r="H667" s="3"/>
      <c r="I667" s="3"/>
    </row>
    <row r="668" spans="1:9" s="5" customFormat="1" x14ac:dyDescent="0.35">
      <c r="A668" s="3" t="s">
        <v>8</v>
      </c>
      <c r="B668" s="3" t="s">
        <v>340</v>
      </c>
      <c r="C668" s="3" t="s">
        <v>20</v>
      </c>
      <c r="D668" s="3" t="s">
        <v>348</v>
      </c>
      <c r="E668" s="3" t="s">
        <v>25</v>
      </c>
      <c r="F668" s="3" t="s">
        <v>33</v>
      </c>
      <c r="G668" s="3" t="s">
        <v>346</v>
      </c>
      <c r="H668" s="3"/>
      <c r="I668" s="3"/>
    </row>
    <row r="669" spans="1:9" s="5" customFormat="1" x14ac:dyDescent="0.35">
      <c r="A669" s="3" t="s">
        <v>8</v>
      </c>
      <c r="B669" s="3" t="s">
        <v>340</v>
      </c>
      <c r="C669" s="3" t="s">
        <v>20</v>
      </c>
      <c r="D669" s="3" t="s">
        <v>348</v>
      </c>
      <c r="E669" s="3" t="s">
        <v>77</v>
      </c>
      <c r="F669" s="3" t="s">
        <v>33</v>
      </c>
      <c r="G669" s="3" t="s">
        <v>346</v>
      </c>
      <c r="H669" s="3"/>
      <c r="I669" s="3"/>
    </row>
    <row r="670" spans="1:9" s="5" customFormat="1" x14ac:dyDescent="0.35">
      <c r="A670" s="3" t="s">
        <v>8</v>
      </c>
      <c r="B670" s="3" t="s">
        <v>340</v>
      </c>
      <c r="C670" s="3" t="s">
        <v>20</v>
      </c>
      <c r="D670" s="3" t="s">
        <v>348</v>
      </c>
      <c r="E670" s="3" t="s">
        <v>28</v>
      </c>
      <c r="F670" s="3" t="s">
        <v>33</v>
      </c>
      <c r="G670" s="3" t="s">
        <v>346</v>
      </c>
      <c r="H670" s="3"/>
      <c r="I670" s="3"/>
    </row>
    <row r="671" spans="1:9" s="5" customFormat="1" x14ac:dyDescent="0.35">
      <c r="A671" s="3" t="s">
        <v>8</v>
      </c>
      <c r="B671" s="3" t="s">
        <v>340</v>
      </c>
      <c r="C671" s="3" t="s">
        <v>20</v>
      </c>
      <c r="D671" s="3" t="s">
        <v>348</v>
      </c>
      <c r="E671" s="3" t="s">
        <v>31</v>
      </c>
      <c r="F671" s="3" t="s">
        <v>33</v>
      </c>
      <c r="G671" s="3" t="s">
        <v>346</v>
      </c>
      <c r="H671" s="3"/>
      <c r="I671" s="3"/>
    </row>
    <row r="672" spans="1:9" s="5" customFormat="1" x14ac:dyDescent="0.35">
      <c r="A672" s="3" t="s">
        <v>8</v>
      </c>
      <c r="B672" s="3" t="s">
        <v>340</v>
      </c>
      <c r="C672" s="3" t="s">
        <v>20</v>
      </c>
      <c r="D672" s="3" t="s">
        <v>348</v>
      </c>
      <c r="E672" s="3" t="s">
        <v>185</v>
      </c>
      <c r="F672" s="3" t="s">
        <v>33</v>
      </c>
      <c r="G672" s="3" t="s">
        <v>346</v>
      </c>
      <c r="H672" s="3"/>
      <c r="I672" s="3"/>
    </row>
    <row r="673" spans="1:9" s="5" customFormat="1" x14ac:dyDescent="0.35">
      <c r="A673" s="3" t="s">
        <v>8</v>
      </c>
      <c r="B673" s="3" t="s">
        <v>340</v>
      </c>
      <c r="C673" s="3" t="s">
        <v>20</v>
      </c>
      <c r="D673" s="3" t="s">
        <v>348</v>
      </c>
      <c r="E673" s="3" t="s">
        <v>57</v>
      </c>
      <c r="F673" s="3" t="s">
        <v>33</v>
      </c>
      <c r="G673" s="3" t="s">
        <v>346</v>
      </c>
      <c r="H673" s="3"/>
      <c r="I673" s="3"/>
    </row>
    <row r="674" spans="1:9" s="5" customFormat="1" x14ac:dyDescent="0.35">
      <c r="A674" s="3" t="s">
        <v>8</v>
      </c>
      <c r="B674" s="3" t="s">
        <v>340</v>
      </c>
      <c r="C674" s="3" t="s">
        <v>20</v>
      </c>
      <c r="D674" s="3" t="s">
        <v>348</v>
      </c>
      <c r="E674" s="3" t="s">
        <v>32</v>
      </c>
      <c r="F674" s="3" t="s">
        <v>33</v>
      </c>
      <c r="G674" s="3" t="s">
        <v>346</v>
      </c>
      <c r="H674" s="3"/>
      <c r="I674" s="3"/>
    </row>
    <row r="675" spans="1:9" s="5" customFormat="1" x14ac:dyDescent="0.35">
      <c r="A675" s="3" t="s">
        <v>8</v>
      </c>
      <c r="B675" s="3" t="s">
        <v>340</v>
      </c>
      <c r="C675" s="3" t="s">
        <v>20</v>
      </c>
      <c r="D675" s="3" t="s">
        <v>348</v>
      </c>
      <c r="E675" s="3" t="s">
        <v>29</v>
      </c>
      <c r="F675" s="3" t="s">
        <v>33</v>
      </c>
      <c r="G675" s="3" t="s">
        <v>346</v>
      </c>
      <c r="H675" s="3"/>
      <c r="I675" s="3"/>
    </row>
    <row r="676" spans="1:9" s="5" customFormat="1" x14ac:dyDescent="0.35">
      <c r="A676" s="3" t="s">
        <v>8</v>
      </c>
      <c r="B676" s="3" t="s">
        <v>340</v>
      </c>
      <c r="C676" s="3" t="s">
        <v>20</v>
      </c>
      <c r="D676" s="3" t="s">
        <v>348</v>
      </c>
      <c r="E676" s="3" t="s">
        <v>152</v>
      </c>
      <c r="F676" s="3" t="s">
        <v>33</v>
      </c>
      <c r="G676" s="3" t="s">
        <v>346</v>
      </c>
      <c r="H676" s="3"/>
      <c r="I676" s="3"/>
    </row>
    <row r="677" spans="1:9" s="5" customFormat="1" x14ac:dyDescent="0.35">
      <c r="A677" s="3" t="s">
        <v>8</v>
      </c>
      <c r="B677" s="3" t="s">
        <v>340</v>
      </c>
      <c r="C677" s="3" t="s">
        <v>39</v>
      </c>
      <c r="D677" s="3" t="s">
        <v>349</v>
      </c>
      <c r="E677" s="3" t="s">
        <v>25</v>
      </c>
      <c r="F677" s="3"/>
      <c r="G677" s="3"/>
      <c r="H677" s="3"/>
      <c r="I677" s="3"/>
    </row>
    <row r="678" spans="1:9" s="5" customFormat="1" x14ac:dyDescent="0.35">
      <c r="A678" s="3" t="s">
        <v>8</v>
      </c>
      <c r="B678" s="3" t="s">
        <v>340</v>
      </c>
      <c r="C678" s="3" t="s">
        <v>39</v>
      </c>
      <c r="D678" s="3" t="s">
        <v>349</v>
      </c>
      <c r="E678" s="3" t="s">
        <v>56</v>
      </c>
      <c r="F678" s="3"/>
      <c r="G678" s="3"/>
      <c r="H678" s="3"/>
      <c r="I678" s="3"/>
    </row>
    <row r="679" spans="1:9" s="5" customFormat="1" x14ac:dyDescent="0.35">
      <c r="A679" s="3" t="s">
        <v>8</v>
      </c>
      <c r="B679" s="3" t="s">
        <v>340</v>
      </c>
      <c r="C679" s="3" t="s">
        <v>39</v>
      </c>
      <c r="D679" s="3" t="s">
        <v>350</v>
      </c>
      <c r="E679" s="3" t="s">
        <v>28</v>
      </c>
      <c r="F679" s="3"/>
      <c r="G679" s="3"/>
      <c r="H679" s="3"/>
      <c r="I679" s="3"/>
    </row>
    <row r="680" spans="1:9" s="5" customFormat="1" x14ac:dyDescent="0.35">
      <c r="A680" s="3" t="s">
        <v>8</v>
      </c>
      <c r="B680" s="3" t="s">
        <v>340</v>
      </c>
      <c r="C680" s="3" t="s">
        <v>39</v>
      </c>
      <c r="D680" s="3" t="s">
        <v>350</v>
      </c>
      <c r="E680" s="3" t="s">
        <v>29</v>
      </c>
      <c r="F680" s="3"/>
      <c r="G680" s="3"/>
      <c r="H680" s="3"/>
      <c r="I680" s="3"/>
    </row>
    <row r="681" spans="1:9" s="5" customFormat="1" x14ac:dyDescent="0.35">
      <c r="A681" s="3" t="s">
        <v>8</v>
      </c>
      <c r="B681" s="3" t="s">
        <v>340</v>
      </c>
      <c r="C681" s="3" t="s">
        <v>39</v>
      </c>
      <c r="D681" s="3" t="s">
        <v>351</v>
      </c>
      <c r="E681" s="3" t="s">
        <v>28</v>
      </c>
      <c r="F681" s="3"/>
      <c r="G681" s="3"/>
      <c r="H681" s="3"/>
      <c r="I681" s="3"/>
    </row>
    <row r="682" spans="1:9" s="5" customFormat="1" x14ac:dyDescent="0.35">
      <c r="A682" s="3" t="s">
        <v>8</v>
      </c>
      <c r="B682" s="3" t="s">
        <v>340</v>
      </c>
      <c r="C682" s="3" t="s">
        <v>39</v>
      </c>
      <c r="D682" s="3" t="s">
        <v>351</v>
      </c>
      <c r="E682" s="3" t="s">
        <v>31</v>
      </c>
      <c r="F682" s="3"/>
      <c r="G682" s="3"/>
      <c r="H682" s="3"/>
      <c r="I682" s="3"/>
    </row>
    <row r="683" spans="1:9" s="5" customFormat="1" x14ac:dyDescent="0.35">
      <c r="A683" s="3" t="s">
        <v>8</v>
      </c>
      <c r="B683" s="3" t="s">
        <v>340</v>
      </c>
      <c r="C683" s="3" t="s">
        <v>39</v>
      </c>
      <c r="D683" s="3" t="s">
        <v>351</v>
      </c>
      <c r="E683" s="3" t="s">
        <v>15</v>
      </c>
      <c r="F683" s="3" t="s">
        <v>13</v>
      </c>
      <c r="G683" s="3" t="s">
        <v>352</v>
      </c>
      <c r="H683" s="3"/>
      <c r="I683" s="3"/>
    </row>
    <row r="684" spans="1:9" s="5" customFormat="1" x14ac:dyDescent="0.35">
      <c r="A684" s="3" t="s">
        <v>8</v>
      </c>
      <c r="B684" s="3" t="s">
        <v>353</v>
      </c>
      <c r="C684" s="3" t="s">
        <v>10</v>
      </c>
      <c r="D684" s="3" t="s">
        <v>356</v>
      </c>
      <c r="E684" s="3" t="s">
        <v>23</v>
      </c>
      <c r="F684" s="3"/>
      <c r="G684" s="3"/>
      <c r="H684" s="3" t="s">
        <v>16</v>
      </c>
      <c r="I684" s="3" t="s">
        <v>357</v>
      </c>
    </row>
    <row r="685" spans="1:9" s="5" customFormat="1" x14ac:dyDescent="0.35">
      <c r="A685" s="3" t="s">
        <v>8</v>
      </c>
      <c r="B685" s="3" t="s">
        <v>353</v>
      </c>
      <c r="C685" s="3" t="s">
        <v>10</v>
      </c>
      <c r="D685" s="3" t="s">
        <v>356</v>
      </c>
      <c r="E685" s="3" t="s">
        <v>47</v>
      </c>
      <c r="F685" s="3"/>
      <c r="G685" s="3"/>
      <c r="H685" s="3" t="s">
        <v>16</v>
      </c>
      <c r="I685" s="3" t="s">
        <v>357</v>
      </c>
    </row>
    <row r="686" spans="1:9" s="5" customFormat="1" x14ac:dyDescent="0.35">
      <c r="A686" s="3" t="s">
        <v>8</v>
      </c>
      <c r="B686" s="3" t="s">
        <v>353</v>
      </c>
      <c r="C686" s="3" t="s">
        <v>10</v>
      </c>
      <c r="D686" s="3" t="s">
        <v>356</v>
      </c>
      <c r="E686" s="3" t="s">
        <v>87</v>
      </c>
      <c r="F686" s="3"/>
      <c r="G686" s="3"/>
      <c r="H686" s="3" t="s">
        <v>16</v>
      </c>
      <c r="I686" s="3" t="s">
        <v>357</v>
      </c>
    </row>
    <row r="687" spans="1:9" s="5" customFormat="1" x14ac:dyDescent="0.35">
      <c r="A687" s="3" t="s">
        <v>8</v>
      </c>
      <c r="B687" s="3" t="s">
        <v>353</v>
      </c>
      <c r="C687" s="3" t="s">
        <v>10</v>
      </c>
      <c r="D687" s="3" t="s">
        <v>356</v>
      </c>
      <c r="E687" s="3" t="s">
        <v>15</v>
      </c>
      <c r="F687" s="3" t="s">
        <v>16</v>
      </c>
      <c r="G687" s="3" t="s">
        <v>359</v>
      </c>
      <c r="H687" s="3" t="s">
        <v>16</v>
      </c>
      <c r="I687" s="3" t="s">
        <v>357</v>
      </c>
    </row>
    <row r="688" spans="1:9" s="5" customFormat="1" x14ac:dyDescent="0.35">
      <c r="A688" s="3" t="s">
        <v>8</v>
      </c>
      <c r="B688" s="3" t="s">
        <v>353</v>
      </c>
      <c r="C688" s="3" t="s">
        <v>10</v>
      </c>
      <c r="D688" s="3" t="s">
        <v>356</v>
      </c>
      <c r="E688" s="3" t="s">
        <v>57</v>
      </c>
      <c r="F688" s="3" t="s">
        <v>16</v>
      </c>
      <c r="G688" s="3" t="s">
        <v>358</v>
      </c>
      <c r="H688" s="3" t="s">
        <v>16</v>
      </c>
      <c r="I688" s="3" t="s">
        <v>355</v>
      </c>
    </row>
    <row r="689" spans="1:9" s="5" customFormat="1" x14ac:dyDescent="0.35">
      <c r="A689" s="3" t="s">
        <v>8</v>
      </c>
      <c r="B689" s="3" t="s">
        <v>353</v>
      </c>
      <c r="C689" s="3" t="s">
        <v>10</v>
      </c>
      <c r="D689" s="3" t="s">
        <v>356</v>
      </c>
      <c r="E689" s="3" t="s">
        <v>107</v>
      </c>
      <c r="F689" s="3" t="s">
        <v>16</v>
      </c>
      <c r="G689" s="3" t="s">
        <v>360</v>
      </c>
      <c r="H689" s="3" t="s">
        <v>16</v>
      </c>
      <c r="I689" s="3" t="s">
        <v>355</v>
      </c>
    </row>
    <row r="690" spans="1:9" s="5" customFormat="1" x14ac:dyDescent="0.35">
      <c r="A690" s="3" t="s">
        <v>8</v>
      </c>
      <c r="B690" s="3" t="s">
        <v>353</v>
      </c>
      <c r="C690" s="3" t="s">
        <v>10</v>
      </c>
      <c r="D690" s="3" t="s">
        <v>354</v>
      </c>
      <c r="E690" s="3" t="s">
        <v>142</v>
      </c>
      <c r="F690" s="3"/>
      <c r="G690" s="3"/>
      <c r="H690" s="3" t="s">
        <v>16</v>
      </c>
      <c r="I690" s="3" t="s">
        <v>355</v>
      </c>
    </row>
    <row r="691" spans="1:9" s="5" customFormat="1" x14ac:dyDescent="0.35">
      <c r="A691" s="3" t="s">
        <v>8</v>
      </c>
      <c r="B691" s="3" t="s">
        <v>353</v>
      </c>
      <c r="C691" s="3" t="s">
        <v>10</v>
      </c>
      <c r="D691" s="3" t="s">
        <v>361</v>
      </c>
      <c r="E691" s="3" t="s">
        <v>142</v>
      </c>
      <c r="F691" s="3"/>
      <c r="G691" s="3"/>
      <c r="H691" s="3" t="s">
        <v>16</v>
      </c>
      <c r="I691" s="3" t="s">
        <v>355</v>
      </c>
    </row>
    <row r="692" spans="1:9" s="5" customFormat="1" x14ac:dyDescent="0.35">
      <c r="A692" s="3" t="s">
        <v>8</v>
      </c>
      <c r="B692" s="3" t="s">
        <v>353</v>
      </c>
      <c r="C692" s="3" t="s">
        <v>10</v>
      </c>
      <c r="D692" s="3" t="s">
        <v>2986</v>
      </c>
      <c r="E692" s="3" t="s">
        <v>47</v>
      </c>
      <c r="F692" s="3" t="s">
        <v>16</v>
      </c>
      <c r="G692" s="3" t="s">
        <v>2987</v>
      </c>
      <c r="H692" s="3" t="s">
        <v>16</v>
      </c>
      <c r="I692" s="3" t="s">
        <v>355</v>
      </c>
    </row>
    <row r="693" spans="1:9" s="5" customFormat="1" x14ac:dyDescent="0.35">
      <c r="A693" s="3" t="s">
        <v>8</v>
      </c>
      <c r="B693" s="3" t="s">
        <v>353</v>
      </c>
      <c r="C693" s="3" t="s">
        <v>10</v>
      </c>
      <c r="D693" s="3" t="s">
        <v>362</v>
      </c>
      <c r="E693" s="3" t="s">
        <v>15</v>
      </c>
      <c r="F693" s="3" t="s">
        <v>16</v>
      </c>
      <c r="G693" s="3" t="s">
        <v>363</v>
      </c>
      <c r="H693" s="3" t="s">
        <v>16</v>
      </c>
      <c r="I693" s="3" t="s">
        <v>355</v>
      </c>
    </row>
    <row r="694" spans="1:9" s="5" customFormat="1" x14ac:dyDescent="0.35">
      <c r="A694" s="3" t="s">
        <v>8</v>
      </c>
      <c r="B694" s="3" t="s">
        <v>353</v>
      </c>
      <c r="C694" s="3" t="s">
        <v>10</v>
      </c>
      <c r="D694" s="3" t="s">
        <v>2614</v>
      </c>
      <c r="E694" s="3" t="s">
        <v>12</v>
      </c>
      <c r="F694" s="3"/>
      <c r="G694" s="3"/>
      <c r="H694" s="3" t="s">
        <v>16</v>
      </c>
      <c r="I694" s="3" t="s">
        <v>355</v>
      </c>
    </row>
    <row r="695" spans="1:9" s="5" customFormat="1" x14ac:dyDescent="0.35">
      <c r="A695" s="3" t="s">
        <v>8</v>
      </c>
      <c r="B695" s="3" t="s">
        <v>353</v>
      </c>
      <c r="C695" s="3" t="s">
        <v>10</v>
      </c>
      <c r="D695" s="3" t="s">
        <v>2614</v>
      </c>
      <c r="E695" s="3" t="s">
        <v>47</v>
      </c>
      <c r="F695" s="3" t="s">
        <v>16</v>
      </c>
      <c r="G695" s="3" t="s">
        <v>2615</v>
      </c>
      <c r="H695" s="3" t="s">
        <v>16</v>
      </c>
      <c r="I695" s="3" t="s">
        <v>355</v>
      </c>
    </row>
    <row r="696" spans="1:9" s="5" customFormat="1" x14ac:dyDescent="0.35">
      <c r="A696" s="3" t="s">
        <v>8</v>
      </c>
      <c r="B696" s="3" t="s">
        <v>353</v>
      </c>
      <c r="C696" s="3" t="s">
        <v>10</v>
      </c>
      <c r="D696" s="3" t="s">
        <v>2614</v>
      </c>
      <c r="E696" s="3" t="s">
        <v>107</v>
      </c>
      <c r="F696" s="3" t="s">
        <v>16</v>
      </c>
      <c r="G696" s="3" t="s">
        <v>2616</v>
      </c>
      <c r="H696" s="3" t="s">
        <v>16</v>
      </c>
      <c r="I696" s="3" t="s">
        <v>355</v>
      </c>
    </row>
    <row r="697" spans="1:9" s="5" customFormat="1" x14ac:dyDescent="0.35">
      <c r="A697" s="3" t="s">
        <v>8</v>
      </c>
      <c r="B697" s="3" t="s">
        <v>353</v>
      </c>
      <c r="C697" s="3" t="s">
        <v>20</v>
      </c>
      <c r="D697" s="3" t="s">
        <v>364</v>
      </c>
      <c r="E697" s="3" t="s">
        <v>12</v>
      </c>
      <c r="F697" s="3"/>
      <c r="G697" s="3"/>
      <c r="H697" s="3" t="s">
        <v>13</v>
      </c>
      <c r="I697" s="3" t="s">
        <v>355</v>
      </c>
    </row>
    <row r="698" spans="1:9" s="5" customFormat="1" x14ac:dyDescent="0.35">
      <c r="A698" s="3" t="s">
        <v>8</v>
      </c>
      <c r="B698" s="3" t="s">
        <v>353</v>
      </c>
      <c r="C698" s="3" t="s">
        <v>20</v>
      </c>
      <c r="D698" s="3" t="s">
        <v>364</v>
      </c>
      <c r="E698" s="3" t="s">
        <v>36</v>
      </c>
      <c r="F698" s="3"/>
      <c r="G698" s="3"/>
      <c r="H698" s="3" t="s">
        <v>13</v>
      </c>
      <c r="I698" s="3" t="s">
        <v>355</v>
      </c>
    </row>
    <row r="699" spans="1:9" s="5" customFormat="1" x14ac:dyDescent="0.35">
      <c r="A699" s="3" t="s">
        <v>8</v>
      </c>
      <c r="B699" s="3" t="s">
        <v>353</v>
      </c>
      <c r="C699" s="3" t="s">
        <v>20</v>
      </c>
      <c r="D699" s="3" t="s">
        <v>364</v>
      </c>
      <c r="E699" s="3" t="s">
        <v>25</v>
      </c>
      <c r="F699" s="3" t="s">
        <v>13</v>
      </c>
      <c r="G699" s="3" t="s">
        <v>365</v>
      </c>
      <c r="H699" s="3" t="s">
        <v>13</v>
      </c>
      <c r="I699" s="3" t="s">
        <v>355</v>
      </c>
    </row>
    <row r="700" spans="1:9" s="5" customFormat="1" x14ac:dyDescent="0.35">
      <c r="A700" s="3" t="s">
        <v>8</v>
      </c>
      <c r="B700" s="3" t="s">
        <v>353</v>
      </c>
      <c r="C700" s="3" t="s">
        <v>20</v>
      </c>
      <c r="D700" s="3" t="s">
        <v>364</v>
      </c>
      <c r="E700" s="3" t="s">
        <v>15</v>
      </c>
      <c r="F700" s="3" t="s">
        <v>13</v>
      </c>
      <c r="G700" s="3" t="s">
        <v>365</v>
      </c>
      <c r="H700" s="3" t="s">
        <v>13</v>
      </c>
      <c r="I700" s="3" t="s">
        <v>355</v>
      </c>
    </row>
    <row r="701" spans="1:9" s="5" customFormat="1" x14ac:dyDescent="0.35">
      <c r="A701" s="3" t="s">
        <v>8</v>
      </c>
      <c r="B701" s="3" t="s">
        <v>353</v>
      </c>
      <c r="C701" s="3" t="s">
        <v>20</v>
      </c>
      <c r="D701" s="3" t="s">
        <v>364</v>
      </c>
      <c r="E701" s="3" t="s">
        <v>290</v>
      </c>
      <c r="F701" s="3" t="s">
        <v>13</v>
      </c>
      <c r="G701" s="3" t="s">
        <v>365</v>
      </c>
      <c r="H701" s="3" t="s">
        <v>13</v>
      </c>
      <c r="I701" s="3" t="s">
        <v>355</v>
      </c>
    </row>
    <row r="702" spans="1:9" s="5" customFormat="1" x14ac:dyDescent="0.35">
      <c r="A702" s="3" t="s">
        <v>8</v>
      </c>
      <c r="B702" s="3" t="s">
        <v>353</v>
      </c>
      <c r="C702" s="3" t="s">
        <v>20</v>
      </c>
      <c r="D702" s="3" t="s">
        <v>364</v>
      </c>
      <c r="E702" s="3" t="s">
        <v>107</v>
      </c>
      <c r="F702" s="3"/>
      <c r="G702" s="3"/>
      <c r="H702" s="3" t="s">
        <v>13</v>
      </c>
      <c r="I702" s="3" t="s">
        <v>355</v>
      </c>
    </row>
    <row r="703" spans="1:9" s="5" customFormat="1" x14ac:dyDescent="0.35">
      <c r="A703" s="3" t="s">
        <v>8</v>
      </c>
      <c r="B703" s="3" t="s">
        <v>353</v>
      </c>
      <c r="C703" s="3" t="s">
        <v>42</v>
      </c>
      <c r="D703" s="3" t="s">
        <v>366</v>
      </c>
      <c r="E703" s="3" t="s">
        <v>12</v>
      </c>
      <c r="F703" s="3"/>
      <c r="G703" s="3"/>
      <c r="H703" s="3" t="s">
        <v>13</v>
      </c>
      <c r="I703" s="3" t="s">
        <v>367</v>
      </c>
    </row>
    <row r="704" spans="1:9" s="5" customFormat="1" x14ac:dyDescent="0.35">
      <c r="A704" s="3" t="s">
        <v>8</v>
      </c>
      <c r="B704" s="3" t="s">
        <v>353</v>
      </c>
      <c r="C704" s="3" t="s">
        <v>42</v>
      </c>
      <c r="D704" s="3" t="s">
        <v>366</v>
      </c>
      <c r="E704" s="3" t="s">
        <v>36</v>
      </c>
      <c r="F704" s="3"/>
      <c r="G704" s="3"/>
      <c r="H704" s="3" t="s">
        <v>13</v>
      </c>
      <c r="I704" s="3" t="s">
        <v>367</v>
      </c>
    </row>
    <row r="705" spans="1:9" s="5" customFormat="1" x14ac:dyDescent="0.35">
      <c r="A705" s="3" t="s">
        <v>8</v>
      </c>
      <c r="B705" s="3" t="s">
        <v>353</v>
      </c>
      <c r="C705" s="3" t="s">
        <v>42</v>
      </c>
      <c r="D705" s="3" t="s">
        <v>366</v>
      </c>
      <c r="E705" s="3" t="s">
        <v>23</v>
      </c>
      <c r="F705" s="3"/>
      <c r="G705" s="3"/>
      <c r="H705" s="3" t="s">
        <v>13</v>
      </c>
      <c r="I705" s="3" t="s">
        <v>367</v>
      </c>
    </row>
    <row r="706" spans="1:9" s="5" customFormat="1" x14ac:dyDescent="0.35">
      <c r="A706" s="3" t="s">
        <v>8</v>
      </c>
      <c r="B706" s="3" t="s">
        <v>353</v>
      </c>
      <c r="C706" s="3" t="s">
        <v>42</v>
      </c>
      <c r="D706" s="3" t="s">
        <v>366</v>
      </c>
      <c r="E706" s="3" t="s">
        <v>25</v>
      </c>
      <c r="F706" s="3"/>
      <c r="G706" s="3"/>
      <c r="H706" s="3" t="s">
        <v>13</v>
      </c>
      <c r="I706" s="3" t="s">
        <v>367</v>
      </c>
    </row>
    <row r="707" spans="1:9" s="5" customFormat="1" x14ac:dyDescent="0.35">
      <c r="A707" s="3" t="s">
        <v>8</v>
      </c>
      <c r="B707" s="3" t="s">
        <v>353</v>
      </c>
      <c r="C707" s="3" t="s">
        <v>42</v>
      </c>
      <c r="D707" s="3" t="s">
        <v>366</v>
      </c>
      <c r="E707" s="3" t="s">
        <v>142</v>
      </c>
      <c r="F707" s="3"/>
      <c r="G707" s="3"/>
      <c r="H707" s="3" t="s">
        <v>13</v>
      </c>
      <c r="I707" s="3" t="s">
        <v>367</v>
      </c>
    </row>
    <row r="708" spans="1:9" s="5" customFormat="1" x14ac:dyDescent="0.35">
      <c r="A708" s="3" t="s">
        <v>8</v>
      </c>
      <c r="B708" s="3" t="s">
        <v>353</v>
      </c>
      <c r="C708" s="3" t="s">
        <v>42</v>
      </c>
      <c r="D708" s="3" t="s">
        <v>366</v>
      </c>
      <c r="E708" s="3" t="s">
        <v>44</v>
      </c>
      <c r="F708" s="3"/>
      <c r="G708" s="3"/>
      <c r="H708" s="3" t="s">
        <v>13</v>
      </c>
      <c r="I708" s="3" t="s">
        <v>367</v>
      </c>
    </row>
    <row r="709" spans="1:9" s="5" customFormat="1" x14ac:dyDescent="0.35">
      <c r="A709" s="3" t="s">
        <v>8</v>
      </c>
      <c r="B709" s="3" t="s">
        <v>353</v>
      </c>
      <c r="C709" s="3" t="s">
        <v>42</v>
      </c>
      <c r="D709" s="3" t="s">
        <v>366</v>
      </c>
      <c r="E709" s="3" t="s">
        <v>28</v>
      </c>
      <c r="F709" s="3"/>
      <c r="G709" s="3"/>
      <c r="H709" s="3" t="s">
        <v>13</v>
      </c>
      <c r="I709" s="3" t="s">
        <v>367</v>
      </c>
    </row>
    <row r="710" spans="1:9" s="5" customFormat="1" x14ac:dyDescent="0.35">
      <c r="A710" s="3" t="s">
        <v>8</v>
      </c>
      <c r="B710" s="3" t="s">
        <v>353</v>
      </c>
      <c r="C710" s="3" t="s">
        <v>42</v>
      </c>
      <c r="D710" s="3" t="s">
        <v>366</v>
      </c>
      <c r="E710" s="3" t="s">
        <v>57</v>
      </c>
      <c r="F710" s="3"/>
      <c r="G710" s="3"/>
      <c r="H710" s="3" t="s">
        <v>13</v>
      </c>
      <c r="I710" s="3" t="s">
        <v>367</v>
      </c>
    </row>
    <row r="711" spans="1:9" s="5" customFormat="1" x14ac:dyDescent="0.35">
      <c r="A711" s="3" t="s">
        <v>8</v>
      </c>
      <c r="B711" s="3" t="s">
        <v>353</v>
      </c>
      <c r="C711" s="3" t="s">
        <v>42</v>
      </c>
      <c r="D711" s="3" t="s">
        <v>366</v>
      </c>
      <c r="E711" s="3" t="s">
        <v>56</v>
      </c>
      <c r="F711" s="3" t="s">
        <v>13</v>
      </c>
      <c r="G711" s="3" t="s">
        <v>368</v>
      </c>
      <c r="H711" s="3" t="s">
        <v>13</v>
      </c>
      <c r="I711" s="3" t="s">
        <v>367</v>
      </c>
    </row>
    <row r="712" spans="1:9" s="5" customFormat="1" x14ac:dyDescent="0.35">
      <c r="A712" s="3" t="s">
        <v>8</v>
      </c>
      <c r="B712" s="3" t="s">
        <v>353</v>
      </c>
      <c r="C712" s="3" t="s">
        <v>42</v>
      </c>
      <c r="D712" s="3" t="s">
        <v>366</v>
      </c>
      <c r="E712" s="3" t="s">
        <v>175</v>
      </c>
      <c r="F712" s="3" t="s">
        <v>13</v>
      </c>
      <c r="G712" s="3" t="s">
        <v>325</v>
      </c>
      <c r="H712" s="3" t="s">
        <v>13</v>
      </c>
      <c r="I712" s="3" t="s">
        <v>367</v>
      </c>
    </row>
    <row r="713" spans="1:9" s="5" customFormat="1" x14ac:dyDescent="0.35">
      <c r="A713" s="3" t="s">
        <v>8</v>
      </c>
      <c r="B713" s="3" t="s">
        <v>353</v>
      </c>
      <c r="C713" s="3" t="s">
        <v>42</v>
      </c>
      <c r="D713" s="3" t="s">
        <v>366</v>
      </c>
      <c r="E713" s="3" t="s">
        <v>89</v>
      </c>
      <c r="F713" s="3" t="s">
        <v>13</v>
      </c>
      <c r="G713" s="3" t="s">
        <v>369</v>
      </c>
      <c r="H713" s="3" t="s">
        <v>13</v>
      </c>
      <c r="I713" s="3" t="s">
        <v>367</v>
      </c>
    </row>
    <row r="714" spans="1:9" s="5" customFormat="1" x14ac:dyDescent="0.35">
      <c r="A714" s="3" t="s">
        <v>8</v>
      </c>
      <c r="B714" s="3" t="s">
        <v>353</v>
      </c>
      <c r="C714" s="3" t="s">
        <v>42</v>
      </c>
      <c r="D714" s="3" t="s">
        <v>366</v>
      </c>
      <c r="E714" s="3" t="s">
        <v>29</v>
      </c>
      <c r="F714" s="3" t="s">
        <v>13</v>
      </c>
      <c r="G714" s="3" t="s">
        <v>325</v>
      </c>
      <c r="H714" s="3" t="s">
        <v>13</v>
      </c>
      <c r="I714" s="3" t="s">
        <v>367</v>
      </c>
    </row>
    <row r="715" spans="1:9" s="5" customFormat="1" x14ac:dyDescent="0.35">
      <c r="A715" s="3" t="s">
        <v>8</v>
      </c>
      <c r="B715" s="3" t="s">
        <v>353</v>
      </c>
      <c r="C715" s="3" t="s">
        <v>42</v>
      </c>
      <c r="D715" s="3" t="s">
        <v>366</v>
      </c>
      <c r="E715" s="3" t="s">
        <v>24</v>
      </c>
      <c r="F715" s="3"/>
      <c r="G715" s="3"/>
      <c r="H715" s="3" t="s">
        <v>13</v>
      </c>
      <c r="I715" s="3" t="s">
        <v>367</v>
      </c>
    </row>
    <row r="716" spans="1:9" s="5" customFormat="1" x14ac:dyDescent="0.35">
      <c r="A716" s="3" t="s">
        <v>8</v>
      </c>
      <c r="B716" s="3" t="s">
        <v>353</v>
      </c>
      <c r="C716" s="3" t="s">
        <v>42</v>
      </c>
      <c r="D716" s="3" t="s">
        <v>366</v>
      </c>
      <c r="E716" s="3" t="s">
        <v>107</v>
      </c>
      <c r="F716" s="3" t="s">
        <v>13</v>
      </c>
      <c r="G716" s="3" t="s">
        <v>325</v>
      </c>
      <c r="H716" s="3" t="s">
        <v>13</v>
      </c>
      <c r="I716" s="3" t="s">
        <v>367</v>
      </c>
    </row>
    <row r="717" spans="1:9" s="5" customFormat="1" x14ac:dyDescent="0.35">
      <c r="A717" s="3" t="s">
        <v>8</v>
      </c>
      <c r="B717" s="3" t="s">
        <v>353</v>
      </c>
      <c r="C717" s="3" t="s">
        <v>45</v>
      </c>
      <c r="D717" s="3" t="s">
        <v>370</v>
      </c>
      <c r="E717" s="3" t="s">
        <v>77</v>
      </c>
      <c r="F717" s="3"/>
      <c r="G717" s="3"/>
      <c r="H717" s="3" t="s">
        <v>13</v>
      </c>
      <c r="I717" s="3" t="s">
        <v>367</v>
      </c>
    </row>
    <row r="718" spans="1:9" s="5" customFormat="1" x14ac:dyDescent="0.35">
      <c r="A718" s="3" t="s">
        <v>8</v>
      </c>
      <c r="B718" s="3" t="s">
        <v>353</v>
      </c>
      <c r="C718" s="3" t="s">
        <v>45</v>
      </c>
      <c r="D718" s="3" t="s">
        <v>371</v>
      </c>
      <c r="E718" s="3" t="s">
        <v>47</v>
      </c>
      <c r="F718" s="3" t="s">
        <v>33</v>
      </c>
      <c r="G718" s="3" t="s">
        <v>2762</v>
      </c>
      <c r="H718" s="3"/>
      <c r="I718" s="3"/>
    </row>
    <row r="719" spans="1:9" s="5" customFormat="1" x14ac:dyDescent="0.35">
      <c r="A719" s="3" t="s">
        <v>8</v>
      </c>
      <c r="B719" s="3" t="s">
        <v>353</v>
      </c>
      <c r="C719" s="3" t="s">
        <v>45</v>
      </c>
      <c r="D719" s="3" t="s">
        <v>371</v>
      </c>
      <c r="E719" s="3" t="s">
        <v>28</v>
      </c>
      <c r="F719" s="3"/>
      <c r="G719" s="3"/>
      <c r="H719" s="3" t="s">
        <v>13</v>
      </c>
      <c r="I719" s="3" t="s">
        <v>367</v>
      </c>
    </row>
    <row r="720" spans="1:9" s="5" customFormat="1" x14ac:dyDescent="0.35">
      <c r="A720" s="3" t="s">
        <v>8</v>
      </c>
      <c r="B720" s="3" t="s">
        <v>353</v>
      </c>
      <c r="C720" s="3" t="s">
        <v>45</v>
      </c>
      <c r="D720" s="3" t="s">
        <v>371</v>
      </c>
      <c r="E720" s="3" t="s">
        <v>56</v>
      </c>
      <c r="F720" s="3" t="s">
        <v>13</v>
      </c>
      <c r="G720" s="3" t="s">
        <v>373</v>
      </c>
      <c r="H720" s="3" t="s">
        <v>13</v>
      </c>
      <c r="I720" s="3" t="s">
        <v>367</v>
      </c>
    </row>
    <row r="721" spans="1:9" s="5" customFormat="1" x14ac:dyDescent="0.35">
      <c r="A721" s="3" t="s">
        <v>8</v>
      </c>
      <c r="B721" s="3" t="s">
        <v>353</v>
      </c>
      <c r="C721" s="3" t="s">
        <v>45</v>
      </c>
      <c r="D721" s="3" t="s">
        <v>371</v>
      </c>
      <c r="E721" s="3" t="s">
        <v>24</v>
      </c>
      <c r="F721" s="3"/>
      <c r="G721" s="3"/>
      <c r="H721" s="3" t="s">
        <v>13</v>
      </c>
      <c r="I721" s="3" t="s">
        <v>367</v>
      </c>
    </row>
    <row r="722" spans="1:9" s="5" customFormat="1" x14ac:dyDescent="0.35">
      <c r="A722" s="3" t="s">
        <v>8</v>
      </c>
      <c r="B722" s="3" t="s">
        <v>353</v>
      </c>
      <c r="C722" s="3" t="s">
        <v>45</v>
      </c>
      <c r="D722" s="3" t="s">
        <v>371</v>
      </c>
      <c r="E722" s="3" t="s">
        <v>244</v>
      </c>
      <c r="F722" s="3"/>
      <c r="G722" s="3"/>
      <c r="H722" s="3" t="s">
        <v>13</v>
      </c>
      <c r="I722" s="3" t="s">
        <v>367</v>
      </c>
    </row>
    <row r="723" spans="1:9" s="5" customFormat="1" x14ac:dyDescent="0.35">
      <c r="A723" s="3" t="s">
        <v>8</v>
      </c>
      <c r="B723" s="3" t="s">
        <v>353</v>
      </c>
      <c r="C723" s="3" t="s">
        <v>45</v>
      </c>
      <c r="D723" s="3" t="s">
        <v>371</v>
      </c>
      <c r="E723" s="3" t="s">
        <v>372</v>
      </c>
      <c r="F723" s="3" t="s">
        <v>33</v>
      </c>
      <c r="G723" s="3" t="s">
        <v>2763</v>
      </c>
      <c r="H723" s="3"/>
      <c r="I723" s="3"/>
    </row>
    <row r="724" spans="1:9" s="5" customFormat="1" x14ac:dyDescent="0.35">
      <c r="A724" s="3" t="s">
        <v>8</v>
      </c>
      <c r="B724" s="3" t="s">
        <v>353</v>
      </c>
      <c r="C724" s="3" t="s">
        <v>20</v>
      </c>
      <c r="D724" s="3" t="s">
        <v>374</v>
      </c>
      <c r="E724" s="3" t="s">
        <v>12</v>
      </c>
      <c r="F724" s="3"/>
      <c r="G724" s="3"/>
      <c r="H724" s="3" t="s">
        <v>13</v>
      </c>
      <c r="I724" s="3" t="s">
        <v>355</v>
      </c>
    </row>
    <row r="725" spans="1:9" s="5" customFormat="1" x14ac:dyDescent="0.35">
      <c r="A725" s="3" t="s">
        <v>8</v>
      </c>
      <c r="B725" s="3" t="s">
        <v>353</v>
      </c>
      <c r="C725" s="3" t="s">
        <v>20</v>
      </c>
      <c r="D725" s="3" t="s">
        <v>374</v>
      </c>
      <c r="E725" s="3" t="s">
        <v>36</v>
      </c>
      <c r="F725" s="3"/>
      <c r="G725" s="3"/>
      <c r="H725" s="3" t="s">
        <v>13</v>
      </c>
      <c r="I725" s="3" t="s">
        <v>355</v>
      </c>
    </row>
    <row r="726" spans="1:9" s="5" customFormat="1" x14ac:dyDescent="0.35">
      <c r="A726" s="3" t="s">
        <v>8</v>
      </c>
      <c r="B726" s="3" t="s">
        <v>353</v>
      </c>
      <c r="C726" s="3" t="s">
        <v>20</v>
      </c>
      <c r="D726" s="3" t="s">
        <v>374</v>
      </c>
      <c r="E726" s="3" t="s">
        <v>23</v>
      </c>
      <c r="F726" s="3"/>
      <c r="G726" s="3"/>
      <c r="H726" s="3" t="s">
        <v>13</v>
      </c>
      <c r="I726" s="3" t="s">
        <v>355</v>
      </c>
    </row>
    <row r="727" spans="1:9" s="5" customFormat="1" x14ac:dyDescent="0.35">
      <c r="A727" s="3" t="s">
        <v>8</v>
      </c>
      <c r="B727" s="3" t="s">
        <v>353</v>
      </c>
      <c r="C727" s="3" t="s">
        <v>20</v>
      </c>
      <c r="D727" s="3" t="s">
        <v>374</v>
      </c>
      <c r="E727" s="3" t="s">
        <v>25</v>
      </c>
      <c r="F727" s="3"/>
      <c r="G727" s="3"/>
      <c r="H727" s="3" t="s">
        <v>13</v>
      </c>
      <c r="I727" s="3" t="s">
        <v>355</v>
      </c>
    </row>
    <row r="728" spans="1:9" s="5" customFormat="1" x14ac:dyDescent="0.35">
      <c r="A728" s="3" t="s">
        <v>8</v>
      </c>
      <c r="B728" s="3" t="s">
        <v>353</v>
      </c>
      <c r="C728" s="3" t="s">
        <v>20</v>
      </c>
      <c r="D728" s="3" t="s">
        <v>374</v>
      </c>
      <c r="E728" s="3" t="s">
        <v>27</v>
      </c>
      <c r="F728" s="3"/>
      <c r="G728" s="3"/>
      <c r="H728" s="3" t="s">
        <v>13</v>
      </c>
      <c r="I728" s="3" t="s">
        <v>355</v>
      </c>
    </row>
    <row r="729" spans="1:9" s="5" customFormat="1" x14ac:dyDescent="0.35">
      <c r="A729" s="3" t="s">
        <v>8</v>
      </c>
      <c r="B729" s="3" t="s">
        <v>353</v>
      </c>
      <c r="C729" s="3" t="s">
        <v>20</v>
      </c>
      <c r="D729" s="3" t="s">
        <v>374</v>
      </c>
      <c r="E729" s="3" t="s">
        <v>87</v>
      </c>
      <c r="F729" s="3"/>
      <c r="G729" s="3"/>
      <c r="H729" s="3" t="s">
        <v>13</v>
      </c>
      <c r="I729" s="3" t="s">
        <v>355</v>
      </c>
    </row>
    <row r="730" spans="1:9" s="5" customFormat="1" x14ac:dyDescent="0.35">
      <c r="A730" s="3" t="s">
        <v>8</v>
      </c>
      <c r="B730" s="3" t="s">
        <v>353</v>
      </c>
      <c r="C730" s="3" t="s">
        <v>20</v>
      </c>
      <c r="D730" s="3" t="s">
        <v>374</v>
      </c>
      <c r="E730" s="3" t="s">
        <v>15</v>
      </c>
      <c r="F730" s="3" t="s">
        <v>16</v>
      </c>
      <c r="G730" s="3" t="s">
        <v>375</v>
      </c>
      <c r="H730" s="3" t="s">
        <v>13</v>
      </c>
      <c r="I730" s="3" t="s">
        <v>355</v>
      </c>
    </row>
    <row r="731" spans="1:9" s="5" customFormat="1" x14ac:dyDescent="0.35">
      <c r="A731" s="3" t="s">
        <v>8</v>
      </c>
      <c r="B731" s="3" t="s">
        <v>353</v>
      </c>
      <c r="C731" s="3" t="s">
        <v>20</v>
      </c>
      <c r="D731" s="3" t="s">
        <v>374</v>
      </c>
      <c r="E731" s="3" t="s">
        <v>89</v>
      </c>
      <c r="F731" s="3"/>
      <c r="G731" s="3"/>
      <c r="H731" s="3" t="s">
        <v>13</v>
      </c>
      <c r="I731" s="3" t="s">
        <v>355</v>
      </c>
    </row>
    <row r="732" spans="1:9" s="5" customFormat="1" x14ac:dyDescent="0.35">
      <c r="A732" s="3" t="s">
        <v>8</v>
      </c>
      <c r="B732" s="3" t="s">
        <v>353</v>
      </c>
      <c r="C732" s="3" t="s">
        <v>20</v>
      </c>
      <c r="D732" s="3" t="s">
        <v>374</v>
      </c>
      <c r="E732" s="3" t="s">
        <v>107</v>
      </c>
      <c r="F732" s="3"/>
      <c r="G732" s="3"/>
      <c r="H732" s="3" t="s">
        <v>13</v>
      </c>
      <c r="I732" s="3" t="s">
        <v>355</v>
      </c>
    </row>
    <row r="733" spans="1:9" s="5" customFormat="1" x14ac:dyDescent="0.35">
      <c r="A733" s="3" t="s">
        <v>8</v>
      </c>
      <c r="B733" s="3" t="s">
        <v>353</v>
      </c>
      <c r="C733" s="3" t="s">
        <v>39</v>
      </c>
      <c r="D733" s="3" t="s">
        <v>376</v>
      </c>
      <c r="E733" s="3" t="s">
        <v>12</v>
      </c>
      <c r="F733" s="3"/>
      <c r="G733" s="3"/>
      <c r="H733" s="3" t="s">
        <v>13</v>
      </c>
      <c r="I733" s="3" t="s">
        <v>367</v>
      </c>
    </row>
    <row r="734" spans="1:9" s="5" customFormat="1" x14ac:dyDescent="0.35">
      <c r="A734" s="3" t="s">
        <v>8</v>
      </c>
      <c r="B734" s="3" t="s">
        <v>353</v>
      </c>
      <c r="C734" s="3" t="s">
        <v>39</v>
      </c>
      <c r="D734" s="3" t="s">
        <v>376</v>
      </c>
      <c r="E734" s="3" t="s">
        <v>25</v>
      </c>
      <c r="F734" s="3"/>
      <c r="G734" s="3"/>
      <c r="H734" s="3" t="s">
        <v>13</v>
      </c>
      <c r="I734" s="3" t="s">
        <v>367</v>
      </c>
    </row>
    <row r="735" spans="1:9" s="5" customFormat="1" x14ac:dyDescent="0.35">
      <c r="A735" s="3" t="s">
        <v>8</v>
      </c>
      <c r="B735" s="3" t="s">
        <v>353</v>
      </c>
      <c r="C735" s="3" t="s">
        <v>39</v>
      </c>
      <c r="D735" s="3" t="s">
        <v>376</v>
      </c>
      <c r="E735" s="3" t="s">
        <v>142</v>
      </c>
      <c r="F735" s="3"/>
      <c r="G735" s="3"/>
      <c r="H735" s="3" t="s">
        <v>13</v>
      </c>
      <c r="I735" s="3" t="s">
        <v>367</v>
      </c>
    </row>
    <row r="736" spans="1:9" s="5" customFormat="1" x14ac:dyDescent="0.35">
      <c r="A736" s="3" t="s">
        <v>8</v>
      </c>
      <c r="B736" s="3" t="s">
        <v>353</v>
      </c>
      <c r="C736" s="3" t="s">
        <v>39</v>
      </c>
      <c r="D736" s="3" t="s">
        <v>376</v>
      </c>
      <c r="E736" s="3" t="s">
        <v>77</v>
      </c>
      <c r="F736" s="3"/>
      <c r="G736" s="3" t="s">
        <v>2344</v>
      </c>
      <c r="H736" s="3" t="s">
        <v>13</v>
      </c>
      <c r="I736" s="3" t="s">
        <v>355</v>
      </c>
    </row>
    <row r="737" spans="1:9" s="5" customFormat="1" x14ac:dyDescent="0.35">
      <c r="A737" s="3" t="s">
        <v>8</v>
      </c>
      <c r="B737" s="3" t="s">
        <v>353</v>
      </c>
      <c r="C737" s="3" t="s">
        <v>39</v>
      </c>
      <c r="D737" s="3" t="s">
        <v>376</v>
      </c>
      <c r="E737" s="3" t="s">
        <v>15</v>
      </c>
      <c r="F737" s="3" t="s">
        <v>13</v>
      </c>
      <c r="G737" s="3" t="s">
        <v>378</v>
      </c>
      <c r="H737" s="3" t="s">
        <v>13</v>
      </c>
      <c r="I737" s="3" t="s">
        <v>367</v>
      </c>
    </row>
    <row r="738" spans="1:9" s="5" customFormat="1" x14ac:dyDescent="0.35">
      <c r="A738" s="3" t="s">
        <v>8</v>
      </c>
      <c r="B738" s="3" t="s">
        <v>353</v>
      </c>
      <c r="C738" s="3" t="s">
        <v>39</v>
      </c>
      <c r="D738" s="3" t="s">
        <v>376</v>
      </c>
      <c r="E738" s="3" t="s">
        <v>57</v>
      </c>
      <c r="F738" s="3"/>
      <c r="G738" s="3"/>
      <c r="H738" s="3"/>
      <c r="I738" s="3"/>
    </row>
    <row r="739" spans="1:9" s="5" customFormat="1" x14ac:dyDescent="0.35">
      <c r="A739" s="3" t="s">
        <v>8</v>
      </c>
      <c r="B739" s="3" t="s">
        <v>353</v>
      </c>
      <c r="C739" s="3" t="s">
        <v>39</v>
      </c>
      <c r="D739" s="3" t="s">
        <v>376</v>
      </c>
      <c r="E739" s="3" t="s">
        <v>56</v>
      </c>
      <c r="F739" s="3" t="s">
        <v>13</v>
      </c>
      <c r="G739" s="3" t="s">
        <v>377</v>
      </c>
      <c r="H739" s="3" t="s">
        <v>13</v>
      </c>
      <c r="I739" s="3" t="s">
        <v>367</v>
      </c>
    </row>
    <row r="740" spans="1:9" s="5" customFormat="1" x14ac:dyDescent="0.35">
      <c r="A740" s="3" t="s">
        <v>8</v>
      </c>
      <c r="B740" s="3" t="s">
        <v>353</v>
      </c>
      <c r="C740" s="3" t="s">
        <v>39</v>
      </c>
      <c r="D740" s="3" t="s">
        <v>376</v>
      </c>
      <c r="E740" s="3" t="s">
        <v>32</v>
      </c>
      <c r="F740" s="3" t="s">
        <v>13</v>
      </c>
      <c r="G740" s="3" t="s">
        <v>378</v>
      </c>
      <c r="H740" s="3" t="s">
        <v>13</v>
      </c>
      <c r="I740" s="3" t="s">
        <v>367</v>
      </c>
    </row>
    <row r="741" spans="1:9" s="5" customFormat="1" x14ac:dyDescent="0.35">
      <c r="A741" s="3" t="s">
        <v>8</v>
      </c>
      <c r="B741" s="3" t="s">
        <v>353</v>
      </c>
      <c r="C741" s="3" t="s">
        <v>39</v>
      </c>
      <c r="D741" s="3" t="s">
        <v>376</v>
      </c>
      <c r="E741" s="3" t="s">
        <v>24</v>
      </c>
      <c r="F741" s="3"/>
      <c r="G741" s="3"/>
      <c r="H741" s="3" t="s">
        <v>13</v>
      </c>
      <c r="I741" s="3" t="s">
        <v>355</v>
      </c>
    </row>
    <row r="742" spans="1:9" s="5" customFormat="1" x14ac:dyDescent="0.35">
      <c r="A742" s="3" t="s">
        <v>8</v>
      </c>
      <c r="B742" s="3" t="s">
        <v>353</v>
      </c>
      <c r="C742" s="3" t="s">
        <v>39</v>
      </c>
      <c r="D742" s="3" t="s">
        <v>376</v>
      </c>
      <c r="E742" s="3" t="s">
        <v>134</v>
      </c>
      <c r="F742" s="3"/>
      <c r="G742" s="3"/>
      <c r="H742" s="3" t="s">
        <v>13</v>
      </c>
      <c r="I742" s="3" t="s">
        <v>367</v>
      </c>
    </row>
    <row r="743" spans="1:9" s="5" customFormat="1" x14ac:dyDescent="0.35">
      <c r="A743" s="3" t="s">
        <v>8</v>
      </c>
      <c r="B743" s="3" t="s">
        <v>353</v>
      </c>
      <c r="C743" s="3" t="s">
        <v>39</v>
      </c>
      <c r="D743" s="3" t="s">
        <v>376</v>
      </c>
      <c r="E743" s="3" t="s">
        <v>290</v>
      </c>
      <c r="F743" s="3"/>
      <c r="G743" s="3"/>
      <c r="H743" s="3" t="s">
        <v>13</v>
      </c>
      <c r="I743" s="3" t="s">
        <v>355</v>
      </c>
    </row>
    <row r="744" spans="1:9" s="5" customFormat="1" x14ac:dyDescent="0.35">
      <c r="A744" s="3" t="s">
        <v>8</v>
      </c>
      <c r="B744" s="3" t="s">
        <v>353</v>
      </c>
      <c r="C744" s="3" t="s">
        <v>39</v>
      </c>
      <c r="D744" s="3" t="s">
        <v>376</v>
      </c>
      <c r="E744" s="3" t="s">
        <v>107</v>
      </c>
      <c r="F744" s="3"/>
      <c r="G744" s="3"/>
      <c r="H744" s="3" t="s">
        <v>13</v>
      </c>
      <c r="I744" s="3" t="s">
        <v>367</v>
      </c>
    </row>
    <row r="745" spans="1:9" s="5" customFormat="1" x14ac:dyDescent="0.35">
      <c r="A745" s="3" t="s">
        <v>8</v>
      </c>
      <c r="B745" s="3" t="s">
        <v>353</v>
      </c>
      <c r="C745" s="3" t="s">
        <v>45</v>
      </c>
      <c r="D745" s="3" t="s">
        <v>379</v>
      </c>
      <c r="E745" s="3" t="s">
        <v>77</v>
      </c>
      <c r="F745" s="3" t="s">
        <v>33</v>
      </c>
      <c r="G745" s="3" t="s">
        <v>2559</v>
      </c>
      <c r="H745" s="3" t="s">
        <v>16</v>
      </c>
      <c r="I745" s="3" t="s">
        <v>355</v>
      </c>
    </row>
    <row r="746" spans="1:9" s="5" customFormat="1" x14ac:dyDescent="0.35">
      <c r="A746" s="3" t="s">
        <v>8</v>
      </c>
      <c r="B746" s="3" t="s">
        <v>353</v>
      </c>
      <c r="C746" s="3" t="s">
        <v>20</v>
      </c>
      <c r="D746" s="3" t="s">
        <v>380</v>
      </c>
      <c r="E746" s="3" t="s">
        <v>12</v>
      </c>
      <c r="F746" s="3"/>
      <c r="G746" s="3"/>
      <c r="H746" s="3" t="s">
        <v>13</v>
      </c>
      <c r="I746" s="3" t="s">
        <v>355</v>
      </c>
    </row>
    <row r="747" spans="1:9" s="5" customFormat="1" x14ac:dyDescent="0.35">
      <c r="A747" s="3" t="s">
        <v>8</v>
      </c>
      <c r="B747" s="3" t="s">
        <v>353</v>
      </c>
      <c r="C747" s="3" t="s">
        <v>20</v>
      </c>
      <c r="D747" s="3" t="s">
        <v>380</v>
      </c>
      <c r="E747" s="3" t="s">
        <v>77</v>
      </c>
      <c r="F747" s="3" t="s">
        <v>13</v>
      </c>
      <c r="G747" s="3" t="s">
        <v>2406</v>
      </c>
      <c r="H747" s="3" t="s">
        <v>13</v>
      </c>
      <c r="I747" s="3" t="s">
        <v>355</v>
      </c>
    </row>
    <row r="748" spans="1:9" s="5" customFormat="1" x14ac:dyDescent="0.35">
      <c r="A748" s="3" t="s">
        <v>8</v>
      </c>
      <c r="B748" s="3" t="s">
        <v>353</v>
      </c>
      <c r="C748" s="3" t="s">
        <v>20</v>
      </c>
      <c r="D748" s="3" t="s">
        <v>380</v>
      </c>
      <c r="E748" s="3" t="s">
        <v>87</v>
      </c>
      <c r="F748" s="3" t="s">
        <v>13</v>
      </c>
      <c r="G748" s="3" t="s">
        <v>381</v>
      </c>
      <c r="H748" s="3" t="s">
        <v>13</v>
      </c>
      <c r="I748" s="3" t="s">
        <v>355</v>
      </c>
    </row>
    <row r="749" spans="1:9" s="5" customFormat="1" x14ac:dyDescent="0.35">
      <c r="A749" s="3" t="s">
        <v>8</v>
      </c>
      <c r="B749" s="3" t="s">
        <v>353</v>
      </c>
      <c r="C749" s="3" t="s">
        <v>20</v>
      </c>
      <c r="D749" s="3" t="s">
        <v>380</v>
      </c>
      <c r="E749" s="3" t="s">
        <v>15</v>
      </c>
      <c r="F749" s="3" t="s">
        <v>13</v>
      </c>
      <c r="G749" s="3" t="s">
        <v>382</v>
      </c>
      <c r="H749" s="3" t="s">
        <v>13</v>
      </c>
      <c r="I749" s="3" t="s">
        <v>355</v>
      </c>
    </row>
    <row r="750" spans="1:9" s="5" customFormat="1" x14ac:dyDescent="0.35">
      <c r="A750" s="3" t="s">
        <v>8</v>
      </c>
      <c r="B750" s="3" t="s">
        <v>353</v>
      </c>
      <c r="C750" s="3" t="s">
        <v>20</v>
      </c>
      <c r="D750" s="3" t="s">
        <v>380</v>
      </c>
      <c r="E750" s="3" t="s">
        <v>37</v>
      </c>
      <c r="F750" s="3" t="s">
        <v>13</v>
      </c>
      <c r="G750" s="3" t="s">
        <v>381</v>
      </c>
      <c r="H750" s="3" t="s">
        <v>13</v>
      </c>
      <c r="I750" s="3" t="s">
        <v>355</v>
      </c>
    </row>
    <row r="751" spans="1:9" s="5" customFormat="1" x14ac:dyDescent="0.35">
      <c r="A751" s="3" t="s">
        <v>8</v>
      </c>
      <c r="B751" s="3" t="s">
        <v>353</v>
      </c>
      <c r="C751" s="3" t="s">
        <v>20</v>
      </c>
      <c r="D751" s="3" t="s">
        <v>380</v>
      </c>
      <c r="E751" s="3" t="s">
        <v>89</v>
      </c>
      <c r="F751" s="3" t="s">
        <v>13</v>
      </c>
      <c r="G751" s="3" t="s">
        <v>381</v>
      </c>
      <c r="H751" s="3" t="s">
        <v>13</v>
      </c>
      <c r="I751" s="3" t="s">
        <v>355</v>
      </c>
    </row>
    <row r="752" spans="1:9" s="5" customFormat="1" x14ac:dyDescent="0.35">
      <c r="A752" s="3" t="s">
        <v>8</v>
      </c>
      <c r="B752" s="3" t="s">
        <v>353</v>
      </c>
      <c r="C752" s="3" t="s">
        <v>20</v>
      </c>
      <c r="D752" s="3" t="s">
        <v>380</v>
      </c>
      <c r="E752" s="3" t="s">
        <v>24</v>
      </c>
      <c r="F752" s="3" t="s">
        <v>13</v>
      </c>
      <c r="G752" s="3" t="s">
        <v>383</v>
      </c>
      <c r="H752" s="3" t="s">
        <v>13</v>
      </c>
      <c r="I752" s="3" t="s">
        <v>355</v>
      </c>
    </row>
    <row r="753" spans="1:9" s="5" customFormat="1" x14ac:dyDescent="0.35">
      <c r="A753" s="3" t="s">
        <v>8</v>
      </c>
      <c r="B753" s="3" t="s">
        <v>353</v>
      </c>
      <c r="C753" s="3" t="s">
        <v>20</v>
      </c>
      <c r="D753" s="3" t="s">
        <v>384</v>
      </c>
      <c r="E753" s="3" t="s">
        <v>23</v>
      </c>
      <c r="F753" s="3"/>
      <c r="G753" s="3"/>
      <c r="H753" s="3" t="s">
        <v>13</v>
      </c>
      <c r="I753" s="3" t="s">
        <v>355</v>
      </c>
    </row>
    <row r="754" spans="1:9" s="5" customFormat="1" x14ac:dyDescent="0.35">
      <c r="A754" s="3" t="s">
        <v>8</v>
      </c>
      <c r="B754" s="3" t="s">
        <v>353</v>
      </c>
      <c r="C754" s="3" t="s">
        <v>20</v>
      </c>
      <c r="D754" s="3" t="s">
        <v>384</v>
      </c>
      <c r="E754" s="3" t="s">
        <v>25</v>
      </c>
      <c r="F754" s="3"/>
      <c r="G754" s="3"/>
      <c r="H754" s="3" t="s">
        <v>13</v>
      </c>
      <c r="I754" s="3" t="s">
        <v>355</v>
      </c>
    </row>
    <row r="755" spans="1:9" s="5" customFormat="1" x14ac:dyDescent="0.35">
      <c r="A755" s="3" t="s">
        <v>8</v>
      </c>
      <c r="B755" s="3" t="s">
        <v>353</v>
      </c>
      <c r="C755" s="3" t="s">
        <v>20</v>
      </c>
      <c r="D755" s="3" t="s">
        <v>384</v>
      </c>
      <c r="E755" s="3" t="s">
        <v>56</v>
      </c>
      <c r="F755" s="3" t="s">
        <v>13</v>
      </c>
      <c r="G755" s="3" t="s">
        <v>385</v>
      </c>
      <c r="H755" s="3" t="s">
        <v>13</v>
      </c>
      <c r="I755" s="3" t="s">
        <v>355</v>
      </c>
    </row>
    <row r="756" spans="1:9" s="5" customFormat="1" x14ac:dyDescent="0.35">
      <c r="A756" s="3" t="s">
        <v>8</v>
      </c>
      <c r="B756" s="3" t="s">
        <v>353</v>
      </c>
      <c r="C756" s="3" t="s">
        <v>20</v>
      </c>
      <c r="D756" s="3" t="s">
        <v>384</v>
      </c>
      <c r="E756" s="3" t="s">
        <v>32</v>
      </c>
      <c r="F756" s="3"/>
      <c r="G756" s="3" t="s">
        <v>2427</v>
      </c>
      <c r="H756" s="3" t="s">
        <v>13</v>
      </c>
      <c r="I756" s="3" t="s">
        <v>355</v>
      </c>
    </row>
    <row r="757" spans="1:9" s="5" customFormat="1" x14ac:dyDescent="0.35">
      <c r="A757" s="3" t="s">
        <v>8</v>
      </c>
      <c r="B757" s="3" t="s">
        <v>353</v>
      </c>
      <c r="C757" s="3" t="s">
        <v>20</v>
      </c>
      <c r="D757" s="3" t="s">
        <v>384</v>
      </c>
      <c r="E757" s="3" t="s">
        <v>24</v>
      </c>
      <c r="F757" s="3"/>
      <c r="G757" s="3"/>
      <c r="H757" s="3" t="s">
        <v>13</v>
      </c>
      <c r="I757" s="3" t="s">
        <v>355</v>
      </c>
    </row>
    <row r="758" spans="1:9" s="5" customFormat="1" x14ac:dyDescent="0.35">
      <c r="A758" s="3" t="s">
        <v>8</v>
      </c>
      <c r="B758" s="3" t="s">
        <v>353</v>
      </c>
      <c r="C758" s="3" t="s">
        <v>20</v>
      </c>
      <c r="D758" s="3" t="s">
        <v>386</v>
      </c>
      <c r="E758" s="3" t="s">
        <v>23</v>
      </c>
      <c r="F758" s="3"/>
      <c r="G758" s="3"/>
      <c r="H758" s="3" t="s">
        <v>13</v>
      </c>
      <c r="I758" s="3" t="s">
        <v>355</v>
      </c>
    </row>
    <row r="759" spans="1:9" s="5" customFormat="1" x14ac:dyDescent="0.35">
      <c r="A759" s="3" t="s">
        <v>8</v>
      </c>
      <c r="B759" s="3" t="s">
        <v>353</v>
      </c>
      <c r="C759" s="3" t="s">
        <v>20</v>
      </c>
      <c r="D759" s="3" t="s">
        <v>386</v>
      </c>
      <c r="E759" s="3" t="s">
        <v>25</v>
      </c>
      <c r="F759" s="3"/>
      <c r="G759" s="3"/>
      <c r="H759" s="3" t="s">
        <v>13</v>
      </c>
      <c r="I759" s="3" t="s">
        <v>355</v>
      </c>
    </row>
    <row r="760" spans="1:9" s="5" customFormat="1" x14ac:dyDescent="0.35">
      <c r="A760" s="3" t="s">
        <v>8</v>
      </c>
      <c r="B760" s="3" t="s">
        <v>353</v>
      </c>
      <c r="C760" s="3" t="s">
        <v>20</v>
      </c>
      <c r="D760" s="3" t="s">
        <v>386</v>
      </c>
      <c r="E760" s="3" t="s">
        <v>142</v>
      </c>
      <c r="F760" s="3"/>
      <c r="G760" s="3"/>
      <c r="H760" s="3" t="s">
        <v>13</v>
      </c>
      <c r="I760" s="3" t="s">
        <v>355</v>
      </c>
    </row>
    <row r="761" spans="1:9" s="5" customFormat="1" x14ac:dyDescent="0.35">
      <c r="A761" s="3" t="s">
        <v>8</v>
      </c>
      <c r="B761" s="3" t="s">
        <v>353</v>
      </c>
      <c r="C761" s="3" t="s">
        <v>39</v>
      </c>
      <c r="D761" s="3" t="s">
        <v>387</v>
      </c>
      <c r="E761" s="3" t="s">
        <v>23</v>
      </c>
      <c r="F761" s="3" t="s">
        <v>13</v>
      </c>
      <c r="G761" s="3" t="s">
        <v>388</v>
      </c>
      <c r="H761" s="3" t="s">
        <v>13</v>
      </c>
      <c r="I761" s="3" t="s">
        <v>355</v>
      </c>
    </row>
    <row r="762" spans="1:9" s="5" customFormat="1" x14ac:dyDescent="0.35">
      <c r="A762" s="3" t="s">
        <v>8</v>
      </c>
      <c r="B762" s="3" t="s">
        <v>353</v>
      </c>
      <c r="C762" s="3" t="s">
        <v>39</v>
      </c>
      <c r="D762" s="3" t="s">
        <v>387</v>
      </c>
      <c r="E762" s="3" t="s">
        <v>47</v>
      </c>
      <c r="F762" s="3" t="s">
        <v>13</v>
      </c>
      <c r="G762" s="3" t="s">
        <v>389</v>
      </c>
      <c r="H762" s="3" t="s">
        <v>13</v>
      </c>
      <c r="I762" s="3" t="s">
        <v>355</v>
      </c>
    </row>
    <row r="763" spans="1:9" s="5" customFormat="1" x14ac:dyDescent="0.35">
      <c r="A763" s="3" t="s">
        <v>8</v>
      </c>
      <c r="B763" s="3" t="s">
        <v>353</v>
      </c>
      <c r="C763" s="3" t="s">
        <v>39</v>
      </c>
      <c r="D763" s="3" t="s">
        <v>387</v>
      </c>
      <c r="E763" s="3" t="s">
        <v>25</v>
      </c>
      <c r="F763" s="3"/>
      <c r="G763" s="3"/>
      <c r="H763" s="3" t="s">
        <v>13</v>
      </c>
      <c r="I763" s="3" t="s">
        <v>355</v>
      </c>
    </row>
    <row r="764" spans="1:9" s="5" customFormat="1" x14ac:dyDescent="0.35">
      <c r="A764" s="3" t="s">
        <v>8</v>
      </c>
      <c r="B764" s="3" t="s">
        <v>353</v>
      </c>
      <c r="C764" s="3" t="s">
        <v>39</v>
      </c>
      <c r="D764" s="3" t="s">
        <v>387</v>
      </c>
      <c r="E764" s="3" t="s">
        <v>56</v>
      </c>
      <c r="F764" s="3" t="s">
        <v>16</v>
      </c>
      <c r="G764" s="3" t="s">
        <v>388</v>
      </c>
      <c r="H764" s="3"/>
      <c r="I764" s="3"/>
    </row>
    <row r="765" spans="1:9" s="5" customFormat="1" x14ac:dyDescent="0.35">
      <c r="A765" s="3" t="s">
        <v>8</v>
      </c>
      <c r="B765" s="3" t="s">
        <v>353</v>
      </c>
      <c r="C765" s="3" t="s">
        <v>39</v>
      </c>
      <c r="D765" s="3" t="s">
        <v>387</v>
      </c>
      <c r="E765" s="3" t="s">
        <v>32</v>
      </c>
      <c r="F765" s="3" t="s">
        <v>33</v>
      </c>
      <c r="G765" s="3" t="s">
        <v>2918</v>
      </c>
      <c r="H765" s="3" t="s">
        <v>13</v>
      </c>
      <c r="I765" s="3" t="s">
        <v>355</v>
      </c>
    </row>
    <row r="766" spans="1:9" s="5" customFormat="1" x14ac:dyDescent="0.35">
      <c r="A766" s="3" t="s">
        <v>8</v>
      </c>
      <c r="B766" s="3" t="s">
        <v>353</v>
      </c>
      <c r="C766" s="3" t="s">
        <v>39</v>
      </c>
      <c r="D766" s="3" t="s">
        <v>387</v>
      </c>
      <c r="E766" s="3" t="s">
        <v>26</v>
      </c>
      <c r="F766" s="3" t="s">
        <v>33</v>
      </c>
      <c r="G766" s="3" t="s">
        <v>34</v>
      </c>
      <c r="H766" s="3" t="s">
        <v>16</v>
      </c>
      <c r="I766" s="3" t="s">
        <v>355</v>
      </c>
    </row>
    <row r="767" spans="1:9" s="5" customFormat="1" x14ac:dyDescent="0.35">
      <c r="A767" s="3" t="s">
        <v>8</v>
      </c>
      <c r="B767" s="3" t="s">
        <v>353</v>
      </c>
      <c r="C767" s="3" t="s">
        <v>39</v>
      </c>
      <c r="D767" s="3" t="s">
        <v>387</v>
      </c>
      <c r="E767" s="3" t="s">
        <v>24</v>
      </c>
      <c r="F767" s="3" t="s">
        <v>13</v>
      </c>
      <c r="G767" s="3" t="s">
        <v>389</v>
      </c>
      <c r="H767" s="3" t="s">
        <v>13</v>
      </c>
      <c r="I767" s="3" t="s">
        <v>355</v>
      </c>
    </row>
    <row r="768" spans="1:9" s="5" customFormat="1" x14ac:dyDescent="0.35">
      <c r="A768" s="3" t="s">
        <v>8</v>
      </c>
      <c r="B768" s="3" t="s">
        <v>353</v>
      </c>
      <c r="C768" s="3" t="s">
        <v>39</v>
      </c>
      <c r="D768" s="3" t="s">
        <v>387</v>
      </c>
      <c r="E768" s="3" t="s">
        <v>82</v>
      </c>
      <c r="F768" s="3" t="s">
        <v>13</v>
      </c>
      <c r="G768" s="3" t="s">
        <v>148</v>
      </c>
      <c r="H768" s="3" t="s">
        <v>13</v>
      </c>
      <c r="I768" s="3" t="s">
        <v>355</v>
      </c>
    </row>
    <row r="769" spans="1:9" s="5" customFormat="1" x14ac:dyDescent="0.35">
      <c r="A769" s="3" t="s">
        <v>8</v>
      </c>
      <c r="B769" s="3" t="s">
        <v>353</v>
      </c>
      <c r="C769" s="3" t="s">
        <v>45</v>
      </c>
      <c r="D769" s="3" t="s">
        <v>390</v>
      </c>
      <c r="E769" s="3" t="s">
        <v>77</v>
      </c>
      <c r="F769" s="3"/>
      <c r="G769" s="3"/>
      <c r="H769" s="3"/>
      <c r="I769" s="3"/>
    </row>
    <row r="770" spans="1:9" s="5" customFormat="1" x14ac:dyDescent="0.35">
      <c r="A770" s="3" t="s">
        <v>8</v>
      </c>
      <c r="B770" s="3" t="s">
        <v>353</v>
      </c>
      <c r="C770" s="3" t="s">
        <v>20</v>
      </c>
      <c r="D770" s="3" t="s">
        <v>391</v>
      </c>
      <c r="E770" s="3" t="s">
        <v>12</v>
      </c>
      <c r="F770" s="3"/>
      <c r="G770" s="3"/>
      <c r="H770" s="3" t="s">
        <v>13</v>
      </c>
      <c r="I770" s="3" t="s">
        <v>355</v>
      </c>
    </row>
    <row r="771" spans="1:9" s="5" customFormat="1" x14ac:dyDescent="0.35">
      <c r="A771" s="3" t="s">
        <v>8</v>
      </c>
      <c r="B771" s="3" t="s">
        <v>353</v>
      </c>
      <c r="C771" s="3" t="s">
        <v>20</v>
      </c>
      <c r="D771" s="3" t="s">
        <v>391</v>
      </c>
      <c r="E771" s="3" t="s">
        <v>15</v>
      </c>
      <c r="F771" s="3" t="s">
        <v>16</v>
      </c>
      <c r="G771" s="3" t="s">
        <v>392</v>
      </c>
      <c r="H771" s="3" t="s">
        <v>13</v>
      </c>
      <c r="I771" s="3" t="s">
        <v>355</v>
      </c>
    </row>
    <row r="772" spans="1:9" s="5" customFormat="1" x14ac:dyDescent="0.35">
      <c r="A772" s="3" t="s">
        <v>8</v>
      </c>
      <c r="B772" s="3" t="s">
        <v>353</v>
      </c>
      <c r="C772" s="3" t="s">
        <v>20</v>
      </c>
      <c r="D772" s="3" t="s">
        <v>391</v>
      </c>
      <c r="E772" s="3" t="s">
        <v>57</v>
      </c>
      <c r="F772" s="3"/>
      <c r="G772" s="3"/>
      <c r="H772" s="3" t="s">
        <v>13</v>
      </c>
      <c r="I772" s="3" t="s">
        <v>355</v>
      </c>
    </row>
    <row r="773" spans="1:9" s="5" customFormat="1" x14ac:dyDescent="0.35">
      <c r="A773" s="3" t="s">
        <v>8</v>
      </c>
      <c r="B773" s="3" t="s">
        <v>353</v>
      </c>
      <c r="C773" s="3" t="s">
        <v>20</v>
      </c>
      <c r="D773" s="3" t="s">
        <v>391</v>
      </c>
      <c r="E773" s="3" t="s">
        <v>56</v>
      </c>
      <c r="F773" s="3"/>
      <c r="G773" s="3" t="s">
        <v>2796</v>
      </c>
      <c r="H773" s="3" t="s">
        <v>13</v>
      </c>
      <c r="I773" s="3" t="s">
        <v>355</v>
      </c>
    </row>
    <row r="774" spans="1:9" s="5" customFormat="1" x14ac:dyDescent="0.35">
      <c r="A774" s="3" t="s">
        <v>8</v>
      </c>
      <c r="B774" s="3" t="s">
        <v>353</v>
      </c>
      <c r="C774" s="3" t="s">
        <v>20</v>
      </c>
      <c r="D774" s="3" t="s">
        <v>391</v>
      </c>
      <c r="E774" s="3" t="s">
        <v>32</v>
      </c>
      <c r="F774" s="3" t="s">
        <v>33</v>
      </c>
      <c r="G774" s="3" t="s">
        <v>34</v>
      </c>
      <c r="H774" s="3"/>
      <c r="I774" s="3"/>
    </row>
    <row r="775" spans="1:9" s="5" customFormat="1" x14ac:dyDescent="0.35">
      <c r="A775" s="3" t="s">
        <v>8</v>
      </c>
      <c r="B775" s="3" t="s">
        <v>353</v>
      </c>
      <c r="C775" s="3" t="s">
        <v>20</v>
      </c>
      <c r="D775" s="3" t="s">
        <v>391</v>
      </c>
      <c r="E775" s="3" t="s">
        <v>24</v>
      </c>
      <c r="F775" s="3"/>
      <c r="G775" s="3"/>
      <c r="H775" s="3" t="s">
        <v>13</v>
      </c>
      <c r="I775" s="3" t="s">
        <v>355</v>
      </c>
    </row>
    <row r="776" spans="1:9" s="5" customFormat="1" x14ac:dyDescent="0.35">
      <c r="A776" s="3" t="s">
        <v>8</v>
      </c>
      <c r="B776" s="3" t="s">
        <v>353</v>
      </c>
      <c r="C776" s="3" t="s">
        <v>20</v>
      </c>
      <c r="D776" s="3" t="s">
        <v>391</v>
      </c>
      <c r="E776" s="3" t="s">
        <v>82</v>
      </c>
      <c r="F776" s="3" t="s">
        <v>16</v>
      </c>
      <c r="G776" s="3" t="s">
        <v>393</v>
      </c>
      <c r="H776" s="3" t="s">
        <v>13</v>
      </c>
      <c r="I776" s="3" t="s">
        <v>355</v>
      </c>
    </row>
    <row r="777" spans="1:9" s="5" customFormat="1" x14ac:dyDescent="0.35">
      <c r="A777" s="3" t="s">
        <v>8</v>
      </c>
      <c r="B777" s="3" t="s">
        <v>394</v>
      </c>
      <c r="C777" s="3" t="s">
        <v>10</v>
      </c>
      <c r="D777" s="3" t="s">
        <v>395</v>
      </c>
      <c r="E777" s="3" t="s">
        <v>15</v>
      </c>
      <c r="F777" s="3" t="s">
        <v>16</v>
      </c>
      <c r="G777" s="3" t="s">
        <v>396</v>
      </c>
      <c r="H777" s="3"/>
      <c r="I777" s="3"/>
    </row>
    <row r="778" spans="1:9" s="5" customFormat="1" x14ac:dyDescent="0.35">
      <c r="A778" s="3" t="s">
        <v>8</v>
      </c>
      <c r="B778" s="3" t="s">
        <v>394</v>
      </c>
      <c r="C778" s="3" t="s">
        <v>20</v>
      </c>
      <c r="D778" s="3" t="s">
        <v>397</v>
      </c>
      <c r="E778" s="3" t="s">
        <v>47</v>
      </c>
      <c r="F778" s="3" t="s">
        <v>33</v>
      </c>
      <c r="G778" s="3" t="s">
        <v>897</v>
      </c>
      <c r="H778" s="3"/>
      <c r="I778" s="3"/>
    </row>
    <row r="779" spans="1:9" s="5" customFormat="1" x14ac:dyDescent="0.35">
      <c r="A779" s="3" t="s">
        <v>8</v>
      </c>
      <c r="B779" s="3" t="s">
        <v>394</v>
      </c>
      <c r="C779" s="3" t="s">
        <v>20</v>
      </c>
      <c r="D779" s="3" t="s">
        <v>397</v>
      </c>
      <c r="E779" s="3" t="s">
        <v>25</v>
      </c>
      <c r="F779" s="3"/>
      <c r="G779" s="3"/>
      <c r="H779" s="3"/>
      <c r="I779" s="3"/>
    </row>
    <row r="780" spans="1:9" s="5" customFormat="1" x14ac:dyDescent="0.35">
      <c r="A780" s="3" t="s">
        <v>8</v>
      </c>
      <c r="B780" s="3" t="s">
        <v>394</v>
      </c>
      <c r="C780" s="3" t="s">
        <v>20</v>
      </c>
      <c r="D780" s="3" t="s">
        <v>397</v>
      </c>
      <c r="E780" s="3" t="s">
        <v>142</v>
      </c>
      <c r="F780" s="3"/>
      <c r="G780" s="3"/>
      <c r="H780" s="3"/>
      <c r="I780" s="3"/>
    </row>
    <row r="781" spans="1:9" s="5" customFormat="1" x14ac:dyDescent="0.35">
      <c r="A781" s="3" t="s">
        <v>8</v>
      </c>
      <c r="B781" s="3" t="s">
        <v>394</v>
      </c>
      <c r="C781" s="3" t="s">
        <v>20</v>
      </c>
      <c r="D781" s="3" t="s">
        <v>397</v>
      </c>
      <c r="E781" s="3" t="s">
        <v>28</v>
      </c>
      <c r="F781" s="3"/>
      <c r="G781" s="3"/>
      <c r="H781" s="3"/>
      <c r="I781" s="3"/>
    </row>
    <row r="782" spans="1:9" s="5" customFormat="1" x14ac:dyDescent="0.35">
      <c r="A782" s="3" t="s">
        <v>8</v>
      </c>
      <c r="B782" s="3" t="s">
        <v>394</v>
      </c>
      <c r="C782" s="3" t="s">
        <v>20</v>
      </c>
      <c r="D782" s="3" t="s">
        <v>397</v>
      </c>
      <c r="E782" s="3" t="s">
        <v>185</v>
      </c>
      <c r="F782" s="3"/>
      <c r="G782" s="3" t="s">
        <v>2562</v>
      </c>
      <c r="H782" s="3"/>
      <c r="I782" s="3"/>
    </row>
    <row r="783" spans="1:9" s="5" customFormat="1" x14ac:dyDescent="0.35">
      <c r="A783" s="3" t="s">
        <v>8</v>
      </c>
      <c r="B783" s="3" t="s">
        <v>394</v>
      </c>
      <c r="C783" s="3" t="s">
        <v>20</v>
      </c>
      <c r="D783" s="3" t="s">
        <v>397</v>
      </c>
      <c r="E783" s="3" t="s">
        <v>15</v>
      </c>
      <c r="F783" s="3"/>
      <c r="G783" s="3" t="s">
        <v>2563</v>
      </c>
      <c r="H783" s="3"/>
      <c r="I783" s="3"/>
    </row>
    <row r="784" spans="1:9" s="5" customFormat="1" x14ac:dyDescent="0.35">
      <c r="A784" s="3" t="s">
        <v>8</v>
      </c>
      <c r="B784" s="3" t="s">
        <v>394</v>
      </c>
      <c r="C784" s="3" t="s">
        <v>20</v>
      </c>
      <c r="D784" s="3" t="s">
        <v>397</v>
      </c>
      <c r="E784" s="3" t="s">
        <v>57</v>
      </c>
      <c r="F784" s="3" t="s">
        <v>33</v>
      </c>
      <c r="G784" s="3" t="s">
        <v>897</v>
      </c>
      <c r="H784" s="3"/>
      <c r="I784" s="3"/>
    </row>
    <row r="785" spans="1:9" s="5" customFormat="1" x14ac:dyDescent="0.35">
      <c r="A785" s="3" t="s">
        <v>8</v>
      </c>
      <c r="B785" s="3" t="s">
        <v>394</v>
      </c>
      <c r="C785" s="3" t="s">
        <v>20</v>
      </c>
      <c r="D785" s="3" t="s">
        <v>397</v>
      </c>
      <c r="E785" s="3" t="s">
        <v>32</v>
      </c>
      <c r="F785" s="3"/>
      <c r="G785" s="3" t="s">
        <v>2313</v>
      </c>
      <c r="H785" s="3"/>
      <c r="I785" s="3"/>
    </row>
    <row r="786" spans="1:9" s="5" customFormat="1" x14ac:dyDescent="0.35">
      <c r="A786" s="3" t="s">
        <v>8</v>
      </c>
      <c r="B786" s="3" t="s">
        <v>394</v>
      </c>
      <c r="C786" s="3" t="s">
        <v>20</v>
      </c>
      <c r="D786" s="3" t="s">
        <v>397</v>
      </c>
      <c r="E786" s="3" t="s">
        <v>29</v>
      </c>
      <c r="F786" s="3"/>
      <c r="G786" s="3"/>
      <c r="H786" s="3"/>
      <c r="I786" s="3"/>
    </row>
    <row r="787" spans="1:9" s="5" customFormat="1" x14ac:dyDescent="0.35">
      <c r="A787" s="3" t="s">
        <v>8</v>
      </c>
      <c r="B787" s="3" t="s">
        <v>394</v>
      </c>
      <c r="C787" s="3" t="s">
        <v>20</v>
      </c>
      <c r="D787" s="3" t="s">
        <v>397</v>
      </c>
      <c r="E787" s="3" t="s">
        <v>134</v>
      </c>
      <c r="F787" s="3" t="s">
        <v>13</v>
      </c>
      <c r="G787" s="3" t="s">
        <v>2564</v>
      </c>
      <c r="H787" s="3"/>
      <c r="I787" s="3"/>
    </row>
    <row r="788" spans="1:9" s="5" customFormat="1" x14ac:dyDescent="0.35">
      <c r="A788" s="3" t="s">
        <v>8</v>
      </c>
      <c r="B788" s="3" t="s">
        <v>394</v>
      </c>
      <c r="C788" s="3" t="s">
        <v>20</v>
      </c>
      <c r="D788" s="3" t="s">
        <v>397</v>
      </c>
      <c r="E788" s="3" t="s">
        <v>107</v>
      </c>
      <c r="F788" s="3" t="s">
        <v>13</v>
      </c>
      <c r="G788" s="3" t="s">
        <v>2428</v>
      </c>
      <c r="H788" s="3"/>
      <c r="I788" s="3"/>
    </row>
    <row r="789" spans="1:9" s="5" customFormat="1" x14ac:dyDescent="0.35">
      <c r="A789" s="3" t="s">
        <v>8</v>
      </c>
      <c r="B789" s="3" t="s">
        <v>394</v>
      </c>
      <c r="C789" s="3" t="s">
        <v>10</v>
      </c>
      <c r="D789" s="3" t="s">
        <v>398</v>
      </c>
      <c r="E789" s="3" t="s">
        <v>15</v>
      </c>
      <c r="F789" s="3" t="s">
        <v>16</v>
      </c>
      <c r="G789" s="3" t="s">
        <v>396</v>
      </c>
      <c r="H789" s="3"/>
      <c r="I789" s="3"/>
    </row>
    <row r="790" spans="1:9" s="5" customFormat="1" x14ac:dyDescent="0.35">
      <c r="A790" s="3" t="s">
        <v>8</v>
      </c>
      <c r="B790" s="3" t="s">
        <v>394</v>
      </c>
      <c r="C790" s="3" t="s">
        <v>39</v>
      </c>
      <c r="D790" s="3" t="s">
        <v>2662</v>
      </c>
      <c r="E790" s="3" t="s">
        <v>25</v>
      </c>
      <c r="F790" s="3" t="s">
        <v>16</v>
      </c>
      <c r="G790" s="3" t="s">
        <v>2663</v>
      </c>
      <c r="H790" s="3"/>
      <c r="I790" s="3"/>
    </row>
    <row r="791" spans="1:9" s="5" customFormat="1" x14ac:dyDescent="0.35">
      <c r="A791" s="3" t="s">
        <v>8</v>
      </c>
      <c r="B791" s="3" t="s">
        <v>394</v>
      </c>
      <c r="C791" s="3" t="s">
        <v>39</v>
      </c>
      <c r="D791" s="3" t="s">
        <v>2662</v>
      </c>
      <c r="E791" s="3" t="s">
        <v>56</v>
      </c>
      <c r="F791" s="3" t="s">
        <v>16</v>
      </c>
      <c r="G791" s="3" t="s">
        <v>2663</v>
      </c>
      <c r="H791" s="3"/>
      <c r="I791" s="3"/>
    </row>
    <row r="792" spans="1:9" s="5" customFormat="1" x14ac:dyDescent="0.35">
      <c r="A792" s="3" t="s">
        <v>8</v>
      </c>
      <c r="B792" s="3" t="s">
        <v>2620</v>
      </c>
      <c r="C792" s="3" t="s">
        <v>42</v>
      </c>
      <c r="D792" s="3" t="s">
        <v>2621</v>
      </c>
      <c r="E792" s="3" t="s">
        <v>12</v>
      </c>
      <c r="F792" s="3"/>
      <c r="G792" s="3"/>
      <c r="H792" s="3"/>
      <c r="I792" s="3"/>
    </row>
    <row r="793" spans="1:9" s="5" customFormat="1" x14ac:dyDescent="0.35">
      <c r="A793" s="3" t="s">
        <v>8</v>
      </c>
      <c r="B793" s="3" t="s">
        <v>2620</v>
      </c>
      <c r="C793" s="3" t="s">
        <v>42</v>
      </c>
      <c r="D793" s="3" t="s">
        <v>2621</v>
      </c>
      <c r="E793" s="3" t="s">
        <v>27</v>
      </c>
      <c r="F793" s="3"/>
      <c r="G793" s="3"/>
      <c r="H793" s="3"/>
      <c r="I793" s="3"/>
    </row>
    <row r="794" spans="1:9" s="5" customFormat="1" x14ac:dyDescent="0.35">
      <c r="A794" s="3" t="s">
        <v>8</v>
      </c>
      <c r="B794" s="3" t="s">
        <v>2620</v>
      </c>
      <c r="C794" s="3" t="s">
        <v>42</v>
      </c>
      <c r="D794" s="3" t="s">
        <v>2621</v>
      </c>
      <c r="E794" s="3" t="s">
        <v>44</v>
      </c>
      <c r="F794" s="3"/>
      <c r="G794" s="3"/>
      <c r="H794" s="3"/>
      <c r="I794" s="3"/>
    </row>
    <row r="795" spans="1:9" s="5" customFormat="1" x14ac:dyDescent="0.35">
      <c r="A795" s="3" t="s">
        <v>8</v>
      </c>
      <c r="B795" s="3" t="s">
        <v>2620</v>
      </c>
      <c r="C795" s="3" t="s">
        <v>42</v>
      </c>
      <c r="D795" s="3" t="s">
        <v>2621</v>
      </c>
      <c r="E795" s="3" t="s">
        <v>15</v>
      </c>
      <c r="F795" s="3" t="s">
        <v>16</v>
      </c>
      <c r="G795" s="3" t="s">
        <v>2622</v>
      </c>
      <c r="H795" s="3"/>
      <c r="I795" s="3"/>
    </row>
    <row r="796" spans="1:9" s="5" customFormat="1" x14ac:dyDescent="0.35">
      <c r="A796" s="3" t="s">
        <v>8</v>
      </c>
      <c r="B796" s="3" t="s">
        <v>2620</v>
      </c>
      <c r="C796" s="3" t="s">
        <v>42</v>
      </c>
      <c r="D796" s="3" t="s">
        <v>2621</v>
      </c>
      <c r="E796" s="3" t="s">
        <v>24</v>
      </c>
      <c r="F796" s="3"/>
      <c r="G796" s="3"/>
      <c r="H796" s="3"/>
      <c r="I796" s="3"/>
    </row>
    <row r="797" spans="1:9" s="5" customFormat="1" x14ac:dyDescent="0.35">
      <c r="A797" s="3" t="s">
        <v>8</v>
      </c>
      <c r="B797" s="3" t="s">
        <v>399</v>
      </c>
      <c r="C797" s="3" t="s">
        <v>20</v>
      </c>
      <c r="D797" s="3" t="s">
        <v>400</v>
      </c>
      <c r="E797" s="3" t="s">
        <v>27</v>
      </c>
      <c r="F797" s="3"/>
      <c r="G797" s="3"/>
      <c r="H797" s="3"/>
      <c r="I797" s="3"/>
    </row>
    <row r="798" spans="1:9" s="5" customFormat="1" x14ac:dyDescent="0.35">
      <c r="A798" s="3" t="s">
        <v>8</v>
      </c>
      <c r="B798" s="3" t="s">
        <v>399</v>
      </c>
      <c r="C798" s="3" t="s">
        <v>20</v>
      </c>
      <c r="D798" s="3" t="s">
        <v>400</v>
      </c>
      <c r="E798" s="3" t="s">
        <v>87</v>
      </c>
      <c r="F798" s="3"/>
      <c r="G798" s="3"/>
      <c r="H798" s="3"/>
      <c r="I798" s="3"/>
    </row>
    <row r="799" spans="1:9" s="5" customFormat="1" x14ac:dyDescent="0.35">
      <c r="A799" s="3" t="s">
        <v>8</v>
      </c>
      <c r="B799" s="3" t="s">
        <v>399</v>
      </c>
      <c r="C799" s="3" t="s">
        <v>20</v>
      </c>
      <c r="D799" s="3" t="s">
        <v>400</v>
      </c>
      <c r="E799" s="3" t="s">
        <v>15</v>
      </c>
      <c r="G799" s="3"/>
      <c r="H799" s="3"/>
      <c r="I799" s="3"/>
    </row>
    <row r="800" spans="1:9" s="5" customFormat="1" x14ac:dyDescent="0.35">
      <c r="A800" s="3" t="s">
        <v>8</v>
      </c>
      <c r="B800" s="3" t="s">
        <v>399</v>
      </c>
      <c r="C800" s="3" t="s">
        <v>20</v>
      </c>
      <c r="D800" s="3" t="s">
        <v>400</v>
      </c>
      <c r="E800" s="3" t="s">
        <v>62</v>
      </c>
      <c r="G800" s="3"/>
      <c r="H800" s="3"/>
      <c r="I800" s="3"/>
    </row>
    <row r="801" spans="1:9" s="5" customFormat="1" x14ac:dyDescent="0.35">
      <c r="A801" s="3" t="s">
        <v>8</v>
      </c>
      <c r="B801" s="3" t="s">
        <v>399</v>
      </c>
      <c r="C801" s="3" t="s">
        <v>20</v>
      </c>
      <c r="D801" s="3" t="s">
        <v>400</v>
      </c>
      <c r="E801" s="3" t="s">
        <v>24</v>
      </c>
      <c r="G801" s="3"/>
      <c r="H801" s="3"/>
      <c r="I801" s="3"/>
    </row>
    <row r="802" spans="1:9" s="5" customFormat="1" x14ac:dyDescent="0.35">
      <c r="A802" s="3" t="s">
        <v>8</v>
      </c>
      <c r="B802" s="3" t="s">
        <v>399</v>
      </c>
      <c r="C802" s="3" t="s">
        <v>45</v>
      </c>
      <c r="D802" s="3" t="s">
        <v>2833</v>
      </c>
      <c r="E802" s="3" t="s">
        <v>87</v>
      </c>
      <c r="G802" s="3"/>
      <c r="H802" s="3"/>
      <c r="I802" s="3"/>
    </row>
    <row r="803" spans="1:9" s="5" customFormat="1" x14ac:dyDescent="0.35">
      <c r="A803" s="3" t="s">
        <v>8</v>
      </c>
      <c r="B803" s="3" t="s">
        <v>399</v>
      </c>
      <c r="C803" s="3" t="s">
        <v>45</v>
      </c>
      <c r="D803" s="3" t="s">
        <v>2833</v>
      </c>
      <c r="E803" s="3" t="s">
        <v>24</v>
      </c>
      <c r="G803" s="3"/>
      <c r="H803" s="3"/>
      <c r="I803" s="3"/>
    </row>
    <row r="804" spans="1:9" s="5" customFormat="1" x14ac:dyDescent="0.35">
      <c r="A804" s="3" t="s">
        <v>8</v>
      </c>
      <c r="B804" s="3" t="s">
        <v>401</v>
      </c>
      <c r="C804" s="3" t="s">
        <v>20</v>
      </c>
      <c r="D804" s="3" t="s">
        <v>402</v>
      </c>
      <c r="E804" s="3" t="s">
        <v>12</v>
      </c>
      <c r="F804" s="3"/>
      <c r="G804" s="3"/>
      <c r="H804" s="3" t="s">
        <v>13</v>
      </c>
      <c r="I804" s="3" t="s">
        <v>22</v>
      </c>
    </row>
    <row r="805" spans="1:9" s="5" customFormat="1" x14ac:dyDescent="0.35">
      <c r="A805" s="3" t="s">
        <v>8</v>
      </c>
      <c r="B805" s="3" t="s">
        <v>401</v>
      </c>
      <c r="C805" s="3" t="s">
        <v>20</v>
      </c>
      <c r="D805" s="3" t="s">
        <v>402</v>
      </c>
      <c r="E805" s="3" t="s">
        <v>27</v>
      </c>
      <c r="F805" s="3"/>
      <c r="G805" s="3"/>
      <c r="H805" s="3" t="s">
        <v>13</v>
      </c>
      <c r="I805" s="3" t="s">
        <v>14</v>
      </c>
    </row>
    <row r="806" spans="1:9" s="5" customFormat="1" x14ac:dyDescent="0.35">
      <c r="A806" s="3" t="s">
        <v>8</v>
      </c>
      <c r="B806" s="3" t="s">
        <v>401</v>
      </c>
      <c r="C806" s="3" t="s">
        <v>20</v>
      </c>
      <c r="D806" s="3" t="s">
        <v>402</v>
      </c>
      <c r="E806" s="3" t="s">
        <v>28</v>
      </c>
      <c r="F806" s="3"/>
      <c r="G806" s="3"/>
      <c r="H806" s="3" t="s">
        <v>13</v>
      </c>
      <c r="I806" s="3" t="s">
        <v>14</v>
      </c>
    </row>
    <row r="807" spans="1:9" s="5" customFormat="1" x14ac:dyDescent="0.35">
      <c r="A807" s="3" t="s">
        <v>8</v>
      </c>
      <c r="B807" s="3" t="s">
        <v>401</v>
      </c>
      <c r="C807" s="3" t="s">
        <v>20</v>
      </c>
      <c r="D807" s="3" t="s">
        <v>402</v>
      </c>
      <c r="E807" s="3" t="s">
        <v>15</v>
      </c>
      <c r="F807" s="3" t="s">
        <v>13</v>
      </c>
      <c r="G807" s="3" t="s">
        <v>403</v>
      </c>
      <c r="H807" s="3" t="s">
        <v>13</v>
      </c>
      <c r="I807" s="3" t="s">
        <v>22</v>
      </c>
    </row>
    <row r="808" spans="1:9" s="5" customFormat="1" x14ac:dyDescent="0.35">
      <c r="A808" s="3" t="s">
        <v>8</v>
      </c>
      <c r="B808" s="3" t="s">
        <v>401</v>
      </c>
      <c r="C808" s="3" t="s">
        <v>20</v>
      </c>
      <c r="D808" s="3" t="s">
        <v>402</v>
      </c>
      <c r="E808" s="3" t="s">
        <v>56</v>
      </c>
      <c r="F808" s="3" t="s">
        <v>13</v>
      </c>
      <c r="G808" s="3" t="s">
        <v>403</v>
      </c>
      <c r="H808" s="3" t="s">
        <v>13</v>
      </c>
      <c r="I808" s="3" t="s">
        <v>22</v>
      </c>
    </row>
    <row r="809" spans="1:9" s="5" customFormat="1" x14ac:dyDescent="0.35">
      <c r="A809" s="3" t="s">
        <v>8</v>
      </c>
      <c r="B809" s="3" t="s">
        <v>401</v>
      </c>
      <c r="C809" s="3" t="s">
        <v>20</v>
      </c>
      <c r="D809" s="3" t="s">
        <v>402</v>
      </c>
      <c r="E809" s="3" t="s">
        <v>107</v>
      </c>
      <c r="F809" s="3" t="s">
        <v>13</v>
      </c>
      <c r="G809" s="3" t="s">
        <v>206</v>
      </c>
      <c r="H809" s="3" t="s">
        <v>13</v>
      </c>
      <c r="I809" s="3" t="s">
        <v>22</v>
      </c>
    </row>
    <row r="810" spans="1:9" s="5" customFormat="1" x14ac:dyDescent="0.35">
      <c r="A810" s="3" t="s">
        <v>8</v>
      </c>
      <c r="B810" s="3" t="s">
        <v>404</v>
      </c>
      <c r="C810" s="3" t="s">
        <v>42</v>
      </c>
      <c r="D810" s="3" t="s">
        <v>405</v>
      </c>
      <c r="E810" s="3" t="s">
        <v>25</v>
      </c>
      <c r="F810" s="3"/>
      <c r="G810" s="3"/>
      <c r="H810" s="3"/>
      <c r="I810" s="3"/>
    </row>
    <row r="811" spans="1:9" s="5" customFormat="1" x14ac:dyDescent="0.35">
      <c r="A811" s="3" t="s">
        <v>8</v>
      </c>
      <c r="B811" s="3" t="s">
        <v>404</v>
      </c>
      <c r="C811" s="3" t="s">
        <v>42</v>
      </c>
      <c r="D811" s="3" t="s">
        <v>405</v>
      </c>
      <c r="E811" s="3" t="s">
        <v>27</v>
      </c>
      <c r="F811" s="3"/>
      <c r="G811" s="3"/>
      <c r="H811" s="3"/>
      <c r="I811" s="3"/>
    </row>
    <row r="812" spans="1:9" s="5" customFormat="1" x14ac:dyDescent="0.35">
      <c r="A812" s="3" t="s">
        <v>8</v>
      </c>
      <c r="B812" s="3" t="s">
        <v>404</v>
      </c>
      <c r="C812" s="3" t="s">
        <v>42</v>
      </c>
      <c r="D812" s="3" t="s">
        <v>405</v>
      </c>
      <c r="E812" s="3" t="s">
        <v>87</v>
      </c>
      <c r="F812" s="3"/>
      <c r="G812" s="3"/>
      <c r="H812" s="3"/>
      <c r="I812" s="3"/>
    </row>
    <row r="813" spans="1:9" s="5" customFormat="1" x14ac:dyDescent="0.35">
      <c r="A813" s="3" t="s">
        <v>8</v>
      </c>
      <c r="B813" s="3" t="s">
        <v>404</v>
      </c>
      <c r="C813" s="3" t="s">
        <v>42</v>
      </c>
      <c r="D813" s="3" t="s">
        <v>405</v>
      </c>
      <c r="E813" s="3" t="s">
        <v>15</v>
      </c>
      <c r="F813" s="3"/>
      <c r="G813" s="3"/>
      <c r="H813" s="3"/>
      <c r="I813" s="3"/>
    </row>
    <row r="814" spans="1:9" s="5" customFormat="1" x14ac:dyDescent="0.35">
      <c r="A814" s="3" t="s">
        <v>8</v>
      </c>
      <c r="B814" s="3" t="s">
        <v>404</v>
      </c>
      <c r="C814" s="3" t="s">
        <v>42</v>
      </c>
      <c r="D814" s="3" t="s">
        <v>405</v>
      </c>
      <c r="E814" s="3" t="s">
        <v>29</v>
      </c>
      <c r="F814" s="3"/>
      <c r="G814" s="3"/>
      <c r="H814" s="3"/>
      <c r="I814" s="3"/>
    </row>
    <row r="815" spans="1:9" s="5" customFormat="1" x14ac:dyDescent="0.35">
      <c r="A815" s="3" t="s">
        <v>8</v>
      </c>
      <c r="B815" s="3" t="s">
        <v>404</v>
      </c>
      <c r="C815" s="3" t="s">
        <v>42</v>
      </c>
      <c r="D815" s="3" t="s">
        <v>405</v>
      </c>
      <c r="E815" s="3" t="s">
        <v>134</v>
      </c>
      <c r="F815" s="3"/>
      <c r="G815" s="3"/>
      <c r="H815" s="3"/>
      <c r="I815" s="3"/>
    </row>
    <row r="816" spans="1:9" s="5" customFormat="1" x14ac:dyDescent="0.35">
      <c r="A816" s="3" t="s">
        <v>8</v>
      </c>
      <c r="B816" s="3" t="s">
        <v>404</v>
      </c>
      <c r="C816" s="3" t="s">
        <v>45</v>
      </c>
      <c r="D816" s="3" t="s">
        <v>2834</v>
      </c>
      <c r="E816" s="3" t="s">
        <v>87</v>
      </c>
      <c r="G816" s="3"/>
      <c r="H816" s="3"/>
      <c r="I816" s="3"/>
    </row>
    <row r="817" spans="1:9" s="5" customFormat="1" x14ac:dyDescent="0.35">
      <c r="A817" s="3" t="s">
        <v>8</v>
      </c>
      <c r="B817" s="3" t="s">
        <v>404</v>
      </c>
      <c r="C817" s="3" t="s">
        <v>45</v>
      </c>
      <c r="D817" s="3" t="s">
        <v>2834</v>
      </c>
      <c r="E817" s="3" t="s">
        <v>24</v>
      </c>
      <c r="G817" s="3"/>
      <c r="H817" s="3"/>
      <c r="I817" s="3"/>
    </row>
    <row r="818" spans="1:9" s="5" customFormat="1" x14ac:dyDescent="0.35">
      <c r="A818" s="3" t="s">
        <v>8</v>
      </c>
      <c r="B818" s="3" t="s">
        <v>406</v>
      </c>
      <c r="C818" s="3" t="s">
        <v>39</v>
      </c>
      <c r="D818" s="3" t="s">
        <v>407</v>
      </c>
      <c r="E818" s="3" t="s">
        <v>23</v>
      </c>
      <c r="F818" s="3" t="s">
        <v>16</v>
      </c>
      <c r="G818" s="3" t="s">
        <v>408</v>
      </c>
      <c r="H818" s="3" t="s">
        <v>13</v>
      </c>
      <c r="I818" s="3" t="s">
        <v>409</v>
      </c>
    </row>
    <row r="819" spans="1:9" s="5" customFormat="1" x14ac:dyDescent="0.35">
      <c r="A819" s="3" t="s">
        <v>8</v>
      </c>
      <c r="B819" s="3" t="s">
        <v>406</v>
      </c>
      <c r="C819" s="3" t="s">
        <v>39</v>
      </c>
      <c r="D819" s="3" t="s">
        <v>407</v>
      </c>
      <c r="E819" s="3" t="s">
        <v>27</v>
      </c>
      <c r="F819" s="3" t="s">
        <v>16</v>
      </c>
      <c r="G819" s="3" t="s">
        <v>408</v>
      </c>
      <c r="H819" s="3" t="s">
        <v>13</v>
      </c>
      <c r="I819" s="3" t="s">
        <v>409</v>
      </c>
    </row>
    <row r="820" spans="1:9" s="5" customFormat="1" x14ac:dyDescent="0.35">
      <c r="A820" s="3" t="s">
        <v>8</v>
      </c>
      <c r="B820" s="3" t="s">
        <v>406</v>
      </c>
      <c r="C820" s="3" t="s">
        <v>39</v>
      </c>
      <c r="D820" s="3" t="s">
        <v>407</v>
      </c>
      <c r="E820" s="3" t="s">
        <v>57</v>
      </c>
      <c r="F820" s="3" t="s">
        <v>16</v>
      </c>
      <c r="G820" s="3" t="s">
        <v>408</v>
      </c>
      <c r="H820" s="3" t="s">
        <v>13</v>
      </c>
      <c r="I820" s="3" t="s">
        <v>409</v>
      </c>
    </row>
    <row r="821" spans="1:9" s="5" customFormat="1" x14ac:dyDescent="0.35">
      <c r="A821" s="3" t="s">
        <v>8</v>
      </c>
      <c r="B821" s="3" t="s">
        <v>406</v>
      </c>
      <c r="C821" s="3" t="s">
        <v>10</v>
      </c>
      <c r="D821" s="3" t="s">
        <v>410</v>
      </c>
      <c r="E821" s="3" t="s">
        <v>15</v>
      </c>
      <c r="F821" s="3" t="s">
        <v>13</v>
      </c>
      <c r="G821" s="3" t="s">
        <v>411</v>
      </c>
      <c r="H821" s="3" t="s">
        <v>13</v>
      </c>
      <c r="I821" s="3" t="s">
        <v>69</v>
      </c>
    </row>
    <row r="822" spans="1:9" s="5" customFormat="1" x14ac:dyDescent="0.35">
      <c r="A822" s="3" t="s">
        <v>8</v>
      </c>
      <c r="B822" s="3" t="s">
        <v>406</v>
      </c>
      <c r="C822" s="3" t="s">
        <v>10</v>
      </c>
      <c r="D822" s="3" t="s">
        <v>410</v>
      </c>
      <c r="E822" s="3" t="s">
        <v>57</v>
      </c>
      <c r="F822" s="3"/>
      <c r="G822" s="3"/>
      <c r="H822" s="3"/>
      <c r="I822" s="3"/>
    </row>
    <row r="823" spans="1:9" s="5" customFormat="1" x14ac:dyDescent="0.35">
      <c r="A823" s="3" t="s">
        <v>8</v>
      </c>
      <c r="B823" s="3" t="s">
        <v>406</v>
      </c>
      <c r="C823" s="3" t="s">
        <v>10</v>
      </c>
      <c r="D823" s="3" t="s">
        <v>412</v>
      </c>
      <c r="E823" s="3" t="s">
        <v>36</v>
      </c>
      <c r="F823" s="3"/>
      <c r="G823" s="3"/>
      <c r="H823" s="3" t="s">
        <v>13</v>
      </c>
      <c r="I823" s="3" t="s">
        <v>59</v>
      </c>
    </row>
    <row r="824" spans="1:9" s="5" customFormat="1" x14ac:dyDescent="0.35">
      <c r="A824" s="3" t="s">
        <v>8</v>
      </c>
      <c r="B824" s="3" t="s">
        <v>406</v>
      </c>
      <c r="C824" s="3" t="s">
        <v>10</v>
      </c>
      <c r="D824" s="3" t="s">
        <v>412</v>
      </c>
      <c r="E824" s="3" t="s">
        <v>15</v>
      </c>
      <c r="F824" s="3"/>
      <c r="G824" s="3" t="s">
        <v>413</v>
      </c>
      <c r="H824" s="3" t="s">
        <v>13</v>
      </c>
      <c r="I824" s="3" t="s">
        <v>59</v>
      </c>
    </row>
    <row r="825" spans="1:9" s="5" customFormat="1" x14ac:dyDescent="0.35">
      <c r="A825" s="3" t="s">
        <v>8</v>
      </c>
      <c r="B825" s="3" t="s">
        <v>406</v>
      </c>
      <c r="C825" s="3" t="s">
        <v>10</v>
      </c>
      <c r="D825" s="3" t="s">
        <v>2669</v>
      </c>
      <c r="E825" s="3" t="s">
        <v>12</v>
      </c>
      <c r="F825" s="3"/>
      <c r="G825" s="3"/>
      <c r="H825" s="3" t="s">
        <v>13</v>
      </c>
      <c r="I825" s="3" t="s">
        <v>69</v>
      </c>
    </row>
    <row r="826" spans="1:9" s="5" customFormat="1" x14ac:dyDescent="0.35">
      <c r="A826" s="3" t="s">
        <v>8</v>
      </c>
      <c r="B826" s="3" t="s">
        <v>406</v>
      </c>
      <c r="C826" s="3" t="s">
        <v>10</v>
      </c>
      <c r="D826" s="3" t="s">
        <v>2669</v>
      </c>
      <c r="E826" s="3" t="s">
        <v>87</v>
      </c>
      <c r="F826" s="3" t="s">
        <v>13</v>
      </c>
      <c r="G826" s="3" t="s">
        <v>414</v>
      </c>
      <c r="H826" s="3" t="s">
        <v>13</v>
      </c>
      <c r="I826" s="3" t="s">
        <v>69</v>
      </c>
    </row>
    <row r="827" spans="1:9" s="5" customFormat="1" x14ac:dyDescent="0.35">
      <c r="A827" s="3" t="s">
        <v>8</v>
      </c>
      <c r="B827" s="3" t="s">
        <v>406</v>
      </c>
      <c r="C827" s="3" t="s">
        <v>10</v>
      </c>
      <c r="D827" s="3" t="s">
        <v>2669</v>
      </c>
      <c r="E827" s="3" t="s">
        <v>15</v>
      </c>
      <c r="F827" s="3"/>
      <c r="G827" s="3"/>
      <c r="H827" s="3" t="s">
        <v>13</v>
      </c>
      <c r="I827" s="3" t="s">
        <v>69</v>
      </c>
    </row>
    <row r="828" spans="1:9" s="5" customFormat="1" x14ac:dyDescent="0.35">
      <c r="A828" s="3" t="s">
        <v>8</v>
      </c>
      <c r="B828" s="3" t="s">
        <v>406</v>
      </c>
      <c r="C828" s="3" t="s">
        <v>10</v>
      </c>
      <c r="D828" s="3" t="s">
        <v>2669</v>
      </c>
      <c r="E828" s="3" t="s">
        <v>32</v>
      </c>
      <c r="F828" s="3"/>
      <c r="G828" s="3"/>
      <c r="H828" s="3" t="s">
        <v>13</v>
      </c>
      <c r="I828" s="3" t="s">
        <v>69</v>
      </c>
    </row>
    <row r="829" spans="1:9" s="5" customFormat="1" x14ac:dyDescent="0.35">
      <c r="A829" s="3" t="s">
        <v>8</v>
      </c>
      <c r="B829" s="3" t="s">
        <v>406</v>
      </c>
      <c r="C829" s="3" t="s">
        <v>10</v>
      </c>
      <c r="D829" s="3" t="s">
        <v>2669</v>
      </c>
      <c r="E829" s="3" t="s">
        <v>29</v>
      </c>
      <c r="F829" s="3"/>
      <c r="G829" s="3"/>
      <c r="H829" s="3" t="s">
        <v>13</v>
      </c>
      <c r="I829" s="3" t="s">
        <v>69</v>
      </c>
    </row>
    <row r="830" spans="1:9" s="5" customFormat="1" x14ac:dyDescent="0.35">
      <c r="A830" s="3" t="s">
        <v>8</v>
      </c>
      <c r="B830" s="3" t="s">
        <v>406</v>
      </c>
      <c r="C830" s="3" t="s">
        <v>20</v>
      </c>
      <c r="D830" s="3" t="s">
        <v>415</v>
      </c>
      <c r="E830" s="3" t="s">
        <v>23</v>
      </c>
      <c r="F830" s="3"/>
      <c r="G830" s="3"/>
      <c r="H830" s="3" t="s">
        <v>13</v>
      </c>
      <c r="I830" s="3" t="s">
        <v>59</v>
      </c>
    </row>
    <row r="831" spans="1:9" s="5" customFormat="1" x14ac:dyDescent="0.35">
      <c r="A831" s="3" t="s">
        <v>8</v>
      </c>
      <c r="B831" s="3" t="s">
        <v>406</v>
      </c>
      <c r="C831" s="3" t="s">
        <v>20</v>
      </c>
      <c r="D831" s="3" t="s">
        <v>415</v>
      </c>
      <c r="E831" s="3" t="s">
        <v>32</v>
      </c>
      <c r="F831" s="3"/>
      <c r="G831" s="3"/>
      <c r="H831" s="3" t="s">
        <v>13</v>
      </c>
      <c r="I831" s="3" t="s">
        <v>59</v>
      </c>
    </row>
    <row r="832" spans="1:9" s="5" customFormat="1" x14ac:dyDescent="0.35">
      <c r="A832" s="3" t="s">
        <v>8</v>
      </c>
      <c r="B832" s="3" t="s">
        <v>406</v>
      </c>
      <c r="C832" s="3" t="s">
        <v>42</v>
      </c>
      <c r="D832" s="3" t="s">
        <v>416</v>
      </c>
      <c r="E832" s="3" t="s">
        <v>12</v>
      </c>
      <c r="F832" s="3"/>
      <c r="G832" s="3"/>
      <c r="H832" s="3" t="s">
        <v>13</v>
      </c>
      <c r="I832" s="3" t="s">
        <v>69</v>
      </c>
    </row>
    <row r="833" spans="1:9" s="5" customFormat="1" x14ac:dyDescent="0.35">
      <c r="A833" s="3" t="s">
        <v>8</v>
      </c>
      <c r="B833" s="3" t="s">
        <v>406</v>
      </c>
      <c r="C833" s="3" t="s">
        <v>42</v>
      </c>
      <c r="D833" s="3" t="s">
        <v>416</v>
      </c>
      <c r="E833" s="3" t="s">
        <v>23</v>
      </c>
      <c r="F833" s="3"/>
      <c r="G833" s="3"/>
      <c r="H833" s="3" t="s">
        <v>13</v>
      </c>
      <c r="I833" s="3" t="s">
        <v>69</v>
      </c>
    </row>
    <row r="834" spans="1:9" s="5" customFormat="1" x14ac:dyDescent="0.35">
      <c r="A834" s="3" t="s">
        <v>8</v>
      </c>
      <c r="B834" s="3" t="s">
        <v>406</v>
      </c>
      <c r="C834" s="3" t="s">
        <v>42</v>
      </c>
      <c r="D834" s="3" t="s">
        <v>416</v>
      </c>
      <c r="E834" s="3" t="s">
        <v>27</v>
      </c>
      <c r="F834" s="3"/>
      <c r="G834" s="3"/>
      <c r="H834" s="3" t="s">
        <v>13</v>
      </c>
      <c r="I834" s="3" t="s">
        <v>69</v>
      </c>
    </row>
    <row r="835" spans="1:9" s="5" customFormat="1" x14ac:dyDescent="0.35">
      <c r="A835" s="3" t="s">
        <v>8</v>
      </c>
      <c r="B835" s="3" t="s">
        <v>406</v>
      </c>
      <c r="C835" s="3" t="s">
        <v>42</v>
      </c>
      <c r="D835" s="3" t="s">
        <v>416</v>
      </c>
      <c r="E835" s="3" t="s">
        <v>44</v>
      </c>
      <c r="F835" s="3"/>
      <c r="G835" s="3"/>
      <c r="H835" s="3" t="s">
        <v>13</v>
      </c>
      <c r="I835" s="3" t="s">
        <v>69</v>
      </c>
    </row>
    <row r="836" spans="1:9" s="5" customFormat="1" x14ac:dyDescent="0.35">
      <c r="A836" s="3" t="s">
        <v>8</v>
      </c>
      <c r="B836" s="3" t="s">
        <v>406</v>
      </c>
      <c r="C836" s="3" t="s">
        <v>42</v>
      </c>
      <c r="D836" s="3" t="s">
        <v>416</v>
      </c>
      <c r="E836" s="3" t="s">
        <v>28</v>
      </c>
      <c r="F836" s="3"/>
      <c r="G836" s="3"/>
      <c r="H836" s="3" t="s">
        <v>13</v>
      </c>
      <c r="I836" s="3" t="s">
        <v>69</v>
      </c>
    </row>
    <row r="837" spans="1:9" s="5" customFormat="1" x14ac:dyDescent="0.35">
      <c r="A837" s="3" t="s">
        <v>8</v>
      </c>
      <c r="B837" s="3" t="s">
        <v>406</v>
      </c>
      <c r="C837" s="3" t="s">
        <v>42</v>
      </c>
      <c r="D837" s="3" t="s">
        <v>416</v>
      </c>
      <c r="E837" s="3" t="s">
        <v>15</v>
      </c>
      <c r="F837" s="3" t="s">
        <v>13</v>
      </c>
      <c r="G837" s="3" t="s">
        <v>417</v>
      </c>
      <c r="H837" s="3" t="s">
        <v>13</v>
      </c>
      <c r="I837" s="3" t="s">
        <v>69</v>
      </c>
    </row>
    <row r="838" spans="1:9" s="5" customFormat="1" x14ac:dyDescent="0.35">
      <c r="A838" s="3" t="s">
        <v>8</v>
      </c>
      <c r="B838" s="3" t="s">
        <v>406</v>
      </c>
      <c r="C838" s="3" t="s">
        <v>42</v>
      </c>
      <c r="D838" s="3" t="s">
        <v>416</v>
      </c>
      <c r="E838" s="3" t="s">
        <v>24</v>
      </c>
      <c r="F838" s="3"/>
      <c r="G838" s="3"/>
      <c r="H838" s="3" t="s">
        <v>13</v>
      </c>
      <c r="I838" s="3" t="s">
        <v>69</v>
      </c>
    </row>
    <row r="839" spans="1:9" s="5" customFormat="1" x14ac:dyDescent="0.35">
      <c r="A839" s="3" t="s">
        <v>8</v>
      </c>
      <c r="B839" s="3" t="s">
        <v>406</v>
      </c>
      <c r="C839" s="3" t="s">
        <v>42</v>
      </c>
      <c r="D839" s="3" t="s">
        <v>416</v>
      </c>
      <c r="E839" s="3" t="s">
        <v>82</v>
      </c>
      <c r="F839" s="3"/>
      <c r="G839" s="3"/>
      <c r="H839" s="3" t="s">
        <v>13</v>
      </c>
      <c r="I839" s="3" t="s">
        <v>69</v>
      </c>
    </row>
    <row r="840" spans="1:9" s="5" customFormat="1" x14ac:dyDescent="0.35">
      <c r="A840" s="3" t="s">
        <v>8</v>
      </c>
      <c r="B840" s="3" t="s">
        <v>406</v>
      </c>
      <c r="C840" s="3" t="s">
        <v>20</v>
      </c>
      <c r="D840" s="3" t="s">
        <v>418</v>
      </c>
      <c r="E840" s="3" t="s">
        <v>12</v>
      </c>
      <c r="F840" s="3"/>
      <c r="G840" s="3"/>
      <c r="H840" s="3" t="s">
        <v>13</v>
      </c>
      <c r="I840" s="3" t="s">
        <v>59</v>
      </c>
    </row>
    <row r="841" spans="1:9" s="5" customFormat="1" x14ac:dyDescent="0.35">
      <c r="A841" s="3" t="s">
        <v>8</v>
      </c>
      <c r="B841" s="3" t="s">
        <v>406</v>
      </c>
      <c r="C841" s="3" t="s">
        <v>20</v>
      </c>
      <c r="D841" s="3" t="s">
        <v>418</v>
      </c>
      <c r="E841" s="3" t="s">
        <v>23</v>
      </c>
      <c r="F841" s="3"/>
      <c r="G841" s="3"/>
      <c r="H841" s="3" t="s">
        <v>13</v>
      </c>
      <c r="I841" s="3" t="s">
        <v>59</v>
      </c>
    </row>
    <row r="842" spans="1:9" s="5" customFormat="1" x14ac:dyDescent="0.35">
      <c r="A842" s="3" t="s">
        <v>8</v>
      </c>
      <c r="B842" s="3" t="s">
        <v>406</v>
      </c>
      <c r="C842" s="3" t="s">
        <v>20</v>
      </c>
      <c r="D842" s="3" t="s">
        <v>418</v>
      </c>
      <c r="E842" s="3" t="s">
        <v>27</v>
      </c>
      <c r="F842" s="3"/>
      <c r="G842" s="3"/>
      <c r="H842" s="3" t="s">
        <v>13</v>
      </c>
      <c r="I842" s="3" t="s">
        <v>59</v>
      </c>
    </row>
    <row r="843" spans="1:9" s="5" customFormat="1" x14ac:dyDescent="0.35">
      <c r="A843" s="3" t="s">
        <v>8</v>
      </c>
      <c r="B843" s="3" t="s">
        <v>406</v>
      </c>
      <c r="C843" s="3" t="s">
        <v>20</v>
      </c>
      <c r="D843" s="3" t="s">
        <v>418</v>
      </c>
      <c r="E843" s="3" t="s">
        <v>28</v>
      </c>
      <c r="F843" s="3"/>
      <c r="G843" s="3"/>
      <c r="H843" s="3" t="s">
        <v>13</v>
      </c>
      <c r="I843" s="3" t="s">
        <v>59</v>
      </c>
    </row>
    <row r="844" spans="1:9" s="5" customFormat="1" x14ac:dyDescent="0.35">
      <c r="A844" s="3" t="s">
        <v>8</v>
      </c>
      <c r="B844" s="3" t="s">
        <v>406</v>
      </c>
      <c r="C844" s="3" t="s">
        <v>20</v>
      </c>
      <c r="D844" s="3" t="s">
        <v>418</v>
      </c>
      <c r="E844" s="3" t="s">
        <v>31</v>
      </c>
      <c r="F844" s="3"/>
      <c r="G844" s="3"/>
      <c r="H844" s="3" t="s">
        <v>13</v>
      </c>
      <c r="I844" s="3" t="s">
        <v>59</v>
      </c>
    </row>
    <row r="845" spans="1:9" s="5" customFormat="1" x14ac:dyDescent="0.35">
      <c r="A845" s="3" t="s">
        <v>8</v>
      </c>
      <c r="B845" s="3" t="s">
        <v>406</v>
      </c>
      <c r="C845" s="3" t="s">
        <v>20</v>
      </c>
      <c r="D845" s="3" t="s">
        <v>418</v>
      </c>
      <c r="E845" s="3" t="s">
        <v>24</v>
      </c>
      <c r="F845" s="3"/>
      <c r="G845" s="3"/>
      <c r="H845" s="3" t="s">
        <v>13</v>
      </c>
      <c r="I845" s="3" t="s">
        <v>59</v>
      </c>
    </row>
    <row r="846" spans="1:9" s="5" customFormat="1" x14ac:dyDescent="0.35">
      <c r="A846" s="3" t="s">
        <v>8</v>
      </c>
      <c r="B846" s="3" t="s">
        <v>406</v>
      </c>
      <c r="C846" s="3" t="s">
        <v>20</v>
      </c>
      <c r="D846" s="3" t="s">
        <v>419</v>
      </c>
      <c r="E846" s="3" t="s">
        <v>12</v>
      </c>
      <c r="F846" s="3"/>
      <c r="G846" s="3"/>
      <c r="H846" s="3" t="s">
        <v>13</v>
      </c>
      <c r="I846" s="3" t="s">
        <v>69</v>
      </c>
    </row>
    <row r="847" spans="1:9" s="5" customFormat="1" x14ac:dyDescent="0.35">
      <c r="A847" s="3" t="s">
        <v>8</v>
      </c>
      <c r="B847" s="3" t="s">
        <v>406</v>
      </c>
      <c r="C847" s="3" t="s">
        <v>20</v>
      </c>
      <c r="D847" s="3" t="s">
        <v>419</v>
      </c>
      <c r="E847" s="3" t="s">
        <v>23</v>
      </c>
      <c r="F847" s="3"/>
      <c r="G847" s="3"/>
      <c r="H847" s="3" t="s">
        <v>13</v>
      </c>
      <c r="I847" s="3" t="s">
        <v>69</v>
      </c>
    </row>
    <row r="848" spans="1:9" s="5" customFormat="1" x14ac:dyDescent="0.35">
      <c r="A848" s="3" t="s">
        <v>8</v>
      </c>
      <c r="B848" s="3" t="s">
        <v>406</v>
      </c>
      <c r="C848" s="3" t="s">
        <v>20</v>
      </c>
      <c r="D848" s="3" t="s">
        <v>419</v>
      </c>
      <c r="E848" s="3" t="s">
        <v>27</v>
      </c>
      <c r="F848" s="3"/>
      <c r="G848" s="3"/>
      <c r="H848" s="3" t="s">
        <v>13</v>
      </c>
      <c r="I848" s="3" t="s">
        <v>409</v>
      </c>
    </row>
    <row r="849" spans="1:9" s="5" customFormat="1" x14ac:dyDescent="0.35">
      <c r="A849" s="3" t="s">
        <v>8</v>
      </c>
      <c r="B849" s="3" t="s">
        <v>406</v>
      </c>
      <c r="C849" s="3" t="s">
        <v>20</v>
      </c>
      <c r="D849" s="3" t="s">
        <v>419</v>
      </c>
      <c r="E849" s="3" t="s">
        <v>71</v>
      </c>
      <c r="F849" s="3"/>
      <c r="G849" s="3"/>
      <c r="H849" s="3" t="s">
        <v>13</v>
      </c>
      <c r="I849" s="3" t="s">
        <v>69</v>
      </c>
    </row>
    <row r="850" spans="1:9" s="5" customFormat="1" x14ac:dyDescent="0.35">
      <c r="A850" s="3" t="s">
        <v>8</v>
      </c>
      <c r="B850" s="3" t="s">
        <v>406</v>
      </c>
      <c r="C850" s="3" t="s">
        <v>20</v>
      </c>
      <c r="D850" s="3" t="s">
        <v>419</v>
      </c>
      <c r="E850" s="3" t="s">
        <v>31</v>
      </c>
      <c r="F850" s="3"/>
      <c r="G850" s="3"/>
      <c r="H850" s="3" t="s">
        <v>13</v>
      </c>
      <c r="I850" s="3" t="s">
        <v>409</v>
      </c>
    </row>
    <row r="851" spans="1:9" s="5" customFormat="1" x14ac:dyDescent="0.35">
      <c r="A851" s="3" t="s">
        <v>8</v>
      </c>
      <c r="B851" s="3" t="s">
        <v>406</v>
      </c>
      <c r="C851" s="3" t="s">
        <v>20</v>
      </c>
      <c r="D851" s="3" t="s">
        <v>419</v>
      </c>
      <c r="E851" s="3" t="s">
        <v>15</v>
      </c>
      <c r="F851" s="3" t="s">
        <v>16</v>
      </c>
      <c r="G851" s="3" t="s">
        <v>2916</v>
      </c>
      <c r="H851" s="3" t="s">
        <v>13</v>
      </c>
      <c r="I851" s="3" t="s">
        <v>69</v>
      </c>
    </row>
    <row r="852" spans="1:9" s="5" customFormat="1" x14ac:dyDescent="0.35">
      <c r="A852" s="3" t="s">
        <v>8</v>
      </c>
      <c r="B852" s="3" t="s">
        <v>406</v>
      </c>
      <c r="C852" s="3" t="s">
        <v>20</v>
      </c>
      <c r="D852" s="3" t="s">
        <v>419</v>
      </c>
      <c r="E852" s="3" t="s">
        <v>57</v>
      </c>
      <c r="F852" s="3"/>
      <c r="G852" s="3"/>
      <c r="H852" s="3" t="s">
        <v>13</v>
      </c>
      <c r="I852" s="3" t="s">
        <v>69</v>
      </c>
    </row>
    <row r="853" spans="1:9" s="5" customFormat="1" x14ac:dyDescent="0.35">
      <c r="A853" s="3" t="s">
        <v>8</v>
      </c>
      <c r="B853" s="3" t="s">
        <v>406</v>
      </c>
      <c r="C853" s="3" t="s">
        <v>20</v>
      </c>
      <c r="D853" s="3" t="s">
        <v>419</v>
      </c>
      <c r="E853" s="3" t="s">
        <v>56</v>
      </c>
      <c r="F853" s="3" t="s">
        <v>13</v>
      </c>
      <c r="G853" s="3" t="s">
        <v>420</v>
      </c>
      <c r="H853" s="3" t="s">
        <v>13</v>
      </c>
      <c r="I853" s="3" t="s">
        <v>69</v>
      </c>
    </row>
    <row r="854" spans="1:9" s="5" customFormat="1" x14ac:dyDescent="0.35">
      <c r="A854" s="3" t="s">
        <v>8</v>
      </c>
      <c r="B854" s="3" t="s">
        <v>406</v>
      </c>
      <c r="C854" s="3" t="s">
        <v>20</v>
      </c>
      <c r="D854" s="3" t="s">
        <v>419</v>
      </c>
      <c r="E854" s="3" t="s">
        <v>32</v>
      </c>
      <c r="F854" s="3" t="s">
        <v>33</v>
      </c>
      <c r="G854" s="3" t="s">
        <v>34</v>
      </c>
      <c r="H854" s="3" t="s">
        <v>13</v>
      </c>
      <c r="I854" s="3" t="s">
        <v>69</v>
      </c>
    </row>
    <row r="855" spans="1:9" s="5" customFormat="1" x14ac:dyDescent="0.35">
      <c r="A855" s="3" t="s">
        <v>8</v>
      </c>
      <c r="B855" s="3" t="s">
        <v>406</v>
      </c>
      <c r="C855" s="3" t="s">
        <v>20</v>
      </c>
      <c r="D855" s="3" t="s">
        <v>419</v>
      </c>
      <c r="E855" s="3" t="s">
        <v>24</v>
      </c>
      <c r="F855" s="3"/>
      <c r="G855" s="3"/>
      <c r="H855" s="3" t="s">
        <v>13</v>
      </c>
      <c r="I855" s="3" t="s">
        <v>69</v>
      </c>
    </row>
    <row r="856" spans="1:9" s="5" customFormat="1" x14ac:dyDescent="0.35">
      <c r="A856" s="3" t="s">
        <v>8</v>
      </c>
      <c r="B856" s="3" t="s">
        <v>406</v>
      </c>
      <c r="C856" s="3" t="s">
        <v>20</v>
      </c>
      <c r="D856" s="3" t="s">
        <v>419</v>
      </c>
      <c r="E856" s="3" t="s">
        <v>134</v>
      </c>
      <c r="F856" s="3"/>
      <c r="G856" s="3"/>
      <c r="H856" s="3" t="s">
        <v>13</v>
      </c>
      <c r="I856" s="3" t="s">
        <v>69</v>
      </c>
    </row>
    <row r="857" spans="1:9" s="5" customFormat="1" x14ac:dyDescent="0.35">
      <c r="A857" s="3" t="s">
        <v>8</v>
      </c>
      <c r="B857" s="3" t="s">
        <v>406</v>
      </c>
      <c r="C857" s="3" t="s">
        <v>10</v>
      </c>
      <c r="D857" s="3" t="s">
        <v>421</v>
      </c>
      <c r="E857" s="3" t="s">
        <v>15</v>
      </c>
      <c r="F857" s="3" t="s">
        <v>13</v>
      </c>
      <c r="G857" s="3" t="s">
        <v>422</v>
      </c>
      <c r="H857" s="3"/>
      <c r="I857" s="3"/>
    </row>
    <row r="858" spans="1:9" s="5" customFormat="1" x14ac:dyDescent="0.35">
      <c r="A858" s="3" t="s">
        <v>8</v>
      </c>
      <c r="B858" s="3" t="s">
        <v>406</v>
      </c>
      <c r="C858" s="3" t="s">
        <v>45</v>
      </c>
      <c r="D858" s="3" t="s">
        <v>423</v>
      </c>
      <c r="E858" s="3" t="s">
        <v>15</v>
      </c>
      <c r="F858" s="3" t="s">
        <v>13</v>
      </c>
      <c r="G858" s="3" t="s">
        <v>424</v>
      </c>
      <c r="H858" s="3"/>
      <c r="I858" s="3"/>
    </row>
    <row r="859" spans="1:9" s="5" customFormat="1" x14ac:dyDescent="0.35">
      <c r="A859" s="3" t="s">
        <v>8</v>
      </c>
      <c r="B859" s="3" t="s">
        <v>406</v>
      </c>
      <c r="C859" s="3" t="s">
        <v>45</v>
      </c>
      <c r="D859" s="3" t="s">
        <v>423</v>
      </c>
      <c r="E859" s="3" t="s">
        <v>32</v>
      </c>
      <c r="F859" s="3" t="s">
        <v>13</v>
      </c>
      <c r="G859" s="3" t="s">
        <v>425</v>
      </c>
      <c r="H859" s="3"/>
      <c r="I859" s="3"/>
    </row>
    <row r="860" spans="1:9" s="5" customFormat="1" x14ac:dyDescent="0.35">
      <c r="A860" s="3" t="s">
        <v>8</v>
      </c>
      <c r="B860" s="3" t="s">
        <v>406</v>
      </c>
      <c r="C860" s="3" t="s">
        <v>39</v>
      </c>
      <c r="D860" s="3" t="s">
        <v>426</v>
      </c>
      <c r="E860" s="3" t="s">
        <v>27</v>
      </c>
      <c r="F860" s="3" t="s">
        <v>16</v>
      </c>
      <c r="G860" s="3" t="s">
        <v>427</v>
      </c>
      <c r="H860" s="3" t="s">
        <v>13</v>
      </c>
      <c r="I860" s="3" t="s">
        <v>59</v>
      </c>
    </row>
    <row r="861" spans="1:9" s="5" customFormat="1" x14ac:dyDescent="0.35">
      <c r="A861" s="3" t="s">
        <v>8</v>
      </c>
      <c r="B861" s="3" t="s">
        <v>406</v>
      </c>
      <c r="C861" s="3" t="s">
        <v>39</v>
      </c>
      <c r="D861" s="3" t="s">
        <v>426</v>
      </c>
      <c r="E861" s="3" t="s">
        <v>31</v>
      </c>
      <c r="F861" s="3"/>
      <c r="G861" s="3"/>
      <c r="H861" s="3" t="s">
        <v>13</v>
      </c>
      <c r="I861" s="3" t="s">
        <v>59</v>
      </c>
    </row>
    <row r="862" spans="1:9" s="5" customFormat="1" x14ac:dyDescent="0.35">
      <c r="A862" s="3" t="s">
        <v>8</v>
      </c>
      <c r="B862" s="3" t="s">
        <v>406</v>
      </c>
      <c r="C862" s="3" t="s">
        <v>39</v>
      </c>
      <c r="D862" s="3" t="s">
        <v>426</v>
      </c>
      <c r="E862" s="3" t="s">
        <v>15</v>
      </c>
      <c r="F862" s="3" t="s">
        <v>13</v>
      </c>
      <c r="G862" s="3" t="s">
        <v>428</v>
      </c>
      <c r="H862" s="3" t="s">
        <v>13</v>
      </c>
      <c r="I862" s="3" t="s">
        <v>59</v>
      </c>
    </row>
    <row r="863" spans="1:9" s="5" customFormat="1" x14ac:dyDescent="0.35">
      <c r="A863" s="3" t="s">
        <v>8</v>
      </c>
      <c r="B863" s="3" t="s">
        <v>406</v>
      </c>
      <c r="C863" s="3" t="s">
        <v>39</v>
      </c>
      <c r="D863" s="3" t="s">
        <v>426</v>
      </c>
      <c r="E863" s="3" t="s">
        <v>32</v>
      </c>
      <c r="F863" s="3" t="s">
        <v>13</v>
      </c>
      <c r="G863" s="3" t="s">
        <v>429</v>
      </c>
      <c r="H863" s="3" t="s">
        <v>13</v>
      </c>
      <c r="I863" s="3" t="s">
        <v>59</v>
      </c>
    </row>
    <row r="864" spans="1:9" s="5" customFormat="1" x14ac:dyDescent="0.35">
      <c r="A864" s="3" t="s">
        <v>8</v>
      </c>
      <c r="B864" s="3" t="s">
        <v>430</v>
      </c>
      <c r="C864" s="3" t="s">
        <v>42</v>
      </c>
      <c r="D864" s="3" t="s">
        <v>431</v>
      </c>
      <c r="E864" s="3" t="s">
        <v>12</v>
      </c>
      <c r="F864" s="3"/>
      <c r="G864" s="3"/>
      <c r="H864" s="3"/>
      <c r="I864" s="3"/>
    </row>
    <row r="865" spans="1:9" s="5" customFormat="1" x14ac:dyDescent="0.35">
      <c r="A865" s="3" t="s">
        <v>8</v>
      </c>
      <c r="B865" s="3" t="s">
        <v>430</v>
      </c>
      <c r="C865" s="3" t="s">
        <v>42</v>
      </c>
      <c r="D865" s="3" t="s">
        <v>431</v>
      </c>
      <c r="E865" s="3" t="s">
        <v>36</v>
      </c>
      <c r="F865" s="3"/>
      <c r="G865" s="3"/>
      <c r="H865" s="3"/>
      <c r="I865" s="3"/>
    </row>
    <row r="866" spans="1:9" s="5" customFormat="1" x14ac:dyDescent="0.35">
      <c r="A866" s="3" t="s">
        <v>8</v>
      </c>
      <c r="B866" s="3" t="s">
        <v>430</v>
      </c>
      <c r="C866" s="3" t="s">
        <v>42</v>
      </c>
      <c r="D866" s="3" t="s">
        <v>431</v>
      </c>
      <c r="E866" s="3" t="s">
        <v>25</v>
      </c>
      <c r="F866" s="3"/>
      <c r="G866" s="3"/>
      <c r="H866" s="3"/>
      <c r="I866" s="3"/>
    </row>
    <row r="867" spans="1:9" s="5" customFormat="1" x14ac:dyDescent="0.35">
      <c r="A867" s="3" t="s">
        <v>8</v>
      </c>
      <c r="B867" s="3" t="s">
        <v>430</v>
      </c>
      <c r="C867" s="3" t="s">
        <v>42</v>
      </c>
      <c r="D867" s="3" t="s">
        <v>431</v>
      </c>
      <c r="E867" s="3" t="s">
        <v>142</v>
      </c>
      <c r="F867" s="3"/>
      <c r="G867" s="3"/>
      <c r="H867" s="3"/>
      <c r="I867" s="3"/>
    </row>
    <row r="868" spans="1:9" s="5" customFormat="1" x14ac:dyDescent="0.35">
      <c r="A868" s="3" t="s">
        <v>8</v>
      </c>
      <c r="B868" s="3" t="s">
        <v>430</v>
      </c>
      <c r="C868" s="3" t="s">
        <v>42</v>
      </c>
      <c r="D868" s="3" t="s">
        <v>431</v>
      </c>
      <c r="E868" s="3" t="s">
        <v>44</v>
      </c>
      <c r="F868" s="3"/>
      <c r="G868" s="3"/>
      <c r="H868" s="3"/>
      <c r="I868" s="3"/>
    </row>
    <row r="869" spans="1:9" s="5" customFormat="1" x14ac:dyDescent="0.35">
      <c r="A869" s="3" t="s">
        <v>8</v>
      </c>
      <c r="B869" s="3" t="s">
        <v>430</v>
      </c>
      <c r="C869" s="3" t="s">
        <v>42</v>
      </c>
      <c r="D869" s="3" t="s">
        <v>431</v>
      </c>
      <c r="E869" s="3" t="s">
        <v>98</v>
      </c>
      <c r="F869" s="3"/>
      <c r="G869" s="3"/>
      <c r="H869" s="3"/>
      <c r="I869" s="3"/>
    </row>
    <row r="870" spans="1:9" s="5" customFormat="1" x14ac:dyDescent="0.35">
      <c r="A870" s="3" t="s">
        <v>8</v>
      </c>
      <c r="B870" s="3" t="s">
        <v>430</v>
      </c>
      <c r="C870" s="3" t="s">
        <v>42</v>
      </c>
      <c r="D870" s="3" t="s">
        <v>431</v>
      </c>
      <c r="E870" s="3" t="s">
        <v>15</v>
      </c>
      <c r="F870" s="3" t="s">
        <v>16</v>
      </c>
      <c r="G870" s="3" t="s">
        <v>2764</v>
      </c>
      <c r="H870" s="3"/>
      <c r="I870" s="3"/>
    </row>
    <row r="871" spans="1:9" s="5" customFormat="1" x14ac:dyDescent="0.35">
      <c r="A871" s="3" t="s">
        <v>8</v>
      </c>
      <c r="B871" s="3" t="s">
        <v>430</v>
      </c>
      <c r="C871" s="3" t="s">
        <v>42</v>
      </c>
      <c r="D871" s="3" t="s">
        <v>431</v>
      </c>
      <c r="E871" s="3" t="s">
        <v>57</v>
      </c>
      <c r="F871" s="3"/>
      <c r="G871" s="3" t="s">
        <v>2308</v>
      </c>
      <c r="H871" s="3"/>
      <c r="I871" s="3"/>
    </row>
    <row r="872" spans="1:9" s="5" customFormat="1" x14ac:dyDescent="0.35">
      <c r="A872" s="3" t="s">
        <v>8</v>
      </c>
      <c r="B872" s="3" t="s">
        <v>430</v>
      </c>
      <c r="C872" s="3" t="s">
        <v>42</v>
      </c>
      <c r="D872" s="3" t="s">
        <v>431</v>
      </c>
      <c r="E872" s="3" t="s">
        <v>32</v>
      </c>
      <c r="F872" s="3"/>
      <c r="G872" s="3"/>
      <c r="H872" s="3"/>
      <c r="I872" s="3"/>
    </row>
    <row r="873" spans="1:9" s="5" customFormat="1" x14ac:dyDescent="0.35">
      <c r="A873" s="3" t="s">
        <v>8</v>
      </c>
      <c r="B873" s="3" t="s">
        <v>430</v>
      </c>
      <c r="C873" s="3" t="s">
        <v>42</v>
      </c>
      <c r="D873" s="3" t="s">
        <v>431</v>
      </c>
      <c r="E873" s="3" t="s">
        <v>82</v>
      </c>
      <c r="F873" s="3"/>
      <c r="G873" s="3"/>
      <c r="H873" s="3"/>
      <c r="I873" s="3"/>
    </row>
    <row r="874" spans="1:9" s="5" customFormat="1" x14ac:dyDescent="0.35">
      <c r="A874" s="3" t="s">
        <v>8</v>
      </c>
      <c r="B874" s="3" t="s">
        <v>430</v>
      </c>
      <c r="C874" s="3" t="s">
        <v>20</v>
      </c>
      <c r="D874" s="3" t="s">
        <v>432</v>
      </c>
      <c r="E874" s="3" t="s">
        <v>12</v>
      </c>
      <c r="F874" s="3"/>
      <c r="G874" s="3"/>
      <c r="H874" s="3"/>
      <c r="I874" s="3"/>
    </row>
    <row r="875" spans="1:9" s="5" customFormat="1" x14ac:dyDescent="0.35">
      <c r="A875" s="3" t="s">
        <v>8</v>
      </c>
      <c r="B875" s="3" t="s">
        <v>430</v>
      </c>
      <c r="C875" s="3" t="s">
        <v>20</v>
      </c>
      <c r="D875" s="3" t="s">
        <v>432</v>
      </c>
      <c r="E875" s="3" t="s">
        <v>60</v>
      </c>
      <c r="F875" s="3"/>
      <c r="G875" s="3"/>
      <c r="H875" s="3"/>
      <c r="I875" s="3"/>
    </row>
    <row r="876" spans="1:9" s="5" customFormat="1" x14ac:dyDescent="0.35">
      <c r="A876" s="3" t="s">
        <v>8</v>
      </c>
      <c r="B876" s="3" t="s">
        <v>430</v>
      </c>
      <c r="C876" s="3" t="s">
        <v>20</v>
      </c>
      <c r="D876" s="3" t="s">
        <v>432</v>
      </c>
      <c r="E876" s="3" t="s">
        <v>56</v>
      </c>
      <c r="F876" s="3" t="s">
        <v>13</v>
      </c>
      <c r="G876" s="3" t="s">
        <v>433</v>
      </c>
      <c r="H876" s="3"/>
      <c r="I876" s="3"/>
    </row>
    <row r="877" spans="1:9" s="5" customFormat="1" x14ac:dyDescent="0.35">
      <c r="A877" s="3" t="s">
        <v>8</v>
      </c>
      <c r="B877" s="3" t="s">
        <v>430</v>
      </c>
      <c r="C877" s="3" t="s">
        <v>39</v>
      </c>
      <c r="D877" s="3" t="s">
        <v>434</v>
      </c>
      <c r="E877" s="3" t="s">
        <v>28</v>
      </c>
      <c r="F877" s="3"/>
      <c r="G877" s="3"/>
      <c r="H877" s="3"/>
      <c r="I877" s="3"/>
    </row>
    <row r="878" spans="1:9" s="5" customFormat="1" x14ac:dyDescent="0.35">
      <c r="A878" s="3" t="s">
        <v>8</v>
      </c>
      <c r="B878" s="3" t="s">
        <v>430</v>
      </c>
      <c r="C878" s="3" t="s">
        <v>39</v>
      </c>
      <c r="D878" s="3" t="s">
        <v>434</v>
      </c>
      <c r="E878" s="3" t="s">
        <v>87</v>
      </c>
      <c r="F878" s="3"/>
      <c r="G878" s="3"/>
      <c r="H878" s="3"/>
      <c r="I878" s="3"/>
    </row>
    <row r="879" spans="1:9" s="5" customFormat="1" x14ac:dyDescent="0.35">
      <c r="A879" s="3" t="s">
        <v>8</v>
      </c>
      <c r="B879" s="3" t="s">
        <v>430</v>
      </c>
      <c r="C879" s="3" t="s">
        <v>39</v>
      </c>
      <c r="D879" s="3" t="s">
        <v>434</v>
      </c>
      <c r="E879" s="3" t="s">
        <v>15</v>
      </c>
      <c r="F879" s="3" t="s">
        <v>13</v>
      </c>
      <c r="G879" s="3" t="s">
        <v>435</v>
      </c>
      <c r="H879" s="3"/>
      <c r="I879" s="3"/>
    </row>
    <row r="880" spans="1:9" s="5" customFormat="1" x14ac:dyDescent="0.35">
      <c r="A880" s="3" t="s">
        <v>8</v>
      </c>
      <c r="B880" s="3" t="s">
        <v>430</v>
      </c>
      <c r="C880" s="3" t="s">
        <v>10</v>
      </c>
      <c r="D880" s="3" t="s">
        <v>436</v>
      </c>
      <c r="E880" s="3" t="s">
        <v>15</v>
      </c>
      <c r="F880" s="3" t="s">
        <v>16</v>
      </c>
      <c r="G880" s="3" t="s">
        <v>437</v>
      </c>
      <c r="H880" s="3"/>
      <c r="I880" s="3"/>
    </row>
    <row r="881" spans="1:9" s="5" customFormat="1" x14ac:dyDescent="0.35">
      <c r="A881" s="3" t="s">
        <v>8</v>
      </c>
      <c r="B881" s="3" t="s">
        <v>430</v>
      </c>
      <c r="C881" s="3" t="s">
        <v>10</v>
      </c>
      <c r="D881" s="3" t="s">
        <v>436</v>
      </c>
      <c r="E881" s="3" t="s">
        <v>32</v>
      </c>
      <c r="F881" s="3"/>
      <c r="G881" s="3"/>
      <c r="H881" s="3"/>
      <c r="I881" s="3"/>
    </row>
    <row r="882" spans="1:9" s="5" customFormat="1" x14ac:dyDescent="0.35">
      <c r="A882" s="3" t="s">
        <v>8</v>
      </c>
      <c r="B882" s="3" t="s">
        <v>430</v>
      </c>
      <c r="C882" s="3" t="s">
        <v>20</v>
      </c>
      <c r="D882" s="3" t="s">
        <v>438</v>
      </c>
      <c r="E882" s="3" t="s">
        <v>23</v>
      </c>
      <c r="F882" s="3"/>
      <c r="G882" s="3"/>
      <c r="H882" s="3"/>
      <c r="I882" s="3"/>
    </row>
    <row r="883" spans="1:9" s="5" customFormat="1" x14ac:dyDescent="0.35">
      <c r="A883" s="3" t="s">
        <v>8</v>
      </c>
      <c r="B883" s="3" t="s">
        <v>430</v>
      </c>
      <c r="C883" s="3" t="s">
        <v>20</v>
      </c>
      <c r="D883" s="3" t="s">
        <v>438</v>
      </c>
      <c r="E883" s="3" t="s">
        <v>25</v>
      </c>
      <c r="F883" s="3"/>
      <c r="G883" s="3"/>
      <c r="H883" s="3"/>
      <c r="I883" s="3"/>
    </row>
    <row r="884" spans="1:9" s="5" customFormat="1" x14ac:dyDescent="0.35">
      <c r="A884" s="3" t="s">
        <v>8</v>
      </c>
      <c r="B884" s="3" t="s">
        <v>430</v>
      </c>
      <c r="C884" s="3" t="s">
        <v>20</v>
      </c>
      <c r="D884" s="3" t="s">
        <v>438</v>
      </c>
      <c r="E884" s="3" t="s">
        <v>142</v>
      </c>
      <c r="F884" s="3"/>
      <c r="G884" s="3"/>
      <c r="H884" s="3"/>
      <c r="I884" s="3"/>
    </row>
    <row r="885" spans="1:9" s="5" customFormat="1" x14ac:dyDescent="0.35">
      <c r="A885" s="3" t="s">
        <v>8</v>
      </c>
      <c r="B885" s="3" t="s">
        <v>430</v>
      </c>
      <c r="C885" s="3" t="s">
        <v>20</v>
      </c>
      <c r="D885" s="3" t="s">
        <v>438</v>
      </c>
      <c r="E885" s="3" t="s">
        <v>28</v>
      </c>
      <c r="F885" s="3"/>
      <c r="G885" s="3"/>
      <c r="H885" s="3"/>
      <c r="I885" s="3"/>
    </row>
    <row r="886" spans="1:9" s="5" customFormat="1" x14ac:dyDescent="0.35">
      <c r="A886" s="3" t="s">
        <v>8</v>
      </c>
      <c r="B886" s="3" t="s">
        <v>430</v>
      </c>
      <c r="C886" s="3" t="s">
        <v>20</v>
      </c>
      <c r="D886" s="3" t="s">
        <v>438</v>
      </c>
      <c r="E886" s="3" t="s">
        <v>56</v>
      </c>
      <c r="F886" s="3" t="s">
        <v>13</v>
      </c>
      <c r="G886" s="3" t="s">
        <v>439</v>
      </c>
      <c r="H886" s="3"/>
      <c r="I886" s="3"/>
    </row>
    <row r="887" spans="1:9" s="5" customFormat="1" x14ac:dyDescent="0.35">
      <c r="A887" s="3" t="s">
        <v>8</v>
      </c>
      <c r="B887" s="3" t="s">
        <v>430</v>
      </c>
      <c r="C887" s="3" t="s">
        <v>20</v>
      </c>
      <c r="D887" s="3" t="s">
        <v>438</v>
      </c>
      <c r="E887" s="3" t="s">
        <v>89</v>
      </c>
      <c r="F887" s="3"/>
      <c r="G887" s="3"/>
      <c r="H887" s="3"/>
      <c r="I887" s="3"/>
    </row>
    <row r="888" spans="1:9" s="5" customFormat="1" x14ac:dyDescent="0.35">
      <c r="A888" s="3" t="s">
        <v>8</v>
      </c>
      <c r="B888" s="3" t="s">
        <v>430</v>
      </c>
      <c r="C888" s="3" t="s">
        <v>20</v>
      </c>
      <c r="D888" s="3" t="s">
        <v>438</v>
      </c>
      <c r="E888" s="3" t="s">
        <v>29</v>
      </c>
      <c r="F888" s="3"/>
      <c r="G888" s="3"/>
      <c r="H888" s="3"/>
      <c r="I888" s="3"/>
    </row>
    <row r="889" spans="1:9" s="5" customFormat="1" x14ac:dyDescent="0.35">
      <c r="A889" s="3" t="s">
        <v>8</v>
      </c>
      <c r="B889" s="3" t="s">
        <v>430</v>
      </c>
      <c r="C889" s="3" t="s">
        <v>20</v>
      </c>
      <c r="D889" s="3" t="s">
        <v>440</v>
      </c>
      <c r="E889" s="3" t="s">
        <v>25</v>
      </c>
      <c r="F889" s="3"/>
      <c r="G889" s="3"/>
      <c r="H889" s="3"/>
      <c r="I889" s="3"/>
    </row>
    <row r="890" spans="1:9" s="5" customFormat="1" x14ac:dyDescent="0.35">
      <c r="A890" s="3" t="s">
        <v>8</v>
      </c>
      <c r="B890" s="3" t="s">
        <v>430</v>
      </c>
      <c r="C890" s="3" t="s">
        <v>20</v>
      </c>
      <c r="D890" s="3" t="s">
        <v>440</v>
      </c>
      <c r="E890" s="3" t="s">
        <v>15</v>
      </c>
      <c r="F890" s="3" t="s">
        <v>13</v>
      </c>
      <c r="G890" s="3" t="s">
        <v>365</v>
      </c>
      <c r="H890" s="3"/>
      <c r="I890" s="3"/>
    </row>
    <row r="891" spans="1:9" s="5" customFormat="1" x14ac:dyDescent="0.35">
      <c r="A891" s="3" t="s">
        <v>8</v>
      </c>
      <c r="B891" s="3" t="s">
        <v>430</v>
      </c>
      <c r="C891" s="3" t="s">
        <v>20</v>
      </c>
      <c r="D891" s="3" t="s">
        <v>441</v>
      </c>
      <c r="E891" s="3" t="s">
        <v>60</v>
      </c>
      <c r="F891" s="3"/>
      <c r="G891" s="3"/>
      <c r="H891" s="3"/>
      <c r="I891" s="3"/>
    </row>
    <row r="892" spans="1:9" s="5" customFormat="1" x14ac:dyDescent="0.35">
      <c r="A892" s="3" t="s">
        <v>8</v>
      </c>
      <c r="B892" s="3" t="s">
        <v>2501</v>
      </c>
      <c r="C892" s="3" t="s">
        <v>42</v>
      </c>
      <c r="D892" s="3" t="s">
        <v>2502</v>
      </c>
      <c r="E892" s="3" t="s">
        <v>12</v>
      </c>
      <c r="F892" s="3"/>
      <c r="G892" s="3"/>
      <c r="H892" s="3" t="s">
        <v>16</v>
      </c>
      <c r="I892" s="3" t="s">
        <v>1459</v>
      </c>
    </row>
    <row r="893" spans="1:9" s="5" customFormat="1" x14ac:dyDescent="0.35">
      <c r="A893" s="3" t="s">
        <v>8</v>
      </c>
      <c r="B893" s="3" t="s">
        <v>2501</v>
      </c>
      <c r="C893" s="3" t="s">
        <v>42</v>
      </c>
      <c r="D893" s="3" t="s">
        <v>2502</v>
      </c>
      <c r="E893" s="3" t="s">
        <v>27</v>
      </c>
      <c r="F893" s="3" t="s">
        <v>16</v>
      </c>
      <c r="G893" s="3" t="s">
        <v>2503</v>
      </c>
      <c r="H893" s="3" t="s">
        <v>16</v>
      </c>
      <c r="I893" s="3" t="s">
        <v>1459</v>
      </c>
    </row>
    <row r="894" spans="1:9" s="5" customFormat="1" x14ac:dyDescent="0.35">
      <c r="A894" s="3" t="s">
        <v>8</v>
      </c>
      <c r="B894" s="3" t="s">
        <v>2501</v>
      </c>
      <c r="C894" s="3" t="s">
        <v>42</v>
      </c>
      <c r="D894" s="3" t="s">
        <v>2502</v>
      </c>
      <c r="E894" s="3" t="s">
        <v>98</v>
      </c>
      <c r="F894" s="3"/>
      <c r="G894" s="3"/>
      <c r="H894" s="3" t="s">
        <v>16</v>
      </c>
      <c r="I894" s="3" t="s">
        <v>1459</v>
      </c>
    </row>
    <row r="895" spans="1:9" s="5" customFormat="1" x14ac:dyDescent="0.35">
      <c r="A895" s="3" t="s">
        <v>8</v>
      </c>
      <c r="B895" s="3" t="s">
        <v>2501</v>
      </c>
      <c r="C895" s="3" t="s">
        <v>42</v>
      </c>
      <c r="D895" s="3" t="s">
        <v>2502</v>
      </c>
      <c r="E895" s="3" t="s">
        <v>62</v>
      </c>
      <c r="F895" s="3"/>
      <c r="G895" s="3"/>
      <c r="H895" s="3" t="s">
        <v>16</v>
      </c>
      <c r="I895" s="3" t="s">
        <v>1459</v>
      </c>
    </row>
    <row r="896" spans="1:9" s="5" customFormat="1" x14ac:dyDescent="0.35">
      <c r="A896" s="3" t="s">
        <v>8</v>
      </c>
      <c r="B896" s="3" t="s">
        <v>2501</v>
      </c>
      <c r="C896" s="3" t="s">
        <v>42</v>
      </c>
      <c r="D896" s="3" t="s">
        <v>2502</v>
      </c>
      <c r="E896" s="3" t="s">
        <v>24</v>
      </c>
      <c r="F896" s="3"/>
      <c r="G896" s="3"/>
      <c r="H896" s="3" t="s">
        <v>16</v>
      </c>
      <c r="I896" s="3" t="s">
        <v>1459</v>
      </c>
    </row>
    <row r="897" spans="1:9" s="5" customFormat="1" x14ac:dyDescent="0.35">
      <c r="A897" s="3" t="s">
        <v>8</v>
      </c>
      <c r="B897" s="3" t="s">
        <v>2501</v>
      </c>
      <c r="C897" s="3" t="s">
        <v>42</v>
      </c>
      <c r="D897" s="3" t="s">
        <v>2502</v>
      </c>
      <c r="E897" s="3" t="s">
        <v>134</v>
      </c>
      <c r="F897" s="3"/>
      <c r="G897" s="3"/>
      <c r="H897" s="3" t="s">
        <v>16</v>
      </c>
      <c r="I897" s="3" t="s">
        <v>1459</v>
      </c>
    </row>
    <row r="898" spans="1:9" s="5" customFormat="1" x14ac:dyDescent="0.35">
      <c r="A898" s="3" t="s">
        <v>8</v>
      </c>
      <c r="B898" s="3" t="s">
        <v>442</v>
      </c>
      <c r="C898" s="3" t="s">
        <v>10</v>
      </c>
      <c r="D898" s="3" t="s">
        <v>443</v>
      </c>
      <c r="E898" s="3" t="s">
        <v>12</v>
      </c>
      <c r="F898" s="3"/>
      <c r="G898" s="3"/>
      <c r="H898" s="3" t="s">
        <v>13</v>
      </c>
      <c r="I898" s="3" t="s">
        <v>69</v>
      </c>
    </row>
    <row r="899" spans="1:9" s="5" customFormat="1" x14ac:dyDescent="0.35">
      <c r="A899" s="3" t="s">
        <v>8</v>
      </c>
      <c r="B899" s="3" t="s">
        <v>442</v>
      </c>
      <c r="C899" s="3" t="s">
        <v>10</v>
      </c>
      <c r="D899" s="3" t="s">
        <v>443</v>
      </c>
      <c r="E899" s="3" t="s">
        <v>15</v>
      </c>
      <c r="F899" s="3" t="s">
        <v>13</v>
      </c>
      <c r="G899" s="3" t="s">
        <v>444</v>
      </c>
      <c r="H899" s="3" t="s">
        <v>13</v>
      </c>
      <c r="I899" s="3" t="s">
        <v>69</v>
      </c>
    </row>
    <row r="900" spans="1:9" s="5" customFormat="1" x14ac:dyDescent="0.35">
      <c r="A900" s="3" t="s">
        <v>8</v>
      </c>
      <c r="B900" s="3" t="s">
        <v>442</v>
      </c>
      <c r="C900" s="3" t="s">
        <v>10</v>
      </c>
      <c r="D900" s="3" t="s">
        <v>443</v>
      </c>
      <c r="E900" s="3" t="s">
        <v>32</v>
      </c>
      <c r="F900" s="3" t="s">
        <v>13</v>
      </c>
      <c r="G900" s="3" t="s">
        <v>425</v>
      </c>
      <c r="H900" s="3" t="s">
        <v>13</v>
      </c>
      <c r="I900" s="3" t="s">
        <v>69</v>
      </c>
    </row>
    <row r="901" spans="1:9" s="5" customFormat="1" x14ac:dyDescent="0.35">
      <c r="A901" s="3" t="s">
        <v>8</v>
      </c>
      <c r="B901" s="3" t="s">
        <v>442</v>
      </c>
      <c r="C901" s="3" t="s">
        <v>10</v>
      </c>
      <c r="D901" s="3" t="s">
        <v>445</v>
      </c>
      <c r="E901" s="3" t="s">
        <v>77</v>
      </c>
      <c r="F901" s="3"/>
      <c r="G901" s="3"/>
      <c r="H901" s="3" t="s">
        <v>13</v>
      </c>
      <c r="I901" s="3" t="s">
        <v>59</v>
      </c>
    </row>
    <row r="902" spans="1:9" s="5" customFormat="1" x14ac:dyDescent="0.35">
      <c r="A902" s="3" t="s">
        <v>8</v>
      </c>
      <c r="B902" s="3" t="s">
        <v>442</v>
      </c>
      <c r="C902" s="3" t="s">
        <v>10</v>
      </c>
      <c r="D902" s="3" t="s">
        <v>445</v>
      </c>
      <c r="E902" s="3" t="s">
        <v>15</v>
      </c>
      <c r="F902" s="3" t="s">
        <v>33</v>
      </c>
      <c r="G902" s="3" t="s">
        <v>314</v>
      </c>
      <c r="H902" s="3" t="s">
        <v>13</v>
      </c>
      <c r="I902" s="3" t="s">
        <v>59</v>
      </c>
    </row>
    <row r="903" spans="1:9" s="5" customFormat="1" x14ac:dyDescent="0.35">
      <c r="A903" s="3" t="s">
        <v>8</v>
      </c>
      <c r="B903" s="3" t="s">
        <v>442</v>
      </c>
      <c r="C903" s="3" t="s">
        <v>10</v>
      </c>
      <c r="D903" s="3" t="s">
        <v>445</v>
      </c>
      <c r="E903" s="3" t="s">
        <v>89</v>
      </c>
      <c r="F903" s="3"/>
      <c r="G903" s="3"/>
      <c r="H903" s="3" t="s">
        <v>13</v>
      </c>
      <c r="I903" s="3" t="s">
        <v>59</v>
      </c>
    </row>
    <row r="904" spans="1:9" s="5" customFormat="1" x14ac:dyDescent="0.35">
      <c r="A904" s="3" t="s">
        <v>8</v>
      </c>
      <c r="B904" s="3" t="s">
        <v>2617</v>
      </c>
      <c r="C904" s="3" t="s">
        <v>42</v>
      </c>
      <c r="D904" s="3" t="s">
        <v>2618</v>
      </c>
      <c r="E904" s="3" t="s">
        <v>12</v>
      </c>
      <c r="F904" s="3"/>
      <c r="G904" s="3"/>
      <c r="H904" s="3"/>
      <c r="I904" s="3"/>
    </row>
    <row r="905" spans="1:9" s="5" customFormat="1" x14ac:dyDescent="0.35">
      <c r="A905" s="3" t="s">
        <v>8</v>
      </c>
      <c r="B905" s="3" t="s">
        <v>2617</v>
      </c>
      <c r="C905" s="3" t="s">
        <v>42</v>
      </c>
      <c r="D905" s="3" t="s">
        <v>2618</v>
      </c>
      <c r="E905" s="3" t="s">
        <v>27</v>
      </c>
      <c r="F905" s="3"/>
      <c r="G905" s="3"/>
      <c r="H905" s="3"/>
      <c r="I905" s="3"/>
    </row>
    <row r="906" spans="1:9" s="5" customFormat="1" x14ac:dyDescent="0.35">
      <c r="A906" s="3" t="s">
        <v>8</v>
      </c>
      <c r="B906" s="3" t="s">
        <v>2617</v>
      </c>
      <c r="C906" s="3" t="s">
        <v>42</v>
      </c>
      <c r="D906" s="3" t="s">
        <v>2618</v>
      </c>
      <c r="E906" s="3" t="s">
        <v>56</v>
      </c>
      <c r="F906" s="3" t="s">
        <v>16</v>
      </c>
      <c r="G906" s="3" t="s">
        <v>2619</v>
      </c>
      <c r="H906" s="3"/>
      <c r="I906" s="3"/>
    </row>
    <row r="907" spans="1:9" s="5" customFormat="1" x14ac:dyDescent="0.35">
      <c r="A907" s="3" t="s">
        <v>8</v>
      </c>
      <c r="B907" s="3" t="s">
        <v>446</v>
      </c>
      <c r="C907" s="3" t="s">
        <v>42</v>
      </c>
      <c r="D907" s="3" t="s">
        <v>447</v>
      </c>
      <c r="E907" s="3" t="s">
        <v>12</v>
      </c>
      <c r="F907" s="3"/>
      <c r="G907" s="3"/>
      <c r="H907" s="3" t="s">
        <v>13</v>
      </c>
      <c r="I907" s="3" t="s">
        <v>448</v>
      </c>
    </row>
    <row r="908" spans="1:9" s="5" customFormat="1" x14ac:dyDescent="0.35">
      <c r="A908" s="3" t="s">
        <v>8</v>
      </c>
      <c r="B908" s="3" t="s">
        <v>446</v>
      </c>
      <c r="C908" s="3" t="s">
        <v>42</v>
      </c>
      <c r="D908" s="3" t="s">
        <v>447</v>
      </c>
      <c r="E908" s="3" t="s">
        <v>36</v>
      </c>
      <c r="F908" s="3"/>
      <c r="G908" s="3"/>
      <c r="H908" s="3" t="s">
        <v>13</v>
      </c>
      <c r="I908" s="3" t="s">
        <v>448</v>
      </c>
    </row>
    <row r="909" spans="1:9" s="5" customFormat="1" x14ac:dyDescent="0.35">
      <c r="A909" s="3" t="s">
        <v>8</v>
      </c>
      <c r="B909" s="3" t="s">
        <v>446</v>
      </c>
      <c r="C909" s="3" t="s">
        <v>42</v>
      </c>
      <c r="D909" s="3" t="s">
        <v>447</v>
      </c>
      <c r="E909" s="3" t="s">
        <v>25</v>
      </c>
      <c r="F909" s="3"/>
      <c r="G909" s="3"/>
      <c r="H909" s="3" t="s">
        <v>13</v>
      </c>
      <c r="I909" s="3" t="s">
        <v>448</v>
      </c>
    </row>
    <row r="910" spans="1:9" s="5" customFormat="1" x14ac:dyDescent="0.35">
      <c r="A910" s="3" t="s">
        <v>8</v>
      </c>
      <c r="B910" s="3" t="s">
        <v>446</v>
      </c>
      <c r="C910" s="3" t="s">
        <v>42</v>
      </c>
      <c r="D910" s="3" t="s">
        <v>447</v>
      </c>
      <c r="E910" s="3" t="s">
        <v>71</v>
      </c>
      <c r="F910" s="3"/>
      <c r="G910" s="3"/>
      <c r="H910" s="3" t="s">
        <v>13</v>
      </c>
      <c r="I910" s="3" t="s">
        <v>448</v>
      </c>
    </row>
    <row r="911" spans="1:9" s="5" customFormat="1" x14ac:dyDescent="0.35">
      <c r="A911" s="3" t="s">
        <v>8</v>
      </c>
      <c r="B911" s="3" t="s">
        <v>446</v>
      </c>
      <c r="C911" s="3" t="s">
        <v>42</v>
      </c>
      <c r="D911" s="3" t="s">
        <v>447</v>
      </c>
      <c r="E911" s="3" t="s">
        <v>44</v>
      </c>
      <c r="F911" s="3"/>
      <c r="G911" s="3"/>
      <c r="H911" s="3" t="s">
        <v>13</v>
      </c>
      <c r="I911" s="3" t="s">
        <v>448</v>
      </c>
    </row>
    <row r="912" spans="1:9" s="5" customFormat="1" x14ac:dyDescent="0.35">
      <c r="A912" s="3" t="s">
        <v>8</v>
      </c>
      <c r="B912" s="3" t="s">
        <v>446</v>
      </c>
      <c r="C912" s="3" t="s">
        <v>42</v>
      </c>
      <c r="D912" s="3" t="s">
        <v>447</v>
      </c>
      <c r="E912" s="3" t="s">
        <v>28</v>
      </c>
      <c r="F912" s="3"/>
      <c r="G912" s="3" t="s">
        <v>2361</v>
      </c>
      <c r="H912" s="3" t="s">
        <v>13</v>
      </c>
      <c r="I912" s="3" t="s">
        <v>448</v>
      </c>
    </row>
    <row r="913" spans="1:9" s="5" customFormat="1" x14ac:dyDescent="0.35">
      <c r="A913" s="3" t="s">
        <v>8</v>
      </c>
      <c r="B913" s="3" t="s">
        <v>446</v>
      </c>
      <c r="C913" s="3" t="s">
        <v>42</v>
      </c>
      <c r="D913" s="3" t="s">
        <v>447</v>
      </c>
      <c r="E913" s="3" t="s">
        <v>15</v>
      </c>
      <c r="F913" s="3"/>
      <c r="G913" s="3" t="s">
        <v>2790</v>
      </c>
      <c r="H913" s="3" t="s">
        <v>13</v>
      </c>
      <c r="I913" s="3" t="s">
        <v>448</v>
      </c>
    </row>
    <row r="914" spans="1:9" s="5" customFormat="1" x14ac:dyDescent="0.35">
      <c r="A914" s="3" t="s">
        <v>8</v>
      </c>
      <c r="B914" s="3" t="s">
        <v>446</v>
      </c>
      <c r="C914" s="3" t="s">
        <v>42</v>
      </c>
      <c r="D914" s="3" t="s">
        <v>447</v>
      </c>
      <c r="E914" s="3" t="s">
        <v>57</v>
      </c>
      <c r="F914" s="3"/>
      <c r="G914" s="3"/>
      <c r="H914" s="3" t="s">
        <v>13</v>
      </c>
      <c r="I914" s="3" t="s">
        <v>448</v>
      </c>
    </row>
    <row r="915" spans="1:9" s="5" customFormat="1" x14ac:dyDescent="0.35">
      <c r="A915" s="3" t="s">
        <v>8</v>
      </c>
      <c r="B915" s="3" t="s">
        <v>446</v>
      </c>
      <c r="C915" s="3" t="s">
        <v>42</v>
      </c>
      <c r="D915" s="3" t="s">
        <v>447</v>
      </c>
      <c r="E915" s="3" t="s">
        <v>175</v>
      </c>
      <c r="F915" s="3"/>
      <c r="G915" s="3"/>
      <c r="H915" s="3" t="s">
        <v>13</v>
      </c>
      <c r="I915" s="3" t="s">
        <v>448</v>
      </c>
    </row>
    <row r="916" spans="1:9" s="5" customFormat="1" x14ac:dyDescent="0.35">
      <c r="A916" s="3" t="s">
        <v>8</v>
      </c>
      <c r="B916" s="3" t="s">
        <v>446</v>
      </c>
      <c r="C916" s="3" t="s">
        <v>42</v>
      </c>
      <c r="D916" s="3" t="s">
        <v>447</v>
      </c>
      <c r="E916" s="3" t="s">
        <v>89</v>
      </c>
      <c r="F916" s="3"/>
      <c r="G916" s="3"/>
      <c r="H916" s="3" t="s">
        <v>13</v>
      </c>
      <c r="I916" s="3" t="s">
        <v>448</v>
      </c>
    </row>
    <row r="917" spans="1:9" s="5" customFormat="1" x14ac:dyDescent="0.35">
      <c r="A917" s="3" t="s">
        <v>8</v>
      </c>
      <c r="B917" s="3" t="s">
        <v>446</v>
      </c>
      <c r="C917" s="3" t="s">
        <v>42</v>
      </c>
      <c r="D917" s="3" t="s">
        <v>447</v>
      </c>
      <c r="E917" s="3" t="s">
        <v>32</v>
      </c>
      <c r="F917" s="3" t="s">
        <v>13</v>
      </c>
      <c r="G917" s="3" t="s">
        <v>449</v>
      </c>
      <c r="H917" s="3" t="s">
        <v>13</v>
      </c>
      <c r="I917" s="3" t="s">
        <v>448</v>
      </c>
    </row>
    <row r="918" spans="1:9" s="5" customFormat="1" x14ac:dyDescent="0.35">
      <c r="A918" s="3" t="s">
        <v>8</v>
      </c>
      <c r="B918" s="3" t="s">
        <v>446</v>
      </c>
      <c r="C918" s="3" t="s">
        <v>42</v>
      </c>
      <c r="D918" s="3" t="s">
        <v>447</v>
      </c>
      <c r="E918" s="3" t="s">
        <v>107</v>
      </c>
      <c r="F918" s="3" t="s">
        <v>13</v>
      </c>
      <c r="G918" s="3" t="s">
        <v>325</v>
      </c>
      <c r="H918" s="3" t="s">
        <v>13</v>
      </c>
      <c r="I918" s="3" t="s">
        <v>448</v>
      </c>
    </row>
    <row r="919" spans="1:9" s="5" customFormat="1" x14ac:dyDescent="0.35">
      <c r="A919" s="3" t="s">
        <v>8</v>
      </c>
      <c r="B919" s="3" t="s">
        <v>446</v>
      </c>
      <c r="C919" s="3" t="s">
        <v>42</v>
      </c>
      <c r="D919" s="3" t="s">
        <v>447</v>
      </c>
      <c r="E919" s="3" t="s">
        <v>82</v>
      </c>
      <c r="F919" s="3" t="s">
        <v>13</v>
      </c>
      <c r="G919" s="3" t="s">
        <v>325</v>
      </c>
      <c r="H919" s="3" t="s">
        <v>13</v>
      </c>
      <c r="I919" s="3" t="s">
        <v>448</v>
      </c>
    </row>
    <row r="920" spans="1:9" s="5" customFormat="1" x14ac:dyDescent="0.35">
      <c r="A920" s="3" t="s">
        <v>8</v>
      </c>
      <c r="B920" s="3" t="s">
        <v>446</v>
      </c>
      <c r="C920" s="3" t="s">
        <v>10</v>
      </c>
      <c r="D920" s="3" t="s">
        <v>450</v>
      </c>
      <c r="E920" s="3" t="s">
        <v>28</v>
      </c>
      <c r="F920" s="3"/>
      <c r="G920" s="3"/>
      <c r="H920" s="3" t="s">
        <v>13</v>
      </c>
      <c r="I920" s="3" t="s">
        <v>451</v>
      </c>
    </row>
    <row r="921" spans="1:9" s="5" customFormat="1" x14ac:dyDescent="0.35">
      <c r="A921" s="3" t="s">
        <v>8</v>
      </c>
      <c r="B921" s="3" t="s">
        <v>446</v>
      </c>
      <c r="C921" s="3" t="s">
        <v>10</v>
      </c>
      <c r="D921" s="3" t="s">
        <v>450</v>
      </c>
      <c r="E921" s="3" t="s">
        <v>15</v>
      </c>
      <c r="F921" s="3" t="s">
        <v>13</v>
      </c>
      <c r="G921" s="3" t="s">
        <v>452</v>
      </c>
      <c r="H921" s="3" t="s">
        <v>13</v>
      </c>
      <c r="I921" s="3" t="s">
        <v>451</v>
      </c>
    </row>
    <row r="922" spans="1:9" s="5" customFormat="1" x14ac:dyDescent="0.35">
      <c r="A922" s="3" t="s">
        <v>8</v>
      </c>
      <c r="B922" s="3" t="s">
        <v>446</v>
      </c>
      <c r="C922" s="3" t="s">
        <v>10</v>
      </c>
      <c r="D922" s="3" t="s">
        <v>450</v>
      </c>
      <c r="E922" s="3" t="s">
        <v>32</v>
      </c>
      <c r="F922" s="3" t="s">
        <v>13</v>
      </c>
      <c r="G922" s="3" t="s">
        <v>453</v>
      </c>
      <c r="H922" s="3" t="s">
        <v>13</v>
      </c>
      <c r="I922" s="3" t="s">
        <v>451</v>
      </c>
    </row>
    <row r="923" spans="1:9" s="5" customFormat="1" x14ac:dyDescent="0.35">
      <c r="A923" s="3" t="s">
        <v>8</v>
      </c>
      <c r="B923" s="3" t="s">
        <v>446</v>
      </c>
      <c r="C923" s="3" t="s">
        <v>10</v>
      </c>
      <c r="D923" s="3" t="s">
        <v>454</v>
      </c>
      <c r="E923" s="3" t="s">
        <v>47</v>
      </c>
      <c r="F923" s="3"/>
      <c r="G923" s="3"/>
      <c r="H923" s="3" t="s">
        <v>13</v>
      </c>
      <c r="I923" s="3" t="s">
        <v>448</v>
      </c>
    </row>
    <row r="924" spans="1:9" s="5" customFormat="1" x14ac:dyDescent="0.35">
      <c r="A924" s="3" t="s">
        <v>8</v>
      </c>
      <c r="B924" s="3" t="s">
        <v>446</v>
      </c>
      <c r="C924" s="3" t="s">
        <v>10</v>
      </c>
      <c r="D924" s="3" t="s">
        <v>454</v>
      </c>
      <c r="E924" s="3" t="s">
        <v>15</v>
      </c>
      <c r="F924" s="3" t="s">
        <v>13</v>
      </c>
      <c r="G924" s="3" t="s">
        <v>455</v>
      </c>
      <c r="H924" s="3" t="s">
        <v>13</v>
      </c>
      <c r="I924" s="3" t="s">
        <v>448</v>
      </c>
    </row>
    <row r="925" spans="1:9" s="5" customFormat="1" x14ac:dyDescent="0.35">
      <c r="A925" s="3" t="s">
        <v>8</v>
      </c>
      <c r="B925" s="3" t="s">
        <v>446</v>
      </c>
      <c r="C925" s="3" t="s">
        <v>10</v>
      </c>
      <c r="D925" s="3" t="s">
        <v>454</v>
      </c>
      <c r="E925" s="3" t="s">
        <v>37</v>
      </c>
      <c r="F925" s="3"/>
      <c r="G925" s="3"/>
      <c r="H925" s="3" t="s">
        <v>13</v>
      </c>
      <c r="I925" s="3" t="s">
        <v>448</v>
      </c>
    </row>
    <row r="926" spans="1:9" s="5" customFormat="1" x14ac:dyDescent="0.35">
      <c r="A926" s="3" t="s">
        <v>8</v>
      </c>
      <c r="B926" s="3" t="s">
        <v>446</v>
      </c>
      <c r="C926" s="3" t="s">
        <v>10</v>
      </c>
      <c r="D926" s="3" t="s">
        <v>454</v>
      </c>
      <c r="E926" s="3" t="s">
        <v>134</v>
      </c>
      <c r="F926" s="3"/>
      <c r="G926" s="3"/>
      <c r="H926" s="3" t="s">
        <v>13</v>
      </c>
      <c r="I926" s="3" t="s">
        <v>448</v>
      </c>
    </row>
    <row r="927" spans="1:9" s="5" customFormat="1" x14ac:dyDescent="0.35">
      <c r="A927" s="3" t="s">
        <v>8</v>
      </c>
      <c r="B927" s="3" t="s">
        <v>446</v>
      </c>
      <c r="C927" s="3" t="s">
        <v>20</v>
      </c>
      <c r="D927" s="3" t="s">
        <v>456</v>
      </c>
      <c r="E927" s="3" t="s">
        <v>12</v>
      </c>
      <c r="F927" s="3" t="s">
        <v>13</v>
      </c>
      <c r="G927" s="3" t="s">
        <v>365</v>
      </c>
      <c r="H927" s="3" t="s">
        <v>13</v>
      </c>
      <c r="I927" s="3" t="s">
        <v>457</v>
      </c>
    </row>
    <row r="928" spans="1:9" s="5" customFormat="1" x14ac:dyDescent="0.35">
      <c r="A928" s="3" t="s">
        <v>8</v>
      </c>
      <c r="B928" s="3" t="s">
        <v>446</v>
      </c>
      <c r="C928" s="3" t="s">
        <v>20</v>
      </c>
      <c r="D928" s="3" t="s">
        <v>456</v>
      </c>
      <c r="E928" s="3" t="s">
        <v>15</v>
      </c>
      <c r="F928" s="3" t="s">
        <v>13</v>
      </c>
      <c r="G928" s="3" t="s">
        <v>365</v>
      </c>
      <c r="H928" s="3" t="s">
        <v>13</v>
      </c>
      <c r="I928" s="3" t="s">
        <v>457</v>
      </c>
    </row>
    <row r="929" spans="1:9" s="5" customFormat="1" x14ac:dyDescent="0.35">
      <c r="A929" s="3" t="s">
        <v>8</v>
      </c>
      <c r="B929" s="3" t="s">
        <v>446</v>
      </c>
      <c r="C929" s="3" t="s">
        <v>20</v>
      </c>
      <c r="D929" s="3" t="s">
        <v>456</v>
      </c>
      <c r="E929" s="3" t="s">
        <v>37</v>
      </c>
      <c r="F929" s="3" t="s">
        <v>13</v>
      </c>
      <c r="G929" s="3" t="s">
        <v>365</v>
      </c>
      <c r="H929" s="3" t="s">
        <v>13</v>
      </c>
      <c r="I929" s="3" t="s">
        <v>457</v>
      </c>
    </row>
    <row r="930" spans="1:9" s="5" customFormat="1" x14ac:dyDescent="0.35">
      <c r="A930" s="3" t="s">
        <v>8</v>
      </c>
      <c r="B930" s="3" t="s">
        <v>446</v>
      </c>
      <c r="C930" s="3" t="s">
        <v>20</v>
      </c>
      <c r="D930" s="3" t="s">
        <v>456</v>
      </c>
      <c r="E930" s="3" t="s">
        <v>134</v>
      </c>
      <c r="F930" s="3"/>
      <c r="G930" s="3"/>
      <c r="H930" s="3" t="s">
        <v>13</v>
      </c>
      <c r="I930" s="3" t="s">
        <v>457</v>
      </c>
    </row>
    <row r="931" spans="1:9" s="5" customFormat="1" x14ac:dyDescent="0.35">
      <c r="A931" s="3" t="s">
        <v>8</v>
      </c>
      <c r="B931" s="3" t="s">
        <v>446</v>
      </c>
      <c r="C931" s="3" t="s">
        <v>10</v>
      </c>
      <c r="D931" s="3" t="s">
        <v>2498</v>
      </c>
      <c r="E931" s="3" t="s">
        <v>12</v>
      </c>
      <c r="F931" s="3"/>
      <c r="G931" s="3"/>
      <c r="H931" s="3" t="s">
        <v>13</v>
      </c>
      <c r="I931" s="3" t="s">
        <v>457</v>
      </c>
    </row>
    <row r="932" spans="1:9" s="5" customFormat="1" x14ac:dyDescent="0.35">
      <c r="A932" s="3" t="s">
        <v>8</v>
      </c>
      <c r="B932" s="3" t="s">
        <v>446</v>
      </c>
      <c r="C932" s="3" t="s">
        <v>10</v>
      </c>
      <c r="D932" s="3" t="s">
        <v>2498</v>
      </c>
      <c r="E932" s="3" t="s">
        <v>15</v>
      </c>
      <c r="F932" s="3" t="s">
        <v>16</v>
      </c>
      <c r="G932" s="3" t="s">
        <v>2499</v>
      </c>
      <c r="H932" s="3" t="s">
        <v>13</v>
      </c>
      <c r="I932" s="3" t="s">
        <v>457</v>
      </c>
    </row>
    <row r="933" spans="1:9" s="5" customFormat="1" x14ac:dyDescent="0.35">
      <c r="A933" s="3" t="s">
        <v>8</v>
      </c>
      <c r="B933" s="3" t="s">
        <v>446</v>
      </c>
      <c r="C933" s="3" t="s">
        <v>10</v>
      </c>
      <c r="D933" s="3" t="s">
        <v>2498</v>
      </c>
      <c r="E933" s="3" t="s">
        <v>57</v>
      </c>
      <c r="F933" s="3"/>
      <c r="G933" s="3"/>
      <c r="H933" s="3" t="s">
        <v>13</v>
      </c>
      <c r="I933" s="3" t="s">
        <v>457</v>
      </c>
    </row>
    <row r="934" spans="1:9" s="5" customFormat="1" x14ac:dyDescent="0.35">
      <c r="A934" s="3" t="s">
        <v>8</v>
      </c>
      <c r="B934" s="3" t="s">
        <v>446</v>
      </c>
      <c r="C934" s="3" t="s">
        <v>10</v>
      </c>
      <c r="D934" s="3" t="s">
        <v>2498</v>
      </c>
      <c r="E934" s="3" t="s">
        <v>32</v>
      </c>
      <c r="F934" s="3" t="s">
        <v>16</v>
      </c>
      <c r="G934" s="3" t="s">
        <v>2500</v>
      </c>
      <c r="H934" s="3" t="s">
        <v>13</v>
      </c>
      <c r="I934" s="3" t="s">
        <v>457</v>
      </c>
    </row>
    <row r="935" spans="1:9" s="5" customFormat="1" x14ac:dyDescent="0.35">
      <c r="A935" s="3" t="s">
        <v>8</v>
      </c>
      <c r="B935" s="3" t="s">
        <v>446</v>
      </c>
      <c r="C935" s="3" t="s">
        <v>45</v>
      </c>
      <c r="D935" s="3" t="s">
        <v>458</v>
      </c>
      <c r="E935" s="3" t="s">
        <v>77</v>
      </c>
      <c r="F935" s="3"/>
      <c r="G935" s="3"/>
      <c r="H935" s="3"/>
      <c r="I935" s="3"/>
    </row>
    <row r="936" spans="1:9" s="5" customFormat="1" x14ac:dyDescent="0.35">
      <c r="A936" s="3" t="s">
        <v>8</v>
      </c>
      <c r="B936" s="3" t="s">
        <v>446</v>
      </c>
      <c r="C936" s="3" t="s">
        <v>10</v>
      </c>
      <c r="D936" s="3" t="s">
        <v>2261</v>
      </c>
      <c r="E936" s="3" t="s">
        <v>47</v>
      </c>
      <c r="F936" s="3"/>
      <c r="G936" s="3"/>
      <c r="H936" s="3"/>
      <c r="I936" s="3"/>
    </row>
    <row r="937" spans="1:9" s="5" customFormat="1" x14ac:dyDescent="0.35">
      <c r="A937" s="3" t="s">
        <v>8</v>
      </c>
      <c r="B937" s="3" t="s">
        <v>446</v>
      </c>
      <c r="C937" s="3" t="s">
        <v>10</v>
      </c>
      <c r="D937" s="3" t="s">
        <v>2261</v>
      </c>
      <c r="E937" s="3" t="s">
        <v>15</v>
      </c>
      <c r="F937" s="3" t="s">
        <v>16</v>
      </c>
      <c r="G937" s="3" t="s">
        <v>2284</v>
      </c>
      <c r="H937" s="3"/>
      <c r="I937" s="3"/>
    </row>
    <row r="938" spans="1:9" s="5" customFormat="1" x14ac:dyDescent="0.35">
      <c r="A938" s="3" t="s">
        <v>8</v>
      </c>
      <c r="B938" s="3" t="s">
        <v>446</v>
      </c>
      <c r="C938" s="3" t="s">
        <v>10</v>
      </c>
      <c r="D938" s="3" t="s">
        <v>2261</v>
      </c>
      <c r="E938" s="3" t="s">
        <v>57</v>
      </c>
      <c r="F938" s="3"/>
      <c r="G938" s="3"/>
      <c r="H938" s="3" t="s">
        <v>16</v>
      </c>
      <c r="I938" s="3" t="s">
        <v>451</v>
      </c>
    </row>
    <row r="939" spans="1:9" s="5" customFormat="1" x14ac:dyDescent="0.35">
      <c r="A939" s="3" t="s">
        <v>8</v>
      </c>
      <c r="B939" s="3" t="s">
        <v>446</v>
      </c>
      <c r="C939" s="3" t="s">
        <v>10</v>
      </c>
      <c r="D939" s="3" t="s">
        <v>2261</v>
      </c>
      <c r="E939" s="3" t="s">
        <v>32</v>
      </c>
      <c r="F939" s="3"/>
      <c r="G939" s="3"/>
      <c r="H939" s="3"/>
      <c r="I939" s="3"/>
    </row>
    <row r="940" spans="1:9" s="5" customFormat="1" x14ac:dyDescent="0.35">
      <c r="A940" s="3" t="s">
        <v>8</v>
      </c>
      <c r="B940" s="3" t="s">
        <v>446</v>
      </c>
      <c r="C940" s="3" t="s">
        <v>10</v>
      </c>
      <c r="D940" s="3" t="s">
        <v>2261</v>
      </c>
      <c r="E940" s="3" t="s">
        <v>24</v>
      </c>
      <c r="F940" s="3"/>
      <c r="G940" s="3"/>
      <c r="H940" s="3"/>
      <c r="I940" s="3"/>
    </row>
    <row r="941" spans="1:9" s="5" customFormat="1" x14ac:dyDescent="0.35">
      <c r="A941" s="3" t="s">
        <v>8</v>
      </c>
      <c r="B941" s="3" t="s">
        <v>446</v>
      </c>
      <c r="C941" s="3" t="s">
        <v>45</v>
      </c>
      <c r="D941" s="3" t="s">
        <v>2773</v>
      </c>
      <c r="E941" s="3" t="s">
        <v>56</v>
      </c>
      <c r="F941" s="3"/>
      <c r="G941" s="3"/>
      <c r="H941" s="3"/>
      <c r="I941" s="3"/>
    </row>
    <row r="942" spans="1:9" s="5" customFormat="1" x14ac:dyDescent="0.35">
      <c r="A942" s="3" t="s">
        <v>8</v>
      </c>
      <c r="B942" s="3" t="s">
        <v>446</v>
      </c>
      <c r="C942" s="3" t="s">
        <v>45</v>
      </c>
      <c r="D942" s="3" t="s">
        <v>2773</v>
      </c>
      <c r="E942" s="3" t="s">
        <v>24</v>
      </c>
      <c r="F942" s="3"/>
      <c r="G942" s="3"/>
      <c r="H942" s="3"/>
      <c r="I942" s="3"/>
    </row>
    <row r="943" spans="1:9" s="5" customFormat="1" x14ac:dyDescent="0.35">
      <c r="A943" s="3" t="s">
        <v>8</v>
      </c>
      <c r="B943" s="3" t="s">
        <v>446</v>
      </c>
      <c r="C943" s="3" t="s">
        <v>20</v>
      </c>
      <c r="D943" s="3" t="s">
        <v>459</v>
      </c>
      <c r="E943" s="3" t="s">
        <v>12</v>
      </c>
      <c r="F943" s="3"/>
      <c r="G943" s="3"/>
      <c r="H943" s="3" t="s">
        <v>16</v>
      </c>
      <c r="I943" s="3" t="s">
        <v>448</v>
      </c>
    </row>
    <row r="944" spans="1:9" s="5" customFormat="1" x14ac:dyDescent="0.35">
      <c r="A944" s="3" t="s">
        <v>8</v>
      </c>
      <c r="B944" s="3" t="s">
        <v>446</v>
      </c>
      <c r="C944" s="3" t="s">
        <v>20</v>
      </c>
      <c r="D944" s="3" t="s">
        <v>459</v>
      </c>
      <c r="E944" s="3" t="s">
        <v>71</v>
      </c>
      <c r="F944" s="3"/>
      <c r="G944" s="3"/>
      <c r="H944" s="3" t="s">
        <v>16</v>
      </c>
      <c r="I944" s="3" t="s">
        <v>457</v>
      </c>
    </row>
    <row r="945" spans="1:9" s="5" customFormat="1" x14ac:dyDescent="0.35">
      <c r="A945" s="3" t="s">
        <v>8</v>
      </c>
      <c r="B945" s="3" t="s">
        <v>446</v>
      </c>
      <c r="C945" s="3" t="s">
        <v>20</v>
      </c>
      <c r="D945" s="3" t="s">
        <v>459</v>
      </c>
      <c r="E945" s="3" t="s">
        <v>15</v>
      </c>
      <c r="F945" s="3" t="s">
        <v>16</v>
      </c>
      <c r="G945" s="3" t="s">
        <v>460</v>
      </c>
      <c r="H945" s="3" t="s">
        <v>16</v>
      </c>
      <c r="I945" s="3" t="s">
        <v>457</v>
      </c>
    </row>
    <row r="946" spans="1:9" s="5" customFormat="1" x14ac:dyDescent="0.35">
      <c r="A946" s="3" t="s">
        <v>8</v>
      </c>
      <c r="B946" s="3" t="s">
        <v>446</v>
      </c>
      <c r="C946" s="3" t="s">
        <v>45</v>
      </c>
      <c r="D946" s="3" t="s">
        <v>461</v>
      </c>
      <c r="E946" s="3" t="s">
        <v>77</v>
      </c>
      <c r="F946" s="3"/>
      <c r="G946" s="3"/>
      <c r="H946" s="3"/>
      <c r="I946" s="3"/>
    </row>
    <row r="947" spans="1:9" s="5" customFormat="1" x14ac:dyDescent="0.35">
      <c r="A947" s="3" t="s">
        <v>8</v>
      </c>
      <c r="B947" s="3" t="s">
        <v>446</v>
      </c>
      <c r="C947" s="3" t="s">
        <v>45</v>
      </c>
      <c r="D947" s="3" t="s">
        <v>461</v>
      </c>
      <c r="E947" s="3" t="s">
        <v>56</v>
      </c>
      <c r="F947" s="3" t="s">
        <v>13</v>
      </c>
      <c r="G947" s="3" t="s">
        <v>462</v>
      </c>
      <c r="H947" s="3"/>
      <c r="I947" s="3"/>
    </row>
    <row r="948" spans="1:9" s="5" customFormat="1" x14ac:dyDescent="0.35">
      <c r="A948" s="3" t="s">
        <v>8</v>
      </c>
      <c r="B948" s="3" t="s">
        <v>446</v>
      </c>
      <c r="C948" s="3" t="s">
        <v>45</v>
      </c>
      <c r="D948" s="3" t="s">
        <v>463</v>
      </c>
      <c r="E948" s="3" t="s">
        <v>77</v>
      </c>
      <c r="F948" s="3"/>
      <c r="G948" s="3"/>
      <c r="H948" s="3"/>
      <c r="I948" s="3"/>
    </row>
    <row r="949" spans="1:9" s="5" customFormat="1" x14ac:dyDescent="0.35">
      <c r="A949" s="3" t="s">
        <v>8</v>
      </c>
      <c r="B949" s="3" t="s">
        <v>446</v>
      </c>
      <c r="C949" s="3" t="s">
        <v>39</v>
      </c>
      <c r="D949" s="3" t="s">
        <v>464</v>
      </c>
      <c r="E949" s="3" t="s">
        <v>25</v>
      </c>
      <c r="F949" s="3" t="s">
        <v>16</v>
      </c>
      <c r="G949" s="3" t="s">
        <v>2264</v>
      </c>
      <c r="H949" s="3" t="s">
        <v>16</v>
      </c>
      <c r="I949" s="3" t="s">
        <v>457</v>
      </c>
    </row>
    <row r="950" spans="1:9" s="5" customFormat="1" x14ac:dyDescent="0.35">
      <c r="A950" s="3" t="s">
        <v>8</v>
      </c>
      <c r="B950" s="3" t="s">
        <v>446</v>
      </c>
      <c r="C950" s="3" t="s">
        <v>39</v>
      </c>
      <c r="D950" s="3" t="s">
        <v>464</v>
      </c>
      <c r="E950" s="3" t="s">
        <v>15</v>
      </c>
      <c r="F950" s="3" t="s">
        <v>16</v>
      </c>
      <c r="G950" s="3" t="s">
        <v>466</v>
      </c>
      <c r="H950" s="3" t="s">
        <v>16</v>
      </c>
      <c r="I950" s="3" t="s">
        <v>457</v>
      </c>
    </row>
    <row r="951" spans="1:9" s="5" customFormat="1" x14ac:dyDescent="0.35">
      <c r="A951" s="3" t="s">
        <v>8</v>
      </c>
      <c r="B951" s="3" t="s">
        <v>446</v>
      </c>
      <c r="C951" s="3" t="s">
        <v>39</v>
      </c>
      <c r="D951" s="3" t="s">
        <v>464</v>
      </c>
      <c r="E951" s="3" t="s">
        <v>32</v>
      </c>
      <c r="F951" s="3" t="s">
        <v>16</v>
      </c>
      <c r="G951" s="3" t="s">
        <v>465</v>
      </c>
      <c r="H951" s="3" t="s">
        <v>16</v>
      </c>
      <c r="I951" s="3" t="s">
        <v>457</v>
      </c>
    </row>
    <row r="952" spans="1:9" s="5" customFormat="1" x14ac:dyDescent="0.35">
      <c r="A952" s="3" t="s">
        <v>8</v>
      </c>
      <c r="B952" s="3" t="s">
        <v>446</v>
      </c>
      <c r="C952" s="3" t="s">
        <v>20</v>
      </c>
      <c r="D952" s="3" t="s">
        <v>467</v>
      </c>
      <c r="E952" s="3" t="s">
        <v>12</v>
      </c>
      <c r="F952" s="3"/>
      <c r="G952" s="3"/>
      <c r="H952" s="3" t="s">
        <v>13</v>
      </c>
      <c r="I952" s="3" t="s">
        <v>457</v>
      </c>
    </row>
    <row r="953" spans="1:9" s="5" customFormat="1" x14ac:dyDescent="0.35">
      <c r="A953" s="3" t="s">
        <v>8</v>
      </c>
      <c r="B953" s="3" t="s">
        <v>446</v>
      </c>
      <c r="C953" s="3" t="s">
        <v>20</v>
      </c>
      <c r="D953" s="3" t="s">
        <v>467</v>
      </c>
      <c r="E953" s="3" t="s">
        <v>25</v>
      </c>
      <c r="F953" s="3" t="s">
        <v>13</v>
      </c>
      <c r="G953" s="3" t="s">
        <v>365</v>
      </c>
      <c r="H953" s="3" t="s">
        <v>13</v>
      </c>
      <c r="I953" s="3" t="s">
        <v>457</v>
      </c>
    </row>
    <row r="954" spans="1:9" s="5" customFormat="1" x14ac:dyDescent="0.35">
      <c r="A954" s="3" t="s">
        <v>8</v>
      </c>
      <c r="B954" s="3" t="s">
        <v>446</v>
      </c>
      <c r="C954" s="3" t="s">
        <v>20</v>
      </c>
      <c r="D954" s="3" t="s">
        <v>467</v>
      </c>
      <c r="E954" s="3" t="s">
        <v>60</v>
      </c>
      <c r="F954" s="3" t="s">
        <v>13</v>
      </c>
      <c r="G954" s="3" t="s">
        <v>365</v>
      </c>
      <c r="H954" s="3" t="s">
        <v>13</v>
      </c>
      <c r="I954" s="3" t="s">
        <v>457</v>
      </c>
    </row>
    <row r="955" spans="1:9" s="5" customFormat="1" x14ac:dyDescent="0.35">
      <c r="A955" s="3" t="s">
        <v>8</v>
      </c>
      <c r="B955" s="3" t="s">
        <v>446</v>
      </c>
      <c r="C955" s="3" t="s">
        <v>20</v>
      </c>
      <c r="D955" s="3" t="s">
        <v>467</v>
      </c>
      <c r="E955" s="3" t="s">
        <v>77</v>
      </c>
      <c r="F955" s="3" t="s">
        <v>13</v>
      </c>
      <c r="G955" s="3" t="s">
        <v>365</v>
      </c>
      <c r="H955" s="3" t="s">
        <v>13</v>
      </c>
      <c r="I955" s="3" t="s">
        <v>457</v>
      </c>
    </row>
    <row r="956" spans="1:9" s="5" customFormat="1" x14ac:dyDescent="0.35">
      <c r="A956" s="3" t="s">
        <v>8</v>
      </c>
      <c r="B956" s="3" t="s">
        <v>446</v>
      </c>
      <c r="C956" s="3" t="s">
        <v>20</v>
      </c>
      <c r="D956" s="3" t="s">
        <v>467</v>
      </c>
      <c r="E956" s="3" t="s">
        <v>15</v>
      </c>
      <c r="F956" s="3" t="s">
        <v>13</v>
      </c>
      <c r="G956" s="3" t="s">
        <v>365</v>
      </c>
      <c r="H956" s="3" t="s">
        <v>13</v>
      </c>
      <c r="I956" s="3" t="s">
        <v>457</v>
      </c>
    </row>
    <row r="957" spans="1:9" s="5" customFormat="1" x14ac:dyDescent="0.35">
      <c r="A957" s="3" t="s">
        <v>8</v>
      </c>
      <c r="B957" s="3" t="s">
        <v>446</v>
      </c>
      <c r="C957" s="3" t="s">
        <v>20</v>
      </c>
      <c r="D957" s="3" t="s">
        <v>468</v>
      </c>
      <c r="E957" s="3" t="s">
        <v>12</v>
      </c>
      <c r="F957" s="3"/>
      <c r="G957" s="3"/>
      <c r="H957" s="3" t="s">
        <v>13</v>
      </c>
      <c r="I957" s="3" t="s">
        <v>448</v>
      </c>
    </row>
    <row r="958" spans="1:9" s="5" customFormat="1" x14ac:dyDescent="0.35">
      <c r="A958" s="3" t="s">
        <v>8</v>
      </c>
      <c r="B958" s="3" t="s">
        <v>446</v>
      </c>
      <c r="C958" s="3" t="s">
        <v>20</v>
      </c>
      <c r="D958" s="3" t="s">
        <v>468</v>
      </c>
      <c r="E958" s="3" t="s">
        <v>47</v>
      </c>
      <c r="F958" s="3"/>
      <c r="G958" s="3"/>
      <c r="H958" s="3" t="s">
        <v>13</v>
      </c>
      <c r="I958" s="3" t="s">
        <v>448</v>
      </c>
    </row>
    <row r="959" spans="1:9" s="5" customFormat="1" x14ac:dyDescent="0.35">
      <c r="A959" s="3" t="s">
        <v>8</v>
      </c>
      <c r="B959" s="3" t="s">
        <v>446</v>
      </c>
      <c r="C959" s="3" t="s">
        <v>20</v>
      </c>
      <c r="D959" s="3" t="s">
        <v>468</v>
      </c>
      <c r="E959" s="3" t="s">
        <v>25</v>
      </c>
      <c r="F959" s="3"/>
      <c r="G959" s="3"/>
      <c r="H959" s="3" t="s">
        <v>13</v>
      </c>
      <c r="I959" s="3" t="s">
        <v>448</v>
      </c>
    </row>
    <row r="960" spans="1:9" s="5" customFormat="1" x14ac:dyDescent="0.35">
      <c r="A960" s="3" t="s">
        <v>8</v>
      </c>
      <c r="B960" s="3" t="s">
        <v>446</v>
      </c>
      <c r="C960" s="3" t="s">
        <v>20</v>
      </c>
      <c r="D960" s="3" t="s">
        <v>468</v>
      </c>
      <c r="E960" s="3" t="s">
        <v>87</v>
      </c>
      <c r="F960" s="3"/>
      <c r="G960" s="3"/>
      <c r="H960" s="3" t="s">
        <v>13</v>
      </c>
      <c r="I960" s="3" t="s">
        <v>448</v>
      </c>
    </row>
    <row r="961" spans="1:9" s="5" customFormat="1" x14ac:dyDescent="0.35">
      <c r="A961" s="3" t="s">
        <v>8</v>
      </c>
      <c r="B961" s="3" t="s">
        <v>446</v>
      </c>
      <c r="C961" s="3" t="s">
        <v>20</v>
      </c>
      <c r="D961" s="3" t="s">
        <v>468</v>
      </c>
      <c r="E961" s="3" t="s">
        <v>242</v>
      </c>
      <c r="F961" s="3" t="s">
        <v>33</v>
      </c>
      <c r="G961" s="3" t="s">
        <v>875</v>
      </c>
      <c r="H961" s="3"/>
      <c r="I961" s="3"/>
    </row>
    <row r="962" spans="1:9" s="5" customFormat="1" x14ac:dyDescent="0.35">
      <c r="A962" s="3" t="s">
        <v>8</v>
      </c>
      <c r="B962" s="3" t="s">
        <v>446</v>
      </c>
      <c r="C962" s="3" t="s">
        <v>20</v>
      </c>
      <c r="D962" s="3" t="s">
        <v>468</v>
      </c>
      <c r="E962" s="3" t="s">
        <v>15</v>
      </c>
      <c r="F962" s="3" t="s">
        <v>13</v>
      </c>
      <c r="G962" s="3" t="s">
        <v>469</v>
      </c>
      <c r="H962" s="3" t="s">
        <v>13</v>
      </c>
      <c r="I962" s="3" t="s">
        <v>448</v>
      </c>
    </row>
    <row r="963" spans="1:9" s="5" customFormat="1" x14ac:dyDescent="0.35">
      <c r="A963" s="3" t="s">
        <v>8</v>
      </c>
      <c r="B963" s="3" t="s">
        <v>446</v>
      </c>
      <c r="C963" s="3" t="s">
        <v>20</v>
      </c>
      <c r="D963" s="3" t="s">
        <v>468</v>
      </c>
      <c r="E963" s="3" t="s">
        <v>57</v>
      </c>
      <c r="F963" s="3"/>
      <c r="G963" s="3" t="s">
        <v>2794</v>
      </c>
      <c r="H963" s="3" t="s">
        <v>13</v>
      </c>
      <c r="I963" s="3" t="s">
        <v>448</v>
      </c>
    </row>
    <row r="964" spans="1:9" s="5" customFormat="1" x14ac:dyDescent="0.35">
      <c r="A964" s="3" t="s">
        <v>8</v>
      </c>
      <c r="B964" s="3" t="s">
        <v>446</v>
      </c>
      <c r="C964" s="3" t="s">
        <v>20</v>
      </c>
      <c r="D964" s="3" t="s">
        <v>468</v>
      </c>
      <c r="E964" s="3" t="s">
        <v>89</v>
      </c>
      <c r="F964" s="3"/>
      <c r="G964" s="3"/>
      <c r="H964" s="3" t="s">
        <v>13</v>
      </c>
      <c r="I964" s="3" t="s">
        <v>448</v>
      </c>
    </row>
    <row r="965" spans="1:9" s="5" customFormat="1" x14ac:dyDescent="0.35">
      <c r="A965" s="3" t="s">
        <v>8</v>
      </c>
      <c r="B965" s="3" t="s">
        <v>446</v>
      </c>
      <c r="C965" s="3" t="s">
        <v>20</v>
      </c>
      <c r="D965" s="3" t="s">
        <v>468</v>
      </c>
      <c r="E965" s="3" t="s">
        <v>32</v>
      </c>
      <c r="F965" s="3" t="s">
        <v>13</v>
      </c>
      <c r="G965" s="3" t="s">
        <v>470</v>
      </c>
      <c r="H965" s="3" t="s">
        <v>13</v>
      </c>
      <c r="I965" s="3" t="s">
        <v>448</v>
      </c>
    </row>
    <row r="966" spans="1:9" s="5" customFormat="1" x14ac:dyDescent="0.35">
      <c r="A966" s="3" t="s">
        <v>8</v>
      </c>
      <c r="B966" s="3" t="s">
        <v>446</v>
      </c>
      <c r="C966" s="3" t="s">
        <v>20</v>
      </c>
      <c r="D966" s="3" t="s">
        <v>468</v>
      </c>
      <c r="E966" s="3" t="s">
        <v>29</v>
      </c>
      <c r="F966" s="3"/>
      <c r="G966" s="3" t="s">
        <v>2332</v>
      </c>
      <c r="H966" s="3" t="s">
        <v>13</v>
      </c>
      <c r="I966" s="3" t="s">
        <v>448</v>
      </c>
    </row>
    <row r="967" spans="1:9" s="5" customFormat="1" x14ac:dyDescent="0.35">
      <c r="A967" s="3" t="s">
        <v>8</v>
      </c>
      <c r="B967" s="3" t="s">
        <v>446</v>
      </c>
      <c r="C967" s="3" t="s">
        <v>20</v>
      </c>
      <c r="D967" s="3" t="s">
        <v>468</v>
      </c>
      <c r="E967" s="3" t="s">
        <v>107</v>
      </c>
      <c r="F967" s="3" t="s">
        <v>33</v>
      </c>
      <c r="G967" s="3" t="s">
        <v>875</v>
      </c>
      <c r="H967" s="3"/>
      <c r="I967" s="3"/>
    </row>
    <row r="968" spans="1:9" s="5" customFormat="1" x14ac:dyDescent="0.35">
      <c r="A968" s="3" t="s">
        <v>8</v>
      </c>
      <c r="B968" s="3" t="s">
        <v>446</v>
      </c>
      <c r="C968" s="3" t="s">
        <v>302</v>
      </c>
      <c r="D968" s="3" t="s">
        <v>471</v>
      </c>
      <c r="E968" s="3" t="s">
        <v>12</v>
      </c>
      <c r="F968" s="3"/>
      <c r="G968" s="3"/>
      <c r="H968" s="3" t="s">
        <v>13</v>
      </c>
      <c r="I968" s="3" t="s">
        <v>457</v>
      </c>
    </row>
    <row r="969" spans="1:9" s="5" customFormat="1" x14ac:dyDescent="0.35">
      <c r="A969" s="3" t="s">
        <v>8</v>
      </c>
      <c r="B969" s="3" t="s">
        <v>446</v>
      </c>
      <c r="C969" s="3" t="s">
        <v>302</v>
      </c>
      <c r="D969" s="3" t="s">
        <v>471</v>
      </c>
      <c r="E969" s="3" t="s">
        <v>29</v>
      </c>
      <c r="F969" s="3"/>
      <c r="G969" s="11"/>
      <c r="H969" s="3" t="s">
        <v>13</v>
      </c>
      <c r="I969" s="3" t="s">
        <v>457</v>
      </c>
    </row>
    <row r="970" spans="1:9" s="5" customFormat="1" x14ac:dyDescent="0.35">
      <c r="A970" s="3" t="s">
        <v>8</v>
      </c>
      <c r="B970" s="3" t="s">
        <v>446</v>
      </c>
      <c r="C970" s="3" t="s">
        <v>45</v>
      </c>
      <c r="D970" s="3" t="s">
        <v>472</v>
      </c>
      <c r="E970" s="3" t="s">
        <v>77</v>
      </c>
      <c r="F970" s="3"/>
      <c r="G970" s="3"/>
      <c r="H970" s="3"/>
      <c r="I970" s="3"/>
    </row>
    <row r="971" spans="1:9" s="5" customFormat="1" x14ac:dyDescent="0.35">
      <c r="A971" s="3" t="s">
        <v>8</v>
      </c>
      <c r="B971" s="3" t="s">
        <v>2504</v>
      </c>
      <c r="C971" s="3" t="s">
        <v>42</v>
      </c>
      <c r="D971" s="3" t="s">
        <v>2505</v>
      </c>
      <c r="E971" s="3" t="s">
        <v>23</v>
      </c>
      <c r="F971" s="3"/>
      <c r="G971" s="3"/>
      <c r="H971" s="3" t="s">
        <v>16</v>
      </c>
      <c r="I971" s="3" t="s">
        <v>2506</v>
      </c>
    </row>
    <row r="972" spans="1:9" s="5" customFormat="1" x14ac:dyDescent="0.35">
      <c r="A972" s="3" t="s">
        <v>8</v>
      </c>
      <c r="B972" s="3" t="s">
        <v>2504</v>
      </c>
      <c r="C972" s="3" t="s">
        <v>42</v>
      </c>
      <c r="D972" s="3" t="s">
        <v>2505</v>
      </c>
      <c r="E972" s="3" t="s">
        <v>27</v>
      </c>
      <c r="F972" s="3"/>
      <c r="G972" s="3"/>
      <c r="H972" s="3" t="s">
        <v>16</v>
      </c>
      <c r="I972" s="3" t="s">
        <v>2506</v>
      </c>
    </row>
    <row r="973" spans="1:9" s="5" customFormat="1" x14ac:dyDescent="0.35">
      <c r="A973" s="3" t="s">
        <v>8</v>
      </c>
      <c r="B973" s="3" t="s">
        <v>2504</v>
      </c>
      <c r="C973" s="3" t="s">
        <v>42</v>
      </c>
      <c r="D973" s="3" t="s">
        <v>2505</v>
      </c>
      <c r="E973" s="3" t="s">
        <v>44</v>
      </c>
      <c r="F973" s="3"/>
      <c r="G973" s="3"/>
      <c r="H973" s="3" t="s">
        <v>16</v>
      </c>
      <c r="I973" s="3" t="s">
        <v>2506</v>
      </c>
    </row>
    <row r="974" spans="1:9" s="5" customFormat="1" x14ac:dyDescent="0.35">
      <c r="A974" s="3" t="s">
        <v>8</v>
      </c>
      <c r="B974" s="3" t="s">
        <v>2504</v>
      </c>
      <c r="C974" s="3" t="s">
        <v>42</v>
      </c>
      <c r="D974" s="3" t="s">
        <v>2505</v>
      </c>
      <c r="E974" s="3" t="s">
        <v>24</v>
      </c>
      <c r="F974" s="3"/>
      <c r="G974" s="3"/>
      <c r="H974" s="3" t="s">
        <v>16</v>
      </c>
      <c r="I974" s="3" t="s">
        <v>2506</v>
      </c>
    </row>
    <row r="975" spans="1:9" s="5" customFormat="1" x14ac:dyDescent="0.35">
      <c r="A975" s="3" t="s">
        <v>8</v>
      </c>
      <c r="B975" s="3" t="s">
        <v>473</v>
      </c>
      <c r="C975" s="3" t="s">
        <v>45</v>
      </c>
      <c r="D975" s="3" t="s">
        <v>2766</v>
      </c>
      <c r="E975" s="3" t="s">
        <v>56</v>
      </c>
      <c r="F975" s="3"/>
      <c r="G975" s="3"/>
      <c r="H975" s="3"/>
      <c r="I975" s="3"/>
    </row>
    <row r="976" spans="1:9" s="5" customFormat="1" x14ac:dyDescent="0.35">
      <c r="A976" s="3" t="s">
        <v>8</v>
      </c>
      <c r="B976" s="3" t="s">
        <v>473</v>
      </c>
      <c r="C976" s="3" t="s">
        <v>45</v>
      </c>
      <c r="D976" s="3" t="s">
        <v>2766</v>
      </c>
      <c r="E976" s="3" t="s">
        <v>24</v>
      </c>
      <c r="F976" s="3"/>
      <c r="G976" s="3"/>
      <c r="H976" s="3"/>
      <c r="I976" s="3"/>
    </row>
    <row r="977" spans="1:9" s="5" customFormat="1" x14ac:dyDescent="0.35">
      <c r="A977" s="3" t="s">
        <v>8</v>
      </c>
      <c r="B977" s="3" t="s">
        <v>473</v>
      </c>
      <c r="C977" s="3" t="s">
        <v>45</v>
      </c>
      <c r="D977" s="3" t="s">
        <v>2831</v>
      </c>
      <c r="E977" s="3" t="s">
        <v>77</v>
      </c>
      <c r="F977" s="3"/>
      <c r="G977" s="3"/>
      <c r="H977" s="3"/>
      <c r="I977" s="3"/>
    </row>
    <row r="978" spans="1:9" s="5" customFormat="1" x14ac:dyDescent="0.35">
      <c r="A978" s="3" t="s">
        <v>8</v>
      </c>
      <c r="B978" s="3" t="s">
        <v>473</v>
      </c>
      <c r="C978" s="3" t="s">
        <v>45</v>
      </c>
      <c r="D978" s="3" t="s">
        <v>2831</v>
      </c>
      <c r="E978" s="3" t="s">
        <v>56</v>
      </c>
      <c r="F978" s="3" t="s">
        <v>13</v>
      </c>
      <c r="G978" s="3" t="s">
        <v>474</v>
      </c>
      <c r="H978" s="3"/>
      <c r="I978" s="3"/>
    </row>
    <row r="979" spans="1:9" s="5" customFormat="1" x14ac:dyDescent="0.35">
      <c r="A979" s="3" t="s">
        <v>8</v>
      </c>
      <c r="B979" s="3" t="s">
        <v>473</v>
      </c>
      <c r="C979" s="3" t="s">
        <v>45</v>
      </c>
      <c r="D979" s="3" t="s">
        <v>2831</v>
      </c>
      <c r="E979" s="3" t="s">
        <v>89</v>
      </c>
      <c r="F979" s="3"/>
      <c r="G979" s="3"/>
      <c r="H979" s="3"/>
      <c r="I979" s="3"/>
    </row>
    <row r="980" spans="1:9" s="5" customFormat="1" x14ac:dyDescent="0.35">
      <c r="A980" s="3" t="s">
        <v>8</v>
      </c>
      <c r="B980" s="3" t="s">
        <v>473</v>
      </c>
      <c r="C980" s="3" t="s">
        <v>45</v>
      </c>
      <c r="D980" s="3" t="s">
        <v>2831</v>
      </c>
      <c r="E980" s="3" t="s">
        <v>475</v>
      </c>
      <c r="F980" s="3"/>
      <c r="G980" s="3"/>
      <c r="H980" s="3"/>
      <c r="I980" s="3"/>
    </row>
    <row r="981" spans="1:9" s="5" customFormat="1" x14ac:dyDescent="0.35">
      <c r="A981" s="3" t="s">
        <v>8</v>
      </c>
      <c r="B981" s="3" t="s">
        <v>473</v>
      </c>
      <c r="C981" s="3" t="s">
        <v>45</v>
      </c>
      <c r="D981" s="3" t="s">
        <v>2266</v>
      </c>
      <c r="E981" s="3" t="s">
        <v>77</v>
      </c>
      <c r="F981" s="3"/>
      <c r="G981" s="3"/>
      <c r="H981" s="3" t="s">
        <v>13</v>
      </c>
      <c r="I981" s="3" t="s">
        <v>2640</v>
      </c>
    </row>
    <row r="982" spans="1:9" s="5" customFormat="1" x14ac:dyDescent="0.35">
      <c r="A982" s="3" t="s">
        <v>8</v>
      </c>
      <c r="B982" s="3" t="s">
        <v>473</v>
      </c>
      <c r="C982" s="3" t="s">
        <v>42</v>
      </c>
      <c r="D982" s="3" t="s">
        <v>2635</v>
      </c>
      <c r="E982" s="3" t="s">
        <v>23</v>
      </c>
      <c r="F982" s="3" t="s">
        <v>16</v>
      </c>
      <c r="G982" s="3" t="s">
        <v>2636</v>
      </c>
      <c r="H982" s="3" t="s">
        <v>13</v>
      </c>
      <c r="I982" s="3" t="s">
        <v>2640</v>
      </c>
    </row>
    <row r="983" spans="1:9" s="5" customFormat="1" x14ac:dyDescent="0.35">
      <c r="A983" s="3" t="s">
        <v>8</v>
      </c>
      <c r="B983" s="3" t="s">
        <v>473</v>
      </c>
      <c r="C983" s="3" t="s">
        <v>42</v>
      </c>
      <c r="D983" s="3" t="s">
        <v>2635</v>
      </c>
      <c r="E983" s="3" t="s">
        <v>47</v>
      </c>
      <c r="F983" s="3" t="s">
        <v>16</v>
      </c>
      <c r="G983" s="3" t="s">
        <v>2637</v>
      </c>
      <c r="H983" s="3"/>
      <c r="I983" s="3"/>
    </row>
    <row r="984" spans="1:9" s="5" customFormat="1" x14ac:dyDescent="0.35">
      <c r="A984" s="3" t="s">
        <v>8</v>
      </c>
      <c r="B984" s="3" t="s">
        <v>473</v>
      </c>
      <c r="C984" s="3" t="s">
        <v>42</v>
      </c>
      <c r="D984" s="3" t="s">
        <v>2635</v>
      </c>
      <c r="E984" s="3" t="s">
        <v>44</v>
      </c>
      <c r="F984" s="3"/>
      <c r="G984" s="3"/>
      <c r="H984" s="3"/>
      <c r="I984" s="3"/>
    </row>
    <row r="985" spans="1:9" s="5" customFormat="1" x14ac:dyDescent="0.35">
      <c r="A985" s="3" t="s">
        <v>8</v>
      </c>
      <c r="B985" s="3" t="s">
        <v>473</v>
      </c>
      <c r="C985" s="3" t="s">
        <v>42</v>
      </c>
      <c r="D985" s="3" t="s">
        <v>2635</v>
      </c>
      <c r="E985" s="3" t="s">
        <v>15</v>
      </c>
      <c r="F985" s="3" t="s">
        <v>16</v>
      </c>
      <c r="G985" s="3" t="s">
        <v>2638</v>
      </c>
      <c r="H985" s="3" t="s">
        <v>13</v>
      </c>
      <c r="I985" s="3" t="s">
        <v>477</v>
      </c>
    </row>
    <row r="986" spans="1:9" s="5" customFormat="1" x14ac:dyDescent="0.35">
      <c r="A986" s="3" t="s">
        <v>8</v>
      </c>
      <c r="B986" s="3" t="s">
        <v>473</v>
      </c>
      <c r="C986" s="3" t="s">
        <v>42</v>
      </c>
      <c r="D986" s="3" t="s">
        <v>2635</v>
      </c>
      <c r="E986" s="3" t="s">
        <v>134</v>
      </c>
      <c r="F986" s="3"/>
      <c r="G986" s="3"/>
      <c r="H986" s="3"/>
      <c r="I986" s="3"/>
    </row>
    <row r="987" spans="1:9" s="5" customFormat="1" x14ac:dyDescent="0.35">
      <c r="A987" s="3" t="s">
        <v>8</v>
      </c>
      <c r="B987" s="3" t="s">
        <v>473</v>
      </c>
      <c r="C987" s="3" t="s">
        <v>42</v>
      </c>
      <c r="D987" s="3" t="s">
        <v>2635</v>
      </c>
      <c r="E987" s="3" t="s">
        <v>107</v>
      </c>
      <c r="F987" s="3" t="s">
        <v>16</v>
      </c>
      <c r="G987" s="3" t="s">
        <v>2639</v>
      </c>
      <c r="H987" s="3"/>
      <c r="I987" s="3"/>
    </row>
    <row r="988" spans="1:9" s="5" customFormat="1" x14ac:dyDescent="0.35">
      <c r="A988" s="3" t="s">
        <v>8</v>
      </c>
      <c r="B988" s="3" t="s">
        <v>473</v>
      </c>
      <c r="C988" s="3" t="s">
        <v>20</v>
      </c>
      <c r="D988" s="3" t="s">
        <v>476</v>
      </c>
      <c r="E988" s="3" t="s">
        <v>23</v>
      </c>
      <c r="F988" s="3"/>
      <c r="G988" s="3"/>
      <c r="H988" s="3" t="s">
        <v>13</v>
      </c>
      <c r="I988" s="3" t="s">
        <v>477</v>
      </c>
    </row>
    <row r="989" spans="1:9" s="5" customFormat="1" x14ac:dyDescent="0.35">
      <c r="A989" s="3" t="s">
        <v>8</v>
      </c>
      <c r="B989" s="3" t="s">
        <v>473</v>
      </c>
      <c r="C989" s="3" t="s">
        <v>20</v>
      </c>
      <c r="D989" s="3" t="s">
        <v>476</v>
      </c>
      <c r="E989" s="3" t="s">
        <v>25</v>
      </c>
      <c r="F989" s="3"/>
      <c r="G989" s="3"/>
      <c r="H989" s="3" t="s">
        <v>13</v>
      </c>
      <c r="I989" s="3" t="s">
        <v>477</v>
      </c>
    </row>
    <row r="990" spans="1:9" s="5" customFormat="1" x14ac:dyDescent="0.35">
      <c r="A990" s="3" t="s">
        <v>8</v>
      </c>
      <c r="B990" s="3" t="s">
        <v>473</v>
      </c>
      <c r="C990" s="3" t="s">
        <v>20</v>
      </c>
      <c r="D990" s="3" t="s">
        <v>476</v>
      </c>
      <c r="E990" s="3" t="s">
        <v>32</v>
      </c>
      <c r="F990" s="3" t="s">
        <v>13</v>
      </c>
      <c r="G990" s="3" t="s">
        <v>2456</v>
      </c>
      <c r="H990" s="3" t="s">
        <v>13</v>
      </c>
      <c r="I990" s="3" t="s">
        <v>477</v>
      </c>
    </row>
    <row r="991" spans="1:9" s="5" customFormat="1" x14ac:dyDescent="0.35">
      <c r="A991" s="3" t="s">
        <v>8</v>
      </c>
      <c r="B991" s="3" t="s">
        <v>473</v>
      </c>
      <c r="C991" s="3" t="s">
        <v>39</v>
      </c>
      <c r="D991" s="3" t="s">
        <v>478</v>
      </c>
      <c r="E991" s="3" t="s">
        <v>24</v>
      </c>
      <c r="F991" s="3"/>
      <c r="G991" s="3"/>
      <c r="H991" s="3"/>
      <c r="I991" s="3"/>
    </row>
    <row r="992" spans="1:9" s="5" customFormat="1" x14ac:dyDescent="0.35">
      <c r="A992" s="3" t="s">
        <v>8</v>
      </c>
      <c r="B992" s="3" t="s">
        <v>473</v>
      </c>
      <c r="C992" s="3" t="s">
        <v>45</v>
      </c>
      <c r="D992" s="3" t="s">
        <v>479</v>
      </c>
      <c r="E992" s="3" t="s">
        <v>77</v>
      </c>
      <c r="F992" s="3"/>
      <c r="G992" s="3"/>
      <c r="H992" s="3"/>
      <c r="I992" s="3"/>
    </row>
    <row r="993" spans="1:9" s="5" customFormat="1" x14ac:dyDescent="0.35">
      <c r="A993" s="3" t="s">
        <v>8</v>
      </c>
      <c r="B993" s="3" t="s">
        <v>473</v>
      </c>
      <c r="C993" s="3" t="s">
        <v>45</v>
      </c>
      <c r="D993" s="3" t="s">
        <v>479</v>
      </c>
      <c r="E993" s="3" t="s">
        <v>56</v>
      </c>
      <c r="F993" s="3" t="s">
        <v>13</v>
      </c>
      <c r="G993" s="3" t="s">
        <v>480</v>
      </c>
      <c r="H993" s="3"/>
      <c r="I993" s="3"/>
    </row>
    <row r="994" spans="1:9" s="5" customFormat="1" x14ac:dyDescent="0.35">
      <c r="A994" s="3" t="s">
        <v>8</v>
      </c>
      <c r="B994" s="3" t="s">
        <v>473</v>
      </c>
      <c r="C994" s="3" t="s">
        <v>45</v>
      </c>
      <c r="D994" s="3" t="s">
        <v>481</v>
      </c>
      <c r="E994" s="3" t="s">
        <v>23</v>
      </c>
      <c r="F994" s="3" t="s">
        <v>33</v>
      </c>
      <c r="G994" s="3" t="s">
        <v>723</v>
      </c>
      <c r="H994" s="3"/>
      <c r="I994" s="3"/>
    </row>
    <row r="995" spans="1:9" s="5" customFormat="1" x14ac:dyDescent="0.35">
      <c r="A995" s="3" t="s">
        <v>8</v>
      </c>
      <c r="B995" s="3" t="s">
        <v>473</v>
      </c>
      <c r="C995" s="3" t="s">
        <v>45</v>
      </c>
      <c r="D995" s="3" t="s">
        <v>481</v>
      </c>
      <c r="E995" s="3" t="s">
        <v>25</v>
      </c>
      <c r="F995" s="3"/>
      <c r="G995" s="3"/>
      <c r="H995" s="3"/>
      <c r="I995" s="3"/>
    </row>
    <row r="996" spans="1:9" s="5" customFormat="1" x14ac:dyDescent="0.35">
      <c r="A996" s="3" t="s">
        <v>8</v>
      </c>
      <c r="B996" s="3" t="s">
        <v>473</v>
      </c>
      <c r="C996" s="3" t="s">
        <v>45</v>
      </c>
      <c r="D996" s="3" t="s">
        <v>481</v>
      </c>
      <c r="E996" s="3" t="s">
        <v>15</v>
      </c>
      <c r="F996" s="3" t="s">
        <v>33</v>
      </c>
      <c r="G996" s="3" t="s">
        <v>34</v>
      </c>
      <c r="H996" s="3"/>
      <c r="I996" s="3"/>
    </row>
    <row r="997" spans="1:9" s="5" customFormat="1" x14ac:dyDescent="0.35">
      <c r="A997" s="3" t="s">
        <v>8</v>
      </c>
      <c r="B997" s="3" t="s">
        <v>473</v>
      </c>
      <c r="C997" s="3" t="s">
        <v>45</v>
      </c>
      <c r="D997" s="3" t="s">
        <v>481</v>
      </c>
      <c r="E997" s="3" t="s">
        <v>56</v>
      </c>
      <c r="F997" s="3"/>
      <c r="G997" s="3"/>
      <c r="H997" s="3"/>
      <c r="I997" s="3"/>
    </row>
    <row r="998" spans="1:9" s="5" customFormat="1" x14ac:dyDescent="0.35">
      <c r="A998" s="3" t="s">
        <v>8</v>
      </c>
      <c r="B998" s="3" t="s">
        <v>473</v>
      </c>
      <c r="C998" s="3" t="s">
        <v>45</v>
      </c>
      <c r="D998" s="3" t="s">
        <v>481</v>
      </c>
      <c r="E998" s="3" t="s">
        <v>24</v>
      </c>
      <c r="F998" s="3"/>
      <c r="G998" s="3"/>
      <c r="H998" s="3"/>
      <c r="I998" s="3"/>
    </row>
    <row r="999" spans="1:9" s="5" customFormat="1" x14ac:dyDescent="0.35">
      <c r="A999" s="3" t="s">
        <v>8</v>
      </c>
      <c r="B999" s="3" t="s">
        <v>482</v>
      </c>
      <c r="C999" s="3" t="s">
        <v>45</v>
      </c>
      <c r="D999" s="3" t="s">
        <v>483</v>
      </c>
      <c r="E999" s="3" t="s">
        <v>12</v>
      </c>
      <c r="F999" s="3"/>
      <c r="G999" s="3"/>
      <c r="H999" s="3" t="s">
        <v>16</v>
      </c>
      <c r="I999" s="3" t="s">
        <v>484</v>
      </c>
    </row>
    <row r="1000" spans="1:9" s="5" customFormat="1" x14ac:dyDescent="0.35">
      <c r="A1000" s="3" t="s">
        <v>8</v>
      </c>
      <c r="B1000" s="3" t="s">
        <v>482</v>
      </c>
      <c r="C1000" s="3" t="s">
        <v>45</v>
      </c>
      <c r="D1000" s="3" t="s">
        <v>483</v>
      </c>
      <c r="E1000" s="3" t="s">
        <v>15</v>
      </c>
      <c r="F1000" s="3" t="s">
        <v>16</v>
      </c>
      <c r="G1000" s="3" t="s">
        <v>485</v>
      </c>
      <c r="H1000" s="3" t="s">
        <v>16</v>
      </c>
      <c r="I1000" s="3" t="s">
        <v>484</v>
      </c>
    </row>
    <row r="1001" spans="1:9" s="5" customFormat="1" x14ac:dyDescent="0.35">
      <c r="A1001" s="3" t="s">
        <v>8</v>
      </c>
      <c r="B1001" s="3" t="s">
        <v>482</v>
      </c>
      <c r="C1001" s="3" t="s">
        <v>45</v>
      </c>
      <c r="D1001" s="3" t="s">
        <v>483</v>
      </c>
      <c r="E1001" s="3" t="s">
        <v>24</v>
      </c>
      <c r="F1001" s="3"/>
      <c r="G1001" s="3"/>
      <c r="H1001" s="3" t="s">
        <v>16</v>
      </c>
      <c r="I1001" s="3" t="s">
        <v>484</v>
      </c>
    </row>
    <row r="1002" spans="1:9" s="5" customFormat="1" x14ac:dyDescent="0.35">
      <c r="A1002" s="3" t="s">
        <v>8</v>
      </c>
      <c r="B1002" s="3" t="s">
        <v>482</v>
      </c>
      <c r="C1002" s="3" t="s">
        <v>39</v>
      </c>
      <c r="D1002" s="3" t="s">
        <v>2586</v>
      </c>
      <c r="E1002" s="3" t="s">
        <v>12</v>
      </c>
      <c r="F1002" s="3"/>
      <c r="G1002" s="3"/>
      <c r="H1002" s="3" t="s">
        <v>16</v>
      </c>
      <c r="I1002" s="3" t="s">
        <v>484</v>
      </c>
    </row>
    <row r="1003" spans="1:9" s="5" customFormat="1" x14ac:dyDescent="0.35">
      <c r="A1003" s="3" t="s">
        <v>8</v>
      </c>
      <c r="B1003" s="3" t="s">
        <v>482</v>
      </c>
      <c r="C1003" s="3" t="s">
        <v>39</v>
      </c>
      <c r="D1003" s="3" t="s">
        <v>2586</v>
      </c>
      <c r="E1003" s="3" t="s">
        <v>60</v>
      </c>
      <c r="F1003" s="3"/>
      <c r="G1003" s="3"/>
      <c r="H1003" s="3" t="s">
        <v>16</v>
      </c>
      <c r="I1003" s="3" t="s">
        <v>484</v>
      </c>
    </row>
    <row r="1004" spans="1:9" s="5" customFormat="1" x14ac:dyDescent="0.35">
      <c r="A1004" s="3" t="s">
        <v>8</v>
      </c>
      <c r="B1004" s="3" t="s">
        <v>482</v>
      </c>
      <c r="C1004" s="3" t="s">
        <v>39</v>
      </c>
      <c r="D1004" s="3" t="s">
        <v>2586</v>
      </c>
      <c r="E1004" s="3" t="s">
        <v>56</v>
      </c>
      <c r="F1004" s="3"/>
      <c r="G1004" s="3"/>
      <c r="H1004" s="3" t="s">
        <v>16</v>
      </c>
      <c r="I1004" s="3" t="s">
        <v>484</v>
      </c>
    </row>
    <row r="1005" spans="1:9" s="5" customFormat="1" x14ac:dyDescent="0.35">
      <c r="A1005" s="3" t="s">
        <v>8</v>
      </c>
      <c r="B1005" s="3" t="s">
        <v>482</v>
      </c>
      <c r="C1005" s="3" t="s">
        <v>39</v>
      </c>
      <c r="D1005" s="3" t="s">
        <v>2586</v>
      </c>
      <c r="E1005" s="3" t="s">
        <v>24</v>
      </c>
      <c r="F1005" s="3"/>
      <c r="G1005" s="3"/>
      <c r="H1005" s="3" t="s">
        <v>16</v>
      </c>
      <c r="I1005" s="3" t="s">
        <v>484</v>
      </c>
    </row>
    <row r="1006" spans="1:9" s="5" customFormat="1" x14ac:dyDescent="0.35">
      <c r="A1006" s="3" t="s">
        <v>8</v>
      </c>
      <c r="B1006" s="3" t="s">
        <v>482</v>
      </c>
      <c r="C1006" s="3" t="s">
        <v>20</v>
      </c>
      <c r="D1006" s="3" t="s">
        <v>486</v>
      </c>
      <c r="E1006" s="3" t="s">
        <v>60</v>
      </c>
      <c r="F1006" s="3" t="s">
        <v>33</v>
      </c>
      <c r="G1006" s="3" t="s">
        <v>487</v>
      </c>
      <c r="H1006" s="3"/>
      <c r="I1006" s="3"/>
    </row>
    <row r="1007" spans="1:9" s="5" customFormat="1" x14ac:dyDescent="0.35">
      <c r="A1007" s="3" t="s">
        <v>8</v>
      </c>
      <c r="B1007" s="3" t="s">
        <v>482</v>
      </c>
      <c r="C1007" s="3" t="s">
        <v>20</v>
      </c>
      <c r="D1007" s="3" t="s">
        <v>486</v>
      </c>
      <c r="E1007" s="3" t="s">
        <v>28</v>
      </c>
      <c r="F1007" s="3" t="s">
        <v>33</v>
      </c>
      <c r="G1007" s="3" t="s">
        <v>487</v>
      </c>
      <c r="H1007" s="3"/>
      <c r="I1007" s="3"/>
    </row>
    <row r="1008" spans="1:9" s="5" customFormat="1" x14ac:dyDescent="0.35">
      <c r="A1008" s="3" t="s">
        <v>8</v>
      </c>
      <c r="B1008" s="3" t="s">
        <v>482</v>
      </c>
      <c r="C1008" s="3" t="s">
        <v>20</v>
      </c>
      <c r="D1008" s="3" t="s">
        <v>486</v>
      </c>
      <c r="E1008" s="3" t="s">
        <v>56</v>
      </c>
      <c r="F1008" s="3" t="s">
        <v>33</v>
      </c>
      <c r="G1008" s="3" t="s">
        <v>487</v>
      </c>
      <c r="H1008" s="3"/>
      <c r="I1008" s="3"/>
    </row>
    <row r="1009" spans="1:9" s="5" customFormat="1" x14ac:dyDescent="0.35">
      <c r="A1009" s="3" t="s">
        <v>8</v>
      </c>
      <c r="B1009" s="3" t="s">
        <v>482</v>
      </c>
      <c r="C1009" s="3" t="s">
        <v>39</v>
      </c>
      <c r="D1009" s="3" t="s">
        <v>488</v>
      </c>
      <c r="E1009" s="3" t="s">
        <v>12</v>
      </c>
      <c r="F1009" s="3"/>
      <c r="G1009" s="3"/>
      <c r="H1009" s="3" t="s">
        <v>13</v>
      </c>
      <c r="I1009" s="3" t="s">
        <v>484</v>
      </c>
    </row>
    <row r="1010" spans="1:9" s="5" customFormat="1" x14ac:dyDescent="0.35">
      <c r="A1010" s="3" t="s">
        <v>8</v>
      </c>
      <c r="B1010" s="3" t="s">
        <v>482</v>
      </c>
      <c r="C1010" s="3" t="s">
        <v>39</v>
      </c>
      <c r="D1010" s="3" t="s">
        <v>488</v>
      </c>
      <c r="E1010" s="3" t="s">
        <v>27</v>
      </c>
      <c r="F1010" s="3" t="s">
        <v>13</v>
      </c>
      <c r="G1010" s="3" t="s">
        <v>136</v>
      </c>
      <c r="H1010" s="3" t="s">
        <v>13</v>
      </c>
      <c r="I1010" s="3" t="s">
        <v>484</v>
      </c>
    </row>
    <row r="1011" spans="1:9" s="5" customFormat="1" x14ac:dyDescent="0.35">
      <c r="A1011" s="3" t="s">
        <v>8</v>
      </c>
      <c r="B1011" s="3" t="s">
        <v>482</v>
      </c>
      <c r="C1011" s="3" t="s">
        <v>39</v>
      </c>
      <c r="D1011" s="3" t="s">
        <v>488</v>
      </c>
      <c r="E1011" s="3" t="s">
        <v>56</v>
      </c>
      <c r="F1011" s="3" t="s">
        <v>13</v>
      </c>
      <c r="G1011" s="3" t="s">
        <v>489</v>
      </c>
      <c r="H1011" s="3" t="s">
        <v>13</v>
      </c>
      <c r="I1011" s="3" t="s">
        <v>484</v>
      </c>
    </row>
    <row r="1012" spans="1:9" s="5" customFormat="1" x14ac:dyDescent="0.35">
      <c r="A1012" s="3" t="s">
        <v>8</v>
      </c>
      <c r="B1012" s="3" t="s">
        <v>482</v>
      </c>
      <c r="C1012" s="3" t="s">
        <v>39</v>
      </c>
      <c r="D1012" s="3" t="s">
        <v>488</v>
      </c>
      <c r="E1012" s="3" t="s">
        <v>26</v>
      </c>
      <c r="F1012" s="3" t="s">
        <v>13</v>
      </c>
      <c r="G1012" s="3" t="s">
        <v>136</v>
      </c>
      <c r="H1012" s="3" t="s">
        <v>13</v>
      </c>
      <c r="I1012" s="3" t="s">
        <v>484</v>
      </c>
    </row>
    <row r="1013" spans="1:9" s="5" customFormat="1" x14ac:dyDescent="0.35">
      <c r="A1013" s="3" t="s">
        <v>8</v>
      </c>
      <c r="B1013" s="3" t="s">
        <v>482</v>
      </c>
      <c r="C1013" s="3" t="s">
        <v>39</v>
      </c>
      <c r="D1013" s="3" t="s">
        <v>488</v>
      </c>
      <c r="E1013" s="3" t="s">
        <v>29</v>
      </c>
      <c r="F1013" s="3"/>
      <c r="G1013" s="3" t="s">
        <v>2332</v>
      </c>
      <c r="H1013" s="3" t="s">
        <v>13</v>
      </c>
      <c r="I1013" s="3" t="s">
        <v>484</v>
      </c>
    </row>
    <row r="1014" spans="1:9" s="5" customFormat="1" x14ac:dyDescent="0.35">
      <c r="A1014" s="3" t="s">
        <v>8</v>
      </c>
      <c r="B1014" s="3" t="s">
        <v>482</v>
      </c>
      <c r="C1014" s="3" t="s">
        <v>42</v>
      </c>
      <c r="D1014" s="3" t="s">
        <v>490</v>
      </c>
      <c r="E1014" s="3" t="s">
        <v>44</v>
      </c>
      <c r="F1014" s="3"/>
      <c r="G1014" s="3"/>
      <c r="H1014" s="3" t="s">
        <v>13</v>
      </c>
      <c r="I1014" s="3" t="s">
        <v>484</v>
      </c>
    </row>
    <row r="1015" spans="1:9" s="5" customFormat="1" x14ac:dyDescent="0.35">
      <c r="A1015" s="3" t="s">
        <v>8</v>
      </c>
      <c r="B1015" s="3" t="s">
        <v>482</v>
      </c>
      <c r="C1015" s="3" t="s">
        <v>42</v>
      </c>
      <c r="D1015" s="3" t="s">
        <v>490</v>
      </c>
      <c r="E1015" s="3" t="s">
        <v>56</v>
      </c>
      <c r="F1015" s="3" t="s">
        <v>13</v>
      </c>
      <c r="G1015" s="3" t="s">
        <v>491</v>
      </c>
      <c r="H1015" s="3" t="s">
        <v>13</v>
      </c>
      <c r="I1015" s="3" t="s">
        <v>484</v>
      </c>
    </row>
    <row r="1016" spans="1:9" s="5" customFormat="1" x14ac:dyDescent="0.35">
      <c r="A1016" s="3" t="s">
        <v>8</v>
      </c>
      <c r="B1016" s="3" t="s">
        <v>482</v>
      </c>
      <c r="C1016" s="3" t="s">
        <v>42</v>
      </c>
      <c r="D1016" s="3" t="s">
        <v>490</v>
      </c>
      <c r="E1016" s="3" t="s">
        <v>134</v>
      </c>
      <c r="F1016" s="3" t="s">
        <v>13</v>
      </c>
      <c r="G1016" s="3" t="s">
        <v>492</v>
      </c>
      <c r="H1016" s="3" t="s">
        <v>13</v>
      </c>
      <c r="I1016" s="3" t="s">
        <v>484</v>
      </c>
    </row>
    <row r="1017" spans="1:9" s="5" customFormat="1" x14ac:dyDescent="0.35">
      <c r="A1017" s="3" t="s">
        <v>8</v>
      </c>
      <c r="B1017" s="3" t="s">
        <v>482</v>
      </c>
      <c r="C1017" s="3" t="s">
        <v>42</v>
      </c>
      <c r="D1017" s="3" t="s">
        <v>490</v>
      </c>
      <c r="E1017" s="3" t="s">
        <v>82</v>
      </c>
      <c r="F1017" s="3" t="s">
        <v>13</v>
      </c>
      <c r="G1017" s="3" t="s">
        <v>325</v>
      </c>
      <c r="H1017" s="3" t="s">
        <v>13</v>
      </c>
      <c r="I1017" s="3" t="s">
        <v>484</v>
      </c>
    </row>
    <row r="1018" spans="1:9" s="5" customFormat="1" x14ac:dyDescent="0.35">
      <c r="A1018" s="3" t="s">
        <v>8</v>
      </c>
      <c r="B1018" s="3" t="s">
        <v>482</v>
      </c>
      <c r="C1018" s="3" t="s">
        <v>39</v>
      </c>
      <c r="D1018" s="3" t="s">
        <v>493</v>
      </c>
      <c r="E1018" s="3" t="s">
        <v>15</v>
      </c>
      <c r="F1018" s="3" t="s">
        <v>13</v>
      </c>
      <c r="G1018" s="3" t="s">
        <v>365</v>
      </c>
      <c r="H1018" s="3"/>
      <c r="I1018" s="3"/>
    </row>
    <row r="1019" spans="1:9" s="5" customFormat="1" x14ac:dyDescent="0.35">
      <c r="A1019" s="3" t="s">
        <v>8</v>
      </c>
      <c r="B1019" s="3" t="s">
        <v>482</v>
      </c>
      <c r="C1019" s="3" t="s">
        <v>10</v>
      </c>
      <c r="D1019" s="3" t="s">
        <v>2537</v>
      </c>
      <c r="E1019" s="3" t="s">
        <v>27</v>
      </c>
      <c r="F1019" s="3"/>
      <c r="G1019" s="3"/>
      <c r="H1019" s="3" t="s">
        <v>13</v>
      </c>
      <c r="I1019" s="3" t="s">
        <v>484</v>
      </c>
    </row>
    <row r="1020" spans="1:9" s="5" customFormat="1" x14ac:dyDescent="0.35">
      <c r="A1020" s="3" t="s">
        <v>8</v>
      </c>
      <c r="B1020" s="3" t="s">
        <v>482</v>
      </c>
      <c r="C1020" s="3" t="s">
        <v>10</v>
      </c>
      <c r="D1020" s="3" t="s">
        <v>2537</v>
      </c>
      <c r="E1020" s="3" t="s">
        <v>87</v>
      </c>
      <c r="F1020" s="3"/>
      <c r="G1020" s="3" t="s">
        <v>2538</v>
      </c>
      <c r="H1020" s="3" t="s">
        <v>13</v>
      </c>
      <c r="I1020" s="3" t="s">
        <v>484</v>
      </c>
    </row>
    <row r="1021" spans="1:9" s="5" customFormat="1" x14ac:dyDescent="0.35">
      <c r="A1021" s="3" t="s">
        <v>8</v>
      </c>
      <c r="B1021" s="3" t="s">
        <v>482</v>
      </c>
      <c r="C1021" s="3" t="s">
        <v>10</v>
      </c>
      <c r="D1021" s="3" t="s">
        <v>2537</v>
      </c>
      <c r="E1021" s="3" t="s">
        <v>15</v>
      </c>
      <c r="F1021" s="3" t="s">
        <v>16</v>
      </c>
      <c r="G1021" s="3" t="s">
        <v>2536</v>
      </c>
      <c r="H1021" s="3" t="s">
        <v>13</v>
      </c>
      <c r="I1021" s="3" t="s">
        <v>484</v>
      </c>
    </row>
    <row r="1022" spans="1:9" s="5" customFormat="1" x14ac:dyDescent="0.35">
      <c r="A1022" s="3" t="s">
        <v>8</v>
      </c>
      <c r="B1022" s="3" t="s">
        <v>482</v>
      </c>
      <c r="C1022" s="3" t="s">
        <v>10</v>
      </c>
      <c r="D1022" s="3" t="s">
        <v>2537</v>
      </c>
      <c r="E1022" s="3" t="s">
        <v>24</v>
      </c>
      <c r="F1022" s="3"/>
      <c r="G1022" s="3"/>
      <c r="H1022" s="3" t="s">
        <v>13</v>
      </c>
      <c r="I1022" s="3" t="s">
        <v>484</v>
      </c>
    </row>
    <row r="1023" spans="1:9" s="5" customFormat="1" x14ac:dyDescent="0.35">
      <c r="A1023" s="3" t="s">
        <v>8</v>
      </c>
      <c r="B1023" s="3" t="s">
        <v>482</v>
      </c>
      <c r="C1023" s="3" t="s">
        <v>10</v>
      </c>
      <c r="D1023" s="3" t="s">
        <v>494</v>
      </c>
      <c r="E1023" s="3" t="s">
        <v>12</v>
      </c>
      <c r="F1023" s="3"/>
      <c r="G1023" s="3"/>
      <c r="H1023" s="3" t="s">
        <v>13</v>
      </c>
      <c r="I1023" s="3" t="s">
        <v>484</v>
      </c>
    </row>
    <row r="1024" spans="1:9" s="5" customFormat="1" x14ac:dyDescent="0.35">
      <c r="A1024" s="3" t="s">
        <v>8</v>
      </c>
      <c r="B1024" s="3" t="s">
        <v>482</v>
      </c>
      <c r="C1024" s="3" t="s">
        <v>10</v>
      </c>
      <c r="D1024" s="3" t="s">
        <v>494</v>
      </c>
      <c r="E1024" s="3" t="s">
        <v>15</v>
      </c>
      <c r="F1024" s="3"/>
      <c r="G1024" s="3"/>
      <c r="H1024" s="3" t="s">
        <v>13</v>
      </c>
      <c r="I1024" s="3" t="s">
        <v>484</v>
      </c>
    </row>
    <row r="1025" spans="1:9" s="5" customFormat="1" x14ac:dyDescent="0.35">
      <c r="A1025" s="3" t="s">
        <v>8</v>
      </c>
      <c r="B1025" s="3" t="s">
        <v>482</v>
      </c>
      <c r="C1025" s="3" t="s">
        <v>10</v>
      </c>
      <c r="D1025" s="3" t="s">
        <v>494</v>
      </c>
      <c r="E1025" s="3" t="s">
        <v>134</v>
      </c>
      <c r="F1025" s="3"/>
      <c r="G1025" s="3"/>
      <c r="H1025" s="3" t="s">
        <v>13</v>
      </c>
      <c r="I1025" s="3" t="s">
        <v>484</v>
      </c>
    </row>
    <row r="1026" spans="1:9" s="5" customFormat="1" x14ac:dyDescent="0.35">
      <c r="A1026" s="3" t="s">
        <v>8</v>
      </c>
      <c r="B1026" s="3" t="s">
        <v>482</v>
      </c>
      <c r="C1026" s="3" t="s">
        <v>302</v>
      </c>
      <c r="D1026" s="3" t="s">
        <v>2535</v>
      </c>
      <c r="E1026" s="3" t="s">
        <v>15</v>
      </c>
      <c r="F1026" s="3" t="s">
        <v>16</v>
      </c>
      <c r="G1026" s="3" t="s">
        <v>2536</v>
      </c>
      <c r="H1026" s="3" t="s">
        <v>13</v>
      </c>
      <c r="I1026" s="3" t="s">
        <v>484</v>
      </c>
    </row>
    <row r="1027" spans="1:9" s="5" customFormat="1" x14ac:dyDescent="0.35">
      <c r="A1027" s="3" t="s">
        <v>8</v>
      </c>
      <c r="B1027" s="3" t="s">
        <v>482</v>
      </c>
      <c r="C1027" s="3" t="s">
        <v>302</v>
      </c>
      <c r="D1027" s="3" t="s">
        <v>2535</v>
      </c>
      <c r="E1027" s="3" t="s">
        <v>134</v>
      </c>
      <c r="F1027" s="3"/>
      <c r="G1027" s="3"/>
      <c r="H1027" s="3" t="s">
        <v>13</v>
      </c>
      <c r="I1027" s="3" t="s">
        <v>484</v>
      </c>
    </row>
    <row r="1028" spans="1:9" s="5" customFormat="1" x14ac:dyDescent="0.35">
      <c r="A1028" s="3" t="s">
        <v>8</v>
      </c>
      <c r="B1028" s="3" t="s">
        <v>482</v>
      </c>
      <c r="C1028" s="3" t="s">
        <v>20</v>
      </c>
      <c r="D1028" s="3" t="s">
        <v>495</v>
      </c>
      <c r="E1028" s="3" t="s">
        <v>25</v>
      </c>
      <c r="F1028" s="3"/>
      <c r="G1028" s="3"/>
      <c r="H1028" s="3" t="s">
        <v>13</v>
      </c>
      <c r="I1028" s="3" t="s">
        <v>484</v>
      </c>
    </row>
    <row r="1029" spans="1:9" s="5" customFormat="1" x14ac:dyDescent="0.35">
      <c r="A1029" s="3" t="s">
        <v>8</v>
      </c>
      <c r="B1029" s="3" t="s">
        <v>482</v>
      </c>
      <c r="C1029" s="3" t="s">
        <v>20</v>
      </c>
      <c r="D1029" s="3" t="s">
        <v>495</v>
      </c>
      <c r="E1029" s="3" t="s">
        <v>87</v>
      </c>
      <c r="F1029" s="3"/>
      <c r="G1029" s="3"/>
      <c r="H1029" s="3" t="s">
        <v>13</v>
      </c>
      <c r="I1029" s="3" t="s">
        <v>484</v>
      </c>
    </row>
    <row r="1030" spans="1:9" s="5" customFormat="1" x14ac:dyDescent="0.35">
      <c r="A1030" s="3" t="s">
        <v>8</v>
      </c>
      <c r="B1030" s="3" t="s">
        <v>482</v>
      </c>
      <c r="C1030" s="3" t="s">
        <v>20</v>
      </c>
      <c r="D1030" s="3" t="s">
        <v>495</v>
      </c>
      <c r="E1030" s="3" t="s">
        <v>15</v>
      </c>
      <c r="F1030" s="3" t="s">
        <v>13</v>
      </c>
      <c r="G1030" s="3" t="s">
        <v>496</v>
      </c>
      <c r="H1030" s="3" t="s">
        <v>13</v>
      </c>
      <c r="I1030" s="3" t="s">
        <v>484</v>
      </c>
    </row>
    <row r="1031" spans="1:9" s="5" customFormat="1" x14ac:dyDescent="0.35">
      <c r="A1031" s="3" t="s">
        <v>8</v>
      </c>
      <c r="B1031" s="3" t="s">
        <v>482</v>
      </c>
      <c r="C1031" s="3" t="s">
        <v>20</v>
      </c>
      <c r="D1031" s="3" t="s">
        <v>495</v>
      </c>
      <c r="E1031" s="3" t="s">
        <v>24</v>
      </c>
      <c r="F1031" s="3"/>
      <c r="G1031" s="3"/>
      <c r="H1031" s="3" t="s">
        <v>13</v>
      </c>
      <c r="I1031" s="3" t="s">
        <v>484</v>
      </c>
    </row>
    <row r="1032" spans="1:9" s="5" customFormat="1" x14ac:dyDescent="0.35">
      <c r="A1032" s="3" t="s">
        <v>8</v>
      </c>
      <c r="B1032" s="3" t="s">
        <v>482</v>
      </c>
      <c r="C1032" s="3" t="s">
        <v>20</v>
      </c>
      <c r="D1032" s="3" t="s">
        <v>495</v>
      </c>
      <c r="E1032" s="3" t="s">
        <v>134</v>
      </c>
      <c r="F1032" s="3" t="s">
        <v>13</v>
      </c>
      <c r="G1032" s="3"/>
      <c r="H1032" s="3" t="s">
        <v>13</v>
      </c>
      <c r="I1032" s="3" t="s">
        <v>484</v>
      </c>
    </row>
    <row r="1033" spans="1:9" s="5" customFormat="1" x14ac:dyDescent="0.35">
      <c r="A1033" s="3" t="s">
        <v>8</v>
      </c>
      <c r="B1033" s="3" t="s">
        <v>482</v>
      </c>
      <c r="C1033" s="3" t="s">
        <v>45</v>
      </c>
      <c r="D1033" s="3" t="s">
        <v>497</v>
      </c>
      <c r="E1033" s="3" t="s">
        <v>77</v>
      </c>
      <c r="F1033" s="3"/>
      <c r="G1033" s="3"/>
      <c r="H1033" s="3" t="s">
        <v>13</v>
      </c>
      <c r="I1033" s="3" t="s">
        <v>484</v>
      </c>
    </row>
    <row r="1034" spans="1:9" s="5" customFormat="1" x14ac:dyDescent="0.35">
      <c r="A1034" s="3" t="s">
        <v>8</v>
      </c>
      <c r="B1034" s="3" t="s">
        <v>482</v>
      </c>
      <c r="C1034" s="3" t="s">
        <v>45</v>
      </c>
      <c r="D1034" s="3" t="s">
        <v>497</v>
      </c>
      <c r="E1034" s="3" t="s">
        <v>15</v>
      </c>
      <c r="F1034" s="3" t="s">
        <v>13</v>
      </c>
      <c r="G1034" s="3" t="s">
        <v>498</v>
      </c>
      <c r="H1034" s="3" t="s">
        <v>13</v>
      </c>
      <c r="I1034" s="3" t="s">
        <v>484</v>
      </c>
    </row>
    <row r="1035" spans="1:9" s="5" customFormat="1" x14ac:dyDescent="0.35">
      <c r="A1035" s="3" t="s">
        <v>8</v>
      </c>
      <c r="B1035" s="3" t="s">
        <v>482</v>
      </c>
      <c r="C1035" s="3" t="s">
        <v>45</v>
      </c>
      <c r="D1035" s="3" t="s">
        <v>497</v>
      </c>
      <c r="E1035" s="3" t="s">
        <v>56</v>
      </c>
      <c r="F1035" s="3" t="s">
        <v>13</v>
      </c>
      <c r="G1035" s="3" t="s">
        <v>498</v>
      </c>
      <c r="H1035" s="3" t="s">
        <v>13</v>
      </c>
      <c r="I1035" s="3" t="s">
        <v>484</v>
      </c>
    </row>
    <row r="1036" spans="1:9" s="5" customFormat="1" x14ac:dyDescent="0.35">
      <c r="A1036" s="3" t="s">
        <v>8</v>
      </c>
      <c r="B1036" s="3" t="s">
        <v>482</v>
      </c>
      <c r="C1036" s="3" t="s">
        <v>45</v>
      </c>
      <c r="D1036" s="3" t="s">
        <v>497</v>
      </c>
      <c r="E1036" s="3" t="s">
        <v>24</v>
      </c>
      <c r="F1036" s="3"/>
      <c r="G1036" s="3"/>
      <c r="H1036" s="3" t="s">
        <v>13</v>
      </c>
      <c r="I1036" s="3" t="s">
        <v>484</v>
      </c>
    </row>
    <row r="1037" spans="1:9" s="5" customFormat="1" x14ac:dyDescent="0.35">
      <c r="A1037" s="3" t="s">
        <v>8</v>
      </c>
      <c r="B1037" s="3" t="s">
        <v>482</v>
      </c>
      <c r="C1037" s="3" t="s">
        <v>45</v>
      </c>
      <c r="D1037" s="3" t="s">
        <v>497</v>
      </c>
      <c r="E1037" s="3" t="s">
        <v>290</v>
      </c>
      <c r="F1037" s="3"/>
      <c r="G1037" s="3"/>
      <c r="H1037" s="3" t="s">
        <v>13</v>
      </c>
      <c r="I1037" s="3" t="s">
        <v>484</v>
      </c>
    </row>
    <row r="1038" spans="1:9" s="5" customFormat="1" x14ac:dyDescent="0.35">
      <c r="A1038" s="3" t="s">
        <v>8</v>
      </c>
      <c r="B1038" s="3" t="s">
        <v>482</v>
      </c>
      <c r="C1038" s="3" t="s">
        <v>45</v>
      </c>
      <c r="D1038" s="3" t="s">
        <v>499</v>
      </c>
      <c r="E1038" s="3" t="s">
        <v>77</v>
      </c>
      <c r="F1038" s="3"/>
      <c r="G1038" s="3"/>
      <c r="H1038" s="3"/>
      <c r="I1038" s="3"/>
    </row>
    <row r="1039" spans="1:9" s="5" customFormat="1" x14ac:dyDescent="0.35">
      <c r="A1039" s="3" t="s">
        <v>8</v>
      </c>
      <c r="B1039" s="3" t="s">
        <v>482</v>
      </c>
      <c r="C1039" s="3" t="s">
        <v>45</v>
      </c>
      <c r="D1039" s="3" t="s">
        <v>500</v>
      </c>
      <c r="E1039" s="3" t="s">
        <v>15</v>
      </c>
      <c r="F1039" s="3" t="s">
        <v>13</v>
      </c>
      <c r="G1039" s="3" t="s">
        <v>501</v>
      </c>
      <c r="H1039" s="3" t="s">
        <v>13</v>
      </c>
      <c r="I1039" s="3" t="s">
        <v>502</v>
      </c>
    </row>
    <row r="1040" spans="1:9" s="5" customFormat="1" x14ac:dyDescent="0.35">
      <c r="A1040" s="3" t="s">
        <v>8</v>
      </c>
      <c r="B1040" s="3" t="s">
        <v>482</v>
      </c>
      <c r="C1040" s="3" t="s">
        <v>45</v>
      </c>
      <c r="D1040" s="3" t="s">
        <v>500</v>
      </c>
      <c r="E1040" s="3" t="s">
        <v>32</v>
      </c>
      <c r="F1040" s="3" t="s">
        <v>13</v>
      </c>
      <c r="G1040" s="3" t="s">
        <v>503</v>
      </c>
      <c r="H1040" s="3" t="s">
        <v>13</v>
      </c>
      <c r="I1040" s="3" t="s">
        <v>484</v>
      </c>
    </row>
    <row r="1041" spans="1:9" s="5" customFormat="1" x14ac:dyDescent="0.35">
      <c r="A1041" s="3" t="s">
        <v>8</v>
      </c>
      <c r="B1041" s="3" t="s">
        <v>482</v>
      </c>
      <c r="C1041" s="3" t="s">
        <v>45</v>
      </c>
      <c r="D1041" s="3" t="s">
        <v>500</v>
      </c>
      <c r="E1041" s="3" t="s">
        <v>24</v>
      </c>
      <c r="F1041" s="3"/>
      <c r="G1041" s="3"/>
      <c r="H1041" s="3" t="s">
        <v>13</v>
      </c>
      <c r="I1041" s="3" t="s">
        <v>484</v>
      </c>
    </row>
    <row r="1042" spans="1:9" s="5" customFormat="1" x14ac:dyDescent="0.35">
      <c r="A1042" s="3" t="s">
        <v>8</v>
      </c>
      <c r="B1042" s="3" t="s">
        <v>482</v>
      </c>
      <c r="C1042" s="3" t="s">
        <v>45</v>
      </c>
      <c r="D1042" s="3" t="s">
        <v>500</v>
      </c>
      <c r="E1042" s="3" t="s">
        <v>290</v>
      </c>
      <c r="F1042" s="3"/>
      <c r="G1042" s="3"/>
      <c r="H1042" s="3" t="s">
        <v>13</v>
      </c>
      <c r="I1042" s="3" t="s">
        <v>502</v>
      </c>
    </row>
    <row r="1043" spans="1:9" s="5" customFormat="1" x14ac:dyDescent="0.35">
      <c r="A1043" s="3" t="s">
        <v>8</v>
      </c>
      <c r="B1043" s="3" t="s">
        <v>504</v>
      </c>
      <c r="C1043" s="3" t="s">
        <v>39</v>
      </c>
      <c r="D1043" s="3" t="s">
        <v>505</v>
      </c>
      <c r="E1043" s="3" t="s">
        <v>23</v>
      </c>
      <c r="F1043" s="3"/>
      <c r="G1043" s="3"/>
      <c r="H1043" s="3" t="s">
        <v>13</v>
      </c>
      <c r="I1043" s="3" t="s">
        <v>506</v>
      </c>
    </row>
    <row r="1044" spans="1:9" s="5" customFormat="1" x14ac:dyDescent="0.35">
      <c r="A1044" s="3" t="s">
        <v>8</v>
      </c>
      <c r="B1044" s="3" t="s">
        <v>504</v>
      </c>
      <c r="C1044" s="3" t="s">
        <v>39</v>
      </c>
      <c r="D1044" s="3" t="s">
        <v>505</v>
      </c>
      <c r="E1044" s="3" t="s">
        <v>25</v>
      </c>
      <c r="F1044" s="3"/>
      <c r="G1044" s="3"/>
      <c r="H1044" s="3" t="s">
        <v>13</v>
      </c>
      <c r="I1044" s="3" t="s">
        <v>506</v>
      </c>
    </row>
    <row r="1045" spans="1:9" s="5" customFormat="1" x14ac:dyDescent="0.35">
      <c r="A1045" s="3" t="s">
        <v>8</v>
      </c>
      <c r="B1045" s="3" t="s">
        <v>504</v>
      </c>
      <c r="C1045" s="3" t="s">
        <v>39</v>
      </c>
      <c r="D1045" s="3" t="s">
        <v>505</v>
      </c>
      <c r="E1045" s="3" t="s">
        <v>27</v>
      </c>
      <c r="F1045" s="3"/>
      <c r="G1045" s="3"/>
      <c r="H1045" s="3" t="s">
        <v>13</v>
      </c>
      <c r="I1045" s="3" t="s">
        <v>506</v>
      </c>
    </row>
    <row r="1046" spans="1:9" s="5" customFormat="1" x14ac:dyDescent="0.35">
      <c r="A1046" s="3" t="s">
        <v>8</v>
      </c>
      <c r="B1046" s="3" t="s">
        <v>504</v>
      </c>
      <c r="C1046" s="3" t="s">
        <v>39</v>
      </c>
      <c r="D1046" s="3" t="s">
        <v>505</v>
      </c>
      <c r="E1046" s="3" t="s">
        <v>32</v>
      </c>
      <c r="F1046" s="3" t="s">
        <v>13</v>
      </c>
      <c r="G1046" s="3" t="s">
        <v>507</v>
      </c>
      <c r="H1046" s="3" t="s">
        <v>13</v>
      </c>
      <c r="I1046" s="3" t="s">
        <v>506</v>
      </c>
    </row>
    <row r="1047" spans="1:9" s="5" customFormat="1" x14ac:dyDescent="0.35">
      <c r="A1047" s="3" t="s">
        <v>8</v>
      </c>
      <c r="B1047" s="3" t="s">
        <v>504</v>
      </c>
      <c r="C1047" s="3" t="s">
        <v>42</v>
      </c>
      <c r="D1047" s="3" t="s">
        <v>508</v>
      </c>
      <c r="E1047" s="3" t="s">
        <v>36</v>
      </c>
      <c r="F1047" s="3"/>
      <c r="G1047" s="3"/>
      <c r="H1047" s="3" t="s">
        <v>16</v>
      </c>
      <c r="I1047" s="3" t="s">
        <v>509</v>
      </c>
    </row>
    <row r="1048" spans="1:9" s="5" customFormat="1" x14ac:dyDescent="0.35">
      <c r="A1048" s="3" t="s">
        <v>8</v>
      </c>
      <c r="B1048" s="3" t="s">
        <v>504</v>
      </c>
      <c r="C1048" s="3" t="s">
        <v>42</v>
      </c>
      <c r="D1048" s="3" t="s">
        <v>508</v>
      </c>
      <c r="E1048" s="3" t="s">
        <v>23</v>
      </c>
      <c r="F1048" s="3"/>
      <c r="G1048" s="3"/>
      <c r="H1048" s="3" t="s">
        <v>13</v>
      </c>
      <c r="I1048" s="3" t="s">
        <v>509</v>
      </c>
    </row>
    <row r="1049" spans="1:9" s="5" customFormat="1" x14ac:dyDescent="0.35">
      <c r="A1049" s="3" t="s">
        <v>8</v>
      </c>
      <c r="B1049" s="3" t="s">
        <v>504</v>
      </c>
      <c r="C1049" s="3" t="s">
        <v>42</v>
      </c>
      <c r="D1049" s="3" t="s">
        <v>508</v>
      </c>
      <c r="E1049" s="3" t="s">
        <v>25</v>
      </c>
      <c r="F1049" s="3"/>
      <c r="G1049" s="3"/>
      <c r="H1049" s="3" t="s">
        <v>13</v>
      </c>
      <c r="I1049" s="3" t="s">
        <v>509</v>
      </c>
    </row>
    <row r="1050" spans="1:9" s="5" customFormat="1" x14ac:dyDescent="0.35">
      <c r="A1050" s="3" t="s">
        <v>8</v>
      </c>
      <c r="B1050" s="3" t="s">
        <v>504</v>
      </c>
      <c r="C1050" s="3" t="s">
        <v>42</v>
      </c>
      <c r="D1050" s="3" t="s">
        <v>508</v>
      </c>
      <c r="E1050" s="3" t="s">
        <v>27</v>
      </c>
      <c r="F1050" s="3" t="s">
        <v>33</v>
      </c>
      <c r="G1050" s="3" t="s">
        <v>875</v>
      </c>
      <c r="H1050" s="3"/>
      <c r="I1050" s="3"/>
    </row>
    <row r="1051" spans="1:9" s="5" customFormat="1" x14ac:dyDescent="0.35">
      <c r="A1051" s="3" t="s">
        <v>8</v>
      </c>
      <c r="B1051" s="3" t="s">
        <v>504</v>
      </c>
      <c r="C1051" s="3" t="s">
        <v>42</v>
      </c>
      <c r="D1051" s="3" t="s">
        <v>508</v>
      </c>
      <c r="E1051" s="3" t="s">
        <v>142</v>
      </c>
      <c r="F1051" s="3"/>
      <c r="G1051" s="3"/>
      <c r="H1051" s="3" t="s">
        <v>13</v>
      </c>
      <c r="I1051" s="3" t="s">
        <v>509</v>
      </c>
    </row>
    <row r="1052" spans="1:9" s="5" customFormat="1" x14ac:dyDescent="0.35">
      <c r="A1052" s="3" t="s">
        <v>8</v>
      </c>
      <c r="B1052" s="3" t="s">
        <v>504</v>
      </c>
      <c r="C1052" s="3" t="s">
        <v>42</v>
      </c>
      <c r="D1052" s="3" t="s">
        <v>508</v>
      </c>
      <c r="E1052" s="3" t="s">
        <v>44</v>
      </c>
      <c r="F1052" s="3"/>
      <c r="G1052" s="3"/>
      <c r="H1052" s="3" t="s">
        <v>13</v>
      </c>
      <c r="I1052" s="3" t="s">
        <v>509</v>
      </c>
    </row>
    <row r="1053" spans="1:9" s="5" customFormat="1" x14ac:dyDescent="0.35">
      <c r="A1053" s="3" t="s">
        <v>8</v>
      </c>
      <c r="B1053" s="3" t="s">
        <v>504</v>
      </c>
      <c r="C1053" s="3" t="s">
        <v>42</v>
      </c>
      <c r="D1053" s="3" t="s">
        <v>508</v>
      </c>
      <c r="E1053" s="3" t="s">
        <v>98</v>
      </c>
      <c r="F1053" s="3"/>
      <c r="G1053" s="3"/>
      <c r="H1053" s="3" t="s">
        <v>13</v>
      </c>
      <c r="I1053" s="3" t="s">
        <v>509</v>
      </c>
    </row>
    <row r="1054" spans="1:9" s="5" customFormat="1" x14ac:dyDescent="0.35">
      <c r="A1054" s="3" t="s">
        <v>8</v>
      </c>
      <c r="B1054" s="3" t="s">
        <v>504</v>
      </c>
      <c r="C1054" s="3" t="s">
        <v>42</v>
      </c>
      <c r="D1054" s="3" t="s">
        <v>508</v>
      </c>
      <c r="E1054" s="3" t="s">
        <v>15</v>
      </c>
      <c r="F1054" s="3" t="s">
        <v>16</v>
      </c>
      <c r="G1054" s="3" t="s">
        <v>2874</v>
      </c>
      <c r="H1054" s="3" t="s">
        <v>16</v>
      </c>
      <c r="I1054" s="3" t="s">
        <v>509</v>
      </c>
    </row>
    <row r="1055" spans="1:9" s="5" customFormat="1" x14ac:dyDescent="0.35">
      <c r="A1055" s="3" t="s">
        <v>8</v>
      </c>
      <c r="B1055" s="3" t="s">
        <v>504</v>
      </c>
      <c r="C1055" s="3" t="s">
        <v>42</v>
      </c>
      <c r="D1055" s="3" t="s">
        <v>508</v>
      </c>
      <c r="E1055" s="3" t="s">
        <v>56</v>
      </c>
      <c r="F1055" s="3" t="s">
        <v>16</v>
      </c>
      <c r="G1055" s="3" t="s">
        <v>2676</v>
      </c>
      <c r="H1055" s="3" t="s">
        <v>16</v>
      </c>
      <c r="I1055" s="3" t="s">
        <v>509</v>
      </c>
    </row>
    <row r="1056" spans="1:9" s="5" customFormat="1" x14ac:dyDescent="0.35">
      <c r="A1056" s="3" t="s">
        <v>8</v>
      </c>
      <c r="B1056" s="3" t="s">
        <v>504</v>
      </c>
      <c r="C1056" s="3" t="s">
        <v>42</v>
      </c>
      <c r="D1056" s="3" t="s">
        <v>508</v>
      </c>
      <c r="E1056" s="3" t="s">
        <v>32</v>
      </c>
      <c r="F1056" s="3" t="s">
        <v>33</v>
      </c>
      <c r="G1056" s="3" t="s">
        <v>2677</v>
      </c>
      <c r="H1056" s="3"/>
      <c r="I1056" s="3"/>
    </row>
    <row r="1057" spans="1:9" s="5" customFormat="1" x14ac:dyDescent="0.35">
      <c r="A1057" s="3" t="s">
        <v>8</v>
      </c>
      <c r="B1057" s="3" t="s">
        <v>504</v>
      </c>
      <c r="C1057" s="3" t="s">
        <v>42</v>
      </c>
      <c r="D1057" s="3" t="s">
        <v>508</v>
      </c>
      <c r="E1057" s="3" t="s">
        <v>134</v>
      </c>
      <c r="F1057" s="3" t="s">
        <v>13</v>
      </c>
      <c r="G1057" s="3" t="s">
        <v>510</v>
      </c>
      <c r="H1057" s="3" t="s">
        <v>13</v>
      </c>
      <c r="I1057" s="3" t="s">
        <v>509</v>
      </c>
    </row>
    <row r="1058" spans="1:9" s="5" customFormat="1" x14ac:dyDescent="0.35">
      <c r="A1058" s="3" t="s">
        <v>8</v>
      </c>
      <c r="B1058" s="3" t="s">
        <v>504</v>
      </c>
      <c r="C1058" s="3" t="s">
        <v>42</v>
      </c>
      <c r="D1058" s="3" t="s">
        <v>508</v>
      </c>
      <c r="E1058" s="3" t="s">
        <v>107</v>
      </c>
      <c r="F1058" s="3" t="s">
        <v>13</v>
      </c>
      <c r="G1058" s="3" t="s">
        <v>511</v>
      </c>
      <c r="H1058" s="3" t="s">
        <v>13</v>
      </c>
      <c r="I1058" s="3" t="s">
        <v>509</v>
      </c>
    </row>
    <row r="1059" spans="1:9" s="5" customFormat="1" x14ac:dyDescent="0.35">
      <c r="A1059" s="3" t="s">
        <v>8</v>
      </c>
      <c r="B1059" s="3" t="s">
        <v>504</v>
      </c>
      <c r="C1059" s="3" t="s">
        <v>45</v>
      </c>
      <c r="D1059" s="3" t="s">
        <v>2775</v>
      </c>
      <c r="E1059" s="3" t="s">
        <v>77</v>
      </c>
      <c r="F1059" s="3" t="s">
        <v>33</v>
      </c>
      <c r="G1059" s="3" t="s">
        <v>34</v>
      </c>
      <c r="H1059" s="3"/>
      <c r="I1059" s="3"/>
    </row>
    <row r="1060" spans="1:9" s="5" customFormat="1" x14ac:dyDescent="0.35">
      <c r="A1060" s="3" t="s">
        <v>8</v>
      </c>
      <c r="B1060" s="3" t="s">
        <v>504</v>
      </c>
      <c r="C1060" s="3" t="s">
        <v>45</v>
      </c>
      <c r="D1060" s="3" t="s">
        <v>2775</v>
      </c>
      <c r="E1060" s="3" t="s">
        <v>98</v>
      </c>
      <c r="F1060" s="3"/>
      <c r="G1060" s="3"/>
      <c r="H1060" s="3"/>
      <c r="I1060" s="3"/>
    </row>
    <row r="1061" spans="1:9" s="5" customFormat="1" x14ac:dyDescent="0.35">
      <c r="A1061" s="3" t="s">
        <v>8</v>
      </c>
      <c r="B1061" s="3" t="s">
        <v>504</v>
      </c>
      <c r="C1061" s="3" t="s">
        <v>45</v>
      </c>
      <c r="D1061" s="3" t="s">
        <v>2775</v>
      </c>
      <c r="E1061" s="3" t="s">
        <v>24</v>
      </c>
      <c r="F1061" s="3"/>
      <c r="G1061" s="3"/>
      <c r="H1061" s="3"/>
      <c r="I1061" s="3"/>
    </row>
    <row r="1062" spans="1:9" s="5" customFormat="1" x14ac:dyDescent="0.35">
      <c r="A1062" s="3" t="s">
        <v>8</v>
      </c>
      <c r="B1062" s="3" t="s">
        <v>504</v>
      </c>
      <c r="C1062" s="3" t="s">
        <v>45</v>
      </c>
      <c r="D1062" s="3" t="s">
        <v>512</v>
      </c>
      <c r="E1062" s="3" t="s">
        <v>56</v>
      </c>
      <c r="F1062" s="3" t="s">
        <v>13</v>
      </c>
      <c r="G1062" s="3" t="s">
        <v>2462</v>
      </c>
      <c r="H1062" s="3"/>
      <c r="I1062" s="3"/>
    </row>
    <row r="1063" spans="1:9" s="5" customFormat="1" x14ac:dyDescent="0.35">
      <c r="A1063" s="3" t="s">
        <v>8</v>
      </c>
      <c r="B1063" s="3" t="s">
        <v>504</v>
      </c>
      <c r="C1063" s="3" t="s">
        <v>20</v>
      </c>
      <c r="D1063" s="3" t="s">
        <v>513</v>
      </c>
      <c r="E1063" s="3" t="s">
        <v>27</v>
      </c>
      <c r="F1063" s="3" t="s">
        <v>13</v>
      </c>
      <c r="G1063" s="3" t="s">
        <v>365</v>
      </c>
      <c r="H1063" s="3" t="s">
        <v>13</v>
      </c>
      <c r="I1063" s="3" t="s">
        <v>506</v>
      </c>
    </row>
    <row r="1064" spans="1:9" s="5" customFormat="1" x14ac:dyDescent="0.35">
      <c r="A1064" s="3" t="s">
        <v>8</v>
      </c>
      <c r="B1064" s="3" t="s">
        <v>504</v>
      </c>
      <c r="C1064" s="3" t="s">
        <v>20</v>
      </c>
      <c r="D1064" s="3" t="s">
        <v>513</v>
      </c>
      <c r="E1064" s="3" t="s">
        <v>87</v>
      </c>
      <c r="F1064" s="3" t="s">
        <v>13</v>
      </c>
      <c r="G1064" s="3" t="s">
        <v>365</v>
      </c>
      <c r="H1064" s="3" t="s">
        <v>13</v>
      </c>
      <c r="I1064" s="3" t="s">
        <v>506</v>
      </c>
    </row>
    <row r="1065" spans="1:9" s="5" customFormat="1" x14ac:dyDescent="0.35">
      <c r="A1065" s="3" t="s">
        <v>8</v>
      </c>
      <c r="B1065" s="3" t="s">
        <v>504</v>
      </c>
      <c r="C1065" s="3" t="s">
        <v>20</v>
      </c>
      <c r="D1065" s="3" t="s">
        <v>513</v>
      </c>
      <c r="E1065" s="3" t="s">
        <v>15</v>
      </c>
      <c r="F1065" s="3" t="s">
        <v>13</v>
      </c>
      <c r="G1065" s="3" t="s">
        <v>515</v>
      </c>
      <c r="H1065" s="3" t="s">
        <v>13</v>
      </c>
      <c r="I1065" s="3" t="s">
        <v>506</v>
      </c>
    </row>
    <row r="1066" spans="1:9" s="5" customFormat="1" x14ac:dyDescent="0.35">
      <c r="A1066" s="3" t="s">
        <v>8</v>
      </c>
      <c r="B1066" s="3" t="s">
        <v>504</v>
      </c>
      <c r="C1066" s="3" t="s">
        <v>20</v>
      </c>
      <c r="D1066" s="3" t="s">
        <v>513</v>
      </c>
      <c r="E1066" s="3" t="s">
        <v>89</v>
      </c>
      <c r="F1066" s="3" t="s">
        <v>13</v>
      </c>
      <c r="G1066" s="3" t="s">
        <v>514</v>
      </c>
      <c r="H1066" s="3" t="s">
        <v>13</v>
      </c>
      <c r="I1066" s="3" t="s">
        <v>506</v>
      </c>
    </row>
    <row r="1067" spans="1:9" s="5" customFormat="1" x14ac:dyDescent="0.35">
      <c r="A1067" s="3" t="s">
        <v>8</v>
      </c>
      <c r="B1067" s="3" t="s">
        <v>504</v>
      </c>
      <c r="C1067" s="3" t="s">
        <v>20</v>
      </c>
      <c r="D1067" s="3" t="s">
        <v>516</v>
      </c>
      <c r="E1067" s="3" t="s">
        <v>12</v>
      </c>
      <c r="F1067" s="3"/>
      <c r="G1067" s="3"/>
      <c r="H1067" s="3" t="s">
        <v>13</v>
      </c>
      <c r="I1067" s="3" t="s">
        <v>509</v>
      </c>
    </row>
    <row r="1068" spans="1:9" s="5" customFormat="1" x14ac:dyDescent="0.35">
      <c r="A1068" s="3" t="s">
        <v>8</v>
      </c>
      <c r="B1068" s="3" t="s">
        <v>504</v>
      </c>
      <c r="C1068" s="3" t="s">
        <v>20</v>
      </c>
      <c r="D1068" s="3" t="s">
        <v>516</v>
      </c>
      <c r="E1068" s="3" t="s">
        <v>23</v>
      </c>
      <c r="F1068" s="3"/>
      <c r="G1068" s="3"/>
      <c r="H1068" s="3" t="s">
        <v>13</v>
      </c>
      <c r="I1068" s="3" t="s">
        <v>509</v>
      </c>
    </row>
    <row r="1069" spans="1:9" s="5" customFormat="1" x14ac:dyDescent="0.35">
      <c r="A1069" s="3" t="s">
        <v>8</v>
      </c>
      <c r="B1069" s="3" t="s">
        <v>504</v>
      </c>
      <c r="C1069" s="3" t="s">
        <v>20</v>
      </c>
      <c r="D1069" s="3" t="s">
        <v>516</v>
      </c>
      <c r="E1069" s="3" t="s">
        <v>25</v>
      </c>
      <c r="F1069" s="3"/>
      <c r="G1069" s="3"/>
      <c r="H1069" s="3" t="s">
        <v>13</v>
      </c>
      <c r="I1069" s="3" t="s">
        <v>509</v>
      </c>
    </row>
    <row r="1070" spans="1:9" s="5" customFormat="1" x14ac:dyDescent="0.35">
      <c r="A1070" s="3" t="s">
        <v>8</v>
      </c>
      <c r="B1070" s="3" t="s">
        <v>504</v>
      </c>
      <c r="C1070" s="3" t="s">
        <v>20</v>
      </c>
      <c r="D1070" s="3" t="s">
        <v>516</v>
      </c>
      <c r="E1070" s="3" t="s">
        <v>60</v>
      </c>
      <c r="F1070" s="3"/>
      <c r="G1070" s="3"/>
      <c r="H1070" s="3" t="s">
        <v>13</v>
      </c>
      <c r="I1070" s="3" t="s">
        <v>506</v>
      </c>
    </row>
    <row r="1071" spans="1:9" s="5" customFormat="1" x14ac:dyDescent="0.35">
      <c r="A1071" s="3" t="s">
        <v>8</v>
      </c>
      <c r="B1071" s="3" t="s">
        <v>504</v>
      </c>
      <c r="C1071" s="3" t="s">
        <v>20</v>
      </c>
      <c r="D1071" s="3" t="s">
        <v>516</v>
      </c>
      <c r="E1071" s="3" t="s">
        <v>28</v>
      </c>
      <c r="F1071" s="3"/>
      <c r="G1071" s="3"/>
      <c r="H1071" s="3" t="s">
        <v>13</v>
      </c>
      <c r="I1071" s="3" t="s">
        <v>509</v>
      </c>
    </row>
    <row r="1072" spans="1:9" s="5" customFormat="1" x14ac:dyDescent="0.35">
      <c r="A1072" s="3" t="s">
        <v>8</v>
      </c>
      <c r="B1072" s="3" t="s">
        <v>504</v>
      </c>
      <c r="C1072" s="3" t="s">
        <v>20</v>
      </c>
      <c r="D1072" s="3" t="s">
        <v>516</v>
      </c>
      <c r="E1072" s="3" t="s">
        <v>56</v>
      </c>
      <c r="F1072" s="3" t="s">
        <v>13</v>
      </c>
      <c r="G1072" s="3" t="s">
        <v>517</v>
      </c>
      <c r="H1072" s="3" t="s">
        <v>13</v>
      </c>
      <c r="I1072" s="3" t="s">
        <v>509</v>
      </c>
    </row>
    <row r="1073" spans="1:9" s="5" customFormat="1" x14ac:dyDescent="0.35">
      <c r="A1073" s="3" t="s">
        <v>8</v>
      </c>
      <c r="B1073" s="3" t="s">
        <v>504</v>
      </c>
      <c r="C1073" s="3" t="s">
        <v>20</v>
      </c>
      <c r="D1073" s="3" t="s">
        <v>516</v>
      </c>
      <c r="E1073" s="3" t="s">
        <v>37</v>
      </c>
      <c r="F1073" s="3"/>
      <c r="G1073" s="3"/>
      <c r="H1073" s="3" t="s">
        <v>13</v>
      </c>
      <c r="I1073" s="3" t="s">
        <v>509</v>
      </c>
    </row>
    <row r="1074" spans="1:9" s="5" customFormat="1" x14ac:dyDescent="0.35">
      <c r="A1074" s="3" t="s">
        <v>8</v>
      </c>
      <c r="B1074" s="3" t="s">
        <v>504</v>
      </c>
      <c r="C1074" s="3" t="s">
        <v>20</v>
      </c>
      <c r="D1074" s="3" t="s">
        <v>516</v>
      </c>
      <c r="E1074" s="3" t="s">
        <v>62</v>
      </c>
      <c r="F1074" s="3"/>
      <c r="G1074" s="3"/>
      <c r="H1074" s="3" t="s">
        <v>13</v>
      </c>
      <c r="I1074" s="3" t="s">
        <v>509</v>
      </c>
    </row>
    <row r="1075" spans="1:9" s="5" customFormat="1" x14ac:dyDescent="0.35">
      <c r="A1075" s="3" t="s">
        <v>8</v>
      </c>
      <c r="B1075" s="3" t="s">
        <v>504</v>
      </c>
      <c r="C1075" s="3" t="s">
        <v>20</v>
      </c>
      <c r="D1075" s="3" t="s">
        <v>516</v>
      </c>
      <c r="E1075" s="3" t="s">
        <v>24</v>
      </c>
      <c r="F1075" s="3"/>
      <c r="G1075" s="3"/>
      <c r="H1075" s="3" t="s">
        <v>13</v>
      </c>
      <c r="I1075" s="3" t="s">
        <v>509</v>
      </c>
    </row>
    <row r="1076" spans="1:9" s="5" customFormat="1" x14ac:dyDescent="0.35">
      <c r="A1076" s="3" t="s">
        <v>8</v>
      </c>
      <c r="B1076" s="3" t="s">
        <v>504</v>
      </c>
      <c r="C1076" s="3" t="s">
        <v>20</v>
      </c>
      <c r="D1076" s="3" t="s">
        <v>516</v>
      </c>
      <c r="E1076" s="3" t="s">
        <v>290</v>
      </c>
      <c r="F1076" s="3"/>
      <c r="G1076" s="3"/>
      <c r="H1076" s="3" t="s">
        <v>13</v>
      </c>
      <c r="I1076" s="3" t="s">
        <v>509</v>
      </c>
    </row>
    <row r="1077" spans="1:9" s="5" customFormat="1" x14ac:dyDescent="0.35">
      <c r="A1077" s="3" t="s">
        <v>8</v>
      </c>
      <c r="B1077" s="3" t="s">
        <v>504</v>
      </c>
      <c r="C1077" s="3" t="s">
        <v>20</v>
      </c>
      <c r="D1077" s="3" t="s">
        <v>516</v>
      </c>
      <c r="E1077" s="3" t="s">
        <v>82</v>
      </c>
      <c r="F1077" s="3" t="s">
        <v>13</v>
      </c>
      <c r="G1077" s="3" t="s">
        <v>518</v>
      </c>
      <c r="H1077" s="3" t="s">
        <v>13</v>
      </c>
      <c r="I1077" s="3" t="s">
        <v>509</v>
      </c>
    </row>
    <row r="1078" spans="1:9" s="5" customFormat="1" x14ac:dyDescent="0.35">
      <c r="A1078" s="3" t="s">
        <v>8</v>
      </c>
      <c r="B1078" s="3" t="s">
        <v>519</v>
      </c>
      <c r="C1078" s="3" t="s">
        <v>20</v>
      </c>
      <c r="D1078" s="3" t="s">
        <v>520</v>
      </c>
      <c r="E1078" s="3" t="s">
        <v>77</v>
      </c>
      <c r="F1078" s="3" t="s">
        <v>16</v>
      </c>
      <c r="G1078" s="3" t="s">
        <v>521</v>
      </c>
      <c r="H1078" s="3" t="s">
        <v>13</v>
      </c>
      <c r="I1078" s="3" t="s">
        <v>522</v>
      </c>
    </row>
    <row r="1079" spans="1:9" s="5" customFormat="1" x14ac:dyDescent="0.35">
      <c r="A1079" s="3" t="s">
        <v>8</v>
      </c>
      <c r="B1079" s="3" t="s">
        <v>519</v>
      </c>
      <c r="C1079" s="3" t="s">
        <v>20</v>
      </c>
      <c r="D1079" s="3" t="s">
        <v>520</v>
      </c>
      <c r="E1079" s="3" t="s">
        <v>15</v>
      </c>
      <c r="F1079" s="3" t="s">
        <v>16</v>
      </c>
      <c r="G1079" s="3" t="s">
        <v>521</v>
      </c>
      <c r="H1079" s="3" t="s">
        <v>13</v>
      </c>
      <c r="I1079" s="3" t="s">
        <v>522</v>
      </c>
    </row>
    <row r="1080" spans="1:9" s="5" customFormat="1" x14ac:dyDescent="0.35">
      <c r="A1080" s="3" t="s">
        <v>8</v>
      </c>
      <c r="B1080" s="3" t="s">
        <v>519</v>
      </c>
      <c r="C1080" s="3" t="s">
        <v>20</v>
      </c>
      <c r="D1080" s="3" t="s">
        <v>520</v>
      </c>
      <c r="E1080" s="3" t="s">
        <v>24</v>
      </c>
      <c r="F1080" s="3" t="s">
        <v>16</v>
      </c>
      <c r="G1080" s="3" t="s">
        <v>521</v>
      </c>
      <c r="H1080" s="3" t="s">
        <v>13</v>
      </c>
      <c r="I1080" s="3" t="s">
        <v>522</v>
      </c>
    </row>
    <row r="1081" spans="1:9" s="5" customFormat="1" x14ac:dyDescent="0.35">
      <c r="A1081" s="3" t="s">
        <v>8</v>
      </c>
      <c r="B1081" s="3" t="s">
        <v>519</v>
      </c>
      <c r="C1081" s="3" t="s">
        <v>42</v>
      </c>
      <c r="D1081" s="3" t="s">
        <v>2257</v>
      </c>
      <c r="E1081" s="3" t="s">
        <v>12</v>
      </c>
      <c r="F1081" s="3"/>
      <c r="G1081" s="3"/>
      <c r="H1081" s="3" t="s">
        <v>13</v>
      </c>
      <c r="I1081" s="3" t="s">
        <v>522</v>
      </c>
    </row>
    <row r="1082" spans="1:9" s="5" customFormat="1" x14ac:dyDescent="0.35">
      <c r="A1082" s="3" t="s">
        <v>8</v>
      </c>
      <c r="B1082" s="3" t="s">
        <v>519</v>
      </c>
      <c r="C1082" s="3" t="s">
        <v>42</v>
      </c>
      <c r="D1082" s="3" t="s">
        <v>2257</v>
      </c>
      <c r="E1082" s="3" t="s">
        <v>15</v>
      </c>
      <c r="F1082" s="3" t="s">
        <v>16</v>
      </c>
      <c r="G1082" s="3" t="s">
        <v>2258</v>
      </c>
      <c r="H1082" s="3" t="s">
        <v>13</v>
      </c>
      <c r="I1082" s="3" t="s">
        <v>522</v>
      </c>
    </row>
    <row r="1083" spans="1:9" s="5" customFormat="1" x14ac:dyDescent="0.35">
      <c r="A1083" s="3" t="s">
        <v>8</v>
      </c>
      <c r="B1083" s="3" t="s">
        <v>519</v>
      </c>
      <c r="C1083" s="3" t="s">
        <v>42</v>
      </c>
      <c r="D1083" s="3" t="s">
        <v>2257</v>
      </c>
      <c r="E1083" s="3" t="s">
        <v>24</v>
      </c>
      <c r="F1083" s="3"/>
      <c r="G1083" s="3"/>
      <c r="H1083" s="3" t="s">
        <v>13</v>
      </c>
      <c r="I1083" s="3" t="s">
        <v>522</v>
      </c>
    </row>
    <row r="1084" spans="1:9" s="5" customFormat="1" x14ac:dyDescent="0.35">
      <c r="A1084" s="3" t="s">
        <v>8</v>
      </c>
      <c r="B1084" s="3" t="s">
        <v>519</v>
      </c>
      <c r="C1084" s="3" t="s">
        <v>42</v>
      </c>
      <c r="D1084" s="3" t="s">
        <v>2257</v>
      </c>
      <c r="E1084" s="3" t="s">
        <v>134</v>
      </c>
      <c r="F1084" s="3"/>
      <c r="G1084" s="3"/>
      <c r="H1084" s="3" t="s">
        <v>13</v>
      </c>
      <c r="I1084" s="3" t="s">
        <v>522</v>
      </c>
    </row>
    <row r="1085" spans="1:9" s="5" customFormat="1" x14ac:dyDescent="0.35">
      <c r="A1085" s="3" t="s">
        <v>8</v>
      </c>
      <c r="B1085" s="3" t="s">
        <v>519</v>
      </c>
      <c r="C1085" s="3" t="s">
        <v>42</v>
      </c>
      <c r="D1085" s="3" t="s">
        <v>2257</v>
      </c>
      <c r="E1085" s="3" t="s">
        <v>107</v>
      </c>
      <c r="F1085" s="3" t="s">
        <v>16</v>
      </c>
      <c r="G1085" s="3" t="s">
        <v>2259</v>
      </c>
      <c r="H1085" s="3" t="s">
        <v>13</v>
      </c>
      <c r="I1085" s="3" t="s">
        <v>522</v>
      </c>
    </row>
    <row r="1086" spans="1:9" s="5" customFormat="1" x14ac:dyDescent="0.35">
      <c r="A1086" s="3" t="s">
        <v>8</v>
      </c>
      <c r="B1086" s="3" t="s">
        <v>523</v>
      </c>
      <c r="C1086" s="3" t="s">
        <v>45</v>
      </c>
      <c r="D1086" s="3" t="s">
        <v>524</v>
      </c>
      <c r="E1086" s="3" t="s">
        <v>60</v>
      </c>
      <c r="F1086" s="3"/>
      <c r="G1086" s="3"/>
      <c r="H1086" s="3" t="s">
        <v>13</v>
      </c>
      <c r="I1086" s="3" t="s">
        <v>525</v>
      </c>
    </row>
    <row r="1087" spans="1:9" s="5" customFormat="1" x14ac:dyDescent="0.35">
      <c r="A1087" s="3" t="s">
        <v>8</v>
      </c>
      <c r="B1087" s="3" t="s">
        <v>523</v>
      </c>
      <c r="C1087" s="3" t="s">
        <v>45</v>
      </c>
      <c r="D1087" s="3" t="s">
        <v>524</v>
      </c>
      <c r="E1087" s="3" t="s">
        <v>77</v>
      </c>
      <c r="F1087" s="3" t="s">
        <v>13</v>
      </c>
      <c r="G1087" s="3" t="s">
        <v>527</v>
      </c>
      <c r="H1087" s="3" t="s">
        <v>13</v>
      </c>
      <c r="I1087" s="3" t="s">
        <v>525</v>
      </c>
    </row>
    <row r="1088" spans="1:9" s="5" customFormat="1" x14ac:dyDescent="0.35">
      <c r="A1088" s="3" t="s">
        <v>8</v>
      </c>
      <c r="B1088" s="3" t="s">
        <v>523</v>
      </c>
      <c r="C1088" s="3" t="s">
        <v>45</v>
      </c>
      <c r="D1088" s="3" t="s">
        <v>524</v>
      </c>
      <c r="E1088" s="3" t="s">
        <v>15</v>
      </c>
      <c r="F1088" s="3" t="s">
        <v>13</v>
      </c>
      <c r="G1088" s="3" t="s">
        <v>526</v>
      </c>
      <c r="H1088" s="3" t="s">
        <v>13</v>
      </c>
      <c r="I1088" s="3" t="s">
        <v>525</v>
      </c>
    </row>
    <row r="1089" spans="1:9" s="5" customFormat="1" x14ac:dyDescent="0.35">
      <c r="A1089" s="3" t="s">
        <v>8</v>
      </c>
      <c r="B1089" s="3" t="s">
        <v>523</v>
      </c>
      <c r="C1089" s="3" t="s">
        <v>42</v>
      </c>
      <c r="D1089" s="3" t="s">
        <v>528</v>
      </c>
      <c r="E1089" s="3" t="s">
        <v>12</v>
      </c>
      <c r="F1089" s="3"/>
      <c r="G1089" s="3"/>
      <c r="H1089" s="3" t="s">
        <v>13</v>
      </c>
      <c r="I1089" s="3" t="s">
        <v>531</v>
      </c>
    </row>
    <row r="1090" spans="1:9" s="5" customFormat="1" x14ac:dyDescent="0.35">
      <c r="A1090" s="3" t="s">
        <v>8</v>
      </c>
      <c r="B1090" s="3" t="s">
        <v>523</v>
      </c>
      <c r="C1090" s="3" t="s">
        <v>42</v>
      </c>
      <c r="D1090" s="3" t="s">
        <v>528</v>
      </c>
      <c r="E1090" s="3" t="s">
        <v>36</v>
      </c>
      <c r="F1090" s="3"/>
      <c r="G1090" s="3"/>
      <c r="H1090" s="3" t="s">
        <v>13</v>
      </c>
      <c r="I1090" s="3" t="s">
        <v>531</v>
      </c>
    </row>
    <row r="1091" spans="1:9" s="5" customFormat="1" x14ac:dyDescent="0.35">
      <c r="A1091" s="3" t="s">
        <v>8</v>
      </c>
      <c r="B1091" s="3" t="s">
        <v>523</v>
      </c>
      <c r="C1091" s="3" t="s">
        <v>42</v>
      </c>
      <c r="D1091" s="3" t="s">
        <v>528</v>
      </c>
      <c r="E1091" s="3" t="s">
        <v>25</v>
      </c>
      <c r="F1091" s="3"/>
      <c r="G1091" s="3"/>
      <c r="H1091" s="3" t="s">
        <v>13</v>
      </c>
      <c r="I1091" s="3" t="s">
        <v>531</v>
      </c>
    </row>
    <row r="1092" spans="1:9" s="5" customFormat="1" x14ac:dyDescent="0.35">
      <c r="A1092" s="3" t="s">
        <v>8</v>
      </c>
      <c r="B1092" s="3" t="s">
        <v>523</v>
      </c>
      <c r="C1092" s="3" t="s">
        <v>42</v>
      </c>
      <c r="D1092" s="3" t="s">
        <v>528</v>
      </c>
      <c r="E1092" s="3" t="s">
        <v>44</v>
      </c>
      <c r="F1092" s="3"/>
      <c r="G1092" s="3"/>
      <c r="H1092" s="3" t="s">
        <v>13</v>
      </c>
      <c r="I1092" s="3" t="s">
        <v>531</v>
      </c>
    </row>
    <row r="1093" spans="1:9" s="5" customFormat="1" x14ac:dyDescent="0.35">
      <c r="A1093" s="3" t="s">
        <v>8</v>
      </c>
      <c r="B1093" s="3" t="s">
        <v>523</v>
      </c>
      <c r="C1093" s="3" t="s">
        <v>42</v>
      </c>
      <c r="D1093" s="3" t="s">
        <v>528</v>
      </c>
      <c r="E1093" s="3" t="s">
        <v>87</v>
      </c>
      <c r="F1093" s="3"/>
      <c r="G1093" s="3"/>
      <c r="H1093" s="3" t="s">
        <v>13</v>
      </c>
      <c r="I1093" s="3" t="s">
        <v>531</v>
      </c>
    </row>
    <row r="1094" spans="1:9" s="5" customFormat="1" x14ac:dyDescent="0.35">
      <c r="A1094" s="3" t="s">
        <v>8</v>
      </c>
      <c r="B1094" s="3" t="s">
        <v>523</v>
      </c>
      <c r="C1094" s="3" t="s">
        <v>42</v>
      </c>
      <c r="D1094" s="3" t="s">
        <v>528</v>
      </c>
      <c r="E1094" s="3" t="s">
        <v>15</v>
      </c>
      <c r="F1094" s="3" t="s">
        <v>13</v>
      </c>
      <c r="G1094" s="3" t="s">
        <v>530</v>
      </c>
      <c r="H1094" s="3" t="s">
        <v>13</v>
      </c>
      <c r="I1094" s="3" t="s">
        <v>531</v>
      </c>
    </row>
    <row r="1095" spans="1:9" s="5" customFormat="1" x14ac:dyDescent="0.35">
      <c r="A1095" s="3" t="s">
        <v>8</v>
      </c>
      <c r="B1095" s="3" t="s">
        <v>523</v>
      </c>
      <c r="C1095" s="3" t="s">
        <v>42</v>
      </c>
      <c r="D1095" s="3" t="s">
        <v>528</v>
      </c>
      <c r="E1095" s="3" t="s">
        <v>32</v>
      </c>
      <c r="F1095" s="3" t="s">
        <v>13</v>
      </c>
      <c r="G1095" s="3" t="s">
        <v>529</v>
      </c>
      <c r="H1095" s="3" t="s">
        <v>13</v>
      </c>
      <c r="I1095" s="3" t="s">
        <v>531</v>
      </c>
    </row>
    <row r="1096" spans="1:9" s="5" customFormat="1" x14ac:dyDescent="0.35">
      <c r="A1096" s="3" t="s">
        <v>8</v>
      </c>
      <c r="B1096" s="3" t="s">
        <v>523</v>
      </c>
      <c r="C1096" s="3" t="s">
        <v>42</v>
      </c>
      <c r="D1096" s="3" t="s">
        <v>528</v>
      </c>
      <c r="E1096" s="3" t="s">
        <v>26</v>
      </c>
      <c r="F1096" s="3"/>
      <c r="G1096" s="3"/>
      <c r="H1096" s="3" t="s">
        <v>13</v>
      </c>
      <c r="I1096" s="3" t="s">
        <v>531</v>
      </c>
    </row>
    <row r="1097" spans="1:9" s="5" customFormat="1" x14ac:dyDescent="0.35">
      <c r="A1097" s="3" t="s">
        <v>8</v>
      </c>
      <c r="B1097" s="3" t="s">
        <v>523</v>
      </c>
      <c r="C1097" s="3" t="s">
        <v>42</v>
      </c>
      <c r="D1097" s="3" t="s">
        <v>528</v>
      </c>
      <c r="E1097" s="3" t="s">
        <v>24</v>
      </c>
      <c r="F1097" s="3"/>
      <c r="G1097" s="3"/>
      <c r="H1097" s="3" t="s">
        <v>13</v>
      </c>
      <c r="I1097" s="3" t="s">
        <v>531</v>
      </c>
    </row>
    <row r="1098" spans="1:9" s="5" customFormat="1" x14ac:dyDescent="0.35">
      <c r="A1098" s="3" t="s">
        <v>8</v>
      </c>
      <c r="B1098" s="3" t="s">
        <v>523</v>
      </c>
      <c r="C1098" s="3" t="s">
        <v>39</v>
      </c>
      <c r="D1098" s="3" t="s">
        <v>532</v>
      </c>
      <c r="E1098" s="3" t="s">
        <v>27</v>
      </c>
      <c r="F1098" s="3"/>
      <c r="G1098" s="3"/>
      <c r="H1098" s="3" t="s">
        <v>13</v>
      </c>
      <c r="I1098" s="3" t="s">
        <v>525</v>
      </c>
    </row>
    <row r="1099" spans="1:9" s="5" customFormat="1" x14ac:dyDescent="0.35">
      <c r="A1099" s="3" t="s">
        <v>8</v>
      </c>
      <c r="B1099" s="3" t="s">
        <v>523</v>
      </c>
      <c r="C1099" s="3" t="s">
        <v>39</v>
      </c>
      <c r="D1099" s="3" t="s">
        <v>532</v>
      </c>
      <c r="E1099" s="3" t="s">
        <v>15</v>
      </c>
      <c r="F1099" s="3" t="s">
        <v>13</v>
      </c>
      <c r="G1099" s="3" t="s">
        <v>533</v>
      </c>
      <c r="H1099" s="3" t="s">
        <v>13</v>
      </c>
      <c r="I1099" s="3" t="s">
        <v>525</v>
      </c>
    </row>
    <row r="1100" spans="1:9" s="5" customFormat="1" x14ac:dyDescent="0.35">
      <c r="A1100" s="3" t="s">
        <v>8</v>
      </c>
      <c r="B1100" s="3" t="s">
        <v>523</v>
      </c>
      <c r="C1100" s="3" t="s">
        <v>39</v>
      </c>
      <c r="D1100" s="3" t="s">
        <v>532</v>
      </c>
      <c r="E1100" s="3" t="s">
        <v>32</v>
      </c>
      <c r="F1100" s="3" t="s">
        <v>13</v>
      </c>
      <c r="G1100" s="3" t="s">
        <v>2875</v>
      </c>
      <c r="H1100" s="3" t="s">
        <v>13</v>
      </c>
      <c r="I1100" s="3" t="s">
        <v>525</v>
      </c>
    </row>
    <row r="1101" spans="1:9" s="5" customFormat="1" x14ac:dyDescent="0.35">
      <c r="A1101" s="3" t="s">
        <v>8</v>
      </c>
      <c r="B1101" s="3" t="s">
        <v>523</v>
      </c>
      <c r="C1101" s="3" t="s">
        <v>39</v>
      </c>
      <c r="D1101" s="3" t="s">
        <v>532</v>
      </c>
      <c r="E1101" s="3" t="s">
        <v>107</v>
      </c>
      <c r="F1101" s="3" t="s">
        <v>33</v>
      </c>
      <c r="G1101" s="3" t="s">
        <v>314</v>
      </c>
      <c r="H1101" s="3" t="s">
        <v>13</v>
      </c>
      <c r="I1101" s="3" t="s">
        <v>525</v>
      </c>
    </row>
    <row r="1102" spans="1:9" s="5" customFormat="1" x14ac:dyDescent="0.35">
      <c r="A1102" s="3" t="s">
        <v>8</v>
      </c>
      <c r="B1102" s="3" t="s">
        <v>523</v>
      </c>
      <c r="C1102" s="3" t="s">
        <v>39</v>
      </c>
      <c r="D1102" s="3" t="s">
        <v>2589</v>
      </c>
      <c r="E1102" s="3" t="s">
        <v>15</v>
      </c>
      <c r="F1102" s="3" t="s">
        <v>16</v>
      </c>
      <c r="G1102" s="3" t="s">
        <v>2590</v>
      </c>
      <c r="H1102" s="3" t="s">
        <v>13</v>
      </c>
      <c r="I1102" s="3" t="s">
        <v>525</v>
      </c>
    </row>
    <row r="1103" spans="1:9" s="5" customFormat="1" x14ac:dyDescent="0.35">
      <c r="A1103" s="3" t="s">
        <v>8</v>
      </c>
      <c r="B1103" s="3" t="s">
        <v>523</v>
      </c>
      <c r="C1103" s="3" t="s">
        <v>39</v>
      </c>
      <c r="D1103" s="3" t="s">
        <v>534</v>
      </c>
      <c r="E1103" s="3" t="s">
        <v>56</v>
      </c>
      <c r="F1103" s="3" t="s">
        <v>16</v>
      </c>
      <c r="G1103" s="3" t="s">
        <v>535</v>
      </c>
      <c r="H1103" s="3" t="s">
        <v>16</v>
      </c>
      <c r="I1103" s="3" t="s">
        <v>525</v>
      </c>
    </row>
    <row r="1104" spans="1:9" s="5" customFormat="1" x14ac:dyDescent="0.35">
      <c r="A1104" s="3" t="s">
        <v>8</v>
      </c>
      <c r="B1104" s="3" t="s">
        <v>523</v>
      </c>
      <c r="C1104" s="3" t="s">
        <v>39</v>
      </c>
      <c r="D1104" s="3" t="s">
        <v>534</v>
      </c>
      <c r="E1104" s="3" t="s">
        <v>89</v>
      </c>
      <c r="F1104" s="3" t="s">
        <v>16</v>
      </c>
      <c r="G1104" s="3" t="s">
        <v>535</v>
      </c>
      <c r="H1104" s="3" t="s">
        <v>16</v>
      </c>
      <c r="I1104" s="3" t="s">
        <v>525</v>
      </c>
    </row>
    <row r="1105" spans="1:9" s="5" customFormat="1" x14ac:dyDescent="0.35">
      <c r="A1105" s="3" t="s">
        <v>8</v>
      </c>
      <c r="B1105" s="3" t="s">
        <v>523</v>
      </c>
      <c r="C1105" s="3" t="s">
        <v>39</v>
      </c>
      <c r="D1105" s="3" t="s">
        <v>534</v>
      </c>
      <c r="E1105" s="3" t="s">
        <v>32</v>
      </c>
      <c r="F1105" s="3" t="s">
        <v>16</v>
      </c>
      <c r="G1105" s="3" t="s">
        <v>2441</v>
      </c>
      <c r="H1105" s="3" t="s">
        <v>16</v>
      </c>
      <c r="I1105" s="3" t="s">
        <v>525</v>
      </c>
    </row>
    <row r="1106" spans="1:9" s="5" customFormat="1" x14ac:dyDescent="0.35">
      <c r="A1106" s="3" t="s">
        <v>8</v>
      </c>
      <c r="B1106" s="3" t="s">
        <v>523</v>
      </c>
      <c r="C1106" s="3" t="s">
        <v>45</v>
      </c>
      <c r="D1106" s="3" t="s">
        <v>536</v>
      </c>
      <c r="E1106" s="3" t="s">
        <v>77</v>
      </c>
      <c r="F1106" s="3"/>
      <c r="G1106" s="3"/>
      <c r="H1106" s="3" t="s">
        <v>13</v>
      </c>
      <c r="I1106" s="3" t="s">
        <v>525</v>
      </c>
    </row>
    <row r="1107" spans="1:9" s="5" customFormat="1" x14ac:dyDescent="0.35">
      <c r="A1107" s="3" t="s">
        <v>8</v>
      </c>
      <c r="B1107" s="3" t="s">
        <v>523</v>
      </c>
      <c r="C1107" s="3" t="s">
        <v>45</v>
      </c>
      <c r="D1107" s="3" t="s">
        <v>536</v>
      </c>
      <c r="E1107" s="3" t="s">
        <v>56</v>
      </c>
      <c r="F1107" s="3" t="s">
        <v>13</v>
      </c>
      <c r="G1107" s="3" t="s">
        <v>535</v>
      </c>
      <c r="H1107" s="3" t="s">
        <v>13</v>
      </c>
      <c r="I1107" s="3" t="s">
        <v>525</v>
      </c>
    </row>
    <row r="1108" spans="1:9" s="5" customFormat="1" x14ac:dyDescent="0.35">
      <c r="A1108" s="3" t="s">
        <v>8</v>
      </c>
      <c r="B1108" s="3" t="s">
        <v>523</v>
      </c>
      <c r="C1108" s="3" t="s">
        <v>10</v>
      </c>
      <c r="D1108" s="3" t="s">
        <v>537</v>
      </c>
      <c r="E1108" s="3" t="s">
        <v>87</v>
      </c>
      <c r="F1108" s="3"/>
      <c r="G1108" s="3" t="s">
        <v>2397</v>
      </c>
      <c r="H1108" s="3" t="s">
        <v>13</v>
      </c>
      <c r="I1108" s="3" t="s">
        <v>525</v>
      </c>
    </row>
    <row r="1109" spans="1:9" s="5" customFormat="1" x14ac:dyDescent="0.35">
      <c r="A1109" s="3" t="s">
        <v>8</v>
      </c>
      <c r="B1109" s="3" t="s">
        <v>523</v>
      </c>
      <c r="C1109" s="3" t="s">
        <v>10</v>
      </c>
      <c r="D1109" s="3" t="s">
        <v>537</v>
      </c>
      <c r="E1109" s="3" t="s">
        <v>15</v>
      </c>
      <c r="F1109" s="3" t="s">
        <v>13</v>
      </c>
      <c r="G1109" s="3" t="s">
        <v>539</v>
      </c>
      <c r="H1109" s="3" t="s">
        <v>13</v>
      </c>
      <c r="I1109" s="3" t="s">
        <v>525</v>
      </c>
    </row>
    <row r="1110" spans="1:9" s="5" customFormat="1" x14ac:dyDescent="0.35">
      <c r="A1110" s="3" t="s">
        <v>8</v>
      </c>
      <c r="B1110" s="3" t="s">
        <v>523</v>
      </c>
      <c r="C1110" s="3" t="s">
        <v>10</v>
      </c>
      <c r="D1110" s="3" t="s">
        <v>537</v>
      </c>
      <c r="E1110" s="3" t="s">
        <v>32</v>
      </c>
      <c r="F1110" s="3" t="s">
        <v>13</v>
      </c>
      <c r="G1110" s="3" t="s">
        <v>538</v>
      </c>
      <c r="H1110" s="3" t="s">
        <v>13</v>
      </c>
      <c r="I1110" s="3" t="s">
        <v>525</v>
      </c>
    </row>
    <row r="1111" spans="1:9" s="5" customFormat="1" x14ac:dyDescent="0.35">
      <c r="A1111" s="3" t="s">
        <v>8</v>
      </c>
      <c r="B1111" s="3" t="s">
        <v>2671</v>
      </c>
      <c r="C1111" s="3" t="s">
        <v>42</v>
      </c>
      <c r="D1111" s="3" t="s">
        <v>2670</v>
      </c>
      <c r="E1111" s="3" t="s">
        <v>23</v>
      </c>
      <c r="F1111" s="3" t="s">
        <v>16</v>
      </c>
      <c r="G1111" s="3" t="s">
        <v>2674</v>
      </c>
      <c r="H1111" s="3" t="s">
        <v>16</v>
      </c>
      <c r="I1111" s="3" t="s">
        <v>2675</v>
      </c>
    </row>
    <row r="1112" spans="1:9" s="5" customFormat="1" x14ac:dyDescent="0.35">
      <c r="A1112" s="3" t="s">
        <v>8</v>
      </c>
      <c r="B1112" s="3" t="s">
        <v>2671</v>
      </c>
      <c r="C1112" s="3" t="s">
        <v>42</v>
      </c>
      <c r="D1112" s="3" t="s">
        <v>2670</v>
      </c>
      <c r="E1112" s="3" t="s">
        <v>25</v>
      </c>
      <c r="F1112" s="3"/>
      <c r="G1112" s="3"/>
      <c r="H1112" s="3" t="s">
        <v>16</v>
      </c>
      <c r="I1112" s="3" t="s">
        <v>2675</v>
      </c>
    </row>
    <row r="1113" spans="1:9" s="5" customFormat="1" x14ac:dyDescent="0.35">
      <c r="A1113" s="3" t="s">
        <v>8</v>
      </c>
      <c r="B1113" s="3" t="s">
        <v>2671</v>
      </c>
      <c r="C1113" s="3" t="s">
        <v>42</v>
      </c>
      <c r="D1113" s="3" t="s">
        <v>2670</v>
      </c>
      <c r="E1113" s="3" t="s">
        <v>27</v>
      </c>
      <c r="F1113" s="3"/>
      <c r="G1113" s="3"/>
      <c r="H1113" s="3" t="s">
        <v>16</v>
      </c>
      <c r="I1113" s="3" t="s">
        <v>2675</v>
      </c>
    </row>
    <row r="1114" spans="1:9" s="5" customFormat="1" x14ac:dyDescent="0.35">
      <c r="A1114" s="3" t="s">
        <v>8</v>
      </c>
      <c r="B1114" s="3" t="s">
        <v>2671</v>
      </c>
      <c r="C1114" s="3" t="s">
        <v>42</v>
      </c>
      <c r="D1114" s="3" t="s">
        <v>2670</v>
      </c>
      <c r="E1114" s="3" t="s">
        <v>15</v>
      </c>
      <c r="F1114" s="3" t="s">
        <v>16</v>
      </c>
      <c r="G1114" s="3" t="s">
        <v>2673</v>
      </c>
      <c r="H1114" s="3" t="s">
        <v>16</v>
      </c>
      <c r="I1114" s="3" t="s">
        <v>2675</v>
      </c>
    </row>
    <row r="1115" spans="1:9" s="5" customFormat="1" x14ac:dyDescent="0.35">
      <c r="A1115" s="3" t="s">
        <v>8</v>
      </c>
      <c r="B1115" s="3" t="s">
        <v>2671</v>
      </c>
      <c r="C1115" s="3" t="s">
        <v>42</v>
      </c>
      <c r="D1115" s="3" t="s">
        <v>2670</v>
      </c>
      <c r="E1115" s="3" t="s">
        <v>62</v>
      </c>
      <c r="F1115" s="3"/>
      <c r="G1115" s="3"/>
      <c r="H1115" s="3"/>
      <c r="I1115" s="3"/>
    </row>
    <row r="1116" spans="1:9" s="5" customFormat="1" x14ac:dyDescent="0.35">
      <c r="A1116" s="3" t="s">
        <v>8</v>
      </c>
      <c r="B1116" s="3" t="s">
        <v>2671</v>
      </c>
      <c r="C1116" s="3" t="s">
        <v>42</v>
      </c>
      <c r="D1116" s="3" t="s">
        <v>2670</v>
      </c>
      <c r="E1116" s="3" t="s">
        <v>24</v>
      </c>
      <c r="F1116" s="3"/>
      <c r="G1116" s="3"/>
      <c r="H1116" s="3" t="s">
        <v>16</v>
      </c>
      <c r="I1116" s="3" t="s">
        <v>2675</v>
      </c>
    </row>
    <row r="1117" spans="1:9" s="5" customFormat="1" x14ac:dyDescent="0.35">
      <c r="A1117" s="3" t="s">
        <v>8</v>
      </c>
      <c r="B1117" s="3" t="s">
        <v>2671</v>
      </c>
      <c r="C1117" s="3" t="s">
        <v>42</v>
      </c>
      <c r="D1117" s="3" t="s">
        <v>2670</v>
      </c>
      <c r="E1117" s="3" t="s">
        <v>107</v>
      </c>
      <c r="F1117" s="3" t="s">
        <v>16</v>
      </c>
      <c r="G1117" s="3" t="s">
        <v>2672</v>
      </c>
      <c r="H1117" s="3" t="s">
        <v>16</v>
      </c>
      <c r="I1117" s="3" t="s">
        <v>2675</v>
      </c>
    </row>
    <row r="1118" spans="1:9" s="5" customFormat="1" x14ac:dyDescent="0.35">
      <c r="A1118" s="3" t="s">
        <v>8</v>
      </c>
      <c r="B1118" s="3" t="s">
        <v>540</v>
      </c>
      <c r="C1118" s="3" t="s">
        <v>42</v>
      </c>
      <c r="D1118" s="3" t="s">
        <v>541</v>
      </c>
      <c r="E1118" s="3" t="s">
        <v>12</v>
      </c>
      <c r="F1118" s="3"/>
      <c r="G1118" s="3"/>
      <c r="H1118" s="3"/>
      <c r="I1118" s="3"/>
    </row>
    <row r="1119" spans="1:9" s="5" customFormat="1" x14ac:dyDescent="0.35">
      <c r="A1119" s="3" t="s">
        <v>8</v>
      </c>
      <c r="B1119" s="3" t="s">
        <v>540</v>
      </c>
      <c r="C1119" s="3" t="s">
        <v>42</v>
      </c>
      <c r="D1119" s="3" t="s">
        <v>541</v>
      </c>
      <c r="E1119" s="3" t="s">
        <v>60</v>
      </c>
      <c r="F1119" s="3"/>
      <c r="G1119" s="3"/>
      <c r="H1119" s="3" t="s">
        <v>13</v>
      </c>
      <c r="I1119" s="3" t="s">
        <v>542</v>
      </c>
    </row>
    <row r="1120" spans="1:9" s="5" customFormat="1" x14ac:dyDescent="0.35">
      <c r="A1120" s="3" t="s">
        <v>8</v>
      </c>
      <c r="B1120" s="3" t="s">
        <v>540</v>
      </c>
      <c r="C1120" s="3" t="s">
        <v>42</v>
      </c>
      <c r="D1120" s="3" t="s">
        <v>541</v>
      </c>
      <c r="E1120" s="3" t="s">
        <v>27</v>
      </c>
      <c r="F1120" s="3"/>
      <c r="G1120" s="3"/>
      <c r="H1120" s="3" t="s">
        <v>13</v>
      </c>
      <c r="I1120" s="3" t="s">
        <v>542</v>
      </c>
    </row>
    <row r="1121" spans="1:9" s="5" customFormat="1" x14ac:dyDescent="0.35">
      <c r="A1121" s="3" t="s">
        <v>8</v>
      </c>
      <c r="B1121" s="3" t="s">
        <v>540</v>
      </c>
      <c r="C1121" s="3" t="s">
        <v>42</v>
      </c>
      <c r="D1121" s="3" t="s">
        <v>541</v>
      </c>
      <c r="E1121" s="3" t="s">
        <v>77</v>
      </c>
      <c r="F1121" s="3"/>
      <c r="G1121" s="3"/>
      <c r="H1121" s="3" t="s">
        <v>13</v>
      </c>
      <c r="I1121" s="3" t="s">
        <v>542</v>
      </c>
    </row>
    <row r="1122" spans="1:9" s="5" customFormat="1" x14ac:dyDescent="0.35">
      <c r="A1122" s="3" t="s">
        <v>8</v>
      </c>
      <c r="B1122" s="3" t="s">
        <v>540</v>
      </c>
      <c r="C1122" s="3" t="s">
        <v>42</v>
      </c>
      <c r="D1122" s="3" t="s">
        <v>541</v>
      </c>
      <c r="E1122" s="3" t="s">
        <v>44</v>
      </c>
      <c r="F1122" s="3"/>
      <c r="G1122" s="3"/>
      <c r="H1122" s="3"/>
      <c r="I1122" s="3"/>
    </row>
    <row r="1123" spans="1:9" s="5" customFormat="1" x14ac:dyDescent="0.35">
      <c r="A1123" s="3" t="s">
        <v>8</v>
      </c>
      <c r="B1123" s="3" t="s">
        <v>540</v>
      </c>
      <c r="C1123" s="3" t="s">
        <v>42</v>
      </c>
      <c r="D1123" s="3" t="s">
        <v>541</v>
      </c>
      <c r="E1123" s="3" t="s">
        <v>28</v>
      </c>
      <c r="F1123" s="3"/>
      <c r="G1123" s="3"/>
      <c r="H1123" s="3" t="s">
        <v>13</v>
      </c>
      <c r="I1123" s="3" t="s">
        <v>542</v>
      </c>
    </row>
    <row r="1124" spans="1:9" s="5" customFormat="1" x14ac:dyDescent="0.35">
      <c r="A1124" s="3" t="s">
        <v>8</v>
      </c>
      <c r="B1124" s="3" t="s">
        <v>540</v>
      </c>
      <c r="C1124" s="3" t="s">
        <v>42</v>
      </c>
      <c r="D1124" s="3" t="s">
        <v>541</v>
      </c>
      <c r="E1124" s="3" t="s">
        <v>98</v>
      </c>
      <c r="F1124" s="3"/>
      <c r="G1124" s="3"/>
      <c r="H1124" s="3" t="s">
        <v>13</v>
      </c>
      <c r="I1124" s="3" t="s">
        <v>542</v>
      </c>
    </row>
    <row r="1125" spans="1:9" s="5" customFormat="1" x14ac:dyDescent="0.35">
      <c r="A1125" s="3" t="s">
        <v>8</v>
      </c>
      <c r="B1125" s="3" t="s">
        <v>540</v>
      </c>
      <c r="C1125" s="3" t="s">
        <v>42</v>
      </c>
      <c r="D1125" s="3" t="s">
        <v>541</v>
      </c>
      <c r="E1125" s="3" t="s">
        <v>62</v>
      </c>
      <c r="F1125" s="3"/>
      <c r="G1125" s="3"/>
      <c r="H1125" s="3" t="s">
        <v>13</v>
      </c>
      <c r="I1125" s="3" t="s">
        <v>542</v>
      </c>
    </row>
    <row r="1126" spans="1:9" s="5" customFormat="1" x14ac:dyDescent="0.35">
      <c r="A1126" s="3" t="s">
        <v>8</v>
      </c>
      <c r="B1126" s="3" t="s">
        <v>540</v>
      </c>
      <c r="C1126" s="3" t="s">
        <v>42</v>
      </c>
      <c r="D1126" s="3" t="s">
        <v>541</v>
      </c>
      <c r="E1126" s="3" t="s">
        <v>24</v>
      </c>
      <c r="F1126" s="3"/>
      <c r="G1126" s="3"/>
      <c r="H1126" s="3" t="s">
        <v>13</v>
      </c>
      <c r="I1126" s="3" t="s">
        <v>542</v>
      </c>
    </row>
    <row r="1127" spans="1:9" s="5" customFormat="1" x14ac:dyDescent="0.35">
      <c r="A1127" s="3" t="s">
        <v>8</v>
      </c>
      <c r="B1127" s="3" t="s">
        <v>540</v>
      </c>
      <c r="C1127" s="3" t="s">
        <v>42</v>
      </c>
      <c r="D1127" s="3" t="s">
        <v>541</v>
      </c>
      <c r="E1127" s="3" t="s">
        <v>134</v>
      </c>
      <c r="F1127" s="3" t="s">
        <v>13</v>
      </c>
      <c r="G1127" s="3" t="s">
        <v>543</v>
      </c>
      <c r="H1127" s="3" t="s">
        <v>13</v>
      </c>
      <c r="I1127" s="3" t="s">
        <v>542</v>
      </c>
    </row>
    <row r="1128" spans="1:9" s="5" customFormat="1" x14ac:dyDescent="0.35">
      <c r="A1128" s="3" t="s">
        <v>8</v>
      </c>
      <c r="B1128" s="3" t="s">
        <v>544</v>
      </c>
      <c r="C1128" s="3" t="s">
        <v>42</v>
      </c>
      <c r="D1128" s="3" t="s">
        <v>545</v>
      </c>
      <c r="E1128" s="3" t="s">
        <v>12</v>
      </c>
      <c r="F1128" s="3"/>
      <c r="G1128" s="3"/>
      <c r="H1128" s="3"/>
      <c r="I1128" s="3"/>
    </row>
    <row r="1129" spans="1:9" s="5" customFormat="1" x14ac:dyDescent="0.35">
      <c r="A1129" s="3" t="s">
        <v>8</v>
      </c>
      <c r="B1129" s="3" t="s">
        <v>544</v>
      </c>
      <c r="C1129" s="3" t="s">
        <v>42</v>
      </c>
      <c r="D1129" s="3" t="s">
        <v>545</v>
      </c>
      <c r="E1129" s="3" t="s">
        <v>27</v>
      </c>
      <c r="F1129" s="3" t="s">
        <v>13</v>
      </c>
      <c r="G1129" s="3" t="s">
        <v>546</v>
      </c>
      <c r="H1129" s="3"/>
      <c r="I1129" s="3"/>
    </row>
    <row r="1130" spans="1:9" s="5" customFormat="1" x14ac:dyDescent="0.35">
      <c r="A1130" s="3" t="s">
        <v>8</v>
      </c>
      <c r="B1130" s="3" t="s">
        <v>544</v>
      </c>
      <c r="C1130" s="3" t="s">
        <v>42</v>
      </c>
      <c r="D1130" s="3" t="s">
        <v>545</v>
      </c>
      <c r="E1130" s="3" t="s">
        <v>15</v>
      </c>
      <c r="F1130" s="3" t="s">
        <v>13</v>
      </c>
      <c r="G1130" s="3" t="s">
        <v>547</v>
      </c>
      <c r="H1130" s="3"/>
      <c r="I1130" s="3"/>
    </row>
    <row r="1131" spans="1:9" s="5" customFormat="1" x14ac:dyDescent="0.35">
      <c r="A1131" s="3" t="s">
        <v>8</v>
      </c>
      <c r="B1131" s="3" t="s">
        <v>544</v>
      </c>
      <c r="C1131" s="3" t="s">
        <v>42</v>
      </c>
      <c r="D1131" s="3" t="s">
        <v>545</v>
      </c>
      <c r="E1131" s="3" t="s">
        <v>57</v>
      </c>
      <c r="F1131" s="3"/>
      <c r="G1131" s="3" t="s">
        <v>2311</v>
      </c>
      <c r="H1131" s="3"/>
      <c r="I1131" s="3"/>
    </row>
    <row r="1132" spans="1:9" s="5" customFormat="1" x14ac:dyDescent="0.35">
      <c r="A1132" s="3" t="s">
        <v>8</v>
      </c>
      <c r="B1132" s="3" t="s">
        <v>544</v>
      </c>
      <c r="C1132" s="3" t="s">
        <v>42</v>
      </c>
      <c r="D1132" s="3" t="s">
        <v>545</v>
      </c>
      <c r="E1132" s="3" t="s">
        <v>82</v>
      </c>
      <c r="F1132" s="3"/>
      <c r="G1132" s="3"/>
      <c r="H1132" s="3"/>
      <c r="I1132" s="3"/>
    </row>
    <row r="1133" spans="1:9" s="5" customFormat="1" x14ac:dyDescent="0.35">
      <c r="A1133" s="3" t="s">
        <v>8</v>
      </c>
      <c r="B1133" s="3" t="s">
        <v>548</v>
      </c>
      <c r="C1133" s="3" t="s">
        <v>42</v>
      </c>
      <c r="D1133" s="3" t="s">
        <v>2792</v>
      </c>
      <c r="E1133" s="3" t="s">
        <v>27</v>
      </c>
      <c r="F1133" s="3"/>
      <c r="G1133" s="3"/>
      <c r="H1133" s="3"/>
      <c r="I1133" s="3"/>
    </row>
    <row r="1134" spans="1:9" s="5" customFormat="1" x14ac:dyDescent="0.35">
      <c r="A1134" s="3" t="s">
        <v>8</v>
      </c>
      <c r="B1134" s="3" t="s">
        <v>548</v>
      </c>
      <c r="C1134" s="3" t="s">
        <v>42</v>
      </c>
      <c r="D1134" s="3" t="s">
        <v>2792</v>
      </c>
      <c r="E1134" s="3" t="s">
        <v>87</v>
      </c>
      <c r="F1134" s="3"/>
      <c r="G1134" s="3"/>
      <c r="H1134" s="3"/>
      <c r="I1134" s="3"/>
    </row>
    <row r="1135" spans="1:9" s="5" customFormat="1" x14ac:dyDescent="0.35">
      <c r="A1135" s="3" t="s">
        <v>8</v>
      </c>
      <c r="B1135" s="3" t="s">
        <v>548</v>
      </c>
      <c r="C1135" s="3" t="s">
        <v>42</v>
      </c>
      <c r="D1135" s="3" t="s">
        <v>2792</v>
      </c>
      <c r="E1135" s="3" t="s">
        <v>24</v>
      </c>
      <c r="F1135" s="3"/>
      <c r="G1135" s="3" t="s">
        <v>2793</v>
      </c>
      <c r="H1135" s="3"/>
      <c r="I1135" s="3"/>
    </row>
    <row r="1136" spans="1:9" s="5" customFormat="1" x14ac:dyDescent="0.35">
      <c r="A1136" s="3" t="s">
        <v>8</v>
      </c>
      <c r="B1136" s="3" t="s">
        <v>548</v>
      </c>
      <c r="C1136" s="3" t="s">
        <v>20</v>
      </c>
      <c r="D1136" s="3" t="s">
        <v>549</v>
      </c>
      <c r="E1136" s="3" t="s">
        <v>25</v>
      </c>
      <c r="F1136" s="3"/>
      <c r="G1136" s="3"/>
      <c r="H1136" s="3" t="s">
        <v>16</v>
      </c>
      <c r="I1136" s="3" t="s">
        <v>550</v>
      </c>
    </row>
    <row r="1137" spans="1:9" s="5" customFormat="1" x14ac:dyDescent="0.35">
      <c r="A1137" s="3" t="s">
        <v>8</v>
      </c>
      <c r="B1137" s="3" t="s">
        <v>548</v>
      </c>
      <c r="C1137" s="3" t="s">
        <v>20</v>
      </c>
      <c r="D1137" s="3" t="s">
        <v>549</v>
      </c>
      <c r="E1137" s="3" t="s">
        <v>27</v>
      </c>
      <c r="F1137" s="3"/>
      <c r="G1137" s="3"/>
      <c r="H1137" s="3" t="s">
        <v>16</v>
      </c>
      <c r="I1137" s="3" t="s">
        <v>550</v>
      </c>
    </row>
    <row r="1138" spans="1:9" s="5" customFormat="1" x14ac:dyDescent="0.35">
      <c r="A1138" s="3" t="s">
        <v>8</v>
      </c>
      <c r="B1138" s="3" t="s">
        <v>548</v>
      </c>
      <c r="C1138" s="3" t="s">
        <v>20</v>
      </c>
      <c r="D1138" s="3" t="s">
        <v>549</v>
      </c>
      <c r="E1138" s="3" t="s">
        <v>15</v>
      </c>
      <c r="F1138" s="3" t="s">
        <v>16</v>
      </c>
      <c r="G1138" s="3" t="s">
        <v>551</v>
      </c>
      <c r="H1138" s="3" t="s">
        <v>16</v>
      </c>
      <c r="I1138" s="3" t="s">
        <v>550</v>
      </c>
    </row>
    <row r="1139" spans="1:9" s="5" customFormat="1" x14ac:dyDescent="0.35">
      <c r="A1139" s="3" t="s">
        <v>8</v>
      </c>
      <c r="B1139" s="3" t="s">
        <v>548</v>
      </c>
      <c r="C1139" s="3" t="s">
        <v>20</v>
      </c>
      <c r="D1139" s="3" t="s">
        <v>549</v>
      </c>
      <c r="E1139" s="3" t="s">
        <v>37</v>
      </c>
      <c r="F1139" s="3"/>
      <c r="G1139" s="3"/>
      <c r="H1139" s="3" t="s">
        <v>16</v>
      </c>
      <c r="I1139" s="3" t="s">
        <v>550</v>
      </c>
    </row>
    <row r="1140" spans="1:9" s="5" customFormat="1" x14ac:dyDescent="0.35">
      <c r="A1140" s="3" t="s">
        <v>8</v>
      </c>
      <c r="B1140" s="3" t="s">
        <v>548</v>
      </c>
      <c r="C1140" s="3" t="s">
        <v>20</v>
      </c>
      <c r="D1140" s="3" t="s">
        <v>549</v>
      </c>
      <c r="E1140" s="3" t="s">
        <v>24</v>
      </c>
      <c r="F1140" s="3"/>
      <c r="G1140" s="3"/>
      <c r="H1140" s="3" t="s">
        <v>16</v>
      </c>
      <c r="I1140" s="3" t="s">
        <v>550</v>
      </c>
    </row>
    <row r="1141" spans="1:9" s="5" customFormat="1" x14ac:dyDescent="0.35">
      <c r="A1141" s="3" t="s">
        <v>8</v>
      </c>
      <c r="B1141" s="3" t="s">
        <v>552</v>
      </c>
      <c r="C1141" s="3" t="s">
        <v>10</v>
      </c>
      <c r="D1141" s="3" t="s">
        <v>2982</v>
      </c>
      <c r="E1141" s="3" t="s">
        <v>142</v>
      </c>
      <c r="F1141" s="3"/>
      <c r="G1141" s="3"/>
      <c r="H1141" s="3" t="s">
        <v>13</v>
      </c>
      <c r="I1141" s="3" t="s">
        <v>559</v>
      </c>
    </row>
    <row r="1142" spans="1:9" s="5" customFormat="1" x14ac:dyDescent="0.35">
      <c r="A1142" s="3" t="s">
        <v>8</v>
      </c>
      <c r="B1142" s="3" t="s">
        <v>552</v>
      </c>
      <c r="C1142" s="3" t="s">
        <v>10</v>
      </c>
      <c r="D1142" s="3" t="s">
        <v>2982</v>
      </c>
      <c r="E1142" s="3" t="s">
        <v>56</v>
      </c>
      <c r="F1142" s="3" t="s">
        <v>16</v>
      </c>
      <c r="G1142" s="3" t="s">
        <v>2983</v>
      </c>
      <c r="H1142" s="3" t="s">
        <v>13</v>
      </c>
      <c r="I1142" s="3" t="s">
        <v>559</v>
      </c>
    </row>
    <row r="1143" spans="1:9" s="5" customFormat="1" x14ac:dyDescent="0.35">
      <c r="A1143" s="3" t="s">
        <v>8</v>
      </c>
      <c r="B1143" s="3" t="s">
        <v>552</v>
      </c>
      <c r="C1143" s="3" t="s">
        <v>42</v>
      </c>
      <c r="D1143" s="3" t="s">
        <v>553</v>
      </c>
      <c r="E1143" s="3" t="s">
        <v>23</v>
      </c>
      <c r="F1143" s="3"/>
      <c r="G1143" s="3"/>
      <c r="H1143" s="3" t="s">
        <v>13</v>
      </c>
      <c r="I1143" s="3" t="s">
        <v>554</v>
      </c>
    </row>
    <row r="1144" spans="1:9" s="5" customFormat="1" x14ac:dyDescent="0.35">
      <c r="A1144" s="3" t="s">
        <v>8</v>
      </c>
      <c r="B1144" s="3" t="s">
        <v>552</v>
      </c>
      <c r="C1144" s="3" t="s">
        <v>42</v>
      </c>
      <c r="D1144" s="3" t="s">
        <v>553</v>
      </c>
      <c r="E1144" s="3" t="s">
        <v>25</v>
      </c>
      <c r="F1144" s="3"/>
      <c r="G1144" s="3"/>
      <c r="H1144" s="3" t="s">
        <v>13</v>
      </c>
      <c r="I1144" s="3" t="s">
        <v>554</v>
      </c>
    </row>
    <row r="1145" spans="1:9" s="5" customFormat="1" x14ac:dyDescent="0.35">
      <c r="A1145" s="3" t="s">
        <v>8</v>
      </c>
      <c r="B1145" s="3" t="s">
        <v>552</v>
      </c>
      <c r="C1145" s="3" t="s">
        <v>42</v>
      </c>
      <c r="D1145" s="3" t="s">
        <v>553</v>
      </c>
      <c r="E1145" s="3" t="s">
        <v>44</v>
      </c>
      <c r="F1145" s="3"/>
      <c r="G1145" s="3"/>
      <c r="H1145" s="3" t="s">
        <v>13</v>
      </c>
      <c r="I1145" s="3" t="s">
        <v>554</v>
      </c>
    </row>
    <row r="1146" spans="1:9" s="5" customFormat="1" x14ac:dyDescent="0.35">
      <c r="A1146" s="3" t="s">
        <v>8</v>
      </c>
      <c r="B1146" s="3" t="s">
        <v>552</v>
      </c>
      <c r="C1146" s="3" t="s">
        <v>42</v>
      </c>
      <c r="D1146" s="3" t="s">
        <v>553</v>
      </c>
      <c r="E1146" s="3" t="s">
        <v>28</v>
      </c>
      <c r="F1146" s="3"/>
      <c r="G1146" s="3"/>
      <c r="H1146" s="3" t="s">
        <v>13</v>
      </c>
      <c r="I1146" s="3" t="s">
        <v>554</v>
      </c>
    </row>
    <row r="1147" spans="1:9" s="5" customFormat="1" x14ac:dyDescent="0.35">
      <c r="A1147" s="3" t="s">
        <v>8</v>
      </c>
      <c r="B1147" s="3" t="s">
        <v>552</v>
      </c>
      <c r="C1147" s="3" t="s">
        <v>42</v>
      </c>
      <c r="D1147" s="3" t="s">
        <v>553</v>
      </c>
      <c r="E1147" s="3" t="s">
        <v>15</v>
      </c>
      <c r="F1147" s="3" t="s">
        <v>13</v>
      </c>
      <c r="G1147" s="3" t="s">
        <v>555</v>
      </c>
      <c r="H1147" s="3" t="s">
        <v>13</v>
      </c>
      <c r="I1147" s="3" t="s">
        <v>554</v>
      </c>
    </row>
    <row r="1148" spans="1:9" s="5" customFormat="1" x14ac:dyDescent="0.35">
      <c r="A1148" s="3" t="s">
        <v>8</v>
      </c>
      <c r="B1148" s="3" t="s">
        <v>552</v>
      </c>
      <c r="C1148" s="3" t="s">
        <v>42</v>
      </c>
      <c r="D1148" s="3" t="s">
        <v>553</v>
      </c>
      <c r="E1148" s="3" t="s">
        <v>134</v>
      </c>
      <c r="F1148" s="3"/>
      <c r="G1148" s="3"/>
      <c r="H1148" s="3" t="s">
        <v>13</v>
      </c>
      <c r="I1148" s="3" t="s">
        <v>554</v>
      </c>
    </row>
    <row r="1149" spans="1:9" s="5" customFormat="1" x14ac:dyDescent="0.35">
      <c r="A1149" s="3" t="s">
        <v>8</v>
      </c>
      <c r="B1149" s="3" t="s">
        <v>552</v>
      </c>
      <c r="C1149" s="3" t="s">
        <v>42</v>
      </c>
      <c r="D1149" s="3" t="s">
        <v>553</v>
      </c>
      <c r="E1149" s="3" t="s">
        <v>107</v>
      </c>
      <c r="F1149" s="3" t="s">
        <v>13</v>
      </c>
      <c r="G1149" s="3" t="s">
        <v>556</v>
      </c>
      <c r="H1149" s="3" t="s">
        <v>13</v>
      </c>
      <c r="I1149" s="3" t="s">
        <v>554</v>
      </c>
    </row>
    <row r="1150" spans="1:9" s="5" customFormat="1" x14ac:dyDescent="0.35">
      <c r="A1150" s="3" t="s">
        <v>8</v>
      </c>
      <c r="B1150" s="3" t="s">
        <v>552</v>
      </c>
      <c r="C1150" s="3" t="s">
        <v>45</v>
      </c>
      <c r="D1150" s="3" t="s">
        <v>557</v>
      </c>
      <c r="E1150" s="3" t="s">
        <v>23</v>
      </c>
      <c r="F1150" s="3" t="s">
        <v>13</v>
      </c>
      <c r="G1150" s="3" t="s">
        <v>558</v>
      </c>
      <c r="H1150" s="3" t="s">
        <v>13</v>
      </c>
      <c r="I1150" s="3" t="s">
        <v>559</v>
      </c>
    </row>
    <row r="1151" spans="1:9" s="5" customFormat="1" x14ac:dyDescent="0.35">
      <c r="A1151" s="3" t="s">
        <v>8</v>
      </c>
      <c r="B1151" s="3" t="s">
        <v>552</v>
      </c>
      <c r="C1151" s="3" t="s">
        <v>45</v>
      </c>
      <c r="D1151" s="3" t="s">
        <v>557</v>
      </c>
      <c r="E1151" s="3" t="s">
        <v>32</v>
      </c>
      <c r="F1151" s="3" t="s">
        <v>33</v>
      </c>
      <c r="G1151" s="3" t="s">
        <v>34</v>
      </c>
      <c r="H1151" s="3" t="s">
        <v>13</v>
      </c>
      <c r="I1151" s="3" t="s">
        <v>559</v>
      </c>
    </row>
    <row r="1152" spans="1:9" s="5" customFormat="1" x14ac:dyDescent="0.35">
      <c r="A1152" s="3" t="s">
        <v>8</v>
      </c>
      <c r="B1152" s="3" t="s">
        <v>552</v>
      </c>
      <c r="C1152" s="3" t="s">
        <v>45</v>
      </c>
      <c r="D1152" s="3" t="s">
        <v>557</v>
      </c>
      <c r="E1152" s="3" t="s">
        <v>24</v>
      </c>
      <c r="F1152" s="3" t="s">
        <v>13</v>
      </c>
      <c r="G1152" s="3" t="s">
        <v>560</v>
      </c>
      <c r="H1152" s="3" t="s">
        <v>13</v>
      </c>
      <c r="I1152" s="3" t="s">
        <v>559</v>
      </c>
    </row>
    <row r="1153" spans="1:9" s="5" customFormat="1" x14ac:dyDescent="0.35">
      <c r="A1153" s="3" t="s">
        <v>8</v>
      </c>
      <c r="B1153" s="3" t="s">
        <v>552</v>
      </c>
      <c r="C1153" s="3" t="s">
        <v>45</v>
      </c>
      <c r="D1153" s="3" t="s">
        <v>2260</v>
      </c>
      <c r="E1153" s="3" t="s">
        <v>77</v>
      </c>
      <c r="F1153" s="3"/>
      <c r="G1153" s="3"/>
      <c r="H1153" s="3"/>
      <c r="I1153" s="3"/>
    </row>
    <row r="1154" spans="1:9" s="5" customFormat="1" x14ac:dyDescent="0.35">
      <c r="A1154" s="3" t="s">
        <v>8</v>
      </c>
      <c r="B1154" s="3" t="s">
        <v>552</v>
      </c>
      <c r="C1154" s="3" t="s">
        <v>20</v>
      </c>
      <c r="D1154" s="3" t="s">
        <v>561</v>
      </c>
      <c r="E1154" s="3" t="s">
        <v>12</v>
      </c>
      <c r="F1154" s="3"/>
      <c r="G1154" s="3"/>
      <c r="H1154" s="3" t="s">
        <v>13</v>
      </c>
      <c r="I1154" s="3" t="s">
        <v>559</v>
      </c>
    </row>
    <row r="1155" spans="1:9" s="5" customFormat="1" x14ac:dyDescent="0.35">
      <c r="A1155" s="3" t="s">
        <v>8</v>
      </c>
      <c r="B1155" s="3" t="s">
        <v>552</v>
      </c>
      <c r="C1155" s="3" t="s">
        <v>20</v>
      </c>
      <c r="D1155" s="3" t="s">
        <v>561</v>
      </c>
      <c r="E1155" s="3" t="s">
        <v>36</v>
      </c>
      <c r="F1155" s="3"/>
      <c r="G1155" s="3"/>
      <c r="H1155" s="3" t="s">
        <v>13</v>
      </c>
      <c r="I1155" s="3" t="s">
        <v>554</v>
      </c>
    </row>
    <row r="1156" spans="1:9" s="5" customFormat="1" x14ac:dyDescent="0.35">
      <c r="A1156" s="3" t="s">
        <v>8</v>
      </c>
      <c r="B1156" s="3" t="s">
        <v>552</v>
      </c>
      <c r="C1156" s="3" t="s">
        <v>20</v>
      </c>
      <c r="D1156" s="3" t="s">
        <v>561</v>
      </c>
      <c r="E1156" s="3" t="s">
        <v>23</v>
      </c>
      <c r="F1156" s="3"/>
      <c r="G1156" s="3"/>
      <c r="H1156" s="3" t="s">
        <v>13</v>
      </c>
      <c r="I1156" s="3" t="s">
        <v>559</v>
      </c>
    </row>
    <row r="1157" spans="1:9" s="5" customFormat="1" x14ac:dyDescent="0.35">
      <c r="A1157" s="3" t="s">
        <v>8</v>
      </c>
      <c r="B1157" s="3" t="s">
        <v>552</v>
      </c>
      <c r="C1157" s="3" t="s">
        <v>20</v>
      </c>
      <c r="D1157" s="3" t="s">
        <v>561</v>
      </c>
      <c r="E1157" s="3" t="s">
        <v>25</v>
      </c>
      <c r="F1157" s="3"/>
      <c r="G1157" s="3"/>
      <c r="H1157" s="3" t="s">
        <v>13</v>
      </c>
      <c r="I1157" s="3" t="s">
        <v>554</v>
      </c>
    </row>
    <row r="1158" spans="1:9" s="5" customFormat="1" x14ac:dyDescent="0.35">
      <c r="A1158" s="3" t="s">
        <v>8</v>
      </c>
      <c r="B1158" s="3" t="s">
        <v>552</v>
      </c>
      <c r="C1158" s="3" t="s">
        <v>20</v>
      </c>
      <c r="D1158" s="3" t="s">
        <v>561</v>
      </c>
      <c r="E1158" s="3" t="s">
        <v>60</v>
      </c>
      <c r="F1158" s="3"/>
      <c r="G1158" s="3" t="s">
        <v>2350</v>
      </c>
      <c r="H1158" s="3" t="s">
        <v>13</v>
      </c>
      <c r="I1158" s="3" t="s">
        <v>559</v>
      </c>
    </row>
    <row r="1159" spans="1:9" s="5" customFormat="1" x14ac:dyDescent="0.35">
      <c r="A1159" s="3" t="s">
        <v>8</v>
      </c>
      <c r="B1159" s="3" t="s">
        <v>552</v>
      </c>
      <c r="C1159" s="3" t="s">
        <v>20</v>
      </c>
      <c r="D1159" s="3" t="s">
        <v>561</v>
      </c>
      <c r="E1159" s="3" t="s">
        <v>27</v>
      </c>
      <c r="F1159" s="3"/>
      <c r="G1159" s="3"/>
      <c r="H1159" s="3" t="s">
        <v>13</v>
      </c>
      <c r="I1159" s="3" t="s">
        <v>559</v>
      </c>
    </row>
    <row r="1160" spans="1:9" s="5" customFormat="1" x14ac:dyDescent="0.35">
      <c r="A1160" s="3" t="s">
        <v>8</v>
      </c>
      <c r="B1160" s="3" t="s">
        <v>552</v>
      </c>
      <c r="C1160" s="3" t="s">
        <v>20</v>
      </c>
      <c r="D1160" s="3" t="s">
        <v>561</v>
      </c>
      <c r="E1160" s="3" t="s">
        <v>71</v>
      </c>
      <c r="F1160" s="3"/>
      <c r="G1160" s="3"/>
      <c r="H1160" s="3" t="s">
        <v>16</v>
      </c>
      <c r="I1160" s="3" t="s">
        <v>559</v>
      </c>
    </row>
    <row r="1161" spans="1:9" s="5" customFormat="1" x14ac:dyDescent="0.35">
      <c r="A1161" s="3" t="s">
        <v>8</v>
      </c>
      <c r="B1161" s="3" t="s">
        <v>552</v>
      </c>
      <c r="C1161" s="3" t="s">
        <v>20</v>
      </c>
      <c r="D1161" s="3" t="s">
        <v>561</v>
      </c>
      <c r="E1161" s="3" t="s">
        <v>77</v>
      </c>
      <c r="F1161" s="3"/>
      <c r="G1161" s="3" t="s">
        <v>2349</v>
      </c>
      <c r="H1161" s="3" t="s">
        <v>13</v>
      </c>
      <c r="I1161" s="3" t="s">
        <v>559</v>
      </c>
    </row>
    <row r="1162" spans="1:9" s="5" customFormat="1" x14ac:dyDescent="0.35">
      <c r="A1162" s="3" t="s">
        <v>8</v>
      </c>
      <c r="B1162" s="3" t="s">
        <v>552</v>
      </c>
      <c r="C1162" s="3" t="s">
        <v>20</v>
      </c>
      <c r="D1162" s="3" t="s">
        <v>561</v>
      </c>
      <c r="E1162" s="3" t="s">
        <v>28</v>
      </c>
      <c r="F1162" s="3" t="s">
        <v>16</v>
      </c>
      <c r="G1162" s="3" t="s">
        <v>563</v>
      </c>
      <c r="H1162" s="3" t="s">
        <v>13</v>
      </c>
      <c r="I1162" s="3" t="s">
        <v>559</v>
      </c>
    </row>
    <row r="1163" spans="1:9" s="5" customFormat="1" x14ac:dyDescent="0.35">
      <c r="A1163" s="3" t="s">
        <v>8</v>
      </c>
      <c r="B1163" s="3" t="s">
        <v>552</v>
      </c>
      <c r="C1163" s="3" t="s">
        <v>20</v>
      </c>
      <c r="D1163" s="3" t="s">
        <v>561</v>
      </c>
      <c r="E1163" s="3" t="s">
        <v>56</v>
      </c>
      <c r="F1163" s="3" t="s">
        <v>13</v>
      </c>
      <c r="G1163" s="3" t="s">
        <v>562</v>
      </c>
      <c r="H1163" s="3" t="s">
        <v>13</v>
      </c>
      <c r="I1163" s="3" t="s">
        <v>554</v>
      </c>
    </row>
    <row r="1164" spans="1:9" s="5" customFormat="1" x14ac:dyDescent="0.35">
      <c r="A1164" s="3" t="s">
        <v>8</v>
      </c>
      <c r="B1164" s="3" t="s">
        <v>552</v>
      </c>
      <c r="C1164" s="3" t="s">
        <v>20</v>
      </c>
      <c r="D1164" s="3" t="s">
        <v>561</v>
      </c>
      <c r="E1164" s="3" t="s">
        <v>32</v>
      </c>
      <c r="F1164" s="3" t="s">
        <v>33</v>
      </c>
      <c r="G1164" s="3" t="s">
        <v>314</v>
      </c>
      <c r="H1164" s="3" t="s">
        <v>13</v>
      </c>
      <c r="I1164" s="3" t="s">
        <v>554</v>
      </c>
    </row>
    <row r="1165" spans="1:9" s="5" customFormat="1" x14ac:dyDescent="0.35">
      <c r="A1165" s="3" t="s">
        <v>8</v>
      </c>
      <c r="B1165" s="3" t="s">
        <v>552</v>
      </c>
      <c r="C1165" s="3" t="s">
        <v>20</v>
      </c>
      <c r="D1165" s="3" t="s">
        <v>561</v>
      </c>
      <c r="E1165" s="3" t="s">
        <v>26</v>
      </c>
      <c r="F1165" s="3"/>
      <c r="G1165" s="3"/>
      <c r="H1165" s="3" t="s">
        <v>13</v>
      </c>
      <c r="I1165" s="3" t="s">
        <v>559</v>
      </c>
    </row>
    <row r="1166" spans="1:9" s="5" customFormat="1" x14ac:dyDescent="0.35">
      <c r="A1166" s="3" t="s">
        <v>8</v>
      </c>
      <c r="B1166" s="3" t="s">
        <v>552</v>
      </c>
      <c r="C1166" s="3" t="s">
        <v>20</v>
      </c>
      <c r="D1166" s="3" t="s">
        <v>561</v>
      </c>
      <c r="E1166" s="3" t="s">
        <v>290</v>
      </c>
      <c r="F1166" s="3"/>
      <c r="G1166" s="3"/>
      <c r="H1166" s="3" t="s">
        <v>13</v>
      </c>
      <c r="I1166" s="3" t="s">
        <v>559</v>
      </c>
    </row>
    <row r="1167" spans="1:9" s="5" customFormat="1" x14ac:dyDescent="0.35">
      <c r="A1167" s="3" t="s">
        <v>8</v>
      </c>
      <c r="B1167" s="3" t="s">
        <v>552</v>
      </c>
      <c r="C1167" s="3" t="s">
        <v>20</v>
      </c>
      <c r="D1167" s="3" t="s">
        <v>561</v>
      </c>
      <c r="E1167" s="3" t="s">
        <v>82</v>
      </c>
      <c r="F1167" s="3" t="s">
        <v>13</v>
      </c>
      <c r="G1167" s="3" t="s">
        <v>157</v>
      </c>
      <c r="H1167" s="3" t="s">
        <v>13</v>
      </c>
      <c r="I1167" s="3" t="s">
        <v>554</v>
      </c>
    </row>
    <row r="1168" spans="1:9" s="5" customFormat="1" x14ac:dyDescent="0.35">
      <c r="A1168" s="3" t="s">
        <v>8</v>
      </c>
      <c r="B1168" s="3" t="s">
        <v>552</v>
      </c>
      <c r="C1168" s="3" t="s">
        <v>20</v>
      </c>
      <c r="D1168" s="3" t="s">
        <v>564</v>
      </c>
      <c r="E1168" s="3" t="s">
        <v>27</v>
      </c>
      <c r="F1168" s="3"/>
      <c r="G1168" s="3"/>
      <c r="H1168" s="3" t="s">
        <v>13</v>
      </c>
      <c r="I1168" s="3" t="s">
        <v>559</v>
      </c>
    </row>
    <row r="1169" spans="1:9" s="5" customFormat="1" x14ac:dyDescent="0.35">
      <c r="A1169" s="3" t="s">
        <v>8</v>
      </c>
      <c r="B1169" s="3" t="s">
        <v>552</v>
      </c>
      <c r="C1169" s="3" t="s">
        <v>20</v>
      </c>
      <c r="D1169" s="3" t="s">
        <v>564</v>
      </c>
      <c r="E1169" s="3" t="s">
        <v>77</v>
      </c>
      <c r="F1169" s="3"/>
      <c r="G1169" s="3"/>
      <c r="H1169" s="3" t="s">
        <v>13</v>
      </c>
      <c r="I1169" s="3" t="s">
        <v>559</v>
      </c>
    </row>
    <row r="1170" spans="1:9" s="5" customFormat="1" x14ac:dyDescent="0.35">
      <c r="A1170" s="3" t="s">
        <v>8</v>
      </c>
      <c r="B1170" s="3" t="s">
        <v>552</v>
      </c>
      <c r="C1170" s="3" t="s">
        <v>20</v>
      </c>
      <c r="D1170" s="3" t="s">
        <v>564</v>
      </c>
      <c r="E1170" s="3" t="s">
        <v>28</v>
      </c>
      <c r="F1170" s="3"/>
      <c r="G1170" s="3"/>
      <c r="H1170" s="3" t="s">
        <v>13</v>
      </c>
      <c r="I1170" s="3" t="s">
        <v>559</v>
      </c>
    </row>
    <row r="1171" spans="1:9" s="5" customFormat="1" x14ac:dyDescent="0.35">
      <c r="A1171" s="3" t="s">
        <v>8</v>
      </c>
      <c r="B1171" s="3" t="s">
        <v>552</v>
      </c>
      <c r="C1171" s="3" t="s">
        <v>20</v>
      </c>
      <c r="D1171" s="3" t="s">
        <v>564</v>
      </c>
      <c r="E1171" s="3" t="s">
        <v>26</v>
      </c>
      <c r="F1171" s="3"/>
      <c r="G1171" s="3"/>
      <c r="H1171" s="3" t="s">
        <v>13</v>
      </c>
      <c r="I1171" s="3" t="s">
        <v>559</v>
      </c>
    </row>
    <row r="1172" spans="1:9" s="5" customFormat="1" x14ac:dyDescent="0.35">
      <c r="A1172" s="3" t="s">
        <v>8</v>
      </c>
      <c r="B1172" s="3" t="s">
        <v>552</v>
      </c>
      <c r="C1172" s="3" t="s">
        <v>20</v>
      </c>
      <c r="D1172" s="3" t="s">
        <v>564</v>
      </c>
      <c r="E1172" s="3" t="s">
        <v>29</v>
      </c>
      <c r="F1172" s="3"/>
      <c r="G1172" s="3" t="s">
        <v>2291</v>
      </c>
      <c r="H1172" s="3" t="s">
        <v>13</v>
      </c>
      <c r="I1172" s="3" t="s">
        <v>559</v>
      </c>
    </row>
    <row r="1173" spans="1:9" s="5" customFormat="1" x14ac:dyDescent="0.35">
      <c r="A1173" s="3" t="s">
        <v>8</v>
      </c>
      <c r="B1173" s="3" t="s">
        <v>552</v>
      </c>
      <c r="C1173" s="3" t="s">
        <v>20</v>
      </c>
      <c r="D1173" s="3" t="s">
        <v>564</v>
      </c>
      <c r="E1173" s="3" t="s">
        <v>134</v>
      </c>
      <c r="F1173" s="3" t="s">
        <v>13</v>
      </c>
      <c r="G1173" s="3" t="s">
        <v>565</v>
      </c>
      <c r="H1173" s="3" t="s">
        <v>13</v>
      </c>
      <c r="I1173" s="3" t="s">
        <v>559</v>
      </c>
    </row>
    <row r="1174" spans="1:9" s="5" customFormat="1" x14ac:dyDescent="0.35">
      <c r="A1174" s="3" t="s">
        <v>8</v>
      </c>
      <c r="B1174" s="3" t="s">
        <v>552</v>
      </c>
      <c r="C1174" s="3" t="s">
        <v>20</v>
      </c>
      <c r="D1174" s="3" t="s">
        <v>564</v>
      </c>
      <c r="E1174" s="3" t="s">
        <v>290</v>
      </c>
      <c r="F1174" s="3"/>
      <c r="G1174" s="3"/>
      <c r="H1174" s="3" t="s">
        <v>13</v>
      </c>
      <c r="I1174" s="3" t="s">
        <v>559</v>
      </c>
    </row>
    <row r="1175" spans="1:9" s="5" customFormat="1" x14ac:dyDescent="0.35">
      <c r="A1175" s="3" t="s">
        <v>8</v>
      </c>
      <c r="B1175" s="3" t="s">
        <v>552</v>
      </c>
      <c r="C1175" s="3" t="s">
        <v>20</v>
      </c>
      <c r="D1175" s="3" t="s">
        <v>566</v>
      </c>
      <c r="E1175" s="3" t="s">
        <v>23</v>
      </c>
      <c r="F1175" s="3"/>
      <c r="G1175" s="3"/>
      <c r="H1175" s="3"/>
      <c r="I1175" s="3"/>
    </row>
    <row r="1176" spans="1:9" s="5" customFormat="1" x14ac:dyDescent="0.35">
      <c r="A1176" s="3" t="s">
        <v>8</v>
      </c>
      <c r="B1176" s="3" t="s">
        <v>552</v>
      </c>
      <c r="C1176" s="3" t="s">
        <v>45</v>
      </c>
      <c r="D1176" s="3" t="s">
        <v>567</v>
      </c>
      <c r="E1176" s="3" t="s">
        <v>23</v>
      </c>
      <c r="F1176" s="3"/>
      <c r="G1176" s="3"/>
      <c r="H1176" s="3" t="s">
        <v>13</v>
      </c>
      <c r="I1176" s="3" t="s">
        <v>554</v>
      </c>
    </row>
    <row r="1177" spans="1:9" s="5" customFormat="1" x14ac:dyDescent="0.35">
      <c r="A1177" s="3" t="s">
        <v>8</v>
      </c>
      <c r="B1177" s="3" t="s">
        <v>552</v>
      </c>
      <c r="C1177" s="3" t="s">
        <v>45</v>
      </c>
      <c r="D1177" s="3" t="s">
        <v>567</v>
      </c>
      <c r="E1177" s="3" t="s">
        <v>77</v>
      </c>
      <c r="F1177" s="3"/>
      <c r="G1177" s="3"/>
      <c r="H1177" s="3" t="s">
        <v>13</v>
      </c>
      <c r="I1177" s="3" t="s">
        <v>554</v>
      </c>
    </row>
    <row r="1178" spans="1:9" s="5" customFormat="1" x14ac:dyDescent="0.35">
      <c r="A1178" s="3" t="s">
        <v>8</v>
      </c>
      <c r="B1178" s="3" t="s">
        <v>552</v>
      </c>
      <c r="C1178" s="3" t="s">
        <v>45</v>
      </c>
      <c r="D1178" s="3" t="s">
        <v>567</v>
      </c>
      <c r="E1178" s="3" t="s">
        <v>28</v>
      </c>
      <c r="F1178" s="3"/>
      <c r="G1178" s="3"/>
      <c r="H1178" s="3" t="s">
        <v>13</v>
      </c>
      <c r="I1178" s="3" t="s">
        <v>554</v>
      </c>
    </row>
    <row r="1179" spans="1:9" s="5" customFormat="1" x14ac:dyDescent="0.35">
      <c r="A1179" s="3" t="s">
        <v>8</v>
      </c>
      <c r="B1179" s="3" t="s">
        <v>552</v>
      </c>
      <c r="C1179" s="3" t="s">
        <v>45</v>
      </c>
      <c r="D1179" s="3" t="s">
        <v>567</v>
      </c>
      <c r="E1179" s="3" t="s">
        <v>98</v>
      </c>
      <c r="F1179" s="3"/>
      <c r="G1179" s="3"/>
      <c r="H1179" s="3" t="s">
        <v>13</v>
      </c>
      <c r="I1179" s="3" t="s">
        <v>554</v>
      </c>
    </row>
    <row r="1180" spans="1:9" s="5" customFormat="1" x14ac:dyDescent="0.35">
      <c r="A1180" s="3" t="s">
        <v>8</v>
      </c>
      <c r="B1180" s="3" t="s">
        <v>552</v>
      </c>
      <c r="C1180" s="3" t="s">
        <v>45</v>
      </c>
      <c r="D1180" s="3" t="s">
        <v>567</v>
      </c>
      <c r="E1180" s="3" t="s">
        <v>24</v>
      </c>
      <c r="F1180" s="3"/>
      <c r="G1180" s="3"/>
      <c r="H1180" s="3" t="s">
        <v>13</v>
      </c>
      <c r="I1180" s="3" t="s">
        <v>554</v>
      </c>
    </row>
    <row r="1181" spans="1:9" s="5" customFormat="1" x14ac:dyDescent="0.35">
      <c r="A1181" s="3" t="s">
        <v>8</v>
      </c>
      <c r="B1181" s="3" t="s">
        <v>552</v>
      </c>
      <c r="C1181" s="3" t="s">
        <v>39</v>
      </c>
      <c r="D1181" s="3" t="s">
        <v>2263</v>
      </c>
      <c r="E1181" s="3" t="s">
        <v>25</v>
      </c>
      <c r="F1181" s="3" t="s">
        <v>13</v>
      </c>
      <c r="G1181" s="3" t="s">
        <v>568</v>
      </c>
      <c r="H1181" s="3" t="s">
        <v>13</v>
      </c>
      <c r="I1181" s="3" t="s">
        <v>559</v>
      </c>
    </row>
    <row r="1182" spans="1:9" s="5" customFormat="1" x14ac:dyDescent="0.35">
      <c r="A1182" s="3" t="s">
        <v>8</v>
      </c>
      <c r="B1182" s="3" t="s">
        <v>552</v>
      </c>
      <c r="C1182" s="3" t="s">
        <v>39</v>
      </c>
      <c r="D1182" s="3" t="s">
        <v>2263</v>
      </c>
      <c r="E1182" s="3" t="s">
        <v>27</v>
      </c>
      <c r="F1182" s="3" t="s">
        <v>13</v>
      </c>
      <c r="G1182" s="3" t="s">
        <v>568</v>
      </c>
      <c r="H1182" s="3" t="s">
        <v>13</v>
      </c>
      <c r="I1182" s="3" t="s">
        <v>559</v>
      </c>
    </row>
    <row r="1183" spans="1:9" s="5" customFormat="1" x14ac:dyDescent="0.35">
      <c r="A1183" s="3" t="s">
        <v>8</v>
      </c>
      <c r="B1183" s="3" t="s">
        <v>552</v>
      </c>
      <c r="C1183" s="3" t="s">
        <v>39</v>
      </c>
      <c r="D1183" s="3" t="s">
        <v>2263</v>
      </c>
      <c r="E1183" s="3" t="s">
        <v>77</v>
      </c>
      <c r="F1183" s="3" t="s">
        <v>13</v>
      </c>
      <c r="G1183" s="3" t="s">
        <v>568</v>
      </c>
      <c r="H1183" s="3" t="s">
        <v>13</v>
      </c>
      <c r="I1183" s="3" t="s">
        <v>559</v>
      </c>
    </row>
    <row r="1184" spans="1:9" s="5" customFormat="1" x14ac:dyDescent="0.35">
      <c r="A1184" s="3" t="s">
        <v>8</v>
      </c>
      <c r="B1184" s="3" t="s">
        <v>552</v>
      </c>
      <c r="C1184" s="3" t="s">
        <v>39</v>
      </c>
      <c r="D1184" s="3" t="s">
        <v>2263</v>
      </c>
      <c r="E1184" s="3" t="s">
        <v>15</v>
      </c>
      <c r="F1184" s="3" t="s">
        <v>13</v>
      </c>
      <c r="G1184" s="3" t="s">
        <v>569</v>
      </c>
      <c r="H1184" s="3" t="s">
        <v>13</v>
      </c>
      <c r="I1184" s="3" t="s">
        <v>559</v>
      </c>
    </row>
    <row r="1185" spans="1:9" s="5" customFormat="1" x14ac:dyDescent="0.35">
      <c r="A1185" s="3" t="s">
        <v>8</v>
      </c>
      <c r="B1185" s="3" t="s">
        <v>552</v>
      </c>
      <c r="C1185" s="3" t="s">
        <v>39</v>
      </c>
      <c r="D1185" s="3" t="s">
        <v>2263</v>
      </c>
      <c r="E1185" s="3" t="s">
        <v>57</v>
      </c>
      <c r="F1185" s="3" t="s">
        <v>13</v>
      </c>
      <c r="G1185" s="3" t="s">
        <v>568</v>
      </c>
      <c r="H1185" s="3" t="s">
        <v>13</v>
      </c>
      <c r="I1185" s="3" t="s">
        <v>559</v>
      </c>
    </row>
    <row r="1186" spans="1:9" s="5" customFormat="1" x14ac:dyDescent="0.35">
      <c r="A1186" s="3" t="s">
        <v>8</v>
      </c>
      <c r="B1186" s="3" t="s">
        <v>552</v>
      </c>
      <c r="C1186" s="3" t="s">
        <v>39</v>
      </c>
      <c r="D1186" s="3" t="s">
        <v>2263</v>
      </c>
      <c r="E1186" s="3" t="s">
        <v>89</v>
      </c>
      <c r="F1186" s="3" t="s">
        <v>13</v>
      </c>
      <c r="G1186" s="3" t="s">
        <v>568</v>
      </c>
      <c r="H1186" s="3" t="s">
        <v>13</v>
      </c>
      <c r="I1186" s="3" t="s">
        <v>559</v>
      </c>
    </row>
    <row r="1187" spans="1:9" s="5" customFormat="1" x14ac:dyDescent="0.35">
      <c r="A1187" s="3" t="s">
        <v>8</v>
      </c>
      <c r="B1187" s="3" t="s">
        <v>552</v>
      </c>
      <c r="C1187" s="3" t="s">
        <v>39</v>
      </c>
      <c r="D1187" s="3" t="s">
        <v>2263</v>
      </c>
      <c r="E1187" s="3" t="s">
        <v>32</v>
      </c>
      <c r="F1187" s="3"/>
      <c r="G1187" s="3"/>
      <c r="H1187" s="3" t="s">
        <v>13</v>
      </c>
      <c r="I1187" s="3" t="s">
        <v>559</v>
      </c>
    </row>
    <row r="1188" spans="1:9" s="5" customFormat="1" x14ac:dyDescent="0.35">
      <c r="A1188" s="3" t="s">
        <v>8</v>
      </c>
      <c r="B1188" s="3" t="s">
        <v>552</v>
      </c>
      <c r="C1188" s="3" t="s">
        <v>39</v>
      </c>
      <c r="D1188" s="3" t="s">
        <v>2263</v>
      </c>
      <c r="E1188" s="3" t="s">
        <v>26</v>
      </c>
      <c r="F1188" s="3" t="s">
        <v>13</v>
      </c>
      <c r="G1188" s="3" t="s">
        <v>568</v>
      </c>
      <c r="H1188" s="3" t="s">
        <v>13</v>
      </c>
      <c r="I1188" s="3" t="s">
        <v>559</v>
      </c>
    </row>
    <row r="1189" spans="1:9" s="5" customFormat="1" x14ac:dyDescent="0.35">
      <c r="A1189" s="3" t="s">
        <v>8</v>
      </c>
      <c r="B1189" s="3" t="s">
        <v>552</v>
      </c>
      <c r="C1189" s="3" t="s">
        <v>39</v>
      </c>
      <c r="D1189" s="3" t="s">
        <v>2263</v>
      </c>
      <c r="E1189" s="3" t="s">
        <v>290</v>
      </c>
      <c r="F1189" s="3" t="s">
        <v>13</v>
      </c>
      <c r="G1189" s="3" t="s">
        <v>568</v>
      </c>
      <c r="H1189" s="3" t="s">
        <v>13</v>
      </c>
      <c r="I1189" s="3" t="s">
        <v>559</v>
      </c>
    </row>
    <row r="1190" spans="1:9" s="5" customFormat="1" x14ac:dyDescent="0.35">
      <c r="A1190" s="3" t="s">
        <v>8</v>
      </c>
      <c r="B1190" s="3" t="s">
        <v>552</v>
      </c>
      <c r="C1190" s="3" t="s">
        <v>20</v>
      </c>
      <c r="D1190" s="3" t="s">
        <v>570</v>
      </c>
      <c r="E1190" s="3" t="s">
        <v>87</v>
      </c>
      <c r="F1190" s="3" t="s">
        <v>13</v>
      </c>
      <c r="G1190" s="3" t="s">
        <v>571</v>
      </c>
      <c r="H1190" s="3" t="s">
        <v>13</v>
      </c>
      <c r="I1190" s="3" t="s">
        <v>559</v>
      </c>
    </row>
    <row r="1191" spans="1:9" s="5" customFormat="1" x14ac:dyDescent="0.35">
      <c r="A1191" s="3" t="s">
        <v>8</v>
      </c>
      <c r="B1191" s="3" t="s">
        <v>552</v>
      </c>
      <c r="C1191" s="3" t="s">
        <v>20</v>
      </c>
      <c r="D1191" s="3" t="s">
        <v>570</v>
      </c>
      <c r="E1191" s="3" t="s">
        <v>134</v>
      </c>
      <c r="F1191" s="3" t="s">
        <v>13</v>
      </c>
      <c r="G1191" s="3" t="s">
        <v>572</v>
      </c>
      <c r="H1191" s="3" t="s">
        <v>13</v>
      </c>
      <c r="I1191" s="3" t="s">
        <v>559</v>
      </c>
    </row>
    <row r="1192" spans="1:9" s="5" customFormat="1" x14ac:dyDescent="0.35">
      <c r="A1192" s="3" t="s">
        <v>8</v>
      </c>
      <c r="B1192" s="3" t="s">
        <v>573</v>
      </c>
      <c r="C1192" s="3" t="s">
        <v>42</v>
      </c>
      <c r="D1192" s="3" t="s">
        <v>574</v>
      </c>
      <c r="E1192" s="3" t="s">
        <v>47</v>
      </c>
      <c r="F1192" s="3"/>
      <c r="G1192" s="3"/>
      <c r="H1192" s="3"/>
      <c r="I1192" s="3"/>
    </row>
    <row r="1193" spans="1:9" s="5" customFormat="1" x14ac:dyDescent="0.35">
      <c r="A1193" s="3" t="s">
        <v>8</v>
      </c>
      <c r="B1193" s="3" t="s">
        <v>573</v>
      </c>
      <c r="C1193" s="3" t="s">
        <v>42</v>
      </c>
      <c r="D1193" s="3" t="s">
        <v>574</v>
      </c>
      <c r="E1193" s="3" t="s">
        <v>44</v>
      </c>
      <c r="F1193" s="3"/>
      <c r="G1193" s="3"/>
      <c r="H1193" s="3"/>
      <c r="I1193" s="3"/>
    </row>
    <row r="1194" spans="1:9" s="5" customFormat="1" x14ac:dyDescent="0.35">
      <c r="A1194" s="3" t="s">
        <v>8</v>
      </c>
      <c r="B1194" s="3" t="s">
        <v>573</v>
      </c>
      <c r="C1194" s="3" t="s">
        <v>42</v>
      </c>
      <c r="D1194" s="3" t="s">
        <v>574</v>
      </c>
      <c r="E1194" s="3" t="s">
        <v>107</v>
      </c>
      <c r="F1194" s="3" t="s">
        <v>13</v>
      </c>
      <c r="G1194" s="3" t="s">
        <v>511</v>
      </c>
      <c r="H1194" s="3"/>
      <c r="I1194" s="3"/>
    </row>
    <row r="1195" spans="1:9" s="5" customFormat="1" x14ac:dyDescent="0.35">
      <c r="A1195" s="3" t="s">
        <v>8</v>
      </c>
      <c r="B1195" s="3" t="s">
        <v>573</v>
      </c>
      <c r="C1195" s="3" t="s">
        <v>45</v>
      </c>
      <c r="D1195" s="3" t="s">
        <v>2832</v>
      </c>
      <c r="E1195" s="3" t="s">
        <v>56</v>
      </c>
      <c r="F1195" s="3" t="s">
        <v>13</v>
      </c>
      <c r="G1195" s="3" t="s">
        <v>474</v>
      </c>
      <c r="H1195" s="3"/>
      <c r="I1195" s="3"/>
    </row>
    <row r="1196" spans="1:9" s="5" customFormat="1" x14ac:dyDescent="0.35">
      <c r="A1196" s="3" t="s">
        <v>8</v>
      </c>
      <c r="B1196" s="3" t="s">
        <v>573</v>
      </c>
      <c r="C1196" s="3" t="s">
        <v>45</v>
      </c>
      <c r="D1196" s="3" t="s">
        <v>2832</v>
      </c>
      <c r="E1196" s="3" t="s">
        <v>372</v>
      </c>
      <c r="F1196" s="3" t="s">
        <v>33</v>
      </c>
      <c r="G1196" s="3" t="s">
        <v>875</v>
      </c>
      <c r="H1196" s="3"/>
      <c r="I1196" s="3"/>
    </row>
    <row r="1197" spans="1:9" s="5" customFormat="1" x14ac:dyDescent="0.35">
      <c r="A1197" s="3" t="s">
        <v>8</v>
      </c>
      <c r="B1197" s="3" t="s">
        <v>573</v>
      </c>
      <c r="C1197" s="3" t="s">
        <v>45</v>
      </c>
      <c r="D1197" s="3" t="s">
        <v>2832</v>
      </c>
      <c r="E1197" s="3" t="s">
        <v>24</v>
      </c>
      <c r="F1197" s="3"/>
      <c r="G1197" s="3" t="s">
        <v>2791</v>
      </c>
      <c r="H1197" s="3"/>
      <c r="I1197" s="3"/>
    </row>
    <row r="1198" spans="1:9" s="5" customFormat="1" x14ac:dyDescent="0.35">
      <c r="A1198" s="3" t="s">
        <v>8</v>
      </c>
      <c r="B1198" s="3" t="s">
        <v>573</v>
      </c>
      <c r="C1198" s="3" t="s">
        <v>10</v>
      </c>
      <c r="D1198" s="3" t="s">
        <v>575</v>
      </c>
      <c r="E1198" s="3" t="s">
        <v>47</v>
      </c>
      <c r="F1198" s="3"/>
      <c r="G1198" s="3"/>
      <c r="H1198" s="3" t="s">
        <v>13</v>
      </c>
      <c r="I1198" s="3" t="s">
        <v>576</v>
      </c>
    </row>
    <row r="1199" spans="1:9" s="5" customFormat="1" x14ac:dyDescent="0.35">
      <c r="A1199" s="3" t="s">
        <v>8</v>
      </c>
      <c r="B1199" s="3" t="s">
        <v>573</v>
      </c>
      <c r="C1199" s="3" t="s">
        <v>10</v>
      </c>
      <c r="D1199" s="3" t="s">
        <v>575</v>
      </c>
      <c r="E1199" s="3" t="s">
        <v>15</v>
      </c>
      <c r="F1199" s="3" t="s">
        <v>13</v>
      </c>
      <c r="G1199" s="3" t="s">
        <v>577</v>
      </c>
      <c r="H1199" s="3" t="s">
        <v>13</v>
      </c>
      <c r="I1199" s="3" t="s">
        <v>576</v>
      </c>
    </row>
    <row r="1200" spans="1:9" s="5" customFormat="1" x14ac:dyDescent="0.35">
      <c r="A1200" s="3" t="s">
        <v>8</v>
      </c>
      <c r="B1200" s="3" t="s">
        <v>573</v>
      </c>
      <c r="C1200" s="3" t="s">
        <v>20</v>
      </c>
      <c r="D1200" s="3" t="s">
        <v>578</v>
      </c>
      <c r="E1200" s="3" t="s">
        <v>47</v>
      </c>
      <c r="F1200" s="3"/>
      <c r="G1200" s="3"/>
      <c r="H1200" s="3" t="s">
        <v>13</v>
      </c>
      <c r="I1200" s="3" t="s">
        <v>576</v>
      </c>
    </row>
    <row r="1201" spans="1:9" s="5" customFormat="1" x14ac:dyDescent="0.35">
      <c r="A1201" s="3" t="s">
        <v>8</v>
      </c>
      <c r="B1201" s="3" t="s">
        <v>573</v>
      </c>
      <c r="C1201" s="3" t="s">
        <v>20</v>
      </c>
      <c r="D1201" s="3" t="s">
        <v>578</v>
      </c>
      <c r="E1201" s="3" t="s">
        <v>25</v>
      </c>
      <c r="F1201" s="3"/>
      <c r="G1201" s="3"/>
      <c r="H1201" s="3" t="s">
        <v>13</v>
      </c>
      <c r="I1201" s="3" t="s">
        <v>579</v>
      </c>
    </row>
    <row r="1202" spans="1:9" s="5" customFormat="1" x14ac:dyDescent="0.35">
      <c r="A1202" s="3" t="s">
        <v>8</v>
      </c>
      <c r="B1202" s="3" t="s">
        <v>573</v>
      </c>
      <c r="C1202" s="3" t="s">
        <v>20</v>
      </c>
      <c r="D1202" s="3" t="s">
        <v>578</v>
      </c>
      <c r="E1202" s="3" t="s">
        <v>27</v>
      </c>
      <c r="F1202" s="3"/>
      <c r="G1202" s="3"/>
      <c r="H1202" s="3" t="s">
        <v>13</v>
      </c>
      <c r="I1202" s="3" t="s">
        <v>579</v>
      </c>
    </row>
    <row r="1203" spans="1:9" s="5" customFormat="1" x14ac:dyDescent="0.35">
      <c r="A1203" s="3" t="s">
        <v>8</v>
      </c>
      <c r="B1203" s="3" t="s">
        <v>573</v>
      </c>
      <c r="C1203" s="3" t="s">
        <v>20</v>
      </c>
      <c r="D1203" s="3" t="s">
        <v>578</v>
      </c>
      <c r="E1203" s="3" t="s">
        <v>28</v>
      </c>
      <c r="F1203" s="3"/>
      <c r="G1203" s="3"/>
      <c r="H1203" s="3" t="s">
        <v>13</v>
      </c>
      <c r="I1203" s="3" t="s">
        <v>579</v>
      </c>
    </row>
    <row r="1204" spans="1:9" s="5" customFormat="1" x14ac:dyDescent="0.35">
      <c r="A1204" s="3" t="s">
        <v>8</v>
      </c>
      <c r="B1204" s="3" t="s">
        <v>573</v>
      </c>
      <c r="C1204" s="3" t="s">
        <v>20</v>
      </c>
      <c r="D1204" s="3" t="s">
        <v>578</v>
      </c>
      <c r="E1204" s="3" t="s">
        <v>31</v>
      </c>
      <c r="F1204" s="3"/>
      <c r="G1204" s="3"/>
      <c r="H1204" s="3" t="s">
        <v>13</v>
      </c>
      <c r="I1204" s="3" t="s">
        <v>579</v>
      </c>
    </row>
    <row r="1205" spans="1:9" s="5" customFormat="1" x14ac:dyDescent="0.35">
      <c r="A1205" s="3" t="s">
        <v>8</v>
      </c>
      <c r="B1205" s="3" t="s">
        <v>573</v>
      </c>
      <c r="C1205" s="3" t="s">
        <v>20</v>
      </c>
      <c r="D1205" s="3" t="s">
        <v>578</v>
      </c>
      <c r="E1205" s="3" t="s">
        <v>32</v>
      </c>
      <c r="F1205" s="3" t="s">
        <v>13</v>
      </c>
      <c r="G1205" s="3" t="s">
        <v>580</v>
      </c>
      <c r="H1205" s="3" t="s">
        <v>13</v>
      </c>
      <c r="I1205" s="3" t="s">
        <v>576</v>
      </c>
    </row>
    <row r="1206" spans="1:9" s="5" customFormat="1" x14ac:dyDescent="0.35">
      <c r="A1206" s="3" t="s">
        <v>8</v>
      </c>
      <c r="B1206" s="3" t="s">
        <v>573</v>
      </c>
      <c r="C1206" s="3" t="s">
        <v>20</v>
      </c>
      <c r="D1206" s="3" t="s">
        <v>578</v>
      </c>
      <c r="E1206" s="3" t="s">
        <v>26</v>
      </c>
      <c r="F1206" s="3"/>
      <c r="G1206" s="3"/>
      <c r="H1206" s="3" t="s">
        <v>13</v>
      </c>
      <c r="I1206" s="3" t="s">
        <v>579</v>
      </c>
    </row>
    <row r="1207" spans="1:9" s="5" customFormat="1" x14ac:dyDescent="0.35">
      <c r="A1207" s="3" t="s">
        <v>8</v>
      </c>
      <c r="B1207" s="3" t="s">
        <v>573</v>
      </c>
      <c r="C1207" s="3" t="s">
        <v>20</v>
      </c>
      <c r="D1207" s="3" t="s">
        <v>578</v>
      </c>
      <c r="E1207" s="3" t="s">
        <v>29</v>
      </c>
      <c r="F1207" s="3" t="s">
        <v>13</v>
      </c>
      <c r="G1207" s="3" t="s">
        <v>581</v>
      </c>
      <c r="H1207" s="3" t="s">
        <v>13</v>
      </c>
      <c r="I1207" s="3" t="s">
        <v>576</v>
      </c>
    </row>
    <row r="1208" spans="1:9" s="5" customFormat="1" x14ac:dyDescent="0.35">
      <c r="A1208" s="3" t="s">
        <v>8</v>
      </c>
      <c r="B1208" s="3" t="s">
        <v>573</v>
      </c>
      <c r="C1208" s="3" t="s">
        <v>10</v>
      </c>
      <c r="D1208" s="3" t="s">
        <v>3008</v>
      </c>
      <c r="E1208" s="3" t="s">
        <v>47</v>
      </c>
      <c r="F1208" s="3"/>
      <c r="G1208" s="3"/>
      <c r="H1208" s="3" t="s">
        <v>13</v>
      </c>
      <c r="I1208" s="3" t="s">
        <v>579</v>
      </c>
    </row>
    <row r="1209" spans="1:9" s="5" customFormat="1" x14ac:dyDescent="0.35">
      <c r="A1209" s="3" t="s">
        <v>8</v>
      </c>
      <c r="B1209" s="3" t="s">
        <v>573</v>
      </c>
      <c r="C1209" s="3" t="s">
        <v>10</v>
      </c>
      <c r="D1209" s="3" t="s">
        <v>3008</v>
      </c>
      <c r="E1209" s="3" t="s">
        <v>15</v>
      </c>
      <c r="F1209" s="3" t="s">
        <v>16</v>
      </c>
      <c r="G1209" s="3" t="s">
        <v>3009</v>
      </c>
      <c r="H1209" s="3" t="s">
        <v>13</v>
      </c>
      <c r="I1209" s="3" t="s">
        <v>579</v>
      </c>
    </row>
    <row r="1210" spans="1:9" s="5" customFormat="1" x14ac:dyDescent="0.35">
      <c r="A1210" s="3" t="s">
        <v>8</v>
      </c>
      <c r="B1210" s="3" t="s">
        <v>582</v>
      </c>
      <c r="C1210" s="3" t="s">
        <v>10</v>
      </c>
      <c r="D1210" s="3" t="s">
        <v>2706</v>
      </c>
      <c r="E1210" s="3" t="s">
        <v>12</v>
      </c>
      <c r="F1210" s="3"/>
      <c r="G1210" s="3"/>
      <c r="H1210" s="3" t="s">
        <v>16</v>
      </c>
      <c r="I1210" s="3" t="s">
        <v>2709</v>
      </c>
    </row>
    <row r="1211" spans="1:9" s="5" customFormat="1" x14ac:dyDescent="0.35">
      <c r="A1211" s="3" t="s">
        <v>8</v>
      </c>
      <c r="B1211" s="3" t="s">
        <v>582</v>
      </c>
      <c r="C1211" s="3" t="s">
        <v>10</v>
      </c>
      <c r="D1211" s="3" t="s">
        <v>2706</v>
      </c>
      <c r="E1211" s="3" t="s">
        <v>23</v>
      </c>
      <c r="F1211" s="3" t="s">
        <v>16</v>
      </c>
      <c r="G1211" s="3" t="s">
        <v>2707</v>
      </c>
      <c r="H1211" s="3" t="s">
        <v>16</v>
      </c>
      <c r="I1211" s="3" t="s">
        <v>2709</v>
      </c>
    </row>
    <row r="1212" spans="1:9" s="5" customFormat="1" x14ac:dyDescent="0.35">
      <c r="A1212" s="3" t="s">
        <v>8</v>
      </c>
      <c r="B1212" s="3" t="s">
        <v>582</v>
      </c>
      <c r="C1212" s="3" t="s">
        <v>10</v>
      </c>
      <c r="D1212" s="3" t="s">
        <v>2706</v>
      </c>
      <c r="E1212" s="3" t="s">
        <v>47</v>
      </c>
      <c r="F1212" s="3"/>
      <c r="G1212" s="3"/>
      <c r="H1212" s="3" t="s">
        <v>16</v>
      </c>
      <c r="I1212" s="3" t="s">
        <v>2709</v>
      </c>
    </row>
    <row r="1213" spans="1:9" s="5" customFormat="1" x14ac:dyDescent="0.35">
      <c r="A1213" s="3" t="s">
        <v>8</v>
      </c>
      <c r="B1213" s="3" t="s">
        <v>582</v>
      </c>
      <c r="C1213" s="3" t="s">
        <v>10</v>
      </c>
      <c r="D1213" s="3" t="s">
        <v>2706</v>
      </c>
      <c r="E1213" s="3" t="s">
        <v>71</v>
      </c>
      <c r="F1213" s="3" t="s">
        <v>16</v>
      </c>
      <c r="G1213" s="3" t="s">
        <v>2708</v>
      </c>
      <c r="H1213" s="3" t="s">
        <v>16</v>
      </c>
      <c r="I1213" s="3" t="s">
        <v>2709</v>
      </c>
    </row>
    <row r="1214" spans="1:9" s="5" customFormat="1" x14ac:dyDescent="0.35">
      <c r="A1214" s="3" t="s">
        <v>8</v>
      </c>
      <c r="B1214" s="3" t="s">
        <v>582</v>
      </c>
      <c r="C1214" s="3" t="s">
        <v>10</v>
      </c>
      <c r="D1214" s="3" t="s">
        <v>2706</v>
      </c>
      <c r="E1214" s="3" t="s">
        <v>28</v>
      </c>
      <c r="F1214" s="3"/>
      <c r="G1214" s="3" t="s">
        <v>2361</v>
      </c>
      <c r="H1214" s="3" t="s">
        <v>16</v>
      </c>
      <c r="I1214" s="3" t="s">
        <v>2709</v>
      </c>
    </row>
    <row r="1215" spans="1:9" s="5" customFormat="1" x14ac:dyDescent="0.35">
      <c r="A1215" s="3" t="s">
        <v>8</v>
      </c>
      <c r="B1215" s="3" t="s">
        <v>582</v>
      </c>
      <c r="C1215" s="3" t="s">
        <v>10</v>
      </c>
      <c r="D1215" s="3" t="s">
        <v>2706</v>
      </c>
      <c r="E1215" s="3" t="s">
        <v>87</v>
      </c>
      <c r="F1215" s="3"/>
      <c r="G1215" s="3"/>
      <c r="H1215" s="3" t="s">
        <v>16</v>
      </c>
      <c r="I1215" s="3" t="s">
        <v>2709</v>
      </c>
    </row>
    <row r="1216" spans="1:9" s="5" customFormat="1" x14ac:dyDescent="0.35">
      <c r="A1216" s="3" t="s">
        <v>8</v>
      </c>
      <c r="B1216" s="3" t="s">
        <v>582</v>
      </c>
      <c r="C1216" s="3" t="s">
        <v>10</v>
      </c>
      <c r="D1216" s="3" t="s">
        <v>2706</v>
      </c>
      <c r="E1216" s="3" t="s">
        <v>15</v>
      </c>
      <c r="F1216" s="3" t="s">
        <v>16</v>
      </c>
      <c r="G1216" s="3" t="s">
        <v>2710</v>
      </c>
      <c r="H1216" s="3" t="s">
        <v>16</v>
      </c>
      <c r="I1216" s="3" t="s">
        <v>2709</v>
      </c>
    </row>
    <row r="1217" spans="1:9" s="5" customFormat="1" x14ac:dyDescent="0.35">
      <c r="A1217" s="3" t="s">
        <v>8</v>
      </c>
      <c r="B1217" s="3" t="s">
        <v>582</v>
      </c>
      <c r="C1217" s="3" t="s">
        <v>10</v>
      </c>
      <c r="D1217" s="3" t="s">
        <v>2706</v>
      </c>
      <c r="E1217" s="3" t="s">
        <v>57</v>
      </c>
      <c r="F1217" s="3"/>
      <c r="G1217" s="3"/>
      <c r="H1217" s="3" t="s">
        <v>16</v>
      </c>
      <c r="I1217" s="3" t="s">
        <v>2709</v>
      </c>
    </row>
    <row r="1218" spans="1:9" s="5" customFormat="1" x14ac:dyDescent="0.35">
      <c r="A1218" s="3" t="s">
        <v>8</v>
      </c>
      <c r="B1218" s="3" t="s">
        <v>582</v>
      </c>
      <c r="C1218" s="3" t="s">
        <v>10</v>
      </c>
      <c r="D1218" s="3" t="s">
        <v>583</v>
      </c>
      <c r="E1218" s="3" t="s">
        <v>12</v>
      </c>
      <c r="F1218" s="3"/>
      <c r="G1218" s="3"/>
      <c r="H1218" s="3"/>
      <c r="I1218" s="3"/>
    </row>
    <row r="1219" spans="1:9" s="5" customFormat="1" x14ac:dyDescent="0.35">
      <c r="A1219" s="3" t="s">
        <v>8</v>
      </c>
      <c r="B1219" s="3" t="s">
        <v>582</v>
      </c>
      <c r="C1219" s="3" t="s">
        <v>10</v>
      </c>
      <c r="D1219" s="3" t="s">
        <v>583</v>
      </c>
      <c r="E1219" s="3" t="s">
        <v>47</v>
      </c>
      <c r="F1219" s="3"/>
      <c r="G1219" s="3"/>
      <c r="H1219" s="3"/>
      <c r="I1219" s="3"/>
    </row>
    <row r="1220" spans="1:9" s="5" customFormat="1" x14ac:dyDescent="0.35">
      <c r="A1220" s="3" t="s">
        <v>8</v>
      </c>
      <c r="B1220" s="3" t="s">
        <v>582</v>
      </c>
      <c r="C1220" s="3" t="s">
        <v>10</v>
      </c>
      <c r="D1220" s="3" t="s">
        <v>583</v>
      </c>
      <c r="E1220" s="3" t="s">
        <v>15</v>
      </c>
      <c r="F1220" s="3" t="s">
        <v>13</v>
      </c>
      <c r="G1220" s="3" t="s">
        <v>584</v>
      </c>
      <c r="H1220" s="3"/>
      <c r="I1220" s="3"/>
    </row>
    <row r="1221" spans="1:9" s="5" customFormat="1" x14ac:dyDescent="0.35">
      <c r="A1221" s="3" t="s">
        <v>8</v>
      </c>
      <c r="B1221" s="3" t="s">
        <v>582</v>
      </c>
      <c r="C1221" s="3" t="s">
        <v>10</v>
      </c>
      <c r="D1221" s="3" t="s">
        <v>583</v>
      </c>
      <c r="E1221" s="3" t="s">
        <v>57</v>
      </c>
      <c r="F1221" s="3"/>
      <c r="G1221" s="3"/>
      <c r="H1221" s="3"/>
      <c r="I1221" s="3"/>
    </row>
    <row r="1222" spans="1:9" s="5" customFormat="1" x14ac:dyDescent="0.35">
      <c r="A1222" s="3" t="s">
        <v>8</v>
      </c>
      <c r="B1222" s="3" t="s">
        <v>582</v>
      </c>
      <c r="C1222" s="3" t="s">
        <v>10</v>
      </c>
      <c r="D1222" s="3" t="s">
        <v>583</v>
      </c>
      <c r="E1222" s="3" t="s">
        <v>107</v>
      </c>
      <c r="F1222" s="3" t="s">
        <v>13</v>
      </c>
      <c r="G1222" s="3" t="s">
        <v>511</v>
      </c>
      <c r="H1222" s="3"/>
      <c r="I1222" s="3"/>
    </row>
    <row r="1223" spans="1:9" s="5" customFormat="1" x14ac:dyDescent="0.35">
      <c r="A1223" s="3" t="s">
        <v>8</v>
      </c>
      <c r="B1223" s="3" t="s">
        <v>582</v>
      </c>
      <c r="C1223" s="3" t="s">
        <v>10</v>
      </c>
      <c r="D1223" s="3" t="s">
        <v>585</v>
      </c>
      <c r="E1223" s="3" t="s">
        <v>47</v>
      </c>
      <c r="F1223" s="3" t="s">
        <v>16</v>
      </c>
      <c r="G1223" s="3" t="s">
        <v>586</v>
      </c>
      <c r="H1223" s="3" t="s">
        <v>16</v>
      </c>
      <c r="I1223" s="3" t="s">
        <v>587</v>
      </c>
    </row>
    <row r="1224" spans="1:9" s="5" customFormat="1" x14ac:dyDescent="0.35">
      <c r="A1224" s="3" t="s">
        <v>8</v>
      </c>
      <c r="B1224" s="3" t="s">
        <v>582</v>
      </c>
      <c r="C1224" s="3" t="s">
        <v>10</v>
      </c>
      <c r="D1224" s="3" t="s">
        <v>585</v>
      </c>
      <c r="E1224" s="3" t="s">
        <v>15</v>
      </c>
      <c r="F1224" s="3" t="s">
        <v>16</v>
      </c>
      <c r="G1224" s="3" t="s">
        <v>588</v>
      </c>
      <c r="H1224" s="3" t="s">
        <v>16</v>
      </c>
      <c r="I1224" s="3" t="s">
        <v>587</v>
      </c>
    </row>
    <row r="1225" spans="1:9" s="5" customFormat="1" x14ac:dyDescent="0.35">
      <c r="A1225" s="3" t="s">
        <v>8</v>
      </c>
      <c r="B1225" s="3" t="s">
        <v>582</v>
      </c>
      <c r="C1225" s="3" t="s">
        <v>10</v>
      </c>
      <c r="D1225" s="3" t="s">
        <v>585</v>
      </c>
      <c r="E1225" s="3" t="s">
        <v>32</v>
      </c>
      <c r="F1225" s="3" t="s">
        <v>16</v>
      </c>
      <c r="G1225" s="3" t="s">
        <v>589</v>
      </c>
      <c r="H1225" s="3" t="s">
        <v>16</v>
      </c>
      <c r="I1225" s="3" t="s">
        <v>587</v>
      </c>
    </row>
    <row r="1226" spans="1:9" s="5" customFormat="1" x14ac:dyDescent="0.35">
      <c r="A1226" s="3" t="s">
        <v>8</v>
      </c>
      <c r="B1226" s="3" t="s">
        <v>582</v>
      </c>
      <c r="C1226" s="3" t="s">
        <v>10</v>
      </c>
      <c r="D1226" s="3" t="s">
        <v>590</v>
      </c>
      <c r="E1226" s="3" t="s">
        <v>12</v>
      </c>
      <c r="F1226" s="3"/>
      <c r="G1226" s="3"/>
      <c r="H1226" s="3" t="s">
        <v>16</v>
      </c>
      <c r="I1226" s="3" t="s">
        <v>587</v>
      </c>
    </row>
    <row r="1227" spans="1:9" s="5" customFormat="1" x14ac:dyDescent="0.35">
      <c r="A1227" s="3" t="s">
        <v>8</v>
      </c>
      <c r="B1227" s="3" t="s">
        <v>582</v>
      </c>
      <c r="C1227" s="3" t="s">
        <v>10</v>
      </c>
      <c r="D1227" s="3" t="s">
        <v>590</v>
      </c>
      <c r="E1227" s="3" t="s">
        <v>47</v>
      </c>
      <c r="F1227" s="3"/>
      <c r="G1227" s="3"/>
      <c r="H1227" s="3" t="s">
        <v>16</v>
      </c>
      <c r="I1227" s="3" t="s">
        <v>587</v>
      </c>
    </row>
    <row r="1228" spans="1:9" s="5" customFormat="1" x14ac:dyDescent="0.35">
      <c r="A1228" s="3" t="s">
        <v>8</v>
      </c>
      <c r="B1228" s="3" t="s">
        <v>582</v>
      </c>
      <c r="C1228" s="3" t="s">
        <v>591</v>
      </c>
      <c r="D1228" s="3" t="s">
        <v>592</v>
      </c>
      <c r="E1228" s="3" t="s">
        <v>31</v>
      </c>
      <c r="F1228" s="3"/>
      <c r="G1228" s="3"/>
      <c r="H1228" s="3"/>
      <c r="I1228" s="3"/>
    </row>
    <row r="1229" spans="1:9" s="5" customFormat="1" x14ac:dyDescent="0.35">
      <c r="A1229" s="3" t="s">
        <v>8</v>
      </c>
      <c r="B1229" s="3" t="s">
        <v>582</v>
      </c>
      <c r="C1229" s="3" t="s">
        <v>39</v>
      </c>
      <c r="D1229" s="3" t="s">
        <v>593</v>
      </c>
      <c r="E1229" s="3" t="s">
        <v>25</v>
      </c>
      <c r="F1229" s="3" t="s">
        <v>13</v>
      </c>
      <c r="G1229" s="3" t="s">
        <v>511</v>
      </c>
      <c r="H1229" s="3"/>
      <c r="I1229" s="3"/>
    </row>
    <row r="1230" spans="1:9" s="5" customFormat="1" x14ac:dyDescent="0.35">
      <c r="A1230" s="3" t="s">
        <v>8</v>
      </c>
      <c r="B1230" s="3" t="s">
        <v>582</v>
      </c>
      <c r="C1230" s="3" t="s">
        <v>39</v>
      </c>
      <c r="D1230" s="3" t="s">
        <v>593</v>
      </c>
      <c r="E1230" s="3" t="s">
        <v>29</v>
      </c>
      <c r="F1230" s="3" t="s">
        <v>13</v>
      </c>
      <c r="G1230" s="3" t="s">
        <v>2380</v>
      </c>
      <c r="H1230" s="3"/>
      <c r="I1230" s="3"/>
    </row>
    <row r="1231" spans="1:9" s="5" customFormat="1" x14ac:dyDescent="0.35">
      <c r="A1231" s="3" t="s">
        <v>8</v>
      </c>
      <c r="B1231" s="3" t="s">
        <v>582</v>
      </c>
      <c r="C1231" s="3" t="s">
        <v>20</v>
      </c>
      <c r="D1231" s="3" t="s">
        <v>594</v>
      </c>
      <c r="E1231" s="3" t="s">
        <v>134</v>
      </c>
      <c r="F1231" s="3" t="s">
        <v>16</v>
      </c>
      <c r="G1231" s="3" t="s">
        <v>595</v>
      </c>
      <c r="H1231" s="3" t="s">
        <v>16</v>
      </c>
      <c r="I1231" s="3" t="s">
        <v>587</v>
      </c>
    </row>
    <row r="1232" spans="1:9" s="5" customFormat="1" x14ac:dyDescent="0.35">
      <c r="A1232" s="3" t="s">
        <v>8</v>
      </c>
      <c r="B1232" s="3" t="s">
        <v>582</v>
      </c>
      <c r="C1232" s="3" t="s">
        <v>45</v>
      </c>
      <c r="D1232" s="3" t="s">
        <v>596</v>
      </c>
      <c r="E1232" s="3" t="s">
        <v>87</v>
      </c>
      <c r="F1232" s="3"/>
      <c r="G1232" s="3"/>
      <c r="H1232" s="3"/>
      <c r="I1232" s="3"/>
    </row>
    <row r="1233" spans="1:9" s="5" customFormat="1" x14ac:dyDescent="0.35">
      <c r="A1233" s="3" t="s">
        <v>8</v>
      </c>
      <c r="B1233" s="3" t="s">
        <v>582</v>
      </c>
      <c r="C1233" s="3" t="s">
        <v>45</v>
      </c>
      <c r="D1233" s="3" t="s">
        <v>596</v>
      </c>
      <c r="E1233" s="3" t="s">
        <v>15</v>
      </c>
      <c r="F1233" s="3" t="s">
        <v>16</v>
      </c>
      <c r="G1233" s="3" t="s">
        <v>2716</v>
      </c>
      <c r="H1233" s="3"/>
      <c r="I1233" s="3"/>
    </row>
    <row r="1234" spans="1:9" s="5" customFormat="1" x14ac:dyDescent="0.35">
      <c r="A1234" s="3" t="s">
        <v>8</v>
      </c>
      <c r="B1234" s="3" t="s">
        <v>582</v>
      </c>
      <c r="C1234" s="3" t="s">
        <v>45</v>
      </c>
      <c r="D1234" s="3" t="s">
        <v>596</v>
      </c>
      <c r="E1234" s="3" t="s">
        <v>24</v>
      </c>
      <c r="F1234" s="3"/>
      <c r="G1234" s="3"/>
      <c r="H1234" s="3"/>
      <c r="I1234" s="3"/>
    </row>
    <row r="1235" spans="1:9" s="5" customFormat="1" x14ac:dyDescent="0.35">
      <c r="A1235" s="3" t="s">
        <v>8</v>
      </c>
      <c r="B1235" s="3" t="s">
        <v>582</v>
      </c>
      <c r="C1235" s="3" t="s">
        <v>45</v>
      </c>
      <c r="D1235" s="3" t="s">
        <v>597</v>
      </c>
      <c r="E1235" s="3" t="s">
        <v>23</v>
      </c>
      <c r="F1235" s="3"/>
      <c r="G1235" s="3"/>
      <c r="H1235" s="3"/>
      <c r="I1235" s="3"/>
    </row>
    <row r="1236" spans="1:9" s="5" customFormat="1" x14ac:dyDescent="0.35">
      <c r="A1236" s="3" t="s">
        <v>8</v>
      </c>
      <c r="B1236" s="3" t="s">
        <v>582</v>
      </c>
      <c r="C1236" s="3" t="s">
        <v>45</v>
      </c>
      <c r="D1236" s="3" t="s">
        <v>597</v>
      </c>
      <c r="E1236" s="3" t="s">
        <v>60</v>
      </c>
      <c r="F1236" s="3"/>
      <c r="G1236" s="3"/>
      <c r="H1236" s="3"/>
      <c r="I1236" s="3"/>
    </row>
    <row r="1237" spans="1:9" s="5" customFormat="1" x14ac:dyDescent="0.35">
      <c r="A1237" s="3" t="s">
        <v>8</v>
      </c>
      <c r="B1237" s="3" t="s">
        <v>582</v>
      </c>
      <c r="C1237" s="3" t="s">
        <v>45</v>
      </c>
      <c r="D1237" s="3" t="s">
        <v>597</v>
      </c>
      <c r="E1237" s="3" t="s">
        <v>77</v>
      </c>
      <c r="F1237" s="3"/>
      <c r="G1237" s="3"/>
      <c r="H1237" s="3"/>
      <c r="I1237" s="3"/>
    </row>
    <row r="1238" spans="1:9" s="5" customFormat="1" x14ac:dyDescent="0.35">
      <c r="A1238" s="3" t="s">
        <v>8</v>
      </c>
      <c r="B1238" s="3" t="s">
        <v>582</v>
      </c>
      <c r="C1238" s="3" t="s">
        <v>45</v>
      </c>
      <c r="D1238" s="3" t="s">
        <v>597</v>
      </c>
      <c r="E1238" s="3" t="s">
        <v>56</v>
      </c>
      <c r="F1238" s="3" t="s">
        <v>13</v>
      </c>
      <c r="G1238" s="3" t="s">
        <v>598</v>
      </c>
      <c r="H1238" s="3"/>
      <c r="I1238" s="3"/>
    </row>
    <row r="1239" spans="1:9" s="5" customFormat="1" x14ac:dyDescent="0.35">
      <c r="A1239" s="3" t="s">
        <v>8</v>
      </c>
      <c r="B1239" s="3" t="s">
        <v>582</v>
      </c>
      <c r="C1239" s="3" t="s">
        <v>45</v>
      </c>
      <c r="D1239" s="3" t="s">
        <v>597</v>
      </c>
      <c r="E1239" s="3" t="s">
        <v>32</v>
      </c>
      <c r="F1239" s="3"/>
      <c r="G1239" s="3" t="s">
        <v>2477</v>
      </c>
      <c r="H1239" s="3"/>
      <c r="I1239" s="3"/>
    </row>
    <row r="1240" spans="1:9" s="5" customFormat="1" x14ac:dyDescent="0.35">
      <c r="A1240" s="3" t="s">
        <v>8</v>
      </c>
      <c r="B1240" s="3" t="s">
        <v>582</v>
      </c>
      <c r="C1240" s="3" t="s">
        <v>39</v>
      </c>
      <c r="D1240" s="3" t="s">
        <v>599</v>
      </c>
      <c r="E1240" s="3" t="s">
        <v>31</v>
      </c>
      <c r="F1240" s="3"/>
      <c r="G1240" s="3"/>
      <c r="H1240" s="3"/>
      <c r="I1240" s="3"/>
    </row>
    <row r="1241" spans="1:9" s="5" customFormat="1" x14ac:dyDescent="0.35">
      <c r="A1241" s="3" t="s">
        <v>8</v>
      </c>
      <c r="B1241" s="3" t="s">
        <v>582</v>
      </c>
      <c r="C1241" s="3" t="s">
        <v>39</v>
      </c>
      <c r="D1241" s="3" t="s">
        <v>600</v>
      </c>
      <c r="E1241" s="3" t="s">
        <v>15</v>
      </c>
      <c r="F1241" s="3" t="s">
        <v>16</v>
      </c>
      <c r="G1241" s="3" t="s">
        <v>601</v>
      </c>
      <c r="H1241" s="3" t="s">
        <v>16</v>
      </c>
      <c r="I1241" s="3" t="s">
        <v>22</v>
      </c>
    </row>
    <row r="1242" spans="1:9" s="5" customFormat="1" x14ac:dyDescent="0.35">
      <c r="A1242" s="3" t="s">
        <v>8</v>
      </c>
      <c r="B1242" s="3" t="s">
        <v>582</v>
      </c>
      <c r="C1242" s="3" t="s">
        <v>39</v>
      </c>
      <c r="D1242" s="3" t="s">
        <v>600</v>
      </c>
      <c r="E1242" s="3" t="s">
        <v>32</v>
      </c>
      <c r="F1242" s="3" t="s">
        <v>16</v>
      </c>
      <c r="G1242" s="3" t="s">
        <v>602</v>
      </c>
      <c r="H1242" s="3" t="s">
        <v>16</v>
      </c>
      <c r="I1242" s="3" t="s">
        <v>22</v>
      </c>
    </row>
    <row r="1243" spans="1:9" s="5" customFormat="1" x14ac:dyDescent="0.35">
      <c r="A1243" s="3" t="s">
        <v>8</v>
      </c>
      <c r="B1243" s="3" t="s">
        <v>582</v>
      </c>
      <c r="C1243" s="3" t="s">
        <v>39</v>
      </c>
      <c r="D1243" s="3" t="s">
        <v>600</v>
      </c>
      <c r="E1243" s="3" t="s">
        <v>134</v>
      </c>
      <c r="F1243" s="3"/>
      <c r="G1243" s="3"/>
      <c r="H1243" s="3" t="s">
        <v>16</v>
      </c>
      <c r="I1243" s="3" t="s">
        <v>22</v>
      </c>
    </row>
    <row r="1244" spans="1:9" s="5" customFormat="1" x14ac:dyDescent="0.35">
      <c r="A1244" s="3" t="s">
        <v>8</v>
      </c>
      <c r="B1244" s="3" t="s">
        <v>582</v>
      </c>
      <c r="C1244" s="3" t="s">
        <v>39</v>
      </c>
      <c r="D1244" s="3" t="s">
        <v>600</v>
      </c>
      <c r="E1244" s="3" t="s">
        <v>107</v>
      </c>
      <c r="F1244" s="3" t="s">
        <v>16</v>
      </c>
      <c r="G1244" s="3" t="s">
        <v>602</v>
      </c>
      <c r="H1244" s="3" t="s">
        <v>16</v>
      </c>
      <c r="I1244" s="3" t="s">
        <v>22</v>
      </c>
    </row>
    <row r="1245" spans="1:9" s="5" customFormat="1" x14ac:dyDescent="0.35">
      <c r="A1245" s="3" t="s">
        <v>8</v>
      </c>
      <c r="B1245" s="3" t="s">
        <v>582</v>
      </c>
      <c r="C1245" s="3" t="s">
        <v>10</v>
      </c>
      <c r="D1245" s="3" t="s">
        <v>603</v>
      </c>
      <c r="E1245" s="3" t="s">
        <v>12</v>
      </c>
      <c r="F1245" s="3"/>
      <c r="G1245" s="3"/>
      <c r="H1245" s="3" t="s">
        <v>13</v>
      </c>
      <c r="I1245" s="3" t="s">
        <v>22</v>
      </c>
    </row>
    <row r="1246" spans="1:9" s="5" customFormat="1" x14ac:dyDescent="0.35">
      <c r="A1246" s="3" t="s">
        <v>8</v>
      </c>
      <c r="B1246" s="3" t="s">
        <v>582</v>
      </c>
      <c r="C1246" s="3" t="s">
        <v>10</v>
      </c>
      <c r="D1246" s="3" t="s">
        <v>603</v>
      </c>
      <c r="E1246" s="3" t="s">
        <v>27</v>
      </c>
      <c r="F1246" s="3"/>
      <c r="G1246" s="3"/>
      <c r="H1246" s="3" t="s">
        <v>13</v>
      </c>
      <c r="I1246" s="3" t="s">
        <v>22</v>
      </c>
    </row>
    <row r="1247" spans="1:9" s="5" customFormat="1" x14ac:dyDescent="0.35">
      <c r="A1247" s="3" t="s">
        <v>8</v>
      </c>
      <c r="B1247" s="3" t="s">
        <v>582</v>
      </c>
      <c r="C1247" s="3" t="s">
        <v>10</v>
      </c>
      <c r="D1247" s="3" t="s">
        <v>603</v>
      </c>
      <c r="E1247" s="3" t="s">
        <v>77</v>
      </c>
      <c r="F1247" s="3"/>
      <c r="G1247" s="3"/>
      <c r="H1247" s="3" t="s">
        <v>13</v>
      </c>
      <c r="I1247" s="3" t="s">
        <v>22</v>
      </c>
    </row>
    <row r="1248" spans="1:9" s="5" customFormat="1" x14ac:dyDescent="0.35">
      <c r="A1248" s="3" t="s">
        <v>8</v>
      </c>
      <c r="B1248" s="3" t="s">
        <v>582</v>
      </c>
      <c r="C1248" s="3" t="s">
        <v>10</v>
      </c>
      <c r="D1248" s="3" t="s">
        <v>603</v>
      </c>
      <c r="E1248" s="3" t="s">
        <v>87</v>
      </c>
      <c r="F1248" s="3"/>
      <c r="G1248" s="3" t="s">
        <v>2487</v>
      </c>
      <c r="H1248" s="3" t="s">
        <v>13</v>
      </c>
      <c r="I1248" s="3" t="s">
        <v>22</v>
      </c>
    </row>
    <row r="1249" spans="1:9" s="5" customFormat="1" x14ac:dyDescent="0.35">
      <c r="A1249" s="3" t="s">
        <v>8</v>
      </c>
      <c r="B1249" s="3" t="s">
        <v>582</v>
      </c>
      <c r="C1249" s="3" t="s">
        <v>10</v>
      </c>
      <c r="D1249" s="3" t="s">
        <v>603</v>
      </c>
      <c r="E1249" s="3" t="s">
        <v>32</v>
      </c>
      <c r="F1249" s="3" t="s">
        <v>13</v>
      </c>
      <c r="G1249" s="3" t="s">
        <v>604</v>
      </c>
      <c r="H1249" s="3" t="s">
        <v>13</v>
      </c>
      <c r="I1249" s="3" t="s">
        <v>22</v>
      </c>
    </row>
    <row r="1250" spans="1:9" s="5" customFormat="1" x14ac:dyDescent="0.35">
      <c r="A1250" s="3" t="s">
        <v>8</v>
      </c>
      <c r="B1250" s="3" t="s">
        <v>582</v>
      </c>
      <c r="C1250" s="3" t="s">
        <v>10</v>
      </c>
      <c r="D1250" s="3" t="s">
        <v>603</v>
      </c>
      <c r="E1250" s="3" t="s">
        <v>26</v>
      </c>
      <c r="F1250" s="3"/>
      <c r="G1250" s="3"/>
      <c r="H1250" s="3" t="s">
        <v>13</v>
      </c>
      <c r="I1250" s="3" t="s">
        <v>22</v>
      </c>
    </row>
    <row r="1251" spans="1:9" s="5" customFormat="1" x14ac:dyDescent="0.35">
      <c r="A1251" s="3" t="s">
        <v>8</v>
      </c>
      <c r="B1251" s="3" t="s">
        <v>582</v>
      </c>
      <c r="C1251" s="3" t="s">
        <v>10</v>
      </c>
      <c r="D1251" s="3" t="s">
        <v>603</v>
      </c>
      <c r="E1251" s="3" t="s">
        <v>29</v>
      </c>
      <c r="F1251" s="3"/>
      <c r="G1251" s="3"/>
      <c r="H1251" s="3" t="s">
        <v>13</v>
      </c>
      <c r="I1251" s="3" t="s">
        <v>22</v>
      </c>
    </row>
    <row r="1252" spans="1:9" s="5" customFormat="1" x14ac:dyDescent="0.35">
      <c r="A1252" s="3" t="s">
        <v>8</v>
      </c>
      <c r="B1252" s="3" t="s">
        <v>582</v>
      </c>
      <c r="C1252" s="3" t="s">
        <v>20</v>
      </c>
      <c r="D1252" s="3" t="s">
        <v>605</v>
      </c>
      <c r="E1252" s="3" t="s">
        <v>36</v>
      </c>
      <c r="F1252" s="3" t="s">
        <v>33</v>
      </c>
      <c r="G1252" s="3" t="s">
        <v>606</v>
      </c>
      <c r="H1252" s="3"/>
      <c r="I1252" s="3"/>
    </row>
    <row r="1253" spans="1:9" s="5" customFormat="1" x14ac:dyDescent="0.35">
      <c r="A1253" s="3" t="s">
        <v>8</v>
      </c>
      <c r="B1253" s="3" t="s">
        <v>582</v>
      </c>
      <c r="C1253" s="3" t="s">
        <v>20</v>
      </c>
      <c r="D1253" s="3" t="s">
        <v>605</v>
      </c>
      <c r="E1253" s="3" t="s">
        <v>47</v>
      </c>
      <c r="F1253" s="3" t="s">
        <v>33</v>
      </c>
      <c r="G1253" s="3" t="s">
        <v>606</v>
      </c>
      <c r="H1253" s="3"/>
      <c r="I1253" s="3"/>
    </row>
    <row r="1254" spans="1:9" s="5" customFormat="1" x14ac:dyDescent="0.35">
      <c r="A1254" s="3" t="s">
        <v>8</v>
      </c>
      <c r="B1254" s="3" t="s">
        <v>582</v>
      </c>
      <c r="C1254" s="3" t="s">
        <v>20</v>
      </c>
      <c r="D1254" s="3" t="s">
        <v>605</v>
      </c>
      <c r="E1254" s="3" t="s">
        <v>25</v>
      </c>
      <c r="F1254" s="3" t="s">
        <v>33</v>
      </c>
      <c r="G1254" s="3" t="s">
        <v>606</v>
      </c>
      <c r="H1254" s="3"/>
      <c r="I1254" s="3"/>
    </row>
    <row r="1255" spans="1:9" s="5" customFormat="1" x14ac:dyDescent="0.35">
      <c r="A1255" s="3" t="s">
        <v>8</v>
      </c>
      <c r="B1255" s="3" t="s">
        <v>582</v>
      </c>
      <c r="C1255" s="3" t="s">
        <v>20</v>
      </c>
      <c r="D1255" s="3" t="s">
        <v>605</v>
      </c>
      <c r="E1255" s="3" t="s">
        <v>141</v>
      </c>
      <c r="F1255" s="3" t="s">
        <v>33</v>
      </c>
      <c r="G1255" s="3" t="s">
        <v>606</v>
      </c>
      <c r="H1255" s="3"/>
      <c r="I1255" s="3"/>
    </row>
    <row r="1256" spans="1:9" s="5" customFormat="1" x14ac:dyDescent="0.35">
      <c r="A1256" s="3" t="s">
        <v>8</v>
      </c>
      <c r="B1256" s="3" t="s">
        <v>582</v>
      </c>
      <c r="C1256" s="3" t="s">
        <v>20</v>
      </c>
      <c r="D1256" s="3" t="s">
        <v>605</v>
      </c>
      <c r="E1256" s="3" t="s">
        <v>57</v>
      </c>
      <c r="F1256" s="3" t="s">
        <v>33</v>
      </c>
      <c r="G1256" s="3" t="s">
        <v>606</v>
      </c>
      <c r="H1256" s="3"/>
      <c r="I1256" s="3"/>
    </row>
    <row r="1257" spans="1:9" s="5" customFormat="1" x14ac:dyDescent="0.35">
      <c r="A1257" s="3" t="s">
        <v>8</v>
      </c>
      <c r="B1257" s="3" t="s">
        <v>582</v>
      </c>
      <c r="C1257" s="3" t="s">
        <v>20</v>
      </c>
      <c r="D1257" s="3" t="s">
        <v>605</v>
      </c>
      <c r="E1257" s="3" t="s">
        <v>107</v>
      </c>
      <c r="F1257" s="3" t="s">
        <v>33</v>
      </c>
      <c r="G1257" s="3" t="s">
        <v>606</v>
      </c>
      <c r="H1257" s="3"/>
      <c r="I1257" s="3"/>
    </row>
    <row r="1258" spans="1:9" s="5" customFormat="1" x14ac:dyDescent="0.35">
      <c r="A1258" s="3" t="s">
        <v>8</v>
      </c>
      <c r="B1258" s="3" t="s">
        <v>582</v>
      </c>
      <c r="C1258" s="3" t="s">
        <v>10</v>
      </c>
      <c r="D1258" s="3" t="s">
        <v>607</v>
      </c>
      <c r="E1258" s="3" t="s">
        <v>15</v>
      </c>
      <c r="F1258" s="3" t="s">
        <v>16</v>
      </c>
      <c r="G1258" s="3" t="s">
        <v>608</v>
      </c>
      <c r="H1258" s="3"/>
      <c r="I1258" s="3"/>
    </row>
    <row r="1259" spans="1:9" s="5" customFormat="1" x14ac:dyDescent="0.35">
      <c r="A1259" s="3" t="s">
        <v>8</v>
      </c>
      <c r="B1259" s="3" t="s">
        <v>582</v>
      </c>
      <c r="C1259" s="3" t="s">
        <v>10</v>
      </c>
      <c r="D1259" s="3" t="s">
        <v>607</v>
      </c>
      <c r="E1259" s="3" t="s">
        <v>29</v>
      </c>
      <c r="F1259" s="3"/>
      <c r="G1259" s="3"/>
      <c r="H1259" s="3"/>
      <c r="I1259" s="3"/>
    </row>
    <row r="1260" spans="1:9" s="5" customFormat="1" x14ac:dyDescent="0.35">
      <c r="A1260" s="3" t="s">
        <v>8</v>
      </c>
      <c r="B1260" s="3" t="s">
        <v>582</v>
      </c>
      <c r="C1260" s="3" t="s">
        <v>20</v>
      </c>
      <c r="D1260" s="3" t="s">
        <v>609</v>
      </c>
      <c r="E1260" s="3" t="s">
        <v>12</v>
      </c>
      <c r="F1260" s="3"/>
      <c r="G1260" s="3"/>
      <c r="H1260" s="3" t="s">
        <v>13</v>
      </c>
      <c r="I1260" s="3" t="s">
        <v>22</v>
      </c>
    </row>
    <row r="1261" spans="1:9" s="5" customFormat="1" x14ac:dyDescent="0.35">
      <c r="A1261" s="3" t="s">
        <v>8</v>
      </c>
      <c r="B1261" s="3" t="s">
        <v>582</v>
      </c>
      <c r="C1261" s="3" t="s">
        <v>20</v>
      </c>
      <c r="D1261" s="3" t="s">
        <v>609</v>
      </c>
      <c r="E1261" s="3" t="s">
        <v>36</v>
      </c>
      <c r="F1261" s="3"/>
      <c r="G1261" s="3"/>
      <c r="H1261" s="3" t="s">
        <v>13</v>
      </c>
      <c r="I1261" s="3" t="s">
        <v>22</v>
      </c>
    </row>
    <row r="1262" spans="1:9" s="5" customFormat="1" x14ac:dyDescent="0.35">
      <c r="A1262" s="3" t="s">
        <v>8</v>
      </c>
      <c r="B1262" s="3" t="s">
        <v>582</v>
      </c>
      <c r="C1262" s="3" t="s">
        <v>20</v>
      </c>
      <c r="D1262" s="3" t="s">
        <v>609</v>
      </c>
      <c r="E1262" s="3" t="s">
        <v>23</v>
      </c>
      <c r="F1262" s="3"/>
      <c r="G1262" s="3"/>
      <c r="H1262" s="3" t="s">
        <v>13</v>
      </c>
      <c r="I1262" s="3" t="s">
        <v>22</v>
      </c>
    </row>
    <row r="1263" spans="1:9" s="5" customFormat="1" x14ac:dyDescent="0.35">
      <c r="A1263" s="3" t="s">
        <v>8</v>
      </c>
      <c r="B1263" s="3" t="s">
        <v>582</v>
      </c>
      <c r="C1263" s="3" t="s">
        <v>20</v>
      </c>
      <c r="D1263" s="3" t="s">
        <v>609</v>
      </c>
      <c r="E1263" s="3" t="s">
        <v>47</v>
      </c>
      <c r="F1263" s="3"/>
      <c r="G1263" s="3"/>
      <c r="H1263" s="3" t="s">
        <v>13</v>
      </c>
      <c r="I1263" s="3" t="s">
        <v>22</v>
      </c>
    </row>
    <row r="1264" spans="1:9" s="5" customFormat="1" x14ac:dyDescent="0.35">
      <c r="A1264" s="3" t="s">
        <v>8</v>
      </c>
      <c r="B1264" s="3" t="s">
        <v>582</v>
      </c>
      <c r="C1264" s="3" t="s">
        <v>20</v>
      </c>
      <c r="D1264" s="3" t="s">
        <v>609</v>
      </c>
      <c r="E1264" s="3" t="s">
        <v>25</v>
      </c>
      <c r="F1264" s="3"/>
      <c r="G1264" s="3"/>
      <c r="H1264" s="3" t="s">
        <v>13</v>
      </c>
      <c r="I1264" s="3" t="s">
        <v>22</v>
      </c>
    </row>
    <row r="1265" spans="1:9" s="5" customFormat="1" x14ac:dyDescent="0.35">
      <c r="A1265" s="3" t="s">
        <v>8</v>
      </c>
      <c r="B1265" s="3" t="s">
        <v>582</v>
      </c>
      <c r="C1265" s="3" t="s">
        <v>20</v>
      </c>
      <c r="D1265" s="3" t="s">
        <v>609</v>
      </c>
      <c r="E1265" s="3" t="s">
        <v>27</v>
      </c>
      <c r="F1265" s="3"/>
      <c r="G1265" s="3"/>
      <c r="H1265" s="3" t="s">
        <v>13</v>
      </c>
      <c r="I1265" s="3" t="s">
        <v>22</v>
      </c>
    </row>
    <row r="1266" spans="1:9" s="5" customFormat="1" x14ac:dyDescent="0.35">
      <c r="A1266" s="3" t="s">
        <v>8</v>
      </c>
      <c r="B1266" s="3" t="s">
        <v>582</v>
      </c>
      <c r="C1266" s="3" t="s">
        <v>20</v>
      </c>
      <c r="D1266" s="3" t="s">
        <v>609</v>
      </c>
      <c r="E1266" s="3" t="s">
        <v>87</v>
      </c>
      <c r="F1266" s="3"/>
      <c r="G1266" s="3"/>
      <c r="H1266" s="3" t="s">
        <v>13</v>
      </c>
      <c r="I1266" s="3" t="s">
        <v>22</v>
      </c>
    </row>
    <row r="1267" spans="1:9" s="5" customFormat="1" x14ac:dyDescent="0.35">
      <c r="A1267" s="3" t="s">
        <v>8</v>
      </c>
      <c r="B1267" s="3" t="s">
        <v>582</v>
      </c>
      <c r="C1267" s="3" t="s">
        <v>20</v>
      </c>
      <c r="D1267" s="3" t="s">
        <v>609</v>
      </c>
      <c r="E1267" s="3" t="s">
        <v>15</v>
      </c>
      <c r="F1267" s="3" t="s">
        <v>13</v>
      </c>
      <c r="G1267" s="3" t="s">
        <v>610</v>
      </c>
      <c r="H1267" s="3" t="s">
        <v>13</v>
      </c>
      <c r="I1267" s="3" t="s">
        <v>22</v>
      </c>
    </row>
    <row r="1268" spans="1:9" s="5" customFormat="1" x14ac:dyDescent="0.35">
      <c r="A1268" s="3" t="s">
        <v>8</v>
      </c>
      <c r="B1268" s="3" t="s">
        <v>582</v>
      </c>
      <c r="C1268" s="3" t="s">
        <v>20</v>
      </c>
      <c r="D1268" s="3" t="s">
        <v>609</v>
      </c>
      <c r="E1268" s="3" t="s">
        <v>107</v>
      </c>
      <c r="F1268" s="3" t="s">
        <v>13</v>
      </c>
      <c r="G1268" s="3" t="s">
        <v>511</v>
      </c>
      <c r="H1268" s="3" t="s">
        <v>13</v>
      </c>
      <c r="I1268" s="3" t="s">
        <v>22</v>
      </c>
    </row>
    <row r="1269" spans="1:9" s="5" customFormat="1" x14ac:dyDescent="0.35">
      <c r="A1269" s="3" t="s">
        <v>8</v>
      </c>
      <c r="B1269" s="3" t="s">
        <v>582</v>
      </c>
      <c r="C1269" s="3" t="s">
        <v>10</v>
      </c>
      <c r="D1269" s="3" t="s">
        <v>611</v>
      </c>
      <c r="E1269" s="3" t="s">
        <v>12</v>
      </c>
      <c r="F1269" s="3" t="s">
        <v>33</v>
      </c>
      <c r="G1269" s="3" t="s">
        <v>2717</v>
      </c>
      <c r="H1269" s="3"/>
      <c r="I1269" s="3"/>
    </row>
    <row r="1270" spans="1:9" s="5" customFormat="1" x14ac:dyDescent="0.35">
      <c r="A1270" s="3" t="s">
        <v>8</v>
      </c>
      <c r="B1270" s="3" t="s">
        <v>582</v>
      </c>
      <c r="C1270" s="3" t="s">
        <v>10</v>
      </c>
      <c r="D1270" s="3" t="s">
        <v>611</v>
      </c>
      <c r="E1270" s="3" t="s">
        <v>23</v>
      </c>
      <c r="F1270" s="3" t="s">
        <v>33</v>
      </c>
      <c r="G1270" s="3" t="s">
        <v>2717</v>
      </c>
      <c r="H1270" s="3"/>
      <c r="I1270" s="3"/>
    </row>
    <row r="1271" spans="1:9" s="5" customFormat="1" x14ac:dyDescent="0.35">
      <c r="A1271" s="3" t="s">
        <v>8</v>
      </c>
      <c r="B1271" s="3" t="s">
        <v>582</v>
      </c>
      <c r="C1271" s="3" t="s">
        <v>10</v>
      </c>
      <c r="D1271" s="3" t="s">
        <v>611</v>
      </c>
      <c r="E1271" s="3" t="s">
        <v>47</v>
      </c>
      <c r="F1271" s="3" t="s">
        <v>33</v>
      </c>
      <c r="G1271" s="3" t="s">
        <v>2717</v>
      </c>
      <c r="H1271" s="3"/>
      <c r="I1271" s="3"/>
    </row>
    <row r="1272" spans="1:9" s="5" customFormat="1" x14ac:dyDescent="0.35">
      <c r="A1272" s="3" t="s">
        <v>8</v>
      </c>
      <c r="B1272" s="3" t="s">
        <v>582</v>
      </c>
      <c r="C1272" s="3" t="s">
        <v>10</v>
      </c>
      <c r="D1272" s="3" t="s">
        <v>611</v>
      </c>
      <c r="E1272" s="3" t="s">
        <v>25</v>
      </c>
      <c r="F1272" s="3" t="s">
        <v>33</v>
      </c>
      <c r="G1272" s="3" t="s">
        <v>2717</v>
      </c>
      <c r="H1272" s="3"/>
      <c r="I1272" s="3"/>
    </row>
    <row r="1273" spans="1:9" s="5" customFormat="1" x14ac:dyDescent="0.35">
      <c r="A1273" s="3" t="s">
        <v>8</v>
      </c>
      <c r="B1273" s="3" t="s">
        <v>582</v>
      </c>
      <c r="C1273" s="3" t="s">
        <v>10</v>
      </c>
      <c r="D1273" s="3" t="s">
        <v>611</v>
      </c>
      <c r="E1273" s="3" t="s">
        <v>28</v>
      </c>
      <c r="F1273" s="3" t="s">
        <v>33</v>
      </c>
      <c r="G1273" s="3" t="s">
        <v>2717</v>
      </c>
      <c r="H1273" s="3"/>
      <c r="I1273" s="3"/>
    </row>
    <row r="1274" spans="1:9" s="5" customFormat="1" x14ac:dyDescent="0.35">
      <c r="A1274" s="3" t="s">
        <v>8</v>
      </c>
      <c r="B1274" s="3" t="s">
        <v>582</v>
      </c>
      <c r="C1274" s="3" t="s">
        <v>10</v>
      </c>
      <c r="D1274" s="3" t="s">
        <v>611</v>
      </c>
      <c r="E1274" s="3" t="s">
        <v>57</v>
      </c>
      <c r="F1274" s="3" t="s">
        <v>33</v>
      </c>
      <c r="G1274" s="3" t="s">
        <v>2717</v>
      </c>
      <c r="H1274" s="3"/>
      <c r="I1274" s="3"/>
    </row>
    <row r="1275" spans="1:9" s="5" customFormat="1" x14ac:dyDescent="0.35">
      <c r="A1275" s="3" t="s">
        <v>8</v>
      </c>
      <c r="B1275" s="3" t="s">
        <v>582</v>
      </c>
      <c r="C1275" s="3" t="s">
        <v>10</v>
      </c>
      <c r="D1275" s="3" t="s">
        <v>611</v>
      </c>
      <c r="E1275" s="3" t="s">
        <v>56</v>
      </c>
      <c r="F1275" s="3" t="s">
        <v>33</v>
      </c>
      <c r="G1275" s="3" t="s">
        <v>2717</v>
      </c>
      <c r="H1275" s="3"/>
      <c r="I1275" s="3"/>
    </row>
    <row r="1276" spans="1:9" s="5" customFormat="1" x14ac:dyDescent="0.35">
      <c r="A1276" s="3" t="s">
        <v>8</v>
      </c>
      <c r="B1276" s="3" t="s">
        <v>582</v>
      </c>
      <c r="C1276" s="3" t="s">
        <v>10</v>
      </c>
      <c r="D1276" s="3" t="s">
        <v>611</v>
      </c>
      <c r="E1276" s="3" t="s">
        <v>29</v>
      </c>
      <c r="F1276" s="3" t="s">
        <v>33</v>
      </c>
      <c r="G1276" s="3" t="s">
        <v>2717</v>
      </c>
      <c r="H1276" s="3"/>
      <c r="I1276" s="3"/>
    </row>
    <row r="1277" spans="1:9" s="5" customFormat="1" x14ac:dyDescent="0.35">
      <c r="A1277" s="3" t="s">
        <v>8</v>
      </c>
      <c r="B1277" s="3" t="s">
        <v>582</v>
      </c>
      <c r="C1277" s="3" t="s">
        <v>10</v>
      </c>
      <c r="D1277" s="3" t="s">
        <v>611</v>
      </c>
      <c r="E1277" s="3" t="s">
        <v>62</v>
      </c>
      <c r="F1277" s="3" t="s">
        <v>33</v>
      </c>
      <c r="G1277" s="3" t="s">
        <v>2717</v>
      </c>
      <c r="H1277" s="3"/>
      <c r="I1277" s="3"/>
    </row>
    <row r="1278" spans="1:9" s="5" customFormat="1" x14ac:dyDescent="0.35">
      <c r="A1278" s="3" t="s">
        <v>8</v>
      </c>
      <c r="B1278" s="3" t="s">
        <v>582</v>
      </c>
      <c r="C1278" s="3" t="s">
        <v>42</v>
      </c>
      <c r="D1278" s="3" t="s">
        <v>612</v>
      </c>
      <c r="E1278" s="3" t="s">
        <v>12</v>
      </c>
      <c r="F1278" s="3"/>
      <c r="G1278" s="3"/>
      <c r="H1278" s="3"/>
      <c r="I1278" s="3"/>
    </row>
    <row r="1279" spans="1:9" s="5" customFormat="1" x14ac:dyDescent="0.35">
      <c r="A1279" s="3" t="s">
        <v>8</v>
      </c>
      <c r="B1279" s="3" t="s">
        <v>582</v>
      </c>
      <c r="C1279" s="3" t="s">
        <v>42</v>
      </c>
      <c r="D1279" s="3" t="s">
        <v>612</v>
      </c>
      <c r="E1279" s="3" t="s">
        <v>23</v>
      </c>
      <c r="F1279" s="3" t="s">
        <v>33</v>
      </c>
      <c r="G1279" s="3" t="s">
        <v>723</v>
      </c>
      <c r="H1279" s="3"/>
      <c r="I1279" s="3"/>
    </row>
    <row r="1280" spans="1:9" s="5" customFormat="1" x14ac:dyDescent="0.35">
      <c r="A1280" s="3" t="s">
        <v>8</v>
      </c>
      <c r="B1280" s="3" t="s">
        <v>582</v>
      </c>
      <c r="C1280" s="3" t="s">
        <v>42</v>
      </c>
      <c r="D1280" s="3" t="s">
        <v>612</v>
      </c>
      <c r="E1280" s="3" t="s">
        <v>25</v>
      </c>
      <c r="F1280" s="3"/>
      <c r="G1280" s="3"/>
      <c r="H1280" s="3"/>
      <c r="I1280" s="3"/>
    </row>
    <row r="1281" spans="1:9" s="5" customFormat="1" x14ac:dyDescent="0.35">
      <c r="A1281" s="3" t="s">
        <v>8</v>
      </c>
      <c r="B1281" s="3" t="s">
        <v>582</v>
      </c>
      <c r="C1281" s="3" t="s">
        <v>42</v>
      </c>
      <c r="D1281" s="3" t="s">
        <v>612</v>
      </c>
      <c r="E1281" s="3" t="s">
        <v>44</v>
      </c>
      <c r="F1281" s="3"/>
      <c r="G1281" s="3"/>
      <c r="H1281" s="3"/>
      <c r="I1281" s="3"/>
    </row>
    <row r="1282" spans="1:9" s="5" customFormat="1" x14ac:dyDescent="0.35">
      <c r="A1282" s="3" t="s">
        <v>8</v>
      </c>
      <c r="B1282" s="3" t="s">
        <v>582</v>
      </c>
      <c r="C1282" s="3" t="s">
        <v>42</v>
      </c>
      <c r="D1282" s="3" t="s">
        <v>612</v>
      </c>
      <c r="E1282" s="3" t="s">
        <v>87</v>
      </c>
      <c r="F1282" s="3"/>
      <c r="G1282" s="3"/>
      <c r="H1282" s="3"/>
      <c r="I1282" s="3"/>
    </row>
    <row r="1283" spans="1:9" s="5" customFormat="1" x14ac:dyDescent="0.35">
      <c r="A1283" s="3" t="s">
        <v>8</v>
      </c>
      <c r="B1283" s="3" t="s">
        <v>582</v>
      </c>
      <c r="C1283" s="3" t="s">
        <v>42</v>
      </c>
      <c r="D1283" s="3" t="s">
        <v>612</v>
      </c>
      <c r="E1283" s="3" t="s">
        <v>15</v>
      </c>
      <c r="F1283" s="3" t="s">
        <v>13</v>
      </c>
      <c r="G1283" s="3" t="s">
        <v>613</v>
      </c>
      <c r="H1283" s="3"/>
      <c r="I1283" s="3"/>
    </row>
    <row r="1284" spans="1:9" s="5" customFormat="1" x14ac:dyDescent="0.35">
      <c r="A1284" s="3" t="s">
        <v>8</v>
      </c>
      <c r="B1284" s="3" t="s">
        <v>582</v>
      </c>
      <c r="C1284" s="3" t="s">
        <v>42</v>
      </c>
      <c r="D1284" s="3" t="s">
        <v>612</v>
      </c>
      <c r="E1284" s="3" t="s">
        <v>107</v>
      </c>
      <c r="F1284" s="3" t="s">
        <v>13</v>
      </c>
      <c r="G1284" s="3" t="s">
        <v>511</v>
      </c>
      <c r="H1284" s="3"/>
      <c r="I1284" s="3"/>
    </row>
    <row r="1285" spans="1:9" s="5" customFormat="1" x14ac:dyDescent="0.35">
      <c r="A1285" s="3" t="s">
        <v>8</v>
      </c>
      <c r="B1285" s="3" t="s">
        <v>582</v>
      </c>
      <c r="C1285" s="3" t="s">
        <v>42</v>
      </c>
      <c r="D1285" s="3" t="s">
        <v>612</v>
      </c>
      <c r="E1285" s="3" t="s">
        <v>82</v>
      </c>
      <c r="F1285" s="3" t="s">
        <v>13</v>
      </c>
      <c r="G1285" s="3" t="s">
        <v>511</v>
      </c>
      <c r="H1285" s="3"/>
      <c r="I1285" s="3"/>
    </row>
    <row r="1286" spans="1:9" s="5" customFormat="1" x14ac:dyDescent="0.35">
      <c r="A1286" s="3" t="s">
        <v>8</v>
      </c>
      <c r="B1286" s="3" t="s">
        <v>582</v>
      </c>
      <c r="C1286" s="3" t="s">
        <v>10</v>
      </c>
      <c r="D1286" s="3" t="s">
        <v>614</v>
      </c>
      <c r="E1286" s="3" t="s">
        <v>15</v>
      </c>
      <c r="F1286" s="3" t="s">
        <v>13</v>
      </c>
      <c r="G1286" s="3" t="s">
        <v>375</v>
      </c>
      <c r="H1286" s="3" t="s">
        <v>13</v>
      </c>
      <c r="I1286" s="3" t="s">
        <v>615</v>
      </c>
    </row>
    <row r="1287" spans="1:9" s="5" customFormat="1" x14ac:dyDescent="0.35">
      <c r="A1287" s="3" t="s">
        <v>8</v>
      </c>
      <c r="B1287" s="3" t="s">
        <v>582</v>
      </c>
      <c r="C1287" s="3" t="s">
        <v>10</v>
      </c>
      <c r="D1287" s="3" t="s">
        <v>614</v>
      </c>
      <c r="E1287" s="3" t="s">
        <v>57</v>
      </c>
      <c r="F1287" s="3"/>
      <c r="G1287" s="3"/>
      <c r="H1287" s="3"/>
      <c r="I1287" s="3"/>
    </row>
    <row r="1288" spans="1:9" s="5" customFormat="1" x14ac:dyDescent="0.35">
      <c r="A1288" s="3" t="s">
        <v>8</v>
      </c>
      <c r="B1288" s="3" t="s">
        <v>582</v>
      </c>
      <c r="C1288" s="3" t="s">
        <v>10</v>
      </c>
      <c r="D1288" s="3" t="s">
        <v>614</v>
      </c>
      <c r="E1288" s="3" t="s">
        <v>32</v>
      </c>
      <c r="F1288" s="3"/>
      <c r="G1288" s="3"/>
      <c r="H1288" s="3" t="s">
        <v>13</v>
      </c>
      <c r="I1288" s="3" t="s">
        <v>615</v>
      </c>
    </row>
    <row r="1289" spans="1:9" s="5" customFormat="1" x14ac:dyDescent="0.35">
      <c r="A1289" s="3" t="s">
        <v>8</v>
      </c>
      <c r="B1289" s="3" t="s">
        <v>582</v>
      </c>
      <c r="C1289" s="3" t="s">
        <v>10</v>
      </c>
      <c r="D1289" s="3" t="s">
        <v>616</v>
      </c>
      <c r="E1289" s="3" t="s">
        <v>15</v>
      </c>
      <c r="F1289" s="3" t="s">
        <v>16</v>
      </c>
      <c r="G1289" s="3" t="s">
        <v>617</v>
      </c>
      <c r="H1289" s="3"/>
      <c r="I1289" s="3"/>
    </row>
    <row r="1290" spans="1:9" s="5" customFormat="1" x14ac:dyDescent="0.35">
      <c r="A1290" s="3" t="s">
        <v>8</v>
      </c>
      <c r="B1290" s="3" t="s">
        <v>582</v>
      </c>
      <c r="C1290" s="3" t="s">
        <v>10</v>
      </c>
      <c r="D1290" s="3" t="s">
        <v>616</v>
      </c>
      <c r="E1290" s="3" t="s">
        <v>134</v>
      </c>
      <c r="F1290" s="3"/>
      <c r="G1290" s="3"/>
      <c r="H1290" s="3"/>
      <c r="I1290" s="3"/>
    </row>
    <row r="1291" spans="1:9" s="5" customFormat="1" x14ac:dyDescent="0.35">
      <c r="A1291" s="3" t="s">
        <v>8</v>
      </c>
      <c r="B1291" s="3" t="s">
        <v>582</v>
      </c>
      <c r="C1291" s="3" t="s">
        <v>20</v>
      </c>
      <c r="D1291" s="3" t="s">
        <v>618</v>
      </c>
      <c r="E1291" s="3" t="s">
        <v>56</v>
      </c>
      <c r="F1291" s="3" t="s">
        <v>13</v>
      </c>
      <c r="G1291" s="3" t="s">
        <v>619</v>
      </c>
      <c r="H1291" s="3"/>
      <c r="I1291" s="3"/>
    </row>
    <row r="1292" spans="1:9" s="5" customFormat="1" x14ac:dyDescent="0.35">
      <c r="A1292" s="3" t="s">
        <v>8</v>
      </c>
      <c r="B1292" s="3" t="s">
        <v>582</v>
      </c>
      <c r="C1292" s="3" t="s">
        <v>45</v>
      </c>
      <c r="D1292" s="3" t="s">
        <v>620</v>
      </c>
      <c r="E1292" s="3" t="s">
        <v>57</v>
      </c>
      <c r="F1292" s="3" t="s">
        <v>33</v>
      </c>
      <c r="G1292" s="3" t="s">
        <v>621</v>
      </c>
      <c r="H1292" s="3"/>
      <c r="I1292" s="3"/>
    </row>
    <row r="1293" spans="1:9" s="5" customFormat="1" x14ac:dyDescent="0.35">
      <c r="A1293" s="3" t="s">
        <v>8</v>
      </c>
      <c r="B1293" s="3" t="s">
        <v>582</v>
      </c>
      <c r="C1293" s="3" t="s">
        <v>45</v>
      </c>
      <c r="D1293" s="3" t="s">
        <v>620</v>
      </c>
      <c r="E1293" s="3" t="s">
        <v>56</v>
      </c>
      <c r="F1293" s="3" t="s">
        <v>33</v>
      </c>
      <c r="G1293" s="3" t="s">
        <v>621</v>
      </c>
      <c r="H1293" s="3"/>
      <c r="I1293" s="3"/>
    </row>
    <row r="1294" spans="1:9" s="5" customFormat="1" x14ac:dyDescent="0.35">
      <c r="A1294" s="3" t="s">
        <v>8</v>
      </c>
      <c r="B1294" s="3" t="s">
        <v>582</v>
      </c>
      <c r="C1294" s="3" t="s">
        <v>45</v>
      </c>
      <c r="D1294" s="3" t="s">
        <v>622</v>
      </c>
      <c r="E1294" s="3" t="s">
        <v>77</v>
      </c>
      <c r="F1294" s="3"/>
      <c r="G1294" s="3"/>
      <c r="H1294" s="3"/>
      <c r="I1294" s="3"/>
    </row>
    <row r="1295" spans="1:9" s="5" customFormat="1" x14ac:dyDescent="0.35">
      <c r="A1295" s="3" t="s">
        <v>8</v>
      </c>
      <c r="B1295" s="3" t="s">
        <v>582</v>
      </c>
      <c r="C1295" s="3" t="s">
        <v>45</v>
      </c>
      <c r="D1295" s="3" t="s">
        <v>622</v>
      </c>
      <c r="E1295" s="3" t="s">
        <v>28</v>
      </c>
      <c r="F1295" s="3"/>
      <c r="G1295" s="3"/>
      <c r="H1295" s="3"/>
      <c r="I1295" s="3"/>
    </row>
    <row r="1296" spans="1:9" s="5" customFormat="1" x14ac:dyDescent="0.35">
      <c r="A1296" s="3" t="s">
        <v>8</v>
      </c>
      <c r="B1296" s="3" t="s">
        <v>582</v>
      </c>
      <c r="C1296" s="3" t="s">
        <v>45</v>
      </c>
      <c r="D1296" s="3" t="s">
        <v>622</v>
      </c>
      <c r="E1296" s="3" t="s">
        <v>56</v>
      </c>
      <c r="F1296" s="3"/>
      <c r="G1296" s="3"/>
      <c r="H1296" s="3"/>
      <c r="I1296" s="3"/>
    </row>
    <row r="1297" spans="1:9" s="5" customFormat="1" x14ac:dyDescent="0.35">
      <c r="A1297" s="3" t="s">
        <v>8</v>
      </c>
      <c r="B1297" s="3" t="s">
        <v>582</v>
      </c>
      <c r="C1297" s="3" t="s">
        <v>45</v>
      </c>
      <c r="D1297" s="3" t="s">
        <v>622</v>
      </c>
      <c r="E1297" s="3" t="s">
        <v>32</v>
      </c>
      <c r="F1297" s="3"/>
      <c r="G1297" s="3"/>
      <c r="H1297" s="3"/>
      <c r="I1297" s="3"/>
    </row>
    <row r="1298" spans="1:9" s="5" customFormat="1" x14ac:dyDescent="0.35">
      <c r="A1298" s="3" t="s">
        <v>8</v>
      </c>
      <c r="B1298" s="3" t="s">
        <v>582</v>
      </c>
      <c r="C1298" s="3" t="s">
        <v>10</v>
      </c>
      <c r="D1298" s="3" t="s">
        <v>623</v>
      </c>
      <c r="E1298" s="3" t="s">
        <v>15</v>
      </c>
      <c r="F1298" s="3" t="s">
        <v>13</v>
      </c>
      <c r="G1298" s="3" t="s">
        <v>624</v>
      </c>
      <c r="H1298" s="3" t="s">
        <v>13</v>
      </c>
      <c r="I1298" s="3" t="s">
        <v>14</v>
      </c>
    </row>
    <row r="1299" spans="1:9" s="5" customFormat="1" x14ac:dyDescent="0.35">
      <c r="A1299" s="3" t="s">
        <v>8</v>
      </c>
      <c r="B1299" s="3" t="s">
        <v>582</v>
      </c>
      <c r="C1299" s="3" t="s">
        <v>10</v>
      </c>
      <c r="D1299" s="3" t="s">
        <v>623</v>
      </c>
      <c r="E1299" s="3" t="s">
        <v>32</v>
      </c>
      <c r="F1299" s="3" t="s">
        <v>13</v>
      </c>
      <c r="G1299" s="3" t="s">
        <v>625</v>
      </c>
      <c r="H1299" s="3" t="s">
        <v>13</v>
      </c>
      <c r="I1299" s="3" t="s">
        <v>14</v>
      </c>
    </row>
    <row r="1300" spans="1:9" s="5" customFormat="1" x14ac:dyDescent="0.35">
      <c r="A1300" s="3" t="s">
        <v>8</v>
      </c>
      <c r="B1300" s="3" t="s">
        <v>626</v>
      </c>
      <c r="C1300" s="3" t="s">
        <v>20</v>
      </c>
      <c r="D1300" s="3" t="s">
        <v>627</v>
      </c>
      <c r="E1300" s="3" t="s">
        <v>27</v>
      </c>
      <c r="F1300" s="3"/>
      <c r="G1300" s="3"/>
      <c r="H1300" s="3" t="s">
        <v>13</v>
      </c>
      <c r="I1300" s="3" t="s">
        <v>628</v>
      </c>
    </row>
    <row r="1301" spans="1:9" s="5" customFormat="1" x14ac:dyDescent="0.35">
      <c r="A1301" s="3" t="s">
        <v>8</v>
      </c>
      <c r="B1301" s="3" t="s">
        <v>626</v>
      </c>
      <c r="C1301" s="3" t="s">
        <v>20</v>
      </c>
      <c r="D1301" s="3" t="s">
        <v>627</v>
      </c>
      <c r="E1301" s="3" t="s">
        <v>15</v>
      </c>
      <c r="F1301" s="3" t="s">
        <v>16</v>
      </c>
      <c r="G1301" s="3" t="s">
        <v>2312</v>
      </c>
      <c r="H1301" s="3" t="s">
        <v>13</v>
      </c>
      <c r="I1301" s="3" t="s">
        <v>628</v>
      </c>
    </row>
    <row r="1302" spans="1:9" s="5" customFormat="1" x14ac:dyDescent="0.35">
      <c r="A1302" s="3" t="s">
        <v>8</v>
      </c>
      <c r="B1302" s="3" t="s">
        <v>626</v>
      </c>
      <c r="C1302" s="3" t="s">
        <v>20</v>
      </c>
      <c r="D1302" s="3" t="s">
        <v>627</v>
      </c>
      <c r="E1302" s="3" t="s">
        <v>29</v>
      </c>
      <c r="F1302" s="3" t="s">
        <v>33</v>
      </c>
      <c r="G1302" s="3" t="s">
        <v>314</v>
      </c>
      <c r="H1302" s="3" t="s">
        <v>13</v>
      </c>
      <c r="I1302" s="3" t="s">
        <v>628</v>
      </c>
    </row>
    <row r="1303" spans="1:9" s="5" customFormat="1" x14ac:dyDescent="0.35">
      <c r="A1303" s="3" t="s">
        <v>8</v>
      </c>
      <c r="B1303" s="3" t="s">
        <v>626</v>
      </c>
      <c r="C1303" s="3" t="s">
        <v>20</v>
      </c>
      <c r="D1303" s="3" t="s">
        <v>627</v>
      </c>
      <c r="E1303" s="3" t="s">
        <v>24</v>
      </c>
      <c r="F1303" s="3"/>
      <c r="G1303" s="3"/>
      <c r="H1303" s="3" t="s">
        <v>13</v>
      </c>
      <c r="I1303" s="3" t="s">
        <v>628</v>
      </c>
    </row>
    <row r="1304" spans="1:9" s="5" customFormat="1" x14ac:dyDescent="0.35">
      <c r="A1304" s="3" t="s">
        <v>8</v>
      </c>
      <c r="B1304" s="3" t="s">
        <v>626</v>
      </c>
      <c r="C1304" s="3" t="s">
        <v>20</v>
      </c>
      <c r="D1304" s="3" t="s">
        <v>627</v>
      </c>
      <c r="E1304" s="3" t="s">
        <v>134</v>
      </c>
      <c r="F1304" s="3" t="s">
        <v>16</v>
      </c>
      <c r="G1304" s="3" t="s">
        <v>629</v>
      </c>
      <c r="H1304" s="3" t="s">
        <v>13</v>
      </c>
      <c r="I1304" s="3" t="s">
        <v>628</v>
      </c>
    </row>
    <row r="1305" spans="1:9" s="5" customFormat="1" x14ac:dyDescent="0.35">
      <c r="A1305" s="3" t="s">
        <v>8</v>
      </c>
      <c r="B1305" s="3" t="s">
        <v>626</v>
      </c>
      <c r="C1305" s="3" t="s">
        <v>20</v>
      </c>
      <c r="D1305" s="3" t="s">
        <v>631</v>
      </c>
      <c r="E1305" s="3" t="s">
        <v>12</v>
      </c>
      <c r="F1305" s="3"/>
      <c r="G1305" s="3"/>
      <c r="H1305" s="3" t="s">
        <v>13</v>
      </c>
      <c r="I1305" s="3" t="s">
        <v>628</v>
      </c>
    </row>
    <row r="1306" spans="1:9" s="5" customFormat="1" x14ac:dyDescent="0.35">
      <c r="A1306" s="3" t="s">
        <v>8</v>
      </c>
      <c r="B1306" s="3" t="s">
        <v>626</v>
      </c>
      <c r="C1306" s="3" t="s">
        <v>20</v>
      </c>
      <c r="D1306" s="3" t="s">
        <v>631</v>
      </c>
      <c r="E1306" s="3" t="s">
        <v>36</v>
      </c>
      <c r="F1306" s="3"/>
      <c r="G1306" s="3"/>
      <c r="H1306" s="3" t="s">
        <v>13</v>
      </c>
      <c r="I1306" s="3" t="s">
        <v>628</v>
      </c>
    </row>
    <row r="1307" spans="1:9" s="5" customFormat="1" x14ac:dyDescent="0.35">
      <c r="A1307" s="3" t="s">
        <v>8</v>
      </c>
      <c r="B1307" s="3" t="s">
        <v>626</v>
      </c>
      <c r="C1307" s="3" t="s">
        <v>20</v>
      </c>
      <c r="D1307" s="3" t="s">
        <v>631</v>
      </c>
      <c r="E1307" s="3" t="s">
        <v>27</v>
      </c>
      <c r="F1307" s="3"/>
      <c r="G1307" s="3"/>
      <c r="H1307" s="3" t="s">
        <v>13</v>
      </c>
      <c r="I1307" s="3" t="s">
        <v>628</v>
      </c>
    </row>
    <row r="1308" spans="1:9" s="5" customFormat="1" x14ac:dyDescent="0.35">
      <c r="A1308" s="3" t="s">
        <v>8</v>
      </c>
      <c r="B1308" s="3" t="s">
        <v>626</v>
      </c>
      <c r="C1308" s="3" t="s">
        <v>20</v>
      </c>
      <c r="D1308" s="3" t="s">
        <v>631</v>
      </c>
      <c r="E1308" s="3" t="s">
        <v>15</v>
      </c>
      <c r="F1308" s="3" t="s">
        <v>16</v>
      </c>
      <c r="G1308" s="3" t="s">
        <v>632</v>
      </c>
      <c r="H1308" s="3" t="s">
        <v>13</v>
      </c>
      <c r="I1308" s="3" t="s">
        <v>628</v>
      </c>
    </row>
    <row r="1309" spans="1:9" s="5" customFormat="1" x14ac:dyDescent="0.35">
      <c r="A1309" s="3" t="s">
        <v>8</v>
      </c>
      <c r="B1309" s="3" t="s">
        <v>626</v>
      </c>
      <c r="C1309" s="3" t="s">
        <v>20</v>
      </c>
      <c r="D1309" s="3" t="s">
        <v>631</v>
      </c>
      <c r="E1309" s="3" t="s">
        <v>57</v>
      </c>
      <c r="F1309" s="3"/>
      <c r="G1309" s="3" t="s">
        <v>2311</v>
      </c>
      <c r="H1309" s="3" t="s">
        <v>13</v>
      </c>
      <c r="I1309" s="3" t="s">
        <v>628</v>
      </c>
    </row>
    <row r="1310" spans="1:9" s="5" customFormat="1" x14ac:dyDescent="0.35">
      <c r="A1310" s="3" t="s">
        <v>8</v>
      </c>
      <c r="B1310" s="3" t="s">
        <v>626</v>
      </c>
      <c r="C1310" s="3" t="s">
        <v>20</v>
      </c>
      <c r="D1310" s="3" t="s">
        <v>631</v>
      </c>
      <c r="E1310" s="3" t="s">
        <v>911</v>
      </c>
      <c r="F1310" s="3" t="s">
        <v>16</v>
      </c>
      <c r="G1310" s="3" t="s">
        <v>633</v>
      </c>
      <c r="H1310" s="3" t="s">
        <v>13</v>
      </c>
      <c r="I1310" s="3" t="s">
        <v>628</v>
      </c>
    </row>
    <row r="1311" spans="1:9" s="5" customFormat="1" x14ac:dyDescent="0.35">
      <c r="A1311" s="3" t="s">
        <v>8</v>
      </c>
      <c r="B1311" s="3" t="s">
        <v>626</v>
      </c>
      <c r="C1311" s="3" t="s">
        <v>42</v>
      </c>
      <c r="D1311" s="3" t="s">
        <v>634</v>
      </c>
      <c r="E1311" s="3" t="s">
        <v>12</v>
      </c>
      <c r="F1311" s="3"/>
      <c r="G1311" s="3"/>
      <c r="H1311" s="3" t="s">
        <v>13</v>
      </c>
      <c r="I1311" s="3" t="s">
        <v>628</v>
      </c>
    </row>
    <row r="1312" spans="1:9" s="5" customFormat="1" x14ac:dyDescent="0.35">
      <c r="A1312" s="3" t="s">
        <v>8</v>
      </c>
      <c r="B1312" s="3" t="s">
        <v>626</v>
      </c>
      <c r="C1312" s="3" t="s">
        <v>42</v>
      </c>
      <c r="D1312" s="3" t="s">
        <v>634</v>
      </c>
      <c r="E1312" s="3" t="s">
        <v>36</v>
      </c>
      <c r="F1312" s="3"/>
      <c r="G1312" s="3"/>
      <c r="H1312" s="3" t="s">
        <v>13</v>
      </c>
      <c r="I1312" s="3" t="s">
        <v>628</v>
      </c>
    </row>
    <row r="1313" spans="1:9" s="5" customFormat="1" x14ac:dyDescent="0.35">
      <c r="A1313" s="3" t="s">
        <v>8</v>
      </c>
      <c r="B1313" s="3" t="s">
        <v>626</v>
      </c>
      <c r="C1313" s="3" t="s">
        <v>42</v>
      </c>
      <c r="D1313" s="3" t="s">
        <v>634</v>
      </c>
      <c r="E1313" s="3" t="s">
        <v>15</v>
      </c>
      <c r="F1313" s="3"/>
      <c r="G1313" s="3"/>
      <c r="H1313" s="3" t="s">
        <v>13</v>
      </c>
      <c r="I1313" s="3" t="s">
        <v>628</v>
      </c>
    </row>
    <row r="1314" spans="1:9" s="5" customFormat="1" x14ac:dyDescent="0.35">
      <c r="A1314" s="3" t="s">
        <v>8</v>
      </c>
      <c r="B1314" s="3" t="s">
        <v>626</v>
      </c>
      <c r="C1314" s="3" t="s">
        <v>42</v>
      </c>
      <c r="D1314" s="3" t="s">
        <v>634</v>
      </c>
      <c r="E1314" s="3" t="s">
        <v>57</v>
      </c>
      <c r="F1314" s="3"/>
      <c r="G1314" s="3" t="s">
        <v>2311</v>
      </c>
      <c r="H1314" s="3" t="s">
        <v>13</v>
      </c>
      <c r="I1314" s="3" t="s">
        <v>628</v>
      </c>
    </row>
    <row r="1315" spans="1:9" s="5" customFormat="1" x14ac:dyDescent="0.35">
      <c r="A1315" s="3" t="s">
        <v>8</v>
      </c>
      <c r="B1315" s="3" t="s">
        <v>626</v>
      </c>
      <c r="C1315" s="3" t="s">
        <v>42</v>
      </c>
      <c r="D1315" s="3" t="s">
        <v>634</v>
      </c>
      <c r="E1315" s="3" t="s">
        <v>630</v>
      </c>
      <c r="F1315" s="3"/>
      <c r="G1315" s="3"/>
      <c r="H1315" s="3" t="s">
        <v>13</v>
      </c>
      <c r="I1315" s="3" t="s">
        <v>628</v>
      </c>
    </row>
    <row r="1316" spans="1:9" s="5" customFormat="1" x14ac:dyDescent="0.35">
      <c r="A1316" s="3" t="s">
        <v>8</v>
      </c>
      <c r="B1316" s="3" t="s">
        <v>626</v>
      </c>
      <c r="C1316" s="3" t="s">
        <v>45</v>
      </c>
      <c r="D1316" s="3" t="s">
        <v>635</v>
      </c>
      <c r="E1316" s="3" t="s">
        <v>27</v>
      </c>
      <c r="F1316" s="3"/>
      <c r="G1316" s="3"/>
      <c r="H1316" s="3" t="s">
        <v>13</v>
      </c>
      <c r="I1316" s="3" t="s">
        <v>628</v>
      </c>
    </row>
    <row r="1317" spans="1:9" s="5" customFormat="1" x14ac:dyDescent="0.35">
      <c r="A1317" s="3" t="s">
        <v>8</v>
      </c>
      <c r="B1317" s="3" t="s">
        <v>626</v>
      </c>
      <c r="C1317" s="3" t="s">
        <v>45</v>
      </c>
      <c r="D1317" s="3" t="s">
        <v>635</v>
      </c>
      <c r="E1317" s="3" t="s">
        <v>28</v>
      </c>
      <c r="F1317" s="3"/>
      <c r="G1317" s="3"/>
      <c r="H1317" s="3" t="s">
        <v>13</v>
      </c>
      <c r="I1317" s="3" t="s">
        <v>628</v>
      </c>
    </row>
    <row r="1318" spans="1:9" s="5" customFormat="1" x14ac:dyDescent="0.35">
      <c r="A1318" s="3" t="s">
        <v>8</v>
      </c>
      <c r="B1318" s="3" t="s">
        <v>626</v>
      </c>
      <c r="C1318" s="3" t="s">
        <v>45</v>
      </c>
      <c r="D1318" s="3" t="s">
        <v>635</v>
      </c>
      <c r="E1318" s="3" t="s">
        <v>56</v>
      </c>
      <c r="F1318" s="3" t="s">
        <v>13</v>
      </c>
      <c r="G1318" s="3" t="s">
        <v>636</v>
      </c>
      <c r="H1318" s="3" t="s">
        <v>13</v>
      </c>
      <c r="I1318" s="3" t="s">
        <v>628</v>
      </c>
    </row>
    <row r="1319" spans="1:9" s="5" customFormat="1" x14ac:dyDescent="0.35">
      <c r="A1319" s="3" t="s">
        <v>8</v>
      </c>
      <c r="B1319" s="3" t="s">
        <v>626</v>
      </c>
      <c r="C1319" s="3" t="s">
        <v>45</v>
      </c>
      <c r="D1319" s="3" t="s">
        <v>635</v>
      </c>
      <c r="E1319" s="3" t="s">
        <v>32</v>
      </c>
      <c r="F1319" s="3" t="s">
        <v>33</v>
      </c>
      <c r="G1319" s="3" t="s">
        <v>81</v>
      </c>
      <c r="H1319" s="3" t="s">
        <v>13</v>
      </c>
      <c r="I1319" s="3" t="s">
        <v>628</v>
      </c>
    </row>
    <row r="1320" spans="1:9" s="5" customFormat="1" x14ac:dyDescent="0.35">
      <c r="A1320" s="3" t="s">
        <v>8</v>
      </c>
      <c r="B1320" s="3" t="s">
        <v>626</v>
      </c>
      <c r="C1320" s="3" t="s">
        <v>45</v>
      </c>
      <c r="D1320" s="3" t="s">
        <v>635</v>
      </c>
      <c r="E1320" s="3" t="s">
        <v>24</v>
      </c>
      <c r="F1320" s="3"/>
      <c r="G1320" s="3"/>
      <c r="H1320" s="3" t="s">
        <v>13</v>
      </c>
      <c r="I1320" s="3" t="s">
        <v>628</v>
      </c>
    </row>
    <row r="1321" spans="1:9" s="5" customFormat="1" x14ac:dyDescent="0.35">
      <c r="A1321" s="3" t="s">
        <v>8</v>
      </c>
      <c r="B1321" s="3" t="s">
        <v>626</v>
      </c>
      <c r="C1321" s="3" t="s">
        <v>45</v>
      </c>
      <c r="D1321" s="3" t="s">
        <v>635</v>
      </c>
      <c r="E1321" s="3" t="s">
        <v>134</v>
      </c>
      <c r="F1321" s="3"/>
      <c r="G1321" s="3"/>
      <c r="H1321" s="3" t="s">
        <v>13</v>
      </c>
      <c r="I1321" s="3" t="s">
        <v>628</v>
      </c>
    </row>
    <row r="1322" spans="1:9" s="5" customFormat="1" x14ac:dyDescent="0.35">
      <c r="A1322" s="3" t="s">
        <v>8</v>
      </c>
      <c r="B1322" s="3" t="s">
        <v>626</v>
      </c>
      <c r="C1322" s="3" t="s">
        <v>39</v>
      </c>
      <c r="D1322" s="3" t="s">
        <v>637</v>
      </c>
      <c r="E1322" s="3" t="s">
        <v>27</v>
      </c>
      <c r="F1322" s="3"/>
      <c r="G1322" s="3"/>
      <c r="H1322" s="3" t="s">
        <v>13</v>
      </c>
      <c r="I1322" s="3" t="s">
        <v>628</v>
      </c>
    </row>
    <row r="1323" spans="1:9" s="5" customFormat="1" x14ac:dyDescent="0.35">
      <c r="A1323" s="3" t="s">
        <v>8</v>
      </c>
      <c r="B1323" s="3" t="s">
        <v>626</v>
      </c>
      <c r="C1323" s="3" t="s">
        <v>39</v>
      </c>
      <c r="D1323" s="3" t="s">
        <v>637</v>
      </c>
      <c r="E1323" s="3" t="s">
        <v>29</v>
      </c>
      <c r="F1323" s="3"/>
      <c r="G1323" s="3" t="s">
        <v>2332</v>
      </c>
      <c r="H1323" s="3" t="s">
        <v>13</v>
      </c>
      <c r="I1323" s="3" t="s">
        <v>628</v>
      </c>
    </row>
    <row r="1324" spans="1:9" s="5" customFormat="1" x14ac:dyDescent="0.35">
      <c r="A1324" s="3" t="s">
        <v>8</v>
      </c>
      <c r="B1324" s="3" t="s">
        <v>626</v>
      </c>
      <c r="C1324" s="3" t="s">
        <v>39</v>
      </c>
      <c r="D1324" s="3" t="s">
        <v>637</v>
      </c>
      <c r="E1324" s="3" t="s">
        <v>24</v>
      </c>
      <c r="F1324" s="3"/>
      <c r="G1324" s="3"/>
      <c r="H1324" s="3" t="s">
        <v>13</v>
      </c>
      <c r="I1324" s="3" t="s">
        <v>628</v>
      </c>
    </row>
    <row r="1325" spans="1:9" s="5" customFormat="1" x14ac:dyDescent="0.35">
      <c r="A1325" s="3" t="s">
        <v>8</v>
      </c>
      <c r="B1325" s="3" t="s">
        <v>626</v>
      </c>
      <c r="C1325" s="3" t="s">
        <v>45</v>
      </c>
      <c r="D1325" s="3" t="s">
        <v>638</v>
      </c>
      <c r="E1325" s="3" t="s">
        <v>56</v>
      </c>
      <c r="F1325" s="3" t="s">
        <v>16</v>
      </c>
      <c r="G1325" s="3" t="s">
        <v>639</v>
      </c>
      <c r="H1325" s="3" t="s">
        <v>13</v>
      </c>
      <c r="I1325" s="3" t="s">
        <v>628</v>
      </c>
    </row>
    <row r="1326" spans="1:9" s="5" customFormat="1" x14ac:dyDescent="0.35">
      <c r="A1326" s="3" t="s">
        <v>8</v>
      </c>
      <c r="B1326" s="3" t="s">
        <v>626</v>
      </c>
      <c r="C1326" s="3" t="s">
        <v>45</v>
      </c>
      <c r="D1326" s="3" t="s">
        <v>640</v>
      </c>
      <c r="E1326" s="3" t="s">
        <v>23</v>
      </c>
      <c r="F1326" s="3"/>
      <c r="G1326" s="3"/>
      <c r="H1326" s="3" t="s">
        <v>13</v>
      </c>
      <c r="I1326" s="3" t="s">
        <v>628</v>
      </c>
    </row>
    <row r="1327" spans="1:9" s="5" customFormat="1" x14ac:dyDescent="0.35">
      <c r="A1327" s="3" t="s">
        <v>8</v>
      </c>
      <c r="B1327" s="3" t="s">
        <v>626</v>
      </c>
      <c r="C1327" s="3" t="s">
        <v>45</v>
      </c>
      <c r="D1327" s="3" t="s">
        <v>640</v>
      </c>
      <c r="E1327" s="3" t="s">
        <v>77</v>
      </c>
      <c r="F1327" s="3" t="s">
        <v>33</v>
      </c>
      <c r="G1327" s="3" t="s">
        <v>81</v>
      </c>
      <c r="H1327" s="3" t="s">
        <v>13</v>
      </c>
      <c r="I1327" s="3" t="s">
        <v>628</v>
      </c>
    </row>
    <row r="1328" spans="1:9" s="5" customFormat="1" x14ac:dyDescent="0.35">
      <c r="A1328" s="3" t="s">
        <v>8</v>
      </c>
      <c r="B1328" s="3" t="s">
        <v>626</v>
      </c>
      <c r="C1328" s="3" t="s">
        <v>45</v>
      </c>
      <c r="D1328" s="3" t="s">
        <v>640</v>
      </c>
      <c r="E1328" s="3" t="s">
        <v>15</v>
      </c>
      <c r="F1328" s="3" t="s">
        <v>16</v>
      </c>
      <c r="G1328" s="3" t="s">
        <v>641</v>
      </c>
      <c r="H1328" s="3" t="s">
        <v>13</v>
      </c>
      <c r="I1328" s="3" t="s">
        <v>628</v>
      </c>
    </row>
    <row r="1329" spans="1:9" s="5" customFormat="1" x14ac:dyDescent="0.35">
      <c r="A1329" s="3" t="s">
        <v>8</v>
      </c>
      <c r="B1329" s="3" t="s">
        <v>626</v>
      </c>
      <c r="C1329" s="3" t="s">
        <v>45</v>
      </c>
      <c r="D1329" s="3" t="s">
        <v>640</v>
      </c>
      <c r="E1329" s="3" t="s">
        <v>24</v>
      </c>
      <c r="F1329" s="3"/>
      <c r="G1329" s="3"/>
      <c r="H1329" s="3" t="s">
        <v>13</v>
      </c>
      <c r="I1329" s="3" t="s">
        <v>628</v>
      </c>
    </row>
    <row r="1330" spans="1:9" s="5" customFormat="1" x14ac:dyDescent="0.35">
      <c r="A1330" s="3" t="s">
        <v>8</v>
      </c>
      <c r="B1330" s="3" t="s">
        <v>626</v>
      </c>
      <c r="C1330" s="3" t="s">
        <v>39</v>
      </c>
      <c r="D1330" s="3" t="s">
        <v>642</v>
      </c>
      <c r="E1330" s="3" t="s">
        <v>27</v>
      </c>
      <c r="F1330" s="3"/>
      <c r="G1330" s="3"/>
      <c r="H1330" s="3" t="s">
        <v>13</v>
      </c>
      <c r="I1330" s="3" t="s">
        <v>628</v>
      </c>
    </row>
    <row r="1331" spans="1:9" s="5" customFormat="1" x14ac:dyDescent="0.35">
      <c r="A1331" s="3" t="s">
        <v>8</v>
      </c>
      <c r="B1331" s="3" t="s">
        <v>626</v>
      </c>
      <c r="C1331" s="3" t="s">
        <v>39</v>
      </c>
      <c r="D1331" s="3" t="s">
        <v>642</v>
      </c>
      <c r="E1331" s="3" t="s">
        <v>15</v>
      </c>
      <c r="F1331" s="3"/>
      <c r="G1331" s="3"/>
      <c r="H1331" s="3" t="s">
        <v>13</v>
      </c>
      <c r="I1331" s="3" t="s">
        <v>628</v>
      </c>
    </row>
    <row r="1332" spans="1:9" s="5" customFormat="1" x14ac:dyDescent="0.35">
      <c r="A1332" s="3" t="s">
        <v>8</v>
      </c>
      <c r="B1332" s="3" t="s">
        <v>626</v>
      </c>
      <c r="C1332" s="3" t="s">
        <v>39</v>
      </c>
      <c r="D1332" s="3" t="s">
        <v>642</v>
      </c>
      <c r="E1332" s="3" t="s">
        <v>32</v>
      </c>
      <c r="F1332" s="3"/>
      <c r="G1332" s="3"/>
      <c r="H1332" s="3" t="s">
        <v>13</v>
      </c>
      <c r="I1332" s="3" t="s">
        <v>628</v>
      </c>
    </row>
    <row r="1333" spans="1:9" s="5" customFormat="1" x14ac:dyDescent="0.35">
      <c r="A1333" s="3" t="s">
        <v>8</v>
      </c>
      <c r="B1333" s="3" t="s">
        <v>626</v>
      </c>
      <c r="C1333" s="3" t="s">
        <v>39</v>
      </c>
      <c r="D1333" s="3" t="s">
        <v>642</v>
      </c>
      <c r="E1333" s="3" t="s">
        <v>630</v>
      </c>
      <c r="F1333" s="3"/>
      <c r="G1333" s="3"/>
      <c r="H1333" s="3" t="s">
        <v>13</v>
      </c>
      <c r="I1333" s="3" t="s">
        <v>628</v>
      </c>
    </row>
    <row r="1334" spans="1:9" s="5" customFormat="1" x14ac:dyDescent="0.35">
      <c r="A1334" s="3" t="s">
        <v>8</v>
      </c>
      <c r="B1334" s="3" t="s">
        <v>626</v>
      </c>
      <c r="C1334" s="3" t="s">
        <v>10</v>
      </c>
      <c r="D1334" s="3" t="s">
        <v>643</v>
      </c>
      <c r="E1334" s="3" t="s">
        <v>27</v>
      </c>
      <c r="F1334" s="3"/>
      <c r="G1334" s="3"/>
      <c r="H1334" s="3" t="s">
        <v>13</v>
      </c>
      <c r="I1334" s="3" t="s">
        <v>628</v>
      </c>
    </row>
    <row r="1335" spans="1:9" s="5" customFormat="1" x14ac:dyDescent="0.35">
      <c r="A1335" s="3" t="s">
        <v>8</v>
      </c>
      <c r="B1335" s="3" t="s">
        <v>626</v>
      </c>
      <c r="C1335" s="3" t="s">
        <v>10</v>
      </c>
      <c r="D1335" s="3" t="s">
        <v>643</v>
      </c>
      <c r="E1335" s="3" t="s">
        <v>28</v>
      </c>
      <c r="F1335" s="3"/>
      <c r="G1335" s="3" t="s">
        <v>2321</v>
      </c>
      <c r="H1335" s="3" t="s">
        <v>13</v>
      </c>
      <c r="I1335" s="3" t="s">
        <v>628</v>
      </c>
    </row>
    <row r="1336" spans="1:9" s="5" customFormat="1" x14ac:dyDescent="0.35">
      <c r="A1336" s="3" t="s">
        <v>8</v>
      </c>
      <c r="B1336" s="3" t="s">
        <v>626</v>
      </c>
      <c r="C1336" s="3" t="s">
        <v>10</v>
      </c>
      <c r="D1336" s="3" t="s">
        <v>643</v>
      </c>
      <c r="E1336" s="3" t="s">
        <v>56</v>
      </c>
      <c r="F1336" s="3" t="s">
        <v>16</v>
      </c>
      <c r="G1336" s="3" t="s">
        <v>644</v>
      </c>
      <c r="H1336" s="3" t="s">
        <v>13</v>
      </c>
      <c r="I1336" s="3" t="s">
        <v>628</v>
      </c>
    </row>
    <row r="1337" spans="1:9" s="5" customFormat="1" x14ac:dyDescent="0.35">
      <c r="A1337" s="3" t="s">
        <v>8</v>
      </c>
      <c r="B1337" s="3" t="s">
        <v>626</v>
      </c>
      <c r="C1337" s="3" t="s">
        <v>45</v>
      </c>
      <c r="D1337" s="3" t="s">
        <v>645</v>
      </c>
      <c r="E1337" s="3" t="s">
        <v>23</v>
      </c>
      <c r="F1337" s="3" t="s">
        <v>33</v>
      </c>
      <c r="G1337" s="3" t="s">
        <v>646</v>
      </c>
      <c r="H1337" s="3"/>
      <c r="I1337" s="3"/>
    </row>
    <row r="1338" spans="1:9" s="5" customFormat="1" x14ac:dyDescent="0.35">
      <c r="A1338" s="3" t="s">
        <v>8</v>
      </c>
      <c r="B1338" s="3" t="s">
        <v>626</v>
      </c>
      <c r="C1338" s="3" t="s">
        <v>45</v>
      </c>
      <c r="D1338" s="3" t="s">
        <v>645</v>
      </c>
      <c r="E1338" s="3" t="s">
        <v>15</v>
      </c>
      <c r="F1338" s="3" t="s">
        <v>33</v>
      </c>
      <c r="G1338" s="3" t="s">
        <v>646</v>
      </c>
      <c r="H1338" s="3"/>
      <c r="I1338" s="3"/>
    </row>
    <row r="1339" spans="1:9" s="5" customFormat="1" x14ac:dyDescent="0.35">
      <c r="A1339" s="3" t="s">
        <v>8</v>
      </c>
      <c r="B1339" s="3" t="s">
        <v>626</v>
      </c>
      <c r="C1339" s="3" t="s">
        <v>45</v>
      </c>
      <c r="D1339" s="3" t="s">
        <v>645</v>
      </c>
      <c r="E1339" s="3" t="s">
        <v>56</v>
      </c>
      <c r="F1339" s="3" t="s">
        <v>33</v>
      </c>
      <c r="G1339" s="3" t="s">
        <v>646</v>
      </c>
      <c r="H1339" s="3"/>
      <c r="I1339" s="3"/>
    </row>
    <row r="1340" spans="1:9" s="5" customFormat="1" x14ac:dyDescent="0.35">
      <c r="A1340" s="3" t="s">
        <v>8</v>
      </c>
      <c r="B1340" s="3" t="s">
        <v>626</v>
      </c>
      <c r="C1340" s="3" t="s">
        <v>45</v>
      </c>
      <c r="D1340" s="3" t="s">
        <v>645</v>
      </c>
      <c r="E1340" s="3" t="s">
        <v>29</v>
      </c>
      <c r="F1340" s="3" t="s">
        <v>33</v>
      </c>
      <c r="G1340" s="3" t="s">
        <v>646</v>
      </c>
      <c r="H1340" s="3"/>
      <c r="I1340" s="3"/>
    </row>
    <row r="1341" spans="1:9" s="5" customFormat="1" x14ac:dyDescent="0.35">
      <c r="A1341" s="3" t="s">
        <v>8</v>
      </c>
      <c r="B1341" s="3" t="s">
        <v>626</v>
      </c>
      <c r="C1341" s="3" t="s">
        <v>45</v>
      </c>
      <c r="D1341" s="3" t="s">
        <v>645</v>
      </c>
      <c r="E1341" s="3" t="s">
        <v>24</v>
      </c>
      <c r="F1341" s="3" t="s">
        <v>33</v>
      </c>
      <c r="G1341" s="3" t="s">
        <v>646</v>
      </c>
      <c r="H1341" s="3"/>
      <c r="I1341" s="3"/>
    </row>
    <row r="1342" spans="1:9" s="5" customFormat="1" x14ac:dyDescent="0.35">
      <c r="A1342" s="3" t="s">
        <v>8</v>
      </c>
      <c r="B1342" s="3" t="s">
        <v>626</v>
      </c>
      <c r="C1342" s="3" t="s">
        <v>10</v>
      </c>
      <c r="D1342" s="3" t="s">
        <v>647</v>
      </c>
      <c r="E1342" s="3" t="s">
        <v>23</v>
      </c>
      <c r="F1342" s="3"/>
      <c r="G1342" s="3"/>
      <c r="H1342" s="3"/>
      <c r="I1342" s="3"/>
    </row>
    <row r="1343" spans="1:9" s="5" customFormat="1" x14ac:dyDescent="0.35">
      <c r="A1343" s="3" t="s">
        <v>8</v>
      </c>
      <c r="B1343" s="3" t="s">
        <v>626</v>
      </c>
      <c r="C1343" s="3" t="s">
        <v>10</v>
      </c>
      <c r="D1343" s="3" t="s">
        <v>647</v>
      </c>
      <c r="E1343" s="3" t="s">
        <v>27</v>
      </c>
      <c r="F1343" s="3"/>
      <c r="G1343" s="3"/>
      <c r="H1343" s="3"/>
      <c r="I1343" s="3"/>
    </row>
    <row r="1344" spans="1:9" s="5" customFormat="1" x14ac:dyDescent="0.35">
      <c r="A1344" s="3" t="s">
        <v>8</v>
      </c>
      <c r="B1344" s="3" t="s">
        <v>626</v>
      </c>
      <c r="C1344" s="3" t="s">
        <v>10</v>
      </c>
      <c r="D1344" s="3" t="s">
        <v>647</v>
      </c>
      <c r="E1344" s="3" t="s">
        <v>87</v>
      </c>
      <c r="F1344" s="3"/>
      <c r="G1344" s="3"/>
      <c r="H1344" s="3"/>
      <c r="I1344" s="3"/>
    </row>
    <row r="1345" spans="1:9" s="5" customFormat="1" x14ac:dyDescent="0.35">
      <c r="A1345" s="3" t="s">
        <v>8</v>
      </c>
      <c r="B1345" s="3" t="s">
        <v>626</v>
      </c>
      <c r="C1345" s="3" t="s">
        <v>10</v>
      </c>
      <c r="D1345" s="3" t="s">
        <v>647</v>
      </c>
      <c r="E1345" s="3" t="s">
        <v>15</v>
      </c>
      <c r="F1345" s="3" t="s">
        <v>16</v>
      </c>
      <c r="G1345" s="3" t="s">
        <v>648</v>
      </c>
      <c r="H1345" s="3"/>
      <c r="I1345" s="3"/>
    </row>
    <row r="1346" spans="1:9" s="5" customFormat="1" x14ac:dyDescent="0.35">
      <c r="A1346" s="3" t="s">
        <v>8</v>
      </c>
      <c r="B1346" s="3" t="s">
        <v>626</v>
      </c>
      <c r="C1346" s="3" t="s">
        <v>10</v>
      </c>
      <c r="D1346" s="3" t="s">
        <v>647</v>
      </c>
      <c r="E1346" s="3" t="s">
        <v>32</v>
      </c>
      <c r="F1346" s="3" t="s">
        <v>16</v>
      </c>
      <c r="G1346" s="3" t="s">
        <v>2493</v>
      </c>
      <c r="H1346" s="3"/>
      <c r="I1346" s="3"/>
    </row>
    <row r="1347" spans="1:9" s="5" customFormat="1" x14ac:dyDescent="0.35">
      <c r="A1347" s="3" t="s">
        <v>8</v>
      </c>
      <c r="B1347" s="3" t="s">
        <v>626</v>
      </c>
      <c r="C1347" s="3" t="s">
        <v>10</v>
      </c>
      <c r="D1347" s="3" t="s">
        <v>647</v>
      </c>
      <c r="E1347" s="3" t="s">
        <v>630</v>
      </c>
      <c r="F1347" s="3" t="s">
        <v>16</v>
      </c>
      <c r="G1347" s="3" t="s">
        <v>649</v>
      </c>
      <c r="H1347" s="3"/>
      <c r="I1347" s="3"/>
    </row>
    <row r="1348" spans="1:9" s="5" customFormat="1" x14ac:dyDescent="0.35">
      <c r="A1348" s="3" t="s">
        <v>8</v>
      </c>
      <c r="B1348" s="3" t="s">
        <v>626</v>
      </c>
      <c r="C1348" s="3" t="s">
        <v>10</v>
      </c>
      <c r="D1348" s="3" t="s">
        <v>2268</v>
      </c>
      <c r="E1348" s="3" t="s">
        <v>12</v>
      </c>
      <c r="F1348" s="3"/>
      <c r="G1348" s="3"/>
      <c r="H1348" s="3" t="s">
        <v>13</v>
      </c>
      <c r="I1348" s="3" t="s">
        <v>628</v>
      </c>
    </row>
    <row r="1349" spans="1:9" s="5" customFormat="1" x14ac:dyDescent="0.35">
      <c r="A1349" s="3" t="s">
        <v>8</v>
      </c>
      <c r="B1349" s="3" t="s">
        <v>626</v>
      </c>
      <c r="C1349" s="3" t="s">
        <v>10</v>
      </c>
      <c r="D1349" s="3" t="s">
        <v>2268</v>
      </c>
      <c r="E1349" s="3" t="s">
        <v>23</v>
      </c>
      <c r="F1349" s="3" t="s">
        <v>16</v>
      </c>
      <c r="G1349" s="3" t="s">
        <v>2269</v>
      </c>
      <c r="H1349" s="3" t="s">
        <v>13</v>
      </c>
      <c r="I1349" s="3" t="s">
        <v>628</v>
      </c>
    </row>
    <row r="1350" spans="1:9" s="5" customFormat="1" x14ac:dyDescent="0.35">
      <c r="A1350" s="3" t="s">
        <v>8</v>
      </c>
      <c r="B1350" s="3" t="s">
        <v>626</v>
      </c>
      <c r="C1350" s="3" t="s">
        <v>10</v>
      </c>
      <c r="D1350" s="3" t="s">
        <v>2268</v>
      </c>
      <c r="E1350" s="3" t="s">
        <v>27</v>
      </c>
      <c r="F1350" s="3"/>
      <c r="G1350" s="3"/>
      <c r="H1350" s="3" t="s">
        <v>13</v>
      </c>
      <c r="I1350" s="3" t="s">
        <v>628</v>
      </c>
    </row>
    <row r="1351" spans="1:9" s="5" customFormat="1" x14ac:dyDescent="0.35">
      <c r="A1351" s="3" t="s">
        <v>8</v>
      </c>
      <c r="B1351" s="3" t="s">
        <v>626</v>
      </c>
      <c r="C1351" s="3" t="s">
        <v>10</v>
      </c>
      <c r="D1351" s="3" t="s">
        <v>2268</v>
      </c>
      <c r="E1351" s="3" t="s">
        <v>15</v>
      </c>
      <c r="F1351" s="3" t="s">
        <v>16</v>
      </c>
      <c r="G1351" s="3" t="s">
        <v>2258</v>
      </c>
      <c r="H1351" s="3" t="s">
        <v>13</v>
      </c>
      <c r="I1351" s="3" t="s">
        <v>628</v>
      </c>
    </row>
    <row r="1352" spans="1:9" s="5" customFormat="1" x14ac:dyDescent="0.35">
      <c r="A1352" s="3" t="s">
        <v>8</v>
      </c>
      <c r="B1352" s="3" t="s">
        <v>626</v>
      </c>
      <c r="C1352" s="3" t="s">
        <v>10</v>
      </c>
      <c r="D1352" s="3" t="s">
        <v>2268</v>
      </c>
      <c r="E1352" s="3" t="s">
        <v>24</v>
      </c>
      <c r="F1352" s="3"/>
      <c r="G1352" s="3"/>
      <c r="H1352" s="3" t="s">
        <v>13</v>
      </c>
      <c r="I1352" s="3" t="s">
        <v>628</v>
      </c>
    </row>
    <row r="1353" spans="1:9" s="5" customFormat="1" x14ac:dyDescent="0.35">
      <c r="A1353" s="3" t="s">
        <v>8</v>
      </c>
      <c r="B1353" s="3" t="s">
        <v>650</v>
      </c>
      <c r="C1353" s="3" t="s">
        <v>20</v>
      </c>
      <c r="D1353" s="3" t="s">
        <v>651</v>
      </c>
      <c r="E1353" s="3" t="s">
        <v>60</v>
      </c>
      <c r="F1353" s="3"/>
      <c r="G1353" s="3"/>
      <c r="H1353" s="3" t="s">
        <v>13</v>
      </c>
      <c r="I1353" s="3" t="s">
        <v>652</v>
      </c>
    </row>
    <row r="1354" spans="1:9" s="5" customFormat="1" x14ac:dyDescent="0.35">
      <c r="A1354" s="3" t="s">
        <v>8</v>
      </c>
      <c r="B1354" s="3" t="s">
        <v>650</v>
      </c>
      <c r="C1354" s="3" t="s">
        <v>20</v>
      </c>
      <c r="D1354" s="3" t="s">
        <v>651</v>
      </c>
      <c r="E1354" s="3" t="s">
        <v>27</v>
      </c>
      <c r="F1354" s="3"/>
      <c r="G1354" s="3"/>
      <c r="H1354" s="3" t="s">
        <v>13</v>
      </c>
      <c r="I1354" s="3" t="s">
        <v>652</v>
      </c>
    </row>
    <row r="1355" spans="1:9" s="5" customFormat="1" x14ac:dyDescent="0.35">
      <c r="A1355" s="3" t="s">
        <v>8</v>
      </c>
      <c r="B1355" s="3" t="s">
        <v>650</v>
      </c>
      <c r="C1355" s="3" t="s">
        <v>20</v>
      </c>
      <c r="D1355" s="3" t="s">
        <v>651</v>
      </c>
      <c r="E1355" s="3" t="s">
        <v>15</v>
      </c>
      <c r="F1355" s="3" t="s">
        <v>16</v>
      </c>
      <c r="G1355" s="3" t="s">
        <v>653</v>
      </c>
      <c r="H1355" s="3" t="s">
        <v>13</v>
      </c>
      <c r="I1355" s="3" t="s">
        <v>652</v>
      </c>
    </row>
    <row r="1356" spans="1:9" s="5" customFormat="1" x14ac:dyDescent="0.35">
      <c r="A1356" s="3" t="s">
        <v>8</v>
      </c>
      <c r="B1356" s="3" t="s">
        <v>650</v>
      </c>
      <c r="C1356" s="3" t="s">
        <v>20</v>
      </c>
      <c r="D1356" s="3" t="s">
        <v>651</v>
      </c>
      <c r="E1356" s="3" t="s">
        <v>26</v>
      </c>
      <c r="F1356" s="3"/>
      <c r="G1356" s="3"/>
      <c r="H1356" s="3" t="s">
        <v>13</v>
      </c>
      <c r="I1356" s="3" t="s">
        <v>652</v>
      </c>
    </row>
    <row r="1357" spans="1:9" s="5" customFormat="1" x14ac:dyDescent="0.35">
      <c r="A1357" s="3" t="s">
        <v>8</v>
      </c>
      <c r="B1357" s="3" t="s">
        <v>650</v>
      </c>
      <c r="C1357" s="3" t="s">
        <v>39</v>
      </c>
      <c r="D1357" s="3" t="s">
        <v>654</v>
      </c>
      <c r="E1357" s="3" t="s">
        <v>15</v>
      </c>
      <c r="F1357" s="3" t="s">
        <v>16</v>
      </c>
      <c r="G1357" s="3" t="s">
        <v>655</v>
      </c>
      <c r="H1357" s="3" t="s">
        <v>13</v>
      </c>
      <c r="I1357" s="3" t="s">
        <v>656</v>
      </c>
    </row>
    <row r="1358" spans="1:9" s="5" customFormat="1" x14ac:dyDescent="0.35">
      <c r="A1358" s="3" t="s">
        <v>8</v>
      </c>
      <c r="B1358" s="3" t="s">
        <v>650</v>
      </c>
      <c r="C1358" s="3" t="s">
        <v>42</v>
      </c>
      <c r="D1358" s="3" t="s">
        <v>657</v>
      </c>
      <c r="E1358" s="3" t="s">
        <v>12</v>
      </c>
      <c r="F1358" s="3"/>
      <c r="G1358" s="3"/>
      <c r="H1358" s="3" t="s">
        <v>13</v>
      </c>
      <c r="I1358" s="3" t="s">
        <v>656</v>
      </c>
    </row>
    <row r="1359" spans="1:9" s="5" customFormat="1" x14ac:dyDescent="0.35">
      <c r="A1359" s="3" t="s">
        <v>8</v>
      </c>
      <c r="B1359" s="3" t="s">
        <v>650</v>
      </c>
      <c r="C1359" s="3" t="s">
        <v>42</v>
      </c>
      <c r="D1359" s="3" t="s">
        <v>657</v>
      </c>
      <c r="E1359" s="3" t="s">
        <v>27</v>
      </c>
      <c r="F1359" s="3"/>
      <c r="G1359" s="3"/>
      <c r="H1359" s="3" t="s">
        <v>13</v>
      </c>
      <c r="I1359" s="3" t="s">
        <v>656</v>
      </c>
    </row>
    <row r="1360" spans="1:9" s="5" customFormat="1" x14ac:dyDescent="0.35">
      <c r="A1360" s="3" t="s">
        <v>8</v>
      </c>
      <c r="B1360" s="3" t="s">
        <v>650</v>
      </c>
      <c r="C1360" s="3" t="s">
        <v>42</v>
      </c>
      <c r="D1360" s="3" t="s">
        <v>657</v>
      </c>
      <c r="E1360" s="3" t="s">
        <v>71</v>
      </c>
      <c r="F1360" s="3"/>
      <c r="G1360" s="3"/>
      <c r="H1360" s="3" t="s">
        <v>13</v>
      </c>
      <c r="I1360" s="3" t="s">
        <v>656</v>
      </c>
    </row>
    <row r="1361" spans="1:9" s="5" customFormat="1" x14ac:dyDescent="0.35">
      <c r="A1361" s="3" t="s">
        <v>8</v>
      </c>
      <c r="B1361" s="3" t="s">
        <v>650</v>
      </c>
      <c r="C1361" s="3" t="s">
        <v>42</v>
      </c>
      <c r="D1361" s="3" t="s">
        <v>657</v>
      </c>
      <c r="E1361" s="3" t="s">
        <v>44</v>
      </c>
      <c r="F1361" s="3"/>
      <c r="G1361" s="3"/>
      <c r="H1361" s="3" t="s">
        <v>13</v>
      </c>
      <c r="I1361" s="3" t="s">
        <v>656</v>
      </c>
    </row>
    <row r="1362" spans="1:9" s="5" customFormat="1" x14ac:dyDescent="0.35">
      <c r="A1362" s="3" t="s">
        <v>8</v>
      </c>
      <c r="B1362" s="3" t="s">
        <v>650</v>
      </c>
      <c r="C1362" s="3" t="s">
        <v>42</v>
      </c>
      <c r="D1362" s="3" t="s">
        <v>657</v>
      </c>
      <c r="E1362" s="3" t="s">
        <v>87</v>
      </c>
      <c r="F1362" s="3"/>
      <c r="G1362" s="3"/>
      <c r="H1362" s="3" t="s">
        <v>13</v>
      </c>
      <c r="I1362" s="3" t="s">
        <v>656</v>
      </c>
    </row>
    <row r="1363" spans="1:9" s="5" customFormat="1" x14ac:dyDescent="0.35">
      <c r="A1363" s="3" t="s">
        <v>8</v>
      </c>
      <c r="B1363" s="3" t="s">
        <v>650</v>
      </c>
      <c r="C1363" s="3" t="s">
        <v>42</v>
      </c>
      <c r="D1363" s="3" t="s">
        <v>657</v>
      </c>
      <c r="E1363" s="3" t="s">
        <v>15</v>
      </c>
      <c r="F1363" s="3" t="s">
        <v>13</v>
      </c>
      <c r="G1363" s="3" t="s">
        <v>658</v>
      </c>
      <c r="H1363" s="3" t="s">
        <v>13</v>
      </c>
      <c r="I1363" s="3" t="s">
        <v>656</v>
      </c>
    </row>
    <row r="1364" spans="1:9" s="5" customFormat="1" x14ac:dyDescent="0.35">
      <c r="A1364" s="3" t="s">
        <v>8</v>
      </c>
      <c r="B1364" s="3" t="s">
        <v>650</v>
      </c>
      <c r="C1364" s="3" t="s">
        <v>42</v>
      </c>
      <c r="D1364" s="3" t="s">
        <v>657</v>
      </c>
      <c r="E1364" s="3" t="s">
        <v>29</v>
      </c>
      <c r="F1364" s="3"/>
      <c r="G1364" s="3"/>
      <c r="H1364" s="3" t="s">
        <v>13</v>
      </c>
      <c r="I1364" s="3" t="s">
        <v>656</v>
      </c>
    </row>
    <row r="1365" spans="1:9" s="5" customFormat="1" x14ac:dyDescent="0.35">
      <c r="A1365" s="3" t="s">
        <v>8</v>
      </c>
      <c r="B1365" s="3" t="s">
        <v>650</v>
      </c>
      <c r="C1365" s="3" t="s">
        <v>42</v>
      </c>
      <c r="D1365" s="3" t="s">
        <v>657</v>
      </c>
      <c r="E1365" s="3" t="s">
        <v>107</v>
      </c>
      <c r="F1365" s="3" t="s">
        <v>13</v>
      </c>
      <c r="G1365" s="3" t="s">
        <v>511</v>
      </c>
      <c r="H1365" s="3" t="s">
        <v>13</v>
      </c>
      <c r="I1365" s="3" t="s">
        <v>656</v>
      </c>
    </row>
    <row r="1366" spans="1:9" s="5" customFormat="1" x14ac:dyDescent="0.35">
      <c r="A1366" s="3" t="s">
        <v>8</v>
      </c>
      <c r="B1366" s="3" t="s">
        <v>650</v>
      </c>
      <c r="C1366" s="3" t="s">
        <v>20</v>
      </c>
      <c r="D1366" s="3" t="s">
        <v>659</v>
      </c>
      <c r="E1366" s="3" t="s">
        <v>12</v>
      </c>
      <c r="F1366" s="3"/>
      <c r="G1366" s="3"/>
      <c r="H1366" s="3" t="s">
        <v>13</v>
      </c>
      <c r="I1366" s="3" t="s">
        <v>652</v>
      </c>
    </row>
    <row r="1367" spans="1:9" s="5" customFormat="1" x14ac:dyDescent="0.35">
      <c r="A1367" s="3" t="s">
        <v>8</v>
      </c>
      <c r="B1367" s="3" t="s">
        <v>650</v>
      </c>
      <c r="C1367" s="3" t="s">
        <v>20</v>
      </c>
      <c r="D1367" s="3" t="s">
        <v>659</v>
      </c>
      <c r="E1367" s="3" t="s">
        <v>47</v>
      </c>
      <c r="F1367" s="3"/>
      <c r="G1367" s="3"/>
      <c r="H1367" s="3" t="s">
        <v>13</v>
      </c>
      <c r="I1367" s="3" t="s">
        <v>652</v>
      </c>
    </row>
    <row r="1368" spans="1:9" s="5" customFormat="1" x14ac:dyDescent="0.35">
      <c r="A1368" s="3" t="s">
        <v>8</v>
      </c>
      <c r="B1368" s="3" t="s">
        <v>650</v>
      </c>
      <c r="C1368" s="3" t="s">
        <v>20</v>
      </c>
      <c r="D1368" s="3" t="s">
        <v>659</v>
      </c>
      <c r="E1368" s="3" t="s">
        <v>15</v>
      </c>
      <c r="F1368" s="3" t="s">
        <v>16</v>
      </c>
      <c r="G1368" s="3" t="s">
        <v>2876</v>
      </c>
      <c r="H1368" s="3" t="s">
        <v>13</v>
      </c>
      <c r="I1368" s="3" t="s">
        <v>652</v>
      </c>
    </row>
    <row r="1369" spans="1:9" s="5" customFormat="1" x14ac:dyDescent="0.35">
      <c r="A1369" s="3" t="s">
        <v>8</v>
      </c>
      <c r="B1369" s="3" t="s">
        <v>650</v>
      </c>
      <c r="C1369" s="3" t="s">
        <v>20</v>
      </c>
      <c r="D1369" s="3" t="s">
        <v>659</v>
      </c>
      <c r="E1369" s="3" t="s">
        <v>32</v>
      </c>
      <c r="F1369" s="3" t="s">
        <v>13</v>
      </c>
      <c r="G1369" s="3" t="s">
        <v>660</v>
      </c>
      <c r="H1369" s="3" t="s">
        <v>13</v>
      </c>
      <c r="I1369" s="3" t="s">
        <v>652</v>
      </c>
    </row>
    <row r="1370" spans="1:9" s="5" customFormat="1" x14ac:dyDescent="0.35">
      <c r="A1370" s="3" t="s">
        <v>8</v>
      </c>
      <c r="B1370" s="3" t="s">
        <v>650</v>
      </c>
      <c r="C1370" s="3" t="s">
        <v>20</v>
      </c>
      <c r="D1370" s="3" t="s">
        <v>659</v>
      </c>
      <c r="E1370" s="3" t="s">
        <v>26</v>
      </c>
      <c r="F1370" s="3"/>
      <c r="G1370" s="3"/>
      <c r="H1370" s="3" t="s">
        <v>13</v>
      </c>
      <c r="I1370" s="3" t="s">
        <v>652</v>
      </c>
    </row>
    <row r="1371" spans="1:9" s="5" customFormat="1" x14ac:dyDescent="0.35">
      <c r="A1371" s="3" t="s">
        <v>8</v>
      </c>
      <c r="B1371" s="3" t="s">
        <v>650</v>
      </c>
      <c r="C1371" s="3" t="s">
        <v>20</v>
      </c>
      <c r="D1371" s="3" t="s">
        <v>659</v>
      </c>
      <c r="E1371" s="3" t="s">
        <v>134</v>
      </c>
      <c r="F1371" s="3" t="s">
        <v>13</v>
      </c>
      <c r="G1371" s="3" t="s">
        <v>660</v>
      </c>
      <c r="H1371" s="3" t="s">
        <v>13</v>
      </c>
      <c r="I1371" s="3" t="s">
        <v>652</v>
      </c>
    </row>
    <row r="1372" spans="1:9" s="5" customFormat="1" x14ac:dyDescent="0.35">
      <c r="A1372" s="3" t="s">
        <v>8</v>
      </c>
      <c r="B1372" s="3" t="s">
        <v>650</v>
      </c>
      <c r="C1372" s="3" t="s">
        <v>39</v>
      </c>
      <c r="D1372" s="3" t="s">
        <v>661</v>
      </c>
      <c r="E1372" s="3" t="s">
        <v>60</v>
      </c>
      <c r="F1372" s="3"/>
      <c r="G1372" s="3"/>
      <c r="H1372" s="3" t="s">
        <v>13</v>
      </c>
      <c r="I1372" s="3" t="s">
        <v>652</v>
      </c>
    </row>
    <row r="1373" spans="1:9" s="5" customFormat="1" x14ac:dyDescent="0.35">
      <c r="A1373" s="3" t="s">
        <v>8</v>
      </c>
      <c r="B1373" s="3" t="s">
        <v>650</v>
      </c>
      <c r="C1373" s="3" t="s">
        <v>39</v>
      </c>
      <c r="D1373" s="3" t="s">
        <v>661</v>
      </c>
      <c r="E1373" s="3" t="s">
        <v>87</v>
      </c>
      <c r="F1373" s="3" t="s">
        <v>13</v>
      </c>
      <c r="G1373" s="3" t="s">
        <v>662</v>
      </c>
      <c r="H1373" s="3" t="s">
        <v>13</v>
      </c>
      <c r="I1373" s="3" t="s">
        <v>652</v>
      </c>
    </row>
    <row r="1374" spans="1:9" s="5" customFormat="1" x14ac:dyDescent="0.35">
      <c r="A1374" s="3" t="s">
        <v>8</v>
      </c>
      <c r="B1374" s="3" t="s">
        <v>650</v>
      </c>
      <c r="C1374" s="3" t="s">
        <v>39</v>
      </c>
      <c r="D1374" s="3" t="s">
        <v>661</v>
      </c>
      <c r="E1374" s="3" t="s">
        <v>15</v>
      </c>
      <c r="F1374" s="3" t="s">
        <v>13</v>
      </c>
      <c r="G1374" s="3" t="s">
        <v>535</v>
      </c>
      <c r="H1374" s="3" t="s">
        <v>13</v>
      </c>
      <c r="I1374" s="3" t="s">
        <v>652</v>
      </c>
    </row>
    <row r="1375" spans="1:9" s="5" customFormat="1" x14ac:dyDescent="0.35">
      <c r="A1375" s="3" t="s">
        <v>8</v>
      </c>
      <c r="B1375" s="3" t="s">
        <v>650</v>
      </c>
      <c r="C1375" s="3" t="s">
        <v>39</v>
      </c>
      <c r="D1375" s="3" t="s">
        <v>663</v>
      </c>
      <c r="E1375" s="3" t="s">
        <v>27</v>
      </c>
      <c r="F1375" s="3" t="s">
        <v>16</v>
      </c>
      <c r="G1375" s="3" t="s">
        <v>664</v>
      </c>
      <c r="H1375" s="3" t="s">
        <v>13</v>
      </c>
      <c r="I1375" s="3" t="s">
        <v>652</v>
      </c>
    </row>
    <row r="1376" spans="1:9" s="5" customFormat="1" x14ac:dyDescent="0.35">
      <c r="A1376" s="3" t="s">
        <v>8</v>
      </c>
      <c r="B1376" s="3" t="s">
        <v>650</v>
      </c>
      <c r="C1376" s="3" t="s">
        <v>39</v>
      </c>
      <c r="D1376" s="3" t="s">
        <v>663</v>
      </c>
      <c r="E1376" s="3" t="s">
        <v>15</v>
      </c>
      <c r="F1376" s="3" t="s">
        <v>16</v>
      </c>
      <c r="G1376" s="3" t="s">
        <v>664</v>
      </c>
      <c r="H1376" s="3" t="s">
        <v>13</v>
      </c>
      <c r="I1376" s="3" t="s">
        <v>652</v>
      </c>
    </row>
    <row r="1377" spans="1:9" s="5" customFormat="1" x14ac:dyDescent="0.35">
      <c r="A1377" s="3" t="s">
        <v>8</v>
      </c>
      <c r="B1377" s="3" t="s">
        <v>650</v>
      </c>
      <c r="C1377" s="3" t="s">
        <v>39</v>
      </c>
      <c r="D1377" s="3" t="s">
        <v>663</v>
      </c>
      <c r="E1377" s="3" t="s">
        <v>89</v>
      </c>
      <c r="F1377" s="3" t="s">
        <v>16</v>
      </c>
      <c r="G1377" s="3" t="s">
        <v>664</v>
      </c>
      <c r="H1377" s="3" t="s">
        <v>13</v>
      </c>
      <c r="I1377" s="3" t="s">
        <v>652</v>
      </c>
    </row>
    <row r="1378" spans="1:9" s="5" customFormat="1" x14ac:dyDescent="0.35">
      <c r="A1378" s="3" t="s">
        <v>8</v>
      </c>
      <c r="B1378" s="3" t="s">
        <v>650</v>
      </c>
      <c r="C1378" s="3" t="s">
        <v>39</v>
      </c>
      <c r="D1378" s="3" t="s">
        <v>663</v>
      </c>
      <c r="E1378" s="3" t="s">
        <v>32</v>
      </c>
      <c r="F1378" s="3" t="s">
        <v>16</v>
      </c>
      <c r="G1378" s="3" t="s">
        <v>2479</v>
      </c>
      <c r="H1378" s="3" t="s">
        <v>13</v>
      </c>
      <c r="I1378" s="3" t="s">
        <v>652</v>
      </c>
    </row>
    <row r="1379" spans="1:9" s="5" customFormat="1" x14ac:dyDescent="0.35">
      <c r="A1379" s="3" t="s">
        <v>8</v>
      </c>
      <c r="B1379" s="3" t="s">
        <v>665</v>
      </c>
      <c r="C1379" s="3" t="s">
        <v>45</v>
      </c>
      <c r="D1379" s="3" t="s">
        <v>666</v>
      </c>
      <c r="E1379" s="3" t="s">
        <v>15</v>
      </c>
      <c r="F1379" s="3" t="s">
        <v>16</v>
      </c>
      <c r="G1379" s="3" t="s">
        <v>668</v>
      </c>
      <c r="H1379" s="3"/>
      <c r="I1379" s="3"/>
    </row>
    <row r="1380" spans="1:9" s="5" customFormat="1" x14ac:dyDescent="0.35">
      <c r="A1380" s="3" t="s">
        <v>8</v>
      </c>
      <c r="B1380" s="3" t="s">
        <v>665</v>
      </c>
      <c r="C1380" s="3" t="s">
        <v>45</v>
      </c>
      <c r="D1380" s="3" t="s">
        <v>666</v>
      </c>
      <c r="E1380" s="3" t="s">
        <v>56</v>
      </c>
      <c r="F1380" s="3"/>
      <c r="G1380" s="3" t="s">
        <v>667</v>
      </c>
      <c r="H1380" s="3"/>
      <c r="I1380" s="3"/>
    </row>
    <row r="1381" spans="1:9" s="5" customFormat="1" x14ac:dyDescent="0.35">
      <c r="A1381" s="3" t="s">
        <v>8</v>
      </c>
      <c r="B1381" s="3" t="s">
        <v>665</v>
      </c>
      <c r="C1381" s="3" t="s">
        <v>45</v>
      </c>
      <c r="D1381" s="3" t="s">
        <v>2534</v>
      </c>
      <c r="E1381" s="3" t="s">
        <v>25</v>
      </c>
      <c r="F1381" s="3"/>
      <c r="G1381" s="3"/>
      <c r="H1381" s="3"/>
      <c r="I1381" s="3"/>
    </row>
    <row r="1382" spans="1:9" s="5" customFormat="1" x14ac:dyDescent="0.35">
      <c r="A1382" s="3" t="s">
        <v>8</v>
      </c>
      <c r="B1382" s="3" t="s">
        <v>665</v>
      </c>
      <c r="C1382" s="3" t="s">
        <v>45</v>
      </c>
      <c r="D1382" s="3" t="s">
        <v>2534</v>
      </c>
      <c r="E1382" s="3" t="s">
        <v>56</v>
      </c>
      <c r="F1382" s="3" t="s">
        <v>13</v>
      </c>
      <c r="G1382" s="3" t="s">
        <v>769</v>
      </c>
      <c r="H1382" s="3"/>
      <c r="I1382" s="3"/>
    </row>
    <row r="1383" spans="1:9" s="5" customFormat="1" x14ac:dyDescent="0.35">
      <c r="A1383" s="3" t="s">
        <v>8</v>
      </c>
      <c r="B1383" s="3" t="s">
        <v>665</v>
      </c>
      <c r="C1383" s="3" t="s">
        <v>45</v>
      </c>
      <c r="D1383" s="3" t="s">
        <v>2534</v>
      </c>
      <c r="E1383" s="3" t="s">
        <v>24</v>
      </c>
      <c r="F1383" s="3"/>
      <c r="G1383" s="3"/>
      <c r="H1383" s="3"/>
      <c r="I1383" s="3"/>
    </row>
    <row r="1384" spans="1:9" s="5" customFormat="1" x14ac:dyDescent="0.35">
      <c r="A1384" s="3" t="s">
        <v>8</v>
      </c>
      <c r="B1384" s="3" t="s">
        <v>665</v>
      </c>
      <c r="C1384" s="3" t="s">
        <v>45</v>
      </c>
      <c r="D1384" s="3" t="s">
        <v>669</v>
      </c>
      <c r="E1384" s="3" t="s">
        <v>77</v>
      </c>
      <c r="F1384" s="3"/>
      <c r="G1384" s="3"/>
      <c r="H1384" s="3"/>
      <c r="I1384" s="3"/>
    </row>
    <row r="1385" spans="1:9" s="5" customFormat="1" x14ac:dyDescent="0.35">
      <c r="A1385" s="3" t="s">
        <v>8</v>
      </c>
      <c r="B1385" s="3" t="s">
        <v>665</v>
      </c>
      <c r="C1385" s="3" t="s">
        <v>10</v>
      </c>
      <c r="D1385" s="3" t="s">
        <v>670</v>
      </c>
      <c r="E1385" s="3" t="s">
        <v>47</v>
      </c>
      <c r="F1385" s="3"/>
      <c r="G1385" s="3"/>
      <c r="H1385" s="3"/>
      <c r="I1385" s="3"/>
    </row>
    <row r="1386" spans="1:9" s="5" customFormat="1" x14ac:dyDescent="0.35">
      <c r="A1386" s="3" t="s">
        <v>8</v>
      </c>
      <c r="B1386" s="3" t="s">
        <v>665</v>
      </c>
      <c r="C1386" s="3" t="s">
        <v>10</v>
      </c>
      <c r="D1386" s="3" t="s">
        <v>670</v>
      </c>
      <c r="E1386" s="3" t="s">
        <v>185</v>
      </c>
      <c r="F1386" s="3"/>
      <c r="G1386" s="3"/>
      <c r="H1386" s="3"/>
      <c r="I1386" s="3"/>
    </row>
    <row r="1387" spans="1:9" s="5" customFormat="1" x14ac:dyDescent="0.35">
      <c r="A1387" s="3" t="s">
        <v>8</v>
      </c>
      <c r="B1387" s="3" t="s">
        <v>665</v>
      </c>
      <c r="C1387" s="3" t="s">
        <v>10</v>
      </c>
      <c r="D1387" s="3" t="s">
        <v>670</v>
      </c>
      <c r="E1387" s="3" t="s">
        <v>15</v>
      </c>
      <c r="F1387" s="3" t="s">
        <v>13</v>
      </c>
      <c r="G1387" s="3" t="s">
        <v>671</v>
      </c>
      <c r="H1387" s="3"/>
      <c r="I1387" s="3"/>
    </row>
    <row r="1388" spans="1:9" s="5" customFormat="1" x14ac:dyDescent="0.35">
      <c r="A1388" s="3" t="s">
        <v>8</v>
      </c>
      <c r="B1388" s="3" t="s">
        <v>665</v>
      </c>
      <c r="C1388" s="3" t="s">
        <v>10</v>
      </c>
      <c r="D1388" s="3" t="s">
        <v>670</v>
      </c>
      <c r="E1388" s="3" t="s">
        <v>29</v>
      </c>
      <c r="F1388" s="3" t="s">
        <v>13</v>
      </c>
      <c r="G1388" s="3" t="s">
        <v>2292</v>
      </c>
      <c r="H1388" s="3"/>
      <c r="I1388" s="3"/>
    </row>
    <row r="1389" spans="1:9" s="5" customFormat="1" x14ac:dyDescent="0.35">
      <c r="A1389" s="3" t="s">
        <v>8</v>
      </c>
      <c r="B1389" s="3" t="s">
        <v>665</v>
      </c>
      <c r="C1389" s="3" t="s">
        <v>10</v>
      </c>
      <c r="D1389" s="3" t="s">
        <v>672</v>
      </c>
      <c r="E1389" s="3" t="s">
        <v>28</v>
      </c>
      <c r="F1389" s="3"/>
      <c r="G1389" s="3"/>
      <c r="H1389" s="3"/>
      <c r="I1389" s="3"/>
    </row>
    <row r="1390" spans="1:9" s="5" customFormat="1" x14ac:dyDescent="0.35">
      <c r="A1390" s="3" t="s">
        <v>8</v>
      </c>
      <c r="B1390" s="3" t="s">
        <v>665</v>
      </c>
      <c r="C1390" s="3" t="s">
        <v>10</v>
      </c>
      <c r="D1390" s="3" t="s">
        <v>672</v>
      </c>
      <c r="E1390" s="3" t="s">
        <v>15</v>
      </c>
      <c r="F1390" s="3" t="s">
        <v>13</v>
      </c>
      <c r="G1390" s="3" t="s">
        <v>673</v>
      </c>
      <c r="H1390" s="3"/>
      <c r="I1390" s="3"/>
    </row>
    <row r="1391" spans="1:9" s="5" customFormat="1" x14ac:dyDescent="0.35">
      <c r="A1391" s="3" t="s">
        <v>8</v>
      </c>
      <c r="B1391" s="3" t="s">
        <v>665</v>
      </c>
      <c r="C1391" s="3" t="s">
        <v>10</v>
      </c>
      <c r="D1391" s="3" t="s">
        <v>672</v>
      </c>
      <c r="E1391" s="3" t="s">
        <v>29</v>
      </c>
      <c r="F1391" s="3"/>
      <c r="G1391" s="3" t="s">
        <v>2294</v>
      </c>
      <c r="H1391" s="3"/>
      <c r="I1391" s="3"/>
    </row>
    <row r="1392" spans="1:9" s="5" customFormat="1" x14ac:dyDescent="0.35">
      <c r="A1392" s="3" t="s">
        <v>8</v>
      </c>
      <c r="B1392" s="3" t="s">
        <v>665</v>
      </c>
      <c r="C1392" s="3" t="s">
        <v>10</v>
      </c>
      <c r="D1392" s="3" t="s">
        <v>672</v>
      </c>
      <c r="E1392" s="3" t="s">
        <v>134</v>
      </c>
      <c r="F1392" s="3" t="s">
        <v>13</v>
      </c>
      <c r="G1392" s="3" t="s">
        <v>674</v>
      </c>
      <c r="H1392" s="3"/>
      <c r="I1392" s="3"/>
    </row>
    <row r="1393" spans="1:9" s="5" customFormat="1" x14ac:dyDescent="0.35">
      <c r="A1393" s="3" t="s">
        <v>8</v>
      </c>
      <c r="B1393" s="3" t="s">
        <v>665</v>
      </c>
      <c r="C1393" s="3" t="s">
        <v>10</v>
      </c>
      <c r="D1393" s="3" t="s">
        <v>672</v>
      </c>
      <c r="E1393" s="3" t="s">
        <v>107</v>
      </c>
      <c r="F1393" s="3" t="s">
        <v>13</v>
      </c>
      <c r="G1393" s="3" t="s">
        <v>675</v>
      </c>
      <c r="H1393" s="3"/>
      <c r="I1393" s="3"/>
    </row>
    <row r="1394" spans="1:9" s="5" customFormat="1" x14ac:dyDescent="0.35">
      <c r="A1394" s="3" t="s">
        <v>8</v>
      </c>
      <c r="B1394" s="3" t="s">
        <v>665</v>
      </c>
      <c r="C1394" s="3" t="s">
        <v>42</v>
      </c>
      <c r="D1394" s="3" t="s">
        <v>676</v>
      </c>
      <c r="E1394" s="3" t="s">
        <v>12</v>
      </c>
      <c r="F1394" s="3"/>
      <c r="G1394" s="3"/>
      <c r="H1394" s="3"/>
      <c r="I1394" s="3"/>
    </row>
    <row r="1395" spans="1:9" s="5" customFormat="1" x14ac:dyDescent="0.35">
      <c r="A1395" s="3" t="s">
        <v>8</v>
      </c>
      <c r="B1395" s="3" t="s">
        <v>665</v>
      </c>
      <c r="C1395" s="3" t="s">
        <v>42</v>
      </c>
      <c r="D1395" s="3" t="s">
        <v>676</v>
      </c>
      <c r="E1395" s="3" t="s">
        <v>36</v>
      </c>
      <c r="F1395" s="3"/>
      <c r="G1395" s="3"/>
      <c r="H1395" s="3"/>
      <c r="I1395" s="3"/>
    </row>
    <row r="1396" spans="1:9" s="5" customFormat="1" x14ac:dyDescent="0.35">
      <c r="A1396" s="3" t="s">
        <v>8</v>
      </c>
      <c r="B1396" s="3" t="s">
        <v>665</v>
      </c>
      <c r="C1396" s="3" t="s">
        <v>42</v>
      </c>
      <c r="D1396" s="3" t="s">
        <v>676</v>
      </c>
      <c r="E1396" s="3" t="s">
        <v>25</v>
      </c>
      <c r="F1396" s="3"/>
      <c r="G1396" s="3"/>
      <c r="H1396" s="3"/>
      <c r="I1396" s="3"/>
    </row>
    <row r="1397" spans="1:9" s="5" customFormat="1" x14ac:dyDescent="0.35">
      <c r="A1397" s="3" t="s">
        <v>8</v>
      </c>
      <c r="B1397" s="3" t="s">
        <v>665</v>
      </c>
      <c r="C1397" s="3" t="s">
        <v>42</v>
      </c>
      <c r="D1397" s="3" t="s">
        <v>676</v>
      </c>
      <c r="E1397" s="3" t="s">
        <v>141</v>
      </c>
      <c r="F1397" s="3"/>
      <c r="G1397" s="3"/>
      <c r="H1397" s="3"/>
      <c r="I1397" s="3"/>
    </row>
    <row r="1398" spans="1:9" s="5" customFormat="1" x14ac:dyDescent="0.35">
      <c r="A1398" s="3" t="s">
        <v>8</v>
      </c>
      <c r="B1398" s="3" t="s">
        <v>665</v>
      </c>
      <c r="C1398" s="3" t="s">
        <v>42</v>
      </c>
      <c r="D1398" s="3" t="s">
        <v>676</v>
      </c>
      <c r="E1398" s="3" t="s">
        <v>142</v>
      </c>
      <c r="F1398" s="3"/>
      <c r="G1398" s="3"/>
      <c r="H1398" s="3"/>
      <c r="I1398" s="3"/>
    </row>
    <row r="1399" spans="1:9" s="5" customFormat="1" x14ac:dyDescent="0.35">
      <c r="A1399" s="3" t="s">
        <v>8</v>
      </c>
      <c r="B1399" s="3" t="s">
        <v>665</v>
      </c>
      <c r="C1399" s="3" t="s">
        <v>42</v>
      </c>
      <c r="D1399" s="3" t="s">
        <v>676</v>
      </c>
      <c r="E1399" s="3" t="s">
        <v>44</v>
      </c>
      <c r="F1399" s="3"/>
      <c r="G1399" s="3"/>
      <c r="H1399" s="3"/>
      <c r="I1399" s="3"/>
    </row>
    <row r="1400" spans="1:9" s="5" customFormat="1" x14ac:dyDescent="0.35">
      <c r="A1400" s="3" t="s">
        <v>8</v>
      </c>
      <c r="B1400" s="3" t="s">
        <v>665</v>
      </c>
      <c r="C1400" s="3" t="s">
        <v>42</v>
      </c>
      <c r="D1400" s="3" t="s">
        <v>676</v>
      </c>
      <c r="E1400" s="3" t="s">
        <v>31</v>
      </c>
      <c r="F1400" s="3"/>
      <c r="G1400" s="3"/>
      <c r="H1400" s="3"/>
      <c r="I1400" s="3"/>
    </row>
    <row r="1401" spans="1:9" s="5" customFormat="1" x14ac:dyDescent="0.35">
      <c r="A1401" s="3" t="s">
        <v>8</v>
      </c>
      <c r="B1401" s="3" t="s">
        <v>665</v>
      </c>
      <c r="C1401" s="3" t="s">
        <v>42</v>
      </c>
      <c r="D1401" s="3" t="s">
        <v>676</v>
      </c>
      <c r="E1401" s="3" t="s">
        <v>15</v>
      </c>
      <c r="F1401" s="3" t="s">
        <v>13</v>
      </c>
      <c r="G1401" s="3" t="s">
        <v>677</v>
      </c>
      <c r="H1401" s="3"/>
      <c r="I1401" s="3"/>
    </row>
    <row r="1402" spans="1:9" s="5" customFormat="1" x14ac:dyDescent="0.35">
      <c r="A1402" s="3" t="s">
        <v>8</v>
      </c>
      <c r="B1402" s="3" t="s">
        <v>665</v>
      </c>
      <c r="C1402" s="3" t="s">
        <v>42</v>
      </c>
      <c r="D1402" s="3" t="s">
        <v>676</v>
      </c>
      <c r="E1402" s="3" t="s">
        <v>56</v>
      </c>
      <c r="F1402" s="3" t="s">
        <v>16</v>
      </c>
      <c r="G1402" s="3" t="s">
        <v>678</v>
      </c>
      <c r="H1402" s="3"/>
      <c r="I1402" s="3"/>
    </row>
    <row r="1403" spans="1:9" s="5" customFormat="1" x14ac:dyDescent="0.35">
      <c r="A1403" s="3" t="s">
        <v>8</v>
      </c>
      <c r="B1403" s="3" t="s">
        <v>665</v>
      </c>
      <c r="C1403" s="3" t="s">
        <v>42</v>
      </c>
      <c r="D1403" s="3" t="s">
        <v>676</v>
      </c>
      <c r="E1403" s="3" t="s">
        <v>32</v>
      </c>
      <c r="F1403" s="3"/>
      <c r="G1403" s="3" t="s">
        <v>2293</v>
      </c>
      <c r="H1403" s="3"/>
      <c r="I1403" s="3"/>
    </row>
    <row r="1404" spans="1:9" s="5" customFormat="1" x14ac:dyDescent="0.35">
      <c r="A1404" s="3" t="s">
        <v>8</v>
      </c>
      <c r="B1404" s="3" t="s">
        <v>665</v>
      </c>
      <c r="C1404" s="3" t="s">
        <v>42</v>
      </c>
      <c r="D1404" s="3" t="s">
        <v>676</v>
      </c>
      <c r="E1404" s="3" t="s">
        <v>29</v>
      </c>
      <c r="F1404" s="3" t="s">
        <v>13</v>
      </c>
      <c r="G1404" s="3" t="s">
        <v>148</v>
      </c>
      <c r="H1404" s="3"/>
      <c r="I1404" s="3"/>
    </row>
    <row r="1405" spans="1:9" s="5" customFormat="1" x14ac:dyDescent="0.35">
      <c r="A1405" s="3" t="s">
        <v>8</v>
      </c>
      <c r="B1405" s="3" t="s">
        <v>665</v>
      </c>
      <c r="C1405" s="3" t="s">
        <v>42</v>
      </c>
      <c r="D1405" s="3" t="s">
        <v>676</v>
      </c>
      <c r="E1405" s="3" t="s">
        <v>24</v>
      </c>
      <c r="F1405" s="3"/>
      <c r="G1405" s="3"/>
      <c r="H1405" s="3"/>
      <c r="I1405" s="3"/>
    </row>
    <row r="1406" spans="1:9" s="5" customFormat="1" x14ac:dyDescent="0.35">
      <c r="A1406" s="3" t="s">
        <v>8</v>
      </c>
      <c r="B1406" s="3" t="s">
        <v>665</v>
      </c>
      <c r="C1406" s="3" t="s">
        <v>42</v>
      </c>
      <c r="D1406" s="3" t="s">
        <v>676</v>
      </c>
      <c r="E1406" s="3" t="s">
        <v>134</v>
      </c>
      <c r="F1406" s="3" t="s">
        <v>13</v>
      </c>
      <c r="G1406" s="3" t="s">
        <v>679</v>
      </c>
      <c r="H1406" s="3"/>
      <c r="I1406" s="3"/>
    </row>
    <row r="1407" spans="1:9" s="5" customFormat="1" x14ac:dyDescent="0.35">
      <c r="A1407" s="3" t="s">
        <v>8</v>
      </c>
      <c r="B1407" s="3" t="s">
        <v>665</v>
      </c>
      <c r="C1407" s="3" t="s">
        <v>42</v>
      </c>
      <c r="D1407" s="3" t="s">
        <v>676</v>
      </c>
      <c r="E1407" s="3" t="s">
        <v>107</v>
      </c>
      <c r="F1407" s="3" t="s">
        <v>13</v>
      </c>
      <c r="G1407" s="3" t="s">
        <v>511</v>
      </c>
      <c r="H1407" s="3"/>
      <c r="I1407" s="3"/>
    </row>
    <row r="1408" spans="1:9" s="5" customFormat="1" x14ac:dyDescent="0.35">
      <c r="A1408" s="3" t="s">
        <v>8</v>
      </c>
      <c r="B1408" s="3" t="s">
        <v>665</v>
      </c>
      <c r="C1408" s="3" t="s">
        <v>10</v>
      </c>
      <c r="D1408" s="3" t="s">
        <v>681</v>
      </c>
      <c r="E1408" s="3" t="s">
        <v>25</v>
      </c>
      <c r="F1408" s="3"/>
      <c r="G1408" s="3"/>
      <c r="H1408" s="3"/>
      <c r="I1408" s="3"/>
    </row>
    <row r="1409" spans="1:9" s="5" customFormat="1" x14ac:dyDescent="0.35">
      <c r="A1409" s="3" t="s">
        <v>8</v>
      </c>
      <c r="B1409" s="3" t="s">
        <v>665</v>
      </c>
      <c r="C1409" s="3" t="s">
        <v>10</v>
      </c>
      <c r="D1409" s="3" t="s">
        <v>681</v>
      </c>
      <c r="E1409" s="3" t="s">
        <v>142</v>
      </c>
      <c r="F1409" s="3"/>
      <c r="G1409" s="3"/>
      <c r="H1409" s="3"/>
      <c r="I1409" s="3"/>
    </row>
    <row r="1410" spans="1:9" s="5" customFormat="1" x14ac:dyDescent="0.35">
      <c r="A1410" s="3" t="s">
        <v>8</v>
      </c>
      <c r="B1410" s="3" t="s">
        <v>665</v>
      </c>
      <c r="C1410" s="3" t="s">
        <v>10</v>
      </c>
      <c r="D1410" s="3" t="s">
        <v>681</v>
      </c>
      <c r="E1410" s="3" t="s">
        <v>62</v>
      </c>
      <c r="F1410" s="3"/>
      <c r="G1410" s="3"/>
      <c r="H1410" s="3"/>
      <c r="I1410" s="3"/>
    </row>
    <row r="1411" spans="1:9" s="5" customFormat="1" x14ac:dyDescent="0.35">
      <c r="A1411" s="3" t="s">
        <v>8</v>
      </c>
      <c r="B1411" s="3" t="s">
        <v>665</v>
      </c>
      <c r="C1411" s="3" t="s">
        <v>45</v>
      </c>
      <c r="D1411" s="3" t="s">
        <v>682</v>
      </c>
      <c r="E1411" s="3" t="s">
        <v>77</v>
      </c>
      <c r="F1411" s="3"/>
      <c r="G1411" s="3"/>
      <c r="H1411" s="3"/>
      <c r="I1411" s="3"/>
    </row>
    <row r="1412" spans="1:9" s="5" customFormat="1" x14ac:dyDescent="0.35">
      <c r="A1412" s="3" t="s">
        <v>8</v>
      </c>
      <c r="B1412" s="3" t="s">
        <v>665</v>
      </c>
      <c r="C1412" s="3" t="s">
        <v>45</v>
      </c>
      <c r="D1412" s="3" t="s">
        <v>683</v>
      </c>
      <c r="E1412" s="3" t="s">
        <v>77</v>
      </c>
      <c r="F1412" s="3"/>
      <c r="G1412" s="3"/>
      <c r="H1412" s="3"/>
      <c r="I1412" s="3"/>
    </row>
    <row r="1413" spans="1:9" s="5" customFormat="1" x14ac:dyDescent="0.35">
      <c r="A1413" s="3" t="s">
        <v>8</v>
      </c>
      <c r="B1413" s="3" t="s">
        <v>665</v>
      </c>
      <c r="C1413" s="3" t="s">
        <v>45</v>
      </c>
      <c r="D1413" s="3" t="s">
        <v>684</v>
      </c>
      <c r="E1413" s="3" t="s">
        <v>77</v>
      </c>
      <c r="F1413" s="3"/>
      <c r="G1413" s="3"/>
      <c r="H1413" s="3"/>
      <c r="I1413" s="3"/>
    </row>
    <row r="1414" spans="1:9" s="5" customFormat="1" x14ac:dyDescent="0.35">
      <c r="A1414" s="3" t="s">
        <v>8</v>
      </c>
      <c r="B1414" s="3" t="s">
        <v>665</v>
      </c>
      <c r="C1414" s="3" t="s">
        <v>10</v>
      </c>
      <c r="D1414" s="3" t="s">
        <v>685</v>
      </c>
      <c r="E1414" s="3" t="s">
        <v>47</v>
      </c>
      <c r="F1414" s="3" t="s">
        <v>33</v>
      </c>
      <c r="G1414" s="3" t="s">
        <v>686</v>
      </c>
      <c r="H1414" s="3"/>
      <c r="I1414" s="3"/>
    </row>
    <row r="1415" spans="1:9" s="5" customFormat="1" x14ac:dyDescent="0.35">
      <c r="A1415" s="3" t="s">
        <v>8</v>
      </c>
      <c r="B1415" s="3" t="s">
        <v>665</v>
      </c>
      <c r="C1415" s="3" t="s">
        <v>10</v>
      </c>
      <c r="D1415" s="3" t="s">
        <v>685</v>
      </c>
      <c r="E1415" s="3" t="s">
        <v>15</v>
      </c>
      <c r="F1415" s="3" t="s">
        <v>33</v>
      </c>
      <c r="G1415" s="3" t="s">
        <v>686</v>
      </c>
      <c r="H1415" s="3"/>
      <c r="I1415" s="3"/>
    </row>
    <row r="1416" spans="1:9" s="5" customFormat="1" x14ac:dyDescent="0.35">
      <c r="A1416" s="3" t="s">
        <v>8</v>
      </c>
      <c r="B1416" s="3" t="s">
        <v>665</v>
      </c>
      <c r="C1416" s="3" t="s">
        <v>10</v>
      </c>
      <c r="D1416" s="3" t="s">
        <v>685</v>
      </c>
      <c r="E1416" s="3" t="s">
        <v>29</v>
      </c>
      <c r="F1416" s="3" t="s">
        <v>33</v>
      </c>
      <c r="G1416" s="3" t="s">
        <v>686</v>
      </c>
      <c r="H1416" s="3"/>
      <c r="I1416" s="3"/>
    </row>
    <row r="1417" spans="1:9" s="5" customFormat="1" x14ac:dyDescent="0.35">
      <c r="A1417" s="3" t="s">
        <v>8</v>
      </c>
      <c r="B1417" s="3" t="s">
        <v>665</v>
      </c>
      <c r="C1417" s="3" t="s">
        <v>10</v>
      </c>
      <c r="D1417" s="3" t="s">
        <v>687</v>
      </c>
      <c r="E1417" s="3" t="s">
        <v>47</v>
      </c>
      <c r="F1417" s="3"/>
      <c r="G1417" s="3"/>
      <c r="H1417" s="3"/>
      <c r="I1417" s="3"/>
    </row>
    <row r="1418" spans="1:9" s="5" customFormat="1" x14ac:dyDescent="0.35">
      <c r="A1418" s="3" t="s">
        <v>8</v>
      </c>
      <c r="B1418" s="3" t="s">
        <v>665</v>
      </c>
      <c r="C1418" s="3" t="s">
        <v>10</v>
      </c>
      <c r="D1418" s="3" t="s">
        <v>687</v>
      </c>
      <c r="E1418" s="3" t="s">
        <v>28</v>
      </c>
      <c r="F1418" s="3"/>
      <c r="G1418" s="3" t="s">
        <v>2678</v>
      </c>
      <c r="H1418" s="3"/>
      <c r="I1418" s="3"/>
    </row>
    <row r="1419" spans="1:9" s="5" customFormat="1" x14ac:dyDescent="0.35">
      <c r="A1419" s="3" t="s">
        <v>8</v>
      </c>
      <c r="B1419" s="3" t="s">
        <v>665</v>
      </c>
      <c r="C1419" s="3" t="s">
        <v>10</v>
      </c>
      <c r="D1419" s="3" t="s">
        <v>687</v>
      </c>
      <c r="E1419" s="3" t="s">
        <v>15</v>
      </c>
      <c r="F1419" s="3" t="s">
        <v>13</v>
      </c>
      <c r="G1419" s="3" t="s">
        <v>688</v>
      </c>
      <c r="H1419" s="3"/>
      <c r="I1419" s="3"/>
    </row>
    <row r="1420" spans="1:9" s="5" customFormat="1" x14ac:dyDescent="0.35">
      <c r="A1420" s="3" t="s">
        <v>8</v>
      </c>
      <c r="B1420" s="3" t="s">
        <v>665</v>
      </c>
      <c r="C1420" s="3" t="s">
        <v>45</v>
      </c>
      <c r="D1420" s="3" t="s">
        <v>689</v>
      </c>
      <c r="E1420" s="3" t="s">
        <v>77</v>
      </c>
      <c r="F1420" s="3"/>
      <c r="G1420" s="3"/>
      <c r="H1420" s="3"/>
      <c r="I1420" s="3"/>
    </row>
    <row r="1421" spans="1:9" s="5" customFormat="1" x14ac:dyDescent="0.35">
      <c r="A1421" s="3" t="s">
        <v>8</v>
      </c>
      <c r="B1421" s="3" t="s">
        <v>665</v>
      </c>
      <c r="C1421" s="3" t="s">
        <v>10</v>
      </c>
      <c r="D1421" s="3" t="s">
        <v>690</v>
      </c>
      <c r="E1421" s="3" t="s">
        <v>47</v>
      </c>
      <c r="F1421" s="3"/>
      <c r="G1421" s="3"/>
      <c r="H1421" s="3"/>
      <c r="I1421" s="3"/>
    </row>
    <row r="1422" spans="1:9" s="5" customFormat="1" x14ac:dyDescent="0.35">
      <c r="A1422" s="3" t="s">
        <v>8</v>
      </c>
      <c r="B1422" s="3" t="s">
        <v>665</v>
      </c>
      <c r="C1422" s="3" t="s">
        <v>10</v>
      </c>
      <c r="D1422" s="3" t="s">
        <v>690</v>
      </c>
      <c r="E1422" s="3" t="s">
        <v>15</v>
      </c>
      <c r="F1422" s="3" t="s">
        <v>13</v>
      </c>
      <c r="G1422" s="3" t="s">
        <v>691</v>
      </c>
      <c r="H1422" s="3"/>
      <c r="I1422" s="3"/>
    </row>
    <row r="1423" spans="1:9" s="5" customFormat="1" x14ac:dyDescent="0.35">
      <c r="A1423" s="3" t="s">
        <v>8</v>
      </c>
      <c r="B1423" s="3" t="s">
        <v>665</v>
      </c>
      <c r="C1423" s="3" t="s">
        <v>10</v>
      </c>
      <c r="D1423" s="3" t="s">
        <v>690</v>
      </c>
      <c r="E1423" s="3" t="s">
        <v>107</v>
      </c>
      <c r="F1423" s="3" t="s">
        <v>13</v>
      </c>
      <c r="G1423" s="3" t="s">
        <v>511</v>
      </c>
      <c r="H1423" s="3"/>
      <c r="I1423" s="3"/>
    </row>
    <row r="1424" spans="1:9" s="5" customFormat="1" x14ac:dyDescent="0.35">
      <c r="A1424" s="3" t="s">
        <v>8</v>
      </c>
      <c r="B1424" s="3" t="s">
        <v>665</v>
      </c>
      <c r="C1424" s="3" t="s">
        <v>45</v>
      </c>
      <c r="D1424" s="3" t="s">
        <v>2882</v>
      </c>
      <c r="E1424" s="3" t="s">
        <v>87</v>
      </c>
      <c r="F1424" s="3"/>
      <c r="G1424" s="3"/>
      <c r="H1424" s="3"/>
      <c r="I1424" s="3"/>
    </row>
    <row r="1425" spans="1:9" s="5" customFormat="1" x14ac:dyDescent="0.35">
      <c r="A1425" s="3" t="s">
        <v>8</v>
      </c>
      <c r="B1425" s="3" t="s">
        <v>665</v>
      </c>
      <c r="C1425" s="3" t="s">
        <v>45</v>
      </c>
      <c r="D1425" s="3" t="s">
        <v>2882</v>
      </c>
      <c r="E1425" s="3" t="s">
        <v>56</v>
      </c>
      <c r="F1425" s="3" t="s">
        <v>16</v>
      </c>
      <c r="G1425" s="3" t="s">
        <v>2883</v>
      </c>
      <c r="H1425" s="3"/>
      <c r="I1425" s="3"/>
    </row>
    <row r="1426" spans="1:9" s="5" customFormat="1" x14ac:dyDescent="0.35">
      <c r="A1426" s="3" t="s">
        <v>8</v>
      </c>
      <c r="B1426" s="3" t="s">
        <v>665</v>
      </c>
      <c r="C1426" s="3" t="s">
        <v>10</v>
      </c>
      <c r="D1426" s="3" t="s">
        <v>692</v>
      </c>
      <c r="E1426" s="3" t="s">
        <v>15</v>
      </c>
      <c r="F1426" s="3" t="s">
        <v>13</v>
      </c>
      <c r="G1426" s="3" t="s">
        <v>693</v>
      </c>
      <c r="H1426" s="3"/>
      <c r="I1426" s="3"/>
    </row>
    <row r="1427" spans="1:9" s="5" customFormat="1" x14ac:dyDescent="0.35">
      <c r="A1427" s="3" t="s">
        <v>8</v>
      </c>
      <c r="B1427" s="3" t="s">
        <v>665</v>
      </c>
      <c r="C1427" s="3" t="s">
        <v>10</v>
      </c>
      <c r="D1427" s="3" t="s">
        <v>694</v>
      </c>
      <c r="E1427" s="3" t="s">
        <v>47</v>
      </c>
      <c r="F1427" s="3"/>
      <c r="G1427" s="3"/>
      <c r="H1427" s="3"/>
      <c r="I1427" s="3"/>
    </row>
    <row r="1428" spans="1:9" s="5" customFormat="1" x14ac:dyDescent="0.35">
      <c r="A1428" s="3" t="s">
        <v>8</v>
      </c>
      <c r="B1428" s="3" t="s">
        <v>665</v>
      </c>
      <c r="C1428" s="3" t="s">
        <v>10</v>
      </c>
      <c r="D1428" s="3" t="s">
        <v>694</v>
      </c>
      <c r="E1428" s="3" t="s">
        <v>15</v>
      </c>
      <c r="F1428" s="3" t="s">
        <v>13</v>
      </c>
      <c r="G1428" s="3" t="s">
        <v>695</v>
      </c>
      <c r="H1428" s="3"/>
      <c r="I1428" s="3"/>
    </row>
    <row r="1429" spans="1:9" s="5" customFormat="1" x14ac:dyDescent="0.35">
      <c r="A1429" s="3" t="s">
        <v>8</v>
      </c>
      <c r="B1429" s="3" t="s">
        <v>665</v>
      </c>
      <c r="C1429" s="3" t="s">
        <v>45</v>
      </c>
      <c r="D1429" s="3" t="s">
        <v>696</v>
      </c>
      <c r="E1429" s="3" t="s">
        <v>56</v>
      </c>
      <c r="F1429" s="3" t="s">
        <v>33</v>
      </c>
      <c r="G1429" s="3" t="s">
        <v>34</v>
      </c>
      <c r="H1429" s="3"/>
      <c r="I1429" s="3"/>
    </row>
    <row r="1430" spans="1:9" s="5" customFormat="1" x14ac:dyDescent="0.35">
      <c r="A1430" s="3" t="s">
        <v>8</v>
      </c>
      <c r="B1430" s="3" t="s">
        <v>665</v>
      </c>
      <c r="C1430" s="3" t="s">
        <v>45</v>
      </c>
      <c r="D1430" s="3" t="s">
        <v>697</v>
      </c>
      <c r="E1430" s="3" t="s">
        <v>217</v>
      </c>
      <c r="F1430" s="3" t="s">
        <v>33</v>
      </c>
      <c r="G1430" s="3" t="s">
        <v>2661</v>
      </c>
      <c r="H1430" s="3"/>
      <c r="I1430" s="3"/>
    </row>
    <row r="1431" spans="1:9" s="5" customFormat="1" x14ac:dyDescent="0.35">
      <c r="A1431" s="3" t="s">
        <v>8</v>
      </c>
      <c r="B1431" s="3" t="s">
        <v>665</v>
      </c>
      <c r="C1431" s="3" t="s">
        <v>45</v>
      </c>
      <c r="D1431" s="3" t="s">
        <v>697</v>
      </c>
      <c r="E1431" s="3" t="s">
        <v>77</v>
      </c>
      <c r="F1431" s="3" t="s">
        <v>33</v>
      </c>
      <c r="G1431" s="3" t="s">
        <v>2661</v>
      </c>
      <c r="H1431" s="3"/>
      <c r="I1431" s="3"/>
    </row>
    <row r="1432" spans="1:9" s="5" customFormat="1" x14ac:dyDescent="0.35">
      <c r="A1432" s="3" t="s">
        <v>8</v>
      </c>
      <c r="B1432" s="3" t="s">
        <v>665</v>
      </c>
      <c r="C1432" s="3" t="s">
        <v>45</v>
      </c>
      <c r="D1432" s="3" t="s">
        <v>697</v>
      </c>
      <c r="E1432" s="3" t="s">
        <v>28</v>
      </c>
      <c r="F1432" s="3" t="s">
        <v>33</v>
      </c>
      <c r="G1432" s="3" t="s">
        <v>2661</v>
      </c>
      <c r="H1432" s="3"/>
      <c r="I1432" s="3"/>
    </row>
    <row r="1433" spans="1:9" s="5" customFormat="1" x14ac:dyDescent="0.35">
      <c r="A1433" s="3" t="s">
        <v>8</v>
      </c>
      <c r="B1433" s="3" t="s">
        <v>665</v>
      </c>
      <c r="C1433" s="3" t="s">
        <v>45</v>
      </c>
      <c r="D1433" s="3" t="s">
        <v>697</v>
      </c>
      <c r="E1433" s="3" t="s">
        <v>56</v>
      </c>
      <c r="F1433" s="3" t="s">
        <v>33</v>
      </c>
      <c r="G1433" s="3" t="s">
        <v>2661</v>
      </c>
      <c r="H1433" s="3"/>
      <c r="I1433" s="3"/>
    </row>
    <row r="1434" spans="1:9" s="5" customFormat="1" x14ac:dyDescent="0.35">
      <c r="A1434" s="3" t="s">
        <v>8</v>
      </c>
      <c r="B1434" s="3" t="s">
        <v>665</v>
      </c>
      <c r="C1434" s="3" t="s">
        <v>39</v>
      </c>
      <c r="D1434" s="3" t="s">
        <v>698</v>
      </c>
      <c r="E1434" s="3" t="s">
        <v>12</v>
      </c>
      <c r="F1434" s="3"/>
      <c r="G1434" s="3" t="s">
        <v>2357</v>
      </c>
      <c r="H1434" s="3"/>
      <c r="I1434" s="3"/>
    </row>
    <row r="1435" spans="1:9" s="5" customFormat="1" x14ac:dyDescent="0.35">
      <c r="A1435" s="3" t="s">
        <v>8</v>
      </c>
      <c r="B1435" s="3" t="s">
        <v>665</v>
      </c>
      <c r="C1435" s="3" t="s">
        <v>39</v>
      </c>
      <c r="D1435" s="3" t="s">
        <v>698</v>
      </c>
      <c r="E1435" s="3" t="s">
        <v>47</v>
      </c>
      <c r="F1435" s="3" t="s">
        <v>13</v>
      </c>
      <c r="G1435" s="3" t="s">
        <v>365</v>
      </c>
      <c r="H1435" s="3"/>
      <c r="I1435" s="3"/>
    </row>
    <row r="1436" spans="1:9" s="5" customFormat="1" x14ac:dyDescent="0.35">
      <c r="A1436" s="3" t="s">
        <v>8</v>
      </c>
      <c r="B1436" s="3" t="s">
        <v>665</v>
      </c>
      <c r="C1436" s="3" t="s">
        <v>39</v>
      </c>
      <c r="D1436" s="3" t="s">
        <v>698</v>
      </c>
      <c r="E1436" s="3" t="s">
        <v>25</v>
      </c>
      <c r="F1436" s="3" t="s">
        <v>13</v>
      </c>
      <c r="G1436" s="3" t="s">
        <v>365</v>
      </c>
      <c r="H1436" s="3"/>
      <c r="I1436" s="3"/>
    </row>
    <row r="1437" spans="1:9" s="5" customFormat="1" x14ac:dyDescent="0.35">
      <c r="A1437" s="3" t="s">
        <v>8</v>
      </c>
      <c r="B1437" s="3" t="s">
        <v>665</v>
      </c>
      <c r="C1437" s="3" t="s">
        <v>39</v>
      </c>
      <c r="D1437" s="3" t="s">
        <v>698</v>
      </c>
      <c r="E1437" s="3" t="s">
        <v>28</v>
      </c>
      <c r="F1437" s="3" t="s">
        <v>13</v>
      </c>
      <c r="G1437" s="3" t="s">
        <v>365</v>
      </c>
      <c r="H1437" s="3"/>
      <c r="I1437" s="3"/>
    </row>
    <row r="1438" spans="1:9" s="5" customFormat="1" x14ac:dyDescent="0.35">
      <c r="A1438" s="3" t="s">
        <v>8</v>
      </c>
      <c r="B1438" s="3" t="s">
        <v>665</v>
      </c>
      <c r="C1438" s="3" t="s">
        <v>39</v>
      </c>
      <c r="D1438" s="3" t="s">
        <v>698</v>
      </c>
      <c r="E1438" s="3" t="s">
        <v>56</v>
      </c>
      <c r="F1438" s="3" t="s">
        <v>13</v>
      </c>
      <c r="G1438" s="3" t="s">
        <v>699</v>
      </c>
      <c r="H1438" s="3"/>
      <c r="I1438" s="3"/>
    </row>
    <row r="1439" spans="1:9" s="5" customFormat="1" x14ac:dyDescent="0.35">
      <c r="A1439" s="3" t="s">
        <v>8</v>
      </c>
      <c r="B1439" s="3" t="s">
        <v>665</v>
      </c>
      <c r="C1439" s="3" t="s">
        <v>39</v>
      </c>
      <c r="D1439" s="3" t="s">
        <v>698</v>
      </c>
      <c r="E1439" s="3" t="s">
        <v>32</v>
      </c>
      <c r="F1439" s="3" t="s">
        <v>13</v>
      </c>
      <c r="G1439" s="3" t="s">
        <v>365</v>
      </c>
      <c r="H1439" s="3"/>
      <c r="I1439" s="3"/>
    </row>
    <row r="1440" spans="1:9" s="5" customFormat="1" x14ac:dyDescent="0.35">
      <c r="A1440" s="3" t="s">
        <v>8</v>
      </c>
      <c r="B1440" s="3" t="s">
        <v>665</v>
      </c>
      <c r="C1440" s="3" t="s">
        <v>39</v>
      </c>
      <c r="D1440" s="3" t="s">
        <v>698</v>
      </c>
      <c r="E1440" s="3" t="s">
        <v>29</v>
      </c>
      <c r="F1440" s="3" t="s">
        <v>13</v>
      </c>
      <c r="G1440" s="3" t="s">
        <v>365</v>
      </c>
      <c r="H1440" s="3"/>
      <c r="I1440" s="3"/>
    </row>
    <row r="1441" spans="1:9" s="5" customFormat="1" x14ac:dyDescent="0.35">
      <c r="A1441" s="3" t="s">
        <v>8</v>
      </c>
      <c r="B1441" s="3" t="s">
        <v>665</v>
      </c>
      <c r="C1441" s="3" t="s">
        <v>39</v>
      </c>
      <c r="D1441" s="3" t="s">
        <v>698</v>
      </c>
      <c r="E1441" s="3" t="s">
        <v>134</v>
      </c>
      <c r="F1441" s="3" t="s">
        <v>13</v>
      </c>
      <c r="G1441" s="3" t="s">
        <v>365</v>
      </c>
      <c r="H1441" s="3"/>
      <c r="I1441" s="3"/>
    </row>
    <row r="1442" spans="1:9" s="5" customFormat="1" x14ac:dyDescent="0.35">
      <c r="A1442" s="3" t="s">
        <v>8</v>
      </c>
      <c r="B1442" s="3" t="s">
        <v>665</v>
      </c>
      <c r="C1442" s="3" t="s">
        <v>39</v>
      </c>
      <c r="D1442" s="3" t="s">
        <v>698</v>
      </c>
      <c r="E1442" s="3" t="s">
        <v>107</v>
      </c>
      <c r="F1442" s="3" t="s">
        <v>13</v>
      </c>
      <c r="G1442" s="3" t="s">
        <v>365</v>
      </c>
      <c r="H1442" s="3"/>
      <c r="I1442" s="3"/>
    </row>
    <row r="1443" spans="1:9" s="5" customFormat="1" x14ac:dyDescent="0.35">
      <c r="A1443" s="3" t="s">
        <v>8</v>
      </c>
      <c r="B1443" s="3" t="s">
        <v>665</v>
      </c>
      <c r="C1443" s="3" t="s">
        <v>39</v>
      </c>
      <c r="D1443" s="3" t="s">
        <v>698</v>
      </c>
      <c r="E1443" s="3" t="s">
        <v>82</v>
      </c>
      <c r="F1443" s="3" t="s">
        <v>13</v>
      </c>
      <c r="G1443" s="3" t="s">
        <v>365</v>
      </c>
      <c r="H1443" s="3"/>
      <c r="I1443" s="3"/>
    </row>
    <row r="1444" spans="1:9" s="5" customFormat="1" x14ac:dyDescent="0.35">
      <c r="A1444" s="3" t="s">
        <v>8</v>
      </c>
      <c r="B1444" s="3" t="s">
        <v>665</v>
      </c>
      <c r="C1444" s="3" t="s">
        <v>20</v>
      </c>
      <c r="D1444" s="3" t="s">
        <v>700</v>
      </c>
      <c r="E1444" s="3" t="s">
        <v>25</v>
      </c>
      <c r="F1444" s="3" t="s">
        <v>33</v>
      </c>
      <c r="G1444" s="3" t="s">
        <v>701</v>
      </c>
      <c r="H1444" s="3"/>
      <c r="I1444" s="3"/>
    </row>
    <row r="1445" spans="1:9" s="5" customFormat="1" x14ac:dyDescent="0.35">
      <c r="A1445" s="3" t="s">
        <v>8</v>
      </c>
      <c r="B1445" s="3" t="s">
        <v>665</v>
      </c>
      <c r="C1445" s="3" t="s">
        <v>20</v>
      </c>
      <c r="D1445" s="3" t="s">
        <v>700</v>
      </c>
      <c r="E1445" s="3" t="s">
        <v>142</v>
      </c>
      <c r="F1445" s="3" t="s">
        <v>33</v>
      </c>
      <c r="G1445" s="3" t="s">
        <v>701</v>
      </c>
      <c r="H1445" s="3"/>
      <c r="I1445" s="3"/>
    </row>
    <row r="1446" spans="1:9" s="5" customFormat="1" x14ac:dyDescent="0.35">
      <c r="A1446" s="3" t="s">
        <v>8</v>
      </c>
      <c r="B1446" s="3" t="s">
        <v>665</v>
      </c>
      <c r="C1446" s="3" t="s">
        <v>20</v>
      </c>
      <c r="D1446" s="3" t="s">
        <v>700</v>
      </c>
      <c r="E1446" s="3" t="s">
        <v>28</v>
      </c>
      <c r="F1446" s="3" t="s">
        <v>33</v>
      </c>
      <c r="G1446" s="3" t="s">
        <v>701</v>
      </c>
      <c r="H1446" s="3"/>
      <c r="I1446" s="3"/>
    </row>
    <row r="1447" spans="1:9" s="5" customFormat="1" x14ac:dyDescent="0.35">
      <c r="A1447" s="3" t="s">
        <v>8</v>
      </c>
      <c r="B1447" s="3" t="s">
        <v>665</v>
      </c>
      <c r="C1447" s="3" t="s">
        <v>20</v>
      </c>
      <c r="D1447" s="3" t="s">
        <v>700</v>
      </c>
      <c r="E1447" s="3" t="s">
        <v>56</v>
      </c>
      <c r="F1447" s="3" t="s">
        <v>33</v>
      </c>
      <c r="G1447" s="3" t="s">
        <v>701</v>
      </c>
      <c r="H1447" s="3"/>
      <c r="I1447" s="3"/>
    </row>
    <row r="1448" spans="1:9" s="5" customFormat="1" x14ac:dyDescent="0.35">
      <c r="A1448" s="3" t="s">
        <v>8</v>
      </c>
      <c r="B1448" s="3" t="s">
        <v>665</v>
      </c>
      <c r="C1448" s="3" t="s">
        <v>20</v>
      </c>
      <c r="D1448" s="3" t="s">
        <v>700</v>
      </c>
      <c r="E1448" s="3" t="s">
        <v>29</v>
      </c>
      <c r="F1448" s="3" t="s">
        <v>33</v>
      </c>
      <c r="G1448" s="3" t="s">
        <v>701</v>
      </c>
      <c r="H1448" s="3"/>
      <c r="I1448" s="3"/>
    </row>
    <row r="1449" spans="1:9" s="5" customFormat="1" x14ac:dyDescent="0.35">
      <c r="A1449" s="3" t="s">
        <v>8</v>
      </c>
      <c r="B1449" s="3" t="s">
        <v>665</v>
      </c>
      <c r="C1449" s="3" t="s">
        <v>20</v>
      </c>
      <c r="D1449" s="3" t="s">
        <v>700</v>
      </c>
      <c r="E1449" s="3" t="s">
        <v>134</v>
      </c>
      <c r="F1449" s="3" t="s">
        <v>33</v>
      </c>
      <c r="G1449" s="3" t="s">
        <v>701</v>
      </c>
      <c r="H1449" s="3"/>
      <c r="I1449" s="3"/>
    </row>
    <row r="1450" spans="1:9" s="5" customFormat="1" x14ac:dyDescent="0.35">
      <c r="A1450" s="3" t="s">
        <v>8</v>
      </c>
      <c r="B1450" s="3" t="s">
        <v>665</v>
      </c>
      <c r="C1450" s="3" t="s">
        <v>20</v>
      </c>
      <c r="D1450" s="3" t="s">
        <v>700</v>
      </c>
      <c r="E1450" s="3" t="s">
        <v>107</v>
      </c>
      <c r="F1450" s="3" t="s">
        <v>33</v>
      </c>
      <c r="G1450" s="3" t="s">
        <v>701</v>
      </c>
      <c r="H1450" s="3"/>
      <c r="I1450" s="3"/>
    </row>
    <row r="1451" spans="1:9" s="5" customFormat="1" x14ac:dyDescent="0.35">
      <c r="A1451" s="3" t="s">
        <v>8</v>
      </c>
      <c r="B1451" s="3" t="s">
        <v>665</v>
      </c>
      <c r="C1451" s="3" t="s">
        <v>10</v>
      </c>
      <c r="D1451" s="3" t="s">
        <v>702</v>
      </c>
      <c r="E1451" s="3" t="s">
        <v>12</v>
      </c>
      <c r="F1451" s="3" t="s">
        <v>33</v>
      </c>
      <c r="G1451" s="3" t="s">
        <v>686</v>
      </c>
      <c r="H1451" s="3"/>
      <c r="I1451" s="3"/>
    </row>
    <row r="1452" spans="1:9" s="5" customFormat="1" x14ac:dyDescent="0.35">
      <c r="A1452" s="3" t="s">
        <v>8</v>
      </c>
      <c r="B1452" s="3" t="s">
        <v>665</v>
      </c>
      <c r="C1452" s="3" t="s">
        <v>10</v>
      </c>
      <c r="D1452" s="3" t="s">
        <v>702</v>
      </c>
      <c r="E1452" s="3" t="s">
        <v>23</v>
      </c>
      <c r="F1452" s="3" t="s">
        <v>33</v>
      </c>
      <c r="G1452" s="3" t="s">
        <v>686</v>
      </c>
      <c r="H1452" s="3"/>
      <c r="I1452" s="3"/>
    </row>
    <row r="1453" spans="1:9" s="5" customFormat="1" x14ac:dyDescent="0.35">
      <c r="A1453" s="3" t="s">
        <v>8</v>
      </c>
      <c r="B1453" s="3" t="s">
        <v>665</v>
      </c>
      <c r="C1453" s="3" t="s">
        <v>10</v>
      </c>
      <c r="D1453" s="3" t="s">
        <v>702</v>
      </c>
      <c r="E1453" s="3" t="s">
        <v>47</v>
      </c>
      <c r="F1453" s="3" t="s">
        <v>33</v>
      </c>
      <c r="G1453" s="3" t="s">
        <v>686</v>
      </c>
      <c r="H1453" s="3"/>
      <c r="I1453" s="3"/>
    </row>
    <row r="1454" spans="1:9" s="5" customFormat="1" x14ac:dyDescent="0.35">
      <c r="A1454" s="3" t="s">
        <v>8</v>
      </c>
      <c r="B1454" s="3" t="s">
        <v>665</v>
      </c>
      <c r="C1454" s="3" t="s">
        <v>10</v>
      </c>
      <c r="D1454" s="3" t="s">
        <v>702</v>
      </c>
      <c r="E1454" s="3" t="s">
        <v>77</v>
      </c>
      <c r="F1454" s="3" t="s">
        <v>33</v>
      </c>
      <c r="G1454" s="3" t="s">
        <v>686</v>
      </c>
      <c r="H1454" s="3"/>
      <c r="I1454" s="3"/>
    </row>
    <row r="1455" spans="1:9" s="5" customFormat="1" x14ac:dyDescent="0.35">
      <c r="A1455" s="3" t="s">
        <v>8</v>
      </c>
      <c r="B1455" s="3" t="s">
        <v>665</v>
      </c>
      <c r="C1455" s="3" t="s">
        <v>10</v>
      </c>
      <c r="D1455" s="3" t="s">
        <v>702</v>
      </c>
      <c r="E1455" s="3" t="s">
        <v>28</v>
      </c>
      <c r="F1455" s="3" t="s">
        <v>33</v>
      </c>
      <c r="G1455" s="3" t="s">
        <v>686</v>
      </c>
      <c r="H1455" s="3"/>
      <c r="I1455" s="3"/>
    </row>
    <row r="1456" spans="1:9" s="5" customFormat="1" x14ac:dyDescent="0.35">
      <c r="A1456" s="3" t="s">
        <v>8</v>
      </c>
      <c r="B1456" s="3" t="s">
        <v>665</v>
      </c>
      <c r="C1456" s="3" t="s">
        <v>10</v>
      </c>
      <c r="D1456" s="3" t="s">
        <v>702</v>
      </c>
      <c r="E1456" s="3" t="s">
        <v>57</v>
      </c>
      <c r="F1456" s="3" t="s">
        <v>33</v>
      </c>
      <c r="G1456" s="3" t="s">
        <v>686</v>
      </c>
      <c r="H1456" s="3"/>
      <c r="I1456" s="3"/>
    </row>
    <row r="1457" spans="1:9" s="5" customFormat="1" x14ac:dyDescent="0.35">
      <c r="A1457" s="3" t="s">
        <v>8</v>
      </c>
      <c r="B1457" s="3" t="s">
        <v>665</v>
      </c>
      <c r="C1457" s="3" t="s">
        <v>10</v>
      </c>
      <c r="D1457" s="3" t="s">
        <v>702</v>
      </c>
      <c r="E1457" s="3" t="s">
        <v>29</v>
      </c>
      <c r="F1457" s="3" t="s">
        <v>33</v>
      </c>
      <c r="G1457" s="3" t="s">
        <v>686</v>
      </c>
      <c r="H1457" s="3"/>
      <c r="I1457" s="3"/>
    </row>
    <row r="1458" spans="1:9" s="5" customFormat="1" x14ac:dyDescent="0.35">
      <c r="A1458" s="3" t="s">
        <v>8</v>
      </c>
      <c r="B1458" s="3" t="s">
        <v>665</v>
      </c>
      <c r="C1458" s="3" t="s">
        <v>10</v>
      </c>
      <c r="D1458" s="3" t="s">
        <v>702</v>
      </c>
      <c r="E1458" s="3" t="s">
        <v>107</v>
      </c>
      <c r="F1458" s="3" t="s">
        <v>33</v>
      </c>
      <c r="G1458" s="3" t="s">
        <v>686</v>
      </c>
      <c r="H1458" s="3"/>
      <c r="I1458" s="3"/>
    </row>
    <row r="1459" spans="1:9" s="5" customFormat="1" x14ac:dyDescent="0.35">
      <c r="A1459" s="3" t="s">
        <v>8</v>
      </c>
      <c r="B1459" s="3" t="s">
        <v>665</v>
      </c>
      <c r="C1459" s="3" t="s">
        <v>45</v>
      </c>
      <c r="D1459" s="3" t="s">
        <v>703</v>
      </c>
      <c r="E1459" s="3" t="s">
        <v>77</v>
      </c>
      <c r="F1459" s="3"/>
      <c r="G1459" s="3"/>
      <c r="H1459" s="3"/>
      <c r="I1459" s="3"/>
    </row>
    <row r="1460" spans="1:9" s="5" customFormat="1" x14ac:dyDescent="0.35">
      <c r="A1460" s="3" t="s">
        <v>8</v>
      </c>
      <c r="B1460" s="3" t="s">
        <v>665</v>
      </c>
      <c r="C1460" s="3" t="s">
        <v>45</v>
      </c>
      <c r="D1460" s="3" t="s">
        <v>704</v>
      </c>
      <c r="E1460" s="3" t="s">
        <v>77</v>
      </c>
      <c r="F1460" s="3"/>
      <c r="G1460" s="3"/>
      <c r="H1460" s="3"/>
      <c r="I1460" s="3"/>
    </row>
    <row r="1461" spans="1:9" s="5" customFormat="1" x14ac:dyDescent="0.35">
      <c r="A1461" s="3" t="s">
        <v>8</v>
      </c>
      <c r="B1461" s="3" t="s">
        <v>665</v>
      </c>
      <c r="C1461" s="3" t="s">
        <v>45</v>
      </c>
      <c r="D1461" s="3" t="s">
        <v>705</v>
      </c>
      <c r="E1461" s="3" t="s">
        <v>77</v>
      </c>
      <c r="F1461" s="3"/>
      <c r="G1461" s="3"/>
      <c r="H1461" s="3"/>
      <c r="I1461" s="3"/>
    </row>
    <row r="1462" spans="1:9" s="5" customFormat="1" x14ac:dyDescent="0.35">
      <c r="A1462" s="3" t="s">
        <v>8</v>
      </c>
      <c r="B1462" s="3" t="s">
        <v>665</v>
      </c>
      <c r="C1462" s="3" t="s">
        <v>39</v>
      </c>
      <c r="D1462" s="3" t="s">
        <v>706</v>
      </c>
      <c r="E1462" s="3" t="s">
        <v>47</v>
      </c>
      <c r="F1462" s="3" t="s">
        <v>13</v>
      </c>
      <c r="G1462" s="3" t="s">
        <v>136</v>
      </c>
      <c r="H1462" s="3"/>
      <c r="I1462" s="3"/>
    </row>
    <row r="1463" spans="1:9" s="5" customFormat="1" x14ac:dyDescent="0.35">
      <c r="A1463" s="3" t="s">
        <v>8</v>
      </c>
      <c r="B1463" s="3" t="s">
        <v>665</v>
      </c>
      <c r="C1463" s="3" t="s">
        <v>39</v>
      </c>
      <c r="D1463" s="3" t="s">
        <v>706</v>
      </c>
      <c r="E1463" s="3" t="s">
        <v>25</v>
      </c>
      <c r="F1463" s="3" t="s">
        <v>13</v>
      </c>
      <c r="G1463" s="3" t="s">
        <v>136</v>
      </c>
      <c r="H1463" s="3"/>
      <c r="I1463" s="3"/>
    </row>
    <row r="1464" spans="1:9" s="5" customFormat="1" x14ac:dyDescent="0.35">
      <c r="A1464" s="3" t="s">
        <v>8</v>
      </c>
      <c r="B1464" s="3" t="s">
        <v>665</v>
      </c>
      <c r="C1464" s="3" t="s">
        <v>39</v>
      </c>
      <c r="D1464" s="3" t="s">
        <v>706</v>
      </c>
      <c r="E1464" s="3" t="s">
        <v>141</v>
      </c>
      <c r="F1464" s="3" t="s">
        <v>13</v>
      </c>
      <c r="G1464" s="3" t="s">
        <v>136</v>
      </c>
      <c r="H1464" s="3"/>
      <c r="I1464" s="3"/>
    </row>
    <row r="1465" spans="1:9" s="5" customFormat="1" x14ac:dyDescent="0.35">
      <c r="A1465" s="3" t="s">
        <v>8</v>
      </c>
      <c r="B1465" s="3" t="s">
        <v>665</v>
      </c>
      <c r="C1465" s="3" t="s">
        <v>39</v>
      </c>
      <c r="D1465" s="3" t="s">
        <v>706</v>
      </c>
      <c r="E1465" s="3" t="s">
        <v>28</v>
      </c>
      <c r="F1465" s="3" t="s">
        <v>13</v>
      </c>
      <c r="G1465" s="3" t="s">
        <v>136</v>
      </c>
      <c r="H1465" s="3"/>
      <c r="I1465" s="3"/>
    </row>
    <row r="1466" spans="1:9" s="5" customFormat="1" x14ac:dyDescent="0.35">
      <c r="A1466" s="3" t="s">
        <v>8</v>
      </c>
      <c r="B1466" s="3" t="s">
        <v>665</v>
      </c>
      <c r="C1466" s="3" t="s">
        <v>39</v>
      </c>
      <c r="D1466" s="3" t="s">
        <v>706</v>
      </c>
      <c r="E1466" s="3" t="s">
        <v>32</v>
      </c>
      <c r="F1466" s="3" t="s">
        <v>13</v>
      </c>
      <c r="G1466" s="3" t="s">
        <v>136</v>
      </c>
      <c r="H1466" s="3"/>
      <c r="I1466" s="3"/>
    </row>
    <row r="1467" spans="1:9" s="5" customFormat="1" x14ac:dyDescent="0.35">
      <c r="A1467" s="3" t="s">
        <v>8</v>
      </c>
      <c r="B1467" s="3" t="s">
        <v>665</v>
      </c>
      <c r="C1467" s="3" t="s">
        <v>39</v>
      </c>
      <c r="D1467" s="3" t="s">
        <v>706</v>
      </c>
      <c r="E1467" s="3" t="s">
        <v>134</v>
      </c>
      <c r="F1467" s="3" t="s">
        <v>13</v>
      </c>
      <c r="G1467" s="3" t="s">
        <v>136</v>
      </c>
      <c r="H1467" s="3"/>
      <c r="I1467" s="3"/>
    </row>
    <row r="1468" spans="1:9" s="5" customFormat="1" x14ac:dyDescent="0.35">
      <c r="A1468" s="3" t="s">
        <v>8</v>
      </c>
      <c r="B1468" s="3" t="s">
        <v>665</v>
      </c>
      <c r="C1468" s="3" t="s">
        <v>39</v>
      </c>
      <c r="D1468" s="3" t="s">
        <v>707</v>
      </c>
      <c r="E1468" s="3" t="s">
        <v>47</v>
      </c>
      <c r="F1468" s="3"/>
      <c r="G1468" s="3"/>
      <c r="H1468" s="3"/>
      <c r="I1468" s="3"/>
    </row>
    <row r="1469" spans="1:9" s="5" customFormat="1" x14ac:dyDescent="0.35">
      <c r="A1469" s="3" t="s">
        <v>8</v>
      </c>
      <c r="B1469" s="3" t="s">
        <v>665</v>
      </c>
      <c r="C1469" s="3" t="s">
        <v>39</v>
      </c>
      <c r="D1469" s="3" t="s">
        <v>707</v>
      </c>
      <c r="E1469" s="3" t="s">
        <v>25</v>
      </c>
      <c r="F1469" s="3"/>
      <c r="G1469" s="3"/>
      <c r="H1469" s="3"/>
      <c r="I1469" s="3"/>
    </row>
    <row r="1470" spans="1:9" s="5" customFormat="1" x14ac:dyDescent="0.35">
      <c r="A1470" s="3" t="s">
        <v>8</v>
      </c>
      <c r="B1470" s="3" t="s">
        <v>665</v>
      </c>
      <c r="C1470" s="3" t="s">
        <v>39</v>
      </c>
      <c r="D1470" s="3" t="s">
        <v>707</v>
      </c>
      <c r="E1470" s="3" t="s">
        <v>15</v>
      </c>
      <c r="F1470" s="3" t="s">
        <v>16</v>
      </c>
      <c r="G1470" s="3" t="s">
        <v>2991</v>
      </c>
      <c r="H1470" s="3"/>
      <c r="I1470" s="3"/>
    </row>
    <row r="1471" spans="1:9" s="5" customFormat="1" x14ac:dyDescent="0.35">
      <c r="A1471" s="3" t="s">
        <v>8</v>
      </c>
      <c r="B1471" s="3" t="s">
        <v>665</v>
      </c>
      <c r="C1471" s="3" t="s">
        <v>39</v>
      </c>
      <c r="D1471" s="3" t="s">
        <v>707</v>
      </c>
      <c r="E1471" s="3" t="s">
        <v>152</v>
      </c>
      <c r="F1471" s="3"/>
      <c r="G1471" s="3" t="s">
        <v>2362</v>
      </c>
      <c r="H1471" s="3"/>
      <c r="I1471" s="3"/>
    </row>
    <row r="1472" spans="1:9" s="5" customFormat="1" x14ac:dyDescent="0.35">
      <c r="A1472" s="3" t="s">
        <v>8</v>
      </c>
      <c r="B1472" s="3" t="s">
        <v>665</v>
      </c>
      <c r="C1472" s="3" t="s">
        <v>39</v>
      </c>
      <c r="D1472" s="3" t="s">
        <v>707</v>
      </c>
      <c r="E1472" s="3" t="s">
        <v>107</v>
      </c>
      <c r="F1472" s="3" t="s">
        <v>16</v>
      </c>
      <c r="G1472" s="3" t="s">
        <v>2991</v>
      </c>
      <c r="H1472" s="3"/>
      <c r="I1472" s="3"/>
    </row>
    <row r="1473" spans="1:9" s="5" customFormat="1" x14ac:dyDescent="0.35">
      <c r="A1473" s="3" t="s">
        <v>8</v>
      </c>
      <c r="B1473" s="3" t="s">
        <v>665</v>
      </c>
      <c r="C1473" s="3" t="s">
        <v>45</v>
      </c>
      <c r="D1473" s="3" t="s">
        <v>708</v>
      </c>
      <c r="E1473" s="3" t="s">
        <v>77</v>
      </c>
      <c r="F1473" s="3"/>
      <c r="G1473" s="3"/>
      <c r="H1473" s="3"/>
      <c r="I1473" s="3"/>
    </row>
    <row r="1474" spans="1:9" s="5" customFormat="1" x14ac:dyDescent="0.35">
      <c r="A1474" s="3" t="s">
        <v>8</v>
      </c>
      <c r="B1474" s="3" t="s">
        <v>665</v>
      </c>
      <c r="C1474" s="3" t="s">
        <v>45</v>
      </c>
      <c r="D1474" s="3" t="s">
        <v>2711</v>
      </c>
      <c r="E1474" s="3" t="s">
        <v>77</v>
      </c>
      <c r="F1474" s="3"/>
      <c r="G1474" s="3"/>
      <c r="H1474" s="3"/>
      <c r="I1474" s="3"/>
    </row>
    <row r="1475" spans="1:9" s="5" customFormat="1" x14ac:dyDescent="0.35">
      <c r="A1475" s="3" t="s">
        <v>8</v>
      </c>
      <c r="B1475" s="3" t="s">
        <v>665</v>
      </c>
      <c r="C1475" s="3" t="s">
        <v>45</v>
      </c>
      <c r="D1475" s="3" t="s">
        <v>709</v>
      </c>
      <c r="E1475" s="3" t="s">
        <v>244</v>
      </c>
      <c r="F1475" s="3" t="s">
        <v>33</v>
      </c>
      <c r="G1475" s="3" t="s">
        <v>487</v>
      </c>
      <c r="H1475" s="3"/>
      <c r="I1475" s="3"/>
    </row>
    <row r="1476" spans="1:9" s="5" customFormat="1" x14ac:dyDescent="0.35">
      <c r="A1476" s="3" t="s">
        <v>8</v>
      </c>
      <c r="B1476" s="3" t="s">
        <v>665</v>
      </c>
      <c r="C1476" s="3" t="s">
        <v>45</v>
      </c>
      <c r="D1476" s="3" t="s">
        <v>709</v>
      </c>
      <c r="E1476" s="3" t="s">
        <v>372</v>
      </c>
      <c r="F1476" s="3" t="s">
        <v>33</v>
      </c>
      <c r="G1476" s="3" t="s">
        <v>487</v>
      </c>
      <c r="H1476" s="3"/>
      <c r="I1476" s="3"/>
    </row>
    <row r="1477" spans="1:9" s="5" customFormat="1" x14ac:dyDescent="0.35">
      <c r="A1477" s="3" t="s">
        <v>8</v>
      </c>
      <c r="B1477" s="3" t="s">
        <v>665</v>
      </c>
      <c r="C1477" s="3" t="s">
        <v>45</v>
      </c>
      <c r="D1477" s="3" t="s">
        <v>710</v>
      </c>
      <c r="E1477" s="3" t="s">
        <v>77</v>
      </c>
      <c r="F1477" s="3"/>
      <c r="G1477" s="3"/>
      <c r="H1477" s="3"/>
      <c r="I1477" s="3"/>
    </row>
    <row r="1478" spans="1:9" s="5" customFormat="1" x14ac:dyDescent="0.35">
      <c r="A1478" s="3" t="s">
        <v>8</v>
      </c>
      <c r="B1478" s="3" t="s">
        <v>665</v>
      </c>
      <c r="C1478" s="3" t="s">
        <v>45</v>
      </c>
      <c r="D1478" s="3" t="s">
        <v>2772</v>
      </c>
      <c r="E1478" s="3" t="s">
        <v>56</v>
      </c>
      <c r="F1478" s="3" t="s">
        <v>13</v>
      </c>
      <c r="G1478" s="3" t="s">
        <v>771</v>
      </c>
      <c r="H1478" s="3"/>
      <c r="I1478" s="3"/>
    </row>
    <row r="1479" spans="1:9" s="5" customFormat="1" x14ac:dyDescent="0.35">
      <c r="A1479" s="3" t="s">
        <v>8</v>
      </c>
      <c r="B1479" s="3" t="s">
        <v>665</v>
      </c>
      <c r="C1479" s="3" t="s">
        <v>45</v>
      </c>
      <c r="D1479" s="3" t="s">
        <v>2772</v>
      </c>
      <c r="E1479" s="3" t="s">
        <v>24</v>
      </c>
      <c r="F1479" s="3"/>
      <c r="G1479" s="3"/>
      <c r="H1479" s="3"/>
      <c r="I1479" s="3"/>
    </row>
    <row r="1480" spans="1:9" s="5" customFormat="1" x14ac:dyDescent="0.35">
      <c r="A1480" s="3" t="s">
        <v>8</v>
      </c>
      <c r="B1480" s="3" t="s">
        <v>665</v>
      </c>
      <c r="C1480" s="3" t="s">
        <v>45</v>
      </c>
      <c r="D1480" s="3" t="s">
        <v>2772</v>
      </c>
      <c r="E1480" s="3" t="s">
        <v>244</v>
      </c>
      <c r="F1480" s="3"/>
      <c r="G1480" s="3"/>
      <c r="H1480" s="3"/>
      <c r="I1480" s="3"/>
    </row>
    <row r="1481" spans="1:9" s="5" customFormat="1" x14ac:dyDescent="0.35">
      <c r="A1481" s="3" t="s">
        <v>8</v>
      </c>
      <c r="B1481" s="3" t="s">
        <v>665</v>
      </c>
      <c r="C1481" s="3" t="s">
        <v>45</v>
      </c>
      <c r="D1481" s="3" t="s">
        <v>2772</v>
      </c>
      <c r="E1481" s="3" t="s">
        <v>372</v>
      </c>
      <c r="F1481" s="3" t="s">
        <v>33</v>
      </c>
      <c r="G1481" s="3" t="s">
        <v>2762</v>
      </c>
      <c r="H1481" s="3"/>
      <c r="I1481" s="3"/>
    </row>
    <row r="1482" spans="1:9" s="5" customFormat="1" x14ac:dyDescent="0.35">
      <c r="A1482" s="3" t="s">
        <v>8</v>
      </c>
      <c r="B1482" s="3" t="s">
        <v>665</v>
      </c>
      <c r="C1482" s="3" t="s">
        <v>20</v>
      </c>
      <c r="D1482" s="3" t="s">
        <v>711</v>
      </c>
      <c r="E1482" s="3" t="s">
        <v>12</v>
      </c>
      <c r="F1482" s="3"/>
      <c r="G1482" s="3"/>
      <c r="H1482" s="3"/>
      <c r="I1482" s="3"/>
    </row>
    <row r="1483" spans="1:9" s="5" customFormat="1" x14ac:dyDescent="0.35">
      <c r="A1483" s="3" t="s">
        <v>8</v>
      </c>
      <c r="B1483" s="3" t="s">
        <v>665</v>
      </c>
      <c r="C1483" s="3" t="s">
        <v>20</v>
      </c>
      <c r="D1483" s="3" t="s">
        <v>711</v>
      </c>
      <c r="E1483" s="3" t="s">
        <v>47</v>
      </c>
      <c r="F1483" s="3"/>
      <c r="G1483" s="3"/>
      <c r="H1483" s="3"/>
      <c r="I1483" s="3"/>
    </row>
    <row r="1484" spans="1:9" s="5" customFormat="1" x14ac:dyDescent="0.35">
      <c r="A1484" s="3" t="s">
        <v>8</v>
      </c>
      <c r="B1484" s="3" t="s">
        <v>665</v>
      </c>
      <c r="C1484" s="3" t="s">
        <v>20</v>
      </c>
      <c r="D1484" s="3" t="s">
        <v>711</v>
      </c>
      <c r="E1484" s="3" t="s">
        <v>32</v>
      </c>
      <c r="F1484" s="3"/>
      <c r="G1484" s="3"/>
      <c r="H1484" s="3"/>
      <c r="I1484" s="3"/>
    </row>
    <row r="1485" spans="1:9" s="5" customFormat="1" x14ac:dyDescent="0.35">
      <c r="A1485" s="3" t="s">
        <v>8</v>
      </c>
      <c r="B1485" s="3" t="s">
        <v>665</v>
      </c>
      <c r="C1485" s="3" t="s">
        <v>10</v>
      </c>
      <c r="D1485" s="3" t="s">
        <v>712</v>
      </c>
      <c r="E1485" s="3" t="s">
        <v>15</v>
      </c>
      <c r="F1485" s="3" t="s">
        <v>13</v>
      </c>
      <c r="G1485" s="3" t="s">
        <v>713</v>
      </c>
      <c r="H1485" s="3"/>
      <c r="I1485" s="3"/>
    </row>
    <row r="1486" spans="1:9" s="5" customFormat="1" x14ac:dyDescent="0.35">
      <c r="A1486" s="3" t="s">
        <v>8</v>
      </c>
      <c r="B1486" s="3" t="s">
        <v>665</v>
      </c>
      <c r="C1486" s="3" t="s">
        <v>10</v>
      </c>
      <c r="D1486" s="3" t="s">
        <v>712</v>
      </c>
      <c r="E1486" s="3" t="s">
        <v>32</v>
      </c>
      <c r="F1486" s="3"/>
      <c r="G1486" s="3"/>
      <c r="H1486" s="3"/>
      <c r="I1486" s="3"/>
    </row>
    <row r="1487" spans="1:9" s="5" customFormat="1" x14ac:dyDescent="0.35">
      <c r="A1487" s="3" t="s">
        <v>8</v>
      </c>
      <c r="B1487" s="3" t="s">
        <v>665</v>
      </c>
      <c r="C1487" s="3" t="s">
        <v>20</v>
      </c>
      <c r="D1487" s="3" t="s">
        <v>714</v>
      </c>
      <c r="E1487" s="3" t="s">
        <v>12</v>
      </c>
      <c r="F1487" s="3"/>
      <c r="G1487" s="3"/>
      <c r="H1487" s="3"/>
      <c r="I1487" s="3"/>
    </row>
    <row r="1488" spans="1:9" s="5" customFormat="1" x14ac:dyDescent="0.35">
      <c r="A1488" s="3" t="s">
        <v>8</v>
      </c>
      <c r="B1488" s="3" t="s">
        <v>665</v>
      </c>
      <c r="C1488" s="3" t="s">
        <v>20</v>
      </c>
      <c r="D1488" s="3" t="s">
        <v>714</v>
      </c>
      <c r="E1488" s="3" t="s">
        <v>25</v>
      </c>
      <c r="F1488" s="3"/>
      <c r="G1488" s="3" t="s">
        <v>2378</v>
      </c>
      <c r="H1488" s="3"/>
      <c r="I1488" s="3"/>
    </row>
    <row r="1489" spans="1:9" s="5" customFormat="1" x14ac:dyDescent="0.35">
      <c r="A1489" s="3" t="s">
        <v>8</v>
      </c>
      <c r="B1489" s="3" t="s">
        <v>665</v>
      </c>
      <c r="C1489" s="3" t="s">
        <v>20</v>
      </c>
      <c r="D1489" s="3" t="s">
        <v>714</v>
      </c>
      <c r="E1489" s="3" t="s">
        <v>60</v>
      </c>
      <c r="F1489" s="3"/>
      <c r="G1489" s="3"/>
      <c r="H1489" s="3"/>
      <c r="I1489" s="3"/>
    </row>
    <row r="1490" spans="1:9" s="5" customFormat="1" x14ac:dyDescent="0.35">
      <c r="A1490" s="3" t="s">
        <v>8</v>
      </c>
      <c r="B1490" s="3" t="s">
        <v>665</v>
      </c>
      <c r="C1490" s="3" t="s">
        <v>20</v>
      </c>
      <c r="D1490" s="3" t="s">
        <v>714</v>
      </c>
      <c r="E1490" s="3" t="s">
        <v>141</v>
      </c>
      <c r="F1490" s="3"/>
      <c r="G1490" s="3"/>
      <c r="H1490" s="3"/>
      <c r="I1490" s="3"/>
    </row>
    <row r="1491" spans="1:9" s="5" customFormat="1" x14ac:dyDescent="0.35">
      <c r="A1491" s="3" t="s">
        <v>8</v>
      </c>
      <c r="B1491" s="3" t="s">
        <v>665</v>
      </c>
      <c r="C1491" s="3" t="s">
        <v>20</v>
      </c>
      <c r="D1491" s="3" t="s">
        <v>714</v>
      </c>
      <c r="E1491" s="3" t="s">
        <v>142</v>
      </c>
      <c r="F1491" s="3"/>
      <c r="G1491" s="3"/>
      <c r="H1491" s="3"/>
      <c r="I1491" s="3"/>
    </row>
    <row r="1492" spans="1:9" s="5" customFormat="1" x14ac:dyDescent="0.35">
      <c r="A1492" s="3" t="s">
        <v>8</v>
      </c>
      <c r="B1492" s="3" t="s">
        <v>665</v>
      </c>
      <c r="C1492" s="3" t="s">
        <v>20</v>
      </c>
      <c r="D1492" s="3" t="s">
        <v>714</v>
      </c>
      <c r="E1492" s="3" t="s">
        <v>28</v>
      </c>
      <c r="F1492" s="3"/>
      <c r="G1492" s="3" t="s">
        <v>2392</v>
      </c>
      <c r="H1492" s="3"/>
      <c r="I1492" s="3"/>
    </row>
    <row r="1493" spans="1:9" s="5" customFormat="1" x14ac:dyDescent="0.35">
      <c r="A1493" s="3" t="s">
        <v>8</v>
      </c>
      <c r="B1493" s="3" t="s">
        <v>665</v>
      </c>
      <c r="C1493" s="3" t="s">
        <v>20</v>
      </c>
      <c r="D1493" s="3" t="s">
        <v>714</v>
      </c>
      <c r="E1493" s="3" t="s">
        <v>715</v>
      </c>
      <c r="F1493" s="3"/>
      <c r="G1493" s="3"/>
      <c r="H1493" s="3"/>
      <c r="I1493" s="3"/>
    </row>
    <row r="1494" spans="1:9" s="5" customFormat="1" x14ac:dyDescent="0.35">
      <c r="A1494" s="3" t="s">
        <v>8</v>
      </c>
      <c r="B1494" s="3" t="s">
        <v>665</v>
      </c>
      <c r="C1494" s="3" t="s">
        <v>20</v>
      </c>
      <c r="D1494" s="3" t="s">
        <v>714</v>
      </c>
      <c r="E1494" s="3" t="s">
        <v>242</v>
      </c>
      <c r="F1494" s="3"/>
      <c r="G1494" s="3"/>
      <c r="H1494" s="3"/>
      <c r="I1494" s="3"/>
    </row>
    <row r="1495" spans="1:9" s="5" customFormat="1" x14ac:dyDescent="0.35">
      <c r="A1495" s="3" t="s">
        <v>8</v>
      </c>
      <c r="B1495" s="3" t="s">
        <v>665</v>
      </c>
      <c r="C1495" s="3" t="s">
        <v>20</v>
      </c>
      <c r="D1495" s="3" t="s">
        <v>714</v>
      </c>
      <c r="E1495" s="3" t="s">
        <v>716</v>
      </c>
      <c r="F1495" s="3"/>
      <c r="G1495" s="3"/>
      <c r="H1495" s="3"/>
      <c r="I1495" s="3"/>
    </row>
    <row r="1496" spans="1:9" s="5" customFormat="1" x14ac:dyDescent="0.35">
      <c r="A1496" s="3" t="s">
        <v>8</v>
      </c>
      <c r="B1496" s="3" t="s">
        <v>665</v>
      </c>
      <c r="C1496" s="3" t="s">
        <v>20</v>
      </c>
      <c r="D1496" s="3" t="s">
        <v>714</v>
      </c>
      <c r="E1496" s="3" t="s">
        <v>15</v>
      </c>
      <c r="F1496" s="3"/>
      <c r="G1496" s="3"/>
      <c r="H1496" s="3"/>
      <c r="I1496" s="3"/>
    </row>
    <row r="1497" spans="1:9" s="5" customFormat="1" x14ac:dyDescent="0.35">
      <c r="A1497" s="3" t="s">
        <v>8</v>
      </c>
      <c r="B1497" s="3" t="s">
        <v>665</v>
      </c>
      <c r="C1497" s="3" t="s">
        <v>20</v>
      </c>
      <c r="D1497" s="3" t="s">
        <v>714</v>
      </c>
      <c r="E1497" s="3" t="s">
        <v>57</v>
      </c>
      <c r="F1497" s="3"/>
      <c r="G1497" s="3" t="s">
        <v>2386</v>
      </c>
      <c r="H1497" s="3"/>
      <c r="I1497" s="3"/>
    </row>
    <row r="1498" spans="1:9" s="5" customFormat="1" x14ac:dyDescent="0.35">
      <c r="A1498" s="3" t="s">
        <v>8</v>
      </c>
      <c r="B1498" s="3" t="s">
        <v>665</v>
      </c>
      <c r="C1498" s="3" t="s">
        <v>20</v>
      </c>
      <c r="D1498" s="3" t="s">
        <v>714</v>
      </c>
      <c r="E1498" s="3" t="s">
        <v>56</v>
      </c>
      <c r="F1498" s="3"/>
      <c r="G1498" s="3" t="s">
        <v>2387</v>
      </c>
      <c r="H1498" s="3"/>
      <c r="I1498" s="3"/>
    </row>
    <row r="1499" spans="1:9" s="5" customFormat="1" x14ac:dyDescent="0.35">
      <c r="A1499" s="3" t="s">
        <v>8</v>
      </c>
      <c r="B1499" s="3" t="s">
        <v>665</v>
      </c>
      <c r="C1499" s="3" t="s">
        <v>20</v>
      </c>
      <c r="D1499" s="3" t="s">
        <v>714</v>
      </c>
      <c r="E1499" s="3" t="s">
        <v>175</v>
      </c>
      <c r="F1499" s="3"/>
      <c r="G1499" s="3"/>
      <c r="H1499" s="3"/>
      <c r="I1499" s="3"/>
    </row>
    <row r="1500" spans="1:9" s="5" customFormat="1" x14ac:dyDescent="0.35">
      <c r="A1500" s="3" t="s">
        <v>8</v>
      </c>
      <c r="B1500" s="3" t="s">
        <v>665</v>
      </c>
      <c r="C1500" s="3" t="s">
        <v>20</v>
      </c>
      <c r="D1500" s="3" t="s">
        <v>714</v>
      </c>
      <c r="E1500" s="3" t="s">
        <v>89</v>
      </c>
      <c r="F1500" s="3"/>
      <c r="G1500" s="3" t="s">
        <v>2390</v>
      </c>
      <c r="H1500" s="3"/>
      <c r="I1500" s="3"/>
    </row>
    <row r="1501" spans="1:9" s="5" customFormat="1" x14ac:dyDescent="0.35">
      <c r="A1501" s="3" t="s">
        <v>8</v>
      </c>
      <c r="B1501" s="3" t="s">
        <v>665</v>
      </c>
      <c r="C1501" s="3" t="s">
        <v>20</v>
      </c>
      <c r="D1501" s="3" t="s">
        <v>714</v>
      </c>
      <c r="E1501" s="3" t="s">
        <v>32</v>
      </c>
      <c r="F1501" s="3"/>
      <c r="G1501" s="3" t="s">
        <v>2313</v>
      </c>
      <c r="H1501" s="3"/>
      <c r="I1501" s="3"/>
    </row>
    <row r="1502" spans="1:9" s="5" customFormat="1" x14ac:dyDescent="0.35">
      <c r="A1502" s="3" t="s">
        <v>8</v>
      </c>
      <c r="B1502" s="3" t="s">
        <v>665</v>
      </c>
      <c r="C1502" s="3" t="s">
        <v>20</v>
      </c>
      <c r="D1502" s="3" t="s">
        <v>714</v>
      </c>
      <c r="E1502" s="3" t="s">
        <v>29</v>
      </c>
      <c r="F1502" s="3"/>
      <c r="G1502" s="3" t="s">
        <v>2391</v>
      </c>
      <c r="H1502" s="3"/>
      <c r="I1502" s="3"/>
    </row>
    <row r="1503" spans="1:9" s="5" customFormat="1" x14ac:dyDescent="0.35">
      <c r="A1503" s="3" t="s">
        <v>8</v>
      </c>
      <c r="B1503" s="3" t="s">
        <v>665</v>
      </c>
      <c r="C1503" s="3" t="s">
        <v>20</v>
      </c>
      <c r="D1503" s="3" t="s">
        <v>714</v>
      </c>
      <c r="E1503" s="3" t="s">
        <v>152</v>
      </c>
      <c r="F1503" s="3" t="s">
        <v>13</v>
      </c>
      <c r="G1503" s="3" t="s">
        <v>2388</v>
      </c>
      <c r="H1503" s="3"/>
      <c r="I1503" s="3"/>
    </row>
    <row r="1504" spans="1:9" s="5" customFormat="1" x14ac:dyDescent="0.35">
      <c r="A1504" s="3" t="s">
        <v>8</v>
      </c>
      <c r="B1504" s="3" t="s">
        <v>665</v>
      </c>
      <c r="C1504" s="3" t="s">
        <v>20</v>
      </c>
      <c r="D1504" s="3" t="s">
        <v>714</v>
      </c>
      <c r="E1504" s="3" t="s">
        <v>134</v>
      </c>
      <c r="F1504" s="3"/>
      <c r="G1504" s="3" t="s">
        <v>2389</v>
      </c>
      <c r="H1504" s="3"/>
      <c r="I1504" s="3"/>
    </row>
    <row r="1505" spans="1:9" s="5" customFormat="1" x14ac:dyDescent="0.35">
      <c r="A1505" s="3" t="s">
        <v>8</v>
      </c>
      <c r="B1505" s="3" t="s">
        <v>665</v>
      </c>
      <c r="C1505" s="3" t="s">
        <v>20</v>
      </c>
      <c r="D1505" s="3" t="s">
        <v>714</v>
      </c>
      <c r="E1505" s="3" t="s">
        <v>107</v>
      </c>
      <c r="F1505" s="3"/>
      <c r="G1505" s="3"/>
      <c r="H1505" s="3"/>
      <c r="I1505" s="3"/>
    </row>
    <row r="1506" spans="1:9" s="5" customFormat="1" x14ac:dyDescent="0.35">
      <c r="A1506" s="3" t="s">
        <v>8</v>
      </c>
      <c r="B1506" s="3" t="s">
        <v>665</v>
      </c>
      <c r="C1506" s="3" t="s">
        <v>20</v>
      </c>
      <c r="D1506" s="3" t="s">
        <v>717</v>
      </c>
      <c r="E1506" s="3" t="s">
        <v>12</v>
      </c>
      <c r="F1506" s="3"/>
      <c r="G1506" s="3" t="s">
        <v>2395</v>
      </c>
      <c r="H1506" s="3"/>
      <c r="I1506" s="3"/>
    </row>
    <row r="1507" spans="1:9" s="5" customFormat="1" x14ac:dyDescent="0.35">
      <c r="A1507" s="3" t="s">
        <v>8</v>
      </c>
      <c r="B1507" s="3" t="s">
        <v>665</v>
      </c>
      <c r="C1507" s="3" t="s">
        <v>20</v>
      </c>
      <c r="D1507" s="3" t="s">
        <v>717</v>
      </c>
      <c r="E1507" s="3" t="s">
        <v>25</v>
      </c>
      <c r="F1507" s="3"/>
      <c r="G1507" s="3"/>
      <c r="H1507" s="3"/>
      <c r="I1507" s="3"/>
    </row>
    <row r="1508" spans="1:9" s="5" customFormat="1" x14ac:dyDescent="0.35">
      <c r="A1508" s="3" t="s">
        <v>8</v>
      </c>
      <c r="B1508" s="3" t="s">
        <v>665</v>
      </c>
      <c r="C1508" s="3" t="s">
        <v>20</v>
      </c>
      <c r="D1508" s="3" t="s">
        <v>717</v>
      </c>
      <c r="E1508" s="3" t="s">
        <v>142</v>
      </c>
      <c r="F1508" s="3"/>
      <c r="G1508" s="3"/>
      <c r="H1508" s="3"/>
      <c r="I1508" s="3"/>
    </row>
    <row r="1509" spans="1:9" s="5" customFormat="1" x14ac:dyDescent="0.35">
      <c r="A1509" s="3" t="s">
        <v>8</v>
      </c>
      <c r="B1509" s="3" t="s">
        <v>665</v>
      </c>
      <c r="C1509" s="3" t="s">
        <v>20</v>
      </c>
      <c r="D1509" s="3" t="s">
        <v>717</v>
      </c>
      <c r="E1509" s="3" t="s">
        <v>57</v>
      </c>
      <c r="F1509" s="3"/>
      <c r="G1509" s="3"/>
      <c r="H1509" s="3"/>
      <c r="I1509" s="3"/>
    </row>
    <row r="1510" spans="1:9" s="5" customFormat="1" x14ac:dyDescent="0.35">
      <c r="A1510" s="3" t="s">
        <v>8</v>
      </c>
      <c r="B1510" s="3" t="s">
        <v>665</v>
      </c>
      <c r="C1510" s="3" t="s">
        <v>20</v>
      </c>
      <c r="D1510" s="3" t="s">
        <v>717</v>
      </c>
      <c r="E1510" s="3" t="s">
        <v>32</v>
      </c>
      <c r="F1510" s="3" t="s">
        <v>13</v>
      </c>
      <c r="G1510" s="3" t="s">
        <v>718</v>
      </c>
      <c r="H1510" s="3"/>
      <c r="I1510" s="3"/>
    </row>
    <row r="1511" spans="1:9" s="5" customFormat="1" x14ac:dyDescent="0.35">
      <c r="A1511" s="3" t="s">
        <v>8</v>
      </c>
      <c r="B1511" s="3" t="s">
        <v>665</v>
      </c>
      <c r="C1511" s="3" t="s">
        <v>20</v>
      </c>
      <c r="D1511" s="3" t="s">
        <v>717</v>
      </c>
      <c r="E1511" s="3" t="s">
        <v>29</v>
      </c>
      <c r="F1511" s="3"/>
      <c r="G1511" s="3"/>
      <c r="H1511" s="3"/>
      <c r="I1511" s="3"/>
    </row>
    <row r="1512" spans="1:9" s="5" customFormat="1" x14ac:dyDescent="0.35">
      <c r="A1512" s="3" t="s">
        <v>8</v>
      </c>
      <c r="B1512" s="3" t="s">
        <v>665</v>
      </c>
      <c r="C1512" s="3" t="s">
        <v>20</v>
      </c>
      <c r="D1512" s="3" t="s">
        <v>719</v>
      </c>
      <c r="E1512" s="3" t="s">
        <v>12</v>
      </c>
      <c r="F1512" s="3"/>
      <c r="G1512" s="3"/>
      <c r="H1512" s="3"/>
      <c r="I1512" s="3"/>
    </row>
    <row r="1513" spans="1:9" s="5" customFormat="1" x14ac:dyDescent="0.35">
      <c r="A1513" s="3" t="s">
        <v>8</v>
      </c>
      <c r="B1513" s="3" t="s">
        <v>665</v>
      </c>
      <c r="C1513" s="3" t="s">
        <v>20</v>
      </c>
      <c r="D1513" s="3" t="s">
        <v>719</v>
      </c>
      <c r="E1513" s="3" t="s">
        <v>47</v>
      </c>
      <c r="F1513" s="3"/>
      <c r="G1513" s="3"/>
      <c r="H1513" s="3"/>
      <c r="I1513" s="3"/>
    </row>
    <row r="1514" spans="1:9" s="5" customFormat="1" x14ac:dyDescent="0.35">
      <c r="A1514" s="3" t="s">
        <v>8</v>
      </c>
      <c r="B1514" s="3" t="s">
        <v>665</v>
      </c>
      <c r="C1514" s="3" t="s">
        <v>20</v>
      </c>
      <c r="D1514" s="3" t="s">
        <v>719</v>
      </c>
      <c r="E1514" s="3" t="s">
        <v>25</v>
      </c>
      <c r="F1514" s="3"/>
      <c r="G1514" s="3" t="s">
        <v>2396</v>
      </c>
      <c r="H1514" s="3"/>
      <c r="I1514" s="3"/>
    </row>
    <row r="1515" spans="1:9" s="5" customFormat="1" x14ac:dyDescent="0.35">
      <c r="A1515" s="3" t="s">
        <v>8</v>
      </c>
      <c r="B1515" s="3" t="s">
        <v>665</v>
      </c>
      <c r="C1515" s="3" t="s">
        <v>20</v>
      </c>
      <c r="D1515" s="3" t="s">
        <v>719</v>
      </c>
      <c r="E1515" s="3" t="s">
        <v>141</v>
      </c>
      <c r="F1515" s="3"/>
      <c r="G1515" s="3"/>
      <c r="H1515" s="3"/>
      <c r="I1515" s="3"/>
    </row>
    <row r="1516" spans="1:9" s="5" customFormat="1" x14ac:dyDescent="0.35">
      <c r="A1516" s="3" t="s">
        <v>8</v>
      </c>
      <c r="B1516" s="3" t="s">
        <v>665</v>
      </c>
      <c r="C1516" s="3" t="s">
        <v>20</v>
      </c>
      <c r="D1516" s="3" t="s">
        <v>719</v>
      </c>
      <c r="E1516" s="3" t="s">
        <v>142</v>
      </c>
      <c r="F1516" s="3"/>
      <c r="G1516" s="3"/>
      <c r="H1516" s="3"/>
      <c r="I1516" s="3"/>
    </row>
    <row r="1517" spans="1:9" s="5" customFormat="1" x14ac:dyDescent="0.35">
      <c r="A1517" s="3" t="s">
        <v>8</v>
      </c>
      <c r="B1517" s="3" t="s">
        <v>665</v>
      </c>
      <c r="C1517" s="3" t="s">
        <v>20</v>
      </c>
      <c r="D1517" s="3" t="s">
        <v>719</v>
      </c>
      <c r="E1517" s="3" t="s">
        <v>28</v>
      </c>
      <c r="F1517" s="3"/>
      <c r="G1517" s="3"/>
      <c r="H1517" s="3"/>
      <c r="I1517" s="3"/>
    </row>
    <row r="1518" spans="1:9" s="5" customFormat="1" x14ac:dyDescent="0.35">
      <c r="A1518" s="3" t="s">
        <v>8</v>
      </c>
      <c r="B1518" s="3" t="s">
        <v>665</v>
      </c>
      <c r="C1518" s="3" t="s">
        <v>20</v>
      </c>
      <c r="D1518" s="3" t="s">
        <v>719</v>
      </c>
      <c r="E1518" s="3" t="s">
        <v>15</v>
      </c>
      <c r="F1518" s="3" t="s">
        <v>16</v>
      </c>
      <c r="G1518" s="3" t="s">
        <v>2533</v>
      </c>
      <c r="H1518" s="3"/>
      <c r="I1518" s="3"/>
    </row>
    <row r="1519" spans="1:9" s="5" customFormat="1" x14ac:dyDescent="0.35">
      <c r="A1519" s="3" t="s">
        <v>8</v>
      </c>
      <c r="B1519" s="3" t="s">
        <v>665</v>
      </c>
      <c r="C1519" s="3" t="s">
        <v>20</v>
      </c>
      <c r="D1519" s="3" t="s">
        <v>719</v>
      </c>
      <c r="E1519" s="3" t="s">
        <v>32</v>
      </c>
      <c r="F1519" s="3"/>
      <c r="G1519" s="3"/>
      <c r="H1519" s="3"/>
      <c r="I1519" s="3"/>
    </row>
    <row r="1520" spans="1:9" s="5" customFormat="1" x14ac:dyDescent="0.35">
      <c r="A1520" s="3" t="s">
        <v>8</v>
      </c>
      <c r="B1520" s="3" t="s">
        <v>665</v>
      </c>
      <c r="C1520" s="3" t="s">
        <v>20</v>
      </c>
      <c r="D1520" s="3" t="s">
        <v>720</v>
      </c>
      <c r="E1520" s="3" t="s">
        <v>12</v>
      </c>
      <c r="F1520" s="3" t="s">
        <v>33</v>
      </c>
      <c r="G1520" s="3" t="s">
        <v>487</v>
      </c>
      <c r="H1520" s="3"/>
      <c r="I1520" s="3"/>
    </row>
    <row r="1521" spans="1:9" s="5" customFormat="1" x14ac:dyDescent="0.35">
      <c r="A1521" s="3" t="s">
        <v>8</v>
      </c>
      <c r="B1521" s="3" t="s">
        <v>665</v>
      </c>
      <c r="C1521" s="3" t="s">
        <v>20</v>
      </c>
      <c r="D1521" s="3" t="s">
        <v>720</v>
      </c>
      <c r="E1521" s="3" t="s">
        <v>25</v>
      </c>
      <c r="F1521" s="3" t="s">
        <v>33</v>
      </c>
      <c r="G1521" s="3" t="s">
        <v>487</v>
      </c>
      <c r="H1521" s="3"/>
      <c r="I1521" s="3"/>
    </row>
    <row r="1522" spans="1:9" s="5" customFormat="1" x14ac:dyDescent="0.35">
      <c r="A1522" s="3" t="s">
        <v>8</v>
      </c>
      <c r="B1522" s="3" t="s">
        <v>665</v>
      </c>
      <c r="C1522" s="3" t="s">
        <v>20</v>
      </c>
      <c r="D1522" s="3" t="s">
        <v>720</v>
      </c>
      <c r="E1522" s="3" t="s">
        <v>60</v>
      </c>
      <c r="F1522" s="3" t="s">
        <v>33</v>
      </c>
      <c r="G1522" s="3" t="s">
        <v>487</v>
      </c>
      <c r="H1522" s="3"/>
      <c r="I1522" s="3"/>
    </row>
    <row r="1523" spans="1:9" s="5" customFormat="1" x14ac:dyDescent="0.35">
      <c r="A1523" s="3" t="s">
        <v>8</v>
      </c>
      <c r="B1523" s="3" t="s">
        <v>665</v>
      </c>
      <c r="C1523" s="3" t="s">
        <v>20</v>
      </c>
      <c r="D1523" s="3" t="s">
        <v>720</v>
      </c>
      <c r="E1523" s="3" t="s">
        <v>141</v>
      </c>
      <c r="F1523" s="3" t="s">
        <v>33</v>
      </c>
      <c r="G1523" s="3" t="s">
        <v>487</v>
      </c>
      <c r="H1523" s="3"/>
      <c r="I1523" s="3"/>
    </row>
    <row r="1524" spans="1:9" s="5" customFormat="1" x14ac:dyDescent="0.35">
      <c r="A1524" s="3" t="s">
        <v>8</v>
      </c>
      <c r="B1524" s="3" t="s">
        <v>665</v>
      </c>
      <c r="C1524" s="3" t="s">
        <v>20</v>
      </c>
      <c r="D1524" s="3" t="s">
        <v>720</v>
      </c>
      <c r="E1524" s="3" t="s">
        <v>142</v>
      </c>
      <c r="F1524" s="3" t="s">
        <v>33</v>
      </c>
      <c r="G1524" s="3" t="s">
        <v>487</v>
      </c>
      <c r="H1524" s="3"/>
      <c r="I1524" s="3"/>
    </row>
    <row r="1525" spans="1:9" s="5" customFormat="1" x14ac:dyDescent="0.35">
      <c r="A1525" s="3" t="s">
        <v>8</v>
      </c>
      <c r="B1525" s="3" t="s">
        <v>665</v>
      </c>
      <c r="C1525" s="3" t="s">
        <v>20</v>
      </c>
      <c r="D1525" s="3" t="s">
        <v>720</v>
      </c>
      <c r="E1525" s="3" t="s">
        <v>77</v>
      </c>
      <c r="F1525" s="3" t="s">
        <v>33</v>
      </c>
      <c r="G1525" s="3" t="s">
        <v>487</v>
      </c>
      <c r="H1525" s="3"/>
      <c r="I1525" s="3"/>
    </row>
    <row r="1526" spans="1:9" s="5" customFormat="1" x14ac:dyDescent="0.35">
      <c r="A1526" s="3" t="s">
        <v>8</v>
      </c>
      <c r="B1526" s="3" t="s">
        <v>665</v>
      </c>
      <c r="C1526" s="3" t="s">
        <v>20</v>
      </c>
      <c r="D1526" s="3" t="s">
        <v>720</v>
      </c>
      <c r="E1526" s="3" t="s">
        <v>28</v>
      </c>
      <c r="F1526" s="3" t="s">
        <v>33</v>
      </c>
      <c r="G1526" s="3" t="s">
        <v>487</v>
      </c>
      <c r="H1526" s="3"/>
      <c r="I1526" s="3"/>
    </row>
    <row r="1527" spans="1:9" s="5" customFormat="1" x14ac:dyDescent="0.35">
      <c r="A1527" s="3" t="s">
        <v>8</v>
      </c>
      <c r="B1527" s="3" t="s">
        <v>665</v>
      </c>
      <c r="C1527" s="3" t="s">
        <v>20</v>
      </c>
      <c r="D1527" s="3" t="s">
        <v>720</v>
      </c>
      <c r="E1527" s="3" t="s">
        <v>715</v>
      </c>
      <c r="F1527" s="3" t="s">
        <v>33</v>
      </c>
      <c r="G1527" s="3" t="s">
        <v>487</v>
      </c>
      <c r="H1527" s="3"/>
      <c r="I1527" s="3"/>
    </row>
    <row r="1528" spans="1:9" s="5" customFormat="1" x14ac:dyDescent="0.35">
      <c r="A1528" s="3" t="s">
        <v>8</v>
      </c>
      <c r="B1528" s="3" t="s">
        <v>665</v>
      </c>
      <c r="C1528" s="3" t="s">
        <v>20</v>
      </c>
      <c r="D1528" s="3" t="s">
        <v>720</v>
      </c>
      <c r="E1528" s="3" t="s">
        <v>716</v>
      </c>
      <c r="F1528" s="3" t="s">
        <v>33</v>
      </c>
      <c r="G1528" s="3" t="s">
        <v>487</v>
      </c>
      <c r="H1528" s="3"/>
      <c r="I1528" s="3"/>
    </row>
    <row r="1529" spans="1:9" s="5" customFormat="1" x14ac:dyDescent="0.35">
      <c r="A1529" s="3" t="s">
        <v>8</v>
      </c>
      <c r="B1529" s="3" t="s">
        <v>665</v>
      </c>
      <c r="C1529" s="3" t="s">
        <v>20</v>
      </c>
      <c r="D1529" s="3" t="s">
        <v>720</v>
      </c>
      <c r="E1529" s="3" t="s">
        <v>57</v>
      </c>
      <c r="F1529" s="3" t="s">
        <v>33</v>
      </c>
      <c r="G1529" s="3" t="s">
        <v>487</v>
      </c>
      <c r="H1529" s="3"/>
      <c r="I1529" s="3"/>
    </row>
    <row r="1530" spans="1:9" s="5" customFormat="1" x14ac:dyDescent="0.35">
      <c r="A1530" s="3" t="s">
        <v>8</v>
      </c>
      <c r="B1530" s="3" t="s">
        <v>665</v>
      </c>
      <c r="C1530" s="3" t="s">
        <v>20</v>
      </c>
      <c r="D1530" s="3" t="s">
        <v>720</v>
      </c>
      <c r="E1530" s="3" t="s">
        <v>175</v>
      </c>
      <c r="F1530" s="3" t="s">
        <v>33</v>
      </c>
      <c r="G1530" s="3" t="s">
        <v>487</v>
      </c>
      <c r="H1530" s="3"/>
      <c r="I1530" s="3"/>
    </row>
    <row r="1531" spans="1:9" s="5" customFormat="1" x14ac:dyDescent="0.35">
      <c r="A1531" s="3" t="s">
        <v>8</v>
      </c>
      <c r="B1531" s="3" t="s">
        <v>665</v>
      </c>
      <c r="C1531" s="3" t="s">
        <v>20</v>
      </c>
      <c r="D1531" s="3" t="s">
        <v>720</v>
      </c>
      <c r="E1531" s="3" t="s">
        <v>32</v>
      </c>
      <c r="F1531" s="3" t="s">
        <v>33</v>
      </c>
      <c r="G1531" s="3" t="s">
        <v>487</v>
      </c>
      <c r="H1531" s="3"/>
      <c r="I1531" s="3"/>
    </row>
    <row r="1532" spans="1:9" s="5" customFormat="1" x14ac:dyDescent="0.35">
      <c r="A1532" s="3" t="s">
        <v>8</v>
      </c>
      <c r="B1532" s="3" t="s">
        <v>665</v>
      </c>
      <c r="C1532" s="3" t="s">
        <v>20</v>
      </c>
      <c r="D1532" s="3" t="s">
        <v>720</v>
      </c>
      <c r="E1532" s="3" t="s">
        <v>29</v>
      </c>
      <c r="F1532" s="3" t="s">
        <v>33</v>
      </c>
      <c r="G1532" s="3" t="s">
        <v>487</v>
      </c>
      <c r="H1532" s="3"/>
      <c r="I1532" s="3"/>
    </row>
    <row r="1533" spans="1:9" s="5" customFormat="1" x14ac:dyDescent="0.35">
      <c r="A1533" s="3" t="s">
        <v>8</v>
      </c>
      <c r="B1533" s="3" t="s">
        <v>665</v>
      </c>
      <c r="C1533" s="3" t="s">
        <v>20</v>
      </c>
      <c r="D1533" s="3" t="s">
        <v>720</v>
      </c>
      <c r="E1533" s="3" t="s">
        <v>107</v>
      </c>
      <c r="F1533" s="3" t="s">
        <v>33</v>
      </c>
      <c r="G1533" s="3" t="s">
        <v>487</v>
      </c>
      <c r="H1533" s="3"/>
      <c r="I1533" s="3"/>
    </row>
    <row r="1534" spans="1:9" s="5" customFormat="1" x14ac:dyDescent="0.35">
      <c r="A1534" s="3" t="s">
        <v>8</v>
      </c>
      <c r="B1534" s="3" t="s">
        <v>665</v>
      </c>
      <c r="C1534" s="3" t="s">
        <v>20</v>
      </c>
      <c r="D1534" s="3" t="s">
        <v>721</v>
      </c>
      <c r="E1534" s="3" t="s">
        <v>12</v>
      </c>
      <c r="F1534" s="3"/>
      <c r="G1534" s="3"/>
      <c r="H1534" s="3"/>
      <c r="I1534" s="3"/>
    </row>
    <row r="1535" spans="1:9" s="5" customFormat="1" x14ac:dyDescent="0.35">
      <c r="A1535" s="3" t="s">
        <v>8</v>
      </c>
      <c r="B1535" s="3" t="s">
        <v>665</v>
      </c>
      <c r="C1535" s="3" t="s">
        <v>20</v>
      </c>
      <c r="D1535" s="3" t="s">
        <v>721</v>
      </c>
      <c r="E1535" s="3" t="s">
        <v>15</v>
      </c>
      <c r="F1535" s="3" t="s">
        <v>13</v>
      </c>
      <c r="G1535" s="3" t="s">
        <v>722</v>
      </c>
      <c r="H1535" s="3"/>
      <c r="I1535" s="3"/>
    </row>
    <row r="1536" spans="1:9" s="5" customFormat="1" x14ac:dyDescent="0.35">
      <c r="A1536" s="3" t="s">
        <v>8</v>
      </c>
      <c r="B1536" s="3" t="s">
        <v>665</v>
      </c>
      <c r="C1536" s="3" t="s">
        <v>20</v>
      </c>
      <c r="D1536" s="3" t="s">
        <v>721</v>
      </c>
      <c r="E1536" s="3" t="s">
        <v>57</v>
      </c>
      <c r="F1536" s="3"/>
      <c r="G1536" s="3"/>
      <c r="H1536" s="3"/>
      <c r="I1536" s="3"/>
    </row>
    <row r="1537" spans="1:9" s="5" customFormat="1" x14ac:dyDescent="0.35">
      <c r="A1537" s="3" t="s">
        <v>8</v>
      </c>
      <c r="B1537" s="3" t="s">
        <v>665</v>
      </c>
      <c r="C1537" s="3" t="s">
        <v>20</v>
      </c>
      <c r="D1537" s="3" t="s">
        <v>721</v>
      </c>
      <c r="E1537" s="3" t="s">
        <v>29</v>
      </c>
      <c r="F1537" s="3" t="s">
        <v>33</v>
      </c>
      <c r="G1537" s="3" t="s">
        <v>723</v>
      </c>
      <c r="H1537" s="3"/>
      <c r="I1537" s="3"/>
    </row>
    <row r="1538" spans="1:9" s="5" customFormat="1" x14ac:dyDescent="0.35">
      <c r="A1538" s="3" t="s">
        <v>8</v>
      </c>
      <c r="B1538" s="3" t="s">
        <v>665</v>
      </c>
      <c r="C1538" s="3" t="s">
        <v>20</v>
      </c>
      <c r="D1538" s="3" t="s">
        <v>724</v>
      </c>
      <c r="E1538" s="3" t="s">
        <v>12</v>
      </c>
      <c r="F1538" s="3"/>
      <c r="G1538" s="3"/>
      <c r="H1538" s="3"/>
      <c r="I1538" s="3"/>
    </row>
    <row r="1539" spans="1:9" s="5" customFormat="1" x14ac:dyDescent="0.35">
      <c r="A1539" s="3" t="s">
        <v>8</v>
      </c>
      <c r="B1539" s="3" t="s">
        <v>665</v>
      </c>
      <c r="C1539" s="3" t="s">
        <v>20</v>
      </c>
      <c r="D1539" s="3" t="s">
        <v>724</v>
      </c>
      <c r="E1539" s="3" t="s">
        <v>47</v>
      </c>
      <c r="F1539" s="3"/>
      <c r="G1539" s="3"/>
      <c r="H1539" s="3"/>
      <c r="I1539" s="3"/>
    </row>
    <row r="1540" spans="1:9" s="5" customFormat="1" x14ac:dyDescent="0.35">
      <c r="A1540" s="3" t="s">
        <v>8</v>
      </c>
      <c r="B1540" s="3" t="s">
        <v>665</v>
      </c>
      <c r="C1540" s="3" t="s">
        <v>20</v>
      </c>
      <c r="D1540" s="3" t="s">
        <v>724</v>
      </c>
      <c r="E1540" s="3" t="s">
        <v>28</v>
      </c>
      <c r="F1540" s="3"/>
      <c r="G1540" s="3" t="s">
        <v>2321</v>
      </c>
      <c r="H1540" s="3"/>
      <c r="I1540" s="3"/>
    </row>
    <row r="1541" spans="1:9" s="5" customFormat="1" x14ac:dyDescent="0.35">
      <c r="A1541" s="3" t="s">
        <v>8</v>
      </c>
      <c r="B1541" s="3" t="s">
        <v>665</v>
      </c>
      <c r="C1541" s="3" t="s">
        <v>20</v>
      </c>
      <c r="D1541" s="3" t="s">
        <v>724</v>
      </c>
      <c r="E1541" s="3" t="s">
        <v>32</v>
      </c>
      <c r="F1541" s="3"/>
      <c r="G1541" s="3"/>
      <c r="H1541" s="3"/>
      <c r="I1541" s="3"/>
    </row>
    <row r="1542" spans="1:9" s="5" customFormat="1" x14ac:dyDescent="0.35">
      <c r="A1542" s="3" t="s">
        <v>8</v>
      </c>
      <c r="B1542" s="3" t="s">
        <v>665</v>
      </c>
      <c r="C1542" s="3" t="s">
        <v>10</v>
      </c>
      <c r="D1542" s="3" t="s">
        <v>2828</v>
      </c>
      <c r="E1542" s="3" t="s">
        <v>12</v>
      </c>
      <c r="F1542" s="3"/>
      <c r="G1542" s="3"/>
      <c r="H1542" s="3"/>
      <c r="I1542" s="3"/>
    </row>
    <row r="1543" spans="1:9" s="5" customFormat="1" x14ac:dyDescent="0.35">
      <c r="A1543" s="3" t="s">
        <v>8</v>
      </c>
      <c r="B1543" s="3" t="s">
        <v>665</v>
      </c>
      <c r="C1543" s="3" t="s">
        <v>10</v>
      </c>
      <c r="D1543" s="3" t="s">
        <v>2828</v>
      </c>
      <c r="E1543" s="3" t="s">
        <v>15</v>
      </c>
      <c r="F1543" s="3" t="s">
        <v>13</v>
      </c>
      <c r="G1543" s="3" t="s">
        <v>680</v>
      </c>
      <c r="H1543" s="3"/>
      <c r="I1543" s="3"/>
    </row>
    <row r="1544" spans="1:9" s="5" customFormat="1" x14ac:dyDescent="0.35">
      <c r="A1544" s="3" t="s">
        <v>8</v>
      </c>
      <c r="B1544" s="3" t="s">
        <v>665</v>
      </c>
      <c r="C1544" s="3" t="s">
        <v>10</v>
      </c>
      <c r="D1544" s="3" t="s">
        <v>2828</v>
      </c>
      <c r="E1544" s="3" t="s">
        <v>134</v>
      </c>
      <c r="F1544" s="3"/>
      <c r="G1544" s="3"/>
      <c r="H1544" s="3"/>
      <c r="I1544" s="3"/>
    </row>
    <row r="1545" spans="1:9" s="5" customFormat="1" x14ac:dyDescent="0.35">
      <c r="A1545" s="3" t="s">
        <v>8</v>
      </c>
      <c r="B1545" s="3" t="s">
        <v>665</v>
      </c>
      <c r="C1545" s="3" t="s">
        <v>45</v>
      </c>
      <c r="D1545" s="3" t="s">
        <v>725</v>
      </c>
      <c r="E1545" s="3" t="s">
        <v>77</v>
      </c>
      <c r="F1545" s="3"/>
      <c r="G1545" s="3"/>
      <c r="H1545" s="3"/>
      <c r="I1545" s="3"/>
    </row>
    <row r="1546" spans="1:9" s="5" customFormat="1" x14ac:dyDescent="0.35">
      <c r="A1546" s="3" t="s">
        <v>8</v>
      </c>
      <c r="B1546" s="3" t="s">
        <v>665</v>
      </c>
      <c r="C1546" s="3" t="s">
        <v>45</v>
      </c>
      <c r="D1546" s="3" t="s">
        <v>726</v>
      </c>
      <c r="E1546" s="3" t="s">
        <v>77</v>
      </c>
      <c r="F1546" s="3"/>
      <c r="G1546" s="3"/>
      <c r="H1546" s="3"/>
      <c r="I1546" s="3"/>
    </row>
    <row r="1547" spans="1:9" s="5" customFormat="1" x14ac:dyDescent="0.35">
      <c r="A1547" s="3" t="s">
        <v>8</v>
      </c>
      <c r="B1547" s="3" t="s">
        <v>665</v>
      </c>
      <c r="C1547" s="3" t="s">
        <v>45</v>
      </c>
      <c r="D1547" s="3" t="s">
        <v>727</v>
      </c>
      <c r="E1547" s="3" t="s">
        <v>77</v>
      </c>
      <c r="F1547" s="3"/>
      <c r="G1547" s="3"/>
      <c r="H1547" s="3"/>
      <c r="I1547" s="3"/>
    </row>
    <row r="1548" spans="1:9" s="5" customFormat="1" x14ac:dyDescent="0.35">
      <c r="A1548" s="3" t="s">
        <v>8</v>
      </c>
      <c r="B1548" s="3" t="s">
        <v>665</v>
      </c>
      <c r="C1548" s="3" t="s">
        <v>39</v>
      </c>
      <c r="D1548" s="3" t="s">
        <v>728</v>
      </c>
      <c r="E1548" s="3" t="s">
        <v>47</v>
      </c>
      <c r="F1548" s="3" t="s">
        <v>13</v>
      </c>
      <c r="G1548" s="3" t="s">
        <v>729</v>
      </c>
      <c r="H1548" s="3"/>
      <c r="I1548" s="3"/>
    </row>
    <row r="1549" spans="1:9" s="5" customFormat="1" x14ac:dyDescent="0.35">
      <c r="A1549" s="3" t="s">
        <v>8</v>
      </c>
      <c r="B1549" s="3" t="s">
        <v>665</v>
      </c>
      <c r="C1549" s="3" t="s">
        <v>39</v>
      </c>
      <c r="D1549" s="3" t="s">
        <v>728</v>
      </c>
      <c r="E1549" s="3" t="s">
        <v>25</v>
      </c>
      <c r="F1549" s="3" t="s">
        <v>13</v>
      </c>
      <c r="G1549" s="3" t="s">
        <v>729</v>
      </c>
      <c r="H1549" s="3"/>
      <c r="I1549" s="3"/>
    </row>
    <row r="1550" spans="1:9" s="5" customFormat="1" x14ac:dyDescent="0.35">
      <c r="A1550" s="3" t="s">
        <v>8</v>
      </c>
      <c r="B1550" s="3" t="s">
        <v>665</v>
      </c>
      <c r="C1550" s="3" t="s">
        <v>39</v>
      </c>
      <c r="D1550" s="3" t="s">
        <v>728</v>
      </c>
      <c r="E1550" s="3" t="s">
        <v>27</v>
      </c>
      <c r="F1550" s="3" t="s">
        <v>13</v>
      </c>
      <c r="G1550" s="3" t="s">
        <v>729</v>
      </c>
      <c r="H1550" s="3"/>
      <c r="I1550" s="3"/>
    </row>
    <row r="1551" spans="1:9" s="5" customFormat="1" x14ac:dyDescent="0.35">
      <c r="A1551" s="3" t="s">
        <v>8</v>
      </c>
      <c r="B1551" s="3" t="s">
        <v>665</v>
      </c>
      <c r="C1551" s="3" t="s">
        <v>39</v>
      </c>
      <c r="D1551" s="3" t="s">
        <v>728</v>
      </c>
      <c r="E1551" s="3" t="s">
        <v>28</v>
      </c>
      <c r="F1551" s="3" t="s">
        <v>13</v>
      </c>
      <c r="G1551" s="3" t="s">
        <v>730</v>
      </c>
      <c r="H1551" s="3"/>
      <c r="I1551" s="3"/>
    </row>
    <row r="1552" spans="1:9" s="5" customFormat="1" x14ac:dyDescent="0.35">
      <c r="A1552" s="3" t="s">
        <v>8</v>
      </c>
      <c r="B1552" s="3" t="s">
        <v>665</v>
      </c>
      <c r="C1552" s="3" t="s">
        <v>39</v>
      </c>
      <c r="D1552" s="3" t="s">
        <v>728</v>
      </c>
      <c r="E1552" s="3" t="s">
        <v>57</v>
      </c>
      <c r="F1552" s="3" t="s">
        <v>13</v>
      </c>
      <c r="G1552" s="3" t="s">
        <v>731</v>
      </c>
      <c r="H1552" s="3"/>
      <c r="I1552" s="3"/>
    </row>
    <row r="1553" spans="1:9" s="5" customFormat="1" x14ac:dyDescent="0.35">
      <c r="A1553" s="3" t="s">
        <v>8</v>
      </c>
      <c r="B1553" s="3" t="s">
        <v>665</v>
      </c>
      <c r="C1553" s="3" t="s">
        <v>39</v>
      </c>
      <c r="D1553" s="3" t="s">
        <v>732</v>
      </c>
      <c r="E1553" s="3" t="s">
        <v>47</v>
      </c>
      <c r="F1553" s="3" t="s">
        <v>13</v>
      </c>
      <c r="G1553" s="3" t="s">
        <v>733</v>
      </c>
      <c r="H1553" s="3"/>
      <c r="I1553" s="3"/>
    </row>
    <row r="1554" spans="1:9" s="5" customFormat="1" x14ac:dyDescent="0.35">
      <c r="A1554" s="3" t="s">
        <v>8</v>
      </c>
      <c r="B1554" s="3" t="s">
        <v>665</v>
      </c>
      <c r="C1554" s="3" t="s">
        <v>39</v>
      </c>
      <c r="D1554" s="3" t="s">
        <v>732</v>
      </c>
      <c r="E1554" s="3" t="s">
        <v>25</v>
      </c>
      <c r="F1554" s="3" t="s">
        <v>13</v>
      </c>
      <c r="G1554" s="3" t="s">
        <v>733</v>
      </c>
      <c r="H1554" s="3"/>
      <c r="I1554" s="3"/>
    </row>
    <row r="1555" spans="1:9" s="5" customFormat="1" x14ac:dyDescent="0.35">
      <c r="A1555" s="3" t="s">
        <v>8</v>
      </c>
      <c r="B1555" s="3" t="s">
        <v>665</v>
      </c>
      <c r="C1555" s="3" t="s">
        <v>39</v>
      </c>
      <c r="D1555" s="3" t="s">
        <v>732</v>
      </c>
      <c r="E1555" s="3" t="s">
        <v>141</v>
      </c>
      <c r="F1555" s="3" t="s">
        <v>13</v>
      </c>
      <c r="G1555" s="3" t="s">
        <v>733</v>
      </c>
      <c r="H1555" s="3"/>
      <c r="I1555" s="3"/>
    </row>
    <row r="1556" spans="1:9" s="5" customFormat="1" x14ac:dyDescent="0.35">
      <c r="A1556" s="3" t="s">
        <v>8</v>
      </c>
      <c r="B1556" s="3" t="s">
        <v>665</v>
      </c>
      <c r="C1556" s="3" t="s">
        <v>39</v>
      </c>
      <c r="D1556" s="3" t="s">
        <v>732</v>
      </c>
      <c r="E1556" s="3" t="s">
        <v>28</v>
      </c>
      <c r="F1556" s="3" t="s">
        <v>13</v>
      </c>
      <c r="G1556" s="3" t="s">
        <v>734</v>
      </c>
      <c r="H1556" s="3"/>
      <c r="I1556" s="3"/>
    </row>
    <row r="1557" spans="1:9" s="5" customFormat="1" x14ac:dyDescent="0.35">
      <c r="A1557" s="3" t="s">
        <v>8</v>
      </c>
      <c r="B1557" s="3" t="s">
        <v>665</v>
      </c>
      <c r="C1557" s="3" t="s">
        <v>39</v>
      </c>
      <c r="D1557" s="3" t="s">
        <v>732</v>
      </c>
      <c r="E1557" s="3" t="s">
        <v>31</v>
      </c>
      <c r="F1557" s="3" t="s">
        <v>13</v>
      </c>
      <c r="G1557" s="3" t="s">
        <v>733</v>
      </c>
      <c r="H1557" s="3"/>
      <c r="I1557" s="3"/>
    </row>
    <row r="1558" spans="1:9" s="5" customFormat="1" x14ac:dyDescent="0.35">
      <c r="A1558" s="3" t="s">
        <v>8</v>
      </c>
      <c r="B1558" s="3" t="s">
        <v>665</v>
      </c>
      <c r="C1558" s="3" t="s">
        <v>39</v>
      </c>
      <c r="D1558" s="3" t="s">
        <v>732</v>
      </c>
      <c r="E1558" s="3" t="s">
        <v>15</v>
      </c>
      <c r="F1558" s="3" t="s">
        <v>13</v>
      </c>
      <c r="G1558" s="3" t="s">
        <v>733</v>
      </c>
      <c r="H1558" s="3"/>
      <c r="I1558" s="3"/>
    </row>
    <row r="1559" spans="1:9" s="5" customFormat="1" x14ac:dyDescent="0.35">
      <c r="A1559" s="3" t="s">
        <v>8</v>
      </c>
      <c r="B1559" s="3" t="s">
        <v>665</v>
      </c>
      <c r="C1559" s="3" t="s">
        <v>39</v>
      </c>
      <c r="D1559" s="3" t="s">
        <v>732</v>
      </c>
      <c r="E1559" s="3" t="s">
        <v>32</v>
      </c>
      <c r="F1559" s="3" t="s">
        <v>13</v>
      </c>
      <c r="G1559" s="3" t="s">
        <v>2407</v>
      </c>
      <c r="H1559" s="3"/>
      <c r="I1559" s="3"/>
    </row>
    <row r="1560" spans="1:9" s="5" customFormat="1" x14ac:dyDescent="0.35">
      <c r="A1560" s="3" t="s">
        <v>8</v>
      </c>
      <c r="B1560" s="3" t="s">
        <v>665</v>
      </c>
      <c r="C1560" s="3" t="s">
        <v>39</v>
      </c>
      <c r="D1560" s="3" t="s">
        <v>732</v>
      </c>
      <c r="E1560" s="3" t="s">
        <v>26</v>
      </c>
      <c r="F1560" s="3" t="s">
        <v>13</v>
      </c>
      <c r="G1560" s="3" t="s">
        <v>733</v>
      </c>
      <c r="H1560" s="3"/>
      <c r="I1560" s="3"/>
    </row>
    <row r="1561" spans="1:9" s="5" customFormat="1" x14ac:dyDescent="0.35">
      <c r="A1561" s="3" t="s">
        <v>8</v>
      </c>
      <c r="B1561" s="3" t="s">
        <v>665</v>
      </c>
      <c r="C1561" s="3" t="s">
        <v>39</v>
      </c>
      <c r="D1561" s="3" t="s">
        <v>732</v>
      </c>
      <c r="E1561" s="3" t="s">
        <v>29</v>
      </c>
      <c r="F1561" s="3" t="s">
        <v>13</v>
      </c>
      <c r="G1561" s="3" t="s">
        <v>733</v>
      </c>
      <c r="H1561" s="3"/>
      <c r="I1561" s="3"/>
    </row>
    <row r="1562" spans="1:9" s="5" customFormat="1" x14ac:dyDescent="0.35">
      <c r="A1562" s="3" t="s">
        <v>8</v>
      </c>
      <c r="B1562" s="3" t="s">
        <v>665</v>
      </c>
      <c r="C1562" s="3" t="s">
        <v>39</v>
      </c>
      <c r="D1562" s="3" t="s">
        <v>732</v>
      </c>
      <c r="E1562" s="3" t="s">
        <v>152</v>
      </c>
      <c r="F1562" s="3" t="s">
        <v>13</v>
      </c>
      <c r="G1562" s="3" t="s">
        <v>2408</v>
      </c>
      <c r="H1562" s="3"/>
      <c r="I1562" s="3"/>
    </row>
    <row r="1563" spans="1:9" s="5" customFormat="1" x14ac:dyDescent="0.35">
      <c r="A1563" s="3" t="s">
        <v>8</v>
      </c>
      <c r="B1563" s="3" t="s">
        <v>665</v>
      </c>
      <c r="C1563" s="3" t="s">
        <v>39</v>
      </c>
      <c r="D1563" s="3" t="s">
        <v>732</v>
      </c>
      <c r="E1563" s="3" t="s">
        <v>134</v>
      </c>
      <c r="F1563" s="3" t="s">
        <v>13</v>
      </c>
      <c r="G1563" s="3" t="s">
        <v>733</v>
      </c>
      <c r="H1563" s="3"/>
      <c r="I1563" s="3"/>
    </row>
    <row r="1564" spans="1:9" s="5" customFormat="1" x14ac:dyDescent="0.35">
      <c r="A1564" s="3" t="s">
        <v>8</v>
      </c>
      <c r="B1564" s="3" t="s">
        <v>665</v>
      </c>
      <c r="C1564" s="3" t="s">
        <v>39</v>
      </c>
      <c r="D1564" s="3" t="s">
        <v>732</v>
      </c>
      <c r="E1564" s="3" t="s">
        <v>107</v>
      </c>
      <c r="F1564" s="3" t="s">
        <v>13</v>
      </c>
      <c r="G1564" s="3" t="s">
        <v>733</v>
      </c>
      <c r="H1564" s="3"/>
      <c r="I1564" s="3"/>
    </row>
    <row r="1565" spans="1:9" s="5" customFormat="1" x14ac:dyDescent="0.35">
      <c r="A1565" s="3" t="s">
        <v>8</v>
      </c>
      <c r="B1565" s="3" t="s">
        <v>665</v>
      </c>
      <c r="C1565" s="3" t="s">
        <v>45</v>
      </c>
      <c r="D1565" s="3" t="s">
        <v>735</v>
      </c>
      <c r="E1565" s="3" t="s">
        <v>77</v>
      </c>
      <c r="F1565" s="3"/>
      <c r="G1565" s="3"/>
      <c r="H1565" s="3"/>
      <c r="I1565" s="3"/>
    </row>
    <row r="1566" spans="1:9" s="5" customFormat="1" x14ac:dyDescent="0.35">
      <c r="A1566" s="3" t="s">
        <v>8</v>
      </c>
      <c r="B1566" s="3" t="s">
        <v>665</v>
      </c>
      <c r="C1566" s="3" t="s">
        <v>45</v>
      </c>
      <c r="D1566" s="3" t="s">
        <v>736</v>
      </c>
      <c r="E1566" s="3" t="s">
        <v>77</v>
      </c>
      <c r="F1566" s="3"/>
      <c r="G1566" s="3"/>
      <c r="H1566" s="3"/>
      <c r="I1566" s="3"/>
    </row>
    <row r="1567" spans="1:9" s="5" customFormat="1" x14ac:dyDescent="0.35">
      <c r="A1567" s="3" t="s">
        <v>8</v>
      </c>
      <c r="B1567" s="3" t="s">
        <v>665</v>
      </c>
      <c r="C1567" s="3" t="s">
        <v>45</v>
      </c>
      <c r="D1567" s="3" t="s">
        <v>737</v>
      </c>
      <c r="E1567" s="3" t="s">
        <v>25</v>
      </c>
      <c r="F1567" s="3"/>
      <c r="G1567" s="3"/>
      <c r="H1567" s="3"/>
      <c r="I1567" s="3"/>
    </row>
    <row r="1568" spans="1:9" s="5" customFormat="1" x14ac:dyDescent="0.35">
      <c r="A1568" s="3" t="s">
        <v>8</v>
      </c>
      <c r="B1568" s="3" t="s">
        <v>665</v>
      </c>
      <c r="C1568" s="3" t="s">
        <v>45</v>
      </c>
      <c r="D1568" s="3" t="s">
        <v>737</v>
      </c>
      <c r="E1568" s="3" t="s">
        <v>142</v>
      </c>
      <c r="F1568" s="3"/>
      <c r="G1568" s="3"/>
      <c r="H1568" s="3"/>
      <c r="I1568" s="3"/>
    </row>
    <row r="1569" spans="1:9" s="5" customFormat="1" x14ac:dyDescent="0.35">
      <c r="A1569" s="3" t="s">
        <v>8</v>
      </c>
      <c r="B1569" s="3" t="s">
        <v>665</v>
      </c>
      <c r="C1569" s="3" t="s">
        <v>45</v>
      </c>
      <c r="D1569" s="3" t="s">
        <v>737</v>
      </c>
      <c r="E1569" s="3" t="s">
        <v>32</v>
      </c>
      <c r="F1569" s="3"/>
      <c r="G1569" s="3"/>
      <c r="H1569" s="3"/>
      <c r="I1569" s="3"/>
    </row>
    <row r="1570" spans="1:9" s="5" customFormat="1" x14ac:dyDescent="0.35">
      <c r="A1570" s="3" t="s">
        <v>8</v>
      </c>
      <c r="B1570" s="3" t="s">
        <v>665</v>
      </c>
      <c r="C1570" s="3" t="s">
        <v>45</v>
      </c>
      <c r="D1570" s="3" t="s">
        <v>737</v>
      </c>
      <c r="E1570" s="3" t="s">
        <v>29</v>
      </c>
      <c r="F1570" s="3"/>
      <c r="G1570" s="3" t="s">
        <v>2315</v>
      </c>
      <c r="H1570" s="3"/>
      <c r="I1570" s="3"/>
    </row>
    <row r="1571" spans="1:9" s="5" customFormat="1" x14ac:dyDescent="0.35">
      <c r="A1571" s="3" t="s">
        <v>8</v>
      </c>
      <c r="B1571" s="3" t="s">
        <v>665</v>
      </c>
      <c r="C1571" s="3" t="s">
        <v>45</v>
      </c>
      <c r="D1571" s="3" t="s">
        <v>738</v>
      </c>
      <c r="E1571" s="3" t="s">
        <v>166</v>
      </c>
      <c r="F1571" s="3"/>
      <c r="G1571" s="3"/>
      <c r="H1571" s="3"/>
      <c r="I1571" s="3"/>
    </row>
    <row r="1572" spans="1:9" s="5" customFormat="1" x14ac:dyDescent="0.35">
      <c r="A1572" s="3" t="s">
        <v>8</v>
      </c>
      <c r="B1572" s="3" t="s">
        <v>665</v>
      </c>
      <c r="C1572" s="3" t="s">
        <v>45</v>
      </c>
      <c r="D1572" s="3" t="s">
        <v>738</v>
      </c>
      <c r="E1572" s="3" t="s">
        <v>217</v>
      </c>
      <c r="F1572" s="3"/>
      <c r="G1572" s="3"/>
      <c r="H1572" s="3"/>
      <c r="I1572" s="3"/>
    </row>
    <row r="1573" spans="1:9" s="5" customFormat="1" x14ac:dyDescent="0.35">
      <c r="A1573" s="3" t="s">
        <v>8</v>
      </c>
      <c r="B1573" s="3" t="s">
        <v>665</v>
      </c>
      <c r="C1573" s="3" t="s">
        <v>45</v>
      </c>
      <c r="D1573" s="3" t="s">
        <v>738</v>
      </c>
      <c r="E1573" s="3" t="s">
        <v>23</v>
      </c>
      <c r="F1573" s="3" t="s">
        <v>13</v>
      </c>
      <c r="G1573" s="3" t="s">
        <v>739</v>
      </c>
      <c r="H1573" s="3"/>
      <c r="I1573" s="3"/>
    </row>
    <row r="1574" spans="1:9" s="5" customFormat="1" x14ac:dyDescent="0.35">
      <c r="A1574" s="3" t="s">
        <v>8</v>
      </c>
      <c r="B1574" s="3" t="s">
        <v>665</v>
      </c>
      <c r="C1574" s="3" t="s">
        <v>45</v>
      </c>
      <c r="D1574" s="3" t="s">
        <v>738</v>
      </c>
      <c r="E1574" s="3" t="s">
        <v>220</v>
      </c>
      <c r="F1574" s="3"/>
      <c r="G1574" s="3"/>
      <c r="H1574" s="3"/>
      <c r="I1574" s="3"/>
    </row>
    <row r="1575" spans="1:9" s="5" customFormat="1" x14ac:dyDescent="0.35">
      <c r="A1575" s="3" t="s">
        <v>8</v>
      </c>
      <c r="B1575" s="3" t="s">
        <v>665</v>
      </c>
      <c r="C1575" s="3" t="s">
        <v>45</v>
      </c>
      <c r="D1575" s="3" t="s">
        <v>738</v>
      </c>
      <c r="E1575" s="3" t="s">
        <v>225</v>
      </c>
      <c r="F1575" s="3"/>
      <c r="G1575" s="3"/>
      <c r="H1575" s="3"/>
      <c r="I1575" s="3"/>
    </row>
    <row r="1576" spans="1:9" s="5" customFormat="1" x14ac:dyDescent="0.35">
      <c r="A1576" s="3" t="s">
        <v>8</v>
      </c>
      <c r="B1576" s="3" t="s">
        <v>665</v>
      </c>
      <c r="C1576" s="3" t="s">
        <v>45</v>
      </c>
      <c r="D1576" s="3" t="s">
        <v>738</v>
      </c>
      <c r="E1576" s="3" t="s">
        <v>77</v>
      </c>
      <c r="F1576" s="3"/>
      <c r="G1576" s="3"/>
      <c r="H1576" s="3"/>
      <c r="I1576" s="3"/>
    </row>
    <row r="1577" spans="1:9" s="5" customFormat="1" x14ac:dyDescent="0.35">
      <c r="A1577" s="3" t="s">
        <v>8</v>
      </c>
      <c r="B1577" s="3" t="s">
        <v>665</v>
      </c>
      <c r="C1577" s="3" t="s">
        <v>45</v>
      </c>
      <c r="D1577" s="3" t="s">
        <v>738</v>
      </c>
      <c r="E1577" s="3" t="s">
        <v>221</v>
      </c>
      <c r="F1577" s="3"/>
      <c r="G1577" s="3"/>
      <c r="H1577" s="3"/>
      <c r="I1577" s="3"/>
    </row>
    <row r="1578" spans="1:9" s="5" customFormat="1" x14ac:dyDescent="0.35">
      <c r="A1578" s="3" t="s">
        <v>8</v>
      </c>
      <c r="B1578" s="3" t="s">
        <v>665</v>
      </c>
      <c r="C1578" s="3" t="s">
        <v>45</v>
      </c>
      <c r="D1578" s="3" t="s">
        <v>738</v>
      </c>
      <c r="E1578" s="3" t="s">
        <v>222</v>
      </c>
      <c r="F1578" s="3"/>
      <c r="G1578" s="3"/>
      <c r="H1578" s="3"/>
      <c r="I1578" s="3"/>
    </row>
    <row r="1579" spans="1:9" s="5" customFormat="1" x14ac:dyDescent="0.35">
      <c r="A1579" s="3" t="s">
        <v>8</v>
      </c>
      <c r="B1579" s="3" t="s">
        <v>665</v>
      </c>
      <c r="C1579" s="3" t="s">
        <v>45</v>
      </c>
      <c r="D1579" s="3" t="s">
        <v>738</v>
      </c>
      <c r="E1579" s="3" t="s">
        <v>223</v>
      </c>
      <c r="F1579" s="3"/>
      <c r="G1579" s="3"/>
      <c r="H1579" s="3"/>
      <c r="I1579" s="3"/>
    </row>
    <row r="1580" spans="1:9" s="5" customFormat="1" x14ac:dyDescent="0.35">
      <c r="A1580" s="3" t="s">
        <v>8</v>
      </c>
      <c r="B1580" s="3" t="s">
        <v>665</v>
      </c>
      <c r="C1580" s="3" t="s">
        <v>45</v>
      </c>
      <c r="D1580" s="3" t="s">
        <v>738</v>
      </c>
      <c r="E1580" s="3" t="s">
        <v>226</v>
      </c>
      <c r="F1580" s="3"/>
      <c r="G1580" s="3"/>
      <c r="H1580" s="3"/>
      <c r="I1580" s="3"/>
    </row>
    <row r="1581" spans="1:9" s="5" customFormat="1" x14ac:dyDescent="0.35">
      <c r="A1581" s="3" t="s">
        <v>8</v>
      </c>
      <c r="B1581" s="3" t="s">
        <v>665</v>
      </c>
      <c r="C1581" s="3" t="s">
        <v>45</v>
      </c>
      <c r="D1581" s="3" t="s">
        <v>738</v>
      </c>
      <c r="E1581" s="3" t="s">
        <v>227</v>
      </c>
      <c r="F1581" s="3"/>
      <c r="G1581" s="3"/>
      <c r="H1581" s="3"/>
      <c r="I1581" s="3"/>
    </row>
    <row r="1582" spans="1:9" s="5" customFormat="1" x14ac:dyDescent="0.35">
      <c r="A1582" s="3" t="s">
        <v>8</v>
      </c>
      <c r="B1582" s="3" t="s">
        <v>665</v>
      </c>
      <c r="C1582" s="3" t="s">
        <v>45</v>
      </c>
      <c r="D1582" s="3" t="s">
        <v>738</v>
      </c>
      <c r="E1582" s="3" t="s">
        <v>228</v>
      </c>
      <c r="F1582" s="3"/>
      <c r="G1582" s="3"/>
      <c r="H1582" s="3"/>
      <c r="I1582" s="3"/>
    </row>
    <row r="1583" spans="1:9" s="5" customFormat="1" x14ac:dyDescent="0.35">
      <c r="A1583" s="3" t="s">
        <v>8</v>
      </c>
      <c r="B1583" s="3" t="s">
        <v>665</v>
      </c>
      <c r="C1583" s="3" t="s">
        <v>45</v>
      </c>
      <c r="D1583" s="3" t="s">
        <v>738</v>
      </c>
      <c r="E1583" s="3" t="s">
        <v>229</v>
      </c>
      <c r="F1583" s="3"/>
      <c r="G1583" s="3"/>
      <c r="H1583" s="3"/>
      <c r="I1583" s="3"/>
    </row>
    <row r="1584" spans="1:9" s="5" customFormat="1" x14ac:dyDescent="0.35">
      <c r="A1584" s="3" t="s">
        <v>8</v>
      </c>
      <c r="B1584" s="3" t="s">
        <v>665</v>
      </c>
      <c r="C1584" s="3" t="s">
        <v>45</v>
      </c>
      <c r="D1584" s="3" t="s">
        <v>738</v>
      </c>
      <c r="E1584" s="3" t="s">
        <v>230</v>
      </c>
      <c r="F1584" s="3"/>
      <c r="G1584" s="3"/>
      <c r="H1584" s="3"/>
      <c r="I1584" s="3"/>
    </row>
    <row r="1585" spans="1:9" s="5" customFormat="1" x14ac:dyDescent="0.35">
      <c r="A1585" s="3" t="s">
        <v>8</v>
      </c>
      <c r="B1585" s="3" t="s">
        <v>665</v>
      </c>
      <c r="C1585" s="3" t="s">
        <v>45</v>
      </c>
      <c r="D1585" s="3" t="s">
        <v>738</v>
      </c>
      <c r="E1585" s="3" t="s">
        <v>32</v>
      </c>
      <c r="F1585" s="3" t="s">
        <v>33</v>
      </c>
      <c r="G1585" s="3" t="s">
        <v>314</v>
      </c>
      <c r="H1585" s="3"/>
      <c r="I1585" s="3"/>
    </row>
    <row r="1586" spans="1:9" s="5" customFormat="1" x14ac:dyDescent="0.35">
      <c r="A1586" s="3" t="s">
        <v>8</v>
      </c>
      <c r="B1586" s="3" t="s">
        <v>665</v>
      </c>
      <c r="C1586" s="3" t="s">
        <v>45</v>
      </c>
      <c r="D1586" s="3" t="s">
        <v>738</v>
      </c>
      <c r="E1586" s="3" t="s">
        <v>24</v>
      </c>
      <c r="F1586" s="3"/>
      <c r="G1586" s="3" t="s">
        <v>2411</v>
      </c>
      <c r="H1586" s="3"/>
      <c r="I1586" s="3"/>
    </row>
    <row r="1587" spans="1:9" s="5" customFormat="1" x14ac:dyDescent="0.35">
      <c r="A1587" s="3" t="s">
        <v>8</v>
      </c>
      <c r="B1587" s="3" t="s">
        <v>665</v>
      </c>
      <c r="C1587" s="3" t="s">
        <v>45</v>
      </c>
      <c r="D1587" s="3" t="s">
        <v>738</v>
      </c>
      <c r="E1587" s="3" t="s">
        <v>219</v>
      </c>
      <c r="F1587" s="3"/>
      <c r="G1587" s="3"/>
      <c r="H1587" s="3"/>
      <c r="I1587" s="3"/>
    </row>
    <row r="1588" spans="1:9" s="5" customFormat="1" x14ac:dyDescent="0.35">
      <c r="A1588" s="3" t="s">
        <v>8</v>
      </c>
      <c r="B1588" s="3" t="s">
        <v>665</v>
      </c>
      <c r="C1588" s="3" t="s">
        <v>45</v>
      </c>
      <c r="D1588" s="3" t="s">
        <v>738</v>
      </c>
      <c r="E1588" s="3" t="s">
        <v>218</v>
      </c>
      <c r="F1588" s="3"/>
      <c r="G1588" s="3"/>
      <c r="H1588" s="3"/>
      <c r="I1588" s="3"/>
    </row>
    <row r="1589" spans="1:9" s="5" customFormat="1" x14ac:dyDescent="0.35">
      <c r="A1589" s="3" t="s">
        <v>8</v>
      </c>
      <c r="B1589" s="3" t="s">
        <v>665</v>
      </c>
      <c r="C1589" s="3" t="s">
        <v>45</v>
      </c>
      <c r="D1589" s="3" t="s">
        <v>738</v>
      </c>
      <c r="E1589" s="3" t="s">
        <v>224</v>
      </c>
      <c r="F1589" s="3"/>
      <c r="G1589" s="3"/>
      <c r="H1589" s="3"/>
      <c r="I1589" s="3"/>
    </row>
    <row r="1590" spans="1:9" s="5" customFormat="1" x14ac:dyDescent="0.35">
      <c r="A1590" s="3" t="s">
        <v>8</v>
      </c>
      <c r="B1590" s="3" t="s">
        <v>665</v>
      </c>
      <c r="C1590" s="3" t="s">
        <v>45</v>
      </c>
      <c r="D1590" s="3" t="s">
        <v>740</v>
      </c>
      <c r="E1590" s="3" t="s">
        <v>28</v>
      </c>
      <c r="F1590" s="3"/>
      <c r="G1590" s="3"/>
      <c r="H1590" s="3"/>
      <c r="I1590" s="3"/>
    </row>
    <row r="1591" spans="1:9" s="5" customFormat="1" x14ac:dyDescent="0.35">
      <c r="A1591" s="3" t="s">
        <v>8</v>
      </c>
      <c r="B1591" s="3" t="s">
        <v>665</v>
      </c>
      <c r="C1591" s="3" t="s">
        <v>45</v>
      </c>
      <c r="D1591" s="3" t="s">
        <v>741</v>
      </c>
      <c r="E1591" s="3" t="s">
        <v>25</v>
      </c>
      <c r="F1591" s="3"/>
      <c r="G1591" s="3"/>
      <c r="H1591" s="3"/>
      <c r="I1591" s="3"/>
    </row>
    <row r="1592" spans="1:9" s="5" customFormat="1" x14ac:dyDescent="0.35">
      <c r="A1592" s="3" t="s">
        <v>8</v>
      </c>
      <c r="B1592" s="3" t="s">
        <v>665</v>
      </c>
      <c r="C1592" s="3" t="s">
        <v>45</v>
      </c>
      <c r="D1592" s="3" t="s">
        <v>741</v>
      </c>
      <c r="E1592" s="3" t="s">
        <v>142</v>
      </c>
      <c r="F1592" s="3"/>
      <c r="G1592" s="3"/>
      <c r="H1592" s="3"/>
      <c r="I1592" s="3"/>
    </row>
    <row r="1593" spans="1:9" s="5" customFormat="1" x14ac:dyDescent="0.35">
      <c r="A1593" s="3" t="s">
        <v>8</v>
      </c>
      <c r="B1593" s="3" t="s">
        <v>665</v>
      </c>
      <c r="C1593" s="3" t="s">
        <v>45</v>
      </c>
      <c r="D1593" s="3" t="s">
        <v>741</v>
      </c>
      <c r="E1593" s="3" t="s">
        <v>32</v>
      </c>
      <c r="F1593" s="3"/>
      <c r="G1593" s="3"/>
      <c r="H1593" s="3"/>
      <c r="I1593" s="3"/>
    </row>
    <row r="1594" spans="1:9" s="5" customFormat="1" x14ac:dyDescent="0.35">
      <c r="A1594" s="3" t="s">
        <v>8</v>
      </c>
      <c r="B1594" s="3" t="s">
        <v>665</v>
      </c>
      <c r="C1594" s="3" t="s">
        <v>20</v>
      </c>
      <c r="D1594" s="3" t="s">
        <v>742</v>
      </c>
      <c r="E1594" s="3" t="s">
        <v>47</v>
      </c>
      <c r="F1594" s="3" t="s">
        <v>33</v>
      </c>
      <c r="G1594" s="3" t="s">
        <v>743</v>
      </c>
      <c r="H1594" s="3"/>
      <c r="I1594" s="3"/>
    </row>
    <row r="1595" spans="1:9" s="5" customFormat="1" x14ac:dyDescent="0.35">
      <c r="A1595" s="3" t="s">
        <v>8</v>
      </c>
      <c r="B1595" s="3" t="s">
        <v>665</v>
      </c>
      <c r="C1595" s="3" t="s">
        <v>20</v>
      </c>
      <c r="D1595" s="3" t="s">
        <v>742</v>
      </c>
      <c r="E1595" s="3" t="s">
        <v>25</v>
      </c>
      <c r="F1595" s="3" t="s">
        <v>33</v>
      </c>
      <c r="G1595" s="3" t="s">
        <v>743</v>
      </c>
      <c r="H1595" s="3"/>
      <c r="I1595" s="3"/>
    </row>
    <row r="1596" spans="1:9" s="5" customFormat="1" x14ac:dyDescent="0.35">
      <c r="A1596" s="3" t="s">
        <v>8</v>
      </c>
      <c r="B1596" s="3" t="s">
        <v>665</v>
      </c>
      <c r="C1596" s="3" t="s">
        <v>20</v>
      </c>
      <c r="D1596" s="3" t="s">
        <v>742</v>
      </c>
      <c r="E1596" s="3" t="s">
        <v>134</v>
      </c>
      <c r="F1596" s="3" t="s">
        <v>33</v>
      </c>
      <c r="G1596" s="3" t="s">
        <v>743</v>
      </c>
      <c r="H1596" s="3"/>
      <c r="I1596" s="3"/>
    </row>
    <row r="1597" spans="1:9" s="5" customFormat="1" x14ac:dyDescent="0.35">
      <c r="A1597" s="3" t="s">
        <v>8</v>
      </c>
      <c r="B1597" s="3" t="s">
        <v>665</v>
      </c>
      <c r="C1597" s="3" t="s">
        <v>20</v>
      </c>
      <c r="D1597" s="3" t="s">
        <v>742</v>
      </c>
      <c r="E1597" s="3" t="s">
        <v>107</v>
      </c>
      <c r="F1597" s="3" t="s">
        <v>33</v>
      </c>
      <c r="G1597" s="3" t="s">
        <v>743</v>
      </c>
      <c r="H1597" s="3"/>
      <c r="I1597" s="3"/>
    </row>
    <row r="1598" spans="1:9" s="5" customFormat="1" x14ac:dyDescent="0.35">
      <c r="A1598" s="3" t="s">
        <v>8</v>
      </c>
      <c r="B1598" s="3" t="s">
        <v>665</v>
      </c>
      <c r="C1598" s="3" t="s">
        <v>20</v>
      </c>
      <c r="D1598" s="3" t="s">
        <v>744</v>
      </c>
      <c r="E1598" s="3" t="s">
        <v>25</v>
      </c>
      <c r="F1598" s="3" t="s">
        <v>13</v>
      </c>
      <c r="G1598" s="3" t="s">
        <v>733</v>
      </c>
      <c r="H1598" s="3"/>
      <c r="I1598" s="3"/>
    </row>
    <row r="1599" spans="1:9" s="5" customFormat="1" x14ac:dyDescent="0.35">
      <c r="A1599" s="3" t="s">
        <v>8</v>
      </c>
      <c r="B1599" s="3" t="s">
        <v>665</v>
      </c>
      <c r="C1599" s="3" t="s">
        <v>20</v>
      </c>
      <c r="D1599" s="3" t="s">
        <v>744</v>
      </c>
      <c r="E1599" s="3" t="s">
        <v>60</v>
      </c>
      <c r="F1599" s="3" t="s">
        <v>13</v>
      </c>
      <c r="G1599" s="3" t="s">
        <v>733</v>
      </c>
      <c r="H1599" s="3"/>
      <c r="I1599" s="3"/>
    </row>
    <row r="1600" spans="1:9" s="5" customFormat="1" x14ac:dyDescent="0.35">
      <c r="A1600" s="3" t="s">
        <v>8</v>
      </c>
      <c r="B1600" s="3" t="s">
        <v>665</v>
      </c>
      <c r="C1600" s="3" t="s">
        <v>20</v>
      </c>
      <c r="D1600" s="3" t="s">
        <v>744</v>
      </c>
      <c r="E1600" s="3" t="s">
        <v>28</v>
      </c>
      <c r="F1600" s="3" t="s">
        <v>13</v>
      </c>
      <c r="G1600" s="3" t="s">
        <v>733</v>
      </c>
      <c r="H1600" s="3"/>
      <c r="I1600" s="3"/>
    </row>
    <row r="1601" spans="1:9" s="5" customFormat="1" x14ac:dyDescent="0.35">
      <c r="A1601" s="3" t="s">
        <v>8</v>
      </c>
      <c r="B1601" s="3" t="s">
        <v>665</v>
      </c>
      <c r="C1601" s="3" t="s">
        <v>20</v>
      </c>
      <c r="D1601" s="3" t="s">
        <v>744</v>
      </c>
      <c r="E1601" s="3" t="s">
        <v>15</v>
      </c>
      <c r="F1601" s="3" t="s">
        <v>13</v>
      </c>
      <c r="G1601" s="3" t="s">
        <v>733</v>
      </c>
      <c r="H1601" s="3"/>
      <c r="I1601" s="3"/>
    </row>
    <row r="1602" spans="1:9" s="5" customFormat="1" x14ac:dyDescent="0.35">
      <c r="A1602" s="3" t="s">
        <v>8</v>
      </c>
      <c r="B1602" s="3" t="s">
        <v>665</v>
      </c>
      <c r="C1602" s="3" t="s">
        <v>20</v>
      </c>
      <c r="D1602" s="3" t="s">
        <v>744</v>
      </c>
      <c r="E1602" s="3" t="s">
        <v>134</v>
      </c>
      <c r="F1602" s="3" t="s">
        <v>13</v>
      </c>
      <c r="G1602" s="3" t="s">
        <v>2413</v>
      </c>
      <c r="H1602" s="3"/>
      <c r="I1602" s="3"/>
    </row>
    <row r="1603" spans="1:9" s="5" customFormat="1" x14ac:dyDescent="0.35">
      <c r="A1603" s="3" t="s">
        <v>8</v>
      </c>
      <c r="B1603" s="3" t="s">
        <v>665</v>
      </c>
      <c r="C1603" s="3" t="s">
        <v>45</v>
      </c>
      <c r="D1603" s="3" t="s">
        <v>745</v>
      </c>
      <c r="E1603" s="3" t="s">
        <v>77</v>
      </c>
      <c r="F1603" s="3"/>
      <c r="G1603" s="3"/>
      <c r="H1603" s="3"/>
      <c r="I1603" s="3"/>
    </row>
    <row r="1604" spans="1:9" s="5" customFormat="1" x14ac:dyDescent="0.35">
      <c r="A1604" s="3" t="s">
        <v>8</v>
      </c>
      <c r="B1604" s="3" t="s">
        <v>665</v>
      </c>
      <c r="C1604" s="3" t="s">
        <v>129</v>
      </c>
      <c r="D1604" s="3" t="s">
        <v>746</v>
      </c>
      <c r="E1604" s="3" t="s">
        <v>15</v>
      </c>
      <c r="F1604" s="3" t="s">
        <v>13</v>
      </c>
      <c r="G1604" s="3" t="s">
        <v>747</v>
      </c>
      <c r="H1604" s="3"/>
      <c r="I1604" s="3"/>
    </row>
    <row r="1605" spans="1:9" s="5" customFormat="1" x14ac:dyDescent="0.35">
      <c r="A1605" s="3" t="s">
        <v>8</v>
      </c>
      <c r="B1605" s="3" t="s">
        <v>665</v>
      </c>
      <c r="C1605" s="3" t="s">
        <v>129</v>
      </c>
      <c r="D1605" s="3" t="s">
        <v>746</v>
      </c>
      <c r="E1605" s="3" t="s">
        <v>57</v>
      </c>
      <c r="F1605" s="3"/>
      <c r="G1605" s="3"/>
      <c r="H1605" s="3"/>
      <c r="I1605" s="3"/>
    </row>
    <row r="1606" spans="1:9" s="5" customFormat="1" x14ac:dyDescent="0.35">
      <c r="A1606" s="3" t="s">
        <v>8</v>
      </c>
      <c r="B1606" s="3" t="s">
        <v>665</v>
      </c>
      <c r="C1606" s="3" t="s">
        <v>129</v>
      </c>
      <c r="D1606" s="3" t="s">
        <v>746</v>
      </c>
      <c r="E1606" s="3" t="s">
        <v>32</v>
      </c>
      <c r="F1606" s="3" t="s">
        <v>13</v>
      </c>
      <c r="G1606" s="3" t="s">
        <v>748</v>
      </c>
      <c r="H1606" s="3"/>
      <c r="I1606" s="3"/>
    </row>
    <row r="1607" spans="1:9" s="5" customFormat="1" x14ac:dyDescent="0.35">
      <c r="A1607" s="3" t="s">
        <v>8</v>
      </c>
      <c r="B1607" s="3" t="s">
        <v>665</v>
      </c>
      <c r="C1607" s="3" t="s">
        <v>129</v>
      </c>
      <c r="D1607" s="3" t="s">
        <v>746</v>
      </c>
      <c r="E1607" s="3" t="s">
        <v>134</v>
      </c>
      <c r="F1607" s="3" t="s">
        <v>13</v>
      </c>
      <c r="G1607" s="3" t="s">
        <v>2634</v>
      </c>
      <c r="H1607" s="3"/>
      <c r="I1607" s="3"/>
    </row>
    <row r="1608" spans="1:9" s="5" customFormat="1" x14ac:dyDescent="0.35">
      <c r="A1608" s="3" t="s">
        <v>8</v>
      </c>
      <c r="B1608" s="3" t="s">
        <v>665</v>
      </c>
      <c r="C1608" s="3" t="s">
        <v>10</v>
      </c>
      <c r="D1608" s="3" t="s">
        <v>2587</v>
      </c>
      <c r="E1608" s="3" t="s">
        <v>36</v>
      </c>
      <c r="F1608" s="3"/>
      <c r="G1608" s="3"/>
      <c r="H1608" s="3"/>
      <c r="I1608" s="3"/>
    </row>
    <row r="1609" spans="1:9" s="5" customFormat="1" x14ac:dyDescent="0.35">
      <c r="A1609" s="3" t="s">
        <v>8</v>
      </c>
      <c r="B1609" s="3" t="s">
        <v>665</v>
      </c>
      <c r="C1609" s="3" t="s">
        <v>10</v>
      </c>
      <c r="D1609" s="3" t="s">
        <v>2587</v>
      </c>
      <c r="E1609" s="3" t="s">
        <v>47</v>
      </c>
      <c r="F1609" s="3"/>
      <c r="G1609" s="3"/>
      <c r="H1609" s="3"/>
      <c r="I1609" s="3"/>
    </row>
    <row r="1610" spans="1:9" s="5" customFormat="1" x14ac:dyDescent="0.35">
      <c r="A1610" s="3" t="s">
        <v>8</v>
      </c>
      <c r="B1610" s="3" t="s">
        <v>665</v>
      </c>
      <c r="C1610" s="3" t="s">
        <v>10</v>
      </c>
      <c r="D1610" s="3" t="s">
        <v>749</v>
      </c>
      <c r="E1610" s="3" t="s">
        <v>47</v>
      </c>
      <c r="F1610" s="3"/>
      <c r="G1610" s="3"/>
      <c r="H1610" s="3"/>
      <c r="I1610" s="3"/>
    </row>
    <row r="1611" spans="1:9" s="5" customFormat="1" x14ac:dyDescent="0.35">
      <c r="A1611" s="3" t="s">
        <v>8</v>
      </c>
      <c r="B1611" s="3" t="s">
        <v>665</v>
      </c>
      <c r="C1611" s="3" t="s">
        <v>10</v>
      </c>
      <c r="D1611" s="3" t="s">
        <v>749</v>
      </c>
      <c r="E1611" s="3" t="s">
        <v>28</v>
      </c>
      <c r="F1611" s="3"/>
      <c r="G1611" s="3"/>
      <c r="H1611" s="3"/>
      <c r="I1611" s="3"/>
    </row>
    <row r="1612" spans="1:9" s="5" customFormat="1" x14ac:dyDescent="0.35">
      <c r="A1612" s="3" t="s">
        <v>8</v>
      </c>
      <c r="B1612" s="3" t="s">
        <v>665</v>
      </c>
      <c r="C1612" s="3" t="s">
        <v>10</v>
      </c>
      <c r="D1612" s="3" t="s">
        <v>749</v>
      </c>
      <c r="E1612" s="3" t="s">
        <v>15</v>
      </c>
      <c r="F1612" s="3" t="s">
        <v>13</v>
      </c>
      <c r="G1612" s="3" t="s">
        <v>750</v>
      </c>
      <c r="H1612" s="3"/>
      <c r="I1612" s="3"/>
    </row>
    <row r="1613" spans="1:9" s="5" customFormat="1" x14ac:dyDescent="0.35">
      <c r="A1613" s="3" t="s">
        <v>8</v>
      </c>
      <c r="B1613" s="3" t="s">
        <v>665</v>
      </c>
      <c r="C1613" s="3" t="s">
        <v>10</v>
      </c>
      <c r="D1613" s="3" t="s">
        <v>749</v>
      </c>
      <c r="E1613" s="3" t="s">
        <v>134</v>
      </c>
      <c r="F1613" s="3"/>
      <c r="G1613" s="3"/>
      <c r="H1613" s="3"/>
      <c r="I1613" s="3"/>
    </row>
    <row r="1614" spans="1:9" s="5" customFormat="1" x14ac:dyDescent="0.35">
      <c r="A1614" s="3" t="s">
        <v>8</v>
      </c>
      <c r="B1614" s="3" t="s">
        <v>665</v>
      </c>
      <c r="C1614" s="3" t="s">
        <v>20</v>
      </c>
      <c r="D1614" s="3" t="s">
        <v>751</v>
      </c>
      <c r="E1614" s="3" t="s">
        <v>25</v>
      </c>
      <c r="F1614" s="3"/>
      <c r="G1614" s="3"/>
      <c r="H1614" s="3"/>
      <c r="I1614" s="3"/>
    </row>
    <row r="1615" spans="1:9" s="5" customFormat="1" x14ac:dyDescent="0.35">
      <c r="A1615" s="3" t="s">
        <v>8</v>
      </c>
      <c r="B1615" s="3" t="s">
        <v>665</v>
      </c>
      <c r="C1615" s="3" t="s">
        <v>20</v>
      </c>
      <c r="D1615" s="3" t="s">
        <v>751</v>
      </c>
      <c r="E1615" s="3" t="s">
        <v>28</v>
      </c>
      <c r="F1615" s="3"/>
      <c r="G1615" s="3"/>
      <c r="H1615" s="3"/>
      <c r="I1615" s="3"/>
    </row>
    <row r="1616" spans="1:9" s="5" customFormat="1" x14ac:dyDescent="0.35">
      <c r="A1616" s="3" t="s">
        <v>8</v>
      </c>
      <c r="B1616" s="3" t="s">
        <v>665</v>
      </c>
      <c r="C1616" s="3" t="s">
        <v>20</v>
      </c>
      <c r="D1616" s="3" t="s">
        <v>751</v>
      </c>
      <c r="E1616" s="3" t="s">
        <v>15</v>
      </c>
      <c r="F1616" s="3" t="s">
        <v>13</v>
      </c>
      <c r="G1616" s="3" t="s">
        <v>2686</v>
      </c>
      <c r="H1616" s="3"/>
      <c r="I1616" s="3"/>
    </row>
    <row r="1617" spans="1:9" s="5" customFormat="1" x14ac:dyDescent="0.35">
      <c r="A1617" s="3" t="s">
        <v>8</v>
      </c>
      <c r="B1617" s="3" t="s">
        <v>665</v>
      </c>
      <c r="C1617" s="3" t="s">
        <v>45</v>
      </c>
      <c r="D1617" s="3" t="s">
        <v>752</v>
      </c>
      <c r="E1617" s="3" t="s">
        <v>77</v>
      </c>
      <c r="F1617" s="3"/>
      <c r="G1617" s="3"/>
      <c r="H1617" s="3"/>
      <c r="I1617" s="3"/>
    </row>
    <row r="1618" spans="1:9" s="5" customFormat="1" x14ac:dyDescent="0.35">
      <c r="A1618" s="3" t="s">
        <v>8</v>
      </c>
      <c r="B1618" s="3" t="s">
        <v>665</v>
      </c>
      <c r="C1618" s="3" t="s">
        <v>45</v>
      </c>
      <c r="D1618" s="3" t="s">
        <v>753</v>
      </c>
      <c r="E1618" s="3" t="s">
        <v>166</v>
      </c>
      <c r="F1618" s="3"/>
      <c r="G1618" s="3"/>
      <c r="H1618" s="3"/>
      <c r="I1618" s="3"/>
    </row>
    <row r="1619" spans="1:9" s="5" customFormat="1" x14ac:dyDescent="0.35">
      <c r="A1619" s="3" t="s">
        <v>8</v>
      </c>
      <c r="B1619" s="3" t="s">
        <v>665</v>
      </c>
      <c r="C1619" s="3" t="s">
        <v>45</v>
      </c>
      <c r="D1619" s="3" t="s">
        <v>753</v>
      </c>
      <c r="E1619" s="3" t="s">
        <v>217</v>
      </c>
      <c r="F1619" s="3"/>
      <c r="G1619" s="3"/>
      <c r="H1619" s="3"/>
      <c r="I1619" s="3"/>
    </row>
    <row r="1620" spans="1:9" s="5" customFormat="1" x14ac:dyDescent="0.35">
      <c r="A1620" s="3" t="s">
        <v>8</v>
      </c>
      <c r="B1620" s="3" t="s">
        <v>665</v>
      </c>
      <c r="C1620" s="3" t="s">
        <v>45</v>
      </c>
      <c r="D1620" s="3" t="s">
        <v>753</v>
      </c>
      <c r="E1620" s="3" t="s">
        <v>220</v>
      </c>
      <c r="F1620" s="3"/>
      <c r="G1620" s="3"/>
      <c r="H1620" s="3"/>
      <c r="I1620" s="3"/>
    </row>
    <row r="1621" spans="1:9" s="5" customFormat="1" x14ac:dyDescent="0.35">
      <c r="A1621" s="3" t="s">
        <v>8</v>
      </c>
      <c r="B1621" s="3" t="s">
        <v>665</v>
      </c>
      <c r="C1621" s="3" t="s">
        <v>45</v>
      </c>
      <c r="D1621" s="3" t="s">
        <v>753</v>
      </c>
      <c r="E1621" s="3" t="s">
        <v>225</v>
      </c>
      <c r="F1621" s="3"/>
      <c r="G1621" s="3"/>
      <c r="H1621" s="3"/>
      <c r="I1621" s="3"/>
    </row>
    <row r="1622" spans="1:9" s="5" customFormat="1" x14ac:dyDescent="0.35">
      <c r="A1622" s="3" t="s">
        <v>8</v>
      </c>
      <c r="B1622" s="3" t="s">
        <v>665</v>
      </c>
      <c r="C1622" s="3" t="s">
        <v>45</v>
      </c>
      <c r="D1622" s="3" t="s">
        <v>753</v>
      </c>
      <c r="E1622" s="3" t="s">
        <v>77</v>
      </c>
      <c r="F1622" s="3"/>
      <c r="G1622" s="3"/>
      <c r="H1622" s="3"/>
      <c r="I1622" s="3"/>
    </row>
    <row r="1623" spans="1:9" s="5" customFormat="1" x14ac:dyDescent="0.35">
      <c r="A1623" s="3" t="s">
        <v>8</v>
      </c>
      <c r="B1623" s="3" t="s">
        <v>665</v>
      </c>
      <c r="C1623" s="3" t="s">
        <v>45</v>
      </c>
      <c r="D1623" s="3" t="s">
        <v>753</v>
      </c>
      <c r="E1623" s="3" t="s">
        <v>221</v>
      </c>
      <c r="F1623" s="3"/>
      <c r="G1623" s="3"/>
      <c r="H1623" s="3"/>
      <c r="I1623" s="3"/>
    </row>
    <row r="1624" spans="1:9" s="5" customFormat="1" x14ac:dyDescent="0.35">
      <c r="A1624" s="3" t="s">
        <v>8</v>
      </c>
      <c r="B1624" s="3" t="s">
        <v>665</v>
      </c>
      <c r="C1624" s="3" t="s">
        <v>45</v>
      </c>
      <c r="D1624" s="3" t="s">
        <v>753</v>
      </c>
      <c r="E1624" s="3" t="s">
        <v>222</v>
      </c>
      <c r="F1624" s="3"/>
      <c r="G1624" s="3"/>
      <c r="H1624" s="3"/>
      <c r="I1624" s="3"/>
    </row>
    <row r="1625" spans="1:9" s="5" customFormat="1" x14ac:dyDescent="0.35">
      <c r="A1625" s="3" t="s">
        <v>8</v>
      </c>
      <c r="B1625" s="3" t="s">
        <v>665</v>
      </c>
      <c r="C1625" s="3" t="s">
        <v>45</v>
      </c>
      <c r="D1625" s="3" t="s">
        <v>753</v>
      </c>
      <c r="E1625" s="3" t="s">
        <v>223</v>
      </c>
      <c r="F1625" s="3"/>
      <c r="G1625" s="3"/>
      <c r="H1625" s="3"/>
      <c r="I1625" s="3"/>
    </row>
    <row r="1626" spans="1:9" s="5" customFormat="1" x14ac:dyDescent="0.35">
      <c r="A1626" s="3" t="s">
        <v>8</v>
      </c>
      <c r="B1626" s="3" t="s">
        <v>665</v>
      </c>
      <c r="C1626" s="3" t="s">
        <v>45</v>
      </c>
      <c r="D1626" s="3" t="s">
        <v>753</v>
      </c>
      <c r="E1626" s="3" t="s">
        <v>226</v>
      </c>
      <c r="F1626" s="3"/>
      <c r="G1626" s="3"/>
      <c r="H1626" s="3"/>
      <c r="I1626" s="3"/>
    </row>
    <row r="1627" spans="1:9" s="5" customFormat="1" x14ac:dyDescent="0.35">
      <c r="A1627" s="3" t="s">
        <v>8</v>
      </c>
      <c r="B1627" s="3" t="s">
        <v>665</v>
      </c>
      <c r="C1627" s="3" t="s">
        <v>45</v>
      </c>
      <c r="D1627" s="3" t="s">
        <v>753</v>
      </c>
      <c r="E1627" s="3" t="s">
        <v>227</v>
      </c>
      <c r="F1627" s="3"/>
      <c r="G1627" s="3"/>
      <c r="H1627" s="3"/>
      <c r="I1627" s="3"/>
    </row>
    <row r="1628" spans="1:9" s="5" customFormat="1" x14ac:dyDescent="0.35">
      <c r="A1628" s="3" t="s">
        <v>8</v>
      </c>
      <c r="B1628" s="3" t="s">
        <v>665</v>
      </c>
      <c r="C1628" s="3" t="s">
        <v>45</v>
      </c>
      <c r="D1628" s="3" t="s">
        <v>753</v>
      </c>
      <c r="E1628" s="3" t="s">
        <v>228</v>
      </c>
      <c r="F1628" s="3"/>
      <c r="G1628" s="3"/>
      <c r="H1628" s="3"/>
      <c r="I1628" s="3"/>
    </row>
    <row r="1629" spans="1:9" s="5" customFormat="1" x14ac:dyDescent="0.35">
      <c r="A1629" s="3" t="s">
        <v>8</v>
      </c>
      <c r="B1629" s="3" t="s">
        <v>665</v>
      </c>
      <c r="C1629" s="3" t="s">
        <v>45</v>
      </c>
      <c r="D1629" s="3" t="s">
        <v>753</v>
      </c>
      <c r="E1629" s="3" t="s">
        <v>229</v>
      </c>
      <c r="F1629" s="3"/>
      <c r="G1629" s="3"/>
      <c r="H1629" s="3"/>
      <c r="I1629" s="3"/>
    </row>
    <row r="1630" spans="1:9" s="5" customFormat="1" x14ac:dyDescent="0.35">
      <c r="A1630" s="3" t="s">
        <v>8</v>
      </c>
      <c r="B1630" s="3" t="s">
        <v>665</v>
      </c>
      <c r="C1630" s="3" t="s">
        <v>45</v>
      </c>
      <c r="D1630" s="3" t="s">
        <v>753</v>
      </c>
      <c r="E1630" s="3" t="s">
        <v>230</v>
      </c>
      <c r="F1630" s="3"/>
      <c r="G1630" s="3"/>
      <c r="H1630" s="3"/>
      <c r="I1630" s="3"/>
    </row>
    <row r="1631" spans="1:9" s="5" customFormat="1" x14ac:dyDescent="0.35">
      <c r="A1631" s="3" t="s">
        <v>8</v>
      </c>
      <c r="B1631" s="3" t="s">
        <v>665</v>
      </c>
      <c r="C1631" s="3" t="s">
        <v>45</v>
      </c>
      <c r="D1631" s="3" t="s">
        <v>753</v>
      </c>
      <c r="E1631" s="3" t="s">
        <v>24</v>
      </c>
      <c r="F1631" s="3"/>
      <c r="G1631" s="3" t="s">
        <v>2411</v>
      </c>
      <c r="H1631" s="3"/>
      <c r="I1631" s="3"/>
    </row>
    <row r="1632" spans="1:9" s="5" customFormat="1" x14ac:dyDescent="0.35">
      <c r="A1632" s="3" t="s">
        <v>8</v>
      </c>
      <c r="B1632" s="3" t="s">
        <v>665</v>
      </c>
      <c r="C1632" s="3" t="s">
        <v>45</v>
      </c>
      <c r="D1632" s="3" t="s">
        <v>753</v>
      </c>
      <c r="E1632" s="3" t="s">
        <v>219</v>
      </c>
      <c r="F1632" s="3"/>
      <c r="G1632" s="3"/>
      <c r="H1632" s="3"/>
      <c r="I1632" s="3"/>
    </row>
    <row r="1633" spans="1:9" s="5" customFormat="1" x14ac:dyDescent="0.35">
      <c r="A1633" s="3" t="s">
        <v>8</v>
      </c>
      <c r="B1633" s="3" t="s">
        <v>665</v>
      </c>
      <c r="C1633" s="3" t="s">
        <v>45</v>
      </c>
      <c r="D1633" s="3" t="s">
        <v>753</v>
      </c>
      <c r="E1633" s="3" t="s">
        <v>218</v>
      </c>
      <c r="F1633" s="3"/>
      <c r="G1633" s="3"/>
      <c r="H1633" s="3"/>
      <c r="I1633" s="3"/>
    </row>
    <row r="1634" spans="1:9" s="5" customFormat="1" x14ac:dyDescent="0.35">
      <c r="A1634" s="3" t="s">
        <v>8</v>
      </c>
      <c r="B1634" s="3" t="s">
        <v>665</v>
      </c>
      <c r="C1634" s="3" t="s">
        <v>45</v>
      </c>
      <c r="D1634" s="3" t="s">
        <v>753</v>
      </c>
      <c r="E1634" s="3" t="s">
        <v>224</v>
      </c>
      <c r="F1634" s="3"/>
      <c r="G1634" s="3"/>
      <c r="H1634" s="3"/>
      <c r="I1634" s="3"/>
    </row>
    <row r="1635" spans="1:9" s="5" customFormat="1" x14ac:dyDescent="0.35">
      <c r="A1635" s="3" t="s">
        <v>8</v>
      </c>
      <c r="B1635" s="3" t="s">
        <v>665</v>
      </c>
      <c r="C1635" s="3" t="s">
        <v>10</v>
      </c>
      <c r="D1635" s="3" t="s">
        <v>754</v>
      </c>
      <c r="E1635" s="3" t="s">
        <v>12</v>
      </c>
      <c r="F1635" s="3"/>
      <c r="G1635" s="3"/>
      <c r="H1635" s="3"/>
      <c r="I1635" s="3"/>
    </row>
    <row r="1636" spans="1:9" s="5" customFormat="1" x14ac:dyDescent="0.35">
      <c r="A1636" s="3" t="s">
        <v>8</v>
      </c>
      <c r="B1636" s="3" t="s">
        <v>665</v>
      </c>
      <c r="C1636" s="3" t="s">
        <v>10</v>
      </c>
      <c r="D1636" s="3" t="s">
        <v>754</v>
      </c>
      <c r="E1636" s="3" t="s">
        <v>36</v>
      </c>
      <c r="F1636" s="3" t="s">
        <v>33</v>
      </c>
      <c r="G1636" s="3" t="s">
        <v>723</v>
      </c>
      <c r="H1636" s="3"/>
      <c r="I1636" s="3"/>
    </row>
    <row r="1637" spans="1:9" s="5" customFormat="1" x14ac:dyDescent="0.35">
      <c r="A1637" s="3" t="s">
        <v>8</v>
      </c>
      <c r="B1637" s="3" t="s">
        <v>665</v>
      </c>
      <c r="C1637" s="3" t="s">
        <v>10</v>
      </c>
      <c r="D1637" s="3" t="s">
        <v>754</v>
      </c>
      <c r="E1637" s="3" t="s">
        <v>87</v>
      </c>
      <c r="F1637" s="3"/>
      <c r="G1637" s="3" t="s">
        <v>2397</v>
      </c>
      <c r="H1637" s="3"/>
      <c r="I1637" s="3"/>
    </row>
    <row r="1638" spans="1:9" s="5" customFormat="1" x14ac:dyDescent="0.35">
      <c r="A1638" s="3" t="s">
        <v>8</v>
      </c>
      <c r="B1638" s="3" t="s">
        <v>665</v>
      </c>
      <c r="C1638" s="3" t="s">
        <v>10</v>
      </c>
      <c r="D1638" s="3" t="s">
        <v>754</v>
      </c>
      <c r="E1638" s="3" t="s">
        <v>15</v>
      </c>
      <c r="F1638" s="3"/>
      <c r="G1638" s="3"/>
      <c r="H1638" s="3"/>
      <c r="I1638" s="3"/>
    </row>
    <row r="1639" spans="1:9" s="5" customFormat="1" x14ac:dyDescent="0.35">
      <c r="A1639" s="3" t="s">
        <v>8</v>
      </c>
      <c r="B1639" s="3" t="s">
        <v>665</v>
      </c>
      <c r="C1639" s="3" t="s">
        <v>10</v>
      </c>
      <c r="D1639" s="3" t="s">
        <v>754</v>
      </c>
      <c r="E1639" s="3" t="s">
        <v>29</v>
      </c>
      <c r="F1639" s="3" t="s">
        <v>33</v>
      </c>
      <c r="G1639" s="3" t="s">
        <v>723</v>
      </c>
      <c r="H1639" s="3"/>
      <c r="I1639" s="3"/>
    </row>
    <row r="1640" spans="1:9" s="5" customFormat="1" x14ac:dyDescent="0.35">
      <c r="A1640" s="3" t="s">
        <v>8</v>
      </c>
      <c r="B1640" s="3" t="s">
        <v>665</v>
      </c>
      <c r="C1640" s="3" t="s">
        <v>45</v>
      </c>
      <c r="D1640" s="3" t="s">
        <v>755</v>
      </c>
      <c r="E1640" s="3" t="s">
        <v>12</v>
      </c>
      <c r="F1640" s="3"/>
      <c r="G1640" s="3"/>
      <c r="H1640" s="3"/>
      <c r="I1640" s="3"/>
    </row>
    <row r="1641" spans="1:9" s="5" customFormat="1" x14ac:dyDescent="0.35">
      <c r="A1641" s="3" t="s">
        <v>8</v>
      </c>
      <c r="B1641" s="3" t="s">
        <v>665</v>
      </c>
      <c r="C1641" s="3" t="s">
        <v>45</v>
      </c>
      <c r="D1641" s="3" t="s">
        <v>755</v>
      </c>
      <c r="E1641" s="3" t="s">
        <v>36</v>
      </c>
      <c r="F1641" s="3"/>
      <c r="G1641" s="3"/>
      <c r="H1641" s="3"/>
      <c r="I1641" s="3"/>
    </row>
    <row r="1642" spans="1:9" s="5" customFormat="1" x14ac:dyDescent="0.35">
      <c r="A1642" s="3" t="s">
        <v>8</v>
      </c>
      <c r="B1642" s="3" t="s">
        <v>665</v>
      </c>
      <c r="C1642" s="3" t="s">
        <v>45</v>
      </c>
      <c r="D1642" s="3" t="s">
        <v>755</v>
      </c>
      <c r="E1642" s="3" t="s">
        <v>47</v>
      </c>
      <c r="F1642" s="3" t="s">
        <v>33</v>
      </c>
      <c r="G1642" s="3" t="s">
        <v>723</v>
      </c>
      <c r="H1642" s="3"/>
      <c r="I1642" s="3"/>
    </row>
    <row r="1643" spans="1:9" s="5" customFormat="1" x14ac:dyDescent="0.35">
      <c r="A1643" s="3" t="s">
        <v>8</v>
      </c>
      <c r="B1643" s="3" t="s">
        <v>665</v>
      </c>
      <c r="C1643" s="3" t="s">
        <v>45</v>
      </c>
      <c r="D1643" s="3" t="s">
        <v>755</v>
      </c>
      <c r="E1643" s="3" t="s">
        <v>27</v>
      </c>
      <c r="F1643" s="3"/>
      <c r="G1643" s="3"/>
      <c r="H1643" s="3"/>
      <c r="I1643" s="3"/>
    </row>
    <row r="1644" spans="1:9" s="5" customFormat="1" x14ac:dyDescent="0.35">
      <c r="A1644" s="3" t="s">
        <v>8</v>
      </c>
      <c r="B1644" s="3" t="s">
        <v>665</v>
      </c>
      <c r="C1644" s="3" t="s">
        <v>45</v>
      </c>
      <c r="D1644" s="3" t="s">
        <v>755</v>
      </c>
      <c r="E1644" s="3" t="s">
        <v>28</v>
      </c>
      <c r="F1644" s="3"/>
      <c r="G1644" s="3"/>
      <c r="H1644" s="3"/>
      <c r="I1644" s="3"/>
    </row>
    <row r="1645" spans="1:9" s="5" customFormat="1" x14ac:dyDescent="0.35">
      <c r="A1645" s="3" t="s">
        <v>8</v>
      </c>
      <c r="B1645" s="3" t="s">
        <v>665</v>
      </c>
      <c r="C1645" s="3" t="s">
        <v>45</v>
      </c>
      <c r="D1645" s="3" t="s">
        <v>755</v>
      </c>
      <c r="E1645" s="3" t="s">
        <v>15</v>
      </c>
      <c r="F1645" s="3" t="s">
        <v>16</v>
      </c>
      <c r="G1645" s="3" t="s">
        <v>2917</v>
      </c>
      <c r="H1645" s="3"/>
      <c r="I1645" s="3"/>
    </row>
    <row r="1646" spans="1:9" s="5" customFormat="1" x14ac:dyDescent="0.35">
      <c r="A1646" s="3" t="s">
        <v>8</v>
      </c>
      <c r="B1646" s="3" t="s">
        <v>665</v>
      </c>
      <c r="C1646" s="3" t="s">
        <v>45</v>
      </c>
      <c r="D1646" s="3" t="s">
        <v>755</v>
      </c>
      <c r="E1646" s="3" t="s">
        <v>56</v>
      </c>
      <c r="F1646" s="3"/>
      <c r="G1646" s="3" t="s">
        <v>2432</v>
      </c>
      <c r="H1646" s="3"/>
      <c r="I1646" s="3"/>
    </row>
    <row r="1647" spans="1:9" s="5" customFormat="1" x14ac:dyDescent="0.35">
      <c r="A1647" s="3" t="s">
        <v>8</v>
      </c>
      <c r="B1647" s="3" t="s">
        <v>665</v>
      </c>
      <c r="C1647" s="3" t="s">
        <v>45</v>
      </c>
      <c r="D1647" s="3" t="s">
        <v>755</v>
      </c>
      <c r="E1647" s="3" t="s">
        <v>134</v>
      </c>
      <c r="F1647" s="3"/>
      <c r="G1647" s="3"/>
      <c r="H1647" s="3"/>
      <c r="I1647" s="3"/>
    </row>
    <row r="1648" spans="1:9" s="5" customFormat="1" x14ac:dyDescent="0.35">
      <c r="A1648" s="3" t="s">
        <v>8</v>
      </c>
      <c r="B1648" s="3" t="s">
        <v>665</v>
      </c>
      <c r="C1648" s="3" t="s">
        <v>45</v>
      </c>
      <c r="D1648" s="3" t="s">
        <v>755</v>
      </c>
      <c r="E1648" s="3" t="s">
        <v>107</v>
      </c>
      <c r="F1648" s="3" t="s">
        <v>33</v>
      </c>
      <c r="G1648" s="3" t="s">
        <v>723</v>
      </c>
      <c r="H1648" s="3"/>
      <c r="I1648" s="3"/>
    </row>
    <row r="1649" spans="1:9" s="5" customFormat="1" x14ac:dyDescent="0.35">
      <c r="A1649" s="3" t="s">
        <v>8</v>
      </c>
      <c r="B1649" s="3" t="s">
        <v>665</v>
      </c>
      <c r="C1649" s="3" t="s">
        <v>45</v>
      </c>
      <c r="D1649" s="3" t="s">
        <v>756</v>
      </c>
      <c r="E1649" s="3" t="s">
        <v>77</v>
      </c>
      <c r="F1649" s="3"/>
      <c r="G1649" s="3"/>
      <c r="H1649" s="3"/>
      <c r="I1649" s="3"/>
    </row>
    <row r="1650" spans="1:9" s="5" customFormat="1" x14ac:dyDescent="0.35">
      <c r="A1650" s="3" t="s">
        <v>8</v>
      </c>
      <c r="B1650" s="3" t="s">
        <v>665</v>
      </c>
      <c r="C1650" s="3" t="s">
        <v>45</v>
      </c>
      <c r="D1650" s="3" t="s">
        <v>2752</v>
      </c>
      <c r="E1650" s="3" t="s">
        <v>23</v>
      </c>
      <c r="F1650" s="3"/>
      <c r="G1650" s="3"/>
      <c r="H1650" s="3"/>
      <c r="I1650" s="3"/>
    </row>
    <row r="1651" spans="1:9" s="5" customFormat="1" x14ac:dyDescent="0.35">
      <c r="A1651" s="3" t="s">
        <v>8</v>
      </c>
      <c r="B1651" s="3" t="s">
        <v>665</v>
      </c>
      <c r="C1651" s="3" t="s">
        <v>45</v>
      </c>
      <c r="D1651" s="3" t="s">
        <v>2752</v>
      </c>
      <c r="E1651" s="3" t="s">
        <v>77</v>
      </c>
      <c r="G1651" s="3"/>
      <c r="H1651" s="3"/>
      <c r="I1651" s="3"/>
    </row>
    <row r="1652" spans="1:9" s="5" customFormat="1" x14ac:dyDescent="0.35">
      <c r="A1652" s="3" t="s">
        <v>8</v>
      </c>
      <c r="B1652" s="3" t="s">
        <v>665</v>
      </c>
      <c r="C1652" s="3" t="s">
        <v>45</v>
      </c>
      <c r="D1652" s="3" t="s">
        <v>2752</v>
      </c>
      <c r="E1652" s="3" t="s">
        <v>15</v>
      </c>
      <c r="F1652" s="3" t="s">
        <v>16</v>
      </c>
      <c r="G1652" s="3" t="s">
        <v>990</v>
      </c>
      <c r="H1652" s="3"/>
      <c r="I1652" s="3"/>
    </row>
    <row r="1653" spans="1:9" s="5" customFormat="1" x14ac:dyDescent="0.35">
      <c r="A1653" s="3" t="s">
        <v>8</v>
      </c>
      <c r="B1653" s="3" t="s">
        <v>665</v>
      </c>
      <c r="C1653" s="3" t="s">
        <v>45</v>
      </c>
      <c r="D1653" s="3" t="s">
        <v>757</v>
      </c>
      <c r="E1653" s="3" t="s">
        <v>25</v>
      </c>
      <c r="F1653" s="3"/>
      <c r="G1653" s="3"/>
      <c r="H1653" s="3"/>
      <c r="I1653" s="3"/>
    </row>
    <row r="1654" spans="1:9" s="5" customFormat="1" x14ac:dyDescent="0.35">
      <c r="A1654" s="3" t="s">
        <v>8</v>
      </c>
      <c r="B1654" s="3" t="s">
        <v>665</v>
      </c>
      <c r="C1654" s="3" t="s">
        <v>45</v>
      </c>
      <c r="D1654" s="3" t="s">
        <v>757</v>
      </c>
      <c r="E1654" s="3" t="s">
        <v>60</v>
      </c>
      <c r="F1654" s="3"/>
      <c r="G1654" s="3" t="s">
        <v>2433</v>
      </c>
      <c r="H1654" s="3"/>
      <c r="I1654" s="3"/>
    </row>
    <row r="1655" spans="1:9" s="5" customFormat="1" x14ac:dyDescent="0.35">
      <c r="A1655" s="3" t="s">
        <v>8</v>
      </c>
      <c r="B1655" s="3" t="s">
        <v>665</v>
      </c>
      <c r="C1655" s="3" t="s">
        <v>45</v>
      </c>
      <c r="D1655" s="3" t="s">
        <v>757</v>
      </c>
      <c r="E1655" s="3" t="s">
        <v>56</v>
      </c>
      <c r="F1655" s="3" t="s">
        <v>13</v>
      </c>
      <c r="G1655" s="3" t="s">
        <v>758</v>
      </c>
      <c r="H1655" s="3"/>
      <c r="I1655" s="3"/>
    </row>
    <row r="1656" spans="1:9" s="5" customFormat="1" x14ac:dyDescent="0.35">
      <c r="A1656" s="3" t="s">
        <v>8</v>
      </c>
      <c r="B1656" s="3" t="s">
        <v>665</v>
      </c>
      <c r="C1656" s="3" t="s">
        <v>45</v>
      </c>
      <c r="D1656" s="3" t="s">
        <v>757</v>
      </c>
      <c r="E1656" s="3" t="s">
        <v>32</v>
      </c>
      <c r="F1656" s="3"/>
      <c r="G1656" s="3" t="s">
        <v>2434</v>
      </c>
      <c r="H1656" s="3"/>
      <c r="I1656" s="3"/>
    </row>
    <row r="1657" spans="1:9" s="5" customFormat="1" x14ac:dyDescent="0.35">
      <c r="A1657" s="3" t="s">
        <v>8</v>
      </c>
      <c r="B1657" s="3" t="s">
        <v>665</v>
      </c>
      <c r="C1657" s="3" t="s">
        <v>45</v>
      </c>
      <c r="D1657" s="3" t="s">
        <v>757</v>
      </c>
      <c r="E1657" s="3" t="s">
        <v>244</v>
      </c>
      <c r="F1657" s="3"/>
      <c r="G1657" s="3" t="s">
        <v>2435</v>
      </c>
      <c r="H1657" s="3"/>
      <c r="I1657" s="3"/>
    </row>
    <row r="1658" spans="1:9" s="5" customFormat="1" x14ac:dyDescent="0.35">
      <c r="A1658" s="3" t="s">
        <v>8</v>
      </c>
      <c r="B1658" s="3" t="s">
        <v>665</v>
      </c>
      <c r="C1658" s="3" t="s">
        <v>45</v>
      </c>
      <c r="D1658" s="3" t="s">
        <v>759</v>
      </c>
      <c r="E1658" s="3" t="s">
        <v>25</v>
      </c>
      <c r="F1658" s="3"/>
      <c r="G1658" s="3"/>
      <c r="H1658" s="3"/>
      <c r="I1658" s="3"/>
    </row>
    <row r="1659" spans="1:9" s="5" customFormat="1" x14ac:dyDescent="0.35">
      <c r="A1659" s="3" t="s">
        <v>8</v>
      </c>
      <c r="B1659" s="3" t="s">
        <v>665</v>
      </c>
      <c r="C1659" s="3" t="s">
        <v>45</v>
      </c>
      <c r="D1659" s="3" t="s">
        <v>759</v>
      </c>
      <c r="E1659" s="3" t="s">
        <v>77</v>
      </c>
      <c r="F1659" s="3"/>
      <c r="G1659" s="3"/>
      <c r="H1659" s="3"/>
      <c r="I1659" s="3"/>
    </row>
    <row r="1660" spans="1:9" s="5" customFormat="1" x14ac:dyDescent="0.35">
      <c r="A1660" s="3" t="s">
        <v>8</v>
      </c>
      <c r="B1660" s="3" t="s">
        <v>665</v>
      </c>
      <c r="C1660" s="3" t="s">
        <v>45</v>
      </c>
      <c r="D1660" s="3" t="s">
        <v>759</v>
      </c>
      <c r="E1660" s="3" t="s">
        <v>57</v>
      </c>
      <c r="F1660" s="3"/>
      <c r="G1660" s="3" t="s">
        <v>2436</v>
      </c>
      <c r="H1660" s="3"/>
      <c r="I1660" s="3"/>
    </row>
    <row r="1661" spans="1:9" s="5" customFormat="1" x14ac:dyDescent="0.35">
      <c r="A1661" s="3" t="s">
        <v>8</v>
      </c>
      <c r="B1661" s="3" t="s">
        <v>665</v>
      </c>
      <c r="C1661" s="3" t="s">
        <v>45</v>
      </c>
      <c r="D1661" s="3" t="s">
        <v>759</v>
      </c>
      <c r="E1661" s="3" t="s">
        <v>56</v>
      </c>
      <c r="F1661" s="3"/>
      <c r="G1661" s="3"/>
      <c r="H1661" s="3"/>
      <c r="I1661" s="3"/>
    </row>
    <row r="1662" spans="1:9" s="5" customFormat="1" x14ac:dyDescent="0.35">
      <c r="A1662" s="3" t="s">
        <v>8</v>
      </c>
      <c r="B1662" s="3" t="s">
        <v>665</v>
      </c>
      <c r="C1662" s="3" t="s">
        <v>45</v>
      </c>
      <c r="D1662" s="3" t="s">
        <v>759</v>
      </c>
      <c r="E1662" s="3" t="s">
        <v>89</v>
      </c>
      <c r="F1662" s="3"/>
      <c r="G1662" s="3"/>
      <c r="H1662" s="3"/>
      <c r="I1662" s="3"/>
    </row>
    <row r="1663" spans="1:9" s="5" customFormat="1" x14ac:dyDescent="0.35">
      <c r="A1663" s="3" t="s">
        <v>8</v>
      </c>
      <c r="B1663" s="3" t="s">
        <v>665</v>
      </c>
      <c r="C1663" s="3" t="s">
        <v>45</v>
      </c>
      <c r="D1663" s="3" t="s">
        <v>759</v>
      </c>
      <c r="E1663" s="3" t="s">
        <v>24</v>
      </c>
      <c r="F1663" s="3"/>
      <c r="G1663" s="3"/>
      <c r="H1663" s="3"/>
      <c r="I1663" s="3"/>
    </row>
    <row r="1664" spans="1:9" s="5" customFormat="1" x14ac:dyDescent="0.35">
      <c r="A1664" s="3" t="s">
        <v>8</v>
      </c>
      <c r="B1664" s="3" t="s">
        <v>665</v>
      </c>
      <c r="C1664" s="3" t="s">
        <v>45</v>
      </c>
      <c r="D1664" s="3" t="s">
        <v>760</v>
      </c>
      <c r="E1664" s="3" t="s">
        <v>77</v>
      </c>
      <c r="F1664" s="3"/>
      <c r="G1664" s="3"/>
      <c r="H1664" s="3"/>
      <c r="I1664" s="3"/>
    </row>
    <row r="1665" spans="1:9" s="5" customFormat="1" x14ac:dyDescent="0.35">
      <c r="A1665" s="3" t="s">
        <v>8</v>
      </c>
      <c r="B1665" s="3" t="s">
        <v>665</v>
      </c>
      <c r="C1665" s="3" t="s">
        <v>45</v>
      </c>
      <c r="D1665" s="3" t="s">
        <v>761</v>
      </c>
      <c r="E1665" s="3" t="s">
        <v>77</v>
      </c>
      <c r="F1665" s="3"/>
      <c r="G1665" s="3"/>
      <c r="H1665" s="3"/>
      <c r="I1665" s="3"/>
    </row>
    <row r="1666" spans="1:9" s="5" customFormat="1" x14ac:dyDescent="0.35">
      <c r="A1666" s="3" t="s">
        <v>8</v>
      </c>
      <c r="B1666" s="3" t="s">
        <v>665</v>
      </c>
      <c r="C1666" s="3" t="s">
        <v>45</v>
      </c>
      <c r="D1666" s="3" t="s">
        <v>762</v>
      </c>
      <c r="E1666" s="3" t="s">
        <v>77</v>
      </c>
      <c r="F1666" s="3"/>
      <c r="G1666" s="3"/>
      <c r="H1666" s="3"/>
      <c r="I1666" s="3"/>
    </row>
    <row r="1667" spans="1:9" s="5" customFormat="1" x14ac:dyDescent="0.35">
      <c r="A1667" s="3" t="s">
        <v>8</v>
      </c>
      <c r="B1667" s="3" t="s">
        <v>665</v>
      </c>
      <c r="C1667" s="3" t="s">
        <v>39</v>
      </c>
      <c r="D1667" s="3" t="s">
        <v>763</v>
      </c>
      <c r="E1667" s="3" t="s">
        <v>47</v>
      </c>
      <c r="F1667" s="3" t="s">
        <v>13</v>
      </c>
      <c r="G1667" s="3" t="s">
        <v>136</v>
      </c>
      <c r="H1667" s="3"/>
      <c r="I1667" s="3"/>
    </row>
    <row r="1668" spans="1:9" s="5" customFormat="1" x14ac:dyDescent="0.35">
      <c r="A1668" s="3" t="s">
        <v>8</v>
      </c>
      <c r="B1668" s="3" t="s">
        <v>665</v>
      </c>
      <c r="C1668" s="3" t="s">
        <v>39</v>
      </c>
      <c r="D1668" s="3" t="s">
        <v>763</v>
      </c>
      <c r="E1668" s="3" t="s">
        <v>25</v>
      </c>
      <c r="F1668" s="3" t="s">
        <v>13</v>
      </c>
      <c r="G1668" s="3" t="s">
        <v>136</v>
      </c>
      <c r="H1668" s="3"/>
      <c r="I1668" s="3"/>
    </row>
    <row r="1669" spans="1:9" s="5" customFormat="1" x14ac:dyDescent="0.35">
      <c r="A1669" s="3" t="s">
        <v>8</v>
      </c>
      <c r="B1669" s="3" t="s">
        <v>665</v>
      </c>
      <c r="C1669" s="3" t="s">
        <v>39</v>
      </c>
      <c r="D1669" s="3" t="s">
        <v>763</v>
      </c>
      <c r="E1669" s="3" t="s">
        <v>28</v>
      </c>
      <c r="F1669" s="3" t="s">
        <v>13</v>
      </c>
      <c r="G1669" s="3" t="s">
        <v>136</v>
      </c>
      <c r="H1669" s="3"/>
      <c r="I1669" s="3"/>
    </row>
    <row r="1670" spans="1:9" s="5" customFormat="1" x14ac:dyDescent="0.35">
      <c r="A1670" s="3" t="s">
        <v>8</v>
      </c>
      <c r="B1670" s="3" t="s">
        <v>665</v>
      </c>
      <c r="C1670" s="3" t="s">
        <v>39</v>
      </c>
      <c r="D1670" s="3" t="s">
        <v>763</v>
      </c>
      <c r="E1670" s="3" t="s">
        <v>57</v>
      </c>
      <c r="F1670" s="3" t="s">
        <v>13</v>
      </c>
      <c r="G1670" s="3" t="s">
        <v>136</v>
      </c>
      <c r="H1670" s="3"/>
      <c r="I1670" s="3"/>
    </row>
    <row r="1671" spans="1:9" s="5" customFormat="1" x14ac:dyDescent="0.35">
      <c r="A1671" s="3" t="s">
        <v>8</v>
      </c>
      <c r="B1671" s="3" t="s">
        <v>665</v>
      </c>
      <c r="C1671" s="3" t="s">
        <v>39</v>
      </c>
      <c r="D1671" s="3" t="s">
        <v>763</v>
      </c>
      <c r="E1671" s="3" t="s">
        <v>32</v>
      </c>
      <c r="F1671" s="3" t="s">
        <v>13</v>
      </c>
      <c r="G1671" s="3" t="s">
        <v>136</v>
      </c>
      <c r="H1671" s="3"/>
      <c r="I1671" s="3"/>
    </row>
    <row r="1672" spans="1:9" s="5" customFormat="1" x14ac:dyDescent="0.35">
      <c r="A1672" s="3" t="s">
        <v>8</v>
      </c>
      <c r="B1672" s="3" t="s">
        <v>665</v>
      </c>
      <c r="C1672" s="3" t="s">
        <v>39</v>
      </c>
      <c r="D1672" s="3" t="s">
        <v>763</v>
      </c>
      <c r="E1672" s="3" t="s">
        <v>134</v>
      </c>
      <c r="F1672" s="3" t="s">
        <v>13</v>
      </c>
      <c r="G1672" s="3" t="s">
        <v>136</v>
      </c>
      <c r="H1672" s="3"/>
      <c r="I1672" s="3"/>
    </row>
    <row r="1673" spans="1:9" s="5" customFormat="1" x14ac:dyDescent="0.35">
      <c r="A1673" s="3" t="s">
        <v>8</v>
      </c>
      <c r="B1673" s="3" t="s">
        <v>665</v>
      </c>
      <c r="C1673" s="3" t="s">
        <v>45</v>
      </c>
      <c r="D1673" s="3" t="s">
        <v>764</v>
      </c>
      <c r="E1673" s="3" t="s">
        <v>47</v>
      </c>
      <c r="F1673" s="3"/>
      <c r="G1673" s="3"/>
      <c r="H1673" s="3"/>
      <c r="I1673" s="3"/>
    </row>
    <row r="1674" spans="1:9" s="5" customFormat="1" x14ac:dyDescent="0.35">
      <c r="A1674" s="3" t="s">
        <v>8</v>
      </c>
      <c r="B1674" s="3" t="s">
        <v>665</v>
      </c>
      <c r="C1674" s="3" t="s">
        <v>45</v>
      </c>
      <c r="D1674" s="3" t="s">
        <v>764</v>
      </c>
      <c r="E1674" s="3" t="s">
        <v>134</v>
      </c>
      <c r="F1674" s="3"/>
      <c r="G1674" s="3"/>
      <c r="H1674" s="3"/>
      <c r="I1674" s="3"/>
    </row>
    <row r="1675" spans="1:9" s="5" customFormat="1" x14ac:dyDescent="0.35">
      <c r="A1675" s="3" t="s">
        <v>8</v>
      </c>
      <c r="B1675" s="3" t="s">
        <v>665</v>
      </c>
      <c r="C1675" s="3" t="s">
        <v>45</v>
      </c>
      <c r="D1675" s="3" t="s">
        <v>765</v>
      </c>
      <c r="E1675" s="3" t="s">
        <v>77</v>
      </c>
      <c r="F1675" s="3"/>
      <c r="G1675" s="3"/>
      <c r="H1675" s="3"/>
      <c r="I1675" s="3"/>
    </row>
    <row r="1676" spans="1:9" s="5" customFormat="1" x14ac:dyDescent="0.35">
      <c r="A1676" s="3" t="s">
        <v>8</v>
      </c>
      <c r="B1676" s="3" t="s">
        <v>665</v>
      </c>
      <c r="C1676" s="3" t="s">
        <v>39</v>
      </c>
      <c r="D1676" s="3" t="s">
        <v>766</v>
      </c>
      <c r="E1676" s="3" t="s">
        <v>12</v>
      </c>
      <c r="F1676" s="3"/>
      <c r="G1676" s="3"/>
      <c r="H1676" s="3"/>
      <c r="I1676" s="3"/>
    </row>
    <row r="1677" spans="1:9" s="5" customFormat="1" x14ac:dyDescent="0.35">
      <c r="A1677" s="3" t="s">
        <v>8</v>
      </c>
      <c r="B1677" s="3" t="s">
        <v>665</v>
      </c>
      <c r="C1677" s="3" t="s">
        <v>39</v>
      </c>
      <c r="D1677" s="3" t="s">
        <v>766</v>
      </c>
      <c r="E1677" s="3" t="s">
        <v>28</v>
      </c>
      <c r="F1677" s="3" t="s">
        <v>13</v>
      </c>
      <c r="G1677" s="3" t="s">
        <v>767</v>
      </c>
      <c r="H1677" s="3"/>
      <c r="I1677" s="3"/>
    </row>
    <row r="1678" spans="1:9" s="5" customFormat="1" x14ac:dyDescent="0.35">
      <c r="A1678" s="3" t="s">
        <v>8</v>
      </c>
      <c r="B1678" s="3" t="s">
        <v>665</v>
      </c>
      <c r="C1678" s="3" t="s">
        <v>39</v>
      </c>
      <c r="D1678" s="3" t="s">
        <v>766</v>
      </c>
      <c r="E1678" s="3" t="s">
        <v>15</v>
      </c>
      <c r="F1678" s="3" t="s">
        <v>16</v>
      </c>
      <c r="G1678" s="3" t="s">
        <v>768</v>
      </c>
      <c r="H1678" s="3"/>
      <c r="I1678" s="3"/>
    </row>
    <row r="1679" spans="1:9" s="5" customFormat="1" x14ac:dyDescent="0.35">
      <c r="A1679" s="3" t="s">
        <v>8</v>
      </c>
      <c r="B1679" s="3" t="s">
        <v>665</v>
      </c>
      <c r="C1679" s="3" t="s">
        <v>45</v>
      </c>
      <c r="D1679" s="3" t="s">
        <v>770</v>
      </c>
      <c r="E1679" s="3" t="s">
        <v>217</v>
      </c>
      <c r="F1679" s="3"/>
      <c r="G1679" s="3" t="s">
        <v>2286</v>
      </c>
      <c r="H1679" s="3"/>
      <c r="I1679" s="3"/>
    </row>
    <row r="1680" spans="1:9" s="5" customFormat="1" x14ac:dyDescent="0.35">
      <c r="A1680" s="3" t="s">
        <v>8</v>
      </c>
      <c r="B1680" s="3" t="s">
        <v>665</v>
      </c>
      <c r="C1680" s="3" t="s">
        <v>45</v>
      </c>
      <c r="D1680" s="3" t="s">
        <v>770</v>
      </c>
      <c r="E1680" s="3" t="s">
        <v>56</v>
      </c>
      <c r="F1680" s="3"/>
      <c r="G1680" s="3" t="s">
        <v>2430</v>
      </c>
      <c r="H1680" s="3"/>
      <c r="I1680" s="3"/>
    </row>
    <row r="1681" spans="1:9" s="5" customFormat="1" x14ac:dyDescent="0.35">
      <c r="A1681" s="3" t="s">
        <v>8</v>
      </c>
      <c r="B1681" s="3" t="s">
        <v>665</v>
      </c>
      <c r="C1681" s="3" t="s">
        <v>39</v>
      </c>
      <c r="D1681" s="3" t="s">
        <v>772</v>
      </c>
      <c r="E1681" s="3" t="s">
        <v>25</v>
      </c>
      <c r="F1681" s="3" t="s">
        <v>33</v>
      </c>
      <c r="G1681" s="3" t="s">
        <v>487</v>
      </c>
      <c r="H1681" s="3"/>
      <c r="I1681" s="3"/>
    </row>
    <row r="1682" spans="1:9" s="5" customFormat="1" x14ac:dyDescent="0.35">
      <c r="A1682" s="3" t="s">
        <v>8</v>
      </c>
      <c r="B1682" s="3" t="s">
        <v>665</v>
      </c>
      <c r="C1682" s="3" t="s">
        <v>39</v>
      </c>
      <c r="D1682" s="3" t="s">
        <v>772</v>
      </c>
      <c r="E1682" s="3" t="s">
        <v>142</v>
      </c>
      <c r="F1682" s="3" t="s">
        <v>33</v>
      </c>
      <c r="G1682" s="3" t="s">
        <v>487</v>
      </c>
      <c r="H1682" s="3"/>
      <c r="I1682" s="3"/>
    </row>
    <row r="1683" spans="1:9" s="5" customFormat="1" x14ac:dyDescent="0.35">
      <c r="A1683" s="3" t="s">
        <v>8</v>
      </c>
      <c r="B1683" s="3" t="s">
        <v>665</v>
      </c>
      <c r="C1683" s="3" t="s">
        <v>39</v>
      </c>
      <c r="D1683" s="3" t="s">
        <v>772</v>
      </c>
      <c r="E1683" s="3" t="s">
        <v>28</v>
      </c>
      <c r="F1683" s="3" t="s">
        <v>33</v>
      </c>
      <c r="G1683" s="3" t="s">
        <v>487</v>
      </c>
      <c r="H1683" s="3"/>
      <c r="I1683" s="3"/>
    </row>
    <row r="1684" spans="1:9" s="5" customFormat="1" x14ac:dyDescent="0.35">
      <c r="A1684" s="3" t="s">
        <v>8</v>
      </c>
      <c r="B1684" s="3" t="s">
        <v>665</v>
      </c>
      <c r="C1684" s="3" t="s">
        <v>39</v>
      </c>
      <c r="D1684" s="3" t="s">
        <v>772</v>
      </c>
      <c r="E1684" s="3" t="s">
        <v>32</v>
      </c>
      <c r="F1684" s="3" t="s">
        <v>33</v>
      </c>
      <c r="G1684" s="3" t="s">
        <v>487</v>
      </c>
      <c r="H1684" s="3"/>
      <c r="I1684" s="3"/>
    </row>
    <row r="1685" spans="1:9" s="5" customFormat="1" x14ac:dyDescent="0.35">
      <c r="A1685" s="3" t="s">
        <v>8</v>
      </c>
      <c r="B1685" s="3" t="s">
        <v>665</v>
      </c>
      <c r="C1685" s="3" t="s">
        <v>39</v>
      </c>
      <c r="D1685" s="3" t="s">
        <v>772</v>
      </c>
      <c r="E1685" s="3" t="s">
        <v>134</v>
      </c>
      <c r="F1685" s="3" t="s">
        <v>33</v>
      </c>
      <c r="G1685" s="3" t="s">
        <v>487</v>
      </c>
      <c r="H1685" s="3"/>
      <c r="I1685" s="3"/>
    </row>
    <row r="1686" spans="1:9" s="5" customFormat="1" x14ac:dyDescent="0.35">
      <c r="A1686" s="3" t="s">
        <v>8</v>
      </c>
      <c r="B1686" s="3" t="s">
        <v>665</v>
      </c>
      <c r="C1686" s="3" t="s">
        <v>20</v>
      </c>
      <c r="D1686" s="3" t="s">
        <v>773</v>
      </c>
      <c r="E1686" s="3" t="s">
        <v>28</v>
      </c>
      <c r="F1686" s="3"/>
      <c r="G1686" s="3"/>
      <c r="H1686" s="3"/>
      <c r="I1686" s="3"/>
    </row>
    <row r="1687" spans="1:9" s="5" customFormat="1" x14ac:dyDescent="0.35">
      <c r="A1687" s="3" t="s">
        <v>8</v>
      </c>
      <c r="B1687" s="3" t="s">
        <v>665</v>
      </c>
      <c r="C1687" s="3" t="s">
        <v>20</v>
      </c>
      <c r="D1687" s="3" t="s">
        <v>773</v>
      </c>
      <c r="E1687" s="3" t="s">
        <v>31</v>
      </c>
      <c r="F1687" s="3"/>
      <c r="G1687" s="3"/>
      <c r="H1687" s="3"/>
      <c r="I1687" s="3"/>
    </row>
    <row r="1688" spans="1:9" s="5" customFormat="1" x14ac:dyDescent="0.35">
      <c r="A1688" s="3" t="s">
        <v>8</v>
      </c>
      <c r="B1688" s="3" t="s">
        <v>665</v>
      </c>
      <c r="C1688" s="3" t="s">
        <v>20</v>
      </c>
      <c r="D1688" s="3" t="s">
        <v>773</v>
      </c>
      <c r="E1688" s="3" t="s">
        <v>134</v>
      </c>
      <c r="F1688" s="3"/>
      <c r="G1688" s="3"/>
      <c r="H1688" s="3"/>
      <c r="I1688" s="3"/>
    </row>
    <row r="1689" spans="1:9" s="5" customFormat="1" x14ac:dyDescent="0.35">
      <c r="A1689" s="3" t="s">
        <v>8</v>
      </c>
      <c r="B1689" s="3" t="s">
        <v>665</v>
      </c>
      <c r="C1689" s="3" t="s">
        <v>20</v>
      </c>
      <c r="D1689" s="3" t="s">
        <v>774</v>
      </c>
      <c r="E1689" s="3" t="s">
        <v>12</v>
      </c>
      <c r="F1689" s="3"/>
      <c r="G1689" s="3"/>
      <c r="H1689" s="3"/>
      <c r="I1689" s="3"/>
    </row>
    <row r="1690" spans="1:9" s="5" customFormat="1" x14ac:dyDescent="0.35">
      <c r="A1690" s="3" t="s">
        <v>8</v>
      </c>
      <c r="B1690" s="3" t="s">
        <v>665</v>
      </c>
      <c r="C1690" s="3" t="s">
        <v>20</v>
      </c>
      <c r="D1690" s="3" t="s">
        <v>774</v>
      </c>
      <c r="E1690" s="3" t="s">
        <v>25</v>
      </c>
      <c r="F1690" s="3"/>
      <c r="G1690" s="3"/>
      <c r="H1690" s="3"/>
      <c r="I1690" s="3"/>
    </row>
    <row r="1691" spans="1:9" s="5" customFormat="1" x14ac:dyDescent="0.35">
      <c r="A1691" s="3" t="s">
        <v>8</v>
      </c>
      <c r="B1691" s="3" t="s">
        <v>665</v>
      </c>
      <c r="C1691" s="3" t="s">
        <v>20</v>
      </c>
      <c r="D1691" s="3" t="s">
        <v>774</v>
      </c>
      <c r="E1691" s="3" t="s">
        <v>28</v>
      </c>
      <c r="F1691" s="3"/>
      <c r="G1691" s="3"/>
      <c r="H1691" s="3"/>
      <c r="I1691" s="3"/>
    </row>
    <row r="1692" spans="1:9" s="5" customFormat="1" x14ac:dyDescent="0.35">
      <c r="A1692" s="3" t="s">
        <v>8</v>
      </c>
      <c r="B1692" s="3" t="s">
        <v>665</v>
      </c>
      <c r="C1692" s="3" t="s">
        <v>20</v>
      </c>
      <c r="D1692" s="3" t="s">
        <v>774</v>
      </c>
      <c r="E1692" s="3" t="s">
        <v>715</v>
      </c>
      <c r="F1692" s="3"/>
      <c r="G1692" s="3"/>
      <c r="H1692" s="3"/>
      <c r="I1692" s="3"/>
    </row>
    <row r="1693" spans="1:9" s="5" customFormat="1" x14ac:dyDescent="0.35">
      <c r="A1693" s="3" t="s">
        <v>8</v>
      </c>
      <c r="B1693" s="3" t="s">
        <v>665</v>
      </c>
      <c r="C1693" s="3" t="s">
        <v>20</v>
      </c>
      <c r="D1693" s="3" t="s">
        <v>774</v>
      </c>
      <c r="E1693" s="3" t="s">
        <v>775</v>
      </c>
      <c r="F1693" s="3"/>
      <c r="G1693" s="3"/>
      <c r="H1693" s="3"/>
      <c r="I1693" s="3"/>
    </row>
    <row r="1694" spans="1:9" s="5" customFormat="1" x14ac:dyDescent="0.35">
      <c r="A1694" s="3" t="s">
        <v>8</v>
      </c>
      <c r="B1694" s="3" t="s">
        <v>665</v>
      </c>
      <c r="C1694" s="3" t="s">
        <v>20</v>
      </c>
      <c r="D1694" s="3" t="s">
        <v>774</v>
      </c>
      <c r="E1694" s="3" t="s">
        <v>15</v>
      </c>
      <c r="F1694" s="3" t="s">
        <v>13</v>
      </c>
      <c r="G1694" s="3" t="s">
        <v>776</v>
      </c>
      <c r="H1694" s="3"/>
      <c r="I1694" s="3"/>
    </row>
    <row r="1695" spans="1:9" s="5" customFormat="1" x14ac:dyDescent="0.35">
      <c r="A1695" s="3" t="s">
        <v>8</v>
      </c>
      <c r="B1695" s="3" t="s">
        <v>665</v>
      </c>
      <c r="C1695" s="3" t="s">
        <v>20</v>
      </c>
      <c r="D1695" s="3" t="s">
        <v>774</v>
      </c>
      <c r="E1695" s="3" t="s">
        <v>32</v>
      </c>
      <c r="F1695" s="3"/>
      <c r="G1695" s="3"/>
      <c r="H1695" s="3"/>
      <c r="I1695" s="3"/>
    </row>
    <row r="1696" spans="1:9" s="5" customFormat="1" x14ac:dyDescent="0.35">
      <c r="A1696" s="3" t="s">
        <v>8</v>
      </c>
      <c r="B1696" s="3" t="s">
        <v>665</v>
      </c>
      <c r="C1696" s="3" t="s">
        <v>20</v>
      </c>
      <c r="D1696" s="3" t="s">
        <v>774</v>
      </c>
      <c r="E1696" s="3" t="s">
        <v>29</v>
      </c>
      <c r="F1696" s="3"/>
      <c r="G1696" s="3"/>
      <c r="H1696" s="3"/>
      <c r="I1696" s="3"/>
    </row>
    <row r="1697" spans="1:9" s="5" customFormat="1" x14ac:dyDescent="0.35">
      <c r="A1697" s="3" t="s">
        <v>8</v>
      </c>
      <c r="B1697" s="3" t="s">
        <v>665</v>
      </c>
      <c r="C1697" s="3" t="s">
        <v>20</v>
      </c>
      <c r="D1697" s="3" t="s">
        <v>774</v>
      </c>
      <c r="E1697" s="3" t="s">
        <v>134</v>
      </c>
      <c r="F1697" s="3"/>
      <c r="G1697" s="3"/>
      <c r="H1697" s="3"/>
      <c r="I1697" s="3"/>
    </row>
    <row r="1698" spans="1:9" s="5" customFormat="1" x14ac:dyDescent="0.35">
      <c r="A1698" s="3" t="s">
        <v>8</v>
      </c>
      <c r="B1698" s="3" t="s">
        <v>665</v>
      </c>
      <c r="C1698" s="3" t="s">
        <v>20</v>
      </c>
      <c r="D1698" s="3" t="s">
        <v>774</v>
      </c>
      <c r="E1698" s="3" t="s">
        <v>107</v>
      </c>
      <c r="F1698" s="3"/>
      <c r="G1698" s="3"/>
      <c r="H1698" s="3"/>
      <c r="I1698" s="3"/>
    </row>
    <row r="1699" spans="1:9" s="5" customFormat="1" x14ac:dyDescent="0.35">
      <c r="A1699" s="3" t="s">
        <v>8</v>
      </c>
      <c r="B1699" s="3" t="s">
        <v>665</v>
      </c>
      <c r="C1699" s="3" t="s">
        <v>10</v>
      </c>
      <c r="D1699" s="3" t="s">
        <v>777</v>
      </c>
      <c r="E1699" s="3" t="s">
        <v>12</v>
      </c>
      <c r="F1699" s="3" t="s">
        <v>33</v>
      </c>
      <c r="G1699" s="3" t="s">
        <v>686</v>
      </c>
      <c r="H1699" s="3"/>
      <c r="I1699" s="3"/>
    </row>
    <row r="1700" spans="1:9" s="5" customFormat="1" x14ac:dyDescent="0.35">
      <c r="A1700" s="3" t="s">
        <v>8</v>
      </c>
      <c r="B1700" s="3" t="s">
        <v>665</v>
      </c>
      <c r="C1700" s="3" t="s">
        <v>10</v>
      </c>
      <c r="D1700" s="3" t="s">
        <v>777</v>
      </c>
      <c r="E1700" s="3" t="s">
        <v>47</v>
      </c>
      <c r="F1700" s="3" t="s">
        <v>33</v>
      </c>
      <c r="G1700" s="3" t="s">
        <v>686</v>
      </c>
      <c r="H1700" s="3"/>
      <c r="I1700" s="3"/>
    </row>
    <row r="1701" spans="1:9" s="5" customFormat="1" x14ac:dyDescent="0.35">
      <c r="A1701" s="3" t="s">
        <v>8</v>
      </c>
      <c r="B1701" s="3" t="s">
        <v>665</v>
      </c>
      <c r="C1701" s="3" t="s">
        <v>10</v>
      </c>
      <c r="D1701" s="3" t="s">
        <v>777</v>
      </c>
      <c r="E1701" s="3" t="s">
        <v>25</v>
      </c>
      <c r="F1701" s="3" t="s">
        <v>33</v>
      </c>
      <c r="G1701" s="3" t="s">
        <v>686</v>
      </c>
      <c r="H1701" s="3"/>
      <c r="I1701" s="3"/>
    </row>
    <row r="1702" spans="1:9" s="5" customFormat="1" x14ac:dyDescent="0.35">
      <c r="A1702" s="3" t="s">
        <v>8</v>
      </c>
      <c r="B1702" s="3" t="s">
        <v>665</v>
      </c>
      <c r="C1702" s="3" t="s">
        <v>10</v>
      </c>
      <c r="D1702" s="3" t="s">
        <v>777</v>
      </c>
      <c r="E1702" s="3" t="s">
        <v>87</v>
      </c>
      <c r="F1702" s="3" t="s">
        <v>33</v>
      </c>
      <c r="G1702" s="3" t="s">
        <v>686</v>
      </c>
      <c r="H1702" s="3"/>
      <c r="I1702" s="3"/>
    </row>
    <row r="1703" spans="1:9" s="5" customFormat="1" x14ac:dyDescent="0.35">
      <c r="A1703" s="3" t="s">
        <v>8</v>
      </c>
      <c r="B1703" s="3" t="s">
        <v>665</v>
      </c>
      <c r="C1703" s="3" t="s">
        <v>10</v>
      </c>
      <c r="D1703" s="3" t="s">
        <v>777</v>
      </c>
      <c r="E1703" s="3" t="s">
        <v>29</v>
      </c>
      <c r="F1703" s="3" t="s">
        <v>33</v>
      </c>
      <c r="G1703" s="3" t="s">
        <v>686</v>
      </c>
      <c r="H1703" s="3"/>
      <c r="I1703" s="3"/>
    </row>
    <row r="1704" spans="1:9" s="5" customFormat="1" x14ac:dyDescent="0.35">
      <c r="A1704" s="3" t="s">
        <v>8</v>
      </c>
      <c r="B1704" s="3" t="s">
        <v>665</v>
      </c>
      <c r="C1704" s="3" t="s">
        <v>10</v>
      </c>
      <c r="D1704" s="3" t="s">
        <v>777</v>
      </c>
      <c r="E1704" s="3" t="s">
        <v>134</v>
      </c>
      <c r="F1704" s="3" t="s">
        <v>33</v>
      </c>
      <c r="G1704" s="3" t="s">
        <v>686</v>
      </c>
      <c r="H1704" s="3"/>
      <c r="I1704" s="3"/>
    </row>
    <row r="1705" spans="1:9" s="5" customFormat="1" x14ac:dyDescent="0.35">
      <c r="A1705" s="3" t="s">
        <v>8</v>
      </c>
      <c r="B1705" s="3" t="s">
        <v>665</v>
      </c>
      <c r="C1705" s="3" t="s">
        <v>20</v>
      </c>
      <c r="D1705" s="3" t="s">
        <v>778</v>
      </c>
      <c r="E1705" s="3" t="s">
        <v>142</v>
      </c>
      <c r="F1705" s="3"/>
      <c r="G1705" s="3"/>
      <c r="H1705" s="3"/>
      <c r="I1705" s="3"/>
    </row>
    <row r="1706" spans="1:9" s="5" customFormat="1" x14ac:dyDescent="0.35">
      <c r="A1706" s="3" t="s">
        <v>8</v>
      </c>
      <c r="B1706" s="3" t="s">
        <v>665</v>
      </c>
      <c r="C1706" s="3" t="s">
        <v>20</v>
      </c>
      <c r="D1706" s="3" t="s">
        <v>778</v>
      </c>
      <c r="E1706" s="3" t="s">
        <v>15</v>
      </c>
      <c r="F1706" s="3" t="s">
        <v>16</v>
      </c>
      <c r="G1706" s="3" t="s">
        <v>779</v>
      </c>
      <c r="H1706" s="3"/>
      <c r="I1706" s="3"/>
    </row>
    <row r="1707" spans="1:9" s="5" customFormat="1" x14ac:dyDescent="0.35">
      <c r="A1707" s="3" t="s">
        <v>8</v>
      </c>
      <c r="B1707" s="3" t="s">
        <v>665</v>
      </c>
      <c r="C1707" s="3" t="s">
        <v>20</v>
      </c>
      <c r="D1707" s="3" t="s">
        <v>778</v>
      </c>
      <c r="E1707" s="3" t="s">
        <v>57</v>
      </c>
      <c r="F1707" s="3"/>
      <c r="G1707" s="3"/>
      <c r="H1707" s="3"/>
      <c r="I1707" s="3"/>
    </row>
    <row r="1708" spans="1:9" s="5" customFormat="1" x14ac:dyDescent="0.35">
      <c r="A1708" s="3" t="s">
        <v>8</v>
      </c>
      <c r="B1708" s="3" t="s">
        <v>665</v>
      </c>
      <c r="C1708" s="3" t="s">
        <v>10</v>
      </c>
      <c r="D1708" s="3" t="s">
        <v>780</v>
      </c>
      <c r="E1708" s="3" t="s">
        <v>47</v>
      </c>
      <c r="F1708" s="3"/>
      <c r="G1708" s="3"/>
      <c r="H1708" s="3"/>
      <c r="I1708" s="3"/>
    </row>
    <row r="1709" spans="1:9" s="5" customFormat="1" x14ac:dyDescent="0.35">
      <c r="A1709" s="3" t="s">
        <v>8</v>
      </c>
      <c r="B1709" s="3" t="s">
        <v>665</v>
      </c>
      <c r="C1709" s="3" t="s">
        <v>10</v>
      </c>
      <c r="D1709" s="3" t="s">
        <v>780</v>
      </c>
      <c r="E1709" s="3" t="s">
        <v>15</v>
      </c>
      <c r="F1709" s="3" t="s">
        <v>13</v>
      </c>
      <c r="G1709" s="3" t="s">
        <v>781</v>
      </c>
      <c r="H1709" s="3"/>
      <c r="I1709" s="3"/>
    </row>
    <row r="1710" spans="1:9" s="5" customFormat="1" x14ac:dyDescent="0.35">
      <c r="A1710" s="3" t="s">
        <v>8</v>
      </c>
      <c r="B1710" s="3" t="s">
        <v>665</v>
      </c>
      <c r="C1710" s="3" t="s">
        <v>10</v>
      </c>
      <c r="D1710" s="3" t="s">
        <v>780</v>
      </c>
      <c r="E1710" s="3" t="s">
        <v>29</v>
      </c>
      <c r="F1710" s="3"/>
      <c r="G1710" s="3"/>
      <c r="H1710" s="3"/>
      <c r="I1710" s="3"/>
    </row>
    <row r="1711" spans="1:9" s="5" customFormat="1" x14ac:dyDescent="0.35">
      <c r="A1711" s="3" t="s">
        <v>8</v>
      </c>
      <c r="B1711" s="3" t="s">
        <v>665</v>
      </c>
      <c r="C1711" s="3" t="s">
        <v>10</v>
      </c>
      <c r="D1711" s="3" t="s">
        <v>2795</v>
      </c>
      <c r="E1711" s="3" t="s">
        <v>15</v>
      </c>
      <c r="F1711" s="3"/>
      <c r="G1711" s="3"/>
      <c r="H1711" s="3"/>
      <c r="I1711" s="3"/>
    </row>
    <row r="1712" spans="1:9" s="5" customFormat="1" x14ac:dyDescent="0.35">
      <c r="A1712" s="3" t="s">
        <v>8</v>
      </c>
      <c r="B1712" s="3" t="s">
        <v>665</v>
      </c>
      <c r="C1712" s="3" t="s">
        <v>10</v>
      </c>
      <c r="D1712" s="3" t="s">
        <v>2795</v>
      </c>
      <c r="E1712" s="3" t="s">
        <v>134</v>
      </c>
      <c r="F1712" s="3"/>
      <c r="G1712" s="3"/>
      <c r="H1712" s="3"/>
      <c r="I1712" s="3"/>
    </row>
    <row r="1713" spans="1:9" s="5" customFormat="1" x14ac:dyDescent="0.35">
      <c r="A1713" s="3" t="s">
        <v>8</v>
      </c>
      <c r="B1713" s="3" t="s">
        <v>665</v>
      </c>
      <c r="C1713" s="3" t="s">
        <v>10</v>
      </c>
      <c r="D1713" s="3" t="s">
        <v>782</v>
      </c>
      <c r="E1713" s="3" t="s">
        <v>47</v>
      </c>
      <c r="F1713" s="3"/>
      <c r="G1713" s="3"/>
      <c r="H1713" s="3"/>
      <c r="I1713" s="3"/>
    </row>
    <row r="1714" spans="1:9" s="5" customFormat="1" x14ac:dyDescent="0.35">
      <c r="A1714" s="3" t="s">
        <v>8</v>
      </c>
      <c r="B1714" s="3" t="s">
        <v>665</v>
      </c>
      <c r="C1714" s="3" t="s">
        <v>10</v>
      </c>
      <c r="D1714" s="3" t="s">
        <v>782</v>
      </c>
      <c r="E1714" s="3" t="s">
        <v>15</v>
      </c>
      <c r="F1714" s="3" t="s">
        <v>13</v>
      </c>
      <c r="G1714" s="3" t="s">
        <v>783</v>
      </c>
      <c r="H1714" s="3"/>
      <c r="I1714" s="3"/>
    </row>
    <row r="1715" spans="1:9" s="5" customFormat="1" x14ac:dyDescent="0.35">
      <c r="A1715" s="3" t="s">
        <v>8</v>
      </c>
      <c r="B1715" s="3" t="s">
        <v>665</v>
      </c>
      <c r="C1715" s="3" t="s">
        <v>10</v>
      </c>
      <c r="D1715" s="3" t="s">
        <v>782</v>
      </c>
      <c r="E1715" s="3" t="s">
        <v>175</v>
      </c>
      <c r="F1715" s="3"/>
      <c r="G1715" s="3"/>
      <c r="H1715" s="3"/>
      <c r="I1715" s="3"/>
    </row>
    <row r="1716" spans="1:9" s="5" customFormat="1" x14ac:dyDescent="0.35">
      <c r="A1716" s="3" t="s">
        <v>8</v>
      </c>
      <c r="B1716" s="3" t="s">
        <v>665</v>
      </c>
      <c r="C1716" s="3" t="s">
        <v>10</v>
      </c>
      <c r="D1716" s="3" t="s">
        <v>782</v>
      </c>
      <c r="E1716" s="3" t="s">
        <v>32</v>
      </c>
      <c r="F1716" s="3"/>
      <c r="G1716" s="3" t="s">
        <v>2293</v>
      </c>
      <c r="H1716" s="3"/>
      <c r="I1716" s="3"/>
    </row>
    <row r="1717" spans="1:9" s="5" customFormat="1" x14ac:dyDescent="0.35">
      <c r="A1717" s="3" t="s">
        <v>8</v>
      </c>
      <c r="B1717" s="3" t="s">
        <v>665</v>
      </c>
      <c r="C1717" s="3" t="s">
        <v>20</v>
      </c>
      <c r="D1717" s="3" t="s">
        <v>784</v>
      </c>
      <c r="E1717" s="3" t="s">
        <v>12</v>
      </c>
      <c r="F1717" s="3"/>
      <c r="G1717" s="3"/>
      <c r="H1717" s="3"/>
      <c r="I1717" s="3"/>
    </row>
    <row r="1718" spans="1:9" s="5" customFormat="1" x14ac:dyDescent="0.35">
      <c r="A1718" s="3" t="s">
        <v>8</v>
      </c>
      <c r="B1718" s="3" t="s">
        <v>665</v>
      </c>
      <c r="C1718" s="3" t="s">
        <v>20</v>
      </c>
      <c r="D1718" s="3" t="s">
        <v>784</v>
      </c>
      <c r="E1718" s="3" t="s">
        <v>25</v>
      </c>
      <c r="F1718" s="3"/>
      <c r="G1718" s="3"/>
      <c r="H1718" s="3"/>
      <c r="I1718" s="3"/>
    </row>
    <row r="1719" spans="1:9" s="5" customFormat="1" x14ac:dyDescent="0.35">
      <c r="A1719" s="3" t="s">
        <v>8</v>
      </c>
      <c r="B1719" s="3" t="s">
        <v>665</v>
      </c>
      <c r="C1719" s="3" t="s">
        <v>20</v>
      </c>
      <c r="D1719" s="3" t="s">
        <v>784</v>
      </c>
      <c r="E1719" s="3" t="s">
        <v>60</v>
      </c>
      <c r="F1719" s="3"/>
      <c r="G1719" s="3"/>
      <c r="H1719" s="3"/>
      <c r="I1719" s="3"/>
    </row>
    <row r="1720" spans="1:9" s="5" customFormat="1" x14ac:dyDescent="0.35">
      <c r="A1720" s="3" t="s">
        <v>8</v>
      </c>
      <c r="B1720" s="3" t="s">
        <v>665</v>
      </c>
      <c r="C1720" s="3" t="s">
        <v>20</v>
      </c>
      <c r="D1720" s="3" t="s">
        <v>784</v>
      </c>
      <c r="E1720" s="3" t="s">
        <v>141</v>
      </c>
      <c r="F1720" s="3"/>
      <c r="G1720" s="3"/>
      <c r="H1720" s="3"/>
      <c r="I1720" s="3"/>
    </row>
    <row r="1721" spans="1:9" s="5" customFormat="1" x14ac:dyDescent="0.35">
      <c r="A1721" s="3" t="s">
        <v>8</v>
      </c>
      <c r="B1721" s="3" t="s">
        <v>665</v>
      </c>
      <c r="C1721" s="3" t="s">
        <v>20</v>
      </c>
      <c r="D1721" s="3" t="s">
        <v>784</v>
      </c>
      <c r="E1721" s="3" t="s">
        <v>242</v>
      </c>
      <c r="F1721" s="3"/>
      <c r="G1721" s="3"/>
      <c r="H1721" s="3"/>
      <c r="I1721" s="3"/>
    </row>
    <row r="1722" spans="1:9" s="5" customFormat="1" x14ac:dyDescent="0.35">
      <c r="A1722" s="3" t="s">
        <v>8</v>
      </c>
      <c r="B1722" s="3" t="s">
        <v>665</v>
      </c>
      <c r="C1722" s="3" t="s">
        <v>20</v>
      </c>
      <c r="D1722" s="3" t="s">
        <v>784</v>
      </c>
      <c r="E1722" s="3" t="s">
        <v>775</v>
      </c>
      <c r="F1722" s="3"/>
      <c r="G1722" s="3"/>
      <c r="H1722" s="3"/>
      <c r="I1722" s="3"/>
    </row>
    <row r="1723" spans="1:9" s="5" customFormat="1" x14ac:dyDescent="0.35">
      <c r="A1723" s="3" t="s">
        <v>8</v>
      </c>
      <c r="B1723" s="3" t="s">
        <v>665</v>
      </c>
      <c r="C1723" s="3" t="s">
        <v>20</v>
      </c>
      <c r="D1723" s="3" t="s">
        <v>784</v>
      </c>
      <c r="E1723" s="3" t="s">
        <v>57</v>
      </c>
      <c r="F1723" s="3"/>
      <c r="G1723" s="3"/>
      <c r="H1723" s="3"/>
      <c r="I1723" s="3"/>
    </row>
    <row r="1724" spans="1:9" s="5" customFormat="1" x14ac:dyDescent="0.35">
      <c r="A1724" s="3" t="s">
        <v>8</v>
      </c>
      <c r="B1724" s="3" t="s">
        <v>665</v>
      </c>
      <c r="C1724" s="3" t="s">
        <v>20</v>
      </c>
      <c r="D1724" s="3" t="s">
        <v>784</v>
      </c>
      <c r="E1724" s="3" t="s">
        <v>32</v>
      </c>
      <c r="F1724" s="3" t="s">
        <v>13</v>
      </c>
      <c r="G1724" s="3" t="s">
        <v>2464</v>
      </c>
      <c r="H1724" s="3"/>
      <c r="I1724" s="3"/>
    </row>
    <row r="1725" spans="1:9" s="5" customFormat="1" x14ac:dyDescent="0.35">
      <c r="A1725" s="3" t="s">
        <v>8</v>
      </c>
      <c r="B1725" s="3" t="s">
        <v>665</v>
      </c>
      <c r="C1725" s="3" t="s">
        <v>20</v>
      </c>
      <c r="D1725" s="3" t="s">
        <v>784</v>
      </c>
      <c r="E1725" s="3" t="s">
        <v>29</v>
      </c>
      <c r="F1725" s="3"/>
      <c r="G1725" s="3" t="s">
        <v>2465</v>
      </c>
      <c r="H1725" s="3"/>
      <c r="I1725" s="3"/>
    </row>
    <row r="1726" spans="1:9" s="5" customFormat="1" x14ac:dyDescent="0.35">
      <c r="A1726" s="3" t="s">
        <v>8</v>
      </c>
      <c r="B1726" s="3" t="s">
        <v>665</v>
      </c>
      <c r="C1726" s="3" t="s">
        <v>20</v>
      </c>
      <c r="D1726" s="3" t="s">
        <v>784</v>
      </c>
      <c r="E1726" s="3" t="s">
        <v>134</v>
      </c>
      <c r="F1726" s="3"/>
      <c r="G1726" s="3"/>
      <c r="H1726" s="3"/>
      <c r="I1726" s="3"/>
    </row>
    <row r="1727" spans="1:9" s="5" customFormat="1" x14ac:dyDescent="0.35">
      <c r="A1727" s="3" t="s">
        <v>8</v>
      </c>
      <c r="B1727" s="3" t="s">
        <v>665</v>
      </c>
      <c r="C1727" s="3" t="s">
        <v>20</v>
      </c>
      <c r="D1727" s="3" t="s">
        <v>784</v>
      </c>
      <c r="E1727" s="3" t="s">
        <v>107</v>
      </c>
      <c r="F1727" s="3"/>
      <c r="G1727" s="3"/>
      <c r="H1727" s="3"/>
      <c r="I1727" s="3"/>
    </row>
    <row r="1728" spans="1:9" s="5" customFormat="1" x14ac:dyDescent="0.35">
      <c r="A1728" s="3" t="s">
        <v>8</v>
      </c>
      <c r="B1728" s="3" t="s">
        <v>665</v>
      </c>
      <c r="C1728" s="3" t="s">
        <v>45</v>
      </c>
      <c r="D1728" s="3" t="s">
        <v>785</v>
      </c>
      <c r="E1728" s="3" t="s">
        <v>77</v>
      </c>
      <c r="F1728" s="3"/>
      <c r="G1728" s="3"/>
      <c r="H1728" s="3"/>
      <c r="I1728" s="3"/>
    </row>
    <row r="1729" spans="1:9" s="5" customFormat="1" x14ac:dyDescent="0.35">
      <c r="A1729" s="3" t="s">
        <v>8</v>
      </c>
      <c r="B1729" s="3" t="s">
        <v>665</v>
      </c>
      <c r="C1729" s="3" t="s">
        <v>45</v>
      </c>
      <c r="D1729" s="3" t="s">
        <v>786</v>
      </c>
      <c r="E1729" s="3" t="s">
        <v>77</v>
      </c>
      <c r="F1729" s="3"/>
      <c r="G1729" s="3"/>
      <c r="H1729" s="3"/>
      <c r="I1729" s="3"/>
    </row>
    <row r="1730" spans="1:9" s="5" customFormat="1" x14ac:dyDescent="0.35">
      <c r="A1730" s="3" t="s">
        <v>8</v>
      </c>
      <c r="B1730" s="3" t="s">
        <v>665</v>
      </c>
      <c r="C1730" s="3" t="s">
        <v>45</v>
      </c>
      <c r="D1730" s="3" t="s">
        <v>787</v>
      </c>
      <c r="E1730" s="3" t="s">
        <v>77</v>
      </c>
      <c r="F1730" s="3"/>
      <c r="G1730" s="3"/>
      <c r="H1730" s="3"/>
      <c r="I1730" s="3"/>
    </row>
    <row r="1731" spans="1:9" s="5" customFormat="1" x14ac:dyDescent="0.35">
      <c r="A1731" s="3" t="s">
        <v>8</v>
      </c>
      <c r="B1731" s="3" t="s">
        <v>665</v>
      </c>
      <c r="C1731" s="3" t="s">
        <v>45</v>
      </c>
      <c r="D1731" s="3" t="s">
        <v>788</v>
      </c>
      <c r="E1731" s="3" t="s">
        <v>77</v>
      </c>
      <c r="F1731" s="3" t="s">
        <v>33</v>
      </c>
      <c r="G1731" s="3" t="s">
        <v>487</v>
      </c>
      <c r="H1731" s="3"/>
      <c r="I1731" s="3"/>
    </row>
    <row r="1732" spans="1:9" s="5" customFormat="1" x14ac:dyDescent="0.35">
      <c r="A1732" s="3" t="s">
        <v>8</v>
      </c>
      <c r="B1732" s="3" t="s">
        <v>665</v>
      </c>
      <c r="C1732" s="3" t="s">
        <v>45</v>
      </c>
      <c r="D1732" s="3" t="s">
        <v>788</v>
      </c>
      <c r="E1732" s="3" t="s">
        <v>56</v>
      </c>
      <c r="F1732" s="3" t="s">
        <v>33</v>
      </c>
      <c r="G1732" s="3" t="s">
        <v>487</v>
      </c>
      <c r="H1732" s="3"/>
      <c r="I1732" s="3"/>
    </row>
    <row r="1733" spans="1:9" s="5" customFormat="1" x14ac:dyDescent="0.35">
      <c r="A1733" s="3" t="s">
        <v>8</v>
      </c>
      <c r="B1733" s="3" t="s">
        <v>665</v>
      </c>
      <c r="C1733" s="3" t="s">
        <v>20</v>
      </c>
      <c r="D1733" s="3" t="s">
        <v>789</v>
      </c>
      <c r="E1733" s="3" t="s">
        <v>12</v>
      </c>
      <c r="F1733" s="3"/>
      <c r="G1733" s="3"/>
      <c r="H1733" s="3"/>
      <c r="I1733" s="3"/>
    </row>
    <row r="1734" spans="1:9" s="5" customFormat="1" x14ac:dyDescent="0.35">
      <c r="A1734" s="3" t="s">
        <v>8</v>
      </c>
      <c r="B1734" s="3" t="s">
        <v>665</v>
      </c>
      <c r="C1734" s="3" t="s">
        <v>20</v>
      </c>
      <c r="D1734" s="3" t="s">
        <v>789</v>
      </c>
      <c r="E1734" s="3" t="s">
        <v>47</v>
      </c>
      <c r="F1734" s="3"/>
      <c r="G1734" s="3"/>
      <c r="H1734" s="3"/>
      <c r="I1734" s="3"/>
    </row>
    <row r="1735" spans="1:9" s="5" customFormat="1" x14ac:dyDescent="0.35">
      <c r="A1735" s="3" t="s">
        <v>8</v>
      </c>
      <c r="B1735" s="3" t="s">
        <v>665</v>
      </c>
      <c r="C1735" s="3" t="s">
        <v>20</v>
      </c>
      <c r="D1735" s="3" t="s">
        <v>789</v>
      </c>
      <c r="E1735" s="3" t="s">
        <v>25</v>
      </c>
      <c r="F1735" s="3"/>
      <c r="G1735" s="3"/>
      <c r="H1735" s="3"/>
      <c r="I1735" s="3"/>
    </row>
    <row r="1736" spans="1:9" s="5" customFormat="1" x14ac:dyDescent="0.35">
      <c r="A1736" s="3" t="s">
        <v>8</v>
      </c>
      <c r="B1736" s="3" t="s">
        <v>665</v>
      </c>
      <c r="C1736" s="3" t="s">
        <v>20</v>
      </c>
      <c r="D1736" s="3" t="s">
        <v>789</v>
      </c>
      <c r="E1736" s="3" t="s">
        <v>142</v>
      </c>
      <c r="F1736" s="3"/>
      <c r="G1736" s="3"/>
      <c r="H1736" s="3"/>
      <c r="I1736" s="3"/>
    </row>
    <row r="1737" spans="1:9" s="5" customFormat="1" x14ac:dyDescent="0.35">
      <c r="A1737" s="3" t="s">
        <v>8</v>
      </c>
      <c r="B1737" s="3" t="s">
        <v>665</v>
      </c>
      <c r="C1737" s="3" t="s">
        <v>20</v>
      </c>
      <c r="D1737" s="3" t="s">
        <v>789</v>
      </c>
      <c r="E1737" s="3" t="s">
        <v>28</v>
      </c>
      <c r="F1737" s="3"/>
      <c r="G1737" s="3"/>
      <c r="H1737" s="3"/>
      <c r="I1737" s="3"/>
    </row>
    <row r="1738" spans="1:9" s="5" customFormat="1" x14ac:dyDescent="0.35">
      <c r="A1738" s="3" t="s">
        <v>8</v>
      </c>
      <c r="B1738" s="3" t="s">
        <v>665</v>
      </c>
      <c r="C1738" s="3" t="s">
        <v>20</v>
      </c>
      <c r="D1738" s="3" t="s">
        <v>789</v>
      </c>
      <c r="E1738" s="3" t="s">
        <v>57</v>
      </c>
      <c r="F1738" s="3"/>
      <c r="G1738" s="3"/>
      <c r="H1738" s="3"/>
      <c r="I1738" s="3"/>
    </row>
    <row r="1739" spans="1:9" s="5" customFormat="1" x14ac:dyDescent="0.35">
      <c r="A1739" s="3" t="s">
        <v>8</v>
      </c>
      <c r="B1739" s="3" t="s">
        <v>665</v>
      </c>
      <c r="C1739" s="3" t="s">
        <v>20</v>
      </c>
      <c r="D1739" s="3" t="s">
        <v>789</v>
      </c>
      <c r="E1739" s="3" t="s">
        <v>32</v>
      </c>
      <c r="F1739" s="3"/>
      <c r="G1739" s="3"/>
      <c r="H1739" s="3"/>
      <c r="I1739" s="3"/>
    </row>
    <row r="1740" spans="1:9" s="5" customFormat="1" x14ac:dyDescent="0.35">
      <c r="A1740" s="3" t="s">
        <v>8</v>
      </c>
      <c r="B1740" s="3" t="s">
        <v>665</v>
      </c>
      <c r="C1740" s="3" t="s">
        <v>45</v>
      </c>
      <c r="D1740" s="3" t="s">
        <v>790</v>
      </c>
      <c r="E1740" s="3" t="s">
        <v>77</v>
      </c>
      <c r="F1740" s="3"/>
      <c r="G1740" s="3"/>
      <c r="H1740" s="3"/>
      <c r="I1740" s="3"/>
    </row>
    <row r="1741" spans="1:9" s="5" customFormat="1" x14ac:dyDescent="0.35">
      <c r="A1741" s="3" t="s">
        <v>8</v>
      </c>
      <c r="B1741" s="3" t="s">
        <v>665</v>
      </c>
      <c r="C1741" s="3" t="s">
        <v>10</v>
      </c>
      <c r="D1741" s="3" t="s">
        <v>2641</v>
      </c>
      <c r="E1741" s="3" t="s">
        <v>47</v>
      </c>
      <c r="F1741" s="3"/>
      <c r="G1741" s="3"/>
      <c r="H1741" s="3"/>
      <c r="I1741" s="3"/>
    </row>
    <row r="1742" spans="1:9" s="5" customFormat="1" x14ac:dyDescent="0.35">
      <c r="A1742" s="3" t="s">
        <v>8</v>
      </c>
      <c r="B1742" s="3" t="s">
        <v>665</v>
      </c>
      <c r="C1742" s="3" t="s">
        <v>10</v>
      </c>
      <c r="D1742" s="3" t="s">
        <v>2641</v>
      </c>
      <c r="E1742" s="3" t="s">
        <v>15</v>
      </c>
      <c r="F1742" s="3" t="s">
        <v>16</v>
      </c>
      <c r="G1742" s="3" t="s">
        <v>2642</v>
      </c>
      <c r="H1742" s="3"/>
      <c r="I1742" s="3"/>
    </row>
    <row r="1743" spans="1:9" s="5" customFormat="1" x14ac:dyDescent="0.35">
      <c r="A1743" s="3" t="s">
        <v>8</v>
      </c>
      <c r="B1743" s="3" t="s">
        <v>665</v>
      </c>
      <c r="C1743" s="3" t="s">
        <v>20</v>
      </c>
      <c r="D1743" s="3" t="s">
        <v>791</v>
      </c>
      <c r="E1743" s="3" t="s">
        <v>47</v>
      </c>
      <c r="F1743" s="3" t="s">
        <v>13</v>
      </c>
      <c r="G1743" s="3" t="s">
        <v>792</v>
      </c>
      <c r="H1743" s="3"/>
      <c r="I1743" s="3"/>
    </row>
    <row r="1744" spans="1:9" s="5" customFormat="1" x14ac:dyDescent="0.35">
      <c r="A1744" s="3" t="s">
        <v>8</v>
      </c>
      <c r="B1744" s="3" t="s">
        <v>665</v>
      </c>
      <c r="C1744" s="3" t="s">
        <v>20</v>
      </c>
      <c r="D1744" s="3" t="s">
        <v>791</v>
      </c>
      <c r="E1744" s="3" t="s">
        <v>25</v>
      </c>
      <c r="F1744" s="3" t="s">
        <v>13</v>
      </c>
      <c r="G1744" s="3" t="s">
        <v>792</v>
      </c>
      <c r="H1744" s="3"/>
      <c r="I1744" s="3"/>
    </row>
    <row r="1745" spans="1:9" s="5" customFormat="1" x14ac:dyDescent="0.35">
      <c r="A1745" s="3" t="s">
        <v>8</v>
      </c>
      <c r="B1745" s="3" t="s">
        <v>665</v>
      </c>
      <c r="C1745" s="3" t="s">
        <v>20</v>
      </c>
      <c r="D1745" s="3" t="s">
        <v>791</v>
      </c>
      <c r="E1745" s="3" t="s">
        <v>28</v>
      </c>
      <c r="F1745" s="3" t="s">
        <v>13</v>
      </c>
      <c r="G1745" s="3" t="s">
        <v>2488</v>
      </c>
      <c r="H1745" s="3"/>
      <c r="I1745" s="3"/>
    </row>
    <row r="1746" spans="1:9" s="5" customFormat="1" x14ac:dyDescent="0.35">
      <c r="A1746" s="3" t="s">
        <v>8</v>
      </c>
      <c r="B1746" s="3" t="s">
        <v>665</v>
      </c>
      <c r="C1746" s="3" t="s">
        <v>20</v>
      </c>
      <c r="D1746" s="3" t="s">
        <v>791</v>
      </c>
      <c r="E1746" s="3" t="s">
        <v>15</v>
      </c>
      <c r="F1746" s="3" t="s">
        <v>13</v>
      </c>
      <c r="G1746" s="3" t="s">
        <v>792</v>
      </c>
      <c r="H1746" s="3"/>
      <c r="I1746" s="3"/>
    </row>
    <row r="1747" spans="1:9" s="5" customFormat="1" x14ac:dyDescent="0.35">
      <c r="A1747" s="3" t="s">
        <v>8</v>
      </c>
      <c r="B1747" s="3" t="s">
        <v>665</v>
      </c>
      <c r="C1747" s="3" t="s">
        <v>20</v>
      </c>
      <c r="D1747" s="3" t="s">
        <v>791</v>
      </c>
      <c r="E1747" s="3" t="s">
        <v>32</v>
      </c>
      <c r="F1747" s="3" t="s">
        <v>13</v>
      </c>
      <c r="G1747" s="3" t="s">
        <v>792</v>
      </c>
      <c r="H1747" s="3"/>
      <c r="I1747" s="3"/>
    </row>
    <row r="1748" spans="1:9" s="5" customFormat="1" x14ac:dyDescent="0.35">
      <c r="A1748" s="3" t="s">
        <v>8</v>
      </c>
      <c r="B1748" s="3" t="s">
        <v>665</v>
      </c>
      <c r="C1748" s="3" t="s">
        <v>20</v>
      </c>
      <c r="D1748" s="3" t="s">
        <v>793</v>
      </c>
      <c r="E1748" s="3" t="s">
        <v>12</v>
      </c>
      <c r="F1748" s="3"/>
      <c r="G1748" s="3" t="s">
        <v>2395</v>
      </c>
      <c r="H1748" s="3"/>
      <c r="I1748" s="3"/>
    </row>
    <row r="1749" spans="1:9" s="5" customFormat="1" x14ac:dyDescent="0.35">
      <c r="A1749" s="3" t="s">
        <v>8</v>
      </c>
      <c r="B1749" s="3" t="s">
        <v>665</v>
      </c>
      <c r="C1749" s="3" t="s">
        <v>20</v>
      </c>
      <c r="D1749" s="3" t="s">
        <v>793</v>
      </c>
      <c r="E1749" s="3" t="s">
        <v>25</v>
      </c>
      <c r="F1749" s="3"/>
      <c r="G1749" s="3"/>
      <c r="H1749" s="3"/>
      <c r="I1749" s="3"/>
    </row>
    <row r="1750" spans="1:9" s="5" customFormat="1" x14ac:dyDescent="0.35">
      <c r="A1750" s="3" t="s">
        <v>8</v>
      </c>
      <c r="B1750" s="3" t="s">
        <v>665</v>
      </c>
      <c r="C1750" s="3" t="s">
        <v>20</v>
      </c>
      <c r="D1750" s="3" t="s">
        <v>793</v>
      </c>
      <c r="E1750" s="3" t="s">
        <v>141</v>
      </c>
      <c r="F1750" s="3"/>
      <c r="G1750" s="3"/>
      <c r="H1750" s="3"/>
      <c r="I1750" s="3"/>
    </row>
    <row r="1751" spans="1:9" s="5" customFormat="1" x14ac:dyDescent="0.35">
      <c r="A1751" s="3" t="s">
        <v>8</v>
      </c>
      <c r="B1751" s="3" t="s">
        <v>665</v>
      </c>
      <c r="C1751" s="3" t="s">
        <v>20</v>
      </c>
      <c r="D1751" s="3" t="s">
        <v>793</v>
      </c>
      <c r="E1751" s="3" t="s">
        <v>142</v>
      </c>
      <c r="F1751" s="3"/>
      <c r="G1751" s="3"/>
      <c r="H1751" s="3"/>
      <c r="I1751" s="3"/>
    </row>
    <row r="1752" spans="1:9" s="5" customFormat="1" x14ac:dyDescent="0.35">
      <c r="A1752" s="3" t="s">
        <v>8</v>
      </c>
      <c r="B1752" s="3" t="s">
        <v>665</v>
      </c>
      <c r="C1752" s="3" t="s">
        <v>20</v>
      </c>
      <c r="D1752" s="3" t="s">
        <v>793</v>
      </c>
      <c r="E1752" s="3" t="s">
        <v>28</v>
      </c>
      <c r="F1752" s="3"/>
      <c r="G1752" s="3"/>
      <c r="H1752" s="3"/>
      <c r="I1752" s="3"/>
    </row>
    <row r="1753" spans="1:9" s="5" customFormat="1" x14ac:dyDescent="0.35">
      <c r="A1753" s="3" t="s">
        <v>8</v>
      </c>
      <c r="B1753" s="3" t="s">
        <v>665</v>
      </c>
      <c r="C1753" s="3" t="s">
        <v>20</v>
      </c>
      <c r="D1753" s="3" t="s">
        <v>793</v>
      </c>
      <c r="E1753" s="3" t="s">
        <v>15</v>
      </c>
      <c r="F1753" s="3"/>
      <c r="G1753" s="3"/>
      <c r="H1753" s="3"/>
      <c r="I1753" s="3"/>
    </row>
    <row r="1754" spans="1:9" s="5" customFormat="1" x14ac:dyDescent="0.35">
      <c r="A1754" s="3" t="s">
        <v>8</v>
      </c>
      <c r="B1754" s="3" t="s">
        <v>665</v>
      </c>
      <c r="C1754" s="3" t="s">
        <v>20</v>
      </c>
      <c r="D1754" s="3" t="s">
        <v>793</v>
      </c>
      <c r="E1754" s="3" t="s">
        <v>56</v>
      </c>
      <c r="F1754" s="3"/>
      <c r="G1754" s="3" t="s">
        <v>3010</v>
      </c>
      <c r="H1754" s="3"/>
      <c r="I1754" s="3"/>
    </row>
    <row r="1755" spans="1:9" s="5" customFormat="1" x14ac:dyDescent="0.35">
      <c r="A1755" s="3" t="s">
        <v>8</v>
      </c>
      <c r="B1755" s="3" t="s">
        <v>665</v>
      </c>
      <c r="C1755" s="3" t="s">
        <v>20</v>
      </c>
      <c r="D1755" s="3" t="s">
        <v>793</v>
      </c>
      <c r="E1755" s="3" t="s">
        <v>89</v>
      </c>
      <c r="F1755" s="3"/>
      <c r="G1755" s="3"/>
      <c r="H1755" s="3"/>
      <c r="I1755" s="3"/>
    </row>
    <row r="1756" spans="1:9" s="5" customFormat="1" x14ac:dyDescent="0.35">
      <c r="A1756" s="3" t="s">
        <v>8</v>
      </c>
      <c r="B1756" s="3" t="s">
        <v>665</v>
      </c>
      <c r="C1756" s="3" t="s">
        <v>20</v>
      </c>
      <c r="D1756" s="3" t="s">
        <v>793</v>
      </c>
      <c r="E1756" s="3" t="s">
        <v>29</v>
      </c>
      <c r="F1756" s="3" t="s">
        <v>13</v>
      </c>
      <c r="G1756" s="3" t="s">
        <v>2489</v>
      </c>
      <c r="H1756" s="3"/>
      <c r="I1756" s="3"/>
    </row>
    <row r="1757" spans="1:9" s="5" customFormat="1" x14ac:dyDescent="0.35">
      <c r="A1757" s="3" t="s">
        <v>8</v>
      </c>
      <c r="B1757" s="3" t="s">
        <v>665</v>
      </c>
      <c r="C1757" s="3" t="s">
        <v>20</v>
      </c>
      <c r="D1757" s="3" t="s">
        <v>793</v>
      </c>
      <c r="E1757" s="3" t="s">
        <v>134</v>
      </c>
      <c r="F1757" s="3"/>
      <c r="G1757" s="3"/>
      <c r="H1757" s="3"/>
      <c r="I1757" s="3"/>
    </row>
    <row r="1758" spans="1:9" s="5" customFormat="1" x14ac:dyDescent="0.35">
      <c r="A1758" s="3" t="s">
        <v>8</v>
      </c>
      <c r="B1758" s="3" t="s">
        <v>665</v>
      </c>
      <c r="C1758" s="3" t="s">
        <v>20</v>
      </c>
      <c r="D1758" s="3" t="s">
        <v>794</v>
      </c>
      <c r="E1758" s="3" t="s">
        <v>47</v>
      </c>
      <c r="F1758" s="3"/>
      <c r="G1758" s="3"/>
      <c r="H1758" s="3"/>
      <c r="I1758" s="3"/>
    </row>
    <row r="1759" spans="1:9" s="5" customFormat="1" x14ac:dyDescent="0.35">
      <c r="A1759" s="3" t="s">
        <v>8</v>
      </c>
      <c r="B1759" s="3" t="s">
        <v>665</v>
      </c>
      <c r="C1759" s="3" t="s">
        <v>20</v>
      </c>
      <c r="D1759" s="3" t="s">
        <v>794</v>
      </c>
      <c r="E1759" s="3" t="s">
        <v>25</v>
      </c>
      <c r="F1759" s="3"/>
      <c r="G1759" s="3"/>
      <c r="H1759" s="3"/>
      <c r="I1759" s="3"/>
    </row>
    <row r="1760" spans="1:9" s="5" customFormat="1" x14ac:dyDescent="0.35">
      <c r="A1760" s="3" t="s">
        <v>8</v>
      </c>
      <c r="B1760" s="3" t="s">
        <v>665</v>
      </c>
      <c r="C1760" s="3" t="s">
        <v>20</v>
      </c>
      <c r="D1760" s="3" t="s">
        <v>794</v>
      </c>
      <c r="E1760" s="3" t="s">
        <v>29</v>
      </c>
      <c r="F1760" s="3" t="s">
        <v>13</v>
      </c>
      <c r="G1760" s="3" t="s">
        <v>2490</v>
      </c>
      <c r="H1760" s="3"/>
      <c r="I1760" s="3"/>
    </row>
    <row r="1761" spans="1:9" s="5" customFormat="1" x14ac:dyDescent="0.35">
      <c r="A1761" s="3" t="s">
        <v>8</v>
      </c>
      <c r="B1761" s="3" t="s">
        <v>665</v>
      </c>
      <c r="C1761" s="3" t="s">
        <v>10</v>
      </c>
      <c r="D1761" s="3" t="s">
        <v>795</v>
      </c>
      <c r="E1761" s="3" t="s">
        <v>12</v>
      </c>
      <c r="F1761" s="3" t="s">
        <v>33</v>
      </c>
      <c r="G1761" s="3" t="s">
        <v>686</v>
      </c>
      <c r="H1761" s="3"/>
      <c r="I1761" s="3"/>
    </row>
    <row r="1762" spans="1:9" s="5" customFormat="1" x14ac:dyDescent="0.35">
      <c r="A1762" s="3" t="s">
        <v>8</v>
      </c>
      <c r="B1762" s="3" t="s">
        <v>665</v>
      </c>
      <c r="C1762" s="3" t="s">
        <v>10</v>
      </c>
      <c r="D1762" s="3" t="s">
        <v>795</v>
      </c>
      <c r="E1762" s="3" t="s">
        <v>47</v>
      </c>
      <c r="F1762" s="3" t="s">
        <v>33</v>
      </c>
      <c r="G1762" s="3" t="s">
        <v>686</v>
      </c>
      <c r="H1762" s="3"/>
      <c r="I1762" s="3"/>
    </row>
    <row r="1763" spans="1:9" s="5" customFormat="1" x14ac:dyDescent="0.35">
      <c r="A1763" s="3" t="s">
        <v>8</v>
      </c>
      <c r="B1763" s="3" t="s">
        <v>665</v>
      </c>
      <c r="C1763" s="3" t="s">
        <v>10</v>
      </c>
      <c r="D1763" s="3" t="s">
        <v>795</v>
      </c>
      <c r="E1763" s="3" t="s">
        <v>87</v>
      </c>
      <c r="F1763" s="3" t="s">
        <v>33</v>
      </c>
      <c r="G1763" s="3" t="s">
        <v>686</v>
      </c>
      <c r="H1763" s="3"/>
      <c r="I1763" s="3"/>
    </row>
    <row r="1764" spans="1:9" s="5" customFormat="1" x14ac:dyDescent="0.35">
      <c r="A1764" s="3" t="s">
        <v>8</v>
      </c>
      <c r="B1764" s="3" t="s">
        <v>665</v>
      </c>
      <c r="C1764" s="3" t="s">
        <v>10</v>
      </c>
      <c r="D1764" s="3" t="s">
        <v>795</v>
      </c>
      <c r="E1764" s="3" t="s">
        <v>134</v>
      </c>
      <c r="F1764" s="3" t="s">
        <v>33</v>
      </c>
      <c r="G1764" s="3" t="s">
        <v>686</v>
      </c>
      <c r="H1764" s="3"/>
      <c r="I1764" s="3"/>
    </row>
    <row r="1765" spans="1:9" s="5" customFormat="1" x14ac:dyDescent="0.35">
      <c r="A1765" s="3" t="s">
        <v>8</v>
      </c>
      <c r="B1765" s="3" t="s">
        <v>665</v>
      </c>
      <c r="C1765" s="3" t="s">
        <v>45</v>
      </c>
      <c r="D1765" s="3" t="s">
        <v>796</v>
      </c>
      <c r="E1765" s="3" t="s">
        <v>77</v>
      </c>
      <c r="F1765" s="3"/>
      <c r="G1765" s="3"/>
      <c r="H1765" s="3"/>
      <c r="I1765" s="3"/>
    </row>
    <row r="1766" spans="1:9" s="5" customFormat="1" x14ac:dyDescent="0.35">
      <c r="A1766" s="3" t="s">
        <v>8</v>
      </c>
      <c r="B1766" s="3" t="s">
        <v>665</v>
      </c>
      <c r="C1766" s="3" t="s">
        <v>45</v>
      </c>
      <c r="D1766" s="3" t="s">
        <v>797</v>
      </c>
      <c r="E1766" s="3" t="s">
        <v>77</v>
      </c>
      <c r="F1766" s="3"/>
      <c r="G1766" s="3"/>
      <c r="H1766" s="3"/>
      <c r="I1766" s="3"/>
    </row>
    <row r="1767" spans="1:9" s="5" customFormat="1" x14ac:dyDescent="0.35">
      <c r="A1767" s="3" t="s">
        <v>8</v>
      </c>
      <c r="B1767" s="3" t="s">
        <v>665</v>
      </c>
      <c r="C1767" s="3" t="s">
        <v>45</v>
      </c>
      <c r="D1767" s="3" t="s">
        <v>798</v>
      </c>
      <c r="E1767" s="3" t="s">
        <v>77</v>
      </c>
      <c r="F1767" s="3"/>
      <c r="G1767" s="3"/>
      <c r="H1767" s="3"/>
      <c r="I1767" s="3"/>
    </row>
    <row r="1768" spans="1:9" s="5" customFormat="1" x14ac:dyDescent="0.35">
      <c r="A1768" s="3" t="s">
        <v>8</v>
      </c>
      <c r="B1768" s="3" t="s">
        <v>665</v>
      </c>
      <c r="C1768" s="3" t="s">
        <v>45</v>
      </c>
      <c r="D1768" s="3" t="s">
        <v>799</v>
      </c>
      <c r="E1768" s="3" t="s">
        <v>77</v>
      </c>
      <c r="F1768" s="3"/>
      <c r="G1768" s="3"/>
      <c r="H1768" s="3"/>
      <c r="I1768" s="3"/>
    </row>
    <row r="1769" spans="1:9" s="5" customFormat="1" x14ac:dyDescent="0.35">
      <c r="A1769" s="3" t="s">
        <v>8</v>
      </c>
      <c r="B1769" s="3" t="s">
        <v>665</v>
      </c>
      <c r="C1769" s="3" t="s">
        <v>45</v>
      </c>
      <c r="D1769" s="3" t="s">
        <v>800</v>
      </c>
      <c r="E1769" s="3" t="s">
        <v>77</v>
      </c>
      <c r="F1769" s="3"/>
      <c r="G1769" s="3"/>
      <c r="H1769" s="3"/>
      <c r="I1769" s="3"/>
    </row>
    <row r="1770" spans="1:9" s="5" customFormat="1" x14ac:dyDescent="0.35">
      <c r="A1770" s="3" t="s">
        <v>8</v>
      </c>
      <c r="B1770" s="3" t="s">
        <v>665</v>
      </c>
      <c r="C1770" s="3" t="s">
        <v>45</v>
      </c>
      <c r="D1770" s="3" t="s">
        <v>801</v>
      </c>
      <c r="E1770" s="3" t="s">
        <v>77</v>
      </c>
      <c r="F1770" s="3"/>
      <c r="G1770" s="3"/>
      <c r="H1770" s="3"/>
      <c r="I1770" s="3"/>
    </row>
    <row r="1771" spans="1:9" s="5" customFormat="1" x14ac:dyDescent="0.35">
      <c r="A1771" s="3" t="s">
        <v>8</v>
      </c>
      <c r="B1771" s="3" t="s">
        <v>665</v>
      </c>
      <c r="C1771" s="3" t="s">
        <v>45</v>
      </c>
      <c r="D1771" s="3" t="s">
        <v>802</v>
      </c>
      <c r="E1771" s="3" t="s">
        <v>77</v>
      </c>
      <c r="F1771" s="3"/>
      <c r="G1771" s="3"/>
      <c r="H1771" s="3"/>
      <c r="I1771" s="3"/>
    </row>
    <row r="1772" spans="1:9" s="5" customFormat="1" x14ac:dyDescent="0.35">
      <c r="A1772" s="3" t="s">
        <v>8</v>
      </c>
      <c r="B1772" s="3" t="s">
        <v>665</v>
      </c>
      <c r="C1772" s="3" t="s">
        <v>45</v>
      </c>
      <c r="D1772" s="3" t="s">
        <v>803</v>
      </c>
      <c r="E1772" s="3" t="s">
        <v>56</v>
      </c>
      <c r="F1772" s="3" t="s">
        <v>13</v>
      </c>
      <c r="G1772" s="3" t="s">
        <v>804</v>
      </c>
      <c r="H1772" s="3"/>
      <c r="I1772" s="3"/>
    </row>
    <row r="1773" spans="1:9" s="5" customFormat="1" x14ac:dyDescent="0.35">
      <c r="A1773" s="3" t="s">
        <v>8</v>
      </c>
      <c r="B1773" s="3" t="s">
        <v>665</v>
      </c>
      <c r="C1773" s="3" t="s">
        <v>10</v>
      </c>
      <c r="D1773" s="3" t="s">
        <v>805</v>
      </c>
      <c r="E1773" s="3" t="s">
        <v>47</v>
      </c>
      <c r="F1773" s="3"/>
      <c r="G1773" s="3"/>
      <c r="H1773" s="3"/>
      <c r="I1773" s="3"/>
    </row>
    <row r="1774" spans="1:9" s="5" customFormat="1" x14ac:dyDescent="0.35">
      <c r="A1774" s="3" t="s">
        <v>8</v>
      </c>
      <c r="B1774" s="3" t="s">
        <v>665</v>
      </c>
      <c r="C1774" s="3" t="s">
        <v>10</v>
      </c>
      <c r="D1774" s="3" t="s">
        <v>805</v>
      </c>
      <c r="E1774" s="3" t="s">
        <v>15</v>
      </c>
      <c r="F1774" s="3" t="s">
        <v>13</v>
      </c>
      <c r="G1774" s="3" t="s">
        <v>806</v>
      </c>
      <c r="H1774" s="3"/>
      <c r="I1774" s="3"/>
    </row>
    <row r="1775" spans="1:9" s="5" customFormat="1" x14ac:dyDescent="0.35">
      <c r="A1775" s="3" t="s">
        <v>8</v>
      </c>
      <c r="B1775" s="3" t="s">
        <v>665</v>
      </c>
      <c r="C1775" s="3" t="s">
        <v>10</v>
      </c>
      <c r="D1775" s="3" t="s">
        <v>805</v>
      </c>
      <c r="E1775" s="3" t="s">
        <v>134</v>
      </c>
      <c r="F1775" s="3" t="s">
        <v>16</v>
      </c>
      <c r="G1775" s="3" t="s">
        <v>2507</v>
      </c>
      <c r="H1775" s="3"/>
      <c r="I1775" s="3"/>
    </row>
    <row r="1776" spans="1:9" s="5" customFormat="1" x14ac:dyDescent="0.35">
      <c r="A1776" s="3" t="s">
        <v>8</v>
      </c>
      <c r="B1776" s="3" t="s">
        <v>665</v>
      </c>
      <c r="C1776" s="3" t="s">
        <v>20</v>
      </c>
      <c r="D1776" s="3" t="s">
        <v>807</v>
      </c>
      <c r="E1776" s="3" t="s">
        <v>15</v>
      </c>
      <c r="F1776" s="3" t="s">
        <v>13</v>
      </c>
      <c r="G1776" s="3" t="s">
        <v>535</v>
      </c>
      <c r="H1776" s="3"/>
      <c r="I1776" s="3"/>
    </row>
    <row r="1777" spans="1:9" s="5" customFormat="1" x14ac:dyDescent="0.35">
      <c r="A1777" s="3" t="s">
        <v>8</v>
      </c>
      <c r="B1777" s="3" t="s">
        <v>665</v>
      </c>
      <c r="C1777" s="3" t="s">
        <v>20</v>
      </c>
      <c r="D1777" s="3" t="s">
        <v>807</v>
      </c>
      <c r="E1777" s="3" t="s">
        <v>107</v>
      </c>
      <c r="F1777" s="3"/>
      <c r="G1777" s="3"/>
      <c r="H1777" s="3"/>
      <c r="I1777" s="3"/>
    </row>
    <row r="1778" spans="1:9" s="5" customFormat="1" x14ac:dyDescent="0.35">
      <c r="A1778" s="3" t="s">
        <v>8</v>
      </c>
      <c r="B1778" s="3" t="s">
        <v>665</v>
      </c>
      <c r="C1778" s="3" t="s">
        <v>10</v>
      </c>
      <c r="D1778" s="3" t="s">
        <v>3011</v>
      </c>
      <c r="E1778" s="3" t="s">
        <v>47</v>
      </c>
      <c r="F1778" s="3"/>
      <c r="G1778" s="3"/>
      <c r="H1778" s="3"/>
      <c r="I1778" s="3"/>
    </row>
    <row r="1779" spans="1:9" s="5" customFormat="1" x14ac:dyDescent="0.35">
      <c r="A1779" s="3" t="s">
        <v>8</v>
      </c>
      <c r="B1779" s="3" t="s">
        <v>665</v>
      </c>
      <c r="C1779" s="3" t="s">
        <v>302</v>
      </c>
      <c r="D1779" s="3" t="s">
        <v>808</v>
      </c>
      <c r="E1779" s="3" t="s">
        <v>60</v>
      </c>
      <c r="F1779" s="3" t="s">
        <v>13</v>
      </c>
      <c r="G1779" s="3" t="s">
        <v>809</v>
      </c>
      <c r="H1779" s="3"/>
      <c r="I1779" s="3"/>
    </row>
    <row r="1780" spans="1:9" s="5" customFormat="1" x14ac:dyDescent="0.35">
      <c r="A1780" s="3" t="s">
        <v>810</v>
      </c>
      <c r="B1780" s="3" t="s">
        <v>811</v>
      </c>
      <c r="C1780" s="3" t="s">
        <v>42</v>
      </c>
      <c r="D1780" s="3" t="s">
        <v>812</v>
      </c>
      <c r="E1780" s="3" t="s">
        <v>12</v>
      </c>
      <c r="F1780" s="3"/>
      <c r="G1780" s="3"/>
      <c r="H1780" s="3"/>
      <c r="I1780" s="3"/>
    </row>
    <row r="1781" spans="1:9" s="5" customFormat="1" x14ac:dyDescent="0.35">
      <c r="A1781" s="3" t="s">
        <v>810</v>
      </c>
      <c r="B1781" s="3" t="s">
        <v>811</v>
      </c>
      <c r="C1781" s="3" t="s">
        <v>42</v>
      </c>
      <c r="D1781" s="3" t="s">
        <v>812</v>
      </c>
      <c r="E1781" s="3" t="s">
        <v>23</v>
      </c>
      <c r="F1781" s="3"/>
      <c r="G1781" s="3"/>
      <c r="H1781" s="3"/>
      <c r="I1781" s="3"/>
    </row>
    <row r="1782" spans="1:9" s="5" customFormat="1" x14ac:dyDescent="0.35">
      <c r="A1782" s="3" t="s">
        <v>810</v>
      </c>
      <c r="B1782" s="3" t="s">
        <v>811</v>
      </c>
      <c r="C1782" s="3" t="s">
        <v>42</v>
      </c>
      <c r="D1782" s="3" t="s">
        <v>812</v>
      </c>
      <c r="E1782" s="3" t="s">
        <v>25</v>
      </c>
      <c r="F1782" s="3"/>
      <c r="G1782" s="3"/>
      <c r="H1782" s="3"/>
      <c r="I1782" s="3"/>
    </row>
    <row r="1783" spans="1:9" s="5" customFormat="1" x14ac:dyDescent="0.35">
      <c r="A1783" s="3" t="s">
        <v>810</v>
      </c>
      <c r="B1783" s="3" t="s">
        <v>811</v>
      </c>
      <c r="C1783" s="3" t="s">
        <v>42</v>
      </c>
      <c r="D1783" s="3" t="s">
        <v>812</v>
      </c>
      <c r="E1783" s="3" t="s">
        <v>142</v>
      </c>
      <c r="F1783" s="3"/>
      <c r="G1783" s="3"/>
      <c r="H1783" s="3"/>
      <c r="I1783" s="3"/>
    </row>
    <row r="1784" spans="1:9" s="5" customFormat="1" x14ac:dyDescent="0.35">
      <c r="A1784" s="3" t="s">
        <v>810</v>
      </c>
      <c r="B1784" s="3" t="s">
        <v>811</v>
      </c>
      <c r="C1784" s="3" t="s">
        <v>42</v>
      </c>
      <c r="D1784" s="3" t="s">
        <v>812</v>
      </c>
      <c r="E1784" s="3" t="s">
        <v>57</v>
      </c>
      <c r="F1784" s="3"/>
      <c r="G1784" s="3"/>
      <c r="H1784" s="3"/>
      <c r="I1784" s="3"/>
    </row>
    <row r="1785" spans="1:9" s="5" customFormat="1" x14ac:dyDescent="0.35">
      <c r="A1785" s="3" t="s">
        <v>810</v>
      </c>
      <c r="B1785" s="3" t="s">
        <v>811</v>
      </c>
      <c r="C1785" s="3" t="s">
        <v>42</v>
      </c>
      <c r="D1785" s="3" t="s">
        <v>812</v>
      </c>
      <c r="E1785" s="3" t="s">
        <v>32</v>
      </c>
      <c r="F1785" s="3" t="s">
        <v>16</v>
      </c>
      <c r="G1785" s="3" t="s">
        <v>2324</v>
      </c>
      <c r="H1785" s="3" t="s">
        <v>13</v>
      </c>
      <c r="I1785" s="3" t="s">
        <v>813</v>
      </c>
    </row>
    <row r="1786" spans="1:9" s="5" customFormat="1" x14ac:dyDescent="0.35">
      <c r="A1786" s="3" t="s">
        <v>810</v>
      </c>
      <c r="B1786" s="3" t="s">
        <v>811</v>
      </c>
      <c r="C1786" s="3" t="s">
        <v>42</v>
      </c>
      <c r="D1786" s="3" t="s">
        <v>812</v>
      </c>
      <c r="E1786" s="3" t="s">
        <v>244</v>
      </c>
      <c r="F1786" s="3"/>
      <c r="G1786" s="3" t="s">
        <v>2325</v>
      </c>
      <c r="H1786" s="3"/>
      <c r="I1786" s="3"/>
    </row>
    <row r="1787" spans="1:9" s="5" customFormat="1" x14ac:dyDescent="0.35">
      <c r="A1787" s="3" t="s">
        <v>810</v>
      </c>
      <c r="B1787" s="3" t="s">
        <v>811</v>
      </c>
      <c r="C1787" s="3" t="s">
        <v>42</v>
      </c>
      <c r="D1787" s="3" t="s">
        <v>812</v>
      </c>
      <c r="E1787" s="3" t="s">
        <v>107</v>
      </c>
      <c r="F1787" s="3"/>
      <c r="G1787" s="3"/>
      <c r="H1787" s="3" t="s">
        <v>13</v>
      </c>
      <c r="I1787" s="3" t="s">
        <v>813</v>
      </c>
    </row>
    <row r="1788" spans="1:9" s="5" customFormat="1" x14ac:dyDescent="0.35">
      <c r="A1788" s="3" t="s">
        <v>810</v>
      </c>
      <c r="B1788" s="3" t="s">
        <v>811</v>
      </c>
      <c r="C1788" s="3" t="s">
        <v>20</v>
      </c>
      <c r="D1788" s="3" t="s">
        <v>2591</v>
      </c>
      <c r="E1788" s="3" t="s">
        <v>24</v>
      </c>
      <c r="F1788" s="3"/>
      <c r="G1788" s="3"/>
      <c r="H1788" s="3"/>
      <c r="I1788" s="3"/>
    </row>
    <row r="1789" spans="1:9" s="5" customFormat="1" x14ac:dyDescent="0.35">
      <c r="A1789" s="3" t="s">
        <v>810</v>
      </c>
      <c r="B1789" s="3" t="s">
        <v>811</v>
      </c>
      <c r="C1789" s="3" t="s">
        <v>20</v>
      </c>
      <c r="D1789" s="3" t="s">
        <v>2591</v>
      </c>
      <c r="E1789" s="3" t="s">
        <v>134</v>
      </c>
      <c r="F1789" s="3"/>
      <c r="G1789" s="3"/>
      <c r="H1789" s="3"/>
      <c r="I1789" s="3"/>
    </row>
    <row r="1790" spans="1:9" s="5" customFormat="1" x14ac:dyDescent="0.35">
      <c r="A1790" s="3" t="s">
        <v>810</v>
      </c>
      <c r="B1790" s="3" t="s">
        <v>814</v>
      </c>
      <c r="C1790" s="3" t="s">
        <v>20</v>
      </c>
      <c r="D1790" s="3" t="s">
        <v>815</v>
      </c>
      <c r="E1790" s="3" t="s">
        <v>27</v>
      </c>
      <c r="F1790" s="3"/>
      <c r="G1790" s="3"/>
      <c r="H1790" s="3" t="s">
        <v>13</v>
      </c>
      <c r="I1790" s="3" t="s">
        <v>816</v>
      </c>
    </row>
    <row r="1791" spans="1:9" s="5" customFormat="1" x14ac:dyDescent="0.35">
      <c r="A1791" s="3" t="s">
        <v>810</v>
      </c>
      <c r="B1791" s="3" t="s">
        <v>814</v>
      </c>
      <c r="C1791" s="3" t="s">
        <v>20</v>
      </c>
      <c r="D1791" s="3" t="s">
        <v>815</v>
      </c>
      <c r="E1791" s="3" t="s">
        <v>98</v>
      </c>
      <c r="F1791" s="3"/>
      <c r="G1791" s="3"/>
      <c r="H1791" s="3" t="s">
        <v>13</v>
      </c>
      <c r="I1791" s="3" t="s">
        <v>816</v>
      </c>
    </row>
    <row r="1792" spans="1:9" s="5" customFormat="1" x14ac:dyDescent="0.35">
      <c r="A1792" s="3" t="s">
        <v>810</v>
      </c>
      <c r="B1792" s="3" t="s">
        <v>817</v>
      </c>
      <c r="C1792" s="3" t="s">
        <v>20</v>
      </c>
      <c r="D1792" s="3" t="s">
        <v>818</v>
      </c>
      <c r="E1792" s="3" t="s">
        <v>27</v>
      </c>
      <c r="F1792" s="3"/>
      <c r="G1792" s="3"/>
      <c r="H1792" s="3"/>
      <c r="I1792" s="3"/>
    </row>
    <row r="1793" spans="1:9" s="5" customFormat="1" x14ac:dyDescent="0.35">
      <c r="A1793" s="3" t="s">
        <v>810</v>
      </c>
      <c r="B1793" s="3" t="s">
        <v>817</v>
      </c>
      <c r="C1793" s="3" t="s">
        <v>20</v>
      </c>
      <c r="D1793" s="3" t="s">
        <v>818</v>
      </c>
      <c r="E1793" s="3" t="s">
        <v>15</v>
      </c>
      <c r="F1793" s="3"/>
      <c r="G1793" s="3"/>
      <c r="H1793" s="3"/>
      <c r="I1793" s="3"/>
    </row>
    <row r="1794" spans="1:9" s="5" customFormat="1" x14ac:dyDescent="0.35">
      <c r="A1794" s="3" t="s">
        <v>810</v>
      </c>
      <c r="B1794" s="3" t="s">
        <v>817</v>
      </c>
      <c r="C1794" s="3" t="s">
        <v>20</v>
      </c>
      <c r="D1794" s="3" t="s">
        <v>818</v>
      </c>
      <c r="E1794" s="3" t="s">
        <v>24</v>
      </c>
      <c r="F1794" s="3" t="s">
        <v>16</v>
      </c>
      <c r="G1794" s="3" t="s">
        <v>819</v>
      </c>
      <c r="H1794" s="3"/>
      <c r="I1794" s="3"/>
    </row>
    <row r="1795" spans="1:9" s="5" customFormat="1" x14ac:dyDescent="0.35">
      <c r="A1795" s="3" t="s">
        <v>810</v>
      </c>
      <c r="B1795" s="3" t="s">
        <v>820</v>
      </c>
      <c r="C1795" s="3" t="s">
        <v>42</v>
      </c>
      <c r="D1795" s="3" t="s">
        <v>821</v>
      </c>
      <c r="E1795" s="3" t="s">
        <v>12</v>
      </c>
      <c r="F1795" s="3"/>
      <c r="G1795" s="3"/>
      <c r="H1795" s="3"/>
      <c r="I1795" s="3"/>
    </row>
    <row r="1796" spans="1:9" s="5" customFormat="1" x14ac:dyDescent="0.35">
      <c r="A1796" s="3" t="s">
        <v>810</v>
      </c>
      <c r="B1796" s="3" t="s">
        <v>820</v>
      </c>
      <c r="C1796" s="3" t="s">
        <v>42</v>
      </c>
      <c r="D1796" s="3" t="s">
        <v>821</v>
      </c>
      <c r="E1796" s="3" t="s">
        <v>23</v>
      </c>
      <c r="F1796" s="3"/>
      <c r="G1796" s="3"/>
      <c r="H1796" s="3"/>
      <c r="I1796" s="3"/>
    </row>
    <row r="1797" spans="1:9" s="5" customFormat="1" x14ac:dyDescent="0.35">
      <c r="A1797" s="3" t="s">
        <v>810</v>
      </c>
      <c r="B1797" s="3" t="s">
        <v>820</v>
      </c>
      <c r="C1797" s="3" t="s">
        <v>42</v>
      </c>
      <c r="D1797" s="3" t="s">
        <v>821</v>
      </c>
      <c r="E1797" s="3" t="s">
        <v>31</v>
      </c>
      <c r="F1797" s="3"/>
      <c r="G1797" s="3"/>
      <c r="H1797" s="3"/>
      <c r="I1797" s="3"/>
    </row>
    <row r="1798" spans="1:9" s="5" customFormat="1" x14ac:dyDescent="0.35">
      <c r="A1798" s="3" t="s">
        <v>810</v>
      </c>
      <c r="B1798" s="3" t="s">
        <v>820</v>
      </c>
      <c r="C1798" s="3" t="s">
        <v>42</v>
      </c>
      <c r="D1798" s="3" t="s">
        <v>821</v>
      </c>
      <c r="E1798" s="3" t="s">
        <v>15</v>
      </c>
      <c r="F1798" s="3" t="s">
        <v>16</v>
      </c>
      <c r="G1798" s="3" t="s">
        <v>822</v>
      </c>
      <c r="H1798" s="3"/>
      <c r="I1798" s="3"/>
    </row>
    <row r="1799" spans="1:9" s="5" customFormat="1" x14ac:dyDescent="0.35">
      <c r="A1799" s="3" t="s">
        <v>810</v>
      </c>
      <c r="B1799" s="3" t="s">
        <v>820</v>
      </c>
      <c r="C1799" s="3" t="s">
        <v>42</v>
      </c>
      <c r="D1799" s="3" t="s">
        <v>821</v>
      </c>
      <c r="E1799" s="3" t="s">
        <v>32</v>
      </c>
      <c r="F1799" s="3"/>
      <c r="G1799" s="3" t="s">
        <v>2293</v>
      </c>
      <c r="H1799" s="3"/>
      <c r="I1799" s="3"/>
    </row>
    <row r="1800" spans="1:9" s="5" customFormat="1" x14ac:dyDescent="0.35">
      <c r="A1800" s="3" t="s">
        <v>810</v>
      </c>
      <c r="B1800" s="3" t="s">
        <v>820</v>
      </c>
      <c r="C1800" s="3" t="s">
        <v>42</v>
      </c>
      <c r="D1800" s="3" t="s">
        <v>821</v>
      </c>
      <c r="E1800" s="3" t="s">
        <v>26</v>
      </c>
      <c r="F1800" s="3"/>
      <c r="G1800" s="3"/>
      <c r="H1800" s="3"/>
      <c r="I1800" s="3"/>
    </row>
    <row r="1801" spans="1:9" s="5" customFormat="1" x14ac:dyDescent="0.35">
      <c r="A1801" s="3" t="s">
        <v>810</v>
      </c>
      <c r="B1801" s="3" t="s">
        <v>820</v>
      </c>
      <c r="C1801" s="3" t="s">
        <v>42</v>
      </c>
      <c r="D1801" s="3" t="s">
        <v>821</v>
      </c>
      <c r="E1801" s="3" t="s">
        <v>107</v>
      </c>
      <c r="F1801" s="3" t="s">
        <v>16</v>
      </c>
      <c r="G1801" s="3" t="s">
        <v>823</v>
      </c>
      <c r="H1801" s="3"/>
      <c r="I1801" s="3"/>
    </row>
    <row r="1802" spans="1:9" s="5" customFormat="1" x14ac:dyDescent="0.35">
      <c r="A1802" s="3" t="s">
        <v>810</v>
      </c>
      <c r="B1802" s="3" t="s">
        <v>820</v>
      </c>
      <c r="C1802" s="3" t="s">
        <v>20</v>
      </c>
      <c r="D1802" s="3" t="s">
        <v>824</v>
      </c>
      <c r="E1802" s="3" t="s">
        <v>23</v>
      </c>
      <c r="F1802" s="3"/>
      <c r="G1802" s="3"/>
      <c r="H1802" s="3" t="s">
        <v>13</v>
      </c>
      <c r="I1802" s="3" t="s">
        <v>825</v>
      </c>
    </row>
    <row r="1803" spans="1:9" s="5" customFormat="1" x14ac:dyDescent="0.35">
      <c r="A1803" s="3" t="s">
        <v>810</v>
      </c>
      <c r="B1803" s="3" t="s">
        <v>820</v>
      </c>
      <c r="C1803" s="3" t="s">
        <v>20</v>
      </c>
      <c r="D1803" s="3" t="s">
        <v>824</v>
      </c>
      <c r="E1803" s="3" t="s">
        <v>47</v>
      </c>
      <c r="F1803" s="3"/>
      <c r="G1803" s="3"/>
      <c r="H1803" s="3" t="s">
        <v>13</v>
      </c>
      <c r="I1803" s="3" t="s">
        <v>825</v>
      </c>
    </row>
    <row r="1804" spans="1:9" s="5" customFormat="1" x14ac:dyDescent="0.35">
      <c r="A1804" s="3" t="s">
        <v>810</v>
      </c>
      <c r="B1804" s="3" t="s">
        <v>820</v>
      </c>
      <c r="C1804" s="3" t="s">
        <v>20</v>
      </c>
      <c r="D1804" s="3" t="s">
        <v>824</v>
      </c>
      <c r="E1804" s="3" t="s">
        <v>60</v>
      </c>
      <c r="F1804" s="3"/>
      <c r="G1804" s="3"/>
      <c r="H1804" s="3" t="s">
        <v>13</v>
      </c>
      <c r="I1804" s="3" t="s">
        <v>825</v>
      </c>
    </row>
    <row r="1805" spans="1:9" s="5" customFormat="1" x14ac:dyDescent="0.35">
      <c r="A1805" s="3" t="s">
        <v>810</v>
      </c>
      <c r="B1805" s="3" t="s">
        <v>820</v>
      </c>
      <c r="C1805" s="3" t="s">
        <v>20</v>
      </c>
      <c r="D1805" s="3" t="s">
        <v>824</v>
      </c>
      <c r="E1805" s="3" t="s">
        <v>27</v>
      </c>
      <c r="F1805" s="3"/>
      <c r="G1805" s="3"/>
      <c r="H1805" s="3" t="s">
        <v>13</v>
      </c>
      <c r="I1805" s="3" t="s">
        <v>825</v>
      </c>
    </row>
    <row r="1806" spans="1:9" s="5" customFormat="1" x14ac:dyDescent="0.35">
      <c r="A1806" s="3" t="s">
        <v>810</v>
      </c>
      <c r="B1806" s="3" t="s">
        <v>820</v>
      </c>
      <c r="C1806" s="3" t="s">
        <v>20</v>
      </c>
      <c r="D1806" s="3" t="s">
        <v>824</v>
      </c>
      <c r="E1806" s="3" t="s">
        <v>15</v>
      </c>
      <c r="F1806" s="3" t="s">
        <v>16</v>
      </c>
      <c r="G1806" s="3" t="s">
        <v>826</v>
      </c>
      <c r="H1806" s="3" t="s">
        <v>13</v>
      </c>
      <c r="I1806" s="3" t="s">
        <v>825</v>
      </c>
    </row>
    <row r="1807" spans="1:9" s="5" customFormat="1" x14ac:dyDescent="0.35">
      <c r="A1807" s="3" t="s">
        <v>810</v>
      </c>
      <c r="B1807" s="3" t="s">
        <v>820</v>
      </c>
      <c r="C1807" s="3" t="s">
        <v>20</v>
      </c>
      <c r="D1807" s="3" t="s">
        <v>824</v>
      </c>
      <c r="E1807" s="3" t="s">
        <v>32</v>
      </c>
      <c r="F1807" s="3"/>
      <c r="G1807" s="3"/>
      <c r="H1807" s="3" t="s">
        <v>13</v>
      </c>
      <c r="I1807" s="3" t="s">
        <v>825</v>
      </c>
    </row>
    <row r="1808" spans="1:9" s="5" customFormat="1" x14ac:dyDescent="0.35">
      <c r="A1808" s="3" t="s">
        <v>810</v>
      </c>
      <c r="B1808" s="3" t="s">
        <v>820</v>
      </c>
      <c r="C1808" s="3" t="s">
        <v>20</v>
      </c>
      <c r="D1808" s="3" t="s">
        <v>824</v>
      </c>
      <c r="E1808" s="3" t="s">
        <v>24</v>
      </c>
      <c r="F1808" s="3"/>
      <c r="G1808" s="3"/>
      <c r="H1808" s="3" t="s">
        <v>13</v>
      </c>
      <c r="I1808" s="3" t="s">
        <v>825</v>
      </c>
    </row>
    <row r="1809" spans="1:9" s="5" customFormat="1" x14ac:dyDescent="0.35">
      <c r="A1809" s="3" t="s">
        <v>810</v>
      </c>
      <c r="B1809" s="3" t="s">
        <v>820</v>
      </c>
      <c r="C1809" s="3" t="s">
        <v>39</v>
      </c>
      <c r="D1809" s="3" t="s">
        <v>827</v>
      </c>
      <c r="E1809" s="3" t="s">
        <v>12</v>
      </c>
      <c r="F1809" s="3"/>
      <c r="G1809" s="3"/>
      <c r="H1809" s="3" t="s">
        <v>13</v>
      </c>
      <c r="I1809" s="3" t="s">
        <v>825</v>
      </c>
    </row>
    <row r="1810" spans="1:9" s="5" customFormat="1" x14ac:dyDescent="0.35">
      <c r="A1810" s="3" t="s">
        <v>810</v>
      </c>
      <c r="B1810" s="3" t="s">
        <v>820</v>
      </c>
      <c r="C1810" s="3" t="s">
        <v>39</v>
      </c>
      <c r="D1810" s="3" t="s">
        <v>827</v>
      </c>
      <c r="E1810" s="3" t="s">
        <v>60</v>
      </c>
      <c r="F1810" s="3"/>
      <c r="G1810" s="3"/>
      <c r="H1810" s="3" t="s">
        <v>13</v>
      </c>
      <c r="I1810" s="3" t="s">
        <v>825</v>
      </c>
    </row>
    <row r="1811" spans="1:9" s="5" customFormat="1" x14ac:dyDescent="0.35">
      <c r="A1811" s="3" t="s">
        <v>810</v>
      </c>
      <c r="B1811" s="3" t="s">
        <v>820</v>
      </c>
      <c r="C1811" s="3" t="s">
        <v>39</v>
      </c>
      <c r="D1811" s="3" t="s">
        <v>827</v>
      </c>
      <c r="E1811" s="3" t="s">
        <v>27</v>
      </c>
      <c r="F1811" s="3"/>
      <c r="G1811" s="3"/>
      <c r="H1811" s="3" t="s">
        <v>13</v>
      </c>
      <c r="I1811" s="3" t="s">
        <v>825</v>
      </c>
    </row>
    <row r="1812" spans="1:9" s="5" customFormat="1" x14ac:dyDescent="0.35">
      <c r="A1812" s="3" t="s">
        <v>810</v>
      </c>
      <c r="B1812" s="3" t="s">
        <v>820</v>
      </c>
      <c r="C1812" s="3" t="s">
        <v>39</v>
      </c>
      <c r="D1812" s="3" t="s">
        <v>827</v>
      </c>
      <c r="E1812" s="3" t="s">
        <v>15</v>
      </c>
      <c r="F1812" s="3"/>
      <c r="G1812" s="3"/>
      <c r="H1812" s="3" t="s">
        <v>13</v>
      </c>
      <c r="I1812" s="3" t="s">
        <v>825</v>
      </c>
    </row>
    <row r="1813" spans="1:9" s="5" customFormat="1" x14ac:dyDescent="0.35">
      <c r="A1813" s="3" t="s">
        <v>810</v>
      </c>
      <c r="B1813" s="3" t="s">
        <v>820</v>
      </c>
      <c r="C1813" s="3" t="s">
        <v>39</v>
      </c>
      <c r="D1813" s="3" t="s">
        <v>827</v>
      </c>
      <c r="E1813" s="3" t="s">
        <v>32</v>
      </c>
      <c r="F1813" s="3"/>
      <c r="G1813" s="3"/>
      <c r="H1813" s="3" t="s">
        <v>13</v>
      </c>
      <c r="I1813" s="3" t="s">
        <v>825</v>
      </c>
    </row>
    <row r="1814" spans="1:9" s="5" customFormat="1" x14ac:dyDescent="0.35">
      <c r="A1814" s="3" t="s">
        <v>810</v>
      </c>
      <c r="B1814" s="3" t="s">
        <v>820</v>
      </c>
      <c r="C1814" s="3" t="s">
        <v>39</v>
      </c>
      <c r="D1814" s="3" t="s">
        <v>828</v>
      </c>
      <c r="E1814" s="3" t="s">
        <v>12</v>
      </c>
      <c r="F1814" s="3"/>
      <c r="G1814" s="3"/>
      <c r="H1814" s="3" t="s">
        <v>13</v>
      </c>
      <c r="I1814" s="3" t="s">
        <v>825</v>
      </c>
    </row>
    <row r="1815" spans="1:9" s="5" customFormat="1" x14ac:dyDescent="0.35">
      <c r="A1815" s="3" t="s">
        <v>810</v>
      </c>
      <c r="B1815" s="3" t="s">
        <v>820</v>
      </c>
      <c r="C1815" s="3" t="s">
        <v>39</v>
      </c>
      <c r="D1815" s="3" t="s">
        <v>828</v>
      </c>
      <c r="E1815" s="3" t="s">
        <v>27</v>
      </c>
      <c r="F1815" s="3"/>
      <c r="G1815" s="3"/>
      <c r="H1815" s="3" t="s">
        <v>13</v>
      </c>
      <c r="I1815" s="3" t="s">
        <v>825</v>
      </c>
    </row>
    <row r="1816" spans="1:9" s="5" customFormat="1" x14ac:dyDescent="0.35">
      <c r="A1816" s="3" t="s">
        <v>810</v>
      </c>
      <c r="B1816" s="3" t="s">
        <v>820</v>
      </c>
      <c r="C1816" s="3" t="s">
        <v>39</v>
      </c>
      <c r="D1816" s="3" t="s">
        <v>828</v>
      </c>
      <c r="E1816" s="3" t="s">
        <v>15</v>
      </c>
      <c r="F1816" s="3"/>
      <c r="G1816" s="3"/>
      <c r="H1816" s="3" t="s">
        <v>13</v>
      </c>
      <c r="I1816" s="3" t="s">
        <v>825</v>
      </c>
    </row>
    <row r="1817" spans="1:9" s="5" customFormat="1" x14ac:dyDescent="0.35">
      <c r="A1817" s="3" t="s">
        <v>810</v>
      </c>
      <c r="B1817" s="3" t="s">
        <v>820</v>
      </c>
      <c r="C1817" s="3" t="s">
        <v>39</v>
      </c>
      <c r="D1817" s="3" t="s">
        <v>828</v>
      </c>
      <c r="E1817" s="3" t="s">
        <v>89</v>
      </c>
      <c r="F1817" s="3"/>
      <c r="G1817" s="3"/>
      <c r="H1817" s="3" t="s">
        <v>13</v>
      </c>
      <c r="I1817" s="3" t="s">
        <v>825</v>
      </c>
    </row>
    <row r="1818" spans="1:9" s="5" customFormat="1" x14ac:dyDescent="0.35">
      <c r="A1818" s="3" t="s">
        <v>810</v>
      </c>
      <c r="B1818" s="3" t="s">
        <v>820</v>
      </c>
      <c r="C1818" s="3" t="s">
        <v>39</v>
      </c>
      <c r="D1818" s="3" t="s">
        <v>828</v>
      </c>
      <c r="E1818" s="3" t="s">
        <v>26</v>
      </c>
      <c r="F1818" s="3"/>
      <c r="G1818" s="3"/>
      <c r="H1818" s="3" t="s">
        <v>13</v>
      </c>
      <c r="I1818" s="3" t="s">
        <v>825</v>
      </c>
    </row>
    <row r="1819" spans="1:9" s="5" customFormat="1" x14ac:dyDescent="0.35">
      <c r="A1819" s="3" t="s">
        <v>810</v>
      </c>
      <c r="B1819" s="3" t="s">
        <v>820</v>
      </c>
      <c r="C1819" s="3" t="s">
        <v>39</v>
      </c>
      <c r="D1819" s="3" t="s">
        <v>828</v>
      </c>
      <c r="E1819" s="3" t="s">
        <v>134</v>
      </c>
      <c r="F1819" s="3"/>
      <c r="G1819" s="3"/>
      <c r="H1819" s="3" t="s">
        <v>13</v>
      </c>
      <c r="I1819" s="3" t="s">
        <v>825</v>
      </c>
    </row>
    <row r="1820" spans="1:9" s="5" customFormat="1" x14ac:dyDescent="0.35">
      <c r="A1820" s="3" t="s">
        <v>810</v>
      </c>
      <c r="B1820" s="3" t="s">
        <v>820</v>
      </c>
      <c r="C1820" s="3" t="s">
        <v>39</v>
      </c>
      <c r="D1820" s="3" t="s">
        <v>828</v>
      </c>
      <c r="E1820" s="3" t="s">
        <v>107</v>
      </c>
      <c r="F1820" s="3"/>
      <c r="G1820" s="3"/>
      <c r="H1820" s="3" t="s">
        <v>13</v>
      </c>
      <c r="I1820" s="3" t="s">
        <v>825</v>
      </c>
    </row>
    <row r="1821" spans="1:9" s="5" customFormat="1" x14ac:dyDescent="0.35">
      <c r="A1821" s="3" t="s">
        <v>810</v>
      </c>
      <c r="B1821" s="3" t="s">
        <v>820</v>
      </c>
      <c r="C1821" s="3" t="s">
        <v>45</v>
      </c>
      <c r="D1821" s="3" t="s">
        <v>829</v>
      </c>
      <c r="E1821" s="3" t="s">
        <v>12</v>
      </c>
      <c r="F1821" s="3"/>
      <c r="G1821" s="3"/>
      <c r="H1821" s="3"/>
      <c r="I1821" s="3"/>
    </row>
    <row r="1822" spans="1:9" s="5" customFormat="1" x14ac:dyDescent="0.35">
      <c r="A1822" s="3" t="s">
        <v>810</v>
      </c>
      <c r="B1822" s="3" t="s">
        <v>820</v>
      </c>
      <c r="C1822" s="3" t="s">
        <v>45</v>
      </c>
      <c r="D1822" s="3" t="s">
        <v>829</v>
      </c>
      <c r="E1822" s="3" t="s">
        <v>77</v>
      </c>
      <c r="F1822" s="3"/>
      <c r="G1822" s="3"/>
      <c r="H1822" s="3" t="s">
        <v>13</v>
      </c>
      <c r="I1822" s="3" t="s">
        <v>813</v>
      </c>
    </row>
    <row r="1823" spans="1:9" s="5" customFormat="1" x14ac:dyDescent="0.35">
      <c r="A1823" s="3" t="s">
        <v>810</v>
      </c>
      <c r="B1823" s="3" t="s">
        <v>820</v>
      </c>
      <c r="C1823" s="3" t="s">
        <v>45</v>
      </c>
      <c r="D1823" s="3" t="s">
        <v>829</v>
      </c>
      <c r="E1823" s="3" t="s">
        <v>28</v>
      </c>
      <c r="F1823" s="3" t="s">
        <v>33</v>
      </c>
      <c r="G1823" s="3" t="s">
        <v>34</v>
      </c>
      <c r="H1823" s="3"/>
      <c r="I1823" s="3"/>
    </row>
    <row r="1824" spans="1:9" s="5" customFormat="1" x14ac:dyDescent="0.35">
      <c r="A1824" s="3" t="s">
        <v>810</v>
      </c>
      <c r="B1824" s="3" t="s">
        <v>830</v>
      </c>
      <c r="C1824" s="3" t="s">
        <v>45</v>
      </c>
      <c r="D1824" s="3" t="s">
        <v>831</v>
      </c>
      <c r="E1824" s="3" t="s">
        <v>23</v>
      </c>
      <c r="F1824" s="3"/>
      <c r="G1824" s="3"/>
      <c r="H1824" s="3" t="s">
        <v>13</v>
      </c>
      <c r="I1824" s="3" t="s">
        <v>813</v>
      </c>
    </row>
    <row r="1825" spans="1:9" s="5" customFormat="1" x14ac:dyDescent="0.35">
      <c r="A1825" s="3" t="s">
        <v>810</v>
      </c>
      <c r="B1825" s="3" t="s">
        <v>830</v>
      </c>
      <c r="C1825" s="3" t="s">
        <v>45</v>
      </c>
      <c r="D1825" s="3" t="s">
        <v>831</v>
      </c>
      <c r="E1825" s="3" t="s">
        <v>15</v>
      </c>
      <c r="F1825" s="3" t="s">
        <v>16</v>
      </c>
      <c r="G1825" s="3" t="s">
        <v>832</v>
      </c>
      <c r="H1825" s="3" t="s">
        <v>13</v>
      </c>
      <c r="I1825" s="3" t="s">
        <v>813</v>
      </c>
    </row>
    <row r="1826" spans="1:9" s="5" customFormat="1" x14ac:dyDescent="0.35">
      <c r="A1826" s="3" t="s">
        <v>810</v>
      </c>
      <c r="B1826" s="3" t="s">
        <v>830</v>
      </c>
      <c r="C1826" s="3" t="s">
        <v>45</v>
      </c>
      <c r="D1826" s="3" t="s">
        <v>831</v>
      </c>
      <c r="E1826" s="3" t="s">
        <v>24</v>
      </c>
      <c r="F1826" s="3"/>
      <c r="G1826" s="3"/>
      <c r="H1826" s="3" t="s">
        <v>13</v>
      </c>
      <c r="I1826" s="3" t="s">
        <v>813</v>
      </c>
    </row>
    <row r="1827" spans="1:9" s="5" customFormat="1" x14ac:dyDescent="0.35">
      <c r="A1827" s="3" t="s">
        <v>810</v>
      </c>
      <c r="B1827" s="3" t="s">
        <v>830</v>
      </c>
      <c r="C1827" s="3" t="s">
        <v>42</v>
      </c>
      <c r="D1827" s="3" t="s">
        <v>833</v>
      </c>
      <c r="E1827" s="3" t="s">
        <v>23</v>
      </c>
      <c r="F1827" s="3" t="s">
        <v>16</v>
      </c>
      <c r="G1827" s="3" t="s">
        <v>834</v>
      </c>
      <c r="H1827" s="3" t="s">
        <v>13</v>
      </c>
      <c r="I1827" s="3" t="s">
        <v>835</v>
      </c>
    </row>
    <row r="1828" spans="1:9" s="5" customFormat="1" x14ac:dyDescent="0.35">
      <c r="A1828" s="3" t="s">
        <v>810</v>
      </c>
      <c r="B1828" s="3" t="s">
        <v>830</v>
      </c>
      <c r="C1828" s="3" t="s">
        <v>42</v>
      </c>
      <c r="D1828" s="3" t="s">
        <v>833</v>
      </c>
      <c r="E1828" s="3" t="s">
        <v>44</v>
      </c>
      <c r="F1828" s="3"/>
      <c r="G1828" s="3"/>
      <c r="H1828" s="3" t="s">
        <v>13</v>
      </c>
      <c r="I1828" s="3" t="s">
        <v>835</v>
      </c>
    </row>
    <row r="1829" spans="1:9" s="5" customFormat="1" x14ac:dyDescent="0.35">
      <c r="A1829" s="3" t="s">
        <v>810</v>
      </c>
      <c r="B1829" s="3" t="s">
        <v>830</v>
      </c>
      <c r="C1829" s="3" t="s">
        <v>42</v>
      </c>
      <c r="D1829" s="3" t="s">
        <v>833</v>
      </c>
      <c r="E1829" s="3" t="s">
        <v>29</v>
      </c>
      <c r="F1829" s="3"/>
      <c r="G1829" s="3" t="s">
        <v>2332</v>
      </c>
      <c r="H1829" s="3" t="s">
        <v>13</v>
      </c>
      <c r="I1829" s="3" t="s">
        <v>835</v>
      </c>
    </row>
    <row r="1830" spans="1:9" s="5" customFormat="1" x14ac:dyDescent="0.35">
      <c r="A1830" s="3" t="s">
        <v>810</v>
      </c>
      <c r="B1830" s="3" t="s">
        <v>830</v>
      </c>
      <c r="C1830" s="3" t="s">
        <v>42</v>
      </c>
      <c r="D1830" s="3" t="s">
        <v>833</v>
      </c>
      <c r="E1830" s="3" t="s">
        <v>134</v>
      </c>
      <c r="F1830" s="3" t="s">
        <v>16</v>
      </c>
      <c r="G1830" s="3" t="s">
        <v>836</v>
      </c>
      <c r="H1830" s="3" t="s">
        <v>13</v>
      </c>
      <c r="I1830" s="3" t="s">
        <v>835</v>
      </c>
    </row>
    <row r="1831" spans="1:9" s="5" customFormat="1" x14ac:dyDescent="0.35">
      <c r="A1831" s="3" t="s">
        <v>810</v>
      </c>
      <c r="B1831" s="3" t="s">
        <v>830</v>
      </c>
      <c r="C1831" s="3" t="s">
        <v>39</v>
      </c>
      <c r="D1831" s="3" t="s">
        <v>837</v>
      </c>
      <c r="E1831" s="3" t="s">
        <v>12</v>
      </c>
      <c r="F1831" s="3"/>
      <c r="G1831" s="3"/>
      <c r="H1831" s="3" t="s">
        <v>13</v>
      </c>
      <c r="I1831" s="3" t="s">
        <v>835</v>
      </c>
    </row>
    <row r="1832" spans="1:9" s="5" customFormat="1" x14ac:dyDescent="0.35">
      <c r="A1832" s="3" t="s">
        <v>810</v>
      </c>
      <c r="B1832" s="3" t="s">
        <v>830</v>
      </c>
      <c r="C1832" s="3" t="s">
        <v>39</v>
      </c>
      <c r="D1832" s="3" t="s">
        <v>837</v>
      </c>
      <c r="E1832" s="3" t="s">
        <v>23</v>
      </c>
      <c r="F1832" s="3"/>
      <c r="G1832" s="3"/>
      <c r="H1832" s="3" t="s">
        <v>13</v>
      </c>
      <c r="I1832" s="3" t="s">
        <v>835</v>
      </c>
    </row>
    <row r="1833" spans="1:9" s="5" customFormat="1" x14ac:dyDescent="0.35">
      <c r="A1833" s="3" t="s">
        <v>810</v>
      </c>
      <c r="B1833" s="3" t="s">
        <v>830</v>
      </c>
      <c r="C1833" s="3" t="s">
        <v>39</v>
      </c>
      <c r="D1833" s="3" t="s">
        <v>837</v>
      </c>
      <c r="E1833" s="3" t="s">
        <v>27</v>
      </c>
      <c r="F1833" s="3"/>
      <c r="G1833" s="3"/>
      <c r="H1833" s="3" t="s">
        <v>13</v>
      </c>
      <c r="I1833" s="3" t="s">
        <v>835</v>
      </c>
    </row>
    <row r="1834" spans="1:9" s="5" customFormat="1" x14ac:dyDescent="0.35">
      <c r="A1834" s="3" t="s">
        <v>810</v>
      </c>
      <c r="B1834" s="3" t="s">
        <v>830</v>
      </c>
      <c r="C1834" s="3" t="s">
        <v>39</v>
      </c>
      <c r="D1834" s="3" t="s">
        <v>837</v>
      </c>
      <c r="E1834" s="3" t="s">
        <v>15</v>
      </c>
      <c r="F1834" s="3" t="s">
        <v>16</v>
      </c>
      <c r="G1834" s="3" t="s">
        <v>838</v>
      </c>
      <c r="H1834" s="3" t="s">
        <v>13</v>
      </c>
      <c r="I1834" s="3" t="s">
        <v>835</v>
      </c>
    </row>
    <row r="1835" spans="1:9" s="5" customFormat="1" x14ac:dyDescent="0.35">
      <c r="A1835" s="3" t="s">
        <v>810</v>
      </c>
      <c r="B1835" s="3" t="s">
        <v>839</v>
      </c>
      <c r="C1835" s="3" t="s">
        <v>45</v>
      </c>
      <c r="D1835" s="3" t="s">
        <v>2923</v>
      </c>
      <c r="E1835" s="3" t="s">
        <v>77</v>
      </c>
      <c r="F1835" s="3"/>
      <c r="G1835" s="3"/>
      <c r="H1835" s="3" t="s">
        <v>13</v>
      </c>
      <c r="I1835" s="3" t="s">
        <v>835</v>
      </c>
    </row>
    <row r="1836" spans="1:9" s="5" customFormat="1" x14ac:dyDescent="0.35">
      <c r="A1836" s="3" t="s">
        <v>810</v>
      </c>
      <c r="B1836" s="3" t="s">
        <v>839</v>
      </c>
      <c r="C1836" s="3" t="s">
        <v>45</v>
      </c>
      <c r="D1836" s="3" t="s">
        <v>2923</v>
      </c>
      <c r="E1836" s="3" t="s">
        <v>15</v>
      </c>
      <c r="F1836" s="3" t="s">
        <v>16</v>
      </c>
      <c r="G1836" s="3" t="s">
        <v>2924</v>
      </c>
      <c r="H1836" s="3" t="s">
        <v>13</v>
      </c>
      <c r="I1836" s="3" t="s">
        <v>835</v>
      </c>
    </row>
    <row r="1837" spans="1:9" s="5" customFormat="1" x14ac:dyDescent="0.35">
      <c r="A1837" s="3" t="s">
        <v>810</v>
      </c>
      <c r="B1837" s="3" t="s">
        <v>839</v>
      </c>
      <c r="C1837" s="3" t="s">
        <v>42</v>
      </c>
      <c r="D1837" s="3" t="s">
        <v>840</v>
      </c>
      <c r="E1837" s="3" t="s">
        <v>12</v>
      </c>
      <c r="F1837" s="3"/>
      <c r="G1837" s="3" t="s">
        <v>2327</v>
      </c>
      <c r="H1837" s="3"/>
      <c r="I1837" s="3"/>
    </row>
    <row r="1838" spans="1:9" s="5" customFormat="1" x14ac:dyDescent="0.35">
      <c r="A1838" s="3" t="s">
        <v>810</v>
      </c>
      <c r="B1838" s="3" t="s">
        <v>839</v>
      </c>
      <c r="C1838" s="3" t="s">
        <v>42</v>
      </c>
      <c r="D1838" s="3" t="s">
        <v>840</v>
      </c>
      <c r="E1838" s="3" t="s">
        <v>44</v>
      </c>
      <c r="F1838" s="3"/>
      <c r="G1838" s="3"/>
      <c r="H1838" s="3"/>
      <c r="I1838" s="3"/>
    </row>
    <row r="1839" spans="1:9" s="5" customFormat="1" x14ac:dyDescent="0.35">
      <c r="A1839" s="3" t="s">
        <v>810</v>
      </c>
      <c r="B1839" s="3" t="s">
        <v>839</v>
      </c>
      <c r="C1839" s="3" t="s">
        <v>42</v>
      </c>
      <c r="D1839" s="3" t="s">
        <v>840</v>
      </c>
      <c r="E1839" s="3" t="s">
        <v>98</v>
      </c>
      <c r="F1839" s="3"/>
      <c r="G1839" s="3"/>
      <c r="H1839" s="3"/>
      <c r="I1839" s="3"/>
    </row>
    <row r="1840" spans="1:9" s="5" customFormat="1" x14ac:dyDescent="0.35">
      <c r="A1840" s="3" t="s">
        <v>810</v>
      </c>
      <c r="B1840" s="3" t="s">
        <v>839</v>
      </c>
      <c r="C1840" s="3" t="s">
        <v>42</v>
      </c>
      <c r="D1840" s="3" t="s">
        <v>840</v>
      </c>
      <c r="E1840" s="3" t="s">
        <v>15</v>
      </c>
      <c r="F1840" s="3" t="s">
        <v>16</v>
      </c>
      <c r="G1840" s="3" t="s">
        <v>841</v>
      </c>
      <c r="H1840" s="3"/>
      <c r="I1840" s="3"/>
    </row>
    <row r="1841" spans="1:9" s="5" customFormat="1" x14ac:dyDescent="0.35">
      <c r="A1841" s="3" t="s">
        <v>810</v>
      </c>
      <c r="B1841" s="3" t="s">
        <v>839</v>
      </c>
      <c r="C1841" s="3" t="s">
        <v>42</v>
      </c>
      <c r="D1841" s="3" t="s">
        <v>840</v>
      </c>
      <c r="E1841" s="3" t="s">
        <v>107</v>
      </c>
      <c r="F1841" s="3"/>
      <c r="G1841" s="3"/>
      <c r="H1841" s="3"/>
      <c r="I1841" s="3"/>
    </row>
    <row r="1842" spans="1:9" s="5" customFormat="1" x14ac:dyDescent="0.35">
      <c r="A1842" s="3" t="s">
        <v>810</v>
      </c>
      <c r="B1842" s="3" t="s">
        <v>842</v>
      </c>
      <c r="C1842" s="3" t="s">
        <v>20</v>
      </c>
      <c r="D1842" s="3" t="s">
        <v>843</v>
      </c>
      <c r="E1842" s="3" t="s">
        <v>23</v>
      </c>
      <c r="F1842" s="3" t="s">
        <v>16</v>
      </c>
      <c r="G1842" s="3" t="s">
        <v>844</v>
      </c>
      <c r="H1842" s="3" t="s">
        <v>13</v>
      </c>
      <c r="I1842" s="3" t="s">
        <v>835</v>
      </c>
    </row>
    <row r="1843" spans="1:9" s="5" customFormat="1" x14ac:dyDescent="0.35">
      <c r="A1843" s="3" t="s">
        <v>810</v>
      </c>
      <c r="B1843" s="3" t="s">
        <v>842</v>
      </c>
      <c r="C1843" s="3" t="s">
        <v>20</v>
      </c>
      <c r="D1843" s="3" t="s">
        <v>843</v>
      </c>
      <c r="E1843" s="3" t="s">
        <v>32</v>
      </c>
      <c r="F1843" s="3" t="s">
        <v>16</v>
      </c>
      <c r="G1843" s="3" t="s">
        <v>845</v>
      </c>
      <c r="H1843" s="3" t="s">
        <v>13</v>
      </c>
      <c r="I1843" s="3" t="s">
        <v>835</v>
      </c>
    </row>
    <row r="1844" spans="1:9" s="5" customFormat="1" x14ac:dyDescent="0.35">
      <c r="A1844" s="3" t="s">
        <v>810</v>
      </c>
      <c r="B1844" s="3" t="s">
        <v>842</v>
      </c>
      <c r="C1844" s="3" t="s">
        <v>20</v>
      </c>
      <c r="D1844" s="3" t="s">
        <v>846</v>
      </c>
      <c r="E1844" s="3" t="s">
        <v>23</v>
      </c>
      <c r="F1844" s="3"/>
      <c r="G1844" s="3"/>
      <c r="H1844" s="3" t="s">
        <v>13</v>
      </c>
      <c r="I1844" s="3" t="s">
        <v>835</v>
      </c>
    </row>
    <row r="1845" spans="1:9" s="5" customFormat="1" x14ac:dyDescent="0.35">
      <c r="A1845" s="3" t="s">
        <v>810</v>
      </c>
      <c r="B1845" s="3" t="s">
        <v>842</v>
      </c>
      <c r="C1845" s="3" t="s">
        <v>20</v>
      </c>
      <c r="D1845" s="3" t="s">
        <v>846</v>
      </c>
      <c r="E1845" s="3" t="s">
        <v>27</v>
      </c>
      <c r="F1845" s="3"/>
      <c r="G1845" s="3"/>
      <c r="H1845" s="3" t="s">
        <v>13</v>
      </c>
      <c r="I1845" s="3" t="s">
        <v>835</v>
      </c>
    </row>
    <row r="1846" spans="1:9" s="5" customFormat="1" x14ac:dyDescent="0.35">
      <c r="A1846" s="3" t="s">
        <v>810</v>
      </c>
      <c r="B1846" s="3" t="s">
        <v>842</v>
      </c>
      <c r="C1846" s="3" t="s">
        <v>20</v>
      </c>
      <c r="D1846" s="3" t="s">
        <v>846</v>
      </c>
      <c r="E1846" s="3" t="s">
        <v>56</v>
      </c>
      <c r="F1846" s="3" t="s">
        <v>16</v>
      </c>
      <c r="G1846" s="3" t="s">
        <v>847</v>
      </c>
      <c r="H1846" s="3" t="s">
        <v>13</v>
      </c>
      <c r="I1846" s="3" t="s">
        <v>835</v>
      </c>
    </row>
    <row r="1847" spans="1:9" s="5" customFormat="1" x14ac:dyDescent="0.35">
      <c r="A1847" s="3" t="s">
        <v>810</v>
      </c>
      <c r="B1847" s="3" t="s">
        <v>842</v>
      </c>
      <c r="C1847" s="3" t="s">
        <v>45</v>
      </c>
      <c r="D1847" s="3" t="s">
        <v>848</v>
      </c>
      <c r="E1847" s="3" t="s">
        <v>23</v>
      </c>
      <c r="F1847" s="3" t="s">
        <v>16</v>
      </c>
      <c r="G1847" s="3" t="s">
        <v>849</v>
      </c>
      <c r="H1847" s="3" t="s">
        <v>13</v>
      </c>
      <c r="I1847" s="3" t="s">
        <v>835</v>
      </c>
    </row>
    <row r="1848" spans="1:9" s="5" customFormat="1" x14ac:dyDescent="0.35">
      <c r="A1848" s="3" t="s">
        <v>810</v>
      </c>
      <c r="B1848" s="3" t="s">
        <v>842</v>
      </c>
      <c r="C1848" s="3" t="s">
        <v>45</v>
      </c>
      <c r="D1848" s="3" t="s">
        <v>848</v>
      </c>
      <c r="E1848" s="3" t="s">
        <v>27</v>
      </c>
      <c r="F1848" s="3"/>
      <c r="G1848" s="3"/>
      <c r="H1848" s="3" t="s">
        <v>13</v>
      </c>
      <c r="I1848" s="3" t="s">
        <v>835</v>
      </c>
    </row>
    <row r="1849" spans="1:9" s="5" customFormat="1" x14ac:dyDescent="0.35">
      <c r="A1849" s="3" t="s">
        <v>810</v>
      </c>
      <c r="B1849" s="3" t="s">
        <v>842</v>
      </c>
      <c r="C1849" s="3" t="s">
        <v>20</v>
      </c>
      <c r="D1849" s="3" t="s">
        <v>850</v>
      </c>
      <c r="E1849" s="3" t="s">
        <v>12</v>
      </c>
      <c r="F1849" s="3"/>
      <c r="G1849" s="3"/>
      <c r="H1849" s="3" t="s">
        <v>16</v>
      </c>
      <c r="I1849" s="3" t="s">
        <v>813</v>
      </c>
    </row>
    <row r="1850" spans="1:9" s="5" customFormat="1" x14ac:dyDescent="0.35">
      <c r="A1850" s="3" t="s">
        <v>810</v>
      </c>
      <c r="B1850" s="3" t="s">
        <v>842</v>
      </c>
      <c r="C1850" s="3" t="s">
        <v>20</v>
      </c>
      <c r="D1850" s="3" t="s">
        <v>850</v>
      </c>
      <c r="E1850" s="3" t="s">
        <v>60</v>
      </c>
      <c r="F1850" s="3"/>
      <c r="G1850" s="3"/>
      <c r="H1850" s="3"/>
      <c r="I1850" s="3"/>
    </row>
    <row r="1851" spans="1:9" s="5" customFormat="1" x14ac:dyDescent="0.35">
      <c r="A1851" s="3" t="s">
        <v>810</v>
      </c>
      <c r="B1851" s="3" t="s">
        <v>842</v>
      </c>
      <c r="C1851" s="3" t="s">
        <v>20</v>
      </c>
      <c r="D1851" s="3" t="s">
        <v>850</v>
      </c>
      <c r="E1851" s="3" t="s">
        <v>27</v>
      </c>
      <c r="F1851" s="3"/>
      <c r="G1851" s="3"/>
      <c r="H1851" s="3"/>
      <c r="I1851" s="3"/>
    </row>
    <row r="1852" spans="1:9" s="5" customFormat="1" x14ac:dyDescent="0.35">
      <c r="A1852" s="3" t="s">
        <v>810</v>
      </c>
      <c r="B1852" s="3" t="s">
        <v>842</v>
      </c>
      <c r="C1852" s="3" t="s">
        <v>20</v>
      </c>
      <c r="D1852" s="3" t="s">
        <v>850</v>
      </c>
      <c r="E1852" s="3" t="s">
        <v>15</v>
      </c>
      <c r="F1852" s="3" t="s">
        <v>16</v>
      </c>
      <c r="G1852" s="3" t="s">
        <v>826</v>
      </c>
      <c r="H1852" s="3" t="s">
        <v>16</v>
      </c>
      <c r="I1852" s="3" t="s">
        <v>813</v>
      </c>
    </row>
    <row r="1853" spans="1:9" s="5" customFormat="1" x14ac:dyDescent="0.35">
      <c r="A1853" s="3" t="s">
        <v>810</v>
      </c>
      <c r="B1853" s="3" t="s">
        <v>842</v>
      </c>
      <c r="C1853" s="3" t="s">
        <v>20</v>
      </c>
      <c r="D1853" s="3" t="s">
        <v>850</v>
      </c>
      <c r="E1853" s="3" t="s">
        <v>57</v>
      </c>
      <c r="F1853" s="3"/>
      <c r="G1853" s="3"/>
      <c r="H1853" s="3"/>
      <c r="I1853" s="3"/>
    </row>
    <row r="1854" spans="1:9" s="5" customFormat="1" x14ac:dyDescent="0.35">
      <c r="A1854" s="3" t="s">
        <v>810</v>
      </c>
      <c r="B1854" s="3" t="s">
        <v>842</v>
      </c>
      <c r="C1854" s="3" t="s">
        <v>20</v>
      </c>
      <c r="D1854" s="3" t="s">
        <v>850</v>
      </c>
      <c r="E1854" s="3" t="s">
        <v>56</v>
      </c>
      <c r="F1854" s="3" t="s">
        <v>16</v>
      </c>
      <c r="G1854" s="3" t="s">
        <v>851</v>
      </c>
      <c r="H1854" s="3"/>
      <c r="I1854" s="3"/>
    </row>
    <row r="1855" spans="1:9" s="5" customFormat="1" x14ac:dyDescent="0.35">
      <c r="A1855" s="3" t="s">
        <v>810</v>
      </c>
      <c r="B1855" s="3" t="s">
        <v>842</v>
      </c>
      <c r="C1855" s="3" t="s">
        <v>20</v>
      </c>
      <c r="D1855" s="3" t="s">
        <v>850</v>
      </c>
      <c r="E1855" s="3" t="s">
        <v>24</v>
      </c>
      <c r="F1855" s="3"/>
      <c r="G1855" s="3"/>
      <c r="H1855" s="3"/>
      <c r="I1855" s="3"/>
    </row>
    <row r="1856" spans="1:9" s="5" customFormat="1" x14ac:dyDescent="0.35">
      <c r="A1856" s="3" t="s">
        <v>810</v>
      </c>
      <c r="B1856" s="3" t="s">
        <v>842</v>
      </c>
      <c r="C1856" s="3" t="s">
        <v>20</v>
      </c>
      <c r="D1856" s="3" t="s">
        <v>2841</v>
      </c>
      <c r="E1856" s="3" t="s">
        <v>23</v>
      </c>
      <c r="F1856" s="3"/>
      <c r="G1856" s="3"/>
      <c r="H1856" s="3" t="s">
        <v>16</v>
      </c>
      <c r="I1856" s="3" t="s">
        <v>813</v>
      </c>
    </row>
    <row r="1857" spans="1:9" s="5" customFormat="1" x14ac:dyDescent="0.35">
      <c r="A1857" s="3" t="s">
        <v>810</v>
      </c>
      <c r="B1857" s="3" t="s">
        <v>842</v>
      </c>
      <c r="C1857" s="3" t="s">
        <v>20</v>
      </c>
      <c r="D1857" s="3" t="s">
        <v>2841</v>
      </c>
      <c r="E1857" s="3" t="s">
        <v>60</v>
      </c>
      <c r="F1857" s="3"/>
      <c r="G1857" s="3"/>
      <c r="H1857" s="3" t="s">
        <v>16</v>
      </c>
      <c r="I1857" s="3" t="s">
        <v>813</v>
      </c>
    </row>
    <row r="1858" spans="1:9" s="5" customFormat="1" x14ac:dyDescent="0.35">
      <c r="A1858" s="3" t="s">
        <v>810</v>
      </c>
      <c r="B1858" s="3" t="s">
        <v>842</v>
      </c>
      <c r="C1858" s="3" t="s">
        <v>20</v>
      </c>
      <c r="D1858" s="3" t="s">
        <v>2841</v>
      </c>
      <c r="E1858" s="3" t="s">
        <v>56</v>
      </c>
      <c r="F1858" s="3"/>
      <c r="H1858" s="3" t="s">
        <v>16</v>
      </c>
      <c r="I1858" s="3" t="s">
        <v>813</v>
      </c>
    </row>
    <row r="1859" spans="1:9" s="5" customFormat="1" x14ac:dyDescent="0.35">
      <c r="A1859" s="3" t="s">
        <v>810</v>
      </c>
      <c r="B1859" s="3" t="s">
        <v>842</v>
      </c>
      <c r="C1859" s="3" t="s">
        <v>20</v>
      </c>
      <c r="D1859" s="3" t="s">
        <v>2841</v>
      </c>
      <c r="E1859" s="3" t="s">
        <v>71</v>
      </c>
      <c r="F1859" s="3"/>
      <c r="G1859" s="3"/>
      <c r="H1859" s="3" t="s">
        <v>16</v>
      </c>
      <c r="I1859" s="3" t="s">
        <v>813</v>
      </c>
    </row>
    <row r="1860" spans="1:9" s="5" customFormat="1" x14ac:dyDescent="0.35">
      <c r="A1860" s="3" t="s">
        <v>810</v>
      </c>
      <c r="B1860" s="3" t="s">
        <v>842</v>
      </c>
      <c r="C1860" s="3" t="s">
        <v>20</v>
      </c>
      <c r="D1860" s="3" t="s">
        <v>2841</v>
      </c>
      <c r="E1860" s="3" t="s">
        <v>15</v>
      </c>
      <c r="F1860" s="3"/>
      <c r="G1860" s="3"/>
      <c r="H1860" s="3" t="s">
        <v>16</v>
      </c>
      <c r="I1860" s="3" t="s">
        <v>813</v>
      </c>
    </row>
    <row r="1861" spans="1:9" s="5" customFormat="1" x14ac:dyDescent="0.35">
      <c r="A1861" s="3" t="s">
        <v>810</v>
      </c>
      <c r="B1861" s="3" t="s">
        <v>842</v>
      </c>
      <c r="C1861" s="3" t="s">
        <v>20</v>
      </c>
      <c r="D1861" s="3" t="s">
        <v>2841</v>
      </c>
      <c r="E1861" s="3" t="s">
        <v>134</v>
      </c>
      <c r="F1861" s="3"/>
      <c r="G1861" s="3"/>
      <c r="H1861" s="3" t="s">
        <v>16</v>
      </c>
      <c r="I1861" s="3" t="s">
        <v>813</v>
      </c>
    </row>
    <row r="1862" spans="1:9" s="5" customFormat="1" x14ac:dyDescent="0.35">
      <c r="A1862" s="3" t="s">
        <v>810</v>
      </c>
      <c r="B1862" s="3" t="s">
        <v>852</v>
      </c>
      <c r="C1862" s="3" t="s">
        <v>20</v>
      </c>
      <c r="D1862" s="3" t="s">
        <v>853</v>
      </c>
      <c r="E1862" s="3" t="s">
        <v>12</v>
      </c>
      <c r="F1862" s="3"/>
      <c r="G1862" s="3"/>
      <c r="H1862" s="3" t="s">
        <v>13</v>
      </c>
      <c r="I1862" s="3" t="s">
        <v>813</v>
      </c>
    </row>
    <row r="1863" spans="1:9" s="5" customFormat="1" x14ac:dyDescent="0.35">
      <c r="A1863" s="3" t="s">
        <v>810</v>
      </c>
      <c r="B1863" s="3" t="s">
        <v>852</v>
      </c>
      <c r="C1863" s="3" t="s">
        <v>20</v>
      </c>
      <c r="D1863" s="3" t="s">
        <v>853</v>
      </c>
      <c r="E1863" s="3" t="s">
        <v>36</v>
      </c>
      <c r="F1863" s="3"/>
      <c r="G1863" s="3"/>
      <c r="H1863" s="3" t="s">
        <v>13</v>
      </c>
      <c r="I1863" s="3" t="s">
        <v>813</v>
      </c>
    </row>
    <row r="1864" spans="1:9" s="5" customFormat="1" x14ac:dyDescent="0.35">
      <c r="A1864" s="3" t="s">
        <v>810</v>
      </c>
      <c r="B1864" s="3" t="s">
        <v>852</v>
      </c>
      <c r="C1864" s="3" t="s">
        <v>20</v>
      </c>
      <c r="D1864" s="3" t="s">
        <v>853</v>
      </c>
      <c r="E1864" s="3" t="s">
        <v>23</v>
      </c>
      <c r="F1864" s="3" t="s">
        <v>16</v>
      </c>
      <c r="G1864" s="3" t="s">
        <v>854</v>
      </c>
      <c r="H1864" s="3" t="s">
        <v>13</v>
      </c>
      <c r="I1864" s="3" t="s">
        <v>813</v>
      </c>
    </row>
    <row r="1865" spans="1:9" s="5" customFormat="1" x14ac:dyDescent="0.35">
      <c r="A1865" s="3" t="s">
        <v>810</v>
      </c>
      <c r="B1865" s="3" t="s">
        <v>852</v>
      </c>
      <c r="C1865" s="3" t="s">
        <v>20</v>
      </c>
      <c r="D1865" s="3" t="s">
        <v>853</v>
      </c>
      <c r="E1865" s="3" t="s">
        <v>60</v>
      </c>
      <c r="F1865" s="3" t="s">
        <v>16</v>
      </c>
      <c r="G1865" s="3" t="s">
        <v>855</v>
      </c>
      <c r="H1865" s="3" t="s">
        <v>13</v>
      </c>
      <c r="I1865" s="3" t="s">
        <v>813</v>
      </c>
    </row>
    <row r="1866" spans="1:9" s="5" customFormat="1" x14ac:dyDescent="0.35">
      <c r="A1866" s="3" t="s">
        <v>810</v>
      </c>
      <c r="B1866" s="3" t="s">
        <v>852</v>
      </c>
      <c r="C1866" s="3" t="s">
        <v>20</v>
      </c>
      <c r="D1866" s="3" t="s">
        <v>853</v>
      </c>
      <c r="E1866" s="3" t="s">
        <v>32</v>
      </c>
      <c r="F1866" s="3"/>
      <c r="G1866" s="3"/>
      <c r="H1866" s="3" t="s">
        <v>13</v>
      </c>
      <c r="I1866" s="3" t="s">
        <v>813</v>
      </c>
    </row>
    <row r="1867" spans="1:9" s="5" customFormat="1" x14ac:dyDescent="0.35">
      <c r="A1867" s="3" t="s">
        <v>810</v>
      </c>
      <c r="B1867" s="3" t="s">
        <v>852</v>
      </c>
      <c r="C1867" s="3" t="s">
        <v>42</v>
      </c>
      <c r="D1867" s="3" t="s">
        <v>856</v>
      </c>
      <c r="E1867" s="3" t="s">
        <v>12</v>
      </c>
      <c r="F1867" s="3"/>
      <c r="G1867" s="3"/>
      <c r="H1867" s="3"/>
      <c r="I1867" s="3"/>
    </row>
    <row r="1868" spans="1:9" s="5" customFormat="1" x14ac:dyDescent="0.35">
      <c r="A1868" s="3" t="s">
        <v>810</v>
      </c>
      <c r="B1868" s="3" t="s">
        <v>852</v>
      </c>
      <c r="C1868" s="3" t="s">
        <v>42</v>
      </c>
      <c r="D1868" s="3" t="s">
        <v>856</v>
      </c>
      <c r="E1868" s="3" t="s">
        <v>23</v>
      </c>
      <c r="F1868" s="3"/>
      <c r="G1868" s="3"/>
      <c r="H1868" s="3"/>
      <c r="I1868" s="3"/>
    </row>
    <row r="1869" spans="1:9" s="5" customFormat="1" x14ac:dyDescent="0.35">
      <c r="A1869" s="3" t="s">
        <v>810</v>
      </c>
      <c r="B1869" s="3" t="s">
        <v>852</v>
      </c>
      <c r="C1869" s="3" t="s">
        <v>42</v>
      </c>
      <c r="D1869" s="3" t="s">
        <v>856</v>
      </c>
      <c r="E1869" s="3" t="s">
        <v>141</v>
      </c>
      <c r="F1869" s="3" t="s">
        <v>33</v>
      </c>
      <c r="G1869" s="3" t="s">
        <v>723</v>
      </c>
      <c r="H1869" s="3"/>
      <c r="I1869" s="3"/>
    </row>
    <row r="1870" spans="1:9" s="5" customFormat="1" x14ac:dyDescent="0.35">
      <c r="A1870" s="3" t="s">
        <v>810</v>
      </c>
      <c r="B1870" s="3" t="s">
        <v>852</v>
      </c>
      <c r="C1870" s="3" t="s">
        <v>42</v>
      </c>
      <c r="D1870" s="3" t="s">
        <v>856</v>
      </c>
      <c r="E1870" s="3" t="s">
        <v>44</v>
      </c>
      <c r="F1870" s="3"/>
      <c r="G1870" s="3"/>
      <c r="H1870" s="3"/>
      <c r="I1870" s="3"/>
    </row>
    <row r="1871" spans="1:9" s="5" customFormat="1" x14ac:dyDescent="0.35">
      <c r="A1871" s="3" t="s">
        <v>810</v>
      </c>
      <c r="B1871" s="3" t="s">
        <v>852</v>
      </c>
      <c r="C1871" s="3" t="s">
        <v>42</v>
      </c>
      <c r="D1871" s="3" t="s">
        <v>856</v>
      </c>
      <c r="E1871" s="3" t="s">
        <v>15</v>
      </c>
      <c r="F1871" s="3"/>
      <c r="G1871" s="3"/>
      <c r="H1871" s="3"/>
      <c r="I1871" s="3"/>
    </row>
    <row r="1872" spans="1:9" s="5" customFormat="1" x14ac:dyDescent="0.35">
      <c r="A1872" s="3" t="s">
        <v>810</v>
      </c>
      <c r="B1872" s="3" t="s">
        <v>852</v>
      </c>
      <c r="C1872" s="3" t="s">
        <v>42</v>
      </c>
      <c r="D1872" s="3" t="s">
        <v>856</v>
      </c>
      <c r="E1872" s="3" t="s">
        <v>175</v>
      </c>
      <c r="F1872" s="3"/>
      <c r="G1872" s="3"/>
      <c r="H1872" s="3"/>
      <c r="I1872" s="3"/>
    </row>
    <row r="1873" spans="1:9" s="5" customFormat="1" x14ac:dyDescent="0.35">
      <c r="A1873" s="3" t="s">
        <v>810</v>
      </c>
      <c r="B1873" s="3" t="s">
        <v>852</v>
      </c>
      <c r="C1873" s="3" t="s">
        <v>45</v>
      </c>
      <c r="D1873" s="3" t="s">
        <v>857</v>
      </c>
      <c r="E1873" s="3" t="s">
        <v>60</v>
      </c>
      <c r="F1873" s="3"/>
      <c r="G1873" s="3"/>
      <c r="H1873" s="3"/>
      <c r="I1873" s="3"/>
    </row>
    <row r="1874" spans="1:9" s="5" customFormat="1" x14ac:dyDescent="0.35">
      <c r="A1874" s="3" t="s">
        <v>810</v>
      </c>
      <c r="B1874" s="3" t="s">
        <v>2509</v>
      </c>
      <c r="C1874" s="3" t="s">
        <v>20</v>
      </c>
      <c r="D1874" s="3" t="s">
        <v>2843</v>
      </c>
      <c r="E1874" s="3" t="s">
        <v>23</v>
      </c>
      <c r="F1874" s="3"/>
      <c r="G1874" s="3"/>
      <c r="H1874" s="3" t="s">
        <v>16</v>
      </c>
      <c r="I1874" s="3" t="s">
        <v>816</v>
      </c>
    </row>
    <row r="1875" spans="1:9" s="5" customFormat="1" x14ac:dyDescent="0.35">
      <c r="A1875" s="3" t="s">
        <v>810</v>
      </c>
      <c r="B1875" s="3" t="s">
        <v>2509</v>
      </c>
      <c r="C1875" s="3" t="s">
        <v>20</v>
      </c>
      <c r="D1875" s="3" t="s">
        <v>2843</v>
      </c>
      <c r="E1875" s="3" t="s">
        <v>27</v>
      </c>
      <c r="F1875" s="3"/>
      <c r="G1875" s="3"/>
      <c r="H1875" s="3" t="s">
        <v>16</v>
      </c>
      <c r="I1875" s="3" t="s">
        <v>816</v>
      </c>
    </row>
    <row r="1876" spans="1:9" s="5" customFormat="1" x14ac:dyDescent="0.35">
      <c r="A1876" s="3" t="s">
        <v>810</v>
      </c>
      <c r="B1876" s="3" t="s">
        <v>2509</v>
      </c>
      <c r="C1876" s="3" t="s">
        <v>20</v>
      </c>
      <c r="D1876" s="3" t="s">
        <v>2843</v>
      </c>
      <c r="E1876" s="3" t="s">
        <v>98</v>
      </c>
      <c r="F1876" s="3"/>
      <c r="G1876" s="3"/>
      <c r="H1876" s="3" t="s">
        <v>16</v>
      </c>
      <c r="I1876" s="3" t="s">
        <v>816</v>
      </c>
    </row>
    <row r="1877" spans="1:9" s="5" customFormat="1" x14ac:dyDescent="0.35">
      <c r="A1877" s="3" t="s">
        <v>810</v>
      </c>
      <c r="B1877" s="3" t="s">
        <v>2509</v>
      </c>
      <c r="C1877" s="3" t="s">
        <v>42</v>
      </c>
      <c r="D1877" s="3" t="s">
        <v>2510</v>
      </c>
      <c r="E1877" s="3" t="s">
        <v>23</v>
      </c>
      <c r="F1877" s="3"/>
      <c r="G1877" s="3"/>
      <c r="H1877" s="3" t="s">
        <v>16</v>
      </c>
      <c r="I1877" s="3" t="s">
        <v>816</v>
      </c>
    </row>
    <row r="1878" spans="1:9" s="5" customFormat="1" x14ac:dyDescent="0.35">
      <c r="A1878" s="3" t="s">
        <v>810</v>
      </c>
      <c r="B1878" s="3" t="s">
        <v>2509</v>
      </c>
      <c r="C1878" s="3" t="s">
        <v>42</v>
      </c>
      <c r="D1878" s="3" t="s">
        <v>2510</v>
      </c>
      <c r="E1878" s="3" t="s">
        <v>27</v>
      </c>
      <c r="F1878" s="3"/>
      <c r="G1878" s="3" t="s">
        <v>2517</v>
      </c>
      <c r="H1878" s="3" t="s">
        <v>16</v>
      </c>
      <c r="I1878" s="3" t="s">
        <v>816</v>
      </c>
    </row>
    <row r="1879" spans="1:9" s="5" customFormat="1" x14ac:dyDescent="0.35">
      <c r="A1879" s="3" t="s">
        <v>810</v>
      </c>
      <c r="B1879" s="3" t="s">
        <v>2509</v>
      </c>
      <c r="C1879" s="3" t="s">
        <v>42</v>
      </c>
      <c r="D1879" s="3" t="s">
        <v>2510</v>
      </c>
      <c r="E1879" s="3" t="s">
        <v>98</v>
      </c>
      <c r="F1879" s="3"/>
      <c r="G1879" s="3"/>
      <c r="H1879" s="3" t="s">
        <v>16</v>
      </c>
      <c r="I1879" s="3" t="s">
        <v>816</v>
      </c>
    </row>
    <row r="1880" spans="1:9" s="5" customFormat="1" x14ac:dyDescent="0.35">
      <c r="A1880" s="3" t="s">
        <v>810</v>
      </c>
      <c r="B1880" s="3" t="s">
        <v>2509</v>
      </c>
      <c r="C1880" s="3" t="s">
        <v>42</v>
      </c>
      <c r="D1880" s="3" t="s">
        <v>2510</v>
      </c>
      <c r="E1880" s="3" t="s">
        <v>31</v>
      </c>
      <c r="F1880" s="3"/>
      <c r="G1880" s="3"/>
      <c r="H1880" s="3" t="s">
        <v>16</v>
      </c>
      <c r="I1880" s="3" t="s">
        <v>816</v>
      </c>
    </row>
    <row r="1881" spans="1:9" s="5" customFormat="1" x14ac:dyDescent="0.35">
      <c r="A1881" s="3" t="s">
        <v>810</v>
      </c>
      <c r="B1881" s="3" t="s">
        <v>2509</v>
      </c>
      <c r="C1881" s="3" t="s">
        <v>42</v>
      </c>
      <c r="D1881" s="3" t="s">
        <v>2510</v>
      </c>
      <c r="E1881" s="3" t="s">
        <v>24</v>
      </c>
      <c r="F1881" s="3"/>
      <c r="G1881" s="3" t="s">
        <v>2516</v>
      </c>
      <c r="H1881" s="3" t="s">
        <v>16</v>
      </c>
      <c r="I1881" s="3" t="s">
        <v>816</v>
      </c>
    </row>
    <row r="1882" spans="1:9" s="5" customFormat="1" x14ac:dyDescent="0.35">
      <c r="A1882" s="3" t="s">
        <v>810</v>
      </c>
      <c r="B1882" s="3" t="s">
        <v>858</v>
      </c>
      <c r="C1882" s="3" t="s">
        <v>42</v>
      </c>
      <c r="D1882" s="3" t="s">
        <v>859</v>
      </c>
      <c r="E1882" s="3" t="s">
        <v>23</v>
      </c>
      <c r="F1882" s="3" t="s">
        <v>16</v>
      </c>
      <c r="G1882" s="3" t="s">
        <v>860</v>
      </c>
      <c r="H1882" s="3"/>
      <c r="I1882" s="3"/>
    </row>
    <row r="1883" spans="1:9" s="5" customFormat="1" x14ac:dyDescent="0.35">
      <c r="A1883" s="3" t="s">
        <v>810</v>
      </c>
      <c r="B1883" s="3" t="s">
        <v>858</v>
      </c>
      <c r="C1883" s="3" t="s">
        <v>42</v>
      </c>
      <c r="D1883" s="3" t="s">
        <v>859</v>
      </c>
      <c r="E1883" s="3" t="s">
        <v>44</v>
      </c>
      <c r="F1883" s="3"/>
      <c r="G1883" s="3"/>
      <c r="H1883" s="3"/>
      <c r="I1883" s="3"/>
    </row>
    <row r="1884" spans="1:9" s="5" customFormat="1" x14ac:dyDescent="0.35">
      <c r="A1884" s="3" t="s">
        <v>810</v>
      </c>
      <c r="B1884" s="3" t="s">
        <v>858</v>
      </c>
      <c r="C1884" s="3" t="s">
        <v>42</v>
      </c>
      <c r="D1884" s="3" t="s">
        <v>859</v>
      </c>
      <c r="E1884" s="3" t="s">
        <v>98</v>
      </c>
      <c r="F1884" s="3" t="s">
        <v>16</v>
      </c>
      <c r="G1884" s="3" t="s">
        <v>861</v>
      </c>
      <c r="H1884" s="3"/>
      <c r="I1884" s="3"/>
    </row>
    <row r="1885" spans="1:9" s="5" customFormat="1" x14ac:dyDescent="0.35">
      <c r="A1885" s="3" t="s">
        <v>810</v>
      </c>
      <c r="B1885" s="3" t="s">
        <v>858</v>
      </c>
      <c r="C1885" s="3" t="s">
        <v>45</v>
      </c>
      <c r="D1885" s="3" t="s">
        <v>862</v>
      </c>
      <c r="E1885" s="3" t="s">
        <v>12</v>
      </c>
      <c r="F1885" s="3"/>
      <c r="G1885" s="3"/>
      <c r="H1885" s="3"/>
      <c r="I1885" s="3"/>
    </row>
    <row r="1886" spans="1:9" s="5" customFormat="1" x14ac:dyDescent="0.35">
      <c r="A1886" s="3" t="s">
        <v>810</v>
      </c>
      <c r="B1886" s="3" t="s">
        <v>858</v>
      </c>
      <c r="C1886" s="3" t="s">
        <v>45</v>
      </c>
      <c r="D1886" s="3" t="s">
        <v>862</v>
      </c>
      <c r="E1886" s="3" t="s">
        <v>98</v>
      </c>
      <c r="F1886" s="3" t="s">
        <v>33</v>
      </c>
      <c r="G1886" s="3" t="s">
        <v>723</v>
      </c>
      <c r="H1886" s="3"/>
      <c r="I1886" s="3"/>
    </row>
    <row r="1887" spans="1:9" s="5" customFormat="1" x14ac:dyDescent="0.35">
      <c r="A1887" s="3" t="s">
        <v>810</v>
      </c>
      <c r="B1887" s="3" t="s">
        <v>858</v>
      </c>
      <c r="C1887" s="3" t="s">
        <v>45</v>
      </c>
      <c r="D1887" s="3" t="s">
        <v>862</v>
      </c>
      <c r="E1887" s="3" t="s">
        <v>15</v>
      </c>
      <c r="F1887" s="3"/>
      <c r="G1887" s="3"/>
      <c r="H1887" s="3"/>
      <c r="I1887" s="3"/>
    </row>
    <row r="1888" spans="1:9" s="5" customFormat="1" x14ac:dyDescent="0.35">
      <c r="A1888" s="3" t="s">
        <v>810</v>
      </c>
      <c r="B1888" s="3" t="s">
        <v>858</v>
      </c>
      <c r="C1888" s="3" t="s">
        <v>45</v>
      </c>
      <c r="D1888" s="3" t="s">
        <v>862</v>
      </c>
      <c r="E1888" s="3" t="s">
        <v>56</v>
      </c>
      <c r="F1888" s="3"/>
      <c r="G1888" s="3"/>
      <c r="H1888" s="3"/>
      <c r="I1888" s="3"/>
    </row>
    <row r="1889" spans="1:9" s="5" customFormat="1" x14ac:dyDescent="0.35">
      <c r="A1889" s="3" t="s">
        <v>810</v>
      </c>
      <c r="B1889" s="3" t="s">
        <v>858</v>
      </c>
      <c r="C1889" s="3" t="s">
        <v>20</v>
      </c>
      <c r="D1889" s="3" t="s">
        <v>863</v>
      </c>
      <c r="E1889" s="3" t="s">
        <v>25</v>
      </c>
      <c r="F1889" s="3"/>
      <c r="G1889" s="3"/>
      <c r="H1889" s="3"/>
      <c r="I1889" s="3"/>
    </row>
    <row r="1890" spans="1:9" s="5" customFormat="1" x14ac:dyDescent="0.35">
      <c r="A1890" s="3" t="s">
        <v>810</v>
      </c>
      <c r="B1890" s="3" t="s">
        <v>858</v>
      </c>
      <c r="C1890" s="3" t="s">
        <v>20</v>
      </c>
      <c r="D1890" s="3" t="s">
        <v>863</v>
      </c>
      <c r="E1890" s="3" t="s">
        <v>77</v>
      </c>
      <c r="F1890" s="3"/>
      <c r="G1890" s="3"/>
      <c r="H1890" s="3"/>
      <c r="I1890" s="3"/>
    </row>
    <row r="1891" spans="1:9" s="5" customFormat="1" x14ac:dyDescent="0.35">
      <c r="A1891" s="3" t="s">
        <v>810</v>
      </c>
      <c r="B1891" s="3" t="s">
        <v>858</v>
      </c>
      <c r="C1891" s="3" t="s">
        <v>20</v>
      </c>
      <c r="D1891" s="3" t="s">
        <v>863</v>
      </c>
      <c r="E1891" s="3" t="s">
        <v>242</v>
      </c>
      <c r="F1891" s="3"/>
      <c r="G1891" s="3"/>
      <c r="H1891" s="3"/>
      <c r="I1891" s="3"/>
    </row>
    <row r="1892" spans="1:9" s="5" customFormat="1" x14ac:dyDescent="0.35">
      <c r="A1892" s="3" t="s">
        <v>810</v>
      </c>
      <c r="B1892" s="3" t="s">
        <v>858</v>
      </c>
      <c r="C1892" s="3" t="s">
        <v>20</v>
      </c>
      <c r="D1892" s="3" t="s">
        <v>863</v>
      </c>
      <c r="E1892" s="3" t="s">
        <v>56</v>
      </c>
      <c r="F1892" s="3" t="s">
        <v>33</v>
      </c>
      <c r="G1892" s="3" t="s">
        <v>314</v>
      </c>
      <c r="H1892" s="3"/>
      <c r="I1892" s="3"/>
    </row>
    <row r="1893" spans="1:9" s="5" customFormat="1" x14ac:dyDescent="0.35">
      <c r="A1893" s="3" t="s">
        <v>810</v>
      </c>
      <c r="B1893" s="3" t="s">
        <v>858</v>
      </c>
      <c r="C1893" s="3" t="s">
        <v>20</v>
      </c>
      <c r="D1893" s="3" t="s">
        <v>863</v>
      </c>
      <c r="E1893" s="3" t="s">
        <v>29</v>
      </c>
      <c r="F1893" s="3"/>
      <c r="G1893" s="3"/>
      <c r="H1893" s="3"/>
      <c r="I1893" s="3"/>
    </row>
    <row r="1894" spans="1:9" s="5" customFormat="1" x14ac:dyDescent="0.35">
      <c r="A1894" s="3" t="s">
        <v>810</v>
      </c>
      <c r="B1894" s="3" t="s">
        <v>858</v>
      </c>
      <c r="C1894" s="3" t="s">
        <v>20</v>
      </c>
      <c r="D1894" s="3" t="s">
        <v>863</v>
      </c>
      <c r="E1894" s="3" t="s">
        <v>244</v>
      </c>
      <c r="F1894" s="3"/>
      <c r="G1894" s="3"/>
      <c r="H1894" s="3"/>
      <c r="I1894" s="3"/>
    </row>
    <row r="1895" spans="1:9" s="5" customFormat="1" x14ac:dyDescent="0.35">
      <c r="A1895" s="3" t="s">
        <v>810</v>
      </c>
      <c r="B1895" s="3" t="s">
        <v>858</v>
      </c>
      <c r="C1895" s="3" t="s">
        <v>20</v>
      </c>
      <c r="D1895" s="3" t="s">
        <v>864</v>
      </c>
      <c r="E1895" s="3" t="s">
        <v>25</v>
      </c>
      <c r="F1895" s="3"/>
      <c r="G1895" s="3"/>
      <c r="H1895" s="3"/>
      <c r="I1895" s="3"/>
    </row>
    <row r="1896" spans="1:9" s="5" customFormat="1" x14ac:dyDescent="0.35">
      <c r="A1896" s="3" t="s">
        <v>810</v>
      </c>
      <c r="B1896" s="3" t="s">
        <v>858</v>
      </c>
      <c r="C1896" s="3" t="s">
        <v>20</v>
      </c>
      <c r="D1896" s="3" t="s">
        <v>864</v>
      </c>
      <c r="E1896" s="3" t="s">
        <v>27</v>
      </c>
      <c r="F1896" s="3"/>
      <c r="G1896" s="3"/>
      <c r="H1896" s="3"/>
      <c r="I1896" s="3"/>
    </row>
    <row r="1897" spans="1:9" s="5" customFormat="1" x14ac:dyDescent="0.35">
      <c r="A1897" s="3" t="s">
        <v>810</v>
      </c>
      <c r="B1897" s="3" t="s">
        <v>858</v>
      </c>
      <c r="C1897" s="3" t="s">
        <v>20</v>
      </c>
      <c r="D1897" s="3" t="s">
        <v>864</v>
      </c>
      <c r="E1897" s="3" t="s">
        <v>77</v>
      </c>
      <c r="F1897" s="3"/>
      <c r="G1897" s="3"/>
      <c r="H1897" s="3"/>
      <c r="I1897" s="3"/>
    </row>
    <row r="1898" spans="1:9" s="5" customFormat="1" x14ac:dyDescent="0.35">
      <c r="A1898" s="3" t="s">
        <v>810</v>
      </c>
      <c r="B1898" s="3" t="s">
        <v>858</v>
      </c>
      <c r="C1898" s="3" t="s">
        <v>20</v>
      </c>
      <c r="D1898" s="3" t="s">
        <v>864</v>
      </c>
      <c r="E1898" s="3" t="s">
        <v>28</v>
      </c>
      <c r="F1898" s="3"/>
      <c r="G1898" s="3" t="s">
        <v>3018</v>
      </c>
      <c r="H1898" s="3"/>
      <c r="I1898" s="3"/>
    </row>
    <row r="1899" spans="1:9" s="5" customFormat="1" x14ac:dyDescent="0.35">
      <c r="A1899" s="3" t="s">
        <v>810</v>
      </c>
      <c r="B1899" s="3" t="s">
        <v>858</v>
      </c>
      <c r="C1899" s="3" t="s">
        <v>20</v>
      </c>
      <c r="D1899" s="3" t="s">
        <v>864</v>
      </c>
      <c r="E1899" s="3" t="s">
        <v>87</v>
      </c>
      <c r="F1899" s="3"/>
      <c r="G1899" s="3"/>
      <c r="H1899" s="3"/>
      <c r="I1899" s="3"/>
    </row>
    <row r="1900" spans="1:9" s="5" customFormat="1" x14ac:dyDescent="0.35">
      <c r="A1900" s="3" t="s">
        <v>810</v>
      </c>
      <c r="B1900" s="3" t="s">
        <v>858</v>
      </c>
      <c r="C1900" s="3" t="s">
        <v>20</v>
      </c>
      <c r="D1900" s="3" t="s">
        <v>864</v>
      </c>
      <c r="E1900" s="3" t="s">
        <v>15</v>
      </c>
      <c r="F1900" s="3"/>
      <c r="G1900" s="3"/>
      <c r="H1900" s="3"/>
      <c r="I1900" s="3"/>
    </row>
    <row r="1901" spans="1:9" s="5" customFormat="1" x14ac:dyDescent="0.35">
      <c r="A1901" s="3" t="s">
        <v>810</v>
      </c>
      <c r="B1901" s="3" t="s">
        <v>858</v>
      </c>
      <c r="C1901" s="3" t="s">
        <v>20</v>
      </c>
      <c r="D1901" s="3" t="s">
        <v>864</v>
      </c>
      <c r="E1901" s="3" t="s">
        <v>56</v>
      </c>
      <c r="F1901" s="3"/>
      <c r="G1901" s="3"/>
      <c r="H1901" s="3"/>
      <c r="I1901" s="3"/>
    </row>
    <row r="1902" spans="1:9" s="5" customFormat="1" x14ac:dyDescent="0.35">
      <c r="A1902" s="3" t="s">
        <v>810</v>
      </c>
      <c r="B1902" s="3" t="s">
        <v>858</v>
      </c>
      <c r="C1902" s="3" t="s">
        <v>20</v>
      </c>
      <c r="D1902" s="3" t="s">
        <v>864</v>
      </c>
      <c r="E1902" s="3" t="s">
        <v>89</v>
      </c>
      <c r="F1902" s="3"/>
      <c r="G1902" s="3"/>
      <c r="H1902" s="3"/>
      <c r="I1902" s="3"/>
    </row>
    <row r="1903" spans="1:9" s="5" customFormat="1" x14ac:dyDescent="0.35">
      <c r="A1903" s="3" t="s">
        <v>810</v>
      </c>
      <c r="B1903" s="3" t="s">
        <v>858</v>
      </c>
      <c r="C1903" s="3" t="s">
        <v>20</v>
      </c>
      <c r="D1903" s="3" t="s">
        <v>864</v>
      </c>
      <c r="E1903" s="3" t="s">
        <v>29</v>
      </c>
      <c r="F1903" s="3"/>
      <c r="G1903" s="3"/>
      <c r="H1903" s="3"/>
      <c r="I1903" s="3"/>
    </row>
    <row r="1904" spans="1:9" s="5" customFormat="1" x14ac:dyDescent="0.35">
      <c r="A1904" s="3" t="s">
        <v>810</v>
      </c>
      <c r="B1904" s="3" t="s">
        <v>858</v>
      </c>
      <c r="C1904" s="3" t="s">
        <v>20</v>
      </c>
      <c r="D1904" s="3" t="s">
        <v>864</v>
      </c>
      <c r="E1904" s="3" t="s">
        <v>24</v>
      </c>
      <c r="F1904" s="3"/>
      <c r="G1904" s="3"/>
      <c r="H1904" s="3"/>
      <c r="I1904" s="3"/>
    </row>
    <row r="1905" spans="1:9" s="5" customFormat="1" x14ac:dyDescent="0.35">
      <c r="A1905" s="3" t="s">
        <v>810</v>
      </c>
      <c r="B1905" s="3" t="s">
        <v>858</v>
      </c>
      <c r="C1905" s="3" t="s">
        <v>20</v>
      </c>
      <c r="D1905" s="3" t="s">
        <v>864</v>
      </c>
      <c r="E1905" s="3" t="s">
        <v>244</v>
      </c>
      <c r="F1905" s="3"/>
      <c r="G1905" s="3"/>
      <c r="H1905" s="3"/>
      <c r="I1905" s="3"/>
    </row>
    <row r="1906" spans="1:9" s="5" customFormat="1" x14ac:dyDescent="0.35">
      <c r="A1906" s="3" t="s">
        <v>810</v>
      </c>
      <c r="B1906" s="3" t="s">
        <v>858</v>
      </c>
      <c r="C1906" s="3" t="s">
        <v>20</v>
      </c>
      <c r="D1906" s="3" t="s">
        <v>865</v>
      </c>
      <c r="E1906" s="3" t="s">
        <v>15</v>
      </c>
      <c r="F1906" s="3" t="s">
        <v>16</v>
      </c>
      <c r="G1906" s="3" t="s">
        <v>866</v>
      </c>
      <c r="H1906" s="3" t="s">
        <v>16</v>
      </c>
      <c r="I1906" s="3" t="s">
        <v>813</v>
      </c>
    </row>
    <row r="1907" spans="1:9" s="5" customFormat="1" x14ac:dyDescent="0.35">
      <c r="A1907" s="3" t="s">
        <v>810</v>
      </c>
      <c r="B1907" s="3" t="s">
        <v>858</v>
      </c>
      <c r="C1907" s="3" t="s">
        <v>20</v>
      </c>
      <c r="D1907" s="3" t="s">
        <v>865</v>
      </c>
      <c r="E1907" s="3" t="s">
        <v>32</v>
      </c>
      <c r="F1907" s="3" t="s">
        <v>16</v>
      </c>
      <c r="G1907" s="3" t="s">
        <v>867</v>
      </c>
      <c r="H1907" s="3" t="s">
        <v>16</v>
      </c>
      <c r="I1907" s="3" t="s">
        <v>816</v>
      </c>
    </row>
    <row r="1908" spans="1:9" s="5" customFormat="1" x14ac:dyDescent="0.35">
      <c r="A1908" s="3" t="s">
        <v>810</v>
      </c>
      <c r="B1908" s="3" t="s">
        <v>858</v>
      </c>
      <c r="C1908" s="3" t="s">
        <v>20</v>
      </c>
      <c r="D1908" s="3" t="s">
        <v>868</v>
      </c>
      <c r="E1908" s="3" t="s">
        <v>12</v>
      </c>
      <c r="F1908" s="3"/>
      <c r="G1908" s="3"/>
      <c r="H1908" s="3"/>
      <c r="I1908" s="3"/>
    </row>
    <row r="1909" spans="1:9" s="5" customFormat="1" x14ac:dyDescent="0.35">
      <c r="A1909" s="3" t="s">
        <v>810</v>
      </c>
      <c r="B1909" s="3" t="s">
        <v>858</v>
      </c>
      <c r="C1909" s="3" t="s">
        <v>20</v>
      </c>
      <c r="D1909" s="3" t="s">
        <v>868</v>
      </c>
      <c r="E1909" s="3" t="s">
        <v>24</v>
      </c>
      <c r="F1909" s="3"/>
      <c r="G1909" s="3" t="s">
        <v>2429</v>
      </c>
      <c r="H1909" s="3"/>
      <c r="I1909" s="3"/>
    </row>
    <row r="1910" spans="1:9" s="5" customFormat="1" x14ac:dyDescent="0.35">
      <c r="A1910" s="3" t="s">
        <v>810</v>
      </c>
      <c r="B1910" s="3" t="s">
        <v>869</v>
      </c>
      <c r="C1910" s="3" t="s">
        <v>20</v>
      </c>
      <c r="D1910" s="3" t="s">
        <v>870</v>
      </c>
      <c r="E1910" s="3" t="s">
        <v>12</v>
      </c>
      <c r="F1910" s="3"/>
      <c r="G1910" s="3"/>
      <c r="H1910" s="3"/>
      <c r="I1910" s="3"/>
    </row>
    <row r="1911" spans="1:9" s="5" customFormat="1" x14ac:dyDescent="0.35">
      <c r="A1911" s="3" t="s">
        <v>810</v>
      </c>
      <c r="B1911" s="3" t="s">
        <v>869</v>
      </c>
      <c r="C1911" s="3" t="s">
        <v>20</v>
      </c>
      <c r="D1911" s="3" t="s">
        <v>870</v>
      </c>
      <c r="E1911" s="3" t="s">
        <v>87</v>
      </c>
      <c r="F1911" s="3"/>
      <c r="G1911" s="3"/>
      <c r="H1911" s="3"/>
      <c r="I1911" s="3"/>
    </row>
    <row r="1912" spans="1:9" s="5" customFormat="1" x14ac:dyDescent="0.35">
      <c r="A1912" s="3" t="s">
        <v>810</v>
      </c>
      <c r="B1912" s="3" t="s">
        <v>869</v>
      </c>
      <c r="C1912" s="3" t="s">
        <v>20</v>
      </c>
      <c r="D1912" s="3" t="s">
        <v>870</v>
      </c>
      <c r="E1912" s="3" t="s">
        <v>56</v>
      </c>
      <c r="F1912" s="3" t="s">
        <v>16</v>
      </c>
      <c r="G1912" s="3" t="s">
        <v>2320</v>
      </c>
      <c r="H1912" s="3"/>
      <c r="I1912" s="3"/>
    </row>
    <row r="1913" spans="1:9" s="5" customFormat="1" x14ac:dyDescent="0.35">
      <c r="A1913" s="3" t="s">
        <v>810</v>
      </c>
      <c r="B1913" s="3" t="s">
        <v>869</v>
      </c>
      <c r="C1913" s="3" t="s">
        <v>20</v>
      </c>
      <c r="D1913" s="3" t="s">
        <v>870</v>
      </c>
      <c r="E1913" s="3" t="s">
        <v>26</v>
      </c>
      <c r="F1913" s="3"/>
      <c r="G1913" s="3"/>
      <c r="H1913" s="3"/>
      <c r="I1913" s="3"/>
    </row>
    <row r="1914" spans="1:9" s="5" customFormat="1" x14ac:dyDescent="0.35">
      <c r="A1914" s="3" t="s">
        <v>810</v>
      </c>
      <c r="B1914" s="3" t="s">
        <v>869</v>
      </c>
      <c r="C1914" s="3" t="s">
        <v>39</v>
      </c>
      <c r="D1914" s="3" t="s">
        <v>871</v>
      </c>
      <c r="E1914" s="3" t="s">
        <v>15</v>
      </c>
      <c r="F1914" s="3" t="s">
        <v>13</v>
      </c>
      <c r="G1914" s="3" t="s">
        <v>872</v>
      </c>
      <c r="H1914" s="3"/>
      <c r="I1914" s="3"/>
    </row>
    <row r="1915" spans="1:9" s="5" customFormat="1" x14ac:dyDescent="0.35">
      <c r="A1915" s="3" t="s">
        <v>810</v>
      </c>
      <c r="B1915" s="3" t="s">
        <v>869</v>
      </c>
      <c r="C1915" s="3" t="s">
        <v>10</v>
      </c>
      <c r="D1915" s="3" t="s">
        <v>873</v>
      </c>
      <c r="E1915" s="3" t="s">
        <v>15</v>
      </c>
      <c r="F1915" s="3" t="s">
        <v>13</v>
      </c>
      <c r="G1915" s="3" t="s">
        <v>872</v>
      </c>
      <c r="H1915" s="3" t="s">
        <v>13</v>
      </c>
      <c r="I1915" s="3" t="s">
        <v>813</v>
      </c>
    </row>
    <row r="1916" spans="1:9" s="5" customFormat="1" x14ac:dyDescent="0.35">
      <c r="A1916" s="3" t="s">
        <v>810</v>
      </c>
      <c r="B1916" s="3" t="s">
        <v>869</v>
      </c>
      <c r="C1916" s="3" t="s">
        <v>20</v>
      </c>
      <c r="D1916" s="3" t="s">
        <v>2754</v>
      </c>
      <c r="E1916" s="3" t="s">
        <v>12</v>
      </c>
      <c r="F1916" s="3"/>
      <c r="G1916" s="3"/>
      <c r="H1916" s="3"/>
      <c r="I1916" s="3"/>
    </row>
    <row r="1917" spans="1:9" s="5" customFormat="1" x14ac:dyDescent="0.35">
      <c r="A1917" s="3" t="s">
        <v>810</v>
      </c>
      <c r="B1917" s="3" t="s">
        <v>869</v>
      </c>
      <c r="C1917" s="3" t="s">
        <v>20</v>
      </c>
      <c r="D1917" s="3" t="s">
        <v>2754</v>
      </c>
      <c r="E1917" s="3" t="s">
        <v>23</v>
      </c>
      <c r="F1917" s="3"/>
      <c r="G1917" s="3"/>
      <c r="H1917" s="3"/>
      <c r="I1917" s="3"/>
    </row>
    <row r="1918" spans="1:9" s="5" customFormat="1" x14ac:dyDescent="0.35">
      <c r="A1918" s="3" t="s">
        <v>810</v>
      </c>
      <c r="B1918" s="3" t="s">
        <v>869</v>
      </c>
      <c r="C1918" s="3" t="s">
        <v>20</v>
      </c>
      <c r="D1918" s="3" t="s">
        <v>2754</v>
      </c>
      <c r="E1918" s="3" t="s">
        <v>25</v>
      </c>
      <c r="F1918" s="3"/>
      <c r="G1918" s="3"/>
      <c r="H1918" s="3"/>
      <c r="I1918" s="3"/>
    </row>
    <row r="1919" spans="1:9" s="5" customFormat="1" x14ac:dyDescent="0.35">
      <c r="A1919" s="3" t="s">
        <v>810</v>
      </c>
      <c r="B1919" s="3" t="s">
        <v>869</v>
      </c>
      <c r="C1919" s="3" t="s">
        <v>20</v>
      </c>
      <c r="D1919" s="3" t="s">
        <v>2754</v>
      </c>
      <c r="E1919" s="3" t="s">
        <v>27</v>
      </c>
      <c r="F1919" s="3"/>
      <c r="G1919" s="3"/>
      <c r="H1919" s="3"/>
      <c r="I1919" s="3"/>
    </row>
    <row r="1920" spans="1:9" s="5" customFormat="1" x14ac:dyDescent="0.35">
      <c r="A1920" s="3" t="s">
        <v>810</v>
      </c>
      <c r="B1920" s="3" t="s">
        <v>869</v>
      </c>
      <c r="C1920" s="3" t="s">
        <v>20</v>
      </c>
      <c r="D1920" s="3" t="s">
        <v>2754</v>
      </c>
      <c r="E1920" s="3" t="s">
        <v>44</v>
      </c>
      <c r="F1920" s="3"/>
      <c r="G1920" s="3"/>
      <c r="H1920" s="3"/>
      <c r="I1920" s="3"/>
    </row>
    <row r="1921" spans="1:9" s="5" customFormat="1" x14ac:dyDescent="0.35">
      <c r="A1921" s="3" t="s">
        <v>810</v>
      </c>
      <c r="B1921" s="3" t="s">
        <v>869</v>
      </c>
      <c r="C1921" s="3" t="s">
        <v>20</v>
      </c>
      <c r="D1921" s="3" t="s">
        <v>2754</v>
      </c>
      <c r="E1921" s="3" t="s">
        <v>87</v>
      </c>
      <c r="F1921" s="3"/>
      <c r="G1921" s="3"/>
      <c r="H1921" s="3"/>
      <c r="I1921" s="3"/>
    </row>
    <row r="1922" spans="1:9" s="5" customFormat="1" x14ac:dyDescent="0.35">
      <c r="A1922" s="3" t="s">
        <v>810</v>
      </c>
      <c r="B1922" s="3" t="s">
        <v>869</v>
      </c>
      <c r="C1922" s="3" t="s">
        <v>20</v>
      </c>
      <c r="D1922" s="3" t="s">
        <v>2754</v>
      </c>
      <c r="E1922" s="3" t="s">
        <v>15</v>
      </c>
      <c r="F1922" s="3" t="s">
        <v>16</v>
      </c>
      <c r="G1922" s="3" t="s">
        <v>874</v>
      </c>
      <c r="H1922" s="3"/>
      <c r="I1922" s="3"/>
    </row>
    <row r="1923" spans="1:9" s="5" customFormat="1" x14ac:dyDescent="0.35">
      <c r="A1923" s="3" t="s">
        <v>810</v>
      </c>
      <c r="B1923" s="3" t="s">
        <v>869</v>
      </c>
      <c r="C1923" s="3" t="s">
        <v>20</v>
      </c>
      <c r="D1923" s="3" t="s">
        <v>2754</v>
      </c>
      <c r="E1923" s="3" t="s">
        <v>32</v>
      </c>
      <c r="F1923" s="3" t="s">
        <v>33</v>
      </c>
      <c r="G1923" s="3" t="s">
        <v>875</v>
      </c>
      <c r="H1923" s="3"/>
      <c r="I1923" s="3"/>
    </row>
    <row r="1924" spans="1:9" s="5" customFormat="1" x14ac:dyDescent="0.35">
      <c r="A1924" s="3" t="s">
        <v>810</v>
      </c>
      <c r="B1924" s="3" t="s">
        <v>869</v>
      </c>
      <c r="C1924" s="3" t="s">
        <v>20</v>
      </c>
      <c r="D1924" s="3" t="s">
        <v>2754</v>
      </c>
      <c r="E1924" s="3" t="s">
        <v>24</v>
      </c>
      <c r="F1924" s="3"/>
      <c r="G1924" s="3"/>
      <c r="H1924" s="3"/>
      <c r="I1924" s="3"/>
    </row>
    <row r="1925" spans="1:9" s="5" customFormat="1" x14ac:dyDescent="0.35">
      <c r="A1925" s="3" t="s">
        <v>810</v>
      </c>
      <c r="B1925" s="3" t="s">
        <v>869</v>
      </c>
      <c r="C1925" s="3" t="s">
        <v>20</v>
      </c>
      <c r="D1925" s="3" t="s">
        <v>2754</v>
      </c>
      <c r="E1925" s="3" t="s">
        <v>134</v>
      </c>
      <c r="F1925" s="3" t="s">
        <v>16</v>
      </c>
      <c r="G1925" s="3" t="s">
        <v>876</v>
      </c>
      <c r="H1925" s="3"/>
      <c r="I1925" s="3"/>
    </row>
    <row r="1926" spans="1:9" s="5" customFormat="1" x14ac:dyDescent="0.35">
      <c r="A1926" s="3" t="s">
        <v>810</v>
      </c>
      <c r="B1926" s="3" t="s">
        <v>869</v>
      </c>
      <c r="C1926" s="3" t="s">
        <v>20</v>
      </c>
      <c r="D1926" s="3" t="s">
        <v>2754</v>
      </c>
      <c r="E1926" s="3" t="s">
        <v>107</v>
      </c>
      <c r="F1926" s="3" t="s">
        <v>16</v>
      </c>
      <c r="G1926" s="3" t="s">
        <v>877</v>
      </c>
      <c r="H1926" s="3"/>
      <c r="I1926" s="3"/>
    </row>
    <row r="1927" spans="1:9" s="5" customFormat="1" x14ac:dyDescent="0.35">
      <c r="A1927" s="3" t="s">
        <v>810</v>
      </c>
      <c r="B1927" s="3" t="s">
        <v>869</v>
      </c>
      <c r="C1927" s="3" t="s">
        <v>45</v>
      </c>
      <c r="D1927" s="3" t="s">
        <v>878</v>
      </c>
      <c r="E1927" s="3" t="s">
        <v>12</v>
      </c>
      <c r="F1927" s="3"/>
      <c r="G1927" s="3"/>
      <c r="H1927" s="3" t="s">
        <v>13</v>
      </c>
      <c r="I1927" s="3" t="s">
        <v>813</v>
      </c>
    </row>
    <row r="1928" spans="1:9" s="5" customFormat="1" x14ac:dyDescent="0.35">
      <c r="A1928" s="3" t="s">
        <v>810</v>
      </c>
      <c r="B1928" s="3" t="s">
        <v>869</v>
      </c>
      <c r="C1928" s="3" t="s">
        <v>45</v>
      </c>
      <c r="D1928" s="3" t="s">
        <v>878</v>
      </c>
      <c r="E1928" s="3" t="s">
        <v>15</v>
      </c>
      <c r="F1928" s="3" t="s">
        <v>16</v>
      </c>
      <c r="G1928" s="3" t="s">
        <v>3019</v>
      </c>
      <c r="H1928" s="3" t="s">
        <v>13</v>
      </c>
      <c r="I1928" s="3" t="s">
        <v>813</v>
      </c>
    </row>
    <row r="1929" spans="1:9" s="5" customFormat="1" x14ac:dyDescent="0.35">
      <c r="A1929" s="3" t="s">
        <v>810</v>
      </c>
      <c r="B1929" s="3" t="s">
        <v>869</v>
      </c>
      <c r="C1929" s="3" t="s">
        <v>45</v>
      </c>
      <c r="D1929" s="3" t="s">
        <v>878</v>
      </c>
      <c r="E1929" s="3" t="s">
        <v>24</v>
      </c>
      <c r="F1929" s="3"/>
      <c r="G1929" s="3"/>
      <c r="H1929" s="3" t="s">
        <v>13</v>
      </c>
      <c r="I1929" s="3" t="s">
        <v>813</v>
      </c>
    </row>
    <row r="1930" spans="1:9" s="5" customFormat="1" x14ac:dyDescent="0.35">
      <c r="A1930" s="3" t="s">
        <v>810</v>
      </c>
      <c r="B1930" s="3" t="s">
        <v>869</v>
      </c>
      <c r="C1930" s="3" t="s">
        <v>45</v>
      </c>
      <c r="D1930" s="3" t="s">
        <v>2645</v>
      </c>
      <c r="E1930" s="3" t="s">
        <v>15</v>
      </c>
      <c r="F1930" s="3" t="s">
        <v>16</v>
      </c>
      <c r="G1930" s="3" t="s">
        <v>2646</v>
      </c>
      <c r="H1930" s="3" t="s">
        <v>16</v>
      </c>
      <c r="I1930" s="3" t="s">
        <v>816</v>
      </c>
    </row>
    <row r="1931" spans="1:9" s="5" customFormat="1" x14ac:dyDescent="0.35">
      <c r="A1931" s="3" t="s">
        <v>810</v>
      </c>
      <c r="B1931" s="3" t="s">
        <v>869</v>
      </c>
      <c r="C1931" s="3" t="s">
        <v>10</v>
      </c>
      <c r="D1931" s="3" t="s">
        <v>879</v>
      </c>
      <c r="E1931" s="3" t="s">
        <v>15</v>
      </c>
      <c r="F1931" s="3"/>
      <c r="G1931" s="3"/>
      <c r="H1931" s="3"/>
      <c r="I1931" s="3"/>
    </row>
    <row r="1932" spans="1:9" s="5" customFormat="1" x14ac:dyDescent="0.35">
      <c r="A1932" s="3" t="s">
        <v>810</v>
      </c>
      <c r="B1932" s="3" t="s">
        <v>869</v>
      </c>
      <c r="C1932" s="3" t="s">
        <v>10</v>
      </c>
      <c r="D1932" s="3" t="s">
        <v>879</v>
      </c>
      <c r="E1932" s="3" t="s">
        <v>57</v>
      </c>
      <c r="F1932" s="3"/>
      <c r="G1932" s="3"/>
      <c r="H1932" s="3"/>
      <c r="I1932" s="3"/>
    </row>
    <row r="1933" spans="1:9" s="5" customFormat="1" x14ac:dyDescent="0.35">
      <c r="A1933" s="3" t="s">
        <v>810</v>
      </c>
      <c r="B1933" s="3" t="s">
        <v>880</v>
      </c>
      <c r="C1933" s="3" t="s">
        <v>39</v>
      </c>
      <c r="D1933" s="3" t="s">
        <v>881</v>
      </c>
      <c r="E1933" s="3" t="s">
        <v>23</v>
      </c>
      <c r="F1933" s="3" t="s">
        <v>16</v>
      </c>
      <c r="G1933" s="3" t="s">
        <v>882</v>
      </c>
      <c r="H1933" s="3"/>
      <c r="I1933" s="3"/>
    </row>
    <row r="1934" spans="1:9" s="5" customFormat="1" x14ac:dyDescent="0.35">
      <c r="A1934" s="3" t="s">
        <v>810</v>
      </c>
      <c r="B1934" s="3" t="s">
        <v>880</v>
      </c>
      <c r="C1934" s="3" t="s">
        <v>39</v>
      </c>
      <c r="D1934" s="3" t="s">
        <v>881</v>
      </c>
      <c r="E1934" s="3" t="s">
        <v>27</v>
      </c>
      <c r="F1934" s="3" t="s">
        <v>16</v>
      </c>
      <c r="G1934" s="3" t="s">
        <v>883</v>
      </c>
      <c r="H1934" s="3"/>
      <c r="I1934" s="3"/>
    </row>
    <row r="1935" spans="1:9" s="5" customFormat="1" x14ac:dyDescent="0.35">
      <c r="A1935" s="3" t="s">
        <v>810</v>
      </c>
      <c r="B1935" s="3" t="s">
        <v>880</v>
      </c>
      <c r="C1935" s="3" t="s">
        <v>39</v>
      </c>
      <c r="D1935" s="3" t="s">
        <v>881</v>
      </c>
      <c r="E1935" s="3" t="s">
        <v>32</v>
      </c>
      <c r="F1935" s="3" t="s">
        <v>16</v>
      </c>
      <c r="G1935" s="3" t="s">
        <v>884</v>
      </c>
      <c r="H1935" s="3"/>
      <c r="I1935" s="3"/>
    </row>
    <row r="1936" spans="1:9" s="5" customFormat="1" x14ac:dyDescent="0.35">
      <c r="A1936" s="3" t="s">
        <v>810</v>
      </c>
      <c r="B1936" s="3" t="s">
        <v>880</v>
      </c>
      <c r="C1936" s="3" t="s">
        <v>39</v>
      </c>
      <c r="D1936" s="3" t="s">
        <v>881</v>
      </c>
      <c r="E1936" s="3" t="s">
        <v>24</v>
      </c>
      <c r="F1936" s="3" t="s">
        <v>16</v>
      </c>
      <c r="G1936" s="3" t="s">
        <v>885</v>
      </c>
      <c r="H1936" s="3"/>
      <c r="I1936" s="3"/>
    </row>
    <row r="1937" spans="1:9" s="5" customFormat="1" x14ac:dyDescent="0.35">
      <c r="A1937" s="3" t="s">
        <v>810</v>
      </c>
      <c r="B1937" s="3" t="s">
        <v>880</v>
      </c>
      <c r="C1937" s="3" t="s">
        <v>20</v>
      </c>
      <c r="D1937" s="3" t="s">
        <v>886</v>
      </c>
      <c r="E1937" s="3" t="s">
        <v>25</v>
      </c>
      <c r="F1937" s="3"/>
      <c r="G1937" s="3"/>
      <c r="H1937" s="3"/>
      <c r="I1937" s="3"/>
    </row>
    <row r="1938" spans="1:9" s="5" customFormat="1" x14ac:dyDescent="0.35">
      <c r="A1938" s="3" t="s">
        <v>810</v>
      </c>
      <c r="B1938" s="3" t="s">
        <v>880</v>
      </c>
      <c r="C1938" s="3" t="s">
        <v>20</v>
      </c>
      <c r="D1938" s="3" t="s">
        <v>886</v>
      </c>
      <c r="E1938" s="3" t="s">
        <v>28</v>
      </c>
      <c r="F1938" s="3"/>
      <c r="G1938" s="3"/>
      <c r="H1938" s="3"/>
      <c r="I1938" s="3"/>
    </row>
    <row r="1939" spans="1:9" s="5" customFormat="1" x14ac:dyDescent="0.35">
      <c r="A1939" s="3" t="s">
        <v>810</v>
      </c>
      <c r="B1939" s="3" t="s">
        <v>880</v>
      </c>
      <c r="C1939" s="3" t="s">
        <v>20</v>
      </c>
      <c r="D1939" s="3" t="s">
        <v>886</v>
      </c>
      <c r="E1939" s="3" t="s">
        <v>15</v>
      </c>
      <c r="F1939" s="3" t="s">
        <v>16</v>
      </c>
      <c r="G1939" s="3" t="s">
        <v>887</v>
      </c>
      <c r="H1939" s="3"/>
      <c r="I1939" s="3"/>
    </row>
    <row r="1940" spans="1:9" s="5" customFormat="1" x14ac:dyDescent="0.35">
      <c r="A1940" s="3" t="s">
        <v>810</v>
      </c>
      <c r="B1940" s="3" t="s">
        <v>880</v>
      </c>
      <c r="C1940" s="3" t="s">
        <v>20</v>
      </c>
      <c r="D1940" s="3" t="s">
        <v>886</v>
      </c>
      <c r="E1940" s="3" t="s">
        <v>29</v>
      </c>
      <c r="F1940" s="3"/>
      <c r="G1940" s="3"/>
      <c r="H1940" s="3"/>
      <c r="I1940" s="3"/>
    </row>
    <row r="1941" spans="1:9" s="5" customFormat="1" x14ac:dyDescent="0.35">
      <c r="A1941" s="3" t="s">
        <v>810</v>
      </c>
      <c r="B1941" s="3" t="s">
        <v>880</v>
      </c>
      <c r="C1941" s="3" t="s">
        <v>20</v>
      </c>
      <c r="D1941" s="3" t="s">
        <v>886</v>
      </c>
      <c r="E1941" s="3" t="s">
        <v>888</v>
      </c>
      <c r="F1941" s="3"/>
      <c r="G1941" s="3"/>
      <c r="H1941" s="3"/>
      <c r="I1941" s="3"/>
    </row>
    <row r="1942" spans="1:9" s="5" customFormat="1" x14ac:dyDescent="0.35">
      <c r="A1942" s="3" t="s">
        <v>810</v>
      </c>
      <c r="B1942" s="3" t="s">
        <v>880</v>
      </c>
      <c r="C1942" s="3" t="s">
        <v>45</v>
      </c>
      <c r="D1942" s="3" t="s">
        <v>889</v>
      </c>
      <c r="E1942" s="3" t="s">
        <v>23</v>
      </c>
      <c r="F1942" s="3"/>
      <c r="G1942" s="3"/>
      <c r="H1942" s="3"/>
      <c r="I1942" s="3"/>
    </row>
    <row r="1943" spans="1:9" s="5" customFormat="1" x14ac:dyDescent="0.35">
      <c r="A1943" s="3" t="s">
        <v>810</v>
      </c>
      <c r="B1943" s="3" t="s">
        <v>880</v>
      </c>
      <c r="C1943" s="3" t="s">
        <v>42</v>
      </c>
      <c r="D1943" s="3" t="s">
        <v>890</v>
      </c>
      <c r="E1943" s="3" t="s">
        <v>12</v>
      </c>
      <c r="F1943" s="3"/>
      <c r="G1943" s="3"/>
      <c r="H1943" s="3"/>
      <c r="I1943" s="3"/>
    </row>
    <row r="1944" spans="1:9" s="5" customFormat="1" x14ac:dyDescent="0.35">
      <c r="A1944" s="3" t="s">
        <v>810</v>
      </c>
      <c r="B1944" s="3" t="s">
        <v>880</v>
      </c>
      <c r="C1944" s="3" t="s">
        <v>42</v>
      </c>
      <c r="D1944" s="3" t="s">
        <v>890</v>
      </c>
      <c r="E1944" s="3" t="s">
        <v>23</v>
      </c>
      <c r="F1944" s="3" t="s">
        <v>33</v>
      </c>
      <c r="G1944" s="3" t="s">
        <v>97</v>
      </c>
      <c r="H1944" s="3"/>
      <c r="I1944" s="3"/>
    </row>
    <row r="1945" spans="1:9" s="5" customFormat="1" x14ac:dyDescent="0.35">
      <c r="A1945" s="3" t="s">
        <v>810</v>
      </c>
      <c r="B1945" s="3" t="s">
        <v>880</v>
      </c>
      <c r="C1945" s="3" t="s">
        <v>42</v>
      </c>
      <c r="D1945" s="3" t="s">
        <v>890</v>
      </c>
      <c r="E1945" s="3" t="s">
        <v>87</v>
      </c>
      <c r="F1945" s="3"/>
      <c r="G1945" s="3"/>
      <c r="H1945" s="3"/>
      <c r="I1945" s="3"/>
    </row>
    <row r="1946" spans="1:9" s="5" customFormat="1" x14ac:dyDescent="0.35">
      <c r="A1946" s="3" t="s">
        <v>810</v>
      </c>
      <c r="B1946" s="3" t="s">
        <v>880</v>
      </c>
      <c r="C1946" s="3" t="s">
        <v>42</v>
      </c>
      <c r="D1946" s="3" t="s">
        <v>890</v>
      </c>
      <c r="E1946" s="3" t="s">
        <v>15</v>
      </c>
      <c r="F1946" s="3" t="s">
        <v>16</v>
      </c>
      <c r="G1946" s="3" t="s">
        <v>2267</v>
      </c>
      <c r="H1946" s="3"/>
      <c r="I1946" s="3"/>
    </row>
    <row r="1947" spans="1:9" s="5" customFormat="1" x14ac:dyDescent="0.35">
      <c r="A1947" s="3" t="s">
        <v>810</v>
      </c>
      <c r="B1947" s="3" t="s">
        <v>880</v>
      </c>
      <c r="C1947" s="3" t="s">
        <v>42</v>
      </c>
      <c r="D1947" s="3" t="s">
        <v>890</v>
      </c>
      <c r="E1947" s="3" t="s">
        <v>888</v>
      </c>
      <c r="F1947" s="3"/>
      <c r="G1947" s="3"/>
      <c r="H1947" s="3"/>
      <c r="I1947" s="3"/>
    </row>
    <row r="1948" spans="1:9" s="5" customFormat="1" x14ac:dyDescent="0.35">
      <c r="A1948" s="3" t="s">
        <v>810</v>
      </c>
      <c r="B1948" s="3" t="s">
        <v>880</v>
      </c>
      <c r="C1948" s="3" t="s">
        <v>42</v>
      </c>
      <c r="D1948" s="3" t="s">
        <v>890</v>
      </c>
      <c r="E1948" s="3" t="s">
        <v>134</v>
      </c>
      <c r="F1948" s="3"/>
      <c r="G1948" s="3"/>
      <c r="H1948" s="3"/>
      <c r="I1948" s="3"/>
    </row>
    <row r="1949" spans="1:9" s="5" customFormat="1" x14ac:dyDescent="0.35">
      <c r="A1949" s="3" t="s">
        <v>810</v>
      </c>
      <c r="B1949" s="3" t="s">
        <v>880</v>
      </c>
      <c r="C1949" s="3" t="s">
        <v>42</v>
      </c>
      <c r="D1949" s="3" t="s">
        <v>890</v>
      </c>
      <c r="E1949" s="3" t="s">
        <v>107</v>
      </c>
      <c r="F1949" s="3" t="s">
        <v>16</v>
      </c>
      <c r="G1949" s="3" t="s">
        <v>2340</v>
      </c>
      <c r="H1949" s="3"/>
      <c r="I1949" s="3"/>
    </row>
    <row r="1950" spans="1:9" s="5" customFormat="1" x14ac:dyDescent="0.35">
      <c r="A1950" s="3" t="s">
        <v>810</v>
      </c>
      <c r="B1950" s="3" t="s">
        <v>880</v>
      </c>
      <c r="C1950" s="3" t="s">
        <v>45</v>
      </c>
      <c r="D1950" s="3" t="s">
        <v>891</v>
      </c>
      <c r="E1950" s="3" t="s">
        <v>12</v>
      </c>
      <c r="F1950" s="3"/>
      <c r="G1950" s="3"/>
      <c r="H1950" s="3"/>
      <c r="I1950" s="3"/>
    </row>
    <row r="1951" spans="1:9" s="5" customFormat="1" x14ac:dyDescent="0.35">
      <c r="A1951" s="3" t="s">
        <v>810</v>
      </c>
      <c r="B1951" s="3" t="s">
        <v>880</v>
      </c>
      <c r="C1951" s="3" t="s">
        <v>45</v>
      </c>
      <c r="D1951" s="3" t="s">
        <v>891</v>
      </c>
      <c r="E1951" s="3" t="s">
        <v>36</v>
      </c>
      <c r="F1951" s="3" t="s">
        <v>33</v>
      </c>
      <c r="G1951" s="3" t="s">
        <v>97</v>
      </c>
      <c r="H1951" s="3"/>
      <c r="I1951" s="3"/>
    </row>
    <row r="1952" spans="1:9" s="5" customFormat="1" x14ac:dyDescent="0.35">
      <c r="A1952" s="3" t="s">
        <v>810</v>
      </c>
      <c r="B1952" s="3" t="s">
        <v>880</v>
      </c>
      <c r="C1952" s="3" t="s">
        <v>45</v>
      </c>
      <c r="D1952" s="3" t="s">
        <v>891</v>
      </c>
      <c r="E1952" s="3" t="s">
        <v>77</v>
      </c>
      <c r="F1952" s="3"/>
      <c r="G1952" s="3"/>
      <c r="H1952" s="3"/>
      <c r="I1952" s="3"/>
    </row>
    <row r="1953" spans="1:9" s="5" customFormat="1" x14ac:dyDescent="0.35">
      <c r="A1953" s="3" t="s">
        <v>810</v>
      </c>
      <c r="B1953" s="3" t="s">
        <v>880</v>
      </c>
      <c r="C1953" s="3" t="s">
        <v>45</v>
      </c>
      <c r="D1953" s="3" t="s">
        <v>891</v>
      </c>
      <c r="E1953" s="3" t="s">
        <v>15</v>
      </c>
      <c r="F1953" s="3"/>
      <c r="G1953" s="3"/>
      <c r="H1953" s="3"/>
      <c r="I1953" s="3"/>
    </row>
    <row r="1954" spans="1:9" s="5" customFormat="1" x14ac:dyDescent="0.35">
      <c r="A1954" s="3" t="s">
        <v>810</v>
      </c>
      <c r="B1954" s="3" t="s">
        <v>880</v>
      </c>
      <c r="C1954" s="3" t="s">
        <v>20</v>
      </c>
      <c r="D1954" s="3" t="s">
        <v>892</v>
      </c>
      <c r="E1954" s="3" t="s">
        <v>25</v>
      </c>
      <c r="F1954" s="3"/>
      <c r="G1954" s="3"/>
      <c r="H1954" s="3"/>
      <c r="I1954" s="3"/>
    </row>
    <row r="1955" spans="1:9" s="5" customFormat="1" x14ac:dyDescent="0.35">
      <c r="A1955" s="3" t="s">
        <v>810</v>
      </c>
      <c r="B1955" s="3" t="s">
        <v>880</v>
      </c>
      <c r="C1955" s="3" t="s">
        <v>20</v>
      </c>
      <c r="D1955" s="3" t="s">
        <v>892</v>
      </c>
      <c r="E1955" s="3" t="s">
        <v>60</v>
      </c>
      <c r="F1955" s="3"/>
      <c r="G1955" s="3"/>
      <c r="H1955" s="3"/>
      <c r="I1955" s="3"/>
    </row>
    <row r="1956" spans="1:9" s="5" customFormat="1" x14ac:dyDescent="0.35">
      <c r="A1956" s="3" t="s">
        <v>810</v>
      </c>
      <c r="B1956" s="3" t="s">
        <v>880</v>
      </c>
      <c r="C1956" s="3" t="s">
        <v>20</v>
      </c>
      <c r="D1956" s="3" t="s">
        <v>892</v>
      </c>
      <c r="E1956" s="3" t="s">
        <v>27</v>
      </c>
      <c r="F1956" s="3"/>
      <c r="G1956" s="3"/>
      <c r="H1956" s="3"/>
      <c r="I1956" s="3"/>
    </row>
    <row r="1957" spans="1:9" s="5" customFormat="1" x14ac:dyDescent="0.35">
      <c r="A1957" s="3" t="s">
        <v>810</v>
      </c>
      <c r="B1957" s="3" t="s">
        <v>880</v>
      </c>
      <c r="C1957" s="3" t="s">
        <v>20</v>
      </c>
      <c r="D1957" s="3" t="s">
        <v>892</v>
      </c>
      <c r="E1957" s="3" t="s">
        <v>77</v>
      </c>
      <c r="F1957" s="3"/>
      <c r="G1957" s="3" t="s">
        <v>2365</v>
      </c>
      <c r="H1957" s="3"/>
      <c r="I1957" s="3"/>
    </row>
    <row r="1958" spans="1:9" s="5" customFormat="1" x14ac:dyDescent="0.35">
      <c r="A1958" s="3" t="s">
        <v>810</v>
      </c>
      <c r="B1958" s="3" t="s">
        <v>880</v>
      </c>
      <c r="C1958" s="3" t="s">
        <v>20</v>
      </c>
      <c r="D1958" s="3" t="s">
        <v>892</v>
      </c>
      <c r="E1958" s="3" t="s">
        <v>28</v>
      </c>
      <c r="F1958" s="3"/>
      <c r="G1958" s="3" t="s">
        <v>2366</v>
      </c>
      <c r="H1958" s="3"/>
      <c r="I1958" s="3"/>
    </row>
    <row r="1959" spans="1:9" s="5" customFormat="1" x14ac:dyDescent="0.35">
      <c r="A1959" s="3" t="s">
        <v>810</v>
      </c>
      <c r="B1959" s="3" t="s">
        <v>880</v>
      </c>
      <c r="C1959" s="3" t="s">
        <v>20</v>
      </c>
      <c r="D1959" s="3" t="s">
        <v>892</v>
      </c>
      <c r="E1959" s="3" t="s">
        <v>31</v>
      </c>
      <c r="F1959" s="3"/>
      <c r="G1959" s="3"/>
      <c r="H1959" s="3"/>
      <c r="I1959" s="3"/>
    </row>
    <row r="1960" spans="1:9" s="5" customFormat="1" x14ac:dyDescent="0.35">
      <c r="A1960" s="3" t="s">
        <v>810</v>
      </c>
      <c r="B1960" s="3" t="s">
        <v>880</v>
      </c>
      <c r="C1960" s="3" t="s">
        <v>20</v>
      </c>
      <c r="D1960" s="3" t="s">
        <v>892</v>
      </c>
      <c r="E1960" s="3" t="s">
        <v>56</v>
      </c>
      <c r="F1960" s="3"/>
      <c r="G1960" s="3"/>
      <c r="H1960" s="3"/>
      <c r="I1960" s="3"/>
    </row>
    <row r="1961" spans="1:9" s="5" customFormat="1" x14ac:dyDescent="0.35">
      <c r="A1961" s="3" t="s">
        <v>810</v>
      </c>
      <c r="B1961" s="3" t="s">
        <v>880</v>
      </c>
      <c r="C1961" s="3" t="s">
        <v>20</v>
      </c>
      <c r="D1961" s="3" t="s">
        <v>892</v>
      </c>
      <c r="E1961" s="3" t="s">
        <v>89</v>
      </c>
      <c r="F1961" s="3"/>
      <c r="G1961" s="3"/>
      <c r="H1961" s="3"/>
      <c r="I1961" s="3"/>
    </row>
    <row r="1962" spans="1:9" s="5" customFormat="1" x14ac:dyDescent="0.35">
      <c r="A1962" s="3" t="s">
        <v>810</v>
      </c>
      <c r="B1962" s="3" t="s">
        <v>880</v>
      </c>
      <c r="C1962" s="3" t="s">
        <v>20</v>
      </c>
      <c r="D1962" s="3" t="s">
        <v>892</v>
      </c>
      <c r="E1962" s="3" t="s">
        <v>32</v>
      </c>
      <c r="F1962" s="3"/>
      <c r="G1962" s="3" t="s">
        <v>2313</v>
      </c>
      <c r="H1962" s="3"/>
      <c r="I1962" s="3"/>
    </row>
    <row r="1963" spans="1:9" s="5" customFormat="1" x14ac:dyDescent="0.35">
      <c r="A1963" s="3" t="s">
        <v>810</v>
      </c>
      <c r="B1963" s="3" t="s">
        <v>880</v>
      </c>
      <c r="C1963" s="3" t="s">
        <v>20</v>
      </c>
      <c r="D1963" s="3" t="s">
        <v>892</v>
      </c>
      <c r="E1963" s="3" t="s">
        <v>29</v>
      </c>
      <c r="F1963" s="3"/>
      <c r="G1963" s="3"/>
      <c r="H1963" s="3"/>
      <c r="I1963" s="3"/>
    </row>
    <row r="1964" spans="1:9" s="5" customFormat="1" x14ac:dyDescent="0.35">
      <c r="A1964" s="3" t="s">
        <v>810</v>
      </c>
      <c r="B1964" s="3" t="s">
        <v>880</v>
      </c>
      <c r="C1964" s="3" t="s">
        <v>20</v>
      </c>
      <c r="D1964" s="3" t="s">
        <v>892</v>
      </c>
      <c r="E1964" s="3" t="s">
        <v>134</v>
      </c>
      <c r="F1964" s="3"/>
      <c r="G1964" s="3"/>
      <c r="H1964" s="3"/>
      <c r="I1964" s="3"/>
    </row>
    <row r="1965" spans="1:9" s="5" customFormat="1" x14ac:dyDescent="0.35">
      <c r="A1965" s="3" t="s">
        <v>810</v>
      </c>
      <c r="B1965" s="3" t="s">
        <v>880</v>
      </c>
      <c r="C1965" s="3" t="s">
        <v>20</v>
      </c>
      <c r="D1965" s="3" t="s">
        <v>892</v>
      </c>
      <c r="E1965" s="3" t="s">
        <v>244</v>
      </c>
      <c r="F1965" s="3"/>
      <c r="G1965" s="3" t="s">
        <v>2367</v>
      </c>
      <c r="H1965" s="3"/>
      <c r="I1965" s="3"/>
    </row>
    <row r="1966" spans="1:9" s="5" customFormat="1" x14ac:dyDescent="0.35">
      <c r="A1966" s="3" t="s">
        <v>810</v>
      </c>
      <c r="B1966" s="3" t="s">
        <v>880</v>
      </c>
      <c r="C1966" s="3" t="s">
        <v>20</v>
      </c>
      <c r="D1966" s="3" t="s">
        <v>892</v>
      </c>
      <c r="E1966" s="3" t="s">
        <v>893</v>
      </c>
      <c r="F1966" s="3"/>
      <c r="G1966" s="3" t="s">
        <v>2368</v>
      </c>
      <c r="H1966" s="3"/>
      <c r="I1966" s="3"/>
    </row>
    <row r="1967" spans="1:9" s="5" customFormat="1" x14ac:dyDescent="0.35">
      <c r="A1967" s="3" t="s">
        <v>810</v>
      </c>
      <c r="B1967" s="3" t="s">
        <v>880</v>
      </c>
      <c r="C1967" s="3" t="s">
        <v>20</v>
      </c>
      <c r="D1967" s="3" t="s">
        <v>892</v>
      </c>
      <c r="E1967" s="3" t="s">
        <v>107</v>
      </c>
      <c r="F1967" s="3"/>
      <c r="G1967" s="3"/>
      <c r="H1967" s="3"/>
      <c r="I1967" s="3"/>
    </row>
    <row r="1968" spans="1:9" s="5" customFormat="1" x14ac:dyDescent="0.35">
      <c r="A1968" s="3" t="s">
        <v>810</v>
      </c>
      <c r="B1968" s="3" t="s">
        <v>880</v>
      </c>
      <c r="C1968" s="3" t="s">
        <v>45</v>
      </c>
      <c r="D1968" s="3" t="s">
        <v>894</v>
      </c>
      <c r="E1968" s="3" t="s">
        <v>77</v>
      </c>
      <c r="F1968" s="3"/>
      <c r="G1968" s="3"/>
      <c r="H1968" s="3"/>
      <c r="I1968" s="3"/>
    </row>
    <row r="1969" spans="1:9" s="5" customFormat="1" x14ac:dyDescent="0.35">
      <c r="A1969" s="3" t="s">
        <v>810</v>
      </c>
      <c r="B1969" s="3" t="s">
        <v>880</v>
      </c>
      <c r="C1969" s="3" t="s">
        <v>45</v>
      </c>
      <c r="D1969" s="3" t="s">
        <v>894</v>
      </c>
      <c r="E1969" s="3" t="s">
        <v>372</v>
      </c>
      <c r="F1969" s="3"/>
      <c r="G1969" s="3"/>
      <c r="H1969" s="3"/>
      <c r="I1969" s="3"/>
    </row>
    <row r="1970" spans="1:9" s="5" customFormat="1" x14ac:dyDescent="0.35">
      <c r="A1970" s="3" t="s">
        <v>810</v>
      </c>
      <c r="B1970" s="3" t="s">
        <v>880</v>
      </c>
      <c r="C1970" s="3" t="s">
        <v>45</v>
      </c>
      <c r="D1970" s="3" t="s">
        <v>895</v>
      </c>
      <c r="E1970" s="3" t="s">
        <v>25</v>
      </c>
      <c r="F1970" s="3"/>
      <c r="G1970" s="3"/>
      <c r="H1970" s="3"/>
      <c r="I1970" s="3"/>
    </row>
    <row r="1971" spans="1:9" s="5" customFormat="1" x14ac:dyDescent="0.35">
      <c r="A1971" s="3" t="s">
        <v>810</v>
      </c>
      <c r="B1971" s="3" t="s">
        <v>880</v>
      </c>
      <c r="C1971" s="3" t="s">
        <v>45</v>
      </c>
      <c r="D1971" s="3" t="s">
        <v>895</v>
      </c>
      <c r="E1971" s="3" t="s">
        <v>242</v>
      </c>
      <c r="F1971" s="3" t="s">
        <v>33</v>
      </c>
      <c r="G1971" s="3" t="s">
        <v>81</v>
      </c>
      <c r="H1971" s="3"/>
      <c r="I1971" s="3"/>
    </row>
    <row r="1972" spans="1:9" s="5" customFormat="1" x14ac:dyDescent="0.35">
      <c r="A1972" s="3" t="s">
        <v>810</v>
      </c>
      <c r="B1972" s="3" t="s">
        <v>880</v>
      </c>
      <c r="C1972" s="3" t="s">
        <v>45</v>
      </c>
      <c r="D1972" s="3" t="s">
        <v>895</v>
      </c>
      <c r="E1972" s="3" t="s">
        <v>56</v>
      </c>
      <c r="F1972" s="3"/>
      <c r="G1972" s="3" t="s">
        <v>2369</v>
      </c>
      <c r="H1972" s="3"/>
      <c r="I1972" s="3"/>
    </row>
    <row r="1973" spans="1:9" s="5" customFormat="1" x14ac:dyDescent="0.35">
      <c r="A1973" s="3" t="s">
        <v>810</v>
      </c>
      <c r="B1973" s="3" t="s">
        <v>880</v>
      </c>
      <c r="C1973" s="3" t="s">
        <v>20</v>
      </c>
      <c r="D1973" s="3" t="s">
        <v>896</v>
      </c>
      <c r="E1973" s="3" t="s">
        <v>12</v>
      </c>
      <c r="F1973" s="3"/>
      <c r="G1973" s="3"/>
      <c r="H1973" s="3"/>
      <c r="I1973" s="3"/>
    </row>
    <row r="1974" spans="1:9" s="5" customFormat="1" x14ac:dyDescent="0.35">
      <c r="A1974" s="3" t="s">
        <v>810</v>
      </c>
      <c r="B1974" s="3" t="s">
        <v>880</v>
      </c>
      <c r="C1974" s="3" t="s">
        <v>20</v>
      </c>
      <c r="D1974" s="3" t="s">
        <v>896</v>
      </c>
      <c r="E1974" s="3" t="s">
        <v>23</v>
      </c>
      <c r="F1974" s="3" t="s">
        <v>33</v>
      </c>
      <c r="G1974" s="3" t="s">
        <v>897</v>
      </c>
      <c r="H1974" s="3"/>
      <c r="I1974" s="3"/>
    </row>
    <row r="1975" spans="1:9" s="5" customFormat="1" x14ac:dyDescent="0.35">
      <c r="A1975" s="3" t="s">
        <v>810</v>
      </c>
      <c r="B1975" s="3" t="s">
        <v>880</v>
      </c>
      <c r="C1975" s="3" t="s">
        <v>20</v>
      </c>
      <c r="D1975" s="3" t="s">
        <v>896</v>
      </c>
      <c r="E1975" s="3" t="s">
        <v>60</v>
      </c>
      <c r="F1975" s="3" t="s">
        <v>33</v>
      </c>
      <c r="G1975" s="3" t="s">
        <v>898</v>
      </c>
      <c r="H1975" s="3"/>
      <c r="I1975" s="3"/>
    </row>
    <row r="1976" spans="1:9" s="5" customFormat="1" x14ac:dyDescent="0.35">
      <c r="A1976" s="3" t="s">
        <v>810</v>
      </c>
      <c r="B1976" s="3" t="s">
        <v>880</v>
      </c>
      <c r="C1976" s="3" t="s">
        <v>20</v>
      </c>
      <c r="D1976" s="3" t="s">
        <v>896</v>
      </c>
      <c r="E1976" s="3" t="s">
        <v>77</v>
      </c>
      <c r="F1976" s="3"/>
      <c r="G1976" s="3"/>
      <c r="H1976" s="3"/>
      <c r="I1976" s="3"/>
    </row>
    <row r="1977" spans="1:9" s="5" customFormat="1" x14ac:dyDescent="0.35">
      <c r="A1977" s="3" t="s">
        <v>810</v>
      </c>
      <c r="B1977" s="3" t="s">
        <v>880</v>
      </c>
      <c r="C1977" s="3" t="s">
        <v>20</v>
      </c>
      <c r="D1977" s="3" t="s">
        <v>896</v>
      </c>
      <c r="E1977" s="3" t="s">
        <v>87</v>
      </c>
      <c r="F1977" s="3"/>
      <c r="G1977" s="3"/>
      <c r="H1977" s="3"/>
      <c r="I1977" s="3"/>
    </row>
    <row r="1978" spans="1:9" s="5" customFormat="1" x14ac:dyDescent="0.35">
      <c r="A1978" s="3" t="s">
        <v>810</v>
      </c>
      <c r="B1978" s="3" t="s">
        <v>880</v>
      </c>
      <c r="C1978" s="3" t="s">
        <v>20</v>
      </c>
      <c r="D1978" s="3" t="s">
        <v>896</v>
      </c>
      <c r="E1978" s="3" t="s">
        <v>15</v>
      </c>
      <c r="F1978" s="3" t="s">
        <v>16</v>
      </c>
      <c r="G1978" s="3" t="s">
        <v>899</v>
      </c>
      <c r="H1978" s="3"/>
      <c r="I1978" s="3"/>
    </row>
    <row r="1979" spans="1:9" s="5" customFormat="1" x14ac:dyDescent="0.35">
      <c r="A1979" s="3" t="s">
        <v>810</v>
      </c>
      <c r="B1979" s="3" t="s">
        <v>880</v>
      </c>
      <c r="C1979" s="3" t="s">
        <v>20</v>
      </c>
      <c r="D1979" s="3" t="s">
        <v>896</v>
      </c>
      <c r="E1979" s="3" t="s">
        <v>57</v>
      </c>
      <c r="F1979" s="3" t="s">
        <v>33</v>
      </c>
      <c r="G1979" s="3" t="s">
        <v>897</v>
      </c>
      <c r="H1979" s="3"/>
      <c r="I1979" s="3"/>
    </row>
    <row r="1980" spans="1:9" s="5" customFormat="1" x14ac:dyDescent="0.35">
      <c r="A1980" s="3" t="s">
        <v>810</v>
      </c>
      <c r="B1980" s="3" t="s">
        <v>880</v>
      </c>
      <c r="C1980" s="3" t="s">
        <v>20</v>
      </c>
      <c r="D1980" s="3" t="s">
        <v>896</v>
      </c>
      <c r="E1980" s="3" t="s">
        <v>152</v>
      </c>
      <c r="F1980" s="3"/>
      <c r="G1980" s="3"/>
      <c r="H1980" s="3"/>
      <c r="I1980" s="3"/>
    </row>
    <row r="1981" spans="1:9" s="5" customFormat="1" x14ac:dyDescent="0.35">
      <c r="A1981" s="3" t="s">
        <v>810</v>
      </c>
      <c r="B1981" s="3" t="s">
        <v>880</v>
      </c>
      <c r="C1981" s="3" t="s">
        <v>45</v>
      </c>
      <c r="D1981" s="3" t="s">
        <v>2809</v>
      </c>
      <c r="E1981" s="3" t="s">
        <v>23</v>
      </c>
      <c r="F1981" s="3" t="s">
        <v>16</v>
      </c>
      <c r="G1981" s="3" t="s">
        <v>2810</v>
      </c>
      <c r="H1981" s="3"/>
      <c r="I1981" s="3"/>
    </row>
    <row r="1982" spans="1:9" s="5" customFormat="1" x14ac:dyDescent="0.35">
      <c r="A1982" s="3" t="s">
        <v>810</v>
      </c>
      <c r="B1982" s="3" t="s">
        <v>880</v>
      </c>
      <c r="C1982" s="3" t="s">
        <v>45</v>
      </c>
      <c r="D1982" s="3" t="s">
        <v>2809</v>
      </c>
      <c r="E1982" s="3" t="s">
        <v>888</v>
      </c>
      <c r="F1982" s="3"/>
      <c r="G1982" s="3"/>
      <c r="H1982" s="3"/>
      <c r="I1982" s="3"/>
    </row>
    <row r="1983" spans="1:9" s="5" customFormat="1" x14ac:dyDescent="0.35">
      <c r="A1983" s="3" t="s">
        <v>810</v>
      </c>
      <c r="B1983" s="3" t="s">
        <v>880</v>
      </c>
      <c r="C1983" s="3" t="s">
        <v>20</v>
      </c>
      <c r="D1983" s="3" t="s">
        <v>900</v>
      </c>
      <c r="E1983" s="3" t="s">
        <v>23</v>
      </c>
      <c r="F1983" s="3"/>
      <c r="G1983" s="3"/>
      <c r="H1983" s="3" t="s">
        <v>13</v>
      </c>
      <c r="I1983" s="3" t="s">
        <v>813</v>
      </c>
    </row>
    <row r="1984" spans="1:9" s="5" customFormat="1" x14ac:dyDescent="0.35">
      <c r="A1984" s="3" t="s">
        <v>810</v>
      </c>
      <c r="B1984" s="3" t="s">
        <v>880</v>
      </c>
      <c r="C1984" s="3" t="s">
        <v>20</v>
      </c>
      <c r="D1984" s="3" t="s">
        <v>900</v>
      </c>
      <c r="E1984" s="3" t="s">
        <v>98</v>
      </c>
      <c r="F1984" s="3"/>
      <c r="G1984" s="3"/>
      <c r="H1984" s="3" t="s">
        <v>13</v>
      </c>
      <c r="I1984" s="3" t="s">
        <v>813</v>
      </c>
    </row>
    <row r="1985" spans="1:9" s="5" customFormat="1" x14ac:dyDescent="0.35">
      <c r="A1985" s="3" t="s">
        <v>810</v>
      </c>
      <c r="B1985" s="3" t="s">
        <v>880</v>
      </c>
      <c r="C1985" s="3" t="s">
        <v>20</v>
      </c>
      <c r="D1985" s="3" t="s">
        <v>900</v>
      </c>
      <c r="E1985" s="3" t="s">
        <v>15</v>
      </c>
      <c r="F1985" s="3" t="s">
        <v>16</v>
      </c>
      <c r="G1985" s="3" t="s">
        <v>901</v>
      </c>
      <c r="H1985" s="3" t="s">
        <v>13</v>
      </c>
      <c r="I1985" s="3" t="s">
        <v>813</v>
      </c>
    </row>
    <row r="1986" spans="1:9" s="5" customFormat="1" x14ac:dyDescent="0.35">
      <c r="A1986" s="3" t="s">
        <v>810</v>
      </c>
      <c r="B1986" s="3" t="s">
        <v>880</v>
      </c>
      <c r="C1986" s="3" t="s">
        <v>20</v>
      </c>
      <c r="D1986" s="3" t="s">
        <v>900</v>
      </c>
      <c r="E1986" s="3" t="s">
        <v>888</v>
      </c>
      <c r="F1986" s="3"/>
      <c r="G1986" s="3"/>
      <c r="H1986" s="3" t="s">
        <v>13</v>
      </c>
      <c r="I1986" s="3" t="s">
        <v>813</v>
      </c>
    </row>
    <row r="1987" spans="1:9" s="5" customFormat="1" x14ac:dyDescent="0.35">
      <c r="A1987" s="3" t="s">
        <v>810</v>
      </c>
      <c r="B1987" s="3" t="s">
        <v>880</v>
      </c>
      <c r="C1987" s="3" t="s">
        <v>39</v>
      </c>
      <c r="D1987" s="3" t="s">
        <v>3016</v>
      </c>
      <c r="E1987" s="3" t="s">
        <v>23</v>
      </c>
      <c r="F1987" s="3"/>
      <c r="G1987" s="3"/>
      <c r="H1987" s="3" t="s">
        <v>13</v>
      </c>
      <c r="I1987" s="3" t="s">
        <v>813</v>
      </c>
    </row>
    <row r="1988" spans="1:9" s="5" customFormat="1" x14ac:dyDescent="0.35">
      <c r="A1988" s="3" t="s">
        <v>810</v>
      </c>
      <c r="B1988" s="3" t="s">
        <v>880</v>
      </c>
      <c r="C1988" s="3" t="s">
        <v>39</v>
      </c>
      <c r="D1988" s="3" t="s">
        <v>3016</v>
      </c>
      <c r="E1988" s="3" t="s">
        <v>27</v>
      </c>
      <c r="F1988" s="3" t="s">
        <v>16</v>
      </c>
      <c r="G1988" s="3" t="s">
        <v>3017</v>
      </c>
      <c r="H1988" s="3" t="s">
        <v>13</v>
      </c>
      <c r="I1988" s="3" t="s">
        <v>813</v>
      </c>
    </row>
    <row r="1989" spans="1:9" s="5" customFormat="1" x14ac:dyDescent="0.35">
      <c r="A1989" s="3" t="s">
        <v>810</v>
      </c>
      <c r="B1989" s="3" t="s">
        <v>880</v>
      </c>
      <c r="C1989" s="3" t="s">
        <v>39</v>
      </c>
      <c r="D1989" s="3" t="s">
        <v>3016</v>
      </c>
      <c r="E1989" s="3" t="s">
        <v>888</v>
      </c>
      <c r="F1989" s="3"/>
      <c r="G1989" s="3"/>
      <c r="H1989" s="3" t="s">
        <v>13</v>
      </c>
      <c r="I1989" s="3" t="s">
        <v>813</v>
      </c>
    </row>
    <row r="1990" spans="1:9" s="5" customFormat="1" x14ac:dyDescent="0.35">
      <c r="A1990" s="3" t="s">
        <v>810</v>
      </c>
      <c r="B1990" s="3" t="s">
        <v>880</v>
      </c>
      <c r="C1990" s="3" t="s">
        <v>39</v>
      </c>
      <c r="D1990" s="3" t="s">
        <v>902</v>
      </c>
      <c r="E1990" s="3" t="s">
        <v>60</v>
      </c>
      <c r="F1990" s="3" t="s">
        <v>16</v>
      </c>
      <c r="G1990" s="3" t="s">
        <v>903</v>
      </c>
      <c r="H1990" s="3"/>
      <c r="I1990" s="3"/>
    </row>
    <row r="1991" spans="1:9" s="5" customFormat="1" x14ac:dyDescent="0.35">
      <c r="A1991" s="3" t="s">
        <v>810</v>
      </c>
      <c r="B1991" s="3" t="s">
        <v>880</v>
      </c>
      <c r="C1991" s="3" t="s">
        <v>39</v>
      </c>
      <c r="D1991" s="3" t="s">
        <v>902</v>
      </c>
      <c r="E1991" s="3" t="s">
        <v>27</v>
      </c>
      <c r="F1991" s="3" t="s">
        <v>16</v>
      </c>
      <c r="G1991" s="3" t="s">
        <v>904</v>
      </c>
      <c r="H1991" s="3"/>
      <c r="I1991" s="3"/>
    </row>
    <row r="1992" spans="1:9" s="5" customFormat="1" x14ac:dyDescent="0.35">
      <c r="A1992" s="3" t="s">
        <v>810</v>
      </c>
      <c r="B1992" s="3" t="s">
        <v>880</v>
      </c>
      <c r="C1992" s="3" t="s">
        <v>39</v>
      </c>
      <c r="D1992" s="3" t="s">
        <v>902</v>
      </c>
      <c r="E1992" s="3" t="s">
        <v>15</v>
      </c>
      <c r="F1992" s="3" t="s">
        <v>16</v>
      </c>
      <c r="G1992" s="3" t="s">
        <v>905</v>
      </c>
      <c r="H1992" s="3"/>
      <c r="I1992" s="3"/>
    </row>
    <row r="1993" spans="1:9" s="5" customFormat="1" x14ac:dyDescent="0.35">
      <c r="A1993" s="3" t="s">
        <v>810</v>
      </c>
      <c r="B1993" s="3" t="s">
        <v>880</v>
      </c>
      <c r="C1993" s="3" t="s">
        <v>39</v>
      </c>
      <c r="D1993" s="3" t="s">
        <v>902</v>
      </c>
      <c r="E1993" s="3" t="s">
        <v>290</v>
      </c>
      <c r="F1993" s="3" t="s">
        <v>16</v>
      </c>
      <c r="G1993" s="3" t="s">
        <v>906</v>
      </c>
      <c r="H1993" s="3"/>
      <c r="I1993" s="3"/>
    </row>
    <row r="1994" spans="1:9" s="5" customFormat="1" x14ac:dyDescent="0.35">
      <c r="A1994" s="3" t="s">
        <v>810</v>
      </c>
      <c r="B1994" s="3" t="s">
        <v>880</v>
      </c>
      <c r="C1994" s="3" t="s">
        <v>45</v>
      </c>
      <c r="D1994" s="3" t="s">
        <v>2842</v>
      </c>
      <c r="E1994" s="3" t="s">
        <v>23</v>
      </c>
      <c r="F1994" s="3"/>
      <c r="G1994" s="3"/>
      <c r="H1994" s="3"/>
      <c r="I1994" s="3"/>
    </row>
    <row r="1995" spans="1:9" s="5" customFormat="1" x14ac:dyDescent="0.35">
      <c r="A1995" s="3" t="s">
        <v>810</v>
      </c>
      <c r="B1995" s="3" t="s">
        <v>880</v>
      </c>
      <c r="C1995" s="3" t="s">
        <v>45</v>
      </c>
      <c r="D1995" s="3" t="s">
        <v>2842</v>
      </c>
      <c r="E1995" s="3" t="s">
        <v>25</v>
      </c>
      <c r="F1995" s="3"/>
      <c r="G1995" s="3"/>
      <c r="H1995" s="3"/>
      <c r="I1995" s="3"/>
    </row>
    <row r="1996" spans="1:9" s="5" customFormat="1" x14ac:dyDescent="0.35">
      <c r="A1996" s="3" t="s">
        <v>810</v>
      </c>
      <c r="B1996" s="3" t="s">
        <v>880</v>
      </c>
      <c r="C1996" s="3" t="s">
        <v>45</v>
      </c>
      <c r="D1996" s="3" t="s">
        <v>2842</v>
      </c>
      <c r="E1996" s="3" t="s">
        <v>56</v>
      </c>
      <c r="F1996" s="3"/>
      <c r="G1996" s="3"/>
      <c r="H1996" s="3"/>
      <c r="I1996" s="3"/>
    </row>
    <row r="1997" spans="1:9" s="5" customFormat="1" x14ac:dyDescent="0.35">
      <c r="A1997" s="3" t="s">
        <v>810</v>
      </c>
      <c r="B1997" s="3" t="s">
        <v>880</v>
      </c>
      <c r="C1997" s="3" t="s">
        <v>45</v>
      </c>
      <c r="D1997" s="3" t="s">
        <v>2842</v>
      </c>
      <c r="E1997" s="3" t="s">
        <v>888</v>
      </c>
      <c r="F1997" s="3"/>
      <c r="G1997" s="3"/>
      <c r="H1997" s="3"/>
      <c r="I1997" s="3"/>
    </row>
    <row r="1998" spans="1:9" s="5" customFormat="1" x14ac:dyDescent="0.35">
      <c r="A1998" s="3" t="s">
        <v>907</v>
      </c>
      <c r="B1998" s="3" t="s">
        <v>908</v>
      </c>
      <c r="C1998" s="3" t="s">
        <v>39</v>
      </c>
      <c r="D1998" s="3" t="s">
        <v>909</v>
      </c>
      <c r="E1998" s="3" t="s">
        <v>36</v>
      </c>
      <c r="F1998" s="3"/>
      <c r="G1998" s="3"/>
      <c r="H1998" s="3"/>
      <c r="I1998" s="3"/>
    </row>
    <row r="1999" spans="1:9" s="5" customFormat="1" x14ac:dyDescent="0.35">
      <c r="A1999" s="3" t="s">
        <v>907</v>
      </c>
      <c r="B1999" s="3" t="s">
        <v>908</v>
      </c>
      <c r="C1999" s="3" t="s">
        <v>39</v>
      </c>
      <c r="D1999" s="3" t="s">
        <v>909</v>
      </c>
      <c r="E1999" s="3" t="s">
        <v>25</v>
      </c>
      <c r="F1999" s="3"/>
      <c r="G1999" s="3"/>
      <c r="H1999" s="3"/>
      <c r="I1999" s="3"/>
    </row>
    <row r="2000" spans="1:9" s="5" customFormat="1" x14ac:dyDescent="0.35">
      <c r="A2000" s="3" t="s">
        <v>907</v>
      </c>
      <c r="B2000" s="3" t="s">
        <v>908</v>
      </c>
      <c r="C2000" s="3" t="s">
        <v>39</v>
      </c>
      <c r="D2000" s="3" t="s">
        <v>909</v>
      </c>
      <c r="E2000" s="3" t="s">
        <v>27</v>
      </c>
      <c r="F2000" s="3"/>
      <c r="G2000" s="3"/>
      <c r="H2000" s="3"/>
      <c r="I2000" s="3"/>
    </row>
    <row r="2001" spans="1:9" s="5" customFormat="1" x14ac:dyDescent="0.35">
      <c r="A2001" s="3" t="s">
        <v>907</v>
      </c>
      <c r="B2001" s="3" t="s">
        <v>908</v>
      </c>
      <c r="C2001" s="3" t="s">
        <v>39</v>
      </c>
      <c r="D2001" s="3" t="s">
        <v>909</v>
      </c>
      <c r="E2001" s="3" t="s">
        <v>77</v>
      </c>
      <c r="F2001" s="3"/>
      <c r="G2001" s="3"/>
      <c r="H2001" s="3"/>
      <c r="I2001" s="3"/>
    </row>
    <row r="2002" spans="1:9" s="5" customFormat="1" x14ac:dyDescent="0.35">
      <c r="A2002" s="3" t="s">
        <v>907</v>
      </c>
      <c r="B2002" s="3" t="s">
        <v>908</v>
      </c>
      <c r="C2002" s="3" t="s">
        <v>39</v>
      </c>
      <c r="D2002" s="3" t="s">
        <v>909</v>
      </c>
      <c r="E2002" s="3" t="s">
        <v>28</v>
      </c>
      <c r="F2002" s="3"/>
      <c r="G2002" s="3"/>
      <c r="H2002" s="3"/>
      <c r="I2002" s="3"/>
    </row>
    <row r="2003" spans="1:9" s="5" customFormat="1" x14ac:dyDescent="0.35">
      <c r="A2003" s="3" t="s">
        <v>907</v>
      </c>
      <c r="B2003" s="3" t="s">
        <v>908</v>
      </c>
      <c r="C2003" s="3" t="s">
        <v>39</v>
      </c>
      <c r="D2003" s="3" t="s">
        <v>909</v>
      </c>
      <c r="E2003" s="3" t="s">
        <v>87</v>
      </c>
      <c r="F2003" s="3"/>
      <c r="G2003" s="3"/>
      <c r="H2003" s="3"/>
      <c r="I2003" s="3"/>
    </row>
    <row r="2004" spans="1:9" s="5" customFormat="1" x14ac:dyDescent="0.35">
      <c r="A2004" s="3" t="s">
        <v>907</v>
      </c>
      <c r="B2004" s="3" t="s">
        <v>908</v>
      </c>
      <c r="C2004" s="3" t="s">
        <v>39</v>
      </c>
      <c r="D2004" s="3" t="s">
        <v>909</v>
      </c>
      <c r="E2004" s="3" t="s">
        <v>912</v>
      </c>
      <c r="F2004" s="3" t="s">
        <v>16</v>
      </c>
      <c r="G2004" s="3" t="s">
        <v>913</v>
      </c>
      <c r="H2004" s="3"/>
      <c r="I2004" s="3"/>
    </row>
    <row r="2005" spans="1:9" s="5" customFormat="1" x14ac:dyDescent="0.35">
      <c r="A2005" s="3" t="s">
        <v>907</v>
      </c>
      <c r="B2005" s="3" t="s">
        <v>908</v>
      </c>
      <c r="C2005" s="3" t="s">
        <v>39</v>
      </c>
      <c r="D2005" s="3" t="s">
        <v>909</v>
      </c>
      <c r="E2005" s="3" t="s">
        <v>15</v>
      </c>
      <c r="F2005" s="3" t="s">
        <v>16</v>
      </c>
      <c r="G2005" s="3" t="s">
        <v>910</v>
      </c>
      <c r="H2005" s="3"/>
      <c r="I2005" s="3"/>
    </row>
    <row r="2006" spans="1:9" s="5" customFormat="1" x14ac:dyDescent="0.35">
      <c r="A2006" s="3" t="s">
        <v>907</v>
      </c>
      <c r="B2006" s="3" t="s">
        <v>908</v>
      </c>
      <c r="C2006" s="3" t="s">
        <v>39</v>
      </c>
      <c r="D2006" s="3" t="s">
        <v>909</v>
      </c>
      <c r="E2006" s="3" t="s">
        <v>56</v>
      </c>
      <c r="F2006" s="3" t="s">
        <v>16</v>
      </c>
      <c r="G2006" s="3" t="s">
        <v>910</v>
      </c>
      <c r="H2006" s="3"/>
      <c r="I2006" s="3"/>
    </row>
    <row r="2007" spans="1:9" s="5" customFormat="1" x14ac:dyDescent="0.35">
      <c r="A2007" s="3" t="s">
        <v>907</v>
      </c>
      <c r="B2007" s="3" t="s">
        <v>908</v>
      </c>
      <c r="C2007" s="3" t="s">
        <v>39</v>
      </c>
      <c r="D2007" s="3" t="s">
        <v>909</v>
      </c>
      <c r="E2007" s="3" t="s">
        <v>32</v>
      </c>
      <c r="F2007" s="3"/>
      <c r="G2007" s="3" t="s">
        <v>2313</v>
      </c>
      <c r="H2007" s="3"/>
      <c r="I2007" s="3"/>
    </row>
    <row r="2008" spans="1:9" s="5" customFormat="1" x14ac:dyDescent="0.35">
      <c r="A2008" s="3" t="s">
        <v>907</v>
      </c>
      <c r="B2008" s="3" t="s">
        <v>908</v>
      </c>
      <c r="C2008" s="3" t="s">
        <v>39</v>
      </c>
      <c r="D2008" s="3" t="s">
        <v>909</v>
      </c>
      <c r="E2008" s="3" t="s">
        <v>29</v>
      </c>
      <c r="F2008" s="3"/>
      <c r="G2008" s="3" t="s">
        <v>2314</v>
      </c>
      <c r="H2008" s="3"/>
      <c r="I2008" s="3"/>
    </row>
    <row r="2009" spans="1:9" s="5" customFormat="1" x14ac:dyDescent="0.35">
      <c r="A2009" s="3" t="s">
        <v>907</v>
      </c>
      <c r="B2009" s="3" t="s">
        <v>908</v>
      </c>
      <c r="C2009" s="3" t="s">
        <v>39</v>
      </c>
      <c r="D2009" s="3" t="s">
        <v>909</v>
      </c>
      <c r="E2009" s="3" t="s">
        <v>24</v>
      </c>
      <c r="F2009" s="3"/>
      <c r="G2009" s="3"/>
      <c r="H2009" s="3"/>
      <c r="I2009" s="3"/>
    </row>
    <row r="2010" spans="1:9" s="5" customFormat="1" x14ac:dyDescent="0.35">
      <c r="A2010" s="3" t="s">
        <v>907</v>
      </c>
      <c r="B2010" s="3" t="s">
        <v>914</v>
      </c>
      <c r="C2010" s="3" t="s">
        <v>45</v>
      </c>
      <c r="D2010" s="3" t="s">
        <v>915</v>
      </c>
      <c r="E2010" s="3" t="s">
        <v>56</v>
      </c>
      <c r="F2010" s="3"/>
      <c r="G2010" s="3"/>
      <c r="H2010" s="3"/>
      <c r="I2010" s="3"/>
    </row>
    <row r="2011" spans="1:9" s="5" customFormat="1" x14ac:dyDescent="0.35">
      <c r="A2011" s="3" t="s">
        <v>907</v>
      </c>
      <c r="B2011" s="3" t="s">
        <v>914</v>
      </c>
      <c r="C2011" s="3" t="s">
        <v>20</v>
      </c>
      <c r="D2011" s="3" t="s">
        <v>916</v>
      </c>
      <c r="E2011" s="3" t="s">
        <v>36</v>
      </c>
      <c r="F2011" s="3" t="s">
        <v>33</v>
      </c>
      <c r="G2011" s="3" t="s">
        <v>34</v>
      </c>
      <c r="H2011" s="3"/>
      <c r="I2011" s="3"/>
    </row>
    <row r="2012" spans="1:9" s="5" customFormat="1" x14ac:dyDescent="0.35">
      <c r="A2012" s="3" t="s">
        <v>907</v>
      </c>
      <c r="B2012" s="3" t="s">
        <v>914</v>
      </c>
      <c r="C2012" s="3" t="s">
        <v>20</v>
      </c>
      <c r="D2012" s="3" t="s">
        <v>916</v>
      </c>
      <c r="E2012" s="3" t="s">
        <v>15</v>
      </c>
      <c r="F2012" s="3"/>
      <c r="G2012" s="3"/>
      <c r="H2012" s="3"/>
      <c r="I2012" s="3"/>
    </row>
    <row r="2013" spans="1:9" s="5" customFormat="1" x14ac:dyDescent="0.35">
      <c r="A2013" s="3" t="s">
        <v>907</v>
      </c>
      <c r="B2013" s="3" t="s">
        <v>914</v>
      </c>
      <c r="C2013" s="3" t="s">
        <v>20</v>
      </c>
      <c r="D2013" s="3" t="s">
        <v>917</v>
      </c>
      <c r="E2013" s="3" t="s">
        <v>918</v>
      </c>
      <c r="F2013" s="3"/>
      <c r="G2013" s="3"/>
      <c r="H2013" s="3"/>
      <c r="I2013" s="3"/>
    </row>
    <row r="2014" spans="1:9" s="5" customFormat="1" x14ac:dyDescent="0.35">
      <c r="A2014" s="3" t="s">
        <v>907</v>
      </c>
      <c r="B2014" s="3" t="s">
        <v>914</v>
      </c>
      <c r="C2014" s="3" t="s">
        <v>20</v>
      </c>
      <c r="D2014" s="3" t="s">
        <v>917</v>
      </c>
      <c r="E2014" s="3" t="s">
        <v>60</v>
      </c>
      <c r="F2014" s="3" t="s">
        <v>16</v>
      </c>
      <c r="G2014" s="3" t="s">
        <v>919</v>
      </c>
      <c r="H2014" s="3"/>
      <c r="I2014" s="3"/>
    </row>
    <row r="2015" spans="1:9" s="5" customFormat="1" x14ac:dyDescent="0.35">
      <c r="A2015" s="3" t="s">
        <v>907</v>
      </c>
      <c r="B2015" s="3" t="s">
        <v>914</v>
      </c>
      <c r="C2015" s="3" t="s">
        <v>20</v>
      </c>
      <c r="D2015" s="3" t="s">
        <v>917</v>
      </c>
      <c r="E2015" s="3" t="s">
        <v>27</v>
      </c>
      <c r="F2015" s="3"/>
      <c r="G2015" s="3" t="s">
        <v>2287</v>
      </c>
      <c r="H2015" s="3"/>
      <c r="I2015" s="3"/>
    </row>
    <row r="2016" spans="1:9" s="5" customFormat="1" x14ac:dyDescent="0.35">
      <c r="A2016" s="3" t="s">
        <v>907</v>
      </c>
      <c r="B2016" s="3" t="s">
        <v>914</v>
      </c>
      <c r="C2016" s="3" t="s">
        <v>20</v>
      </c>
      <c r="D2016" s="3" t="s">
        <v>917</v>
      </c>
      <c r="E2016" s="3" t="s">
        <v>77</v>
      </c>
      <c r="F2016" s="3"/>
      <c r="G2016" s="3"/>
      <c r="H2016" s="3"/>
      <c r="I2016" s="3"/>
    </row>
    <row r="2017" spans="1:9" s="5" customFormat="1" x14ac:dyDescent="0.35">
      <c r="A2017" s="3" t="s">
        <v>907</v>
      </c>
      <c r="B2017" s="3" t="s">
        <v>914</v>
      </c>
      <c r="C2017" s="3" t="s">
        <v>20</v>
      </c>
      <c r="D2017" s="3" t="s">
        <v>917</v>
      </c>
      <c r="E2017" s="3" t="s">
        <v>28</v>
      </c>
      <c r="F2017" s="3"/>
      <c r="G2017" s="3" t="s">
        <v>2288</v>
      </c>
      <c r="H2017" s="3"/>
      <c r="I2017" s="3"/>
    </row>
    <row r="2018" spans="1:9" s="5" customFormat="1" x14ac:dyDescent="0.35">
      <c r="A2018" s="3" t="s">
        <v>907</v>
      </c>
      <c r="B2018" s="3" t="s">
        <v>914</v>
      </c>
      <c r="C2018" s="3" t="s">
        <v>20</v>
      </c>
      <c r="D2018" s="3" t="s">
        <v>917</v>
      </c>
      <c r="E2018" s="3" t="s">
        <v>242</v>
      </c>
      <c r="F2018" s="3"/>
      <c r="G2018" s="3"/>
      <c r="H2018" s="3"/>
      <c r="I2018" s="3"/>
    </row>
    <row r="2019" spans="1:9" s="5" customFormat="1" x14ac:dyDescent="0.35">
      <c r="A2019" s="3" t="s">
        <v>907</v>
      </c>
      <c r="B2019" s="3" t="s">
        <v>914</v>
      </c>
      <c r="C2019" s="3" t="s">
        <v>20</v>
      </c>
      <c r="D2019" s="3" t="s">
        <v>917</v>
      </c>
      <c r="E2019" s="3" t="s">
        <v>15</v>
      </c>
      <c r="F2019" s="3"/>
      <c r="G2019" s="3"/>
      <c r="H2019" s="3"/>
      <c r="I2019" s="3"/>
    </row>
    <row r="2020" spans="1:9" s="5" customFormat="1" x14ac:dyDescent="0.35">
      <c r="A2020" s="3" t="s">
        <v>907</v>
      </c>
      <c r="B2020" s="3" t="s">
        <v>914</v>
      </c>
      <c r="C2020" s="3" t="s">
        <v>20</v>
      </c>
      <c r="D2020" s="3" t="s">
        <v>917</v>
      </c>
      <c r="E2020" s="3" t="s">
        <v>56</v>
      </c>
      <c r="F2020" s="3"/>
      <c r="G2020" s="3" t="s">
        <v>2289</v>
      </c>
      <c r="H2020" s="3"/>
      <c r="I2020" s="3"/>
    </row>
    <row r="2021" spans="1:9" s="5" customFormat="1" x14ac:dyDescent="0.35">
      <c r="A2021" s="3" t="s">
        <v>907</v>
      </c>
      <c r="B2021" s="3" t="s">
        <v>914</v>
      </c>
      <c r="C2021" s="3" t="s">
        <v>20</v>
      </c>
      <c r="D2021" s="3" t="s">
        <v>917</v>
      </c>
      <c r="E2021" s="3" t="s">
        <v>32</v>
      </c>
      <c r="F2021" s="3"/>
      <c r="G2021" s="3"/>
      <c r="H2021" s="3"/>
      <c r="I2021" s="3"/>
    </row>
    <row r="2022" spans="1:9" s="5" customFormat="1" x14ac:dyDescent="0.35">
      <c r="A2022" s="3" t="s">
        <v>907</v>
      </c>
      <c r="B2022" s="3" t="s">
        <v>914</v>
      </c>
      <c r="C2022" s="3" t="s">
        <v>20</v>
      </c>
      <c r="D2022" s="3" t="s">
        <v>917</v>
      </c>
      <c r="E2022" s="3" t="s">
        <v>24</v>
      </c>
      <c r="F2022" s="3"/>
      <c r="G2022" s="3"/>
      <c r="H2022" s="3"/>
      <c r="I2022" s="3"/>
    </row>
    <row r="2023" spans="1:9" s="5" customFormat="1" x14ac:dyDescent="0.35">
      <c r="A2023" s="3" t="s">
        <v>907</v>
      </c>
      <c r="B2023" s="3" t="s">
        <v>914</v>
      </c>
      <c r="C2023" s="3" t="s">
        <v>20</v>
      </c>
      <c r="D2023" s="3" t="s">
        <v>917</v>
      </c>
      <c r="E2023" s="3" t="s">
        <v>191</v>
      </c>
      <c r="F2023" s="3" t="s">
        <v>16</v>
      </c>
      <c r="G2023" s="3" t="s">
        <v>920</v>
      </c>
      <c r="H2023" s="3"/>
      <c r="I2023" s="3"/>
    </row>
    <row r="2024" spans="1:9" s="5" customFormat="1" x14ac:dyDescent="0.35">
      <c r="A2024" s="3" t="s">
        <v>907</v>
      </c>
      <c r="B2024" s="3" t="s">
        <v>914</v>
      </c>
      <c r="C2024" s="3" t="s">
        <v>45</v>
      </c>
      <c r="D2024" s="3" t="s">
        <v>921</v>
      </c>
      <c r="E2024" s="3" t="s">
        <v>56</v>
      </c>
      <c r="F2024" s="3"/>
      <c r="G2024" s="3"/>
      <c r="H2024" s="3"/>
      <c r="I2024" s="3"/>
    </row>
    <row r="2025" spans="1:9" s="5" customFormat="1" x14ac:dyDescent="0.35">
      <c r="A2025" s="3" t="s">
        <v>907</v>
      </c>
      <c r="B2025" s="3" t="s">
        <v>914</v>
      </c>
      <c r="C2025" s="3" t="s">
        <v>20</v>
      </c>
      <c r="D2025" s="3" t="s">
        <v>922</v>
      </c>
      <c r="E2025" s="3" t="s">
        <v>918</v>
      </c>
      <c r="F2025" s="3"/>
      <c r="G2025" s="3"/>
      <c r="H2025" s="3"/>
      <c r="I2025" s="3"/>
    </row>
    <row r="2026" spans="1:9" s="5" customFormat="1" x14ac:dyDescent="0.35">
      <c r="A2026" s="3" t="s">
        <v>907</v>
      </c>
      <c r="B2026" s="3" t="s">
        <v>914</v>
      </c>
      <c r="C2026" s="3" t="s">
        <v>20</v>
      </c>
      <c r="D2026" s="3" t="s">
        <v>922</v>
      </c>
      <c r="E2026" s="3" t="s">
        <v>25</v>
      </c>
      <c r="F2026" s="3"/>
      <c r="G2026" s="3"/>
      <c r="H2026" s="3" t="s">
        <v>13</v>
      </c>
      <c r="I2026" s="3" t="s">
        <v>69</v>
      </c>
    </row>
    <row r="2027" spans="1:9" s="5" customFormat="1" x14ac:dyDescent="0.35">
      <c r="A2027" s="3" t="s">
        <v>907</v>
      </c>
      <c r="B2027" s="3" t="s">
        <v>914</v>
      </c>
      <c r="C2027" s="3" t="s">
        <v>20</v>
      </c>
      <c r="D2027" s="3" t="s">
        <v>922</v>
      </c>
      <c r="E2027" s="3" t="s">
        <v>77</v>
      </c>
      <c r="F2027" s="3"/>
      <c r="G2027" s="3"/>
      <c r="H2027" s="3"/>
      <c r="I2027" s="3"/>
    </row>
    <row r="2028" spans="1:9" s="5" customFormat="1" x14ac:dyDescent="0.35">
      <c r="A2028" s="3" t="s">
        <v>907</v>
      </c>
      <c r="B2028" s="3" t="s">
        <v>914</v>
      </c>
      <c r="C2028" s="3" t="s">
        <v>20</v>
      </c>
      <c r="D2028" s="3" t="s">
        <v>922</v>
      </c>
      <c r="E2028" s="3" t="s">
        <v>28</v>
      </c>
      <c r="F2028" s="3"/>
      <c r="G2028" s="3" t="s">
        <v>2288</v>
      </c>
      <c r="H2028" s="3"/>
      <c r="I2028" s="3"/>
    </row>
    <row r="2029" spans="1:9" s="5" customFormat="1" x14ac:dyDescent="0.35">
      <c r="A2029" s="3" t="s">
        <v>907</v>
      </c>
      <c r="B2029" s="3" t="s">
        <v>914</v>
      </c>
      <c r="C2029" s="3" t="s">
        <v>20</v>
      </c>
      <c r="D2029" s="3" t="s">
        <v>922</v>
      </c>
      <c r="E2029" s="3" t="s">
        <v>87</v>
      </c>
      <c r="F2029" s="3"/>
      <c r="G2029" s="3"/>
      <c r="H2029" s="3" t="s">
        <v>13</v>
      </c>
      <c r="I2029" s="3" t="s">
        <v>69</v>
      </c>
    </row>
    <row r="2030" spans="1:9" s="5" customFormat="1" x14ac:dyDescent="0.35">
      <c r="A2030" s="3" t="s">
        <v>907</v>
      </c>
      <c r="B2030" s="3" t="s">
        <v>914</v>
      </c>
      <c r="C2030" s="3" t="s">
        <v>20</v>
      </c>
      <c r="D2030" s="3" t="s">
        <v>922</v>
      </c>
      <c r="E2030" s="3" t="s">
        <v>15</v>
      </c>
      <c r="F2030" s="3"/>
      <c r="G2030" s="3"/>
      <c r="H2030" s="3"/>
      <c r="I2030" s="3"/>
    </row>
    <row r="2031" spans="1:9" s="5" customFormat="1" x14ac:dyDescent="0.35">
      <c r="A2031" s="3" t="s">
        <v>907</v>
      </c>
      <c r="B2031" s="3" t="s">
        <v>914</v>
      </c>
      <c r="C2031" s="3" t="s">
        <v>20</v>
      </c>
      <c r="D2031" s="3" t="s">
        <v>922</v>
      </c>
      <c r="E2031" s="3" t="s">
        <v>56</v>
      </c>
      <c r="F2031" s="3"/>
      <c r="G2031" s="3"/>
      <c r="H2031" s="3"/>
      <c r="I2031" s="3"/>
    </row>
    <row r="2032" spans="1:9" s="5" customFormat="1" x14ac:dyDescent="0.35">
      <c r="A2032" s="3" t="s">
        <v>907</v>
      </c>
      <c r="B2032" s="3" t="s">
        <v>914</v>
      </c>
      <c r="C2032" s="3" t="s">
        <v>20</v>
      </c>
      <c r="D2032" s="3" t="s">
        <v>922</v>
      </c>
      <c r="E2032" s="3" t="s">
        <v>191</v>
      </c>
      <c r="F2032" s="3"/>
      <c r="G2032" s="3"/>
      <c r="H2032" s="3" t="s">
        <v>13</v>
      </c>
      <c r="I2032" s="3" t="s">
        <v>69</v>
      </c>
    </row>
    <row r="2033" spans="1:9" s="5" customFormat="1" x14ac:dyDescent="0.35">
      <c r="A2033" s="3" t="s">
        <v>907</v>
      </c>
      <c r="B2033" s="3" t="s">
        <v>914</v>
      </c>
      <c r="C2033" s="3" t="s">
        <v>42</v>
      </c>
      <c r="D2033" s="3" t="s">
        <v>923</v>
      </c>
      <c r="E2033" s="3" t="s">
        <v>25</v>
      </c>
      <c r="F2033" s="3"/>
      <c r="G2033" s="3"/>
      <c r="H2033" s="3"/>
      <c r="I2033" s="3"/>
    </row>
    <row r="2034" spans="1:9" s="5" customFormat="1" x14ac:dyDescent="0.35">
      <c r="A2034" s="3" t="s">
        <v>907</v>
      </c>
      <c r="B2034" s="3" t="s">
        <v>914</v>
      </c>
      <c r="C2034" s="3" t="s">
        <v>42</v>
      </c>
      <c r="D2034" s="3" t="s">
        <v>923</v>
      </c>
      <c r="E2034" s="3" t="s">
        <v>141</v>
      </c>
      <c r="F2034" s="3"/>
      <c r="G2034" s="3"/>
      <c r="H2034" s="3"/>
      <c r="I2034" s="3"/>
    </row>
    <row r="2035" spans="1:9" s="5" customFormat="1" x14ac:dyDescent="0.35">
      <c r="A2035" s="3" t="s">
        <v>907</v>
      </c>
      <c r="B2035" s="3" t="s">
        <v>914</v>
      </c>
      <c r="C2035" s="3" t="s">
        <v>42</v>
      </c>
      <c r="D2035" s="3" t="s">
        <v>923</v>
      </c>
      <c r="E2035" s="3" t="s">
        <v>56</v>
      </c>
      <c r="F2035" s="3"/>
      <c r="G2035" s="3"/>
      <c r="H2035" s="3"/>
      <c r="I2035" s="3"/>
    </row>
    <row r="2036" spans="1:9" s="5" customFormat="1" x14ac:dyDescent="0.35">
      <c r="A2036" s="3" t="s">
        <v>907</v>
      </c>
      <c r="B2036" s="3" t="s">
        <v>914</v>
      </c>
      <c r="C2036" s="3" t="s">
        <v>42</v>
      </c>
      <c r="D2036" s="3" t="s">
        <v>923</v>
      </c>
      <c r="E2036" s="3" t="s">
        <v>32</v>
      </c>
      <c r="F2036" s="3"/>
      <c r="G2036" s="3"/>
      <c r="H2036" s="3"/>
      <c r="I2036" s="3"/>
    </row>
    <row r="2037" spans="1:9" s="5" customFormat="1" x14ac:dyDescent="0.35">
      <c r="A2037" s="3" t="s">
        <v>907</v>
      </c>
      <c r="B2037" s="3" t="s">
        <v>914</v>
      </c>
      <c r="C2037" s="3" t="s">
        <v>42</v>
      </c>
      <c r="D2037" s="3" t="s">
        <v>923</v>
      </c>
      <c r="E2037" s="3" t="s">
        <v>82</v>
      </c>
      <c r="F2037" s="3"/>
      <c r="G2037" s="3"/>
      <c r="H2037" s="3"/>
      <c r="I2037" s="3"/>
    </row>
    <row r="2038" spans="1:9" s="5" customFormat="1" x14ac:dyDescent="0.35">
      <c r="A2038" s="3" t="s">
        <v>907</v>
      </c>
      <c r="B2038" s="3" t="s">
        <v>914</v>
      </c>
      <c r="C2038" s="3" t="s">
        <v>20</v>
      </c>
      <c r="D2038" s="3" t="s">
        <v>924</v>
      </c>
      <c r="E2038" s="3" t="s">
        <v>36</v>
      </c>
      <c r="F2038" s="3" t="s">
        <v>33</v>
      </c>
      <c r="G2038" s="3" t="s">
        <v>34</v>
      </c>
      <c r="H2038" s="3"/>
      <c r="I2038" s="3"/>
    </row>
    <row r="2039" spans="1:9" s="5" customFormat="1" x14ac:dyDescent="0.35">
      <c r="A2039" s="3" t="s">
        <v>907</v>
      </c>
      <c r="B2039" s="3" t="s">
        <v>914</v>
      </c>
      <c r="C2039" s="3" t="s">
        <v>20</v>
      </c>
      <c r="D2039" s="3" t="s">
        <v>924</v>
      </c>
      <c r="E2039" s="3" t="s">
        <v>25</v>
      </c>
      <c r="F2039" s="3"/>
      <c r="G2039" s="3"/>
      <c r="H2039" s="3"/>
      <c r="I2039" s="3"/>
    </row>
    <row r="2040" spans="1:9" s="5" customFormat="1" x14ac:dyDescent="0.35">
      <c r="A2040" s="3" t="s">
        <v>907</v>
      </c>
      <c r="B2040" s="3" t="s">
        <v>914</v>
      </c>
      <c r="C2040" s="3" t="s">
        <v>20</v>
      </c>
      <c r="D2040" s="3" t="s">
        <v>924</v>
      </c>
      <c r="E2040" s="3" t="s">
        <v>60</v>
      </c>
      <c r="F2040" s="3"/>
      <c r="G2040" s="3"/>
      <c r="H2040" s="3"/>
      <c r="I2040" s="3"/>
    </row>
    <row r="2041" spans="1:9" s="5" customFormat="1" x14ac:dyDescent="0.35">
      <c r="A2041" s="3" t="s">
        <v>907</v>
      </c>
      <c r="B2041" s="3" t="s">
        <v>914</v>
      </c>
      <c r="C2041" s="3" t="s">
        <v>20</v>
      </c>
      <c r="D2041" s="3" t="s">
        <v>924</v>
      </c>
      <c r="E2041" s="3" t="s">
        <v>27</v>
      </c>
      <c r="F2041" s="3"/>
      <c r="G2041" s="3"/>
      <c r="H2041" s="3"/>
      <c r="I2041" s="3"/>
    </row>
    <row r="2042" spans="1:9" s="5" customFormat="1" x14ac:dyDescent="0.35">
      <c r="A2042" s="3" t="s">
        <v>907</v>
      </c>
      <c r="B2042" s="3" t="s">
        <v>914</v>
      </c>
      <c r="C2042" s="3" t="s">
        <v>20</v>
      </c>
      <c r="D2042" s="3" t="s">
        <v>924</v>
      </c>
      <c r="E2042" s="3" t="s">
        <v>28</v>
      </c>
      <c r="F2042" s="3"/>
      <c r="G2042" s="3" t="s">
        <v>2414</v>
      </c>
      <c r="H2042" s="3"/>
      <c r="I2042" s="3"/>
    </row>
    <row r="2043" spans="1:9" s="5" customFormat="1" x14ac:dyDescent="0.35">
      <c r="A2043" s="3" t="s">
        <v>907</v>
      </c>
      <c r="B2043" s="3" t="s">
        <v>914</v>
      </c>
      <c r="C2043" s="3" t="s">
        <v>20</v>
      </c>
      <c r="D2043" s="3" t="s">
        <v>924</v>
      </c>
      <c r="E2043" s="3" t="s">
        <v>87</v>
      </c>
      <c r="F2043" s="3"/>
      <c r="G2043" s="3"/>
      <c r="H2043" s="3"/>
      <c r="I2043" s="3"/>
    </row>
    <row r="2044" spans="1:9" s="5" customFormat="1" x14ac:dyDescent="0.35">
      <c r="A2044" s="3" t="s">
        <v>907</v>
      </c>
      <c r="B2044" s="3" t="s">
        <v>914</v>
      </c>
      <c r="C2044" s="3" t="s">
        <v>20</v>
      </c>
      <c r="D2044" s="3" t="s">
        <v>924</v>
      </c>
      <c r="E2044" s="3" t="s">
        <v>15</v>
      </c>
      <c r="F2044" s="3"/>
      <c r="G2044" s="3"/>
      <c r="H2044" s="3"/>
      <c r="I2044" s="3"/>
    </row>
    <row r="2045" spans="1:9" s="5" customFormat="1" x14ac:dyDescent="0.35">
      <c r="A2045" s="3" t="s">
        <v>907</v>
      </c>
      <c r="B2045" s="3" t="s">
        <v>914</v>
      </c>
      <c r="C2045" s="3" t="s">
        <v>20</v>
      </c>
      <c r="D2045" s="3" t="s">
        <v>924</v>
      </c>
      <c r="E2045" s="3" t="s">
        <v>56</v>
      </c>
      <c r="F2045" s="3"/>
      <c r="G2045" s="3"/>
      <c r="H2045" s="3"/>
      <c r="I2045" s="3"/>
    </row>
    <row r="2046" spans="1:9" s="5" customFormat="1" x14ac:dyDescent="0.35">
      <c r="A2046" s="3" t="s">
        <v>907</v>
      </c>
      <c r="B2046" s="3" t="s">
        <v>914</v>
      </c>
      <c r="C2046" s="3" t="s">
        <v>20</v>
      </c>
      <c r="D2046" s="3" t="s">
        <v>924</v>
      </c>
      <c r="E2046" s="3" t="s">
        <v>32</v>
      </c>
      <c r="F2046" s="3"/>
      <c r="G2046" s="3" t="s">
        <v>2293</v>
      </c>
      <c r="H2046" s="3"/>
      <c r="I2046" s="3"/>
    </row>
    <row r="2047" spans="1:9" s="5" customFormat="1" x14ac:dyDescent="0.35">
      <c r="A2047" s="3" t="s">
        <v>907</v>
      </c>
      <c r="B2047" s="3" t="s">
        <v>914</v>
      </c>
      <c r="C2047" s="3" t="s">
        <v>20</v>
      </c>
      <c r="D2047" s="3" t="s">
        <v>924</v>
      </c>
      <c r="E2047" s="3" t="s">
        <v>134</v>
      </c>
      <c r="F2047" s="3"/>
      <c r="G2047" s="3"/>
      <c r="H2047" s="3"/>
      <c r="I2047" s="3"/>
    </row>
    <row r="2048" spans="1:9" s="5" customFormat="1" x14ac:dyDescent="0.35">
      <c r="A2048" s="3" t="s">
        <v>907</v>
      </c>
      <c r="B2048" s="3" t="s">
        <v>914</v>
      </c>
      <c r="C2048" s="3" t="s">
        <v>20</v>
      </c>
      <c r="D2048" s="3" t="s">
        <v>925</v>
      </c>
      <c r="E2048" s="3" t="s">
        <v>918</v>
      </c>
      <c r="F2048" s="3"/>
      <c r="G2048" s="3"/>
      <c r="H2048" s="3"/>
      <c r="I2048" s="3"/>
    </row>
    <row r="2049" spans="1:9" s="5" customFormat="1" x14ac:dyDescent="0.35">
      <c r="A2049" s="3" t="s">
        <v>907</v>
      </c>
      <c r="B2049" s="3" t="s">
        <v>914</v>
      </c>
      <c r="C2049" s="3" t="s">
        <v>20</v>
      </c>
      <c r="D2049" s="3" t="s">
        <v>925</v>
      </c>
      <c r="E2049" s="3" t="s">
        <v>60</v>
      </c>
      <c r="F2049" s="3" t="s">
        <v>16</v>
      </c>
      <c r="G2049" s="3" t="s">
        <v>926</v>
      </c>
      <c r="H2049" s="3"/>
      <c r="I2049" s="3"/>
    </row>
    <row r="2050" spans="1:9" s="5" customFormat="1" x14ac:dyDescent="0.35">
      <c r="A2050" s="3" t="s">
        <v>907</v>
      </c>
      <c r="B2050" s="3" t="s">
        <v>914</v>
      </c>
      <c r="C2050" s="3" t="s">
        <v>20</v>
      </c>
      <c r="D2050" s="3" t="s">
        <v>925</v>
      </c>
      <c r="E2050" s="3" t="s">
        <v>27</v>
      </c>
      <c r="F2050" s="3"/>
      <c r="G2050" s="3" t="s">
        <v>2287</v>
      </c>
      <c r="H2050" s="3"/>
      <c r="I2050" s="3"/>
    </row>
    <row r="2051" spans="1:9" s="5" customFormat="1" x14ac:dyDescent="0.35">
      <c r="A2051" s="3" t="s">
        <v>907</v>
      </c>
      <c r="B2051" s="3" t="s">
        <v>914</v>
      </c>
      <c r="C2051" s="3" t="s">
        <v>20</v>
      </c>
      <c r="D2051" s="3" t="s">
        <v>925</v>
      </c>
      <c r="E2051" s="3" t="s">
        <v>77</v>
      </c>
      <c r="F2051" s="3"/>
      <c r="G2051" s="3"/>
      <c r="H2051" s="3"/>
      <c r="I2051" s="3"/>
    </row>
    <row r="2052" spans="1:9" s="5" customFormat="1" x14ac:dyDescent="0.35">
      <c r="A2052" s="3" t="s">
        <v>907</v>
      </c>
      <c r="B2052" s="3" t="s">
        <v>914</v>
      </c>
      <c r="C2052" s="3" t="s">
        <v>20</v>
      </c>
      <c r="D2052" s="3" t="s">
        <v>925</v>
      </c>
      <c r="E2052" s="3" t="s">
        <v>28</v>
      </c>
      <c r="F2052" s="3"/>
      <c r="G2052" s="3" t="s">
        <v>2288</v>
      </c>
      <c r="H2052" s="3"/>
      <c r="I2052" s="3"/>
    </row>
    <row r="2053" spans="1:9" s="5" customFormat="1" x14ac:dyDescent="0.35">
      <c r="A2053" s="3" t="s">
        <v>907</v>
      </c>
      <c r="B2053" s="3" t="s">
        <v>914</v>
      </c>
      <c r="C2053" s="3" t="s">
        <v>20</v>
      </c>
      <c r="D2053" s="3" t="s">
        <v>925</v>
      </c>
      <c r="E2053" s="3" t="s">
        <v>242</v>
      </c>
      <c r="F2053" s="3"/>
      <c r="G2053" s="3"/>
      <c r="H2053" s="3"/>
      <c r="I2053" s="3"/>
    </row>
    <row r="2054" spans="1:9" s="5" customFormat="1" x14ac:dyDescent="0.35">
      <c r="A2054" s="3" t="s">
        <v>907</v>
      </c>
      <c r="B2054" s="3" t="s">
        <v>914</v>
      </c>
      <c r="C2054" s="3" t="s">
        <v>20</v>
      </c>
      <c r="D2054" s="3" t="s">
        <v>925</v>
      </c>
      <c r="E2054" s="3" t="s">
        <v>15</v>
      </c>
      <c r="F2054" s="3"/>
      <c r="G2054" s="3"/>
      <c r="H2054" s="3"/>
      <c r="I2054" s="3"/>
    </row>
    <row r="2055" spans="1:9" s="5" customFormat="1" x14ac:dyDescent="0.35">
      <c r="A2055" s="3" t="s">
        <v>907</v>
      </c>
      <c r="B2055" s="3" t="s">
        <v>914</v>
      </c>
      <c r="C2055" s="3" t="s">
        <v>20</v>
      </c>
      <c r="D2055" s="3" t="s">
        <v>925</v>
      </c>
      <c r="E2055" s="3" t="s">
        <v>56</v>
      </c>
      <c r="F2055" s="3"/>
      <c r="G2055" s="3"/>
      <c r="H2055" s="3"/>
      <c r="I2055" s="3"/>
    </row>
    <row r="2056" spans="1:9" s="5" customFormat="1" x14ac:dyDescent="0.35">
      <c r="A2056" s="3" t="s">
        <v>907</v>
      </c>
      <c r="B2056" s="3" t="s">
        <v>914</v>
      </c>
      <c r="C2056" s="3" t="s">
        <v>20</v>
      </c>
      <c r="D2056" s="3" t="s">
        <v>925</v>
      </c>
      <c r="E2056" s="3" t="s">
        <v>24</v>
      </c>
      <c r="F2056" s="3"/>
      <c r="G2056" s="3"/>
      <c r="H2056" s="3"/>
      <c r="I2056" s="3"/>
    </row>
    <row r="2057" spans="1:9" s="5" customFormat="1" x14ac:dyDescent="0.35">
      <c r="A2057" s="3" t="s">
        <v>907</v>
      </c>
      <c r="B2057" s="3" t="s">
        <v>914</v>
      </c>
      <c r="C2057" s="3" t="s">
        <v>20</v>
      </c>
      <c r="D2057" s="3" t="s">
        <v>925</v>
      </c>
      <c r="E2057" s="3" t="s">
        <v>191</v>
      </c>
      <c r="F2057" s="3"/>
      <c r="G2057" s="3"/>
      <c r="H2057" s="3"/>
      <c r="I2057" s="3"/>
    </row>
    <row r="2058" spans="1:9" s="5" customFormat="1" x14ac:dyDescent="0.35">
      <c r="A2058" s="3" t="s">
        <v>907</v>
      </c>
      <c r="B2058" s="3" t="s">
        <v>914</v>
      </c>
      <c r="C2058" s="3" t="s">
        <v>45</v>
      </c>
      <c r="D2058" s="3" t="s">
        <v>927</v>
      </c>
      <c r="E2058" s="3" t="s">
        <v>15</v>
      </c>
      <c r="F2058" s="3" t="s">
        <v>33</v>
      </c>
      <c r="G2058" s="3" t="s">
        <v>928</v>
      </c>
      <c r="H2058" s="3"/>
      <c r="I2058" s="3"/>
    </row>
    <row r="2059" spans="1:9" s="5" customFormat="1" x14ac:dyDescent="0.35">
      <c r="A2059" s="3" t="s">
        <v>907</v>
      </c>
      <c r="B2059" s="3" t="s">
        <v>914</v>
      </c>
      <c r="C2059" s="3" t="s">
        <v>45</v>
      </c>
      <c r="D2059" s="3" t="s">
        <v>927</v>
      </c>
      <c r="E2059" s="3" t="s">
        <v>56</v>
      </c>
      <c r="F2059" s="3"/>
      <c r="G2059" s="3" t="s">
        <v>2318</v>
      </c>
      <c r="H2059" s="3"/>
      <c r="I2059" s="3"/>
    </row>
    <row r="2060" spans="1:9" s="5" customFormat="1" x14ac:dyDescent="0.35">
      <c r="A2060" s="3" t="s">
        <v>907</v>
      </c>
      <c r="B2060" s="3" t="s">
        <v>914</v>
      </c>
      <c r="C2060" s="3" t="s">
        <v>45</v>
      </c>
      <c r="D2060" s="3" t="s">
        <v>929</v>
      </c>
      <c r="E2060" s="3" t="s">
        <v>15</v>
      </c>
      <c r="F2060" s="3"/>
      <c r="G2060" s="3"/>
      <c r="H2060" s="3"/>
      <c r="I2060" s="3"/>
    </row>
    <row r="2061" spans="1:9" s="5" customFormat="1" x14ac:dyDescent="0.35">
      <c r="A2061" s="3" t="s">
        <v>907</v>
      </c>
      <c r="B2061" s="3" t="s">
        <v>914</v>
      </c>
      <c r="C2061" s="3" t="s">
        <v>45</v>
      </c>
      <c r="D2061" s="3" t="s">
        <v>929</v>
      </c>
      <c r="E2061" s="3" t="s">
        <v>56</v>
      </c>
      <c r="F2061" s="3"/>
      <c r="G2061" s="3" t="s">
        <v>2318</v>
      </c>
      <c r="H2061" s="3"/>
      <c r="I2061" s="3"/>
    </row>
    <row r="2062" spans="1:9" s="5" customFormat="1" x14ac:dyDescent="0.35">
      <c r="A2062" s="3" t="s">
        <v>907</v>
      </c>
      <c r="B2062" s="3" t="s">
        <v>914</v>
      </c>
      <c r="C2062" s="3" t="s">
        <v>20</v>
      </c>
      <c r="D2062" s="3" t="s">
        <v>930</v>
      </c>
      <c r="E2062" s="3" t="s">
        <v>36</v>
      </c>
      <c r="F2062" s="3"/>
      <c r="G2062" s="3"/>
      <c r="H2062" s="3"/>
      <c r="I2062" s="3"/>
    </row>
    <row r="2063" spans="1:9" s="5" customFormat="1" x14ac:dyDescent="0.35">
      <c r="A2063" s="3" t="s">
        <v>907</v>
      </c>
      <c r="B2063" s="3" t="s">
        <v>914</v>
      </c>
      <c r="C2063" s="3" t="s">
        <v>20</v>
      </c>
      <c r="D2063" s="3" t="s">
        <v>930</v>
      </c>
      <c r="E2063" s="3" t="s">
        <v>25</v>
      </c>
      <c r="F2063" s="3"/>
      <c r="G2063" s="3"/>
      <c r="H2063" s="3"/>
      <c r="I2063" s="3"/>
    </row>
    <row r="2064" spans="1:9" s="5" customFormat="1" x14ac:dyDescent="0.35">
      <c r="A2064" s="3" t="s">
        <v>907</v>
      </c>
      <c r="B2064" s="3" t="s">
        <v>914</v>
      </c>
      <c r="C2064" s="3" t="s">
        <v>20</v>
      </c>
      <c r="D2064" s="3" t="s">
        <v>930</v>
      </c>
      <c r="E2064" s="3" t="s">
        <v>27</v>
      </c>
      <c r="F2064" s="3"/>
      <c r="G2064" s="3" t="s">
        <v>2317</v>
      </c>
      <c r="H2064" s="3"/>
      <c r="I2064" s="3"/>
    </row>
    <row r="2065" spans="1:9" s="5" customFormat="1" x14ac:dyDescent="0.35">
      <c r="A2065" s="3" t="s">
        <v>907</v>
      </c>
      <c r="B2065" s="3" t="s">
        <v>914</v>
      </c>
      <c r="C2065" s="3" t="s">
        <v>20</v>
      </c>
      <c r="D2065" s="3" t="s">
        <v>930</v>
      </c>
      <c r="E2065" s="3" t="s">
        <v>15</v>
      </c>
      <c r="F2065" s="3" t="s">
        <v>16</v>
      </c>
      <c r="G2065" s="3" t="s">
        <v>2858</v>
      </c>
      <c r="H2065" s="3"/>
      <c r="I2065" s="3"/>
    </row>
    <row r="2066" spans="1:9" s="5" customFormat="1" x14ac:dyDescent="0.35">
      <c r="A2066" s="3" t="s">
        <v>907</v>
      </c>
      <c r="B2066" s="3" t="s">
        <v>914</v>
      </c>
      <c r="C2066" s="3" t="s">
        <v>10</v>
      </c>
      <c r="D2066" s="3" t="s">
        <v>2920</v>
      </c>
      <c r="E2066" s="3" t="s">
        <v>12</v>
      </c>
      <c r="F2066" s="3"/>
      <c r="G2066" s="3"/>
      <c r="H2066" s="3"/>
      <c r="I2066" s="3"/>
    </row>
    <row r="2067" spans="1:9" s="5" customFormat="1" x14ac:dyDescent="0.35">
      <c r="A2067" s="3" t="s">
        <v>907</v>
      </c>
      <c r="B2067" s="3" t="s">
        <v>914</v>
      </c>
      <c r="C2067" s="3" t="s">
        <v>10</v>
      </c>
      <c r="D2067" s="3" t="s">
        <v>2920</v>
      </c>
      <c r="E2067" s="3" t="s">
        <v>141</v>
      </c>
      <c r="F2067" s="3"/>
      <c r="G2067" s="3"/>
      <c r="H2067" s="3"/>
      <c r="I2067" s="3"/>
    </row>
    <row r="2068" spans="1:9" s="5" customFormat="1" x14ac:dyDescent="0.35">
      <c r="A2068" s="3" t="s">
        <v>907</v>
      </c>
      <c r="B2068" s="3" t="s">
        <v>914</v>
      </c>
      <c r="C2068" s="3" t="s">
        <v>10</v>
      </c>
      <c r="D2068" s="3" t="s">
        <v>2920</v>
      </c>
      <c r="E2068" s="3" t="s">
        <v>87</v>
      </c>
      <c r="F2068" s="3"/>
      <c r="G2068" s="3"/>
      <c r="H2068" s="3"/>
      <c r="I2068" s="3"/>
    </row>
    <row r="2069" spans="1:9" s="5" customFormat="1" x14ac:dyDescent="0.35">
      <c r="A2069" s="3" t="s">
        <v>907</v>
      </c>
      <c r="B2069" s="3" t="s">
        <v>914</v>
      </c>
      <c r="C2069" s="3" t="s">
        <v>10</v>
      </c>
      <c r="D2069" s="3" t="s">
        <v>2920</v>
      </c>
      <c r="E2069" s="3" t="s">
        <v>15</v>
      </c>
      <c r="F2069" s="3" t="s">
        <v>16</v>
      </c>
      <c r="G2069" s="3" t="s">
        <v>2858</v>
      </c>
      <c r="H2069" s="3"/>
      <c r="I2069" s="3"/>
    </row>
    <row r="2070" spans="1:9" s="5" customFormat="1" x14ac:dyDescent="0.35">
      <c r="A2070" s="3" t="s">
        <v>907</v>
      </c>
      <c r="B2070" s="3" t="s">
        <v>914</v>
      </c>
      <c r="C2070" s="3" t="s">
        <v>10</v>
      </c>
      <c r="D2070" s="3" t="s">
        <v>2920</v>
      </c>
      <c r="E2070" s="3" t="s">
        <v>29</v>
      </c>
      <c r="F2070" s="3"/>
      <c r="G2070" s="3"/>
      <c r="H2070" s="3"/>
      <c r="I2070" s="3"/>
    </row>
    <row r="2071" spans="1:9" s="5" customFormat="1" x14ac:dyDescent="0.35">
      <c r="A2071" s="3" t="s">
        <v>907</v>
      </c>
      <c r="B2071" s="3" t="s">
        <v>914</v>
      </c>
      <c r="C2071" s="3" t="s">
        <v>39</v>
      </c>
      <c r="D2071" s="3" t="s">
        <v>2778</v>
      </c>
      <c r="E2071" s="3" t="s">
        <v>25</v>
      </c>
      <c r="F2071" s="3" t="s">
        <v>16</v>
      </c>
      <c r="G2071" s="3" t="s">
        <v>2779</v>
      </c>
      <c r="H2071" s="3"/>
      <c r="I2071" s="3"/>
    </row>
    <row r="2072" spans="1:9" s="5" customFormat="1" x14ac:dyDescent="0.35">
      <c r="A2072" s="3" t="s">
        <v>907</v>
      </c>
      <c r="B2072" s="3" t="s">
        <v>914</v>
      </c>
      <c r="C2072" s="3" t="s">
        <v>39</v>
      </c>
      <c r="D2072" s="3" t="s">
        <v>2778</v>
      </c>
      <c r="E2072" s="3" t="s">
        <v>15</v>
      </c>
      <c r="F2072" s="3" t="s">
        <v>16</v>
      </c>
      <c r="G2072" s="3" t="s">
        <v>2779</v>
      </c>
      <c r="H2072" s="3"/>
      <c r="I2072" s="3"/>
    </row>
    <row r="2073" spans="1:9" s="5" customFormat="1" x14ac:dyDescent="0.35">
      <c r="A2073" s="3" t="s">
        <v>907</v>
      </c>
      <c r="B2073" s="3" t="s">
        <v>914</v>
      </c>
      <c r="C2073" s="3" t="s">
        <v>39</v>
      </c>
      <c r="D2073" s="3" t="s">
        <v>2778</v>
      </c>
      <c r="E2073" s="3" t="s">
        <v>56</v>
      </c>
      <c r="F2073" s="3" t="s">
        <v>33</v>
      </c>
      <c r="G2073" s="3" t="s">
        <v>34</v>
      </c>
      <c r="H2073" s="3"/>
      <c r="I2073" s="3"/>
    </row>
    <row r="2074" spans="1:9" s="5" customFormat="1" x14ac:dyDescent="0.35">
      <c r="A2074" s="3" t="s">
        <v>907</v>
      </c>
      <c r="B2074" s="3" t="s">
        <v>914</v>
      </c>
      <c r="C2074" s="3" t="s">
        <v>10</v>
      </c>
      <c r="D2074" s="3" t="s">
        <v>931</v>
      </c>
      <c r="E2074" s="3" t="s">
        <v>47</v>
      </c>
      <c r="F2074" s="3"/>
      <c r="G2074" s="3"/>
      <c r="H2074" s="3"/>
      <c r="I2074" s="3"/>
    </row>
    <row r="2075" spans="1:9" s="5" customFormat="1" x14ac:dyDescent="0.35">
      <c r="A2075" s="3" t="s">
        <v>907</v>
      </c>
      <c r="B2075" s="3" t="s">
        <v>914</v>
      </c>
      <c r="C2075" s="3" t="s">
        <v>10</v>
      </c>
      <c r="D2075" s="3" t="s">
        <v>931</v>
      </c>
      <c r="E2075" s="3" t="s">
        <v>15</v>
      </c>
      <c r="F2075" s="3" t="s">
        <v>16</v>
      </c>
      <c r="G2075" s="3" t="s">
        <v>932</v>
      </c>
      <c r="H2075" s="3"/>
      <c r="I2075" s="3"/>
    </row>
    <row r="2076" spans="1:9" s="5" customFormat="1" x14ac:dyDescent="0.35">
      <c r="A2076" s="3" t="s">
        <v>907</v>
      </c>
      <c r="B2076" s="3" t="s">
        <v>914</v>
      </c>
      <c r="C2076" s="3" t="s">
        <v>10</v>
      </c>
      <c r="D2076" s="3" t="s">
        <v>931</v>
      </c>
      <c r="E2076" s="3" t="s">
        <v>32</v>
      </c>
      <c r="F2076" s="3" t="s">
        <v>33</v>
      </c>
      <c r="G2076" s="3" t="s">
        <v>34</v>
      </c>
      <c r="H2076" s="3"/>
      <c r="I2076" s="3"/>
    </row>
    <row r="2077" spans="1:9" s="5" customFormat="1" x14ac:dyDescent="0.35">
      <c r="A2077" s="3" t="s">
        <v>907</v>
      </c>
      <c r="B2077" s="3" t="s">
        <v>914</v>
      </c>
      <c r="C2077" s="3" t="s">
        <v>10</v>
      </c>
      <c r="D2077" s="3" t="s">
        <v>931</v>
      </c>
      <c r="E2077" s="3" t="s">
        <v>134</v>
      </c>
      <c r="F2077" s="3"/>
      <c r="G2077" s="3"/>
      <c r="H2077" s="3"/>
      <c r="I2077" s="3"/>
    </row>
    <row r="2078" spans="1:9" s="5" customFormat="1" x14ac:dyDescent="0.35">
      <c r="A2078" s="3" t="s">
        <v>907</v>
      </c>
      <c r="B2078" s="3" t="s">
        <v>914</v>
      </c>
      <c r="C2078" s="3" t="s">
        <v>10</v>
      </c>
      <c r="D2078" s="3" t="s">
        <v>931</v>
      </c>
      <c r="E2078" s="3" t="s">
        <v>107</v>
      </c>
      <c r="F2078" s="3"/>
      <c r="G2078" s="3"/>
      <c r="H2078" s="3"/>
      <c r="I2078" s="3"/>
    </row>
    <row r="2079" spans="1:9" s="5" customFormat="1" x14ac:dyDescent="0.35">
      <c r="A2079" s="3" t="s">
        <v>907</v>
      </c>
      <c r="B2079" s="3" t="s">
        <v>914</v>
      </c>
      <c r="C2079" s="3" t="s">
        <v>10</v>
      </c>
      <c r="D2079" s="3" t="s">
        <v>933</v>
      </c>
      <c r="E2079" s="3" t="s">
        <v>47</v>
      </c>
      <c r="F2079" s="3"/>
      <c r="G2079" s="3"/>
      <c r="H2079" s="3"/>
      <c r="I2079" s="3"/>
    </row>
    <row r="2080" spans="1:9" s="5" customFormat="1" x14ac:dyDescent="0.35">
      <c r="A2080" s="3" t="s">
        <v>907</v>
      </c>
      <c r="B2080" s="3" t="s">
        <v>914</v>
      </c>
      <c r="C2080" s="3" t="s">
        <v>10</v>
      </c>
      <c r="D2080" s="3" t="s">
        <v>933</v>
      </c>
      <c r="E2080" s="3" t="s">
        <v>15</v>
      </c>
      <c r="F2080" s="3"/>
      <c r="G2080" s="3"/>
      <c r="H2080" s="3"/>
      <c r="I2080" s="3"/>
    </row>
    <row r="2081" spans="1:9" s="5" customFormat="1" x14ac:dyDescent="0.35">
      <c r="A2081" s="3" t="s">
        <v>907</v>
      </c>
      <c r="B2081" s="3" t="s">
        <v>914</v>
      </c>
      <c r="C2081" s="3" t="s">
        <v>10</v>
      </c>
      <c r="D2081" s="3" t="s">
        <v>933</v>
      </c>
      <c r="E2081" s="3" t="s">
        <v>32</v>
      </c>
      <c r="F2081" s="3"/>
      <c r="G2081" s="3" t="s">
        <v>2293</v>
      </c>
      <c r="H2081" s="3"/>
      <c r="I2081" s="3"/>
    </row>
    <row r="2082" spans="1:9" s="5" customFormat="1" x14ac:dyDescent="0.35">
      <c r="A2082" s="3" t="s">
        <v>907</v>
      </c>
      <c r="B2082" s="3" t="s">
        <v>914</v>
      </c>
      <c r="C2082" s="3" t="s">
        <v>10</v>
      </c>
      <c r="D2082" s="3" t="s">
        <v>933</v>
      </c>
      <c r="E2082" s="3" t="s">
        <v>29</v>
      </c>
      <c r="F2082" s="3"/>
      <c r="G2082" s="3"/>
      <c r="H2082" s="3"/>
      <c r="I2082" s="3"/>
    </row>
    <row r="2083" spans="1:9" s="5" customFormat="1" x14ac:dyDescent="0.35">
      <c r="A2083" s="3" t="s">
        <v>907</v>
      </c>
      <c r="B2083" s="3" t="s">
        <v>914</v>
      </c>
      <c r="C2083" s="3" t="s">
        <v>10</v>
      </c>
      <c r="D2083" s="3" t="s">
        <v>933</v>
      </c>
      <c r="E2083" s="3" t="s">
        <v>134</v>
      </c>
      <c r="F2083" s="3"/>
      <c r="G2083" s="3"/>
      <c r="H2083" s="3"/>
      <c r="I2083" s="3"/>
    </row>
    <row r="2084" spans="1:9" s="5" customFormat="1" x14ac:dyDescent="0.35">
      <c r="A2084" s="3" t="s">
        <v>907</v>
      </c>
      <c r="B2084" s="3" t="s">
        <v>914</v>
      </c>
      <c r="C2084" s="3" t="s">
        <v>10</v>
      </c>
      <c r="D2084" s="3" t="s">
        <v>933</v>
      </c>
      <c r="E2084" s="3" t="s">
        <v>107</v>
      </c>
      <c r="F2084" s="3"/>
      <c r="G2084" s="3"/>
      <c r="H2084" s="3"/>
      <c r="I2084" s="3"/>
    </row>
    <row r="2085" spans="1:9" s="5" customFormat="1" x14ac:dyDescent="0.35">
      <c r="A2085" s="3" t="s">
        <v>907</v>
      </c>
      <c r="B2085" s="3" t="s">
        <v>914</v>
      </c>
      <c r="C2085" s="3" t="s">
        <v>45</v>
      </c>
      <c r="D2085" s="3" t="s">
        <v>934</v>
      </c>
      <c r="E2085" s="3" t="s">
        <v>15</v>
      </c>
      <c r="F2085" s="3"/>
      <c r="G2085" s="3"/>
      <c r="H2085" s="3"/>
      <c r="I2085" s="3"/>
    </row>
    <row r="2086" spans="1:9" s="5" customFormat="1" x14ac:dyDescent="0.35">
      <c r="A2086" s="3" t="s">
        <v>907</v>
      </c>
      <c r="B2086" s="3" t="s">
        <v>914</v>
      </c>
      <c r="C2086" s="3" t="s">
        <v>45</v>
      </c>
      <c r="D2086" s="3" t="s">
        <v>934</v>
      </c>
      <c r="E2086" s="3" t="s">
        <v>56</v>
      </c>
      <c r="F2086" s="3"/>
      <c r="G2086" s="3" t="s">
        <v>2318</v>
      </c>
      <c r="H2086" s="3"/>
      <c r="I2086" s="3"/>
    </row>
    <row r="2087" spans="1:9" s="5" customFormat="1" x14ac:dyDescent="0.35">
      <c r="A2087" s="3" t="s">
        <v>907</v>
      </c>
      <c r="B2087" s="3" t="s">
        <v>914</v>
      </c>
      <c r="C2087" s="3" t="s">
        <v>45</v>
      </c>
      <c r="D2087" s="3" t="s">
        <v>935</v>
      </c>
      <c r="E2087" s="3" t="s">
        <v>56</v>
      </c>
      <c r="F2087" s="3"/>
      <c r="G2087" s="3"/>
      <c r="H2087" s="3"/>
      <c r="I2087" s="3"/>
    </row>
    <row r="2088" spans="1:9" s="5" customFormat="1" x14ac:dyDescent="0.35">
      <c r="A2088" s="3" t="s">
        <v>907</v>
      </c>
      <c r="B2088" s="3" t="s">
        <v>914</v>
      </c>
      <c r="C2088" s="3" t="s">
        <v>10</v>
      </c>
      <c r="D2088" s="3" t="s">
        <v>936</v>
      </c>
      <c r="E2088" s="3" t="s">
        <v>47</v>
      </c>
      <c r="F2088" s="3"/>
      <c r="G2088" s="3"/>
      <c r="H2088" s="3"/>
      <c r="I2088" s="3"/>
    </row>
    <row r="2089" spans="1:9" s="5" customFormat="1" x14ac:dyDescent="0.35">
      <c r="A2089" s="3" t="s">
        <v>907</v>
      </c>
      <c r="B2089" s="3" t="s">
        <v>914</v>
      </c>
      <c r="C2089" s="3" t="s">
        <v>20</v>
      </c>
      <c r="D2089" s="3" t="s">
        <v>937</v>
      </c>
      <c r="E2089" s="3" t="s">
        <v>60</v>
      </c>
      <c r="F2089" s="3"/>
      <c r="G2089" s="3" t="s">
        <v>938</v>
      </c>
      <c r="H2089" s="3"/>
      <c r="I2089" s="3"/>
    </row>
    <row r="2090" spans="1:9" s="5" customFormat="1" x14ac:dyDescent="0.35">
      <c r="A2090" s="3" t="s">
        <v>907</v>
      </c>
      <c r="B2090" s="3" t="s">
        <v>914</v>
      </c>
      <c r="C2090" s="3" t="s">
        <v>20</v>
      </c>
      <c r="D2090" s="3" t="s">
        <v>937</v>
      </c>
      <c r="E2090" s="3" t="s">
        <v>15</v>
      </c>
      <c r="F2090" s="3" t="s">
        <v>16</v>
      </c>
      <c r="G2090" s="3" t="s">
        <v>939</v>
      </c>
      <c r="H2090" s="3"/>
      <c r="I2090" s="3"/>
    </row>
    <row r="2091" spans="1:9" s="5" customFormat="1" x14ac:dyDescent="0.35">
      <c r="A2091" s="3" t="s">
        <v>907</v>
      </c>
      <c r="B2091" s="3" t="s">
        <v>914</v>
      </c>
      <c r="C2091" s="3" t="s">
        <v>20</v>
      </c>
      <c r="D2091" s="3" t="s">
        <v>940</v>
      </c>
      <c r="E2091" s="3" t="s">
        <v>918</v>
      </c>
      <c r="F2091" s="3"/>
      <c r="G2091" s="3"/>
      <c r="H2091" s="3"/>
      <c r="I2091" s="3"/>
    </row>
    <row r="2092" spans="1:9" s="5" customFormat="1" x14ac:dyDescent="0.35">
      <c r="A2092" s="3" t="s">
        <v>907</v>
      </c>
      <c r="B2092" s="3" t="s">
        <v>914</v>
      </c>
      <c r="C2092" s="3" t="s">
        <v>20</v>
      </c>
      <c r="D2092" s="3" t="s">
        <v>940</v>
      </c>
      <c r="E2092" s="3" t="s">
        <v>47</v>
      </c>
      <c r="F2092" s="3"/>
      <c r="G2092" s="3"/>
      <c r="H2092" s="3"/>
      <c r="I2092" s="3"/>
    </row>
    <row r="2093" spans="1:9" s="5" customFormat="1" x14ac:dyDescent="0.35">
      <c r="A2093" s="3" t="s">
        <v>907</v>
      </c>
      <c r="B2093" s="3" t="s">
        <v>914</v>
      </c>
      <c r="C2093" s="3" t="s">
        <v>20</v>
      </c>
      <c r="D2093" s="3" t="s">
        <v>940</v>
      </c>
      <c r="E2093" s="3" t="s">
        <v>77</v>
      </c>
      <c r="F2093" s="3"/>
      <c r="G2093" s="3"/>
      <c r="H2093" s="3"/>
      <c r="I2093" s="3"/>
    </row>
    <row r="2094" spans="1:9" s="5" customFormat="1" x14ac:dyDescent="0.35">
      <c r="A2094" s="3" t="s">
        <v>907</v>
      </c>
      <c r="B2094" s="3" t="s">
        <v>914</v>
      </c>
      <c r="C2094" s="3" t="s">
        <v>20</v>
      </c>
      <c r="D2094" s="3" t="s">
        <v>940</v>
      </c>
      <c r="E2094" s="3" t="s">
        <v>28</v>
      </c>
      <c r="F2094" s="3"/>
      <c r="G2094" s="3" t="s">
        <v>2288</v>
      </c>
      <c r="H2094" s="3"/>
      <c r="I2094" s="3"/>
    </row>
    <row r="2095" spans="1:9" s="5" customFormat="1" x14ac:dyDescent="0.35">
      <c r="A2095" s="3" t="s">
        <v>907</v>
      </c>
      <c r="B2095" s="3" t="s">
        <v>914</v>
      </c>
      <c r="C2095" s="3" t="s">
        <v>20</v>
      </c>
      <c r="D2095" s="3" t="s">
        <v>940</v>
      </c>
      <c r="E2095" s="3" t="s">
        <v>15</v>
      </c>
      <c r="F2095" s="3"/>
      <c r="G2095" s="3"/>
      <c r="H2095" s="3"/>
      <c r="I2095" s="3"/>
    </row>
    <row r="2096" spans="1:9" s="5" customFormat="1" x14ac:dyDescent="0.35">
      <c r="A2096" s="3" t="s">
        <v>907</v>
      </c>
      <c r="B2096" s="3" t="s">
        <v>914</v>
      </c>
      <c r="C2096" s="3" t="s">
        <v>20</v>
      </c>
      <c r="D2096" s="3" t="s">
        <v>940</v>
      </c>
      <c r="E2096" s="3" t="s">
        <v>56</v>
      </c>
      <c r="F2096" s="3"/>
      <c r="G2096" s="3"/>
      <c r="H2096" s="3"/>
      <c r="I2096" s="3"/>
    </row>
    <row r="2097" spans="1:9" s="5" customFormat="1" x14ac:dyDescent="0.35">
      <c r="A2097" s="3" t="s">
        <v>907</v>
      </c>
      <c r="B2097" s="3" t="s">
        <v>914</v>
      </c>
      <c r="C2097" s="3" t="s">
        <v>20</v>
      </c>
      <c r="D2097" s="3" t="s">
        <v>940</v>
      </c>
      <c r="E2097" s="3" t="s">
        <v>191</v>
      </c>
      <c r="F2097" s="3"/>
      <c r="G2097" s="3"/>
      <c r="H2097" s="3"/>
      <c r="I2097" s="3"/>
    </row>
    <row r="2098" spans="1:9" s="5" customFormat="1" x14ac:dyDescent="0.35">
      <c r="A2098" s="3" t="s">
        <v>907</v>
      </c>
      <c r="B2098" s="3" t="s">
        <v>914</v>
      </c>
      <c r="C2098" s="3" t="s">
        <v>45</v>
      </c>
      <c r="D2098" s="3" t="s">
        <v>941</v>
      </c>
      <c r="E2098" s="3" t="s">
        <v>36</v>
      </c>
      <c r="F2098" s="3"/>
      <c r="G2098" s="3" t="s">
        <v>2319</v>
      </c>
      <c r="H2098" s="3"/>
      <c r="I2098" s="3"/>
    </row>
    <row r="2099" spans="1:9" s="5" customFormat="1" x14ac:dyDescent="0.35">
      <c r="A2099" s="3" t="s">
        <v>907</v>
      </c>
      <c r="B2099" s="3" t="s">
        <v>914</v>
      </c>
      <c r="C2099" s="3" t="s">
        <v>45</v>
      </c>
      <c r="D2099" s="3" t="s">
        <v>941</v>
      </c>
      <c r="E2099" s="3" t="s">
        <v>56</v>
      </c>
      <c r="F2099" s="3"/>
      <c r="G2099" s="3" t="s">
        <v>2318</v>
      </c>
      <c r="H2099" s="3"/>
      <c r="I2099" s="3"/>
    </row>
    <row r="2100" spans="1:9" s="5" customFormat="1" x14ac:dyDescent="0.35">
      <c r="A2100" s="3" t="s">
        <v>907</v>
      </c>
      <c r="B2100" s="3" t="s">
        <v>914</v>
      </c>
      <c r="C2100" s="3" t="s">
        <v>45</v>
      </c>
      <c r="D2100" s="3" t="s">
        <v>941</v>
      </c>
      <c r="E2100" s="3" t="s">
        <v>372</v>
      </c>
      <c r="F2100" s="3"/>
      <c r="G2100" s="3"/>
      <c r="H2100" s="3"/>
      <c r="I2100" s="3"/>
    </row>
    <row r="2101" spans="1:9" s="5" customFormat="1" x14ac:dyDescent="0.35">
      <c r="A2101" s="3" t="s">
        <v>907</v>
      </c>
      <c r="B2101" s="3" t="s">
        <v>914</v>
      </c>
      <c r="C2101" s="3" t="s">
        <v>20</v>
      </c>
      <c r="D2101" s="3" t="s">
        <v>942</v>
      </c>
      <c r="E2101" s="3" t="s">
        <v>15</v>
      </c>
      <c r="F2101" s="3" t="s">
        <v>33</v>
      </c>
      <c r="G2101" s="3" t="s">
        <v>487</v>
      </c>
      <c r="H2101" s="3"/>
      <c r="I2101" s="3"/>
    </row>
    <row r="2102" spans="1:9" s="5" customFormat="1" x14ac:dyDescent="0.35">
      <c r="A2102" s="3" t="s">
        <v>907</v>
      </c>
      <c r="B2102" s="3" t="s">
        <v>914</v>
      </c>
      <c r="C2102" s="3" t="s">
        <v>20</v>
      </c>
      <c r="D2102" s="3" t="s">
        <v>943</v>
      </c>
      <c r="E2102" s="3" t="s">
        <v>15</v>
      </c>
      <c r="F2102" s="3"/>
      <c r="G2102" s="3"/>
      <c r="H2102" s="3"/>
      <c r="I2102" s="3"/>
    </row>
    <row r="2103" spans="1:9" s="5" customFormat="1" x14ac:dyDescent="0.35">
      <c r="A2103" s="3" t="s">
        <v>907</v>
      </c>
      <c r="B2103" s="3" t="s">
        <v>914</v>
      </c>
      <c r="C2103" s="3" t="s">
        <v>20</v>
      </c>
      <c r="D2103" s="3" t="s">
        <v>944</v>
      </c>
      <c r="E2103" s="3" t="s">
        <v>15</v>
      </c>
      <c r="F2103" s="3"/>
      <c r="G2103" s="3"/>
      <c r="H2103" s="3"/>
      <c r="I2103" s="3"/>
    </row>
    <row r="2104" spans="1:9" s="5" customFormat="1" x14ac:dyDescent="0.35">
      <c r="A2104" s="3" t="s">
        <v>907</v>
      </c>
      <c r="B2104" s="3" t="s">
        <v>914</v>
      </c>
      <c r="C2104" s="3" t="s">
        <v>20</v>
      </c>
      <c r="D2104" s="3" t="s">
        <v>944</v>
      </c>
      <c r="E2104" s="3" t="s">
        <v>32</v>
      </c>
      <c r="F2104" s="3"/>
      <c r="G2104" s="3"/>
      <c r="H2104" s="3"/>
      <c r="I2104" s="3"/>
    </row>
    <row r="2105" spans="1:9" s="5" customFormat="1" x14ac:dyDescent="0.35">
      <c r="A2105" s="3" t="s">
        <v>907</v>
      </c>
      <c r="B2105" s="3" t="s">
        <v>914</v>
      </c>
      <c r="C2105" s="3" t="s">
        <v>20</v>
      </c>
      <c r="D2105" s="3" t="s">
        <v>944</v>
      </c>
      <c r="E2105" s="3" t="s">
        <v>26</v>
      </c>
      <c r="F2105" s="3"/>
      <c r="G2105" s="3"/>
      <c r="H2105" s="3"/>
      <c r="I2105" s="3"/>
    </row>
    <row r="2106" spans="1:9" s="5" customFormat="1" x14ac:dyDescent="0.35">
      <c r="A2106" s="3" t="s">
        <v>907</v>
      </c>
      <c r="B2106" s="3" t="s">
        <v>914</v>
      </c>
      <c r="C2106" s="3" t="s">
        <v>20</v>
      </c>
      <c r="D2106" s="3" t="s">
        <v>944</v>
      </c>
      <c r="E2106" s="3" t="s">
        <v>152</v>
      </c>
      <c r="F2106" s="3"/>
      <c r="G2106" s="3"/>
      <c r="H2106" s="3"/>
      <c r="I2106" s="3"/>
    </row>
    <row r="2107" spans="1:9" s="5" customFormat="1" x14ac:dyDescent="0.35">
      <c r="A2107" s="3" t="s">
        <v>907</v>
      </c>
      <c r="B2107" s="3" t="s">
        <v>914</v>
      </c>
      <c r="C2107" s="3" t="s">
        <v>39</v>
      </c>
      <c r="D2107" s="3" t="s">
        <v>945</v>
      </c>
      <c r="E2107" s="3" t="s">
        <v>25</v>
      </c>
      <c r="F2107" s="3" t="s">
        <v>16</v>
      </c>
      <c r="G2107" s="3" t="s">
        <v>365</v>
      </c>
      <c r="H2107" s="3"/>
      <c r="I2107" s="3"/>
    </row>
    <row r="2108" spans="1:9" s="5" customFormat="1" x14ac:dyDescent="0.35">
      <c r="A2108" s="3" t="s">
        <v>907</v>
      </c>
      <c r="B2108" s="3" t="s">
        <v>914</v>
      </c>
      <c r="C2108" s="3" t="s">
        <v>39</v>
      </c>
      <c r="D2108" s="3" t="s">
        <v>945</v>
      </c>
      <c r="E2108" s="3" t="s">
        <v>27</v>
      </c>
      <c r="F2108" s="3" t="s">
        <v>16</v>
      </c>
      <c r="G2108" s="3" t="s">
        <v>365</v>
      </c>
      <c r="H2108" s="3"/>
      <c r="I2108" s="3"/>
    </row>
    <row r="2109" spans="1:9" s="5" customFormat="1" x14ac:dyDescent="0.35">
      <c r="A2109" s="3" t="s">
        <v>907</v>
      </c>
      <c r="B2109" s="3" t="s">
        <v>914</v>
      </c>
      <c r="C2109" s="3" t="s">
        <v>39</v>
      </c>
      <c r="D2109" s="3" t="s">
        <v>945</v>
      </c>
      <c r="E2109" s="3" t="s">
        <v>77</v>
      </c>
      <c r="F2109" s="3" t="s">
        <v>16</v>
      </c>
      <c r="G2109" s="3" t="s">
        <v>365</v>
      </c>
      <c r="H2109" s="3"/>
      <c r="I2109" s="3"/>
    </row>
    <row r="2110" spans="1:9" s="5" customFormat="1" x14ac:dyDescent="0.35">
      <c r="A2110" s="3" t="s">
        <v>907</v>
      </c>
      <c r="B2110" s="3" t="s">
        <v>914</v>
      </c>
      <c r="C2110" s="3" t="s">
        <v>39</v>
      </c>
      <c r="D2110" s="3" t="s">
        <v>945</v>
      </c>
      <c r="E2110" s="3" t="s">
        <v>15</v>
      </c>
      <c r="F2110" s="3" t="s">
        <v>16</v>
      </c>
      <c r="G2110" s="3" t="s">
        <v>365</v>
      </c>
      <c r="H2110" s="3"/>
      <c r="I2110" s="3"/>
    </row>
    <row r="2111" spans="1:9" s="5" customFormat="1" x14ac:dyDescent="0.35">
      <c r="A2111" s="3" t="s">
        <v>907</v>
      </c>
      <c r="B2111" s="3" t="s">
        <v>914</v>
      </c>
      <c r="C2111" s="3" t="s">
        <v>39</v>
      </c>
      <c r="D2111" s="3" t="s">
        <v>945</v>
      </c>
      <c r="E2111" s="3" t="s">
        <v>56</v>
      </c>
      <c r="F2111" s="3" t="s">
        <v>16</v>
      </c>
      <c r="G2111" s="3" t="s">
        <v>365</v>
      </c>
      <c r="H2111" s="3"/>
      <c r="I2111" s="3"/>
    </row>
    <row r="2112" spans="1:9" s="5" customFormat="1" x14ac:dyDescent="0.35">
      <c r="A2112" s="3" t="s">
        <v>907</v>
      </c>
      <c r="B2112" s="3" t="s">
        <v>914</v>
      </c>
      <c r="C2112" s="3" t="s">
        <v>39</v>
      </c>
      <c r="D2112" s="3" t="s">
        <v>945</v>
      </c>
      <c r="E2112" s="3" t="s">
        <v>26</v>
      </c>
      <c r="F2112" s="3" t="s">
        <v>16</v>
      </c>
      <c r="G2112" s="3" t="s">
        <v>365</v>
      </c>
      <c r="H2112" s="3"/>
      <c r="I2112" s="3"/>
    </row>
    <row r="2113" spans="1:9" s="5" customFormat="1" x14ac:dyDescent="0.35">
      <c r="A2113" s="3" t="s">
        <v>907</v>
      </c>
      <c r="B2113" s="3" t="s">
        <v>914</v>
      </c>
      <c r="C2113" s="3" t="s">
        <v>39</v>
      </c>
      <c r="D2113" s="3" t="s">
        <v>945</v>
      </c>
      <c r="E2113" s="3" t="s">
        <v>152</v>
      </c>
      <c r="F2113" s="3" t="s">
        <v>16</v>
      </c>
      <c r="G2113" s="3" t="s">
        <v>365</v>
      </c>
      <c r="H2113" s="3"/>
      <c r="I2113" s="3"/>
    </row>
    <row r="2114" spans="1:9" s="5" customFormat="1" x14ac:dyDescent="0.35">
      <c r="A2114" s="3" t="s">
        <v>907</v>
      </c>
      <c r="B2114" s="3" t="s">
        <v>914</v>
      </c>
      <c r="C2114" s="3" t="s">
        <v>39</v>
      </c>
      <c r="D2114" s="3" t="s">
        <v>945</v>
      </c>
      <c r="E2114" s="3" t="s">
        <v>134</v>
      </c>
      <c r="F2114" s="3" t="s">
        <v>16</v>
      </c>
      <c r="G2114" s="3" t="s">
        <v>2969</v>
      </c>
      <c r="H2114" s="3"/>
      <c r="I2114" s="3"/>
    </row>
    <row r="2115" spans="1:9" s="5" customFormat="1" x14ac:dyDescent="0.35">
      <c r="A2115" s="3" t="s">
        <v>907</v>
      </c>
      <c r="B2115" s="3" t="s">
        <v>914</v>
      </c>
      <c r="C2115" s="3" t="s">
        <v>20</v>
      </c>
      <c r="D2115" s="3" t="s">
        <v>946</v>
      </c>
      <c r="E2115" s="3" t="s">
        <v>25</v>
      </c>
      <c r="F2115" s="3" t="s">
        <v>33</v>
      </c>
      <c r="G2115" s="3" t="s">
        <v>487</v>
      </c>
      <c r="H2115" s="3"/>
      <c r="I2115" s="3"/>
    </row>
    <row r="2116" spans="1:9" s="5" customFormat="1" x14ac:dyDescent="0.35">
      <c r="A2116" s="3" t="s">
        <v>907</v>
      </c>
      <c r="B2116" s="3" t="s">
        <v>914</v>
      </c>
      <c r="C2116" s="3" t="s">
        <v>20</v>
      </c>
      <c r="D2116" s="3" t="s">
        <v>946</v>
      </c>
      <c r="E2116" s="3" t="s">
        <v>28</v>
      </c>
      <c r="F2116" s="3" t="s">
        <v>33</v>
      </c>
      <c r="G2116" s="3" t="s">
        <v>487</v>
      </c>
      <c r="H2116" s="3"/>
      <c r="I2116" s="3"/>
    </row>
    <row r="2117" spans="1:9" s="5" customFormat="1" x14ac:dyDescent="0.35">
      <c r="A2117" s="3" t="s">
        <v>907</v>
      </c>
      <c r="B2117" s="3" t="s">
        <v>914</v>
      </c>
      <c r="C2117" s="3" t="s">
        <v>20</v>
      </c>
      <c r="D2117" s="3" t="s">
        <v>946</v>
      </c>
      <c r="E2117" s="3" t="s">
        <v>56</v>
      </c>
      <c r="F2117" s="3" t="s">
        <v>33</v>
      </c>
      <c r="G2117" s="3" t="s">
        <v>487</v>
      </c>
      <c r="H2117" s="3"/>
      <c r="I2117" s="3"/>
    </row>
    <row r="2118" spans="1:9" s="5" customFormat="1" x14ac:dyDescent="0.35">
      <c r="A2118" s="3" t="s">
        <v>907</v>
      </c>
      <c r="B2118" s="3" t="s">
        <v>914</v>
      </c>
      <c r="C2118" s="3" t="s">
        <v>20</v>
      </c>
      <c r="D2118" s="3" t="s">
        <v>946</v>
      </c>
      <c r="E2118" s="3" t="s">
        <v>32</v>
      </c>
      <c r="F2118" s="3" t="s">
        <v>33</v>
      </c>
      <c r="G2118" s="3" t="s">
        <v>487</v>
      </c>
      <c r="H2118" s="3"/>
      <c r="I2118" s="3"/>
    </row>
    <row r="2119" spans="1:9" s="5" customFormat="1" x14ac:dyDescent="0.35">
      <c r="A2119" s="3" t="s">
        <v>907</v>
      </c>
      <c r="B2119" s="3" t="s">
        <v>914</v>
      </c>
      <c r="C2119" s="3" t="s">
        <v>20</v>
      </c>
      <c r="D2119" s="3" t="s">
        <v>947</v>
      </c>
      <c r="E2119" s="3" t="s">
        <v>25</v>
      </c>
      <c r="F2119" s="3"/>
      <c r="G2119" s="3"/>
      <c r="H2119" s="3"/>
      <c r="I2119" s="3"/>
    </row>
    <row r="2120" spans="1:9" s="5" customFormat="1" x14ac:dyDescent="0.35">
      <c r="A2120" s="3" t="s">
        <v>907</v>
      </c>
      <c r="B2120" s="3" t="s">
        <v>914</v>
      </c>
      <c r="C2120" s="3" t="s">
        <v>20</v>
      </c>
      <c r="D2120" s="3" t="s">
        <v>947</v>
      </c>
      <c r="E2120" s="3" t="s">
        <v>60</v>
      </c>
      <c r="F2120" s="3"/>
      <c r="G2120" s="3"/>
      <c r="H2120" s="3"/>
      <c r="I2120" s="3"/>
    </row>
    <row r="2121" spans="1:9" s="5" customFormat="1" x14ac:dyDescent="0.35">
      <c r="A2121" s="3" t="s">
        <v>907</v>
      </c>
      <c r="B2121" s="3" t="s">
        <v>914</v>
      </c>
      <c r="C2121" s="3" t="s">
        <v>20</v>
      </c>
      <c r="D2121" s="3" t="s">
        <v>947</v>
      </c>
      <c r="E2121" s="3" t="s">
        <v>28</v>
      </c>
      <c r="F2121" s="3"/>
      <c r="G2121" s="3"/>
      <c r="H2121" s="3"/>
      <c r="I2121" s="3"/>
    </row>
    <row r="2122" spans="1:9" s="5" customFormat="1" x14ac:dyDescent="0.35">
      <c r="A2122" s="3" t="s">
        <v>907</v>
      </c>
      <c r="B2122" s="3" t="s">
        <v>914</v>
      </c>
      <c r="C2122" s="3" t="s">
        <v>20</v>
      </c>
      <c r="D2122" s="3" t="s">
        <v>947</v>
      </c>
      <c r="E2122" s="3" t="s">
        <v>15</v>
      </c>
      <c r="F2122" s="3"/>
      <c r="G2122" s="3"/>
      <c r="H2122" s="3"/>
      <c r="I2122" s="3"/>
    </row>
    <row r="2123" spans="1:9" s="5" customFormat="1" x14ac:dyDescent="0.35">
      <c r="A2123" s="3" t="s">
        <v>907</v>
      </c>
      <c r="B2123" s="3" t="s">
        <v>914</v>
      </c>
      <c r="C2123" s="3" t="s">
        <v>20</v>
      </c>
      <c r="D2123" s="3" t="s">
        <v>948</v>
      </c>
      <c r="E2123" s="3" t="s">
        <v>36</v>
      </c>
      <c r="F2123" s="3" t="s">
        <v>33</v>
      </c>
      <c r="G2123" s="3" t="s">
        <v>487</v>
      </c>
      <c r="H2123" s="3"/>
      <c r="I2123" s="3"/>
    </row>
    <row r="2124" spans="1:9" s="5" customFormat="1" x14ac:dyDescent="0.35">
      <c r="A2124" s="3" t="s">
        <v>907</v>
      </c>
      <c r="B2124" s="3" t="s">
        <v>914</v>
      </c>
      <c r="C2124" s="3" t="s">
        <v>20</v>
      </c>
      <c r="D2124" s="3" t="s">
        <v>948</v>
      </c>
      <c r="E2124" s="3" t="s">
        <v>25</v>
      </c>
      <c r="F2124" s="3" t="s">
        <v>33</v>
      </c>
      <c r="G2124" s="3" t="s">
        <v>487</v>
      </c>
      <c r="H2124" s="3"/>
      <c r="I2124" s="3"/>
    </row>
    <row r="2125" spans="1:9" s="5" customFormat="1" x14ac:dyDescent="0.35">
      <c r="A2125" s="3" t="s">
        <v>907</v>
      </c>
      <c r="B2125" s="3" t="s">
        <v>914</v>
      </c>
      <c r="C2125" s="3" t="s">
        <v>20</v>
      </c>
      <c r="D2125" s="3" t="s">
        <v>948</v>
      </c>
      <c r="E2125" s="3" t="s">
        <v>27</v>
      </c>
      <c r="F2125" s="3" t="s">
        <v>33</v>
      </c>
      <c r="G2125" s="3" t="s">
        <v>487</v>
      </c>
      <c r="H2125" s="3"/>
      <c r="I2125" s="3"/>
    </row>
    <row r="2126" spans="1:9" s="5" customFormat="1" x14ac:dyDescent="0.35">
      <c r="A2126" s="3" t="s">
        <v>907</v>
      </c>
      <c r="B2126" s="3" t="s">
        <v>914</v>
      </c>
      <c r="C2126" s="3" t="s">
        <v>20</v>
      </c>
      <c r="D2126" s="3" t="s">
        <v>948</v>
      </c>
      <c r="E2126" s="3" t="s">
        <v>28</v>
      </c>
      <c r="F2126" s="3" t="s">
        <v>33</v>
      </c>
      <c r="G2126" s="3" t="s">
        <v>487</v>
      </c>
      <c r="H2126" s="3"/>
      <c r="I2126" s="3"/>
    </row>
    <row r="2127" spans="1:9" s="5" customFormat="1" x14ac:dyDescent="0.35">
      <c r="A2127" s="3" t="s">
        <v>907</v>
      </c>
      <c r="B2127" s="3" t="s">
        <v>914</v>
      </c>
      <c r="C2127" s="3" t="s">
        <v>20</v>
      </c>
      <c r="D2127" s="3" t="s">
        <v>948</v>
      </c>
      <c r="E2127" s="3" t="s">
        <v>15</v>
      </c>
      <c r="F2127" s="3" t="s">
        <v>33</v>
      </c>
      <c r="G2127" s="3" t="s">
        <v>487</v>
      </c>
      <c r="H2127" s="3"/>
      <c r="I2127" s="3"/>
    </row>
    <row r="2128" spans="1:9" s="5" customFormat="1" x14ac:dyDescent="0.35">
      <c r="A2128" s="3" t="s">
        <v>907</v>
      </c>
      <c r="B2128" s="3" t="s">
        <v>914</v>
      </c>
      <c r="C2128" s="3" t="s">
        <v>20</v>
      </c>
      <c r="D2128" s="3" t="s">
        <v>948</v>
      </c>
      <c r="E2128" s="3" t="s">
        <v>56</v>
      </c>
      <c r="F2128" s="3" t="s">
        <v>33</v>
      </c>
      <c r="G2128" s="3" t="s">
        <v>487</v>
      </c>
      <c r="H2128" s="3"/>
      <c r="I2128" s="3"/>
    </row>
    <row r="2129" spans="1:9" s="5" customFormat="1" x14ac:dyDescent="0.35">
      <c r="A2129" s="3" t="s">
        <v>907</v>
      </c>
      <c r="B2129" s="3" t="s">
        <v>914</v>
      </c>
      <c r="C2129" s="3" t="s">
        <v>20</v>
      </c>
      <c r="D2129" s="3" t="s">
        <v>948</v>
      </c>
      <c r="E2129" s="3" t="s">
        <v>32</v>
      </c>
      <c r="F2129" s="3" t="s">
        <v>33</v>
      </c>
      <c r="G2129" s="3" t="s">
        <v>487</v>
      </c>
      <c r="H2129" s="3"/>
      <c r="I2129" s="3"/>
    </row>
    <row r="2130" spans="1:9" s="5" customFormat="1" x14ac:dyDescent="0.35">
      <c r="A2130" s="3" t="s">
        <v>907</v>
      </c>
      <c r="B2130" s="3" t="s">
        <v>914</v>
      </c>
      <c r="C2130" s="3" t="s">
        <v>20</v>
      </c>
      <c r="D2130" s="3" t="s">
        <v>948</v>
      </c>
      <c r="E2130" s="3" t="s">
        <v>29</v>
      </c>
      <c r="F2130" s="3" t="s">
        <v>33</v>
      </c>
      <c r="G2130" s="3" t="s">
        <v>487</v>
      </c>
      <c r="H2130" s="3"/>
      <c r="I2130" s="3"/>
    </row>
    <row r="2131" spans="1:9" s="5" customFormat="1" x14ac:dyDescent="0.35">
      <c r="A2131" s="3" t="s">
        <v>907</v>
      </c>
      <c r="B2131" s="3" t="s">
        <v>914</v>
      </c>
      <c r="C2131" s="3" t="s">
        <v>20</v>
      </c>
      <c r="D2131" s="3" t="s">
        <v>948</v>
      </c>
      <c r="E2131" s="3" t="s">
        <v>134</v>
      </c>
      <c r="F2131" s="3" t="s">
        <v>33</v>
      </c>
      <c r="G2131" s="3" t="s">
        <v>487</v>
      </c>
      <c r="H2131" s="3"/>
      <c r="I2131" s="3"/>
    </row>
    <row r="2132" spans="1:9" s="5" customFormat="1" x14ac:dyDescent="0.35">
      <c r="A2132" s="3" t="s">
        <v>907</v>
      </c>
      <c r="B2132" s="3" t="s">
        <v>914</v>
      </c>
      <c r="C2132" s="3" t="s">
        <v>20</v>
      </c>
      <c r="D2132" s="3" t="s">
        <v>949</v>
      </c>
      <c r="E2132" s="3" t="s">
        <v>25</v>
      </c>
      <c r="F2132" s="3"/>
      <c r="G2132" s="3"/>
      <c r="H2132" s="3"/>
      <c r="I2132" s="3"/>
    </row>
    <row r="2133" spans="1:9" s="5" customFormat="1" x14ac:dyDescent="0.35">
      <c r="A2133" s="3" t="s">
        <v>907</v>
      </c>
      <c r="B2133" s="3" t="s">
        <v>914</v>
      </c>
      <c r="C2133" s="3" t="s">
        <v>20</v>
      </c>
      <c r="D2133" s="3" t="s">
        <v>949</v>
      </c>
      <c r="E2133" s="3" t="s">
        <v>60</v>
      </c>
      <c r="F2133" s="3"/>
      <c r="G2133" s="3"/>
      <c r="H2133" s="3"/>
      <c r="I2133" s="3"/>
    </row>
    <row r="2134" spans="1:9" s="5" customFormat="1" x14ac:dyDescent="0.35">
      <c r="A2134" s="3" t="s">
        <v>907</v>
      </c>
      <c r="B2134" s="3" t="s">
        <v>914</v>
      </c>
      <c r="C2134" s="3" t="s">
        <v>20</v>
      </c>
      <c r="D2134" s="3" t="s">
        <v>949</v>
      </c>
      <c r="E2134" s="3" t="s">
        <v>27</v>
      </c>
      <c r="F2134" s="3"/>
      <c r="G2134" s="3"/>
      <c r="H2134" s="3"/>
      <c r="I2134" s="3"/>
    </row>
    <row r="2135" spans="1:9" s="5" customFormat="1" x14ac:dyDescent="0.35">
      <c r="A2135" s="3" t="s">
        <v>907</v>
      </c>
      <c r="B2135" s="3" t="s">
        <v>914</v>
      </c>
      <c r="C2135" s="3" t="s">
        <v>20</v>
      </c>
      <c r="D2135" s="3" t="s">
        <v>949</v>
      </c>
      <c r="E2135" s="3" t="s">
        <v>77</v>
      </c>
      <c r="F2135" s="3"/>
      <c r="G2135" s="3"/>
      <c r="H2135" s="3"/>
      <c r="I2135" s="3"/>
    </row>
    <row r="2136" spans="1:9" s="5" customFormat="1" x14ac:dyDescent="0.35">
      <c r="A2136" s="3" t="s">
        <v>907</v>
      </c>
      <c r="B2136" s="3" t="s">
        <v>914</v>
      </c>
      <c r="C2136" s="3" t="s">
        <v>20</v>
      </c>
      <c r="D2136" s="3" t="s">
        <v>949</v>
      </c>
      <c r="E2136" s="3" t="s">
        <v>28</v>
      </c>
      <c r="F2136" s="3"/>
      <c r="G2136" s="3"/>
      <c r="H2136" s="3"/>
      <c r="I2136" s="3"/>
    </row>
    <row r="2137" spans="1:9" s="5" customFormat="1" x14ac:dyDescent="0.35">
      <c r="A2137" s="3" t="s">
        <v>907</v>
      </c>
      <c r="B2137" s="3" t="s">
        <v>914</v>
      </c>
      <c r="C2137" s="3" t="s">
        <v>20</v>
      </c>
      <c r="D2137" s="3" t="s">
        <v>949</v>
      </c>
      <c r="E2137" s="3" t="s">
        <v>15</v>
      </c>
      <c r="F2137" s="3" t="s">
        <v>16</v>
      </c>
      <c r="G2137" s="3" t="s">
        <v>950</v>
      </c>
      <c r="H2137" s="3"/>
      <c r="I2137" s="3"/>
    </row>
    <row r="2138" spans="1:9" s="5" customFormat="1" x14ac:dyDescent="0.35">
      <c r="A2138" s="3" t="s">
        <v>907</v>
      </c>
      <c r="B2138" s="3" t="s">
        <v>914</v>
      </c>
      <c r="C2138" s="3" t="s">
        <v>20</v>
      </c>
      <c r="D2138" s="3" t="s">
        <v>949</v>
      </c>
      <c r="E2138" s="3" t="s">
        <v>56</v>
      </c>
      <c r="F2138" s="3" t="s">
        <v>16</v>
      </c>
      <c r="G2138" s="3" t="s">
        <v>951</v>
      </c>
      <c r="H2138" s="3"/>
      <c r="I2138" s="3"/>
    </row>
    <row r="2139" spans="1:9" s="5" customFormat="1" x14ac:dyDescent="0.35">
      <c r="A2139" s="3" t="s">
        <v>907</v>
      </c>
      <c r="B2139" s="3" t="s">
        <v>914</v>
      </c>
      <c r="C2139" s="3" t="s">
        <v>20</v>
      </c>
      <c r="D2139" s="3" t="s">
        <v>949</v>
      </c>
      <c r="E2139" s="3" t="s">
        <v>32</v>
      </c>
      <c r="F2139" s="3" t="s">
        <v>16</v>
      </c>
      <c r="G2139" s="3" t="s">
        <v>952</v>
      </c>
      <c r="H2139" s="3"/>
      <c r="I2139" s="3"/>
    </row>
    <row r="2140" spans="1:9" s="5" customFormat="1" x14ac:dyDescent="0.35">
      <c r="A2140" s="3" t="s">
        <v>907</v>
      </c>
      <c r="B2140" s="3" t="s">
        <v>914</v>
      </c>
      <c r="C2140" s="3" t="s">
        <v>20</v>
      </c>
      <c r="D2140" s="3" t="s">
        <v>949</v>
      </c>
      <c r="E2140" s="3" t="s">
        <v>152</v>
      </c>
      <c r="F2140" s="3"/>
      <c r="G2140" s="3"/>
      <c r="H2140" s="3"/>
      <c r="I2140" s="3"/>
    </row>
    <row r="2141" spans="1:9" s="5" customFormat="1" x14ac:dyDescent="0.35">
      <c r="A2141" s="3" t="s">
        <v>907</v>
      </c>
      <c r="B2141" s="3" t="s">
        <v>914</v>
      </c>
      <c r="C2141" s="3" t="s">
        <v>20</v>
      </c>
      <c r="D2141" s="3" t="s">
        <v>953</v>
      </c>
      <c r="E2141" s="3" t="s">
        <v>28</v>
      </c>
      <c r="F2141" s="3" t="s">
        <v>16</v>
      </c>
      <c r="G2141" s="3" t="s">
        <v>954</v>
      </c>
      <c r="H2141" s="3"/>
      <c r="I2141" s="3"/>
    </row>
    <row r="2142" spans="1:9" s="5" customFormat="1" x14ac:dyDescent="0.35">
      <c r="A2142" s="3" t="s">
        <v>907</v>
      </c>
      <c r="B2142" s="3" t="s">
        <v>914</v>
      </c>
      <c r="C2142" s="3" t="s">
        <v>20</v>
      </c>
      <c r="D2142" s="3" t="s">
        <v>953</v>
      </c>
      <c r="E2142" s="3" t="s">
        <v>87</v>
      </c>
      <c r="F2142" s="3"/>
      <c r="G2142" s="3"/>
      <c r="H2142" s="3"/>
      <c r="I2142" s="3"/>
    </row>
    <row r="2143" spans="1:9" s="5" customFormat="1" x14ac:dyDescent="0.35">
      <c r="A2143" s="3" t="s">
        <v>907</v>
      </c>
      <c r="B2143" s="3" t="s">
        <v>914</v>
      </c>
      <c r="C2143" s="3" t="s">
        <v>20</v>
      </c>
      <c r="D2143" s="3" t="s">
        <v>953</v>
      </c>
      <c r="E2143" s="3" t="s">
        <v>242</v>
      </c>
      <c r="F2143" s="3"/>
      <c r="G2143" s="3"/>
      <c r="H2143" s="3"/>
      <c r="I2143" s="3"/>
    </row>
    <row r="2144" spans="1:9" s="5" customFormat="1" x14ac:dyDescent="0.35">
      <c r="A2144" s="3" t="s">
        <v>907</v>
      </c>
      <c r="B2144" s="3" t="s">
        <v>914</v>
      </c>
      <c r="C2144" s="3" t="s">
        <v>20</v>
      </c>
      <c r="D2144" s="3" t="s">
        <v>953</v>
      </c>
      <c r="E2144" s="3" t="s">
        <v>15</v>
      </c>
      <c r="F2144" s="3" t="s">
        <v>16</v>
      </c>
      <c r="G2144" s="3" t="s">
        <v>954</v>
      </c>
      <c r="H2144" s="3"/>
      <c r="I2144" s="3"/>
    </row>
    <row r="2145" spans="1:9" s="5" customFormat="1" x14ac:dyDescent="0.35">
      <c r="A2145" s="3" t="s">
        <v>907</v>
      </c>
      <c r="B2145" s="3" t="s">
        <v>914</v>
      </c>
      <c r="C2145" s="3" t="s">
        <v>20</v>
      </c>
      <c r="D2145" s="3" t="s">
        <v>953</v>
      </c>
      <c r="E2145" s="3" t="s">
        <v>107</v>
      </c>
      <c r="F2145" s="3" t="s">
        <v>16</v>
      </c>
      <c r="G2145" s="3" t="s">
        <v>954</v>
      </c>
      <c r="H2145" s="3"/>
      <c r="I2145" s="3"/>
    </row>
    <row r="2146" spans="1:9" s="5" customFormat="1" x14ac:dyDescent="0.35">
      <c r="A2146" s="3" t="s">
        <v>907</v>
      </c>
      <c r="B2146" s="3" t="s">
        <v>914</v>
      </c>
      <c r="C2146" s="3" t="s">
        <v>39</v>
      </c>
      <c r="D2146" s="3" t="s">
        <v>955</v>
      </c>
      <c r="E2146" s="3" t="s">
        <v>24</v>
      </c>
      <c r="F2146" s="3"/>
      <c r="G2146" s="3"/>
      <c r="H2146" s="3"/>
      <c r="I2146" s="3"/>
    </row>
    <row r="2147" spans="1:9" s="5" customFormat="1" x14ac:dyDescent="0.35">
      <c r="A2147" s="3" t="s">
        <v>907</v>
      </c>
      <c r="B2147" s="3" t="s">
        <v>914</v>
      </c>
      <c r="C2147" s="3" t="s">
        <v>45</v>
      </c>
      <c r="D2147" s="3" t="s">
        <v>956</v>
      </c>
      <c r="E2147" s="3" t="s">
        <v>56</v>
      </c>
      <c r="F2147" s="3"/>
      <c r="G2147" s="3"/>
      <c r="H2147" s="3"/>
      <c r="I2147" s="3"/>
    </row>
    <row r="2148" spans="1:9" s="5" customFormat="1" x14ac:dyDescent="0.35">
      <c r="A2148" s="3" t="s">
        <v>907</v>
      </c>
      <c r="B2148" s="3" t="s">
        <v>914</v>
      </c>
      <c r="C2148" s="3" t="s">
        <v>45</v>
      </c>
      <c r="D2148" s="3" t="s">
        <v>956</v>
      </c>
      <c r="E2148" s="3" t="s">
        <v>372</v>
      </c>
      <c r="F2148" s="3"/>
      <c r="G2148" s="3"/>
      <c r="H2148" s="3"/>
      <c r="I2148" s="3"/>
    </row>
    <row r="2149" spans="1:9" s="5" customFormat="1" x14ac:dyDescent="0.35">
      <c r="A2149" s="3" t="s">
        <v>907</v>
      </c>
      <c r="B2149" s="3" t="s">
        <v>914</v>
      </c>
      <c r="C2149" s="3" t="s">
        <v>45</v>
      </c>
      <c r="D2149" s="3" t="s">
        <v>957</v>
      </c>
      <c r="E2149" s="3" t="s">
        <v>217</v>
      </c>
      <c r="F2149" s="3"/>
      <c r="G2149" s="3"/>
      <c r="H2149" s="3"/>
      <c r="I2149" s="3"/>
    </row>
    <row r="2150" spans="1:9" s="5" customFormat="1" x14ac:dyDescent="0.35">
      <c r="A2150" s="3" t="s">
        <v>907</v>
      </c>
      <c r="B2150" s="3" t="s">
        <v>914</v>
      </c>
      <c r="C2150" s="3" t="s">
        <v>45</v>
      </c>
      <c r="D2150" s="3" t="s">
        <v>957</v>
      </c>
      <c r="E2150" s="3" t="s">
        <v>56</v>
      </c>
      <c r="F2150" s="3"/>
      <c r="G2150" s="3" t="s">
        <v>2412</v>
      </c>
      <c r="H2150" s="3"/>
      <c r="I2150" s="3"/>
    </row>
    <row r="2151" spans="1:9" s="5" customFormat="1" x14ac:dyDescent="0.35">
      <c r="A2151" s="3" t="s">
        <v>907</v>
      </c>
      <c r="B2151" s="3" t="s">
        <v>914</v>
      </c>
      <c r="C2151" s="3" t="s">
        <v>39</v>
      </c>
      <c r="D2151" s="3" t="s">
        <v>958</v>
      </c>
      <c r="E2151" s="3" t="s">
        <v>27</v>
      </c>
      <c r="F2151" s="3" t="s">
        <v>16</v>
      </c>
      <c r="G2151" s="3" t="s">
        <v>959</v>
      </c>
      <c r="H2151" s="3"/>
      <c r="I2151" s="3"/>
    </row>
    <row r="2152" spans="1:9" s="5" customFormat="1" x14ac:dyDescent="0.35">
      <c r="A2152" s="3" t="s">
        <v>907</v>
      </c>
      <c r="B2152" s="3" t="s">
        <v>914</v>
      </c>
      <c r="C2152" s="3" t="s">
        <v>39</v>
      </c>
      <c r="D2152" s="3" t="s">
        <v>958</v>
      </c>
      <c r="E2152" s="3" t="s">
        <v>77</v>
      </c>
      <c r="F2152" s="3" t="s">
        <v>16</v>
      </c>
      <c r="G2152" s="3" t="s">
        <v>959</v>
      </c>
      <c r="H2152" s="3"/>
      <c r="I2152" s="3"/>
    </row>
    <row r="2153" spans="1:9" s="5" customFormat="1" x14ac:dyDescent="0.35">
      <c r="A2153" s="3" t="s">
        <v>907</v>
      </c>
      <c r="B2153" s="3" t="s">
        <v>914</v>
      </c>
      <c r="C2153" s="3" t="s">
        <v>39</v>
      </c>
      <c r="D2153" s="3" t="s">
        <v>958</v>
      </c>
      <c r="E2153" s="3" t="s">
        <v>152</v>
      </c>
      <c r="F2153" s="3" t="s">
        <v>16</v>
      </c>
      <c r="G2153" s="3" t="s">
        <v>959</v>
      </c>
      <c r="H2153" s="3"/>
      <c r="I2153" s="3"/>
    </row>
    <row r="2154" spans="1:9" s="5" customFormat="1" x14ac:dyDescent="0.35">
      <c r="A2154" s="3" t="s">
        <v>907</v>
      </c>
      <c r="B2154" s="3" t="s">
        <v>914</v>
      </c>
      <c r="C2154" s="3" t="s">
        <v>45</v>
      </c>
      <c r="D2154" s="3" t="s">
        <v>960</v>
      </c>
      <c r="E2154" s="3" t="s">
        <v>56</v>
      </c>
      <c r="F2154" s="3"/>
      <c r="G2154" s="3" t="s">
        <v>2318</v>
      </c>
      <c r="H2154" s="3"/>
      <c r="I2154" s="3"/>
    </row>
    <row r="2155" spans="1:9" s="5" customFormat="1" x14ac:dyDescent="0.35">
      <c r="A2155" s="3" t="s">
        <v>907</v>
      </c>
      <c r="B2155" s="3" t="s">
        <v>914</v>
      </c>
      <c r="C2155" s="3" t="s">
        <v>10</v>
      </c>
      <c r="D2155" s="3" t="s">
        <v>2970</v>
      </c>
      <c r="E2155" s="3" t="s">
        <v>36</v>
      </c>
      <c r="F2155" s="3"/>
      <c r="G2155" s="3"/>
      <c r="H2155" s="3"/>
      <c r="I2155" s="3"/>
    </row>
    <row r="2156" spans="1:9" s="5" customFormat="1" x14ac:dyDescent="0.35">
      <c r="A2156" s="3" t="s">
        <v>907</v>
      </c>
      <c r="B2156" s="3" t="s">
        <v>914</v>
      </c>
      <c r="C2156" s="3" t="s">
        <v>10</v>
      </c>
      <c r="D2156" s="3" t="s">
        <v>2970</v>
      </c>
      <c r="E2156" s="3" t="s">
        <v>47</v>
      </c>
      <c r="F2156" s="3"/>
      <c r="G2156" s="3"/>
      <c r="H2156" s="3"/>
      <c r="I2156" s="3"/>
    </row>
    <row r="2157" spans="1:9" s="5" customFormat="1" x14ac:dyDescent="0.35">
      <c r="A2157" s="3" t="s">
        <v>907</v>
      </c>
      <c r="B2157" s="3" t="s">
        <v>914</v>
      </c>
      <c r="C2157" s="3" t="s">
        <v>10</v>
      </c>
      <c r="D2157" s="3" t="s">
        <v>2970</v>
      </c>
      <c r="E2157" s="3" t="s">
        <v>87</v>
      </c>
      <c r="F2157" s="3"/>
      <c r="G2157" s="3"/>
      <c r="H2157" s="3"/>
      <c r="I2157" s="3"/>
    </row>
    <row r="2158" spans="1:9" s="5" customFormat="1" x14ac:dyDescent="0.35">
      <c r="A2158" s="3" t="s">
        <v>907</v>
      </c>
      <c r="B2158" s="3" t="s">
        <v>914</v>
      </c>
      <c r="C2158" s="3" t="s">
        <v>10</v>
      </c>
      <c r="D2158" s="3" t="s">
        <v>2970</v>
      </c>
      <c r="E2158" s="3" t="s">
        <v>32</v>
      </c>
      <c r="F2158" s="3"/>
      <c r="G2158" s="3"/>
      <c r="H2158" s="3"/>
      <c r="I2158" s="3"/>
    </row>
    <row r="2159" spans="1:9" s="5" customFormat="1" x14ac:dyDescent="0.35">
      <c r="A2159" s="3" t="s">
        <v>907</v>
      </c>
      <c r="B2159" s="3" t="s">
        <v>914</v>
      </c>
      <c r="C2159" s="3" t="s">
        <v>10</v>
      </c>
      <c r="D2159" s="3" t="s">
        <v>2970</v>
      </c>
      <c r="E2159" s="3" t="s">
        <v>134</v>
      </c>
      <c r="F2159" s="3"/>
      <c r="G2159" s="3"/>
      <c r="H2159" s="3"/>
      <c r="I2159" s="3"/>
    </row>
    <row r="2160" spans="1:9" s="5" customFormat="1" x14ac:dyDescent="0.35">
      <c r="A2160" s="3" t="s">
        <v>907</v>
      </c>
      <c r="B2160" s="3" t="s">
        <v>914</v>
      </c>
      <c r="C2160" s="3" t="s">
        <v>20</v>
      </c>
      <c r="D2160" s="3" t="s">
        <v>961</v>
      </c>
      <c r="E2160" s="3" t="s">
        <v>12</v>
      </c>
      <c r="F2160" s="3"/>
      <c r="G2160" s="3"/>
      <c r="H2160" s="3"/>
      <c r="I2160" s="3"/>
    </row>
    <row r="2161" spans="1:9" s="5" customFormat="1" x14ac:dyDescent="0.35">
      <c r="A2161" s="3" t="s">
        <v>907</v>
      </c>
      <c r="B2161" s="3" t="s">
        <v>914</v>
      </c>
      <c r="C2161" s="3" t="s">
        <v>20</v>
      </c>
      <c r="D2161" s="3" t="s">
        <v>961</v>
      </c>
      <c r="E2161" s="3" t="s">
        <v>15</v>
      </c>
      <c r="F2161" s="3"/>
      <c r="G2161" s="3"/>
      <c r="H2161" s="3"/>
      <c r="I2161" s="3"/>
    </row>
    <row r="2162" spans="1:9" s="5" customFormat="1" x14ac:dyDescent="0.35">
      <c r="A2162" s="3" t="s">
        <v>907</v>
      </c>
      <c r="B2162" s="3" t="s">
        <v>914</v>
      </c>
      <c r="C2162" s="3" t="s">
        <v>20</v>
      </c>
      <c r="D2162" s="3" t="s">
        <v>961</v>
      </c>
      <c r="E2162" s="3" t="s">
        <v>56</v>
      </c>
      <c r="F2162" s="3"/>
      <c r="G2162" s="3"/>
      <c r="H2162" s="3"/>
      <c r="I2162" s="3"/>
    </row>
    <row r="2163" spans="1:9" s="5" customFormat="1" x14ac:dyDescent="0.35">
      <c r="A2163" s="3" t="s">
        <v>907</v>
      </c>
      <c r="B2163" s="3" t="s">
        <v>914</v>
      </c>
      <c r="C2163" s="3" t="s">
        <v>20</v>
      </c>
      <c r="D2163" s="3" t="s">
        <v>962</v>
      </c>
      <c r="E2163" s="3" t="s">
        <v>36</v>
      </c>
      <c r="F2163" s="3"/>
      <c r="G2163" s="3"/>
      <c r="H2163" s="3"/>
      <c r="I2163" s="3"/>
    </row>
    <row r="2164" spans="1:9" s="5" customFormat="1" x14ac:dyDescent="0.35">
      <c r="A2164" s="3" t="s">
        <v>907</v>
      </c>
      <c r="B2164" s="3" t="s">
        <v>914</v>
      </c>
      <c r="C2164" s="3" t="s">
        <v>20</v>
      </c>
      <c r="D2164" s="3" t="s">
        <v>962</v>
      </c>
      <c r="E2164" s="3" t="s">
        <v>25</v>
      </c>
      <c r="F2164" s="3"/>
      <c r="G2164" s="3"/>
      <c r="H2164" s="3"/>
      <c r="I2164" s="3"/>
    </row>
    <row r="2165" spans="1:9" s="5" customFormat="1" x14ac:dyDescent="0.35">
      <c r="A2165" s="3" t="s">
        <v>907</v>
      </c>
      <c r="B2165" s="3" t="s">
        <v>914</v>
      </c>
      <c r="C2165" s="3" t="s">
        <v>20</v>
      </c>
      <c r="D2165" s="3" t="s">
        <v>962</v>
      </c>
      <c r="E2165" s="3" t="s">
        <v>77</v>
      </c>
      <c r="F2165" s="3"/>
      <c r="G2165" s="3"/>
      <c r="H2165" s="3"/>
      <c r="I2165" s="3"/>
    </row>
    <row r="2166" spans="1:9" s="5" customFormat="1" x14ac:dyDescent="0.35">
      <c r="A2166" s="3" t="s">
        <v>907</v>
      </c>
      <c r="B2166" s="3" t="s">
        <v>914</v>
      </c>
      <c r="C2166" s="3" t="s">
        <v>10</v>
      </c>
      <c r="D2166" s="3" t="s">
        <v>963</v>
      </c>
      <c r="E2166" s="3" t="s">
        <v>12</v>
      </c>
      <c r="F2166" s="3"/>
      <c r="G2166" s="3"/>
      <c r="H2166" s="3"/>
      <c r="I2166" s="3"/>
    </row>
    <row r="2167" spans="1:9" s="5" customFormat="1" x14ac:dyDescent="0.35">
      <c r="A2167" s="3" t="s">
        <v>907</v>
      </c>
      <c r="B2167" s="3" t="s">
        <v>914</v>
      </c>
      <c r="C2167" s="3" t="s">
        <v>10</v>
      </c>
      <c r="D2167" s="3" t="s">
        <v>963</v>
      </c>
      <c r="E2167" s="3" t="s">
        <v>47</v>
      </c>
      <c r="F2167" s="3"/>
      <c r="G2167" s="3"/>
      <c r="H2167" s="3"/>
      <c r="I2167" s="3"/>
    </row>
    <row r="2168" spans="1:9" s="5" customFormat="1" x14ac:dyDescent="0.35">
      <c r="A2168" s="3" t="s">
        <v>907</v>
      </c>
      <c r="B2168" s="3" t="s">
        <v>914</v>
      </c>
      <c r="C2168" s="3" t="s">
        <v>10</v>
      </c>
      <c r="D2168" s="3" t="s">
        <v>963</v>
      </c>
      <c r="E2168" s="3" t="s">
        <v>15</v>
      </c>
      <c r="F2168" s="3"/>
      <c r="G2168" s="3"/>
      <c r="H2168" s="3"/>
      <c r="I2168" s="3"/>
    </row>
    <row r="2169" spans="1:9" s="5" customFormat="1" x14ac:dyDescent="0.35">
      <c r="A2169" s="3" t="s">
        <v>907</v>
      </c>
      <c r="B2169" s="3" t="s">
        <v>914</v>
      </c>
      <c r="C2169" s="3" t="s">
        <v>10</v>
      </c>
      <c r="D2169" s="3" t="s">
        <v>963</v>
      </c>
      <c r="E2169" s="3" t="s">
        <v>57</v>
      </c>
      <c r="F2169" s="3"/>
      <c r="G2169" s="3"/>
      <c r="H2169" s="3"/>
      <c r="I2169" s="3"/>
    </row>
    <row r="2170" spans="1:9" s="5" customFormat="1" x14ac:dyDescent="0.35">
      <c r="A2170" s="3" t="s">
        <v>907</v>
      </c>
      <c r="B2170" s="3" t="s">
        <v>914</v>
      </c>
      <c r="C2170" s="3" t="s">
        <v>10</v>
      </c>
      <c r="D2170" s="3" t="s">
        <v>963</v>
      </c>
      <c r="E2170" s="3" t="s">
        <v>134</v>
      </c>
      <c r="F2170" s="3"/>
      <c r="G2170" s="3"/>
      <c r="H2170" s="3"/>
      <c r="I2170" s="3"/>
    </row>
    <row r="2171" spans="1:9" s="5" customFormat="1" x14ac:dyDescent="0.35">
      <c r="A2171" s="3" t="s">
        <v>907</v>
      </c>
      <c r="B2171" s="3" t="s">
        <v>914</v>
      </c>
      <c r="C2171" s="3" t="s">
        <v>10</v>
      </c>
      <c r="D2171" s="3" t="s">
        <v>964</v>
      </c>
      <c r="E2171" s="3" t="s">
        <v>47</v>
      </c>
      <c r="F2171" s="3"/>
      <c r="G2171" s="3"/>
      <c r="H2171" s="3"/>
      <c r="I2171" s="3"/>
    </row>
    <row r="2172" spans="1:9" s="5" customFormat="1" x14ac:dyDescent="0.35">
      <c r="A2172" s="3" t="s">
        <v>907</v>
      </c>
      <c r="B2172" s="3" t="s">
        <v>914</v>
      </c>
      <c r="C2172" s="3" t="s">
        <v>10</v>
      </c>
      <c r="D2172" s="3" t="s">
        <v>964</v>
      </c>
      <c r="E2172" s="3" t="s">
        <v>15</v>
      </c>
      <c r="F2172" s="3"/>
      <c r="G2172" s="3"/>
      <c r="H2172" s="3"/>
      <c r="I2172" s="3"/>
    </row>
    <row r="2173" spans="1:9" s="5" customFormat="1" x14ac:dyDescent="0.35">
      <c r="A2173" s="3" t="s">
        <v>907</v>
      </c>
      <c r="B2173" s="3" t="s">
        <v>914</v>
      </c>
      <c r="C2173" s="3" t="s">
        <v>10</v>
      </c>
      <c r="D2173" s="3" t="s">
        <v>964</v>
      </c>
      <c r="E2173" s="3" t="s">
        <v>32</v>
      </c>
      <c r="F2173" s="3" t="s">
        <v>16</v>
      </c>
      <c r="G2173" s="3" t="s">
        <v>2265</v>
      </c>
      <c r="H2173" s="3"/>
      <c r="I2173" s="3"/>
    </row>
    <row r="2174" spans="1:9" s="5" customFormat="1" x14ac:dyDescent="0.35">
      <c r="A2174" s="3" t="s">
        <v>907</v>
      </c>
      <c r="B2174" s="3" t="s">
        <v>914</v>
      </c>
      <c r="C2174" s="3" t="s">
        <v>45</v>
      </c>
      <c r="D2174" s="3" t="s">
        <v>965</v>
      </c>
      <c r="E2174" s="3" t="s">
        <v>966</v>
      </c>
      <c r="F2174" s="3"/>
      <c r="G2174" s="3"/>
      <c r="H2174" s="3"/>
      <c r="I2174" s="3"/>
    </row>
    <row r="2175" spans="1:9" s="5" customFormat="1" x14ac:dyDescent="0.35">
      <c r="A2175" s="3" t="s">
        <v>907</v>
      </c>
      <c r="B2175" s="3" t="s">
        <v>914</v>
      </c>
      <c r="C2175" s="3" t="s">
        <v>45</v>
      </c>
      <c r="D2175" s="3" t="s">
        <v>965</v>
      </c>
      <c r="E2175" s="3" t="s">
        <v>47</v>
      </c>
      <c r="F2175" s="3"/>
      <c r="G2175" s="3"/>
      <c r="H2175" s="3"/>
      <c r="I2175" s="3"/>
    </row>
    <row r="2176" spans="1:9" s="5" customFormat="1" x14ac:dyDescent="0.35">
      <c r="A2176" s="3" t="s">
        <v>907</v>
      </c>
      <c r="B2176" s="3" t="s">
        <v>914</v>
      </c>
      <c r="C2176" s="3" t="s">
        <v>45</v>
      </c>
      <c r="D2176" s="3" t="s">
        <v>965</v>
      </c>
      <c r="E2176" s="3" t="s">
        <v>15</v>
      </c>
      <c r="F2176" s="3" t="s">
        <v>16</v>
      </c>
      <c r="G2176" s="3" t="s">
        <v>967</v>
      </c>
      <c r="H2176" s="3"/>
      <c r="I2176" s="3"/>
    </row>
    <row r="2177" spans="1:9" s="5" customFormat="1" x14ac:dyDescent="0.35">
      <c r="A2177" s="3" t="s">
        <v>907</v>
      </c>
      <c r="B2177" s="3" t="s">
        <v>914</v>
      </c>
      <c r="C2177" s="3" t="s">
        <v>45</v>
      </c>
      <c r="D2177" s="3" t="s">
        <v>965</v>
      </c>
      <c r="E2177" s="3" t="s">
        <v>56</v>
      </c>
      <c r="F2177" s="3"/>
      <c r="G2177" s="3" t="s">
        <v>2424</v>
      </c>
      <c r="H2177" s="3"/>
      <c r="I2177" s="3"/>
    </row>
    <row r="2178" spans="1:9" s="5" customFormat="1" x14ac:dyDescent="0.35">
      <c r="A2178" s="3" t="s">
        <v>907</v>
      </c>
      <c r="B2178" s="3" t="s">
        <v>914</v>
      </c>
      <c r="C2178" s="3" t="s">
        <v>45</v>
      </c>
      <c r="D2178" s="3" t="s">
        <v>965</v>
      </c>
      <c r="E2178" s="3" t="s">
        <v>89</v>
      </c>
      <c r="F2178" s="3" t="s">
        <v>16</v>
      </c>
      <c r="G2178" s="3" t="s">
        <v>2425</v>
      </c>
      <c r="H2178" s="3"/>
      <c r="I2178" s="3"/>
    </row>
    <row r="2179" spans="1:9" s="5" customFormat="1" x14ac:dyDescent="0.35">
      <c r="A2179" s="3" t="s">
        <v>907</v>
      </c>
      <c r="B2179" s="3" t="s">
        <v>914</v>
      </c>
      <c r="C2179" s="3" t="s">
        <v>45</v>
      </c>
      <c r="D2179" s="3" t="s">
        <v>965</v>
      </c>
      <c r="E2179" s="3" t="s">
        <v>191</v>
      </c>
      <c r="F2179" s="3"/>
      <c r="G2179" s="3"/>
      <c r="H2179" s="3"/>
      <c r="I2179" s="3"/>
    </row>
    <row r="2180" spans="1:9" s="5" customFormat="1" x14ac:dyDescent="0.35">
      <c r="A2180" s="3" t="s">
        <v>907</v>
      </c>
      <c r="B2180" s="3" t="s">
        <v>914</v>
      </c>
      <c r="C2180" s="3" t="s">
        <v>45</v>
      </c>
      <c r="D2180" s="3" t="s">
        <v>965</v>
      </c>
      <c r="E2180" s="3" t="s">
        <v>107</v>
      </c>
      <c r="F2180" s="3"/>
      <c r="G2180" s="3"/>
      <c r="H2180" s="3"/>
      <c r="I2180" s="3"/>
    </row>
    <row r="2181" spans="1:9" s="5" customFormat="1" x14ac:dyDescent="0.35">
      <c r="A2181" s="3" t="s">
        <v>907</v>
      </c>
      <c r="B2181" s="3" t="s">
        <v>914</v>
      </c>
      <c r="C2181" s="3" t="s">
        <v>45</v>
      </c>
      <c r="D2181" s="3" t="s">
        <v>965</v>
      </c>
      <c r="E2181" s="3" t="s">
        <v>968</v>
      </c>
      <c r="F2181" s="3"/>
      <c r="G2181" s="3"/>
      <c r="H2181" s="3"/>
      <c r="I2181" s="3"/>
    </row>
    <row r="2182" spans="1:9" s="5" customFormat="1" x14ac:dyDescent="0.35">
      <c r="A2182" s="3" t="s">
        <v>907</v>
      </c>
      <c r="B2182" s="3" t="s">
        <v>914</v>
      </c>
      <c r="C2182" s="3" t="s">
        <v>45</v>
      </c>
      <c r="D2182" s="3" t="s">
        <v>969</v>
      </c>
      <c r="E2182" s="3" t="s">
        <v>56</v>
      </c>
      <c r="F2182" s="3"/>
      <c r="G2182" s="3" t="s">
        <v>2318</v>
      </c>
      <c r="H2182" s="3"/>
      <c r="I2182" s="3"/>
    </row>
    <row r="2183" spans="1:9" s="5" customFormat="1" x14ac:dyDescent="0.35">
      <c r="A2183" s="3" t="s">
        <v>907</v>
      </c>
      <c r="B2183" s="3" t="s">
        <v>914</v>
      </c>
      <c r="C2183" s="3" t="s">
        <v>45</v>
      </c>
      <c r="D2183" s="3" t="s">
        <v>970</v>
      </c>
      <c r="E2183" s="3" t="s">
        <v>56</v>
      </c>
      <c r="F2183" s="3"/>
      <c r="G2183" s="3" t="s">
        <v>2318</v>
      </c>
      <c r="H2183" s="3"/>
      <c r="I2183" s="3"/>
    </row>
    <row r="2184" spans="1:9" s="5" customFormat="1" x14ac:dyDescent="0.35">
      <c r="A2184" s="3" t="s">
        <v>907</v>
      </c>
      <c r="B2184" s="3" t="s">
        <v>914</v>
      </c>
      <c r="C2184" s="3" t="s">
        <v>20</v>
      </c>
      <c r="D2184" s="3" t="s">
        <v>971</v>
      </c>
      <c r="E2184" s="3" t="s">
        <v>918</v>
      </c>
      <c r="F2184" s="3"/>
      <c r="G2184" s="3"/>
      <c r="H2184" s="3"/>
      <c r="I2184" s="3"/>
    </row>
    <row r="2185" spans="1:9" s="5" customFormat="1" x14ac:dyDescent="0.35">
      <c r="A2185" s="3" t="s">
        <v>907</v>
      </c>
      <c r="B2185" s="3" t="s">
        <v>914</v>
      </c>
      <c r="C2185" s="3" t="s">
        <v>20</v>
      </c>
      <c r="D2185" s="3" t="s">
        <v>971</v>
      </c>
      <c r="E2185" s="3" t="s">
        <v>77</v>
      </c>
      <c r="F2185" s="3"/>
      <c r="G2185" s="3"/>
      <c r="H2185" s="3"/>
      <c r="I2185" s="3"/>
    </row>
    <row r="2186" spans="1:9" s="5" customFormat="1" x14ac:dyDescent="0.35">
      <c r="A2186" s="3" t="s">
        <v>907</v>
      </c>
      <c r="B2186" s="3" t="s">
        <v>914</v>
      </c>
      <c r="C2186" s="3" t="s">
        <v>20</v>
      </c>
      <c r="D2186" s="3" t="s">
        <v>971</v>
      </c>
      <c r="E2186" s="3" t="s">
        <v>28</v>
      </c>
      <c r="F2186" s="3"/>
      <c r="G2186" s="3" t="s">
        <v>2288</v>
      </c>
      <c r="H2186" s="3"/>
      <c r="I2186" s="3"/>
    </row>
    <row r="2187" spans="1:9" s="5" customFormat="1" x14ac:dyDescent="0.35">
      <c r="A2187" s="3" t="s">
        <v>907</v>
      </c>
      <c r="B2187" s="3" t="s">
        <v>914</v>
      </c>
      <c r="C2187" s="3" t="s">
        <v>20</v>
      </c>
      <c r="D2187" s="3" t="s">
        <v>971</v>
      </c>
      <c r="E2187" s="3" t="s">
        <v>242</v>
      </c>
      <c r="F2187" s="3"/>
      <c r="G2187" s="3" t="s">
        <v>2437</v>
      </c>
      <c r="H2187" s="3"/>
      <c r="I2187" s="3"/>
    </row>
    <row r="2188" spans="1:9" s="5" customFormat="1" x14ac:dyDescent="0.35">
      <c r="A2188" s="3" t="s">
        <v>907</v>
      </c>
      <c r="B2188" s="3" t="s">
        <v>914</v>
      </c>
      <c r="C2188" s="3" t="s">
        <v>20</v>
      </c>
      <c r="D2188" s="3" t="s">
        <v>971</v>
      </c>
      <c r="E2188" s="3" t="s">
        <v>15</v>
      </c>
      <c r="F2188" s="3"/>
      <c r="G2188" s="3"/>
      <c r="H2188" s="3"/>
      <c r="I2188" s="3"/>
    </row>
    <row r="2189" spans="1:9" s="5" customFormat="1" x14ac:dyDescent="0.35">
      <c r="A2189" s="3" t="s">
        <v>907</v>
      </c>
      <c r="B2189" s="3" t="s">
        <v>914</v>
      </c>
      <c r="C2189" s="3" t="s">
        <v>20</v>
      </c>
      <c r="D2189" s="3" t="s">
        <v>971</v>
      </c>
      <c r="E2189" s="3" t="s">
        <v>56</v>
      </c>
      <c r="F2189" s="3"/>
      <c r="G2189" s="3"/>
      <c r="H2189" s="3"/>
      <c r="I2189" s="3"/>
    </row>
    <row r="2190" spans="1:9" s="5" customFormat="1" x14ac:dyDescent="0.35">
      <c r="A2190" s="3" t="s">
        <v>907</v>
      </c>
      <c r="B2190" s="3" t="s">
        <v>914</v>
      </c>
      <c r="C2190" s="3" t="s">
        <v>20</v>
      </c>
      <c r="D2190" s="3" t="s">
        <v>971</v>
      </c>
      <c r="E2190" s="3" t="s">
        <v>89</v>
      </c>
      <c r="F2190" s="3" t="s">
        <v>16</v>
      </c>
      <c r="G2190" s="3" t="s">
        <v>919</v>
      </c>
      <c r="H2190" s="3"/>
      <c r="I2190" s="3"/>
    </row>
    <row r="2191" spans="1:9" s="5" customFormat="1" x14ac:dyDescent="0.35">
      <c r="A2191" s="3" t="s">
        <v>907</v>
      </c>
      <c r="B2191" s="3" t="s">
        <v>914</v>
      </c>
      <c r="C2191" s="3" t="s">
        <v>20</v>
      </c>
      <c r="D2191" s="3" t="s">
        <v>971</v>
      </c>
      <c r="E2191" s="3" t="s">
        <v>191</v>
      </c>
      <c r="F2191" s="3"/>
      <c r="G2191" s="3"/>
      <c r="H2191" s="3"/>
      <c r="I2191" s="3"/>
    </row>
    <row r="2192" spans="1:9" s="5" customFormat="1" x14ac:dyDescent="0.35">
      <c r="A2192" s="3" t="s">
        <v>907</v>
      </c>
      <c r="B2192" s="3" t="s">
        <v>914</v>
      </c>
      <c r="C2192" s="3" t="s">
        <v>39</v>
      </c>
      <c r="D2192" s="3" t="s">
        <v>972</v>
      </c>
      <c r="E2192" s="3" t="s">
        <v>12</v>
      </c>
      <c r="F2192" s="3"/>
      <c r="G2192" s="3"/>
      <c r="H2192" s="3"/>
      <c r="I2192" s="3"/>
    </row>
    <row r="2193" spans="1:9" s="5" customFormat="1" x14ac:dyDescent="0.35">
      <c r="A2193" s="3" t="s">
        <v>907</v>
      </c>
      <c r="B2193" s="3" t="s">
        <v>914</v>
      </c>
      <c r="C2193" s="3" t="s">
        <v>39</v>
      </c>
      <c r="D2193" s="3" t="s">
        <v>972</v>
      </c>
      <c r="E2193" s="3" t="s">
        <v>15</v>
      </c>
      <c r="F2193" s="3" t="s">
        <v>16</v>
      </c>
      <c r="G2193" s="3" t="s">
        <v>2692</v>
      </c>
      <c r="H2193" s="3"/>
      <c r="I2193" s="3"/>
    </row>
    <row r="2194" spans="1:9" s="5" customFormat="1" x14ac:dyDescent="0.35">
      <c r="A2194" s="3" t="s">
        <v>907</v>
      </c>
      <c r="B2194" s="3" t="s">
        <v>914</v>
      </c>
      <c r="C2194" s="3" t="s">
        <v>39</v>
      </c>
      <c r="D2194" s="3" t="s">
        <v>972</v>
      </c>
      <c r="E2194" s="3" t="s">
        <v>32</v>
      </c>
      <c r="F2194" s="3" t="s">
        <v>16</v>
      </c>
      <c r="G2194" s="3" t="s">
        <v>973</v>
      </c>
      <c r="H2194" s="3"/>
      <c r="I2194" s="3"/>
    </row>
    <row r="2195" spans="1:9" s="5" customFormat="1" x14ac:dyDescent="0.35">
      <c r="A2195" s="3" t="s">
        <v>907</v>
      </c>
      <c r="B2195" s="3" t="s">
        <v>914</v>
      </c>
      <c r="C2195" s="3" t="s">
        <v>45</v>
      </c>
      <c r="D2195" s="3" t="s">
        <v>974</v>
      </c>
      <c r="E2195" s="3" t="s">
        <v>23</v>
      </c>
      <c r="F2195" s="3"/>
      <c r="G2195" s="3"/>
      <c r="H2195" s="3"/>
      <c r="I2195" s="3"/>
    </row>
    <row r="2196" spans="1:9" s="5" customFormat="1" x14ac:dyDescent="0.35">
      <c r="A2196" s="3" t="s">
        <v>907</v>
      </c>
      <c r="B2196" s="3" t="s">
        <v>914</v>
      </c>
      <c r="C2196" s="3" t="s">
        <v>45</v>
      </c>
      <c r="D2196" s="3" t="s">
        <v>975</v>
      </c>
      <c r="E2196" s="3" t="s">
        <v>966</v>
      </c>
      <c r="F2196" s="3"/>
      <c r="G2196" s="3"/>
      <c r="H2196" s="3"/>
      <c r="I2196" s="3"/>
    </row>
    <row r="2197" spans="1:9" s="5" customFormat="1" x14ac:dyDescent="0.35">
      <c r="A2197" s="3" t="s">
        <v>907</v>
      </c>
      <c r="B2197" s="3" t="s">
        <v>914</v>
      </c>
      <c r="C2197" s="3" t="s">
        <v>45</v>
      </c>
      <c r="D2197" s="3" t="s">
        <v>975</v>
      </c>
      <c r="E2197" s="3" t="s">
        <v>36</v>
      </c>
      <c r="F2197" s="3"/>
      <c r="G2197" s="3"/>
      <c r="H2197" s="3"/>
      <c r="I2197" s="3"/>
    </row>
    <row r="2198" spans="1:9" s="5" customFormat="1" x14ac:dyDescent="0.35">
      <c r="A2198" s="3" t="s">
        <v>907</v>
      </c>
      <c r="B2198" s="3" t="s">
        <v>914</v>
      </c>
      <c r="C2198" s="3" t="s">
        <v>45</v>
      </c>
      <c r="D2198" s="3" t="s">
        <v>975</v>
      </c>
      <c r="E2198" s="3" t="s">
        <v>47</v>
      </c>
      <c r="F2198" s="3"/>
      <c r="G2198" s="3"/>
      <c r="H2198" s="3"/>
      <c r="I2198" s="3"/>
    </row>
    <row r="2199" spans="1:9" s="5" customFormat="1" x14ac:dyDescent="0.35">
      <c r="A2199" s="3" t="s">
        <v>907</v>
      </c>
      <c r="B2199" s="3" t="s">
        <v>914</v>
      </c>
      <c r="C2199" s="3" t="s">
        <v>45</v>
      </c>
      <c r="D2199" s="3" t="s">
        <v>975</v>
      </c>
      <c r="E2199" s="3" t="s">
        <v>15</v>
      </c>
      <c r="F2199" s="3"/>
      <c r="G2199" s="3"/>
      <c r="H2199" s="3"/>
      <c r="I2199" s="3"/>
    </row>
    <row r="2200" spans="1:9" s="5" customFormat="1" x14ac:dyDescent="0.35">
      <c r="A2200" s="3" t="s">
        <v>907</v>
      </c>
      <c r="B2200" s="3" t="s">
        <v>914</v>
      </c>
      <c r="C2200" s="3" t="s">
        <v>45</v>
      </c>
      <c r="D2200" s="3" t="s">
        <v>975</v>
      </c>
      <c r="E2200" s="3" t="s">
        <v>56</v>
      </c>
      <c r="F2200" s="3"/>
      <c r="G2200" s="3"/>
      <c r="H2200" s="3"/>
      <c r="I2200" s="3"/>
    </row>
    <row r="2201" spans="1:9" s="5" customFormat="1" x14ac:dyDescent="0.35">
      <c r="A2201" s="3" t="s">
        <v>907</v>
      </c>
      <c r="B2201" s="3" t="s">
        <v>914</v>
      </c>
      <c r="C2201" s="3" t="s">
        <v>45</v>
      </c>
      <c r="D2201" s="3" t="s">
        <v>975</v>
      </c>
      <c r="E2201" s="3" t="s">
        <v>152</v>
      </c>
      <c r="F2201" s="3"/>
      <c r="G2201" s="3" t="s">
        <v>2447</v>
      </c>
      <c r="H2201" s="3"/>
      <c r="I2201" s="3"/>
    </row>
    <row r="2202" spans="1:9" s="5" customFormat="1" x14ac:dyDescent="0.35">
      <c r="A2202" s="3" t="s">
        <v>907</v>
      </c>
      <c r="B2202" s="3" t="s">
        <v>914</v>
      </c>
      <c r="C2202" s="3" t="s">
        <v>45</v>
      </c>
      <c r="D2202" s="3" t="s">
        <v>975</v>
      </c>
      <c r="E2202" s="3" t="s">
        <v>191</v>
      </c>
      <c r="F2202" s="3"/>
      <c r="G2202" s="3"/>
      <c r="H2202" s="3"/>
      <c r="I2202" s="3"/>
    </row>
    <row r="2203" spans="1:9" s="5" customFormat="1" x14ac:dyDescent="0.35">
      <c r="A2203" s="3" t="s">
        <v>907</v>
      </c>
      <c r="B2203" s="3" t="s">
        <v>914</v>
      </c>
      <c r="C2203" s="3" t="s">
        <v>45</v>
      </c>
      <c r="D2203" s="3" t="s">
        <v>975</v>
      </c>
      <c r="E2203" s="3" t="s">
        <v>244</v>
      </c>
      <c r="F2203" s="3"/>
      <c r="G2203" s="3" t="s">
        <v>2446</v>
      </c>
      <c r="H2203" s="3"/>
      <c r="I2203" s="3"/>
    </row>
    <row r="2204" spans="1:9" s="5" customFormat="1" x14ac:dyDescent="0.35">
      <c r="A2204" s="3" t="s">
        <v>907</v>
      </c>
      <c r="B2204" s="3" t="s">
        <v>914</v>
      </c>
      <c r="C2204" s="3" t="s">
        <v>45</v>
      </c>
      <c r="D2204" s="3" t="s">
        <v>976</v>
      </c>
      <c r="E2204" s="3" t="s">
        <v>15</v>
      </c>
      <c r="F2204" s="3"/>
      <c r="G2204" s="3"/>
      <c r="H2204" s="3"/>
      <c r="I2204" s="3"/>
    </row>
    <row r="2205" spans="1:9" s="5" customFormat="1" x14ac:dyDescent="0.35">
      <c r="A2205" s="3" t="s">
        <v>907</v>
      </c>
      <c r="B2205" s="3" t="s">
        <v>914</v>
      </c>
      <c r="C2205" s="3" t="s">
        <v>45</v>
      </c>
      <c r="D2205" s="3" t="s">
        <v>976</v>
      </c>
      <c r="E2205" s="3" t="s">
        <v>56</v>
      </c>
      <c r="F2205" s="3"/>
      <c r="G2205" s="3" t="s">
        <v>2318</v>
      </c>
      <c r="H2205" s="3"/>
      <c r="I2205" s="3"/>
    </row>
    <row r="2206" spans="1:9" s="5" customFormat="1" x14ac:dyDescent="0.35">
      <c r="A2206" s="3" t="s">
        <v>907</v>
      </c>
      <c r="B2206" s="3" t="s">
        <v>914</v>
      </c>
      <c r="C2206" s="3" t="s">
        <v>20</v>
      </c>
      <c r="D2206" s="3" t="s">
        <v>977</v>
      </c>
      <c r="E2206" s="3" t="s">
        <v>918</v>
      </c>
      <c r="F2206" s="3"/>
      <c r="G2206" s="3"/>
      <c r="H2206" s="3"/>
      <c r="I2206" s="3"/>
    </row>
    <row r="2207" spans="1:9" s="5" customFormat="1" x14ac:dyDescent="0.35">
      <c r="A2207" s="3" t="s">
        <v>907</v>
      </c>
      <c r="B2207" s="3" t="s">
        <v>914</v>
      </c>
      <c r="C2207" s="3" t="s">
        <v>20</v>
      </c>
      <c r="D2207" s="3" t="s">
        <v>977</v>
      </c>
      <c r="E2207" s="3" t="s">
        <v>60</v>
      </c>
      <c r="F2207" s="3"/>
      <c r="G2207" s="3"/>
      <c r="H2207" s="3"/>
      <c r="I2207" s="3"/>
    </row>
    <row r="2208" spans="1:9" s="5" customFormat="1" x14ac:dyDescent="0.35">
      <c r="A2208" s="3" t="s">
        <v>907</v>
      </c>
      <c r="B2208" s="3" t="s">
        <v>914</v>
      </c>
      <c r="C2208" s="3" t="s">
        <v>20</v>
      </c>
      <c r="D2208" s="3" t="s">
        <v>977</v>
      </c>
      <c r="E2208" s="3" t="s">
        <v>27</v>
      </c>
      <c r="F2208" s="3"/>
      <c r="G2208" s="3" t="s">
        <v>2287</v>
      </c>
      <c r="H2208" s="3"/>
      <c r="I2208" s="3"/>
    </row>
    <row r="2209" spans="1:9" s="5" customFormat="1" x14ac:dyDescent="0.35">
      <c r="A2209" s="3" t="s">
        <v>907</v>
      </c>
      <c r="B2209" s="3" t="s">
        <v>914</v>
      </c>
      <c r="C2209" s="3" t="s">
        <v>20</v>
      </c>
      <c r="D2209" s="3" t="s">
        <v>977</v>
      </c>
      <c r="E2209" s="3" t="s">
        <v>77</v>
      </c>
      <c r="F2209" s="3"/>
      <c r="G2209" s="3"/>
      <c r="H2209" s="3"/>
      <c r="I2209" s="3"/>
    </row>
    <row r="2210" spans="1:9" s="5" customFormat="1" x14ac:dyDescent="0.35">
      <c r="A2210" s="3" t="s">
        <v>907</v>
      </c>
      <c r="B2210" s="3" t="s">
        <v>914</v>
      </c>
      <c r="C2210" s="3" t="s">
        <v>20</v>
      </c>
      <c r="D2210" s="3" t="s">
        <v>977</v>
      </c>
      <c r="E2210" s="3" t="s">
        <v>28</v>
      </c>
      <c r="F2210" s="3"/>
      <c r="G2210" s="3" t="s">
        <v>2288</v>
      </c>
      <c r="H2210" s="3"/>
      <c r="I2210" s="3"/>
    </row>
    <row r="2211" spans="1:9" s="5" customFormat="1" x14ac:dyDescent="0.35">
      <c r="A2211" s="3" t="s">
        <v>907</v>
      </c>
      <c r="B2211" s="3" t="s">
        <v>914</v>
      </c>
      <c r="C2211" s="3" t="s">
        <v>20</v>
      </c>
      <c r="D2211" s="3" t="s">
        <v>977</v>
      </c>
      <c r="E2211" s="3" t="s">
        <v>15</v>
      </c>
      <c r="F2211" s="3"/>
      <c r="G2211" s="3"/>
      <c r="H2211" s="3"/>
      <c r="I2211" s="3"/>
    </row>
    <row r="2212" spans="1:9" s="5" customFormat="1" x14ac:dyDescent="0.35">
      <c r="A2212" s="3" t="s">
        <v>907</v>
      </c>
      <c r="B2212" s="3" t="s">
        <v>914</v>
      </c>
      <c r="C2212" s="3" t="s">
        <v>20</v>
      </c>
      <c r="D2212" s="3" t="s">
        <v>977</v>
      </c>
      <c r="E2212" s="3" t="s">
        <v>56</v>
      </c>
      <c r="F2212" s="3"/>
      <c r="G2212" s="3"/>
      <c r="H2212" s="3"/>
      <c r="I2212" s="3"/>
    </row>
    <row r="2213" spans="1:9" s="5" customFormat="1" x14ac:dyDescent="0.35">
      <c r="A2213" s="3" t="s">
        <v>907</v>
      </c>
      <c r="B2213" s="3" t="s">
        <v>914</v>
      </c>
      <c r="C2213" s="3" t="s">
        <v>20</v>
      </c>
      <c r="D2213" s="3" t="s">
        <v>977</v>
      </c>
      <c r="E2213" s="3" t="s">
        <v>89</v>
      </c>
      <c r="F2213" s="3"/>
      <c r="G2213" s="3"/>
      <c r="H2213" s="3"/>
      <c r="I2213" s="3"/>
    </row>
    <row r="2214" spans="1:9" s="5" customFormat="1" x14ac:dyDescent="0.35">
      <c r="A2214" s="3" t="s">
        <v>907</v>
      </c>
      <c r="B2214" s="3" t="s">
        <v>914</v>
      </c>
      <c r="C2214" s="3" t="s">
        <v>20</v>
      </c>
      <c r="D2214" s="3" t="s">
        <v>977</v>
      </c>
      <c r="E2214" s="3" t="s">
        <v>191</v>
      </c>
      <c r="F2214" s="3"/>
      <c r="G2214" s="3"/>
      <c r="H2214" s="3"/>
      <c r="I2214" s="3"/>
    </row>
    <row r="2215" spans="1:9" s="5" customFormat="1" x14ac:dyDescent="0.35">
      <c r="A2215" s="3" t="s">
        <v>907</v>
      </c>
      <c r="B2215" s="3" t="s">
        <v>914</v>
      </c>
      <c r="C2215" s="3" t="s">
        <v>20</v>
      </c>
      <c r="D2215" s="3" t="s">
        <v>978</v>
      </c>
      <c r="E2215" s="3" t="s">
        <v>36</v>
      </c>
      <c r="F2215" s="3"/>
      <c r="G2215" s="3"/>
      <c r="H2215" s="3"/>
      <c r="I2215" s="3"/>
    </row>
    <row r="2216" spans="1:9" s="5" customFormat="1" x14ac:dyDescent="0.35">
      <c r="A2216" s="3" t="s">
        <v>907</v>
      </c>
      <c r="B2216" s="3" t="s">
        <v>914</v>
      </c>
      <c r="C2216" s="3" t="s">
        <v>20</v>
      </c>
      <c r="D2216" s="3" t="s">
        <v>978</v>
      </c>
      <c r="E2216" s="3" t="s">
        <v>87</v>
      </c>
      <c r="F2216" s="3"/>
      <c r="G2216" s="3"/>
      <c r="H2216" s="3"/>
      <c r="I2216" s="3"/>
    </row>
    <row r="2217" spans="1:9" s="5" customFormat="1" x14ac:dyDescent="0.35">
      <c r="A2217" s="3" t="s">
        <v>907</v>
      </c>
      <c r="B2217" s="3" t="s">
        <v>914</v>
      </c>
      <c r="C2217" s="3" t="s">
        <v>20</v>
      </c>
      <c r="D2217" s="3" t="s">
        <v>978</v>
      </c>
      <c r="E2217" s="3" t="s">
        <v>98</v>
      </c>
      <c r="F2217" s="3"/>
      <c r="G2217" s="3"/>
      <c r="H2217" s="3"/>
      <c r="I2217" s="3"/>
    </row>
    <row r="2218" spans="1:9" s="5" customFormat="1" x14ac:dyDescent="0.35">
      <c r="A2218" s="3" t="s">
        <v>907</v>
      </c>
      <c r="B2218" s="3" t="s">
        <v>914</v>
      </c>
      <c r="C2218" s="3" t="s">
        <v>20</v>
      </c>
      <c r="D2218" s="3" t="s">
        <v>979</v>
      </c>
      <c r="E2218" s="3" t="s">
        <v>918</v>
      </c>
      <c r="F2218" s="3"/>
      <c r="G2218" s="3"/>
      <c r="H2218" s="3"/>
      <c r="I2218" s="3"/>
    </row>
    <row r="2219" spans="1:9" s="5" customFormat="1" x14ac:dyDescent="0.35">
      <c r="A2219" s="3" t="s">
        <v>907</v>
      </c>
      <c r="B2219" s="3" t="s">
        <v>914</v>
      </c>
      <c r="C2219" s="3" t="s">
        <v>20</v>
      </c>
      <c r="D2219" s="3" t="s">
        <v>979</v>
      </c>
      <c r="E2219" s="3" t="s">
        <v>60</v>
      </c>
      <c r="F2219" s="3"/>
      <c r="G2219" s="3"/>
      <c r="H2219" s="3"/>
      <c r="I2219" s="3"/>
    </row>
    <row r="2220" spans="1:9" s="5" customFormat="1" x14ac:dyDescent="0.35">
      <c r="A2220" s="3" t="s">
        <v>907</v>
      </c>
      <c r="B2220" s="3" t="s">
        <v>914</v>
      </c>
      <c r="C2220" s="3" t="s">
        <v>20</v>
      </c>
      <c r="D2220" s="3" t="s">
        <v>979</v>
      </c>
      <c r="E2220" s="3" t="s">
        <v>27</v>
      </c>
      <c r="F2220" s="3"/>
      <c r="G2220" s="3" t="s">
        <v>2287</v>
      </c>
      <c r="H2220" s="3"/>
      <c r="I2220" s="3"/>
    </row>
    <row r="2221" spans="1:9" s="5" customFormat="1" x14ac:dyDescent="0.35">
      <c r="A2221" s="3" t="s">
        <v>907</v>
      </c>
      <c r="B2221" s="3" t="s">
        <v>914</v>
      </c>
      <c r="C2221" s="3" t="s">
        <v>20</v>
      </c>
      <c r="D2221" s="3" t="s">
        <v>979</v>
      </c>
      <c r="E2221" s="3" t="s">
        <v>77</v>
      </c>
      <c r="F2221" s="3"/>
      <c r="G2221" s="3"/>
      <c r="H2221" s="3"/>
      <c r="I2221" s="3"/>
    </row>
    <row r="2222" spans="1:9" s="5" customFormat="1" x14ac:dyDescent="0.35">
      <c r="A2222" s="3" t="s">
        <v>907</v>
      </c>
      <c r="B2222" s="3" t="s">
        <v>914</v>
      </c>
      <c r="C2222" s="3" t="s">
        <v>20</v>
      </c>
      <c r="D2222" s="3" t="s">
        <v>979</v>
      </c>
      <c r="E2222" s="3" t="s">
        <v>28</v>
      </c>
      <c r="F2222" s="3"/>
      <c r="G2222" s="3" t="s">
        <v>2288</v>
      </c>
      <c r="H2222" s="3"/>
      <c r="I2222" s="3"/>
    </row>
    <row r="2223" spans="1:9" s="5" customFormat="1" x14ac:dyDescent="0.35">
      <c r="A2223" s="3" t="s">
        <v>907</v>
      </c>
      <c r="B2223" s="3" t="s">
        <v>914</v>
      </c>
      <c r="C2223" s="3" t="s">
        <v>20</v>
      </c>
      <c r="D2223" s="3" t="s">
        <v>979</v>
      </c>
      <c r="E2223" s="3" t="s">
        <v>242</v>
      </c>
      <c r="F2223" s="3"/>
      <c r="G2223" s="3" t="s">
        <v>2457</v>
      </c>
      <c r="H2223" s="3"/>
      <c r="I2223" s="3"/>
    </row>
    <row r="2224" spans="1:9" s="5" customFormat="1" x14ac:dyDescent="0.35">
      <c r="A2224" s="3" t="s">
        <v>907</v>
      </c>
      <c r="B2224" s="3" t="s">
        <v>914</v>
      </c>
      <c r="C2224" s="3" t="s">
        <v>20</v>
      </c>
      <c r="D2224" s="3" t="s">
        <v>979</v>
      </c>
      <c r="E2224" s="3" t="s">
        <v>15</v>
      </c>
      <c r="F2224" s="3"/>
      <c r="G2224" s="3"/>
      <c r="H2224" s="3"/>
      <c r="I2224" s="3"/>
    </row>
    <row r="2225" spans="1:9" s="5" customFormat="1" x14ac:dyDescent="0.35">
      <c r="A2225" s="3" t="s">
        <v>907</v>
      </c>
      <c r="B2225" s="3" t="s">
        <v>914</v>
      </c>
      <c r="C2225" s="3" t="s">
        <v>20</v>
      </c>
      <c r="D2225" s="3" t="s">
        <v>979</v>
      </c>
      <c r="E2225" s="3" t="s">
        <v>56</v>
      </c>
      <c r="F2225" s="3"/>
      <c r="G2225" s="3"/>
      <c r="H2225" s="3"/>
      <c r="I2225" s="3"/>
    </row>
    <row r="2226" spans="1:9" s="5" customFormat="1" x14ac:dyDescent="0.35">
      <c r="A2226" s="3" t="s">
        <v>907</v>
      </c>
      <c r="B2226" s="3" t="s">
        <v>914</v>
      </c>
      <c r="C2226" s="3" t="s">
        <v>20</v>
      </c>
      <c r="D2226" s="3" t="s">
        <v>979</v>
      </c>
      <c r="E2226" s="3" t="s">
        <v>89</v>
      </c>
      <c r="F2226" s="3"/>
      <c r="G2226" s="3"/>
      <c r="H2226" s="3"/>
      <c r="I2226" s="3"/>
    </row>
    <row r="2227" spans="1:9" s="5" customFormat="1" x14ac:dyDescent="0.35">
      <c r="A2227" s="3" t="s">
        <v>907</v>
      </c>
      <c r="B2227" s="3" t="s">
        <v>914</v>
      </c>
      <c r="C2227" s="3" t="s">
        <v>20</v>
      </c>
      <c r="D2227" s="3" t="s">
        <v>979</v>
      </c>
      <c r="E2227" s="3" t="s">
        <v>29</v>
      </c>
      <c r="F2227" s="3" t="s">
        <v>33</v>
      </c>
      <c r="G2227" s="3" t="s">
        <v>34</v>
      </c>
      <c r="H2227" s="3"/>
      <c r="I2227" s="3"/>
    </row>
    <row r="2228" spans="1:9" s="5" customFormat="1" x14ac:dyDescent="0.35">
      <c r="A2228" s="3" t="s">
        <v>907</v>
      </c>
      <c r="B2228" s="3" t="s">
        <v>914</v>
      </c>
      <c r="C2228" s="3" t="s">
        <v>20</v>
      </c>
      <c r="D2228" s="3" t="s">
        <v>979</v>
      </c>
      <c r="E2228" s="3" t="s">
        <v>24</v>
      </c>
      <c r="F2228" s="3"/>
      <c r="G2228" s="3"/>
      <c r="H2228" s="3"/>
      <c r="I2228" s="3"/>
    </row>
    <row r="2229" spans="1:9" s="5" customFormat="1" x14ac:dyDescent="0.35">
      <c r="A2229" s="3" t="s">
        <v>907</v>
      </c>
      <c r="B2229" s="3" t="s">
        <v>914</v>
      </c>
      <c r="C2229" s="3" t="s">
        <v>20</v>
      </c>
      <c r="D2229" s="3" t="s">
        <v>979</v>
      </c>
      <c r="E2229" s="3" t="s">
        <v>191</v>
      </c>
      <c r="F2229" s="3"/>
      <c r="G2229" s="3"/>
      <c r="H2229" s="3"/>
      <c r="I2229" s="3"/>
    </row>
    <row r="2230" spans="1:9" s="5" customFormat="1" x14ac:dyDescent="0.35">
      <c r="A2230" s="3" t="s">
        <v>907</v>
      </c>
      <c r="B2230" s="3" t="s">
        <v>914</v>
      </c>
      <c r="C2230" s="3" t="s">
        <v>20</v>
      </c>
      <c r="D2230" s="3" t="s">
        <v>980</v>
      </c>
      <c r="E2230" s="3" t="s">
        <v>36</v>
      </c>
      <c r="F2230" s="3"/>
      <c r="G2230" s="3"/>
      <c r="H2230" s="3"/>
      <c r="I2230" s="3"/>
    </row>
    <row r="2231" spans="1:9" s="5" customFormat="1" x14ac:dyDescent="0.35">
      <c r="A2231" s="3" t="s">
        <v>907</v>
      </c>
      <c r="B2231" s="3" t="s">
        <v>914</v>
      </c>
      <c r="C2231" s="3" t="s">
        <v>20</v>
      </c>
      <c r="D2231" s="3" t="s">
        <v>980</v>
      </c>
      <c r="E2231" s="3" t="s">
        <v>15</v>
      </c>
      <c r="F2231" s="3" t="s">
        <v>16</v>
      </c>
      <c r="G2231" s="3" t="s">
        <v>981</v>
      </c>
      <c r="H2231" s="3"/>
      <c r="I2231" s="3"/>
    </row>
    <row r="2232" spans="1:9" s="5" customFormat="1" x14ac:dyDescent="0.35">
      <c r="A2232" s="3" t="s">
        <v>907</v>
      </c>
      <c r="B2232" s="3" t="s">
        <v>914</v>
      </c>
      <c r="C2232" s="3" t="s">
        <v>20</v>
      </c>
      <c r="D2232" s="3" t="s">
        <v>982</v>
      </c>
      <c r="E2232" s="3" t="s">
        <v>25</v>
      </c>
      <c r="F2232" s="3"/>
      <c r="G2232" s="3"/>
      <c r="H2232" s="3"/>
      <c r="I2232" s="3"/>
    </row>
    <row r="2233" spans="1:9" s="5" customFormat="1" x14ac:dyDescent="0.35">
      <c r="A2233" s="3" t="s">
        <v>907</v>
      </c>
      <c r="B2233" s="3" t="s">
        <v>914</v>
      </c>
      <c r="C2233" s="3" t="s">
        <v>20</v>
      </c>
      <c r="D2233" s="3" t="s">
        <v>982</v>
      </c>
      <c r="E2233" s="3" t="s">
        <v>60</v>
      </c>
      <c r="F2233" s="3" t="s">
        <v>13</v>
      </c>
      <c r="G2233" s="3" t="s">
        <v>365</v>
      </c>
      <c r="H2233" s="3"/>
      <c r="I2233" s="3"/>
    </row>
    <row r="2234" spans="1:9" s="5" customFormat="1" x14ac:dyDescent="0.35">
      <c r="A2234" s="3" t="s">
        <v>907</v>
      </c>
      <c r="B2234" s="3" t="s">
        <v>914</v>
      </c>
      <c r="C2234" s="3" t="s">
        <v>20</v>
      </c>
      <c r="D2234" s="3" t="s">
        <v>982</v>
      </c>
      <c r="E2234" s="3" t="s">
        <v>87</v>
      </c>
      <c r="F2234" s="3" t="s">
        <v>16</v>
      </c>
      <c r="G2234" s="3" t="s">
        <v>365</v>
      </c>
      <c r="H2234" s="3"/>
      <c r="I2234" s="3"/>
    </row>
    <row r="2235" spans="1:9" s="5" customFormat="1" x14ac:dyDescent="0.35">
      <c r="A2235" s="3" t="s">
        <v>907</v>
      </c>
      <c r="B2235" s="3" t="s">
        <v>914</v>
      </c>
      <c r="C2235" s="3" t="s">
        <v>20</v>
      </c>
      <c r="D2235" s="3" t="s">
        <v>982</v>
      </c>
      <c r="E2235" s="3" t="s">
        <v>134</v>
      </c>
      <c r="F2235" s="3" t="s">
        <v>16</v>
      </c>
      <c r="G2235" s="3" t="s">
        <v>983</v>
      </c>
      <c r="H2235" s="3"/>
      <c r="I2235" s="3"/>
    </row>
    <row r="2236" spans="1:9" s="5" customFormat="1" x14ac:dyDescent="0.35">
      <c r="A2236" s="3" t="s">
        <v>907</v>
      </c>
      <c r="B2236" s="3" t="s">
        <v>914</v>
      </c>
      <c r="C2236" s="3" t="s">
        <v>20</v>
      </c>
      <c r="D2236" s="3" t="s">
        <v>982</v>
      </c>
      <c r="E2236" s="3" t="s">
        <v>107</v>
      </c>
      <c r="F2236" s="3" t="s">
        <v>16</v>
      </c>
      <c r="G2236" s="3" t="s">
        <v>365</v>
      </c>
      <c r="H2236" s="3"/>
      <c r="I2236" s="3"/>
    </row>
    <row r="2237" spans="1:9" s="5" customFormat="1" x14ac:dyDescent="0.35">
      <c r="A2237" s="3" t="s">
        <v>907</v>
      </c>
      <c r="B2237" s="3" t="s">
        <v>914</v>
      </c>
      <c r="C2237" s="3" t="s">
        <v>20</v>
      </c>
      <c r="D2237" s="3" t="s">
        <v>984</v>
      </c>
      <c r="E2237" s="3" t="s">
        <v>25</v>
      </c>
      <c r="F2237" s="3"/>
      <c r="G2237" s="3"/>
      <c r="H2237" s="3"/>
      <c r="I2237" s="3"/>
    </row>
    <row r="2238" spans="1:9" s="5" customFormat="1" x14ac:dyDescent="0.35">
      <c r="A2238" s="3" t="s">
        <v>907</v>
      </c>
      <c r="B2238" s="3" t="s">
        <v>914</v>
      </c>
      <c r="C2238" s="3" t="s">
        <v>20</v>
      </c>
      <c r="D2238" s="3" t="s">
        <v>984</v>
      </c>
      <c r="E2238" s="3" t="s">
        <v>87</v>
      </c>
      <c r="F2238" s="3"/>
      <c r="G2238" s="3" t="s">
        <v>2461</v>
      </c>
      <c r="H2238" s="3"/>
      <c r="I2238" s="3"/>
    </row>
    <row r="2239" spans="1:9" s="5" customFormat="1" x14ac:dyDescent="0.35">
      <c r="A2239" s="3" t="s">
        <v>907</v>
      </c>
      <c r="B2239" s="3" t="s">
        <v>914</v>
      </c>
      <c r="C2239" s="3" t="s">
        <v>20</v>
      </c>
      <c r="D2239" s="3" t="s">
        <v>984</v>
      </c>
      <c r="E2239" s="3" t="s">
        <v>31</v>
      </c>
      <c r="F2239" s="3" t="s">
        <v>33</v>
      </c>
      <c r="G2239" s="3" t="s">
        <v>985</v>
      </c>
      <c r="H2239" s="3"/>
      <c r="I2239" s="3"/>
    </row>
    <row r="2240" spans="1:9" s="5" customFormat="1" x14ac:dyDescent="0.35">
      <c r="A2240" s="3" t="s">
        <v>907</v>
      </c>
      <c r="B2240" s="3" t="s">
        <v>914</v>
      </c>
      <c r="C2240" s="3" t="s">
        <v>20</v>
      </c>
      <c r="D2240" s="3" t="s">
        <v>984</v>
      </c>
      <c r="E2240" s="3" t="s">
        <v>15</v>
      </c>
      <c r="F2240" s="3" t="s">
        <v>16</v>
      </c>
      <c r="G2240" s="3" t="s">
        <v>2508</v>
      </c>
      <c r="H2240" s="3"/>
      <c r="I2240" s="3"/>
    </row>
    <row r="2241" spans="1:9" s="5" customFormat="1" x14ac:dyDescent="0.35">
      <c r="A2241" s="3" t="s">
        <v>907</v>
      </c>
      <c r="B2241" s="3" t="s">
        <v>914</v>
      </c>
      <c r="C2241" s="3" t="s">
        <v>20</v>
      </c>
      <c r="D2241" s="3" t="s">
        <v>984</v>
      </c>
      <c r="E2241" s="3" t="s">
        <v>56</v>
      </c>
      <c r="F2241" s="3"/>
      <c r="G2241" s="3"/>
      <c r="H2241" s="3"/>
      <c r="I2241" s="3"/>
    </row>
    <row r="2242" spans="1:9" s="5" customFormat="1" x14ac:dyDescent="0.35">
      <c r="A2242" s="3" t="s">
        <v>907</v>
      </c>
      <c r="B2242" s="3" t="s">
        <v>914</v>
      </c>
      <c r="C2242" s="3" t="s">
        <v>20</v>
      </c>
      <c r="D2242" s="3" t="s">
        <v>984</v>
      </c>
      <c r="E2242" s="3" t="s">
        <v>107</v>
      </c>
      <c r="F2242" s="3" t="s">
        <v>16</v>
      </c>
      <c r="G2242" s="3" t="s">
        <v>365</v>
      </c>
      <c r="H2242" s="3"/>
      <c r="I2242" s="3"/>
    </row>
    <row r="2243" spans="1:9" s="5" customFormat="1" x14ac:dyDescent="0.35">
      <c r="A2243" s="3" t="s">
        <v>907</v>
      </c>
      <c r="B2243" s="3" t="s">
        <v>914</v>
      </c>
      <c r="C2243" s="3" t="s">
        <v>302</v>
      </c>
      <c r="D2243" s="3" t="s">
        <v>986</v>
      </c>
      <c r="E2243" s="3" t="s">
        <v>25</v>
      </c>
      <c r="F2243" s="3"/>
      <c r="G2243" s="3"/>
      <c r="H2243" s="3"/>
      <c r="I2243" s="3"/>
    </row>
    <row r="2244" spans="1:9" s="5" customFormat="1" x14ac:dyDescent="0.35">
      <c r="A2244" s="3" t="s">
        <v>907</v>
      </c>
      <c r="B2244" s="3" t="s">
        <v>914</v>
      </c>
      <c r="C2244" s="3" t="s">
        <v>302</v>
      </c>
      <c r="D2244" s="3" t="s">
        <v>986</v>
      </c>
      <c r="E2244" s="3" t="s">
        <v>15</v>
      </c>
      <c r="F2244" s="3"/>
      <c r="G2244" s="3"/>
      <c r="H2244" s="3"/>
      <c r="I2244" s="3"/>
    </row>
    <row r="2245" spans="1:9" s="5" customFormat="1" x14ac:dyDescent="0.35">
      <c r="A2245" s="3" t="s">
        <v>907</v>
      </c>
      <c r="B2245" s="3" t="s">
        <v>914</v>
      </c>
      <c r="C2245" s="3" t="s">
        <v>45</v>
      </c>
      <c r="D2245" s="3" t="s">
        <v>987</v>
      </c>
      <c r="E2245" s="3" t="s">
        <v>15</v>
      </c>
      <c r="F2245" s="3"/>
      <c r="G2245" s="3"/>
      <c r="H2245" s="3"/>
      <c r="I2245" s="3"/>
    </row>
    <row r="2246" spans="1:9" s="5" customFormat="1" x14ac:dyDescent="0.35">
      <c r="A2246" s="3" t="s">
        <v>907</v>
      </c>
      <c r="B2246" s="3" t="s">
        <v>914</v>
      </c>
      <c r="C2246" s="3" t="s">
        <v>45</v>
      </c>
      <c r="D2246" s="3" t="s">
        <v>987</v>
      </c>
      <c r="E2246" s="3" t="s">
        <v>56</v>
      </c>
      <c r="F2246" s="3"/>
      <c r="G2246" s="3" t="s">
        <v>2318</v>
      </c>
      <c r="H2246" s="3"/>
      <c r="I2246" s="3"/>
    </row>
    <row r="2247" spans="1:9" s="5" customFormat="1" x14ac:dyDescent="0.35">
      <c r="A2247" s="3" t="s">
        <v>907</v>
      </c>
      <c r="B2247" s="3" t="s">
        <v>914</v>
      </c>
      <c r="C2247" s="3" t="s">
        <v>20</v>
      </c>
      <c r="D2247" s="3" t="s">
        <v>988</v>
      </c>
      <c r="E2247" s="3" t="s">
        <v>918</v>
      </c>
      <c r="F2247" s="3"/>
      <c r="G2247" s="3"/>
      <c r="H2247" s="3"/>
      <c r="I2247" s="3"/>
    </row>
    <row r="2248" spans="1:9" s="5" customFormat="1" x14ac:dyDescent="0.35">
      <c r="A2248" s="3" t="s">
        <v>907</v>
      </c>
      <c r="B2248" s="3" t="s">
        <v>914</v>
      </c>
      <c r="C2248" s="3" t="s">
        <v>20</v>
      </c>
      <c r="D2248" s="3" t="s">
        <v>988</v>
      </c>
      <c r="E2248" s="3" t="s">
        <v>12</v>
      </c>
      <c r="F2248" s="3"/>
      <c r="G2248" s="3"/>
      <c r="H2248" s="3"/>
      <c r="I2248" s="3"/>
    </row>
    <row r="2249" spans="1:9" s="5" customFormat="1" x14ac:dyDescent="0.35">
      <c r="A2249" s="3" t="s">
        <v>907</v>
      </c>
      <c r="B2249" s="3" t="s">
        <v>914</v>
      </c>
      <c r="C2249" s="3" t="s">
        <v>20</v>
      </c>
      <c r="D2249" s="3" t="s">
        <v>988</v>
      </c>
      <c r="E2249" s="3" t="s">
        <v>60</v>
      </c>
      <c r="F2249" s="3"/>
      <c r="G2249" s="3"/>
      <c r="H2249" s="3"/>
      <c r="I2249" s="3"/>
    </row>
    <row r="2250" spans="1:9" s="5" customFormat="1" x14ac:dyDescent="0.35">
      <c r="A2250" s="3" t="s">
        <v>907</v>
      </c>
      <c r="B2250" s="3" t="s">
        <v>914</v>
      </c>
      <c r="C2250" s="3" t="s">
        <v>20</v>
      </c>
      <c r="D2250" s="3" t="s">
        <v>988</v>
      </c>
      <c r="E2250" s="3" t="s">
        <v>77</v>
      </c>
      <c r="F2250" s="3"/>
      <c r="G2250" s="3"/>
      <c r="H2250" s="3"/>
      <c r="I2250" s="3"/>
    </row>
    <row r="2251" spans="1:9" s="5" customFormat="1" x14ac:dyDescent="0.35">
      <c r="A2251" s="3" t="s">
        <v>907</v>
      </c>
      <c r="B2251" s="3" t="s">
        <v>914</v>
      </c>
      <c r="C2251" s="3" t="s">
        <v>20</v>
      </c>
      <c r="D2251" s="3" t="s">
        <v>988</v>
      </c>
      <c r="E2251" s="3" t="s">
        <v>28</v>
      </c>
      <c r="F2251" s="3" t="s">
        <v>33</v>
      </c>
      <c r="G2251" s="3" t="s">
        <v>34</v>
      </c>
      <c r="H2251" s="3"/>
      <c r="I2251" s="3"/>
    </row>
    <row r="2252" spans="1:9" s="5" customFormat="1" x14ac:dyDescent="0.35">
      <c r="A2252" s="3" t="s">
        <v>907</v>
      </c>
      <c r="B2252" s="3" t="s">
        <v>914</v>
      </c>
      <c r="C2252" s="3" t="s">
        <v>20</v>
      </c>
      <c r="D2252" s="3" t="s">
        <v>988</v>
      </c>
      <c r="E2252" s="3" t="s">
        <v>242</v>
      </c>
      <c r="F2252" s="3"/>
      <c r="G2252" s="3" t="s">
        <v>2445</v>
      </c>
      <c r="H2252" s="3"/>
      <c r="I2252" s="3"/>
    </row>
    <row r="2253" spans="1:9" s="5" customFormat="1" x14ac:dyDescent="0.35">
      <c r="A2253" s="3" t="s">
        <v>907</v>
      </c>
      <c r="B2253" s="3" t="s">
        <v>914</v>
      </c>
      <c r="C2253" s="3" t="s">
        <v>20</v>
      </c>
      <c r="D2253" s="3" t="s">
        <v>988</v>
      </c>
      <c r="E2253" s="3" t="s">
        <v>989</v>
      </c>
      <c r="F2253" s="3"/>
      <c r="G2253" s="3"/>
      <c r="H2253" s="3"/>
      <c r="I2253" s="3"/>
    </row>
    <row r="2254" spans="1:9" s="5" customFormat="1" x14ac:dyDescent="0.35">
      <c r="A2254" s="3" t="s">
        <v>907</v>
      </c>
      <c r="B2254" s="3" t="s">
        <v>914</v>
      </c>
      <c r="C2254" s="3" t="s">
        <v>20</v>
      </c>
      <c r="D2254" s="3" t="s">
        <v>988</v>
      </c>
      <c r="E2254" s="3" t="s">
        <v>15</v>
      </c>
      <c r="F2254" s="3" t="s">
        <v>33</v>
      </c>
      <c r="G2254" s="3" t="s">
        <v>34</v>
      </c>
      <c r="H2254" s="3"/>
      <c r="I2254" s="3"/>
    </row>
    <row r="2255" spans="1:9" s="5" customFormat="1" x14ac:dyDescent="0.35">
      <c r="A2255" s="3" t="s">
        <v>907</v>
      </c>
      <c r="B2255" s="3" t="s">
        <v>914</v>
      </c>
      <c r="C2255" s="3" t="s">
        <v>20</v>
      </c>
      <c r="D2255" s="3" t="s">
        <v>988</v>
      </c>
      <c r="E2255" s="3" t="s">
        <v>56</v>
      </c>
      <c r="F2255" s="3"/>
      <c r="G2255" s="3" t="s">
        <v>2463</v>
      </c>
      <c r="H2255" s="3"/>
      <c r="I2255" s="3"/>
    </row>
    <row r="2256" spans="1:9" s="5" customFormat="1" x14ac:dyDescent="0.35">
      <c r="A2256" s="3" t="s">
        <v>907</v>
      </c>
      <c r="B2256" s="3" t="s">
        <v>914</v>
      </c>
      <c r="C2256" s="3" t="s">
        <v>20</v>
      </c>
      <c r="D2256" s="3" t="s">
        <v>988</v>
      </c>
      <c r="E2256" s="3" t="s">
        <v>89</v>
      </c>
      <c r="F2256" s="3"/>
      <c r="G2256" s="3"/>
      <c r="H2256" s="3"/>
      <c r="I2256" s="3"/>
    </row>
    <row r="2257" spans="1:9" s="5" customFormat="1" x14ac:dyDescent="0.35">
      <c r="A2257" s="3" t="s">
        <v>907</v>
      </c>
      <c r="B2257" s="3" t="s">
        <v>914</v>
      </c>
      <c r="C2257" s="3" t="s">
        <v>20</v>
      </c>
      <c r="D2257" s="3" t="s">
        <v>988</v>
      </c>
      <c r="E2257" s="3" t="s">
        <v>191</v>
      </c>
      <c r="F2257" s="3"/>
      <c r="G2257" s="3"/>
      <c r="H2257" s="3"/>
      <c r="I2257" s="3"/>
    </row>
    <row r="2258" spans="1:9" s="5" customFormat="1" x14ac:dyDescent="0.35">
      <c r="A2258" s="3" t="s">
        <v>907</v>
      </c>
      <c r="B2258" s="3" t="s">
        <v>914</v>
      </c>
      <c r="C2258" s="3" t="s">
        <v>20</v>
      </c>
      <c r="D2258" s="3" t="s">
        <v>988</v>
      </c>
      <c r="E2258" s="3" t="s">
        <v>107</v>
      </c>
      <c r="F2258" s="3"/>
      <c r="G2258" s="3"/>
      <c r="H2258" s="3"/>
      <c r="I2258" s="3"/>
    </row>
    <row r="2259" spans="1:9" s="5" customFormat="1" x14ac:dyDescent="0.35">
      <c r="A2259" s="3" t="s">
        <v>907</v>
      </c>
      <c r="B2259" s="3" t="s">
        <v>914</v>
      </c>
      <c r="C2259" s="3" t="s">
        <v>591</v>
      </c>
      <c r="D2259" s="3" t="s">
        <v>991</v>
      </c>
      <c r="E2259" s="3" t="s">
        <v>27</v>
      </c>
      <c r="F2259" s="3" t="s">
        <v>16</v>
      </c>
      <c r="G2259" s="3" t="s">
        <v>992</v>
      </c>
      <c r="H2259" s="3"/>
      <c r="I2259" s="3"/>
    </row>
    <row r="2260" spans="1:9" s="5" customFormat="1" x14ac:dyDescent="0.35">
      <c r="A2260" s="3" t="s">
        <v>907</v>
      </c>
      <c r="B2260" s="3" t="s">
        <v>914</v>
      </c>
      <c r="C2260" s="3" t="s">
        <v>20</v>
      </c>
      <c r="D2260" s="3" t="s">
        <v>993</v>
      </c>
      <c r="E2260" s="3" t="s">
        <v>15</v>
      </c>
      <c r="F2260" s="3" t="s">
        <v>16</v>
      </c>
      <c r="G2260" s="3" t="s">
        <v>994</v>
      </c>
      <c r="H2260" s="3"/>
      <c r="I2260" s="3"/>
    </row>
    <row r="2261" spans="1:9" s="5" customFormat="1" x14ac:dyDescent="0.35">
      <c r="A2261" s="3" t="s">
        <v>907</v>
      </c>
      <c r="B2261" s="3" t="s">
        <v>914</v>
      </c>
      <c r="C2261" s="3" t="s">
        <v>45</v>
      </c>
      <c r="D2261" s="3" t="s">
        <v>995</v>
      </c>
      <c r="E2261" s="3" t="s">
        <v>15</v>
      </c>
      <c r="F2261" s="3" t="s">
        <v>33</v>
      </c>
      <c r="G2261" s="3" t="s">
        <v>996</v>
      </c>
      <c r="H2261" s="3"/>
      <c r="I2261" s="3"/>
    </row>
    <row r="2262" spans="1:9" s="5" customFormat="1" x14ac:dyDescent="0.35">
      <c r="A2262" s="3" t="s">
        <v>907</v>
      </c>
      <c r="B2262" s="3" t="s">
        <v>914</v>
      </c>
      <c r="C2262" s="3" t="s">
        <v>45</v>
      </c>
      <c r="D2262" s="3" t="s">
        <v>995</v>
      </c>
      <c r="E2262" s="3" t="s">
        <v>56</v>
      </c>
      <c r="F2262" s="3" t="s">
        <v>33</v>
      </c>
      <c r="G2262" s="3" t="s">
        <v>996</v>
      </c>
      <c r="H2262" s="3"/>
      <c r="I2262" s="3"/>
    </row>
    <row r="2263" spans="1:9" s="5" customFormat="1" x14ac:dyDescent="0.35">
      <c r="A2263" s="3" t="s">
        <v>907</v>
      </c>
      <c r="B2263" s="3" t="s">
        <v>914</v>
      </c>
      <c r="C2263" s="3" t="s">
        <v>20</v>
      </c>
      <c r="D2263" s="3" t="s">
        <v>997</v>
      </c>
      <c r="E2263" s="3" t="s">
        <v>918</v>
      </c>
      <c r="F2263" s="3"/>
      <c r="G2263" s="3"/>
      <c r="H2263" s="3"/>
      <c r="I2263" s="3"/>
    </row>
    <row r="2264" spans="1:9" s="5" customFormat="1" x14ac:dyDescent="0.35">
      <c r="A2264" s="3" t="s">
        <v>907</v>
      </c>
      <c r="B2264" s="3" t="s">
        <v>914</v>
      </c>
      <c r="C2264" s="3" t="s">
        <v>20</v>
      </c>
      <c r="D2264" s="3" t="s">
        <v>997</v>
      </c>
      <c r="E2264" s="3" t="s">
        <v>25</v>
      </c>
      <c r="F2264" s="3"/>
      <c r="G2264" s="3"/>
      <c r="H2264" s="3"/>
      <c r="I2264" s="3"/>
    </row>
    <row r="2265" spans="1:9" s="5" customFormat="1" x14ac:dyDescent="0.35">
      <c r="A2265" s="3" t="s">
        <v>907</v>
      </c>
      <c r="B2265" s="3" t="s">
        <v>914</v>
      </c>
      <c r="C2265" s="3" t="s">
        <v>20</v>
      </c>
      <c r="D2265" s="3" t="s">
        <v>997</v>
      </c>
      <c r="E2265" s="3" t="s">
        <v>27</v>
      </c>
      <c r="F2265" s="3"/>
      <c r="G2265" s="3" t="s">
        <v>2287</v>
      </c>
      <c r="H2265" s="3"/>
      <c r="I2265" s="3"/>
    </row>
    <row r="2266" spans="1:9" s="5" customFormat="1" x14ac:dyDescent="0.35">
      <c r="A2266" s="3" t="s">
        <v>907</v>
      </c>
      <c r="B2266" s="3" t="s">
        <v>914</v>
      </c>
      <c r="C2266" s="3" t="s">
        <v>20</v>
      </c>
      <c r="D2266" s="3" t="s">
        <v>997</v>
      </c>
      <c r="E2266" s="3" t="s">
        <v>71</v>
      </c>
      <c r="F2266" s="3"/>
      <c r="G2266" s="3"/>
      <c r="H2266" s="3"/>
      <c r="I2266" s="3"/>
    </row>
    <row r="2267" spans="1:9" s="5" customFormat="1" x14ac:dyDescent="0.35">
      <c r="A2267" s="3" t="s">
        <v>907</v>
      </c>
      <c r="B2267" s="3" t="s">
        <v>914</v>
      </c>
      <c r="C2267" s="3" t="s">
        <v>20</v>
      </c>
      <c r="D2267" s="3" t="s">
        <v>997</v>
      </c>
      <c r="E2267" s="3" t="s">
        <v>77</v>
      </c>
      <c r="F2267" s="3"/>
      <c r="G2267" s="3"/>
      <c r="H2267" s="3"/>
      <c r="I2267" s="3"/>
    </row>
    <row r="2268" spans="1:9" s="5" customFormat="1" x14ac:dyDescent="0.35">
      <c r="A2268" s="3" t="s">
        <v>907</v>
      </c>
      <c r="B2268" s="3" t="s">
        <v>914</v>
      </c>
      <c r="C2268" s="3" t="s">
        <v>20</v>
      </c>
      <c r="D2268" s="3" t="s">
        <v>997</v>
      </c>
      <c r="E2268" s="3" t="s">
        <v>28</v>
      </c>
      <c r="F2268" s="3"/>
      <c r="G2268" s="3" t="s">
        <v>2288</v>
      </c>
      <c r="H2268" s="3"/>
      <c r="I2268" s="3"/>
    </row>
    <row r="2269" spans="1:9" s="5" customFormat="1" x14ac:dyDescent="0.35">
      <c r="A2269" s="3" t="s">
        <v>907</v>
      </c>
      <c r="B2269" s="3" t="s">
        <v>914</v>
      </c>
      <c r="C2269" s="3" t="s">
        <v>20</v>
      </c>
      <c r="D2269" s="3" t="s">
        <v>997</v>
      </c>
      <c r="E2269" s="3" t="s">
        <v>15</v>
      </c>
      <c r="F2269" s="3" t="s">
        <v>16</v>
      </c>
      <c r="G2269" s="3" t="s">
        <v>2921</v>
      </c>
      <c r="H2269" s="3"/>
      <c r="I2269" s="3"/>
    </row>
    <row r="2270" spans="1:9" s="5" customFormat="1" x14ac:dyDescent="0.35">
      <c r="A2270" s="3" t="s">
        <v>907</v>
      </c>
      <c r="B2270" s="3" t="s">
        <v>914</v>
      </c>
      <c r="C2270" s="3" t="s">
        <v>20</v>
      </c>
      <c r="D2270" s="3" t="s">
        <v>997</v>
      </c>
      <c r="E2270" s="3" t="s">
        <v>56</v>
      </c>
      <c r="F2270" s="3"/>
      <c r="G2270" s="3"/>
      <c r="H2270" s="3"/>
      <c r="I2270" s="3"/>
    </row>
    <row r="2271" spans="1:9" s="5" customFormat="1" x14ac:dyDescent="0.35">
      <c r="A2271" s="3" t="s">
        <v>907</v>
      </c>
      <c r="B2271" s="3" t="s">
        <v>914</v>
      </c>
      <c r="C2271" s="3" t="s">
        <v>20</v>
      </c>
      <c r="D2271" s="3" t="s">
        <v>997</v>
      </c>
      <c r="E2271" s="3" t="s">
        <v>24</v>
      </c>
      <c r="F2271" s="3"/>
      <c r="G2271" s="3"/>
      <c r="H2271" s="3"/>
      <c r="I2271" s="3"/>
    </row>
    <row r="2272" spans="1:9" s="5" customFormat="1" x14ac:dyDescent="0.35">
      <c r="A2272" s="3" t="s">
        <v>907</v>
      </c>
      <c r="B2272" s="3" t="s">
        <v>914</v>
      </c>
      <c r="C2272" s="3" t="s">
        <v>20</v>
      </c>
      <c r="D2272" s="3" t="s">
        <v>997</v>
      </c>
      <c r="E2272" s="3" t="s">
        <v>191</v>
      </c>
      <c r="F2272" s="3"/>
      <c r="G2272" s="3"/>
      <c r="H2272" s="3"/>
      <c r="I2272" s="3"/>
    </row>
    <row r="2273" spans="1:9" s="5" customFormat="1" x14ac:dyDescent="0.35">
      <c r="A2273" s="3" t="s">
        <v>907</v>
      </c>
      <c r="B2273" s="3" t="s">
        <v>914</v>
      </c>
      <c r="C2273" s="3" t="s">
        <v>45</v>
      </c>
      <c r="D2273" s="3" t="s">
        <v>998</v>
      </c>
      <c r="E2273" s="3" t="s">
        <v>15</v>
      </c>
      <c r="F2273" s="3"/>
      <c r="G2273" s="3"/>
      <c r="H2273" s="3"/>
      <c r="I2273" s="3"/>
    </row>
    <row r="2274" spans="1:9" s="5" customFormat="1" x14ac:dyDescent="0.35">
      <c r="A2274" s="3" t="s">
        <v>907</v>
      </c>
      <c r="B2274" s="3" t="s">
        <v>914</v>
      </c>
      <c r="C2274" s="3" t="s">
        <v>45</v>
      </c>
      <c r="D2274" s="3" t="s">
        <v>998</v>
      </c>
      <c r="E2274" s="3" t="s">
        <v>56</v>
      </c>
      <c r="F2274" s="3"/>
      <c r="G2274" s="3" t="s">
        <v>2318</v>
      </c>
      <c r="H2274" s="3"/>
      <c r="I2274" s="3"/>
    </row>
    <row r="2275" spans="1:9" s="5" customFormat="1" x14ac:dyDescent="0.35">
      <c r="A2275" s="3" t="s">
        <v>907</v>
      </c>
      <c r="B2275" s="3" t="s">
        <v>914</v>
      </c>
      <c r="C2275" s="3" t="s">
        <v>20</v>
      </c>
      <c r="D2275" s="3" t="s">
        <v>999</v>
      </c>
      <c r="E2275" s="3" t="s">
        <v>918</v>
      </c>
      <c r="F2275" s="3"/>
      <c r="G2275" s="3"/>
      <c r="H2275" s="3"/>
      <c r="I2275" s="3"/>
    </row>
    <row r="2276" spans="1:9" s="5" customFormat="1" x14ac:dyDescent="0.35">
      <c r="A2276" s="3" t="s">
        <v>907</v>
      </c>
      <c r="B2276" s="3" t="s">
        <v>914</v>
      </c>
      <c r="C2276" s="3" t="s">
        <v>20</v>
      </c>
      <c r="D2276" s="3" t="s">
        <v>999</v>
      </c>
      <c r="E2276" s="3" t="s">
        <v>77</v>
      </c>
      <c r="F2276" s="3"/>
      <c r="G2276" s="3"/>
      <c r="H2276" s="3"/>
      <c r="I2276" s="3"/>
    </row>
    <row r="2277" spans="1:9" s="5" customFormat="1" x14ac:dyDescent="0.35">
      <c r="A2277" s="3" t="s">
        <v>907</v>
      </c>
      <c r="B2277" s="3" t="s">
        <v>914</v>
      </c>
      <c r="C2277" s="3" t="s">
        <v>20</v>
      </c>
      <c r="D2277" s="3" t="s">
        <v>999</v>
      </c>
      <c r="E2277" s="3" t="s">
        <v>28</v>
      </c>
      <c r="F2277" s="3"/>
      <c r="G2277" s="3" t="s">
        <v>2288</v>
      </c>
      <c r="H2277" s="3"/>
      <c r="I2277" s="3"/>
    </row>
    <row r="2278" spans="1:9" s="5" customFormat="1" x14ac:dyDescent="0.35">
      <c r="A2278" s="3" t="s">
        <v>907</v>
      </c>
      <c r="B2278" s="3" t="s">
        <v>914</v>
      </c>
      <c r="C2278" s="3" t="s">
        <v>20</v>
      </c>
      <c r="D2278" s="3" t="s">
        <v>999</v>
      </c>
      <c r="E2278" s="3" t="s">
        <v>242</v>
      </c>
      <c r="F2278" s="3"/>
      <c r="G2278" s="3" t="s">
        <v>2437</v>
      </c>
      <c r="H2278" s="3"/>
      <c r="I2278" s="3"/>
    </row>
    <row r="2279" spans="1:9" s="5" customFormat="1" x14ac:dyDescent="0.35">
      <c r="A2279" s="3" t="s">
        <v>907</v>
      </c>
      <c r="B2279" s="3" t="s">
        <v>914</v>
      </c>
      <c r="C2279" s="3" t="s">
        <v>20</v>
      </c>
      <c r="D2279" s="3" t="s">
        <v>999</v>
      </c>
      <c r="E2279" s="3" t="s">
        <v>15</v>
      </c>
      <c r="F2279" s="3"/>
      <c r="G2279" s="3"/>
      <c r="H2279" s="3"/>
      <c r="I2279" s="3"/>
    </row>
    <row r="2280" spans="1:9" s="5" customFormat="1" x14ac:dyDescent="0.35">
      <c r="A2280" s="3" t="s">
        <v>907</v>
      </c>
      <c r="B2280" s="3" t="s">
        <v>914</v>
      </c>
      <c r="C2280" s="3" t="s">
        <v>20</v>
      </c>
      <c r="D2280" s="3" t="s">
        <v>999</v>
      </c>
      <c r="E2280" s="3" t="s">
        <v>56</v>
      </c>
      <c r="F2280" s="3"/>
      <c r="G2280" s="3"/>
      <c r="H2280" s="3"/>
      <c r="I2280" s="3"/>
    </row>
    <row r="2281" spans="1:9" s="5" customFormat="1" x14ac:dyDescent="0.35">
      <c r="A2281" s="3" t="s">
        <v>907</v>
      </c>
      <c r="B2281" s="3" t="s">
        <v>914</v>
      </c>
      <c r="C2281" s="3" t="s">
        <v>20</v>
      </c>
      <c r="D2281" s="3" t="s">
        <v>999</v>
      </c>
      <c r="E2281" s="3" t="s">
        <v>191</v>
      </c>
      <c r="F2281" s="3"/>
      <c r="G2281" s="3"/>
      <c r="H2281" s="3"/>
      <c r="I2281" s="3"/>
    </row>
    <row r="2282" spans="1:9" s="5" customFormat="1" x14ac:dyDescent="0.35">
      <c r="A2282" s="3" t="s">
        <v>907</v>
      </c>
      <c r="B2282" s="3" t="s">
        <v>914</v>
      </c>
      <c r="C2282" s="3" t="s">
        <v>20</v>
      </c>
      <c r="D2282" s="3" t="s">
        <v>1000</v>
      </c>
      <c r="E2282" s="3" t="s">
        <v>60</v>
      </c>
      <c r="F2282" s="3"/>
      <c r="G2282" s="3"/>
      <c r="H2282" s="3"/>
      <c r="I2282" s="3"/>
    </row>
    <row r="2283" spans="1:9" s="5" customFormat="1" x14ac:dyDescent="0.35">
      <c r="A2283" s="3" t="s">
        <v>907</v>
      </c>
      <c r="B2283" s="3" t="s">
        <v>914</v>
      </c>
      <c r="C2283" s="3" t="s">
        <v>20</v>
      </c>
      <c r="D2283" s="3" t="s">
        <v>1000</v>
      </c>
      <c r="E2283" s="3" t="s">
        <v>27</v>
      </c>
      <c r="F2283" s="3"/>
      <c r="G2283" s="3" t="s">
        <v>2287</v>
      </c>
      <c r="H2283" s="3"/>
      <c r="I2283" s="3"/>
    </row>
    <row r="2284" spans="1:9" s="5" customFormat="1" x14ac:dyDescent="0.35">
      <c r="A2284" s="3" t="s">
        <v>907</v>
      </c>
      <c r="B2284" s="3" t="s">
        <v>914</v>
      </c>
      <c r="C2284" s="3" t="s">
        <v>20</v>
      </c>
      <c r="D2284" s="3" t="s">
        <v>1000</v>
      </c>
      <c r="E2284" s="3" t="s">
        <v>77</v>
      </c>
      <c r="F2284" s="3"/>
      <c r="G2284" s="3" t="s">
        <v>2486</v>
      </c>
      <c r="H2284" s="3"/>
      <c r="I2284" s="3"/>
    </row>
    <row r="2285" spans="1:9" s="5" customFormat="1" x14ac:dyDescent="0.35">
      <c r="A2285" s="3" t="s">
        <v>907</v>
      </c>
      <c r="B2285" s="3" t="s">
        <v>914</v>
      </c>
      <c r="C2285" s="3" t="s">
        <v>20</v>
      </c>
      <c r="D2285" s="3" t="s">
        <v>1000</v>
      </c>
      <c r="E2285" s="3" t="s">
        <v>28</v>
      </c>
      <c r="F2285" s="3"/>
      <c r="G2285" s="3" t="s">
        <v>2288</v>
      </c>
      <c r="H2285" s="3"/>
      <c r="I2285" s="3"/>
    </row>
    <row r="2286" spans="1:9" s="5" customFormat="1" x14ac:dyDescent="0.35">
      <c r="A2286" s="3" t="s">
        <v>907</v>
      </c>
      <c r="B2286" s="3" t="s">
        <v>914</v>
      </c>
      <c r="C2286" s="3" t="s">
        <v>20</v>
      </c>
      <c r="D2286" s="3" t="s">
        <v>1000</v>
      </c>
      <c r="E2286" s="3" t="s">
        <v>242</v>
      </c>
      <c r="F2286" s="3"/>
      <c r="G2286" s="3" t="s">
        <v>2437</v>
      </c>
      <c r="H2286" s="3"/>
      <c r="I2286" s="3"/>
    </row>
    <row r="2287" spans="1:9" s="5" customFormat="1" x14ac:dyDescent="0.35">
      <c r="A2287" s="3" t="s">
        <v>907</v>
      </c>
      <c r="B2287" s="3" t="s">
        <v>914</v>
      </c>
      <c r="C2287" s="3" t="s">
        <v>20</v>
      </c>
      <c r="D2287" s="3" t="s">
        <v>1000</v>
      </c>
      <c r="E2287" s="3" t="s">
        <v>15</v>
      </c>
      <c r="F2287" s="3"/>
      <c r="G2287" s="3"/>
      <c r="H2287" s="3"/>
      <c r="I2287" s="3"/>
    </row>
    <row r="2288" spans="1:9" s="5" customFormat="1" x14ac:dyDescent="0.35">
      <c r="A2288" s="3" t="s">
        <v>907</v>
      </c>
      <c r="B2288" s="3" t="s">
        <v>914</v>
      </c>
      <c r="C2288" s="3" t="s">
        <v>20</v>
      </c>
      <c r="D2288" s="3" t="s">
        <v>1000</v>
      </c>
      <c r="E2288" s="3" t="s">
        <v>56</v>
      </c>
      <c r="F2288" s="3"/>
      <c r="G2288" s="3"/>
      <c r="H2288" s="3"/>
      <c r="I2288" s="3"/>
    </row>
    <row r="2289" spans="1:9" s="5" customFormat="1" x14ac:dyDescent="0.35">
      <c r="A2289" s="3" t="s">
        <v>907</v>
      </c>
      <c r="B2289" s="3" t="s">
        <v>914</v>
      </c>
      <c r="C2289" s="3" t="s">
        <v>20</v>
      </c>
      <c r="D2289" s="3" t="s">
        <v>1000</v>
      </c>
      <c r="E2289" s="3" t="s">
        <v>89</v>
      </c>
      <c r="F2289" s="3"/>
      <c r="G2289" s="3"/>
      <c r="H2289" s="3"/>
      <c r="I2289" s="3"/>
    </row>
    <row r="2290" spans="1:9" s="5" customFormat="1" x14ac:dyDescent="0.35">
      <c r="A2290" s="3" t="s">
        <v>907</v>
      </c>
      <c r="B2290" s="3" t="s">
        <v>914</v>
      </c>
      <c r="C2290" s="3" t="s">
        <v>20</v>
      </c>
      <c r="D2290" s="3" t="s">
        <v>1000</v>
      </c>
      <c r="E2290" s="3" t="s">
        <v>24</v>
      </c>
      <c r="F2290" s="3"/>
      <c r="G2290" s="3"/>
      <c r="H2290" s="3"/>
      <c r="I2290" s="3"/>
    </row>
    <row r="2291" spans="1:9" s="5" customFormat="1" x14ac:dyDescent="0.35">
      <c r="A2291" s="3" t="s">
        <v>907</v>
      </c>
      <c r="B2291" s="3" t="s">
        <v>914</v>
      </c>
      <c r="C2291" s="3" t="s">
        <v>20</v>
      </c>
      <c r="D2291" s="3" t="s">
        <v>1000</v>
      </c>
      <c r="E2291" s="3" t="s">
        <v>191</v>
      </c>
      <c r="F2291" s="3"/>
      <c r="G2291" s="3"/>
      <c r="H2291" s="3"/>
      <c r="I2291" s="3"/>
    </row>
    <row r="2292" spans="1:9" s="5" customFormat="1" x14ac:dyDescent="0.35">
      <c r="A2292" s="3" t="s">
        <v>907</v>
      </c>
      <c r="B2292" s="3" t="s">
        <v>914</v>
      </c>
      <c r="C2292" s="3" t="s">
        <v>20</v>
      </c>
      <c r="D2292" s="3" t="s">
        <v>1001</v>
      </c>
      <c r="E2292" s="3" t="s">
        <v>918</v>
      </c>
      <c r="F2292" s="3"/>
      <c r="G2292" s="3"/>
      <c r="H2292" s="3"/>
      <c r="I2292" s="3"/>
    </row>
    <row r="2293" spans="1:9" s="5" customFormat="1" x14ac:dyDescent="0.35">
      <c r="A2293" s="3" t="s">
        <v>907</v>
      </c>
      <c r="B2293" s="3" t="s">
        <v>914</v>
      </c>
      <c r="C2293" s="3" t="s">
        <v>20</v>
      </c>
      <c r="D2293" s="3" t="s">
        <v>1001</v>
      </c>
      <c r="E2293" s="3" t="s">
        <v>60</v>
      </c>
      <c r="F2293" s="3"/>
      <c r="G2293" s="3"/>
      <c r="H2293" s="3"/>
      <c r="I2293" s="3"/>
    </row>
    <row r="2294" spans="1:9" s="5" customFormat="1" x14ac:dyDescent="0.35">
      <c r="A2294" s="3" t="s">
        <v>907</v>
      </c>
      <c r="B2294" s="3" t="s">
        <v>914</v>
      </c>
      <c r="C2294" s="3" t="s">
        <v>20</v>
      </c>
      <c r="D2294" s="3" t="s">
        <v>1001</v>
      </c>
      <c r="E2294" s="3" t="s">
        <v>27</v>
      </c>
      <c r="F2294" s="3"/>
      <c r="G2294" s="3" t="s">
        <v>2287</v>
      </c>
      <c r="H2294" s="3"/>
      <c r="I2294" s="3"/>
    </row>
    <row r="2295" spans="1:9" s="5" customFormat="1" x14ac:dyDescent="0.35">
      <c r="A2295" s="3" t="s">
        <v>907</v>
      </c>
      <c r="B2295" s="3" t="s">
        <v>914</v>
      </c>
      <c r="C2295" s="3" t="s">
        <v>20</v>
      </c>
      <c r="D2295" s="3" t="s">
        <v>1001</v>
      </c>
      <c r="E2295" s="3" t="s">
        <v>77</v>
      </c>
      <c r="F2295" s="3"/>
      <c r="G2295" s="3"/>
      <c r="H2295" s="3"/>
      <c r="I2295" s="3"/>
    </row>
    <row r="2296" spans="1:9" s="5" customFormat="1" x14ac:dyDescent="0.35">
      <c r="A2296" s="3" t="s">
        <v>907</v>
      </c>
      <c r="B2296" s="3" t="s">
        <v>914</v>
      </c>
      <c r="C2296" s="3" t="s">
        <v>20</v>
      </c>
      <c r="D2296" s="3" t="s">
        <v>1001</v>
      </c>
      <c r="E2296" s="3" t="s">
        <v>28</v>
      </c>
      <c r="F2296" s="3"/>
      <c r="G2296" s="3" t="s">
        <v>2288</v>
      </c>
      <c r="H2296" s="3"/>
      <c r="I2296" s="3"/>
    </row>
    <row r="2297" spans="1:9" s="5" customFormat="1" x14ac:dyDescent="0.35">
      <c r="A2297" s="3" t="s">
        <v>907</v>
      </c>
      <c r="B2297" s="3" t="s">
        <v>914</v>
      </c>
      <c r="C2297" s="3" t="s">
        <v>20</v>
      </c>
      <c r="D2297" s="3" t="s">
        <v>1001</v>
      </c>
      <c r="E2297" s="3" t="s">
        <v>242</v>
      </c>
      <c r="F2297" s="3"/>
      <c r="G2297" s="3" t="s">
        <v>2437</v>
      </c>
      <c r="H2297" s="3"/>
      <c r="I2297" s="3"/>
    </row>
    <row r="2298" spans="1:9" s="5" customFormat="1" x14ac:dyDescent="0.35">
      <c r="A2298" s="3" t="s">
        <v>907</v>
      </c>
      <c r="B2298" s="3" t="s">
        <v>914</v>
      </c>
      <c r="C2298" s="3" t="s">
        <v>20</v>
      </c>
      <c r="D2298" s="3" t="s">
        <v>1001</v>
      </c>
      <c r="E2298" s="3" t="s">
        <v>15</v>
      </c>
      <c r="F2298" s="3"/>
      <c r="G2298" s="3"/>
      <c r="H2298" s="3"/>
      <c r="I2298" s="3"/>
    </row>
    <row r="2299" spans="1:9" s="5" customFormat="1" x14ac:dyDescent="0.35">
      <c r="A2299" s="3" t="s">
        <v>907</v>
      </c>
      <c r="B2299" s="3" t="s">
        <v>914</v>
      </c>
      <c r="C2299" s="3" t="s">
        <v>20</v>
      </c>
      <c r="D2299" s="3" t="s">
        <v>1001</v>
      </c>
      <c r="E2299" s="3" t="s">
        <v>89</v>
      </c>
      <c r="F2299" s="3"/>
      <c r="G2299" s="3"/>
      <c r="H2299" s="3"/>
      <c r="I2299" s="3"/>
    </row>
    <row r="2300" spans="1:9" s="5" customFormat="1" x14ac:dyDescent="0.35">
      <c r="A2300" s="3" t="s">
        <v>907</v>
      </c>
      <c r="B2300" s="3" t="s">
        <v>914</v>
      </c>
      <c r="C2300" s="3" t="s">
        <v>20</v>
      </c>
      <c r="D2300" s="3" t="s">
        <v>1001</v>
      </c>
      <c r="E2300" s="3" t="s">
        <v>24</v>
      </c>
      <c r="F2300" s="3"/>
      <c r="G2300" s="3"/>
      <c r="H2300" s="3"/>
      <c r="I2300" s="3"/>
    </row>
    <row r="2301" spans="1:9" s="5" customFormat="1" x14ac:dyDescent="0.35">
      <c r="A2301" s="3" t="s">
        <v>907</v>
      </c>
      <c r="B2301" s="3" t="s">
        <v>914</v>
      </c>
      <c r="C2301" s="3" t="s">
        <v>20</v>
      </c>
      <c r="D2301" s="3" t="s">
        <v>1001</v>
      </c>
      <c r="E2301" s="3" t="s">
        <v>191</v>
      </c>
      <c r="F2301" s="3"/>
      <c r="G2301" s="3"/>
      <c r="H2301" s="3"/>
      <c r="I2301" s="3"/>
    </row>
    <row r="2302" spans="1:9" s="5" customFormat="1" x14ac:dyDescent="0.35">
      <c r="A2302" s="3" t="s">
        <v>907</v>
      </c>
      <c r="B2302" s="3" t="s">
        <v>914</v>
      </c>
      <c r="C2302" s="3" t="s">
        <v>20</v>
      </c>
      <c r="D2302" s="3" t="s">
        <v>1002</v>
      </c>
      <c r="E2302" s="3" t="s">
        <v>918</v>
      </c>
      <c r="F2302" s="3"/>
      <c r="G2302" s="3"/>
      <c r="H2302" s="3"/>
      <c r="I2302" s="3"/>
    </row>
    <row r="2303" spans="1:9" s="5" customFormat="1" x14ac:dyDescent="0.35">
      <c r="A2303" s="3" t="s">
        <v>907</v>
      </c>
      <c r="B2303" s="3" t="s">
        <v>914</v>
      </c>
      <c r="C2303" s="3" t="s">
        <v>20</v>
      </c>
      <c r="D2303" s="3" t="s">
        <v>1002</v>
      </c>
      <c r="E2303" s="3" t="s">
        <v>27</v>
      </c>
      <c r="F2303" s="3"/>
      <c r="G2303" s="3" t="s">
        <v>2287</v>
      </c>
      <c r="H2303" s="3"/>
      <c r="I2303" s="3"/>
    </row>
    <row r="2304" spans="1:9" s="5" customFormat="1" x14ac:dyDescent="0.35">
      <c r="A2304" s="3" t="s">
        <v>907</v>
      </c>
      <c r="B2304" s="3" t="s">
        <v>914</v>
      </c>
      <c r="C2304" s="3" t="s">
        <v>20</v>
      </c>
      <c r="D2304" s="3" t="s">
        <v>1002</v>
      </c>
      <c r="E2304" s="3" t="s">
        <v>77</v>
      </c>
      <c r="F2304" s="3"/>
      <c r="G2304" s="3"/>
      <c r="H2304" s="3"/>
      <c r="I2304" s="3"/>
    </row>
    <row r="2305" spans="1:9" s="5" customFormat="1" x14ac:dyDescent="0.35">
      <c r="A2305" s="3" t="s">
        <v>907</v>
      </c>
      <c r="B2305" s="3" t="s">
        <v>914</v>
      </c>
      <c r="C2305" s="3" t="s">
        <v>20</v>
      </c>
      <c r="D2305" s="3" t="s">
        <v>1002</v>
      </c>
      <c r="E2305" s="3" t="s">
        <v>28</v>
      </c>
      <c r="F2305" s="3"/>
      <c r="G2305" s="3" t="s">
        <v>2288</v>
      </c>
      <c r="H2305" s="3"/>
      <c r="I2305" s="3"/>
    </row>
    <row r="2306" spans="1:9" s="5" customFormat="1" x14ac:dyDescent="0.35">
      <c r="A2306" s="3" t="s">
        <v>907</v>
      </c>
      <c r="B2306" s="3" t="s">
        <v>914</v>
      </c>
      <c r="C2306" s="3" t="s">
        <v>20</v>
      </c>
      <c r="D2306" s="3" t="s">
        <v>1002</v>
      </c>
      <c r="E2306" s="3" t="s">
        <v>15</v>
      </c>
      <c r="F2306" s="3"/>
      <c r="G2306" s="3"/>
      <c r="H2306" s="3"/>
      <c r="I2306" s="3"/>
    </row>
    <row r="2307" spans="1:9" s="5" customFormat="1" x14ac:dyDescent="0.35">
      <c r="A2307" s="3" t="s">
        <v>907</v>
      </c>
      <c r="B2307" s="3" t="s">
        <v>914</v>
      </c>
      <c r="C2307" s="3" t="s">
        <v>20</v>
      </c>
      <c r="D2307" s="3" t="s">
        <v>1002</v>
      </c>
      <c r="E2307" s="3" t="s">
        <v>56</v>
      </c>
      <c r="F2307" s="3"/>
      <c r="G2307" s="3"/>
      <c r="H2307" s="3"/>
      <c r="I2307" s="3"/>
    </row>
    <row r="2308" spans="1:9" s="5" customFormat="1" x14ac:dyDescent="0.35">
      <c r="A2308" s="3" t="s">
        <v>907</v>
      </c>
      <c r="B2308" s="3" t="s">
        <v>914</v>
      </c>
      <c r="C2308" s="3" t="s">
        <v>20</v>
      </c>
      <c r="D2308" s="3" t="s">
        <v>1002</v>
      </c>
      <c r="E2308" s="3" t="s">
        <v>24</v>
      </c>
      <c r="F2308" s="3"/>
      <c r="G2308" s="3"/>
      <c r="H2308" s="3"/>
      <c r="I2308" s="3"/>
    </row>
    <row r="2309" spans="1:9" s="5" customFormat="1" x14ac:dyDescent="0.35">
      <c r="A2309" s="3" t="s">
        <v>907</v>
      </c>
      <c r="B2309" s="3" t="s">
        <v>914</v>
      </c>
      <c r="C2309" s="3" t="s">
        <v>20</v>
      </c>
      <c r="D2309" s="3" t="s">
        <v>1002</v>
      </c>
      <c r="E2309" s="3" t="s">
        <v>191</v>
      </c>
      <c r="F2309" s="3"/>
      <c r="G2309" s="3"/>
      <c r="H2309" s="3"/>
      <c r="I2309" s="3"/>
    </row>
    <row r="2310" spans="1:9" s="5" customFormat="1" x14ac:dyDescent="0.35">
      <c r="A2310" s="3" t="s">
        <v>907</v>
      </c>
      <c r="B2310" s="3" t="s">
        <v>914</v>
      </c>
      <c r="C2310" s="3" t="s">
        <v>20</v>
      </c>
      <c r="D2310" s="3" t="s">
        <v>1003</v>
      </c>
      <c r="E2310" s="3" t="s">
        <v>918</v>
      </c>
      <c r="F2310" s="3"/>
      <c r="G2310" s="3"/>
      <c r="H2310" s="3"/>
      <c r="I2310" s="3"/>
    </row>
    <row r="2311" spans="1:9" s="5" customFormat="1" x14ac:dyDescent="0.35">
      <c r="A2311" s="3" t="s">
        <v>907</v>
      </c>
      <c r="B2311" s="3" t="s">
        <v>914</v>
      </c>
      <c r="C2311" s="3" t="s">
        <v>20</v>
      </c>
      <c r="D2311" s="3" t="s">
        <v>1003</v>
      </c>
      <c r="E2311" s="3" t="s">
        <v>27</v>
      </c>
      <c r="F2311" s="3"/>
      <c r="G2311" s="3" t="s">
        <v>2287</v>
      </c>
      <c r="H2311" s="3"/>
      <c r="I2311" s="3"/>
    </row>
    <row r="2312" spans="1:9" s="5" customFormat="1" x14ac:dyDescent="0.35">
      <c r="A2312" s="3" t="s">
        <v>907</v>
      </c>
      <c r="B2312" s="3" t="s">
        <v>914</v>
      </c>
      <c r="C2312" s="3" t="s">
        <v>20</v>
      </c>
      <c r="D2312" s="3" t="s">
        <v>1003</v>
      </c>
      <c r="E2312" s="3" t="s">
        <v>77</v>
      </c>
      <c r="F2312" s="3"/>
      <c r="G2312" s="3" t="s">
        <v>2486</v>
      </c>
      <c r="H2312" s="3"/>
      <c r="I2312" s="3"/>
    </row>
    <row r="2313" spans="1:9" s="5" customFormat="1" x14ac:dyDescent="0.35">
      <c r="A2313" s="3" t="s">
        <v>907</v>
      </c>
      <c r="B2313" s="3" t="s">
        <v>914</v>
      </c>
      <c r="C2313" s="3" t="s">
        <v>20</v>
      </c>
      <c r="D2313" s="3" t="s">
        <v>1003</v>
      </c>
      <c r="E2313" s="3" t="s">
        <v>28</v>
      </c>
      <c r="F2313" s="3"/>
      <c r="G2313" s="3" t="s">
        <v>2288</v>
      </c>
      <c r="H2313" s="3"/>
      <c r="I2313" s="3"/>
    </row>
    <row r="2314" spans="1:9" s="5" customFormat="1" x14ac:dyDescent="0.35">
      <c r="A2314" s="3" t="s">
        <v>907</v>
      </c>
      <c r="B2314" s="3" t="s">
        <v>914</v>
      </c>
      <c r="C2314" s="3" t="s">
        <v>20</v>
      </c>
      <c r="D2314" s="3" t="s">
        <v>1003</v>
      </c>
      <c r="E2314" s="3" t="s">
        <v>242</v>
      </c>
      <c r="F2314" s="3"/>
      <c r="G2314" s="3" t="s">
        <v>2437</v>
      </c>
      <c r="H2314" s="3"/>
      <c r="I2314" s="3"/>
    </row>
    <row r="2315" spans="1:9" s="5" customFormat="1" x14ac:dyDescent="0.35">
      <c r="A2315" s="3" t="s">
        <v>907</v>
      </c>
      <c r="B2315" s="3" t="s">
        <v>914</v>
      </c>
      <c r="C2315" s="3" t="s">
        <v>20</v>
      </c>
      <c r="D2315" s="3" t="s">
        <v>1003</v>
      </c>
      <c r="E2315" s="3" t="s">
        <v>15</v>
      </c>
      <c r="F2315" s="3"/>
      <c r="G2315" s="3"/>
      <c r="H2315" s="3"/>
      <c r="I2315" s="3"/>
    </row>
    <row r="2316" spans="1:9" s="5" customFormat="1" x14ac:dyDescent="0.35">
      <c r="A2316" s="3" t="s">
        <v>907</v>
      </c>
      <c r="B2316" s="3" t="s">
        <v>914</v>
      </c>
      <c r="C2316" s="3" t="s">
        <v>20</v>
      </c>
      <c r="D2316" s="3" t="s">
        <v>1003</v>
      </c>
      <c r="E2316" s="3" t="s">
        <v>56</v>
      </c>
      <c r="F2316" s="3"/>
      <c r="G2316" s="3"/>
      <c r="H2316" s="3"/>
      <c r="I2316" s="3"/>
    </row>
    <row r="2317" spans="1:9" s="5" customFormat="1" x14ac:dyDescent="0.35">
      <c r="A2317" s="3" t="s">
        <v>907</v>
      </c>
      <c r="B2317" s="3" t="s">
        <v>914</v>
      </c>
      <c r="C2317" s="3" t="s">
        <v>20</v>
      </c>
      <c r="D2317" s="3" t="s">
        <v>1003</v>
      </c>
      <c r="E2317" s="3" t="s">
        <v>89</v>
      </c>
      <c r="F2317" s="3"/>
      <c r="G2317" s="3"/>
      <c r="H2317" s="3"/>
      <c r="I2317" s="3"/>
    </row>
    <row r="2318" spans="1:9" s="5" customFormat="1" x14ac:dyDescent="0.35">
      <c r="A2318" s="3" t="s">
        <v>907</v>
      </c>
      <c r="B2318" s="3" t="s">
        <v>914</v>
      </c>
      <c r="C2318" s="3" t="s">
        <v>20</v>
      </c>
      <c r="D2318" s="3" t="s">
        <v>1003</v>
      </c>
      <c r="E2318" s="3" t="s">
        <v>24</v>
      </c>
      <c r="F2318" s="3"/>
      <c r="G2318" s="3"/>
      <c r="H2318" s="3"/>
      <c r="I2318" s="3"/>
    </row>
    <row r="2319" spans="1:9" s="5" customFormat="1" x14ac:dyDescent="0.35">
      <c r="A2319" s="3" t="s">
        <v>907</v>
      </c>
      <c r="B2319" s="3" t="s">
        <v>914</v>
      </c>
      <c r="C2319" s="3" t="s">
        <v>20</v>
      </c>
      <c r="D2319" s="3" t="s">
        <v>1003</v>
      </c>
      <c r="E2319" s="3" t="s">
        <v>191</v>
      </c>
      <c r="F2319" s="3"/>
      <c r="G2319" s="3"/>
      <c r="H2319" s="3"/>
      <c r="I2319" s="3"/>
    </row>
    <row r="2320" spans="1:9" s="5" customFormat="1" x14ac:dyDescent="0.35">
      <c r="A2320" s="3" t="s">
        <v>907</v>
      </c>
      <c r="B2320" s="3" t="s">
        <v>914</v>
      </c>
      <c r="C2320" s="3" t="s">
        <v>45</v>
      </c>
      <c r="D2320" s="3" t="s">
        <v>1004</v>
      </c>
      <c r="E2320" s="3" t="s">
        <v>372</v>
      </c>
      <c r="F2320" s="3" t="s">
        <v>16</v>
      </c>
      <c r="G2320" s="3" t="s">
        <v>1005</v>
      </c>
      <c r="H2320" s="3"/>
      <c r="I2320" s="3"/>
    </row>
    <row r="2321" spans="1:9" s="5" customFormat="1" x14ac:dyDescent="0.35">
      <c r="A2321" s="3" t="s">
        <v>907</v>
      </c>
      <c r="B2321" s="3" t="s">
        <v>914</v>
      </c>
      <c r="C2321" s="3" t="s">
        <v>45</v>
      </c>
      <c r="D2321" s="3" t="s">
        <v>1006</v>
      </c>
      <c r="E2321" s="3" t="s">
        <v>56</v>
      </c>
      <c r="F2321" s="3"/>
      <c r="G2321" s="3" t="s">
        <v>2318</v>
      </c>
      <c r="H2321" s="3"/>
      <c r="I2321" s="3"/>
    </row>
    <row r="2322" spans="1:9" s="5" customFormat="1" x14ac:dyDescent="0.35">
      <c r="A2322" s="3" t="s">
        <v>907</v>
      </c>
      <c r="B2322" s="3" t="s">
        <v>914</v>
      </c>
      <c r="C2322" s="3" t="s">
        <v>45</v>
      </c>
      <c r="D2322" s="3" t="s">
        <v>1007</v>
      </c>
      <c r="E2322" s="3" t="s">
        <v>77</v>
      </c>
      <c r="F2322" s="3"/>
      <c r="G2322" s="3"/>
      <c r="H2322" s="3"/>
      <c r="I2322" s="3"/>
    </row>
    <row r="2323" spans="1:9" s="5" customFormat="1" x14ac:dyDescent="0.35">
      <c r="A2323" s="3" t="s">
        <v>907</v>
      </c>
      <c r="B2323" s="3" t="s">
        <v>914</v>
      </c>
      <c r="C2323" s="3" t="s">
        <v>45</v>
      </c>
      <c r="D2323" s="3" t="s">
        <v>1007</v>
      </c>
      <c r="E2323" s="3" t="s">
        <v>56</v>
      </c>
      <c r="F2323" s="3"/>
      <c r="G2323" s="3" t="s">
        <v>2643</v>
      </c>
      <c r="H2323" s="3"/>
      <c r="I2323" s="3"/>
    </row>
    <row r="2324" spans="1:9" s="5" customFormat="1" x14ac:dyDescent="0.35">
      <c r="A2324" s="3" t="s">
        <v>907</v>
      </c>
      <c r="B2324" s="3" t="s">
        <v>914</v>
      </c>
      <c r="C2324" s="3" t="s">
        <v>45</v>
      </c>
      <c r="D2324" s="3" t="s">
        <v>1007</v>
      </c>
      <c r="E2324" s="3" t="s">
        <v>152</v>
      </c>
      <c r="F2324" s="3"/>
      <c r="G2324" s="3"/>
      <c r="H2324" s="3"/>
      <c r="I2324" s="3"/>
    </row>
    <row r="2325" spans="1:9" s="5" customFormat="1" x14ac:dyDescent="0.35">
      <c r="A2325" s="3" t="s">
        <v>907</v>
      </c>
      <c r="B2325" s="3" t="s">
        <v>914</v>
      </c>
      <c r="C2325" s="3" t="s">
        <v>45</v>
      </c>
      <c r="D2325" s="3" t="s">
        <v>1008</v>
      </c>
      <c r="E2325" s="3" t="s">
        <v>966</v>
      </c>
      <c r="F2325" s="3" t="s">
        <v>33</v>
      </c>
      <c r="G2325" s="3" t="s">
        <v>2644</v>
      </c>
      <c r="H2325" s="3"/>
      <c r="I2325" s="3"/>
    </row>
    <row r="2326" spans="1:9" s="5" customFormat="1" x14ac:dyDescent="0.35">
      <c r="A2326" s="3" t="s">
        <v>907</v>
      </c>
      <c r="B2326" s="3" t="s">
        <v>914</v>
      </c>
      <c r="C2326" s="3" t="s">
        <v>45</v>
      </c>
      <c r="D2326" s="3" t="s">
        <v>1008</v>
      </c>
      <c r="E2326" s="3" t="s">
        <v>77</v>
      </c>
      <c r="F2326" s="3"/>
      <c r="G2326" s="3"/>
      <c r="H2326" s="3"/>
      <c r="I2326" s="3"/>
    </row>
    <row r="2327" spans="1:9" s="5" customFormat="1" x14ac:dyDescent="0.35">
      <c r="A2327" s="3" t="s">
        <v>907</v>
      </c>
      <c r="B2327" s="3" t="s">
        <v>914</v>
      </c>
      <c r="C2327" s="3" t="s">
        <v>45</v>
      </c>
      <c r="D2327" s="3" t="s">
        <v>1008</v>
      </c>
      <c r="E2327" s="3" t="s">
        <v>56</v>
      </c>
      <c r="F2327" s="3"/>
      <c r="G2327" s="3" t="s">
        <v>2643</v>
      </c>
      <c r="H2327" s="3"/>
      <c r="I2327" s="3"/>
    </row>
    <row r="2328" spans="1:9" s="5" customFormat="1" x14ac:dyDescent="0.35">
      <c r="A2328" s="3" t="s">
        <v>907</v>
      </c>
      <c r="B2328" s="3" t="s">
        <v>914</v>
      </c>
      <c r="C2328" s="3" t="s">
        <v>45</v>
      </c>
      <c r="D2328" s="3" t="s">
        <v>1008</v>
      </c>
      <c r="E2328" s="3" t="s">
        <v>152</v>
      </c>
      <c r="F2328" s="3"/>
      <c r="G2328" s="3"/>
      <c r="H2328" s="3"/>
      <c r="I2328" s="3"/>
    </row>
    <row r="2329" spans="1:9" s="5" customFormat="1" x14ac:dyDescent="0.35">
      <c r="A2329" s="3" t="s">
        <v>907</v>
      </c>
      <c r="B2329" s="3" t="s">
        <v>914</v>
      </c>
      <c r="C2329" s="3" t="s">
        <v>45</v>
      </c>
      <c r="D2329" s="3" t="s">
        <v>1008</v>
      </c>
      <c r="E2329" s="3" t="s">
        <v>191</v>
      </c>
      <c r="F2329" s="3"/>
      <c r="G2329" s="3"/>
      <c r="H2329" s="3"/>
      <c r="I2329" s="3"/>
    </row>
    <row r="2330" spans="1:9" s="5" customFormat="1" x14ac:dyDescent="0.35">
      <c r="A2330" s="3" t="s">
        <v>907</v>
      </c>
      <c r="B2330" s="3" t="s">
        <v>914</v>
      </c>
      <c r="C2330" s="3" t="s">
        <v>45</v>
      </c>
      <c r="D2330" s="3" t="s">
        <v>1009</v>
      </c>
      <c r="E2330" s="3" t="s">
        <v>966</v>
      </c>
      <c r="F2330" s="3" t="s">
        <v>33</v>
      </c>
      <c r="G2330" s="3" t="s">
        <v>2644</v>
      </c>
      <c r="H2330" s="3"/>
      <c r="I2330" s="3"/>
    </row>
    <row r="2331" spans="1:9" s="5" customFormat="1" x14ac:dyDescent="0.35">
      <c r="A2331" s="3" t="s">
        <v>907</v>
      </c>
      <c r="B2331" s="3" t="s">
        <v>914</v>
      </c>
      <c r="C2331" s="3" t="s">
        <v>45</v>
      </c>
      <c r="D2331" s="3" t="s">
        <v>1009</v>
      </c>
      <c r="E2331" s="3" t="s">
        <v>47</v>
      </c>
      <c r="F2331" s="3"/>
      <c r="G2331" s="3"/>
      <c r="H2331" s="3"/>
      <c r="I2331" s="3"/>
    </row>
    <row r="2332" spans="1:9" s="5" customFormat="1" x14ac:dyDescent="0.35">
      <c r="A2332" s="3" t="s">
        <v>907</v>
      </c>
      <c r="B2332" s="3" t="s">
        <v>914</v>
      </c>
      <c r="C2332" s="3" t="s">
        <v>45</v>
      </c>
      <c r="D2332" s="3" t="s">
        <v>1009</v>
      </c>
      <c r="E2332" s="3" t="s">
        <v>77</v>
      </c>
      <c r="F2332" s="3"/>
      <c r="G2332" s="3"/>
      <c r="H2332" s="3"/>
      <c r="I2332" s="3"/>
    </row>
    <row r="2333" spans="1:9" s="5" customFormat="1" x14ac:dyDescent="0.35">
      <c r="A2333" s="3" t="s">
        <v>907</v>
      </c>
      <c r="B2333" s="3" t="s">
        <v>914</v>
      </c>
      <c r="C2333" s="3" t="s">
        <v>45</v>
      </c>
      <c r="D2333" s="3" t="s">
        <v>1009</v>
      </c>
      <c r="E2333" s="3" t="s">
        <v>56</v>
      </c>
      <c r="F2333" s="3"/>
      <c r="G2333" s="3" t="s">
        <v>2643</v>
      </c>
      <c r="H2333" s="3"/>
      <c r="I2333" s="3"/>
    </row>
    <row r="2334" spans="1:9" s="5" customFormat="1" x14ac:dyDescent="0.35">
      <c r="A2334" s="3" t="s">
        <v>907</v>
      </c>
      <c r="B2334" s="3" t="s">
        <v>914</v>
      </c>
      <c r="C2334" s="3" t="s">
        <v>45</v>
      </c>
      <c r="D2334" s="3" t="s">
        <v>1009</v>
      </c>
      <c r="E2334" s="3" t="s">
        <v>152</v>
      </c>
      <c r="F2334" s="3"/>
      <c r="G2334" s="3"/>
      <c r="H2334" s="3"/>
      <c r="I2334" s="3"/>
    </row>
    <row r="2335" spans="1:9" s="5" customFormat="1" x14ac:dyDescent="0.35">
      <c r="A2335" s="3" t="s">
        <v>907</v>
      </c>
      <c r="B2335" s="3" t="s">
        <v>914</v>
      </c>
      <c r="C2335" s="3" t="s">
        <v>45</v>
      </c>
      <c r="D2335" s="3" t="s">
        <v>1009</v>
      </c>
      <c r="E2335" s="3" t="s">
        <v>191</v>
      </c>
      <c r="F2335" s="3"/>
      <c r="G2335" s="3"/>
      <c r="H2335" s="3"/>
      <c r="I2335" s="3"/>
    </row>
    <row r="2336" spans="1:9" s="5" customFormat="1" x14ac:dyDescent="0.35">
      <c r="A2336" s="3" t="s">
        <v>907</v>
      </c>
      <c r="B2336" s="3" t="s">
        <v>1010</v>
      </c>
      <c r="C2336" s="3" t="s">
        <v>45</v>
      </c>
      <c r="D2336" s="3" t="s">
        <v>1011</v>
      </c>
      <c r="E2336" s="3" t="s">
        <v>217</v>
      </c>
      <c r="F2336" s="3"/>
      <c r="G2336" s="3" t="s">
        <v>2286</v>
      </c>
      <c r="H2336" s="3"/>
      <c r="I2336" s="3"/>
    </row>
    <row r="2337" spans="1:9" s="5" customFormat="1" x14ac:dyDescent="0.35">
      <c r="A2337" s="3" t="s">
        <v>907</v>
      </c>
      <c r="B2337" s="3" t="s">
        <v>1010</v>
      </c>
      <c r="C2337" s="3" t="s">
        <v>45</v>
      </c>
      <c r="D2337" s="3" t="s">
        <v>1011</v>
      </c>
      <c r="E2337" s="3" t="s">
        <v>224</v>
      </c>
      <c r="F2337" s="3"/>
      <c r="G2337" s="3"/>
      <c r="H2337" s="3"/>
      <c r="I2337" s="3"/>
    </row>
    <row r="2338" spans="1:9" s="5" customFormat="1" x14ac:dyDescent="0.35">
      <c r="A2338" s="3" t="s">
        <v>907</v>
      </c>
      <c r="B2338" s="3" t="s">
        <v>1010</v>
      </c>
      <c r="C2338" s="3" t="s">
        <v>10</v>
      </c>
      <c r="D2338" s="3" t="s">
        <v>2687</v>
      </c>
      <c r="E2338" s="3" t="s">
        <v>47</v>
      </c>
      <c r="F2338" s="3"/>
      <c r="G2338" s="3"/>
      <c r="H2338" s="3"/>
      <c r="I2338" s="3"/>
    </row>
    <row r="2339" spans="1:9" s="5" customFormat="1" x14ac:dyDescent="0.35">
      <c r="A2339" s="3" t="s">
        <v>907</v>
      </c>
      <c r="B2339" s="3" t="s">
        <v>1010</v>
      </c>
      <c r="C2339" s="3" t="s">
        <v>10</v>
      </c>
      <c r="D2339" s="3" t="s">
        <v>2687</v>
      </c>
      <c r="E2339" s="3" t="s">
        <v>25</v>
      </c>
      <c r="F2339" s="3"/>
      <c r="G2339" s="3"/>
      <c r="H2339" s="3"/>
      <c r="I2339" s="3"/>
    </row>
    <row r="2340" spans="1:9" s="5" customFormat="1" x14ac:dyDescent="0.35">
      <c r="A2340" s="3" t="s">
        <v>907</v>
      </c>
      <c r="B2340" s="3" t="s">
        <v>1010</v>
      </c>
      <c r="C2340" s="3" t="s">
        <v>10</v>
      </c>
      <c r="D2340" s="3" t="s">
        <v>2687</v>
      </c>
      <c r="E2340" s="3" t="s">
        <v>71</v>
      </c>
      <c r="F2340" s="3"/>
      <c r="G2340" s="3"/>
      <c r="H2340" s="3"/>
      <c r="I2340" s="3"/>
    </row>
    <row r="2341" spans="1:9" s="5" customFormat="1" x14ac:dyDescent="0.35">
      <c r="A2341" s="3" t="s">
        <v>907</v>
      </c>
      <c r="B2341" s="3" t="s">
        <v>1010</v>
      </c>
      <c r="C2341" s="3" t="s">
        <v>10</v>
      </c>
      <c r="D2341" s="3" t="s">
        <v>2687</v>
      </c>
      <c r="E2341" s="3" t="s">
        <v>28</v>
      </c>
      <c r="F2341" s="3"/>
      <c r="G2341" s="3"/>
      <c r="H2341" s="3"/>
      <c r="I2341" s="3"/>
    </row>
    <row r="2342" spans="1:9" s="5" customFormat="1" x14ac:dyDescent="0.35">
      <c r="A2342" s="3" t="s">
        <v>907</v>
      </c>
      <c r="B2342" s="3" t="s">
        <v>1010</v>
      </c>
      <c r="C2342" s="3" t="s">
        <v>10</v>
      </c>
      <c r="D2342" s="3" t="s">
        <v>2687</v>
      </c>
      <c r="E2342" s="3" t="s">
        <v>15</v>
      </c>
      <c r="F2342" s="3" t="s">
        <v>16</v>
      </c>
      <c r="G2342" s="3" t="s">
        <v>2688</v>
      </c>
      <c r="H2342" s="3"/>
      <c r="I2342" s="3"/>
    </row>
    <row r="2343" spans="1:9" s="5" customFormat="1" x14ac:dyDescent="0.35">
      <c r="A2343" s="3" t="s">
        <v>907</v>
      </c>
      <c r="B2343" s="3" t="s">
        <v>1010</v>
      </c>
      <c r="C2343" s="3" t="s">
        <v>10</v>
      </c>
      <c r="D2343" s="3" t="s">
        <v>2687</v>
      </c>
      <c r="E2343" s="3" t="s">
        <v>32</v>
      </c>
      <c r="F2343" s="3"/>
      <c r="G2343" s="3"/>
      <c r="H2343" s="3"/>
      <c r="I2343" s="3"/>
    </row>
    <row r="2344" spans="1:9" s="5" customFormat="1" x14ac:dyDescent="0.35">
      <c r="A2344" s="3" t="s">
        <v>907</v>
      </c>
      <c r="B2344" s="3" t="s">
        <v>1010</v>
      </c>
      <c r="C2344" s="3" t="s">
        <v>10</v>
      </c>
      <c r="D2344" s="3" t="s">
        <v>2687</v>
      </c>
      <c r="E2344" s="3" t="s">
        <v>62</v>
      </c>
      <c r="F2344" s="3"/>
      <c r="G2344" s="3"/>
      <c r="H2344" s="3"/>
      <c r="I2344" s="3"/>
    </row>
    <row r="2345" spans="1:9" s="5" customFormat="1" x14ac:dyDescent="0.35">
      <c r="A2345" s="3" t="s">
        <v>907</v>
      </c>
      <c r="B2345" s="3" t="s">
        <v>1010</v>
      </c>
      <c r="C2345" s="3" t="s">
        <v>10</v>
      </c>
      <c r="D2345" s="3" t="s">
        <v>1012</v>
      </c>
      <c r="E2345" s="3" t="s">
        <v>47</v>
      </c>
      <c r="F2345" s="3"/>
      <c r="G2345" s="3"/>
      <c r="H2345" s="3"/>
      <c r="I2345" s="3"/>
    </row>
    <row r="2346" spans="1:9" s="5" customFormat="1" x14ac:dyDescent="0.35">
      <c r="A2346" s="3" t="s">
        <v>907</v>
      </c>
      <c r="B2346" s="3" t="s">
        <v>1010</v>
      </c>
      <c r="C2346" s="3" t="s">
        <v>10</v>
      </c>
      <c r="D2346" s="3" t="s">
        <v>1012</v>
      </c>
      <c r="E2346" s="3" t="s">
        <v>134</v>
      </c>
      <c r="F2346" s="3" t="s">
        <v>33</v>
      </c>
      <c r="G2346" s="3" t="s">
        <v>1013</v>
      </c>
      <c r="H2346" s="3"/>
      <c r="I2346" s="3"/>
    </row>
    <row r="2347" spans="1:9" s="5" customFormat="1" x14ac:dyDescent="0.35">
      <c r="A2347" s="3" t="s">
        <v>907</v>
      </c>
      <c r="B2347" s="3" t="s">
        <v>1010</v>
      </c>
      <c r="C2347" s="3" t="s">
        <v>10</v>
      </c>
      <c r="D2347" s="3" t="s">
        <v>2777</v>
      </c>
      <c r="E2347" s="3" t="s">
        <v>47</v>
      </c>
      <c r="F2347" s="3"/>
      <c r="G2347" s="3"/>
      <c r="H2347" s="3"/>
      <c r="I2347" s="3"/>
    </row>
    <row r="2348" spans="1:9" s="5" customFormat="1" x14ac:dyDescent="0.35">
      <c r="A2348" s="3" t="s">
        <v>907</v>
      </c>
      <c r="B2348" s="3" t="s">
        <v>1010</v>
      </c>
      <c r="C2348" s="3" t="s">
        <v>45</v>
      </c>
      <c r="D2348" s="3" t="s">
        <v>1014</v>
      </c>
      <c r="E2348" s="3" t="s">
        <v>166</v>
      </c>
      <c r="F2348" s="3" t="s">
        <v>33</v>
      </c>
      <c r="G2348" s="3" t="s">
        <v>1015</v>
      </c>
      <c r="H2348" s="3"/>
      <c r="I2348" s="3"/>
    </row>
    <row r="2349" spans="1:9" s="5" customFormat="1" x14ac:dyDescent="0.35">
      <c r="A2349" s="3" t="s">
        <v>907</v>
      </c>
      <c r="B2349" s="3" t="s">
        <v>1010</v>
      </c>
      <c r="C2349" s="3" t="s">
        <v>45</v>
      </c>
      <c r="D2349" s="3" t="s">
        <v>1014</v>
      </c>
      <c r="E2349" s="3" t="s">
        <v>1016</v>
      </c>
      <c r="F2349" s="3" t="s">
        <v>33</v>
      </c>
      <c r="G2349" s="3" t="s">
        <v>1015</v>
      </c>
      <c r="H2349" s="3"/>
      <c r="I2349" s="3"/>
    </row>
    <row r="2350" spans="1:9" s="5" customFormat="1" x14ac:dyDescent="0.35">
      <c r="A2350" s="3" t="s">
        <v>907</v>
      </c>
      <c r="B2350" s="3" t="s">
        <v>1010</v>
      </c>
      <c r="C2350" s="3" t="s">
        <v>45</v>
      </c>
      <c r="D2350" s="3" t="s">
        <v>1014</v>
      </c>
      <c r="E2350" s="3" t="s">
        <v>225</v>
      </c>
      <c r="F2350" s="3" t="s">
        <v>33</v>
      </c>
      <c r="G2350" s="3" t="s">
        <v>1015</v>
      </c>
      <c r="H2350" s="3"/>
      <c r="I2350" s="3"/>
    </row>
    <row r="2351" spans="1:9" s="5" customFormat="1" x14ac:dyDescent="0.35">
      <c r="A2351" s="3" t="s">
        <v>907</v>
      </c>
      <c r="B2351" s="3" t="s">
        <v>1010</v>
      </c>
      <c r="C2351" s="3" t="s">
        <v>45</v>
      </c>
      <c r="D2351" s="3" t="s">
        <v>1014</v>
      </c>
      <c r="E2351" s="3" t="s">
        <v>221</v>
      </c>
      <c r="F2351" s="3" t="s">
        <v>33</v>
      </c>
      <c r="G2351" s="3" t="s">
        <v>1015</v>
      </c>
      <c r="H2351" s="3"/>
      <c r="I2351" s="3"/>
    </row>
    <row r="2352" spans="1:9" s="5" customFormat="1" x14ac:dyDescent="0.35">
      <c r="A2352" s="3" t="s">
        <v>907</v>
      </c>
      <c r="B2352" s="3" t="s">
        <v>1010</v>
      </c>
      <c r="C2352" s="3" t="s">
        <v>45</v>
      </c>
      <c r="D2352" s="3" t="s">
        <v>1014</v>
      </c>
      <c r="E2352" s="3" t="s">
        <v>222</v>
      </c>
      <c r="F2352" s="3" t="s">
        <v>33</v>
      </c>
      <c r="G2352" s="3" t="s">
        <v>1015</v>
      </c>
      <c r="H2352" s="3"/>
      <c r="I2352" s="3"/>
    </row>
    <row r="2353" spans="1:9" s="5" customFormat="1" x14ac:dyDescent="0.35">
      <c r="A2353" s="3" t="s">
        <v>907</v>
      </c>
      <c r="B2353" s="3" t="s">
        <v>1010</v>
      </c>
      <c r="C2353" s="3" t="s">
        <v>45</v>
      </c>
      <c r="D2353" s="3" t="s">
        <v>1014</v>
      </c>
      <c r="E2353" s="3" t="s">
        <v>223</v>
      </c>
      <c r="F2353" s="3" t="s">
        <v>33</v>
      </c>
      <c r="G2353" s="3" t="s">
        <v>1015</v>
      </c>
      <c r="H2353" s="3"/>
      <c r="I2353" s="3"/>
    </row>
    <row r="2354" spans="1:9" s="5" customFormat="1" x14ac:dyDescent="0.35">
      <c r="A2354" s="3" t="s">
        <v>907</v>
      </c>
      <c r="B2354" s="3" t="s">
        <v>1010</v>
      </c>
      <c r="C2354" s="3" t="s">
        <v>45</v>
      </c>
      <c r="D2354" s="3" t="s">
        <v>1014</v>
      </c>
      <c r="E2354" s="3" t="s">
        <v>226</v>
      </c>
      <c r="F2354" s="3" t="s">
        <v>33</v>
      </c>
      <c r="G2354" s="3" t="s">
        <v>1015</v>
      </c>
      <c r="H2354" s="3"/>
      <c r="I2354" s="3"/>
    </row>
    <row r="2355" spans="1:9" s="5" customFormat="1" x14ac:dyDescent="0.35">
      <c r="A2355" s="3" t="s">
        <v>907</v>
      </c>
      <c r="B2355" s="3" t="s">
        <v>1010</v>
      </c>
      <c r="C2355" s="3" t="s">
        <v>45</v>
      </c>
      <c r="D2355" s="3" t="s">
        <v>1014</v>
      </c>
      <c r="E2355" s="3" t="s">
        <v>227</v>
      </c>
      <c r="F2355" s="3" t="s">
        <v>33</v>
      </c>
      <c r="G2355" s="3" t="s">
        <v>1015</v>
      </c>
      <c r="H2355" s="3"/>
      <c r="I2355" s="3"/>
    </row>
    <row r="2356" spans="1:9" s="5" customFormat="1" x14ac:dyDescent="0.35">
      <c r="A2356" s="3" t="s">
        <v>907</v>
      </c>
      <c r="B2356" s="3" t="s">
        <v>1010</v>
      </c>
      <c r="C2356" s="3" t="s">
        <v>45</v>
      </c>
      <c r="D2356" s="3" t="s">
        <v>1014</v>
      </c>
      <c r="E2356" s="3" t="s">
        <v>228</v>
      </c>
      <c r="F2356" s="3" t="s">
        <v>33</v>
      </c>
      <c r="G2356" s="3" t="s">
        <v>1015</v>
      </c>
      <c r="H2356" s="3"/>
      <c r="I2356" s="3"/>
    </row>
    <row r="2357" spans="1:9" s="5" customFormat="1" x14ac:dyDescent="0.35">
      <c r="A2357" s="3" t="s">
        <v>907</v>
      </c>
      <c r="B2357" s="3" t="s">
        <v>1010</v>
      </c>
      <c r="C2357" s="3" t="s">
        <v>45</v>
      </c>
      <c r="D2357" s="3" t="s">
        <v>1014</v>
      </c>
      <c r="E2357" s="3" t="s">
        <v>229</v>
      </c>
      <c r="F2357" s="3" t="s">
        <v>33</v>
      </c>
      <c r="G2357" s="3" t="s">
        <v>1015</v>
      </c>
      <c r="H2357" s="3"/>
      <c r="I2357" s="3"/>
    </row>
    <row r="2358" spans="1:9" s="5" customFormat="1" x14ac:dyDescent="0.35">
      <c r="A2358" s="3" t="s">
        <v>907</v>
      </c>
      <c r="B2358" s="3" t="s">
        <v>1010</v>
      </c>
      <c r="C2358" s="3" t="s">
        <v>45</v>
      </c>
      <c r="D2358" s="3" t="s">
        <v>1014</v>
      </c>
      <c r="E2358" s="3" t="s">
        <v>230</v>
      </c>
      <c r="F2358" s="3" t="s">
        <v>33</v>
      </c>
      <c r="G2358" s="3" t="s">
        <v>1015</v>
      </c>
      <c r="H2358" s="3"/>
      <c r="I2358" s="3"/>
    </row>
    <row r="2359" spans="1:9" s="5" customFormat="1" x14ac:dyDescent="0.35">
      <c r="A2359" s="3" t="s">
        <v>907</v>
      </c>
      <c r="B2359" s="3" t="s">
        <v>1010</v>
      </c>
      <c r="C2359" s="3" t="s">
        <v>45</v>
      </c>
      <c r="D2359" s="3" t="s">
        <v>1014</v>
      </c>
      <c r="E2359" s="3" t="s">
        <v>218</v>
      </c>
      <c r="F2359" s="3" t="s">
        <v>33</v>
      </c>
      <c r="G2359" s="3" t="s">
        <v>1015</v>
      </c>
      <c r="H2359" s="3"/>
      <c r="I2359" s="3"/>
    </row>
    <row r="2360" spans="1:9" s="5" customFormat="1" x14ac:dyDescent="0.35">
      <c r="A2360" s="3" t="s">
        <v>907</v>
      </c>
      <c r="B2360" s="3" t="s">
        <v>1010</v>
      </c>
      <c r="C2360" s="3" t="s">
        <v>45</v>
      </c>
      <c r="D2360" s="3" t="s">
        <v>1014</v>
      </c>
      <c r="E2360" s="3" t="s">
        <v>224</v>
      </c>
      <c r="F2360" s="3" t="s">
        <v>33</v>
      </c>
      <c r="G2360" s="3" t="s">
        <v>1015</v>
      </c>
      <c r="H2360" s="3"/>
      <c r="I2360" s="3"/>
    </row>
    <row r="2361" spans="1:9" s="5" customFormat="1" x14ac:dyDescent="0.35">
      <c r="A2361" s="3" t="s">
        <v>907</v>
      </c>
      <c r="B2361" s="3" t="s">
        <v>1010</v>
      </c>
      <c r="C2361" s="3" t="s">
        <v>20</v>
      </c>
      <c r="D2361" s="3" t="s">
        <v>1017</v>
      </c>
      <c r="E2361" s="3" t="s">
        <v>918</v>
      </c>
      <c r="F2361" s="3" t="s">
        <v>33</v>
      </c>
      <c r="G2361" s="3" t="s">
        <v>34</v>
      </c>
      <c r="H2361" s="3"/>
      <c r="I2361" s="3"/>
    </row>
    <row r="2362" spans="1:9" s="5" customFormat="1" x14ac:dyDescent="0.35">
      <c r="A2362" s="3" t="s">
        <v>907</v>
      </c>
      <c r="B2362" s="3" t="s">
        <v>1010</v>
      </c>
      <c r="C2362" s="3" t="s">
        <v>20</v>
      </c>
      <c r="D2362" s="3" t="s">
        <v>1017</v>
      </c>
      <c r="E2362" s="3" t="s">
        <v>1018</v>
      </c>
      <c r="F2362" s="3" t="s">
        <v>33</v>
      </c>
      <c r="G2362" s="3" t="s">
        <v>34</v>
      </c>
      <c r="H2362" s="3"/>
      <c r="I2362" s="3"/>
    </row>
    <row r="2363" spans="1:9" s="5" customFormat="1" x14ac:dyDescent="0.35">
      <c r="A2363" s="3" t="s">
        <v>907</v>
      </c>
      <c r="B2363" s="3" t="s">
        <v>1010</v>
      </c>
      <c r="C2363" s="3" t="s">
        <v>20</v>
      </c>
      <c r="D2363" s="3" t="s">
        <v>1017</v>
      </c>
      <c r="E2363" s="3" t="s">
        <v>27</v>
      </c>
      <c r="F2363" s="3" t="s">
        <v>33</v>
      </c>
      <c r="G2363" s="3" t="s">
        <v>34</v>
      </c>
      <c r="H2363" s="3"/>
      <c r="I2363" s="3"/>
    </row>
    <row r="2364" spans="1:9" s="5" customFormat="1" x14ac:dyDescent="0.35">
      <c r="A2364" s="3" t="s">
        <v>907</v>
      </c>
      <c r="B2364" s="3" t="s">
        <v>1010</v>
      </c>
      <c r="C2364" s="3" t="s">
        <v>20</v>
      </c>
      <c r="D2364" s="3" t="s">
        <v>1017</v>
      </c>
      <c r="E2364" s="3" t="s">
        <v>77</v>
      </c>
      <c r="F2364" s="3"/>
      <c r="G2364" s="3"/>
      <c r="H2364" s="3"/>
      <c r="I2364" s="3"/>
    </row>
    <row r="2365" spans="1:9" s="5" customFormat="1" x14ac:dyDescent="0.35">
      <c r="A2365" s="3" t="s">
        <v>907</v>
      </c>
      <c r="B2365" s="3" t="s">
        <v>1010</v>
      </c>
      <c r="C2365" s="3" t="s">
        <v>20</v>
      </c>
      <c r="D2365" s="3" t="s">
        <v>1017</v>
      </c>
      <c r="E2365" s="3" t="s">
        <v>31</v>
      </c>
      <c r="F2365" s="3" t="s">
        <v>33</v>
      </c>
      <c r="G2365" s="3" t="s">
        <v>34</v>
      </c>
      <c r="H2365" s="3"/>
      <c r="I2365" s="3"/>
    </row>
    <row r="2366" spans="1:9" s="5" customFormat="1" x14ac:dyDescent="0.35">
      <c r="A2366" s="3" t="s">
        <v>907</v>
      </c>
      <c r="B2366" s="3" t="s">
        <v>1010</v>
      </c>
      <c r="C2366" s="3" t="s">
        <v>20</v>
      </c>
      <c r="D2366" s="3" t="s">
        <v>1017</v>
      </c>
      <c r="E2366" s="3" t="s">
        <v>15</v>
      </c>
      <c r="F2366" s="3"/>
      <c r="G2366" s="3" t="s">
        <v>3012</v>
      </c>
      <c r="H2366" s="3"/>
      <c r="I2366" s="3"/>
    </row>
    <row r="2367" spans="1:9" s="5" customFormat="1" x14ac:dyDescent="0.35">
      <c r="A2367" s="3" t="s">
        <v>907</v>
      </c>
      <c r="B2367" s="3" t="s">
        <v>1010</v>
      </c>
      <c r="C2367" s="3" t="s">
        <v>20</v>
      </c>
      <c r="D2367" s="3" t="s">
        <v>1017</v>
      </c>
      <c r="E2367" s="3" t="s">
        <v>152</v>
      </c>
      <c r="F2367" s="3"/>
      <c r="G2367" s="3"/>
      <c r="H2367" s="3"/>
      <c r="I2367" s="3"/>
    </row>
    <row r="2368" spans="1:9" s="5" customFormat="1" x14ac:dyDescent="0.35">
      <c r="A2368" s="3" t="s">
        <v>907</v>
      </c>
      <c r="B2368" s="3" t="s">
        <v>1010</v>
      </c>
      <c r="C2368" s="3" t="s">
        <v>20</v>
      </c>
      <c r="D2368" s="3" t="s">
        <v>1017</v>
      </c>
      <c r="E2368" s="3" t="s">
        <v>968</v>
      </c>
      <c r="F2368" s="3" t="s">
        <v>33</v>
      </c>
      <c r="G2368" s="3" t="s">
        <v>34</v>
      </c>
      <c r="H2368" s="3"/>
      <c r="I2368" s="3"/>
    </row>
    <row r="2369" spans="1:9" s="5" customFormat="1" x14ac:dyDescent="0.35">
      <c r="A2369" s="3" t="s">
        <v>907</v>
      </c>
      <c r="B2369" s="3" t="s">
        <v>1010</v>
      </c>
      <c r="C2369" s="3" t="s">
        <v>591</v>
      </c>
      <c r="D2369" s="3" t="s">
        <v>1019</v>
      </c>
      <c r="E2369" s="3" t="s">
        <v>27</v>
      </c>
      <c r="F2369" s="3" t="s">
        <v>33</v>
      </c>
      <c r="G2369" s="3" t="s">
        <v>34</v>
      </c>
      <c r="H2369" s="3"/>
      <c r="I2369" s="3"/>
    </row>
    <row r="2370" spans="1:9" s="5" customFormat="1" x14ac:dyDescent="0.35">
      <c r="A2370" s="3" t="s">
        <v>907</v>
      </c>
      <c r="B2370" s="3" t="s">
        <v>1010</v>
      </c>
      <c r="C2370" s="3" t="s">
        <v>10</v>
      </c>
      <c r="D2370" s="3" t="s">
        <v>1020</v>
      </c>
      <c r="E2370" s="3" t="s">
        <v>47</v>
      </c>
      <c r="F2370" s="3"/>
      <c r="G2370" s="3"/>
      <c r="H2370" s="3"/>
      <c r="I2370" s="3"/>
    </row>
    <row r="2371" spans="1:9" s="5" customFormat="1" x14ac:dyDescent="0.35">
      <c r="A2371" s="3" t="s">
        <v>907</v>
      </c>
      <c r="B2371" s="3" t="s">
        <v>1010</v>
      </c>
      <c r="C2371" s="3" t="s">
        <v>10</v>
      </c>
      <c r="D2371" s="3" t="s">
        <v>1020</v>
      </c>
      <c r="E2371" s="3" t="s">
        <v>1021</v>
      </c>
      <c r="F2371" s="3"/>
      <c r="G2371" s="3"/>
      <c r="H2371" s="3"/>
      <c r="I2371" s="3"/>
    </row>
    <row r="2372" spans="1:9" s="5" customFormat="1" x14ac:dyDescent="0.35">
      <c r="A2372" s="3" t="s">
        <v>907</v>
      </c>
      <c r="B2372" s="3" t="s">
        <v>1010</v>
      </c>
      <c r="C2372" s="3" t="s">
        <v>10</v>
      </c>
      <c r="D2372" s="3" t="s">
        <v>1020</v>
      </c>
      <c r="E2372" s="3" t="s">
        <v>134</v>
      </c>
      <c r="F2372" s="3"/>
      <c r="G2372" s="3"/>
      <c r="H2372" s="3"/>
      <c r="I2372" s="3"/>
    </row>
    <row r="2373" spans="1:9" s="5" customFormat="1" x14ac:dyDescent="0.35">
      <c r="A2373" s="3" t="s">
        <v>907</v>
      </c>
      <c r="B2373" s="3" t="s">
        <v>1010</v>
      </c>
      <c r="C2373" s="3" t="s">
        <v>10</v>
      </c>
      <c r="D2373" s="3" t="s">
        <v>1022</v>
      </c>
      <c r="E2373" s="3" t="s">
        <v>47</v>
      </c>
      <c r="F2373" s="3"/>
      <c r="G2373" s="3"/>
      <c r="H2373" s="3"/>
      <c r="I2373" s="3"/>
    </row>
    <row r="2374" spans="1:9" s="5" customFormat="1" x14ac:dyDescent="0.35">
      <c r="A2374" s="3" t="s">
        <v>907</v>
      </c>
      <c r="B2374" s="3" t="s">
        <v>1010</v>
      </c>
      <c r="C2374" s="3" t="s">
        <v>10</v>
      </c>
      <c r="D2374" s="3" t="s">
        <v>1022</v>
      </c>
      <c r="E2374" s="3" t="s">
        <v>15</v>
      </c>
      <c r="F2374" s="3" t="s">
        <v>16</v>
      </c>
      <c r="G2374" s="3" t="s">
        <v>1023</v>
      </c>
      <c r="H2374" s="3"/>
      <c r="I2374" s="3"/>
    </row>
    <row r="2375" spans="1:9" s="5" customFormat="1" x14ac:dyDescent="0.35">
      <c r="A2375" s="3" t="s">
        <v>907</v>
      </c>
      <c r="B2375" s="3" t="s">
        <v>1010</v>
      </c>
      <c r="C2375" s="3" t="s">
        <v>10</v>
      </c>
      <c r="D2375" s="3" t="s">
        <v>1022</v>
      </c>
      <c r="E2375" s="3" t="s">
        <v>57</v>
      </c>
      <c r="F2375" s="3"/>
      <c r="G2375" s="3"/>
      <c r="H2375" s="3"/>
      <c r="I2375" s="3"/>
    </row>
    <row r="2376" spans="1:9" s="5" customFormat="1" x14ac:dyDescent="0.35">
      <c r="A2376" s="3" t="s">
        <v>907</v>
      </c>
      <c r="B2376" s="3" t="s">
        <v>1010</v>
      </c>
      <c r="C2376" s="3" t="s">
        <v>10</v>
      </c>
      <c r="D2376" s="3" t="s">
        <v>1022</v>
      </c>
      <c r="E2376" s="3" t="s">
        <v>134</v>
      </c>
      <c r="F2376" s="3"/>
      <c r="G2376" s="3"/>
      <c r="H2376" s="3"/>
      <c r="I2376" s="3"/>
    </row>
    <row r="2377" spans="1:9" s="5" customFormat="1" x14ac:dyDescent="0.35">
      <c r="A2377" s="3" t="s">
        <v>907</v>
      </c>
      <c r="B2377" s="3" t="s">
        <v>1010</v>
      </c>
      <c r="C2377" s="3" t="s">
        <v>45</v>
      </c>
      <c r="D2377" s="3" t="s">
        <v>1024</v>
      </c>
      <c r="E2377" s="3" t="s">
        <v>217</v>
      </c>
      <c r="F2377" s="3"/>
      <c r="G2377" s="3" t="s">
        <v>2286</v>
      </c>
      <c r="H2377" s="3"/>
      <c r="I2377" s="3"/>
    </row>
    <row r="2378" spans="1:9" s="5" customFormat="1" x14ac:dyDescent="0.35">
      <c r="A2378" s="3" t="s">
        <v>907</v>
      </c>
      <c r="B2378" s="3" t="s">
        <v>1010</v>
      </c>
      <c r="C2378" s="3" t="s">
        <v>45</v>
      </c>
      <c r="D2378" s="3" t="s">
        <v>1024</v>
      </c>
      <c r="E2378" s="3" t="s">
        <v>56</v>
      </c>
      <c r="F2378" s="3"/>
      <c r="G2378" s="3"/>
      <c r="H2378" s="3"/>
      <c r="I2378" s="3"/>
    </row>
    <row r="2379" spans="1:9" s="5" customFormat="1" x14ac:dyDescent="0.35">
      <c r="A2379" s="3" t="s">
        <v>907</v>
      </c>
      <c r="B2379" s="3" t="s">
        <v>1010</v>
      </c>
      <c r="C2379" s="3" t="s">
        <v>45</v>
      </c>
      <c r="D2379" s="3" t="s">
        <v>1024</v>
      </c>
      <c r="E2379" s="3" t="s">
        <v>224</v>
      </c>
      <c r="F2379" s="3"/>
      <c r="G2379" s="3"/>
      <c r="H2379" s="3"/>
      <c r="I2379" s="3"/>
    </row>
    <row r="2380" spans="1:9" s="5" customFormat="1" x14ac:dyDescent="0.35">
      <c r="A2380" s="3" t="s">
        <v>907</v>
      </c>
      <c r="B2380" s="3" t="s">
        <v>1010</v>
      </c>
      <c r="C2380" s="3" t="s">
        <v>45</v>
      </c>
      <c r="D2380" s="3" t="s">
        <v>2895</v>
      </c>
      <c r="E2380" s="3" t="s">
        <v>217</v>
      </c>
      <c r="F2380" s="3"/>
      <c r="G2380" s="3"/>
      <c r="H2380" s="3"/>
      <c r="I2380" s="3"/>
    </row>
    <row r="2381" spans="1:9" s="5" customFormat="1" x14ac:dyDescent="0.35">
      <c r="A2381" s="3" t="s">
        <v>907</v>
      </c>
      <c r="B2381" s="3" t="s">
        <v>1010</v>
      </c>
      <c r="C2381" s="3" t="s">
        <v>45</v>
      </c>
      <c r="D2381" s="3" t="s">
        <v>1025</v>
      </c>
      <c r="E2381" s="3" t="s">
        <v>217</v>
      </c>
      <c r="F2381" s="3"/>
      <c r="G2381" s="3" t="s">
        <v>2286</v>
      </c>
      <c r="H2381" s="3"/>
      <c r="I2381" s="3"/>
    </row>
    <row r="2382" spans="1:9" s="5" customFormat="1" x14ac:dyDescent="0.35">
      <c r="A2382" s="3" t="s">
        <v>907</v>
      </c>
      <c r="B2382" s="3" t="s">
        <v>1010</v>
      </c>
      <c r="C2382" s="3" t="s">
        <v>45</v>
      </c>
      <c r="D2382" s="3" t="s">
        <v>1025</v>
      </c>
      <c r="E2382" s="3" t="s">
        <v>56</v>
      </c>
      <c r="F2382" s="3"/>
      <c r="G2382" s="3"/>
      <c r="H2382" s="3"/>
      <c r="I2382" s="3"/>
    </row>
    <row r="2383" spans="1:9" s="5" customFormat="1" x14ac:dyDescent="0.35">
      <c r="A2383" s="3" t="s">
        <v>907</v>
      </c>
      <c r="B2383" s="3" t="s">
        <v>1010</v>
      </c>
      <c r="C2383" s="3" t="s">
        <v>45</v>
      </c>
      <c r="D2383" s="3" t="s">
        <v>1025</v>
      </c>
      <c r="E2383" s="3" t="s">
        <v>224</v>
      </c>
      <c r="F2383" s="3"/>
      <c r="G2383" s="3"/>
      <c r="H2383" s="3"/>
      <c r="I2383" s="3"/>
    </row>
    <row r="2384" spans="1:9" s="5" customFormat="1" x14ac:dyDescent="0.35">
      <c r="A2384" s="3" t="s">
        <v>907</v>
      </c>
      <c r="B2384" s="3" t="s">
        <v>1010</v>
      </c>
      <c r="C2384" s="3" t="s">
        <v>45</v>
      </c>
      <c r="D2384" s="3" t="s">
        <v>1026</v>
      </c>
      <c r="E2384" s="3" t="s">
        <v>166</v>
      </c>
      <c r="F2384" s="3"/>
      <c r="G2384" s="3"/>
      <c r="H2384" s="3"/>
      <c r="I2384" s="3"/>
    </row>
    <row r="2385" spans="1:9" s="5" customFormat="1" x14ac:dyDescent="0.35">
      <c r="A2385" s="3" t="s">
        <v>907</v>
      </c>
      <c r="B2385" s="3" t="s">
        <v>1010</v>
      </c>
      <c r="C2385" s="3" t="s">
        <v>45</v>
      </c>
      <c r="D2385" s="3" t="s">
        <v>1026</v>
      </c>
      <c r="E2385" s="3" t="s">
        <v>217</v>
      </c>
      <c r="F2385" s="3"/>
      <c r="G2385" s="3"/>
      <c r="H2385" s="3"/>
      <c r="I2385" s="3"/>
    </row>
    <row r="2386" spans="1:9" s="5" customFormat="1" x14ac:dyDescent="0.35">
      <c r="A2386" s="3" t="s">
        <v>907</v>
      </c>
      <c r="B2386" s="3" t="s">
        <v>1010</v>
      </c>
      <c r="C2386" s="3" t="s">
        <v>45</v>
      </c>
      <c r="D2386" s="3" t="s">
        <v>1026</v>
      </c>
      <c r="E2386" s="3" t="s">
        <v>220</v>
      </c>
      <c r="F2386" s="3"/>
      <c r="G2386" s="3"/>
      <c r="H2386" s="3"/>
      <c r="I2386" s="3"/>
    </row>
    <row r="2387" spans="1:9" s="5" customFormat="1" x14ac:dyDescent="0.35">
      <c r="A2387" s="3" t="s">
        <v>907</v>
      </c>
      <c r="B2387" s="3" t="s">
        <v>1010</v>
      </c>
      <c r="C2387" s="3" t="s">
        <v>45</v>
      </c>
      <c r="D2387" s="3" t="s">
        <v>1026</v>
      </c>
      <c r="E2387" s="3" t="s">
        <v>225</v>
      </c>
      <c r="F2387" s="3"/>
      <c r="G2387" s="3"/>
      <c r="H2387" s="3"/>
      <c r="I2387" s="3"/>
    </row>
    <row r="2388" spans="1:9" s="5" customFormat="1" x14ac:dyDescent="0.35">
      <c r="A2388" s="3" t="s">
        <v>907</v>
      </c>
      <c r="B2388" s="3" t="s">
        <v>1010</v>
      </c>
      <c r="C2388" s="3" t="s">
        <v>45</v>
      </c>
      <c r="D2388" s="3" t="s">
        <v>1026</v>
      </c>
      <c r="E2388" s="3" t="s">
        <v>221</v>
      </c>
      <c r="F2388" s="3"/>
      <c r="G2388" s="3"/>
      <c r="H2388" s="3"/>
      <c r="I2388" s="3"/>
    </row>
    <row r="2389" spans="1:9" s="5" customFormat="1" x14ac:dyDescent="0.35">
      <c r="A2389" s="3" t="s">
        <v>907</v>
      </c>
      <c r="B2389" s="3" t="s">
        <v>1010</v>
      </c>
      <c r="C2389" s="3" t="s">
        <v>45</v>
      </c>
      <c r="D2389" s="3" t="s">
        <v>1026</v>
      </c>
      <c r="E2389" s="3" t="s">
        <v>222</v>
      </c>
      <c r="F2389" s="3"/>
      <c r="G2389" s="3"/>
      <c r="H2389" s="3"/>
      <c r="I2389" s="3"/>
    </row>
    <row r="2390" spans="1:9" s="5" customFormat="1" x14ac:dyDescent="0.35">
      <c r="A2390" s="3" t="s">
        <v>907</v>
      </c>
      <c r="B2390" s="3" t="s">
        <v>1010</v>
      </c>
      <c r="C2390" s="3" t="s">
        <v>45</v>
      </c>
      <c r="D2390" s="3" t="s">
        <v>1026</v>
      </c>
      <c r="E2390" s="3" t="s">
        <v>223</v>
      </c>
      <c r="F2390" s="3"/>
      <c r="G2390" s="3"/>
      <c r="H2390" s="3"/>
      <c r="I2390" s="3"/>
    </row>
    <row r="2391" spans="1:9" s="5" customFormat="1" x14ac:dyDescent="0.35">
      <c r="A2391" s="3" t="s">
        <v>907</v>
      </c>
      <c r="B2391" s="3" t="s">
        <v>1010</v>
      </c>
      <c r="C2391" s="3" t="s">
        <v>45</v>
      </c>
      <c r="D2391" s="3" t="s">
        <v>1026</v>
      </c>
      <c r="E2391" s="3" t="s">
        <v>226</v>
      </c>
      <c r="F2391" s="3"/>
      <c r="G2391" s="3"/>
      <c r="H2391" s="3"/>
      <c r="I2391" s="3"/>
    </row>
    <row r="2392" spans="1:9" s="5" customFormat="1" x14ac:dyDescent="0.35">
      <c r="A2392" s="3" t="s">
        <v>907</v>
      </c>
      <c r="B2392" s="3" t="s">
        <v>1010</v>
      </c>
      <c r="C2392" s="3" t="s">
        <v>45</v>
      </c>
      <c r="D2392" s="3" t="s">
        <v>1026</v>
      </c>
      <c r="E2392" s="3" t="s">
        <v>227</v>
      </c>
      <c r="F2392" s="3"/>
      <c r="G2392" s="3"/>
      <c r="H2392" s="3"/>
      <c r="I2392" s="3"/>
    </row>
    <row r="2393" spans="1:9" s="5" customFormat="1" x14ac:dyDescent="0.35">
      <c r="A2393" s="3" t="s">
        <v>907</v>
      </c>
      <c r="B2393" s="3" t="s">
        <v>1010</v>
      </c>
      <c r="C2393" s="3" t="s">
        <v>45</v>
      </c>
      <c r="D2393" s="3" t="s">
        <v>1026</v>
      </c>
      <c r="E2393" s="3" t="s">
        <v>228</v>
      </c>
      <c r="F2393" s="3"/>
      <c r="G2393" s="3"/>
      <c r="H2393" s="3"/>
      <c r="I2393" s="3"/>
    </row>
    <row r="2394" spans="1:9" s="5" customFormat="1" x14ac:dyDescent="0.35">
      <c r="A2394" s="3" t="s">
        <v>907</v>
      </c>
      <c r="B2394" s="3" t="s">
        <v>1010</v>
      </c>
      <c r="C2394" s="3" t="s">
        <v>45</v>
      </c>
      <c r="D2394" s="3" t="s">
        <v>1026</v>
      </c>
      <c r="E2394" s="3" t="s">
        <v>56</v>
      </c>
      <c r="F2394" s="3"/>
      <c r="G2394" s="3"/>
      <c r="H2394" s="3"/>
      <c r="I2394" s="3"/>
    </row>
    <row r="2395" spans="1:9" s="5" customFormat="1" x14ac:dyDescent="0.35">
      <c r="A2395" s="3" t="s">
        <v>907</v>
      </c>
      <c r="B2395" s="3" t="s">
        <v>1010</v>
      </c>
      <c r="C2395" s="3" t="s">
        <v>45</v>
      </c>
      <c r="D2395" s="3" t="s">
        <v>1026</v>
      </c>
      <c r="E2395" s="3" t="s">
        <v>229</v>
      </c>
      <c r="F2395" s="3"/>
      <c r="G2395" s="3"/>
      <c r="H2395" s="3"/>
      <c r="I2395" s="3"/>
    </row>
    <row r="2396" spans="1:9" s="5" customFormat="1" x14ac:dyDescent="0.35">
      <c r="A2396" s="3" t="s">
        <v>907</v>
      </c>
      <c r="B2396" s="3" t="s">
        <v>1010</v>
      </c>
      <c r="C2396" s="3" t="s">
        <v>45</v>
      </c>
      <c r="D2396" s="3" t="s">
        <v>1026</v>
      </c>
      <c r="E2396" s="3" t="s">
        <v>230</v>
      </c>
      <c r="F2396" s="3"/>
      <c r="G2396" s="3"/>
      <c r="H2396" s="3"/>
      <c r="I2396" s="3"/>
    </row>
    <row r="2397" spans="1:9" s="5" customFormat="1" x14ac:dyDescent="0.35">
      <c r="A2397" s="3" t="s">
        <v>907</v>
      </c>
      <c r="B2397" s="3" t="s">
        <v>1010</v>
      </c>
      <c r="C2397" s="3" t="s">
        <v>45</v>
      </c>
      <c r="D2397" s="3" t="s">
        <v>1026</v>
      </c>
      <c r="E2397" s="3" t="s">
        <v>219</v>
      </c>
      <c r="F2397" s="3"/>
      <c r="G2397" s="3"/>
      <c r="H2397" s="3"/>
      <c r="I2397" s="3"/>
    </row>
    <row r="2398" spans="1:9" s="5" customFormat="1" x14ac:dyDescent="0.35">
      <c r="A2398" s="3" t="s">
        <v>907</v>
      </c>
      <c r="B2398" s="3" t="s">
        <v>1010</v>
      </c>
      <c r="C2398" s="3" t="s">
        <v>45</v>
      </c>
      <c r="D2398" s="3" t="s">
        <v>1026</v>
      </c>
      <c r="E2398" s="3" t="s">
        <v>218</v>
      </c>
      <c r="F2398" s="3"/>
      <c r="G2398" s="3"/>
      <c r="H2398" s="3"/>
      <c r="I2398" s="3"/>
    </row>
    <row r="2399" spans="1:9" s="5" customFormat="1" x14ac:dyDescent="0.35">
      <c r="A2399" s="3" t="s">
        <v>907</v>
      </c>
      <c r="B2399" s="3" t="s">
        <v>1010</v>
      </c>
      <c r="C2399" s="3" t="s">
        <v>45</v>
      </c>
      <c r="D2399" s="3" t="s">
        <v>1026</v>
      </c>
      <c r="E2399" s="3" t="s">
        <v>224</v>
      </c>
      <c r="F2399" s="3"/>
      <c r="G2399" s="3"/>
      <c r="H2399" s="3"/>
      <c r="I2399" s="3"/>
    </row>
    <row r="2400" spans="1:9" s="5" customFormat="1" x14ac:dyDescent="0.35">
      <c r="A2400" s="3" t="s">
        <v>907</v>
      </c>
      <c r="B2400" s="3" t="s">
        <v>1010</v>
      </c>
      <c r="C2400" s="3" t="s">
        <v>45</v>
      </c>
      <c r="D2400" s="3" t="s">
        <v>1027</v>
      </c>
      <c r="E2400" s="3" t="s">
        <v>166</v>
      </c>
      <c r="F2400" s="3"/>
      <c r="G2400" s="3"/>
      <c r="H2400" s="3"/>
      <c r="I2400" s="3"/>
    </row>
    <row r="2401" spans="1:9" s="5" customFormat="1" x14ac:dyDescent="0.35">
      <c r="A2401" s="3" t="s">
        <v>907</v>
      </c>
      <c r="B2401" s="3" t="s">
        <v>1010</v>
      </c>
      <c r="C2401" s="3" t="s">
        <v>45</v>
      </c>
      <c r="D2401" s="3" t="s">
        <v>1027</v>
      </c>
      <c r="E2401" s="3" t="s">
        <v>47</v>
      </c>
      <c r="F2401" s="3"/>
      <c r="G2401" s="3"/>
      <c r="H2401" s="3"/>
      <c r="I2401" s="3"/>
    </row>
    <row r="2402" spans="1:9" s="5" customFormat="1" x14ac:dyDescent="0.35">
      <c r="A2402" s="3" t="s">
        <v>907</v>
      </c>
      <c r="B2402" s="3" t="s">
        <v>1010</v>
      </c>
      <c r="C2402" s="3" t="s">
        <v>45</v>
      </c>
      <c r="D2402" s="3" t="s">
        <v>1027</v>
      </c>
      <c r="E2402" s="3" t="s">
        <v>220</v>
      </c>
      <c r="F2402" s="3"/>
      <c r="G2402" s="3"/>
      <c r="H2402" s="3"/>
      <c r="I2402" s="3"/>
    </row>
    <row r="2403" spans="1:9" s="5" customFormat="1" x14ac:dyDescent="0.35">
      <c r="A2403" s="3" t="s">
        <v>907</v>
      </c>
      <c r="B2403" s="3" t="s">
        <v>1010</v>
      </c>
      <c r="C2403" s="3" t="s">
        <v>45</v>
      </c>
      <c r="D2403" s="3" t="s">
        <v>1027</v>
      </c>
      <c r="E2403" s="3" t="s">
        <v>225</v>
      </c>
      <c r="F2403" s="3"/>
      <c r="G2403" s="3"/>
      <c r="H2403" s="3"/>
      <c r="I2403" s="3"/>
    </row>
    <row r="2404" spans="1:9" s="5" customFormat="1" x14ac:dyDescent="0.35">
      <c r="A2404" s="3" t="s">
        <v>907</v>
      </c>
      <c r="B2404" s="3" t="s">
        <v>1010</v>
      </c>
      <c r="C2404" s="3" t="s">
        <v>45</v>
      </c>
      <c r="D2404" s="3" t="s">
        <v>1027</v>
      </c>
      <c r="E2404" s="3" t="s">
        <v>221</v>
      </c>
      <c r="F2404" s="3"/>
      <c r="G2404" s="3"/>
      <c r="H2404" s="3"/>
      <c r="I2404" s="3"/>
    </row>
    <row r="2405" spans="1:9" s="5" customFormat="1" x14ac:dyDescent="0.35">
      <c r="A2405" s="3" t="s">
        <v>907</v>
      </c>
      <c r="B2405" s="3" t="s">
        <v>1010</v>
      </c>
      <c r="C2405" s="3" t="s">
        <v>45</v>
      </c>
      <c r="D2405" s="3" t="s">
        <v>1027</v>
      </c>
      <c r="E2405" s="3" t="s">
        <v>222</v>
      </c>
      <c r="F2405" s="3"/>
      <c r="G2405" s="3"/>
      <c r="H2405" s="3"/>
      <c r="I2405" s="3"/>
    </row>
    <row r="2406" spans="1:9" s="5" customFormat="1" x14ac:dyDescent="0.35">
      <c r="A2406" s="3" t="s">
        <v>907</v>
      </c>
      <c r="B2406" s="3" t="s">
        <v>1010</v>
      </c>
      <c r="C2406" s="3" t="s">
        <v>45</v>
      </c>
      <c r="D2406" s="3" t="s">
        <v>1027</v>
      </c>
      <c r="E2406" s="3" t="s">
        <v>223</v>
      </c>
      <c r="F2406" s="3"/>
      <c r="G2406" s="3"/>
      <c r="H2406" s="3"/>
      <c r="I2406" s="3"/>
    </row>
    <row r="2407" spans="1:9" s="5" customFormat="1" x14ac:dyDescent="0.35">
      <c r="A2407" s="3" t="s">
        <v>907</v>
      </c>
      <c r="B2407" s="3" t="s">
        <v>1010</v>
      </c>
      <c r="C2407" s="3" t="s">
        <v>45</v>
      </c>
      <c r="D2407" s="3" t="s">
        <v>1027</v>
      </c>
      <c r="E2407" s="3" t="s">
        <v>226</v>
      </c>
      <c r="F2407" s="3"/>
      <c r="G2407" s="3"/>
      <c r="H2407" s="3"/>
      <c r="I2407" s="3"/>
    </row>
    <row r="2408" spans="1:9" s="5" customFormat="1" x14ac:dyDescent="0.35">
      <c r="A2408" s="3" t="s">
        <v>907</v>
      </c>
      <c r="B2408" s="3" t="s">
        <v>1010</v>
      </c>
      <c r="C2408" s="3" t="s">
        <v>45</v>
      </c>
      <c r="D2408" s="3" t="s">
        <v>1027</v>
      </c>
      <c r="E2408" s="3" t="s">
        <v>227</v>
      </c>
      <c r="F2408" s="3"/>
      <c r="G2408" s="3"/>
      <c r="H2408" s="3"/>
      <c r="I2408" s="3"/>
    </row>
    <row r="2409" spans="1:9" s="5" customFormat="1" x14ac:dyDescent="0.35">
      <c r="A2409" s="3" t="s">
        <v>907</v>
      </c>
      <c r="B2409" s="3" t="s">
        <v>1010</v>
      </c>
      <c r="C2409" s="3" t="s">
        <v>45</v>
      </c>
      <c r="D2409" s="3" t="s">
        <v>1027</v>
      </c>
      <c r="E2409" s="3" t="s">
        <v>228</v>
      </c>
      <c r="F2409" s="3"/>
      <c r="G2409" s="3"/>
      <c r="H2409" s="3"/>
      <c r="I2409" s="3"/>
    </row>
    <row r="2410" spans="1:9" s="5" customFormat="1" x14ac:dyDescent="0.35">
      <c r="A2410" s="3" t="s">
        <v>907</v>
      </c>
      <c r="B2410" s="3" t="s">
        <v>1010</v>
      </c>
      <c r="C2410" s="3" t="s">
        <v>45</v>
      </c>
      <c r="D2410" s="3" t="s">
        <v>1027</v>
      </c>
      <c r="E2410" s="3" t="s">
        <v>229</v>
      </c>
      <c r="F2410" s="3"/>
      <c r="G2410" s="3"/>
      <c r="H2410" s="3"/>
      <c r="I2410" s="3"/>
    </row>
    <row r="2411" spans="1:9" s="5" customFormat="1" x14ac:dyDescent="0.35">
      <c r="A2411" s="3" t="s">
        <v>907</v>
      </c>
      <c r="B2411" s="3" t="s">
        <v>1010</v>
      </c>
      <c r="C2411" s="3" t="s">
        <v>45</v>
      </c>
      <c r="D2411" s="3" t="s">
        <v>1027</v>
      </c>
      <c r="E2411" s="3" t="s">
        <v>230</v>
      </c>
      <c r="F2411" s="3"/>
      <c r="G2411" s="3"/>
      <c r="H2411" s="3"/>
      <c r="I2411" s="3"/>
    </row>
    <row r="2412" spans="1:9" s="5" customFormat="1" x14ac:dyDescent="0.35">
      <c r="A2412" s="3" t="s">
        <v>907</v>
      </c>
      <c r="B2412" s="3" t="s">
        <v>1010</v>
      </c>
      <c r="C2412" s="3" t="s">
        <v>45</v>
      </c>
      <c r="D2412" s="3" t="s">
        <v>1027</v>
      </c>
      <c r="E2412" s="3" t="s">
        <v>219</v>
      </c>
      <c r="F2412" s="3"/>
      <c r="G2412" s="3"/>
      <c r="H2412" s="3"/>
      <c r="I2412" s="3"/>
    </row>
    <row r="2413" spans="1:9" s="5" customFormat="1" x14ac:dyDescent="0.35">
      <c r="A2413" s="3" t="s">
        <v>907</v>
      </c>
      <c r="B2413" s="3" t="s">
        <v>1010</v>
      </c>
      <c r="C2413" s="3" t="s">
        <v>45</v>
      </c>
      <c r="D2413" s="3" t="s">
        <v>1027</v>
      </c>
      <c r="E2413" s="3" t="s">
        <v>372</v>
      </c>
      <c r="F2413" s="3"/>
      <c r="G2413" s="3"/>
      <c r="H2413" s="3"/>
      <c r="I2413" s="3"/>
    </row>
    <row r="2414" spans="1:9" s="5" customFormat="1" x14ac:dyDescent="0.35">
      <c r="A2414" s="3" t="s">
        <v>907</v>
      </c>
      <c r="B2414" s="3" t="s">
        <v>1010</v>
      </c>
      <c r="C2414" s="3" t="s">
        <v>45</v>
      </c>
      <c r="D2414" s="3" t="s">
        <v>1027</v>
      </c>
      <c r="E2414" s="3" t="s">
        <v>218</v>
      </c>
      <c r="F2414" s="3"/>
      <c r="G2414" s="3"/>
      <c r="H2414" s="3"/>
      <c r="I2414" s="3"/>
    </row>
    <row r="2415" spans="1:9" s="5" customFormat="1" x14ac:dyDescent="0.35">
      <c r="A2415" s="3" t="s">
        <v>907</v>
      </c>
      <c r="B2415" s="3" t="s">
        <v>1010</v>
      </c>
      <c r="C2415" s="3" t="s">
        <v>45</v>
      </c>
      <c r="D2415" s="3" t="s">
        <v>1027</v>
      </c>
      <c r="E2415" s="3" t="s">
        <v>224</v>
      </c>
      <c r="F2415" s="3"/>
      <c r="G2415" s="3"/>
      <c r="H2415" s="3"/>
      <c r="I2415" s="3"/>
    </row>
    <row r="2416" spans="1:9" s="5" customFormat="1" x14ac:dyDescent="0.35">
      <c r="A2416" s="3" t="s">
        <v>907</v>
      </c>
      <c r="B2416" s="3" t="s">
        <v>1010</v>
      </c>
      <c r="C2416" s="3" t="s">
        <v>45</v>
      </c>
      <c r="D2416" s="3" t="s">
        <v>1028</v>
      </c>
      <c r="E2416" s="3" t="s">
        <v>166</v>
      </c>
      <c r="F2416" s="3" t="s">
        <v>33</v>
      </c>
      <c r="G2416" s="3" t="s">
        <v>2835</v>
      </c>
      <c r="H2416" s="3"/>
      <c r="I2416" s="3"/>
    </row>
    <row r="2417" spans="1:9" s="5" customFormat="1" x14ac:dyDescent="0.35">
      <c r="A2417" s="3" t="s">
        <v>907</v>
      </c>
      <c r="B2417" s="3" t="s">
        <v>1010</v>
      </c>
      <c r="C2417" s="3" t="s">
        <v>45</v>
      </c>
      <c r="D2417" s="3" t="s">
        <v>1028</v>
      </c>
      <c r="E2417" s="3" t="s">
        <v>220</v>
      </c>
      <c r="F2417" s="3" t="s">
        <v>33</v>
      </c>
      <c r="G2417" s="3" t="s">
        <v>2835</v>
      </c>
      <c r="H2417" s="3"/>
      <c r="I2417" s="3"/>
    </row>
    <row r="2418" spans="1:9" s="5" customFormat="1" x14ac:dyDescent="0.35">
      <c r="A2418" s="3" t="s">
        <v>907</v>
      </c>
      <c r="B2418" s="3" t="s">
        <v>1010</v>
      </c>
      <c r="C2418" s="3" t="s">
        <v>45</v>
      </c>
      <c r="D2418" s="3" t="s">
        <v>1028</v>
      </c>
      <c r="E2418" s="3" t="s">
        <v>225</v>
      </c>
      <c r="F2418" s="3" t="s">
        <v>33</v>
      </c>
      <c r="G2418" s="3" t="s">
        <v>2835</v>
      </c>
      <c r="H2418" s="3"/>
      <c r="I2418" s="3"/>
    </row>
    <row r="2419" spans="1:9" s="5" customFormat="1" x14ac:dyDescent="0.35">
      <c r="A2419" s="3" t="s">
        <v>907</v>
      </c>
      <c r="B2419" s="3" t="s">
        <v>1010</v>
      </c>
      <c r="C2419" s="3" t="s">
        <v>45</v>
      </c>
      <c r="D2419" s="3" t="s">
        <v>1028</v>
      </c>
      <c r="E2419" s="3" t="s">
        <v>221</v>
      </c>
      <c r="F2419" s="3" t="s">
        <v>33</v>
      </c>
      <c r="G2419" s="3" t="s">
        <v>2835</v>
      </c>
      <c r="H2419" s="3"/>
      <c r="I2419" s="3"/>
    </row>
    <row r="2420" spans="1:9" s="5" customFormat="1" x14ac:dyDescent="0.35">
      <c r="A2420" s="3" t="s">
        <v>907</v>
      </c>
      <c r="B2420" s="3" t="s">
        <v>1010</v>
      </c>
      <c r="C2420" s="3" t="s">
        <v>45</v>
      </c>
      <c r="D2420" s="3" t="s">
        <v>1028</v>
      </c>
      <c r="E2420" s="3" t="s">
        <v>222</v>
      </c>
      <c r="F2420" s="3" t="s">
        <v>33</v>
      </c>
      <c r="G2420" s="3" t="s">
        <v>2835</v>
      </c>
      <c r="H2420" s="3"/>
      <c r="I2420" s="3"/>
    </row>
    <row r="2421" spans="1:9" s="5" customFormat="1" x14ac:dyDescent="0.35">
      <c r="A2421" s="3" t="s">
        <v>907</v>
      </c>
      <c r="B2421" s="3" t="s">
        <v>1010</v>
      </c>
      <c r="C2421" s="3" t="s">
        <v>45</v>
      </c>
      <c r="D2421" s="3" t="s">
        <v>1028</v>
      </c>
      <c r="E2421" s="3" t="s">
        <v>223</v>
      </c>
      <c r="F2421" s="3" t="s">
        <v>33</v>
      </c>
      <c r="G2421" s="3" t="s">
        <v>2835</v>
      </c>
      <c r="H2421" s="3"/>
      <c r="I2421" s="3"/>
    </row>
    <row r="2422" spans="1:9" s="5" customFormat="1" x14ac:dyDescent="0.35">
      <c r="A2422" s="3" t="s">
        <v>907</v>
      </c>
      <c r="B2422" s="3" t="s">
        <v>1010</v>
      </c>
      <c r="C2422" s="3" t="s">
        <v>45</v>
      </c>
      <c r="D2422" s="3" t="s">
        <v>1028</v>
      </c>
      <c r="E2422" s="3" t="s">
        <v>226</v>
      </c>
      <c r="F2422" s="3" t="s">
        <v>33</v>
      </c>
      <c r="G2422" s="3" t="s">
        <v>2835</v>
      </c>
      <c r="H2422" s="3"/>
      <c r="I2422" s="3"/>
    </row>
    <row r="2423" spans="1:9" s="5" customFormat="1" x14ac:dyDescent="0.35">
      <c r="A2423" s="3" t="s">
        <v>907</v>
      </c>
      <c r="B2423" s="3" t="s">
        <v>1010</v>
      </c>
      <c r="C2423" s="3" t="s">
        <v>45</v>
      </c>
      <c r="D2423" s="3" t="s">
        <v>1028</v>
      </c>
      <c r="E2423" s="3" t="s">
        <v>227</v>
      </c>
      <c r="F2423" s="3" t="s">
        <v>33</v>
      </c>
      <c r="G2423" s="3" t="s">
        <v>2835</v>
      </c>
      <c r="H2423" s="3"/>
      <c r="I2423" s="3"/>
    </row>
    <row r="2424" spans="1:9" s="5" customFormat="1" x14ac:dyDescent="0.35">
      <c r="A2424" s="3" t="s">
        <v>907</v>
      </c>
      <c r="B2424" s="3" t="s">
        <v>1010</v>
      </c>
      <c r="C2424" s="3" t="s">
        <v>45</v>
      </c>
      <c r="D2424" s="3" t="s">
        <v>1028</v>
      </c>
      <c r="E2424" s="3" t="s">
        <v>228</v>
      </c>
      <c r="F2424" s="3" t="s">
        <v>33</v>
      </c>
      <c r="G2424" s="3" t="s">
        <v>2835</v>
      </c>
      <c r="H2424" s="3"/>
      <c r="I2424" s="3"/>
    </row>
    <row r="2425" spans="1:9" s="5" customFormat="1" x14ac:dyDescent="0.35">
      <c r="A2425" s="3" t="s">
        <v>907</v>
      </c>
      <c r="B2425" s="3" t="s">
        <v>1010</v>
      </c>
      <c r="C2425" s="3" t="s">
        <v>45</v>
      </c>
      <c r="D2425" s="3" t="s">
        <v>1028</v>
      </c>
      <c r="E2425" s="3" t="s">
        <v>229</v>
      </c>
      <c r="F2425" s="3" t="s">
        <v>33</v>
      </c>
      <c r="G2425" s="3" t="s">
        <v>2835</v>
      </c>
      <c r="H2425" s="3"/>
      <c r="I2425" s="3"/>
    </row>
    <row r="2426" spans="1:9" s="5" customFormat="1" x14ac:dyDescent="0.35">
      <c r="A2426" s="3" t="s">
        <v>907</v>
      </c>
      <c r="B2426" s="3" t="s">
        <v>1010</v>
      </c>
      <c r="C2426" s="3" t="s">
        <v>45</v>
      </c>
      <c r="D2426" s="3" t="s">
        <v>1028</v>
      </c>
      <c r="E2426" s="3" t="s">
        <v>230</v>
      </c>
      <c r="F2426" s="3" t="s">
        <v>33</v>
      </c>
      <c r="G2426" s="3" t="s">
        <v>2835</v>
      </c>
      <c r="H2426" s="3"/>
      <c r="I2426" s="3"/>
    </row>
    <row r="2427" spans="1:9" s="5" customFormat="1" x14ac:dyDescent="0.35">
      <c r="A2427" s="3" t="s">
        <v>907</v>
      </c>
      <c r="B2427" s="3" t="s">
        <v>1010</v>
      </c>
      <c r="C2427" s="3" t="s">
        <v>45</v>
      </c>
      <c r="D2427" s="3" t="s">
        <v>1028</v>
      </c>
      <c r="E2427" s="3" t="s">
        <v>372</v>
      </c>
      <c r="F2427" s="3" t="s">
        <v>33</v>
      </c>
      <c r="G2427" s="3" t="s">
        <v>2835</v>
      </c>
      <c r="H2427" s="3"/>
      <c r="I2427" s="3"/>
    </row>
    <row r="2428" spans="1:9" s="5" customFormat="1" x14ac:dyDescent="0.35">
      <c r="A2428" s="3" t="s">
        <v>907</v>
      </c>
      <c r="B2428" s="3" t="s">
        <v>1010</v>
      </c>
      <c r="C2428" s="3" t="s">
        <v>45</v>
      </c>
      <c r="D2428" s="3" t="s">
        <v>1028</v>
      </c>
      <c r="E2428" s="3" t="s">
        <v>218</v>
      </c>
      <c r="F2428" s="3" t="s">
        <v>33</v>
      </c>
      <c r="G2428" s="3" t="s">
        <v>2835</v>
      </c>
      <c r="H2428" s="3"/>
      <c r="I2428" s="3"/>
    </row>
    <row r="2429" spans="1:9" s="5" customFormat="1" x14ac:dyDescent="0.35">
      <c r="A2429" s="3" t="s">
        <v>907</v>
      </c>
      <c r="B2429" s="3" t="s">
        <v>1010</v>
      </c>
      <c r="C2429" s="3" t="s">
        <v>45</v>
      </c>
      <c r="D2429" s="3" t="s">
        <v>1028</v>
      </c>
      <c r="E2429" s="3" t="s">
        <v>224</v>
      </c>
      <c r="F2429" s="3" t="s">
        <v>33</v>
      </c>
      <c r="G2429" s="3" t="s">
        <v>2835</v>
      </c>
      <c r="H2429" s="3"/>
      <c r="I2429" s="3"/>
    </row>
    <row r="2430" spans="1:9" s="5" customFormat="1" x14ac:dyDescent="0.35">
      <c r="A2430" s="3" t="s">
        <v>907</v>
      </c>
      <c r="B2430" s="3" t="s">
        <v>1010</v>
      </c>
      <c r="C2430" s="3" t="s">
        <v>45</v>
      </c>
      <c r="D2430" s="3" t="s">
        <v>1029</v>
      </c>
      <c r="E2430" s="3" t="s">
        <v>166</v>
      </c>
      <c r="F2430" s="3"/>
      <c r="G2430" s="3"/>
      <c r="H2430" s="3"/>
      <c r="I2430" s="3"/>
    </row>
    <row r="2431" spans="1:9" s="5" customFormat="1" x14ac:dyDescent="0.35">
      <c r="A2431" s="3" t="s">
        <v>907</v>
      </c>
      <c r="B2431" s="3" t="s">
        <v>1010</v>
      </c>
      <c r="C2431" s="3" t="s">
        <v>45</v>
      </c>
      <c r="D2431" s="3" t="s">
        <v>1029</v>
      </c>
      <c r="E2431" s="3" t="s">
        <v>220</v>
      </c>
      <c r="F2431" s="3"/>
      <c r="G2431" s="3"/>
      <c r="H2431" s="3"/>
      <c r="I2431" s="3"/>
    </row>
    <row r="2432" spans="1:9" s="5" customFormat="1" x14ac:dyDescent="0.35">
      <c r="A2432" s="3" t="s">
        <v>907</v>
      </c>
      <c r="B2432" s="3" t="s">
        <v>1010</v>
      </c>
      <c r="C2432" s="3" t="s">
        <v>45</v>
      </c>
      <c r="D2432" s="3" t="s">
        <v>1029</v>
      </c>
      <c r="E2432" s="3" t="s">
        <v>225</v>
      </c>
      <c r="F2432" s="3"/>
      <c r="G2432" s="3"/>
      <c r="H2432" s="3"/>
      <c r="I2432" s="3"/>
    </row>
    <row r="2433" spans="1:9" s="5" customFormat="1" x14ac:dyDescent="0.35">
      <c r="A2433" s="3" t="s">
        <v>907</v>
      </c>
      <c r="B2433" s="3" t="s">
        <v>1010</v>
      </c>
      <c r="C2433" s="3" t="s">
        <v>45</v>
      </c>
      <c r="D2433" s="3" t="s">
        <v>1029</v>
      </c>
      <c r="E2433" s="3" t="s">
        <v>221</v>
      </c>
      <c r="F2433" s="3"/>
      <c r="G2433" s="3"/>
      <c r="H2433" s="3"/>
      <c r="I2433" s="3"/>
    </row>
    <row r="2434" spans="1:9" s="5" customFormat="1" x14ac:dyDescent="0.35">
      <c r="A2434" s="3" t="s">
        <v>907</v>
      </c>
      <c r="B2434" s="3" t="s">
        <v>1010</v>
      </c>
      <c r="C2434" s="3" t="s">
        <v>45</v>
      </c>
      <c r="D2434" s="3" t="s">
        <v>1029</v>
      </c>
      <c r="E2434" s="3" t="s">
        <v>222</v>
      </c>
      <c r="F2434" s="3"/>
      <c r="G2434" s="3"/>
      <c r="H2434" s="3"/>
      <c r="I2434" s="3"/>
    </row>
    <row r="2435" spans="1:9" s="5" customFormat="1" x14ac:dyDescent="0.35">
      <c r="A2435" s="3" t="s">
        <v>907</v>
      </c>
      <c r="B2435" s="3" t="s">
        <v>1010</v>
      </c>
      <c r="C2435" s="3" t="s">
        <v>45</v>
      </c>
      <c r="D2435" s="3" t="s">
        <v>1029</v>
      </c>
      <c r="E2435" s="3" t="s">
        <v>223</v>
      </c>
      <c r="F2435" s="3"/>
      <c r="G2435" s="3"/>
      <c r="H2435" s="3"/>
      <c r="I2435" s="3"/>
    </row>
    <row r="2436" spans="1:9" s="5" customFormat="1" x14ac:dyDescent="0.35">
      <c r="A2436" s="3" t="s">
        <v>907</v>
      </c>
      <c r="B2436" s="3" t="s">
        <v>1010</v>
      </c>
      <c r="C2436" s="3" t="s">
        <v>45</v>
      </c>
      <c r="D2436" s="3" t="s">
        <v>1029</v>
      </c>
      <c r="E2436" s="3" t="s">
        <v>226</v>
      </c>
      <c r="F2436" s="3"/>
      <c r="G2436" s="3"/>
      <c r="H2436" s="3"/>
      <c r="I2436" s="3"/>
    </row>
    <row r="2437" spans="1:9" s="5" customFormat="1" x14ac:dyDescent="0.35">
      <c r="A2437" s="3" t="s">
        <v>907</v>
      </c>
      <c r="B2437" s="3" t="s">
        <v>1010</v>
      </c>
      <c r="C2437" s="3" t="s">
        <v>45</v>
      </c>
      <c r="D2437" s="3" t="s">
        <v>1029</v>
      </c>
      <c r="E2437" s="3" t="s">
        <v>227</v>
      </c>
      <c r="F2437" s="3"/>
      <c r="G2437" s="3"/>
      <c r="H2437" s="3"/>
      <c r="I2437" s="3"/>
    </row>
    <row r="2438" spans="1:9" s="5" customFormat="1" x14ac:dyDescent="0.35">
      <c r="A2438" s="3" t="s">
        <v>907</v>
      </c>
      <c r="B2438" s="3" t="s">
        <v>1010</v>
      </c>
      <c r="C2438" s="3" t="s">
        <v>45</v>
      </c>
      <c r="D2438" s="3" t="s">
        <v>1029</v>
      </c>
      <c r="E2438" s="3" t="s">
        <v>228</v>
      </c>
      <c r="F2438" s="3"/>
      <c r="G2438" s="3"/>
      <c r="H2438" s="3"/>
      <c r="I2438" s="3"/>
    </row>
    <row r="2439" spans="1:9" s="5" customFormat="1" x14ac:dyDescent="0.35">
      <c r="A2439" s="3" t="s">
        <v>907</v>
      </c>
      <c r="B2439" s="3" t="s">
        <v>1010</v>
      </c>
      <c r="C2439" s="3" t="s">
        <v>45</v>
      </c>
      <c r="D2439" s="3" t="s">
        <v>1029</v>
      </c>
      <c r="E2439" s="3" t="s">
        <v>229</v>
      </c>
      <c r="F2439" s="3"/>
      <c r="G2439" s="3"/>
      <c r="H2439" s="3"/>
      <c r="I2439" s="3"/>
    </row>
    <row r="2440" spans="1:9" s="5" customFormat="1" x14ac:dyDescent="0.35">
      <c r="A2440" s="3" t="s">
        <v>907</v>
      </c>
      <c r="B2440" s="3" t="s">
        <v>1010</v>
      </c>
      <c r="C2440" s="3" t="s">
        <v>45</v>
      </c>
      <c r="D2440" s="3" t="s">
        <v>1029</v>
      </c>
      <c r="E2440" s="3" t="s">
        <v>230</v>
      </c>
      <c r="F2440" s="3"/>
      <c r="G2440" s="3"/>
      <c r="H2440" s="3"/>
      <c r="I2440" s="3"/>
    </row>
    <row r="2441" spans="1:9" s="5" customFormat="1" x14ac:dyDescent="0.35">
      <c r="A2441" s="3" t="s">
        <v>907</v>
      </c>
      <c r="B2441" s="3" t="s">
        <v>1010</v>
      </c>
      <c r="C2441" s="3" t="s">
        <v>45</v>
      </c>
      <c r="D2441" s="3" t="s">
        <v>1029</v>
      </c>
      <c r="E2441" s="3" t="s">
        <v>219</v>
      </c>
      <c r="F2441" s="3"/>
      <c r="G2441" s="3"/>
      <c r="H2441" s="3"/>
      <c r="I2441" s="3"/>
    </row>
    <row r="2442" spans="1:9" s="5" customFormat="1" x14ac:dyDescent="0.35">
      <c r="A2442" s="3" t="s">
        <v>907</v>
      </c>
      <c r="B2442" s="3" t="s">
        <v>1010</v>
      </c>
      <c r="C2442" s="3" t="s">
        <v>45</v>
      </c>
      <c r="D2442" s="3" t="s">
        <v>1029</v>
      </c>
      <c r="E2442" s="3" t="s">
        <v>218</v>
      </c>
      <c r="F2442" s="3"/>
      <c r="G2442" s="3"/>
      <c r="H2442" s="3"/>
      <c r="I2442" s="3"/>
    </row>
    <row r="2443" spans="1:9" s="5" customFormat="1" x14ac:dyDescent="0.35">
      <c r="A2443" s="3" t="s">
        <v>907</v>
      </c>
      <c r="B2443" s="3" t="s">
        <v>1010</v>
      </c>
      <c r="C2443" s="3" t="s">
        <v>45</v>
      </c>
      <c r="D2443" s="3" t="s">
        <v>1029</v>
      </c>
      <c r="E2443" s="3" t="s">
        <v>224</v>
      </c>
      <c r="F2443" s="3"/>
      <c r="G2443" s="3"/>
      <c r="H2443" s="3"/>
      <c r="I2443" s="3"/>
    </row>
    <row r="2444" spans="1:9" s="5" customFormat="1" x14ac:dyDescent="0.35">
      <c r="A2444" s="3" t="s">
        <v>907</v>
      </c>
      <c r="B2444" s="3" t="s">
        <v>1010</v>
      </c>
      <c r="C2444" s="3" t="s">
        <v>10</v>
      </c>
      <c r="D2444" s="3" t="s">
        <v>1030</v>
      </c>
      <c r="E2444" s="3" t="s">
        <v>71</v>
      </c>
      <c r="F2444" s="3"/>
      <c r="G2444" s="3"/>
      <c r="H2444" s="3"/>
      <c r="I2444" s="3"/>
    </row>
    <row r="2445" spans="1:9" s="5" customFormat="1" x14ac:dyDescent="0.35">
      <c r="A2445" s="3" t="s">
        <v>907</v>
      </c>
      <c r="B2445" s="3" t="s">
        <v>1010</v>
      </c>
      <c r="C2445" s="3" t="s">
        <v>10</v>
      </c>
      <c r="D2445" s="3" t="s">
        <v>1030</v>
      </c>
      <c r="E2445" s="3" t="s">
        <v>56</v>
      </c>
      <c r="F2445" s="3" t="s">
        <v>16</v>
      </c>
      <c r="G2445" s="3" t="s">
        <v>1031</v>
      </c>
      <c r="H2445" s="3"/>
      <c r="I2445" s="3"/>
    </row>
    <row r="2446" spans="1:9" s="5" customFormat="1" x14ac:dyDescent="0.35">
      <c r="A2446" s="3" t="s">
        <v>907</v>
      </c>
      <c r="B2446" s="3" t="s">
        <v>1010</v>
      </c>
      <c r="C2446" s="3" t="s">
        <v>45</v>
      </c>
      <c r="D2446" s="3" t="s">
        <v>1032</v>
      </c>
      <c r="E2446" s="3" t="s">
        <v>166</v>
      </c>
      <c r="F2446" s="3"/>
      <c r="G2446" s="3"/>
      <c r="H2446" s="3"/>
      <c r="I2446" s="3"/>
    </row>
    <row r="2447" spans="1:9" s="5" customFormat="1" x14ac:dyDescent="0.35">
      <c r="A2447" s="3" t="s">
        <v>907</v>
      </c>
      <c r="B2447" s="3" t="s">
        <v>1010</v>
      </c>
      <c r="C2447" s="3" t="s">
        <v>45</v>
      </c>
      <c r="D2447" s="3" t="s">
        <v>1032</v>
      </c>
      <c r="E2447" s="3" t="s">
        <v>220</v>
      </c>
      <c r="F2447" s="3"/>
      <c r="G2447" s="3"/>
      <c r="H2447" s="3"/>
      <c r="I2447" s="3"/>
    </row>
    <row r="2448" spans="1:9" s="5" customFormat="1" x14ac:dyDescent="0.35">
      <c r="A2448" s="3" t="s">
        <v>907</v>
      </c>
      <c r="B2448" s="3" t="s">
        <v>1010</v>
      </c>
      <c r="C2448" s="3" t="s">
        <v>45</v>
      </c>
      <c r="D2448" s="3" t="s">
        <v>1032</v>
      </c>
      <c r="E2448" s="3" t="s">
        <v>225</v>
      </c>
      <c r="F2448" s="3"/>
      <c r="G2448" s="3"/>
      <c r="H2448" s="3"/>
      <c r="I2448" s="3"/>
    </row>
    <row r="2449" spans="1:9" s="5" customFormat="1" x14ac:dyDescent="0.35">
      <c r="A2449" s="3" t="s">
        <v>907</v>
      </c>
      <c r="B2449" s="3" t="s">
        <v>1010</v>
      </c>
      <c r="C2449" s="3" t="s">
        <v>45</v>
      </c>
      <c r="D2449" s="3" t="s">
        <v>1032</v>
      </c>
      <c r="E2449" s="3" t="s">
        <v>221</v>
      </c>
      <c r="F2449" s="3"/>
      <c r="G2449" s="3"/>
      <c r="H2449" s="3"/>
      <c r="I2449" s="3"/>
    </row>
    <row r="2450" spans="1:9" s="5" customFormat="1" x14ac:dyDescent="0.35">
      <c r="A2450" s="3" t="s">
        <v>907</v>
      </c>
      <c r="B2450" s="3" t="s">
        <v>1010</v>
      </c>
      <c r="C2450" s="3" t="s">
        <v>45</v>
      </c>
      <c r="D2450" s="3" t="s">
        <v>1032</v>
      </c>
      <c r="E2450" s="3" t="s">
        <v>222</v>
      </c>
      <c r="F2450" s="3"/>
      <c r="G2450" s="3"/>
      <c r="H2450" s="3"/>
      <c r="I2450" s="3"/>
    </row>
    <row r="2451" spans="1:9" s="5" customFormat="1" x14ac:dyDescent="0.35">
      <c r="A2451" s="3" t="s">
        <v>907</v>
      </c>
      <c r="B2451" s="3" t="s">
        <v>1010</v>
      </c>
      <c r="C2451" s="3" t="s">
        <v>45</v>
      </c>
      <c r="D2451" s="3" t="s">
        <v>1032</v>
      </c>
      <c r="E2451" s="3" t="s">
        <v>223</v>
      </c>
      <c r="F2451" s="3"/>
      <c r="G2451" s="3"/>
      <c r="H2451" s="3"/>
      <c r="I2451" s="3"/>
    </row>
    <row r="2452" spans="1:9" s="5" customFormat="1" x14ac:dyDescent="0.35">
      <c r="A2452" s="3" t="s">
        <v>907</v>
      </c>
      <c r="B2452" s="3" t="s">
        <v>1010</v>
      </c>
      <c r="C2452" s="3" t="s">
        <v>45</v>
      </c>
      <c r="D2452" s="3" t="s">
        <v>1032</v>
      </c>
      <c r="E2452" s="3" t="s">
        <v>226</v>
      </c>
      <c r="F2452" s="3"/>
      <c r="G2452" s="3"/>
      <c r="H2452" s="3"/>
      <c r="I2452" s="3"/>
    </row>
    <row r="2453" spans="1:9" s="5" customFormat="1" x14ac:dyDescent="0.35">
      <c r="A2453" s="3" t="s">
        <v>907</v>
      </c>
      <c r="B2453" s="3" t="s">
        <v>1010</v>
      </c>
      <c r="C2453" s="3" t="s">
        <v>45</v>
      </c>
      <c r="D2453" s="3" t="s">
        <v>1032</v>
      </c>
      <c r="E2453" s="3" t="s">
        <v>227</v>
      </c>
      <c r="F2453" s="3"/>
      <c r="G2453" s="3"/>
      <c r="H2453" s="3"/>
      <c r="I2453" s="3"/>
    </row>
    <row r="2454" spans="1:9" s="5" customFormat="1" x14ac:dyDescent="0.35">
      <c r="A2454" s="3" t="s">
        <v>907</v>
      </c>
      <c r="B2454" s="3" t="s">
        <v>1010</v>
      </c>
      <c r="C2454" s="3" t="s">
        <v>45</v>
      </c>
      <c r="D2454" s="3" t="s">
        <v>1032</v>
      </c>
      <c r="E2454" s="3" t="s">
        <v>228</v>
      </c>
      <c r="F2454" s="3"/>
      <c r="G2454" s="3"/>
      <c r="H2454" s="3"/>
      <c r="I2454" s="3"/>
    </row>
    <row r="2455" spans="1:9" s="5" customFormat="1" x14ac:dyDescent="0.35">
      <c r="A2455" s="3" t="s">
        <v>907</v>
      </c>
      <c r="B2455" s="3" t="s">
        <v>1010</v>
      </c>
      <c r="C2455" s="3" t="s">
        <v>45</v>
      </c>
      <c r="D2455" s="3" t="s">
        <v>1032</v>
      </c>
      <c r="E2455" s="3" t="s">
        <v>229</v>
      </c>
      <c r="F2455" s="3"/>
      <c r="G2455" s="3"/>
      <c r="H2455" s="3"/>
      <c r="I2455" s="3"/>
    </row>
    <row r="2456" spans="1:9" s="5" customFormat="1" x14ac:dyDescent="0.35">
      <c r="A2456" s="3" t="s">
        <v>907</v>
      </c>
      <c r="B2456" s="3" t="s">
        <v>1010</v>
      </c>
      <c r="C2456" s="3" t="s">
        <v>45</v>
      </c>
      <c r="D2456" s="3" t="s">
        <v>1032</v>
      </c>
      <c r="E2456" s="3" t="s">
        <v>230</v>
      </c>
      <c r="F2456" s="3"/>
      <c r="G2456" s="3"/>
      <c r="H2456" s="3"/>
      <c r="I2456" s="3"/>
    </row>
    <row r="2457" spans="1:9" s="5" customFormat="1" x14ac:dyDescent="0.35">
      <c r="A2457" s="3" t="s">
        <v>907</v>
      </c>
      <c r="B2457" s="3" t="s">
        <v>1010</v>
      </c>
      <c r="C2457" s="3" t="s">
        <v>45</v>
      </c>
      <c r="D2457" s="3" t="s">
        <v>1032</v>
      </c>
      <c r="E2457" s="3" t="s">
        <v>219</v>
      </c>
      <c r="F2457" s="3"/>
      <c r="G2457" s="3"/>
      <c r="H2457" s="3"/>
      <c r="I2457" s="3"/>
    </row>
    <row r="2458" spans="1:9" s="5" customFormat="1" x14ac:dyDescent="0.35">
      <c r="A2458" s="3" t="s">
        <v>907</v>
      </c>
      <c r="B2458" s="3" t="s">
        <v>1010</v>
      </c>
      <c r="C2458" s="3" t="s">
        <v>45</v>
      </c>
      <c r="D2458" s="3" t="s">
        <v>1032</v>
      </c>
      <c r="E2458" s="3" t="s">
        <v>372</v>
      </c>
      <c r="F2458" s="3"/>
      <c r="G2458" s="3"/>
      <c r="H2458" s="3"/>
      <c r="I2458" s="3"/>
    </row>
    <row r="2459" spans="1:9" s="5" customFormat="1" x14ac:dyDescent="0.35">
      <c r="A2459" s="3" t="s">
        <v>907</v>
      </c>
      <c r="B2459" s="3" t="s">
        <v>1010</v>
      </c>
      <c r="C2459" s="3" t="s">
        <v>45</v>
      </c>
      <c r="D2459" s="3" t="s">
        <v>1032</v>
      </c>
      <c r="E2459" s="3" t="s">
        <v>218</v>
      </c>
      <c r="F2459" s="3"/>
      <c r="G2459" s="3"/>
      <c r="H2459" s="3"/>
      <c r="I2459" s="3"/>
    </row>
    <row r="2460" spans="1:9" s="5" customFormat="1" x14ac:dyDescent="0.35">
      <c r="A2460" s="3" t="s">
        <v>907</v>
      </c>
      <c r="B2460" s="3" t="s">
        <v>1010</v>
      </c>
      <c r="C2460" s="3" t="s">
        <v>45</v>
      </c>
      <c r="D2460" s="3" t="s">
        <v>1032</v>
      </c>
      <c r="E2460" s="3" t="s">
        <v>224</v>
      </c>
      <c r="F2460" s="3"/>
      <c r="G2460" s="3"/>
      <c r="H2460" s="3"/>
      <c r="I2460" s="3"/>
    </row>
    <row r="2461" spans="1:9" s="5" customFormat="1" x14ac:dyDescent="0.35">
      <c r="A2461" s="3" t="s">
        <v>907</v>
      </c>
      <c r="B2461" s="3" t="s">
        <v>1010</v>
      </c>
      <c r="C2461" s="3" t="s">
        <v>45</v>
      </c>
      <c r="D2461" s="3" t="s">
        <v>1033</v>
      </c>
      <c r="E2461" s="3" t="s">
        <v>166</v>
      </c>
      <c r="F2461" s="3"/>
      <c r="G2461" s="3"/>
      <c r="H2461" s="3"/>
      <c r="I2461" s="3"/>
    </row>
    <row r="2462" spans="1:9" s="5" customFormat="1" x14ac:dyDescent="0.35">
      <c r="A2462" s="3" t="s">
        <v>907</v>
      </c>
      <c r="B2462" s="3" t="s">
        <v>1010</v>
      </c>
      <c r="C2462" s="3" t="s">
        <v>45</v>
      </c>
      <c r="D2462" s="3" t="s">
        <v>1033</v>
      </c>
      <c r="E2462" s="3" t="s">
        <v>60</v>
      </c>
      <c r="F2462" s="3"/>
      <c r="G2462" s="3"/>
      <c r="H2462" s="3"/>
      <c r="I2462" s="3"/>
    </row>
    <row r="2463" spans="1:9" s="5" customFormat="1" x14ac:dyDescent="0.35">
      <c r="A2463" s="3" t="s">
        <v>907</v>
      </c>
      <c r="B2463" s="3" t="s">
        <v>1010</v>
      </c>
      <c r="C2463" s="3" t="s">
        <v>45</v>
      </c>
      <c r="D2463" s="3" t="s">
        <v>1033</v>
      </c>
      <c r="E2463" s="3" t="s">
        <v>1016</v>
      </c>
      <c r="F2463" s="3"/>
      <c r="G2463" s="3"/>
      <c r="H2463" s="3"/>
      <c r="I2463" s="3"/>
    </row>
    <row r="2464" spans="1:9" s="5" customFormat="1" x14ac:dyDescent="0.35">
      <c r="A2464" s="3" t="s">
        <v>907</v>
      </c>
      <c r="B2464" s="3" t="s">
        <v>1010</v>
      </c>
      <c r="C2464" s="3" t="s">
        <v>45</v>
      </c>
      <c r="D2464" s="3" t="s">
        <v>1033</v>
      </c>
      <c r="E2464" s="3" t="s">
        <v>225</v>
      </c>
      <c r="F2464" s="3"/>
      <c r="G2464" s="3"/>
      <c r="H2464" s="3"/>
      <c r="I2464" s="3"/>
    </row>
    <row r="2465" spans="1:9" s="5" customFormat="1" x14ac:dyDescent="0.35">
      <c r="A2465" s="3" t="s">
        <v>907</v>
      </c>
      <c r="B2465" s="3" t="s">
        <v>1010</v>
      </c>
      <c r="C2465" s="3" t="s">
        <v>45</v>
      </c>
      <c r="D2465" s="3" t="s">
        <v>1033</v>
      </c>
      <c r="E2465" s="3" t="s">
        <v>221</v>
      </c>
      <c r="F2465" s="3"/>
      <c r="G2465" s="3"/>
      <c r="H2465" s="3"/>
      <c r="I2465" s="3"/>
    </row>
    <row r="2466" spans="1:9" s="5" customFormat="1" x14ac:dyDescent="0.35">
      <c r="A2466" s="3" t="s">
        <v>907</v>
      </c>
      <c r="B2466" s="3" t="s">
        <v>1010</v>
      </c>
      <c r="C2466" s="3" t="s">
        <v>45</v>
      </c>
      <c r="D2466" s="3" t="s">
        <v>1033</v>
      </c>
      <c r="E2466" s="3" t="s">
        <v>222</v>
      </c>
      <c r="F2466" s="3"/>
      <c r="G2466" s="3"/>
      <c r="H2466" s="3"/>
      <c r="I2466" s="3"/>
    </row>
    <row r="2467" spans="1:9" s="5" customFormat="1" x14ac:dyDescent="0.35">
      <c r="A2467" s="3" t="s">
        <v>907</v>
      </c>
      <c r="B2467" s="3" t="s">
        <v>1010</v>
      </c>
      <c r="C2467" s="3" t="s">
        <v>45</v>
      </c>
      <c r="D2467" s="3" t="s">
        <v>1033</v>
      </c>
      <c r="E2467" s="3" t="s">
        <v>223</v>
      </c>
      <c r="F2467" s="3"/>
      <c r="G2467" s="3"/>
      <c r="H2467" s="3"/>
      <c r="I2467" s="3"/>
    </row>
    <row r="2468" spans="1:9" s="5" customFormat="1" x14ac:dyDescent="0.35">
      <c r="A2468" s="3" t="s">
        <v>907</v>
      </c>
      <c r="B2468" s="3" t="s">
        <v>1010</v>
      </c>
      <c r="C2468" s="3" t="s">
        <v>45</v>
      </c>
      <c r="D2468" s="3" t="s">
        <v>1033</v>
      </c>
      <c r="E2468" s="3" t="s">
        <v>226</v>
      </c>
      <c r="F2468" s="3"/>
      <c r="G2468" s="3"/>
      <c r="H2468" s="3"/>
      <c r="I2468" s="3"/>
    </row>
    <row r="2469" spans="1:9" s="5" customFormat="1" x14ac:dyDescent="0.35">
      <c r="A2469" s="3" t="s">
        <v>907</v>
      </c>
      <c r="B2469" s="3" t="s">
        <v>1010</v>
      </c>
      <c r="C2469" s="3" t="s">
        <v>45</v>
      </c>
      <c r="D2469" s="3" t="s">
        <v>1033</v>
      </c>
      <c r="E2469" s="3" t="s">
        <v>227</v>
      </c>
      <c r="F2469" s="3"/>
      <c r="G2469" s="3"/>
      <c r="H2469" s="3"/>
      <c r="I2469" s="3"/>
    </row>
    <row r="2470" spans="1:9" s="5" customFormat="1" x14ac:dyDescent="0.35">
      <c r="A2470" s="3" t="s">
        <v>907</v>
      </c>
      <c r="B2470" s="3" t="s">
        <v>1010</v>
      </c>
      <c r="C2470" s="3" t="s">
        <v>45</v>
      </c>
      <c r="D2470" s="3" t="s">
        <v>1033</v>
      </c>
      <c r="E2470" s="3" t="s">
        <v>228</v>
      </c>
      <c r="F2470" s="3"/>
      <c r="G2470" s="3"/>
      <c r="H2470" s="3"/>
      <c r="I2470" s="3"/>
    </row>
    <row r="2471" spans="1:9" s="5" customFormat="1" x14ac:dyDescent="0.35">
      <c r="A2471" s="3" t="s">
        <v>907</v>
      </c>
      <c r="B2471" s="3" t="s">
        <v>1010</v>
      </c>
      <c r="C2471" s="3" t="s">
        <v>45</v>
      </c>
      <c r="D2471" s="3" t="s">
        <v>1033</v>
      </c>
      <c r="E2471" s="3" t="s">
        <v>229</v>
      </c>
      <c r="F2471" s="3"/>
      <c r="G2471" s="3"/>
      <c r="H2471" s="3"/>
      <c r="I2471" s="3"/>
    </row>
    <row r="2472" spans="1:9" s="5" customFormat="1" x14ac:dyDescent="0.35">
      <c r="A2472" s="3" t="s">
        <v>907</v>
      </c>
      <c r="B2472" s="3" t="s">
        <v>1010</v>
      </c>
      <c r="C2472" s="3" t="s">
        <v>45</v>
      </c>
      <c r="D2472" s="3" t="s">
        <v>1033</v>
      </c>
      <c r="E2472" s="3" t="s">
        <v>230</v>
      </c>
      <c r="F2472" s="3"/>
      <c r="G2472" s="3"/>
      <c r="H2472" s="3"/>
      <c r="I2472" s="3"/>
    </row>
    <row r="2473" spans="1:9" s="5" customFormat="1" x14ac:dyDescent="0.35">
      <c r="A2473" s="3" t="s">
        <v>907</v>
      </c>
      <c r="B2473" s="3" t="s">
        <v>1010</v>
      </c>
      <c r="C2473" s="3" t="s">
        <v>45</v>
      </c>
      <c r="D2473" s="3" t="s">
        <v>1033</v>
      </c>
      <c r="E2473" s="3" t="s">
        <v>219</v>
      </c>
      <c r="F2473" s="3"/>
      <c r="G2473" s="3"/>
      <c r="H2473" s="3"/>
      <c r="I2473" s="3"/>
    </row>
    <row r="2474" spans="1:9" s="5" customFormat="1" x14ac:dyDescent="0.35">
      <c r="A2474" s="3" t="s">
        <v>907</v>
      </c>
      <c r="B2474" s="3" t="s">
        <v>1010</v>
      </c>
      <c r="C2474" s="3" t="s">
        <v>45</v>
      </c>
      <c r="D2474" s="3" t="s">
        <v>1033</v>
      </c>
      <c r="E2474" s="3" t="s">
        <v>372</v>
      </c>
      <c r="F2474" s="3"/>
      <c r="G2474" s="3"/>
      <c r="H2474" s="3"/>
      <c r="I2474" s="3"/>
    </row>
    <row r="2475" spans="1:9" s="5" customFormat="1" x14ac:dyDescent="0.35">
      <c r="A2475" s="3" t="s">
        <v>907</v>
      </c>
      <c r="B2475" s="3" t="s">
        <v>1010</v>
      </c>
      <c r="C2475" s="3" t="s">
        <v>45</v>
      </c>
      <c r="D2475" s="3" t="s">
        <v>1033</v>
      </c>
      <c r="E2475" s="3" t="s">
        <v>218</v>
      </c>
      <c r="F2475" s="3"/>
      <c r="G2475" s="3"/>
      <c r="H2475" s="3"/>
      <c r="I2475" s="3"/>
    </row>
    <row r="2476" spans="1:9" s="5" customFormat="1" x14ac:dyDescent="0.35">
      <c r="A2476" s="3" t="s">
        <v>907</v>
      </c>
      <c r="B2476" s="3" t="s">
        <v>1010</v>
      </c>
      <c r="C2476" s="3" t="s">
        <v>45</v>
      </c>
      <c r="D2476" s="3" t="s">
        <v>1033</v>
      </c>
      <c r="E2476" s="3" t="s">
        <v>224</v>
      </c>
      <c r="F2476" s="3"/>
      <c r="G2476" s="3"/>
      <c r="H2476" s="3"/>
      <c r="I2476" s="3"/>
    </row>
    <row r="2477" spans="1:9" s="5" customFormat="1" x14ac:dyDescent="0.35">
      <c r="A2477" s="3" t="s">
        <v>907</v>
      </c>
      <c r="B2477" s="3" t="s">
        <v>1010</v>
      </c>
      <c r="C2477" s="3" t="s">
        <v>45</v>
      </c>
      <c r="D2477" s="3" t="s">
        <v>1034</v>
      </c>
      <c r="E2477" s="3" t="s">
        <v>166</v>
      </c>
      <c r="F2477" s="3"/>
      <c r="G2477" s="3"/>
      <c r="H2477" s="3"/>
      <c r="I2477" s="3"/>
    </row>
    <row r="2478" spans="1:9" s="5" customFormat="1" x14ac:dyDescent="0.35">
      <c r="A2478" s="3" t="s">
        <v>907</v>
      </c>
      <c r="B2478" s="3" t="s">
        <v>1010</v>
      </c>
      <c r="C2478" s="3" t="s">
        <v>45</v>
      </c>
      <c r="D2478" s="3" t="s">
        <v>1034</v>
      </c>
      <c r="E2478" s="3" t="s">
        <v>60</v>
      </c>
      <c r="F2478" s="3"/>
      <c r="G2478" s="3"/>
      <c r="H2478" s="3"/>
      <c r="I2478" s="3"/>
    </row>
    <row r="2479" spans="1:9" s="5" customFormat="1" x14ac:dyDescent="0.35">
      <c r="A2479" s="3" t="s">
        <v>907</v>
      </c>
      <c r="B2479" s="3" t="s">
        <v>1010</v>
      </c>
      <c r="C2479" s="3" t="s">
        <v>45</v>
      </c>
      <c r="D2479" s="3" t="s">
        <v>1034</v>
      </c>
      <c r="E2479" s="3" t="s">
        <v>220</v>
      </c>
      <c r="F2479" s="3"/>
      <c r="G2479" s="3"/>
      <c r="H2479" s="3"/>
      <c r="I2479" s="3"/>
    </row>
    <row r="2480" spans="1:9" s="5" customFormat="1" x14ac:dyDescent="0.35">
      <c r="A2480" s="3" t="s">
        <v>907</v>
      </c>
      <c r="B2480" s="3" t="s">
        <v>1010</v>
      </c>
      <c r="C2480" s="3" t="s">
        <v>45</v>
      </c>
      <c r="D2480" s="3" t="s">
        <v>1034</v>
      </c>
      <c r="E2480" s="3" t="s">
        <v>225</v>
      </c>
      <c r="F2480" s="3"/>
      <c r="G2480" s="3"/>
      <c r="H2480" s="3"/>
      <c r="I2480" s="3"/>
    </row>
    <row r="2481" spans="1:9" s="5" customFormat="1" x14ac:dyDescent="0.35">
      <c r="A2481" s="3" t="s">
        <v>907</v>
      </c>
      <c r="B2481" s="3" t="s">
        <v>1010</v>
      </c>
      <c r="C2481" s="3" t="s">
        <v>45</v>
      </c>
      <c r="D2481" s="3" t="s">
        <v>1034</v>
      </c>
      <c r="E2481" s="3" t="s">
        <v>221</v>
      </c>
      <c r="F2481" s="3"/>
      <c r="G2481" s="3"/>
      <c r="H2481" s="3"/>
      <c r="I2481" s="3"/>
    </row>
    <row r="2482" spans="1:9" s="5" customFormat="1" x14ac:dyDescent="0.35">
      <c r="A2482" s="3" t="s">
        <v>907</v>
      </c>
      <c r="B2482" s="3" t="s">
        <v>1010</v>
      </c>
      <c r="C2482" s="3" t="s">
        <v>45</v>
      </c>
      <c r="D2482" s="3" t="s">
        <v>1034</v>
      </c>
      <c r="E2482" s="3" t="s">
        <v>222</v>
      </c>
      <c r="F2482" s="3"/>
      <c r="G2482" s="3"/>
      <c r="H2482" s="3"/>
      <c r="I2482" s="3"/>
    </row>
    <row r="2483" spans="1:9" s="5" customFormat="1" x14ac:dyDescent="0.35">
      <c r="A2483" s="3" t="s">
        <v>907</v>
      </c>
      <c r="B2483" s="3" t="s">
        <v>1010</v>
      </c>
      <c r="C2483" s="3" t="s">
        <v>45</v>
      </c>
      <c r="D2483" s="3" t="s">
        <v>1034</v>
      </c>
      <c r="E2483" s="3" t="s">
        <v>223</v>
      </c>
      <c r="F2483" s="3"/>
      <c r="G2483" s="3"/>
      <c r="H2483" s="3"/>
      <c r="I2483" s="3"/>
    </row>
    <row r="2484" spans="1:9" s="5" customFormat="1" x14ac:dyDescent="0.35">
      <c r="A2484" s="3" t="s">
        <v>907</v>
      </c>
      <c r="B2484" s="3" t="s">
        <v>1010</v>
      </c>
      <c r="C2484" s="3" t="s">
        <v>45</v>
      </c>
      <c r="D2484" s="3" t="s">
        <v>1034</v>
      </c>
      <c r="E2484" s="3" t="s">
        <v>226</v>
      </c>
      <c r="F2484" s="3"/>
      <c r="G2484" s="3"/>
      <c r="H2484" s="3"/>
      <c r="I2484" s="3"/>
    </row>
    <row r="2485" spans="1:9" s="5" customFormat="1" x14ac:dyDescent="0.35">
      <c r="A2485" s="3" t="s">
        <v>907</v>
      </c>
      <c r="B2485" s="3" t="s">
        <v>1010</v>
      </c>
      <c r="C2485" s="3" t="s">
        <v>45</v>
      </c>
      <c r="D2485" s="3" t="s">
        <v>1034</v>
      </c>
      <c r="E2485" s="3" t="s">
        <v>227</v>
      </c>
      <c r="F2485" s="3"/>
      <c r="G2485" s="3"/>
      <c r="H2485" s="3"/>
      <c r="I2485" s="3"/>
    </row>
    <row r="2486" spans="1:9" s="5" customFormat="1" x14ac:dyDescent="0.35">
      <c r="A2486" s="3" t="s">
        <v>907</v>
      </c>
      <c r="B2486" s="3" t="s">
        <v>1010</v>
      </c>
      <c r="C2486" s="3" t="s">
        <v>45</v>
      </c>
      <c r="D2486" s="3" t="s">
        <v>1034</v>
      </c>
      <c r="E2486" s="3" t="s">
        <v>228</v>
      </c>
      <c r="F2486" s="3"/>
      <c r="G2486" s="3"/>
      <c r="H2486" s="3"/>
      <c r="I2486" s="3"/>
    </row>
    <row r="2487" spans="1:9" s="5" customFormat="1" x14ac:dyDescent="0.35">
      <c r="A2487" s="3" t="s">
        <v>907</v>
      </c>
      <c r="B2487" s="3" t="s">
        <v>1010</v>
      </c>
      <c r="C2487" s="3" t="s">
        <v>45</v>
      </c>
      <c r="D2487" s="3" t="s">
        <v>1034</v>
      </c>
      <c r="E2487" s="3" t="s">
        <v>229</v>
      </c>
      <c r="F2487" s="3"/>
      <c r="G2487" s="3"/>
      <c r="H2487" s="3"/>
      <c r="I2487" s="3"/>
    </row>
    <row r="2488" spans="1:9" s="5" customFormat="1" x14ac:dyDescent="0.35">
      <c r="A2488" s="3" t="s">
        <v>907</v>
      </c>
      <c r="B2488" s="3" t="s">
        <v>1010</v>
      </c>
      <c r="C2488" s="3" t="s">
        <v>45</v>
      </c>
      <c r="D2488" s="3" t="s">
        <v>1034</v>
      </c>
      <c r="E2488" s="3" t="s">
        <v>230</v>
      </c>
      <c r="F2488" s="3"/>
      <c r="G2488" s="3"/>
      <c r="H2488" s="3"/>
      <c r="I2488" s="3"/>
    </row>
    <row r="2489" spans="1:9" s="5" customFormat="1" x14ac:dyDescent="0.35">
      <c r="A2489" s="3" t="s">
        <v>907</v>
      </c>
      <c r="B2489" s="3" t="s">
        <v>1010</v>
      </c>
      <c r="C2489" s="3" t="s">
        <v>45</v>
      </c>
      <c r="D2489" s="3" t="s">
        <v>1034</v>
      </c>
      <c r="E2489" s="3" t="s">
        <v>219</v>
      </c>
      <c r="F2489" s="3"/>
      <c r="G2489" s="3"/>
      <c r="H2489" s="3"/>
      <c r="I2489" s="3"/>
    </row>
    <row r="2490" spans="1:9" s="5" customFormat="1" x14ac:dyDescent="0.35">
      <c r="A2490" s="3" t="s">
        <v>907</v>
      </c>
      <c r="B2490" s="3" t="s">
        <v>1010</v>
      </c>
      <c r="C2490" s="3" t="s">
        <v>45</v>
      </c>
      <c r="D2490" s="3" t="s">
        <v>1034</v>
      </c>
      <c r="E2490" s="3" t="s">
        <v>372</v>
      </c>
      <c r="F2490" s="3"/>
      <c r="G2490" s="3"/>
      <c r="H2490" s="3"/>
      <c r="I2490" s="3"/>
    </row>
    <row r="2491" spans="1:9" s="5" customFormat="1" x14ac:dyDescent="0.35">
      <c r="A2491" s="3" t="s">
        <v>907</v>
      </c>
      <c r="B2491" s="3" t="s">
        <v>1010</v>
      </c>
      <c r="C2491" s="3" t="s">
        <v>45</v>
      </c>
      <c r="D2491" s="3" t="s">
        <v>1034</v>
      </c>
      <c r="E2491" s="3" t="s">
        <v>218</v>
      </c>
      <c r="F2491" s="3"/>
      <c r="G2491" s="3"/>
      <c r="H2491" s="3"/>
      <c r="I2491" s="3"/>
    </row>
    <row r="2492" spans="1:9" s="5" customFormat="1" x14ac:dyDescent="0.35">
      <c r="A2492" s="3" t="s">
        <v>907</v>
      </c>
      <c r="B2492" s="3" t="s">
        <v>1010</v>
      </c>
      <c r="C2492" s="3" t="s">
        <v>45</v>
      </c>
      <c r="D2492" s="3" t="s">
        <v>1034</v>
      </c>
      <c r="E2492" s="3" t="s">
        <v>224</v>
      </c>
      <c r="F2492" s="3"/>
      <c r="G2492" s="3"/>
      <c r="H2492" s="3"/>
      <c r="I2492" s="3"/>
    </row>
    <row r="2493" spans="1:9" s="5" customFormat="1" x14ac:dyDescent="0.35">
      <c r="A2493" s="3" t="s">
        <v>907</v>
      </c>
      <c r="B2493" s="3" t="s">
        <v>1010</v>
      </c>
      <c r="C2493" s="3" t="s">
        <v>45</v>
      </c>
      <c r="D2493" s="3" t="s">
        <v>1035</v>
      </c>
      <c r="E2493" s="3" t="s">
        <v>166</v>
      </c>
      <c r="F2493" s="3"/>
      <c r="G2493" s="3"/>
      <c r="H2493" s="3"/>
      <c r="I2493" s="3"/>
    </row>
    <row r="2494" spans="1:9" s="5" customFormat="1" x14ac:dyDescent="0.35">
      <c r="A2494" s="3" t="s">
        <v>907</v>
      </c>
      <c r="B2494" s="3" t="s">
        <v>1010</v>
      </c>
      <c r="C2494" s="3" t="s">
        <v>45</v>
      </c>
      <c r="D2494" s="3" t="s">
        <v>1035</v>
      </c>
      <c r="E2494" s="3" t="s">
        <v>1016</v>
      </c>
      <c r="F2494" s="3"/>
      <c r="G2494" s="3"/>
      <c r="H2494" s="3"/>
      <c r="I2494" s="3"/>
    </row>
    <row r="2495" spans="1:9" s="5" customFormat="1" x14ac:dyDescent="0.35">
      <c r="A2495" s="3" t="s">
        <v>907</v>
      </c>
      <c r="B2495" s="3" t="s">
        <v>1010</v>
      </c>
      <c r="C2495" s="3" t="s">
        <v>45</v>
      </c>
      <c r="D2495" s="3" t="s">
        <v>1035</v>
      </c>
      <c r="E2495" s="3" t="s">
        <v>225</v>
      </c>
      <c r="F2495" s="3"/>
      <c r="G2495" s="3"/>
      <c r="H2495" s="3"/>
      <c r="I2495" s="3"/>
    </row>
    <row r="2496" spans="1:9" s="5" customFormat="1" x14ac:dyDescent="0.35">
      <c r="A2496" s="3" t="s">
        <v>907</v>
      </c>
      <c r="B2496" s="3" t="s">
        <v>1010</v>
      </c>
      <c r="C2496" s="3" t="s">
        <v>45</v>
      </c>
      <c r="D2496" s="3" t="s">
        <v>1035</v>
      </c>
      <c r="E2496" s="3" t="s">
        <v>221</v>
      </c>
      <c r="F2496" s="3"/>
      <c r="G2496" s="3"/>
      <c r="H2496" s="3"/>
      <c r="I2496" s="3"/>
    </row>
    <row r="2497" spans="1:9" s="5" customFormat="1" x14ac:dyDescent="0.35">
      <c r="A2497" s="3" t="s">
        <v>907</v>
      </c>
      <c r="B2497" s="3" t="s">
        <v>1010</v>
      </c>
      <c r="C2497" s="3" t="s">
        <v>45</v>
      </c>
      <c r="D2497" s="3" t="s">
        <v>1035</v>
      </c>
      <c r="E2497" s="3" t="s">
        <v>222</v>
      </c>
      <c r="F2497" s="3"/>
      <c r="G2497" s="3"/>
      <c r="H2497" s="3"/>
      <c r="I2497" s="3"/>
    </row>
    <row r="2498" spans="1:9" s="5" customFormat="1" x14ac:dyDescent="0.35">
      <c r="A2498" s="3" t="s">
        <v>907</v>
      </c>
      <c r="B2498" s="3" t="s">
        <v>1010</v>
      </c>
      <c r="C2498" s="3" t="s">
        <v>45</v>
      </c>
      <c r="D2498" s="3" t="s">
        <v>1035</v>
      </c>
      <c r="E2498" s="3" t="s">
        <v>223</v>
      </c>
      <c r="F2498" s="3"/>
      <c r="G2498" s="3"/>
      <c r="H2498" s="3"/>
      <c r="I2498" s="3"/>
    </row>
    <row r="2499" spans="1:9" s="5" customFormat="1" x14ac:dyDescent="0.35">
      <c r="A2499" s="3" t="s">
        <v>907</v>
      </c>
      <c r="B2499" s="3" t="s">
        <v>1010</v>
      </c>
      <c r="C2499" s="3" t="s">
        <v>45</v>
      </c>
      <c r="D2499" s="3" t="s">
        <v>1035</v>
      </c>
      <c r="E2499" s="3" t="s">
        <v>226</v>
      </c>
      <c r="F2499" s="3"/>
      <c r="G2499" s="3"/>
      <c r="H2499" s="3"/>
      <c r="I2499" s="3"/>
    </row>
    <row r="2500" spans="1:9" s="5" customFormat="1" x14ac:dyDescent="0.35">
      <c r="A2500" s="3" t="s">
        <v>907</v>
      </c>
      <c r="B2500" s="3" t="s">
        <v>1010</v>
      </c>
      <c r="C2500" s="3" t="s">
        <v>45</v>
      </c>
      <c r="D2500" s="3" t="s">
        <v>1035</v>
      </c>
      <c r="E2500" s="3" t="s">
        <v>227</v>
      </c>
      <c r="F2500" s="3"/>
      <c r="G2500" s="3"/>
      <c r="H2500" s="3"/>
      <c r="I2500" s="3"/>
    </row>
    <row r="2501" spans="1:9" s="5" customFormat="1" x14ac:dyDescent="0.35">
      <c r="A2501" s="3" t="s">
        <v>907</v>
      </c>
      <c r="B2501" s="3" t="s">
        <v>1010</v>
      </c>
      <c r="C2501" s="3" t="s">
        <v>45</v>
      </c>
      <c r="D2501" s="3" t="s">
        <v>1035</v>
      </c>
      <c r="E2501" s="3" t="s">
        <v>228</v>
      </c>
      <c r="F2501" s="3"/>
      <c r="G2501" s="3"/>
      <c r="H2501" s="3"/>
      <c r="I2501" s="3"/>
    </row>
    <row r="2502" spans="1:9" s="5" customFormat="1" x14ac:dyDescent="0.35">
      <c r="A2502" s="3" t="s">
        <v>907</v>
      </c>
      <c r="B2502" s="3" t="s">
        <v>1010</v>
      </c>
      <c r="C2502" s="3" t="s">
        <v>45</v>
      </c>
      <c r="D2502" s="3" t="s">
        <v>1035</v>
      </c>
      <c r="E2502" s="3" t="s">
        <v>229</v>
      </c>
      <c r="F2502" s="3"/>
      <c r="G2502" s="3"/>
      <c r="H2502" s="3"/>
      <c r="I2502" s="3"/>
    </row>
    <row r="2503" spans="1:9" s="5" customFormat="1" x14ac:dyDescent="0.35">
      <c r="A2503" s="3" t="s">
        <v>907</v>
      </c>
      <c r="B2503" s="3" t="s">
        <v>1010</v>
      </c>
      <c r="C2503" s="3" t="s">
        <v>45</v>
      </c>
      <c r="D2503" s="3" t="s">
        <v>1035</v>
      </c>
      <c r="E2503" s="3" t="s">
        <v>230</v>
      </c>
      <c r="F2503" s="3"/>
      <c r="G2503" s="3"/>
      <c r="H2503" s="3"/>
      <c r="I2503" s="3"/>
    </row>
    <row r="2504" spans="1:9" s="5" customFormat="1" x14ac:dyDescent="0.35">
      <c r="A2504" s="3" t="s">
        <v>907</v>
      </c>
      <c r="B2504" s="3" t="s">
        <v>1010</v>
      </c>
      <c r="C2504" s="3" t="s">
        <v>45</v>
      </c>
      <c r="D2504" s="3" t="s">
        <v>1035</v>
      </c>
      <c r="E2504" s="3" t="s">
        <v>219</v>
      </c>
      <c r="F2504" s="3"/>
      <c r="G2504" s="3"/>
      <c r="H2504" s="3"/>
      <c r="I2504" s="3"/>
    </row>
    <row r="2505" spans="1:9" s="5" customFormat="1" x14ac:dyDescent="0.35">
      <c r="A2505" s="3" t="s">
        <v>907</v>
      </c>
      <c r="B2505" s="3" t="s">
        <v>1010</v>
      </c>
      <c r="C2505" s="3" t="s">
        <v>45</v>
      </c>
      <c r="D2505" s="3" t="s">
        <v>1035</v>
      </c>
      <c r="E2505" s="3" t="s">
        <v>372</v>
      </c>
      <c r="F2505" s="3"/>
      <c r="G2505" s="3"/>
      <c r="H2505" s="3"/>
      <c r="I2505" s="3"/>
    </row>
    <row r="2506" spans="1:9" s="5" customFormat="1" x14ac:dyDescent="0.35">
      <c r="A2506" s="3" t="s">
        <v>907</v>
      </c>
      <c r="B2506" s="3" t="s">
        <v>1010</v>
      </c>
      <c r="C2506" s="3" t="s">
        <v>45</v>
      </c>
      <c r="D2506" s="3" t="s">
        <v>1035</v>
      </c>
      <c r="E2506" s="3" t="s">
        <v>218</v>
      </c>
      <c r="F2506" s="3"/>
      <c r="G2506" s="3"/>
      <c r="H2506" s="3"/>
      <c r="I2506" s="3"/>
    </row>
    <row r="2507" spans="1:9" s="5" customFormat="1" x14ac:dyDescent="0.35">
      <c r="A2507" s="3" t="s">
        <v>907</v>
      </c>
      <c r="B2507" s="3" t="s">
        <v>1010</v>
      </c>
      <c r="C2507" s="3" t="s">
        <v>45</v>
      </c>
      <c r="D2507" s="3" t="s">
        <v>1035</v>
      </c>
      <c r="E2507" s="3" t="s">
        <v>224</v>
      </c>
      <c r="F2507" s="3"/>
      <c r="G2507" s="3"/>
      <c r="H2507" s="3"/>
      <c r="I2507" s="3"/>
    </row>
    <row r="2508" spans="1:9" s="5" customFormat="1" x14ac:dyDescent="0.35">
      <c r="A2508" s="3" t="s">
        <v>907</v>
      </c>
      <c r="B2508" s="3" t="s">
        <v>1010</v>
      </c>
      <c r="C2508" s="3" t="s">
        <v>45</v>
      </c>
      <c r="D2508" s="3" t="s">
        <v>1036</v>
      </c>
      <c r="E2508" s="3" t="s">
        <v>166</v>
      </c>
      <c r="F2508" s="3"/>
      <c r="G2508" s="3"/>
      <c r="H2508" s="3"/>
      <c r="I2508" s="3"/>
    </row>
    <row r="2509" spans="1:9" s="5" customFormat="1" x14ac:dyDescent="0.35">
      <c r="A2509" s="3" t="s">
        <v>907</v>
      </c>
      <c r="B2509" s="3" t="s">
        <v>1010</v>
      </c>
      <c r="C2509" s="3" t="s">
        <v>45</v>
      </c>
      <c r="D2509" s="3" t="s">
        <v>1036</v>
      </c>
      <c r="E2509" s="3" t="s">
        <v>1016</v>
      </c>
      <c r="F2509" s="3"/>
      <c r="G2509" s="3"/>
      <c r="H2509" s="3"/>
      <c r="I2509" s="3"/>
    </row>
    <row r="2510" spans="1:9" s="5" customFormat="1" x14ac:dyDescent="0.35">
      <c r="A2510" s="3" t="s">
        <v>907</v>
      </c>
      <c r="B2510" s="3" t="s">
        <v>1010</v>
      </c>
      <c r="C2510" s="3" t="s">
        <v>45</v>
      </c>
      <c r="D2510" s="3" t="s">
        <v>1036</v>
      </c>
      <c r="E2510" s="3" t="s">
        <v>225</v>
      </c>
      <c r="F2510" s="3"/>
      <c r="G2510" s="3"/>
      <c r="H2510" s="3"/>
      <c r="I2510" s="3"/>
    </row>
    <row r="2511" spans="1:9" s="5" customFormat="1" x14ac:dyDescent="0.35">
      <c r="A2511" s="3" t="s">
        <v>907</v>
      </c>
      <c r="B2511" s="3" t="s">
        <v>1010</v>
      </c>
      <c r="C2511" s="3" t="s">
        <v>45</v>
      </c>
      <c r="D2511" s="3" t="s">
        <v>1036</v>
      </c>
      <c r="E2511" s="3" t="s">
        <v>221</v>
      </c>
      <c r="F2511" s="3"/>
      <c r="G2511" s="3"/>
      <c r="H2511" s="3"/>
      <c r="I2511" s="3"/>
    </row>
    <row r="2512" spans="1:9" s="5" customFormat="1" x14ac:dyDescent="0.35">
      <c r="A2512" s="3" t="s">
        <v>907</v>
      </c>
      <c r="B2512" s="3" t="s">
        <v>1010</v>
      </c>
      <c r="C2512" s="3" t="s">
        <v>45</v>
      </c>
      <c r="D2512" s="3" t="s">
        <v>1036</v>
      </c>
      <c r="E2512" s="3" t="s">
        <v>222</v>
      </c>
      <c r="F2512" s="3"/>
      <c r="G2512" s="3"/>
      <c r="H2512" s="3"/>
      <c r="I2512" s="3"/>
    </row>
    <row r="2513" spans="1:9" s="5" customFormat="1" x14ac:dyDescent="0.35">
      <c r="A2513" s="3" t="s">
        <v>907</v>
      </c>
      <c r="B2513" s="3" t="s">
        <v>1010</v>
      </c>
      <c r="C2513" s="3" t="s">
        <v>45</v>
      </c>
      <c r="D2513" s="3" t="s">
        <v>1036</v>
      </c>
      <c r="E2513" s="3" t="s">
        <v>223</v>
      </c>
      <c r="F2513" s="3"/>
      <c r="G2513" s="3"/>
      <c r="H2513" s="3"/>
      <c r="I2513" s="3"/>
    </row>
    <row r="2514" spans="1:9" s="5" customFormat="1" x14ac:dyDescent="0.35">
      <c r="A2514" s="3" t="s">
        <v>907</v>
      </c>
      <c r="B2514" s="3" t="s">
        <v>1010</v>
      </c>
      <c r="C2514" s="3" t="s">
        <v>45</v>
      </c>
      <c r="D2514" s="3" t="s">
        <v>1036</v>
      </c>
      <c r="E2514" s="3" t="s">
        <v>226</v>
      </c>
      <c r="F2514" s="3"/>
      <c r="G2514" s="3"/>
      <c r="H2514" s="3"/>
      <c r="I2514" s="3"/>
    </row>
    <row r="2515" spans="1:9" s="5" customFormat="1" x14ac:dyDescent="0.35">
      <c r="A2515" s="3" t="s">
        <v>907</v>
      </c>
      <c r="B2515" s="3" t="s">
        <v>1010</v>
      </c>
      <c r="C2515" s="3" t="s">
        <v>45</v>
      </c>
      <c r="D2515" s="3" t="s">
        <v>1036</v>
      </c>
      <c r="E2515" s="3" t="s">
        <v>227</v>
      </c>
      <c r="F2515" s="3"/>
      <c r="G2515" s="3"/>
      <c r="H2515" s="3"/>
      <c r="I2515" s="3"/>
    </row>
    <row r="2516" spans="1:9" s="5" customFormat="1" x14ac:dyDescent="0.35">
      <c r="A2516" s="3" t="s">
        <v>907</v>
      </c>
      <c r="B2516" s="3" t="s">
        <v>1010</v>
      </c>
      <c r="C2516" s="3" t="s">
        <v>45</v>
      </c>
      <c r="D2516" s="3" t="s">
        <v>1036</v>
      </c>
      <c r="E2516" s="3" t="s">
        <v>228</v>
      </c>
      <c r="F2516" s="3"/>
      <c r="G2516" s="3"/>
      <c r="H2516" s="3"/>
      <c r="I2516" s="3"/>
    </row>
    <row r="2517" spans="1:9" s="5" customFormat="1" x14ac:dyDescent="0.35">
      <c r="A2517" s="3" t="s">
        <v>907</v>
      </c>
      <c r="B2517" s="3" t="s">
        <v>1010</v>
      </c>
      <c r="C2517" s="3" t="s">
        <v>45</v>
      </c>
      <c r="D2517" s="3" t="s">
        <v>1036</v>
      </c>
      <c r="E2517" s="3" t="s">
        <v>229</v>
      </c>
      <c r="F2517" s="3"/>
      <c r="G2517" s="3"/>
      <c r="H2517" s="3"/>
      <c r="I2517" s="3"/>
    </row>
    <row r="2518" spans="1:9" s="5" customFormat="1" x14ac:dyDescent="0.35">
      <c r="A2518" s="3" t="s">
        <v>907</v>
      </c>
      <c r="B2518" s="3" t="s">
        <v>1010</v>
      </c>
      <c r="C2518" s="3" t="s">
        <v>45</v>
      </c>
      <c r="D2518" s="3" t="s">
        <v>1036</v>
      </c>
      <c r="E2518" s="3" t="s">
        <v>230</v>
      </c>
      <c r="F2518" s="3"/>
      <c r="G2518" s="3"/>
      <c r="H2518" s="3"/>
      <c r="I2518" s="3"/>
    </row>
    <row r="2519" spans="1:9" s="5" customFormat="1" x14ac:dyDescent="0.35">
      <c r="A2519" s="3" t="s">
        <v>907</v>
      </c>
      <c r="B2519" s="3" t="s">
        <v>1010</v>
      </c>
      <c r="C2519" s="3" t="s">
        <v>45</v>
      </c>
      <c r="D2519" s="3" t="s">
        <v>1036</v>
      </c>
      <c r="E2519" s="3" t="s">
        <v>219</v>
      </c>
      <c r="F2519" s="3"/>
      <c r="G2519" s="3"/>
      <c r="H2519" s="3"/>
      <c r="I2519" s="3"/>
    </row>
    <row r="2520" spans="1:9" s="5" customFormat="1" x14ac:dyDescent="0.35">
      <c r="A2520" s="3" t="s">
        <v>907</v>
      </c>
      <c r="B2520" s="3" t="s">
        <v>1010</v>
      </c>
      <c r="C2520" s="3" t="s">
        <v>45</v>
      </c>
      <c r="D2520" s="3" t="s">
        <v>1036</v>
      </c>
      <c r="E2520" s="3" t="s">
        <v>372</v>
      </c>
      <c r="F2520" s="3"/>
      <c r="G2520" s="3"/>
      <c r="H2520" s="3"/>
      <c r="I2520" s="3"/>
    </row>
    <row r="2521" spans="1:9" s="5" customFormat="1" x14ac:dyDescent="0.35">
      <c r="A2521" s="3" t="s">
        <v>907</v>
      </c>
      <c r="B2521" s="3" t="s">
        <v>1010</v>
      </c>
      <c r="C2521" s="3" t="s">
        <v>45</v>
      </c>
      <c r="D2521" s="3" t="s">
        <v>1036</v>
      </c>
      <c r="E2521" s="3" t="s">
        <v>218</v>
      </c>
      <c r="F2521" s="3"/>
      <c r="G2521" s="3"/>
      <c r="H2521" s="3"/>
      <c r="I2521" s="3"/>
    </row>
    <row r="2522" spans="1:9" s="5" customFormat="1" x14ac:dyDescent="0.35">
      <c r="A2522" s="3" t="s">
        <v>907</v>
      </c>
      <c r="B2522" s="3" t="s">
        <v>1010</v>
      </c>
      <c r="C2522" s="3" t="s">
        <v>45</v>
      </c>
      <c r="D2522" s="3" t="s">
        <v>1036</v>
      </c>
      <c r="E2522" s="3" t="s">
        <v>224</v>
      </c>
      <c r="F2522" s="3"/>
      <c r="G2522" s="3"/>
      <c r="H2522" s="3"/>
      <c r="I2522" s="3"/>
    </row>
    <row r="2523" spans="1:9" s="5" customFormat="1" x14ac:dyDescent="0.35">
      <c r="A2523" s="3" t="s">
        <v>907</v>
      </c>
      <c r="B2523" s="3" t="s">
        <v>1010</v>
      </c>
      <c r="C2523" s="3" t="s">
        <v>45</v>
      </c>
      <c r="D2523" s="3" t="s">
        <v>1037</v>
      </c>
      <c r="E2523" s="3" t="s">
        <v>166</v>
      </c>
      <c r="F2523" s="3"/>
      <c r="G2523" s="3"/>
      <c r="H2523" s="3"/>
      <c r="I2523" s="3"/>
    </row>
    <row r="2524" spans="1:9" s="5" customFormat="1" x14ac:dyDescent="0.35">
      <c r="A2524" s="3" t="s">
        <v>907</v>
      </c>
      <c r="B2524" s="3" t="s">
        <v>1010</v>
      </c>
      <c r="C2524" s="3" t="s">
        <v>45</v>
      </c>
      <c r="D2524" s="3" t="s">
        <v>1037</v>
      </c>
      <c r="E2524" s="3" t="s">
        <v>217</v>
      </c>
      <c r="F2524" s="3"/>
      <c r="G2524" s="3"/>
      <c r="H2524" s="3"/>
      <c r="I2524" s="3"/>
    </row>
    <row r="2525" spans="1:9" s="5" customFormat="1" x14ac:dyDescent="0.35">
      <c r="A2525" s="3" t="s">
        <v>907</v>
      </c>
      <c r="B2525" s="3" t="s">
        <v>1010</v>
      </c>
      <c r="C2525" s="3" t="s">
        <v>45</v>
      </c>
      <c r="D2525" s="3" t="s">
        <v>1037</v>
      </c>
      <c r="E2525" s="3" t="s">
        <v>220</v>
      </c>
      <c r="F2525" s="3"/>
      <c r="G2525" s="3"/>
      <c r="H2525" s="3"/>
      <c r="I2525" s="3"/>
    </row>
    <row r="2526" spans="1:9" s="5" customFormat="1" x14ac:dyDescent="0.35">
      <c r="A2526" s="3" t="s">
        <v>907</v>
      </c>
      <c r="B2526" s="3" t="s">
        <v>1010</v>
      </c>
      <c r="C2526" s="3" t="s">
        <v>45</v>
      </c>
      <c r="D2526" s="3" t="s">
        <v>1037</v>
      </c>
      <c r="E2526" s="3" t="s">
        <v>225</v>
      </c>
      <c r="F2526" s="3"/>
      <c r="G2526" s="3"/>
      <c r="H2526" s="3"/>
      <c r="I2526" s="3"/>
    </row>
    <row r="2527" spans="1:9" s="5" customFormat="1" x14ac:dyDescent="0.35">
      <c r="A2527" s="3" t="s">
        <v>907</v>
      </c>
      <c r="B2527" s="3" t="s">
        <v>1010</v>
      </c>
      <c r="C2527" s="3" t="s">
        <v>45</v>
      </c>
      <c r="D2527" s="3" t="s">
        <v>1037</v>
      </c>
      <c r="E2527" s="3" t="s">
        <v>221</v>
      </c>
      <c r="F2527" s="3"/>
      <c r="G2527" s="3"/>
      <c r="H2527" s="3"/>
      <c r="I2527" s="3"/>
    </row>
    <row r="2528" spans="1:9" s="5" customFormat="1" x14ac:dyDescent="0.35">
      <c r="A2528" s="3" t="s">
        <v>907</v>
      </c>
      <c r="B2528" s="3" t="s">
        <v>1010</v>
      </c>
      <c r="C2528" s="3" t="s">
        <v>45</v>
      </c>
      <c r="D2528" s="3" t="s">
        <v>1037</v>
      </c>
      <c r="E2528" s="3" t="s">
        <v>222</v>
      </c>
      <c r="F2528" s="3"/>
      <c r="G2528" s="3"/>
      <c r="H2528" s="3"/>
      <c r="I2528" s="3"/>
    </row>
    <row r="2529" spans="1:9" s="5" customFormat="1" x14ac:dyDescent="0.35">
      <c r="A2529" s="3" t="s">
        <v>907</v>
      </c>
      <c r="B2529" s="3" t="s">
        <v>1010</v>
      </c>
      <c r="C2529" s="3" t="s">
        <v>45</v>
      </c>
      <c r="D2529" s="3" t="s">
        <v>1037</v>
      </c>
      <c r="E2529" s="3" t="s">
        <v>223</v>
      </c>
      <c r="F2529" s="3"/>
      <c r="G2529" s="3"/>
      <c r="H2529" s="3"/>
      <c r="I2529" s="3"/>
    </row>
    <row r="2530" spans="1:9" s="5" customFormat="1" x14ac:dyDescent="0.35">
      <c r="A2530" s="3" t="s">
        <v>907</v>
      </c>
      <c r="B2530" s="3" t="s">
        <v>1010</v>
      </c>
      <c r="C2530" s="3" t="s">
        <v>45</v>
      </c>
      <c r="D2530" s="3" t="s">
        <v>1037</v>
      </c>
      <c r="E2530" s="3" t="s">
        <v>226</v>
      </c>
      <c r="F2530" s="3"/>
      <c r="G2530" s="3"/>
      <c r="H2530" s="3"/>
      <c r="I2530" s="3"/>
    </row>
    <row r="2531" spans="1:9" s="5" customFormat="1" x14ac:dyDescent="0.35">
      <c r="A2531" s="3" t="s">
        <v>907</v>
      </c>
      <c r="B2531" s="3" t="s">
        <v>1010</v>
      </c>
      <c r="C2531" s="3" t="s">
        <v>45</v>
      </c>
      <c r="D2531" s="3" t="s">
        <v>1037</v>
      </c>
      <c r="E2531" s="3" t="s">
        <v>227</v>
      </c>
      <c r="F2531" s="3"/>
      <c r="G2531" s="3"/>
      <c r="H2531" s="3"/>
      <c r="I2531" s="3"/>
    </row>
    <row r="2532" spans="1:9" s="5" customFormat="1" x14ac:dyDescent="0.35">
      <c r="A2532" s="3" t="s">
        <v>907</v>
      </c>
      <c r="B2532" s="3" t="s">
        <v>1010</v>
      </c>
      <c r="C2532" s="3" t="s">
        <v>45</v>
      </c>
      <c r="D2532" s="3" t="s">
        <v>1037</v>
      </c>
      <c r="E2532" s="3" t="s">
        <v>228</v>
      </c>
      <c r="F2532" s="3"/>
      <c r="G2532" s="3"/>
      <c r="H2532" s="3"/>
      <c r="I2532" s="3"/>
    </row>
    <row r="2533" spans="1:9" s="5" customFormat="1" x14ac:dyDescent="0.35">
      <c r="A2533" s="3" t="s">
        <v>907</v>
      </c>
      <c r="B2533" s="3" t="s">
        <v>1010</v>
      </c>
      <c r="C2533" s="3" t="s">
        <v>45</v>
      </c>
      <c r="D2533" s="3" t="s">
        <v>1037</v>
      </c>
      <c r="E2533" s="3" t="s">
        <v>229</v>
      </c>
      <c r="F2533" s="3"/>
      <c r="G2533" s="3"/>
      <c r="H2533" s="3"/>
      <c r="I2533" s="3"/>
    </row>
    <row r="2534" spans="1:9" s="5" customFormat="1" x14ac:dyDescent="0.35">
      <c r="A2534" s="3" t="s">
        <v>907</v>
      </c>
      <c r="B2534" s="3" t="s">
        <v>1010</v>
      </c>
      <c r="C2534" s="3" t="s">
        <v>45</v>
      </c>
      <c r="D2534" s="3" t="s">
        <v>1037</v>
      </c>
      <c r="E2534" s="3" t="s">
        <v>230</v>
      </c>
      <c r="F2534" s="3"/>
      <c r="G2534" s="3"/>
      <c r="H2534" s="3"/>
      <c r="I2534" s="3"/>
    </row>
    <row r="2535" spans="1:9" s="5" customFormat="1" x14ac:dyDescent="0.35">
      <c r="A2535" s="3" t="s">
        <v>907</v>
      </c>
      <c r="B2535" s="3" t="s">
        <v>1010</v>
      </c>
      <c r="C2535" s="3" t="s">
        <v>45</v>
      </c>
      <c r="D2535" s="3" t="s">
        <v>1037</v>
      </c>
      <c r="E2535" s="3" t="s">
        <v>219</v>
      </c>
      <c r="F2535" s="3"/>
      <c r="G2535" s="3"/>
      <c r="H2535" s="3"/>
      <c r="I2535" s="3"/>
    </row>
    <row r="2536" spans="1:9" s="5" customFormat="1" x14ac:dyDescent="0.35">
      <c r="A2536" s="3" t="s">
        <v>907</v>
      </c>
      <c r="B2536" s="3" t="s">
        <v>1010</v>
      </c>
      <c r="C2536" s="3" t="s">
        <v>45</v>
      </c>
      <c r="D2536" s="3" t="s">
        <v>1037</v>
      </c>
      <c r="E2536" s="3" t="s">
        <v>372</v>
      </c>
      <c r="F2536" s="3"/>
      <c r="G2536" s="3"/>
      <c r="H2536" s="3"/>
      <c r="I2536" s="3"/>
    </row>
    <row r="2537" spans="1:9" s="5" customFormat="1" x14ac:dyDescent="0.35">
      <c r="A2537" s="3" t="s">
        <v>907</v>
      </c>
      <c r="B2537" s="3" t="s">
        <v>1010</v>
      </c>
      <c r="C2537" s="3" t="s">
        <v>45</v>
      </c>
      <c r="D2537" s="3" t="s">
        <v>1037</v>
      </c>
      <c r="E2537" s="3" t="s">
        <v>218</v>
      </c>
      <c r="F2537" s="3"/>
      <c r="G2537" s="3"/>
      <c r="H2537" s="3"/>
      <c r="I2537" s="3"/>
    </row>
    <row r="2538" spans="1:9" s="5" customFormat="1" x14ac:dyDescent="0.35">
      <c r="A2538" s="3" t="s">
        <v>907</v>
      </c>
      <c r="B2538" s="3" t="s">
        <v>1010</v>
      </c>
      <c r="C2538" s="3" t="s">
        <v>45</v>
      </c>
      <c r="D2538" s="3" t="s">
        <v>1037</v>
      </c>
      <c r="E2538" s="3" t="s">
        <v>224</v>
      </c>
      <c r="F2538" s="3"/>
      <c r="G2538" s="3"/>
      <c r="H2538" s="3"/>
      <c r="I2538" s="3"/>
    </row>
    <row r="2539" spans="1:9" s="5" customFormat="1" x14ac:dyDescent="0.35">
      <c r="A2539" s="3" t="s">
        <v>907</v>
      </c>
      <c r="B2539" s="3" t="s">
        <v>1010</v>
      </c>
      <c r="C2539" s="3" t="s">
        <v>45</v>
      </c>
      <c r="D2539" s="3" t="s">
        <v>1038</v>
      </c>
      <c r="E2539" s="3" t="s">
        <v>166</v>
      </c>
      <c r="F2539" s="3"/>
      <c r="G2539" s="3"/>
      <c r="H2539" s="3"/>
      <c r="I2539" s="3"/>
    </row>
    <row r="2540" spans="1:9" s="5" customFormat="1" x14ac:dyDescent="0.35">
      <c r="A2540" s="3" t="s">
        <v>907</v>
      </c>
      <c r="B2540" s="3" t="s">
        <v>1010</v>
      </c>
      <c r="C2540" s="3" t="s">
        <v>45</v>
      </c>
      <c r="D2540" s="3" t="s">
        <v>1038</v>
      </c>
      <c r="E2540" s="3" t="s">
        <v>220</v>
      </c>
      <c r="F2540" s="3"/>
      <c r="G2540" s="3"/>
      <c r="H2540" s="3"/>
      <c r="I2540" s="3"/>
    </row>
    <row r="2541" spans="1:9" s="5" customFormat="1" x14ac:dyDescent="0.35">
      <c r="A2541" s="3" t="s">
        <v>907</v>
      </c>
      <c r="B2541" s="3" t="s">
        <v>1010</v>
      </c>
      <c r="C2541" s="3" t="s">
        <v>45</v>
      </c>
      <c r="D2541" s="3" t="s">
        <v>1038</v>
      </c>
      <c r="E2541" s="3" t="s">
        <v>225</v>
      </c>
      <c r="F2541" s="3"/>
      <c r="G2541" s="3"/>
      <c r="H2541" s="3"/>
      <c r="I2541" s="3"/>
    </row>
    <row r="2542" spans="1:9" s="5" customFormat="1" x14ac:dyDescent="0.35">
      <c r="A2542" s="3" t="s">
        <v>907</v>
      </c>
      <c r="B2542" s="3" t="s">
        <v>1010</v>
      </c>
      <c r="C2542" s="3" t="s">
        <v>45</v>
      </c>
      <c r="D2542" s="3" t="s">
        <v>1038</v>
      </c>
      <c r="E2542" s="3" t="s">
        <v>221</v>
      </c>
      <c r="F2542" s="3"/>
      <c r="G2542" s="3"/>
      <c r="H2542" s="3"/>
      <c r="I2542" s="3"/>
    </row>
    <row r="2543" spans="1:9" s="5" customFormat="1" x14ac:dyDescent="0.35">
      <c r="A2543" s="3" t="s">
        <v>907</v>
      </c>
      <c r="B2543" s="3" t="s">
        <v>1010</v>
      </c>
      <c r="C2543" s="3" t="s">
        <v>45</v>
      </c>
      <c r="D2543" s="3" t="s">
        <v>1038</v>
      </c>
      <c r="E2543" s="3" t="s">
        <v>222</v>
      </c>
      <c r="F2543" s="3"/>
      <c r="G2543" s="3"/>
      <c r="H2543" s="3"/>
      <c r="I2543" s="3"/>
    </row>
    <row r="2544" spans="1:9" s="5" customFormat="1" x14ac:dyDescent="0.35">
      <c r="A2544" s="3" t="s">
        <v>907</v>
      </c>
      <c r="B2544" s="3" t="s">
        <v>1010</v>
      </c>
      <c r="C2544" s="3" t="s">
        <v>45</v>
      </c>
      <c r="D2544" s="3" t="s">
        <v>1038</v>
      </c>
      <c r="E2544" s="3" t="s">
        <v>223</v>
      </c>
      <c r="F2544" s="3"/>
      <c r="G2544" s="3"/>
      <c r="H2544" s="3"/>
      <c r="I2544" s="3"/>
    </row>
    <row r="2545" spans="1:9" s="5" customFormat="1" x14ac:dyDescent="0.35">
      <c r="A2545" s="3" t="s">
        <v>907</v>
      </c>
      <c r="B2545" s="3" t="s">
        <v>1010</v>
      </c>
      <c r="C2545" s="3" t="s">
        <v>45</v>
      </c>
      <c r="D2545" s="3" t="s">
        <v>1038</v>
      </c>
      <c r="E2545" s="3" t="s">
        <v>15</v>
      </c>
      <c r="F2545" s="3" t="s">
        <v>16</v>
      </c>
      <c r="G2545" s="3" t="s">
        <v>1039</v>
      </c>
      <c r="H2545" s="3"/>
      <c r="I2545" s="3"/>
    </row>
    <row r="2546" spans="1:9" s="5" customFormat="1" x14ac:dyDescent="0.35">
      <c r="A2546" s="3" t="s">
        <v>907</v>
      </c>
      <c r="B2546" s="3" t="s">
        <v>1010</v>
      </c>
      <c r="C2546" s="3" t="s">
        <v>45</v>
      </c>
      <c r="D2546" s="3" t="s">
        <v>1038</v>
      </c>
      <c r="E2546" s="3" t="s">
        <v>226</v>
      </c>
      <c r="F2546" s="3"/>
      <c r="G2546" s="3"/>
      <c r="H2546" s="3"/>
      <c r="I2546" s="3"/>
    </row>
    <row r="2547" spans="1:9" s="5" customFormat="1" x14ac:dyDescent="0.35">
      <c r="A2547" s="3" t="s">
        <v>907</v>
      </c>
      <c r="B2547" s="3" t="s">
        <v>1010</v>
      </c>
      <c r="C2547" s="3" t="s">
        <v>45</v>
      </c>
      <c r="D2547" s="3" t="s">
        <v>1038</v>
      </c>
      <c r="E2547" s="3" t="s">
        <v>227</v>
      </c>
      <c r="F2547" s="3"/>
      <c r="G2547" s="3"/>
      <c r="H2547" s="3"/>
      <c r="I2547" s="3"/>
    </row>
    <row r="2548" spans="1:9" s="5" customFormat="1" x14ac:dyDescent="0.35">
      <c r="A2548" s="3" t="s">
        <v>907</v>
      </c>
      <c r="B2548" s="3" t="s">
        <v>1010</v>
      </c>
      <c r="C2548" s="3" t="s">
        <v>45</v>
      </c>
      <c r="D2548" s="3" t="s">
        <v>1038</v>
      </c>
      <c r="E2548" s="3" t="s">
        <v>228</v>
      </c>
      <c r="F2548" s="3"/>
      <c r="G2548" s="3"/>
      <c r="H2548" s="3"/>
      <c r="I2548" s="3"/>
    </row>
    <row r="2549" spans="1:9" s="5" customFormat="1" x14ac:dyDescent="0.35">
      <c r="A2549" s="3" t="s">
        <v>907</v>
      </c>
      <c r="B2549" s="3" t="s">
        <v>1010</v>
      </c>
      <c r="C2549" s="3" t="s">
        <v>45</v>
      </c>
      <c r="D2549" s="3" t="s">
        <v>1038</v>
      </c>
      <c r="E2549" s="3" t="s">
        <v>229</v>
      </c>
      <c r="F2549" s="3"/>
      <c r="G2549" s="3"/>
      <c r="H2549" s="3"/>
      <c r="I2549" s="3"/>
    </row>
    <row r="2550" spans="1:9" s="5" customFormat="1" x14ac:dyDescent="0.35">
      <c r="A2550" s="3" t="s">
        <v>907</v>
      </c>
      <c r="B2550" s="3" t="s">
        <v>1010</v>
      </c>
      <c r="C2550" s="3" t="s">
        <v>45</v>
      </c>
      <c r="D2550" s="3" t="s">
        <v>1038</v>
      </c>
      <c r="E2550" s="3" t="s">
        <v>230</v>
      </c>
      <c r="F2550" s="3"/>
      <c r="G2550" s="3"/>
      <c r="H2550" s="3"/>
      <c r="I2550" s="3"/>
    </row>
    <row r="2551" spans="1:9" s="5" customFormat="1" x14ac:dyDescent="0.35">
      <c r="A2551" s="3" t="s">
        <v>907</v>
      </c>
      <c r="B2551" s="3" t="s">
        <v>1010</v>
      </c>
      <c r="C2551" s="3" t="s">
        <v>45</v>
      </c>
      <c r="D2551" s="3" t="s">
        <v>1038</v>
      </c>
      <c r="E2551" s="3" t="s">
        <v>219</v>
      </c>
      <c r="F2551" s="3"/>
      <c r="G2551" s="3"/>
      <c r="H2551" s="3"/>
      <c r="I2551" s="3"/>
    </row>
    <row r="2552" spans="1:9" s="5" customFormat="1" x14ac:dyDescent="0.35">
      <c r="A2552" s="3" t="s">
        <v>907</v>
      </c>
      <c r="B2552" s="3" t="s">
        <v>1010</v>
      </c>
      <c r="C2552" s="3" t="s">
        <v>45</v>
      </c>
      <c r="D2552" s="3" t="s">
        <v>1038</v>
      </c>
      <c r="E2552" s="3" t="s">
        <v>372</v>
      </c>
      <c r="F2552" s="3" t="s">
        <v>16</v>
      </c>
      <c r="G2552" s="3" t="s">
        <v>1040</v>
      </c>
      <c r="H2552" s="3"/>
      <c r="I2552" s="3"/>
    </row>
    <row r="2553" spans="1:9" s="5" customFormat="1" x14ac:dyDescent="0.35">
      <c r="A2553" s="3" t="s">
        <v>907</v>
      </c>
      <c r="B2553" s="3" t="s">
        <v>1010</v>
      </c>
      <c r="C2553" s="3" t="s">
        <v>45</v>
      </c>
      <c r="D2553" s="3" t="s">
        <v>1038</v>
      </c>
      <c r="E2553" s="3" t="s">
        <v>218</v>
      </c>
      <c r="F2553" s="3"/>
      <c r="G2553" s="3"/>
      <c r="H2553" s="3"/>
      <c r="I2553" s="3"/>
    </row>
    <row r="2554" spans="1:9" s="5" customFormat="1" x14ac:dyDescent="0.35">
      <c r="A2554" s="3" t="s">
        <v>907</v>
      </c>
      <c r="B2554" s="3" t="s">
        <v>1010</v>
      </c>
      <c r="C2554" s="3" t="s">
        <v>45</v>
      </c>
      <c r="D2554" s="3" t="s">
        <v>1038</v>
      </c>
      <c r="E2554" s="3" t="s">
        <v>224</v>
      </c>
      <c r="F2554" s="3"/>
      <c r="G2554" s="3"/>
      <c r="H2554" s="3"/>
      <c r="I2554" s="3"/>
    </row>
    <row r="2555" spans="1:9" s="5" customFormat="1" x14ac:dyDescent="0.35">
      <c r="A2555" s="3" t="s">
        <v>907</v>
      </c>
      <c r="B2555" s="3" t="s">
        <v>1010</v>
      </c>
      <c r="C2555" s="3" t="s">
        <v>45</v>
      </c>
      <c r="D2555" s="3" t="s">
        <v>1041</v>
      </c>
      <c r="E2555" s="3" t="s">
        <v>217</v>
      </c>
      <c r="F2555" s="3"/>
      <c r="G2555" s="3" t="s">
        <v>2286</v>
      </c>
      <c r="H2555" s="3"/>
      <c r="I2555" s="3"/>
    </row>
    <row r="2556" spans="1:9" s="5" customFormat="1" x14ac:dyDescent="0.35">
      <c r="A2556" s="3" t="s">
        <v>907</v>
      </c>
      <c r="B2556" s="3" t="s">
        <v>1010</v>
      </c>
      <c r="C2556" s="3" t="s">
        <v>45</v>
      </c>
      <c r="D2556" s="3" t="s">
        <v>1041</v>
      </c>
      <c r="E2556" s="3" t="s">
        <v>56</v>
      </c>
      <c r="F2556" s="3"/>
      <c r="G2556" s="3"/>
      <c r="H2556" s="3"/>
      <c r="I2556" s="3"/>
    </row>
    <row r="2557" spans="1:9" s="5" customFormat="1" x14ac:dyDescent="0.35">
      <c r="A2557" s="3" t="s">
        <v>907</v>
      </c>
      <c r="B2557" s="3" t="s">
        <v>1010</v>
      </c>
      <c r="C2557" s="3" t="s">
        <v>45</v>
      </c>
      <c r="D2557" s="3" t="s">
        <v>1041</v>
      </c>
      <c r="E2557" s="3" t="s">
        <v>224</v>
      </c>
      <c r="F2557" s="3"/>
      <c r="G2557" s="3"/>
      <c r="H2557" s="3"/>
      <c r="I2557" s="3"/>
    </row>
    <row r="2558" spans="1:9" s="5" customFormat="1" x14ac:dyDescent="0.35">
      <c r="A2558" s="3" t="s">
        <v>907</v>
      </c>
      <c r="B2558" s="3" t="s">
        <v>1010</v>
      </c>
      <c r="C2558" s="3" t="s">
        <v>45</v>
      </c>
      <c r="D2558" s="3" t="s">
        <v>1042</v>
      </c>
      <c r="E2558" s="3" t="s">
        <v>166</v>
      </c>
      <c r="F2558" s="3"/>
      <c r="G2558" s="3"/>
      <c r="H2558" s="3"/>
      <c r="I2558" s="3"/>
    </row>
    <row r="2559" spans="1:9" s="5" customFormat="1" x14ac:dyDescent="0.35">
      <c r="A2559" s="3" t="s">
        <v>907</v>
      </c>
      <c r="B2559" s="3" t="s">
        <v>1010</v>
      </c>
      <c r="C2559" s="3" t="s">
        <v>45</v>
      </c>
      <c r="D2559" s="3" t="s">
        <v>1042</v>
      </c>
      <c r="E2559" s="3" t="s">
        <v>217</v>
      </c>
      <c r="F2559" s="3"/>
      <c r="G2559" s="3"/>
      <c r="H2559" s="3"/>
      <c r="I2559" s="3"/>
    </row>
    <row r="2560" spans="1:9" s="5" customFormat="1" x14ac:dyDescent="0.35">
      <c r="A2560" s="3" t="s">
        <v>907</v>
      </c>
      <c r="B2560" s="3" t="s">
        <v>1010</v>
      </c>
      <c r="C2560" s="3" t="s">
        <v>45</v>
      </c>
      <c r="D2560" s="3" t="s">
        <v>1042</v>
      </c>
      <c r="E2560" s="3" t="s">
        <v>60</v>
      </c>
      <c r="F2560" s="3"/>
      <c r="G2560" s="3"/>
      <c r="H2560" s="3"/>
      <c r="I2560" s="3"/>
    </row>
    <row r="2561" spans="1:9" s="5" customFormat="1" x14ac:dyDescent="0.35">
      <c r="A2561" s="3" t="s">
        <v>907</v>
      </c>
      <c r="B2561" s="3" t="s">
        <v>1010</v>
      </c>
      <c r="C2561" s="3" t="s">
        <v>45</v>
      </c>
      <c r="D2561" s="3" t="s">
        <v>1042</v>
      </c>
      <c r="E2561" s="3" t="s">
        <v>220</v>
      </c>
      <c r="F2561" s="3"/>
      <c r="G2561" s="3"/>
      <c r="H2561" s="3"/>
      <c r="I2561" s="3"/>
    </row>
    <row r="2562" spans="1:9" s="5" customFormat="1" x14ac:dyDescent="0.35">
      <c r="A2562" s="3" t="s">
        <v>907</v>
      </c>
      <c r="B2562" s="3" t="s">
        <v>1010</v>
      </c>
      <c r="C2562" s="3" t="s">
        <v>45</v>
      </c>
      <c r="D2562" s="3" t="s">
        <v>1042</v>
      </c>
      <c r="E2562" s="3" t="s">
        <v>225</v>
      </c>
      <c r="F2562" s="3"/>
      <c r="G2562" s="3"/>
      <c r="H2562" s="3"/>
      <c r="I2562" s="3"/>
    </row>
    <row r="2563" spans="1:9" s="5" customFormat="1" x14ac:dyDescent="0.35">
      <c r="A2563" s="3" t="s">
        <v>907</v>
      </c>
      <c r="B2563" s="3" t="s">
        <v>1010</v>
      </c>
      <c r="C2563" s="3" t="s">
        <v>45</v>
      </c>
      <c r="D2563" s="3" t="s">
        <v>1042</v>
      </c>
      <c r="E2563" s="3" t="s">
        <v>221</v>
      </c>
      <c r="F2563" s="3"/>
      <c r="G2563" s="3"/>
      <c r="H2563" s="3"/>
      <c r="I2563" s="3"/>
    </row>
    <row r="2564" spans="1:9" s="5" customFormat="1" x14ac:dyDescent="0.35">
      <c r="A2564" s="3" t="s">
        <v>907</v>
      </c>
      <c r="B2564" s="3" t="s">
        <v>1010</v>
      </c>
      <c r="C2564" s="3" t="s">
        <v>45</v>
      </c>
      <c r="D2564" s="3" t="s">
        <v>1042</v>
      </c>
      <c r="E2564" s="3" t="s">
        <v>222</v>
      </c>
      <c r="F2564" s="3"/>
      <c r="G2564" s="3"/>
      <c r="H2564" s="3"/>
      <c r="I2564" s="3"/>
    </row>
    <row r="2565" spans="1:9" s="5" customFormat="1" x14ac:dyDescent="0.35">
      <c r="A2565" s="3" t="s">
        <v>907</v>
      </c>
      <c r="B2565" s="3" t="s">
        <v>1010</v>
      </c>
      <c r="C2565" s="3" t="s">
        <v>45</v>
      </c>
      <c r="D2565" s="3" t="s">
        <v>1042</v>
      </c>
      <c r="E2565" s="3" t="s">
        <v>223</v>
      </c>
      <c r="F2565" s="3"/>
      <c r="G2565" s="3"/>
      <c r="H2565" s="3"/>
      <c r="I2565" s="3"/>
    </row>
    <row r="2566" spans="1:9" s="5" customFormat="1" x14ac:dyDescent="0.35">
      <c r="A2566" s="3" t="s">
        <v>907</v>
      </c>
      <c r="B2566" s="3" t="s">
        <v>1010</v>
      </c>
      <c r="C2566" s="3" t="s">
        <v>45</v>
      </c>
      <c r="D2566" s="3" t="s">
        <v>1042</v>
      </c>
      <c r="E2566" s="3" t="s">
        <v>226</v>
      </c>
      <c r="F2566" s="3"/>
      <c r="G2566" s="3"/>
      <c r="H2566" s="3"/>
      <c r="I2566" s="3"/>
    </row>
    <row r="2567" spans="1:9" s="5" customFormat="1" x14ac:dyDescent="0.35">
      <c r="A2567" s="3" t="s">
        <v>907</v>
      </c>
      <c r="B2567" s="3" t="s">
        <v>1010</v>
      </c>
      <c r="C2567" s="3" t="s">
        <v>45</v>
      </c>
      <c r="D2567" s="3" t="s">
        <v>1042</v>
      </c>
      <c r="E2567" s="3" t="s">
        <v>227</v>
      </c>
      <c r="F2567" s="3"/>
      <c r="G2567" s="3"/>
      <c r="H2567" s="3"/>
      <c r="I2567" s="3"/>
    </row>
    <row r="2568" spans="1:9" s="5" customFormat="1" x14ac:dyDescent="0.35">
      <c r="A2568" s="3" t="s">
        <v>907</v>
      </c>
      <c r="B2568" s="3" t="s">
        <v>1010</v>
      </c>
      <c r="C2568" s="3" t="s">
        <v>45</v>
      </c>
      <c r="D2568" s="3" t="s">
        <v>1042</v>
      </c>
      <c r="E2568" s="3" t="s">
        <v>228</v>
      </c>
      <c r="F2568" s="3"/>
      <c r="G2568" s="3"/>
      <c r="H2568" s="3"/>
      <c r="I2568" s="3"/>
    </row>
    <row r="2569" spans="1:9" s="5" customFormat="1" x14ac:dyDescent="0.35">
      <c r="A2569" s="3" t="s">
        <v>907</v>
      </c>
      <c r="B2569" s="3" t="s">
        <v>1010</v>
      </c>
      <c r="C2569" s="3" t="s">
        <v>45</v>
      </c>
      <c r="D2569" s="3" t="s">
        <v>1042</v>
      </c>
      <c r="E2569" s="3" t="s">
        <v>56</v>
      </c>
      <c r="F2569" s="3"/>
      <c r="G2569" s="3" t="s">
        <v>2346</v>
      </c>
      <c r="H2569" s="3"/>
      <c r="I2569" s="3"/>
    </row>
    <row r="2570" spans="1:9" s="5" customFormat="1" x14ac:dyDescent="0.35">
      <c r="A2570" s="3" t="s">
        <v>907</v>
      </c>
      <c r="B2570" s="3" t="s">
        <v>1010</v>
      </c>
      <c r="C2570" s="3" t="s">
        <v>45</v>
      </c>
      <c r="D2570" s="3" t="s">
        <v>1042</v>
      </c>
      <c r="E2570" s="3" t="s">
        <v>229</v>
      </c>
      <c r="F2570" s="3"/>
      <c r="G2570" s="3"/>
      <c r="H2570" s="3"/>
      <c r="I2570" s="3"/>
    </row>
    <row r="2571" spans="1:9" s="5" customFormat="1" x14ac:dyDescent="0.35">
      <c r="A2571" s="3" t="s">
        <v>907</v>
      </c>
      <c r="B2571" s="3" t="s">
        <v>1010</v>
      </c>
      <c r="C2571" s="3" t="s">
        <v>45</v>
      </c>
      <c r="D2571" s="3" t="s">
        <v>1042</v>
      </c>
      <c r="E2571" s="3" t="s">
        <v>230</v>
      </c>
      <c r="F2571" s="3"/>
      <c r="G2571" s="3"/>
      <c r="H2571" s="3"/>
      <c r="I2571" s="3"/>
    </row>
    <row r="2572" spans="1:9" s="5" customFormat="1" x14ac:dyDescent="0.35">
      <c r="A2572" s="3" t="s">
        <v>907</v>
      </c>
      <c r="B2572" s="3" t="s">
        <v>1010</v>
      </c>
      <c r="C2572" s="3" t="s">
        <v>45</v>
      </c>
      <c r="D2572" s="3" t="s">
        <v>1042</v>
      </c>
      <c r="E2572" s="3" t="s">
        <v>219</v>
      </c>
      <c r="F2572" s="3"/>
      <c r="G2572" s="3"/>
      <c r="H2572" s="3"/>
      <c r="I2572" s="3"/>
    </row>
    <row r="2573" spans="1:9" s="5" customFormat="1" x14ac:dyDescent="0.35">
      <c r="A2573" s="3" t="s">
        <v>907</v>
      </c>
      <c r="B2573" s="3" t="s">
        <v>1010</v>
      </c>
      <c r="C2573" s="3" t="s">
        <v>45</v>
      </c>
      <c r="D2573" s="3" t="s">
        <v>1042</v>
      </c>
      <c r="E2573" s="3" t="s">
        <v>372</v>
      </c>
      <c r="F2573" s="3"/>
      <c r="G2573" s="3"/>
      <c r="H2573" s="3"/>
      <c r="I2573" s="3"/>
    </row>
    <row r="2574" spans="1:9" s="5" customFormat="1" x14ac:dyDescent="0.35">
      <c r="A2574" s="3" t="s">
        <v>907</v>
      </c>
      <c r="B2574" s="3" t="s">
        <v>1010</v>
      </c>
      <c r="C2574" s="3" t="s">
        <v>45</v>
      </c>
      <c r="D2574" s="3" t="s">
        <v>1042</v>
      </c>
      <c r="E2574" s="3" t="s">
        <v>218</v>
      </c>
      <c r="F2574" s="3"/>
      <c r="G2574" s="3"/>
      <c r="H2574" s="3"/>
      <c r="I2574" s="3"/>
    </row>
    <row r="2575" spans="1:9" s="5" customFormat="1" x14ac:dyDescent="0.35">
      <c r="A2575" s="3" t="s">
        <v>907</v>
      </c>
      <c r="B2575" s="3" t="s">
        <v>1010</v>
      </c>
      <c r="C2575" s="3" t="s">
        <v>45</v>
      </c>
      <c r="D2575" s="3" t="s">
        <v>1042</v>
      </c>
      <c r="E2575" s="3" t="s">
        <v>224</v>
      </c>
      <c r="F2575" s="3"/>
      <c r="G2575" s="3"/>
      <c r="H2575" s="3"/>
      <c r="I2575" s="3"/>
    </row>
    <row r="2576" spans="1:9" s="5" customFormat="1" x14ac:dyDescent="0.35">
      <c r="A2576" s="3" t="s">
        <v>907</v>
      </c>
      <c r="B2576" s="3" t="s">
        <v>1010</v>
      </c>
      <c r="C2576" s="3" t="s">
        <v>45</v>
      </c>
      <c r="D2576" s="3" t="s">
        <v>1043</v>
      </c>
      <c r="E2576" s="3" t="s">
        <v>217</v>
      </c>
      <c r="F2576" s="3"/>
      <c r="G2576" s="3" t="s">
        <v>2286</v>
      </c>
      <c r="H2576" s="3"/>
      <c r="I2576" s="3"/>
    </row>
    <row r="2577" spans="1:9" s="5" customFormat="1" x14ac:dyDescent="0.35">
      <c r="A2577" s="3" t="s">
        <v>907</v>
      </c>
      <c r="B2577" s="3" t="s">
        <v>1010</v>
      </c>
      <c r="C2577" s="3" t="s">
        <v>45</v>
      </c>
      <c r="D2577" s="3" t="s">
        <v>1043</v>
      </c>
      <c r="E2577" s="3" t="s">
        <v>224</v>
      </c>
      <c r="F2577" s="3"/>
      <c r="G2577" s="3"/>
      <c r="H2577" s="3"/>
      <c r="I2577" s="3"/>
    </row>
    <row r="2578" spans="1:9" s="5" customFormat="1" x14ac:dyDescent="0.35">
      <c r="A2578" s="3" t="s">
        <v>907</v>
      </c>
      <c r="B2578" s="3" t="s">
        <v>1010</v>
      </c>
      <c r="C2578" s="3" t="s">
        <v>20</v>
      </c>
      <c r="D2578" s="3" t="s">
        <v>2896</v>
      </c>
      <c r="E2578" s="3" t="s">
        <v>15</v>
      </c>
      <c r="F2578" s="3" t="s">
        <v>16</v>
      </c>
      <c r="G2578" s="3" t="s">
        <v>2897</v>
      </c>
      <c r="H2578" s="3"/>
      <c r="I2578" s="3"/>
    </row>
    <row r="2579" spans="1:9" s="5" customFormat="1" x14ac:dyDescent="0.35">
      <c r="A2579" s="3" t="s">
        <v>907</v>
      </c>
      <c r="B2579" s="3" t="s">
        <v>1010</v>
      </c>
      <c r="C2579" s="3" t="s">
        <v>20</v>
      </c>
      <c r="D2579" s="3" t="s">
        <v>2896</v>
      </c>
      <c r="E2579" s="3" t="s">
        <v>56</v>
      </c>
      <c r="F2579" s="3" t="s">
        <v>16</v>
      </c>
      <c r="G2579" s="3" t="s">
        <v>2898</v>
      </c>
      <c r="H2579" s="3"/>
      <c r="I2579" s="3"/>
    </row>
    <row r="2580" spans="1:9" s="5" customFormat="1" x14ac:dyDescent="0.35">
      <c r="A2580" s="3" t="s">
        <v>907</v>
      </c>
      <c r="B2580" s="3" t="s">
        <v>1010</v>
      </c>
      <c r="C2580" s="3" t="s">
        <v>20</v>
      </c>
      <c r="D2580" s="3" t="s">
        <v>2896</v>
      </c>
      <c r="E2580" s="3" t="s">
        <v>191</v>
      </c>
      <c r="F2580" s="3" t="s">
        <v>16</v>
      </c>
      <c r="G2580" s="3" t="s">
        <v>2899</v>
      </c>
      <c r="H2580" s="3"/>
      <c r="I2580" s="3"/>
    </row>
    <row r="2581" spans="1:9" s="5" customFormat="1" x14ac:dyDescent="0.35">
      <c r="A2581" s="3" t="s">
        <v>907</v>
      </c>
      <c r="B2581" s="3" t="s">
        <v>1010</v>
      </c>
      <c r="C2581" s="3" t="s">
        <v>45</v>
      </c>
      <c r="D2581" s="3" t="s">
        <v>1044</v>
      </c>
      <c r="E2581" s="3" t="s">
        <v>217</v>
      </c>
      <c r="F2581" s="3"/>
      <c r="G2581" s="3"/>
      <c r="H2581" s="3"/>
      <c r="I2581" s="3"/>
    </row>
    <row r="2582" spans="1:9" s="5" customFormat="1" x14ac:dyDescent="0.35">
      <c r="A2582" s="3" t="s">
        <v>907</v>
      </c>
      <c r="B2582" s="3" t="s">
        <v>1010</v>
      </c>
      <c r="C2582" s="3" t="s">
        <v>45</v>
      </c>
      <c r="D2582" s="3" t="s">
        <v>1044</v>
      </c>
      <c r="E2582" s="3" t="s">
        <v>56</v>
      </c>
      <c r="F2582" s="3"/>
      <c r="G2582" s="3" t="s">
        <v>2347</v>
      </c>
      <c r="H2582" s="3"/>
      <c r="I2582" s="3"/>
    </row>
    <row r="2583" spans="1:9" s="5" customFormat="1" x14ac:dyDescent="0.35">
      <c r="A2583" s="3" t="s">
        <v>907</v>
      </c>
      <c r="B2583" s="3" t="s">
        <v>1010</v>
      </c>
      <c r="C2583" s="3" t="s">
        <v>45</v>
      </c>
      <c r="D2583" s="3" t="s">
        <v>1044</v>
      </c>
      <c r="E2583" s="3" t="s">
        <v>224</v>
      </c>
      <c r="F2583" s="3"/>
      <c r="G2583" s="3"/>
      <c r="H2583" s="3"/>
      <c r="I2583" s="3"/>
    </row>
    <row r="2584" spans="1:9" s="5" customFormat="1" x14ac:dyDescent="0.35">
      <c r="A2584" s="3" t="s">
        <v>907</v>
      </c>
      <c r="B2584" s="3" t="s">
        <v>1010</v>
      </c>
      <c r="C2584" s="3" t="s">
        <v>20</v>
      </c>
      <c r="D2584" s="3" t="s">
        <v>1045</v>
      </c>
      <c r="E2584" s="3" t="s">
        <v>1018</v>
      </c>
      <c r="F2584" s="3"/>
      <c r="G2584" s="3"/>
      <c r="H2584" s="3"/>
      <c r="I2584" s="3"/>
    </row>
    <row r="2585" spans="1:9" s="5" customFormat="1" x14ac:dyDescent="0.35">
      <c r="A2585" s="3" t="s">
        <v>907</v>
      </c>
      <c r="B2585" s="3" t="s">
        <v>1010</v>
      </c>
      <c r="C2585" s="3" t="s">
        <v>20</v>
      </c>
      <c r="D2585" s="3" t="s">
        <v>1045</v>
      </c>
      <c r="E2585" s="3" t="s">
        <v>27</v>
      </c>
      <c r="F2585" s="3"/>
      <c r="G2585" s="3"/>
      <c r="H2585" s="3"/>
      <c r="I2585" s="3"/>
    </row>
    <row r="2586" spans="1:9" s="5" customFormat="1" x14ac:dyDescent="0.35">
      <c r="A2586" s="3" t="s">
        <v>907</v>
      </c>
      <c r="B2586" s="3" t="s">
        <v>1010</v>
      </c>
      <c r="C2586" s="3" t="s">
        <v>20</v>
      </c>
      <c r="D2586" s="3" t="s">
        <v>1045</v>
      </c>
      <c r="E2586" s="3" t="s">
        <v>77</v>
      </c>
      <c r="F2586" s="3"/>
      <c r="G2586" s="3"/>
      <c r="H2586" s="3"/>
      <c r="I2586" s="3"/>
    </row>
    <row r="2587" spans="1:9" s="5" customFormat="1" x14ac:dyDescent="0.35">
      <c r="A2587" s="3" t="s">
        <v>907</v>
      </c>
      <c r="B2587" s="3" t="s">
        <v>1010</v>
      </c>
      <c r="C2587" s="3" t="s">
        <v>20</v>
      </c>
      <c r="D2587" s="3" t="s">
        <v>1045</v>
      </c>
      <c r="E2587" s="3" t="s">
        <v>152</v>
      </c>
      <c r="F2587" s="3"/>
      <c r="G2587" s="3"/>
      <c r="H2587" s="3"/>
      <c r="I2587" s="3"/>
    </row>
    <row r="2588" spans="1:9" s="5" customFormat="1" x14ac:dyDescent="0.35">
      <c r="A2588" s="3" t="s">
        <v>907</v>
      </c>
      <c r="B2588" s="3" t="s">
        <v>1010</v>
      </c>
      <c r="C2588" s="3" t="s">
        <v>20</v>
      </c>
      <c r="D2588" s="3" t="s">
        <v>1045</v>
      </c>
      <c r="E2588" s="3" t="s">
        <v>968</v>
      </c>
      <c r="F2588" s="3"/>
      <c r="G2588" s="3"/>
      <c r="H2588" s="3"/>
      <c r="I2588" s="3"/>
    </row>
    <row r="2589" spans="1:9" s="5" customFormat="1" x14ac:dyDescent="0.35">
      <c r="A2589" s="3" t="s">
        <v>907</v>
      </c>
      <c r="B2589" s="3" t="s">
        <v>1010</v>
      </c>
      <c r="C2589" s="3" t="s">
        <v>20</v>
      </c>
      <c r="D2589" s="3" t="s">
        <v>2797</v>
      </c>
      <c r="E2589" s="3" t="s">
        <v>77</v>
      </c>
      <c r="F2589" s="3"/>
      <c r="G2589" s="3"/>
      <c r="H2589" s="3"/>
      <c r="I2589" s="3"/>
    </row>
    <row r="2590" spans="1:9" s="5" customFormat="1" x14ac:dyDescent="0.35">
      <c r="A2590" s="3" t="s">
        <v>907</v>
      </c>
      <c r="B2590" s="3" t="s">
        <v>1010</v>
      </c>
      <c r="C2590" s="3" t="s">
        <v>20</v>
      </c>
      <c r="D2590" s="3" t="s">
        <v>2797</v>
      </c>
      <c r="E2590" s="3" t="s">
        <v>152</v>
      </c>
      <c r="F2590" s="3"/>
      <c r="G2590" s="3"/>
      <c r="H2590" s="3"/>
      <c r="I2590" s="3"/>
    </row>
    <row r="2591" spans="1:9" s="5" customFormat="1" x14ac:dyDescent="0.35">
      <c r="A2591" s="3" t="s">
        <v>907</v>
      </c>
      <c r="B2591" s="3" t="s">
        <v>1010</v>
      </c>
      <c r="C2591" s="3" t="s">
        <v>20</v>
      </c>
      <c r="D2591" s="3" t="s">
        <v>2797</v>
      </c>
      <c r="E2591" s="3" t="s">
        <v>191</v>
      </c>
      <c r="F2591" s="3"/>
      <c r="G2591" s="3"/>
      <c r="H2591" s="3"/>
      <c r="I2591" s="3"/>
    </row>
    <row r="2592" spans="1:9" s="5" customFormat="1" x14ac:dyDescent="0.35">
      <c r="A2592" s="3" t="s">
        <v>907</v>
      </c>
      <c r="B2592" s="3" t="s">
        <v>1010</v>
      </c>
      <c r="C2592" s="3" t="s">
        <v>20</v>
      </c>
      <c r="D2592" s="3" t="s">
        <v>2798</v>
      </c>
      <c r="E2592" s="3" t="s">
        <v>56</v>
      </c>
      <c r="F2592" s="3"/>
      <c r="G2592" s="3" t="s">
        <v>2799</v>
      </c>
      <c r="H2592" s="3"/>
      <c r="I2592" s="3"/>
    </row>
    <row r="2593" spans="1:9" s="5" customFormat="1" x14ac:dyDescent="0.35">
      <c r="A2593" s="3" t="s">
        <v>907</v>
      </c>
      <c r="B2593" s="3" t="s">
        <v>1010</v>
      </c>
      <c r="C2593" s="3" t="s">
        <v>20</v>
      </c>
      <c r="D2593" s="3" t="s">
        <v>2798</v>
      </c>
      <c r="E2593" s="3" t="s">
        <v>37</v>
      </c>
      <c r="F2593" s="3"/>
      <c r="G2593" s="3" t="s">
        <v>2800</v>
      </c>
      <c r="H2593" s="3"/>
      <c r="I2593" s="3"/>
    </row>
    <row r="2594" spans="1:9" s="5" customFormat="1" x14ac:dyDescent="0.35">
      <c r="A2594" s="3" t="s">
        <v>907</v>
      </c>
      <c r="B2594" s="3" t="s">
        <v>1010</v>
      </c>
      <c r="C2594" s="3" t="s">
        <v>591</v>
      </c>
      <c r="D2594" s="3" t="s">
        <v>1046</v>
      </c>
      <c r="E2594" s="3" t="s">
        <v>26</v>
      </c>
      <c r="F2594" s="3" t="s">
        <v>16</v>
      </c>
      <c r="G2594" s="3" t="s">
        <v>2871</v>
      </c>
      <c r="H2594" s="3"/>
      <c r="I2594" s="3"/>
    </row>
    <row r="2595" spans="1:9" s="5" customFormat="1" x14ac:dyDescent="0.35">
      <c r="A2595" s="3" t="s">
        <v>907</v>
      </c>
      <c r="B2595" s="3" t="s">
        <v>1010</v>
      </c>
      <c r="C2595" s="3" t="s">
        <v>45</v>
      </c>
      <c r="D2595" s="3" t="s">
        <v>1047</v>
      </c>
      <c r="E2595" s="3" t="s">
        <v>166</v>
      </c>
      <c r="F2595" s="3"/>
      <c r="G2595" s="3"/>
      <c r="H2595" s="3"/>
      <c r="I2595" s="3"/>
    </row>
    <row r="2596" spans="1:9" s="5" customFormat="1" x14ac:dyDescent="0.35">
      <c r="A2596" s="3" t="s">
        <v>907</v>
      </c>
      <c r="B2596" s="3" t="s">
        <v>1010</v>
      </c>
      <c r="C2596" s="3" t="s">
        <v>45</v>
      </c>
      <c r="D2596" s="3" t="s">
        <v>1047</v>
      </c>
      <c r="E2596" s="3" t="s">
        <v>217</v>
      </c>
      <c r="F2596" s="3"/>
      <c r="G2596" s="3"/>
      <c r="H2596" s="3"/>
      <c r="I2596" s="3"/>
    </row>
    <row r="2597" spans="1:9" s="5" customFormat="1" x14ac:dyDescent="0.35">
      <c r="A2597" s="3" t="s">
        <v>907</v>
      </c>
      <c r="B2597" s="3" t="s">
        <v>1010</v>
      </c>
      <c r="C2597" s="3" t="s">
        <v>45</v>
      </c>
      <c r="D2597" s="3" t="s">
        <v>1047</v>
      </c>
      <c r="E2597" s="3" t="s">
        <v>220</v>
      </c>
      <c r="F2597" s="3"/>
      <c r="G2597" s="3"/>
      <c r="H2597" s="3"/>
      <c r="I2597" s="3"/>
    </row>
    <row r="2598" spans="1:9" s="5" customFormat="1" x14ac:dyDescent="0.35">
      <c r="A2598" s="3" t="s">
        <v>907</v>
      </c>
      <c r="B2598" s="3" t="s">
        <v>1010</v>
      </c>
      <c r="C2598" s="3" t="s">
        <v>45</v>
      </c>
      <c r="D2598" s="3" t="s">
        <v>1047</v>
      </c>
      <c r="E2598" s="3" t="s">
        <v>225</v>
      </c>
      <c r="F2598" s="3"/>
      <c r="G2598" s="3"/>
      <c r="H2598" s="3"/>
      <c r="I2598" s="3"/>
    </row>
    <row r="2599" spans="1:9" s="5" customFormat="1" x14ac:dyDescent="0.35">
      <c r="A2599" s="3" t="s">
        <v>907</v>
      </c>
      <c r="B2599" s="3" t="s">
        <v>1010</v>
      </c>
      <c r="C2599" s="3" t="s">
        <v>45</v>
      </c>
      <c r="D2599" s="3" t="s">
        <v>1047</v>
      </c>
      <c r="E2599" s="3" t="s">
        <v>221</v>
      </c>
      <c r="F2599" s="3"/>
      <c r="G2599" s="3"/>
      <c r="H2599" s="3"/>
      <c r="I2599" s="3"/>
    </row>
    <row r="2600" spans="1:9" s="5" customFormat="1" x14ac:dyDescent="0.35">
      <c r="A2600" s="3" t="s">
        <v>907</v>
      </c>
      <c r="B2600" s="3" t="s">
        <v>1010</v>
      </c>
      <c r="C2600" s="3" t="s">
        <v>45</v>
      </c>
      <c r="D2600" s="3" t="s">
        <v>1047</v>
      </c>
      <c r="E2600" s="3" t="s">
        <v>222</v>
      </c>
      <c r="F2600" s="3"/>
      <c r="G2600" s="3"/>
      <c r="H2600" s="3"/>
      <c r="I2600" s="3"/>
    </row>
    <row r="2601" spans="1:9" s="5" customFormat="1" x14ac:dyDescent="0.35">
      <c r="A2601" s="3" t="s">
        <v>907</v>
      </c>
      <c r="B2601" s="3" t="s">
        <v>1010</v>
      </c>
      <c r="C2601" s="3" t="s">
        <v>45</v>
      </c>
      <c r="D2601" s="3" t="s">
        <v>1047</v>
      </c>
      <c r="E2601" s="3" t="s">
        <v>223</v>
      </c>
      <c r="F2601" s="3"/>
      <c r="G2601" s="3"/>
      <c r="H2601" s="3"/>
      <c r="I2601" s="3"/>
    </row>
    <row r="2602" spans="1:9" s="5" customFormat="1" x14ac:dyDescent="0.35">
      <c r="A2602" s="3" t="s">
        <v>907</v>
      </c>
      <c r="B2602" s="3" t="s">
        <v>1010</v>
      </c>
      <c r="C2602" s="3" t="s">
        <v>45</v>
      </c>
      <c r="D2602" s="3" t="s">
        <v>1047</v>
      </c>
      <c r="E2602" s="3" t="s">
        <v>226</v>
      </c>
      <c r="F2602" s="3"/>
      <c r="G2602" s="3"/>
      <c r="H2602" s="3"/>
      <c r="I2602" s="3"/>
    </row>
    <row r="2603" spans="1:9" s="5" customFormat="1" x14ac:dyDescent="0.35">
      <c r="A2603" s="3" t="s">
        <v>907</v>
      </c>
      <c r="B2603" s="3" t="s">
        <v>1010</v>
      </c>
      <c r="C2603" s="3" t="s">
        <v>45</v>
      </c>
      <c r="D2603" s="3" t="s">
        <v>1047</v>
      </c>
      <c r="E2603" s="3" t="s">
        <v>227</v>
      </c>
      <c r="F2603" s="3"/>
      <c r="G2603" s="3"/>
      <c r="H2603" s="3"/>
      <c r="I2603" s="3"/>
    </row>
    <row r="2604" spans="1:9" s="5" customFormat="1" x14ac:dyDescent="0.35">
      <c r="A2604" s="3" t="s">
        <v>907</v>
      </c>
      <c r="B2604" s="3" t="s">
        <v>1010</v>
      </c>
      <c r="C2604" s="3" t="s">
        <v>45</v>
      </c>
      <c r="D2604" s="3" t="s">
        <v>1047</v>
      </c>
      <c r="E2604" s="3" t="s">
        <v>228</v>
      </c>
      <c r="F2604" s="3"/>
      <c r="G2604" s="3"/>
      <c r="H2604" s="3"/>
      <c r="I2604" s="3"/>
    </row>
    <row r="2605" spans="1:9" s="5" customFormat="1" x14ac:dyDescent="0.35">
      <c r="A2605" s="3" t="s">
        <v>907</v>
      </c>
      <c r="B2605" s="3" t="s">
        <v>1010</v>
      </c>
      <c r="C2605" s="3" t="s">
        <v>45</v>
      </c>
      <c r="D2605" s="3" t="s">
        <v>1047</v>
      </c>
      <c r="E2605" s="3" t="s">
        <v>56</v>
      </c>
      <c r="F2605" s="3"/>
      <c r="G2605" s="3" t="s">
        <v>2341</v>
      </c>
      <c r="H2605" s="3"/>
      <c r="I2605" s="3"/>
    </row>
    <row r="2606" spans="1:9" s="5" customFormat="1" x14ac:dyDescent="0.35">
      <c r="A2606" s="3" t="s">
        <v>907</v>
      </c>
      <c r="B2606" s="3" t="s">
        <v>1010</v>
      </c>
      <c r="C2606" s="3" t="s">
        <v>45</v>
      </c>
      <c r="D2606" s="3" t="s">
        <v>1047</v>
      </c>
      <c r="E2606" s="3" t="s">
        <v>229</v>
      </c>
      <c r="F2606" s="3"/>
      <c r="G2606" s="3"/>
      <c r="H2606" s="3"/>
      <c r="I2606" s="3"/>
    </row>
    <row r="2607" spans="1:9" s="5" customFormat="1" x14ac:dyDescent="0.35">
      <c r="A2607" s="3" t="s">
        <v>907</v>
      </c>
      <c r="B2607" s="3" t="s">
        <v>1010</v>
      </c>
      <c r="C2607" s="3" t="s">
        <v>45</v>
      </c>
      <c r="D2607" s="3" t="s">
        <v>1047</v>
      </c>
      <c r="E2607" s="3" t="s">
        <v>230</v>
      </c>
      <c r="F2607" s="3"/>
      <c r="G2607" s="3"/>
      <c r="H2607" s="3"/>
      <c r="I2607" s="3"/>
    </row>
    <row r="2608" spans="1:9" s="5" customFormat="1" x14ac:dyDescent="0.35">
      <c r="A2608" s="3" t="s">
        <v>907</v>
      </c>
      <c r="B2608" s="3" t="s">
        <v>1010</v>
      </c>
      <c r="C2608" s="3" t="s">
        <v>45</v>
      </c>
      <c r="D2608" s="3" t="s">
        <v>1047</v>
      </c>
      <c r="E2608" s="3" t="s">
        <v>219</v>
      </c>
      <c r="F2608" s="3"/>
      <c r="G2608" s="3"/>
      <c r="H2608" s="3"/>
      <c r="I2608" s="3"/>
    </row>
    <row r="2609" spans="1:9" s="5" customFormat="1" x14ac:dyDescent="0.35">
      <c r="A2609" s="3" t="s">
        <v>907</v>
      </c>
      <c r="B2609" s="3" t="s">
        <v>1010</v>
      </c>
      <c r="C2609" s="3" t="s">
        <v>45</v>
      </c>
      <c r="D2609" s="3" t="s">
        <v>1047</v>
      </c>
      <c r="E2609" s="3" t="s">
        <v>372</v>
      </c>
      <c r="F2609" s="3"/>
      <c r="G2609" s="3"/>
      <c r="H2609" s="3"/>
      <c r="I2609" s="3"/>
    </row>
    <row r="2610" spans="1:9" s="5" customFormat="1" x14ac:dyDescent="0.35">
      <c r="A2610" s="3" t="s">
        <v>907</v>
      </c>
      <c r="B2610" s="3" t="s">
        <v>1010</v>
      </c>
      <c r="C2610" s="3" t="s">
        <v>45</v>
      </c>
      <c r="D2610" s="3" t="s">
        <v>1047</v>
      </c>
      <c r="E2610" s="3" t="s">
        <v>218</v>
      </c>
      <c r="F2610" s="3"/>
      <c r="G2610" s="3"/>
      <c r="H2610" s="3"/>
      <c r="I2610" s="3"/>
    </row>
    <row r="2611" spans="1:9" s="5" customFormat="1" x14ac:dyDescent="0.35">
      <c r="A2611" s="3" t="s">
        <v>907</v>
      </c>
      <c r="B2611" s="3" t="s">
        <v>1010</v>
      </c>
      <c r="C2611" s="3" t="s">
        <v>45</v>
      </c>
      <c r="D2611" s="3" t="s">
        <v>1047</v>
      </c>
      <c r="E2611" s="3" t="s">
        <v>224</v>
      </c>
      <c r="F2611" s="3"/>
      <c r="G2611" s="3"/>
      <c r="H2611" s="3"/>
      <c r="I2611" s="3"/>
    </row>
    <row r="2612" spans="1:9" s="5" customFormat="1" x14ac:dyDescent="0.35">
      <c r="A2612" s="3" t="s">
        <v>907</v>
      </c>
      <c r="B2612" s="3" t="s">
        <v>1010</v>
      </c>
      <c r="C2612" s="3" t="s">
        <v>20</v>
      </c>
      <c r="D2612" s="3" t="s">
        <v>1048</v>
      </c>
      <c r="E2612" s="3" t="s">
        <v>47</v>
      </c>
      <c r="F2612" s="3"/>
      <c r="G2612" s="3"/>
      <c r="H2612" s="3"/>
      <c r="I2612" s="3"/>
    </row>
    <row r="2613" spans="1:9" s="5" customFormat="1" x14ac:dyDescent="0.35">
      <c r="A2613" s="3" t="s">
        <v>907</v>
      </c>
      <c r="B2613" s="3" t="s">
        <v>1010</v>
      </c>
      <c r="C2613" s="3" t="s">
        <v>20</v>
      </c>
      <c r="D2613" s="3" t="s">
        <v>1048</v>
      </c>
      <c r="E2613" s="3" t="s">
        <v>60</v>
      </c>
      <c r="F2613" s="3"/>
      <c r="G2613" s="3" t="s">
        <v>2355</v>
      </c>
      <c r="H2613" s="3"/>
      <c r="I2613" s="3"/>
    </row>
    <row r="2614" spans="1:9" s="5" customFormat="1" x14ac:dyDescent="0.35">
      <c r="A2614" s="3" t="s">
        <v>907</v>
      </c>
      <c r="B2614" s="3" t="s">
        <v>1010</v>
      </c>
      <c r="C2614" s="3" t="s">
        <v>20</v>
      </c>
      <c r="D2614" s="3" t="s">
        <v>1048</v>
      </c>
      <c r="E2614" s="3" t="s">
        <v>77</v>
      </c>
      <c r="F2614" s="3"/>
      <c r="G2614" s="3"/>
      <c r="H2614" s="3"/>
      <c r="I2614" s="3"/>
    </row>
    <row r="2615" spans="1:9" s="5" customFormat="1" x14ac:dyDescent="0.35">
      <c r="A2615" s="3" t="s">
        <v>907</v>
      </c>
      <c r="B2615" s="3" t="s">
        <v>1010</v>
      </c>
      <c r="C2615" s="3" t="s">
        <v>20</v>
      </c>
      <c r="D2615" s="3" t="s">
        <v>1048</v>
      </c>
      <c r="E2615" s="3" t="s">
        <v>28</v>
      </c>
      <c r="F2615" s="3"/>
      <c r="G2615" s="3"/>
      <c r="H2615" s="3"/>
      <c r="I2615" s="3"/>
    </row>
    <row r="2616" spans="1:9" s="5" customFormat="1" x14ac:dyDescent="0.35">
      <c r="A2616" s="3" t="s">
        <v>907</v>
      </c>
      <c r="B2616" s="3" t="s">
        <v>1010</v>
      </c>
      <c r="C2616" s="3" t="s">
        <v>20</v>
      </c>
      <c r="D2616" s="3" t="s">
        <v>1048</v>
      </c>
      <c r="E2616" s="3" t="s">
        <v>242</v>
      </c>
      <c r="F2616" s="3"/>
      <c r="G2616" s="3"/>
      <c r="H2616" s="3"/>
      <c r="I2616" s="3"/>
    </row>
    <row r="2617" spans="1:9" s="5" customFormat="1" x14ac:dyDescent="0.35">
      <c r="A2617" s="3" t="s">
        <v>907</v>
      </c>
      <c r="B2617" s="3" t="s">
        <v>1010</v>
      </c>
      <c r="C2617" s="3" t="s">
        <v>20</v>
      </c>
      <c r="D2617" s="3" t="s">
        <v>1048</v>
      </c>
      <c r="E2617" s="3" t="s">
        <v>15</v>
      </c>
      <c r="F2617" s="3" t="s">
        <v>16</v>
      </c>
      <c r="G2617" s="3" t="s">
        <v>990</v>
      </c>
      <c r="H2617" s="3"/>
      <c r="I2617" s="3"/>
    </row>
    <row r="2618" spans="1:9" s="5" customFormat="1" x14ac:dyDescent="0.35">
      <c r="A2618" s="3" t="s">
        <v>907</v>
      </c>
      <c r="B2618" s="3" t="s">
        <v>1010</v>
      </c>
      <c r="C2618" s="3" t="s">
        <v>20</v>
      </c>
      <c r="D2618" s="3" t="s">
        <v>1048</v>
      </c>
      <c r="E2618" s="3" t="s">
        <v>56</v>
      </c>
      <c r="F2618" s="3" t="s">
        <v>16</v>
      </c>
      <c r="G2618" s="3" t="s">
        <v>1050</v>
      </c>
      <c r="H2618" s="3"/>
      <c r="I2618" s="3"/>
    </row>
    <row r="2619" spans="1:9" s="5" customFormat="1" x14ac:dyDescent="0.35">
      <c r="A2619" s="3" t="s">
        <v>907</v>
      </c>
      <c r="B2619" s="3" t="s">
        <v>1010</v>
      </c>
      <c r="C2619" s="3" t="s">
        <v>20</v>
      </c>
      <c r="D2619" s="3" t="s">
        <v>1048</v>
      </c>
      <c r="E2619" s="3" t="s">
        <v>37</v>
      </c>
      <c r="F2619" s="3"/>
      <c r="G2619" s="3"/>
      <c r="H2619" s="3"/>
      <c r="I2619" s="3"/>
    </row>
    <row r="2620" spans="1:9" s="5" customFormat="1" x14ac:dyDescent="0.35">
      <c r="A2620" s="3" t="s">
        <v>907</v>
      </c>
      <c r="B2620" s="3" t="s">
        <v>1010</v>
      </c>
      <c r="C2620" s="3" t="s">
        <v>20</v>
      </c>
      <c r="D2620" s="3" t="s">
        <v>1048</v>
      </c>
      <c r="E2620" s="3" t="s">
        <v>89</v>
      </c>
      <c r="F2620" s="3"/>
      <c r="G2620" s="3"/>
      <c r="H2620" s="3"/>
      <c r="I2620" s="3"/>
    </row>
    <row r="2621" spans="1:9" s="5" customFormat="1" x14ac:dyDescent="0.35">
      <c r="A2621" s="3" t="s">
        <v>907</v>
      </c>
      <c r="B2621" s="3" t="s">
        <v>1010</v>
      </c>
      <c r="C2621" s="3" t="s">
        <v>20</v>
      </c>
      <c r="D2621" s="3" t="s">
        <v>1048</v>
      </c>
      <c r="E2621" s="3" t="s">
        <v>152</v>
      </c>
      <c r="F2621" s="3"/>
      <c r="G2621" s="3"/>
      <c r="H2621" s="3"/>
      <c r="I2621" s="3"/>
    </row>
    <row r="2622" spans="1:9" s="5" customFormat="1" x14ac:dyDescent="0.35">
      <c r="A2622" s="3" t="s">
        <v>907</v>
      </c>
      <c r="B2622" s="3" t="s">
        <v>1010</v>
      </c>
      <c r="C2622" s="3" t="s">
        <v>20</v>
      </c>
      <c r="D2622" s="3" t="s">
        <v>1048</v>
      </c>
      <c r="E2622" s="3" t="s">
        <v>191</v>
      </c>
      <c r="F2622" s="3"/>
      <c r="G2622" s="3" t="s">
        <v>2354</v>
      </c>
      <c r="H2622" s="3"/>
      <c r="I2622" s="3"/>
    </row>
    <row r="2623" spans="1:9" s="5" customFormat="1" x14ac:dyDescent="0.35">
      <c r="A2623" s="3" t="s">
        <v>907</v>
      </c>
      <c r="B2623" s="3" t="s">
        <v>1010</v>
      </c>
      <c r="C2623" s="3" t="s">
        <v>20</v>
      </c>
      <c r="D2623" s="3" t="s">
        <v>1048</v>
      </c>
      <c r="E2623" s="3" t="s">
        <v>107</v>
      </c>
      <c r="F2623" s="3" t="s">
        <v>16</v>
      </c>
      <c r="G2623" s="3" t="s">
        <v>2900</v>
      </c>
      <c r="H2623" s="3"/>
      <c r="I2623" s="3"/>
    </row>
    <row r="2624" spans="1:9" s="5" customFormat="1" x14ac:dyDescent="0.35">
      <c r="A2624" s="3" t="s">
        <v>907</v>
      </c>
      <c r="B2624" s="3" t="s">
        <v>1010</v>
      </c>
      <c r="C2624" s="3" t="s">
        <v>20</v>
      </c>
      <c r="D2624" s="3" t="s">
        <v>1048</v>
      </c>
      <c r="E2624" s="3" t="s">
        <v>1049</v>
      </c>
      <c r="F2624" s="3"/>
      <c r="G2624" s="3"/>
      <c r="H2624" s="3"/>
      <c r="I2624" s="3"/>
    </row>
    <row r="2625" spans="1:9" s="5" customFormat="1" x14ac:dyDescent="0.35">
      <c r="A2625" s="3" t="s">
        <v>907</v>
      </c>
      <c r="B2625" s="3" t="s">
        <v>1010</v>
      </c>
      <c r="C2625" s="3" t="s">
        <v>20</v>
      </c>
      <c r="D2625" s="3" t="s">
        <v>1048</v>
      </c>
      <c r="E2625" s="3" t="s">
        <v>968</v>
      </c>
      <c r="F2625" s="3"/>
      <c r="G2625" s="3"/>
      <c r="H2625" s="3"/>
      <c r="I2625" s="3"/>
    </row>
    <row r="2626" spans="1:9" s="5" customFormat="1" x14ac:dyDescent="0.35">
      <c r="A2626" s="3" t="s">
        <v>907</v>
      </c>
      <c r="B2626" s="3" t="s">
        <v>1010</v>
      </c>
      <c r="C2626" s="3" t="s">
        <v>20</v>
      </c>
      <c r="D2626" s="3" t="s">
        <v>2689</v>
      </c>
      <c r="E2626" s="3" t="s">
        <v>56</v>
      </c>
      <c r="F2626" s="3" t="s">
        <v>16</v>
      </c>
      <c r="G2626" s="3" t="s">
        <v>2690</v>
      </c>
      <c r="H2626" s="3"/>
      <c r="I2626" s="3"/>
    </row>
    <row r="2627" spans="1:9" s="5" customFormat="1" x14ac:dyDescent="0.35">
      <c r="A2627" s="3" t="s">
        <v>907</v>
      </c>
      <c r="B2627" s="3" t="s">
        <v>1010</v>
      </c>
      <c r="C2627" s="3" t="s">
        <v>591</v>
      </c>
      <c r="D2627" s="3" t="s">
        <v>2864</v>
      </c>
      <c r="E2627" s="3" t="s">
        <v>26</v>
      </c>
      <c r="F2627" s="3" t="s">
        <v>16</v>
      </c>
      <c r="G2627" s="3" t="s">
        <v>2871</v>
      </c>
      <c r="H2627" s="3"/>
      <c r="I2627" s="3"/>
    </row>
    <row r="2628" spans="1:9" s="5" customFormat="1" x14ac:dyDescent="0.35">
      <c r="A2628" s="3" t="s">
        <v>907</v>
      </c>
      <c r="B2628" s="3" t="s">
        <v>1010</v>
      </c>
      <c r="C2628" s="3" t="s">
        <v>20</v>
      </c>
      <c r="D2628" s="3" t="s">
        <v>1051</v>
      </c>
      <c r="E2628" s="3" t="s">
        <v>71</v>
      </c>
      <c r="F2628" s="3" t="s">
        <v>16</v>
      </c>
      <c r="G2628" s="3" t="s">
        <v>2968</v>
      </c>
      <c r="H2628" s="3"/>
      <c r="I2628" s="3"/>
    </row>
    <row r="2629" spans="1:9" s="5" customFormat="1" x14ac:dyDescent="0.35">
      <c r="A2629" s="3" t="s">
        <v>907</v>
      </c>
      <c r="B2629" s="3" t="s">
        <v>1010</v>
      </c>
      <c r="C2629" s="3" t="s">
        <v>20</v>
      </c>
      <c r="D2629" s="3" t="s">
        <v>1051</v>
      </c>
      <c r="E2629" s="3" t="s">
        <v>77</v>
      </c>
      <c r="F2629" s="3"/>
      <c r="G2629" s="3"/>
      <c r="H2629" s="3"/>
      <c r="I2629" s="3"/>
    </row>
    <row r="2630" spans="1:9" s="5" customFormat="1" x14ac:dyDescent="0.35">
      <c r="A2630" s="3" t="s">
        <v>907</v>
      </c>
      <c r="B2630" s="3" t="s">
        <v>1010</v>
      </c>
      <c r="C2630" s="3" t="s">
        <v>20</v>
      </c>
      <c r="D2630" s="3" t="s">
        <v>1051</v>
      </c>
      <c r="E2630" s="3" t="s">
        <v>28</v>
      </c>
      <c r="F2630" s="3"/>
      <c r="G2630" s="3"/>
      <c r="H2630" s="3"/>
      <c r="I2630" s="3"/>
    </row>
    <row r="2631" spans="1:9" s="5" customFormat="1" x14ac:dyDescent="0.35">
      <c r="A2631" s="3" t="s">
        <v>907</v>
      </c>
      <c r="B2631" s="3" t="s">
        <v>1010</v>
      </c>
      <c r="C2631" s="3" t="s">
        <v>20</v>
      </c>
      <c r="D2631" s="3" t="s">
        <v>1051</v>
      </c>
      <c r="E2631" s="3" t="s">
        <v>15</v>
      </c>
      <c r="F2631" s="3" t="s">
        <v>16</v>
      </c>
      <c r="G2631" s="3" t="s">
        <v>1052</v>
      </c>
      <c r="H2631" s="3"/>
      <c r="I2631" s="3"/>
    </row>
    <row r="2632" spans="1:9" s="5" customFormat="1" x14ac:dyDescent="0.35">
      <c r="A2632" s="3" t="s">
        <v>907</v>
      </c>
      <c r="B2632" s="3" t="s">
        <v>1010</v>
      </c>
      <c r="C2632" s="3" t="s">
        <v>20</v>
      </c>
      <c r="D2632" s="3" t="s">
        <v>1051</v>
      </c>
      <c r="E2632" s="3" t="s">
        <v>56</v>
      </c>
      <c r="F2632" s="3"/>
      <c r="G2632" s="3"/>
      <c r="H2632" s="3"/>
      <c r="I2632" s="3"/>
    </row>
    <row r="2633" spans="1:9" s="5" customFormat="1" x14ac:dyDescent="0.35">
      <c r="A2633" s="3" t="s">
        <v>907</v>
      </c>
      <c r="B2633" s="3" t="s">
        <v>1010</v>
      </c>
      <c r="C2633" s="3" t="s">
        <v>20</v>
      </c>
      <c r="D2633" s="3" t="s">
        <v>1051</v>
      </c>
      <c r="E2633" s="3" t="s">
        <v>89</v>
      </c>
      <c r="F2633" s="3"/>
      <c r="G2633" s="3"/>
      <c r="H2633" s="3"/>
      <c r="I2633" s="3"/>
    </row>
    <row r="2634" spans="1:9" s="5" customFormat="1" x14ac:dyDescent="0.35">
      <c r="A2634" s="3" t="s">
        <v>907</v>
      </c>
      <c r="B2634" s="3" t="s">
        <v>1010</v>
      </c>
      <c r="C2634" s="3" t="s">
        <v>20</v>
      </c>
      <c r="D2634" s="3" t="s">
        <v>1051</v>
      </c>
      <c r="E2634" s="3" t="s">
        <v>29</v>
      </c>
      <c r="F2634" s="3"/>
      <c r="G2634" s="3" t="s">
        <v>2358</v>
      </c>
      <c r="H2634" s="3"/>
      <c r="I2634" s="3"/>
    </row>
    <row r="2635" spans="1:9" s="5" customFormat="1" x14ac:dyDescent="0.35">
      <c r="A2635" s="3" t="s">
        <v>907</v>
      </c>
      <c r="B2635" s="3" t="s">
        <v>1010</v>
      </c>
      <c r="C2635" s="3" t="s">
        <v>20</v>
      </c>
      <c r="D2635" s="3" t="s">
        <v>1051</v>
      </c>
      <c r="E2635" s="3" t="s">
        <v>152</v>
      </c>
      <c r="F2635" s="3"/>
      <c r="G2635" s="3"/>
      <c r="H2635" s="3"/>
      <c r="I2635" s="3"/>
    </row>
    <row r="2636" spans="1:9" s="5" customFormat="1" x14ac:dyDescent="0.35">
      <c r="A2636" s="3" t="s">
        <v>907</v>
      </c>
      <c r="B2636" s="3" t="s">
        <v>1010</v>
      </c>
      <c r="C2636" s="3" t="s">
        <v>20</v>
      </c>
      <c r="D2636" s="3" t="s">
        <v>1051</v>
      </c>
      <c r="E2636" s="3" t="s">
        <v>134</v>
      </c>
      <c r="F2636" s="3"/>
      <c r="G2636" s="3"/>
      <c r="H2636" s="3"/>
      <c r="I2636" s="3"/>
    </row>
    <row r="2637" spans="1:9" s="5" customFormat="1" x14ac:dyDescent="0.35">
      <c r="A2637" s="3" t="s">
        <v>907</v>
      </c>
      <c r="B2637" s="3" t="s">
        <v>1010</v>
      </c>
      <c r="C2637" s="3" t="s">
        <v>20</v>
      </c>
      <c r="D2637" s="3" t="s">
        <v>1051</v>
      </c>
      <c r="E2637" s="3" t="s">
        <v>191</v>
      </c>
      <c r="F2637" s="3"/>
      <c r="G2637" s="3" t="s">
        <v>2354</v>
      </c>
      <c r="H2637" s="3"/>
      <c r="I2637" s="3"/>
    </row>
    <row r="2638" spans="1:9" s="5" customFormat="1" x14ac:dyDescent="0.35">
      <c r="A2638" s="3" t="s">
        <v>907</v>
      </c>
      <c r="B2638" s="3" t="s">
        <v>1010</v>
      </c>
      <c r="C2638" s="3" t="s">
        <v>20</v>
      </c>
      <c r="D2638" s="3" t="s">
        <v>1051</v>
      </c>
      <c r="E2638" s="3" t="s">
        <v>107</v>
      </c>
      <c r="F2638" s="3" t="s">
        <v>16</v>
      </c>
      <c r="G2638" s="3" t="s">
        <v>1053</v>
      </c>
      <c r="H2638" s="3"/>
      <c r="I2638" s="3"/>
    </row>
    <row r="2639" spans="1:9" s="5" customFormat="1" x14ac:dyDescent="0.35">
      <c r="A2639" s="3" t="s">
        <v>907</v>
      </c>
      <c r="B2639" s="3" t="s">
        <v>1010</v>
      </c>
      <c r="C2639" s="3" t="s">
        <v>20</v>
      </c>
      <c r="D2639" s="3" t="s">
        <v>1051</v>
      </c>
      <c r="E2639" s="3" t="s">
        <v>1049</v>
      </c>
      <c r="F2639" s="3"/>
      <c r="G2639" s="3"/>
      <c r="H2639" s="3"/>
      <c r="I2639" s="3"/>
    </row>
    <row r="2640" spans="1:9" s="5" customFormat="1" x14ac:dyDescent="0.35">
      <c r="A2640" s="3" t="s">
        <v>907</v>
      </c>
      <c r="B2640" s="3" t="s">
        <v>1010</v>
      </c>
      <c r="C2640" s="3" t="s">
        <v>45</v>
      </c>
      <c r="D2640" s="3" t="s">
        <v>1054</v>
      </c>
      <c r="E2640" s="3" t="s">
        <v>217</v>
      </c>
      <c r="F2640" s="3"/>
      <c r="G2640" s="3" t="s">
        <v>2286</v>
      </c>
      <c r="H2640" s="3"/>
      <c r="I2640" s="3"/>
    </row>
    <row r="2641" spans="1:9" s="5" customFormat="1" x14ac:dyDescent="0.35">
      <c r="A2641" s="3" t="s">
        <v>907</v>
      </c>
      <c r="B2641" s="3" t="s">
        <v>1010</v>
      </c>
      <c r="C2641" s="3" t="s">
        <v>45</v>
      </c>
      <c r="D2641" s="3" t="s">
        <v>1054</v>
      </c>
      <c r="E2641" s="3" t="s">
        <v>56</v>
      </c>
      <c r="F2641" s="3"/>
      <c r="G2641" s="3"/>
      <c r="H2641" s="3"/>
      <c r="I2641" s="3"/>
    </row>
    <row r="2642" spans="1:9" s="5" customFormat="1" x14ac:dyDescent="0.35">
      <c r="A2642" s="3" t="s">
        <v>907</v>
      </c>
      <c r="B2642" s="3" t="s">
        <v>1010</v>
      </c>
      <c r="C2642" s="3" t="s">
        <v>45</v>
      </c>
      <c r="D2642" s="3" t="s">
        <v>1054</v>
      </c>
      <c r="E2642" s="3" t="s">
        <v>224</v>
      </c>
      <c r="F2642" s="3"/>
      <c r="G2642" s="3"/>
      <c r="H2642" s="3"/>
      <c r="I2642" s="3"/>
    </row>
    <row r="2643" spans="1:9" s="5" customFormat="1" x14ac:dyDescent="0.35">
      <c r="A2643" s="3" t="s">
        <v>907</v>
      </c>
      <c r="B2643" s="3" t="s">
        <v>1010</v>
      </c>
      <c r="C2643" s="3" t="s">
        <v>20</v>
      </c>
      <c r="D2643" s="3" t="s">
        <v>1055</v>
      </c>
      <c r="E2643" s="3" t="s">
        <v>77</v>
      </c>
      <c r="F2643" s="3"/>
      <c r="G2643" s="3"/>
      <c r="H2643" s="3"/>
      <c r="I2643" s="3"/>
    </row>
    <row r="2644" spans="1:9" s="5" customFormat="1" x14ac:dyDescent="0.35">
      <c r="A2644" s="3" t="s">
        <v>907</v>
      </c>
      <c r="B2644" s="3" t="s">
        <v>1010</v>
      </c>
      <c r="C2644" s="3" t="s">
        <v>20</v>
      </c>
      <c r="D2644" s="3" t="s">
        <v>1055</v>
      </c>
      <c r="E2644" s="3" t="s">
        <v>152</v>
      </c>
      <c r="F2644" s="3"/>
      <c r="G2644" s="3"/>
      <c r="H2644" s="3"/>
      <c r="I2644" s="3"/>
    </row>
    <row r="2645" spans="1:9" s="5" customFormat="1" x14ac:dyDescent="0.35">
      <c r="A2645" s="3" t="s">
        <v>907</v>
      </c>
      <c r="B2645" s="3" t="s">
        <v>1010</v>
      </c>
      <c r="C2645" s="3" t="s">
        <v>20</v>
      </c>
      <c r="D2645" s="3" t="s">
        <v>1056</v>
      </c>
      <c r="E2645" s="3" t="s">
        <v>12</v>
      </c>
      <c r="F2645" s="3"/>
      <c r="G2645" s="3"/>
      <c r="H2645" s="3"/>
      <c r="I2645" s="3"/>
    </row>
    <row r="2646" spans="1:9" s="5" customFormat="1" x14ac:dyDescent="0.35">
      <c r="A2646" s="3" t="s">
        <v>907</v>
      </c>
      <c r="B2646" s="3" t="s">
        <v>1010</v>
      </c>
      <c r="C2646" s="3" t="s">
        <v>20</v>
      </c>
      <c r="D2646" s="3" t="s">
        <v>1056</v>
      </c>
      <c r="E2646" s="3" t="s">
        <v>47</v>
      </c>
      <c r="F2646" s="3"/>
      <c r="G2646" s="3"/>
      <c r="H2646" s="3"/>
      <c r="I2646" s="3"/>
    </row>
    <row r="2647" spans="1:9" s="5" customFormat="1" x14ac:dyDescent="0.35">
      <c r="A2647" s="3" t="s">
        <v>907</v>
      </c>
      <c r="B2647" s="3" t="s">
        <v>1010</v>
      </c>
      <c r="C2647" s="3" t="s">
        <v>20</v>
      </c>
      <c r="D2647" s="3" t="s">
        <v>1056</v>
      </c>
      <c r="E2647" s="3" t="s">
        <v>60</v>
      </c>
      <c r="F2647" s="3"/>
      <c r="G2647" s="3"/>
      <c r="H2647" s="3"/>
      <c r="I2647" s="3"/>
    </row>
    <row r="2648" spans="1:9" s="5" customFormat="1" x14ac:dyDescent="0.35">
      <c r="A2648" s="3" t="s">
        <v>907</v>
      </c>
      <c r="B2648" s="3" t="s">
        <v>1010</v>
      </c>
      <c r="C2648" s="3" t="s">
        <v>20</v>
      </c>
      <c r="D2648" s="3" t="s">
        <v>1056</v>
      </c>
      <c r="E2648" s="3" t="s">
        <v>1018</v>
      </c>
      <c r="F2648" s="3"/>
      <c r="G2648" s="3"/>
      <c r="H2648" s="3"/>
      <c r="I2648" s="3"/>
    </row>
    <row r="2649" spans="1:9" s="5" customFormat="1" x14ac:dyDescent="0.35">
      <c r="A2649" s="3" t="s">
        <v>907</v>
      </c>
      <c r="B2649" s="3" t="s">
        <v>1010</v>
      </c>
      <c r="C2649" s="3" t="s">
        <v>20</v>
      </c>
      <c r="D2649" s="3" t="s">
        <v>1056</v>
      </c>
      <c r="E2649" s="3" t="s">
        <v>27</v>
      </c>
      <c r="F2649" s="3"/>
      <c r="G2649" s="3"/>
      <c r="H2649" s="3"/>
      <c r="I2649" s="3"/>
    </row>
    <row r="2650" spans="1:9" s="5" customFormat="1" x14ac:dyDescent="0.35">
      <c r="A2650" s="3" t="s">
        <v>907</v>
      </c>
      <c r="B2650" s="3" t="s">
        <v>1010</v>
      </c>
      <c r="C2650" s="3" t="s">
        <v>20</v>
      </c>
      <c r="D2650" s="3" t="s">
        <v>1056</v>
      </c>
      <c r="E2650" s="3" t="s">
        <v>71</v>
      </c>
      <c r="F2650" s="3"/>
      <c r="G2650" s="3"/>
      <c r="H2650" s="3"/>
      <c r="I2650" s="3"/>
    </row>
    <row r="2651" spans="1:9" s="5" customFormat="1" x14ac:dyDescent="0.35">
      <c r="A2651" s="3" t="s">
        <v>907</v>
      </c>
      <c r="B2651" s="3" t="s">
        <v>1010</v>
      </c>
      <c r="C2651" s="3" t="s">
        <v>20</v>
      </c>
      <c r="D2651" s="3" t="s">
        <v>1056</v>
      </c>
      <c r="E2651" s="3" t="s">
        <v>77</v>
      </c>
      <c r="F2651" s="3"/>
      <c r="G2651" s="3"/>
      <c r="H2651" s="3"/>
      <c r="I2651" s="3"/>
    </row>
    <row r="2652" spans="1:9" s="5" customFormat="1" x14ac:dyDescent="0.35">
      <c r="A2652" s="3" t="s">
        <v>907</v>
      </c>
      <c r="B2652" s="3" t="s">
        <v>1010</v>
      </c>
      <c r="C2652" s="3" t="s">
        <v>20</v>
      </c>
      <c r="D2652" s="3" t="s">
        <v>1056</v>
      </c>
      <c r="E2652" s="3" t="s">
        <v>28</v>
      </c>
      <c r="F2652" s="3" t="s">
        <v>16</v>
      </c>
      <c r="G2652" s="3" t="s">
        <v>2801</v>
      </c>
      <c r="H2652" s="3"/>
      <c r="I2652" s="3"/>
    </row>
    <row r="2653" spans="1:9" s="5" customFormat="1" x14ac:dyDescent="0.35">
      <c r="A2653" s="3" t="s">
        <v>907</v>
      </c>
      <c r="B2653" s="3" t="s">
        <v>1010</v>
      </c>
      <c r="C2653" s="3" t="s">
        <v>20</v>
      </c>
      <c r="D2653" s="3" t="s">
        <v>1056</v>
      </c>
      <c r="E2653" s="3" t="s">
        <v>15</v>
      </c>
      <c r="F2653" s="3" t="s">
        <v>16</v>
      </c>
      <c r="G2653" s="3" t="s">
        <v>2825</v>
      </c>
      <c r="H2653" s="3"/>
      <c r="I2653" s="3"/>
    </row>
    <row r="2654" spans="1:9" s="5" customFormat="1" x14ac:dyDescent="0.35">
      <c r="A2654" s="3" t="s">
        <v>907</v>
      </c>
      <c r="B2654" s="3" t="s">
        <v>1010</v>
      </c>
      <c r="C2654" s="3" t="s">
        <v>20</v>
      </c>
      <c r="D2654" s="3" t="s">
        <v>1056</v>
      </c>
      <c r="E2654" s="3" t="s">
        <v>56</v>
      </c>
      <c r="F2654" s="3" t="s">
        <v>16</v>
      </c>
      <c r="G2654" s="3" t="s">
        <v>2802</v>
      </c>
      <c r="H2654" s="3"/>
      <c r="I2654" s="3"/>
    </row>
    <row r="2655" spans="1:9" s="5" customFormat="1" x14ac:dyDescent="0.35">
      <c r="A2655" s="3" t="s">
        <v>907</v>
      </c>
      <c r="B2655" s="3" t="s">
        <v>1010</v>
      </c>
      <c r="C2655" s="3" t="s">
        <v>20</v>
      </c>
      <c r="D2655" s="3" t="s">
        <v>1056</v>
      </c>
      <c r="E2655" s="3" t="s">
        <v>32</v>
      </c>
      <c r="F2655" s="3"/>
      <c r="G2655" s="3" t="s">
        <v>2293</v>
      </c>
      <c r="H2655" s="3"/>
      <c r="I2655" s="3"/>
    </row>
    <row r="2656" spans="1:9" s="5" customFormat="1" x14ac:dyDescent="0.35">
      <c r="A2656" s="3" t="s">
        <v>907</v>
      </c>
      <c r="B2656" s="3" t="s">
        <v>1010</v>
      </c>
      <c r="C2656" s="3" t="s">
        <v>20</v>
      </c>
      <c r="D2656" s="3" t="s">
        <v>1056</v>
      </c>
      <c r="E2656" s="3" t="s">
        <v>29</v>
      </c>
      <c r="F2656" s="3"/>
      <c r="G2656" s="3"/>
      <c r="H2656" s="3"/>
      <c r="I2656" s="3"/>
    </row>
    <row r="2657" spans="1:9" s="5" customFormat="1" x14ac:dyDescent="0.35">
      <c r="A2657" s="3" t="s">
        <v>907</v>
      </c>
      <c r="B2657" s="3" t="s">
        <v>1010</v>
      </c>
      <c r="C2657" s="3" t="s">
        <v>20</v>
      </c>
      <c r="D2657" s="3" t="s">
        <v>1056</v>
      </c>
      <c r="E2657" s="3" t="s">
        <v>152</v>
      </c>
      <c r="F2657" s="3"/>
      <c r="G2657" s="3"/>
      <c r="H2657" s="3"/>
      <c r="I2657" s="3"/>
    </row>
    <row r="2658" spans="1:9" s="5" customFormat="1" x14ac:dyDescent="0.35">
      <c r="A2658" s="3" t="s">
        <v>907</v>
      </c>
      <c r="B2658" s="3" t="s">
        <v>1010</v>
      </c>
      <c r="C2658" s="3" t="s">
        <v>20</v>
      </c>
      <c r="D2658" s="3" t="s">
        <v>1056</v>
      </c>
      <c r="E2658" s="3" t="s">
        <v>134</v>
      </c>
      <c r="F2658" s="3"/>
      <c r="G2658" s="3" t="s">
        <v>2691</v>
      </c>
      <c r="H2658" s="3"/>
      <c r="I2658" s="3"/>
    </row>
    <row r="2659" spans="1:9" s="5" customFormat="1" x14ac:dyDescent="0.35">
      <c r="A2659" s="3" t="s">
        <v>907</v>
      </c>
      <c r="B2659" s="3" t="s">
        <v>1010</v>
      </c>
      <c r="C2659" s="3" t="s">
        <v>39</v>
      </c>
      <c r="D2659" s="3" t="s">
        <v>1057</v>
      </c>
      <c r="E2659" s="3" t="s">
        <v>15</v>
      </c>
      <c r="F2659" s="3" t="s">
        <v>16</v>
      </c>
      <c r="G2659" s="3" t="s">
        <v>1058</v>
      </c>
      <c r="H2659" s="3"/>
      <c r="I2659" s="3"/>
    </row>
    <row r="2660" spans="1:9" s="5" customFormat="1" x14ac:dyDescent="0.35">
      <c r="A2660" s="3" t="s">
        <v>907</v>
      </c>
      <c r="B2660" s="3" t="s">
        <v>1010</v>
      </c>
      <c r="C2660" s="3" t="s">
        <v>39</v>
      </c>
      <c r="D2660" s="3" t="s">
        <v>1057</v>
      </c>
      <c r="E2660" s="3" t="s">
        <v>32</v>
      </c>
      <c r="F2660" s="3"/>
      <c r="G2660" s="3" t="s">
        <v>2339</v>
      </c>
      <c r="H2660" s="3"/>
      <c r="I2660" s="3"/>
    </row>
    <row r="2661" spans="1:9" s="5" customFormat="1" x14ac:dyDescent="0.35">
      <c r="A2661" s="3" t="s">
        <v>907</v>
      </c>
      <c r="B2661" s="3" t="s">
        <v>1010</v>
      </c>
      <c r="C2661" s="3" t="s">
        <v>39</v>
      </c>
      <c r="D2661" s="3" t="s">
        <v>1059</v>
      </c>
      <c r="E2661" s="3" t="s">
        <v>77</v>
      </c>
      <c r="F2661" s="3" t="s">
        <v>16</v>
      </c>
      <c r="G2661" s="3" t="s">
        <v>1060</v>
      </c>
      <c r="H2661" s="3"/>
      <c r="I2661" s="3"/>
    </row>
    <row r="2662" spans="1:9" s="5" customFormat="1" x14ac:dyDescent="0.35">
      <c r="A2662" s="3" t="s">
        <v>907</v>
      </c>
      <c r="B2662" s="3" t="s">
        <v>1010</v>
      </c>
      <c r="C2662" s="3" t="s">
        <v>39</v>
      </c>
      <c r="D2662" s="3" t="s">
        <v>1059</v>
      </c>
      <c r="E2662" s="3" t="s">
        <v>15</v>
      </c>
      <c r="F2662" s="3" t="s">
        <v>16</v>
      </c>
      <c r="G2662" s="3" t="s">
        <v>1060</v>
      </c>
      <c r="H2662" s="3"/>
      <c r="I2662" s="3"/>
    </row>
    <row r="2663" spans="1:9" s="5" customFormat="1" x14ac:dyDescent="0.35">
      <c r="A2663" s="3" t="s">
        <v>907</v>
      </c>
      <c r="B2663" s="3" t="s">
        <v>1010</v>
      </c>
      <c r="C2663" s="3" t="s">
        <v>39</v>
      </c>
      <c r="D2663" s="3" t="s">
        <v>1059</v>
      </c>
      <c r="E2663" s="3" t="s">
        <v>56</v>
      </c>
      <c r="F2663" s="3" t="s">
        <v>16</v>
      </c>
      <c r="G2663" s="3" t="s">
        <v>1060</v>
      </c>
      <c r="H2663" s="3"/>
      <c r="I2663" s="3"/>
    </row>
    <row r="2664" spans="1:9" s="5" customFormat="1" x14ac:dyDescent="0.35">
      <c r="A2664" s="3" t="s">
        <v>907</v>
      </c>
      <c r="B2664" s="3" t="s">
        <v>1010</v>
      </c>
      <c r="C2664" s="3" t="s">
        <v>39</v>
      </c>
      <c r="D2664" s="3" t="s">
        <v>1059</v>
      </c>
      <c r="E2664" s="3" t="s">
        <v>152</v>
      </c>
      <c r="F2664" s="3" t="s">
        <v>16</v>
      </c>
      <c r="G2664" s="3" t="s">
        <v>1060</v>
      </c>
      <c r="H2664" s="3"/>
      <c r="I2664" s="3"/>
    </row>
    <row r="2665" spans="1:9" s="5" customFormat="1" x14ac:dyDescent="0.35">
      <c r="A2665" s="3" t="s">
        <v>907</v>
      </c>
      <c r="B2665" s="3" t="s">
        <v>1010</v>
      </c>
      <c r="C2665" s="3" t="s">
        <v>39</v>
      </c>
      <c r="D2665" s="3" t="s">
        <v>1059</v>
      </c>
      <c r="E2665" s="3" t="s">
        <v>191</v>
      </c>
      <c r="F2665" s="3" t="s">
        <v>16</v>
      </c>
      <c r="G2665" s="3" t="s">
        <v>1060</v>
      </c>
      <c r="H2665" s="3"/>
      <c r="I2665" s="3"/>
    </row>
    <row r="2666" spans="1:9" s="5" customFormat="1" x14ac:dyDescent="0.35">
      <c r="A2666" s="3" t="s">
        <v>907</v>
      </c>
      <c r="B2666" s="3" t="s">
        <v>1010</v>
      </c>
      <c r="C2666" s="3" t="s">
        <v>39</v>
      </c>
      <c r="D2666" s="3" t="s">
        <v>1061</v>
      </c>
      <c r="E2666" s="3" t="s">
        <v>77</v>
      </c>
      <c r="F2666" s="3" t="s">
        <v>16</v>
      </c>
      <c r="G2666" s="3" t="s">
        <v>1062</v>
      </c>
      <c r="H2666" s="3"/>
      <c r="I2666" s="3"/>
    </row>
    <row r="2667" spans="1:9" s="5" customFormat="1" x14ac:dyDescent="0.35">
      <c r="A2667" s="3" t="s">
        <v>907</v>
      </c>
      <c r="B2667" s="3" t="s">
        <v>1010</v>
      </c>
      <c r="C2667" s="3" t="s">
        <v>39</v>
      </c>
      <c r="D2667" s="3" t="s">
        <v>1061</v>
      </c>
      <c r="E2667" s="3" t="s">
        <v>87</v>
      </c>
      <c r="F2667" s="3" t="s">
        <v>16</v>
      </c>
      <c r="G2667" s="3" t="s">
        <v>1063</v>
      </c>
      <c r="I2667" s="3"/>
    </row>
    <row r="2668" spans="1:9" s="5" customFormat="1" x14ac:dyDescent="0.35">
      <c r="A2668" s="3" t="s">
        <v>907</v>
      </c>
      <c r="B2668" s="3" t="s">
        <v>1010</v>
      </c>
      <c r="C2668" s="3" t="s">
        <v>39</v>
      </c>
      <c r="D2668" s="3" t="s">
        <v>1061</v>
      </c>
      <c r="E2668" s="3" t="s">
        <v>98</v>
      </c>
      <c r="F2668" s="3" t="s">
        <v>16</v>
      </c>
      <c r="G2668" s="3" t="s">
        <v>1064</v>
      </c>
      <c r="H2668" s="3"/>
      <c r="I2668" s="3"/>
    </row>
    <row r="2669" spans="1:9" s="5" customFormat="1" x14ac:dyDescent="0.35">
      <c r="A2669" s="3" t="s">
        <v>907</v>
      </c>
      <c r="B2669" s="3" t="s">
        <v>1010</v>
      </c>
      <c r="C2669" s="3" t="s">
        <v>39</v>
      </c>
      <c r="D2669" s="3" t="s">
        <v>1061</v>
      </c>
      <c r="E2669" s="3" t="s">
        <v>15</v>
      </c>
      <c r="F2669" s="3" t="s">
        <v>16</v>
      </c>
      <c r="G2669" s="3" t="s">
        <v>1065</v>
      </c>
      <c r="H2669" s="3"/>
      <c r="I2669" s="3"/>
    </row>
    <row r="2670" spans="1:9" s="5" customFormat="1" x14ac:dyDescent="0.35">
      <c r="A2670" s="3" t="s">
        <v>907</v>
      </c>
      <c r="B2670" s="3" t="s">
        <v>1010</v>
      </c>
      <c r="C2670" s="3" t="s">
        <v>39</v>
      </c>
      <c r="D2670" s="3" t="s">
        <v>1061</v>
      </c>
      <c r="E2670" s="3" t="s">
        <v>152</v>
      </c>
      <c r="F2670" s="3" t="s">
        <v>16</v>
      </c>
      <c r="G2670" s="3" t="s">
        <v>1062</v>
      </c>
      <c r="H2670" s="3"/>
      <c r="I2670" s="3"/>
    </row>
    <row r="2671" spans="1:9" s="5" customFormat="1" x14ac:dyDescent="0.35">
      <c r="A2671" s="3" t="s">
        <v>907</v>
      </c>
      <c r="B2671" s="3" t="s">
        <v>1010</v>
      </c>
      <c r="C2671" s="3" t="s">
        <v>39</v>
      </c>
      <c r="D2671" s="3" t="s">
        <v>1061</v>
      </c>
      <c r="E2671" s="3" t="s">
        <v>191</v>
      </c>
      <c r="F2671" s="3" t="s">
        <v>16</v>
      </c>
      <c r="G2671" s="3" t="s">
        <v>2363</v>
      </c>
      <c r="I2671" s="3"/>
    </row>
    <row r="2672" spans="1:9" s="5" customFormat="1" x14ac:dyDescent="0.35">
      <c r="A2672" s="3" t="s">
        <v>907</v>
      </c>
      <c r="B2672" s="3" t="s">
        <v>1010</v>
      </c>
      <c r="C2672" s="3" t="s">
        <v>39</v>
      </c>
      <c r="D2672" s="3" t="s">
        <v>1061</v>
      </c>
      <c r="E2672" s="3" t="s">
        <v>107</v>
      </c>
      <c r="F2672" s="3" t="s">
        <v>16</v>
      </c>
      <c r="G2672" s="3" t="s">
        <v>1065</v>
      </c>
      <c r="H2672" s="3"/>
      <c r="I2672" s="3"/>
    </row>
    <row r="2673" spans="1:9" s="5" customFormat="1" x14ac:dyDescent="0.35">
      <c r="A2673" s="3" t="s">
        <v>907</v>
      </c>
      <c r="B2673" s="3" t="s">
        <v>1010</v>
      </c>
      <c r="C2673" s="3" t="s">
        <v>39</v>
      </c>
      <c r="D2673" s="3" t="s">
        <v>1061</v>
      </c>
      <c r="E2673" s="3" t="s">
        <v>1049</v>
      </c>
      <c r="F2673" s="3" t="s">
        <v>16</v>
      </c>
      <c r="G2673" s="3" t="s">
        <v>1062</v>
      </c>
      <c r="H2673" s="3"/>
      <c r="I2673" s="3"/>
    </row>
    <row r="2674" spans="1:9" s="5" customFormat="1" x14ac:dyDescent="0.35">
      <c r="A2674" s="3" t="s">
        <v>907</v>
      </c>
      <c r="B2674" s="3" t="s">
        <v>1010</v>
      </c>
      <c r="C2674" s="3" t="s">
        <v>45</v>
      </c>
      <c r="D2674" s="3" t="s">
        <v>1066</v>
      </c>
      <c r="E2674" s="3" t="s">
        <v>166</v>
      </c>
      <c r="F2674" s="3"/>
      <c r="G2674" s="3"/>
      <c r="H2674" s="3"/>
      <c r="I2674" s="3"/>
    </row>
    <row r="2675" spans="1:9" s="5" customFormat="1" x14ac:dyDescent="0.35">
      <c r="A2675" s="3" t="s">
        <v>907</v>
      </c>
      <c r="B2675" s="3" t="s">
        <v>1010</v>
      </c>
      <c r="C2675" s="3" t="s">
        <v>45</v>
      </c>
      <c r="D2675" s="3" t="s">
        <v>1066</v>
      </c>
      <c r="E2675" s="3" t="s">
        <v>220</v>
      </c>
      <c r="F2675" s="3"/>
      <c r="G2675" s="3"/>
      <c r="H2675" s="3"/>
      <c r="I2675" s="3"/>
    </row>
    <row r="2676" spans="1:9" s="5" customFormat="1" x14ac:dyDescent="0.35">
      <c r="A2676" s="3" t="s">
        <v>907</v>
      </c>
      <c r="B2676" s="3" t="s">
        <v>1010</v>
      </c>
      <c r="C2676" s="3" t="s">
        <v>45</v>
      </c>
      <c r="D2676" s="3" t="s">
        <v>1066</v>
      </c>
      <c r="E2676" s="3" t="s">
        <v>225</v>
      </c>
      <c r="F2676" s="3"/>
      <c r="G2676" s="3"/>
      <c r="H2676" s="3"/>
      <c r="I2676" s="3"/>
    </row>
    <row r="2677" spans="1:9" s="5" customFormat="1" x14ac:dyDescent="0.35">
      <c r="A2677" s="3" t="s">
        <v>907</v>
      </c>
      <c r="B2677" s="3" t="s">
        <v>1010</v>
      </c>
      <c r="C2677" s="3" t="s">
        <v>45</v>
      </c>
      <c r="D2677" s="3" t="s">
        <v>1066</v>
      </c>
      <c r="E2677" s="3" t="s">
        <v>77</v>
      </c>
      <c r="F2677" s="3"/>
      <c r="G2677" s="3"/>
      <c r="H2677" s="3"/>
      <c r="I2677" s="3"/>
    </row>
    <row r="2678" spans="1:9" s="5" customFormat="1" x14ac:dyDescent="0.35">
      <c r="A2678" s="3" t="s">
        <v>907</v>
      </c>
      <c r="B2678" s="3" t="s">
        <v>1010</v>
      </c>
      <c r="C2678" s="3" t="s">
        <v>45</v>
      </c>
      <c r="D2678" s="3" t="s">
        <v>1066</v>
      </c>
      <c r="E2678" s="3" t="s">
        <v>221</v>
      </c>
      <c r="F2678" s="3"/>
      <c r="G2678" s="3" t="s">
        <v>2364</v>
      </c>
      <c r="H2678" s="3"/>
      <c r="I2678" s="3"/>
    </row>
    <row r="2679" spans="1:9" s="5" customFormat="1" x14ac:dyDescent="0.35">
      <c r="A2679" s="3" t="s">
        <v>907</v>
      </c>
      <c r="B2679" s="3" t="s">
        <v>1010</v>
      </c>
      <c r="C2679" s="3" t="s">
        <v>45</v>
      </c>
      <c r="D2679" s="3" t="s">
        <v>1066</v>
      </c>
      <c r="E2679" s="3" t="s">
        <v>222</v>
      </c>
      <c r="F2679" s="3"/>
      <c r="G2679" s="3"/>
      <c r="H2679" s="3"/>
      <c r="I2679" s="3"/>
    </row>
    <row r="2680" spans="1:9" s="5" customFormat="1" x14ac:dyDescent="0.35">
      <c r="A2680" s="3" t="s">
        <v>907</v>
      </c>
      <c r="B2680" s="3" t="s">
        <v>1010</v>
      </c>
      <c r="C2680" s="3" t="s">
        <v>45</v>
      </c>
      <c r="D2680" s="3" t="s">
        <v>1066</v>
      </c>
      <c r="E2680" s="3" t="s">
        <v>223</v>
      </c>
      <c r="F2680" s="3"/>
      <c r="G2680" s="3"/>
      <c r="H2680" s="3"/>
      <c r="I2680" s="3"/>
    </row>
    <row r="2681" spans="1:9" s="5" customFormat="1" x14ac:dyDescent="0.35">
      <c r="A2681" s="3" t="s">
        <v>907</v>
      </c>
      <c r="B2681" s="3" t="s">
        <v>1010</v>
      </c>
      <c r="C2681" s="3" t="s">
        <v>45</v>
      </c>
      <c r="D2681" s="3" t="s">
        <v>1066</v>
      </c>
      <c r="E2681" s="3" t="s">
        <v>15</v>
      </c>
      <c r="F2681" s="3" t="s">
        <v>16</v>
      </c>
      <c r="G2681" s="3" t="s">
        <v>1068</v>
      </c>
      <c r="H2681" s="3"/>
      <c r="I2681" s="3"/>
    </row>
    <row r="2682" spans="1:9" s="5" customFormat="1" x14ac:dyDescent="0.35">
      <c r="A2682" s="3" t="s">
        <v>907</v>
      </c>
      <c r="B2682" s="3" t="s">
        <v>1010</v>
      </c>
      <c r="C2682" s="3" t="s">
        <v>45</v>
      </c>
      <c r="D2682" s="3" t="s">
        <v>1066</v>
      </c>
      <c r="E2682" s="3" t="s">
        <v>226</v>
      </c>
      <c r="F2682" s="3"/>
      <c r="G2682" s="3"/>
      <c r="H2682" s="3"/>
      <c r="I2682" s="3"/>
    </row>
    <row r="2683" spans="1:9" s="5" customFormat="1" x14ac:dyDescent="0.35">
      <c r="A2683" s="3" t="s">
        <v>907</v>
      </c>
      <c r="B2683" s="3" t="s">
        <v>1010</v>
      </c>
      <c r="C2683" s="3" t="s">
        <v>45</v>
      </c>
      <c r="D2683" s="3" t="s">
        <v>1066</v>
      </c>
      <c r="E2683" s="3" t="s">
        <v>227</v>
      </c>
      <c r="F2683" s="3"/>
      <c r="G2683" s="3"/>
      <c r="H2683" s="3"/>
      <c r="I2683" s="3"/>
    </row>
    <row r="2684" spans="1:9" s="5" customFormat="1" x14ac:dyDescent="0.35">
      <c r="A2684" s="3" t="s">
        <v>907</v>
      </c>
      <c r="B2684" s="3" t="s">
        <v>1010</v>
      </c>
      <c r="C2684" s="3" t="s">
        <v>45</v>
      </c>
      <c r="D2684" s="3" t="s">
        <v>1066</v>
      </c>
      <c r="E2684" s="3" t="s">
        <v>228</v>
      </c>
      <c r="F2684" s="3"/>
      <c r="G2684" s="3"/>
      <c r="H2684" s="3"/>
      <c r="I2684" s="3"/>
    </row>
    <row r="2685" spans="1:9" s="5" customFormat="1" x14ac:dyDescent="0.35">
      <c r="A2685" s="3" t="s">
        <v>907</v>
      </c>
      <c r="B2685" s="3" t="s">
        <v>1010</v>
      </c>
      <c r="C2685" s="3" t="s">
        <v>45</v>
      </c>
      <c r="D2685" s="3" t="s">
        <v>1066</v>
      </c>
      <c r="E2685" s="3" t="s">
        <v>56</v>
      </c>
      <c r="F2685" s="3"/>
      <c r="G2685" s="3"/>
      <c r="H2685" s="3"/>
      <c r="I2685" s="3"/>
    </row>
    <row r="2686" spans="1:9" s="5" customFormat="1" x14ac:dyDescent="0.35">
      <c r="A2686" s="3" t="s">
        <v>907</v>
      </c>
      <c r="B2686" s="3" t="s">
        <v>1010</v>
      </c>
      <c r="C2686" s="3" t="s">
        <v>45</v>
      </c>
      <c r="D2686" s="3" t="s">
        <v>1066</v>
      </c>
      <c r="E2686" s="3" t="s">
        <v>229</v>
      </c>
      <c r="F2686" s="3"/>
      <c r="G2686" s="3"/>
      <c r="H2686" s="3"/>
      <c r="I2686" s="3"/>
    </row>
    <row r="2687" spans="1:9" s="5" customFormat="1" x14ac:dyDescent="0.35">
      <c r="A2687" s="3" t="s">
        <v>907</v>
      </c>
      <c r="B2687" s="3" t="s">
        <v>1010</v>
      </c>
      <c r="C2687" s="3" t="s">
        <v>45</v>
      </c>
      <c r="D2687" s="3" t="s">
        <v>1066</v>
      </c>
      <c r="E2687" s="3" t="s">
        <v>230</v>
      </c>
      <c r="F2687" s="3"/>
      <c r="G2687" s="3"/>
      <c r="H2687" s="3"/>
      <c r="I2687" s="3"/>
    </row>
    <row r="2688" spans="1:9" s="5" customFormat="1" x14ac:dyDescent="0.35">
      <c r="A2688" s="3" t="s">
        <v>907</v>
      </c>
      <c r="B2688" s="3" t="s">
        <v>1010</v>
      </c>
      <c r="C2688" s="3" t="s">
        <v>45</v>
      </c>
      <c r="D2688" s="3" t="s">
        <v>1066</v>
      </c>
      <c r="E2688" s="3" t="s">
        <v>29</v>
      </c>
      <c r="F2688" s="3"/>
      <c r="G2688" s="3"/>
      <c r="H2688" s="3"/>
      <c r="I2688" s="3"/>
    </row>
    <row r="2689" spans="1:9" s="5" customFormat="1" x14ac:dyDescent="0.35">
      <c r="A2689" s="3" t="s">
        <v>907</v>
      </c>
      <c r="B2689" s="3" t="s">
        <v>1010</v>
      </c>
      <c r="C2689" s="3" t="s">
        <v>45</v>
      </c>
      <c r="D2689" s="3" t="s">
        <v>1066</v>
      </c>
      <c r="E2689" s="3" t="s">
        <v>219</v>
      </c>
      <c r="F2689" s="3"/>
      <c r="G2689" s="3"/>
      <c r="H2689" s="3"/>
      <c r="I2689" s="3"/>
    </row>
    <row r="2690" spans="1:9" s="5" customFormat="1" x14ac:dyDescent="0.35">
      <c r="A2690" s="3" t="s">
        <v>907</v>
      </c>
      <c r="B2690" s="3" t="s">
        <v>1010</v>
      </c>
      <c r="C2690" s="3" t="s">
        <v>45</v>
      </c>
      <c r="D2690" s="3" t="s">
        <v>1066</v>
      </c>
      <c r="E2690" s="3" t="s">
        <v>372</v>
      </c>
      <c r="F2690" s="3"/>
      <c r="G2690" s="3"/>
      <c r="H2690" s="3"/>
      <c r="I2690" s="3"/>
    </row>
    <row r="2691" spans="1:9" s="5" customFormat="1" x14ac:dyDescent="0.35">
      <c r="A2691" s="3" t="s">
        <v>907</v>
      </c>
      <c r="B2691" s="3" t="s">
        <v>1010</v>
      </c>
      <c r="C2691" s="3" t="s">
        <v>45</v>
      </c>
      <c r="D2691" s="3" t="s">
        <v>1066</v>
      </c>
      <c r="E2691" s="3" t="s">
        <v>218</v>
      </c>
      <c r="F2691" s="3"/>
      <c r="G2691" s="3"/>
      <c r="H2691" s="3"/>
      <c r="I2691" s="3"/>
    </row>
    <row r="2692" spans="1:9" s="5" customFormat="1" x14ac:dyDescent="0.35">
      <c r="A2692" s="3" t="s">
        <v>907</v>
      </c>
      <c r="B2692" s="3" t="s">
        <v>1010</v>
      </c>
      <c r="C2692" s="3" t="s">
        <v>45</v>
      </c>
      <c r="D2692" s="3" t="s">
        <v>1066</v>
      </c>
      <c r="E2692" s="3" t="s">
        <v>224</v>
      </c>
      <c r="F2692" s="3"/>
      <c r="G2692" s="3"/>
      <c r="H2692" s="3"/>
      <c r="I2692" s="3"/>
    </row>
    <row r="2693" spans="1:9" s="5" customFormat="1" x14ac:dyDescent="0.35">
      <c r="A2693" s="3" t="s">
        <v>907</v>
      </c>
      <c r="B2693" s="3" t="s">
        <v>1010</v>
      </c>
      <c r="C2693" s="3" t="s">
        <v>45</v>
      </c>
      <c r="D2693" s="3" t="s">
        <v>1069</v>
      </c>
      <c r="E2693" s="3" t="s">
        <v>77</v>
      </c>
      <c r="F2693" s="3"/>
      <c r="G2693" s="3"/>
      <c r="H2693" s="3"/>
      <c r="I2693" s="3"/>
    </row>
    <row r="2694" spans="1:9" s="5" customFormat="1" x14ac:dyDescent="0.35">
      <c r="A2694" s="3" t="s">
        <v>907</v>
      </c>
      <c r="B2694" s="3" t="s">
        <v>1010</v>
      </c>
      <c r="C2694" s="3" t="s">
        <v>45</v>
      </c>
      <c r="D2694" s="3" t="s">
        <v>1069</v>
      </c>
      <c r="E2694" s="3" t="s">
        <v>15</v>
      </c>
      <c r="F2694" s="3" t="s">
        <v>16</v>
      </c>
      <c r="G2694" s="3" t="s">
        <v>1068</v>
      </c>
      <c r="H2694" s="3"/>
      <c r="I2694" s="3"/>
    </row>
    <row r="2695" spans="1:9" s="5" customFormat="1" x14ac:dyDescent="0.35">
      <c r="A2695" s="3" t="s">
        <v>907</v>
      </c>
      <c r="B2695" s="3" t="s">
        <v>1010</v>
      </c>
      <c r="C2695" s="3" t="s">
        <v>45</v>
      </c>
      <c r="D2695" s="3" t="s">
        <v>1069</v>
      </c>
      <c r="E2695" s="3" t="s">
        <v>56</v>
      </c>
      <c r="F2695" s="3"/>
      <c r="G2695" s="3"/>
      <c r="H2695" s="3"/>
      <c r="I2695" s="3"/>
    </row>
    <row r="2696" spans="1:9" s="5" customFormat="1" x14ac:dyDescent="0.35">
      <c r="A2696" s="3" t="s">
        <v>907</v>
      </c>
      <c r="B2696" s="3" t="s">
        <v>1010</v>
      </c>
      <c r="C2696" s="3" t="s">
        <v>45</v>
      </c>
      <c r="D2696" s="3" t="s">
        <v>1069</v>
      </c>
      <c r="E2696" s="3" t="s">
        <v>29</v>
      </c>
      <c r="F2696" s="3"/>
      <c r="G2696" s="3"/>
      <c r="H2696" s="3"/>
      <c r="I2696" s="3"/>
    </row>
    <row r="2697" spans="1:9" s="5" customFormat="1" x14ac:dyDescent="0.35">
      <c r="A2697" s="3" t="s">
        <v>907</v>
      </c>
      <c r="B2697" s="3" t="s">
        <v>1010</v>
      </c>
      <c r="C2697" s="3" t="s">
        <v>45</v>
      </c>
      <c r="D2697" s="3" t="s">
        <v>1070</v>
      </c>
      <c r="E2697" s="3" t="s">
        <v>77</v>
      </c>
      <c r="F2697" s="3"/>
      <c r="G2697" s="3"/>
      <c r="H2697" s="3"/>
      <c r="I2697" s="3"/>
    </row>
    <row r="2698" spans="1:9" s="5" customFormat="1" x14ac:dyDescent="0.35">
      <c r="A2698" s="3" t="s">
        <v>907</v>
      </c>
      <c r="B2698" s="3" t="s">
        <v>1010</v>
      </c>
      <c r="C2698" s="3" t="s">
        <v>45</v>
      </c>
      <c r="D2698" s="3" t="s">
        <v>1071</v>
      </c>
      <c r="E2698" s="3" t="s">
        <v>217</v>
      </c>
      <c r="F2698" s="3" t="s">
        <v>33</v>
      </c>
      <c r="G2698" s="3" t="s">
        <v>487</v>
      </c>
      <c r="H2698" s="3"/>
      <c r="I2698" s="3"/>
    </row>
    <row r="2699" spans="1:9" s="5" customFormat="1" x14ac:dyDescent="0.35">
      <c r="A2699" s="3" t="s">
        <v>907</v>
      </c>
      <c r="B2699" s="3" t="s">
        <v>1010</v>
      </c>
      <c r="C2699" s="3" t="s">
        <v>45</v>
      </c>
      <c r="D2699" s="3" t="s">
        <v>1071</v>
      </c>
      <c r="E2699" s="3" t="s">
        <v>15</v>
      </c>
      <c r="F2699" s="3" t="s">
        <v>33</v>
      </c>
      <c r="G2699" s="3" t="s">
        <v>487</v>
      </c>
      <c r="H2699" s="3"/>
      <c r="I2699" s="3"/>
    </row>
    <row r="2700" spans="1:9" s="5" customFormat="1" x14ac:dyDescent="0.35">
      <c r="A2700" s="3" t="s">
        <v>907</v>
      </c>
      <c r="B2700" s="3" t="s">
        <v>1010</v>
      </c>
      <c r="C2700" s="3" t="s">
        <v>45</v>
      </c>
      <c r="D2700" s="3" t="s">
        <v>1071</v>
      </c>
      <c r="E2700" s="3" t="s">
        <v>372</v>
      </c>
      <c r="F2700" s="3" t="s">
        <v>33</v>
      </c>
      <c r="G2700" s="3" t="s">
        <v>487</v>
      </c>
      <c r="H2700" s="3"/>
      <c r="I2700" s="3"/>
    </row>
    <row r="2701" spans="1:9" s="5" customFormat="1" x14ac:dyDescent="0.35">
      <c r="A2701" s="3" t="s">
        <v>907</v>
      </c>
      <c r="B2701" s="3" t="s">
        <v>1010</v>
      </c>
      <c r="C2701" s="3" t="s">
        <v>45</v>
      </c>
      <c r="D2701" s="3" t="s">
        <v>1072</v>
      </c>
      <c r="E2701" s="3" t="s">
        <v>217</v>
      </c>
      <c r="F2701" s="3" t="s">
        <v>33</v>
      </c>
      <c r="G2701" s="3" t="s">
        <v>487</v>
      </c>
      <c r="H2701" s="3"/>
      <c r="I2701" s="3"/>
    </row>
    <row r="2702" spans="1:9" s="5" customFormat="1" x14ac:dyDescent="0.35">
      <c r="A2702" s="3" t="s">
        <v>907</v>
      </c>
      <c r="B2702" s="3" t="s">
        <v>1010</v>
      </c>
      <c r="C2702" s="3" t="s">
        <v>45</v>
      </c>
      <c r="D2702" s="3" t="s">
        <v>1072</v>
      </c>
      <c r="E2702" s="3" t="s">
        <v>372</v>
      </c>
      <c r="F2702" s="3" t="s">
        <v>33</v>
      </c>
      <c r="G2702" s="3" t="s">
        <v>487</v>
      </c>
      <c r="H2702" s="3"/>
      <c r="I2702" s="3"/>
    </row>
    <row r="2703" spans="1:9" s="5" customFormat="1" x14ac:dyDescent="0.35">
      <c r="A2703" s="3" t="s">
        <v>907</v>
      </c>
      <c r="B2703" s="3" t="s">
        <v>1010</v>
      </c>
      <c r="C2703" s="3" t="s">
        <v>45</v>
      </c>
      <c r="D2703" s="3" t="s">
        <v>1072</v>
      </c>
      <c r="E2703" s="3" t="s">
        <v>224</v>
      </c>
      <c r="F2703" s="3" t="s">
        <v>33</v>
      </c>
      <c r="G2703" s="3" t="s">
        <v>487</v>
      </c>
      <c r="H2703" s="3"/>
      <c r="I2703" s="3"/>
    </row>
    <row r="2704" spans="1:9" s="5" customFormat="1" x14ac:dyDescent="0.35">
      <c r="A2704" s="3" t="s">
        <v>907</v>
      </c>
      <c r="B2704" s="3" t="s">
        <v>1010</v>
      </c>
      <c r="C2704" s="3" t="s">
        <v>45</v>
      </c>
      <c r="D2704" s="3" t="s">
        <v>1073</v>
      </c>
      <c r="E2704" s="3" t="s">
        <v>217</v>
      </c>
      <c r="F2704" s="3"/>
      <c r="G2704" s="3"/>
      <c r="H2704" s="3"/>
      <c r="I2704" s="3"/>
    </row>
    <row r="2705" spans="1:9" s="5" customFormat="1" x14ac:dyDescent="0.35">
      <c r="A2705" s="3" t="s">
        <v>907</v>
      </c>
      <c r="B2705" s="3" t="s">
        <v>1010</v>
      </c>
      <c r="C2705" s="3" t="s">
        <v>45</v>
      </c>
      <c r="D2705" s="3" t="s">
        <v>1073</v>
      </c>
      <c r="E2705" s="3" t="s">
        <v>77</v>
      </c>
      <c r="F2705" s="3"/>
      <c r="G2705" s="3"/>
      <c r="H2705" s="3"/>
      <c r="I2705" s="3"/>
    </row>
    <row r="2706" spans="1:9" s="5" customFormat="1" x14ac:dyDescent="0.35">
      <c r="A2706" s="3" t="s">
        <v>907</v>
      </c>
      <c r="B2706" s="3" t="s">
        <v>1010</v>
      </c>
      <c r="C2706" s="3" t="s">
        <v>45</v>
      </c>
      <c r="D2706" s="3" t="s">
        <v>1073</v>
      </c>
      <c r="E2706" s="3" t="s">
        <v>372</v>
      </c>
      <c r="F2706" s="3" t="s">
        <v>16</v>
      </c>
      <c r="G2706" s="3" t="s">
        <v>1074</v>
      </c>
      <c r="H2706" s="3"/>
      <c r="I2706" s="3"/>
    </row>
    <row r="2707" spans="1:9" s="5" customFormat="1" x14ac:dyDescent="0.35">
      <c r="A2707" s="3" t="s">
        <v>907</v>
      </c>
      <c r="B2707" s="3" t="s">
        <v>1010</v>
      </c>
      <c r="C2707" s="3" t="s">
        <v>45</v>
      </c>
      <c r="D2707" s="3" t="s">
        <v>2859</v>
      </c>
      <c r="E2707" s="3" t="s">
        <v>217</v>
      </c>
      <c r="F2707" s="3"/>
      <c r="G2707" s="3"/>
      <c r="H2707" s="3"/>
      <c r="I2707" s="3"/>
    </row>
    <row r="2708" spans="1:9" s="5" customFormat="1" x14ac:dyDescent="0.35">
      <c r="A2708" s="3" t="s">
        <v>907</v>
      </c>
      <c r="B2708" s="3" t="s">
        <v>1010</v>
      </c>
      <c r="C2708" s="3" t="s">
        <v>20</v>
      </c>
      <c r="D2708" s="3" t="s">
        <v>1075</v>
      </c>
      <c r="E2708" s="3" t="s">
        <v>77</v>
      </c>
      <c r="F2708" s="3"/>
      <c r="G2708" s="3"/>
      <c r="H2708" s="3"/>
      <c r="I2708" s="3"/>
    </row>
    <row r="2709" spans="1:9" s="5" customFormat="1" x14ac:dyDescent="0.35">
      <c r="A2709" s="3" t="s">
        <v>907</v>
      </c>
      <c r="B2709" s="3" t="s">
        <v>1010</v>
      </c>
      <c r="C2709" s="3" t="s">
        <v>20</v>
      </c>
      <c r="D2709" s="3" t="s">
        <v>1075</v>
      </c>
      <c r="E2709" s="3" t="s">
        <v>15</v>
      </c>
      <c r="F2709" s="3" t="s">
        <v>16</v>
      </c>
      <c r="G2709" s="3" t="s">
        <v>1076</v>
      </c>
      <c r="H2709" s="3"/>
      <c r="I2709" s="3"/>
    </row>
    <row r="2710" spans="1:9" s="5" customFormat="1" x14ac:dyDescent="0.35">
      <c r="A2710" s="3" t="s">
        <v>907</v>
      </c>
      <c r="B2710" s="3" t="s">
        <v>1010</v>
      </c>
      <c r="C2710" s="3" t="s">
        <v>20</v>
      </c>
      <c r="D2710" s="3" t="s">
        <v>1075</v>
      </c>
      <c r="E2710" s="3" t="s">
        <v>56</v>
      </c>
      <c r="F2710" s="3"/>
      <c r="G2710" s="3"/>
      <c r="H2710" s="3"/>
      <c r="I2710" s="3"/>
    </row>
    <row r="2711" spans="1:9" s="5" customFormat="1" x14ac:dyDescent="0.35">
      <c r="A2711" s="3" t="s">
        <v>907</v>
      </c>
      <c r="B2711" s="3" t="s">
        <v>1010</v>
      </c>
      <c r="C2711" s="3" t="s">
        <v>20</v>
      </c>
      <c r="D2711" s="3" t="s">
        <v>1075</v>
      </c>
      <c r="E2711" s="3" t="s">
        <v>89</v>
      </c>
      <c r="F2711" s="3"/>
      <c r="G2711" s="3"/>
      <c r="H2711" s="3"/>
      <c r="I2711" s="3"/>
    </row>
    <row r="2712" spans="1:9" s="5" customFormat="1" x14ac:dyDescent="0.35">
      <c r="A2712" s="3" t="s">
        <v>907</v>
      </c>
      <c r="B2712" s="3" t="s">
        <v>1010</v>
      </c>
      <c r="C2712" s="3" t="s">
        <v>20</v>
      </c>
      <c r="D2712" s="3" t="s">
        <v>1075</v>
      </c>
      <c r="E2712" s="3" t="s">
        <v>32</v>
      </c>
      <c r="F2712" s="3" t="s">
        <v>16</v>
      </c>
      <c r="G2712" s="3" t="s">
        <v>2381</v>
      </c>
      <c r="H2712" s="3"/>
      <c r="I2712" s="3"/>
    </row>
    <row r="2713" spans="1:9" s="5" customFormat="1" x14ac:dyDescent="0.35">
      <c r="A2713" s="3" t="s">
        <v>907</v>
      </c>
      <c r="B2713" s="3" t="s">
        <v>1010</v>
      </c>
      <c r="C2713" s="3" t="s">
        <v>20</v>
      </c>
      <c r="D2713" s="3" t="s">
        <v>1075</v>
      </c>
      <c r="E2713" s="3" t="s">
        <v>152</v>
      </c>
      <c r="F2713" s="3"/>
      <c r="G2713" s="3"/>
      <c r="H2713" s="3"/>
      <c r="I2713" s="3"/>
    </row>
    <row r="2714" spans="1:9" s="5" customFormat="1" x14ac:dyDescent="0.35">
      <c r="A2714" s="3" t="s">
        <v>907</v>
      </c>
      <c r="B2714" s="3" t="s">
        <v>1010</v>
      </c>
      <c r="C2714" s="3" t="s">
        <v>20</v>
      </c>
      <c r="D2714" s="3" t="s">
        <v>1075</v>
      </c>
      <c r="E2714" s="3" t="s">
        <v>191</v>
      </c>
      <c r="F2714" s="3"/>
      <c r="G2714" s="3" t="s">
        <v>2382</v>
      </c>
      <c r="H2714" s="3"/>
      <c r="I2714" s="3"/>
    </row>
    <row r="2715" spans="1:9" s="5" customFormat="1" x14ac:dyDescent="0.35">
      <c r="A2715" s="3" t="s">
        <v>907</v>
      </c>
      <c r="B2715" s="3" t="s">
        <v>1010</v>
      </c>
      <c r="C2715" s="3" t="s">
        <v>20</v>
      </c>
      <c r="D2715" s="3" t="s">
        <v>1075</v>
      </c>
      <c r="E2715" s="3" t="s">
        <v>107</v>
      </c>
      <c r="F2715" s="3" t="s">
        <v>16</v>
      </c>
      <c r="G2715" s="3" t="s">
        <v>1065</v>
      </c>
      <c r="H2715" s="3"/>
      <c r="I2715" s="3"/>
    </row>
    <row r="2716" spans="1:9" s="5" customFormat="1" x14ac:dyDescent="0.35">
      <c r="A2716" s="3" t="s">
        <v>907</v>
      </c>
      <c r="B2716" s="3" t="s">
        <v>1010</v>
      </c>
      <c r="C2716" s="3" t="s">
        <v>20</v>
      </c>
      <c r="D2716" s="3" t="s">
        <v>1075</v>
      </c>
      <c r="E2716" s="3" t="s">
        <v>218</v>
      </c>
      <c r="F2716" s="3" t="s">
        <v>33</v>
      </c>
      <c r="G2716" s="3" t="s">
        <v>34</v>
      </c>
      <c r="H2716" s="3"/>
      <c r="I2716" s="3"/>
    </row>
    <row r="2717" spans="1:9" s="5" customFormat="1" x14ac:dyDescent="0.35">
      <c r="A2717" s="3" t="s">
        <v>907</v>
      </c>
      <c r="B2717" s="3" t="s">
        <v>1010</v>
      </c>
      <c r="C2717" s="3" t="s">
        <v>20</v>
      </c>
      <c r="D2717" s="3" t="s">
        <v>1075</v>
      </c>
      <c r="E2717" s="3" t="s">
        <v>1049</v>
      </c>
      <c r="F2717" s="3"/>
      <c r="G2717" s="3"/>
      <c r="H2717" s="3"/>
      <c r="I2717" s="3"/>
    </row>
    <row r="2718" spans="1:9" s="5" customFormat="1" x14ac:dyDescent="0.35">
      <c r="A2718" s="3" t="s">
        <v>907</v>
      </c>
      <c r="B2718" s="3" t="s">
        <v>1010</v>
      </c>
      <c r="C2718" s="3" t="s">
        <v>20</v>
      </c>
      <c r="D2718" s="3" t="s">
        <v>1077</v>
      </c>
      <c r="E2718" s="3" t="s">
        <v>77</v>
      </c>
      <c r="F2718" s="3"/>
      <c r="G2718" s="3"/>
      <c r="H2718" s="3"/>
      <c r="I2718" s="3"/>
    </row>
    <row r="2719" spans="1:9" s="5" customFormat="1" x14ac:dyDescent="0.35">
      <c r="A2719" s="3" t="s">
        <v>907</v>
      </c>
      <c r="B2719" s="3" t="s">
        <v>1010</v>
      </c>
      <c r="C2719" s="3" t="s">
        <v>20</v>
      </c>
      <c r="D2719" s="3" t="s">
        <v>1077</v>
      </c>
      <c r="E2719" s="3" t="s">
        <v>15</v>
      </c>
      <c r="F2719" s="3" t="s">
        <v>16</v>
      </c>
      <c r="G2719" s="3" t="s">
        <v>1078</v>
      </c>
      <c r="H2719" s="3"/>
      <c r="I2719" s="3"/>
    </row>
    <row r="2720" spans="1:9" s="5" customFormat="1" x14ac:dyDescent="0.35">
      <c r="A2720" s="3" t="s">
        <v>907</v>
      </c>
      <c r="B2720" s="3" t="s">
        <v>1010</v>
      </c>
      <c r="C2720" s="3" t="s">
        <v>20</v>
      </c>
      <c r="D2720" s="3" t="s">
        <v>1077</v>
      </c>
      <c r="E2720" s="3" t="s">
        <v>89</v>
      </c>
      <c r="F2720" s="3"/>
      <c r="G2720" s="3"/>
      <c r="H2720" s="3"/>
      <c r="I2720" s="3"/>
    </row>
    <row r="2721" spans="1:9" s="5" customFormat="1" x14ac:dyDescent="0.35">
      <c r="A2721" s="3" t="s">
        <v>907</v>
      </c>
      <c r="B2721" s="3" t="s">
        <v>1010</v>
      </c>
      <c r="C2721" s="3" t="s">
        <v>20</v>
      </c>
      <c r="D2721" s="3" t="s">
        <v>1077</v>
      </c>
      <c r="E2721" s="3" t="s">
        <v>29</v>
      </c>
      <c r="F2721" s="3"/>
      <c r="G2721" s="3"/>
      <c r="H2721" s="3"/>
      <c r="I2721" s="3"/>
    </row>
    <row r="2722" spans="1:9" s="5" customFormat="1" x14ac:dyDescent="0.35">
      <c r="A2722" s="3" t="s">
        <v>907</v>
      </c>
      <c r="B2722" s="3" t="s">
        <v>1010</v>
      </c>
      <c r="C2722" s="3" t="s">
        <v>20</v>
      </c>
      <c r="D2722" s="3" t="s">
        <v>1077</v>
      </c>
      <c r="E2722" s="3" t="s">
        <v>152</v>
      </c>
      <c r="F2722" s="3"/>
      <c r="G2722" s="3"/>
      <c r="H2722" s="3"/>
      <c r="I2722" s="3"/>
    </row>
    <row r="2723" spans="1:9" s="5" customFormat="1" x14ac:dyDescent="0.35">
      <c r="A2723" s="3" t="s">
        <v>907</v>
      </c>
      <c r="B2723" s="3" t="s">
        <v>1010</v>
      </c>
      <c r="C2723" s="3" t="s">
        <v>20</v>
      </c>
      <c r="D2723" s="3" t="s">
        <v>1077</v>
      </c>
      <c r="E2723" s="3" t="s">
        <v>134</v>
      </c>
      <c r="F2723" s="3"/>
      <c r="G2723" s="3"/>
      <c r="H2723" s="3"/>
      <c r="I2723" s="3"/>
    </row>
    <row r="2724" spans="1:9" s="5" customFormat="1" x14ac:dyDescent="0.35">
      <c r="A2724" s="3" t="s">
        <v>907</v>
      </c>
      <c r="B2724" s="3" t="s">
        <v>1010</v>
      </c>
      <c r="C2724" s="3" t="s">
        <v>20</v>
      </c>
      <c r="D2724" s="3" t="s">
        <v>1077</v>
      </c>
      <c r="E2724" s="3" t="s">
        <v>191</v>
      </c>
      <c r="F2724" s="3"/>
      <c r="G2724" s="3"/>
      <c r="H2724" s="3"/>
      <c r="I2724" s="3"/>
    </row>
    <row r="2725" spans="1:9" s="5" customFormat="1" x14ac:dyDescent="0.35">
      <c r="A2725" s="3" t="s">
        <v>907</v>
      </c>
      <c r="B2725" s="3" t="s">
        <v>1010</v>
      </c>
      <c r="C2725" s="3" t="s">
        <v>20</v>
      </c>
      <c r="D2725" s="3" t="s">
        <v>1077</v>
      </c>
      <c r="E2725" s="3" t="s">
        <v>218</v>
      </c>
      <c r="F2725" s="3" t="s">
        <v>33</v>
      </c>
      <c r="G2725" s="3" t="s">
        <v>34</v>
      </c>
      <c r="H2725" s="3"/>
      <c r="I2725" s="3"/>
    </row>
    <row r="2726" spans="1:9" s="5" customFormat="1" x14ac:dyDescent="0.35">
      <c r="A2726" s="3" t="s">
        <v>907</v>
      </c>
      <c r="B2726" s="3" t="s">
        <v>1010</v>
      </c>
      <c r="C2726" s="3" t="s">
        <v>20</v>
      </c>
      <c r="D2726" s="3" t="s">
        <v>1077</v>
      </c>
      <c r="E2726" s="3" t="s">
        <v>968</v>
      </c>
      <c r="F2726" s="3"/>
      <c r="G2726" s="3"/>
      <c r="H2726" s="3"/>
      <c r="I2726" s="3"/>
    </row>
    <row r="2727" spans="1:9" s="5" customFormat="1" x14ac:dyDescent="0.35">
      <c r="A2727" s="3" t="s">
        <v>907</v>
      </c>
      <c r="B2727" s="3" t="s">
        <v>1010</v>
      </c>
      <c r="C2727" s="3" t="s">
        <v>20</v>
      </c>
      <c r="D2727" s="3" t="s">
        <v>1079</v>
      </c>
      <c r="E2727" s="3" t="s">
        <v>77</v>
      </c>
      <c r="F2727" s="3"/>
      <c r="G2727" s="3"/>
      <c r="H2727" s="3"/>
      <c r="I2727" s="3"/>
    </row>
    <row r="2728" spans="1:9" s="5" customFormat="1" x14ac:dyDescent="0.35">
      <c r="A2728" s="3" t="s">
        <v>907</v>
      </c>
      <c r="B2728" s="3" t="s">
        <v>1010</v>
      </c>
      <c r="C2728" s="3" t="s">
        <v>20</v>
      </c>
      <c r="D2728" s="3" t="s">
        <v>1079</v>
      </c>
      <c r="E2728" s="3" t="s">
        <v>15</v>
      </c>
      <c r="F2728" s="3"/>
      <c r="G2728" s="3"/>
      <c r="H2728" s="3"/>
      <c r="I2728" s="3"/>
    </row>
    <row r="2729" spans="1:9" s="5" customFormat="1" x14ac:dyDescent="0.35">
      <c r="A2729" s="3" t="s">
        <v>907</v>
      </c>
      <c r="B2729" s="3" t="s">
        <v>1010</v>
      </c>
      <c r="C2729" s="3" t="s">
        <v>20</v>
      </c>
      <c r="D2729" s="3" t="s">
        <v>1079</v>
      </c>
      <c r="E2729" s="3" t="s">
        <v>56</v>
      </c>
      <c r="F2729" s="3"/>
      <c r="G2729" s="3"/>
      <c r="H2729" s="3"/>
      <c r="I2729" s="3"/>
    </row>
    <row r="2730" spans="1:9" s="5" customFormat="1" x14ac:dyDescent="0.35">
      <c r="A2730" s="3" t="s">
        <v>907</v>
      </c>
      <c r="B2730" s="3" t="s">
        <v>1010</v>
      </c>
      <c r="C2730" s="3" t="s">
        <v>20</v>
      </c>
      <c r="D2730" s="3" t="s">
        <v>1079</v>
      </c>
      <c r="E2730" s="3" t="s">
        <v>152</v>
      </c>
      <c r="F2730" s="3"/>
      <c r="G2730" s="3"/>
      <c r="H2730" s="3"/>
      <c r="I2730" s="3"/>
    </row>
    <row r="2731" spans="1:9" s="5" customFormat="1" x14ac:dyDescent="0.35">
      <c r="A2731" s="3" t="s">
        <v>907</v>
      </c>
      <c r="B2731" s="3" t="s">
        <v>1010</v>
      </c>
      <c r="C2731" s="3" t="s">
        <v>20</v>
      </c>
      <c r="D2731" s="3" t="s">
        <v>1079</v>
      </c>
      <c r="E2731" s="3" t="s">
        <v>191</v>
      </c>
      <c r="F2731" s="3"/>
      <c r="G2731" s="3"/>
      <c r="H2731" s="3"/>
      <c r="I2731" s="3"/>
    </row>
    <row r="2732" spans="1:9" s="5" customFormat="1" x14ac:dyDescent="0.35">
      <c r="A2732" s="3" t="s">
        <v>907</v>
      </c>
      <c r="B2732" s="3" t="s">
        <v>1010</v>
      </c>
      <c r="C2732" s="3" t="s">
        <v>20</v>
      </c>
      <c r="D2732" s="3" t="s">
        <v>1080</v>
      </c>
      <c r="E2732" s="3" t="s">
        <v>77</v>
      </c>
      <c r="F2732" s="3"/>
      <c r="G2732" s="3"/>
      <c r="H2732" s="3"/>
      <c r="I2732" s="3"/>
    </row>
    <row r="2733" spans="1:9" s="5" customFormat="1" x14ac:dyDescent="0.35">
      <c r="A2733" s="3" t="s">
        <v>907</v>
      </c>
      <c r="B2733" s="3" t="s">
        <v>1010</v>
      </c>
      <c r="C2733" s="3" t="s">
        <v>20</v>
      </c>
      <c r="D2733" s="3" t="s">
        <v>1080</v>
      </c>
      <c r="E2733" s="3" t="s">
        <v>28</v>
      </c>
      <c r="F2733" s="3"/>
      <c r="G2733" s="3" t="s">
        <v>2383</v>
      </c>
      <c r="H2733" s="3"/>
      <c r="I2733" s="3"/>
    </row>
    <row r="2734" spans="1:9" s="5" customFormat="1" x14ac:dyDescent="0.35">
      <c r="A2734" s="3" t="s">
        <v>907</v>
      </c>
      <c r="B2734" s="3" t="s">
        <v>1010</v>
      </c>
      <c r="C2734" s="3" t="s">
        <v>20</v>
      </c>
      <c r="D2734" s="3" t="s">
        <v>1080</v>
      </c>
      <c r="E2734" s="3" t="s">
        <v>242</v>
      </c>
      <c r="F2734" s="3"/>
      <c r="G2734" s="3"/>
      <c r="H2734" s="3"/>
      <c r="I2734" s="3"/>
    </row>
    <row r="2735" spans="1:9" s="5" customFormat="1" x14ac:dyDescent="0.35">
      <c r="A2735" s="3" t="s">
        <v>907</v>
      </c>
      <c r="B2735" s="3" t="s">
        <v>1010</v>
      </c>
      <c r="C2735" s="3" t="s">
        <v>20</v>
      </c>
      <c r="D2735" s="3" t="s">
        <v>1080</v>
      </c>
      <c r="E2735" s="3" t="s">
        <v>15</v>
      </c>
      <c r="F2735" s="3" t="s">
        <v>16</v>
      </c>
      <c r="G2735" s="3" t="s">
        <v>2967</v>
      </c>
      <c r="H2735" s="3"/>
      <c r="I2735" s="3"/>
    </row>
    <row r="2736" spans="1:9" s="5" customFormat="1" x14ac:dyDescent="0.35">
      <c r="A2736" s="3" t="s">
        <v>907</v>
      </c>
      <c r="B2736" s="3" t="s">
        <v>1010</v>
      </c>
      <c r="C2736" s="3" t="s">
        <v>20</v>
      </c>
      <c r="D2736" s="3" t="s">
        <v>1080</v>
      </c>
      <c r="E2736" s="3" t="s">
        <v>56</v>
      </c>
      <c r="F2736" s="3"/>
      <c r="G2736" s="3"/>
      <c r="H2736" s="3"/>
      <c r="I2736" s="3"/>
    </row>
    <row r="2737" spans="1:9" s="5" customFormat="1" x14ac:dyDescent="0.35">
      <c r="A2737" s="3" t="s">
        <v>907</v>
      </c>
      <c r="B2737" s="3" t="s">
        <v>1010</v>
      </c>
      <c r="C2737" s="3" t="s">
        <v>20</v>
      </c>
      <c r="D2737" s="3" t="s">
        <v>1080</v>
      </c>
      <c r="E2737" s="3" t="s">
        <v>89</v>
      </c>
      <c r="F2737" s="3"/>
      <c r="G2737" s="3"/>
      <c r="H2737" s="3"/>
      <c r="I2737" s="3"/>
    </row>
    <row r="2738" spans="1:9" s="5" customFormat="1" x14ac:dyDescent="0.35">
      <c r="A2738" s="3" t="s">
        <v>907</v>
      </c>
      <c r="B2738" s="3" t="s">
        <v>1010</v>
      </c>
      <c r="C2738" s="3" t="s">
        <v>20</v>
      </c>
      <c r="D2738" s="3" t="s">
        <v>1080</v>
      </c>
      <c r="E2738" s="3" t="s">
        <v>152</v>
      </c>
      <c r="F2738" s="3"/>
      <c r="G2738" s="3"/>
      <c r="H2738" s="3"/>
      <c r="I2738" s="3"/>
    </row>
    <row r="2739" spans="1:9" s="5" customFormat="1" x14ac:dyDescent="0.35">
      <c r="A2739" s="3" t="s">
        <v>907</v>
      </c>
      <c r="B2739" s="3" t="s">
        <v>1010</v>
      </c>
      <c r="C2739" s="3" t="s">
        <v>42</v>
      </c>
      <c r="D2739" s="3" t="s">
        <v>1081</v>
      </c>
      <c r="E2739" s="3" t="s">
        <v>23</v>
      </c>
      <c r="F2739" s="3"/>
      <c r="G2739" s="3"/>
      <c r="H2739" s="3"/>
      <c r="I2739" s="3"/>
    </row>
    <row r="2740" spans="1:9" s="5" customFormat="1" x14ac:dyDescent="0.35">
      <c r="A2740" s="3" t="s">
        <v>907</v>
      </c>
      <c r="B2740" s="3" t="s">
        <v>1010</v>
      </c>
      <c r="C2740" s="3" t="s">
        <v>42</v>
      </c>
      <c r="D2740" s="3" t="s">
        <v>1081</v>
      </c>
      <c r="E2740" s="3" t="s">
        <v>71</v>
      </c>
      <c r="F2740" s="3"/>
      <c r="G2740" s="3"/>
      <c r="H2740" s="3"/>
      <c r="I2740" s="3"/>
    </row>
    <row r="2741" spans="1:9" s="5" customFormat="1" x14ac:dyDescent="0.35">
      <c r="A2741" s="3" t="s">
        <v>907</v>
      </c>
      <c r="B2741" s="3" t="s">
        <v>1010</v>
      </c>
      <c r="C2741" s="3" t="s">
        <v>42</v>
      </c>
      <c r="D2741" s="3" t="s">
        <v>1081</v>
      </c>
      <c r="E2741" s="3" t="s">
        <v>77</v>
      </c>
      <c r="F2741" s="3"/>
      <c r="G2741" s="3"/>
      <c r="H2741" s="3"/>
      <c r="I2741" s="3"/>
    </row>
    <row r="2742" spans="1:9" s="5" customFormat="1" x14ac:dyDescent="0.35">
      <c r="A2742" s="3" t="s">
        <v>907</v>
      </c>
      <c r="B2742" s="3" t="s">
        <v>1010</v>
      </c>
      <c r="C2742" s="3" t="s">
        <v>42</v>
      </c>
      <c r="D2742" s="3" t="s">
        <v>1081</v>
      </c>
      <c r="E2742" s="3" t="s">
        <v>87</v>
      </c>
      <c r="F2742" s="3" t="s">
        <v>16</v>
      </c>
      <c r="G2742" s="3" t="s">
        <v>1082</v>
      </c>
      <c r="H2742" s="3"/>
      <c r="I2742" s="3"/>
    </row>
    <row r="2743" spans="1:9" s="5" customFormat="1" x14ac:dyDescent="0.35">
      <c r="A2743" s="3" t="s">
        <v>907</v>
      </c>
      <c r="B2743" s="3" t="s">
        <v>1010</v>
      </c>
      <c r="C2743" s="3" t="s">
        <v>42</v>
      </c>
      <c r="D2743" s="3" t="s">
        <v>1081</v>
      </c>
      <c r="E2743" s="3" t="s">
        <v>98</v>
      </c>
      <c r="F2743" s="3" t="s">
        <v>16</v>
      </c>
      <c r="G2743" s="3" t="s">
        <v>1083</v>
      </c>
      <c r="H2743" s="3"/>
      <c r="I2743" s="3"/>
    </row>
    <row r="2744" spans="1:9" s="5" customFormat="1" x14ac:dyDescent="0.35">
      <c r="A2744" s="3" t="s">
        <v>907</v>
      </c>
      <c r="B2744" s="3" t="s">
        <v>1010</v>
      </c>
      <c r="C2744" s="3" t="s">
        <v>42</v>
      </c>
      <c r="D2744" s="3" t="s">
        <v>1081</v>
      </c>
      <c r="E2744" s="3" t="s">
        <v>242</v>
      </c>
      <c r="F2744" s="3"/>
      <c r="G2744" s="3"/>
      <c r="H2744" s="3"/>
      <c r="I2744" s="3"/>
    </row>
    <row r="2745" spans="1:9" s="5" customFormat="1" x14ac:dyDescent="0.35">
      <c r="A2745" s="3" t="s">
        <v>907</v>
      </c>
      <c r="B2745" s="3" t="s">
        <v>1010</v>
      </c>
      <c r="C2745" s="3" t="s">
        <v>42</v>
      </c>
      <c r="D2745" s="3" t="s">
        <v>1081</v>
      </c>
      <c r="E2745" s="3" t="s">
        <v>185</v>
      </c>
      <c r="F2745" s="3"/>
      <c r="G2745" s="3"/>
      <c r="H2745" s="3"/>
      <c r="I2745" s="3"/>
    </row>
    <row r="2746" spans="1:9" s="5" customFormat="1" x14ac:dyDescent="0.35">
      <c r="A2746" s="3" t="s">
        <v>907</v>
      </c>
      <c r="B2746" s="3" t="s">
        <v>1010</v>
      </c>
      <c r="C2746" s="3" t="s">
        <v>42</v>
      </c>
      <c r="D2746" s="3" t="s">
        <v>1081</v>
      </c>
      <c r="E2746" s="3" t="s">
        <v>15</v>
      </c>
      <c r="F2746" s="3" t="s">
        <v>16</v>
      </c>
      <c r="G2746" s="3" t="s">
        <v>1084</v>
      </c>
      <c r="H2746" s="3"/>
      <c r="I2746" s="3"/>
    </row>
    <row r="2747" spans="1:9" s="5" customFormat="1" x14ac:dyDescent="0.35">
      <c r="A2747" s="3" t="s">
        <v>907</v>
      </c>
      <c r="B2747" s="3" t="s">
        <v>1010</v>
      </c>
      <c r="C2747" s="3" t="s">
        <v>42</v>
      </c>
      <c r="D2747" s="3" t="s">
        <v>1081</v>
      </c>
      <c r="E2747" s="3" t="s">
        <v>29</v>
      </c>
      <c r="F2747" s="3"/>
      <c r="G2747" s="3" t="s">
        <v>2384</v>
      </c>
      <c r="H2747" s="3"/>
      <c r="I2747" s="3"/>
    </row>
    <row r="2748" spans="1:9" s="5" customFormat="1" x14ac:dyDescent="0.35">
      <c r="A2748" s="3" t="s">
        <v>907</v>
      </c>
      <c r="B2748" s="3" t="s">
        <v>1010</v>
      </c>
      <c r="C2748" s="3" t="s">
        <v>42</v>
      </c>
      <c r="D2748" s="3" t="s">
        <v>1081</v>
      </c>
      <c r="E2748" s="3" t="s">
        <v>152</v>
      </c>
      <c r="F2748" s="3"/>
      <c r="G2748" s="3"/>
      <c r="H2748" s="3"/>
      <c r="I2748" s="3"/>
    </row>
    <row r="2749" spans="1:9" s="5" customFormat="1" x14ac:dyDescent="0.35">
      <c r="A2749" s="3" t="s">
        <v>907</v>
      </c>
      <c r="B2749" s="3" t="s">
        <v>1010</v>
      </c>
      <c r="C2749" s="3" t="s">
        <v>42</v>
      </c>
      <c r="D2749" s="3" t="s">
        <v>1081</v>
      </c>
      <c r="E2749" s="3" t="s">
        <v>134</v>
      </c>
      <c r="F2749" s="3"/>
      <c r="G2749" s="3"/>
      <c r="H2749" s="3"/>
      <c r="I2749" s="3"/>
    </row>
    <row r="2750" spans="1:9" s="5" customFormat="1" x14ac:dyDescent="0.35">
      <c r="A2750" s="3" t="s">
        <v>907</v>
      </c>
      <c r="B2750" s="3" t="s">
        <v>1010</v>
      </c>
      <c r="C2750" s="3" t="s">
        <v>42</v>
      </c>
      <c r="D2750" s="3" t="s">
        <v>1081</v>
      </c>
      <c r="E2750" s="3" t="s">
        <v>191</v>
      </c>
      <c r="F2750" s="3"/>
      <c r="G2750" s="3" t="s">
        <v>2354</v>
      </c>
      <c r="H2750" s="3"/>
      <c r="I2750" s="3"/>
    </row>
    <row r="2751" spans="1:9" s="5" customFormat="1" x14ac:dyDescent="0.35">
      <c r="A2751" s="3" t="s">
        <v>907</v>
      </c>
      <c r="B2751" s="3" t="s">
        <v>1010</v>
      </c>
      <c r="C2751" s="3" t="s">
        <v>42</v>
      </c>
      <c r="D2751" s="3" t="s">
        <v>1081</v>
      </c>
      <c r="E2751" s="3" t="s">
        <v>107</v>
      </c>
      <c r="F2751" s="3" t="s">
        <v>16</v>
      </c>
      <c r="G2751" s="3" t="s">
        <v>2385</v>
      </c>
      <c r="H2751" s="3"/>
      <c r="I2751" s="3"/>
    </row>
    <row r="2752" spans="1:9" s="5" customFormat="1" x14ac:dyDescent="0.35">
      <c r="A2752" s="3" t="s">
        <v>907</v>
      </c>
      <c r="B2752" s="3" t="s">
        <v>1010</v>
      </c>
      <c r="C2752" s="3" t="s">
        <v>42</v>
      </c>
      <c r="D2752" s="3" t="s">
        <v>1081</v>
      </c>
      <c r="E2752" s="3" t="s">
        <v>218</v>
      </c>
      <c r="F2752" s="3" t="s">
        <v>33</v>
      </c>
      <c r="G2752" s="3" t="s">
        <v>34</v>
      </c>
      <c r="H2752" s="3"/>
      <c r="I2752" s="3"/>
    </row>
    <row r="2753" spans="1:9" s="5" customFormat="1" x14ac:dyDescent="0.35">
      <c r="A2753" s="3" t="s">
        <v>907</v>
      </c>
      <c r="B2753" s="3" t="s">
        <v>1010</v>
      </c>
      <c r="C2753" s="3" t="s">
        <v>42</v>
      </c>
      <c r="D2753" s="3" t="s">
        <v>1081</v>
      </c>
      <c r="E2753" s="3" t="s">
        <v>1049</v>
      </c>
      <c r="F2753" s="3"/>
      <c r="G2753" s="3"/>
      <c r="H2753" s="3"/>
      <c r="I2753" s="3"/>
    </row>
    <row r="2754" spans="1:9" s="5" customFormat="1" x14ac:dyDescent="0.35">
      <c r="A2754" s="3" t="s">
        <v>907</v>
      </c>
      <c r="B2754" s="3" t="s">
        <v>1010</v>
      </c>
      <c r="C2754" s="3" t="s">
        <v>42</v>
      </c>
      <c r="D2754" s="3" t="s">
        <v>1086</v>
      </c>
      <c r="E2754" s="3" t="s">
        <v>15</v>
      </c>
      <c r="F2754" s="3" t="s">
        <v>16</v>
      </c>
      <c r="G2754" s="3" t="s">
        <v>1085</v>
      </c>
      <c r="H2754" s="3"/>
      <c r="I2754" s="3"/>
    </row>
    <row r="2755" spans="1:9" s="5" customFormat="1" x14ac:dyDescent="0.35">
      <c r="A2755" s="3" t="s">
        <v>907</v>
      </c>
      <c r="B2755" s="3" t="s">
        <v>1010</v>
      </c>
      <c r="C2755" s="3" t="s">
        <v>42</v>
      </c>
      <c r="D2755" s="3" t="s">
        <v>1086</v>
      </c>
      <c r="E2755" s="3" t="s">
        <v>107</v>
      </c>
      <c r="F2755" s="3" t="s">
        <v>16</v>
      </c>
      <c r="G2755" s="3" t="s">
        <v>1085</v>
      </c>
      <c r="H2755" s="3"/>
      <c r="I2755" s="3"/>
    </row>
    <row r="2756" spans="1:9" s="5" customFormat="1" x14ac:dyDescent="0.35">
      <c r="A2756" s="3" t="s">
        <v>907</v>
      </c>
      <c r="B2756" s="3" t="s">
        <v>1010</v>
      </c>
      <c r="C2756" s="3" t="s">
        <v>42</v>
      </c>
      <c r="D2756" s="3" t="s">
        <v>1087</v>
      </c>
      <c r="E2756" s="3" t="s">
        <v>15</v>
      </c>
      <c r="F2756" s="3" t="s">
        <v>16</v>
      </c>
      <c r="G2756" s="3" t="s">
        <v>1085</v>
      </c>
      <c r="H2756" s="3"/>
      <c r="I2756" s="3"/>
    </row>
    <row r="2757" spans="1:9" s="5" customFormat="1" x14ac:dyDescent="0.35">
      <c r="A2757" s="3" t="s">
        <v>907</v>
      </c>
      <c r="B2757" s="3" t="s">
        <v>1010</v>
      </c>
      <c r="C2757" s="3" t="s">
        <v>42</v>
      </c>
      <c r="D2757" s="3" t="s">
        <v>1087</v>
      </c>
      <c r="E2757" s="3" t="s">
        <v>107</v>
      </c>
      <c r="F2757" s="3" t="s">
        <v>16</v>
      </c>
      <c r="G2757" s="3" t="s">
        <v>1085</v>
      </c>
      <c r="H2757" s="3"/>
      <c r="I2757" s="3"/>
    </row>
    <row r="2758" spans="1:9" s="5" customFormat="1" x14ac:dyDescent="0.35">
      <c r="A2758" s="3" t="s">
        <v>907</v>
      </c>
      <c r="B2758" s="3" t="s">
        <v>1010</v>
      </c>
      <c r="C2758" s="3" t="s">
        <v>42</v>
      </c>
      <c r="D2758" s="3" t="s">
        <v>1088</v>
      </c>
      <c r="E2758" s="3" t="s">
        <v>15</v>
      </c>
      <c r="F2758" s="3" t="s">
        <v>16</v>
      </c>
      <c r="G2758" s="3" t="s">
        <v>1085</v>
      </c>
      <c r="H2758" s="3"/>
      <c r="I2758" s="3"/>
    </row>
    <row r="2759" spans="1:9" s="5" customFormat="1" x14ac:dyDescent="0.35">
      <c r="A2759" s="3" t="s">
        <v>907</v>
      </c>
      <c r="B2759" s="3" t="s">
        <v>1010</v>
      </c>
      <c r="C2759" s="3" t="s">
        <v>42</v>
      </c>
      <c r="D2759" s="3" t="s">
        <v>1088</v>
      </c>
      <c r="E2759" s="3" t="s">
        <v>107</v>
      </c>
      <c r="F2759" s="3" t="s">
        <v>16</v>
      </c>
      <c r="G2759" s="3" t="s">
        <v>1085</v>
      </c>
      <c r="H2759" s="3"/>
      <c r="I2759" s="3"/>
    </row>
    <row r="2760" spans="1:9" s="5" customFormat="1" x14ac:dyDescent="0.35">
      <c r="A2760" s="3" t="s">
        <v>907</v>
      </c>
      <c r="B2760" s="3" t="s">
        <v>1010</v>
      </c>
      <c r="C2760" s="3" t="s">
        <v>42</v>
      </c>
      <c r="D2760" s="3" t="s">
        <v>1089</v>
      </c>
      <c r="E2760" s="3" t="s">
        <v>15</v>
      </c>
      <c r="F2760" s="3" t="s">
        <v>16</v>
      </c>
      <c r="G2760" s="3" t="s">
        <v>1085</v>
      </c>
      <c r="H2760" s="3"/>
      <c r="I2760" s="3"/>
    </row>
    <row r="2761" spans="1:9" s="5" customFormat="1" x14ac:dyDescent="0.35">
      <c r="A2761" s="3" t="s">
        <v>907</v>
      </c>
      <c r="B2761" s="3" t="s">
        <v>1010</v>
      </c>
      <c r="C2761" s="3" t="s">
        <v>42</v>
      </c>
      <c r="D2761" s="3" t="s">
        <v>1089</v>
      </c>
      <c r="E2761" s="3" t="s">
        <v>107</v>
      </c>
      <c r="F2761" s="3" t="s">
        <v>16</v>
      </c>
      <c r="G2761" s="3" t="s">
        <v>1085</v>
      </c>
      <c r="H2761" s="3"/>
      <c r="I2761" s="3"/>
    </row>
    <row r="2762" spans="1:9" s="5" customFormat="1" x14ac:dyDescent="0.35">
      <c r="A2762" s="3" t="s">
        <v>907</v>
      </c>
      <c r="B2762" s="3" t="s">
        <v>1010</v>
      </c>
      <c r="C2762" s="3" t="s">
        <v>42</v>
      </c>
      <c r="D2762" s="3" t="s">
        <v>1090</v>
      </c>
      <c r="E2762" s="3" t="s">
        <v>15</v>
      </c>
      <c r="F2762" s="3" t="s">
        <v>16</v>
      </c>
      <c r="G2762" s="3" t="s">
        <v>1085</v>
      </c>
      <c r="H2762" s="3"/>
      <c r="I2762" s="3"/>
    </row>
    <row r="2763" spans="1:9" s="5" customFormat="1" x14ac:dyDescent="0.35">
      <c r="A2763" s="3" t="s">
        <v>907</v>
      </c>
      <c r="B2763" s="3" t="s">
        <v>1010</v>
      </c>
      <c r="C2763" s="3" t="s">
        <v>42</v>
      </c>
      <c r="D2763" s="3" t="s">
        <v>1090</v>
      </c>
      <c r="E2763" s="3" t="s">
        <v>107</v>
      </c>
      <c r="F2763" s="3" t="s">
        <v>16</v>
      </c>
      <c r="G2763" s="3" t="s">
        <v>1085</v>
      </c>
      <c r="H2763" s="3"/>
      <c r="I2763" s="3"/>
    </row>
    <row r="2764" spans="1:9" s="5" customFormat="1" x14ac:dyDescent="0.35">
      <c r="A2764" s="3" t="s">
        <v>907</v>
      </c>
      <c r="B2764" s="3" t="s">
        <v>1010</v>
      </c>
      <c r="C2764" s="3" t="s">
        <v>42</v>
      </c>
      <c r="D2764" s="3" t="s">
        <v>1091</v>
      </c>
      <c r="E2764" s="3" t="s">
        <v>15</v>
      </c>
      <c r="F2764" s="3" t="s">
        <v>16</v>
      </c>
      <c r="G2764" s="3" t="s">
        <v>1085</v>
      </c>
      <c r="H2764" s="3"/>
      <c r="I2764" s="3"/>
    </row>
    <row r="2765" spans="1:9" s="5" customFormat="1" x14ac:dyDescent="0.35">
      <c r="A2765" s="3" t="s">
        <v>907</v>
      </c>
      <c r="B2765" s="3" t="s">
        <v>1010</v>
      </c>
      <c r="C2765" s="3" t="s">
        <v>42</v>
      </c>
      <c r="D2765" s="3" t="s">
        <v>1091</v>
      </c>
      <c r="E2765" s="3" t="s">
        <v>107</v>
      </c>
      <c r="F2765" s="3" t="s">
        <v>16</v>
      </c>
      <c r="G2765" s="3" t="s">
        <v>1085</v>
      </c>
      <c r="H2765" s="3"/>
      <c r="I2765" s="3"/>
    </row>
    <row r="2766" spans="1:9" s="5" customFormat="1" x14ac:dyDescent="0.35">
      <c r="A2766" s="3" t="s">
        <v>907</v>
      </c>
      <c r="B2766" s="3" t="s">
        <v>1010</v>
      </c>
      <c r="C2766" s="3" t="s">
        <v>42</v>
      </c>
      <c r="D2766" s="3" t="s">
        <v>1092</v>
      </c>
      <c r="E2766" s="3" t="s">
        <v>15</v>
      </c>
      <c r="F2766" s="3" t="s">
        <v>16</v>
      </c>
      <c r="G2766" s="3" t="s">
        <v>1085</v>
      </c>
      <c r="H2766" s="3"/>
      <c r="I2766" s="3"/>
    </row>
    <row r="2767" spans="1:9" s="5" customFormat="1" x14ac:dyDescent="0.35">
      <c r="A2767" s="3" t="s">
        <v>907</v>
      </c>
      <c r="B2767" s="3" t="s">
        <v>1010</v>
      </c>
      <c r="C2767" s="3" t="s">
        <v>42</v>
      </c>
      <c r="D2767" s="3" t="s">
        <v>1092</v>
      </c>
      <c r="E2767" s="3" t="s">
        <v>107</v>
      </c>
      <c r="F2767" s="3" t="s">
        <v>16</v>
      </c>
      <c r="G2767" s="3" t="s">
        <v>1085</v>
      </c>
      <c r="H2767" s="3"/>
      <c r="I2767" s="3"/>
    </row>
    <row r="2768" spans="1:9" s="5" customFormat="1" x14ac:dyDescent="0.35">
      <c r="A2768" s="3" t="s">
        <v>907</v>
      </c>
      <c r="B2768" s="3" t="s">
        <v>1010</v>
      </c>
      <c r="C2768" s="3" t="s">
        <v>42</v>
      </c>
      <c r="D2768" s="3" t="s">
        <v>1093</v>
      </c>
      <c r="E2768" s="3" t="s">
        <v>28</v>
      </c>
      <c r="F2768" s="3" t="s">
        <v>16</v>
      </c>
      <c r="G2768" s="3" t="s">
        <v>1094</v>
      </c>
      <c r="H2768" s="3"/>
      <c r="I2768" s="3"/>
    </row>
    <row r="2769" spans="1:9" s="5" customFormat="1" x14ac:dyDescent="0.35">
      <c r="A2769" s="3" t="s">
        <v>907</v>
      </c>
      <c r="B2769" s="3" t="s">
        <v>1010</v>
      </c>
      <c r="C2769" s="3" t="s">
        <v>42</v>
      </c>
      <c r="D2769" s="3" t="s">
        <v>1093</v>
      </c>
      <c r="E2769" s="3" t="s">
        <v>15</v>
      </c>
      <c r="F2769" s="3" t="s">
        <v>16</v>
      </c>
      <c r="G2769" s="3" t="s">
        <v>1085</v>
      </c>
      <c r="H2769" s="3"/>
      <c r="I2769" s="3"/>
    </row>
    <row r="2770" spans="1:9" s="5" customFormat="1" x14ac:dyDescent="0.35">
      <c r="A2770" s="3" t="s">
        <v>907</v>
      </c>
      <c r="B2770" s="3" t="s">
        <v>1010</v>
      </c>
      <c r="C2770" s="3" t="s">
        <v>42</v>
      </c>
      <c r="D2770" s="3" t="s">
        <v>1093</v>
      </c>
      <c r="E2770" s="3" t="s">
        <v>29</v>
      </c>
      <c r="F2770" s="3"/>
      <c r="G2770" s="3"/>
      <c r="H2770" s="3"/>
      <c r="I2770" s="3"/>
    </row>
    <row r="2771" spans="1:9" s="5" customFormat="1" x14ac:dyDescent="0.35">
      <c r="A2771" s="3" t="s">
        <v>907</v>
      </c>
      <c r="B2771" s="3" t="s">
        <v>1010</v>
      </c>
      <c r="C2771" s="3" t="s">
        <v>42</v>
      </c>
      <c r="D2771" s="3" t="s">
        <v>1093</v>
      </c>
      <c r="E2771" s="3" t="s">
        <v>107</v>
      </c>
      <c r="F2771" s="3" t="s">
        <v>16</v>
      </c>
      <c r="G2771" s="3" t="s">
        <v>1085</v>
      </c>
      <c r="H2771" s="3"/>
      <c r="I2771" s="3"/>
    </row>
    <row r="2772" spans="1:9" s="5" customFormat="1" x14ac:dyDescent="0.35">
      <c r="A2772" s="3" t="s">
        <v>907</v>
      </c>
      <c r="B2772" s="3" t="s">
        <v>1010</v>
      </c>
      <c r="C2772" s="3" t="s">
        <v>42</v>
      </c>
      <c r="D2772" s="3" t="s">
        <v>1095</v>
      </c>
      <c r="E2772" s="3" t="s">
        <v>23</v>
      </c>
      <c r="F2772" s="3" t="s">
        <v>16</v>
      </c>
      <c r="G2772" s="3" t="s">
        <v>1085</v>
      </c>
      <c r="H2772" s="3"/>
      <c r="I2772" s="3"/>
    </row>
    <row r="2773" spans="1:9" s="5" customFormat="1" x14ac:dyDescent="0.35">
      <c r="A2773" s="3" t="s">
        <v>907</v>
      </c>
      <c r="B2773" s="3" t="s">
        <v>1010</v>
      </c>
      <c r="C2773" s="3" t="s">
        <v>42</v>
      </c>
      <c r="D2773" s="3" t="s">
        <v>1095</v>
      </c>
      <c r="E2773" s="3" t="s">
        <v>15</v>
      </c>
      <c r="F2773" s="3" t="s">
        <v>16</v>
      </c>
      <c r="G2773" s="3" t="s">
        <v>1085</v>
      </c>
      <c r="H2773" s="3"/>
      <c r="I2773" s="3"/>
    </row>
    <row r="2774" spans="1:9" s="5" customFormat="1" x14ac:dyDescent="0.35">
      <c r="A2774" s="3" t="s">
        <v>907</v>
      </c>
      <c r="B2774" s="3" t="s">
        <v>1010</v>
      </c>
      <c r="C2774" s="3" t="s">
        <v>42</v>
      </c>
      <c r="D2774" s="3" t="s">
        <v>1095</v>
      </c>
      <c r="E2774" s="3" t="s">
        <v>107</v>
      </c>
      <c r="F2774" s="3" t="s">
        <v>16</v>
      </c>
      <c r="G2774" s="3" t="s">
        <v>1085</v>
      </c>
      <c r="H2774" s="3"/>
      <c r="I2774" s="3"/>
    </row>
    <row r="2775" spans="1:9" s="5" customFormat="1" x14ac:dyDescent="0.35">
      <c r="A2775" s="3" t="s">
        <v>907</v>
      </c>
      <c r="B2775" s="3" t="s">
        <v>1010</v>
      </c>
      <c r="C2775" s="3" t="s">
        <v>42</v>
      </c>
      <c r="D2775" s="3" t="s">
        <v>1096</v>
      </c>
      <c r="E2775" s="3" t="s">
        <v>15</v>
      </c>
      <c r="F2775" s="3" t="s">
        <v>16</v>
      </c>
      <c r="G2775" s="3" t="s">
        <v>1085</v>
      </c>
      <c r="H2775" s="3"/>
      <c r="I2775" s="3"/>
    </row>
    <row r="2776" spans="1:9" s="5" customFormat="1" x14ac:dyDescent="0.35">
      <c r="A2776" s="3" t="s">
        <v>907</v>
      </c>
      <c r="B2776" s="3" t="s">
        <v>1010</v>
      </c>
      <c r="C2776" s="3" t="s">
        <v>42</v>
      </c>
      <c r="D2776" s="3" t="s">
        <v>1096</v>
      </c>
      <c r="E2776" s="3" t="s">
        <v>107</v>
      </c>
      <c r="F2776" s="3" t="s">
        <v>16</v>
      </c>
      <c r="G2776" s="3" t="s">
        <v>1085</v>
      </c>
      <c r="H2776" s="3"/>
      <c r="I2776" s="3"/>
    </row>
    <row r="2777" spans="1:9" s="5" customFormat="1" x14ac:dyDescent="0.35">
      <c r="A2777" s="3" t="s">
        <v>907</v>
      </c>
      <c r="B2777" s="3" t="s">
        <v>1010</v>
      </c>
      <c r="C2777" s="3" t="s">
        <v>42</v>
      </c>
      <c r="D2777" s="3" t="s">
        <v>1097</v>
      </c>
      <c r="E2777" s="3" t="s">
        <v>15</v>
      </c>
      <c r="F2777" s="3" t="s">
        <v>16</v>
      </c>
      <c r="G2777" s="3" t="s">
        <v>1085</v>
      </c>
      <c r="H2777" s="3"/>
      <c r="I2777" s="3"/>
    </row>
    <row r="2778" spans="1:9" s="5" customFormat="1" x14ac:dyDescent="0.35">
      <c r="A2778" s="3" t="s">
        <v>907</v>
      </c>
      <c r="B2778" s="3" t="s">
        <v>1010</v>
      </c>
      <c r="C2778" s="3" t="s">
        <v>42</v>
      </c>
      <c r="D2778" s="3" t="s">
        <v>1097</v>
      </c>
      <c r="E2778" s="3" t="s">
        <v>107</v>
      </c>
      <c r="F2778" s="3" t="s">
        <v>16</v>
      </c>
      <c r="G2778" s="3" t="s">
        <v>1085</v>
      </c>
      <c r="H2778" s="3"/>
      <c r="I2778" s="3"/>
    </row>
    <row r="2779" spans="1:9" s="5" customFormat="1" x14ac:dyDescent="0.35">
      <c r="A2779" s="3" t="s">
        <v>907</v>
      </c>
      <c r="B2779" s="3" t="s">
        <v>1010</v>
      </c>
      <c r="C2779" s="3" t="s">
        <v>42</v>
      </c>
      <c r="D2779" s="3" t="s">
        <v>1098</v>
      </c>
      <c r="E2779" s="3" t="s">
        <v>15</v>
      </c>
      <c r="F2779" s="3" t="s">
        <v>16</v>
      </c>
      <c r="G2779" s="3" t="s">
        <v>1085</v>
      </c>
      <c r="H2779" s="3"/>
      <c r="I2779" s="3"/>
    </row>
    <row r="2780" spans="1:9" s="5" customFormat="1" x14ac:dyDescent="0.35">
      <c r="A2780" s="3" t="s">
        <v>907</v>
      </c>
      <c r="B2780" s="3" t="s">
        <v>1010</v>
      </c>
      <c r="C2780" s="3" t="s">
        <v>42</v>
      </c>
      <c r="D2780" s="3" t="s">
        <v>1098</v>
      </c>
      <c r="E2780" s="3" t="s">
        <v>107</v>
      </c>
      <c r="F2780" s="3" t="s">
        <v>16</v>
      </c>
      <c r="G2780" s="3" t="s">
        <v>1085</v>
      </c>
      <c r="H2780" s="3"/>
      <c r="I2780" s="3"/>
    </row>
    <row r="2781" spans="1:9" s="5" customFormat="1" x14ac:dyDescent="0.35">
      <c r="A2781" s="3" t="s">
        <v>907</v>
      </c>
      <c r="B2781" s="3" t="s">
        <v>1010</v>
      </c>
      <c r="C2781" s="3" t="s">
        <v>20</v>
      </c>
      <c r="D2781" s="3" t="s">
        <v>1099</v>
      </c>
      <c r="E2781" s="3" t="s">
        <v>77</v>
      </c>
      <c r="F2781" s="3" t="s">
        <v>16</v>
      </c>
      <c r="G2781" s="3" t="s">
        <v>1100</v>
      </c>
      <c r="H2781" s="3"/>
      <c r="I2781" s="3"/>
    </row>
    <row r="2782" spans="1:9" s="5" customFormat="1" x14ac:dyDescent="0.35">
      <c r="A2782" s="3" t="s">
        <v>907</v>
      </c>
      <c r="B2782" s="3" t="s">
        <v>1010</v>
      </c>
      <c r="C2782" s="3" t="s">
        <v>20</v>
      </c>
      <c r="D2782" s="3" t="s">
        <v>1099</v>
      </c>
      <c r="E2782" s="3" t="s">
        <v>15</v>
      </c>
      <c r="F2782" s="3" t="s">
        <v>16</v>
      </c>
      <c r="G2782" s="3" t="s">
        <v>1101</v>
      </c>
      <c r="H2782" s="3"/>
      <c r="I2782" s="3"/>
    </row>
    <row r="2783" spans="1:9" s="5" customFormat="1" x14ac:dyDescent="0.35">
      <c r="A2783" s="3" t="s">
        <v>907</v>
      </c>
      <c r="B2783" s="3" t="s">
        <v>1010</v>
      </c>
      <c r="C2783" s="3" t="s">
        <v>20</v>
      </c>
      <c r="D2783" s="3" t="s">
        <v>1099</v>
      </c>
      <c r="E2783" s="3" t="s">
        <v>152</v>
      </c>
      <c r="F2783" s="3" t="s">
        <v>16</v>
      </c>
      <c r="G2783" s="3" t="s">
        <v>1100</v>
      </c>
      <c r="H2783" s="3"/>
      <c r="I2783" s="3"/>
    </row>
    <row r="2784" spans="1:9" s="5" customFormat="1" x14ac:dyDescent="0.35">
      <c r="A2784" s="3" t="s">
        <v>907</v>
      </c>
      <c r="B2784" s="3" t="s">
        <v>1010</v>
      </c>
      <c r="C2784" s="3" t="s">
        <v>20</v>
      </c>
      <c r="D2784" s="3" t="s">
        <v>1099</v>
      </c>
      <c r="E2784" s="3" t="s">
        <v>134</v>
      </c>
      <c r="F2784" s="3" t="s">
        <v>16</v>
      </c>
      <c r="G2784" s="3" t="s">
        <v>1101</v>
      </c>
      <c r="H2784" s="3"/>
      <c r="I2784" s="3"/>
    </row>
    <row r="2785" spans="1:9" s="5" customFormat="1" x14ac:dyDescent="0.35">
      <c r="A2785" s="3" t="s">
        <v>907</v>
      </c>
      <c r="B2785" s="3" t="s">
        <v>1010</v>
      </c>
      <c r="C2785" s="3" t="s">
        <v>20</v>
      </c>
      <c r="D2785" s="3" t="s">
        <v>1099</v>
      </c>
      <c r="E2785" s="3" t="s">
        <v>191</v>
      </c>
      <c r="F2785" s="3"/>
      <c r="G2785" s="3" t="s">
        <v>2354</v>
      </c>
      <c r="H2785" s="3"/>
      <c r="I2785" s="3"/>
    </row>
    <row r="2786" spans="1:9" s="5" customFormat="1" x14ac:dyDescent="0.35">
      <c r="A2786" s="3" t="s">
        <v>907</v>
      </c>
      <c r="B2786" s="3" t="s">
        <v>1010</v>
      </c>
      <c r="C2786" s="3" t="s">
        <v>20</v>
      </c>
      <c r="D2786" s="3" t="s">
        <v>1102</v>
      </c>
      <c r="E2786" s="3" t="s">
        <v>60</v>
      </c>
      <c r="F2786" s="3"/>
      <c r="G2786" s="3"/>
      <c r="H2786" s="3"/>
      <c r="I2786" s="3"/>
    </row>
    <row r="2787" spans="1:9" s="5" customFormat="1" x14ac:dyDescent="0.35">
      <c r="A2787" s="3" t="s">
        <v>907</v>
      </c>
      <c r="B2787" s="3" t="s">
        <v>1010</v>
      </c>
      <c r="C2787" s="3" t="s">
        <v>20</v>
      </c>
      <c r="D2787" s="3" t="s">
        <v>1102</v>
      </c>
      <c r="E2787" s="3" t="s">
        <v>77</v>
      </c>
      <c r="F2787" s="3"/>
      <c r="G2787" s="3"/>
      <c r="H2787" s="3"/>
      <c r="I2787" s="3"/>
    </row>
    <row r="2788" spans="1:9" s="5" customFormat="1" x14ac:dyDescent="0.35">
      <c r="A2788" s="3" t="s">
        <v>907</v>
      </c>
      <c r="B2788" s="3" t="s">
        <v>1010</v>
      </c>
      <c r="C2788" s="3" t="s">
        <v>20</v>
      </c>
      <c r="D2788" s="3" t="s">
        <v>1102</v>
      </c>
      <c r="E2788" s="3" t="s">
        <v>28</v>
      </c>
      <c r="F2788" s="3"/>
      <c r="G2788" s="3" t="s">
        <v>2393</v>
      </c>
      <c r="H2788" s="3"/>
      <c r="I2788" s="12"/>
    </row>
    <row r="2789" spans="1:9" s="5" customFormat="1" x14ac:dyDescent="0.35">
      <c r="A2789" s="3" t="s">
        <v>907</v>
      </c>
      <c r="B2789" s="3" t="s">
        <v>1010</v>
      </c>
      <c r="C2789" s="3" t="s">
        <v>20</v>
      </c>
      <c r="D2789" s="3" t="s">
        <v>1102</v>
      </c>
      <c r="E2789" s="3" t="s">
        <v>242</v>
      </c>
      <c r="F2789" s="3"/>
      <c r="G2789" s="3" t="s">
        <v>2565</v>
      </c>
      <c r="H2789" s="3"/>
      <c r="I2789" s="12"/>
    </row>
    <row r="2790" spans="1:9" s="5" customFormat="1" x14ac:dyDescent="0.35">
      <c r="A2790" s="3" t="s">
        <v>907</v>
      </c>
      <c r="B2790" s="3" t="s">
        <v>1010</v>
      </c>
      <c r="C2790" s="3" t="s">
        <v>20</v>
      </c>
      <c r="D2790" s="3" t="s">
        <v>1102</v>
      </c>
      <c r="E2790" s="3" t="s">
        <v>15</v>
      </c>
      <c r="F2790" s="3"/>
      <c r="G2790" s="3"/>
      <c r="H2790" s="3"/>
      <c r="I2790" s="3"/>
    </row>
    <row r="2791" spans="1:9" s="5" customFormat="1" x14ac:dyDescent="0.35">
      <c r="A2791" s="3" t="s">
        <v>907</v>
      </c>
      <c r="B2791" s="3" t="s">
        <v>1010</v>
      </c>
      <c r="C2791" s="3" t="s">
        <v>20</v>
      </c>
      <c r="D2791" s="3" t="s">
        <v>1102</v>
      </c>
      <c r="E2791" s="3" t="s">
        <v>56</v>
      </c>
      <c r="F2791" s="3"/>
      <c r="G2791" s="3"/>
      <c r="H2791" s="3"/>
      <c r="I2791" s="3"/>
    </row>
    <row r="2792" spans="1:9" s="5" customFormat="1" x14ac:dyDescent="0.35">
      <c r="A2792" s="3" t="s">
        <v>907</v>
      </c>
      <c r="B2792" s="3" t="s">
        <v>1010</v>
      </c>
      <c r="C2792" s="3" t="s">
        <v>20</v>
      </c>
      <c r="D2792" s="3" t="s">
        <v>1102</v>
      </c>
      <c r="E2792" s="3" t="s">
        <v>152</v>
      </c>
      <c r="F2792" s="3"/>
      <c r="G2792" s="3"/>
      <c r="H2792" s="3"/>
      <c r="I2792" s="3"/>
    </row>
    <row r="2793" spans="1:9" s="5" customFormat="1" x14ac:dyDescent="0.35">
      <c r="A2793" s="3" t="s">
        <v>907</v>
      </c>
      <c r="B2793" s="3" t="s">
        <v>1010</v>
      </c>
      <c r="C2793" s="3" t="s">
        <v>20</v>
      </c>
      <c r="D2793" s="3" t="s">
        <v>1102</v>
      </c>
      <c r="E2793" s="3" t="s">
        <v>107</v>
      </c>
      <c r="F2793" s="3"/>
      <c r="G2793" s="3"/>
      <c r="H2793" s="3"/>
      <c r="I2793" s="3"/>
    </row>
    <row r="2794" spans="1:9" s="5" customFormat="1" x14ac:dyDescent="0.35">
      <c r="A2794" s="3" t="s">
        <v>907</v>
      </c>
      <c r="B2794" s="3" t="s">
        <v>1010</v>
      </c>
      <c r="C2794" s="3" t="s">
        <v>20</v>
      </c>
      <c r="D2794" s="3" t="s">
        <v>1102</v>
      </c>
      <c r="E2794" s="3" t="s">
        <v>968</v>
      </c>
      <c r="F2794" s="3"/>
      <c r="G2794" s="3"/>
      <c r="H2794" s="3"/>
      <c r="I2794" s="3"/>
    </row>
    <row r="2795" spans="1:9" s="5" customFormat="1" x14ac:dyDescent="0.35">
      <c r="A2795" s="3" t="s">
        <v>907</v>
      </c>
      <c r="B2795" s="3" t="s">
        <v>1010</v>
      </c>
      <c r="C2795" s="3" t="s">
        <v>45</v>
      </c>
      <c r="D2795" s="3" t="s">
        <v>1103</v>
      </c>
      <c r="E2795" s="3" t="s">
        <v>166</v>
      </c>
      <c r="F2795" s="3"/>
      <c r="G2795" s="3"/>
      <c r="H2795" s="3"/>
      <c r="I2795" s="3"/>
    </row>
    <row r="2796" spans="1:9" s="5" customFormat="1" x14ac:dyDescent="0.35">
      <c r="A2796" s="3" t="s">
        <v>907</v>
      </c>
      <c r="B2796" s="3" t="s">
        <v>1010</v>
      </c>
      <c r="C2796" s="3" t="s">
        <v>45</v>
      </c>
      <c r="D2796" s="3" t="s">
        <v>1103</v>
      </c>
      <c r="E2796" s="3" t="s">
        <v>1016</v>
      </c>
      <c r="F2796" s="3"/>
      <c r="G2796" s="3"/>
      <c r="H2796" s="3"/>
      <c r="I2796" s="3"/>
    </row>
    <row r="2797" spans="1:9" s="5" customFormat="1" x14ac:dyDescent="0.35">
      <c r="A2797" s="3" t="s">
        <v>907</v>
      </c>
      <c r="B2797" s="3" t="s">
        <v>1010</v>
      </c>
      <c r="C2797" s="3" t="s">
        <v>45</v>
      </c>
      <c r="D2797" s="3" t="s">
        <v>1103</v>
      </c>
      <c r="E2797" s="3" t="s">
        <v>225</v>
      </c>
      <c r="F2797" s="3"/>
      <c r="G2797" s="3"/>
      <c r="H2797" s="3"/>
      <c r="I2797" s="3"/>
    </row>
    <row r="2798" spans="1:9" s="5" customFormat="1" x14ac:dyDescent="0.35">
      <c r="A2798" s="3" t="s">
        <v>907</v>
      </c>
      <c r="B2798" s="3" t="s">
        <v>1010</v>
      </c>
      <c r="C2798" s="3" t="s">
        <v>45</v>
      </c>
      <c r="D2798" s="3" t="s">
        <v>1103</v>
      </c>
      <c r="E2798" s="3" t="s">
        <v>71</v>
      </c>
      <c r="F2798" s="3"/>
      <c r="G2798" s="3"/>
      <c r="H2798" s="3"/>
      <c r="I2798" s="3"/>
    </row>
    <row r="2799" spans="1:9" s="5" customFormat="1" x14ac:dyDescent="0.35">
      <c r="A2799" s="3" t="s">
        <v>907</v>
      </c>
      <c r="B2799" s="3" t="s">
        <v>1010</v>
      </c>
      <c r="C2799" s="3" t="s">
        <v>45</v>
      </c>
      <c r="D2799" s="3" t="s">
        <v>1103</v>
      </c>
      <c r="E2799" s="3" t="s">
        <v>28</v>
      </c>
      <c r="F2799" s="3"/>
      <c r="G2799" s="3"/>
      <c r="H2799" s="3"/>
      <c r="I2799" s="3"/>
    </row>
    <row r="2800" spans="1:9" s="5" customFormat="1" x14ac:dyDescent="0.35">
      <c r="A2800" s="3" t="s">
        <v>907</v>
      </c>
      <c r="B2800" s="3" t="s">
        <v>1010</v>
      </c>
      <c r="C2800" s="3" t="s">
        <v>45</v>
      </c>
      <c r="D2800" s="3" t="s">
        <v>1103</v>
      </c>
      <c r="E2800" s="3" t="s">
        <v>221</v>
      </c>
      <c r="F2800" s="3"/>
      <c r="G2800" s="3"/>
      <c r="H2800" s="3"/>
      <c r="I2800" s="3"/>
    </row>
    <row r="2801" spans="1:9" s="5" customFormat="1" x14ac:dyDescent="0.35">
      <c r="A2801" s="3" t="s">
        <v>907</v>
      </c>
      <c r="B2801" s="3" t="s">
        <v>1010</v>
      </c>
      <c r="C2801" s="3" t="s">
        <v>45</v>
      </c>
      <c r="D2801" s="3" t="s">
        <v>1103</v>
      </c>
      <c r="E2801" s="3" t="s">
        <v>222</v>
      </c>
      <c r="F2801" s="3"/>
      <c r="G2801" s="3"/>
      <c r="H2801" s="3"/>
      <c r="I2801" s="3"/>
    </row>
    <row r="2802" spans="1:9" s="5" customFormat="1" x14ac:dyDescent="0.35">
      <c r="A2802" s="3" t="s">
        <v>907</v>
      </c>
      <c r="B2802" s="3" t="s">
        <v>1010</v>
      </c>
      <c r="C2802" s="3" t="s">
        <v>45</v>
      </c>
      <c r="D2802" s="3" t="s">
        <v>1103</v>
      </c>
      <c r="E2802" s="3" t="s">
        <v>223</v>
      </c>
      <c r="F2802" s="3"/>
      <c r="G2802" s="3"/>
      <c r="H2802" s="3"/>
      <c r="I2802" s="3"/>
    </row>
    <row r="2803" spans="1:9" s="5" customFormat="1" x14ac:dyDescent="0.35">
      <c r="A2803" s="3" t="s">
        <v>907</v>
      </c>
      <c r="B2803" s="3" t="s">
        <v>1010</v>
      </c>
      <c r="C2803" s="3" t="s">
        <v>45</v>
      </c>
      <c r="D2803" s="3" t="s">
        <v>1103</v>
      </c>
      <c r="E2803" s="3" t="s">
        <v>15</v>
      </c>
      <c r="F2803" s="3" t="s">
        <v>16</v>
      </c>
      <c r="G2803" s="3" t="s">
        <v>990</v>
      </c>
      <c r="H2803" s="3"/>
      <c r="I2803" s="3"/>
    </row>
    <row r="2804" spans="1:9" s="5" customFormat="1" x14ac:dyDescent="0.35">
      <c r="A2804" s="3" t="s">
        <v>907</v>
      </c>
      <c r="B2804" s="3" t="s">
        <v>1010</v>
      </c>
      <c r="C2804" s="3" t="s">
        <v>45</v>
      </c>
      <c r="D2804" s="3" t="s">
        <v>1103</v>
      </c>
      <c r="E2804" s="3" t="s">
        <v>226</v>
      </c>
      <c r="F2804" s="3"/>
      <c r="G2804" s="3"/>
      <c r="H2804" s="3"/>
      <c r="I2804" s="3"/>
    </row>
    <row r="2805" spans="1:9" s="5" customFormat="1" x14ac:dyDescent="0.35">
      <c r="A2805" s="3" t="s">
        <v>907</v>
      </c>
      <c r="B2805" s="3" t="s">
        <v>1010</v>
      </c>
      <c r="C2805" s="3" t="s">
        <v>45</v>
      </c>
      <c r="D2805" s="3" t="s">
        <v>1103</v>
      </c>
      <c r="E2805" s="3" t="s">
        <v>227</v>
      </c>
      <c r="F2805" s="3"/>
      <c r="G2805" s="3"/>
      <c r="H2805" s="3"/>
      <c r="I2805" s="3"/>
    </row>
    <row r="2806" spans="1:9" s="5" customFormat="1" x14ac:dyDescent="0.35">
      <c r="A2806" s="3" t="s">
        <v>907</v>
      </c>
      <c r="B2806" s="3" t="s">
        <v>1010</v>
      </c>
      <c r="C2806" s="3" t="s">
        <v>45</v>
      </c>
      <c r="D2806" s="3" t="s">
        <v>1103</v>
      </c>
      <c r="E2806" s="3" t="s">
        <v>228</v>
      </c>
      <c r="F2806" s="3"/>
      <c r="G2806" s="3"/>
      <c r="H2806" s="3"/>
      <c r="I2806" s="3"/>
    </row>
    <row r="2807" spans="1:9" s="5" customFormat="1" x14ac:dyDescent="0.35">
      <c r="A2807" s="3" t="s">
        <v>907</v>
      </c>
      <c r="B2807" s="3" t="s">
        <v>1010</v>
      </c>
      <c r="C2807" s="3" t="s">
        <v>45</v>
      </c>
      <c r="D2807" s="3" t="s">
        <v>1103</v>
      </c>
      <c r="E2807" s="3" t="s">
        <v>56</v>
      </c>
      <c r="F2807" s="3"/>
      <c r="G2807" s="3" t="s">
        <v>2394</v>
      </c>
      <c r="H2807" s="3"/>
      <c r="I2807" s="3"/>
    </row>
    <row r="2808" spans="1:9" s="5" customFormat="1" x14ac:dyDescent="0.35">
      <c r="A2808" s="3" t="s">
        <v>907</v>
      </c>
      <c r="B2808" s="3" t="s">
        <v>1010</v>
      </c>
      <c r="C2808" s="3" t="s">
        <v>45</v>
      </c>
      <c r="D2808" s="3" t="s">
        <v>1103</v>
      </c>
      <c r="E2808" s="3" t="s">
        <v>229</v>
      </c>
      <c r="F2808" s="3"/>
      <c r="G2808" s="3"/>
      <c r="H2808" s="3"/>
      <c r="I2808" s="3"/>
    </row>
    <row r="2809" spans="1:9" s="5" customFormat="1" x14ac:dyDescent="0.35">
      <c r="A2809" s="3" t="s">
        <v>907</v>
      </c>
      <c r="B2809" s="3" t="s">
        <v>1010</v>
      </c>
      <c r="C2809" s="3" t="s">
        <v>45</v>
      </c>
      <c r="D2809" s="3" t="s">
        <v>1103</v>
      </c>
      <c r="E2809" s="3" t="s">
        <v>230</v>
      </c>
      <c r="F2809" s="3"/>
      <c r="G2809" s="3"/>
      <c r="H2809" s="3"/>
      <c r="I2809" s="3"/>
    </row>
    <row r="2810" spans="1:9" s="5" customFormat="1" x14ac:dyDescent="0.35">
      <c r="A2810" s="3" t="s">
        <v>907</v>
      </c>
      <c r="B2810" s="3" t="s">
        <v>1010</v>
      </c>
      <c r="C2810" s="3" t="s">
        <v>45</v>
      </c>
      <c r="D2810" s="3" t="s">
        <v>1103</v>
      </c>
      <c r="E2810" s="3" t="s">
        <v>219</v>
      </c>
      <c r="F2810" s="3"/>
      <c r="G2810" s="3"/>
      <c r="H2810" s="3"/>
      <c r="I2810" s="3"/>
    </row>
    <row r="2811" spans="1:9" s="5" customFormat="1" x14ac:dyDescent="0.35">
      <c r="A2811" s="3" t="s">
        <v>907</v>
      </c>
      <c r="B2811" s="3" t="s">
        <v>1010</v>
      </c>
      <c r="C2811" s="3" t="s">
        <v>45</v>
      </c>
      <c r="D2811" s="3" t="s">
        <v>1103</v>
      </c>
      <c r="E2811" s="3" t="s">
        <v>134</v>
      </c>
      <c r="F2811" s="3"/>
      <c r="G2811" s="3"/>
      <c r="H2811" s="3"/>
      <c r="I2811" s="3"/>
    </row>
    <row r="2812" spans="1:9" s="5" customFormat="1" x14ac:dyDescent="0.35">
      <c r="A2812" s="3" t="s">
        <v>907</v>
      </c>
      <c r="B2812" s="3" t="s">
        <v>1010</v>
      </c>
      <c r="C2812" s="3" t="s">
        <v>45</v>
      </c>
      <c r="D2812" s="3" t="s">
        <v>1103</v>
      </c>
      <c r="E2812" s="3" t="s">
        <v>372</v>
      </c>
      <c r="F2812" s="3"/>
      <c r="G2812" s="3"/>
      <c r="H2812" s="3"/>
      <c r="I2812" s="3"/>
    </row>
    <row r="2813" spans="1:9" s="5" customFormat="1" x14ac:dyDescent="0.35">
      <c r="A2813" s="3" t="s">
        <v>907</v>
      </c>
      <c r="B2813" s="3" t="s">
        <v>1010</v>
      </c>
      <c r="C2813" s="3" t="s">
        <v>45</v>
      </c>
      <c r="D2813" s="3" t="s">
        <v>1103</v>
      </c>
      <c r="E2813" s="3" t="s">
        <v>218</v>
      </c>
      <c r="F2813" s="3"/>
      <c r="G2813" s="3"/>
      <c r="H2813" s="3"/>
      <c r="I2813" s="3"/>
    </row>
    <row r="2814" spans="1:9" s="5" customFormat="1" x14ac:dyDescent="0.35">
      <c r="A2814" s="3" t="s">
        <v>907</v>
      </c>
      <c r="B2814" s="3" t="s">
        <v>1010</v>
      </c>
      <c r="C2814" s="3" t="s">
        <v>45</v>
      </c>
      <c r="D2814" s="3" t="s">
        <v>1103</v>
      </c>
      <c r="E2814" s="3" t="s">
        <v>224</v>
      </c>
      <c r="F2814" s="3"/>
      <c r="G2814" s="3"/>
      <c r="H2814" s="3"/>
      <c r="I2814" s="3"/>
    </row>
    <row r="2815" spans="1:9" s="5" customFormat="1" x14ac:dyDescent="0.35">
      <c r="A2815" s="3" t="s">
        <v>907</v>
      </c>
      <c r="B2815" s="3" t="s">
        <v>1010</v>
      </c>
      <c r="C2815" s="3" t="s">
        <v>45</v>
      </c>
      <c r="D2815" s="3" t="s">
        <v>1104</v>
      </c>
      <c r="E2815" s="3" t="s">
        <v>166</v>
      </c>
      <c r="F2815" s="3"/>
      <c r="G2815" s="3"/>
      <c r="H2815" s="3"/>
      <c r="I2815" s="3"/>
    </row>
    <row r="2816" spans="1:9" s="5" customFormat="1" x14ac:dyDescent="0.35">
      <c r="A2816" s="3" t="s">
        <v>907</v>
      </c>
      <c r="B2816" s="3" t="s">
        <v>1010</v>
      </c>
      <c r="C2816" s="3" t="s">
        <v>45</v>
      </c>
      <c r="D2816" s="3" t="s">
        <v>1104</v>
      </c>
      <c r="E2816" s="3" t="s">
        <v>1016</v>
      </c>
      <c r="F2816" s="3"/>
      <c r="G2816" s="3"/>
      <c r="H2816" s="3"/>
      <c r="I2816" s="3"/>
    </row>
    <row r="2817" spans="1:9" s="5" customFormat="1" x14ac:dyDescent="0.35">
      <c r="A2817" s="3" t="s">
        <v>907</v>
      </c>
      <c r="B2817" s="3" t="s">
        <v>1010</v>
      </c>
      <c r="C2817" s="3" t="s">
        <v>45</v>
      </c>
      <c r="D2817" s="3" t="s">
        <v>1104</v>
      </c>
      <c r="E2817" s="3" t="s">
        <v>225</v>
      </c>
      <c r="F2817" s="3"/>
      <c r="G2817" s="3"/>
      <c r="H2817" s="3"/>
      <c r="I2817" s="3"/>
    </row>
    <row r="2818" spans="1:9" s="5" customFormat="1" x14ac:dyDescent="0.35">
      <c r="A2818" s="3" t="s">
        <v>907</v>
      </c>
      <c r="B2818" s="3" t="s">
        <v>1010</v>
      </c>
      <c r="C2818" s="3" t="s">
        <v>45</v>
      </c>
      <c r="D2818" s="3" t="s">
        <v>1104</v>
      </c>
      <c r="E2818" s="3" t="s">
        <v>77</v>
      </c>
      <c r="F2818" s="3"/>
      <c r="G2818" s="3"/>
      <c r="H2818" s="3"/>
      <c r="I2818" s="3"/>
    </row>
    <row r="2819" spans="1:9" s="5" customFormat="1" x14ac:dyDescent="0.35">
      <c r="A2819" s="3" t="s">
        <v>907</v>
      </c>
      <c r="B2819" s="3" t="s">
        <v>1010</v>
      </c>
      <c r="C2819" s="3" t="s">
        <v>45</v>
      </c>
      <c r="D2819" s="3" t="s">
        <v>1104</v>
      </c>
      <c r="E2819" s="3" t="s">
        <v>1067</v>
      </c>
      <c r="F2819" s="3"/>
      <c r="G2819" s="3" t="s">
        <v>2364</v>
      </c>
      <c r="H2819" s="3"/>
      <c r="I2819" s="3"/>
    </row>
    <row r="2820" spans="1:9" s="5" customFormat="1" x14ac:dyDescent="0.35">
      <c r="A2820" s="3" t="s">
        <v>907</v>
      </c>
      <c r="B2820" s="3" t="s">
        <v>1010</v>
      </c>
      <c r="C2820" s="3" t="s">
        <v>45</v>
      </c>
      <c r="D2820" s="3" t="s">
        <v>1104</v>
      </c>
      <c r="E2820" s="3" t="s">
        <v>222</v>
      </c>
      <c r="F2820" s="3"/>
      <c r="G2820" s="3"/>
      <c r="H2820" s="3"/>
      <c r="I2820" s="3"/>
    </row>
    <row r="2821" spans="1:9" s="5" customFormat="1" x14ac:dyDescent="0.35">
      <c r="A2821" s="3" t="s">
        <v>907</v>
      </c>
      <c r="B2821" s="3" t="s">
        <v>1010</v>
      </c>
      <c r="C2821" s="3" t="s">
        <v>45</v>
      </c>
      <c r="D2821" s="3" t="s">
        <v>1104</v>
      </c>
      <c r="E2821" s="3" t="s">
        <v>223</v>
      </c>
      <c r="F2821" s="3"/>
      <c r="G2821" s="3"/>
      <c r="H2821" s="3"/>
      <c r="I2821" s="3"/>
    </row>
    <row r="2822" spans="1:9" s="5" customFormat="1" x14ac:dyDescent="0.35">
      <c r="A2822" s="3" t="s">
        <v>907</v>
      </c>
      <c r="B2822" s="3" t="s">
        <v>1010</v>
      </c>
      <c r="C2822" s="3" t="s">
        <v>45</v>
      </c>
      <c r="D2822" s="3" t="s">
        <v>1104</v>
      </c>
      <c r="E2822" s="3" t="s">
        <v>15</v>
      </c>
      <c r="F2822" s="3"/>
      <c r="G2822" s="3"/>
      <c r="H2822" s="3"/>
      <c r="I2822" s="3"/>
    </row>
    <row r="2823" spans="1:9" s="5" customFormat="1" x14ac:dyDescent="0.35">
      <c r="A2823" s="3" t="s">
        <v>907</v>
      </c>
      <c r="B2823" s="3" t="s">
        <v>1010</v>
      </c>
      <c r="C2823" s="3" t="s">
        <v>45</v>
      </c>
      <c r="D2823" s="3" t="s">
        <v>1104</v>
      </c>
      <c r="E2823" s="3" t="s">
        <v>226</v>
      </c>
      <c r="F2823" s="3"/>
      <c r="G2823" s="3"/>
      <c r="H2823" s="3"/>
      <c r="I2823" s="3"/>
    </row>
    <row r="2824" spans="1:9" s="5" customFormat="1" x14ac:dyDescent="0.35">
      <c r="A2824" s="3" t="s">
        <v>907</v>
      </c>
      <c r="B2824" s="3" t="s">
        <v>1010</v>
      </c>
      <c r="C2824" s="3" t="s">
        <v>45</v>
      </c>
      <c r="D2824" s="3" t="s">
        <v>1104</v>
      </c>
      <c r="E2824" s="3" t="s">
        <v>227</v>
      </c>
      <c r="F2824" s="3"/>
      <c r="G2824" s="3"/>
      <c r="H2824" s="3"/>
      <c r="I2824" s="3"/>
    </row>
    <row r="2825" spans="1:9" s="5" customFormat="1" x14ac:dyDescent="0.35">
      <c r="A2825" s="3" t="s">
        <v>907</v>
      </c>
      <c r="B2825" s="3" t="s">
        <v>1010</v>
      </c>
      <c r="C2825" s="3" t="s">
        <v>45</v>
      </c>
      <c r="D2825" s="3" t="s">
        <v>1104</v>
      </c>
      <c r="E2825" s="3" t="s">
        <v>228</v>
      </c>
      <c r="F2825" s="3"/>
      <c r="G2825" s="3"/>
      <c r="H2825" s="3"/>
      <c r="I2825" s="3"/>
    </row>
    <row r="2826" spans="1:9" s="5" customFormat="1" x14ac:dyDescent="0.35">
      <c r="A2826" s="3" t="s">
        <v>907</v>
      </c>
      <c r="B2826" s="3" t="s">
        <v>1010</v>
      </c>
      <c r="C2826" s="3" t="s">
        <v>45</v>
      </c>
      <c r="D2826" s="3" t="s">
        <v>1104</v>
      </c>
      <c r="E2826" s="3" t="s">
        <v>56</v>
      </c>
      <c r="F2826" s="3"/>
      <c r="G2826" s="3"/>
      <c r="H2826" s="3"/>
      <c r="I2826" s="3"/>
    </row>
    <row r="2827" spans="1:9" s="5" customFormat="1" x14ac:dyDescent="0.35">
      <c r="A2827" s="3" t="s">
        <v>907</v>
      </c>
      <c r="B2827" s="3" t="s">
        <v>1010</v>
      </c>
      <c r="C2827" s="3" t="s">
        <v>45</v>
      </c>
      <c r="D2827" s="3" t="s">
        <v>1104</v>
      </c>
      <c r="E2827" s="3" t="s">
        <v>229</v>
      </c>
      <c r="F2827" s="3"/>
      <c r="G2827" s="3"/>
      <c r="H2827" s="3"/>
      <c r="I2827" s="3"/>
    </row>
    <row r="2828" spans="1:9" s="5" customFormat="1" x14ac:dyDescent="0.35">
      <c r="A2828" s="3" t="s">
        <v>907</v>
      </c>
      <c r="B2828" s="3" t="s">
        <v>1010</v>
      </c>
      <c r="C2828" s="3" t="s">
        <v>45</v>
      </c>
      <c r="D2828" s="3" t="s">
        <v>1104</v>
      </c>
      <c r="E2828" s="3" t="s">
        <v>230</v>
      </c>
      <c r="F2828" s="3"/>
      <c r="G2828" s="3"/>
      <c r="H2828" s="3"/>
      <c r="I2828" s="3"/>
    </row>
    <row r="2829" spans="1:9" s="5" customFormat="1" x14ac:dyDescent="0.35">
      <c r="A2829" s="3" t="s">
        <v>907</v>
      </c>
      <c r="B2829" s="3" t="s">
        <v>1010</v>
      </c>
      <c r="C2829" s="3" t="s">
        <v>45</v>
      </c>
      <c r="D2829" s="3" t="s">
        <v>1104</v>
      </c>
      <c r="E2829" s="3" t="s">
        <v>29</v>
      </c>
      <c r="F2829" s="3"/>
      <c r="G2829" s="3"/>
      <c r="H2829" s="3"/>
      <c r="I2829" s="3"/>
    </row>
    <row r="2830" spans="1:9" s="5" customFormat="1" x14ac:dyDescent="0.35">
      <c r="A2830" s="3" t="s">
        <v>907</v>
      </c>
      <c r="B2830" s="3" t="s">
        <v>1010</v>
      </c>
      <c r="C2830" s="3" t="s">
        <v>45</v>
      </c>
      <c r="D2830" s="3" t="s">
        <v>1104</v>
      </c>
      <c r="E2830" s="3" t="s">
        <v>219</v>
      </c>
      <c r="F2830" s="3"/>
      <c r="G2830" s="3"/>
      <c r="H2830" s="3"/>
      <c r="I2830" s="3"/>
    </row>
    <row r="2831" spans="1:9" s="5" customFormat="1" x14ac:dyDescent="0.35">
      <c r="A2831" s="3" t="s">
        <v>907</v>
      </c>
      <c r="B2831" s="3" t="s">
        <v>1010</v>
      </c>
      <c r="C2831" s="3" t="s">
        <v>45</v>
      </c>
      <c r="D2831" s="3" t="s">
        <v>1104</v>
      </c>
      <c r="E2831" s="3" t="s">
        <v>372</v>
      </c>
      <c r="F2831" s="3"/>
      <c r="G2831" s="3"/>
      <c r="H2831" s="3"/>
      <c r="I2831" s="3"/>
    </row>
    <row r="2832" spans="1:9" s="5" customFormat="1" x14ac:dyDescent="0.35">
      <c r="A2832" s="3" t="s">
        <v>907</v>
      </c>
      <c r="B2832" s="3" t="s">
        <v>1010</v>
      </c>
      <c r="C2832" s="3" t="s">
        <v>45</v>
      </c>
      <c r="D2832" s="3" t="s">
        <v>1104</v>
      </c>
      <c r="E2832" s="3" t="s">
        <v>218</v>
      </c>
      <c r="F2832" s="3"/>
      <c r="G2832" s="3"/>
      <c r="H2832" s="3"/>
      <c r="I2832" s="3"/>
    </row>
    <row r="2833" spans="1:9" s="5" customFormat="1" x14ac:dyDescent="0.35">
      <c r="A2833" s="3" t="s">
        <v>907</v>
      </c>
      <c r="B2833" s="3" t="s">
        <v>1010</v>
      </c>
      <c r="C2833" s="3" t="s">
        <v>45</v>
      </c>
      <c r="D2833" s="3" t="s">
        <v>1104</v>
      </c>
      <c r="E2833" s="3" t="s">
        <v>224</v>
      </c>
      <c r="F2833" s="3"/>
      <c r="G2833" s="3"/>
      <c r="H2833" s="3"/>
      <c r="I2833" s="3"/>
    </row>
    <row r="2834" spans="1:9" s="5" customFormat="1" x14ac:dyDescent="0.35">
      <c r="A2834" s="3" t="s">
        <v>907</v>
      </c>
      <c r="B2834" s="3" t="s">
        <v>1010</v>
      </c>
      <c r="C2834" s="3" t="s">
        <v>20</v>
      </c>
      <c r="D2834" s="3" t="s">
        <v>2803</v>
      </c>
      <c r="E2834" s="3" t="s">
        <v>98</v>
      </c>
      <c r="F2834" s="3" t="s">
        <v>16</v>
      </c>
      <c r="G2834" s="3" t="s">
        <v>2824</v>
      </c>
      <c r="H2834" s="3"/>
      <c r="I2834" s="3"/>
    </row>
    <row r="2835" spans="1:9" s="5" customFormat="1" x14ac:dyDescent="0.35">
      <c r="A2835" s="3" t="s">
        <v>907</v>
      </c>
      <c r="B2835" s="3" t="s">
        <v>1010</v>
      </c>
      <c r="C2835" s="3" t="s">
        <v>20</v>
      </c>
      <c r="D2835" s="3" t="s">
        <v>2803</v>
      </c>
      <c r="E2835" s="3" t="s">
        <v>15</v>
      </c>
      <c r="F2835" s="3" t="s">
        <v>16</v>
      </c>
      <c r="G2835" s="3" t="s">
        <v>2804</v>
      </c>
      <c r="H2835" s="3"/>
      <c r="I2835" s="3"/>
    </row>
    <row r="2836" spans="1:9" s="5" customFormat="1" x14ac:dyDescent="0.35">
      <c r="A2836" s="3" t="s">
        <v>907</v>
      </c>
      <c r="B2836" s="3" t="s">
        <v>1010</v>
      </c>
      <c r="C2836" s="3" t="s">
        <v>20</v>
      </c>
      <c r="D2836" s="3" t="s">
        <v>2803</v>
      </c>
      <c r="E2836" s="3" t="s">
        <v>57</v>
      </c>
      <c r="F2836" s="3" t="s">
        <v>16</v>
      </c>
      <c r="G2836" s="3" t="s">
        <v>2804</v>
      </c>
      <c r="H2836" s="3"/>
      <c r="I2836" s="3"/>
    </row>
    <row r="2837" spans="1:9" s="5" customFormat="1" x14ac:dyDescent="0.35">
      <c r="A2837" s="3" t="s">
        <v>907</v>
      </c>
      <c r="B2837" s="3" t="s">
        <v>1010</v>
      </c>
      <c r="C2837" s="3" t="s">
        <v>20</v>
      </c>
      <c r="D2837" s="3" t="s">
        <v>2803</v>
      </c>
      <c r="E2837" s="3" t="s">
        <v>56</v>
      </c>
      <c r="F2837" s="3" t="s">
        <v>16</v>
      </c>
      <c r="G2837" s="3" t="s">
        <v>2804</v>
      </c>
      <c r="H2837" s="3"/>
      <c r="I2837" s="3"/>
    </row>
    <row r="2838" spans="1:9" s="5" customFormat="1" x14ac:dyDescent="0.35">
      <c r="A2838" s="3" t="s">
        <v>907</v>
      </c>
      <c r="B2838" s="3" t="s">
        <v>1010</v>
      </c>
      <c r="C2838" s="3" t="s">
        <v>591</v>
      </c>
      <c r="D2838" s="3" t="s">
        <v>1105</v>
      </c>
      <c r="E2838" s="3" t="s">
        <v>26</v>
      </c>
      <c r="F2838" s="3" t="s">
        <v>16</v>
      </c>
      <c r="G2838" s="3" t="s">
        <v>2871</v>
      </c>
      <c r="H2838" s="3"/>
      <c r="I2838" s="3"/>
    </row>
    <row r="2839" spans="1:9" s="5" customFormat="1" x14ac:dyDescent="0.35">
      <c r="A2839" s="3" t="s">
        <v>907</v>
      </c>
      <c r="B2839" s="3" t="s">
        <v>1010</v>
      </c>
      <c r="C2839" s="3" t="s">
        <v>20</v>
      </c>
      <c r="D2839" s="3" t="s">
        <v>1106</v>
      </c>
      <c r="E2839" s="3" t="s">
        <v>1018</v>
      </c>
      <c r="F2839" s="3"/>
      <c r="G2839" s="3"/>
      <c r="H2839" s="3"/>
      <c r="I2839" s="3"/>
    </row>
    <row r="2840" spans="1:9" s="5" customFormat="1" x14ac:dyDescent="0.35">
      <c r="A2840" s="3" t="s">
        <v>907</v>
      </c>
      <c r="B2840" s="3" t="s">
        <v>1010</v>
      </c>
      <c r="C2840" s="3" t="s">
        <v>20</v>
      </c>
      <c r="D2840" s="3" t="s">
        <v>1106</v>
      </c>
      <c r="E2840" s="3" t="s">
        <v>27</v>
      </c>
      <c r="F2840" s="3"/>
      <c r="G2840" s="3"/>
      <c r="H2840" s="3"/>
      <c r="I2840" s="3"/>
    </row>
    <row r="2841" spans="1:9" s="5" customFormat="1" x14ac:dyDescent="0.35">
      <c r="A2841" s="3" t="s">
        <v>907</v>
      </c>
      <c r="B2841" s="3" t="s">
        <v>1010</v>
      </c>
      <c r="C2841" s="3" t="s">
        <v>20</v>
      </c>
      <c r="D2841" s="3" t="s">
        <v>1106</v>
      </c>
      <c r="E2841" s="3" t="s">
        <v>77</v>
      </c>
      <c r="F2841" s="3"/>
      <c r="G2841" s="3"/>
      <c r="H2841" s="3"/>
      <c r="I2841" s="3"/>
    </row>
    <row r="2842" spans="1:9" s="5" customFormat="1" x14ac:dyDescent="0.35">
      <c r="A2842" s="3" t="s">
        <v>907</v>
      </c>
      <c r="B2842" s="3" t="s">
        <v>1010</v>
      </c>
      <c r="C2842" s="3" t="s">
        <v>20</v>
      </c>
      <c r="D2842" s="3" t="s">
        <v>1106</v>
      </c>
      <c r="E2842" s="3" t="s">
        <v>152</v>
      </c>
      <c r="F2842" s="3"/>
      <c r="G2842" s="3"/>
      <c r="H2842" s="3"/>
      <c r="I2842" s="3"/>
    </row>
    <row r="2843" spans="1:9" s="5" customFormat="1" x14ac:dyDescent="0.35">
      <c r="A2843" s="3" t="s">
        <v>907</v>
      </c>
      <c r="B2843" s="3" t="s">
        <v>1010</v>
      </c>
      <c r="C2843" s="3" t="s">
        <v>20</v>
      </c>
      <c r="D2843" s="3" t="s">
        <v>1106</v>
      </c>
      <c r="E2843" s="3" t="s">
        <v>968</v>
      </c>
      <c r="F2843" s="3"/>
      <c r="G2843" s="3"/>
      <c r="H2843" s="3"/>
      <c r="I2843" s="3"/>
    </row>
    <row r="2844" spans="1:9" s="5" customFormat="1" x14ac:dyDescent="0.35">
      <c r="A2844" s="3" t="s">
        <v>907</v>
      </c>
      <c r="B2844" s="3" t="s">
        <v>1010</v>
      </c>
      <c r="C2844" s="3" t="s">
        <v>20</v>
      </c>
      <c r="D2844" s="3" t="s">
        <v>2805</v>
      </c>
      <c r="E2844" s="3" t="s">
        <v>56</v>
      </c>
      <c r="F2844" s="3" t="s">
        <v>16</v>
      </c>
      <c r="G2844" s="3" t="s">
        <v>2806</v>
      </c>
      <c r="H2844" s="3"/>
      <c r="I2844" s="3"/>
    </row>
    <row r="2845" spans="1:9" s="5" customFormat="1" x14ac:dyDescent="0.35">
      <c r="A2845" s="3" t="s">
        <v>907</v>
      </c>
      <c r="B2845" s="3" t="s">
        <v>1010</v>
      </c>
      <c r="C2845" s="3" t="s">
        <v>45</v>
      </c>
      <c r="D2845" s="3" t="s">
        <v>1107</v>
      </c>
      <c r="E2845" s="3" t="s">
        <v>217</v>
      </c>
      <c r="F2845" s="3"/>
      <c r="G2845" s="3"/>
      <c r="H2845" s="3"/>
      <c r="I2845" s="3"/>
    </row>
    <row r="2846" spans="1:9" s="5" customFormat="1" x14ac:dyDescent="0.35">
      <c r="A2846" s="3" t="s">
        <v>907</v>
      </c>
      <c r="B2846" s="3" t="s">
        <v>1010</v>
      </c>
      <c r="C2846" s="3" t="s">
        <v>45</v>
      </c>
      <c r="D2846" s="3" t="s">
        <v>1107</v>
      </c>
      <c r="E2846" s="3" t="s">
        <v>77</v>
      </c>
      <c r="F2846" s="3"/>
      <c r="G2846" s="3"/>
      <c r="H2846" s="3"/>
      <c r="I2846" s="3"/>
    </row>
    <row r="2847" spans="1:9" s="5" customFormat="1" x14ac:dyDescent="0.35">
      <c r="A2847" s="3" t="s">
        <v>907</v>
      </c>
      <c r="B2847" s="3" t="s">
        <v>1010</v>
      </c>
      <c r="C2847" s="3" t="s">
        <v>45</v>
      </c>
      <c r="D2847" s="3" t="s">
        <v>1107</v>
      </c>
      <c r="E2847" s="3" t="s">
        <v>224</v>
      </c>
      <c r="F2847" s="3"/>
      <c r="G2847" s="3"/>
      <c r="H2847" s="3"/>
      <c r="I2847" s="3"/>
    </row>
    <row r="2848" spans="1:9" s="5" customFormat="1" x14ac:dyDescent="0.35">
      <c r="A2848" s="3" t="s">
        <v>907</v>
      </c>
      <c r="B2848" s="3" t="s">
        <v>1010</v>
      </c>
      <c r="C2848" s="3" t="s">
        <v>591</v>
      </c>
      <c r="D2848" s="3" t="s">
        <v>2865</v>
      </c>
      <c r="E2848" s="3" t="s">
        <v>26</v>
      </c>
      <c r="F2848" s="3" t="s">
        <v>16</v>
      </c>
      <c r="G2848" s="3" t="s">
        <v>2871</v>
      </c>
      <c r="H2848" s="3"/>
      <c r="I2848" s="3"/>
    </row>
    <row r="2849" spans="1:9" s="5" customFormat="1" x14ac:dyDescent="0.35">
      <c r="A2849" s="3" t="s">
        <v>907</v>
      </c>
      <c r="B2849" s="3" t="s">
        <v>1010</v>
      </c>
      <c r="C2849" s="3" t="s">
        <v>45</v>
      </c>
      <c r="D2849" s="3" t="s">
        <v>1108</v>
      </c>
      <c r="E2849" s="3" t="s">
        <v>217</v>
      </c>
      <c r="F2849" s="3"/>
      <c r="G2849" s="3" t="s">
        <v>2286</v>
      </c>
      <c r="H2849" s="3"/>
      <c r="I2849" s="3"/>
    </row>
    <row r="2850" spans="1:9" s="5" customFormat="1" x14ac:dyDescent="0.35">
      <c r="A2850" s="3" t="s">
        <v>907</v>
      </c>
      <c r="B2850" s="3" t="s">
        <v>1010</v>
      </c>
      <c r="C2850" s="3" t="s">
        <v>45</v>
      </c>
      <c r="D2850" s="3" t="s">
        <v>1108</v>
      </c>
      <c r="E2850" s="3" t="s">
        <v>56</v>
      </c>
      <c r="F2850" s="3"/>
      <c r="G2850" s="3"/>
      <c r="H2850" s="3"/>
      <c r="I2850" s="3"/>
    </row>
    <row r="2851" spans="1:9" s="5" customFormat="1" x14ac:dyDescent="0.35">
      <c r="A2851" s="3" t="s">
        <v>907</v>
      </c>
      <c r="B2851" s="3" t="s">
        <v>1010</v>
      </c>
      <c r="C2851" s="3" t="s">
        <v>45</v>
      </c>
      <c r="D2851" s="3" t="s">
        <v>1108</v>
      </c>
      <c r="E2851" s="3" t="s">
        <v>224</v>
      </c>
      <c r="F2851" s="3"/>
      <c r="G2851" s="3"/>
      <c r="H2851" s="3"/>
      <c r="I2851" s="3"/>
    </row>
    <row r="2852" spans="1:9" s="5" customFormat="1" x14ac:dyDescent="0.35">
      <c r="A2852" s="3" t="s">
        <v>907</v>
      </c>
      <c r="B2852" s="3" t="s">
        <v>1010</v>
      </c>
      <c r="C2852" s="3" t="s">
        <v>45</v>
      </c>
      <c r="D2852" s="3" t="s">
        <v>1109</v>
      </c>
      <c r="E2852" s="3" t="s">
        <v>217</v>
      </c>
      <c r="F2852" s="3"/>
      <c r="G2852" s="3"/>
      <c r="H2852" s="3"/>
      <c r="I2852" s="3"/>
    </row>
    <row r="2853" spans="1:9" s="5" customFormat="1" x14ac:dyDescent="0.35">
      <c r="A2853" s="3" t="s">
        <v>907</v>
      </c>
      <c r="B2853" s="3" t="s">
        <v>1010</v>
      </c>
      <c r="C2853" s="3" t="s">
        <v>45</v>
      </c>
      <c r="D2853" s="3" t="s">
        <v>1109</v>
      </c>
      <c r="E2853" s="3" t="s">
        <v>224</v>
      </c>
      <c r="F2853" s="3"/>
      <c r="G2853" s="3"/>
      <c r="H2853" s="3"/>
      <c r="I2853" s="3"/>
    </row>
    <row r="2854" spans="1:9" s="5" customFormat="1" x14ac:dyDescent="0.35">
      <c r="A2854" s="3" t="s">
        <v>907</v>
      </c>
      <c r="B2854" s="3" t="s">
        <v>1010</v>
      </c>
      <c r="C2854" s="3" t="s">
        <v>45</v>
      </c>
      <c r="D2854" s="3" t="s">
        <v>1110</v>
      </c>
      <c r="E2854" s="3" t="s">
        <v>77</v>
      </c>
      <c r="F2854" s="3" t="s">
        <v>16</v>
      </c>
      <c r="G2854" s="3" t="s">
        <v>1111</v>
      </c>
      <c r="H2854" s="3"/>
      <c r="I2854" s="3"/>
    </row>
    <row r="2855" spans="1:9" s="5" customFormat="1" x14ac:dyDescent="0.35">
      <c r="A2855" s="3" t="s">
        <v>907</v>
      </c>
      <c r="B2855" s="3" t="s">
        <v>1010</v>
      </c>
      <c r="C2855" s="3" t="s">
        <v>45</v>
      </c>
      <c r="D2855" s="3" t="s">
        <v>1110</v>
      </c>
      <c r="E2855" s="3" t="s">
        <v>152</v>
      </c>
      <c r="F2855" s="3" t="s">
        <v>16</v>
      </c>
      <c r="G2855" s="3" t="s">
        <v>1111</v>
      </c>
      <c r="H2855" s="3"/>
      <c r="I2855" s="3"/>
    </row>
    <row r="2856" spans="1:9" s="5" customFormat="1" x14ac:dyDescent="0.35">
      <c r="A2856" s="3" t="s">
        <v>907</v>
      </c>
      <c r="B2856" s="3" t="s">
        <v>1010</v>
      </c>
      <c r="C2856" s="3" t="s">
        <v>45</v>
      </c>
      <c r="D2856" s="3" t="s">
        <v>1112</v>
      </c>
      <c r="E2856" s="3" t="s">
        <v>217</v>
      </c>
      <c r="F2856" s="3"/>
      <c r="G2856" s="3" t="s">
        <v>2286</v>
      </c>
      <c r="H2856" s="3"/>
      <c r="I2856" s="3"/>
    </row>
    <row r="2857" spans="1:9" s="5" customFormat="1" x14ac:dyDescent="0.35">
      <c r="A2857" s="3" t="s">
        <v>907</v>
      </c>
      <c r="B2857" s="3" t="s">
        <v>1010</v>
      </c>
      <c r="C2857" s="3" t="s">
        <v>45</v>
      </c>
      <c r="D2857" s="3" t="s">
        <v>1112</v>
      </c>
      <c r="E2857" s="3" t="s">
        <v>56</v>
      </c>
      <c r="F2857" s="3"/>
      <c r="G2857" s="3"/>
      <c r="H2857" s="3"/>
      <c r="I2857" s="3"/>
    </row>
    <row r="2858" spans="1:9" s="5" customFormat="1" x14ac:dyDescent="0.35">
      <c r="A2858" s="3" t="s">
        <v>907</v>
      </c>
      <c r="B2858" s="3" t="s">
        <v>1010</v>
      </c>
      <c r="C2858" s="3" t="s">
        <v>45</v>
      </c>
      <c r="D2858" s="3" t="s">
        <v>1112</v>
      </c>
      <c r="E2858" s="3" t="s">
        <v>224</v>
      </c>
      <c r="F2858" s="3"/>
      <c r="G2858" s="3"/>
      <c r="H2858" s="3"/>
      <c r="I2858" s="3"/>
    </row>
    <row r="2859" spans="1:9" s="5" customFormat="1" x14ac:dyDescent="0.35">
      <c r="A2859" s="3" t="s">
        <v>907</v>
      </c>
      <c r="B2859" s="3" t="s">
        <v>1010</v>
      </c>
      <c r="C2859" s="3" t="s">
        <v>45</v>
      </c>
      <c r="D2859" s="3" t="s">
        <v>1113</v>
      </c>
      <c r="E2859" s="3" t="s">
        <v>166</v>
      </c>
      <c r="F2859" s="3"/>
      <c r="G2859" s="3"/>
      <c r="H2859" s="3"/>
      <c r="I2859" s="3"/>
    </row>
    <row r="2860" spans="1:9" s="5" customFormat="1" x14ac:dyDescent="0.35">
      <c r="A2860" s="3" t="s">
        <v>907</v>
      </c>
      <c r="B2860" s="3" t="s">
        <v>1010</v>
      </c>
      <c r="C2860" s="3" t="s">
        <v>45</v>
      </c>
      <c r="D2860" s="3" t="s">
        <v>1113</v>
      </c>
      <c r="E2860" s="3" t="s">
        <v>217</v>
      </c>
      <c r="F2860" s="3"/>
      <c r="G2860" s="3"/>
      <c r="H2860" s="3"/>
      <c r="I2860" s="3"/>
    </row>
    <row r="2861" spans="1:9" s="5" customFormat="1" x14ac:dyDescent="0.35">
      <c r="A2861" s="3" t="s">
        <v>907</v>
      </c>
      <c r="B2861" s="3" t="s">
        <v>1010</v>
      </c>
      <c r="C2861" s="3" t="s">
        <v>45</v>
      </c>
      <c r="D2861" s="3" t="s">
        <v>1113</v>
      </c>
      <c r="E2861" s="3" t="s">
        <v>23</v>
      </c>
      <c r="F2861" s="3"/>
      <c r="G2861" s="3"/>
      <c r="H2861" s="3"/>
      <c r="I2861" s="3"/>
    </row>
    <row r="2862" spans="1:9" s="5" customFormat="1" x14ac:dyDescent="0.35">
      <c r="A2862" s="3" t="s">
        <v>907</v>
      </c>
      <c r="B2862" s="3" t="s">
        <v>1010</v>
      </c>
      <c r="C2862" s="3" t="s">
        <v>45</v>
      </c>
      <c r="D2862" s="3" t="s">
        <v>1113</v>
      </c>
      <c r="E2862" s="3" t="s">
        <v>1016</v>
      </c>
      <c r="F2862" s="3"/>
      <c r="G2862" s="3"/>
      <c r="H2862" s="3"/>
      <c r="I2862" s="3"/>
    </row>
    <row r="2863" spans="1:9" s="5" customFormat="1" x14ac:dyDescent="0.35">
      <c r="A2863" s="3" t="s">
        <v>907</v>
      </c>
      <c r="B2863" s="3" t="s">
        <v>1010</v>
      </c>
      <c r="C2863" s="3" t="s">
        <v>45</v>
      </c>
      <c r="D2863" s="3" t="s">
        <v>1113</v>
      </c>
      <c r="E2863" s="3" t="s">
        <v>225</v>
      </c>
      <c r="F2863" s="3"/>
      <c r="G2863" s="3"/>
      <c r="H2863" s="3"/>
      <c r="I2863" s="3"/>
    </row>
    <row r="2864" spans="1:9" s="5" customFormat="1" x14ac:dyDescent="0.35">
      <c r="A2864" s="3" t="s">
        <v>907</v>
      </c>
      <c r="B2864" s="3" t="s">
        <v>1010</v>
      </c>
      <c r="C2864" s="3" t="s">
        <v>45</v>
      </c>
      <c r="D2864" s="3" t="s">
        <v>1113</v>
      </c>
      <c r="E2864" s="3" t="s">
        <v>1114</v>
      </c>
      <c r="F2864" s="3"/>
      <c r="G2864" s="3"/>
      <c r="H2864" s="3"/>
      <c r="I2864" s="3"/>
    </row>
    <row r="2865" spans="1:9" s="5" customFormat="1" x14ac:dyDescent="0.35">
      <c r="A2865" s="3" t="s">
        <v>907</v>
      </c>
      <c r="B2865" s="3" t="s">
        <v>1010</v>
      </c>
      <c r="C2865" s="3" t="s">
        <v>45</v>
      </c>
      <c r="D2865" s="3" t="s">
        <v>1113</v>
      </c>
      <c r="E2865" s="3" t="s">
        <v>222</v>
      </c>
      <c r="F2865" s="3"/>
      <c r="G2865" s="3"/>
      <c r="H2865" s="3"/>
      <c r="I2865" s="3"/>
    </row>
    <row r="2866" spans="1:9" s="5" customFormat="1" x14ac:dyDescent="0.35">
      <c r="A2866" s="3" t="s">
        <v>907</v>
      </c>
      <c r="B2866" s="3" t="s">
        <v>1010</v>
      </c>
      <c r="C2866" s="3" t="s">
        <v>45</v>
      </c>
      <c r="D2866" s="3" t="s">
        <v>1113</v>
      </c>
      <c r="E2866" s="3" t="s">
        <v>223</v>
      </c>
      <c r="F2866" s="3"/>
      <c r="G2866" s="3"/>
      <c r="H2866" s="3"/>
      <c r="I2866" s="3"/>
    </row>
    <row r="2867" spans="1:9" s="5" customFormat="1" x14ac:dyDescent="0.35">
      <c r="A2867" s="3" t="s">
        <v>907</v>
      </c>
      <c r="B2867" s="3" t="s">
        <v>1010</v>
      </c>
      <c r="C2867" s="3" t="s">
        <v>45</v>
      </c>
      <c r="D2867" s="3" t="s">
        <v>1113</v>
      </c>
      <c r="E2867" s="3" t="s">
        <v>226</v>
      </c>
      <c r="F2867" s="3"/>
      <c r="G2867" s="3"/>
      <c r="H2867" s="3"/>
      <c r="I2867" s="3"/>
    </row>
    <row r="2868" spans="1:9" s="5" customFormat="1" x14ac:dyDescent="0.35">
      <c r="A2868" s="3" t="s">
        <v>907</v>
      </c>
      <c r="B2868" s="3" t="s">
        <v>1010</v>
      </c>
      <c r="C2868" s="3" t="s">
        <v>45</v>
      </c>
      <c r="D2868" s="3" t="s">
        <v>1113</v>
      </c>
      <c r="E2868" s="3" t="s">
        <v>227</v>
      </c>
      <c r="F2868" s="3"/>
      <c r="G2868" s="3"/>
      <c r="H2868" s="3"/>
      <c r="I2868" s="3"/>
    </row>
    <row r="2869" spans="1:9" s="5" customFormat="1" x14ac:dyDescent="0.35">
      <c r="A2869" s="3" t="s">
        <v>907</v>
      </c>
      <c r="B2869" s="3" t="s">
        <v>1010</v>
      </c>
      <c r="C2869" s="3" t="s">
        <v>45</v>
      </c>
      <c r="D2869" s="3" t="s">
        <v>1113</v>
      </c>
      <c r="E2869" s="3" t="s">
        <v>228</v>
      </c>
      <c r="F2869" s="3"/>
      <c r="G2869" s="3"/>
      <c r="H2869" s="3"/>
      <c r="I2869" s="3"/>
    </row>
    <row r="2870" spans="1:9" s="5" customFormat="1" x14ac:dyDescent="0.35">
      <c r="A2870" s="3" t="s">
        <v>907</v>
      </c>
      <c r="B2870" s="3" t="s">
        <v>1010</v>
      </c>
      <c r="C2870" s="3" t="s">
        <v>45</v>
      </c>
      <c r="D2870" s="3" t="s">
        <v>1113</v>
      </c>
      <c r="E2870" s="3" t="s">
        <v>229</v>
      </c>
      <c r="F2870" s="3"/>
      <c r="G2870" s="3"/>
      <c r="H2870" s="3"/>
      <c r="I2870" s="3"/>
    </row>
    <row r="2871" spans="1:9" s="5" customFormat="1" x14ac:dyDescent="0.35">
      <c r="A2871" s="3" t="s">
        <v>907</v>
      </c>
      <c r="B2871" s="3" t="s">
        <v>1010</v>
      </c>
      <c r="C2871" s="3" t="s">
        <v>45</v>
      </c>
      <c r="D2871" s="3" t="s">
        <v>1113</v>
      </c>
      <c r="E2871" s="3" t="s">
        <v>230</v>
      </c>
      <c r="F2871" s="3"/>
      <c r="G2871" s="3"/>
      <c r="H2871" s="3"/>
      <c r="I2871" s="3"/>
    </row>
    <row r="2872" spans="1:9" s="5" customFormat="1" x14ac:dyDescent="0.35">
      <c r="A2872" s="3" t="s">
        <v>907</v>
      </c>
      <c r="B2872" s="3" t="s">
        <v>1010</v>
      </c>
      <c r="C2872" s="3" t="s">
        <v>45</v>
      </c>
      <c r="D2872" s="3" t="s">
        <v>1113</v>
      </c>
      <c r="E2872" s="3" t="s">
        <v>219</v>
      </c>
      <c r="F2872" s="3"/>
      <c r="G2872" s="3"/>
      <c r="H2872" s="3"/>
      <c r="I2872" s="3"/>
    </row>
    <row r="2873" spans="1:9" s="5" customFormat="1" x14ac:dyDescent="0.35">
      <c r="A2873" s="3" t="s">
        <v>907</v>
      </c>
      <c r="B2873" s="3" t="s">
        <v>1010</v>
      </c>
      <c r="C2873" s="3" t="s">
        <v>45</v>
      </c>
      <c r="D2873" s="3" t="s">
        <v>1113</v>
      </c>
      <c r="E2873" s="3" t="s">
        <v>218</v>
      </c>
      <c r="F2873" s="3"/>
      <c r="G2873" s="3"/>
      <c r="H2873" s="3"/>
      <c r="I2873" s="3"/>
    </row>
    <row r="2874" spans="1:9" s="5" customFormat="1" x14ac:dyDescent="0.35">
      <c r="A2874" s="3" t="s">
        <v>907</v>
      </c>
      <c r="B2874" s="3" t="s">
        <v>1010</v>
      </c>
      <c r="C2874" s="3" t="s">
        <v>45</v>
      </c>
      <c r="D2874" s="3" t="s">
        <v>1113</v>
      </c>
      <c r="E2874" s="3" t="s">
        <v>224</v>
      </c>
      <c r="F2874" s="3"/>
      <c r="G2874" s="3"/>
      <c r="H2874" s="3"/>
      <c r="I2874" s="3"/>
    </row>
    <row r="2875" spans="1:9" s="5" customFormat="1" x14ac:dyDescent="0.35">
      <c r="A2875" s="3" t="s">
        <v>907</v>
      </c>
      <c r="B2875" s="3" t="s">
        <v>1010</v>
      </c>
      <c r="C2875" s="3" t="s">
        <v>45</v>
      </c>
      <c r="D2875" s="3" t="s">
        <v>1115</v>
      </c>
      <c r="E2875" s="3" t="s">
        <v>217</v>
      </c>
      <c r="F2875" s="3"/>
      <c r="G2875" s="3" t="s">
        <v>2286</v>
      </c>
      <c r="H2875" s="3"/>
      <c r="I2875" s="3"/>
    </row>
    <row r="2876" spans="1:9" s="5" customFormat="1" x14ac:dyDescent="0.35">
      <c r="A2876" s="3" t="s">
        <v>907</v>
      </c>
      <c r="B2876" s="3" t="s">
        <v>1010</v>
      </c>
      <c r="C2876" s="3" t="s">
        <v>45</v>
      </c>
      <c r="D2876" s="3" t="s">
        <v>1115</v>
      </c>
      <c r="E2876" s="3" t="s">
        <v>56</v>
      </c>
      <c r="F2876" s="3"/>
      <c r="G2876" s="3"/>
      <c r="H2876" s="3"/>
      <c r="I2876" s="3"/>
    </row>
    <row r="2877" spans="1:9" s="5" customFormat="1" x14ac:dyDescent="0.35">
      <c r="A2877" s="3" t="s">
        <v>907</v>
      </c>
      <c r="B2877" s="3" t="s">
        <v>1010</v>
      </c>
      <c r="C2877" s="3" t="s">
        <v>45</v>
      </c>
      <c r="D2877" s="3" t="s">
        <v>1115</v>
      </c>
      <c r="E2877" s="3" t="s">
        <v>224</v>
      </c>
      <c r="F2877" s="3"/>
      <c r="G2877" s="3"/>
      <c r="H2877" s="3"/>
      <c r="I2877" s="3"/>
    </row>
    <row r="2878" spans="1:9" s="5" customFormat="1" x14ac:dyDescent="0.35">
      <c r="A2878" s="3" t="s">
        <v>907</v>
      </c>
      <c r="B2878" s="3" t="s">
        <v>1010</v>
      </c>
      <c r="C2878" s="3" t="s">
        <v>45</v>
      </c>
      <c r="D2878" s="3" t="s">
        <v>1116</v>
      </c>
      <c r="E2878" s="3" t="s">
        <v>56</v>
      </c>
      <c r="F2878" s="3"/>
      <c r="G2878" s="3"/>
      <c r="H2878" s="3"/>
      <c r="I2878" s="3"/>
    </row>
    <row r="2879" spans="1:9" s="5" customFormat="1" x14ac:dyDescent="0.35">
      <c r="A2879" s="3" t="s">
        <v>907</v>
      </c>
      <c r="B2879" s="3" t="s">
        <v>1010</v>
      </c>
      <c r="C2879" s="3" t="s">
        <v>45</v>
      </c>
      <c r="D2879" s="3" t="s">
        <v>1117</v>
      </c>
      <c r="E2879" s="3" t="s">
        <v>217</v>
      </c>
      <c r="F2879" s="3"/>
      <c r="G2879" s="3" t="s">
        <v>2286</v>
      </c>
      <c r="H2879" s="3"/>
      <c r="I2879" s="3"/>
    </row>
    <row r="2880" spans="1:9" s="5" customFormat="1" x14ac:dyDescent="0.35">
      <c r="A2880" s="3" t="s">
        <v>907</v>
      </c>
      <c r="B2880" s="3" t="s">
        <v>1010</v>
      </c>
      <c r="C2880" s="3" t="s">
        <v>45</v>
      </c>
      <c r="D2880" s="3" t="s">
        <v>1117</v>
      </c>
      <c r="E2880" s="3" t="s">
        <v>56</v>
      </c>
      <c r="F2880" s="3"/>
      <c r="G2880" s="3"/>
      <c r="H2880" s="3"/>
      <c r="I2880" s="3"/>
    </row>
    <row r="2881" spans="1:9" s="5" customFormat="1" x14ac:dyDescent="0.35">
      <c r="A2881" s="3" t="s">
        <v>907</v>
      </c>
      <c r="B2881" s="3" t="s">
        <v>1010</v>
      </c>
      <c r="C2881" s="3" t="s">
        <v>45</v>
      </c>
      <c r="D2881" s="3" t="s">
        <v>1117</v>
      </c>
      <c r="E2881" s="3" t="s">
        <v>224</v>
      </c>
      <c r="F2881" s="3"/>
      <c r="G2881" s="3"/>
      <c r="H2881" s="3"/>
      <c r="I2881" s="3"/>
    </row>
    <row r="2882" spans="1:9" s="5" customFormat="1" x14ac:dyDescent="0.35">
      <c r="A2882" s="3" t="s">
        <v>907</v>
      </c>
      <c r="B2882" s="3" t="s">
        <v>1010</v>
      </c>
      <c r="C2882" s="3" t="s">
        <v>45</v>
      </c>
      <c r="D2882" s="3" t="s">
        <v>1118</v>
      </c>
      <c r="E2882" s="3" t="s">
        <v>217</v>
      </c>
      <c r="F2882" s="3"/>
      <c r="G2882" s="3"/>
      <c r="H2882" s="3"/>
      <c r="I2882" s="3"/>
    </row>
    <row r="2883" spans="1:9" s="5" customFormat="1" x14ac:dyDescent="0.35">
      <c r="A2883" s="3" t="s">
        <v>907</v>
      </c>
      <c r="B2883" s="3" t="s">
        <v>1010</v>
      </c>
      <c r="C2883" s="3" t="s">
        <v>45</v>
      </c>
      <c r="D2883" s="3" t="s">
        <v>1118</v>
      </c>
      <c r="E2883" s="3" t="s">
        <v>221</v>
      </c>
      <c r="F2883" s="3"/>
      <c r="G2883" s="3"/>
      <c r="H2883" s="3"/>
      <c r="I2883" s="3"/>
    </row>
    <row r="2884" spans="1:9" s="5" customFormat="1" x14ac:dyDescent="0.35">
      <c r="A2884" s="3" t="s">
        <v>907</v>
      </c>
      <c r="B2884" s="3" t="s">
        <v>1010</v>
      </c>
      <c r="C2884" s="3" t="s">
        <v>45</v>
      </c>
      <c r="D2884" s="3" t="s">
        <v>1118</v>
      </c>
      <c r="E2884" s="3" t="s">
        <v>372</v>
      </c>
      <c r="F2884" s="3"/>
      <c r="G2884" s="3"/>
      <c r="H2884" s="3"/>
      <c r="I2884" s="3"/>
    </row>
    <row r="2885" spans="1:9" s="5" customFormat="1" x14ac:dyDescent="0.35">
      <c r="A2885" s="3" t="s">
        <v>907</v>
      </c>
      <c r="B2885" s="3" t="s">
        <v>1010</v>
      </c>
      <c r="C2885" s="3" t="s">
        <v>45</v>
      </c>
      <c r="D2885" s="3" t="s">
        <v>1118</v>
      </c>
      <c r="E2885" s="3" t="s">
        <v>224</v>
      </c>
      <c r="F2885" s="3"/>
      <c r="G2885" s="3"/>
      <c r="H2885" s="3"/>
      <c r="I2885" s="3"/>
    </row>
    <row r="2886" spans="1:9" s="5" customFormat="1" x14ac:dyDescent="0.35">
      <c r="A2886" s="3" t="s">
        <v>907</v>
      </c>
      <c r="B2886" s="3" t="s">
        <v>1010</v>
      </c>
      <c r="C2886" s="3" t="s">
        <v>20</v>
      </c>
      <c r="D2886" s="3" t="s">
        <v>1119</v>
      </c>
      <c r="E2886" s="3" t="s">
        <v>71</v>
      </c>
      <c r="F2886" s="3" t="s">
        <v>16</v>
      </c>
      <c r="G2886" s="3" t="s">
        <v>1120</v>
      </c>
      <c r="H2886" s="3"/>
      <c r="I2886" s="3"/>
    </row>
    <row r="2887" spans="1:9" s="5" customFormat="1" x14ac:dyDescent="0.35">
      <c r="A2887" s="3" t="s">
        <v>907</v>
      </c>
      <c r="B2887" s="3" t="s">
        <v>1010</v>
      </c>
      <c r="C2887" s="3" t="s">
        <v>20</v>
      </c>
      <c r="D2887" s="3" t="s">
        <v>1119</v>
      </c>
      <c r="E2887" s="3" t="s">
        <v>242</v>
      </c>
      <c r="G2887" s="11"/>
      <c r="H2887" s="3"/>
      <c r="I2887" s="3"/>
    </row>
    <row r="2888" spans="1:9" s="5" customFormat="1" x14ac:dyDescent="0.35">
      <c r="A2888" s="3" t="s">
        <v>907</v>
      </c>
      <c r="B2888" s="3" t="s">
        <v>1010</v>
      </c>
      <c r="C2888" s="3" t="s">
        <v>591</v>
      </c>
      <c r="D2888" s="3" t="s">
        <v>2866</v>
      </c>
      <c r="E2888" s="3" t="s">
        <v>26</v>
      </c>
      <c r="F2888" s="3" t="s">
        <v>16</v>
      </c>
      <c r="G2888" s="3" t="s">
        <v>2871</v>
      </c>
      <c r="H2888" s="3"/>
      <c r="I2888" s="3"/>
    </row>
    <row r="2889" spans="1:9" s="5" customFormat="1" x14ac:dyDescent="0.35">
      <c r="A2889" s="3" t="s">
        <v>907</v>
      </c>
      <c r="B2889" s="3" t="s">
        <v>1010</v>
      </c>
      <c r="C2889" s="3" t="s">
        <v>10</v>
      </c>
      <c r="D2889" s="3" t="s">
        <v>2901</v>
      </c>
      <c r="E2889" s="3" t="s">
        <v>47</v>
      </c>
      <c r="F2889" s="3" t="s">
        <v>16</v>
      </c>
      <c r="G2889" s="3" t="s">
        <v>2902</v>
      </c>
      <c r="H2889" s="3"/>
      <c r="I2889" s="3"/>
    </row>
    <row r="2890" spans="1:9" s="5" customFormat="1" x14ac:dyDescent="0.35">
      <c r="A2890" s="3" t="s">
        <v>907</v>
      </c>
      <c r="B2890" s="3" t="s">
        <v>1010</v>
      </c>
      <c r="C2890" s="3" t="s">
        <v>10</v>
      </c>
      <c r="D2890" s="3" t="s">
        <v>2901</v>
      </c>
      <c r="E2890" s="3" t="s">
        <v>15</v>
      </c>
      <c r="F2890" s="3" t="s">
        <v>16</v>
      </c>
      <c r="G2890" s="3" t="s">
        <v>2903</v>
      </c>
      <c r="H2890" s="3"/>
      <c r="I2890" s="3"/>
    </row>
    <row r="2891" spans="1:9" s="5" customFormat="1" x14ac:dyDescent="0.35">
      <c r="A2891" s="3" t="s">
        <v>907</v>
      </c>
      <c r="B2891" s="3" t="s">
        <v>1010</v>
      </c>
      <c r="C2891" s="3" t="s">
        <v>39</v>
      </c>
      <c r="D2891" s="3" t="s">
        <v>1121</v>
      </c>
      <c r="E2891" s="3" t="s">
        <v>36</v>
      </c>
      <c r="F2891" s="3"/>
      <c r="G2891" s="3"/>
      <c r="H2891" s="3"/>
      <c r="I2891" s="3"/>
    </row>
    <row r="2892" spans="1:9" s="5" customFormat="1" x14ac:dyDescent="0.35">
      <c r="A2892" s="3" t="s">
        <v>907</v>
      </c>
      <c r="B2892" s="3" t="s">
        <v>1010</v>
      </c>
      <c r="C2892" s="3" t="s">
        <v>39</v>
      </c>
      <c r="D2892" s="3" t="s">
        <v>1121</v>
      </c>
      <c r="E2892" s="3" t="s">
        <v>77</v>
      </c>
      <c r="F2892" s="3"/>
      <c r="G2892" s="3"/>
      <c r="H2892" s="3"/>
      <c r="I2892" s="3"/>
    </row>
    <row r="2893" spans="1:9" s="5" customFormat="1" x14ac:dyDescent="0.35">
      <c r="A2893" s="3" t="s">
        <v>907</v>
      </c>
      <c r="B2893" s="3" t="s">
        <v>1010</v>
      </c>
      <c r="C2893" s="3" t="s">
        <v>39</v>
      </c>
      <c r="D2893" s="3" t="s">
        <v>1121</v>
      </c>
      <c r="E2893" s="3" t="s">
        <v>28</v>
      </c>
      <c r="F2893" s="3"/>
      <c r="G2893" s="3"/>
      <c r="H2893" s="3"/>
      <c r="I2893" s="3"/>
    </row>
    <row r="2894" spans="1:9" s="5" customFormat="1" x14ac:dyDescent="0.35">
      <c r="A2894" s="3" t="s">
        <v>907</v>
      </c>
      <c r="B2894" s="3" t="s">
        <v>1010</v>
      </c>
      <c r="C2894" s="3" t="s">
        <v>39</v>
      </c>
      <c r="D2894" s="3" t="s">
        <v>1121</v>
      </c>
      <c r="E2894" s="3" t="s">
        <v>87</v>
      </c>
      <c r="F2894" s="3"/>
      <c r="G2894" s="3"/>
      <c r="H2894" s="3"/>
      <c r="I2894" s="3"/>
    </row>
    <row r="2895" spans="1:9" s="5" customFormat="1" x14ac:dyDescent="0.35">
      <c r="A2895" s="3" t="s">
        <v>907</v>
      </c>
      <c r="B2895" s="3" t="s">
        <v>1010</v>
      </c>
      <c r="C2895" s="3" t="s">
        <v>39</v>
      </c>
      <c r="D2895" s="3" t="s">
        <v>1121</v>
      </c>
      <c r="E2895" s="3" t="s">
        <v>15</v>
      </c>
      <c r="F2895" s="3" t="s">
        <v>16</v>
      </c>
      <c r="G2895" s="3" t="s">
        <v>1122</v>
      </c>
      <c r="H2895" s="3"/>
      <c r="I2895" s="3"/>
    </row>
    <row r="2896" spans="1:9" s="5" customFormat="1" x14ac:dyDescent="0.35">
      <c r="A2896" s="3" t="s">
        <v>907</v>
      </c>
      <c r="B2896" s="3" t="s">
        <v>1010</v>
      </c>
      <c r="C2896" s="3" t="s">
        <v>39</v>
      </c>
      <c r="D2896" s="3" t="s">
        <v>1121</v>
      </c>
      <c r="E2896" s="3" t="s">
        <v>56</v>
      </c>
      <c r="F2896" s="3" t="s">
        <v>16</v>
      </c>
      <c r="G2896" s="3" t="s">
        <v>1122</v>
      </c>
      <c r="H2896" s="3"/>
      <c r="I2896" s="3"/>
    </row>
    <row r="2897" spans="1:9" s="5" customFormat="1" x14ac:dyDescent="0.35">
      <c r="A2897" s="3" t="s">
        <v>907</v>
      </c>
      <c r="B2897" s="3" t="s">
        <v>1010</v>
      </c>
      <c r="C2897" s="3" t="s">
        <v>39</v>
      </c>
      <c r="D2897" s="3" t="s">
        <v>1121</v>
      </c>
      <c r="E2897" s="3" t="s">
        <v>152</v>
      </c>
      <c r="F2897" s="3"/>
      <c r="G2897" s="3"/>
      <c r="H2897" s="3"/>
      <c r="I2897" s="3"/>
    </row>
    <row r="2898" spans="1:9" s="5" customFormat="1" x14ac:dyDescent="0.35">
      <c r="A2898" s="3" t="s">
        <v>907</v>
      </c>
      <c r="B2898" s="3" t="s">
        <v>1010</v>
      </c>
      <c r="C2898" s="3" t="s">
        <v>10</v>
      </c>
      <c r="D2898" s="3" t="s">
        <v>1123</v>
      </c>
      <c r="E2898" s="3" t="s">
        <v>12</v>
      </c>
      <c r="F2898" s="3"/>
      <c r="G2898" s="3"/>
      <c r="H2898" s="3"/>
      <c r="I2898" s="3"/>
    </row>
    <row r="2899" spans="1:9" s="5" customFormat="1" x14ac:dyDescent="0.35">
      <c r="A2899" s="3" t="s">
        <v>907</v>
      </c>
      <c r="B2899" s="3" t="s">
        <v>1010</v>
      </c>
      <c r="C2899" s="3" t="s">
        <v>10</v>
      </c>
      <c r="D2899" s="3" t="s">
        <v>1123</v>
      </c>
      <c r="E2899" s="3" t="s">
        <v>47</v>
      </c>
      <c r="F2899" s="3"/>
      <c r="G2899" s="3"/>
      <c r="H2899" s="3"/>
      <c r="I2899" s="3"/>
    </row>
    <row r="2900" spans="1:9" s="5" customFormat="1" x14ac:dyDescent="0.35">
      <c r="A2900" s="3" t="s">
        <v>907</v>
      </c>
      <c r="B2900" s="3" t="s">
        <v>1010</v>
      </c>
      <c r="C2900" s="3" t="s">
        <v>10</v>
      </c>
      <c r="D2900" s="3" t="s">
        <v>1123</v>
      </c>
      <c r="E2900" s="3" t="s">
        <v>15</v>
      </c>
      <c r="F2900" s="3" t="s">
        <v>33</v>
      </c>
      <c r="G2900" s="3" t="s">
        <v>2972</v>
      </c>
      <c r="H2900" s="3"/>
      <c r="I2900" s="3"/>
    </row>
    <row r="2901" spans="1:9" s="5" customFormat="1" x14ac:dyDescent="0.35">
      <c r="A2901" s="3" t="s">
        <v>907</v>
      </c>
      <c r="B2901" s="3" t="s">
        <v>1010</v>
      </c>
      <c r="C2901" s="3" t="s">
        <v>45</v>
      </c>
      <c r="D2901" s="3" t="s">
        <v>1124</v>
      </c>
      <c r="E2901" s="3" t="s">
        <v>166</v>
      </c>
      <c r="F2901" s="3"/>
      <c r="G2901" s="3"/>
      <c r="H2901" s="3"/>
      <c r="I2901" s="3"/>
    </row>
    <row r="2902" spans="1:9" s="5" customFormat="1" x14ac:dyDescent="0.35">
      <c r="A2902" s="3" t="s">
        <v>907</v>
      </c>
      <c r="B2902" s="3" t="s">
        <v>1010</v>
      </c>
      <c r="C2902" s="3" t="s">
        <v>45</v>
      </c>
      <c r="D2902" s="3" t="s">
        <v>1124</v>
      </c>
      <c r="E2902" s="3" t="s">
        <v>1016</v>
      </c>
      <c r="F2902" s="3"/>
      <c r="G2902" s="3"/>
      <c r="H2902" s="3"/>
      <c r="I2902" s="3"/>
    </row>
    <row r="2903" spans="1:9" s="5" customFormat="1" x14ac:dyDescent="0.35">
      <c r="A2903" s="3" t="s">
        <v>907</v>
      </c>
      <c r="B2903" s="3" t="s">
        <v>1010</v>
      </c>
      <c r="C2903" s="3" t="s">
        <v>45</v>
      </c>
      <c r="D2903" s="3" t="s">
        <v>1124</v>
      </c>
      <c r="E2903" s="3" t="s">
        <v>225</v>
      </c>
      <c r="F2903" s="3"/>
      <c r="G2903" s="3"/>
      <c r="H2903" s="3"/>
      <c r="I2903" s="3"/>
    </row>
    <row r="2904" spans="1:9" s="5" customFormat="1" x14ac:dyDescent="0.35">
      <c r="A2904" s="3" t="s">
        <v>907</v>
      </c>
      <c r="B2904" s="3" t="s">
        <v>1010</v>
      </c>
      <c r="C2904" s="3" t="s">
        <v>45</v>
      </c>
      <c r="D2904" s="3" t="s">
        <v>1124</v>
      </c>
      <c r="E2904" s="3" t="s">
        <v>221</v>
      </c>
      <c r="F2904" s="3"/>
      <c r="G2904" s="3"/>
      <c r="H2904" s="3"/>
      <c r="I2904" s="3"/>
    </row>
    <row r="2905" spans="1:9" s="5" customFormat="1" x14ac:dyDescent="0.35">
      <c r="A2905" s="3" t="s">
        <v>907</v>
      </c>
      <c r="B2905" s="3" t="s">
        <v>1010</v>
      </c>
      <c r="C2905" s="3" t="s">
        <v>45</v>
      </c>
      <c r="D2905" s="3" t="s">
        <v>1124</v>
      </c>
      <c r="E2905" s="3" t="s">
        <v>222</v>
      </c>
      <c r="F2905" s="3"/>
      <c r="G2905" s="3"/>
      <c r="H2905" s="3"/>
      <c r="I2905" s="3"/>
    </row>
    <row r="2906" spans="1:9" s="5" customFormat="1" x14ac:dyDescent="0.35">
      <c r="A2906" s="3" t="s">
        <v>907</v>
      </c>
      <c r="B2906" s="3" t="s">
        <v>1010</v>
      </c>
      <c r="C2906" s="3" t="s">
        <v>45</v>
      </c>
      <c r="D2906" s="3" t="s">
        <v>1124</v>
      </c>
      <c r="E2906" s="3" t="s">
        <v>223</v>
      </c>
      <c r="F2906" s="3"/>
      <c r="G2906" s="3"/>
      <c r="H2906" s="3"/>
      <c r="I2906" s="3"/>
    </row>
    <row r="2907" spans="1:9" s="5" customFormat="1" x14ac:dyDescent="0.35">
      <c r="A2907" s="3" t="s">
        <v>907</v>
      </c>
      <c r="B2907" s="3" t="s">
        <v>1010</v>
      </c>
      <c r="C2907" s="3" t="s">
        <v>45</v>
      </c>
      <c r="D2907" s="3" t="s">
        <v>1124</v>
      </c>
      <c r="E2907" s="3" t="s">
        <v>226</v>
      </c>
      <c r="F2907" s="3"/>
      <c r="G2907" s="3"/>
      <c r="H2907" s="3"/>
      <c r="I2907" s="3"/>
    </row>
    <row r="2908" spans="1:9" s="5" customFormat="1" x14ac:dyDescent="0.35">
      <c r="A2908" s="3" t="s">
        <v>907</v>
      </c>
      <c r="B2908" s="3" t="s">
        <v>1010</v>
      </c>
      <c r="C2908" s="3" t="s">
        <v>45</v>
      </c>
      <c r="D2908" s="3" t="s">
        <v>1124</v>
      </c>
      <c r="E2908" s="3" t="s">
        <v>227</v>
      </c>
      <c r="F2908" s="3"/>
      <c r="G2908" s="3"/>
      <c r="H2908" s="3"/>
      <c r="I2908" s="3"/>
    </row>
    <row r="2909" spans="1:9" s="5" customFormat="1" x14ac:dyDescent="0.35">
      <c r="A2909" s="3" t="s">
        <v>907</v>
      </c>
      <c r="B2909" s="3" t="s">
        <v>1010</v>
      </c>
      <c r="C2909" s="3" t="s">
        <v>45</v>
      </c>
      <c r="D2909" s="3" t="s">
        <v>1124</v>
      </c>
      <c r="E2909" s="3" t="s">
        <v>228</v>
      </c>
      <c r="F2909" s="3"/>
      <c r="G2909" s="3"/>
      <c r="H2909" s="3"/>
      <c r="I2909" s="3"/>
    </row>
    <row r="2910" spans="1:9" s="5" customFormat="1" x14ac:dyDescent="0.35">
      <c r="A2910" s="3" t="s">
        <v>907</v>
      </c>
      <c r="B2910" s="3" t="s">
        <v>1010</v>
      </c>
      <c r="C2910" s="3" t="s">
        <v>45</v>
      </c>
      <c r="D2910" s="3" t="s">
        <v>1124</v>
      </c>
      <c r="E2910" s="3" t="s">
        <v>229</v>
      </c>
      <c r="F2910" s="3"/>
      <c r="G2910" s="3"/>
      <c r="H2910" s="3"/>
      <c r="I2910" s="3"/>
    </row>
    <row r="2911" spans="1:9" s="5" customFormat="1" x14ac:dyDescent="0.35">
      <c r="A2911" s="3" t="s">
        <v>907</v>
      </c>
      <c r="B2911" s="3" t="s">
        <v>1010</v>
      </c>
      <c r="C2911" s="3" t="s">
        <v>45</v>
      </c>
      <c r="D2911" s="3" t="s">
        <v>1124</v>
      </c>
      <c r="E2911" s="3" t="s">
        <v>230</v>
      </c>
      <c r="F2911" s="3"/>
      <c r="G2911" s="3"/>
      <c r="H2911" s="3"/>
      <c r="I2911" s="3"/>
    </row>
    <row r="2912" spans="1:9" s="5" customFormat="1" x14ac:dyDescent="0.35">
      <c r="A2912" s="3" t="s">
        <v>907</v>
      </c>
      <c r="B2912" s="3" t="s">
        <v>1010</v>
      </c>
      <c r="C2912" s="3" t="s">
        <v>45</v>
      </c>
      <c r="D2912" s="3" t="s">
        <v>1124</v>
      </c>
      <c r="E2912" s="3" t="s">
        <v>219</v>
      </c>
      <c r="F2912" s="3"/>
      <c r="G2912" s="3"/>
      <c r="H2912" s="3"/>
      <c r="I2912" s="3"/>
    </row>
    <row r="2913" spans="1:9" s="5" customFormat="1" x14ac:dyDescent="0.35">
      <c r="A2913" s="3" t="s">
        <v>907</v>
      </c>
      <c r="B2913" s="3" t="s">
        <v>1010</v>
      </c>
      <c r="C2913" s="3" t="s">
        <v>45</v>
      </c>
      <c r="D2913" s="3" t="s">
        <v>1124</v>
      </c>
      <c r="E2913" s="3" t="s">
        <v>372</v>
      </c>
      <c r="F2913" s="3"/>
      <c r="G2913" s="3"/>
      <c r="H2913" s="3"/>
      <c r="I2913" s="3"/>
    </row>
    <row r="2914" spans="1:9" s="5" customFormat="1" x14ac:dyDescent="0.35">
      <c r="A2914" s="3" t="s">
        <v>907</v>
      </c>
      <c r="B2914" s="3" t="s">
        <v>1010</v>
      </c>
      <c r="C2914" s="3" t="s">
        <v>45</v>
      </c>
      <c r="D2914" s="3" t="s">
        <v>1124</v>
      </c>
      <c r="E2914" s="3" t="s">
        <v>218</v>
      </c>
      <c r="F2914" s="3"/>
      <c r="G2914" s="3"/>
      <c r="H2914" s="3"/>
      <c r="I2914" s="3"/>
    </row>
    <row r="2915" spans="1:9" s="5" customFormat="1" x14ac:dyDescent="0.35">
      <c r="A2915" s="3" t="s">
        <v>907</v>
      </c>
      <c r="B2915" s="3" t="s">
        <v>1010</v>
      </c>
      <c r="C2915" s="3" t="s">
        <v>45</v>
      </c>
      <c r="D2915" s="3" t="s">
        <v>1124</v>
      </c>
      <c r="E2915" s="3" t="s">
        <v>224</v>
      </c>
      <c r="F2915" s="3"/>
      <c r="G2915" s="3"/>
      <c r="H2915" s="3"/>
      <c r="I2915" s="3"/>
    </row>
    <row r="2916" spans="1:9" s="5" customFormat="1" x14ac:dyDescent="0.35">
      <c r="A2916" s="3" t="s">
        <v>907</v>
      </c>
      <c r="B2916" s="3" t="s">
        <v>1010</v>
      </c>
      <c r="C2916" s="3" t="s">
        <v>10</v>
      </c>
      <c r="D2916" s="3" t="s">
        <v>1125</v>
      </c>
      <c r="E2916" s="3" t="s">
        <v>12</v>
      </c>
      <c r="F2916" s="3"/>
      <c r="G2916" s="3"/>
      <c r="H2916" s="3"/>
      <c r="I2916" s="3"/>
    </row>
    <row r="2917" spans="1:9" s="5" customFormat="1" x14ac:dyDescent="0.35">
      <c r="A2917" s="3" t="s">
        <v>907</v>
      </c>
      <c r="B2917" s="3" t="s">
        <v>1010</v>
      </c>
      <c r="C2917" s="3" t="s">
        <v>10</v>
      </c>
      <c r="D2917" s="3" t="s">
        <v>1125</v>
      </c>
      <c r="E2917" s="3" t="s">
        <v>47</v>
      </c>
      <c r="F2917" s="3"/>
      <c r="G2917" s="3"/>
      <c r="H2917" s="3"/>
      <c r="I2917" s="3"/>
    </row>
    <row r="2918" spans="1:9" s="5" customFormat="1" x14ac:dyDescent="0.35">
      <c r="A2918" s="3" t="s">
        <v>907</v>
      </c>
      <c r="B2918" s="3" t="s">
        <v>1010</v>
      </c>
      <c r="C2918" s="3" t="s">
        <v>10</v>
      </c>
      <c r="D2918" s="3" t="s">
        <v>1125</v>
      </c>
      <c r="E2918" s="3" t="s">
        <v>71</v>
      </c>
      <c r="F2918" s="3"/>
      <c r="G2918" s="3"/>
      <c r="H2918" s="3"/>
      <c r="I2918" s="3"/>
    </row>
    <row r="2919" spans="1:9" s="5" customFormat="1" x14ac:dyDescent="0.35">
      <c r="A2919" s="3" t="s">
        <v>907</v>
      </c>
      <c r="B2919" s="3" t="s">
        <v>1010</v>
      </c>
      <c r="C2919" s="3" t="s">
        <v>10</v>
      </c>
      <c r="D2919" s="3" t="s">
        <v>1125</v>
      </c>
      <c r="E2919" s="3" t="s">
        <v>15</v>
      </c>
      <c r="F2919" s="3" t="s">
        <v>16</v>
      </c>
      <c r="G2919" s="3" t="s">
        <v>1126</v>
      </c>
      <c r="H2919" s="3"/>
      <c r="I2919" s="3"/>
    </row>
    <row r="2920" spans="1:9" s="5" customFormat="1" x14ac:dyDescent="0.35">
      <c r="A2920" s="3" t="s">
        <v>907</v>
      </c>
      <c r="B2920" s="3" t="s">
        <v>1010</v>
      </c>
      <c r="C2920" s="3" t="s">
        <v>10</v>
      </c>
      <c r="D2920" s="3" t="s">
        <v>1125</v>
      </c>
      <c r="E2920" s="3" t="s">
        <v>37</v>
      </c>
      <c r="F2920" s="3"/>
      <c r="G2920" s="3"/>
      <c r="H2920" s="3"/>
      <c r="I2920" s="3"/>
    </row>
    <row r="2921" spans="1:9" s="5" customFormat="1" x14ac:dyDescent="0.35">
      <c r="A2921" s="3" t="s">
        <v>907</v>
      </c>
      <c r="B2921" s="3" t="s">
        <v>1010</v>
      </c>
      <c r="C2921" s="3" t="s">
        <v>10</v>
      </c>
      <c r="D2921" s="3" t="s">
        <v>1125</v>
      </c>
      <c r="E2921" s="3" t="s">
        <v>134</v>
      </c>
      <c r="F2921" s="3"/>
      <c r="G2921" s="3" t="s">
        <v>2423</v>
      </c>
      <c r="H2921" s="3"/>
      <c r="I2921" s="3"/>
    </row>
    <row r="2922" spans="1:9" s="5" customFormat="1" x14ac:dyDescent="0.35">
      <c r="A2922" s="3" t="s">
        <v>907</v>
      </c>
      <c r="B2922" s="3" t="s">
        <v>1010</v>
      </c>
      <c r="C2922" s="3" t="s">
        <v>10</v>
      </c>
      <c r="D2922" s="3" t="s">
        <v>1125</v>
      </c>
      <c r="E2922" s="3" t="s">
        <v>107</v>
      </c>
      <c r="F2922" s="3"/>
      <c r="G2922" s="3"/>
      <c r="H2922" s="3"/>
      <c r="I2922" s="3"/>
    </row>
    <row r="2923" spans="1:9" s="5" customFormat="1" x14ac:dyDescent="0.35">
      <c r="A2923" s="3" t="s">
        <v>907</v>
      </c>
      <c r="B2923" s="3" t="s">
        <v>1010</v>
      </c>
      <c r="C2923" s="3" t="s">
        <v>10</v>
      </c>
      <c r="D2923" s="3" t="s">
        <v>1127</v>
      </c>
      <c r="E2923" s="3" t="s">
        <v>36</v>
      </c>
      <c r="F2923" s="3"/>
      <c r="G2923" s="3"/>
      <c r="H2923" s="3"/>
      <c r="I2923" s="3"/>
    </row>
    <row r="2924" spans="1:9" s="5" customFormat="1" x14ac:dyDescent="0.35">
      <c r="A2924" s="3" t="s">
        <v>907</v>
      </c>
      <c r="B2924" s="3" t="s">
        <v>1010</v>
      </c>
      <c r="C2924" s="3" t="s">
        <v>45</v>
      </c>
      <c r="D2924" s="3" t="s">
        <v>1128</v>
      </c>
      <c r="E2924" s="3" t="s">
        <v>217</v>
      </c>
      <c r="F2924" s="3"/>
      <c r="G2924" s="3"/>
      <c r="H2924" s="3"/>
      <c r="I2924" s="3"/>
    </row>
    <row r="2925" spans="1:9" s="5" customFormat="1" x14ac:dyDescent="0.35">
      <c r="A2925" s="3" t="s">
        <v>907</v>
      </c>
      <c r="B2925" s="3" t="s">
        <v>1010</v>
      </c>
      <c r="C2925" s="3" t="s">
        <v>45</v>
      </c>
      <c r="D2925" s="3" t="s">
        <v>1128</v>
      </c>
      <c r="E2925" s="3" t="s">
        <v>221</v>
      </c>
      <c r="F2925" s="3"/>
      <c r="G2925" s="3"/>
      <c r="H2925" s="3"/>
      <c r="I2925" s="3"/>
    </row>
    <row r="2926" spans="1:9" s="5" customFormat="1" x14ac:dyDescent="0.35">
      <c r="A2926" s="3" t="s">
        <v>907</v>
      </c>
      <c r="B2926" s="3" t="s">
        <v>1010</v>
      </c>
      <c r="C2926" s="3" t="s">
        <v>45</v>
      </c>
      <c r="D2926" s="3" t="s">
        <v>1128</v>
      </c>
      <c r="E2926" s="3" t="s">
        <v>56</v>
      </c>
      <c r="F2926" s="3"/>
      <c r="G2926" s="3" t="s">
        <v>2430</v>
      </c>
      <c r="H2926" s="3"/>
      <c r="I2926" s="3"/>
    </row>
    <row r="2927" spans="1:9" s="5" customFormat="1" x14ac:dyDescent="0.35">
      <c r="A2927" s="3" t="s">
        <v>907</v>
      </c>
      <c r="B2927" s="3" t="s">
        <v>1010</v>
      </c>
      <c r="C2927" s="3" t="s">
        <v>45</v>
      </c>
      <c r="D2927" s="3" t="s">
        <v>1128</v>
      </c>
      <c r="E2927" s="3" t="s">
        <v>230</v>
      </c>
      <c r="F2927" s="3"/>
      <c r="G2927" s="3"/>
      <c r="H2927" s="3"/>
      <c r="I2927" s="3"/>
    </row>
    <row r="2928" spans="1:9" s="5" customFormat="1" x14ac:dyDescent="0.35">
      <c r="A2928" s="3" t="s">
        <v>907</v>
      </c>
      <c r="B2928" s="3" t="s">
        <v>1010</v>
      </c>
      <c r="C2928" s="3" t="s">
        <v>45</v>
      </c>
      <c r="D2928" s="3" t="s">
        <v>1128</v>
      </c>
      <c r="E2928" s="3" t="s">
        <v>224</v>
      </c>
      <c r="F2928" s="3"/>
      <c r="G2928" s="3"/>
      <c r="H2928" s="3"/>
      <c r="I2928" s="3"/>
    </row>
    <row r="2929" spans="1:9" s="5" customFormat="1" x14ac:dyDescent="0.35">
      <c r="A2929" s="3" t="s">
        <v>907</v>
      </c>
      <c r="B2929" s="3" t="s">
        <v>1010</v>
      </c>
      <c r="C2929" s="3" t="s">
        <v>45</v>
      </c>
      <c r="D2929" s="3" t="s">
        <v>1129</v>
      </c>
      <c r="E2929" s="3" t="s">
        <v>217</v>
      </c>
      <c r="F2929" s="3"/>
      <c r="G2929" s="3" t="s">
        <v>2286</v>
      </c>
      <c r="H2929" s="3"/>
      <c r="I2929" s="3"/>
    </row>
    <row r="2930" spans="1:9" s="5" customFormat="1" x14ac:dyDescent="0.35">
      <c r="A2930" s="3" t="s">
        <v>907</v>
      </c>
      <c r="B2930" s="3" t="s">
        <v>1010</v>
      </c>
      <c r="C2930" s="3" t="s">
        <v>45</v>
      </c>
      <c r="D2930" s="3" t="s">
        <v>1129</v>
      </c>
      <c r="E2930" s="3" t="s">
        <v>56</v>
      </c>
      <c r="F2930" s="3"/>
      <c r="G2930" s="3"/>
      <c r="H2930" s="3"/>
      <c r="I2930" s="3"/>
    </row>
    <row r="2931" spans="1:9" s="5" customFormat="1" x14ac:dyDescent="0.35">
      <c r="A2931" s="3" t="s">
        <v>907</v>
      </c>
      <c r="B2931" s="3" t="s">
        <v>1010</v>
      </c>
      <c r="C2931" s="3" t="s">
        <v>45</v>
      </c>
      <c r="D2931" s="3" t="s">
        <v>1129</v>
      </c>
      <c r="E2931" s="3" t="s">
        <v>224</v>
      </c>
      <c r="F2931" s="3"/>
      <c r="G2931" s="3"/>
      <c r="H2931" s="3"/>
      <c r="I2931" s="3"/>
    </row>
    <row r="2932" spans="1:9" s="5" customFormat="1" x14ac:dyDescent="0.35">
      <c r="A2932" s="3" t="s">
        <v>907</v>
      </c>
      <c r="B2932" s="3" t="s">
        <v>1010</v>
      </c>
      <c r="C2932" s="3" t="s">
        <v>45</v>
      </c>
      <c r="D2932" s="3" t="s">
        <v>1130</v>
      </c>
      <c r="E2932" s="3" t="s">
        <v>15</v>
      </c>
      <c r="F2932" s="3" t="s">
        <v>16</v>
      </c>
      <c r="G2932" s="3" t="s">
        <v>1131</v>
      </c>
      <c r="H2932" s="3"/>
      <c r="I2932" s="3"/>
    </row>
    <row r="2933" spans="1:9" s="5" customFormat="1" x14ac:dyDescent="0.35">
      <c r="A2933" s="3" t="s">
        <v>907</v>
      </c>
      <c r="B2933" s="3" t="s">
        <v>1010</v>
      </c>
      <c r="C2933" s="3" t="s">
        <v>45</v>
      </c>
      <c r="D2933" s="3" t="s">
        <v>1132</v>
      </c>
      <c r="E2933" s="3" t="s">
        <v>166</v>
      </c>
      <c r="F2933" s="3"/>
      <c r="G2933" s="3"/>
      <c r="H2933" s="3"/>
      <c r="I2933" s="3"/>
    </row>
    <row r="2934" spans="1:9" s="5" customFormat="1" x14ac:dyDescent="0.35">
      <c r="A2934" s="3" t="s">
        <v>907</v>
      </c>
      <c r="B2934" s="3" t="s">
        <v>1010</v>
      </c>
      <c r="C2934" s="3" t="s">
        <v>45</v>
      </c>
      <c r="D2934" s="3" t="s">
        <v>1132</v>
      </c>
      <c r="E2934" s="3" t="s">
        <v>1016</v>
      </c>
      <c r="F2934" s="3"/>
      <c r="G2934" s="3"/>
      <c r="H2934" s="3"/>
      <c r="I2934" s="3"/>
    </row>
    <row r="2935" spans="1:9" s="5" customFormat="1" x14ac:dyDescent="0.35">
      <c r="A2935" s="3" t="s">
        <v>907</v>
      </c>
      <c r="B2935" s="3" t="s">
        <v>1010</v>
      </c>
      <c r="C2935" s="3" t="s">
        <v>45</v>
      </c>
      <c r="D2935" s="3" t="s">
        <v>1132</v>
      </c>
      <c r="E2935" s="3" t="s">
        <v>225</v>
      </c>
      <c r="F2935" s="3"/>
      <c r="G2935" s="3"/>
      <c r="H2935" s="3"/>
      <c r="I2935" s="3"/>
    </row>
    <row r="2936" spans="1:9" s="5" customFormat="1" x14ac:dyDescent="0.35">
      <c r="A2936" s="3" t="s">
        <v>907</v>
      </c>
      <c r="B2936" s="3" t="s">
        <v>1010</v>
      </c>
      <c r="C2936" s="3" t="s">
        <v>45</v>
      </c>
      <c r="D2936" s="3" t="s">
        <v>1132</v>
      </c>
      <c r="E2936" s="3" t="s">
        <v>221</v>
      </c>
      <c r="F2936" s="3"/>
      <c r="G2936" s="3"/>
      <c r="H2936" s="3"/>
      <c r="I2936" s="3"/>
    </row>
    <row r="2937" spans="1:9" s="5" customFormat="1" x14ac:dyDescent="0.35">
      <c r="A2937" s="3" t="s">
        <v>907</v>
      </c>
      <c r="B2937" s="3" t="s">
        <v>1010</v>
      </c>
      <c r="C2937" s="3" t="s">
        <v>45</v>
      </c>
      <c r="D2937" s="3" t="s">
        <v>1132</v>
      </c>
      <c r="E2937" s="3" t="s">
        <v>222</v>
      </c>
      <c r="F2937" s="3"/>
      <c r="G2937" s="3"/>
      <c r="H2937" s="3"/>
      <c r="I2937" s="3"/>
    </row>
    <row r="2938" spans="1:9" s="5" customFormat="1" x14ac:dyDescent="0.35">
      <c r="A2938" s="3" t="s">
        <v>907</v>
      </c>
      <c r="B2938" s="3" t="s">
        <v>1010</v>
      </c>
      <c r="C2938" s="3" t="s">
        <v>45</v>
      </c>
      <c r="D2938" s="3" t="s">
        <v>1132</v>
      </c>
      <c r="E2938" s="3" t="s">
        <v>223</v>
      </c>
      <c r="F2938" s="3"/>
      <c r="G2938" s="3"/>
      <c r="H2938" s="3"/>
      <c r="I2938" s="3"/>
    </row>
    <row r="2939" spans="1:9" s="5" customFormat="1" x14ac:dyDescent="0.35">
      <c r="A2939" s="3" t="s">
        <v>907</v>
      </c>
      <c r="B2939" s="3" t="s">
        <v>1010</v>
      </c>
      <c r="C2939" s="3" t="s">
        <v>45</v>
      </c>
      <c r="D2939" s="3" t="s">
        <v>1132</v>
      </c>
      <c r="E2939" s="3" t="s">
        <v>226</v>
      </c>
      <c r="F2939" s="3"/>
      <c r="G2939" s="3"/>
      <c r="H2939" s="3"/>
      <c r="I2939" s="3"/>
    </row>
    <row r="2940" spans="1:9" s="5" customFormat="1" x14ac:dyDescent="0.35">
      <c r="A2940" s="3" t="s">
        <v>907</v>
      </c>
      <c r="B2940" s="3" t="s">
        <v>1010</v>
      </c>
      <c r="C2940" s="3" t="s">
        <v>45</v>
      </c>
      <c r="D2940" s="3" t="s">
        <v>1132</v>
      </c>
      <c r="E2940" s="3" t="s">
        <v>227</v>
      </c>
      <c r="F2940" s="3"/>
      <c r="G2940" s="3"/>
      <c r="H2940" s="3"/>
      <c r="I2940" s="3"/>
    </row>
    <row r="2941" spans="1:9" s="5" customFormat="1" x14ac:dyDescent="0.35">
      <c r="A2941" s="3" t="s">
        <v>907</v>
      </c>
      <c r="B2941" s="3" t="s">
        <v>1010</v>
      </c>
      <c r="C2941" s="3" t="s">
        <v>45</v>
      </c>
      <c r="D2941" s="3" t="s">
        <v>1132</v>
      </c>
      <c r="E2941" s="3" t="s">
        <v>228</v>
      </c>
      <c r="F2941" s="3"/>
      <c r="G2941" s="3"/>
      <c r="H2941" s="3"/>
      <c r="I2941" s="3"/>
    </row>
    <row r="2942" spans="1:9" s="5" customFormat="1" x14ac:dyDescent="0.35">
      <c r="A2942" s="3" t="s">
        <v>907</v>
      </c>
      <c r="B2942" s="3" t="s">
        <v>1010</v>
      </c>
      <c r="C2942" s="3" t="s">
        <v>45</v>
      </c>
      <c r="D2942" s="3" t="s">
        <v>1132</v>
      </c>
      <c r="E2942" s="3" t="s">
        <v>229</v>
      </c>
      <c r="F2942" s="3"/>
      <c r="G2942" s="3"/>
      <c r="H2942" s="3"/>
      <c r="I2942" s="3"/>
    </row>
    <row r="2943" spans="1:9" s="5" customFormat="1" x14ac:dyDescent="0.35">
      <c r="A2943" s="3" t="s">
        <v>907</v>
      </c>
      <c r="B2943" s="3" t="s">
        <v>1010</v>
      </c>
      <c r="C2943" s="3" t="s">
        <v>45</v>
      </c>
      <c r="D2943" s="3" t="s">
        <v>1132</v>
      </c>
      <c r="E2943" s="3" t="s">
        <v>230</v>
      </c>
      <c r="F2943" s="3"/>
      <c r="G2943" s="3"/>
      <c r="H2943" s="3"/>
      <c r="I2943" s="3"/>
    </row>
    <row r="2944" spans="1:9" s="5" customFormat="1" x14ac:dyDescent="0.35">
      <c r="A2944" s="3" t="s">
        <v>907</v>
      </c>
      <c r="B2944" s="3" t="s">
        <v>1010</v>
      </c>
      <c r="C2944" s="3" t="s">
        <v>45</v>
      </c>
      <c r="D2944" s="3" t="s">
        <v>1132</v>
      </c>
      <c r="E2944" s="3" t="s">
        <v>219</v>
      </c>
      <c r="F2944" s="3"/>
      <c r="G2944" s="3"/>
      <c r="H2944" s="3"/>
      <c r="I2944" s="3"/>
    </row>
    <row r="2945" spans="1:9" s="5" customFormat="1" x14ac:dyDescent="0.35">
      <c r="A2945" s="3" t="s">
        <v>907</v>
      </c>
      <c r="B2945" s="3" t="s">
        <v>1010</v>
      </c>
      <c r="C2945" s="3" t="s">
        <v>45</v>
      </c>
      <c r="D2945" s="3" t="s">
        <v>1132</v>
      </c>
      <c r="E2945" s="3" t="s">
        <v>372</v>
      </c>
      <c r="F2945" s="3"/>
      <c r="G2945" s="3"/>
      <c r="H2945" s="3"/>
      <c r="I2945" s="3"/>
    </row>
    <row r="2946" spans="1:9" s="5" customFormat="1" x14ac:dyDescent="0.35">
      <c r="A2946" s="3" t="s">
        <v>907</v>
      </c>
      <c r="B2946" s="3" t="s">
        <v>1010</v>
      </c>
      <c r="C2946" s="3" t="s">
        <v>45</v>
      </c>
      <c r="D2946" s="3" t="s">
        <v>1132</v>
      </c>
      <c r="E2946" s="3" t="s">
        <v>218</v>
      </c>
      <c r="F2946" s="3"/>
      <c r="G2946" s="3"/>
      <c r="H2946" s="3"/>
      <c r="I2946" s="3"/>
    </row>
    <row r="2947" spans="1:9" s="5" customFormat="1" x14ac:dyDescent="0.35">
      <c r="A2947" s="3" t="s">
        <v>907</v>
      </c>
      <c r="B2947" s="3" t="s">
        <v>1010</v>
      </c>
      <c r="C2947" s="3" t="s">
        <v>45</v>
      </c>
      <c r="D2947" s="3" t="s">
        <v>1132</v>
      </c>
      <c r="E2947" s="3" t="s">
        <v>224</v>
      </c>
      <c r="F2947" s="3"/>
      <c r="G2947" s="3"/>
      <c r="H2947" s="3"/>
      <c r="I2947" s="3"/>
    </row>
    <row r="2948" spans="1:9" s="5" customFormat="1" x14ac:dyDescent="0.35">
      <c r="A2948" s="3" t="s">
        <v>907</v>
      </c>
      <c r="B2948" s="3" t="s">
        <v>1010</v>
      </c>
      <c r="C2948" s="3" t="s">
        <v>45</v>
      </c>
      <c r="D2948" s="3" t="s">
        <v>1133</v>
      </c>
      <c r="E2948" s="3" t="s">
        <v>166</v>
      </c>
      <c r="F2948" s="3"/>
      <c r="G2948" s="3"/>
      <c r="H2948" s="3"/>
      <c r="I2948" s="3"/>
    </row>
    <row r="2949" spans="1:9" s="5" customFormat="1" x14ac:dyDescent="0.35">
      <c r="A2949" s="3" t="s">
        <v>907</v>
      </c>
      <c r="B2949" s="3" t="s">
        <v>1010</v>
      </c>
      <c r="C2949" s="3" t="s">
        <v>45</v>
      </c>
      <c r="D2949" s="3" t="s">
        <v>1133</v>
      </c>
      <c r="E2949" s="3" t="s">
        <v>1016</v>
      </c>
      <c r="F2949" s="3"/>
      <c r="G2949" s="3"/>
      <c r="H2949" s="3"/>
      <c r="I2949" s="3"/>
    </row>
    <row r="2950" spans="1:9" s="5" customFormat="1" x14ac:dyDescent="0.35">
      <c r="A2950" s="3" t="s">
        <v>907</v>
      </c>
      <c r="B2950" s="3" t="s">
        <v>1010</v>
      </c>
      <c r="C2950" s="3" t="s">
        <v>45</v>
      </c>
      <c r="D2950" s="3" t="s">
        <v>1133</v>
      </c>
      <c r="E2950" s="3" t="s">
        <v>225</v>
      </c>
      <c r="F2950" s="3"/>
      <c r="G2950" s="3"/>
      <c r="H2950" s="3"/>
      <c r="I2950" s="3"/>
    </row>
    <row r="2951" spans="1:9" s="5" customFormat="1" x14ac:dyDescent="0.35">
      <c r="A2951" s="3" t="s">
        <v>907</v>
      </c>
      <c r="B2951" s="3" t="s">
        <v>1010</v>
      </c>
      <c r="C2951" s="3" t="s">
        <v>45</v>
      </c>
      <c r="D2951" s="3" t="s">
        <v>1133</v>
      </c>
      <c r="E2951" s="3" t="s">
        <v>221</v>
      </c>
      <c r="F2951" s="3"/>
      <c r="G2951" s="3"/>
      <c r="H2951" s="3"/>
      <c r="I2951" s="3"/>
    </row>
    <row r="2952" spans="1:9" s="5" customFormat="1" x14ac:dyDescent="0.35">
      <c r="A2952" s="3" t="s">
        <v>907</v>
      </c>
      <c r="B2952" s="3" t="s">
        <v>1010</v>
      </c>
      <c r="C2952" s="3" t="s">
        <v>45</v>
      </c>
      <c r="D2952" s="3" t="s">
        <v>1133</v>
      </c>
      <c r="E2952" s="3" t="s">
        <v>222</v>
      </c>
      <c r="F2952" s="3"/>
      <c r="G2952" s="3"/>
      <c r="H2952" s="3"/>
      <c r="I2952" s="3"/>
    </row>
    <row r="2953" spans="1:9" s="5" customFormat="1" x14ac:dyDescent="0.35">
      <c r="A2953" s="3" t="s">
        <v>907</v>
      </c>
      <c r="B2953" s="3" t="s">
        <v>1010</v>
      </c>
      <c r="C2953" s="3" t="s">
        <v>45</v>
      </c>
      <c r="D2953" s="3" t="s">
        <v>1133</v>
      </c>
      <c r="E2953" s="3" t="s">
        <v>223</v>
      </c>
      <c r="F2953" s="3"/>
      <c r="G2953" s="3"/>
      <c r="H2953" s="3"/>
      <c r="I2953" s="3"/>
    </row>
    <row r="2954" spans="1:9" s="5" customFormat="1" x14ac:dyDescent="0.35">
      <c r="A2954" s="3" t="s">
        <v>907</v>
      </c>
      <c r="B2954" s="3" t="s">
        <v>1010</v>
      </c>
      <c r="C2954" s="3" t="s">
        <v>45</v>
      </c>
      <c r="D2954" s="3" t="s">
        <v>1133</v>
      </c>
      <c r="E2954" s="3" t="s">
        <v>226</v>
      </c>
      <c r="F2954" s="3"/>
      <c r="G2954" s="3"/>
      <c r="H2954" s="3"/>
      <c r="I2954" s="3"/>
    </row>
    <row r="2955" spans="1:9" s="5" customFormat="1" x14ac:dyDescent="0.35">
      <c r="A2955" s="3" t="s">
        <v>907</v>
      </c>
      <c r="B2955" s="3" t="s">
        <v>1010</v>
      </c>
      <c r="C2955" s="3" t="s">
        <v>45</v>
      </c>
      <c r="D2955" s="3" t="s">
        <v>1133</v>
      </c>
      <c r="E2955" s="3" t="s">
        <v>227</v>
      </c>
      <c r="F2955" s="3"/>
      <c r="G2955" s="3"/>
      <c r="H2955" s="3"/>
      <c r="I2955" s="3"/>
    </row>
    <row r="2956" spans="1:9" s="5" customFormat="1" x14ac:dyDescent="0.35">
      <c r="A2956" s="3" t="s">
        <v>907</v>
      </c>
      <c r="B2956" s="3" t="s">
        <v>1010</v>
      </c>
      <c r="C2956" s="3" t="s">
        <v>45</v>
      </c>
      <c r="D2956" s="3" t="s">
        <v>1133</v>
      </c>
      <c r="E2956" s="3" t="s">
        <v>228</v>
      </c>
      <c r="F2956" s="3"/>
      <c r="G2956" s="3"/>
      <c r="H2956" s="3"/>
      <c r="I2956" s="3"/>
    </row>
    <row r="2957" spans="1:9" s="5" customFormat="1" x14ac:dyDescent="0.35">
      <c r="A2957" s="3" t="s">
        <v>907</v>
      </c>
      <c r="B2957" s="3" t="s">
        <v>1010</v>
      </c>
      <c r="C2957" s="3" t="s">
        <v>45</v>
      </c>
      <c r="D2957" s="3" t="s">
        <v>1133</v>
      </c>
      <c r="E2957" s="3" t="s">
        <v>229</v>
      </c>
      <c r="F2957" s="3"/>
      <c r="G2957" s="3"/>
      <c r="H2957" s="3"/>
      <c r="I2957" s="3"/>
    </row>
    <row r="2958" spans="1:9" s="5" customFormat="1" x14ac:dyDescent="0.35">
      <c r="A2958" s="3" t="s">
        <v>907</v>
      </c>
      <c r="B2958" s="3" t="s">
        <v>1010</v>
      </c>
      <c r="C2958" s="3" t="s">
        <v>45</v>
      </c>
      <c r="D2958" s="3" t="s">
        <v>1133</v>
      </c>
      <c r="E2958" s="3" t="s">
        <v>230</v>
      </c>
      <c r="F2958" s="3"/>
      <c r="G2958" s="3"/>
      <c r="H2958" s="3"/>
      <c r="I2958" s="3"/>
    </row>
    <row r="2959" spans="1:9" s="5" customFormat="1" x14ac:dyDescent="0.35">
      <c r="A2959" s="3" t="s">
        <v>907</v>
      </c>
      <c r="B2959" s="3" t="s">
        <v>1010</v>
      </c>
      <c r="C2959" s="3" t="s">
        <v>45</v>
      </c>
      <c r="D2959" s="3" t="s">
        <v>1133</v>
      </c>
      <c r="E2959" s="3" t="s">
        <v>219</v>
      </c>
      <c r="F2959" s="3"/>
      <c r="G2959" s="3"/>
      <c r="H2959" s="3"/>
      <c r="I2959" s="3"/>
    </row>
    <row r="2960" spans="1:9" s="5" customFormat="1" x14ac:dyDescent="0.35">
      <c r="A2960" s="3" t="s">
        <v>907</v>
      </c>
      <c r="B2960" s="3" t="s">
        <v>1010</v>
      </c>
      <c r="C2960" s="3" t="s">
        <v>45</v>
      </c>
      <c r="D2960" s="3" t="s">
        <v>1133</v>
      </c>
      <c r="E2960" s="3" t="s">
        <v>372</v>
      </c>
      <c r="F2960" s="3"/>
      <c r="G2960" s="3"/>
      <c r="H2960" s="3"/>
      <c r="I2960" s="3"/>
    </row>
    <row r="2961" spans="1:9" s="5" customFormat="1" x14ac:dyDescent="0.35">
      <c r="A2961" s="3" t="s">
        <v>907</v>
      </c>
      <c r="B2961" s="3" t="s">
        <v>1010</v>
      </c>
      <c r="C2961" s="3" t="s">
        <v>45</v>
      </c>
      <c r="D2961" s="3" t="s">
        <v>1133</v>
      </c>
      <c r="E2961" s="3" t="s">
        <v>218</v>
      </c>
      <c r="F2961" s="3"/>
      <c r="G2961" s="3"/>
      <c r="H2961" s="3"/>
      <c r="I2961" s="3"/>
    </row>
    <row r="2962" spans="1:9" s="5" customFormat="1" x14ac:dyDescent="0.35">
      <c r="A2962" s="3" t="s">
        <v>907</v>
      </c>
      <c r="B2962" s="3" t="s">
        <v>1010</v>
      </c>
      <c r="C2962" s="3" t="s">
        <v>45</v>
      </c>
      <c r="D2962" s="3" t="s">
        <v>1133</v>
      </c>
      <c r="E2962" s="3" t="s">
        <v>224</v>
      </c>
      <c r="F2962" s="3"/>
      <c r="G2962" s="3"/>
      <c r="H2962" s="3"/>
      <c r="I2962" s="3"/>
    </row>
    <row r="2963" spans="1:9" s="5" customFormat="1" x14ac:dyDescent="0.35">
      <c r="A2963" s="3" t="s">
        <v>907</v>
      </c>
      <c r="B2963" s="3" t="s">
        <v>1010</v>
      </c>
      <c r="C2963" s="3" t="s">
        <v>45</v>
      </c>
      <c r="D2963" s="3" t="s">
        <v>1134</v>
      </c>
      <c r="E2963" s="3" t="s">
        <v>166</v>
      </c>
      <c r="F2963" s="3"/>
      <c r="G2963" s="3"/>
      <c r="H2963" s="3"/>
      <c r="I2963" s="3"/>
    </row>
    <row r="2964" spans="1:9" s="5" customFormat="1" x14ac:dyDescent="0.35">
      <c r="A2964" s="3" t="s">
        <v>907</v>
      </c>
      <c r="B2964" s="3" t="s">
        <v>1010</v>
      </c>
      <c r="C2964" s="3" t="s">
        <v>45</v>
      </c>
      <c r="D2964" s="3" t="s">
        <v>1134</v>
      </c>
      <c r="E2964" s="3" t="s">
        <v>1016</v>
      </c>
      <c r="F2964" s="3"/>
      <c r="G2964" s="3"/>
      <c r="H2964" s="3"/>
      <c r="I2964" s="3"/>
    </row>
    <row r="2965" spans="1:9" s="5" customFormat="1" x14ac:dyDescent="0.35">
      <c r="A2965" s="3" t="s">
        <v>907</v>
      </c>
      <c r="B2965" s="3" t="s">
        <v>1010</v>
      </c>
      <c r="C2965" s="3" t="s">
        <v>45</v>
      </c>
      <c r="D2965" s="3" t="s">
        <v>1134</v>
      </c>
      <c r="E2965" s="3" t="s">
        <v>225</v>
      </c>
      <c r="F2965" s="3"/>
      <c r="G2965" s="3"/>
      <c r="H2965" s="3"/>
      <c r="I2965" s="3"/>
    </row>
    <row r="2966" spans="1:9" s="5" customFormat="1" x14ac:dyDescent="0.35">
      <c r="A2966" s="3" t="s">
        <v>907</v>
      </c>
      <c r="B2966" s="3" t="s">
        <v>1010</v>
      </c>
      <c r="C2966" s="3" t="s">
        <v>45</v>
      </c>
      <c r="D2966" s="3" t="s">
        <v>1134</v>
      </c>
      <c r="E2966" s="3" t="s">
        <v>221</v>
      </c>
      <c r="F2966" s="3"/>
      <c r="G2966" s="3"/>
      <c r="H2966" s="3"/>
      <c r="I2966" s="3"/>
    </row>
    <row r="2967" spans="1:9" s="5" customFormat="1" x14ac:dyDescent="0.35">
      <c r="A2967" s="3" t="s">
        <v>907</v>
      </c>
      <c r="B2967" s="3" t="s">
        <v>1010</v>
      </c>
      <c r="C2967" s="3" t="s">
        <v>45</v>
      </c>
      <c r="D2967" s="3" t="s">
        <v>1134</v>
      </c>
      <c r="E2967" s="3" t="s">
        <v>222</v>
      </c>
      <c r="F2967" s="3"/>
      <c r="G2967" s="3"/>
      <c r="H2967" s="3"/>
      <c r="I2967" s="3"/>
    </row>
    <row r="2968" spans="1:9" s="5" customFormat="1" x14ac:dyDescent="0.35">
      <c r="A2968" s="3" t="s">
        <v>907</v>
      </c>
      <c r="B2968" s="3" t="s">
        <v>1010</v>
      </c>
      <c r="C2968" s="3" t="s">
        <v>45</v>
      </c>
      <c r="D2968" s="3" t="s">
        <v>1134</v>
      </c>
      <c r="E2968" s="3" t="s">
        <v>223</v>
      </c>
      <c r="F2968" s="3"/>
      <c r="G2968" s="3"/>
      <c r="H2968" s="3"/>
      <c r="I2968" s="3"/>
    </row>
    <row r="2969" spans="1:9" s="5" customFormat="1" x14ac:dyDescent="0.35">
      <c r="A2969" s="3" t="s">
        <v>907</v>
      </c>
      <c r="B2969" s="3" t="s">
        <v>1010</v>
      </c>
      <c r="C2969" s="3" t="s">
        <v>45</v>
      </c>
      <c r="D2969" s="3" t="s">
        <v>1134</v>
      </c>
      <c r="E2969" s="3" t="s">
        <v>226</v>
      </c>
      <c r="F2969" s="3"/>
      <c r="G2969" s="3"/>
      <c r="H2969" s="3"/>
      <c r="I2969" s="3"/>
    </row>
    <row r="2970" spans="1:9" s="5" customFormat="1" x14ac:dyDescent="0.35">
      <c r="A2970" s="3" t="s">
        <v>907</v>
      </c>
      <c r="B2970" s="3" t="s">
        <v>1010</v>
      </c>
      <c r="C2970" s="3" t="s">
        <v>45</v>
      </c>
      <c r="D2970" s="3" t="s">
        <v>1134</v>
      </c>
      <c r="E2970" s="3" t="s">
        <v>227</v>
      </c>
      <c r="F2970" s="3"/>
      <c r="G2970" s="3"/>
      <c r="H2970" s="3"/>
      <c r="I2970" s="3"/>
    </row>
    <row r="2971" spans="1:9" s="5" customFormat="1" x14ac:dyDescent="0.35">
      <c r="A2971" s="3" t="s">
        <v>907</v>
      </c>
      <c r="B2971" s="3" t="s">
        <v>1010</v>
      </c>
      <c r="C2971" s="3" t="s">
        <v>45</v>
      </c>
      <c r="D2971" s="3" t="s">
        <v>1134</v>
      </c>
      <c r="E2971" s="3" t="s">
        <v>228</v>
      </c>
      <c r="F2971" s="3"/>
      <c r="G2971" s="3"/>
      <c r="H2971" s="3"/>
      <c r="I2971" s="3"/>
    </row>
    <row r="2972" spans="1:9" s="5" customFormat="1" x14ac:dyDescent="0.35">
      <c r="A2972" s="3" t="s">
        <v>907</v>
      </c>
      <c r="B2972" s="3" t="s">
        <v>1010</v>
      </c>
      <c r="C2972" s="3" t="s">
        <v>45</v>
      </c>
      <c r="D2972" s="3" t="s">
        <v>1134</v>
      </c>
      <c r="E2972" s="3" t="s">
        <v>229</v>
      </c>
      <c r="F2972" s="3"/>
      <c r="G2972" s="3"/>
      <c r="H2972" s="3"/>
      <c r="I2972" s="3"/>
    </row>
    <row r="2973" spans="1:9" s="5" customFormat="1" x14ac:dyDescent="0.35">
      <c r="A2973" s="3" t="s">
        <v>907</v>
      </c>
      <c r="B2973" s="3" t="s">
        <v>1010</v>
      </c>
      <c r="C2973" s="3" t="s">
        <v>45</v>
      </c>
      <c r="D2973" s="3" t="s">
        <v>1134</v>
      </c>
      <c r="E2973" s="3" t="s">
        <v>230</v>
      </c>
      <c r="F2973" s="3"/>
      <c r="G2973" s="3"/>
      <c r="H2973" s="3"/>
      <c r="I2973" s="3"/>
    </row>
    <row r="2974" spans="1:9" s="5" customFormat="1" x14ac:dyDescent="0.35">
      <c r="A2974" s="3" t="s">
        <v>907</v>
      </c>
      <c r="B2974" s="3" t="s">
        <v>1010</v>
      </c>
      <c r="C2974" s="3" t="s">
        <v>45</v>
      </c>
      <c r="D2974" s="3" t="s">
        <v>1134</v>
      </c>
      <c r="E2974" s="3" t="s">
        <v>219</v>
      </c>
      <c r="F2974" s="3"/>
      <c r="G2974" s="3"/>
      <c r="H2974" s="3"/>
      <c r="I2974" s="3"/>
    </row>
    <row r="2975" spans="1:9" s="5" customFormat="1" x14ac:dyDescent="0.35">
      <c r="A2975" s="3" t="s">
        <v>907</v>
      </c>
      <c r="B2975" s="3" t="s">
        <v>1010</v>
      </c>
      <c r="C2975" s="3" t="s">
        <v>45</v>
      </c>
      <c r="D2975" s="3" t="s">
        <v>1134</v>
      </c>
      <c r="E2975" s="3" t="s">
        <v>372</v>
      </c>
      <c r="F2975" s="3"/>
      <c r="G2975" s="3"/>
      <c r="H2975" s="3"/>
      <c r="I2975" s="3"/>
    </row>
    <row r="2976" spans="1:9" s="5" customFormat="1" x14ac:dyDescent="0.35">
      <c r="A2976" s="3" t="s">
        <v>907</v>
      </c>
      <c r="B2976" s="3" t="s">
        <v>1010</v>
      </c>
      <c r="C2976" s="3" t="s">
        <v>45</v>
      </c>
      <c r="D2976" s="3" t="s">
        <v>1134</v>
      </c>
      <c r="E2976" s="3" t="s">
        <v>218</v>
      </c>
      <c r="F2976" s="3"/>
      <c r="G2976" s="3"/>
      <c r="H2976" s="3"/>
      <c r="I2976" s="3"/>
    </row>
    <row r="2977" spans="1:9" s="5" customFormat="1" x14ac:dyDescent="0.35">
      <c r="A2977" s="3" t="s">
        <v>907</v>
      </c>
      <c r="B2977" s="3" t="s">
        <v>1010</v>
      </c>
      <c r="C2977" s="3" t="s">
        <v>45</v>
      </c>
      <c r="D2977" s="3" t="s">
        <v>1134</v>
      </c>
      <c r="E2977" s="3" t="s">
        <v>224</v>
      </c>
      <c r="F2977" s="3"/>
      <c r="G2977" s="3"/>
      <c r="H2977" s="3"/>
      <c r="I2977" s="3"/>
    </row>
    <row r="2978" spans="1:9" s="5" customFormat="1" x14ac:dyDescent="0.35">
      <c r="A2978" s="3" t="s">
        <v>907</v>
      </c>
      <c r="B2978" s="3" t="s">
        <v>1010</v>
      </c>
      <c r="C2978" s="3" t="s">
        <v>45</v>
      </c>
      <c r="D2978" s="3" t="s">
        <v>1135</v>
      </c>
      <c r="E2978" s="3" t="s">
        <v>166</v>
      </c>
      <c r="F2978" s="3"/>
      <c r="G2978" s="3"/>
      <c r="H2978" s="3"/>
      <c r="I2978" s="3"/>
    </row>
    <row r="2979" spans="1:9" s="5" customFormat="1" x14ac:dyDescent="0.35">
      <c r="A2979" s="3" t="s">
        <v>907</v>
      </c>
      <c r="B2979" s="3" t="s">
        <v>1010</v>
      </c>
      <c r="C2979" s="3" t="s">
        <v>45</v>
      </c>
      <c r="D2979" s="3" t="s">
        <v>1135</v>
      </c>
      <c r="E2979" s="3" t="s">
        <v>1016</v>
      </c>
      <c r="F2979" s="3"/>
      <c r="G2979" s="3"/>
      <c r="H2979" s="3"/>
      <c r="I2979" s="3"/>
    </row>
    <row r="2980" spans="1:9" s="5" customFormat="1" x14ac:dyDescent="0.35">
      <c r="A2980" s="3" t="s">
        <v>907</v>
      </c>
      <c r="B2980" s="3" t="s">
        <v>1010</v>
      </c>
      <c r="C2980" s="3" t="s">
        <v>45</v>
      </c>
      <c r="D2980" s="3" t="s">
        <v>1135</v>
      </c>
      <c r="E2980" s="3" t="s">
        <v>225</v>
      </c>
      <c r="F2980" s="3"/>
      <c r="G2980" s="3"/>
      <c r="H2980" s="3"/>
      <c r="I2980" s="3"/>
    </row>
    <row r="2981" spans="1:9" s="5" customFormat="1" x14ac:dyDescent="0.35">
      <c r="A2981" s="3" t="s">
        <v>907</v>
      </c>
      <c r="B2981" s="3" t="s">
        <v>1010</v>
      </c>
      <c r="C2981" s="3" t="s">
        <v>45</v>
      </c>
      <c r="D2981" s="3" t="s">
        <v>1135</v>
      </c>
      <c r="E2981" s="3" t="s">
        <v>221</v>
      </c>
      <c r="F2981" s="3"/>
      <c r="G2981" s="3"/>
      <c r="H2981" s="3"/>
      <c r="I2981" s="3"/>
    </row>
    <row r="2982" spans="1:9" s="5" customFormat="1" x14ac:dyDescent="0.35">
      <c r="A2982" s="3" t="s">
        <v>907</v>
      </c>
      <c r="B2982" s="3" t="s">
        <v>1010</v>
      </c>
      <c r="C2982" s="3" t="s">
        <v>45</v>
      </c>
      <c r="D2982" s="3" t="s">
        <v>1135</v>
      </c>
      <c r="E2982" s="3" t="s">
        <v>222</v>
      </c>
      <c r="F2982" s="3"/>
      <c r="G2982" s="3"/>
      <c r="H2982" s="3"/>
      <c r="I2982" s="3"/>
    </row>
    <row r="2983" spans="1:9" s="5" customFormat="1" x14ac:dyDescent="0.35">
      <c r="A2983" s="3" t="s">
        <v>907</v>
      </c>
      <c r="B2983" s="3" t="s">
        <v>1010</v>
      </c>
      <c r="C2983" s="3" t="s">
        <v>45</v>
      </c>
      <c r="D2983" s="3" t="s">
        <v>1135</v>
      </c>
      <c r="E2983" s="3" t="s">
        <v>223</v>
      </c>
      <c r="F2983" s="3"/>
      <c r="G2983" s="3"/>
      <c r="H2983" s="3"/>
      <c r="I2983" s="3"/>
    </row>
    <row r="2984" spans="1:9" s="5" customFormat="1" x14ac:dyDescent="0.35">
      <c r="A2984" s="3" t="s">
        <v>907</v>
      </c>
      <c r="B2984" s="3" t="s">
        <v>1010</v>
      </c>
      <c r="C2984" s="3" t="s">
        <v>45</v>
      </c>
      <c r="D2984" s="3" t="s">
        <v>1135</v>
      </c>
      <c r="E2984" s="3" t="s">
        <v>226</v>
      </c>
      <c r="F2984" s="3"/>
      <c r="G2984" s="3"/>
      <c r="H2984" s="3"/>
      <c r="I2984" s="3"/>
    </row>
    <row r="2985" spans="1:9" s="5" customFormat="1" x14ac:dyDescent="0.35">
      <c r="A2985" s="3" t="s">
        <v>907</v>
      </c>
      <c r="B2985" s="3" t="s">
        <v>1010</v>
      </c>
      <c r="C2985" s="3" t="s">
        <v>45</v>
      </c>
      <c r="D2985" s="3" t="s">
        <v>1135</v>
      </c>
      <c r="E2985" s="3" t="s">
        <v>227</v>
      </c>
      <c r="F2985" s="3"/>
      <c r="G2985" s="3"/>
      <c r="H2985" s="3"/>
      <c r="I2985" s="3"/>
    </row>
    <row r="2986" spans="1:9" s="5" customFormat="1" x14ac:dyDescent="0.35">
      <c r="A2986" s="3" t="s">
        <v>907</v>
      </c>
      <c r="B2986" s="3" t="s">
        <v>1010</v>
      </c>
      <c r="C2986" s="3" t="s">
        <v>45</v>
      </c>
      <c r="D2986" s="3" t="s">
        <v>1135</v>
      </c>
      <c r="E2986" s="3" t="s">
        <v>228</v>
      </c>
      <c r="F2986" s="3"/>
      <c r="G2986" s="3"/>
      <c r="H2986" s="3"/>
      <c r="I2986" s="3"/>
    </row>
    <row r="2987" spans="1:9" s="5" customFormat="1" x14ac:dyDescent="0.35">
      <c r="A2987" s="3" t="s">
        <v>907</v>
      </c>
      <c r="B2987" s="3" t="s">
        <v>1010</v>
      </c>
      <c r="C2987" s="3" t="s">
        <v>45</v>
      </c>
      <c r="D2987" s="3" t="s">
        <v>1135</v>
      </c>
      <c r="E2987" s="3" t="s">
        <v>229</v>
      </c>
      <c r="F2987" s="3"/>
      <c r="G2987" s="3"/>
      <c r="H2987" s="3"/>
      <c r="I2987" s="3"/>
    </row>
    <row r="2988" spans="1:9" s="5" customFormat="1" x14ac:dyDescent="0.35">
      <c r="A2988" s="3" t="s">
        <v>907</v>
      </c>
      <c r="B2988" s="3" t="s">
        <v>1010</v>
      </c>
      <c r="C2988" s="3" t="s">
        <v>45</v>
      </c>
      <c r="D2988" s="3" t="s">
        <v>1135</v>
      </c>
      <c r="E2988" s="3" t="s">
        <v>230</v>
      </c>
      <c r="F2988" s="3"/>
      <c r="G2988" s="3"/>
      <c r="H2988" s="3"/>
      <c r="I2988" s="3"/>
    </row>
    <row r="2989" spans="1:9" s="5" customFormat="1" x14ac:dyDescent="0.35">
      <c r="A2989" s="3" t="s">
        <v>907</v>
      </c>
      <c r="B2989" s="3" t="s">
        <v>1010</v>
      </c>
      <c r="C2989" s="3" t="s">
        <v>45</v>
      </c>
      <c r="D2989" s="3" t="s">
        <v>1135</v>
      </c>
      <c r="E2989" s="3" t="s">
        <v>219</v>
      </c>
      <c r="F2989" s="3"/>
      <c r="G2989" s="3"/>
      <c r="H2989" s="3"/>
      <c r="I2989" s="3"/>
    </row>
    <row r="2990" spans="1:9" s="5" customFormat="1" x14ac:dyDescent="0.35">
      <c r="A2990" s="3" t="s">
        <v>907</v>
      </c>
      <c r="B2990" s="3" t="s">
        <v>1010</v>
      </c>
      <c r="C2990" s="3" t="s">
        <v>45</v>
      </c>
      <c r="D2990" s="3" t="s">
        <v>1135</v>
      </c>
      <c r="E2990" s="3" t="s">
        <v>372</v>
      </c>
      <c r="F2990" s="3"/>
      <c r="G2990" s="3"/>
      <c r="H2990" s="3"/>
      <c r="I2990" s="3"/>
    </row>
    <row r="2991" spans="1:9" s="5" customFormat="1" x14ac:dyDescent="0.35">
      <c r="A2991" s="3" t="s">
        <v>907</v>
      </c>
      <c r="B2991" s="3" t="s">
        <v>1010</v>
      </c>
      <c r="C2991" s="3" t="s">
        <v>45</v>
      </c>
      <c r="D2991" s="3" t="s">
        <v>1135</v>
      </c>
      <c r="E2991" s="3" t="s">
        <v>218</v>
      </c>
      <c r="F2991" s="3"/>
      <c r="G2991" s="3"/>
      <c r="H2991" s="3"/>
      <c r="I2991" s="3"/>
    </row>
    <row r="2992" spans="1:9" s="5" customFormat="1" x14ac:dyDescent="0.35">
      <c r="A2992" s="3" t="s">
        <v>907</v>
      </c>
      <c r="B2992" s="3" t="s">
        <v>1010</v>
      </c>
      <c r="C2992" s="3" t="s">
        <v>45</v>
      </c>
      <c r="D2992" s="3" t="s">
        <v>1135</v>
      </c>
      <c r="E2992" s="3" t="s">
        <v>224</v>
      </c>
      <c r="F2992" s="3"/>
      <c r="G2992" s="3"/>
      <c r="H2992" s="3"/>
      <c r="I2992" s="3"/>
    </row>
    <row r="2993" spans="1:9" s="5" customFormat="1" x14ac:dyDescent="0.35">
      <c r="A2993" s="3" t="s">
        <v>907</v>
      </c>
      <c r="B2993" s="3" t="s">
        <v>1010</v>
      </c>
      <c r="C2993" s="3" t="s">
        <v>45</v>
      </c>
      <c r="D2993" s="3" t="s">
        <v>1136</v>
      </c>
      <c r="E2993" s="3" t="s">
        <v>15</v>
      </c>
      <c r="F2993" s="3" t="s">
        <v>16</v>
      </c>
      <c r="G2993" s="3" t="s">
        <v>1137</v>
      </c>
      <c r="H2993" s="3"/>
      <c r="I2993" s="3"/>
    </row>
    <row r="2994" spans="1:9" s="5" customFormat="1" x14ac:dyDescent="0.35">
      <c r="A2994" s="3" t="s">
        <v>907</v>
      </c>
      <c r="B2994" s="3" t="s">
        <v>1010</v>
      </c>
      <c r="C2994" s="3" t="s">
        <v>45</v>
      </c>
      <c r="D2994" s="3" t="s">
        <v>1136</v>
      </c>
      <c r="E2994" s="3" t="s">
        <v>56</v>
      </c>
      <c r="F2994" s="3"/>
      <c r="G2994" s="3" t="s">
        <v>2318</v>
      </c>
      <c r="H2994" s="3"/>
      <c r="I2994" s="3"/>
    </row>
    <row r="2995" spans="1:9" s="5" customFormat="1" x14ac:dyDescent="0.35">
      <c r="A2995" s="3" t="s">
        <v>907</v>
      </c>
      <c r="B2995" s="3" t="s">
        <v>1010</v>
      </c>
      <c r="C2995" s="3" t="s">
        <v>45</v>
      </c>
      <c r="D2995" s="3" t="s">
        <v>1138</v>
      </c>
      <c r="E2995" s="3" t="s">
        <v>217</v>
      </c>
      <c r="F2995" s="3"/>
      <c r="G2995" s="3" t="s">
        <v>2286</v>
      </c>
      <c r="H2995" s="3"/>
      <c r="I2995" s="3"/>
    </row>
    <row r="2996" spans="1:9" s="5" customFormat="1" x14ac:dyDescent="0.35">
      <c r="A2996" s="3" t="s">
        <v>907</v>
      </c>
      <c r="B2996" s="3" t="s">
        <v>1010</v>
      </c>
      <c r="C2996" s="3" t="s">
        <v>45</v>
      </c>
      <c r="D2996" s="3" t="s">
        <v>1138</v>
      </c>
      <c r="E2996" s="3" t="s">
        <v>56</v>
      </c>
      <c r="F2996" s="3"/>
      <c r="G2996" s="3"/>
      <c r="H2996" s="3"/>
      <c r="I2996" s="3"/>
    </row>
    <row r="2997" spans="1:9" s="5" customFormat="1" x14ac:dyDescent="0.35">
      <c r="A2997" s="3" t="s">
        <v>907</v>
      </c>
      <c r="B2997" s="3" t="s">
        <v>1010</v>
      </c>
      <c r="C2997" s="3" t="s">
        <v>45</v>
      </c>
      <c r="D2997" s="3" t="s">
        <v>1138</v>
      </c>
      <c r="E2997" s="3" t="s">
        <v>224</v>
      </c>
      <c r="F2997" s="3"/>
      <c r="G2997" s="3"/>
      <c r="H2997" s="3"/>
      <c r="I2997" s="3"/>
    </row>
    <row r="2998" spans="1:9" s="5" customFormat="1" x14ac:dyDescent="0.35">
      <c r="A2998" s="3" t="s">
        <v>907</v>
      </c>
      <c r="B2998" s="3" t="s">
        <v>1010</v>
      </c>
      <c r="C2998" s="3" t="s">
        <v>20</v>
      </c>
      <c r="D2998" s="3" t="s">
        <v>2904</v>
      </c>
      <c r="E2998" s="3" t="s">
        <v>56</v>
      </c>
      <c r="F2998" s="3" t="s">
        <v>16</v>
      </c>
      <c r="G2998" s="3" t="s">
        <v>2905</v>
      </c>
      <c r="H2998" s="3"/>
      <c r="I2998" s="3"/>
    </row>
    <row r="2999" spans="1:9" s="5" customFormat="1" x14ac:dyDescent="0.35">
      <c r="A2999" s="3" t="s">
        <v>907</v>
      </c>
      <c r="B2999" s="3" t="s">
        <v>1010</v>
      </c>
      <c r="C2999" s="3" t="s">
        <v>591</v>
      </c>
      <c r="D2999" s="3" t="s">
        <v>2867</v>
      </c>
      <c r="E2999" s="3" t="s">
        <v>26</v>
      </c>
      <c r="F2999" s="3" t="s">
        <v>16</v>
      </c>
      <c r="G2999" s="3" t="s">
        <v>2871</v>
      </c>
      <c r="H2999" s="3"/>
      <c r="I2999" s="3"/>
    </row>
    <row r="3000" spans="1:9" s="5" customFormat="1" x14ac:dyDescent="0.35">
      <c r="A3000" s="3" t="s">
        <v>907</v>
      </c>
      <c r="B3000" s="3" t="s">
        <v>1010</v>
      </c>
      <c r="C3000" s="3" t="s">
        <v>20</v>
      </c>
      <c r="D3000" s="3" t="s">
        <v>1139</v>
      </c>
      <c r="E3000" s="3" t="s">
        <v>1018</v>
      </c>
      <c r="F3000" s="3"/>
      <c r="G3000" s="3"/>
      <c r="H3000" s="3"/>
      <c r="I3000" s="3"/>
    </row>
    <row r="3001" spans="1:9" s="5" customFormat="1" x14ac:dyDescent="0.35">
      <c r="A3001" s="3" t="s">
        <v>907</v>
      </c>
      <c r="B3001" s="3" t="s">
        <v>1010</v>
      </c>
      <c r="C3001" s="3" t="s">
        <v>20</v>
      </c>
      <c r="D3001" s="3" t="s">
        <v>1139</v>
      </c>
      <c r="E3001" s="3" t="s">
        <v>27</v>
      </c>
      <c r="F3001" s="3"/>
      <c r="G3001" s="3"/>
      <c r="H3001" s="3"/>
      <c r="I3001" s="3"/>
    </row>
    <row r="3002" spans="1:9" s="5" customFormat="1" x14ac:dyDescent="0.35">
      <c r="A3002" s="3" t="s">
        <v>907</v>
      </c>
      <c r="B3002" s="3" t="s">
        <v>1010</v>
      </c>
      <c r="C3002" s="3" t="s">
        <v>20</v>
      </c>
      <c r="D3002" s="3" t="s">
        <v>1139</v>
      </c>
      <c r="E3002" s="3" t="s">
        <v>77</v>
      </c>
      <c r="F3002" s="3"/>
      <c r="G3002" s="3"/>
      <c r="H3002" s="3"/>
      <c r="I3002" s="3"/>
    </row>
    <row r="3003" spans="1:9" s="5" customFormat="1" x14ac:dyDescent="0.35">
      <c r="A3003" s="3" t="s">
        <v>907</v>
      </c>
      <c r="B3003" s="3" t="s">
        <v>1010</v>
      </c>
      <c r="C3003" s="3" t="s">
        <v>20</v>
      </c>
      <c r="D3003" s="3" t="s">
        <v>1139</v>
      </c>
      <c r="E3003" s="3" t="s">
        <v>152</v>
      </c>
      <c r="F3003" s="3"/>
      <c r="G3003" s="3"/>
      <c r="H3003" s="3"/>
      <c r="I3003" s="3"/>
    </row>
    <row r="3004" spans="1:9" s="5" customFormat="1" x14ac:dyDescent="0.35">
      <c r="A3004" s="3" t="s">
        <v>907</v>
      </c>
      <c r="B3004" s="3" t="s">
        <v>1010</v>
      </c>
      <c r="C3004" s="3" t="s">
        <v>20</v>
      </c>
      <c r="D3004" s="3" t="s">
        <v>1139</v>
      </c>
      <c r="E3004" s="3" t="s">
        <v>968</v>
      </c>
      <c r="F3004" s="3"/>
      <c r="G3004" s="3"/>
      <c r="H3004" s="3"/>
      <c r="I3004" s="3"/>
    </row>
    <row r="3005" spans="1:9" s="5" customFormat="1" x14ac:dyDescent="0.35">
      <c r="A3005" s="3" t="s">
        <v>907</v>
      </c>
      <c r="B3005" s="3" t="s">
        <v>1010</v>
      </c>
      <c r="C3005" s="3" t="s">
        <v>45</v>
      </c>
      <c r="D3005" s="3" t="s">
        <v>2566</v>
      </c>
      <c r="E3005" s="3" t="s">
        <v>166</v>
      </c>
      <c r="F3005" s="3"/>
      <c r="G3005" s="3"/>
      <c r="H3005" s="3"/>
      <c r="I3005" s="3"/>
    </row>
    <row r="3006" spans="1:9" s="5" customFormat="1" x14ac:dyDescent="0.35">
      <c r="A3006" s="3" t="s">
        <v>907</v>
      </c>
      <c r="B3006" s="3" t="s">
        <v>1010</v>
      </c>
      <c r="C3006" s="3" t="s">
        <v>45</v>
      </c>
      <c r="D3006" s="3" t="s">
        <v>2566</v>
      </c>
      <c r="E3006" s="3" t="s">
        <v>1016</v>
      </c>
      <c r="F3006" s="3"/>
      <c r="G3006" s="3"/>
      <c r="H3006" s="3"/>
      <c r="I3006" s="3"/>
    </row>
    <row r="3007" spans="1:9" s="5" customFormat="1" x14ac:dyDescent="0.35">
      <c r="A3007" s="3" t="s">
        <v>907</v>
      </c>
      <c r="B3007" s="3" t="s">
        <v>1010</v>
      </c>
      <c r="C3007" s="3" t="s">
        <v>45</v>
      </c>
      <c r="D3007" s="3" t="s">
        <v>2566</v>
      </c>
      <c r="E3007" s="3" t="s">
        <v>225</v>
      </c>
      <c r="F3007" s="3"/>
      <c r="G3007" s="3"/>
      <c r="H3007" s="3"/>
      <c r="I3007" s="3"/>
    </row>
    <row r="3008" spans="1:9" s="5" customFormat="1" x14ac:dyDescent="0.35">
      <c r="A3008" s="3" t="s">
        <v>907</v>
      </c>
      <c r="B3008" s="3" t="s">
        <v>1010</v>
      </c>
      <c r="C3008" s="3" t="s">
        <v>45</v>
      </c>
      <c r="D3008" s="3" t="s">
        <v>2566</v>
      </c>
      <c r="E3008" s="3" t="s">
        <v>221</v>
      </c>
      <c r="F3008" s="3"/>
      <c r="G3008" s="3"/>
      <c r="H3008" s="3"/>
      <c r="I3008" s="3"/>
    </row>
    <row r="3009" spans="1:9" s="5" customFormat="1" x14ac:dyDescent="0.35">
      <c r="A3009" s="3" t="s">
        <v>907</v>
      </c>
      <c r="B3009" s="3" t="s">
        <v>1010</v>
      </c>
      <c r="C3009" s="3" t="s">
        <v>45</v>
      </c>
      <c r="D3009" s="3" t="s">
        <v>2566</v>
      </c>
      <c r="E3009" s="3" t="s">
        <v>222</v>
      </c>
      <c r="F3009" s="3"/>
      <c r="G3009" s="3"/>
      <c r="H3009" s="3"/>
      <c r="I3009" s="3"/>
    </row>
    <row r="3010" spans="1:9" s="5" customFormat="1" x14ac:dyDescent="0.35">
      <c r="A3010" s="3" t="s">
        <v>907</v>
      </c>
      <c r="B3010" s="3" t="s">
        <v>1010</v>
      </c>
      <c r="C3010" s="3" t="s">
        <v>45</v>
      </c>
      <c r="D3010" s="3" t="s">
        <v>2566</v>
      </c>
      <c r="E3010" s="3" t="s">
        <v>223</v>
      </c>
      <c r="F3010" s="3"/>
      <c r="G3010" s="3"/>
      <c r="H3010" s="3"/>
      <c r="I3010" s="3"/>
    </row>
    <row r="3011" spans="1:9" s="5" customFormat="1" x14ac:dyDescent="0.35">
      <c r="A3011" s="3" t="s">
        <v>907</v>
      </c>
      <c r="B3011" s="3" t="s">
        <v>1010</v>
      </c>
      <c r="C3011" s="3" t="s">
        <v>45</v>
      </c>
      <c r="D3011" s="3" t="s">
        <v>2566</v>
      </c>
      <c r="E3011" s="3" t="s">
        <v>226</v>
      </c>
      <c r="F3011" s="3"/>
      <c r="G3011" s="3"/>
      <c r="H3011" s="3"/>
      <c r="I3011" s="3"/>
    </row>
    <row r="3012" spans="1:9" s="5" customFormat="1" x14ac:dyDescent="0.35">
      <c r="A3012" s="3" t="s">
        <v>907</v>
      </c>
      <c r="B3012" s="3" t="s">
        <v>1010</v>
      </c>
      <c r="C3012" s="3" t="s">
        <v>45</v>
      </c>
      <c r="D3012" s="3" t="s">
        <v>2566</v>
      </c>
      <c r="E3012" s="3" t="s">
        <v>227</v>
      </c>
      <c r="F3012" s="3"/>
      <c r="G3012" s="3"/>
      <c r="H3012" s="3"/>
      <c r="I3012" s="3"/>
    </row>
    <row r="3013" spans="1:9" s="5" customFormat="1" x14ac:dyDescent="0.35">
      <c r="A3013" s="3" t="s">
        <v>907</v>
      </c>
      <c r="B3013" s="3" t="s">
        <v>1010</v>
      </c>
      <c r="C3013" s="3" t="s">
        <v>45</v>
      </c>
      <c r="D3013" s="3" t="s">
        <v>2566</v>
      </c>
      <c r="E3013" s="3" t="s">
        <v>228</v>
      </c>
      <c r="F3013" s="3"/>
      <c r="G3013" s="3"/>
      <c r="H3013" s="3"/>
      <c r="I3013" s="3"/>
    </row>
    <row r="3014" spans="1:9" s="5" customFormat="1" x14ac:dyDescent="0.35">
      <c r="A3014" s="3" t="s">
        <v>907</v>
      </c>
      <c r="B3014" s="3" t="s">
        <v>1010</v>
      </c>
      <c r="C3014" s="3" t="s">
        <v>45</v>
      </c>
      <c r="D3014" s="3" t="s">
        <v>2566</v>
      </c>
      <c r="E3014" s="3" t="s">
        <v>229</v>
      </c>
      <c r="F3014" s="3"/>
      <c r="G3014" s="3"/>
      <c r="H3014" s="3"/>
      <c r="I3014" s="3"/>
    </row>
    <row r="3015" spans="1:9" s="5" customFormat="1" x14ac:dyDescent="0.35">
      <c r="A3015" s="3" t="s">
        <v>907</v>
      </c>
      <c r="B3015" s="3" t="s">
        <v>1010</v>
      </c>
      <c r="C3015" s="3" t="s">
        <v>45</v>
      </c>
      <c r="D3015" s="3" t="s">
        <v>2566</v>
      </c>
      <c r="E3015" s="3" t="s">
        <v>230</v>
      </c>
      <c r="F3015" s="3"/>
      <c r="G3015" s="3"/>
      <c r="H3015" s="3"/>
      <c r="I3015" s="3"/>
    </row>
    <row r="3016" spans="1:9" s="5" customFormat="1" x14ac:dyDescent="0.35">
      <c r="A3016" s="3" t="s">
        <v>907</v>
      </c>
      <c r="B3016" s="3" t="s">
        <v>1010</v>
      </c>
      <c r="C3016" s="3" t="s">
        <v>45</v>
      </c>
      <c r="D3016" s="3" t="s">
        <v>2566</v>
      </c>
      <c r="E3016" s="3" t="s">
        <v>219</v>
      </c>
      <c r="F3016" s="3"/>
      <c r="G3016" s="3"/>
      <c r="H3016" s="3"/>
      <c r="I3016" s="3"/>
    </row>
    <row r="3017" spans="1:9" s="5" customFormat="1" x14ac:dyDescent="0.35">
      <c r="A3017" s="3" t="s">
        <v>907</v>
      </c>
      <c r="B3017" s="3" t="s">
        <v>1010</v>
      </c>
      <c r="C3017" s="3" t="s">
        <v>45</v>
      </c>
      <c r="D3017" s="3" t="s">
        <v>2566</v>
      </c>
      <c r="E3017" s="3" t="s">
        <v>372</v>
      </c>
      <c r="F3017" s="3"/>
      <c r="G3017" s="3"/>
      <c r="H3017" s="3"/>
      <c r="I3017" s="3"/>
    </row>
    <row r="3018" spans="1:9" s="5" customFormat="1" x14ac:dyDescent="0.35">
      <c r="A3018" s="3" t="s">
        <v>907</v>
      </c>
      <c r="B3018" s="3" t="s">
        <v>1010</v>
      </c>
      <c r="C3018" s="3" t="s">
        <v>45</v>
      </c>
      <c r="D3018" s="3" t="s">
        <v>2566</v>
      </c>
      <c r="E3018" s="3" t="s">
        <v>218</v>
      </c>
      <c r="F3018" s="3"/>
      <c r="G3018" s="3"/>
      <c r="H3018" s="3"/>
      <c r="I3018" s="3"/>
    </row>
    <row r="3019" spans="1:9" s="5" customFormat="1" x14ac:dyDescent="0.35">
      <c r="A3019" s="3" t="s">
        <v>907</v>
      </c>
      <c r="B3019" s="3" t="s">
        <v>1010</v>
      </c>
      <c r="C3019" s="3" t="s">
        <v>45</v>
      </c>
      <c r="D3019" s="3" t="s">
        <v>2566</v>
      </c>
      <c r="E3019" s="3" t="s">
        <v>224</v>
      </c>
      <c r="F3019" s="3"/>
      <c r="G3019" s="3"/>
      <c r="H3019" s="3"/>
      <c r="I3019" s="3"/>
    </row>
    <row r="3020" spans="1:9" s="5" customFormat="1" x14ac:dyDescent="0.35">
      <c r="A3020" s="3" t="s">
        <v>907</v>
      </c>
      <c r="B3020" s="3" t="s">
        <v>1010</v>
      </c>
      <c r="C3020" s="3" t="s">
        <v>45</v>
      </c>
      <c r="D3020" s="3" t="s">
        <v>1140</v>
      </c>
      <c r="E3020" s="3" t="s">
        <v>217</v>
      </c>
      <c r="F3020" s="3"/>
      <c r="G3020" s="3"/>
      <c r="H3020" s="3"/>
      <c r="I3020" s="3"/>
    </row>
    <row r="3021" spans="1:9" s="5" customFormat="1" x14ac:dyDescent="0.35">
      <c r="A3021" s="3" t="s">
        <v>907</v>
      </c>
      <c r="B3021" s="3" t="s">
        <v>1010</v>
      </c>
      <c r="C3021" s="3" t="s">
        <v>45</v>
      </c>
      <c r="D3021" s="3" t="s">
        <v>1140</v>
      </c>
      <c r="E3021" s="3" t="s">
        <v>71</v>
      </c>
      <c r="F3021" s="3"/>
      <c r="G3021" s="3"/>
      <c r="H3021" s="3"/>
      <c r="I3021" s="3"/>
    </row>
    <row r="3022" spans="1:9" s="5" customFormat="1" x14ac:dyDescent="0.35">
      <c r="A3022" s="3" t="s">
        <v>907</v>
      </c>
      <c r="B3022" s="3" t="s">
        <v>1010</v>
      </c>
      <c r="C3022" s="3" t="s">
        <v>45</v>
      </c>
      <c r="D3022" s="3" t="s">
        <v>1140</v>
      </c>
      <c r="E3022" s="3" t="s">
        <v>221</v>
      </c>
      <c r="F3022" s="3"/>
      <c r="G3022" s="3"/>
      <c r="H3022" s="3"/>
      <c r="I3022" s="3"/>
    </row>
    <row r="3023" spans="1:9" s="5" customFormat="1" x14ac:dyDescent="0.35">
      <c r="A3023" s="3" t="s">
        <v>907</v>
      </c>
      <c r="B3023" s="3" t="s">
        <v>1010</v>
      </c>
      <c r="C3023" s="3" t="s">
        <v>45</v>
      </c>
      <c r="D3023" s="3" t="s">
        <v>1140</v>
      </c>
      <c r="E3023" s="3" t="s">
        <v>230</v>
      </c>
      <c r="F3023" s="3"/>
      <c r="G3023" s="3"/>
      <c r="H3023" s="3"/>
      <c r="I3023" s="3"/>
    </row>
    <row r="3024" spans="1:9" s="5" customFormat="1" x14ac:dyDescent="0.35">
      <c r="A3024" s="3" t="s">
        <v>907</v>
      </c>
      <c r="B3024" s="3" t="s">
        <v>1010</v>
      </c>
      <c r="C3024" s="3" t="s">
        <v>45</v>
      </c>
      <c r="D3024" s="3" t="s">
        <v>1140</v>
      </c>
      <c r="E3024" s="3" t="s">
        <v>1141</v>
      </c>
      <c r="F3024" s="3"/>
      <c r="G3024" s="3"/>
      <c r="H3024" s="3"/>
      <c r="I3024" s="3"/>
    </row>
    <row r="3025" spans="1:9" s="5" customFormat="1" x14ac:dyDescent="0.35">
      <c r="A3025" s="3" t="s">
        <v>907</v>
      </c>
      <c r="B3025" s="3" t="s">
        <v>1010</v>
      </c>
      <c r="C3025" s="3" t="s">
        <v>45</v>
      </c>
      <c r="D3025" s="3" t="s">
        <v>1140</v>
      </c>
      <c r="E3025" s="3" t="s">
        <v>224</v>
      </c>
      <c r="F3025" s="3"/>
      <c r="G3025" s="3"/>
      <c r="H3025" s="3"/>
      <c r="I3025" s="3"/>
    </row>
    <row r="3026" spans="1:9" s="5" customFormat="1" x14ac:dyDescent="0.35">
      <c r="A3026" s="3" t="s">
        <v>907</v>
      </c>
      <c r="B3026" s="3" t="s">
        <v>1010</v>
      </c>
      <c r="C3026" s="3" t="s">
        <v>45</v>
      </c>
      <c r="D3026" s="3" t="s">
        <v>1142</v>
      </c>
      <c r="E3026" s="3" t="s">
        <v>77</v>
      </c>
      <c r="F3026" s="3"/>
      <c r="G3026" s="3"/>
      <c r="H3026" s="3"/>
      <c r="I3026" s="3"/>
    </row>
    <row r="3027" spans="1:9" s="5" customFormat="1" x14ac:dyDescent="0.35">
      <c r="A3027" s="3" t="s">
        <v>907</v>
      </c>
      <c r="B3027" s="3" t="s">
        <v>1010</v>
      </c>
      <c r="C3027" s="3" t="s">
        <v>45</v>
      </c>
      <c r="D3027" s="3" t="s">
        <v>1143</v>
      </c>
      <c r="E3027" s="3" t="s">
        <v>166</v>
      </c>
      <c r="F3027" s="3"/>
      <c r="G3027" s="3"/>
      <c r="H3027" s="3"/>
      <c r="I3027" s="3"/>
    </row>
    <row r="3028" spans="1:9" s="5" customFormat="1" x14ac:dyDescent="0.35">
      <c r="A3028" s="3" t="s">
        <v>907</v>
      </c>
      <c r="B3028" s="3" t="s">
        <v>1010</v>
      </c>
      <c r="C3028" s="3" t="s">
        <v>45</v>
      </c>
      <c r="D3028" s="3" t="s">
        <v>1143</v>
      </c>
      <c r="E3028" s="3" t="s">
        <v>47</v>
      </c>
      <c r="F3028" s="3" t="s">
        <v>16</v>
      </c>
      <c r="G3028" s="3" t="s">
        <v>2568</v>
      </c>
      <c r="H3028" s="3"/>
      <c r="I3028" s="3"/>
    </row>
    <row r="3029" spans="1:9" s="5" customFormat="1" x14ac:dyDescent="0.35">
      <c r="A3029" s="3" t="s">
        <v>907</v>
      </c>
      <c r="B3029" s="3" t="s">
        <v>1010</v>
      </c>
      <c r="C3029" s="3" t="s">
        <v>45</v>
      </c>
      <c r="D3029" s="3" t="s">
        <v>1143</v>
      </c>
      <c r="E3029" s="3" t="s">
        <v>1016</v>
      </c>
      <c r="F3029" s="3"/>
      <c r="G3029" s="3"/>
      <c r="H3029" s="3"/>
      <c r="I3029" s="3"/>
    </row>
    <row r="3030" spans="1:9" s="5" customFormat="1" x14ac:dyDescent="0.35">
      <c r="A3030" s="3" t="s">
        <v>907</v>
      </c>
      <c r="B3030" s="3" t="s">
        <v>1010</v>
      </c>
      <c r="C3030" s="3" t="s">
        <v>45</v>
      </c>
      <c r="D3030" s="3" t="s">
        <v>1143</v>
      </c>
      <c r="E3030" s="3" t="s">
        <v>225</v>
      </c>
      <c r="F3030" s="3"/>
      <c r="G3030" s="3"/>
      <c r="H3030" s="3"/>
      <c r="I3030" s="3"/>
    </row>
    <row r="3031" spans="1:9" s="5" customFormat="1" x14ac:dyDescent="0.35">
      <c r="A3031" s="3" t="s">
        <v>907</v>
      </c>
      <c r="B3031" s="3" t="s">
        <v>1010</v>
      </c>
      <c r="C3031" s="3" t="s">
        <v>45</v>
      </c>
      <c r="D3031" s="3" t="s">
        <v>1143</v>
      </c>
      <c r="E3031" s="3" t="s">
        <v>221</v>
      </c>
      <c r="F3031" s="3"/>
      <c r="G3031" s="3"/>
      <c r="H3031" s="3"/>
      <c r="I3031" s="3"/>
    </row>
    <row r="3032" spans="1:9" s="5" customFormat="1" x14ac:dyDescent="0.35">
      <c r="A3032" s="3" t="s">
        <v>907</v>
      </c>
      <c r="B3032" s="3" t="s">
        <v>1010</v>
      </c>
      <c r="C3032" s="3" t="s">
        <v>45</v>
      </c>
      <c r="D3032" s="3" t="s">
        <v>1143</v>
      </c>
      <c r="E3032" s="3" t="s">
        <v>222</v>
      </c>
      <c r="F3032" s="3"/>
      <c r="G3032" s="3"/>
      <c r="H3032" s="3"/>
      <c r="I3032" s="3"/>
    </row>
    <row r="3033" spans="1:9" s="5" customFormat="1" x14ac:dyDescent="0.35">
      <c r="A3033" s="3" t="s">
        <v>907</v>
      </c>
      <c r="B3033" s="3" t="s">
        <v>1010</v>
      </c>
      <c r="C3033" s="3" t="s">
        <v>45</v>
      </c>
      <c r="D3033" s="3" t="s">
        <v>1143</v>
      </c>
      <c r="E3033" s="3" t="s">
        <v>223</v>
      </c>
      <c r="F3033" s="3"/>
      <c r="G3033" s="3"/>
      <c r="H3033" s="3"/>
      <c r="I3033" s="3"/>
    </row>
    <row r="3034" spans="1:9" s="5" customFormat="1" x14ac:dyDescent="0.35">
      <c r="A3034" s="3" t="s">
        <v>907</v>
      </c>
      <c r="B3034" s="3" t="s">
        <v>1010</v>
      </c>
      <c r="C3034" s="3" t="s">
        <v>45</v>
      </c>
      <c r="D3034" s="3" t="s">
        <v>1143</v>
      </c>
      <c r="E3034" s="3" t="s">
        <v>242</v>
      </c>
      <c r="F3034" s="3"/>
      <c r="G3034" s="3"/>
      <c r="H3034" s="3"/>
      <c r="I3034" s="3"/>
    </row>
    <row r="3035" spans="1:9" s="5" customFormat="1" x14ac:dyDescent="0.35">
      <c r="A3035" s="3" t="s">
        <v>907</v>
      </c>
      <c r="B3035" s="3" t="s">
        <v>1010</v>
      </c>
      <c r="C3035" s="3" t="s">
        <v>45</v>
      </c>
      <c r="D3035" s="3" t="s">
        <v>1143</v>
      </c>
      <c r="E3035" s="3" t="s">
        <v>15</v>
      </c>
      <c r="F3035" s="3" t="s">
        <v>16</v>
      </c>
      <c r="G3035" s="3" t="s">
        <v>990</v>
      </c>
      <c r="H3035" s="3"/>
      <c r="I3035" s="3"/>
    </row>
    <row r="3036" spans="1:9" s="5" customFormat="1" x14ac:dyDescent="0.35">
      <c r="A3036" s="3" t="s">
        <v>907</v>
      </c>
      <c r="B3036" s="3" t="s">
        <v>1010</v>
      </c>
      <c r="C3036" s="3" t="s">
        <v>45</v>
      </c>
      <c r="D3036" s="3" t="s">
        <v>1143</v>
      </c>
      <c r="E3036" s="3" t="s">
        <v>57</v>
      </c>
      <c r="F3036" s="3"/>
      <c r="G3036" s="3"/>
      <c r="H3036" s="3"/>
      <c r="I3036" s="3"/>
    </row>
    <row r="3037" spans="1:9" s="5" customFormat="1" x14ac:dyDescent="0.35">
      <c r="A3037" s="3" t="s">
        <v>907</v>
      </c>
      <c r="B3037" s="3" t="s">
        <v>1010</v>
      </c>
      <c r="C3037" s="3" t="s">
        <v>45</v>
      </c>
      <c r="D3037" s="3" t="s">
        <v>1143</v>
      </c>
      <c r="E3037" s="3" t="s">
        <v>226</v>
      </c>
      <c r="F3037" s="3"/>
      <c r="G3037" s="3"/>
      <c r="H3037" s="3"/>
      <c r="I3037" s="3"/>
    </row>
    <row r="3038" spans="1:9" s="5" customFormat="1" x14ac:dyDescent="0.35">
      <c r="A3038" s="3" t="s">
        <v>907</v>
      </c>
      <c r="B3038" s="3" t="s">
        <v>1010</v>
      </c>
      <c r="C3038" s="3" t="s">
        <v>45</v>
      </c>
      <c r="D3038" s="3" t="s">
        <v>1143</v>
      </c>
      <c r="E3038" s="3" t="s">
        <v>227</v>
      </c>
      <c r="F3038" s="3"/>
      <c r="G3038" s="3"/>
      <c r="H3038" s="3"/>
      <c r="I3038" s="3"/>
    </row>
    <row r="3039" spans="1:9" s="5" customFormat="1" x14ac:dyDescent="0.35">
      <c r="A3039" s="3" t="s">
        <v>907</v>
      </c>
      <c r="B3039" s="3" t="s">
        <v>1010</v>
      </c>
      <c r="C3039" s="3" t="s">
        <v>45</v>
      </c>
      <c r="D3039" s="3" t="s">
        <v>1143</v>
      </c>
      <c r="E3039" s="3" t="s">
        <v>228</v>
      </c>
      <c r="F3039" s="3"/>
      <c r="G3039" s="3"/>
      <c r="H3039" s="3"/>
      <c r="I3039" s="3"/>
    </row>
    <row r="3040" spans="1:9" s="5" customFormat="1" x14ac:dyDescent="0.35">
      <c r="A3040" s="3" t="s">
        <v>907</v>
      </c>
      <c r="B3040" s="3" t="s">
        <v>1010</v>
      </c>
      <c r="C3040" s="3" t="s">
        <v>45</v>
      </c>
      <c r="D3040" s="3" t="s">
        <v>1143</v>
      </c>
      <c r="E3040" s="3" t="s">
        <v>229</v>
      </c>
      <c r="F3040" s="3"/>
      <c r="G3040" s="3"/>
      <c r="H3040" s="3"/>
      <c r="I3040" s="3"/>
    </row>
    <row r="3041" spans="1:9" s="5" customFormat="1" x14ac:dyDescent="0.35">
      <c r="A3041" s="3" t="s">
        <v>907</v>
      </c>
      <c r="B3041" s="3" t="s">
        <v>1010</v>
      </c>
      <c r="C3041" s="3" t="s">
        <v>45</v>
      </c>
      <c r="D3041" s="3" t="s">
        <v>1143</v>
      </c>
      <c r="E3041" s="3" t="s">
        <v>230</v>
      </c>
      <c r="F3041" s="3"/>
      <c r="G3041" s="3"/>
      <c r="H3041" s="3"/>
      <c r="I3041" s="3"/>
    </row>
    <row r="3042" spans="1:9" s="5" customFormat="1" x14ac:dyDescent="0.35">
      <c r="A3042" s="3" t="s">
        <v>907</v>
      </c>
      <c r="B3042" s="3" t="s">
        <v>1010</v>
      </c>
      <c r="C3042" s="3" t="s">
        <v>45</v>
      </c>
      <c r="D3042" s="3" t="s">
        <v>1143</v>
      </c>
      <c r="E3042" s="3" t="s">
        <v>219</v>
      </c>
      <c r="F3042" s="3"/>
      <c r="G3042" s="3"/>
      <c r="H3042" s="3"/>
      <c r="I3042" s="3"/>
    </row>
    <row r="3043" spans="1:9" s="5" customFormat="1" x14ac:dyDescent="0.35">
      <c r="A3043" s="3" t="s">
        <v>907</v>
      </c>
      <c r="B3043" s="3" t="s">
        <v>1010</v>
      </c>
      <c r="C3043" s="3" t="s">
        <v>45</v>
      </c>
      <c r="D3043" s="3" t="s">
        <v>1143</v>
      </c>
      <c r="E3043" s="3" t="s">
        <v>134</v>
      </c>
      <c r="F3043" s="3" t="s">
        <v>16</v>
      </c>
      <c r="G3043" s="3" t="s">
        <v>2567</v>
      </c>
      <c r="H3043" s="3"/>
      <c r="I3043" s="3"/>
    </row>
    <row r="3044" spans="1:9" s="5" customFormat="1" x14ac:dyDescent="0.35">
      <c r="A3044" s="3" t="s">
        <v>907</v>
      </c>
      <c r="B3044" s="3" t="s">
        <v>1010</v>
      </c>
      <c r="C3044" s="3" t="s">
        <v>45</v>
      </c>
      <c r="D3044" s="3" t="s">
        <v>1143</v>
      </c>
      <c r="E3044" s="3" t="s">
        <v>107</v>
      </c>
      <c r="F3044" s="3"/>
      <c r="G3044" s="3"/>
      <c r="H3044" s="3"/>
      <c r="I3044" s="3"/>
    </row>
    <row r="3045" spans="1:9" s="5" customFormat="1" x14ac:dyDescent="0.35">
      <c r="A3045" s="3" t="s">
        <v>907</v>
      </c>
      <c r="B3045" s="3" t="s">
        <v>1010</v>
      </c>
      <c r="C3045" s="3" t="s">
        <v>45</v>
      </c>
      <c r="D3045" s="3" t="s">
        <v>1143</v>
      </c>
      <c r="E3045" s="3" t="s">
        <v>372</v>
      </c>
      <c r="F3045" s="3"/>
      <c r="G3045" s="3"/>
      <c r="H3045" s="3"/>
      <c r="I3045" s="3"/>
    </row>
    <row r="3046" spans="1:9" s="5" customFormat="1" x14ac:dyDescent="0.35">
      <c r="A3046" s="3" t="s">
        <v>907</v>
      </c>
      <c r="B3046" s="3" t="s">
        <v>1010</v>
      </c>
      <c r="C3046" s="3" t="s">
        <v>45</v>
      </c>
      <c r="D3046" s="3" t="s">
        <v>1143</v>
      </c>
      <c r="E3046" s="3" t="s">
        <v>218</v>
      </c>
      <c r="F3046" s="3"/>
      <c r="G3046" s="3"/>
      <c r="H3046" s="3"/>
      <c r="I3046" s="3"/>
    </row>
    <row r="3047" spans="1:9" s="5" customFormat="1" x14ac:dyDescent="0.35">
      <c r="A3047" s="3" t="s">
        <v>907</v>
      </c>
      <c r="B3047" s="3" t="s">
        <v>1010</v>
      </c>
      <c r="C3047" s="3" t="s">
        <v>45</v>
      </c>
      <c r="D3047" s="3" t="s">
        <v>1143</v>
      </c>
      <c r="E3047" s="3" t="s">
        <v>224</v>
      </c>
      <c r="F3047" s="3"/>
      <c r="G3047" s="3"/>
      <c r="H3047" s="3"/>
      <c r="I3047" s="3"/>
    </row>
    <row r="3048" spans="1:9" s="5" customFormat="1" x14ac:dyDescent="0.35">
      <c r="A3048" s="3" t="s">
        <v>907</v>
      </c>
      <c r="B3048" s="3" t="s">
        <v>1010</v>
      </c>
      <c r="C3048" s="3" t="s">
        <v>45</v>
      </c>
      <c r="D3048" s="3" t="s">
        <v>1144</v>
      </c>
      <c r="E3048" s="3" t="s">
        <v>166</v>
      </c>
      <c r="F3048" s="3" t="s">
        <v>33</v>
      </c>
      <c r="G3048" s="3" t="s">
        <v>1015</v>
      </c>
      <c r="H3048" s="3"/>
      <c r="I3048" s="3"/>
    </row>
    <row r="3049" spans="1:9" s="5" customFormat="1" x14ac:dyDescent="0.35">
      <c r="A3049" s="3" t="s">
        <v>907</v>
      </c>
      <c r="B3049" s="3" t="s">
        <v>1010</v>
      </c>
      <c r="C3049" s="3" t="s">
        <v>45</v>
      </c>
      <c r="D3049" s="3" t="s">
        <v>1144</v>
      </c>
      <c r="E3049" s="3" t="s">
        <v>1016</v>
      </c>
      <c r="F3049" s="3" t="s">
        <v>33</v>
      </c>
      <c r="G3049" s="3" t="s">
        <v>1015</v>
      </c>
      <c r="H3049" s="3"/>
      <c r="I3049" s="3"/>
    </row>
    <row r="3050" spans="1:9" s="5" customFormat="1" x14ac:dyDescent="0.35">
      <c r="A3050" s="3" t="s">
        <v>907</v>
      </c>
      <c r="B3050" s="3" t="s">
        <v>1010</v>
      </c>
      <c r="C3050" s="3" t="s">
        <v>45</v>
      </c>
      <c r="D3050" s="3" t="s">
        <v>1144</v>
      </c>
      <c r="E3050" s="3" t="s">
        <v>225</v>
      </c>
      <c r="F3050" s="3" t="s">
        <v>33</v>
      </c>
      <c r="G3050" s="3" t="s">
        <v>1015</v>
      </c>
      <c r="H3050" s="3"/>
      <c r="I3050" s="3"/>
    </row>
    <row r="3051" spans="1:9" s="5" customFormat="1" x14ac:dyDescent="0.35">
      <c r="A3051" s="3" t="s">
        <v>907</v>
      </c>
      <c r="B3051" s="3" t="s">
        <v>1010</v>
      </c>
      <c r="C3051" s="3" t="s">
        <v>45</v>
      </c>
      <c r="D3051" s="3" t="s">
        <v>1144</v>
      </c>
      <c r="E3051" s="3" t="s">
        <v>221</v>
      </c>
      <c r="F3051" s="3" t="s">
        <v>33</v>
      </c>
      <c r="G3051" s="3" t="s">
        <v>1015</v>
      </c>
      <c r="H3051" s="3"/>
      <c r="I3051" s="3"/>
    </row>
    <row r="3052" spans="1:9" s="5" customFormat="1" x14ac:dyDescent="0.35">
      <c r="A3052" s="3" t="s">
        <v>907</v>
      </c>
      <c r="B3052" s="3" t="s">
        <v>1010</v>
      </c>
      <c r="C3052" s="3" t="s">
        <v>45</v>
      </c>
      <c r="D3052" s="3" t="s">
        <v>1144</v>
      </c>
      <c r="E3052" s="3" t="s">
        <v>222</v>
      </c>
      <c r="F3052" s="3" t="s">
        <v>33</v>
      </c>
      <c r="G3052" s="3" t="s">
        <v>1015</v>
      </c>
      <c r="H3052" s="3"/>
      <c r="I3052" s="3"/>
    </row>
    <row r="3053" spans="1:9" s="5" customFormat="1" x14ac:dyDescent="0.35">
      <c r="A3053" s="3" t="s">
        <v>907</v>
      </c>
      <c r="B3053" s="3" t="s">
        <v>1010</v>
      </c>
      <c r="C3053" s="3" t="s">
        <v>45</v>
      </c>
      <c r="D3053" s="3" t="s">
        <v>1144</v>
      </c>
      <c r="E3053" s="3" t="s">
        <v>223</v>
      </c>
      <c r="F3053" s="3" t="s">
        <v>33</v>
      </c>
      <c r="G3053" s="3" t="s">
        <v>1015</v>
      </c>
      <c r="H3053" s="3"/>
      <c r="I3053" s="3"/>
    </row>
    <row r="3054" spans="1:9" s="5" customFormat="1" x14ac:dyDescent="0.35">
      <c r="A3054" s="3" t="s">
        <v>907</v>
      </c>
      <c r="B3054" s="3" t="s">
        <v>1010</v>
      </c>
      <c r="C3054" s="3" t="s">
        <v>45</v>
      </c>
      <c r="D3054" s="3" t="s">
        <v>1144</v>
      </c>
      <c r="E3054" s="3" t="s">
        <v>226</v>
      </c>
      <c r="F3054" s="3" t="s">
        <v>33</v>
      </c>
      <c r="G3054" s="3" t="s">
        <v>1015</v>
      </c>
      <c r="H3054" s="3"/>
      <c r="I3054" s="3"/>
    </row>
    <row r="3055" spans="1:9" s="5" customFormat="1" x14ac:dyDescent="0.35">
      <c r="A3055" s="3" t="s">
        <v>907</v>
      </c>
      <c r="B3055" s="3" t="s">
        <v>1010</v>
      </c>
      <c r="C3055" s="3" t="s">
        <v>45</v>
      </c>
      <c r="D3055" s="3" t="s">
        <v>1144</v>
      </c>
      <c r="E3055" s="3" t="s">
        <v>227</v>
      </c>
      <c r="F3055" s="3" t="s">
        <v>33</v>
      </c>
      <c r="G3055" s="3" t="s">
        <v>1015</v>
      </c>
      <c r="H3055" s="3"/>
      <c r="I3055" s="3"/>
    </row>
    <row r="3056" spans="1:9" s="5" customFormat="1" x14ac:dyDescent="0.35">
      <c r="A3056" s="3" t="s">
        <v>907</v>
      </c>
      <c r="B3056" s="3" t="s">
        <v>1010</v>
      </c>
      <c r="C3056" s="3" t="s">
        <v>45</v>
      </c>
      <c r="D3056" s="3" t="s">
        <v>1144</v>
      </c>
      <c r="E3056" s="3" t="s">
        <v>228</v>
      </c>
      <c r="F3056" s="3" t="s">
        <v>33</v>
      </c>
      <c r="G3056" s="3" t="s">
        <v>1015</v>
      </c>
      <c r="H3056" s="3"/>
      <c r="I3056" s="3"/>
    </row>
    <row r="3057" spans="1:9" s="5" customFormat="1" x14ac:dyDescent="0.35">
      <c r="A3057" s="3" t="s">
        <v>907</v>
      </c>
      <c r="B3057" s="3" t="s">
        <v>1010</v>
      </c>
      <c r="C3057" s="3" t="s">
        <v>45</v>
      </c>
      <c r="D3057" s="3" t="s">
        <v>1144</v>
      </c>
      <c r="E3057" s="3" t="s">
        <v>229</v>
      </c>
      <c r="F3057" s="3" t="s">
        <v>33</v>
      </c>
      <c r="G3057" s="3" t="s">
        <v>1015</v>
      </c>
      <c r="H3057" s="3"/>
      <c r="I3057" s="3"/>
    </row>
    <row r="3058" spans="1:9" s="5" customFormat="1" x14ac:dyDescent="0.35">
      <c r="A3058" s="3" t="s">
        <v>907</v>
      </c>
      <c r="B3058" s="3" t="s">
        <v>1010</v>
      </c>
      <c r="C3058" s="3" t="s">
        <v>45</v>
      </c>
      <c r="D3058" s="3" t="s">
        <v>1144</v>
      </c>
      <c r="E3058" s="3" t="s">
        <v>230</v>
      </c>
      <c r="F3058" s="3" t="s">
        <v>33</v>
      </c>
      <c r="G3058" s="3" t="s">
        <v>1015</v>
      </c>
      <c r="H3058" s="3"/>
      <c r="I3058" s="3"/>
    </row>
    <row r="3059" spans="1:9" s="5" customFormat="1" x14ac:dyDescent="0.35">
      <c r="A3059" s="3" t="s">
        <v>907</v>
      </c>
      <c r="B3059" s="3" t="s">
        <v>1010</v>
      </c>
      <c r="C3059" s="3" t="s">
        <v>45</v>
      </c>
      <c r="D3059" s="3" t="s">
        <v>1144</v>
      </c>
      <c r="E3059" s="3" t="s">
        <v>372</v>
      </c>
      <c r="F3059" s="3" t="s">
        <v>33</v>
      </c>
      <c r="G3059" s="3" t="s">
        <v>1015</v>
      </c>
      <c r="H3059" s="3"/>
      <c r="I3059" s="3"/>
    </row>
    <row r="3060" spans="1:9" s="5" customFormat="1" x14ac:dyDescent="0.35">
      <c r="A3060" s="3" t="s">
        <v>907</v>
      </c>
      <c r="B3060" s="3" t="s">
        <v>1010</v>
      </c>
      <c r="C3060" s="3" t="s">
        <v>45</v>
      </c>
      <c r="D3060" s="3" t="s">
        <v>1144</v>
      </c>
      <c r="E3060" s="3" t="s">
        <v>218</v>
      </c>
      <c r="F3060" s="3" t="s">
        <v>33</v>
      </c>
      <c r="G3060" s="3" t="s">
        <v>1015</v>
      </c>
      <c r="H3060" s="3"/>
      <c r="I3060" s="3"/>
    </row>
    <row r="3061" spans="1:9" s="5" customFormat="1" x14ac:dyDescent="0.35">
      <c r="A3061" s="3" t="s">
        <v>907</v>
      </c>
      <c r="B3061" s="3" t="s">
        <v>1010</v>
      </c>
      <c r="C3061" s="3" t="s">
        <v>45</v>
      </c>
      <c r="D3061" s="3" t="s">
        <v>1144</v>
      </c>
      <c r="E3061" s="3" t="s">
        <v>224</v>
      </c>
      <c r="F3061" s="3" t="s">
        <v>33</v>
      </c>
      <c r="G3061" s="3" t="s">
        <v>1015</v>
      </c>
      <c r="H3061" s="3"/>
      <c r="I3061" s="3"/>
    </row>
    <row r="3062" spans="1:9" s="5" customFormat="1" x14ac:dyDescent="0.35">
      <c r="A3062" s="3" t="s">
        <v>907</v>
      </c>
      <c r="B3062" s="3" t="s">
        <v>1010</v>
      </c>
      <c r="C3062" s="3" t="s">
        <v>45</v>
      </c>
      <c r="D3062" s="3" t="s">
        <v>2836</v>
      </c>
      <c r="E3062" s="3" t="s">
        <v>166</v>
      </c>
      <c r="F3062" s="3"/>
      <c r="G3062" s="3"/>
      <c r="H3062" s="3"/>
      <c r="I3062" s="3"/>
    </row>
    <row r="3063" spans="1:9" s="5" customFormat="1" x14ac:dyDescent="0.35">
      <c r="A3063" s="3" t="s">
        <v>907</v>
      </c>
      <c r="B3063" s="3" t="s">
        <v>1010</v>
      </c>
      <c r="C3063" s="3" t="s">
        <v>45</v>
      </c>
      <c r="D3063" s="3" t="s">
        <v>2836</v>
      </c>
      <c r="E3063" s="3" t="s">
        <v>1016</v>
      </c>
      <c r="F3063" s="3"/>
      <c r="G3063" s="3"/>
      <c r="H3063" s="3"/>
      <c r="I3063" s="3"/>
    </row>
    <row r="3064" spans="1:9" s="5" customFormat="1" x14ac:dyDescent="0.35">
      <c r="A3064" s="3" t="s">
        <v>907</v>
      </c>
      <c r="B3064" s="3" t="s">
        <v>1010</v>
      </c>
      <c r="C3064" s="3" t="s">
        <v>45</v>
      </c>
      <c r="D3064" s="3" t="s">
        <v>2836</v>
      </c>
      <c r="E3064" s="3" t="s">
        <v>225</v>
      </c>
      <c r="F3064" s="3"/>
      <c r="G3064" s="3"/>
      <c r="H3064" s="3"/>
      <c r="I3064" s="3"/>
    </row>
    <row r="3065" spans="1:9" s="5" customFormat="1" x14ac:dyDescent="0.35">
      <c r="A3065" s="3" t="s">
        <v>907</v>
      </c>
      <c r="B3065" s="3" t="s">
        <v>1010</v>
      </c>
      <c r="C3065" s="3" t="s">
        <v>45</v>
      </c>
      <c r="D3065" s="3" t="s">
        <v>2836</v>
      </c>
      <c r="E3065" s="3" t="s">
        <v>221</v>
      </c>
      <c r="F3065" s="3"/>
      <c r="G3065" s="3"/>
      <c r="H3065" s="3"/>
      <c r="I3065" s="3"/>
    </row>
    <row r="3066" spans="1:9" s="5" customFormat="1" x14ac:dyDescent="0.35">
      <c r="A3066" s="3" t="s">
        <v>907</v>
      </c>
      <c r="B3066" s="3" t="s">
        <v>1010</v>
      </c>
      <c r="C3066" s="3" t="s">
        <v>45</v>
      </c>
      <c r="D3066" s="3" t="s">
        <v>2836</v>
      </c>
      <c r="E3066" s="3" t="s">
        <v>222</v>
      </c>
      <c r="F3066" s="3"/>
      <c r="G3066" s="3"/>
      <c r="H3066" s="3"/>
      <c r="I3066" s="3"/>
    </row>
    <row r="3067" spans="1:9" s="5" customFormat="1" x14ac:dyDescent="0.35">
      <c r="A3067" s="3" t="s">
        <v>907</v>
      </c>
      <c r="B3067" s="3" t="s">
        <v>1010</v>
      </c>
      <c r="C3067" s="3" t="s">
        <v>45</v>
      </c>
      <c r="D3067" s="3" t="s">
        <v>2836</v>
      </c>
      <c r="E3067" s="3" t="s">
        <v>223</v>
      </c>
      <c r="F3067" s="3"/>
      <c r="G3067" s="3"/>
      <c r="H3067" s="3"/>
      <c r="I3067" s="3"/>
    </row>
    <row r="3068" spans="1:9" s="5" customFormat="1" x14ac:dyDescent="0.35">
      <c r="A3068" s="3" t="s">
        <v>907</v>
      </c>
      <c r="B3068" s="3" t="s">
        <v>1010</v>
      </c>
      <c r="C3068" s="3" t="s">
        <v>45</v>
      </c>
      <c r="D3068" s="3" t="s">
        <v>2836</v>
      </c>
      <c r="E3068" s="3" t="s">
        <v>226</v>
      </c>
      <c r="F3068" s="3"/>
      <c r="G3068" s="3"/>
      <c r="H3068" s="3"/>
      <c r="I3068" s="3"/>
    </row>
    <row r="3069" spans="1:9" s="5" customFormat="1" x14ac:dyDescent="0.35">
      <c r="A3069" s="3" t="s">
        <v>907</v>
      </c>
      <c r="B3069" s="3" t="s">
        <v>1010</v>
      </c>
      <c r="C3069" s="3" t="s">
        <v>45</v>
      </c>
      <c r="D3069" s="3" t="s">
        <v>2836</v>
      </c>
      <c r="E3069" s="3" t="s">
        <v>227</v>
      </c>
      <c r="F3069" s="3"/>
      <c r="G3069" s="3"/>
      <c r="H3069" s="3"/>
      <c r="I3069" s="3"/>
    </row>
    <row r="3070" spans="1:9" s="5" customFormat="1" x14ac:dyDescent="0.35">
      <c r="A3070" s="3" t="s">
        <v>907</v>
      </c>
      <c r="B3070" s="3" t="s">
        <v>1010</v>
      </c>
      <c r="C3070" s="3" t="s">
        <v>45</v>
      </c>
      <c r="D3070" s="3" t="s">
        <v>2836</v>
      </c>
      <c r="E3070" s="3" t="s">
        <v>228</v>
      </c>
      <c r="F3070" s="3"/>
      <c r="G3070" s="3"/>
      <c r="H3070" s="3"/>
      <c r="I3070" s="3"/>
    </row>
    <row r="3071" spans="1:9" s="5" customFormat="1" x14ac:dyDescent="0.35">
      <c r="A3071" s="3" t="s">
        <v>907</v>
      </c>
      <c r="B3071" s="3" t="s">
        <v>1010</v>
      </c>
      <c r="C3071" s="3" t="s">
        <v>45</v>
      </c>
      <c r="D3071" s="3" t="s">
        <v>2836</v>
      </c>
      <c r="E3071" s="3" t="s">
        <v>229</v>
      </c>
      <c r="F3071" s="3"/>
      <c r="G3071" s="3"/>
      <c r="H3071" s="3"/>
      <c r="I3071" s="3"/>
    </row>
    <row r="3072" spans="1:9" s="5" customFormat="1" x14ac:dyDescent="0.35">
      <c r="A3072" s="3" t="s">
        <v>907</v>
      </c>
      <c r="B3072" s="3" t="s">
        <v>1010</v>
      </c>
      <c r="C3072" s="3" t="s">
        <v>45</v>
      </c>
      <c r="D3072" s="3" t="s">
        <v>2836</v>
      </c>
      <c r="E3072" s="3" t="s">
        <v>230</v>
      </c>
      <c r="F3072" s="3"/>
      <c r="G3072" s="3"/>
      <c r="H3072" s="3"/>
      <c r="I3072" s="3"/>
    </row>
    <row r="3073" spans="1:9" s="5" customFormat="1" x14ac:dyDescent="0.35">
      <c r="A3073" s="3" t="s">
        <v>907</v>
      </c>
      <c r="B3073" s="3" t="s">
        <v>1010</v>
      </c>
      <c r="C3073" s="3" t="s">
        <v>45</v>
      </c>
      <c r="D3073" s="3" t="s">
        <v>2836</v>
      </c>
      <c r="E3073" s="3" t="s">
        <v>219</v>
      </c>
      <c r="F3073" s="3"/>
      <c r="G3073" s="3"/>
      <c r="H3073" s="3"/>
      <c r="I3073" s="3"/>
    </row>
    <row r="3074" spans="1:9" s="5" customFormat="1" x14ac:dyDescent="0.35">
      <c r="A3074" s="3" t="s">
        <v>907</v>
      </c>
      <c r="B3074" s="3" t="s">
        <v>1010</v>
      </c>
      <c r="C3074" s="3" t="s">
        <v>45</v>
      </c>
      <c r="D3074" s="3" t="s">
        <v>2836</v>
      </c>
      <c r="E3074" s="3" t="s">
        <v>372</v>
      </c>
      <c r="F3074" s="3"/>
      <c r="G3074" s="3"/>
      <c r="H3074" s="3"/>
      <c r="I3074" s="3"/>
    </row>
    <row r="3075" spans="1:9" s="5" customFormat="1" x14ac:dyDescent="0.35">
      <c r="A3075" s="3" t="s">
        <v>907</v>
      </c>
      <c r="B3075" s="3" t="s">
        <v>1010</v>
      </c>
      <c r="C3075" s="3" t="s">
        <v>45</v>
      </c>
      <c r="D3075" s="3" t="s">
        <v>2836</v>
      </c>
      <c r="E3075" s="3" t="s">
        <v>218</v>
      </c>
      <c r="F3075" s="3"/>
      <c r="G3075" s="3"/>
      <c r="H3075" s="3"/>
      <c r="I3075" s="3"/>
    </row>
    <row r="3076" spans="1:9" s="5" customFormat="1" x14ac:dyDescent="0.35">
      <c r="A3076" s="3" t="s">
        <v>907</v>
      </c>
      <c r="B3076" s="3" t="s">
        <v>1010</v>
      </c>
      <c r="C3076" s="3" t="s">
        <v>45</v>
      </c>
      <c r="D3076" s="3" t="s">
        <v>2836</v>
      </c>
      <c r="E3076" s="3" t="s">
        <v>224</v>
      </c>
      <c r="F3076" s="3"/>
      <c r="G3076" s="3"/>
      <c r="H3076" s="3"/>
      <c r="I3076" s="3"/>
    </row>
    <row r="3077" spans="1:9" s="5" customFormat="1" x14ac:dyDescent="0.35">
      <c r="A3077" s="3" t="s">
        <v>907</v>
      </c>
      <c r="B3077" s="3" t="s">
        <v>1010</v>
      </c>
      <c r="C3077" s="3" t="s">
        <v>45</v>
      </c>
      <c r="D3077" s="3" t="s">
        <v>2852</v>
      </c>
      <c r="E3077" s="3" t="s">
        <v>217</v>
      </c>
      <c r="F3077" s="3" t="s">
        <v>33</v>
      </c>
      <c r="G3077" s="3" t="s">
        <v>2661</v>
      </c>
      <c r="H3077" s="3"/>
      <c r="I3077" s="3"/>
    </row>
    <row r="3078" spans="1:9" s="5" customFormat="1" x14ac:dyDescent="0.35">
      <c r="A3078" s="3" t="s">
        <v>907</v>
      </c>
      <c r="B3078" s="3" t="s">
        <v>1010</v>
      </c>
      <c r="C3078" s="3" t="s">
        <v>45</v>
      </c>
      <c r="D3078" s="3" t="s">
        <v>2852</v>
      </c>
      <c r="E3078" s="3" t="s">
        <v>372</v>
      </c>
      <c r="F3078" s="3" t="s">
        <v>33</v>
      </c>
      <c r="G3078" s="3" t="s">
        <v>2661</v>
      </c>
      <c r="H3078" s="3"/>
      <c r="I3078" s="3"/>
    </row>
    <row r="3079" spans="1:9" s="5" customFormat="1" x14ac:dyDescent="0.35">
      <c r="A3079" s="3" t="s">
        <v>907</v>
      </c>
      <c r="B3079" s="3" t="s">
        <v>1010</v>
      </c>
      <c r="C3079" s="3" t="s">
        <v>45</v>
      </c>
      <c r="D3079" s="3" t="s">
        <v>2852</v>
      </c>
      <c r="E3079" s="3" t="s">
        <v>224</v>
      </c>
      <c r="F3079" s="3" t="s">
        <v>33</v>
      </c>
      <c r="G3079" s="3" t="s">
        <v>2661</v>
      </c>
      <c r="H3079" s="3"/>
      <c r="I3079" s="3"/>
    </row>
    <row r="3080" spans="1:9" s="5" customFormat="1" x14ac:dyDescent="0.35">
      <c r="A3080" s="3" t="s">
        <v>907</v>
      </c>
      <c r="B3080" s="3" t="s">
        <v>1010</v>
      </c>
      <c r="C3080" s="3" t="s">
        <v>45</v>
      </c>
      <c r="D3080" s="3" t="s">
        <v>1145</v>
      </c>
      <c r="E3080" s="3" t="s">
        <v>166</v>
      </c>
      <c r="F3080" s="3"/>
      <c r="G3080" s="3"/>
      <c r="H3080" s="3"/>
      <c r="I3080" s="3"/>
    </row>
    <row r="3081" spans="1:9" s="5" customFormat="1" x14ac:dyDescent="0.35">
      <c r="A3081" s="3" t="s">
        <v>907</v>
      </c>
      <c r="B3081" s="3" t="s">
        <v>1010</v>
      </c>
      <c r="C3081" s="3" t="s">
        <v>45</v>
      </c>
      <c r="D3081" s="3" t="s">
        <v>1145</v>
      </c>
      <c r="E3081" s="3" t="s">
        <v>1016</v>
      </c>
      <c r="F3081" s="3"/>
      <c r="G3081" s="3"/>
      <c r="H3081" s="3"/>
      <c r="I3081" s="3"/>
    </row>
    <row r="3082" spans="1:9" s="5" customFormat="1" x14ac:dyDescent="0.35">
      <c r="A3082" s="3" t="s">
        <v>907</v>
      </c>
      <c r="B3082" s="3" t="s">
        <v>1010</v>
      </c>
      <c r="C3082" s="3" t="s">
        <v>45</v>
      </c>
      <c r="D3082" s="3" t="s">
        <v>1145</v>
      </c>
      <c r="E3082" s="3" t="s">
        <v>225</v>
      </c>
      <c r="F3082" s="3"/>
      <c r="G3082" s="3"/>
      <c r="H3082" s="3"/>
      <c r="I3082" s="3"/>
    </row>
    <row r="3083" spans="1:9" s="5" customFormat="1" x14ac:dyDescent="0.35">
      <c r="A3083" s="3" t="s">
        <v>907</v>
      </c>
      <c r="B3083" s="3" t="s">
        <v>1010</v>
      </c>
      <c r="C3083" s="3" t="s">
        <v>45</v>
      </c>
      <c r="D3083" s="3" t="s">
        <v>1145</v>
      </c>
      <c r="E3083" s="3" t="s">
        <v>221</v>
      </c>
      <c r="F3083" s="3"/>
      <c r="G3083" s="3"/>
      <c r="H3083" s="3"/>
      <c r="I3083" s="3"/>
    </row>
    <row r="3084" spans="1:9" s="5" customFormat="1" x14ac:dyDescent="0.35">
      <c r="A3084" s="3" t="s">
        <v>907</v>
      </c>
      <c r="B3084" s="3" t="s">
        <v>1010</v>
      </c>
      <c r="C3084" s="3" t="s">
        <v>45</v>
      </c>
      <c r="D3084" s="3" t="s">
        <v>1145</v>
      </c>
      <c r="E3084" s="3" t="s">
        <v>222</v>
      </c>
      <c r="F3084" s="3"/>
      <c r="G3084" s="3"/>
      <c r="H3084" s="3"/>
      <c r="I3084" s="3"/>
    </row>
    <row r="3085" spans="1:9" s="5" customFormat="1" x14ac:dyDescent="0.35">
      <c r="A3085" s="3" t="s">
        <v>907</v>
      </c>
      <c r="B3085" s="3" t="s">
        <v>1010</v>
      </c>
      <c r="C3085" s="3" t="s">
        <v>45</v>
      </c>
      <c r="D3085" s="3" t="s">
        <v>1145</v>
      </c>
      <c r="E3085" s="3" t="s">
        <v>223</v>
      </c>
      <c r="F3085" s="3"/>
      <c r="G3085" s="3"/>
      <c r="H3085" s="3"/>
      <c r="I3085" s="3"/>
    </row>
    <row r="3086" spans="1:9" s="5" customFormat="1" x14ac:dyDescent="0.35">
      <c r="A3086" s="3" t="s">
        <v>907</v>
      </c>
      <c r="B3086" s="3" t="s">
        <v>1010</v>
      </c>
      <c r="C3086" s="3" t="s">
        <v>45</v>
      </c>
      <c r="D3086" s="3" t="s">
        <v>1145</v>
      </c>
      <c r="E3086" s="3" t="s">
        <v>226</v>
      </c>
      <c r="F3086" s="3"/>
      <c r="G3086" s="3"/>
      <c r="H3086" s="3"/>
      <c r="I3086" s="3"/>
    </row>
    <row r="3087" spans="1:9" s="5" customFormat="1" x14ac:dyDescent="0.35">
      <c r="A3087" s="3" t="s">
        <v>907</v>
      </c>
      <c r="B3087" s="3" t="s">
        <v>1010</v>
      </c>
      <c r="C3087" s="3" t="s">
        <v>45</v>
      </c>
      <c r="D3087" s="3" t="s">
        <v>1145</v>
      </c>
      <c r="E3087" s="3" t="s">
        <v>227</v>
      </c>
      <c r="F3087" s="3"/>
      <c r="G3087" s="3"/>
      <c r="H3087" s="3"/>
      <c r="I3087" s="3"/>
    </row>
    <row r="3088" spans="1:9" s="5" customFormat="1" x14ac:dyDescent="0.35">
      <c r="A3088" s="3" t="s">
        <v>907</v>
      </c>
      <c r="B3088" s="3" t="s">
        <v>1010</v>
      </c>
      <c r="C3088" s="3" t="s">
        <v>45</v>
      </c>
      <c r="D3088" s="3" t="s">
        <v>1145</v>
      </c>
      <c r="E3088" s="3" t="s">
        <v>228</v>
      </c>
      <c r="F3088" s="3"/>
      <c r="G3088" s="3"/>
      <c r="H3088" s="3"/>
      <c r="I3088" s="3"/>
    </row>
    <row r="3089" spans="1:9" s="5" customFormat="1" x14ac:dyDescent="0.35">
      <c r="A3089" s="3" t="s">
        <v>907</v>
      </c>
      <c r="B3089" s="3" t="s">
        <v>1010</v>
      </c>
      <c r="C3089" s="3" t="s">
        <v>45</v>
      </c>
      <c r="D3089" s="3" t="s">
        <v>1145</v>
      </c>
      <c r="E3089" s="3" t="s">
        <v>229</v>
      </c>
      <c r="F3089" s="3"/>
      <c r="G3089" s="3"/>
      <c r="H3089" s="3"/>
      <c r="I3089" s="3"/>
    </row>
    <row r="3090" spans="1:9" s="5" customFormat="1" x14ac:dyDescent="0.35">
      <c r="A3090" s="3" t="s">
        <v>907</v>
      </c>
      <c r="B3090" s="3" t="s">
        <v>1010</v>
      </c>
      <c r="C3090" s="3" t="s">
        <v>45</v>
      </c>
      <c r="D3090" s="3" t="s">
        <v>1145</v>
      </c>
      <c r="E3090" s="3" t="s">
        <v>230</v>
      </c>
      <c r="F3090" s="3"/>
      <c r="G3090" s="3"/>
      <c r="H3090" s="3"/>
      <c r="I3090" s="3"/>
    </row>
    <row r="3091" spans="1:9" s="5" customFormat="1" x14ac:dyDescent="0.35">
      <c r="A3091" s="3" t="s">
        <v>907</v>
      </c>
      <c r="B3091" s="3" t="s">
        <v>1010</v>
      </c>
      <c r="C3091" s="3" t="s">
        <v>45</v>
      </c>
      <c r="D3091" s="3" t="s">
        <v>1145</v>
      </c>
      <c r="E3091" s="3" t="s">
        <v>219</v>
      </c>
      <c r="F3091" s="3"/>
      <c r="G3091" s="3"/>
      <c r="H3091" s="3"/>
      <c r="I3091" s="3"/>
    </row>
    <row r="3092" spans="1:9" s="5" customFormat="1" x14ac:dyDescent="0.35">
      <c r="A3092" s="3" t="s">
        <v>907</v>
      </c>
      <c r="B3092" s="3" t="s">
        <v>1010</v>
      </c>
      <c r="C3092" s="3" t="s">
        <v>45</v>
      </c>
      <c r="D3092" s="3" t="s">
        <v>1145</v>
      </c>
      <c r="E3092" s="3" t="s">
        <v>372</v>
      </c>
      <c r="F3092" s="3"/>
      <c r="G3092" s="3"/>
      <c r="H3092" s="3"/>
      <c r="I3092" s="3"/>
    </row>
    <row r="3093" spans="1:9" s="5" customFormat="1" x14ac:dyDescent="0.35">
      <c r="A3093" s="3" t="s">
        <v>907</v>
      </c>
      <c r="B3093" s="3" t="s">
        <v>1010</v>
      </c>
      <c r="C3093" s="3" t="s">
        <v>45</v>
      </c>
      <c r="D3093" s="3" t="s">
        <v>1145</v>
      </c>
      <c r="E3093" s="3" t="s">
        <v>218</v>
      </c>
      <c r="F3093" s="3"/>
      <c r="G3093" s="3"/>
      <c r="H3093" s="3"/>
      <c r="I3093" s="3"/>
    </row>
    <row r="3094" spans="1:9" s="5" customFormat="1" x14ac:dyDescent="0.35">
      <c r="A3094" s="3" t="s">
        <v>907</v>
      </c>
      <c r="B3094" s="3" t="s">
        <v>1010</v>
      </c>
      <c r="C3094" s="3" t="s">
        <v>45</v>
      </c>
      <c r="D3094" s="3" t="s">
        <v>1145</v>
      </c>
      <c r="E3094" s="3" t="s">
        <v>224</v>
      </c>
      <c r="F3094" s="3"/>
      <c r="G3094" s="3"/>
      <c r="H3094" s="3"/>
      <c r="I3094" s="3"/>
    </row>
    <row r="3095" spans="1:9" s="5" customFormat="1" x14ac:dyDescent="0.35">
      <c r="A3095" s="3" t="s">
        <v>907</v>
      </c>
      <c r="B3095" s="3" t="s">
        <v>1010</v>
      </c>
      <c r="C3095" s="3" t="s">
        <v>45</v>
      </c>
      <c r="D3095" s="3" t="s">
        <v>1146</v>
      </c>
      <c r="E3095" s="3" t="s">
        <v>166</v>
      </c>
      <c r="F3095" s="3"/>
      <c r="G3095" s="3"/>
      <c r="H3095" s="3"/>
      <c r="I3095" s="3"/>
    </row>
    <row r="3096" spans="1:9" s="5" customFormat="1" x14ac:dyDescent="0.35">
      <c r="A3096" s="3" t="s">
        <v>907</v>
      </c>
      <c r="B3096" s="3" t="s">
        <v>1010</v>
      </c>
      <c r="C3096" s="3" t="s">
        <v>45</v>
      </c>
      <c r="D3096" s="3" t="s">
        <v>1146</v>
      </c>
      <c r="E3096" s="3" t="s">
        <v>1016</v>
      </c>
      <c r="F3096" s="3"/>
      <c r="G3096" s="3"/>
      <c r="H3096" s="3"/>
      <c r="I3096" s="3"/>
    </row>
    <row r="3097" spans="1:9" s="5" customFormat="1" x14ac:dyDescent="0.35">
      <c r="A3097" s="3" t="s">
        <v>907</v>
      </c>
      <c r="B3097" s="3" t="s">
        <v>1010</v>
      </c>
      <c r="C3097" s="3" t="s">
        <v>45</v>
      </c>
      <c r="D3097" s="3" t="s">
        <v>1146</v>
      </c>
      <c r="E3097" s="3" t="s">
        <v>225</v>
      </c>
      <c r="F3097" s="3"/>
      <c r="G3097" s="3"/>
      <c r="H3097" s="3"/>
      <c r="I3097" s="3"/>
    </row>
    <row r="3098" spans="1:9" s="5" customFormat="1" x14ac:dyDescent="0.35">
      <c r="A3098" s="3" t="s">
        <v>907</v>
      </c>
      <c r="B3098" s="3" t="s">
        <v>1010</v>
      </c>
      <c r="C3098" s="3" t="s">
        <v>45</v>
      </c>
      <c r="D3098" s="3" t="s">
        <v>1146</v>
      </c>
      <c r="E3098" s="3" t="s">
        <v>221</v>
      </c>
      <c r="F3098" s="3"/>
      <c r="G3098" s="3"/>
      <c r="H3098" s="3"/>
      <c r="I3098" s="3"/>
    </row>
    <row r="3099" spans="1:9" s="5" customFormat="1" x14ac:dyDescent="0.35">
      <c r="A3099" s="3" t="s">
        <v>907</v>
      </c>
      <c r="B3099" s="3" t="s">
        <v>1010</v>
      </c>
      <c r="C3099" s="3" t="s">
        <v>45</v>
      </c>
      <c r="D3099" s="3" t="s">
        <v>1146</v>
      </c>
      <c r="E3099" s="3" t="s">
        <v>222</v>
      </c>
      <c r="F3099" s="3"/>
      <c r="G3099" s="3"/>
      <c r="H3099" s="3"/>
      <c r="I3099" s="3"/>
    </row>
    <row r="3100" spans="1:9" s="5" customFormat="1" x14ac:dyDescent="0.35">
      <c r="A3100" s="3" t="s">
        <v>907</v>
      </c>
      <c r="B3100" s="3" t="s">
        <v>1010</v>
      </c>
      <c r="C3100" s="3" t="s">
        <v>45</v>
      </c>
      <c r="D3100" s="3" t="s">
        <v>1146</v>
      </c>
      <c r="E3100" s="3" t="s">
        <v>223</v>
      </c>
      <c r="F3100" s="3"/>
      <c r="G3100" s="3"/>
      <c r="H3100" s="3"/>
      <c r="I3100" s="3"/>
    </row>
    <row r="3101" spans="1:9" s="5" customFormat="1" x14ac:dyDescent="0.35">
      <c r="A3101" s="3" t="s">
        <v>907</v>
      </c>
      <c r="B3101" s="3" t="s">
        <v>1010</v>
      </c>
      <c r="C3101" s="3" t="s">
        <v>45</v>
      </c>
      <c r="D3101" s="3" t="s">
        <v>1146</v>
      </c>
      <c r="E3101" s="3" t="s">
        <v>226</v>
      </c>
      <c r="F3101" s="3"/>
      <c r="G3101" s="3"/>
      <c r="H3101" s="3"/>
      <c r="I3101" s="3"/>
    </row>
    <row r="3102" spans="1:9" s="5" customFormat="1" x14ac:dyDescent="0.35">
      <c r="A3102" s="3" t="s">
        <v>907</v>
      </c>
      <c r="B3102" s="3" t="s">
        <v>1010</v>
      </c>
      <c r="C3102" s="3" t="s">
        <v>45</v>
      </c>
      <c r="D3102" s="3" t="s">
        <v>1146</v>
      </c>
      <c r="E3102" s="3" t="s">
        <v>227</v>
      </c>
      <c r="F3102" s="3"/>
      <c r="G3102" s="3"/>
      <c r="H3102" s="3"/>
      <c r="I3102" s="3"/>
    </row>
    <row r="3103" spans="1:9" s="5" customFormat="1" x14ac:dyDescent="0.35">
      <c r="A3103" s="3" t="s">
        <v>907</v>
      </c>
      <c r="B3103" s="3" t="s">
        <v>1010</v>
      </c>
      <c r="C3103" s="3" t="s">
        <v>45</v>
      </c>
      <c r="D3103" s="3" t="s">
        <v>1146</v>
      </c>
      <c r="E3103" s="3" t="s">
        <v>228</v>
      </c>
      <c r="F3103" s="3"/>
      <c r="G3103" s="3"/>
      <c r="H3103" s="3"/>
      <c r="I3103" s="3"/>
    </row>
    <row r="3104" spans="1:9" s="5" customFormat="1" x14ac:dyDescent="0.35">
      <c r="A3104" s="3" t="s">
        <v>907</v>
      </c>
      <c r="B3104" s="3" t="s">
        <v>1010</v>
      </c>
      <c r="C3104" s="3" t="s">
        <v>45</v>
      </c>
      <c r="D3104" s="3" t="s">
        <v>1146</v>
      </c>
      <c r="E3104" s="3" t="s">
        <v>229</v>
      </c>
      <c r="F3104" s="3"/>
      <c r="G3104" s="3"/>
      <c r="H3104" s="3"/>
      <c r="I3104" s="3"/>
    </row>
    <row r="3105" spans="1:9" s="5" customFormat="1" x14ac:dyDescent="0.35">
      <c r="A3105" s="3" t="s">
        <v>907</v>
      </c>
      <c r="B3105" s="3" t="s">
        <v>1010</v>
      </c>
      <c r="C3105" s="3" t="s">
        <v>45</v>
      </c>
      <c r="D3105" s="3" t="s">
        <v>1146</v>
      </c>
      <c r="E3105" s="3" t="s">
        <v>230</v>
      </c>
      <c r="F3105" s="3"/>
      <c r="G3105" s="3"/>
      <c r="H3105" s="3"/>
      <c r="I3105" s="3"/>
    </row>
    <row r="3106" spans="1:9" s="5" customFormat="1" x14ac:dyDescent="0.35">
      <c r="A3106" s="3" t="s">
        <v>907</v>
      </c>
      <c r="B3106" s="3" t="s">
        <v>1010</v>
      </c>
      <c r="C3106" s="3" t="s">
        <v>45</v>
      </c>
      <c r="D3106" s="3" t="s">
        <v>1146</v>
      </c>
      <c r="E3106" s="3" t="s">
        <v>219</v>
      </c>
      <c r="F3106" s="3"/>
      <c r="G3106" s="3"/>
      <c r="H3106" s="3"/>
      <c r="I3106" s="3"/>
    </row>
    <row r="3107" spans="1:9" s="5" customFormat="1" x14ac:dyDescent="0.35">
      <c r="A3107" s="3" t="s">
        <v>907</v>
      </c>
      <c r="B3107" s="3" t="s">
        <v>1010</v>
      </c>
      <c r="C3107" s="3" t="s">
        <v>45</v>
      </c>
      <c r="D3107" s="3" t="s">
        <v>1146</v>
      </c>
      <c r="E3107" s="3" t="s">
        <v>372</v>
      </c>
      <c r="F3107" s="3"/>
      <c r="G3107" s="3"/>
      <c r="H3107" s="3"/>
      <c r="I3107" s="3"/>
    </row>
    <row r="3108" spans="1:9" s="5" customFormat="1" x14ac:dyDescent="0.35">
      <c r="A3108" s="3" t="s">
        <v>907</v>
      </c>
      <c r="B3108" s="3" t="s">
        <v>1010</v>
      </c>
      <c r="C3108" s="3" t="s">
        <v>45</v>
      </c>
      <c r="D3108" s="3" t="s">
        <v>1146</v>
      </c>
      <c r="E3108" s="3" t="s">
        <v>218</v>
      </c>
      <c r="F3108" s="3"/>
      <c r="G3108" s="3"/>
      <c r="H3108" s="3"/>
      <c r="I3108" s="3"/>
    </row>
    <row r="3109" spans="1:9" s="5" customFormat="1" x14ac:dyDescent="0.35">
      <c r="A3109" s="3" t="s">
        <v>907</v>
      </c>
      <c r="B3109" s="3" t="s">
        <v>1010</v>
      </c>
      <c r="C3109" s="3" t="s">
        <v>45</v>
      </c>
      <c r="D3109" s="3" t="s">
        <v>1146</v>
      </c>
      <c r="E3109" s="3" t="s">
        <v>224</v>
      </c>
      <c r="F3109" s="3"/>
      <c r="G3109" s="3"/>
      <c r="H3109" s="3"/>
      <c r="I3109" s="3"/>
    </row>
    <row r="3110" spans="1:9" s="5" customFormat="1" x14ac:dyDescent="0.35">
      <c r="A3110" s="3" t="s">
        <v>907</v>
      </c>
      <c r="B3110" s="3" t="s">
        <v>1010</v>
      </c>
      <c r="C3110" s="3" t="s">
        <v>45</v>
      </c>
      <c r="D3110" s="3" t="s">
        <v>1147</v>
      </c>
      <c r="E3110" s="3" t="s">
        <v>166</v>
      </c>
      <c r="F3110" s="3"/>
      <c r="G3110" s="3"/>
      <c r="H3110" s="3"/>
      <c r="I3110" s="3"/>
    </row>
    <row r="3111" spans="1:9" s="5" customFormat="1" x14ac:dyDescent="0.35">
      <c r="A3111" s="3" t="s">
        <v>907</v>
      </c>
      <c r="B3111" s="3" t="s">
        <v>1010</v>
      </c>
      <c r="C3111" s="3" t="s">
        <v>45</v>
      </c>
      <c r="D3111" s="3" t="s">
        <v>1147</v>
      </c>
      <c r="E3111" s="3" t="s">
        <v>1016</v>
      </c>
      <c r="F3111" s="3"/>
      <c r="G3111" s="3"/>
      <c r="H3111" s="3"/>
      <c r="I3111" s="3"/>
    </row>
    <row r="3112" spans="1:9" s="5" customFormat="1" x14ac:dyDescent="0.35">
      <c r="A3112" s="3" t="s">
        <v>907</v>
      </c>
      <c r="B3112" s="3" t="s">
        <v>1010</v>
      </c>
      <c r="C3112" s="3" t="s">
        <v>45</v>
      </c>
      <c r="D3112" s="3" t="s">
        <v>1147</v>
      </c>
      <c r="E3112" s="3" t="s">
        <v>225</v>
      </c>
      <c r="F3112" s="3"/>
      <c r="G3112" s="3"/>
      <c r="H3112" s="3"/>
      <c r="I3112" s="3"/>
    </row>
    <row r="3113" spans="1:9" s="5" customFormat="1" x14ac:dyDescent="0.35">
      <c r="A3113" s="3" t="s">
        <v>907</v>
      </c>
      <c r="B3113" s="3" t="s">
        <v>1010</v>
      </c>
      <c r="C3113" s="3" t="s">
        <v>45</v>
      </c>
      <c r="D3113" s="3" t="s">
        <v>1147</v>
      </c>
      <c r="E3113" s="3" t="s">
        <v>221</v>
      </c>
      <c r="F3113" s="3"/>
      <c r="G3113" s="3"/>
      <c r="H3113" s="3"/>
      <c r="I3113" s="3"/>
    </row>
    <row r="3114" spans="1:9" s="5" customFormat="1" x14ac:dyDescent="0.35">
      <c r="A3114" s="3" t="s">
        <v>907</v>
      </c>
      <c r="B3114" s="3" t="s">
        <v>1010</v>
      </c>
      <c r="C3114" s="3" t="s">
        <v>45</v>
      </c>
      <c r="D3114" s="3" t="s">
        <v>1147</v>
      </c>
      <c r="E3114" s="3" t="s">
        <v>222</v>
      </c>
      <c r="F3114" s="3"/>
      <c r="G3114" s="3"/>
      <c r="H3114" s="3"/>
      <c r="I3114" s="3"/>
    </row>
    <row r="3115" spans="1:9" s="5" customFormat="1" x14ac:dyDescent="0.35">
      <c r="A3115" s="3" t="s">
        <v>907</v>
      </c>
      <c r="B3115" s="3" t="s">
        <v>1010</v>
      </c>
      <c r="C3115" s="3" t="s">
        <v>45</v>
      </c>
      <c r="D3115" s="3" t="s">
        <v>1147</v>
      </c>
      <c r="E3115" s="3" t="s">
        <v>223</v>
      </c>
      <c r="F3115" s="3"/>
      <c r="G3115" s="3"/>
      <c r="H3115" s="3"/>
      <c r="I3115" s="3"/>
    </row>
    <row r="3116" spans="1:9" s="5" customFormat="1" x14ac:dyDescent="0.35">
      <c r="A3116" s="3" t="s">
        <v>907</v>
      </c>
      <c r="B3116" s="3" t="s">
        <v>1010</v>
      </c>
      <c r="C3116" s="3" t="s">
        <v>45</v>
      </c>
      <c r="D3116" s="3" t="s">
        <v>1147</v>
      </c>
      <c r="E3116" s="3" t="s">
        <v>226</v>
      </c>
      <c r="F3116" s="3"/>
      <c r="G3116" s="3"/>
      <c r="H3116" s="3"/>
      <c r="I3116" s="3"/>
    </row>
    <row r="3117" spans="1:9" s="5" customFormat="1" x14ac:dyDescent="0.35">
      <c r="A3117" s="3" t="s">
        <v>907</v>
      </c>
      <c r="B3117" s="3" t="s">
        <v>1010</v>
      </c>
      <c r="C3117" s="3" t="s">
        <v>45</v>
      </c>
      <c r="D3117" s="3" t="s">
        <v>1147</v>
      </c>
      <c r="E3117" s="3" t="s">
        <v>227</v>
      </c>
      <c r="F3117" s="3"/>
      <c r="G3117" s="3"/>
      <c r="H3117" s="3"/>
      <c r="I3117" s="3"/>
    </row>
    <row r="3118" spans="1:9" s="5" customFormat="1" x14ac:dyDescent="0.35">
      <c r="A3118" s="3" t="s">
        <v>907</v>
      </c>
      <c r="B3118" s="3" t="s">
        <v>1010</v>
      </c>
      <c r="C3118" s="3" t="s">
        <v>45</v>
      </c>
      <c r="D3118" s="3" t="s">
        <v>1147</v>
      </c>
      <c r="E3118" s="3" t="s">
        <v>228</v>
      </c>
      <c r="F3118" s="3"/>
      <c r="G3118" s="3"/>
      <c r="H3118" s="3"/>
      <c r="I3118" s="3"/>
    </row>
    <row r="3119" spans="1:9" s="5" customFormat="1" x14ac:dyDescent="0.35">
      <c r="A3119" s="3" t="s">
        <v>907</v>
      </c>
      <c r="B3119" s="3" t="s">
        <v>1010</v>
      </c>
      <c r="C3119" s="3" t="s">
        <v>45</v>
      </c>
      <c r="D3119" s="3" t="s">
        <v>1147</v>
      </c>
      <c r="E3119" s="3" t="s">
        <v>229</v>
      </c>
      <c r="F3119" s="3"/>
      <c r="G3119" s="3"/>
      <c r="H3119" s="3"/>
      <c r="I3119" s="3"/>
    </row>
    <row r="3120" spans="1:9" s="5" customFormat="1" x14ac:dyDescent="0.35">
      <c r="A3120" s="3" t="s">
        <v>907</v>
      </c>
      <c r="B3120" s="3" t="s">
        <v>1010</v>
      </c>
      <c r="C3120" s="3" t="s">
        <v>45</v>
      </c>
      <c r="D3120" s="3" t="s">
        <v>1147</v>
      </c>
      <c r="E3120" s="3" t="s">
        <v>230</v>
      </c>
      <c r="F3120" s="3"/>
      <c r="G3120" s="3"/>
      <c r="H3120" s="3"/>
      <c r="I3120" s="3"/>
    </row>
    <row r="3121" spans="1:9" s="5" customFormat="1" x14ac:dyDescent="0.35">
      <c r="A3121" s="3" t="s">
        <v>907</v>
      </c>
      <c r="B3121" s="3" t="s">
        <v>1010</v>
      </c>
      <c r="C3121" s="3" t="s">
        <v>45</v>
      </c>
      <c r="D3121" s="3" t="s">
        <v>1147</v>
      </c>
      <c r="E3121" s="3" t="s">
        <v>219</v>
      </c>
      <c r="F3121" s="3"/>
      <c r="G3121" s="3"/>
      <c r="H3121" s="3"/>
      <c r="I3121" s="3"/>
    </row>
    <row r="3122" spans="1:9" s="5" customFormat="1" x14ac:dyDescent="0.35">
      <c r="A3122" s="3" t="s">
        <v>907</v>
      </c>
      <c r="B3122" s="3" t="s">
        <v>1010</v>
      </c>
      <c r="C3122" s="3" t="s">
        <v>45</v>
      </c>
      <c r="D3122" s="3" t="s">
        <v>1147</v>
      </c>
      <c r="E3122" s="3" t="s">
        <v>372</v>
      </c>
      <c r="F3122" s="3"/>
      <c r="G3122" s="3"/>
      <c r="H3122" s="3"/>
      <c r="I3122" s="3"/>
    </row>
    <row r="3123" spans="1:9" s="5" customFormat="1" x14ac:dyDescent="0.35">
      <c r="A3123" s="3" t="s">
        <v>907</v>
      </c>
      <c r="B3123" s="3" t="s">
        <v>1010</v>
      </c>
      <c r="C3123" s="3" t="s">
        <v>45</v>
      </c>
      <c r="D3123" s="3" t="s">
        <v>1147</v>
      </c>
      <c r="E3123" s="3" t="s">
        <v>218</v>
      </c>
      <c r="F3123" s="3"/>
      <c r="G3123" s="3"/>
      <c r="H3123" s="3"/>
      <c r="I3123" s="3"/>
    </row>
    <row r="3124" spans="1:9" s="5" customFormat="1" x14ac:dyDescent="0.35">
      <c r="A3124" s="3" t="s">
        <v>907</v>
      </c>
      <c r="B3124" s="3" t="s">
        <v>1010</v>
      </c>
      <c r="C3124" s="3" t="s">
        <v>45</v>
      </c>
      <c r="D3124" s="3" t="s">
        <v>1147</v>
      </c>
      <c r="E3124" s="3" t="s">
        <v>224</v>
      </c>
      <c r="F3124" s="3"/>
      <c r="G3124" s="3"/>
      <c r="H3124" s="3"/>
      <c r="I3124" s="3"/>
    </row>
    <row r="3125" spans="1:9" s="5" customFormat="1" x14ac:dyDescent="0.35">
      <c r="A3125" s="3" t="s">
        <v>907</v>
      </c>
      <c r="B3125" s="3" t="s">
        <v>1010</v>
      </c>
      <c r="C3125" s="3" t="s">
        <v>45</v>
      </c>
      <c r="D3125" s="3" t="s">
        <v>2837</v>
      </c>
      <c r="E3125" s="3" t="s">
        <v>166</v>
      </c>
      <c r="F3125" s="3"/>
      <c r="G3125" s="3"/>
      <c r="H3125" s="3"/>
      <c r="I3125" s="3"/>
    </row>
    <row r="3126" spans="1:9" s="5" customFormat="1" x14ac:dyDescent="0.35">
      <c r="A3126" s="3" t="s">
        <v>907</v>
      </c>
      <c r="B3126" s="3" t="s">
        <v>1010</v>
      </c>
      <c r="C3126" s="3" t="s">
        <v>45</v>
      </c>
      <c r="D3126" s="3" t="s">
        <v>2837</v>
      </c>
      <c r="E3126" s="3" t="s">
        <v>1016</v>
      </c>
      <c r="F3126" s="3"/>
      <c r="G3126" s="3"/>
      <c r="H3126" s="3"/>
      <c r="I3126" s="3"/>
    </row>
    <row r="3127" spans="1:9" s="5" customFormat="1" x14ac:dyDescent="0.35">
      <c r="A3127" s="3" t="s">
        <v>907</v>
      </c>
      <c r="B3127" s="3" t="s">
        <v>1010</v>
      </c>
      <c r="C3127" s="3" t="s">
        <v>45</v>
      </c>
      <c r="D3127" s="3" t="s">
        <v>2837</v>
      </c>
      <c r="E3127" s="3" t="s">
        <v>225</v>
      </c>
      <c r="F3127" s="3"/>
      <c r="G3127" s="3"/>
      <c r="H3127" s="3"/>
      <c r="I3127" s="3"/>
    </row>
    <row r="3128" spans="1:9" s="5" customFormat="1" x14ac:dyDescent="0.35">
      <c r="A3128" s="3" t="s">
        <v>907</v>
      </c>
      <c r="B3128" s="3" t="s">
        <v>1010</v>
      </c>
      <c r="C3128" s="3" t="s">
        <v>45</v>
      </c>
      <c r="D3128" s="3" t="s">
        <v>2837</v>
      </c>
      <c r="E3128" s="3" t="s">
        <v>221</v>
      </c>
      <c r="F3128" s="3"/>
      <c r="G3128" s="3"/>
      <c r="H3128" s="3"/>
      <c r="I3128" s="3"/>
    </row>
    <row r="3129" spans="1:9" s="5" customFormat="1" x14ac:dyDescent="0.35">
      <c r="A3129" s="3" t="s">
        <v>907</v>
      </c>
      <c r="B3129" s="3" t="s">
        <v>1010</v>
      </c>
      <c r="C3129" s="3" t="s">
        <v>45</v>
      </c>
      <c r="D3129" s="3" t="s">
        <v>2837</v>
      </c>
      <c r="E3129" s="3" t="s">
        <v>222</v>
      </c>
      <c r="F3129" s="3"/>
      <c r="G3129" s="3"/>
      <c r="H3129" s="3"/>
      <c r="I3129" s="3"/>
    </row>
    <row r="3130" spans="1:9" s="5" customFormat="1" x14ac:dyDescent="0.35">
      <c r="A3130" s="3" t="s">
        <v>907</v>
      </c>
      <c r="B3130" s="3" t="s">
        <v>1010</v>
      </c>
      <c r="C3130" s="3" t="s">
        <v>45</v>
      </c>
      <c r="D3130" s="3" t="s">
        <v>2837</v>
      </c>
      <c r="E3130" s="3" t="s">
        <v>223</v>
      </c>
      <c r="F3130" s="3"/>
      <c r="G3130" s="3"/>
      <c r="H3130" s="3"/>
      <c r="I3130" s="3"/>
    </row>
    <row r="3131" spans="1:9" s="5" customFormat="1" x14ac:dyDescent="0.35">
      <c r="A3131" s="3" t="s">
        <v>907</v>
      </c>
      <c r="B3131" s="3" t="s">
        <v>1010</v>
      </c>
      <c r="C3131" s="3" t="s">
        <v>45</v>
      </c>
      <c r="D3131" s="3" t="s">
        <v>2837</v>
      </c>
      <c r="E3131" s="3" t="s">
        <v>226</v>
      </c>
      <c r="F3131" s="3"/>
      <c r="G3131" s="3"/>
      <c r="H3131" s="3"/>
      <c r="I3131" s="3"/>
    </row>
    <row r="3132" spans="1:9" s="5" customFormat="1" x14ac:dyDescent="0.35">
      <c r="A3132" s="3" t="s">
        <v>907</v>
      </c>
      <c r="B3132" s="3" t="s">
        <v>1010</v>
      </c>
      <c r="C3132" s="3" t="s">
        <v>45</v>
      </c>
      <c r="D3132" s="3" t="s">
        <v>2837</v>
      </c>
      <c r="E3132" s="3" t="s">
        <v>227</v>
      </c>
      <c r="F3132" s="3"/>
      <c r="G3132" s="3"/>
      <c r="H3132" s="3"/>
      <c r="I3132" s="3"/>
    </row>
    <row r="3133" spans="1:9" s="5" customFormat="1" x14ac:dyDescent="0.35">
      <c r="A3133" s="3" t="s">
        <v>907</v>
      </c>
      <c r="B3133" s="3" t="s">
        <v>1010</v>
      </c>
      <c r="C3133" s="3" t="s">
        <v>45</v>
      </c>
      <c r="D3133" s="3" t="s">
        <v>2837</v>
      </c>
      <c r="E3133" s="3" t="s">
        <v>228</v>
      </c>
      <c r="F3133" s="3"/>
      <c r="G3133" s="3"/>
      <c r="H3133" s="3"/>
      <c r="I3133" s="3"/>
    </row>
    <row r="3134" spans="1:9" s="5" customFormat="1" x14ac:dyDescent="0.35">
      <c r="A3134" s="3" t="s">
        <v>907</v>
      </c>
      <c r="B3134" s="3" t="s">
        <v>1010</v>
      </c>
      <c r="C3134" s="3" t="s">
        <v>45</v>
      </c>
      <c r="D3134" s="3" t="s">
        <v>2837</v>
      </c>
      <c r="E3134" s="3" t="s">
        <v>229</v>
      </c>
      <c r="F3134" s="3"/>
      <c r="G3134" s="3"/>
      <c r="H3134" s="3"/>
      <c r="I3134" s="3"/>
    </row>
    <row r="3135" spans="1:9" s="5" customFormat="1" x14ac:dyDescent="0.35">
      <c r="A3135" s="3" t="s">
        <v>907</v>
      </c>
      <c r="B3135" s="3" t="s">
        <v>1010</v>
      </c>
      <c r="C3135" s="3" t="s">
        <v>45</v>
      </c>
      <c r="D3135" s="3" t="s">
        <v>2837</v>
      </c>
      <c r="E3135" s="3" t="s">
        <v>230</v>
      </c>
      <c r="F3135" s="3"/>
      <c r="G3135" s="3"/>
      <c r="H3135" s="3"/>
      <c r="I3135" s="3"/>
    </row>
    <row r="3136" spans="1:9" s="5" customFormat="1" x14ac:dyDescent="0.35">
      <c r="A3136" s="3" t="s">
        <v>907</v>
      </c>
      <c r="B3136" s="3" t="s">
        <v>1010</v>
      </c>
      <c r="C3136" s="3" t="s">
        <v>45</v>
      </c>
      <c r="D3136" s="3" t="s">
        <v>2837</v>
      </c>
      <c r="E3136" s="3" t="s">
        <v>219</v>
      </c>
      <c r="F3136" s="3"/>
      <c r="G3136" s="3"/>
      <c r="H3136" s="3"/>
      <c r="I3136" s="3"/>
    </row>
    <row r="3137" spans="1:9" s="5" customFormat="1" x14ac:dyDescent="0.35">
      <c r="A3137" s="3" t="s">
        <v>907</v>
      </c>
      <c r="B3137" s="3" t="s">
        <v>1010</v>
      </c>
      <c r="C3137" s="3" t="s">
        <v>45</v>
      </c>
      <c r="D3137" s="3" t="s">
        <v>2837</v>
      </c>
      <c r="E3137" s="3" t="s">
        <v>372</v>
      </c>
      <c r="F3137" s="3"/>
      <c r="G3137" s="3"/>
      <c r="H3137" s="3"/>
      <c r="I3137" s="3"/>
    </row>
    <row r="3138" spans="1:9" s="5" customFormat="1" x14ac:dyDescent="0.35">
      <c r="A3138" s="3" t="s">
        <v>907</v>
      </c>
      <c r="B3138" s="3" t="s">
        <v>1010</v>
      </c>
      <c r="C3138" s="3" t="s">
        <v>45</v>
      </c>
      <c r="D3138" s="3" t="s">
        <v>2837</v>
      </c>
      <c r="E3138" s="3" t="s">
        <v>218</v>
      </c>
      <c r="F3138" s="3"/>
      <c r="G3138" s="3"/>
      <c r="H3138" s="3"/>
      <c r="I3138" s="3"/>
    </row>
    <row r="3139" spans="1:9" s="5" customFormat="1" x14ac:dyDescent="0.35">
      <c r="A3139" s="3" t="s">
        <v>907</v>
      </c>
      <c r="B3139" s="3" t="s">
        <v>1010</v>
      </c>
      <c r="C3139" s="3" t="s">
        <v>45</v>
      </c>
      <c r="D3139" s="3" t="s">
        <v>2837</v>
      </c>
      <c r="E3139" s="3" t="s">
        <v>224</v>
      </c>
      <c r="F3139" s="3"/>
      <c r="G3139" s="3"/>
      <c r="H3139" s="3"/>
      <c r="I3139" s="3"/>
    </row>
    <row r="3140" spans="1:9" s="5" customFormat="1" x14ac:dyDescent="0.35">
      <c r="A3140" s="3" t="s">
        <v>907</v>
      </c>
      <c r="B3140" s="3" t="s">
        <v>1010</v>
      </c>
      <c r="C3140" s="3" t="s">
        <v>45</v>
      </c>
      <c r="D3140" s="3" t="s">
        <v>2838</v>
      </c>
      <c r="E3140" s="3" t="s">
        <v>166</v>
      </c>
      <c r="F3140" s="3"/>
      <c r="G3140" s="3"/>
      <c r="H3140" s="3"/>
      <c r="I3140" s="3"/>
    </row>
    <row r="3141" spans="1:9" s="5" customFormat="1" x14ac:dyDescent="0.35">
      <c r="A3141" s="3" t="s">
        <v>907</v>
      </c>
      <c r="B3141" s="3" t="s">
        <v>1010</v>
      </c>
      <c r="C3141" s="3" t="s">
        <v>45</v>
      </c>
      <c r="D3141" s="3" t="s">
        <v>2838</v>
      </c>
      <c r="E3141" s="3" t="s">
        <v>1016</v>
      </c>
      <c r="F3141" s="3"/>
      <c r="G3141" s="3"/>
      <c r="H3141" s="3"/>
      <c r="I3141" s="3"/>
    </row>
    <row r="3142" spans="1:9" s="5" customFormat="1" x14ac:dyDescent="0.35">
      <c r="A3142" s="3" t="s">
        <v>907</v>
      </c>
      <c r="B3142" s="3" t="s">
        <v>1010</v>
      </c>
      <c r="C3142" s="3" t="s">
        <v>45</v>
      </c>
      <c r="D3142" s="3" t="s">
        <v>2838</v>
      </c>
      <c r="E3142" s="3" t="s">
        <v>225</v>
      </c>
      <c r="F3142" s="3"/>
      <c r="G3142" s="3"/>
      <c r="H3142" s="3"/>
      <c r="I3142" s="3"/>
    </row>
    <row r="3143" spans="1:9" s="5" customFormat="1" x14ac:dyDescent="0.35">
      <c r="A3143" s="3" t="s">
        <v>907</v>
      </c>
      <c r="B3143" s="3" t="s">
        <v>1010</v>
      </c>
      <c r="C3143" s="3" t="s">
        <v>45</v>
      </c>
      <c r="D3143" s="3" t="s">
        <v>2838</v>
      </c>
      <c r="E3143" s="3" t="s">
        <v>221</v>
      </c>
      <c r="F3143" s="3"/>
      <c r="G3143" s="3"/>
      <c r="H3143" s="3"/>
      <c r="I3143" s="3"/>
    </row>
    <row r="3144" spans="1:9" s="5" customFormat="1" x14ac:dyDescent="0.35">
      <c r="A3144" s="3" t="s">
        <v>907</v>
      </c>
      <c r="B3144" s="3" t="s">
        <v>1010</v>
      </c>
      <c r="C3144" s="3" t="s">
        <v>45</v>
      </c>
      <c r="D3144" s="3" t="s">
        <v>2838</v>
      </c>
      <c r="E3144" s="3" t="s">
        <v>222</v>
      </c>
      <c r="F3144" s="3"/>
      <c r="G3144" s="3"/>
      <c r="H3144" s="3"/>
      <c r="I3144" s="3"/>
    </row>
    <row r="3145" spans="1:9" s="5" customFormat="1" x14ac:dyDescent="0.35">
      <c r="A3145" s="3" t="s">
        <v>907</v>
      </c>
      <c r="B3145" s="3" t="s">
        <v>1010</v>
      </c>
      <c r="C3145" s="3" t="s">
        <v>45</v>
      </c>
      <c r="D3145" s="3" t="s">
        <v>2838</v>
      </c>
      <c r="E3145" s="3" t="s">
        <v>223</v>
      </c>
      <c r="F3145" s="3"/>
      <c r="G3145" s="3"/>
      <c r="H3145" s="3"/>
      <c r="I3145" s="3"/>
    </row>
    <row r="3146" spans="1:9" s="5" customFormat="1" x14ac:dyDescent="0.35">
      <c r="A3146" s="3" t="s">
        <v>907</v>
      </c>
      <c r="B3146" s="3" t="s">
        <v>1010</v>
      </c>
      <c r="C3146" s="3" t="s">
        <v>45</v>
      </c>
      <c r="D3146" s="3" t="s">
        <v>2838</v>
      </c>
      <c r="E3146" s="3" t="s">
        <v>226</v>
      </c>
      <c r="F3146" s="3"/>
      <c r="G3146" s="3"/>
      <c r="H3146" s="3"/>
      <c r="I3146" s="3"/>
    </row>
    <row r="3147" spans="1:9" s="5" customFormat="1" x14ac:dyDescent="0.35">
      <c r="A3147" s="3" t="s">
        <v>907</v>
      </c>
      <c r="B3147" s="3" t="s">
        <v>1010</v>
      </c>
      <c r="C3147" s="3" t="s">
        <v>45</v>
      </c>
      <c r="D3147" s="3" t="s">
        <v>2838</v>
      </c>
      <c r="E3147" s="3" t="s">
        <v>227</v>
      </c>
      <c r="F3147" s="3"/>
      <c r="G3147" s="3"/>
      <c r="H3147" s="3"/>
      <c r="I3147" s="3"/>
    </row>
    <row r="3148" spans="1:9" s="5" customFormat="1" x14ac:dyDescent="0.35">
      <c r="A3148" s="3" t="s">
        <v>907</v>
      </c>
      <c r="B3148" s="3" t="s">
        <v>1010</v>
      </c>
      <c r="C3148" s="3" t="s">
        <v>45</v>
      </c>
      <c r="D3148" s="3" t="s">
        <v>2838</v>
      </c>
      <c r="E3148" s="3" t="s">
        <v>228</v>
      </c>
      <c r="F3148" s="3"/>
      <c r="G3148" s="3"/>
      <c r="H3148" s="3"/>
      <c r="I3148" s="3"/>
    </row>
    <row r="3149" spans="1:9" s="5" customFormat="1" x14ac:dyDescent="0.35">
      <c r="A3149" s="3" t="s">
        <v>907</v>
      </c>
      <c r="B3149" s="3" t="s">
        <v>1010</v>
      </c>
      <c r="C3149" s="3" t="s">
        <v>45</v>
      </c>
      <c r="D3149" s="3" t="s">
        <v>2838</v>
      </c>
      <c r="E3149" s="3" t="s">
        <v>229</v>
      </c>
      <c r="F3149" s="3"/>
      <c r="G3149" s="3"/>
      <c r="H3149" s="3"/>
      <c r="I3149" s="3"/>
    </row>
    <row r="3150" spans="1:9" s="5" customFormat="1" x14ac:dyDescent="0.35">
      <c r="A3150" s="3" t="s">
        <v>907</v>
      </c>
      <c r="B3150" s="3" t="s">
        <v>1010</v>
      </c>
      <c r="C3150" s="3" t="s">
        <v>45</v>
      </c>
      <c r="D3150" s="3" t="s">
        <v>2838</v>
      </c>
      <c r="E3150" s="3" t="s">
        <v>230</v>
      </c>
      <c r="F3150" s="3"/>
      <c r="G3150" s="3"/>
      <c r="H3150" s="3"/>
      <c r="I3150" s="3"/>
    </row>
    <row r="3151" spans="1:9" s="5" customFormat="1" x14ac:dyDescent="0.35">
      <c r="A3151" s="3" t="s">
        <v>907</v>
      </c>
      <c r="B3151" s="3" t="s">
        <v>1010</v>
      </c>
      <c r="C3151" s="3" t="s">
        <v>45</v>
      </c>
      <c r="D3151" s="3" t="s">
        <v>2838</v>
      </c>
      <c r="E3151" s="3" t="s">
        <v>219</v>
      </c>
      <c r="F3151" s="3"/>
      <c r="G3151" s="3"/>
      <c r="H3151" s="3"/>
      <c r="I3151" s="3"/>
    </row>
    <row r="3152" spans="1:9" s="5" customFormat="1" x14ac:dyDescent="0.35">
      <c r="A3152" s="3" t="s">
        <v>907</v>
      </c>
      <c r="B3152" s="3" t="s">
        <v>1010</v>
      </c>
      <c r="C3152" s="3" t="s">
        <v>45</v>
      </c>
      <c r="D3152" s="3" t="s">
        <v>2838</v>
      </c>
      <c r="E3152" s="3" t="s">
        <v>372</v>
      </c>
      <c r="F3152" s="3"/>
      <c r="G3152" s="3"/>
      <c r="H3152" s="3"/>
      <c r="I3152" s="3"/>
    </row>
    <row r="3153" spans="1:9" s="5" customFormat="1" x14ac:dyDescent="0.35">
      <c r="A3153" s="3" t="s">
        <v>907</v>
      </c>
      <c r="B3153" s="3" t="s">
        <v>1010</v>
      </c>
      <c r="C3153" s="3" t="s">
        <v>45</v>
      </c>
      <c r="D3153" s="3" t="s">
        <v>2838</v>
      </c>
      <c r="E3153" s="3" t="s">
        <v>218</v>
      </c>
      <c r="F3153" s="3"/>
      <c r="G3153" s="3"/>
      <c r="H3153" s="3"/>
      <c r="I3153" s="3"/>
    </row>
    <row r="3154" spans="1:9" s="5" customFormat="1" x14ac:dyDescent="0.35">
      <c r="A3154" s="3" t="s">
        <v>907</v>
      </c>
      <c r="B3154" s="3" t="s">
        <v>1010</v>
      </c>
      <c r="C3154" s="3" t="s">
        <v>45</v>
      </c>
      <c r="D3154" s="3" t="s">
        <v>2838</v>
      </c>
      <c r="E3154" s="3" t="s">
        <v>224</v>
      </c>
      <c r="F3154" s="3"/>
      <c r="G3154" s="3"/>
      <c r="H3154" s="3"/>
      <c r="I3154" s="3"/>
    </row>
    <row r="3155" spans="1:9" s="5" customFormat="1" x14ac:dyDescent="0.35">
      <c r="A3155" s="3" t="s">
        <v>907</v>
      </c>
      <c r="B3155" s="3" t="s">
        <v>1010</v>
      </c>
      <c r="C3155" s="3" t="s">
        <v>45</v>
      </c>
      <c r="D3155" s="3" t="s">
        <v>1148</v>
      </c>
      <c r="E3155" s="3" t="s">
        <v>166</v>
      </c>
      <c r="F3155" s="3"/>
      <c r="G3155" s="3"/>
      <c r="H3155" s="3"/>
      <c r="I3155" s="3"/>
    </row>
    <row r="3156" spans="1:9" s="5" customFormat="1" x14ac:dyDescent="0.35">
      <c r="A3156" s="3" t="s">
        <v>907</v>
      </c>
      <c r="B3156" s="3" t="s">
        <v>1010</v>
      </c>
      <c r="C3156" s="3" t="s">
        <v>45</v>
      </c>
      <c r="D3156" s="3" t="s">
        <v>1148</v>
      </c>
      <c r="E3156" s="3" t="s">
        <v>1016</v>
      </c>
      <c r="F3156" s="3"/>
      <c r="G3156" s="3" t="s">
        <v>2453</v>
      </c>
      <c r="H3156" s="3"/>
      <c r="I3156" s="3"/>
    </row>
    <row r="3157" spans="1:9" s="5" customFormat="1" x14ac:dyDescent="0.35">
      <c r="A3157" s="3" t="s">
        <v>907</v>
      </c>
      <c r="B3157" s="3" t="s">
        <v>1010</v>
      </c>
      <c r="C3157" s="3" t="s">
        <v>45</v>
      </c>
      <c r="D3157" s="3" t="s">
        <v>1148</v>
      </c>
      <c r="E3157" s="3" t="s">
        <v>225</v>
      </c>
      <c r="F3157" s="3"/>
      <c r="G3157" s="3"/>
      <c r="H3157" s="3"/>
      <c r="I3157" s="3"/>
    </row>
    <row r="3158" spans="1:9" s="5" customFormat="1" x14ac:dyDescent="0.35">
      <c r="A3158" s="3" t="s">
        <v>907</v>
      </c>
      <c r="B3158" s="3" t="s">
        <v>1010</v>
      </c>
      <c r="C3158" s="3" t="s">
        <v>45</v>
      </c>
      <c r="D3158" s="3" t="s">
        <v>1148</v>
      </c>
      <c r="E3158" s="3" t="s">
        <v>221</v>
      </c>
      <c r="F3158" s="3"/>
      <c r="G3158" s="3"/>
      <c r="H3158" s="3"/>
      <c r="I3158" s="3"/>
    </row>
    <row r="3159" spans="1:9" s="5" customFormat="1" x14ac:dyDescent="0.35">
      <c r="A3159" s="3" t="s">
        <v>907</v>
      </c>
      <c r="B3159" s="3" t="s">
        <v>1010</v>
      </c>
      <c r="C3159" s="3" t="s">
        <v>45</v>
      </c>
      <c r="D3159" s="3" t="s">
        <v>1148</v>
      </c>
      <c r="E3159" s="3" t="s">
        <v>222</v>
      </c>
      <c r="F3159" s="3"/>
      <c r="G3159" s="3"/>
      <c r="H3159" s="3"/>
      <c r="I3159" s="3"/>
    </row>
    <row r="3160" spans="1:9" s="5" customFormat="1" x14ac:dyDescent="0.35">
      <c r="A3160" s="3" t="s">
        <v>907</v>
      </c>
      <c r="B3160" s="3" t="s">
        <v>1010</v>
      </c>
      <c r="C3160" s="3" t="s">
        <v>45</v>
      </c>
      <c r="D3160" s="3" t="s">
        <v>1148</v>
      </c>
      <c r="E3160" s="3" t="s">
        <v>223</v>
      </c>
      <c r="F3160" s="3"/>
      <c r="G3160" s="3"/>
      <c r="H3160" s="3"/>
      <c r="I3160" s="3"/>
    </row>
    <row r="3161" spans="1:9" s="5" customFormat="1" x14ac:dyDescent="0.35">
      <c r="A3161" s="3" t="s">
        <v>907</v>
      </c>
      <c r="B3161" s="3" t="s">
        <v>1010</v>
      </c>
      <c r="C3161" s="3" t="s">
        <v>45</v>
      </c>
      <c r="D3161" s="3" t="s">
        <v>1148</v>
      </c>
      <c r="E3161" s="3" t="s">
        <v>226</v>
      </c>
      <c r="F3161" s="3"/>
      <c r="G3161" s="3"/>
      <c r="H3161" s="3"/>
      <c r="I3161" s="3"/>
    </row>
    <row r="3162" spans="1:9" s="5" customFormat="1" x14ac:dyDescent="0.35">
      <c r="A3162" s="3" t="s">
        <v>907</v>
      </c>
      <c r="B3162" s="3" t="s">
        <v>1010</v>
      </c>
      <c r="C3162" s="3" t="s">
        <v>45</v>
      </c>
      <c r="D3162" s="3" t="s">
        <v>1148</v>
      </c>
      <c r="E3162" s="3" t="s">
        <v>227</v>
      </c>
      <c r="F3162" s="3"/>
      <c r="G3162" s="3"/>
      <c r="H3162" s="3"/>
      <c r="I3162" s="3"/>
    </row>
    <row r="3163" spans="1:9" s="5" customFormat="1" x14ac:dyDescent="0.35">
      <c r="A3163" s="3" t="s">
        <v>907</v>
      </c>
      <c r="B3163" s="3" t="s">
        <v>1010</v>
      </c>
      <c r="C3163" s="3" t="s">
        <v>45</v>
      </c>
      <c r="D3163" s="3" t="s">
        <v>1148</v>
      </c>
      <c r="E3163" s="3" t="s">
        <v>228</v>
      </c>
      <c r="F3163" s="3"/>
      <c r="G3163" s="3"/>
      <c r="H3163" s="3"/>
      <c r="I3163" s="3"/>
    </row>
    <row r="3164" spans="1:9" s="5" customFormat="1" x14ac:dyDescent="0.35">
      <c r="A3164" s="3" t="s">
        <v>907</v>
      </c>
      <c r="B3164" s="3" t="s">
        <v>1010</v>
      </c>
      <c r="C3164" s="3" t="s">
        <v>45</v>
      </c>
      <c r="D3164" s="3" t="s">
        <v>1148</v>
      </c>
      <c r="E3164" s="3" t="s">
        <v>229</v>
      </c>
      <c r="F3164" s="3"/>
      <c r="G3164" s="3"/>
      <c r="H3164" s="3"/>
      <c r="I3164" s="3"/>
    </row>
    <row r="3165" spans="1:9" s="5" customFormat="1" x14ac:dyDescent="0.35">
      <c r="A3165" s="3" t="s">
        <v>907</v>
      </c>
      <c r="B3165" s="3" t="s">
        <v>1010</v>
      </c>
      <c r="C3165" s="3" t="s">
        <v>45</v>
      </c>
      <c r="D3165" s="3" t="s">
        <v>1148</v>
      </c>
      <c r="E3165" s="3" t="s">
        <v>230</v>
      </c>
      <c r="F3165" s="3"/>
      <c r="G3165" s="3"/>
      <c r="H3165" s="3"/>
      <c r="I3165" s="3"/>
    </row>
    <row r="3166" spans="1:9" s="5" customFormat="1" x14ac:dyDescent="0.35">
      <c r="A3166" s="3" t="s">
        <v>907</v>
      </c>
      <c r="B3166" s="3" t="s">
        <v>1010</v>
      </c>
      <c r="C3166" s="3" t="s">
        <v>45</v>
      </c>
      <c r="D3166" s="3" t="s">
        <v>1148</v>
      </c>
      <c r="E3166" s="3" t="s">
        <v>219</v>
      </c>
      <c r="F3166" s="3"/>
      <c r="G3166" s="3"/>
      <c r="H3166" s="3"/>
      <c r="I3166" s="3"/>
    </row>
    <row r="3167" spans="1:9" s="5" customFormat="1" x14ac:dyDescent="0.35">
      <c r="A3167" s="3" t="s">
        <v>907</v>
      </c>
      <c r="B3167" s="3" t="s">
        <v>1010</v>
      </c>
      <c r="C3167" s="3" t="s">
        <v>45</v>
      </c>
      <c r="D3167" s="3" t="s">
        <v>1148</v>
      </c>
      <c r="E3167" s="3" t="s">
        <v>372</v>
      </c>
      <c r="F3167" s="3"/>
      <c r="G3167" s="3"/>
      <c r="H3167" s="3"/>
      <c r="I3167" s="3"/>
    </row>
    <row r="3168" spans="1:9" s="5" customFormat="1" x14ac:dyDescent="0.35">
      <c r="A3168" s="3" t="s">
        <v>907</v>
      </c>
      <c r="B3168" s="3" t="s">
        <v>1010</v>
      </c>
      <c r="C3168" s="3" t="s">
        <v>45</v>
      </c>
      <c r="D3168" s="3" t="s">
        <v>1148</v>
      </c>
      <c r="E3168" s="3" t="s">
        <v>218</v>
      </c>
      <c r="F3168" s="3"/>
      <c r="G3168" s="3"/>
      <c r="H3168" s="3"/>
      <c r="I3168" s="3"/>
    </row>
    <row r="3169" spans="1:9" s="5" customFormat="1" x14ac:dyDescent="0.35">
      <c r="A3169" s="3" t="s">
        <v>907</v>
      </c>
      <c r="B3169" s="3" t="s">
        <v>1010</v>
      </c>
      <c r="C3169" s="3" t="s">
        <v>45</v>
      </c>
      <c r="D3169" s="3" t="s">
        <v>1148</v>
      </c>
      <c r="E3169" s="3" t="s">
        <v>224</v>
      </c>
      <c r="F3169" s="3"/>
      <c r="G3169" s="3"/>
      <c r="H3169" s="3"/>
      <c r="I3169" s="3"/>
    </row>
    <row r="3170" spans="1:9" s="5" customFormat="1" x14ac:dyDescent="0.35">
      <c r="A3170" s="3" t="s">
        <v>907</v>
      </c>
      <c r="B3170" s="3" t="s">
        <v>1010</v>
      </c>
      <c r="C3170" s="3" t="s">
        <v>45</v>
      </c>
      <c r="D3170" s="3" t="s">
        <v>1149</v>
      </c>
      <c r="E3170" s="3" t="s">
        <v>166</v>
      </c>
      <c r="F3170" s="3"/>
      <c r="G3170" s="3"/>
      <c r="H3170" s="3"/>
      <c r="I3170" s="3"/>
    </row>
    <row r="3171" spans="1:9" s="5" customFormat="1" x14ac:dyDescent="0.35">
      <c r="A3171" s="3" t="s">
        <v>907</v>
      </c>
      <c r="B3171" s="3" t="s">
        <v>1010</v>
      </c>
      <c r="C3171" s="3" t="s">
        <v>45</v>
      </c>
      <c r="D3171" s="3" t="s">
        <v>1149</v>
      </c>
      <c r="E3171" s="3" t="s">
        <v>1016</v>
      </c>
      <c r="F3171" s="3"/>
      <c r="G3171" s="3"/>
      <c r="H3171" s="3"/>
      <c r="I3171" s="3"/>
    </row>
    <row r="3172" spans="1:9" s="5" customFormat="1" x14ac:dyDescent="0.35">
      <c r="A3172" s="3" t="s">
        <v>907</v>
      </c>
      <c r="B3172" s="3" t="s">
        <v>1010</v>
      </c>
      <c r="C3172" s="3" t="s">
        <v>45</v>
      </c>
      <c r="D3172" s="3" t="s">
        <v>1149</v>
      </c>
      <c r="E3172" s="3" t="s">
        <v>225</v>
      </c>
      <c r="F3172" s="3"/>
      <c r="G3172" s="3"/>
      <c r="H3172" s="3"/>
      <c r="I3172" s="3"/>
    </row>
    <row r="3173" spans="1:9" s="5" customFormat="1" x14ac:dyDescent="0.35">
      <c r="A3173" s="3" t="s">
        <v>907</v>
      </c>
      <c r="B3173" s="3" t="s">
        <v>1010</v>
      </c>
      <c r="C3173" s="3" t="s">
        <v>45</v>
      </c>
      <c r="D3173" s="3" t="s">
        <v>1149</v>
      </c>
      <c r="E3173" s="3" t="s">
        <v>221</v>
      </c>
      <c r="F3173" s="3"/>
      <c r="G3173" s="3"/>
      <c r="H3173" s="3"/>
      <c r="I3173" s="3"/>
    </row>
    <row r="3174" spans="1:9" s="5" customFormat="1" x14ac:dyDescent="0.35">
      <c r="A3174" s="3" t="s">
        <v>907</v>
      </c>
      <c r="B3174" s="3" t="s">
        <v>1010</v>
      </c>
      <c r="C3174" s="3" t="s">
        <v>45</v>
      </c>
      <c r="D3174" s="3" t="s">
        <v>1149</v>
      </c>
      <c r="E3174" s="3" t="s">
        <v>222</v>
      </c>
      <c r="F3174" s="3"/>
      <c r="G3174" s="3"/>
      <c r="H3174" s="3"/>
      <c r="I3174" s="3"/>
    </row>
    <row r="3175" spans="1:9" s="5" customFormat="1" x14ac:dyDescent="0.35">
      <c r="A3175" s="3" t="s">
        <v>907</v>
      </c>
      <c r="B3175" s="3" t="s">
        <v>1010</v>
      </c>
      <c r="C3175" s="3" t="s">
        <v>45</v>
      </c>
      <c r="D3175" s="3" t="s">
        <v>1149</v>
      </c>
      <c r="E3175" s="3" t="s">
        <v>223</v>
      </c>
      <c r="F3175" s="3"/>
      <c r="G3175" s="3"/>
      <c r="H3175" s="3"/>
      <c r="I3175" s="3"/>
    </row>
    <row r="3176" spans="1:9" s="5" customFormat="1" x14ac:dyDescent="0.35">
      <c r="A3176" s="3" t="s">
        <v>907</v>
      </c>
      <c r="B3176" s="3" t="s">
        <v>1010</v>
      </c>
      <c r="C3176" s="3" t="s">
        <v>45</v>
      </c>
      <c r="D3176" s="3" t="s">
        <v>1149</v>
      </c>
      <c r="E3176" s="3" t="s">
        <v>226</v>
      </c>
      <c r="F3176" s="3"/>
      <c r="G3176" s="3"/>
      <c r="H3176" s="3"/>
      <c r="I3176" s="3"/>
    </row>
    <row r="3177" spans="1:9" s="5" customFormat="1" x14ac:dyDescent="0.35">
      <c r="A3177" s="3" t="s">
        <v>907</v>
      </c>
      <c r="B3177" s="3" t="s">
        <v>1010</v>
      </c>
      <c r="C3177" s="3" t="s">
        <v>45</v>
      </c>
      <c r="D3177" s="3" t="s">
        <v>1149</v>
      </c>
      <c r="E3177" s="3" t="s">
        <v>227</v>
      </c>
      <c r="F3177" s="3"/>
      <c r="G3177" s="3"/>
      <c r="H3177" s="3"/>
      <c r="I3177" s="3"/>
    </row>
    <row r="3178" spans="1:9" s="5" customFormat="1" x14ac:dyDescent="0.35">
      <c r="A3178" s="3" t="s">
        <v>907</v>
      </c>
      <c r="B3178" s="3" t="s">
        <v>1010</v>
      </c>
      <c r="C3178" s="3" t="s">
        <v>45</v>
      </c>
      <c r="D3178" s="3" t="s">
        <v>1149</v>
      </c>
      <c r="E3178" s="3" t="s">
        <v>228</v>
      </c>
      <c r="F3178" s="3"/>
      <c r="G3178" s="3"/>
      <c r="H3178" s="3"/>
      <c r="I3178" s="3"/>
    </row>
    <row r="3179" spans="1:9" s="5" customFormat="1" x14ac:dyDescent="0.35">
      <c r="A3179" s="3" t="s">
        <v>907</v>
      </c>
      <c r="B3179" s="3" t="s">
        <v>1010</v>
      </c>
      <c r="C3179" s="3" t="s">
        <v>45</v>
      </c>
      <c r="D3179" s="3" t="s">
        <v>1149</v>
      </c>
      <c r="E3179" s="3" t="s">
        <v>229</v>
      </c>
      <c r="F3179" s="3"/>
      <c r="G3179" s="3"/>
      <c r="H3179" s="3"/>
      <c r="I3179" s="3"/>
    </row>
    <row r="3180" spans="1:9" s="5" customFormat="1" x14ac:dyDescent="0.35">
      <c r="A3180" s="3" t="s">
        <v>907</v>
      </c>
      <c r="B3180" s="3" t="s">
        <v>1010</v>
      </c>
      <c r="C3180" s="3" t="s">
        <v>45</v>
      </c>
      <c r="D3180" s="3" t="s">
        <v>1149</v>
      </c>
      <c r="E3180" s="3" t="s">
        <v>230</v>
      </c>
      <c r="F3180" s="3"/>
      <c r="G3180" s="3"/>
      <c r="H3180" s="3"/>
      <c r="I3180" s="3"/>
    </row>
    <row r="3181" spans="1:9" s="5" customFormat="1" x14ac:dyDescent="0.35">
      <c r="A3181" s="3" t="s">
        <v>907</v>
      </c>
      <c r="B3181" s="3" t="s">
        <v>1010</v>
      </c>
      <c r="C3181" s="3" t="s">
        <v>45</v>
      </c>
      <c r="D3181" s="3" t="s">
        <v>1149</v>
      </c>
      <c r="E3181" s="3" t="s">
        <v>219</v>
      </c>
      <c r="F3181" s="3"/>
      <c r="G3181" s="3"/>
      <c r="H3181" s="3"/>
      <c r="I3181" s="3"/>
    </row>
    <row r="3182" spans="1:9" s="5" customFormat="1" x14ac:dyDescent="0.35">
      <c r="A3182" s="3" t="s">
        <v>907</v>
      </c>
      <c r="B3182" s="3" t="s">
        <v>1010</v>
      </c>
      <c r="C3182" s="3" t="s">
        <v>45</v>
      </c>
      <c r="D3182" s="3" t="s">
        <v>1149</v>
      </c>
      <c r="E3182" s="3" t="s">
        <v>372</v>
      </c>
      <c r="F3182" s="3"/>
      <c r="G3182" s="3"/>
      <c r="H3182" s="3"/>
      <c r="I3182" s="3"/>
    </row>
    <row r="3183" spans="1:9" s="5" customFormat="1" x14ac:dyDescent="0.35">
      <c r="A3183" s="3" t="s">
        <v>907</v>
      </c>
      <c r="B3183" s="3" t="s">
        <v>1010</v>
      </c>
      <c r="C3183" s="3" t="s">
        <v>45</v>
      </c>
      <c r="D3183" s="3" t="s">
        <v>1149</v>
      </c>
      <c r="E3183" s="3" t="s">
        <v>218</v>
      </c>
      <c r="F3183" s="3"/>
      <c r="G3183" s="3"/>
      <c r="H3183" s="3"/>
      <c r="I3183" s="3"/>
    </row>
    <row r="3184" spans="1:9" s="5" customFormat="1" x14ac:dyDescent="0.35">
      <c r="A3184" s="3" t="s">
        <v>907</v>
      </c>
      <c r="B3184" s="3" t="s">
        <v>1010</v>
      </c>
      <c r="C3184" s="3" t="s">
        <v>45</v>
      </c>
      <c r="D3184" s="3" t="s">
        <v>1149</v>
      </c>
      <c r="E3184" s="3" t="s">
        <v>224</v>
      </c>
      <c r="F3184" s="3"/>
      <c r="G3184" s="3"/>
      <c r="H3184" s="3"/>
      <c r="I3184" s="3"/>
    </row>
    <row r="3185" spans="1:9" s="5" customFormat="1" x14ac:dyDescent="0.35">
      <c r="A3185" s="3" t="s">
        <v>907</v>
      </c>
      <c r="B3185" s="3" t="s">
        <v>1010</v>
      </c>
      <c r="C3185" s="3" t="s">
        <v>45</v>
      </c>
      <c r="D3185" s="3" t="s">
        <v>1150</v>
      </c>
      <c r="E3185" s="3" t="s">
        <v>166</v>
      </c>
      <c r="F3185" s="3"/>
      <c r="G3185" s="3"/>
      <c r="H3185" s="3"/>
      <c r="I3185" s="3"/>
    </row>
    <row r="3186" spans="1:9" s="5" customFormat="1" x14ac:dyDescent="0.35">
      <c r="A3186" s="3" t="s">
        <v>907</v>
      </c>
      <c r="B3186" s="3" t="s">
        <v>1010</v>
      </c>
      <c r="C3186" s="3" t="s">
        <v>45</v>
      </c>
      <c r="D3186" s="3" t="s">
        <v>1150</v>
      </c>
      <c r="E3186" s="3" t="s">
        <v>23</v>
      </c>
      <c r="F3186" s="3"/>
      <c r="G3186" s="3"/>
      <c r="H3186" s="3"/>
      <c r="I3186" s="3"/>
    </row>
    <row r="3187" spans="1:9" s="5" customFormat="1" x14ac:dyDescent="0.35">
      <c r="A3187" s="3" t="s">
        <v>907</v>
      </c>
      <c r="B3187" s="3" t="s">
        <v>1010</v>
      </c>
      <c r="C3187" s="3" t="s">
        <v>45</v>
      </c>
      <c r="D3187" s="3" t="s">
        <v>1150</v>
      </c>
      <c r="E3187" s="3" t="s">
        <v>220</v>
      </c>
      <c r="F3187" s="3"/>
      <c r="G3187" s="3"/>
      <c r="H3187" s="3"/>
      <c r="I3187" s="3"/>
    </row>
    <row r="3188" spans="1:9" s="5" customFormat="1" x14ac:dyDescent="0.35">
      <c r="A3188" s="3" t="s">
        <v>907</v>
      </c>
      <c r="B3188" s="3" t="s">
        <v>1010</v>
      </c>
      <c r="C3188" s="3" t="s">
        <v>45</v>
      </c>
      <c r="D3188" s="3" t="s">
        <v>1150</v>
      </c>
      <c r="E3188" s="3" t="s">
        <v>225</v>
      </c>
      <c r="F3188" s="3"/>
      <c r="G3188" s="3"/>
      <c r="H3188" s="3"/>
      <c r="I3188" s="3"/>
    </row>
    <row r="3189" spans="1:9" s="5" customFormat="1" x14ac:dyDescent="0.35">
      <c r="A3189" s="3" t="s">
        <v>907</v>
      </c>
      <c r="B3189" s="3" t="s">
        <v>1010</v>
      </c>
      <c r="C3189" s="3" t="s">
        <v>45</v>
      </c>
      <c r="D3189" s="3" t="s">
        <v>1150</v>
      </c>
      <c r="E3189" s="3" t="s">
        <v>221</v>
      </c>
      <c r="F3189" s="3"/>
      <c r="G3189" s="3"/>
      <c r="H3189" s="3"/>
      <c r="I3189" s="3"/>
    </row>
    <row r="3190" spans="1:9" s="5" customFormat="1" x14ac:dyDescent="0.35">
      <c r="A3190" s="3" t="s">
        <v>907</v>
      </c>
      <c r="B3190" s="3" t="s">
        <v>1010</v>
      </c>
      <c r="C3190" s="3" t="s">
        <v>45</v>
      </c>
      <c r="D3190" s="3" t="s">
        <v>1150</v>
      </c>
      <c r="E3190" s="3" t="s">
        <v>222</v>
      </c>
      <c r="F3190" s="3"/>
      <c r="G3190" s="3"/>
      <c r="H3190" s="3"/>
      <c r="I3190" s="3"/>
    </row>
    <row r="3191" spans="1:9" s="5" customFormat="1" x14ac:dyDescent="0.35">
      <c r="A3191" s="3" t="s">
        <v>907</v>
      </c>
      <c r="B3191" s="3" t="s">
        <v>1010</v>
      </c>
      <c r="C3191" s="3" t="s">
        <v>45</v>
      </c>
      <c r="D3191" s="3" t="s">
        <v>1150</v>
      </c>
      <c r="E3191" s="3" t="s">
        <v>223</v>
      </c>
      <c r="F3191" s="3"/>
      <c r="G3191" s="3"/>
      <c r="H3191" s="3"/>
      <c r="I3191" s="3"/>
    </row>
    <row r="3192" spans="1:9" s="5" customFormat="1" x14ac:dyDescent="0.35">
      <c r="A3192" s="3" t="s">
        <v>907</v>
      </c>
      <c r="B3192" s="3" t="s">
        <v>1010</v>
      </c>
      <c r="C3192" s="3" t="s">
        <v>45</v>
      </c>
      <c r="D3192" s="3" t="s">
        <v>1150</v>
      </c>
      <c r="E3192" s="3" t="s">
        <v>226</v>
      </c>
      <c r="F3192" s="3"/>
      <c r="G3192" s="3"/>
      <c r="H3192" s="3"/>
      <c r="I3192" s="3"/>
    </row>
    <row r="3193" spans="1:9" s="5" customFormat="1" x14ac:dyDescent="0.35">
      <c r="A3193" s="3" t="s">
        <v>907</v>
      </c>
      <c r="B3193" s="3" t="s">
        <v>1010</v>
      </c>
      <c r="C3193" s="3" t="s">
        <v>45</v>
      </c>
      <c r="D3193" s="3" t="s">
        <v>1150</v>
      </c>
      <c r="E3193" s="3" t="s">
        <v>227</v>
      </c>
      <c r="F3193" s="3"/>
      <c r="G3193" s="3"/>
      <c r="H3193" s="3"/>
      <c r="I3193" s="3"/>
    </row>
    <row r="3194" spans="1:9" s="5" customFormat="1" x14ac:dyDescent="0.35">
      <c r="A3194" s="3" t="s">
        <v>907</v>
      </c>
      <c r="B3194" s="3" t="s">
        <v>1010</v>
      </c>
      <c r="C3194" s="3" t="s">
        <v>45</v>
      </c>
      <c r="D3194" s="3" t="s">
        <v>1150</v>
      </c>
      <c r="E3194" s="3" t="s">
        <v>228</v>
      </c>
      <c r="F3194" s="3"/>
      <c r="G3194" s="3"/>
      <c r="H3194" s="3"/>
      <c r="I3194" s="3"/>
    </row>
    <row r="3195" spans="1:9" s="5" customFormat="1" x14ac:dyDescent="0.35">
      <c r="A3195" s="3" t="s">
        <v>907</v>
      </c>
      <c r="B3195" s="3" t="s">
        <v>1010</v>
      </c>
      <c r="C3195" s="3" t="s">
        <v>45</v>
      </c>
      <c r="D3195" s="3" t="s">
        <v>1150</v>
      </c>
      <c r="E3195" s="3" t="s">
        <v>56</v>
      </c>
      <c r="F3195" s="3"/>
      <c r="G3195" s="3"/>
      <c r="H3195" s="3"/>
      <c r="I3195" s="3"/>
    </row>
    <row r="3196" spans="1:9" s="5" customFormat="1" x14ac:dyDescent="0.35">
      <c r="A3196" s="3" t="s">
        <v>907</v>
      </c>
      <c r="B3196" s="3" t="s">
        <v>1010</v>
      </c>
      <c r="C3196" s="3" t="s">
        <v>45</v>
      </c>
      <c r="D3196" s="3" t="s">
        <v>1150</v>
      </c>
      <c r="E3196" s="3" t="s">
        <v>229</v>
      </c>
      <c r="F3196" s="3"/>
      <c r="G3196" s="3"/>
      <c r="H3196" s="3"/>
      <c r="I3196" s="3"/>
    </row>
    <row r="3197" spans="1:9" s="5" customFormat="1" x14ac:dyDescent="0.35">
      <c r="A3197" s="3" t="s">
        <v>907</v>
      </c>
      <c r="B3197" s="3" t="s">
        <v>1010</v>
      </c>
      <c r="C3197" s="3" t="s">
        <v>45</v>
      </c>
      <c r="D3197" s="3" t="s">
        <v>1150</v>
      </c>
      <c r="E3197" s="3" t="s">
        <v>230</v>
      </c>
      <c r="F3197" s="3"/>
      <c r="G3197" s="3"/>
      <c r="H3197" s="3"/>
      <c r="I3197" s="3"/>
    </row>
    <row r="3198" spans="1:9" s="5" customFormat="1" x14ac:dyDescent="0.35">
      <c r="A3198" s="3" t="s">
        <v>907</v>
      </c>
      <c r="B3198" s="3" t="s">
        <v>1010</v>
      </c>
      <c r="C3198" s="3" t="s">
        <v>45</v>
      </c>
      <c r="D3198" s="3" t="s">
        <v>1150</v>
      </c>
      <c r="E3198" s="3" t="s">
        <v>219</v>
      </c>
      <c r="F3198" s="3"/>
      <c r="G3198" s="3"/>
      <c r="H3198" s="3"/>
      <c r="I3198" s="3"/>
    </row>
    <row r="3199" spans="1:9" s="5" customFormat="1" x14ac:dyDescent="0.35">
      <c r="A3199" s="3" t="s">
        <v>907</v>
      </c>
      <c r="B3199" s="3" t="s">
        <v>1010</v>
      </c>
      <c r="C3199" s="3" t="s">
        <v>45</v>
      </c>
      <c r="D3199" s="3" t="s">
        <v>1150</v>
      </c>
      <c r="E3199" s="3" t="s">
        <v>372</v>
      </c>
      <c r="F3199" s="3"/>
      <c r="G3199" s="3"/>
      <c r="H3199" s="3"/>
      <c r="I3199" s="3"/>
    </row>
    <row r="3200" spans="1:9" s="5" customFormat="1" x14ac:dyDescent="0.35">
      <c r="A3200" s="3" t="s">
        <v>907</v>
      </c>
      <c r="B3200" s="3" t="s">
        <v>1010</v>
      </c>
      <c r="C3200" s="3" t="s">
        <v>45</v>
      </c>
      <c r="D3200" s="3" t="s">
        <v>1150</v>
      </c>
      <c r="E3200" s="3" t="s">
        <v>218</v>
      </c>
      <c r="F3200" s="3"/>
      <c r="G3200" s="3"/>
      <c r="H3200" s="3"/>
      <c r="I3200" s="3"/>
    </row>
    <row r="3201" spans="1:9" s="5" customFormat="1" x14ac:dyDescent="0.35">
      <c r="A3201" s="3" t="s">
        <v>907</v>
      </c>
      <c r="B3201" s="3" t="s">
        <v>1010</v>
      </c>
      <c r="C3201" s="3" t="s">
        <v>45</v>
      </c>
      <c r="D3201" s="3" t="s">
        <v>1150</v>
      </c>
      <c r="E3201" s="3" t="s">
        <v>224</v>
      </c>
      <c r="F3201" s="3"/>
      <c r="G3201" s="3"/>
      <c r="H3201" s="3"/>
      <c r="I3201" s="3"/>
    </row>
    <row r="3202" spans="1:9" s="5" customFormat="1" x14ac:dyDescent="0.35">
      <c r="A3202" s="3" t="s">
        <v>907</v>
      </c>
      <c r="B3202" s="3" t="s">
        <v>1010</v>
      </c>
      <c r="C3202" s="3" t="s">
        <v>45</v>
      </c>
      <c r="D3202" s="3" t="s">
        <v>1151</v>
      </c>
      <c r="E3202" s="3" t="s">
        <v>166</v>
      </c>
      <c r="F3202" s="3"/>
      <c r="G3202" s="3"/>
      <c r="H3202" s="3"/>
      <c r="I3202" s="3"/>
    </row>
    <row r="3203" spans="1:9" s="5" customFormat="1" x14ac:dyDescent="0.35">
      <c r="A3203" s="3" t="s">
        <v>907</v>
      </c>
      <c r="B3203" s="3" t="s">
        <v>1010</v>
      </c>
      <c r="C3203" s="3" t="s">
        <v>45</v>
      </c>
      <c r="D3203" s="3" t="s">
        <v>1151</v>
      </c>
      <c r="E3203" s="3" t="s">
        <v>1016</v>
      </c>
      <c r="F3203" s="3"/>
      <c r="G3203" s="3"/>
      <c r="H3203" s="3"/>
      <c r="I3203" s="3"/>
    </row>
    <row r="3204" spans="1:9" s="5" customFormat="1" x14ac:dyDescent="0.35">
      <c r="A3204" s="3" t="s">
        <v>907</v>
      </c>
      <c r="B3204" s="3" t="s">
        <v>1010</v>
      </c>
      <c r="C3204" s="3" t="s">
        <v>45</v>
      </c>
      <c r="D3204" s="3" t="s">
        <v>1151</v>
      </c>
      <c r="E3204" s="3" t="s">
        <v>225</v>
      </c>
      <c r="F3204" s="3"/>
      <c r="G3204" s="3"/>
      <c r="H3204" s="3"/>
      <c r="I3204" s="3"/>
    </row>
    <row r="3205" spans="1:9" s="5" customFormat="1" x14ac:dyDescent="0.35">
      <c r="A3205" s="3" t="s">
        <v>907</v>
      </c>
      <c r="B3205" s="3" t="s">
        <v>1010</v>
      </c>
      <c r="C3205" s="3" t="s">
        <v>45</v>
      </c>
      <c r="D3205" s="3" t="s">
        <v>1151</v>
      </c>
      <c r="E3205" s="3" t="s">
        <v>221</v>
      </c>
      <c r="F3205" s="3"/>
      <c r="G3205" s="3"/>
      <c r="H3205" s="3"/>
      <c r="I3205" s="3"/>
    </row>
    <row r="3206" spans="1:9" s="5" customFormat="1" x14ac:dyDescent="0.35">
      <c r="A3206" s="3" t="s">
        <v>907</v>
      </c>
      <c r="B3206" s="3" t="s">
        <v>1010</v>
      </c>
      <c r="C3206" s="3" t="s">
        <v>45</v>
      </c>
      <c r="D3206" s="3" t="s">
        <v>1151</v>
      </c>
      <c r="E3206" s="3" t="s">
        <v>222</v>
      </c>
      <c r="F3206" s="3"/>
      <c r="G3206" s="3"/>
      <c r="H3206" s="3"/>
      <c r="I3206" s="3"/>
    </row>
    <row r="3207" spans="1:9" s="5" customFormat="1" x14ac:dyDescent="0.35">
      <c r="A3207" s="3" t="s">
        <v>907</v>
      </c>
      <c r="B3207" s="3" t="s">
        <v>1010</v>
      </c>
      <c r="C3207" s="3" t="s">
        <v>45</v>
      </c>
      <c r="D3207" s="3" t="s">
        <v>1151</v>
      </c>
      <c r="E3207" s="3" t="s">
        <v>223</v>
      </c>
      <c r="F3207" s="3"/>
      <c r="G3207" s="3"/>
      <c r="H3207" s="3"/>
      <c r="I3207" s="3"/>
    </row>
    <row r="3208" spans="1:9" s="5" customFormat="1" x14ac:dyDescent="0.35">
      <c r="A3208" s="3" t="s">
        <v>907</v>
      </c>
      <c r="B3208" s="3" t="s">
        <v>1010</v>
      </c>
      <c r="C3208" s="3" t="s">
        <v>45</v>
      </c>
      <c r="D3208" s="3" t="s">
        <v>1151</v>
      </c>
      <c r="E3208" s="3" t="s">
        <v>226</v>
      </c>
      <c r="F3208" s="3"/>
      <c r="G3208" s="3"/>
      <c r="H3208" s="3"/>
      <c r="I3208" s="3"/>
    </row>
    <row r="3209" spans="1:9" s="5" customFormat="1" x14ac:dyDescent="0.35">
      <c r="A3209" s="3" t="s">
        <v>907</v>
      </c>
      <c r="B3209" s="3" t="s">
        <v>1010</v>
      </c>
      <c r="C3209" s="3" t="s">
        <v>45</v>
      </c>
      <c r="D3209" s="3" t="s">
        <v>1151</v>
      </c>
      <c r="E3209" s="3" t="s">
        <v>227</v>
      </c>
      <c r="F3209" s="3"/>
      <c r="G3209" s="3"/>
      <c r="H3209" s="3"/>
      <c r="I3209" s="3"/>
    </row>
    <row r="3210" spans="1:9" s="5" customFormat="1" x14ac:dyDescent="0.35">
      <c r="A3210" s="3" t="s">
        <v>907</v>
      </c>
      <c r="B3210" s="3" t="s">
        <v>1010</v>
      </c>
      <c r="C3210" s="3" t="s">
        <v>45</v>
      </c>
      <c r="D3210" s="3" t="s">
        <v>1151</v>
      </c>
      <c r="E3210" s="3" t="s">
        <v>228</v>
      </c>
      <c r="F3210" s="3"/>
      <c r="G3210" s="3"/>
      <c r="H3210" s="3"/>
      <c r="I3210" s="3"/>
    </row>
    <row r="3211" spans="1:9" s="5" customFormat="1" x14ac:dyDescent="0.35">
      <c r="A3211" s="3" t="s">
        <v>907</v>
      </c>
      <c r="B3211" s="3" t="s">
        <v>1010</v>
      </c>
      <c r="C3211" s="3" t="s">
        <v>45</v>
      </c>
      <c r="D3211" s="3" t="s">
        <v>1151</v>
      </c>
      <c r="E3211" s="3" t="s">
        <v>229</v>
      </c>
      <c r="F3211" s="3"/>
      <c r="G3211" s="3"/>
      <c r="H3211" s="3"/>
      <c r="I3211" s="3"/>
    </row>
    <row r="3212" spans="1:9" s="5" customFormat="1" x14ac:dyDescent="0.35">
      <c r="A3212" s="3" t="s">
        <v>907</v>
      </c>
      <c r="B3212" s="3" t="s">
        <v>1010</v>
      </c>
      <c r="C3212" s="3" t="s">
        <v>45</v>
      </c>
      <c r="D3212" s="3" t="s">
        <v>1151</v>
      </c>
      <c r="E3212" s="3" t="s">
        <v>230</v>
      </c>
      <c r="F3212" s="3"/>
      <c r="G3212" s="3"/>
      <c r="H3212" s="3"/>
      <c r="I3212" s="3"/>
    </row>
    <row r="3213" spans="1:9" s="5" customFormat="1" x14ac:dyDescent="0.35">
      <c r="A3213" s="3" t="s">
        <v>907</v>
      </c>
      <c r="B3213" s="3" t="s">
        <v>1010</v>
      </c>
      <c r="C3213" s="3" t="s">
        <v>45</v>
      </c>
      <c r="D3213" s="3" t="s">
        <v>1151</v>
      </c>
      <c r="E3213" s="3" t="s">
        <v>219</v>
      </c>
      <c r="F3213" s="3"/>
      <c r="G3213" s="3"/>
      <c r="H3213" s="3"/>
      <c r="I3213" s="3"/>
    </row>
    <row r="3214" spans="1:9" s="5" customFormat="1" x14ac:dyDescent="0.35">
      <c r="A3214" s="3" t="s">
        <v>907</v>
      </c>
      <c r="B3214" s="3" t="s">
        <v>1010</v>
      </c>
      <c r="C3214" s="3" t="s">
        <v>45</v>
      </c>
      <c r="D3214" s="3" t="s">
        <v>1151</v>
      </c>
      <c r="E3214" s="3" t="s">
        <v>372</v>
      </c>
      <c r="F3214" s="3"/>
      <c r="G3214" s="3"/>
      <c r="H3214" s="3"/>
      <c r="I3214" s="3"/>
    </row>
    <row r="3215" spans="1:9" s="5" customFormat="1" x14ac:dyDescent="0.35">
      <c r="A3215" s="3" t="s">
        <v>907</v>
      </c>
      <c r="B3215" s="3" t="s">
        <v>1010</v>
      </c>
      <c r="C3215" s="3" t="s">
        <v>45</v>
      </c>
      <c r="D3215" s="3" t="s">
        <v>1151</v>
      </c>
      <c r="E3215" s="3" t="s">
        <v>218</v>
      </c>
      <c r="F3215" s="3"/>
      <c r="G3215" s="3"/>
      <c r="H3215" s="3"/>
      <c r="I3215" s="3"/>
    </row>
    <row r="3216" spans="1:9" s="5" customFormat="1" x14ac:dyDescent="0.35">
      <c r="A3216" s="3" t="s">
        <v>907</v>
      </c>
      <c r="B3216" s="3" t="s">
        <v>1010</v>
      </c>
      <c r="C3216" s="3" t="s">
        <v>45</v>
      </c>
      <c r="D3216" s="3" t="s">
        <v>1151</v>
      </c>
      <c r="E3216" s="3" t="s">
        <v>224</v>
      </c>
      <c r="F3216" s="3"/>
      <c r="G3216" s="3"/>
      <c r="H3216" s="3"/>
      <c r="I3216" s="3"/>
    </row>
    <row r="3217" spans="1:9" s="5" customFormat="1" x14ac:dyDescent="0.35">
      <c r="A3217" s="3" t="s">
        <v>907</v>
      </c>
      <c r="B3217" s="3" t="s">
        <v>1010</v>
      </c>
      <c r="C3217" s="3" t="s">
        <v>10</v>
      </c>
      <c r="D3217" s="3" t="s">
        <v>2780</v>
      </c>
      <c r="E3217" s="3" t="s">
        <v>47</v>
      </c>
      <c r="F3217" s="3" t="s">
        <v>16</v>
      </c>
      <c r="G3217" s="3" t="s">
        <v>2731</v>
      </c>
      <c r="H3217" s="3"/>
      <c r="I3217" s="3"/>
    </row>
    <row r="3218" spans="1:9" s="5" customFormat="1" x14ac:dyDescent="0.35">
      <c r="A3218" s="3" t="s">
        <v>907</v>
      </c>
      <c r="B3218" s="3" t="s">
        <v>1010</v>
      </c>
      <c r="C3218" s="3" t="s">
        <v>10</v>
      </c>
      <c r="D3218" s="3" t="s">
        <v>2780</v>
      </c>
      <c r="E3218" s="3" t="s">
        <v>15</v>
      </c>
      <c r="F3218" s="3" t="s">
        <v>16</v>
      </c>
      <c r="G3218" s="3" t="s">
        <v>2731</v>
      </c>
      <c r="H3218" s="3"/>
      <c r="I3218" s="3"/>
    </row>
    <row r="3219" spans="1:9" s="5" customFormat="1" x14ac:dyDescent="0.35">
      <c r="A3219" s="3" t="s">
        <v>907</v>
      </c>
      <c r="B3219" s="3" t="s">
        <v>1010</v>
      </c>
      <c r="C3219" s="3" t="s">
        <v>10</v>
      </c>
      <c r="D3219" s="3" t="s">
        <v>2780</v>
      </c>
      <c r="E3219" s="3" t="s">
        <v>107</v>
      </c>
      <c r="F3219" s="3" t="s">
        <v>16</v>
      </c>
      <c r="G3219" s="3" t="s">
        <v>2731</v>
      </c>
      <c r="H3219" s="3"/>
      <c r="I3219" s="3"/>
    </row>
    <row r="3220" spans="1:9" s="5" customFormat="1" x14ac:dyDescent="0.35">
      <c r="A3220" s="3" t="s">
        <v>907</v>
      </c>
      <c r="B3220" s="3" t="s">
        <v>1010</v>
      </c>
      <c r="C3220" s="3" t="s">
        <v>45</v>
      </c>
      <c r="D3220" s="3" t="s">
        <v>1152</v>
      </c>
      <c r="E3220" s="3" t="s">
        <v>36</v>
      </c>
      <c r="F3220" s="3"/>
      <c r="G3220" s="3"/>
      <c r="H3220" s="3"/>
      <c r="I3220" s="3"/>
    </row>
    <row r="3221" spans="1:9" s="5" customFormat="1" x14ac:dyDescent="0.35">
      <c r="A3221" s="3" t="s">
        <v>907</v>
      </c>
      <c r="B3221" s="3" t="s">
        <v>1010</v>
      </c>
      <c r="C3221" s="3" t="s">
        <v>45</v>
      </c>
      <c r="D3221" s="3" t="s">
        <v>1152</v>
      </c>
      <c r="E3221" s="3" t="s">
        <v>77</v>
      </c>
      <c r="F3221" s="3"/>
      <c r="G3221" s="3"/>
      <c r="H3221" s="3"/>
      <c r="I3221" s="3"/>
    </row>
    <row r="3222" spans="1:9" s="5" customFormat="1" x14ac:dyDescent="0.35">
      <c r="A3222" s="3" t="s">
        <v>907</v>
      </c>
      <c r="B3222" s="3" t="s">
        <v>1010</v>
      </c>
      <c r="C3222" s="3" t="s">
        <v>45</v>
      </c>
      <c r="D3222" s="3" t="s">
        <v>1152</v>
      </c>
      <c r="E3222" s="3" t="s">
        <v>15</v>
      </c>
      <c r="F3222" s="3" t="s">
        <v>16</v>
      </c>
      <c r="G3222" s="3" t="s">
        <v>990</v>
      </c>
      <c r="H3222" s="3"/>
      <c r="I3222" s="3"/>
    </row>
    <row r="3223" spans="1:9" s="5" customFormat="1" x14ac:dyDescent="0.35">
      <c r="A3223" s="3" t="s">
        <v>907</v>
      </c>
      <c r="B3223" s="3" t="s">
        <v>1010</v>
      </c>
      <c r="C3223" s="3" t="s">
        <v>20</v>
      </c>
      <c r="D3223" s="3" t="s">
        <v>1153</v>
      </c>
      <c r="E3223" s="3" t="s">
        <v>36</v>
      </c>
      <c r="F3223" s="3"/>
      <c r="G3223" s="3"/>
      <c r="H3223" s="3"/>
      <c r="I3223" s="3"/>
    </row>
    <row r="3224" spans="1:9" s="5" customFormat="1" x14ac:dyDescent="0.35">
      <c r="A3224" s="3" t="s">
        <v>907</v>
      </c>
      <c r="B3224" s="3" t="s">
        <v>1010</v>
      </c>
      <c r="C3224" s="3" t="s">
        <v>20</v>
      </c>
      <c r="D3224" s="3" t="s">
        <v>1153</v>
      </c>
      <c r="E3224" s="3" t="s">
        <v>77</v>
      </c>
      <c r="F3224" s="3"/>
      <c r="G3224" s="3"/>
      <c r="H3224" s="3"/>
      <c r="I3224" s="3"/>
    </row>
    <row r="3225" spans="1:9" s="5" customFormat="1" x14ac:dyDescent="0.35">
      <c r="A3225" s="3" t="s">
        <v>907</v>
      </c>
      <c r="B3225" s="3" t="s">
        <v>1010</v>
      </c>
      <c r="C3225" s="3" t="s">
        <v>20</v>
      </c>
      <c r="D3225" s="3" t="s">
        <v>1153</v>
      </c>
      <c r="E3225" s="3" t="s">
        <v>28</v>
      </c>
      <c r="F3225" s="3"/>
      <c r="G3225" s="3"/>
      <c r="H3225" s="3"/>
      <c r="I3225" s="3"/>
    </row>
    <row r="3226" spans="1:9" s="5" customFormat="1" x14ac:dyDescent="0.35">
      <c r="A3226" s="3" t="s">
        <v>907</v>
      </c>
      <c r="B3226" s="3" t="s">
        <v>1010</v>
      </c>
      <c r="C3226" s="3" t="s">
        <v>20</v>
      </c>
      <c r="D3226" s="3" t="s">
        <v>1153</v>
      </c>
      <c r="E3226" s="3" t="s">
        <v>56</v>
      </c>
      <c r="F3226" s="3"/>
      <c r="G3226" s="3" t="s">
        <v>2387</v>
      </c>
      <c r="H3226" s="3"/>
      <c r="I3226" s="3"/>
    </row>
    <row r="3227" spans="1:9" s="5" customFormat="1" x14ac:dyDescent="0.35">
      <c r="A3227" s="3" t="s">
        <v>907</v>
      </c>
      <c r="B3227" s="3" t="s">
        <v>1010</v>
      </c>
      <c r="C3227" s="3" t="s">
        <v>20</v>
      </c>
      <c r="D3227" s="3" t="s">
        <v>1153</v>
      </c>
      <c r="E3227" s="3" t="s">
        <v>37</v>
      </c>
      <c r="F3227" s="3"/>
      <c r="G3227" s="3" t="s">
        <v>2448</v>
      </c>
      <c r="H3227" s="3"/>
      <c r="I3227" s="3"/>
    </row>
    <row r="3228" spans="1:9" s="5" customFormat="1" x14ac:dyDescent="0.35">
      <c r="A3228" s="3" t="s">
        <v>907</v>
      </c>
      <c r="B3228" s="3" t="s">
        <v>1010</v>
      </c>
      <c r="C3228" s="3" t="s">
        <v>20</v>
      </c>
      <c r="D3228" s="3" t="s">
        <v>1153</v>
      </c>
      <c r="E3228" s="3" t="s">
        <v>32</v>
      </c>
      <c r="F3228" s="3"/>
      <c r="G3228" s="3" t="s">
        <v>2293</v>
      </c>
      <c r="H3228" s="3"/>
      <c r="I3228" s="3"/>
    </row>
    <row r="3229" spans="1:9" s="5" customFormat="1" x14ac:dyDescent="0.35">
      <c r="A3229" s="3" t="s">
        <v>907</v>
      </c>
      <c r="B3229" s="3" t="s">
        <v>1010</v>
      </c>
      <c r="C3229" s="3" t="s">
        <v>20</v>
      </c>
      <c r="D3229" s="3" t="s">
        <v>1153</v>
      </c>
      <c r="E3229" s="3" t="s">
        <v>29</v>
      </c>
      <c r="F3229" s="3"/>
      <c r="G3229" s="3"/>
      <c r="H3229" s="3"/>
      <c r="I3229" s="3"/>
    </row>
    <row r="3230" spans="1:9" s="5" customFormat="1" x14ac:dyDescent="0.35">
      <c r="A3230" s="3" t="s">
        <v>907</v>
      </c>
      <c r="B3230" s="3" t="s">
        <v>1010</v>
      </c>
      <c r="C3230" s="3" t="s">
        <v>20</v>
      </c>
      <c r="D3230" s="3" t="s">
        <v>1153</v>
      </c>
      <c r="E3230" s="3" t="s">
        <v>152</v>
      </c>
      <c r="F3230" s="3"/>
      <c r="G3230" s="3"/>
      <c r="H3230" s="3"/>
      <c r="I3230" s="3"/>
    </row>
    <row r="3231" spans="1:9" s="5" customFormat="1" x14ac:dyDescent="0.35">
      <c r="A3231" s="3" t="s">
        <v>907</v>
      </c>
      <c r="B3231" s="3" t="s">
        <v>1010</v>
      </c>
      <c r="C3231" s="3" t="s">
        <v>45</v>
      </c>
      <c r="D3231" s="3" t="s">
        <v>1154</v>
      </c>
      <c r="E3231" s="3" t="s">
        <v>166</v>
      </c>
      <c r="F3231" s="3"/>
      <c r="G3231" s="3"/>
      <c r="H3231" s="3"/>
      <c r="I3231" s="3"/>
    </row>
    <row r="3232" spans="1:9" s="5" customFormat="1" x14ac:dyDescent="0.35">
      <c r="A3232" s="3" t="s">
        <v>907</v>
      </c>
      <c r="B3232" s="3" t="s">
        <v>1010</v>
      </c>
      <c r="C3232" s="3" t="s">
        <v>45</v>
      </c>
      <c r="D3232" s="3" t="s">
        <v>1154</v>
      </c>
      <c r="E3232" s="3" t="s">
        <v>217</v>
      </c>
      <c r="F3232" s="3"/>
      <c r="G3232" s="3"/>
      <c r="H3232" s="3"/>
      <c r="I3232" s="3"/>
    </row>
    <row r="3233" spans="1:9" s="5" customFormat="1" x14ac:dyDescent="0.35">
      <c r="A3233" s="3" t="s">
        <v>907</v>
      </c>
      <c r="B3233" s="3" t="s">
        <v>1010</v>
      </c>
      <c r="C3233" s="3" t="s">
        <v>45</v>
      </c>
      <c r="D3233" s="3" t="s">
        <v>1154</v>
      </c>
      <c r="E3233" s="3" t="s">
        <v>47</v>
      </c>
      <c r="F3233" s="3"/>
      <c r="G3233" s="3"/>
      <c r="H3233" s="3"/>
      <c r="I3233" s="3"/>
    </row>
    <row r="3234" spans="1:9" s="5" customFormat="1" x14ac:dyDescent="0.35">
      <c r="A3234" s="3" t="s">
        <v>907</v>
      </c>
      <c r="B3234" s="3" t="s">
        <v>1010</v>
      </c>
      <c r="C3234" s="3" t="s">
        <v>45</v>
      </c>
      <c r="D3234" s="3" t="s">
        <v>1154</v>
      </c>
      <c r="E3234" s="3" t="s">
        <v>60</v>
      </c>
      <c r="F3234" s="3"/>
      <c r="G3234" s="3"/>
      <c r="H3234" s="3"/>
      <c r="I3234" s="3"/>
    </row>
    <row r="3235" spans="1:9" s="5" customFormat="1" x14ac:dyDescent="0.35">
      <c r="A3235" s="3" t="s">
        <v>907</v>
      </c>
      <c r="B3235" s="3" t="s">
        <v>1010</v>
      </c>
      <c r="C3235" s="3" t="s">
        <v>45</v>
      </c>
      <c r="D3235" s="3" t="s">
        <v>1154</v>
      </c>
      <c r="E3235" s="3" t="s">
        <v>1016</v>
      </c>
      <c r="F3235" s="3"/>
      <c r="G3235" s="3"/>
      <c r="H3235" s="3"/>
      <c r="I3235" s="3"/>
    </row>
    <row r="3236" spans="1:9" s="5" customFormat="1" x14ac:dyDescent="0.35">
      <c r="A3236" s="3" t="s">
        <v>907</v>
      </c>
      <c r="B3236" s="3" t="s">
        <v>1010</v>
      </c>
      <c r="C3236" s="3" t="s">
        <v>45</v>
      </c>
      <c r="D3236" s="3" t="s">
        <v>1154</v>
      </c>
      <c r="E3236" s="3" t="s">
        <v>225</v>
      </c>
      <c r="F3236" s="3"/>
      <c r="G3236" s="3"/>
      <c r="H3236" s="3"/>
      <c r="I3236" s="3"/>
    </row>
    <row r="3237" spans="1:9" s="5" customFormat="1" x14ac:dyDescent="0.35">
      <c r="A3237" s="3" t="s">
        <v>907</v>
      </c>
      <c r="B3237" s="3" t="s">
        <v>1010</v>
      </c>
      <c r="C3237" s="3" t="s">
        <v>45</v>
      </c>
      <c r="D3237" s="3" t="s">
        <v>1154</v>
      </c>
      <c r="E3237" s="3" t="s">
        <v>77</v>
      </c>
      <c r="F3237" s="3"/>
      <c r="G3237" s="3"/>
      <c r="H3237" s="3"/>
      <c r="I3237" s="3"/>
    </row>
    <row r="3238" spans="1:9" s="5" customFormat="1" x14ac:dyDescent="0.35">
      <c r="A3238" s="3" t="s">
        <v>907</v>
      </c>
      <c r="B3238" s="3" t="s">
        <v>1010</v>
      </c>
      <c r="C3238" s="3" t="s">
        <v>45</v>
      </c>
      <c r="D3238" s="3" t="s">
        <v>1154</v>
      </c>
      <c r="E3238" s="3" t="s">
        <v>221</v>
      </c>
      <c r="F3238" s="3"/>
      <c r="G3238" s="3"/>
      <c r="H3238" s="3"/>
      <c r="I3238" s="3"/>
    </row>
    <row r="3239" spans="1:9" s="5" customFormat="1" x14ac:dyDescent="0.35">
      <c r="A3239" s="3" t="s">
        <v>907</v>
      </c>
      <c r="B3239" s="3" t="s">
        <v>1010</v>
      </c>
      <c r="C3239" s="3" t="s">
        <v>45</v>
      </c>
      <c r="D3239" s="3" t="s">
        <v>1154</v>
      </c>
      <c r="E3239" s="3" t="s">
        <v>222</v>
      </c>
      <c r="F3239" s="3"/>
      <c r="G3239" s="3"/>
      <c r="H3239" s="3"/>
      <c r="I3239" s="3"/>
    </row>
    <row r="3240" spans="1:9" s="5" customFormat="1" x14ac:dyDescent="0.35">
      <c r="A3240" s="3" t="s">
        <v>907</v>
      </c>
      <c r="B3240" s="3" t="s">
        <v>1010</v>
      </c>
      <c r="C3240" s="3" t="s">
        <v>45</v>
      </c>
      <c r="D3240" s="3" t="s">
        <v>1154</v>
      </c>
      <c r="E3240" s="3" t="s">
        <v>223</v>
      </c>
      <c r="F3240" s="3"/>
      <c r="G3240" s="3"/>
      <c r="H3240" s="3"/>
      <c r="I3240" s="3"/>
    </row>
    <row r="3241" spans="1:9" s="5" customFormat="1" x14ac:dyDescent="0.35">
      <c r="A3241" s="3" t="s">
        <v>907</v>
      </c>
      <c r="B3241" s="3" t="s">
        <v>1010</v>
      </c>
      <c r="C3241" s="3" t="s">
        <v>45</v>
      </c>
      <c r="D3241" s="3" t="s">
        <v>1154</v>
      </c>
      <c r="E3241" s="3" t="s">
        <v>242</v>
      </c>
      <c r="F3241" s="3"/>
      <c r="G3241" s="3"/>
      <c r="H3241" s="3"/>
      <c r="I3241" s="3"/>
    </row>
    <row r="3242" spans="1:9" s="5" customFormat="1" x14ac:dyDescent="0.35">
      <c r="A3242" s="3" t="s">
        <v>907</v>
      </c>
      <c r="B3242" s="3" t="s">
        <v>1010</v>
      </c>
      <c r="C3242" s="3" t="s">
        <v>45</v>
      </c>
      <c r="D3242" s="3" t="s">
        <v>1154</v>
      </c>
      <c r="E3242" s="3" t="s">
        <v>15</v>
      </c>
      <c r="F3242" s="3" t="s">
        <v>16</v>
      </c>
      <c r="G3242" s="3" t="s">
        <v>990</v>
      </c>
      <c r="H3242" s="3"/>
      <c r="I3242" s="3"/>
    </row>
    <row r="3243" spans="1:9" s="5" customFormat="1" x14ac:dyDescent="0.35">
      <c r="A3243" s="3" t="s">
        <v>907</v>
      </c>
      <c r="B3243" s="3" t="s">
        <v>1010</v>
      </c>
      <c r="C3243" s="3" t="s">
        <v>45</v>
      </c>
      <c r="D3243" s="3" t="s">
        <v>1154</v>
      </c>
      <c r="E3243" s="3" t="s">
        <v>226</v>
      </c>
      <c r="F3243" s="3"/>
      <c r="G3243" s="3"/>
      <c r="H3243" s="3"/>
      <c r="I3243" s="3"/>
    </row>
    <row r="3244" spans="1:9" s="5" customFormat="1" x14ac:dyDescent="0.35">
      <c r="A3244" s="3" t="s">
        <v>907</v>
      </c>
      <c r="B3244" s="3" t="s">
        <v>1010</v>
      </c>
      <c r="C3244" s="3" t="s">
        <v>45</v>
      </c>
      <c r="D3244" s="3" t="s">
        <v>1154</v>
      </c>
      <c r="E3244" s="3" t="s">
        <v>227</v>
      </c>
      <c r="F3244" s="3"/>
      <c r="G3244" s="3"/>
      <c r="H3244" s="3"/>
      <c r="I3244" s="3"/>
    </row>
    <row r="3245" spans="1:9" s="5" customFormat="1" x14ac:dyDescent="0.35">
      <c r="A3245" s="3" t="s">
        <v>907</v>
      </c>
      <c r="B3245" s="3" t="s">
        <v>1010</v>
      </c>
      <c r="C3245" s="3" t="s">
        <v>45</v>
      </c>
      <c r="D3245" s="3" t="s">
        <v>1154</v>
      </c>
      <c r="E3245" s="3" t="s">
        <v>228</v>
      </c>
      <c r="F3245" s="3"/>
      <c r="G3245" s="3"/>
      <c r="H3245" s="3"/>
      <c r="I3245" s="3"/>
    </row>
    <row r="3246" spans="1:9" s="5" customFormat="1" x14ac:dyDescent="0.35">
      <c r="A3246" s="3" t="s">
        <v>907</v>
      </c>
      <c r="B3246" s="3" t="s">
        <v>1010</v>
      </c>
      <c r="C3246" s="3" t="s">
        <v>45</v>
      </c>
      <c r="D3246" s="3" t="s">
        <v>1154</v>
      </c>
      <c r="E3246" s="3" t="s">
        <v>229</v>
      </c>
      <c r="F3246" s="3"/>
      <c r="G3246" s="3"/>
      <c r="H3246" s="3"/>
      <c r="I3246" s="3"/>
    </row>
    <row r="3247" spans="1:9" s="5" customFormat="1" x14ac:dyDescent="0.35">
      <c r="A3247" s="3" t="s">
        <v>907</v>
      </c>
      <c r="B3247" s="3" t="s">
        <v>1010</v>
      </c>
      <c r="C3247" s="3" t="s">
        <v>45</v>
      </c>
      <c r="D3247" s="3" t="s">
        <v>1154</v>
      </c>
      <c r="E3247" s="3" t="s">
        <v>230</v>
      </c>
      <c r="F3247" s="3"/>
      <c r="G3247" s="3"/>
      <c r="H3247" s="3"/>
      <c r="I3247" s="3"/>
    </row>
    <row r="3248" spans="1:9" s="5" customFormat="1" x14ac:dyDescent="0.35">
      <c r="A3248" s="3" t="s">
        <v>907</v>
      </c>
      <c r="B3248" s="3" t="s">
        <v>1010</v>
      </c>
      <c r="C3248" s="3" t="s">
        <v>45</v>
      </c>
      <c r="D3248" s="3" t="s">
        <v>1154</v>
      </c>
      <c r="E3248" s="3" t="s">
        <v>32</v>
      </c>
      <c r="F3248" s="3"/>
      <c r="G3248" s="3"/>
      <c r="H3248" s="3"/>
      <c r="I3248" s="3"/>
    </row>
    <row r="3249" spans="1:9" s="5" customFormat="1" x14ac:dyDescent="0.35">
      <c r="A3249" s="3" t="s">
        <v>907</v>
      </c>
      <c r="B3249" s="3" t="s">
        <v>1010</v>
      </c>
      <c r="C3249" s="3" t="s">
        <v>45</v>
      </c>
      <c r="D3249" s="3" t="s">
        <v>1154</v>
      </c>
      <c r="E3249" s="3" t="s">
        <v>152</v>
      </c>
      <c r="F3249" s="3"/>
      <c r="G3249" s="3" t="s">
        <v>2451</v>
      </c>
      <c r="H3249" s="3"/>
      <c r="I3249" s="3"/>
    </row>
    <row r="3250" spans="1:9" s="5" customFormat="1" x14ac:dyDescent="0.35">
      <c r="A3250" s="3" t="s">
        <v>907</v>
      </c>
      <c r="B3250" s="3" t="s">
        <v>1010</v>
      </c>
      <c r="C3250" s="3" t="s">
        <v>45</v>
      </c>
      <c r="D3250" s="3" t="s">
        <v>1154</v>
      </c>
      <c r="E3250" s="3" t="s">
        <v>219</v>
      </c>
      <c r="F3250" s="3"/>
      <c r="G3250" s="3"/>
      <c r="H3250" s="3"/>
      <c r="I3250" s="3"/>
    </row>
    <row r="3251" spans="1:9" s="5" customFormat="1" x14ac:dyDescent="0.35">
      <c r="A3251" s="3" t="s">
        <v>907</v>
      </c>
      <c r="B3251" s="3" t="s">
        <v>1010</v>
      </c>
      <c r="C3251" s="3" t="s">
        <v>45</v>
      </c>
      <c r="D3251" s="3" t="s">
        <v>1154</v>
      </c>
      <c r="E3251" s="3" t="s">
        <v>107</v>
      </c>
      <c r="F3251" s="3"/>
      <c r="G3251" s="3"/>
      <c r="H3251" s="3"/>
      <c r="I3251" s="3"/>
    </row>
    <row r="3252" spans="1:9" s="5" customFormat="1" x14ac:dyDescent="0.35">
      <c r="A3252" s="3" t="s">
        <v>907</v>
      </c>
      <c r="B3252" s="3" t="s">
        <v>1010</v>
      </c>
      <c r="C3252" s="3" t="s">
        <v>45</v>
      </c>
      <c r="D3252" s="3" t="s">
        <v>1154</v>
      </c>
      <c r="E3252" s="3" t="s">
        <v>372</v>
      </c>
      <c r="F3252" s="3"/>
      <c r="G3252" s="3"/>
      <c r="H3252" s="3"/>
      <c r="I3252" s="3"/>
    </row>
    <row r="3253" spans="1:9" s="5" customFormat="1" x14ac:dyDescent="0.35">
      <c r="A3253" s="3" t="s">
        <v>907</v>
      </c>
      <c r="B3253" s="3" t="s">
        <v>1010</v>
      </c>
      <c r="C3253" s="3" t="s">
        <v>45</v>
      </c>
      <c r="D3253" s="3" t="s">
        <v>1154</v>
      </c>
      <c r="E3253" s="3" t="s">
        <v>218</v>
      </c>
      <c r="F3253" s="3"/>
      <c r="G3253" s="3"/>
      <c r="H3253" s="3"/>
      <c r="I3253" s="3"/>
    </row>
    <row r="3254" spans="1:9" s="5" customFormat="1" x14ac:dyDescent="0.35">
      <c r="A3254" s="3" t="s">
        <v>907</v>
      </c>
      <c r="B3254" s="3" t="s">
        <v>1010</v>
      </c>
      <c r="C3254" s="3" t="s">
        <v>45</v>
      </c>
      <c r="D3254" s="3" t="s">
        <v>1154</v>
      </c>
      <c r="E3254" s="3" t="s">
        <v>224</v>
      </c>
      <c r="F3254" s="3"/>
      <c r="G3254" s="3"/>
      <c r="H3254" s="3"/>
      <c r="I3254" s="3"/>
    </row>
    <row r="3255" spans="1:9" s="5" customFormat="1" x14ac:dyDescent="0.35">
      <c r="A3255" s="3" t="s">
        <v>907</v>
      </c>
      <c r="B3255" s="3" t="s">
        <v>1010</v>
      </c>
      <c r="C3255" s="3" t="s">
        <v>45</v>
      </c>
      <c r="D3255" s="3" t="s">
        <v>1155</v>
      </c>
      <c r="E3255" s="3" t="s">
        <v>166</v>
      </c>
      <c r="F3255" s="3"/>
      <c r="G3255" s="3"/>
      <c r="H3255" s="3"/>
      <c r="I3255" s="3"/>
    </row>
    <row r="3256" spans="1:9" s="5" customFormat="1" x14ac:dyDescent="0.35">
      <c r="A3256" s="3" t="s">
        <v>907</v>
      </c>
      <c r="B3256" s="3" t="s">
        <v>1010</v>
      </c>
      <c r="C3256" s="3" t="s">
        <v>45</v>
      </c>
      <c r="D3256" s="3" t="s">
        <v>1155</v>
      </c>
      <c r="E3256" s="3" t="s">
        <v>1016</v>
      </c>
      <c r="F3256" s="3"/>
      <c r="G3256" s="3"/>
      <c r="H3256" s="3"/>
      <c r="I3256" s="3"/>
    </row>
    <row r="3257" spans="1:9" s="5" customFormat="1" x14ac:dyDescent="0.35">
      <c r="A3257" s="3" t="s">
        <v>907</v>
      </c>
      <c r="B3257" s="3" t="s">
        <v>1010</v>
      </c>
      <c r="C3257" s="3" t="s">
        <v>45</v>
      </c>
      <c r="D3257" s="3" t="s">
        <v>1155</v>
      </c>
      <c r="E3257" s="3" t="s">
        <v>225</v>
      </c>
      <c r="F3257" s="3"/>
      <c r="G3257" s="3"/>
      <c r="H3257" s="3"/>
      <c r="I3257" s="3"/>
    </row>
    <row r="3258" spans="1:9" s="5" customFormat="1" x14ac:dyDescent="0.35">
      <c r="A3258" s="3" t="s">
        <v>907</v>
      </c>
      <c r="B3258" s="3" t="s">
        <v>1010</v>
      </c>
      <c r="C3258" s="3" t="s">
        <v>45</v>
      </c>
      <c r="D3258" s="3" t="s">
        <v>1155</v>
      </c>
      <c r="E3258" s="3" t="s">
        <v>77</v>
      </c>
      <c r="F3258" s="3"/>
      <c r="G3258" s="3"/>
      <c r="H3258" s="3"/>
      <c r="I3258" s="3"/>
    </row>
    <row r="3259" spans="1:9" s="5" customFormat="1" x14ac:dyDescent="0.35">
      <c r="A3259" s="3" t="s">
        <v>907</v>
      </c>
      <c r="B3259" s="3" t="s">
        <v>1010</v>
      </c>
      <c r="C3259" s="3" t="s">
        <v>45</v>
      </c>
      <c r="D3259" s="3" t="s">
        <v>1155</v>
      </c>
      <c r="E3259" s="3" t="s">
        <v>1067</v>
      </c>
      <c r="F3259" s="3"/>
      <c r="G3259" s="3" t="s">
        <v>2364</v>
      </c>
      <c r="H3259" s="3"/>
      <c r="I3259" s="3"/>
    </row>
    <row r="3260" spans="1:9" s="5" customFormat="1" x14ac:dyDescent="0.35">
      <c r="A3260" s="3" t="s">
        <v>907</v>
      </c>
      <c r="B3260" s="3" t="s">
        <v>1010</v>
      </c>
      <c r="C3260" s="3" t="s">
        <v>45</v>
      </c>
      <c r="D3260" s="3" t="s">
        <v>1155</v>
      </c>
      <c r="E3260" s="3" t="s">
        <v>222</v>
      </c>
      <c r="F3260" s="3"/>
      <c r="G3260" s="3"/>
      <c r="H3260" s="3"/>
      <c r="I3260" s="3"/>
    </row>
    <row r="3261" spans="1:9" s="5" customFormat="1" x14ac:dyDescent="0.35">
      <c r="A3261" s="3" t="s">
        <v>907</v>
      </c>
      <c r="B3261" s="3" t="s">
        <v>1010</v>
      </c>
      <c r="C3261" s="3" t="s">
        <v>45</v>
      </c>
      <c r="D3261" s="3" t="s">
        <v>1155</v>
      </c>
      <c r="E3261" s="3" t="s">
        <v>223</v>
      </c>
      <c r="F3261" s="3"/>
      <c r="G3261" s="3"/>
      <c r="H3261" s="3"/>
      <c r="I3261" s="3"/>
    </row>
    <row r="3262" spans="1:9" s="5" customFormat="1" x14ac:dyDescent="0.35">
      <c r="A3262" s="3" t="s">
        <v>907</v>
      </c>
      <c r="B3262" s="3" t="s">
        <v>1010</v>
      </c>
      <c r="C3262" s="3" t="s">
        <v>45</v>
      </c>
      <c r="D3262" s="3" t="s">
        <v>1155</v>
      </c>
      <c r="E3262" s="3" t="s">
        <v>15</v>
      </c>
      <c r="F3262" s="3"/>
      <c r="G3262" s="3"/>
      <c r="H3262" s="3"/>
      <c r="I3262" s="3"/>
    </row>
    <row r="3263" spans="1:9" s="5" customFormat="1" x14ac:dyDescent="0.35">
      <c r="A3263" s="3" t="s">
        <v>907</v>
      </c>
      <c r="B3263" s="3" t="s">
        <v>1010</v>
      </c>
      <c r="C3263" s="3" t="s">
        <v>45</v>
      </c>
      <c r="D3263" s="3" t="s">
        <v>1155</v>
      </c>
      <c r="E3263" s="3" t="s">
        <v>226</v>
      </c>
      <c r="F3263" s="3"/>
      <c r="G3263" s="3"/>
      <c r="H3263" s="3"/>
      <c r="I3263" s="3"/>
    </row>
    <row r="3264" spans="1:9" s="5" customFormat="1" x14ac:dyDescent="0.35">
      <c r="A3264" s="3" t="s">
        <v>907</v>
      </c>
      <c r="B3264" s="3" t="s">
        <v>1010</v>
      </c>
      <c r="C3264" s="3" t="s">
        <v>45</v>
      </c>
      <c r="D3264" s="3" t="s">
        <v>1155</v>
      </c>
      <c r="E3264" s="3" t="s">
        <v>227</v>
      </c>
      <c r="F3264" s="3"/>
      <c r="G3264" s="3"/>
      <c r="H3264" s="3"/>
      <c r="I3264" s="3"/>
    </row>
    <row r="3265" spans="1:9" s="5" customFormat="1" x14ac:dyDescent="0.35">
      <c r="A3265" s="3" t="s">
        <v>907</v>
      </c>
      <c r="B3265" s="3" t="s">
        <v>1010</v>
      </c>
      <c r="C3265" s="3" t="s">
        <v>45</v>
      </c>
      <c r="D3265" s="3" t="s">
        <v>1155</v>
      </c>
      <c r="E3265" s="3" t="s">
        <v>228</v>
      </c>
      <c r="F3265" s="3"/>
      <c r="G3265" s="3"/>
      <c r="H3265" s="3"/>
      <c r="I3265" s="3"/>
    </row>
    <row r="3266" spans="1:9" s="5" customFormat="1" x14ac:dyDescent="0.35">
      <c r="A3266" s="3" t="s">
        <v>907</v>
      </c>
      <c r="B3266" s="3" t="s">
        <v>1010</v>
      </c>
      <c r="C3266" s="3" t="s">
        <v>45</v>
      </c>
      <c r="D3266" s="3" t="s">
        <v>1155</v>
      </c>
      <c r="E3266" s="3" t="s">
        <v>56</v>
      </c>
      <c r="F3266" s="3"/>
      <c r="G3266" s="3"/>
      <c r="H3266" s="3"/>
      <c r="I3266" s="3"/>
    </row>
    <row r="3267" spans="1:9" s="5" customFormat="1" x14ac:dyDescent="0.35">
      <c r="A3267" s="3" t="s">
        <v>907</v>
      </c>
      <c r="B3267" s="3" t="s">
        <v>1010</v>
      </c>
      <c r="C3267" s="3" t="s">
        <v>45</v>
      </c>
      <c r="D3267" s="3" t="s">
        <v>1155</v>
      </c>
      <c r="E3267" s="3" t="s">
        <v>229</v>
      </c>
      <c r="F3267" s="3"/>
      <c r="G3267" s="3"/>
      <c r="H3267" s="3"/>
      <c r="I3267" s="3"/>
    </row>
    <row r="3268" spans="1:9" s="5" customFormat="1" x14ac:dyDescent="0.35">
      <c r="A3268" s="3" t="s">
        <v>907</v>
      </c>
      <c r="B3268" s="3" t="s">
        <v>1010</v>
      </c>
      <c r="C3268" s="3" t="s">
        <v>45</v>
      </c>
      <c r="D3268" s="3" t="s">
        <v>1155</v>
      </c>
      <c r="E3268" s="3" t="s">
        <v>230</v>
      </c>
      <c r="F3268" s="3"/>
      <c r="G3268" s="3"/>
      <c r="H3268" s="3"/>
      <c r="I3268" s="3"/>
    </row>
    <row r="3269" spans="1:9" s="5" customFormat="1" x14ac:dyDescent="0.35">
      <c r="A3269" s="3" t="s">
        <v>907</v>
      </c>
      <c r="B3269" s="3" t="s">
        <v>1010</v>
      </c>
      <c r="C3269" s="3" t="s">
        <v>45</v>
      </c>
      <c r="D3269" s="3" t="s">
        <v>1155</v>
      </c>
      <c r="E3269" s="3" t="s">
        <v>29</v>
      </c>
      <c r="F3269" s="3"/>
      <c r="G3269" s="3"/>
      <c r="H3269" s="3"/>
      <c r="I3269" s="3"/>
    </row>
    <row r="3270" spans="1:9" s="5" customFormat="1" x14ac:dyDescent="0.35">
      <c r="A3270" s="3" t="s">
        <v>907</v>
      </c>
      <c r="B3270" s="3" t="s">
        <v>1010</v>
      </c>
      <c r="C3270" s="3" t="s">
        <v>45</v>
      </c>
      <c r="D3270" s="3" t="s">
        <v>1155</v>
      </c>
      <c r="E3270" s="3" t="s">
        <v>219</v>
      </c>
      <c r="F3270" s="3"/>
      <c r="G3270" s="3"/>
      <c r="H3270" s="3"/>
      <c r="I3270" s="3"/>
    </row>
    <row r="3271" spans="1:9" s="5" customFormat="1" x14ac:dyDescent="0.35">
      <c r="A3271" s="3" t="s">
        <v>907</v>
      </c>
      <c r="B3271" s="3" t="s">
        <v>1010</v>
      </c>
      <c r="C3271" s="3" t="s">
        <v>45</v>
      </c>
      <c r="D3271" s="3" t="s">
        <v>1155</v>
      </c>
      <c r="E3271" s="3" t="s">
        <v>218</v>
      </c>
      <c r="F3271" s="3"/>
      <c r="G3271" s="3"/>
      <c r="H3271" s="3"/>
      <c r="I3271" s="3"/>
    </row>
    <row r="3272" spans="1:9" s="5" customFormat="1" x14ac:dyDescent="0.35">
      <c r="A3272" s="3" t="s">
        <v>907</v>
      </c>
      <c r="B3272" s="3" t="s">
        <v>1010</v>
      </c>
      <c r="C3272" s="3" t="s">
        <v>45</v>
      </c>
      <c r="D3272" s="3" t="s">
        <v>1155</v>
      </c>
      <c r="E3272" s="3" t="s">
        <v>224</v>
      </c>
      <c r="F3272" s="3"/>
      <c r="G3272" s="3"/>
      <c r="H3272" s="3"/>
      <c r="I3272" s="3"/>
    </row>
    <row r="3273" spans="1:9" s="5" customFormat="1" x14ac:dyDescent="0.35">
      <c r="A3273" s="3" t="s">
        <v>907</v>
      </c>
      <c r="B3273" s="3" t="s">
        <v>1010</v>
      </c>
      <c r="C3273" s="3" t="s">
        <v>591</v>
      </c>
      <c r="D3273" s="3" t="s">
        <v>2868</v>
      </c>
      <c r="E3273" s="3" t="s">
        <v>26</v>
      </c>
      <c r="F3273" s="3" t="s">
        <v>16</v>
      </c>
      <c r="G3273" s="3" t="s">
        <v>2871</v>
      </c>
      <c r="H3273" s="3"/>
      <c r="I3273" s="3"/>
    </row>
    <row r="3274" spans="1:9" s="5" customFormat="1" x14ac:dyDescent="0.35">
      <c r="A3274" s="3" t="s">
        <v>907</v>
      </c>
      <c r="B3274" s="3" t="s">
        <v>1010</v>
      </c>
      <c r="C3274" s="3" t="s">
        <v>591</v>
      </c>
      <c r="D3274" s="3" t="s">
        <v>3014</v>
      </c>
      <c r="E3274" s="3" t="s">
        <v>26</v>
      </c>
      <c r="F3274" s="3" t="s">
        <v>16</v>
      </c>
      <c r="G3274" s="3" t="s">
        <v>2871</v>
      </c>
      <c r="H3274" s="3"/>
      <c r="I3274" s="3"/>
    </row>
    <row r="3275" spans="1:9" s="5" customFormat="1" x14ac:dyDescent="0.35">
      <c r="A3275" s="3" t="s">
        <v>907</v>
      </c>
      <c r="B3275" s="3" t="s">
        <v>1010</v>
      </c>
      <c r="C3275" s="3" t="s">
        <v>591</v>
      </c>
      <c r="D3275" s="3" t="s">
        <v>2869</v>
      </c>
      <c r="E3275" s="3" t="s">
        <v>26</v>
      </c>
      <c r="F3275" s="3" t="s">
        <v>16</v>
      </c>
      <c r="G3275" s="3" t="s">
        <v>2871</v>
      </c>
      <c r="H3275" s="3"/>
      <c r="I3275" s="3"/>
    </row>
    <row r="3276" spans="1:9" s="5" customFormat="1" x14ac:dyDescent="0.35">
      <c r="A3276" s="3" t="s">
        <v>907</v>
      </c>
      <c r="B3276" s="3" t="s">
        <v>1010</v>
      </c>
      <c r="C3276" s="3" t="s">
        <v>45</v>
      </c>
      <c r="D3276" s="3" t="s">
        <v>1156</v>
      </c>
      <c r="E3276" s="3" t="s">
        <v>217</v>
      </c>
      <c r="F3276" s="3"/>
      <c r="G3276" s="3"/>
      <c r="H3276" s="3"/>
      <c r="I3276" s="3"/>
    </row>
    <row r="3277" spans="1:9" s="5" customFormat="1" x14ac:dyDescent="0.35">
      <c r="A3277" s="3" t="s">
        <v>907</v>
      </c>
      <c r="B3277" s="3" t="s">
        <v>1010</v>
      </c>
      <c r="C3277" s="3" t="s">
        <v>45</v>
      </c>
      <c r="D3277" s="3" t="s">
        <v>1156</v>
      </c>
      <c r="E3277" s="3" t="s">
        <v>221</v>
      </c>
      <c r="F3277" s="3"/>
      <c r="G3277" s="3"/>
      <c r="H3277" s="3"/>
      <c r="I3277" s="3"/>
    </row>
    <row r="3278" spans="1:9" s="5" customFormat="1" x14ac:dyDescent="0.35">
      <c r="A3278" s="3" t="s">
        <v>907</v>
      </c>
      <c r="B3278" s="3" t="s">
        <v>1010</v>
      </c>
      <c r="C3278" s="3" t="s">
        <v>45</v>
      </c>
      <c r="D3278" s="3" t="s">
        <v>1156</v>
      </c>
      <c r="E3278" s="3" t="s">
        <v>56</v>
      </c>
      <c r="F3278" s="3"/>
      <c r="G3278" s="3" t="s">
        <v>2430</v>
      </c>
      <c r="H3278" s="3"/>
      <c r="I3278" s="3"/>
    </row>
    <row r="3279" spans="1:9" s="5" customFormat="1" x14ac:dyDescent="0.35">
      <c r="A3279" s="3" t="s">
        <v>907</v>
      </c>
      <c r="B3279" s="3" t="s">
        <v>1010</v>
      </c>
      <c r="C3279" s="3" t="s">
        <v>45</v>
      </c>
      <c r="D3279" s="3" t="s">
        <v>1156</v>
      </c>
      <c r="E3279" s="3" t="s">
        <v>230</v>
      </c>
      <c r="F3279" s="3"/>
      <c r="G3279" s="3"/>
      <c r="H3279" s="3"/>
      <c r="I3279" s="3"/>
    </row>
    <row r="3280" spans="1:9" s="5" customFormat="1" x14ac:dyDescent="0.35">
      <c r="A3280" s="3" t="s">
        <v>907</v>
      </c>
      <c r="B3280" s="3" t="s">
        <v>1010</v>
      </c>
      <c r="C3280" s="3" t="s">
        <v>45</v>
      </c>
      <c r="D3280" s="3" t="s">
        <v>1156</v>
      </c>
      <c r="E3280" s="3" t="s">
        <v>372</v>
      </c>
      <c r="F3280" s="3"/>
      <c r="G3280" s="3"/>
      <c r="H3280" s="3"/>
      <c r="I3280" s="3"/>
    </row>
    <row r="3281" spans="1:9" s="5" customFormat="1" x14ac:dyDescent="0.35">
      <c r="A3281" s="3" t="s">
        <v>907</v>
      </c>
      <c r="B3281" s="3" t="s">
        <v>1010</v>
      </c>
      <c r="C3281" s="3" t="s">
        <v>45</v>
      </c>
      <c r="D3281" s="3" t="s">
        <v>1156</v>
      </c>
      <c r="E3281" s="3" t="s">
        <v>224</v>
      </c>
      <c r="F3281" s="3"/>
      <c r="G3281" s="3"/>
      <c r="H3281" s="3"/>
      <c r="I3281" s="3"/>
    </row>
    <row r="3282" spans="1:9" s="5" customFormat="1" x14ac:dyDescent="0.35">
      <c r="A3282" s="3" t="s">
        <v>907</v>
      </c>
      <c r="B3282" s="3" t="s">
        <v>1010</v>
      </c>
      <c r="C3282" s="3" t="s">
        <v>20</v>
      </c>
      <c r="D3282" s="3" t="s">
        <v>1157</v>
      </c>
      <c r="E3282" s="3" t="s">
        <v>15</v>
      </c>
      <c r="F3282" s="3" t="s">
        <v>16</v>
      </c>
      <c r="G3282" s="3" t="s">
        <v>1158</v>
      </c>
      <c r="H3282" s="3"/>
      <c r="I3282" s="3"/>
    </row>
    <row r="3283" spans="1:9" s="5" customFormat="1" x14ac:dyDescent="0.35">
      <c r="A3283" s="3" t="s">
        <v>907</v>
      </c>
      <c r="B3283" s="3" t="s">
        <v>1010</v>
      </c>
      <c r="C3283" s="3" t="s">
        <v>45</v>
      </c>
      <c r="D3283" s="3" t="s">
        <v>1159</v>
      </c>
      <c r="E3283" s="3" t="s">
        <v>166</v>
      </c>
      <c r="F3283" s="3"/>
      <c r="G3283" s="3"/>
      <c r="H3283" s="3"/>
      <c r="I3283" s="3"/>
    </row>
    <row r="3284" spans="1:9" s="5" customFormat="1" x14ac:dyDescent="0.35">
      <c r="A3284" s="3" t="s">
        <v>907</v>
      </c>
      <c r="B3284" s="3" t="s">
        <v>1010</v>
      </c>
      <c r="C3284" s="3" t="s">
        <v>45</v>
      </c>
      <c r="D3284" s="3" t="s">
        <v>1159</v>
      </c>
      <c r="E3284" s="3" t="s">
        <v>60</v>
      </c>
      <c r="F3284" s="3"/>
      <c r="G3284" s="3"/>
      <c r="H3284" s="3"/>
      <c r="I3284" s="3"/>
    </row>
    <row r="3285" spans="1:9" s="5" customFormat="1" x14ac:dyDescent="0.35">
      <c r="A3285" s="3" t="s">
        <v>907</v>
      </c>
      <c r="B3285" s="3" t="s">
        <v>1010</v>
      </c>
      <c r="C3285" s="3" t="s">
        <v>45</v>
      </c>
      <c r="D3285" s="3" t="s">
        <v>1159</v>
      </c>
      <c r="E3285" s="3" t="s">
        <v>1016</v>
      </c>
      <c r="F3285" s="3"/>
      <c r="G3285" s="3" t="s">
        <v>2453</v>
      </c>
      <c r="H3285" s="3"/>
      <c r="I3285" s="3"/>
    </row>
    <row r="3286" spans="1:9" s="5" customFormat="1" x14ac:dyDescent="0.35">
      <c r="A3286" s="3" t="s">
        <v>907</v>
      </c>
      <c r="B3286" s="3" t="s">
        <v>1010</v>
      </c>
      <c r="C3286" s="3" t="s">
        <v>45</v>
      </c>
      <c r="D3286" s="3" t="s">
        <v>1159</v>
      </c>
      <c r="E3286" s="3" t="s">
        <v>225</v>
      </c>
      <c r="F3286" s="3"/>
      <c r="G3286" s="3"/>
      <c r="H3286" s="3"/>
      <c r="I3286" s="3"/>
    </row>
    <row r="3287" spans="1:9" s="5" customFormat="1" x14ac:dyDescent="0.35">
      <c r="A3287" s="3" t="s">
        <v>907</v>
      </c>
      <c r="B3287" s="3" t="s">
        <v>1010</v>
      </c>
      <c r="C3287" s="3" t="s">
        <v>45</v>
      </c>
      <c r="D3287" s="3" t="s">
        <v>1159</v>
      </c>
      <c r="E3287" s="3" t="s">
        <v>221</v>
      </c>
      <c r="F3287" s="3"/>
      <c r="G3287" s="3"/>
      <c r="H3287" s="3"/>
      <c r="I3287" s="3"/>
    </row>
    <row r="3288" spans="1:9" s="5" customFormat="1" x14ac:dyDescent="0.35">
      <c r="A3288" s="3" t="s">
        <v>907</v>
      </c>
      <c r="B3288" s="3" t="s">
        <v>1010</v>
      </c>
      <c r="C3288" s="3" t="s">
        <v>45</v>
      </c>
      <c r="D3288" s="3" t="s">
        <v>1159</v>
      </c>
      <c r="E3288" s="3" t="s">
        <v>222</v>
      </c>
      <c r="F3288" s="3"/>
      <c r="G3288" s="3"/>
      <c r="H3288" s="3"/>
      <c r="I3288" s="3"/>
    </row>
    <row r="3289" spans="1:9" s="5" customFormat="1" x14ac:dyDescent="0.35">
      <c r="A3289" s="3" t="s">
        <v>907</v>
      </c>
      <c r="B3289" s="3" t="s">
        <v>1010</v>
      </c>
      <c r="C3289" s="3" t="s">
        <v>45</v>
      </c>
      <c r="D3289" s="3" t="s">
        <v>1159</v>
      </c>
      <c r="E3289" s="3" t="s">
        <v>223</v>
      </c>
      <c r="F3289" s="3"/>
      <c r="G3289" s="3"/>
      <c r="H3289" s="3"/>
      <c r="I3289" s="3"/>
    </row>
    <row r="3290" spans="1:9" s="5" customFormat="1" x14ac:dyDescent="0.35">
      <c r="A3290" s="3" t="s">
        <v>907</v>
      </c>
      <c r="B3290" s="3" t="s">
        <v>1010</v>
      </c>
      <c r="C3290" s="3" t="s">
        <v>45</v>
      </c>
      <c r="D3290" s="3" t="s">
        <v>1159</v>
      </c>
      <c r="E3290" s="3" t="s">
        <v>226</v>
      </c>
      <c r="F3290" s="3"/>
      <c r="G3290" s="3"/>
      <c r="H3290" s="3"/>
      <c r="I3290" s="3"/>
    </row>
    <row r="3291" spans="1:9" s="5" customFormat="1" x14ac:dyDescent="0.35">
      <c r="A3291" s="3" t="s">
        <v>907</v>
      </c>
      <c r="B3291" s="3" t="s">
        <v>1010</v>
      </c>
      <c r="C3291" s="3" t="s">
        <v>45</v>
      </c>
      <c r="D3291" s="3" t="s">
        <v>1159</v>
      </c>
      <c r="E3291" s="3" t="s">
        <v>227</v>
      </c>
      <c r="F3291" s="3"/>
      <c r="G3291" s="3"/>
      <c r="H3291" s="3"/>
      <c r="I3291" s="3"/>
    </row>
    <row r="3292" spans="1:9" s="5" customFormat="1" x14ac:dyDescent="0.35">
      <c r="A3292" s="3" t="s">
        <v>907</v>
      </c>
      <c r="B3292" s="3" t="s">
        <v>1010</v>
      </c>
      <c r="C3292" s="3" t="s">
        <v>45</v>
      </c>
      <c r="D3292" s="3" t="s">
        <v>1159</v>
      </c>
      <c r="E3292" s="3" t="s">
        <v>228</v>
      </c>
      <c r="F3292" s="3"/>
      <c r="G3292" s="3"/>
      <c r="H3292" s="3"/>
      <c r="I3292" s="3"/>
    </row>
    <row r="3293" spans="1:9" s="5" customFormat="1" x14ac:dyDescent="0.35">
      <c r="A3293" s="3" t="s">
        <v>907</v>
      </c>
      <c r="B3293" s="3" t="s">
        <v>1010</v>
      </c>
      <c r="C3293" s="3" t="s">
        <v>45</v>
      </c>
      <c r="D3293" s="3" t="s">
        <v>1159</v>
      </c>
      <c r="E3293" s="3" t="s">
        <v>229</v>
      </c>
      <c r="F3293" s="3"/>
      <c r="G3293" s="3"/>
      <c r="H3293" s="3"/>
      <c r="I3293" s="3"/>
    </row>
    <row r="3294" spans="1:9" s="5" customFormat="1" x14ac:dyDescent="0.35">
      <c r="A3294" s="3" t="s">
        <v>907</v>
      </c>
      <c r="B3294" s="3" t="s">
        <v>1010</v>
      </c>
      <c r="C3294" s="3" t="s">
        <v>45</v>
      </c>
      <c r="D3294" s="3" t="s">
        <v>1159</v>
      </c>
      <c r="E3294" s="3" t="s">
        <v>230</v>
      </c>
      <c r="F3294" s="3"/>
      <c r="G3294" s="3"/>
      <c r="H3294" s="3"/>
      <c r="I3294" s="3"/>
    </row>
    <row r="3295" spans="1:9" s="5" customFormat="1" x14ac:dyDescent="0.35">
      <c r="A3295" s="3" t="s">
        <v>907</v>
      </c>
      <c r="B3295" s="3" t="s">
        <v>1010</v>
      </c>
      <c r="C3295" s="3" t="s">
        <v>45</v>
      </c>
      <c r="D3295" s="3" t="s">
        <v>1159</v>
      </c>
      <c r="E3295" s="3" t="s">
        <v>219</v>
      </c>
      <c r="F3295" s="3"/>
      <c r="G3295" s="3"/>
      <c r="H3295" s="3"/>
      <c r="I3295" s="3"/>
    </row>
    <row r="3296" spans="1:9" s="5" customFormat="1" x14ac:dyDescent="0.35">
      <c r="A3296" s="3" t="s">
        <v>907</v>
      </c>
      <c r="B3296" s="3" t="s">
        <v>1010</v>
      </c>
      <c r="C3296" s="3" t="s">
        <v>45</v>
      </c>
      <c r="D3296" s="3" t="s">
        <v>1159</v>
      </c>
      <c r="E3296" s="3" t="s">
        <v>372</v>
      </c>
      <c r="F3296" s="3"/>
      <c r="G3296" s="3"/>
      <c r="H3296" s="3"/>
      <c r="I3296" s="3"/>
    </row>
    <row r="3297" spans="1:9" s="5" customFormat="1" x14ac:dyDescent="0.35">
      <c r="A3297" s="3" t="s">
        <v>907</v>
      </c>
      <c r="B3297" s="3" t="s">
        <v>1010</v>
      </c>
      <c r="C3297" s="3" t="s">
        <v>45</v>
      </c>
      <c r="D3297" s="3" t="s">
        <v>1159</v>
      </c>
      <c r="E3297" s="3" t="s">
        <v>218</v>
      </c>
      <c r="F3297" s="3"/>
      <c r="G3297" s="3"/>
      <c r="H3297" s="3"/>
      <c r="I3297" s="3"/>
    </row>
    <row r="3298" spans="1:9" s="5" customFormat="1" x14ac:dyDescent="0.35">
      <c r="A3298" s="3" t="s">
        <v>907</v>
      </c>
      <c r="B3298" s="3" t="s">
        <v>1010</v>
      </c>
      <c r="C3298" s="3" t="s">
        <v>45</v>
      </c>
      <c r="D3298" s="3" t="s">
        <v>1159</v>
      </c>
      <c r="E3298" s="3" t="s">
        <v>224</v>
      </c>
      <c r="F3298" s="3"/>
      <c r="G3298" s="3"/>
      <c r="H3298" s="3"/>
      <c r="I3298" s="3"/>
    </row>
    <row r="3299" spans="1:9" s="5" customFormat="1" x14ac:dyDescent="0.35">
      <c r="A3299" s="3" t="s">
        <v>907</v>
      </c>
      <c r="B3299" s="3" t="s">
        <v>1010</v>
      </c>
      <c r="C3299" s="3" t="s">
        <v>45</v>
      </c>
      <c r="D3299" s="3" t="s">
        <v>1160</v>
      </c>
      <c r="E3299" s="3" t="s">
        <v>217</v>
      </c>
      <c r="F3299" s="3"/>
      <c r="G3299" s="3"/>
      <c r="H3299" s="3"/>
      <c r="I3299" s="3"/>
    </row>
    <row r="3300" spans="1:9" s="5" customFormat="1" x14ac:dyDescent="0.35">
      <c r="A3300" s="3" t="s">
        <v>907</v>
      </c>
      <c r="B3300" s="3" t="s">
        <v>1010</v>
      </c>
      <c r="C3300" s="3" t="s">
        <v>45</v>
      </c>
      <c r="D3300" s="3" t="s">
        <v>1160</v>
      </c>
      <c r="E3300" s="3" t="s">
        <v>56</v>
      </c>
      <c r="F3300" s="3"/>
      <c r="G3300" s="3"/>
      <c r="H3300" s="3"/>
      <c r="I3300" s="3"/>
    </row>
    <row r="3301" spans="1:9" s="5" customFormat="1" x14ac:dyDescent="0.35">
      <c r="A3301" s="3" t="s">
        <v>907</v>
      </c>
      <c r="B3301" s="3" t="s">
        <v>1010</v>
      </c>
      <c r="C3301" s="3" t="s">
        <v>45</v>
      </c>
      <c r="D3301" s="3" t="s">
        <v>1160</v>
      </c>
      <c r="E3301" s="3" t="s">
        <v>224</v>
      </c>
      <c r="F3301" s="3"/>
      <c r="G3301" s="3"/>
      <c r="H3301" s="3"/>
      <c r="I3301" s="3"/>
    </row>
    <row r="3302" spans="1:9" s="5" customFormat="1" x14ac:dyDescent="0.35">
      <c r="A3302" s="3" t="s">
        <v>907</v>
      </c>
      <c r="B3302" s="3" t="s">
        <v>1010</v>
      </c>
      <c r="C3302" s="3" t="s">
        <v>10</v>
      </c>
      <c r="D3302" s="3" t="s">
        <v>2693</v>
      </c>
      <c r="E3302" s="3" t="s">
        <v>28</v>
      </c>
      <c r="F3302" s="3"/>
      <c r="G3302" s="3" t="s">
        <v>2455</v>
      </c>
      <c r="H3302" s="3"/>
      <c r="I3302" s="3"/>
    </row>
    <row r="3303" spans="1:9" s="5" customFormat="1" x14ac:dyDescent="0.35">
      <c r="A3303" s="3" t="s">
        <v>907</v>
      </c>
      <c r="B3303" s="3" t="s">
        <v>1010</v>
      </c>
      <c r="C3303" s="3" t="s">
        <v>10</v>
      </c>
      <c r="D3303" s="3" t="s">
        <v>2693</v>
      </c>
      <c r="E3303" s="3" t="s">
        <v>15</v>
      </c>
      <c r="F3303" s="3" t="s">
        <v>16</v>
      </c>
      <c r="G3303" s="3" t="s">
        <v>990</v>
      </c>
      <c r="H3303" s="3"/>
      <c r="I3303" s="3"/>
    </row>
    <row r="3304" spans="1:9" s="5" customFormat="1" x14ac:dyDescent="0.35">
      <c r="A3304" s="3" t="s">
        <v>907</v>
      </c>
      <c r="B3304" s="3" t="s">
        <v>1010</v>
      </c>
      <c r="C3304" s="3" t="s">
        <v>10</v>
      </c>
      <c r="D3304" s="3" t="s">
        <v>2693</v>
      </c>
      <c r="E3304" s="3" t="s">
        <v>152</v>
      </c>
      <c r="F3304" s="3"/>
      <c r="G3304" s="3"/>
      <c r="H3304" s="3"/>
      <c r="I3304" s="3"/>
    </row>
    <row r="3305" spans="1:9" s="5" customFormat="1" x14ac:dyDescent="0.35">
      <c r="A3305" s="3" t="s">
        <v>907</v>
      </c>
      <c r="B3305" s="3" t="s">
        <v>1010</v>
      </c>
      <c r="C3305" s="3" t="s">
        <v>20</v>
      </c>
      <c r="D3305" s="3" t="s">
        <v>1161</v>
      </c>
      <c r="E3305" s="3" t="s">
        <v>71</v>
      </c>
      <c r="F3305" s="3"/>
      <c r="G3305" s="3"/>
      <c r="H3305" s="3"/>
      <c r="I3305" s="3"/>
    </row>
    <row r="3306" spans="1:9" s="5" customFormat="1" x14ac:dyDescent="0.35">
      <c r="A3306" s="3" t="s">
        <v>907</v>
      </c>
      <c r="B3306" s="3" t="s">
        <v>1010</v>
      </c>
      <c r="C3306" s="3" t="s">
        <v>20</v>
      </c>
      <c r="D3306" s="3" t="s">
        <v>1161</v>
      </c>
      <c r="E3306" s="3" t="s">
        <v>56</v>
      </c>
      <c r="F3306" s="3"/>
      <c r="G3306" s="3"/>
      <c r="H3306" s="3"/>
      <c r="I3306" s="3"/>
    </row>
    <row r="3307" spans="1:9" s="5" customFormat="1" x14ac:dyDescent="0.35">
      <c r="A3307" s="3" t="s">
        <v>907</v>
      </c>
      <c r="B3307" s="3" t="s">
        <v>1010</v>
      </c>
      <c r="C3307" s="3" t="s">
        <v>20</v>
      </c>
      <c r="D3307" s="3" t="s">
        <v>1161</v>
      </c>
      <c r="E3307" s="3" t="s">
        <v>327</v>
      </c>
      <c r="F3307" s="3"/>
      <c r="G3307" s="3"/>
      <c r="H3307" s="3"/>
      <c r="I3307" s="3"/>
    </row>
    <row r="3308" spans="1:9" s="5" customFormat="1" x14ac:dyDescent="0.35">
      <c r="A3308" s="3" t="s">
        <v>907</v>
      </c>
      <c r="B3308" s="3" t="s">
        <v>1010</v>
      </c>
      <c r="C3308" s="3" t="s">
        <v>20</v>
      </c>
      <c r="D3308" s="3" t="s">
        <v>1162</v>
      </c>
      <c r="E3308" s="3" t="s">
        <v>36</v>
      </c>
      <c r="F3308" s="3" t="s">
        <v>33</v>
      </c>
      <c r="G3308" s="3" t="s">
        <v>487</v>
      </c>
      <c r="H3308" s="3"/>
      <c r="I3308" s="3"/>
    </row>
    <row r="3309" spans="1:9" s="5" customFormat="1" x14ac:dyDescent="0.35">
      <c r="A3309" s="3" t="s">
        <v>907</v>
      </c>
      <c r="B3309" s="3" t="s">
        <v>1010</v>
      </c>
      <c r="C3309" s="3" t="s">
        <v>20</v>
      </c>
      <c r="D3309" s="3" t="s">
        <v>1162</v>
      </c>
      <c r="E3309" s="3" t="s">
        <v>77</v>
      </c>
      <c r="F3309" s="3" t="s">
        <v>33</v>
      </c>
      <c r="G3309" s="3" t="s">
        <v>487</v>
      </c>
      <c r="H3309" s="3"/>
      <c r="I3309" s="3"/>
    </row>
    <row r="3310" spans="1:9" s="5" customFormat="1" x14ac:dyDescent="0.35">
      <c r="A3310" s="3" t="s">
        <v>907</v>
      </c>
      <c r="B3310" s="3" t="s">
        <v>1010</v>
      </c>
      <c r="C3310" s="3" t="s">
        <v>20</v>
      </c>
      <c r="D3310" s="3" t="s">
        <v>1162</v>
      </c>
      <c r="E3310" s="3" t="s">
        <v>28</v>
      </c>
      <c r="F3310" s="3" t="s">
        <v>33</v>
      </c>
      <c r="G3310" s="3" t="s">
        <v>487</v>
      </c>
      <c r="H3310" s="3"/>
      <c r="I3310" s="3"/>
    </row>
    <row r="3311" spans="1:9" s="5" customFormat="1" x14ac:dyDescent="0.35">
      <c r="A3311" s="3" t="s">
        <v>907</v>
      </c>
      <c r="B3311" s="3" t="s">
        <v>1010</v>
      </c>
      <c r="C3311" s="3" t="s">
        <v>20</v>
      </c>
      <c r="D3311" s="3" t="s">
        <v>1162</v>
      </c>
      <c r="E3311" s="3" t="s">
        <v>242</v>
      </c>
      <c r="F3311" s="3" t="s">
        <v>33</v>
      </c>
      <c r="G3311" s="3" t="s">
        <v>487</v>
      </c>
      <c r="H3311" s="3"/>
      <c r="I3311" s="3"/>
    </row>
    <row r="3312" spans="1:9" s="5" customFormat="1" x14ac:dyDescent="0.35">
      <c r="A3312" s="3" t="s">
        <v>907</v>
      </c>
      <c r="B3312" s="3" t="s">
        <v>1010</v>
      </c>
      <c r="C3312" s="3" t="s">
        <v>20</v>
      </c>
      <c r="D3312" s="3" t="s">
        <v>1162</v>
      </c>
      <c r="E3312" s="3" t="s">
        <v>15</v>
      </c>
      <c r="F3312" s="3" t="s">
        <v>33</v>
      </c>
      <c r="G3312" s="3" t="s">
        <v>487</v>
      </c>
      <c r="H3312" s="3"/>
      <c r="I3312" s="3"/>
    </row>
    <row r="3313" spans="1:9" s="5" customFormat="1" x14ac:dyDescent="0.35">
      <c r="A3313" s="3" t="s">
        <v>907</v>
      </c>
      <c r="B3313" s="3" t="s">
        <v>1010</v>
      </c>
      <c r="C3313" s="3" t="s">
        <v>20</v>
      </c>
      <c r="D3313" s="3" t="s">
        <v>1162</v>
      </c>
      <c r="E3313" s="3" t="s">
        <v>37</v>
      </c>
      <c r="F3313" s="3" t="s">
        <v>33</v>
      </c>
      <c r="G3313" s="3" t="s">
        <v>487</v>
      </c>
      <c r="H3313" s="3"/>
      <c r="I3313" s="3"/>
    </row>
    <row r="3314" spans="1:9" s="5" customFormat="1" x14ac:dyDescent="0.35">
      <c r="A3314" s="3" t="s">
        <v>907</v>
      </c>
      <c r="B3314" s="3" t="s">
        <v>1010</v>
      </c>
      <c r="C3314" s="3" t="s">
        <v>20</v>
      </c>
      <c r="D3314" s="3" t="s">
        <v>1162</v>
      </c>
      <c r="E3314" s="3" t="s">
        <v>152</v>
      </c>
      <c r="F3314" s="3" t="s">
        <v>33</v>
      </c>
      <c r="G3314" s="3" t="s">
        <v>487</v>
      </c>
      <c r="H3314" s="3"/>
      <c r="I3314" s="3"/>
    </row>
    <row r="3315" spans="1:9" s="5" customFormat="1" x14ac:dyDescent="0.35">
      <c r="A3315" s="3" t="s">
        <v>907</v>
      </c>
      <c r="B3315" s="3" t="s">
        <v>1010</v>
      </c>
      <c r="C3315" s="3" t="s">
        <v>20</v>
      </c>
      <c r="D3315" s="3" t="s">
        <v>1162</v>
      </c>
      <c r="E3315" s="3" t="s">
        <v>1049</v>
      </c>
      <c r="F3315" s="3" t="s">
        <v>33</v>
      </c>
      <c r="G3315" s="3" t="s">
        <v>487</v>
      </c>
      <c r="H3315" s="3"/>
      <c r="I3315" s="3"/>
    </row>
    <row r="3316" spans="1:9" s="5" customFormat="1" x14ac:dyDescent="0.35">
      <c r="A3316" s="3" t="s">
        <v>907</v>
      </c>
      <c r="B3316" s="3" t="s">
        <v>1010</v>
      </c>
      <c r="C3316" s="3" t="s">
        <v>20</v>
      </c>
      <c r="D3316" s="3" t="s">
        <v>1163</v>
      </c>
      <c r="E3316" s="3" t="s">
        <v>36</v>
      </c>
      <c r="F3316" s="3"/>
      <c r="G3316" s="3"/>
      <c r="H3316" s="3"/>
      <c r="I3316" s="3"/>
    </row>
    <row r="3317" spans="1:9" s="5" customFormat="1" x14ac:dyDescent="0.35">
      <c r="A3317" s="3" t="s">
        <v>907</v>
      </c>
      <c r="B3317" s="3" t="s">
        <v>1010</v>
      </c>
      <c r="C3317" s="3" t="s">
        <v>20</v>
      </c>
      <c r="D3317" s="3" t="s">
        <v>1163</v>
      </c>
      <c r="E3317" s="3" t="s">
        <v>60</v>
      </c>
      <c r="F3317" s="3"/>
      <c r="G3317" s="3"/>
      <c r="H3317" s="3"/>
      <c r="I3317" s="3"/>
    </row>
    <row r="3318" spans="1:9" s="5" customFormat="1" x14ac:dyDescent="0.35">
      <c r="A3318" s="3" t="s">
        <v>907</v>
      </c>
      <c r="B3318" s="3" t="s">
        <v>1010</v>
      </c>
      <c r="C3318" s="3" t="s">
        <v>20</v>
      </c>
      <c r="D3318" s="3" t="s">
        <v>1163</v>
      </c>
      <c r="E3318" s="3" t="s">
        <v>77</v>
      </c>
      <c r="F3318" s="3"/>
      <c r="G3318" s="3"/>
      <c r="H3318" s="3"/>
      <c r="I3318" s="3"/>
    </row>
    <row r="3319" spans="1:9" s="5" customFormat="1" x14ac:dyDescent="0.35">
      <c r="A3319" s="3" t="s">
        <v>907</v>
      </c>
      <c r="B3319" s="3" t="s">
        <v>1010</v>
      </c>
      <c r="C3319" s="3" t="s">
        <v>20</v>
      </c>
      <c r="D3319" s="3" t="s">
        <v>1163</v>
      </c>
      <c r="E3319" s="3" t="s">
        <v>28</v>
      </c>
      <c r="F3319" s="3"/>
      <c r="G3319" s="3" t="s">
        <v>2459</v>
      </c>
      <c r="H3319" s="3"/>
      <c r="I3319" s="3"/>
    </row>
    <row r="3320" spans="1:9" s="5" customFormat="1" x14ac:dyDescent="0.35">
      <c r="A3320" s="3" t="s">
        <v>907</v>
      </c>
      <c r="B3320" s="3" t="s">
        <v>1010</v>
      </c>
      <c r="C3320" s="3" t="s">
        <v>20</v>
      </c>
      <c r="D3320" s="3" t="s">
        <v>1163</v>
      </c>
      <c r="E3320" s="3" t="s">
        <v>242</v>
      </c>
      <c r="F3320" s="3"/>
      <c r="G3320" s="3"/>
      <c r="H3320" s="3"/>
      <c r="I3320" s="3"/>
    </row>
    <row r="3321" spans="1:9" s="5" customFormat="1" x14ac:dyDescent="0.35">
      <c r="A3321" s="3" t="s">
        <v>907</v>
      </c>
      <c r="B3321" s="3" t="s">
        <v>1010</v>
      </c>
      <c r="C3321" s="3" t="s">
        <v>20</v>
      </c>
      <c r="D3321" s="3" t="s">
        <v>1163</v>
      </c>
      <c r="E3321" s="3" t="s">
        <v>15</v>
      </c>
      <c r="F3321" s="3" t="s">
        <v>16</v>
      </c>
      <c r="G3321" s="3" t="s">
        <v>1164</v>
      </c>
      <c r="H3321" s="3"/>
      <c r="I3321" s="3"/>
    </row>
    <row r="3322" spans="1:9" s="5" customFormat="1" x14ac:dyDescent="0.35">
      <c r="A3322" s="3" t="s">
        <v>907</v>
      </c>
      <c r="B3322" s="3" t="s">
        <v>1010</v>
      </c>
      <c r="C3322" s="3" t="s">
        <v>20</v>
      </c>
      <c r="D3322" s="3" t="s">
        <v>1163</v>
      </c>
      <c r="E3322" s="3" t="s">
        <v>1197</v>
      </c>
      <c r="F3322" s="3"/>
      <c r="G3322" s="3"/>
      <c r="H3322" s="3"/>
      <c r="I3322" s="3"/>
    </row>
    <row r="3323" spans="1:9" s="5" customFormat="1" x14ac:dyDescent="0.35">
      <c r="A3323" s="3" t="s">
        <v>907</v>
      </c>
      <c r="B3323" s="3" t="s">
        <v>1010</v>
      </c>
      <c r="C3323" s="3" t="s">
        <v>20</v>
      </c>
      <c r="D3323" s="3" t="s">
        <v>1163</v>
      </c>
      <c r="E3323" s="3" t="s">
        <v>152</v>
      </c>
      <c r="F3323" s="3"/>
      <c r="G3323" s="3"/>
      <c r="H3323" s="3"/>
      <c r="I3323" s="3"/>
    </row>
    <row r="3324" spans="1:9" s="5" customFormat="1" x14ac:dyDescent="0.35">
      <c r="A3324" s="3" t="s">
        <v>907</v>
      </c>
      <c r="B3324" s="3" t="s">
        <v>1010</v>
      </c>
      <c r="C3324" s="3" t="s">
        <v>20</v>
      </c>
      <c r="D3324" s="3" t="s">
        <v>1163</v>
      </c>
      <c r="E3324" s="3" t="s">
        <v>191</v>
      </c>
      <c r="F3324" s="3"/>
      <c r="G3324" s="3" t="s">
        <v>2458</v>
      </c>
      <c r="H3324" s="3"/>
      <c r="I3324" s="3"/>
    </row>
    <row r="3325" spans="1:9" s="5" customFormat="1" x14ac:dyDescent="0.35">
      <c r="A3325" s="3" t="s">
        <v>907</v>
      </c>
      <c r="B3325" s="3" t="s">
        <v>1010</v>
      </c>
      <c r="C3325" s="3" t="s">
        <v>20</v>
      </c>
      <c r="D3325" s="3" t="s">
        <v>1163</v>
      </c>
      <c r="E3325" s="3" t="s">
        <v>1049</v>
      </c>
      <c r="F3325" s="3"/>
      <c r="G3325" s="3"/>
      <c r="H3325" s="3"/>
      <c r="I3325" s="3"/>
    </row>
    <row r="3326" spans="1:9" s="5" customFormat="1" x14ac:dyDescent="0.35">
      <c r="A3326" s="3" t="s">
        <v>907</v>
      </c>
      <c r="B3326" s="3" t="s">
        <v>1010</v>
      </c>
      <c r="C3326" s="3" t="s">
        <v>591</v>
      </c>
      <c r="D3326" s="3" t="s">
        <v>2870</v>
      </c>
      <c r="E3326" s="3" t="s">
        <v>26</v>
      </c>
      <c r="F3326" s="3" t="s">
        <v>16</v>
      </c>
      <c r="G3326" s="3" t="s">
        <v>2871</v>
      </c>
      <c r="H3326" s="3"/>
      <c r="I3326" s="3"/>
    </row>
    <row r="3327" spans="1:9" s="5" customFormat="1" x14ac:dyDescent="0.35">
      <c r="A3327" s="3" t="s">
        <v>907</v>
      </c>
      <c r="B3327" s="3" t="s">
        <v>1010</v>
      </c>
      <c r="C3327" s="3" t="s">
        <v>45</v>
      </c>
      <c r="D3327" s="3" t="s">
        <v>1165</v>
      </c>
      <c r="E3327" s="3" t="s">
        <v>166</v>
      </c>
      <c r="F3327" s="3" t="s">
        <v>33</v>
      </c>
      <c r="G3327" s="3" t="s">
        <v>487</v>
      </c>
      <c r="H3327" s="3"/>
      <c r="I3327" s="3"/>
    </row>
    <row r="3328" spans="1:9" s="5" customFormat="1" x14ac:dyDescent="0.35">
      <c r="A3328" s="3" t="s">
        <v>907</v>
      </c>
      <c r="B3328" s="3" t="s">
        <v>1010</v>
      </c>
      <c r="C3328" s="3" t="s">
        <v>45</v>
      </c>
      <c r="D3328" s="3" t="s">
        <v>1165</v>
      </c>
      <c r="E3328" s="3" t="s">
        <v>217</v>
      </c>
      <c r="F3328" s="3" t="s">
        <v>33</v>
      </c>
      <c r="G3328" s="3" t="s">
        <v>487</v>
      </c>
      <c r="H3328" s="3"/>
      <c r="I3328" s="3"/>
    </row>
    <row r="3329" spans="1:9" s="5" customFormat="1" x14ac:dyDescent="0.35">
      <c r="A3329" s="3" t="s">
        <v>907</v>
      </c>
      <c r="B3329" s="3" t="s">
        <v>1010</v>
      </c>
      <c r="C3329" s="3" t="s">
        <v>45</v>
      </c>
      <c r="D3329" s="3" t="s">
        <v>1165</v>
      </c>
      <c r="E3329" s="3" t="s">
        <v>1016</v>
      </c>
      <c r="F3329" s="3" t="s">
        <v>33</v>
      </c>
      <c r="G3329" s="3" t="s">
        <v>487</v>
      </c>
      <c r="H3329" s="3"/>
      <c r="I3329" s="3"/>
    </row>
    <row r="3330" spans="1:9" s="5" customFormat="1" x14ac:dyDescent="0.35">
      <c r="A3330" s="3" t="s">
        <v>907</v>
      </c>
      <c r="B3330" s="3" t="s">
        <v>1010</v>
      </c>
      <c r="C3330" s="3" t="s">
        <v>45</v>
      </c>
      <c r="D3330" s="3" t="s">
        <v>1165</v>
      </c>
      <c r="E3330" s="3" t="s">
        <v>225</v>
      </c>
      <c r="F3330" s="3" t="s">
        <v>33</v>
      </c>
      <c r="G3330" s="3" t="s">
        <v>487</v>
      </c>
      <c r="H3330" s="3"/>
      <c r="I3330" s="3"/>
    </row>
    <row r="3331" spans="1:9" s="5" customFormat="1" x14ac:dyDescent="0.35">
      <c r="A3331" s="3" t="s">
        <v>907</v>
      </c>
      <c r="B3331" s="3" t="s">
        <v>1010</v>
      </c>
      <c r="C3331" s="3" t="s">
        <v>45</v>
      </c>
      <c r="D3331" s="3" t="s">
        <v>1165</v>
      </c>
      <c r="E3331" s="3" t="s">
        <v>221</v>
      </c>
      <c r="F3331" s="3" t="s">
        <v>33</v>
      </c>
      <c r="G3331" s="3" t="s">
        <v>487</v>
      </c>
      <c r="H3331" s="3"/>
      <c r="I3331" s="3"/>
    </row>
    <row r="3332" spans="1:9" s="5" customFormat="1" x14ac:dyDescent="0.35">
      <c r="A3332" s="3" t="s">
        <v>907</v>
      </c>
      <c r="B3332" s="3" t="s">
        <v>1010</v>
      </c>
      <c r="C3332" s="3" t="s">
        <v>45</v>
      </c>
      <c r="D3332" s="3" t="s">
        <v>1165</v>
      </c>
      <c r="E3332" s="3" t="s">
        <v>222</v>
      </c>
      <c r="F3332" s="3" t="s">
        <v>33</v>
      </c>
      <c r="G3332" s="3" t="s">
        <v>487</v>
      </c>
      <c r="H3332" s="3"/>
      <c r="I3332" s="3"/>
    </row>
    <row r="3333" spans="1:9" s="5" customFormat="1" x14ac:dyDescent="0.35">
      <c r="A3333" s="3" t="s">
        <v>907</v>
      </c>
      <c r="B3333" s="3" t="s">
        <v>1010</v>
      </c>
      <c r="C3333" s="3" t="s">
        <v>45</v>
      </c>
      <c r="D3333" s="3" t="s">
        <v>1165</v>
      </c>
      <c r="E3333" s="3" t="s">
        <v>223</v>
      </c>
      <c r="F3333" s="3" t="s">
        <v>33</v>
      </c>
      <c r="G3333" s="3" t="s">
        <v>487</v>
      </c>
      <c r="H3333" s="3"/>
      <c r="I3333" s="3"/>
    </row>
    <row r="3334" spans="1:9" s="5" customFormat="1" x14ac:dyDescent="0.35">
      <c r="A3334" s="3" t="s">
        <v>907</v>
      </c>
      <c r="B3334" s="3" t="s">
        <v>1010</v>
      </c>
      <c r="C3334" s="3" t="s">
        <v>45</v>
      </c>
      <c r="D3334" s="3" t="s">
        <v>1165</v>
      </c>
      <c r="E3334" s="3" t="s">
        <v>226</v>
      </c>
      <c r="F3334" s="3" t="s">
        <v>33</v>
      </c>
      <c r="G3334" s="3" t="s">
        <v>487</v>
      </c>
      <c r="H3334" s="3"/>
      <c r="I3334" s="3"/>
    </row>
    <row r="3335" spans="1:9" s="5" customFormat="1" x14ac:dyDescent="0.35">
      <c r="A3335" s="3" t="s">
        <v>907</v>
      </c>
      <c r="B3335" s="3" t="s">
        <v>1010</v>
      </c>
      <c r="C3335" s="3" t="s">
        <v>45</v>
      </c>
      <c r="D3335" s="3" t="s">
        <v>1165</v>
      </c>
      <c r="E3335" s="3" t="s">
        <v>227</v>
      </c>
      <c r="F3335" s="3" t="s">
        <v>33</v>
      </c>
      <c r="G3335" s="3" t="s">
        <v>487</v>
      </c>
      <c r="H3335" s="3"/>
      <c r="I3335" s="3"/>
    </row>
    <row r="3336" spans="1:9" s="5" customFormat="1" x14ac:dyDescent="0.35">
      <c r="A3336" s="3" t="s">
        <v>907</v>
      </c>
      <c r="B3336" s="3" t="s">
        <v>1010</v>
      </c>
      <c r="C3336" s="3" t="s">
        <v>45</v>
      </c>
      <c r="D3336" s="3" t="s">
        <v>1165</v>
      </c>
      <c r="E3336" s="3" t="s">
        <v>228</v>
      </c>
      <c r="F3336" s="3" t="s">
        <v>33</v>
      </c>
      <c r="G3336" s="3" t="s">
        <v>487</v>
      </c>
      <c r="H3336" s="3"/>
      <c r="I3336" s="3"/>
    </row>
    <row r="3337" spans="1:9" s="5" customFormat="1" x14ac:dyDescent="0.35">
      <c r="A3337" s="3" t="s">
        <v>907</v>
      </c>
      <c r="B3337" s="3" t="s">
        <v>1010</v>
      </c>
      <c r="C3337" s="3" t="s">
        <v>45</v>
      </c>
      <c r="D3337" s="3" t="s">
        <v>1165</v>
      </c>
      <c r="E3337" s="3" t="s">
        <v>229</v>
      </c>
      <c r="F3337" s="3" t="s">
        <v>33</v>
      </c>
      <c r="G3337" s="3" t="s">
        <v>487</v>
      </c>
      <c r="H3337" s="3"/>
      <c r="I3337" s="3"/>
    </row>
    <row r="3338" spans="1:9" s="5" customFormat="1" x14ac:dyDescent="0.35">
      <c r="A3338" s="3" t="s">
        <v>907</v>
      </c>
      <c r="B3338" s="3" t="s">
        <v>1010</v>
      </c>
      <c r="C3338" s="3" t="s">
        <v>45</v>
      </c>
      <c r="D3338" s="3" t="s">
        <v>1165</v>
      </c>
      <c r="E3338" s="3" t="s">
        <v>230</v>
      </c>
      <c r="F3338" s="3" t="s">
        <v>33</v>
      </c>
      <c r="G3338" s="3" t="s">
        <v>487</v>
      </c>
      <c r="H3338" s="3"/>
      <c r="I3338" s="3"/>
    </row>
    <row r="3339" spans="1:9" s="5" customFormat="1" x14ac:dyDescent="0.35">
      <c r="A3339" s="3" t="s">
        <v>907</v>
      </c>
      <c r="B3339" s="3" t="s">
        <v>1010</v>
      </c>
      <c r="C3339" s="3" t="s">
        <v>45</v>
      </c>
      <c r="D3339" s="3" t="s">
        <v>1165</v>
      </c>
      <c r="E3339" s="3" t="s">
        <v>219</v>
      </c>
      <c r="F3339" s="3" t="s">
        <v>33</v>
      </c>
      <c r="G3339" s="3" t="s">
        <v>487</v>
      </c>
      <c r="H3339" s="3"/>
      <c r="I3339" s="3"/>
    </row>
    <row r="3340" spans="1:9" s="5" customFormat="1" x14ac:dyDescent="0.35">
      <c r="A3340" s="3" t="s">
        <v>907</v>
      </c>
      <c r="B3340" s="3" t="s">
        <v>1010</v>
      </c>
      <c r="C3340" s="3" t="s">
        <v>45</v>
      </c>
      <c r="D3340" s="3" t="s">
        <v>1165</v>
      </c>
      <c r="E3340" s="3" t="s">
        <v>372</v>
      </c>
      <c r="F3340" s="3" t="s">
        <v>33</v>
      </c>
      <c r="G3340" s="3" t="s">
        <v>487</v>
      </c>
      <c r="H3340" s="3"/>
      <c r="I3340" s="3"/>
    </row>
    <row r="3341" spans="1:9" s="5" customFormat="1" x14ac:dyDescent="0.35">
      <c r="A3341" s="3" t="s">
        <v>907</v>
      </c>
      <c r="B3341" s="3" t="s">
        <v>1010</v>
      </c>
      <c r="C3341" s="3" t="s">
        <v>45</v>
      </c>
      <c r="D3341" s="3" t="s">
        <v>1165</v>
      </c>
      <c r="E3341" s="3" t="s">
        <v>218</v>
      </c>
      <c r="F3341" s="3" t="s">
        <v>33</v>
      </c>
      <c r="G3341" s="3" t="s">
        <v>487</v>
      </c>
      <c r="H3341" s="3"/>
      <c r="I3341" s="3"/>
    </row>
    <row r="3342" spans="1:9" s="5" customFormat="1" x14ac:dyDescent="0.35">
      <c r="A3342" s="3" t="s">
        <v>907</v>
      </c>
      <c r="B3342" s="3" t="s">
        <v>1010</v>
      </c>
      <c r="C3342" s="3" t="s">
        <v>45</v>
      </c>
      <c r="D3342" s="3" t="s">
        <v>1165</v>
      </c>
      <c r="E3342" s="3" t="s">
        <v>224</v>
      </c>
      <c r="F3342" s="3" t="s">
        <v>33</v>
      </c>
      <c r="G3342" s="3" t="s">
        <v>487</v>
      </c>
      <c r="H3342" s="3"/>
      <c r="I3342" s="3"/>
    </row>
    <row r="3343" spans="1:9" s="5" customFormat="1" x14ac:dyDescent="0.35">
      <c r="A3343" s="3" t="s">
        <v>907</v>
      </c>
      <c r="B3343" s="3" t="s">
        <v>1010</v>
      </c>
      <c r="C3343" s="3" t="s">
        <v>45</v>
      </c>
      <c r="D3343" s="3" t="s">
        <v>1166</v>
      </c>
      <c r="E3343" s="3" t="s">
        <v>166</v>
      </c>
      <c r="F3343" s="3"/>
      <c r="G3343" s="3"/>
      <c r="H3343" s="3"/>
      <c r="I3343" s="3"/>
    </row>
    <row r="3344" spans="1:9" s="5" customFormat="1" x14ac:dyDescent="0.35">
      <c r="A3344" s="3" t="s">
        <v>907</v>
      </c>
      <c r="B3344" s="3" t="s">
        <v>1010</v>
      </c>
      <c r="C3344" s="3" t="s">
        <v>45</v>
      </c>
      <c r="D3344" s="3" t="s">
        <v>1166</v>
      </c>
      <c r="E3344" s="3" t="s">
        <v>217</v>
      </c>
      <c r="F3344" s="3"/>
      <c r="G3344" s="3"/>
      <c r="H3344" s="3"/>
      <c r="I3344" s="3"/>
    </row>
    <row r="3345" spans="1:9" s="5" customFormat="1" x14ac:dyDescent="0.35">
      <c r="A3345" s="3" t="s">
        <v>907</v>
      </c>
      <c r="B3345" s="3" t="s">
        <v>1010</v>
      </c>
      <c r="C3345" s="3" t="s">
        <v>45</v>
      </c>
      <c r="D3345" s="3" t="s">
        <v>1166</v>
      </c>
      <c r="E3345" s="3" t="s">
        <v>1016</v>
      </c>
      <c r="F3345" s="3"/>
      <c r="G3345" s="3"/>
      <c r="H3345" s="3"/>
      <c r="I3345" s="3"/>
    </row>
    <row r="3346" spans="1:9" s="5" customFormat="1" x14ac:dyDescent="0.35">
      <c r="A3346" s="3" t="s">
        <v>907</v>
      </c>
      <c r="B3346" s="3" t="s">
        <v>1010</v>
      </c>
      <c r="C3346" s="3" t="s">
        <v>45</v>
      </c>
      <c r="D3346" s="3" t="s">
        <v>1166</v>
      </c>
      <c r="E3346" s="3" t="s">
        <v>225</v>
      </c>
      <c r="F3346" s="3"/>
      <c r="G3346" s="3"/>
      <c r="H3346" s="3"/>
      <c r="I3346" s="3"/>
    </row>
    <row r="3347" spans="1:9" s="5" customFormat="1" x14ac:dyDescent="0.35">
      <c r="A3347" s="3" t="s">
        <v>907</v>
      </c>
      <c r="B3347" s="3" t="s">
        <v>1010</v>
      </c>
      <c r="C3347" s="3" t="s">
        <v>45</v>
      </c>
      <c r="D3347" s="3" t="s">
        <v>1166</v>
      </c>
      <c r="E3347" s="3" t="s">
        <v>71</v>
      </c>
      <c r="F3347" s="3"/>
      <c r="G3347" s="3"/>
      <c r="H3347" s="3"/>
      <c r="I3347" s="3"/>
    </row>
    <row r="3348" spans="1:9" s="5" customFormat="1" x14ac:dyDescent="0.35">
      <c r="A3348" s="3" t="s">
        <v>907</v>
      </c>
      <c r="B3348" s="3" t="s">
        <v>1010</v>
      </c>
      <c r="C3348" s="3" t="s">
        <v>45</v>
      </c>
      <c r="D3348" s="3" t="s">
        <v>1166</v>
      </c>
      <c r="E3348" s="3" t="s">
        <v>1067</v>
      </c>
      <c r="F3348" s="3"/>
      <c r="G3348" s="3" t="s">
        <v>2364</v>
      </c>
      <c r="H3348" s="3"/>
      <c r="I3348" s="3"/>
    </row>
    <row r="3349" spans="1:9" s="5" customFormat="1" x14ac:dyDescent="0.35">
      <c r="A3349" s="3" t="s">
        <v>907</v>
      </c>
      <c r="B3349" s="3" t="s">
        <v>1010</v>
      </c>
      <c r="C3349" s="3" t="s">
        <v>45</v>
      </c>
      <c r="D3349" s="3" t="s">
        <v>1166</v>
      </c>
      <c r="E3349" s="3" t="s">
        <v>222</v>
      </c>
      <c r="F3349" s="3"/>
      <c r="G3349" s="3"/>
      <c r="H3349" s="3"/>
      <c r="I3349" s="3"/>
    </row>
    <row r="3350" spans="1:9" s="5" customFormat="1" x14ac:dyDescent="0.35">
      <c r="A3350" s="3" t="s">
        <v>907</v>
      </c>
      <c r="B3350" s="3" t="s">
        <v>1010</v>
      </c>
      <c r="C3350" s="3" t="s">
        <v>45</v>
      </c>
      <c r="D3350" s="3" t="s">
        <v>1166</v>
      </c>
      <c r="E3350" s="3" t="s">
        <v>223</v>
      </c>
      <c r="F3350" s="3"/>
      <c r="G3350" s="3"/>
      <c r="H3350" s="3"/>
      <c r="I3350" s="3"/>
    </row>
    <row r="3351" spans="1:9" s="5" customFormat="1" x14ac:dyDescent="0.35">
      <c r="A3351" s="3" t="s">
        <v>907</v>
      </c>
      <c r="B3351" s="3" t="s">
        <v>1010</v>
      </c>
      <c r="C3351" s="3" t="s">
        <v>45</v>
      </c>
      <c r="D3351" s="3" t="s">
        <v>1166</v>
      </c>
      <c r="E3351" s="3" t="s">
        <v>15</v>
      </c>
      <c r="F3351" s="3"/>
      <c r="G3351" s="3"/>
      <c r="H3351" s="3"/>
      <c r="I3351" s="3"/>
    </row>
    <row r="3352" spans="1:9" s="5" customFormat="1" x14ac:dyDescent="0.35">
      <c r="A3352" s="3" t="s">
        <v>907</v>
      </c>
      <c r="B3352" s="3" t="s">
        <v>1010</v>
      </c>
      <c r="C3352" s="3" t="s">
        <v>45</v>
      </c>
      <c r="D3352" s="3" t="s">
        <v>1166</v>
      </c>
      <c r="E3352" s="3" t="s">
        <v>226</v>
      </c>
      <c r="F3352" s="3"/>
      <c r="G3352" s="3"/>
      <c r="H3352" s="3"/>
      <c r="I3352" s="3"/>
    </row>
    <row r="3353" spans="1:9" s="5" customFormat="1" x14ac:dyDescent="0.35">
      <c r="A3353" s="3" t="s">
        <v>907</v>
      </c>
      <c r="B3353" s="3" t="s">
        <v>1010</v>
      </c>
      <c r="C3353" s="3" t="s">
        <v>45</v>
      </c>
      <c r="D3353" s="3" t="s">
        <v>1166</v>
      </c>
      <c r="E3353" s="3" t="s">
        <v>227</v>
      </c>
      <c r="F3353" s="3"/>
      <c r="G3353" s="3"/>
      <c r="H3353" s="3"/>
      <c r="I3353" s="3"/>
    </row>
    <row r="3354" spans="1:9" s="5" customFormat="1" x14ac:dyDescent="0.35">
      <c r="A3354" s="3" t="s">
        <v>907</v>
      </c>
      <c r="B3354" s="3" t="s">
        <v>1010</v>
      </c>
      <c r="C3354" s="3" t="s">
        <v>45</v>
      </c>
      <c r="D3354" s="3" t="s">
        <v>1166</v>
      </c>
      <c r="E3354" s="3" t="s">
        <v>228</v>
      </c>
      <c r="F3354" s="3"/>
      <c r="G3354" s="3"/>
      <c r="H3354" s="3"/>
      <c r="I3354" s="3"/>
    </row>
    <row r="3355" spans="1:9" s="5" customFormat="1" x14ac:dyDescent="0.35">
      <c r="A3355" s="3" t="s">
        <v>907</v>
      </c>
      <c r="B3355" s="3" t="s">
        <v>1010</v>
      </c>
      <c r="C3355" s="3" t="s">
        <v>45</v>
      </c>
      <c r="D3355" s="3" t="s">
        <v>1166</v>
      </c>
      <c r="E3355" s="3" t="s">
        <v>229</v>
      </c>
      <c r="F3355" s="3"/>
      <c r="G3355" s="3"/>
      <c r="H3355" s="3"/>
      <c r="I3355" s="3"/>
    </row>
    <row r="3356" spans="1:9" s="5" customFormat="1" x14ac:dyDescent="0.35">
      <c r="A3356" s="3" t="s">
        <v>907</v>
      </c>
      <c r="B3356" s="3" t="s">
        <v>1010</v>
      </c>
      <c r="C3356" s="3" t="s">
        <v>45</v>
      </c>
      <c r="D3356" s="3" t="s">
        <v>1166</v>
      </c>
      <c r="E3356" s="3" t="s">
        <v>230</v>
      </c>
      <c r="F3356" s="3"/>
      <c r="G3356" s="3"/>
      <c r="H3356" s="3"/>
      <c r="I3356" s="3"/>
    </row>
    <row r="3357" spans="1:9" s="5" customFormat="1" x14ac:dyDescent="0.35">
      <c r="A3357" s="3" t="s">
        <v>907</v>
      </c>
      <c r="B3357" s="3" t="s">
        <v>1010</v>
      </c>
      <c r="C3357" s="3" t="s">
        <v>45</v>
      </c>
      <c r="D3357" s="3" t="s">
        <v>1166</v>
      </c>
      <c r="E3357" s="3" t="s">
        <v>219</v>
      </c>
      <c r="F3357" s="3"/>
      <c r="G3357" s="3"/>
      <c r="H3357" s="3"/>
      <c r="I3357" s="3"/>
    </row>
    <row r="3358" spans="1:9" s="5" customFormat="1" x14ac:dyDescent="0.35">
      <c r="A3358" s="3" t="s">
        <v>907</v>
      </c>
      <c r="B3358" s="3" t="s">
        <v>1010</v>
      </c>
      <c r="C3358" s="3" t="s">
        <v>45</v>
      </c>
      <c r="D3358" s="3" t="s">
        <v>1166</v>
      </c>
      <c r="E3358" s="3" t="s">
        <v>218</v>
      </c>
      <c r="F3358" s="3"/>
      <c r="G3358" s="3"/>
      <c r="H3358" s="3"/>
      <c r="I3358" s="3"/>
    </row>
    <row r="3359" spans="1:9" s="5" customFormat="1" x14ac:dyDescent="0.35">
      <c r="A3359" s="3" t="s">
        <v>907</v>
      </c>
      <c r="B3359" s="3" t="s">
        <v>1010</v>
      </c>
      <c r="C3359" s="3" t="s">
        <v>45</v>
      </c>
      <c r="D3359" s="3" t="s">
        <v>1166</v>
      </c>
      <c r="E3359" s="3" t="s">
        <v>224</v>
      </c>
      <c r="F3359" s="3"/>
      <c r="G3359" s="3"/>
      <c r="H3359" s="3"/>
      <c r="I3359" s="3"/>
    </row>
    <row r="3360" spans="1:9" s="5" customFormat="1" x14ac:dyDescent="0.35">
      <c r="A3360" s="3" t="s">
        <v>907</v>
      </c>
      <c r="B3360" s="3" t="s">
        <v>1010</v>
      </c>
      <c r="C3360" s="3" t="s">
        <v>39</v>
      </c>
      <c r="D3360" s="3" t="s">
        <v>2753</v>
      </c>
      <c r="E3360" s="3" t="s">
        <v>12</v>
      </c>
      <c r="F3360" s="3"/>
      <c r="G3360" s="3"/>
      <c r="H3360" s="3"/>
      <c r="I3360" s="3"/>
    </row>
    <row r="3361" spans="1:9" s="5" customFormat="1" x14ac:dyDescent="0.35">
      <c r="A3361" s="3" t="s">
        <v>907</v>
      </c>
      <c r="B3361" s="3" t="s">
        <v>1010</v>
      </c>
      <c r="C3361" s="3" t="s">
        <v>39</v>
      </c>
      <c r="D3361" s="3" t="s">
        <v>2753</v>
      </c>
      <c r="E3361" s="3" t="s">
        <v>77</v>
      </c>
      <c r="F3361" s="3"/>
      <c r="G3361" s="3"/>
      <c r="H3361" s="3"/>
      <c r="I3361" s="3"/>
    </row>
    <row r="3362" spans="1:9" s="5" customFormat="1" x14ac:dyDescent="0.35">
      <c r="A3362" s="3" t="s">
        <v>907</v>
      </c>
      <c r="B3362" s="3" t="s">
        <v>1010</v>
      </c>
      <c r="C3362" s="3" t="s">
        <v>39</v>
      </c>
      <c r="D3362" s="3" t="s">
        <v>2753</v>
      </c>
      <c r="E3362" s="3" t="s">
        <v>15</v>
      </c>
      <c r="F3362" s="3" t="s">
        <v>16</v>
      </c>
      <c r="G3362" s="3" t="s">
        <v>990</v>
      </c>
      <c r="H3362" s="3"/>
      <c r="I3362" s="3"/>
    </row>
    <row r="3363" spans="1:9" s="5" customFormat="1" x14ac:dyDescent="0.35">
      <c r="A3363" s="3" t="s">
        <v>907</v>
      </c>
      <c r="B3363" s="3" t="s">
        <v>1010</v>
      </c>
      <c r="C3363" s="3" t="s">
        <v>39</v>
      </c>
      <c r="D3363" s="3" t="s">
        <v>2753</v>
      </c>
      <c r="E3363" s="3" t="s">
        <v>152</v>
      </c>
      <c r="F3363" s="3"/>
      <c r="G3363" s="3"/>
      <c r="H3363" s="3"/>
      <c r="I3363" s="3"/>
    </row>
    <row r="3364" spans="1:9" s="5" customFormat="1" x14ac:dyDescent="0.35">
      <c r="A3364" s="3" t="s">
        <v>907</v>
      </c>
      <c r="B3364" s="3" t="s">
        <v>1010</v>
      </c>
      <c r="C3364" s="3" t="s">
        <v>45</v>
      </c>
      <c r="D3364" s="3" t="s">
        <v>1167</v>
      </c>
      <c r="E3364" s="3" t="s">
        <v>217</v>
      </c>
      <c r="F3364" s="3"/>
      <c r="G3364" s="3" t="s">
        <v>2286</v>
      </c>
      <c r="H3364" s="3"/>
      <c r="I3364" s="3"/>
    </row>
    <row r="3365" spans="1:9" s="5" customFormat="1" x14ac:dyDescent="0.35">
      <c r="A3365" s="3" t="s">
        <v>907</v>
      </c>
      <c r="B3365" s="3" t="s">
        <v>1010</v>
      </c>
      <c r="C3365" s="3" t="s">
        <v>45</v>
      </c>
      <c r="D3365" s="3" t="s">
        <v>1167</v>
      </c>
      <c r="E3365" s="3" t="s">
        <v>224</v>
      </c>
      <c r="F3365" s="3"/>
      <c r="G3365" s="3"/>
      <c r="H3365" s="3"/>
      <c r="I3365" s="3"/>
    </row>
    <row r="3366" spans="1:9" s="5" customFormat="1" x14ac:dyDescent="0.35">
      <c r="A3366" s="3" t="s">
        <v>907</v>
      </c>
      <c r="B3366" s="3" t="s">
        <v>1010</v>
      </c>
      <c r="C3366" s="3" t="s">
        <v>10</v>
      </c>
      <c r="D3366" s="3" t="s">
        <v>1168</v>
      </c>
      <c r="E3366" s="3" t="s">
        <v>47</v>
      </c>
      <c r="F3366" s="3" t="s">
        <v>33</v>
      </c>
      <c r="G3366" s="3" t="s">
        <v>723</v>
      </c>
      <c r="H3366" s="3"/>
      <c r="I3366" s="3"/>
    </row>
    <row r="3367" spans="1:9" s="5" customFormat="1" x14ac:dyDescent="0.35">
      <c r="A3367" s="3" t="s">
        <v>907</v>
      </c>
      <c r="B3367" s="3" t="s">
        <v>1010</v>
      </c>
      <c r="C3367" s="3" t="s">
        <v>10</v>
      </c>
      <c r="D3367" s="3" t="s">
        <v>1168</v>
      </c>
      <c r="E3367" s="3" t="s">
        <v>15</v>
      </c>
      <c r="F3367" s="3" t="s">
        <v>16</v>
      </c>
      <c r="G3367" s="3" t="s">
        <v>2922</v>
      </c>
      <c r="H3367" s="3"/>
      <c r="I3367" s="3"/>
    </row>
    <row r="3368" spans="1:9" s="5" customFormat="1" x14ac:dyDescent="0.35">
      <c r="A3368" s="3" t="s">
        <v>907</v>
      </c>
      <c r="B3368" s="3" t="s">
        <v>1010</v>
      </c>
      <c r="C3368" s="3" t="s">
        <v>10</v>
      </c>
      <c r="D3368" s="3" t="s">
        <v>1168</v>
      </c>
      <c r="E3368" s="3" t="s">
        <v>134</v>
      </c>
      <c r="F3368" s="3" t="s">
        <v>33</v>
      </c>
      <c r="G3368" s="3" t="s">
        <v>723</v>
      </c>
      <c r="H3368" s="3"/>
      <c r="I3368" s="3"/>
    </row>
    <row r="3369" spans="1:9" s="5" customFormat="1" x14ac:dyDescent="0.35">
      <c r="A3369" s="3" t="s">
        <v>907</v>
      </c>
      <c r="B3369" s="3" t="s">
        <v>1010</v>
      </c>
      <c r="C3369" s="3" t="s">
        <v>20</v>
      </c>
      <c r="D3369" s="3" t="s">
        <v>1169</v>
      </c>
      <c r="E3369" s="3" t="s">
        <v>12</v>
      </c>
      <c r="F3369" s="3"/>
      <c r="G3369" s="3"/>
      <c r="H3369" s="3"/>
      <c r="I3369" s="3"/>
    </row>
    <row r="3370" spans="1:9" s="5" customFormat="1" x14ac:dyDescent="0.35">
      <c r="A3370" s="3" t="s">
        <v>907</v>
      </c>
      <c r="B3370" s="3" t="s">
        <v>1010</v>
      </c>
      <c r="C3370" s="3" t="s">
        <v>20</v>
      </c>
      <c r="D3370" s="3" t="s">
        <v>1169</v>
      </c>
      <c r="E3370" s="3" t="s">
        <v>36</v>
      </c>
      <c r="F3370" s="3"/>
      <c r="G3370" s="3" t="s">
        <v>2469</v>
      </c>
      <c r="H3370" s="3"/>
      <c r="I3370" s="3"/>
    </row>
    <row r="3371" spans="1:9" s="5" customFormat="1" x14ac:dyDescent="0.35">
      <c r="A3371" s="3" t="s">
        <v>907</v>
      </c>
      <c r="B3371" s="3" t="s">
        <v>1010</v>
      </c>
      <c r="C3371" s="3" t="s">
        <v>20</v>
      </c>
      <c r="D3371" s="3" t="s">
        <v>1169</v>
      </c>
      <c r="E3371" s="3" t="s">
        <v>71</v>
      </c>
      <c r="F3371" s="3"/>
      <c r="G3371" s="3"/>
      <c r="H3371" s="3"/>
      <c r="I3371" s="3"/>
    </row>
    <row r="3372" spans="1:9" s="5" customFormat="1" x14ac:dyDescent="0.35">
      <c r="A3372" s="3" t="s">
        <v>907</v>
      </c>
      <c r="B3372" s="3" t="s">
        <v>1010</v>
      </c>
      <c r="C3372" s="3" t="s">
        <v>20</v>
      </c>
      <c r="D3372" s="3" t="s">
        <v>1169</v>
      </c>
      <c r="E3372" s="3" t="s">
        <v>77</v>
      </c>
      <c r="F3372" s="3"/>
      <c r="G3372" s="3"/>
      <c r="H3372" s="3"/>
      <c r="I3372" s="3"/>
    </row>
    <row r="3373" spans="1:9" s="5" customFormat="1" x14ac:dyDescent="0.35">
      <c r="A3373" s="3" t="s">
        <v>907</v>
      </c>
      <c r="B3373" s="3" t="s">
        <v>1010</v>
      </c>
      <c r="C3373" s="3" t="s">
        <v>20</v>
      </c>
      <c r="D3373" s="3" t="s">
        <v>1169</v>
      </c>
      <c r="E3373" s="3" t="s">
        <v>28</v>
      </c>
      <c r="F3373" s="3"/>
      <c r="G3373" s="3"/>
      <c r="H3373" s="3"/>
      <c r="I3373" s="3"/>
    </row>
    <row r="3374" spans="1:9" s="5" customFormat="1" x14ac:dyDescent="0.35">
      <c r="A3374" s="3" t="s">
        <v>907</v>
      </c>
      <c r="B3374" s="3" t="s">
        <v>1010</v>
      </c>
      <c r="C3374" s="3" t="s">
        <v>20</v>
      </c>
      <c r="D3374" s="3" t="s">
        <v>1169</v>
      </c>
      <c r="E3374" s="3" t="s">
        <v>242</v>
      </c>
      <c r="F3374" s="3"/>
      <c r="G3374" s="3" t="s">
        <v>2474</v>
      </c>
      <c r="H3374" s="3"/>
      <c r="I3374" s="3"/>
    </row>
    <row r="3375" spans="1:9" s="5" customFormat="1" x14ac:dyDescent="0.35">
      <c r="A3375" s="3" t="s">
        <v>907</v>
      </c>
      <c r="B3375" s="3" t="s">
        <v>1010</v>
      </c>
      <c r="C3375" s="3" t="s">
        <v>20</v>
      </c>
      <c r="D3375" s="3" t="s">
        <v>1169</v>
      </c>
      <c r="E3375" s="3" t="s">
        <v>15</v>
      </c>
      <c r="F3375" s="3" t="s">
        <v>16</v>
      </c>
      <c r="G3375" s="3" t="s">
        <v>1170</v>
      </c>
      <c r="H3375" s="3"/>
      <c r="I3375" s="3"/>
    </row>
    <row r="3376" spans="1:9" s="5" customFormat="1" x14ac:dyDescent="0.35">
      <c r="A3376" s="3" t="s">
        <v>907</v>
      </c>
      <c r="B3376" s="3" t="s">
        <v>1010</v>
      </c>
      <c r="C3376" s="3" t="s">
        <v>20</v>
      </c>
      <c r="D3376" s="3" t="s">
        <v>1169</v>
      </c>
      <c r="E3376" s="3" t="s">
        <v>56</v>
      </c>
      <c r="F3376" s="3"/>
      <c r="G3376" s="3" t="s">
        <v>2394</v>
      </c>
      <c r="H3376" s="3"/>
      <c r="I3376" s="3"/>
    </row>
    <row r="3377" spans="1:9" s="5" customFormat="1" x14ac:dyDescent="0.35">
      <c r="A3377" s="3" t="s">
        <v>907</v>
      </c>
      <c r="B3377" s="3" t="s">
        <v>1010</v>
      </c>
      <c r="C3377" s="3" t="s">
        <v>20</v>
      </c>
      <c r="D3377" s="3" t="s">
        <v>1169</v>
      </c>
      <c r="E3377" s="3" t="s">
        <v>89</v>
      </c>
      <c r="F3377" s="3"/>
      <c r="G3377" s="3" t="s">
        <v>2470</v>
      </c>
      <c r="H3377" s="3"/>
      <c r="I3377" s="3"/>
    </row>
    <row r="3378" spans="1:9" s="5" customFormat="1" x14ac:dyDescent="0.35">
      <c r="A3378" s="3" t="s">
        <v>907</v>
      </c>
      <c r="B3378" s="3" t="s">
        <v>1010</v>
      </c>
      <c r="C3378" s="3" t="s">
        <v>20</v>
      </c>
      <c r="D3378" s="3" t="s">
        <v>1169</v>
      </c>
      <c r="E3378" s="3" t="s">
        <v>32</v>
      </c>
      <c r="F3378" s="3"/>
      <c r="G3378" s="3" t="s">
        <v>2471</v>
      </c>
      <c r="H3378" s="3"/>
      <c r="I3378" s="3"/>
    </row>
    <row r="3379" spans="1:9" s="5" customFormat="1" x14ac:dyDescent="0.35">
      <c r="A3379" s="3" t="s">
        <v>907</v>
      </c>
      <c r="B3379" s="3" t="s">
        <v>1010</v>
      </c>
      <c r="C3379" s="3" t="s">
        <v>20</v>
      </c>
      <c r="D3379" s="3" t="s">
        <v>1169</v>
      </c>
      <c r="E3379" s="3" t="s">
        <v>29</v>
      </c>
      <c r="F3379" s="3"/>
      <c r="G3379" s="3"/>
      <c r="H3379" s="3"/>
      <c r="I3379" s="3"/>
    </row>
    <row r="3380" spans="1:9" s="5" customFormat="1" x14ac:dyDescent="0.35">
      <c r="A3380" s="3" t="s">
        <v>907</v>
      </c>
      <c r="B3380" s="3" t="s">
        <v>1010</v>
      </c>
      <c r="C3380" s="3" t="s">
        <v>20</v>
      </c>
      <c r="D3380" s="3" t="s">
        <v>1169</v>
      </c>
      <c r="E3380" s="3" t="s">
        <v>152</v>
      </c>
      <c r="F3380" s="3"/>
      <c r="G3380" s="3"/>
      <c r="H3380" s="3"/>
      <c r="I3380" s="3"/>
    </row>
    <row r="3381" spans="1:9" s="5" customFormat="1" x14ac:dyDescent="0.35">
      <c r="A3381" s="3" t="s">
        <v>907</v>
      </c>
      <c r="B3381" s="3" t="s">
        <v>1010</v>
      </c>
      <c r="C3381" s="3" t="s">
        <v>20</v>
      </c>
      <c r="D3381" s="3" t="s">
        <v>1169</v>
      </c>
      <c r="E3381" s="3" t="s">
        <v>62</v>
      </c>
      <c r="F3381" s="3"/>
      <c r="G3381" s="3"/>
      <c r="H3381" s="3"/>
      <c r="I3381" s="3"/>
    </row>
    <row r="3382" spans="1:9" s="5" customFormat="1" x14ac:dyDescent="0.35">
      <c r="A3382" s="3" t="s">
        <v>907</v>
      </c>
      <c r="B3382" s="3" t="s">
        <v>1010</v>
      </c>
      <c r="C3382" s="3" t="s">
        <v>20</v>
      </c>
      <c r="D3382" s="3" t="s">
        <v>1169</v>
      </c>
      <c r="E3382" s="3" t="s">
        <v>134</v>
      </c>
      <c r="F3382" s="3"/>
      <c r="G3382" s="3"/>
      <c r="H3382" s="3"/>
      <c r="I3382" s="3"/>
    </row>
    <row r="3383" spans="1:9" s="5" customFormat="1" x14ac:dyDescent="0.35">
      <c r="A3383" s="3" t="s">
        <v>907</v>
      </c>
      <c r="B3383" s="3" t="s">
        <v>1010</v>
      </c>
      <c r="C3383" s="3" t="s">
        <v>20</v>
      </c>
      <c r="D3383" s="3" t="s">
        <v>1169</v>
      </c>
      <c r="E3383" s="3" t="s">
        <v>191</v>
      </c>
      <c r="F3383" s="3"/>
      <c r="G3383" s="3" t="s">
        <v>2472</v>
      </c>
      <c r="H3383" s="3"/>
      <c r="I3383" s="3"/>
    </row>
    <row r="3384" spans="1:9" s="5" customFormat="1" x14ac:dyDescent="0.35">
      <c r="A3384" s="3" t="s">
        <v>907</v>
      </c>
      <c r="B3384" s="3" t="s">
        <v>1010</v>
      </c>
      <c r="C3384" s="3" t="s">
        <v>20</v>
      </c>
      <c r="D3384" s="3" t="s">
        <v>1169</v>
      </c>
      <c r="E3384" s="3" t="s">
        <v>107</v>
      </c>
      <c r="F3384" s="3"/>
      <c r="G3384" s="3" t="s">
        <v>2973</v>
      </c>
      <c r="H3384" s="3"/>
      <c r="I3384" s="3"/>
    </row>
    <row r="3385" spans="1:9" s="5" customFormat="1" x14ac:dyDescent="0.35">
      <c r="A3385" s="3" t="s">
        <v>907</v>
      </c>
      <c r="B3385" s="3" t="s">
        <v>1010</v>
      </c>
      <c r="C3385" s="3" t="s">
        <v>20</v>
      </c>
      <c r="D3385" s="3" t="s">
        <v>1169</v>
      </c>
      <c r="E3385" s="3" t="s">
        <v>372</v>
      </c>
      <c r="F3385" s="3"/>
      <c r="G3385" s="3" t="s">
        <v>2473</v>
      </c>
      <c r="H3385" s="3"/>
      <c r="I3385" s="3"/>
    </row>
    <row r="3386" spans="1:9" s="5" customFormat="1" x14ac:dyDescent="0.35">
      <c r="A3386" s="3" t="s">
        <v>907</v>
      </c>
      <c r="B3386" s="3" t="s">
        <v>1010</v>
      </c>
      <c r="C3386" s="3" t="s">
        <v>20</v>
      </c>
      <c r="D3386" s="3" t="s">
        <v>1169</v>
      </c>
      <c r="E3386" s="3" t="s">
        <v>218</v>
      </c>
      <c r="F3386" s="3" t="s">
        <v>33</v>
      </c>
      <c r="G3386" s="3" t="s">
        <v>34</v>
      </c>
      <c r="H3386" s="3"/>
      <c r="I3386" s="3"/>
    </row>
    <row r="3387" spans="1:9" s="5" customFormat="1" x14ac:dyDescent="0.35">
      <c r="A3387" s="3" t="s">
        <v>907</v>
      </c>
      <c r="B3387" s="3" t="s">
        <v>1010</v>
      </c>
      <c r="C3387" s="3" t="s">
        <v>20</v>
      </c>
      <c r="D3387" s="3" t="s">
        <v>1169</v>
      </c>
      <c r="E3387" s="3" t="s">
        <v>1049</v>
      </c>
      <c r="F3387" s="3"/>
      <c r="G3387" s="3"/>
      <c r="H3387" s="3"/>
      <c r="I3387" s="3"/>
    </row>
    <row r="3388" spans="1:9" s="5" customFormat="1" x14ac:dyDescent="0.35">
      <c r="A3388" s="3" t="s">
        <v>907</v>
      </c>
      <c r="B3388" s="3" t="s">
        <v>1010</v>
      </c>
      <c r="C3388" s="3" t="s">
        <v>10</v>
      </c>
      <c r="D3388" s="3" t="s">
        <v>1171</v>
      </c>
      <c r="E3388" s="3" t="s">
        <v>47</v>
      </c>
      <c r="F3388" s="3"/>
      <c r="G3388" s="3"/>
      <c r="H3388" s="3"/>
      <c r="I3388" s="3"/>
    </row>
    <row r="3389" spans="1:9" s="5" customFormat="1" x14ac:dyDescent="0.35">
      <c r="A3389" s="3" t="s">
        <v>907</v>
      </c>
      <c r="B3389" s="3" t="s">
        <v>1010</v>
      </c>
      <c r="C3389" s="3" t="s">
        <v>10</v>
      </c>
      <c r="D3389" s="3" t="s">
        <v>1171</v>
      </c>
      <c r="E3389" s="3" t="s">
        <v>28</v>
      </c>
      <c r="F3389" s="3"/>
      <c r="G3389" s="3" t="s">
        <v>2361</v>
      </c>
      <c r="H3389" s="3"/>
      <c r="I3389" s="3"/>
    </row>
    <row r="3390" spans="1:9" s="5" customFormat="1" x14ac:dyDescent="0.35">
      <c r="A3390" s="3" t="s">
        <v>907</v>
      </c>
      <c r="B3390" s="3" t="s">
        <v>1010</v>
      </c>
      <c r="C3390" s="3" t="s">
        <v>10</v>
      </c>
      <c r="D3390" s="3" t="s">
        <v>1171</v>
      </c>
      <c r="E3390" s="3" t="s">
        <v>134</v>
      </c>
      <c r="F3390" s="3"/>
      <c r="G3390" s="3" t="s">
        <v>2423</v>
      </c>
      <c r="H3390" s="3"/>
      <c r="I3390" s="3"/>
    </row>
    <row r="3391" spans="1:9" s="5" customFormat="1" x14ac:dyDescent="0.35">
      <c r="A3391" s="3" t="s">
        <v>907</v>
      </c>
      <c r="B3391" s="3" t="s">
        <v>1010</v>
      </c>
      <c r="C3391" s="3" t="s">
        <v>10</v>
      </c>
      <c r="D3391" s="3" t="s">
        <v>1172</v>
      </c>
      <c r="E3391" s="3" t="s">
        <v>12</v>
      </c>
      <c r="F3391" s="3"/>
      <c r="G3391" s="3"/>
      <c r="H3391" s="3"/>
      <c r="I3391" s="3"/>
    </row>
    <row r="3392" spans="1:9" s="5" customFormat="1" x14ac:dyDescent="0.35">
      <c r="A3392" s="3" t="s">
        <v>907</v>
      </c>
      <c r="B3392" s="3" t="s">
        <v>1010</v>
      </c>
      <c r="C3392" s="3" t="s">
        <v>10</v>
      </c>
      <c r="D3392" s="3" t="s">
        <v>1172</v>
      </c>
      <c r="E3392" s="3" t="s">
        <v>77</v>
      </c>
      <c r="F3392" s="3" t="s">
        <v>33</v>
      </c>
      <c r="G3392" s="3" t="s">
        <v>34</v>
      </c>
      <c r="H3392" s="3"/>
      <c r="I3392" s="3"/>
    </row>
    <row r="3393" spans="1:9" s="5" customFormat="1" x14ac:dyDescent="0.35">
      <c r="A3393" s="3" t="s">
        <v>907</v>
      </c>
      <c r="B3393" s="3" t="s">
        <v>1010</v>
      </c>
      <c r="C3393" s="3" t="s">
        <v>10</v>
      </c>
      <c r="D3393" s="3" t="s">
        <v>1172</v>
      </c>
      <c r="E3393" s="3" t="s">
        <v>15</v>
      </c>
      <c r="F3393" s="3"/>
      <c r="G3393" s="3"/>
      <c r="H3393" s="3"/>
      <c r="I3393" s="3"/>
    </row>
    <row r="3394" spans="1:9" s="5" customFormat="1" x14ac:dyDescent="0.35">
      <c r="A3394" s="3" t="s">
        <v>907</v>
      </c>
      <c r="B3394" s="3" t="s">
        <v>1010</v>
      </c>
      <c r="C3394" s="3" t="s">
        <v>10</v>
      </c>
      <c r="D3394" s="3" t="s">
        <v>1172</v>
      </c>
      <c r="E3394" s="3" t="s">
        <v>56</v>
      </c>
      <c r="F3394" s="3"/>
      <c r="G3394" s="3"/>
      <c r="H3394" s="3"/>
      <c r="I3394" s="3"/>
    </row>
    <row r="3395" spans="1:9" s="5" customFormat="1" x14ac:dyDescent="0.35">
      <c r="A3395" s="3" t="s">
        <v>907</v>
      </c>
      <c r="B3395" s="3" t="s">
        <v>1010</v>
      </c>
      <c r="C3395" s="3" t="s">
        <v>10</v>
      </c>
      <c r="D3395" s="3" t="s">
        <v>1172</v>
      </c>
      <c r="E3395" s="3" t="s">
        <v>152</v>
      </c>
      <c r="F3395" s="3" t="s">
        <v>33</v>
      </c>
      <c r="G3395" s="3" t="s">
        <v>34</v>
      </c>
      <c r="H3395" s="3"/>
      <c r="I3395" s="3"/>
    </row>
    <row r="3396" spans="1:9" s="5" customFormat="1" x14ac:dyDescent="0.35">
      <c r="A3396" s="3" t="s">
        <v>907</v>
      </c>
      <c r="B3396" s="3" t="s">
        <v>1010</v>
      </c>
      <c r="C3396" s="3" t="s">
        <v>10</v>
      </c>
      <c r="D3396" s="3" t="s">
        <v>1172</v>
      </c>
      <c r="E3396" s="3" t="s">
        <v>218</v>
      </c>
      <c r="F3396" s="3" t="s">
        <v>33</v>
      </c>
      <c r="G3396" s="3" t="s">
        <v>34</v>
      </c>
      <c r="H3396" s="3"/>
      <c r="I3396" s="3"/>
    </row>
    <row r="3397" spans="1:9" s="5" customFormat="1" x14ac:dyDescent="0.35">
      <c r="A3397" s="3" t="s">
        <v>907</v>
      </c>
      <c r="B3397" s="3" t="s">
        <v>1010</v>
      </c>
      <c r="C3397" s="3" t="s">
        <v>20</v>
      </c>
      <c r="D3397" s="3" t="s">
        <v>2839</v>
      </c>
      <c r="E3397" s="3" t="s">
        <v>71</v>
      </c>
      <c r="F3397" s="3"/>
      <c r="G3397" s="3"/>
      <c r="H3397" s="3"/>
      <c r="I3397" s="3"/>
    </row>
    <row r="3398" spans="1:9" s="5" customFormat="1" x14ac:dyDescent="0.35">
      <c r="A3398" s="3" t="s">
        <v>907</v>
      </c>
      <c r="B3398" s="3" t="s">
        <v>1010</v>
      </c>
      <c r="C3398" s="3" t="s">
        <v>20</v>
      </c>
      <c r="D3398" s="3" t="s">
        <v>2839</v>
      </c>
      <c r="E3398" s="3" t="s">
        <v>28</v>
      </c>
      <c r="F3398" s="3"/>
      <c r="G3398" s="3"/>
      <c r="H3398" s="3"/>
      <c r="I3398" s="3"/>
    </row>
    <row r="3399" spans="1:9" s="5" customFormat="1" x14ac:dyDescent="0.35">
      <c r="A3399" s="3" t="s">
        <v>907</v>
      </c>
      <c r="B3399" s="3" t="s">
        <v>1010</v>
      </c>
      <c r="C3399" s="3" t="s">
        <v>20</v>
      </c>
      <c r="D3399" s="3" t="s">
        <v>2839</v>
      </c>
      <c r="E3399" s="3" t="s">
        <v>56</v>
      </c>
      <c r="F3399" s="3" t="s">
        <v>16</v>
      </c>
      <c r="G3399" s="3" t="s">
        <v>2840</v>
      </c>
      <c r="H3399" s="3"/>
      <c r="I3399" s="3"/>
    </row>
    <row r="3400" spans="1:9" s="5" customFormat="1" x14ac:dyDescent="0.35">
      <c r="A3400" s="3" t="s">
        <v>907</v>
      </c>
      <c r="B3400" s="3" t="s">
        <v>1010</v>
      </c>
      <c r="C3400" s="3" t="s">
        <v>20</v>
      </c>
      <c r="D3400" s="3" t="s">
        <v>2839</v>
      </c>
      <c r="E3400" s="3" t="s">
        <v>29</v>
      </c>
      <c r="F3400" s="3"/>
      <c r="H3400" s="3"/>
      <c r="I3400" s="3"/>
    </row>
    <row r="3401" spans="1:9" s="5" customFormat="1" x14ac:dyDescent="0.35">
      <c r="A3401" s="3" t="s">
        <v>907</v>
      </c>
      <c r="B3401" s="3" t="s">
        <v>1010</v>
      </c>
      <c r="C3401" s="3" t="s">
        <v>20</v>
      </c>
      <c r="D3401" s="3" t="s">
        <v>2839</v>
      </c>
      <c r="E3401" s="3" t="s">
        <v>134</v>
      </c>
      <c r="F3401" s="3"/>
      <c r="G3401" s="3"/>
      <c r="H3401" s="3"/>
      <c r="I3401" s="3"/>
    </row>
    <row r="3402" spans="1:9" s="5" customFormat="1" x14ac:dyDescent="0.35">
      <c r="A3402" s="3" t="s">
        <v>907</v>
      </c>
      <c r="B3402" s="3" t="s">
        <v>1010</v>
      </c>
      <c r="C3402" s="3" t="s">
        <v>20</v>
      </c>
      <c r="D3402" s="3" t="s">
        <v>2839</v>
      </c>
      <c r="E3402" s="3" t="s">
        <v>1049</v>
      </c>
      <c r="F3402" s="3"/>
      <c r="G3402" s="3"/>
      <c r="H3402" s="3"/>
      <c r="I3402" s="3"/>
    </row>
    <row r="3403" spans="1:9" s="5" customFormat="1" x14ac:dyDescent="0.35">
      <c r="A3403" s="3" t="s">
        <v>907</v>
      </c>
      <c r="B3403" s="3" t="s">
        <v>1010</v>
      </c>
      <c r="C3403" s="3" t="s">
        <v>45</v>
      </c>
      <c r="D3403" s="3" t="s">
        <v>2569</v>
      </c>
      <c r="E3403" s="3" t="s">
        <v>217</v>
      </c>
      <c r="F3403" s="3"/>
      <c r="G3403" s="3"/>
      <c r="H3403" s="3"/>
      <c r="I3403" s="3"/>
    </row>
    <row r="3404" spans="1:9" s="5" customFormat="1" x14ac:dyDescent="0.35">
      <c r="A3404" s="3" t="s">
        <v>907</v>
      </c>
      <c r="B3404" s="3" t="s">
        <v>1010</v>
      </c>
      <c r="C3404" s="3" t="s">
        <v>45</v>
      </c>
      <c r="D3404" s="3" t="s">
        <v>1173</v>
      </c>
      <c r="E3404" s="3" t="s">
        <v>166</v>
      </c>
      <c r="F3404" s="3"/>
      <c r="G3404" s="3"/>
      <c r="H3404" s="3"/>
      <c r="I3404" s="3"/>
    </row>
    <row r="3405" spans="1:9" s="5" customFormat="1" x14ac:dyDescent="0.35">
      <c r="A3405" s="3" t="s">
        <v>907</v>
      </c>
      <c r="B3405" s="3" t="s">
        <v>1010</v>
      </c>
      <c r="C3405" s="3" t="s">
        <v>45</v>
      </c>
      <c r="D3405" s="3" t="s">
        <v>1173</v>
      </c>
      <c r="E3405" s="3" t="s">
        <v>217</v>
      </c>
      <c r="F3405" s="3"/>
      <c r="G3405" s="3"/>
      <c r="H3405" s="3"/>
      <c r="I3405" s="3"/>
    </row>
    <row r="3406" spans="1:9" s="5" customFormat="1" x14ac:dyDescent="0.35">
      <c r="A3406" s="3" t="s">
        <v>907</v>
      </c>
      <c r="B3406" s="3" t="s">
        <v>1010</v>
      </c>
      <c r="C3406" s="3" t="s">
        <v>45</v>
      </c>
      <c r="D3406" s="3" t="s">
        <v>1173</v>
      </c>
      <c r="E3406" s="3" t="s">
        <v>1016</v>
      </c>
      <c r="F3406" s="3"/>
      <c r="G3406" s="3"/>
      <c r="H3406" s="3"/>
      <c r="I3406" s="3"/>
    </row>
    <row r="3407" spans="1:9" s="5" customFormat="1" x14ac:dyDescent="0.35">
      <c r="A3407" s="3" t="s">
        <v>907</v>
      </c>
      <c r="B3407" s="3" t="s">
        <v>1010</v>
      </c>
      <c r="C3407" s="3" t="s">
        <v>45</v>
      </c>
      <c r="D3407" s="3" t="s">
        <v>1173</v>
      </c>
      <c r="E3407" s="3" t="s">
        <v>225</v>
      </c>
      <c r="F3407" s="3"/>
      <c r="G3407" s="3"/>
      <c r="H3407" s="3"/>
      <c r="I3407" s="3"/>
    </row>
    <row r="3408" spans="1:9" s="5" customFormat="1" x14ac:dyDescent="0.35">
      <c r="A3408" s="3" t="s">
        <v>907</v>
      </c>
      <c r="B3408" s="3" t="s">
        <v>1010</v>
      </c>
      <c r="C3408" s="3" t="s">
        <v>45</v>
      </c>
      <c r="D3408" s="3" t="s">
        <v>1173</v>
      </c>
      <c r="E3408" s="3" t="s">
        <v>221</v>
      </c>
      <c r="F3408" s="3"/>
      <c r="G3408" s="3"/>
      <c r="H3408" s="3"/>
      <c r="I3408" s="3"/>
    </row>
    <row r="3409" spans="1:9" s="5" customFormat="1" x14ac:dyDescent="0.35">
      <c r="A3409" s="3" t="s">
        <v>907</v>
      </c>
      <c r="B3409" s="3" t="s">
        <v>1010</v>
      </c>
      <c r="C3409" s="3" t="s">
        <v>45</v>
      </c>
      <c r="D3409" s="3" t="s">
        <v>1173</v>
      </c>
      <c r="E3409" s="3" t="s">
        <v>222</v>
      </c>
      <c r="F3409" s="3"/>
      <c r="G3409" s="3"/>
      <c r="H3409" s="3"/>
      <c r="I3409" s="3"/>
    </row>
    <row r="3410" spans="1:9" s="5" customFormat="1" x14ac:dyDescent="0.35">
      <c r="A3410" s="3" t="s">
        <v>907</v>
      </c>
      <c r="B3410" s="3" t="s">
        <v>1010</v>
      </c>
      <c r="C3410" s="3" t="s">
        <v>45</v>
      </c>
      <c r="D3410" s="3" t="s">
        <v>1173</v>
      </c>
      <c r="E3410" s="3" t="s">
        <v>223</v>
      </c>
      <c r="F3410" s="3"/>
      <c r="G3410" s="3"/>
      <c r="H3410" s="3"/>
      <c r="I3410" s="3"/>
    </row>
    <row r="3411" spans="1:9" s="5" customFormat="1" x14ac:dyDescent="0.35">
      <c r="A3411" s="3" t="s">
        <v>907</v>
      </c>
      <c r="B3411" s="3" t="s">
        <v>1010</v>
      </c>
      <c r="C3411" s="3" t="s">
        <v>45</v>
      </c>
      <c r="D3411" s="3" t="s">
        <v>1173</v>
      </c>
      <c r="E3411" s="3" t="s">
        <v>226</v>
      </c>
      <c r="F3411" s="3"/>
      <c r="G3411" s="3"/>
      <c r="H3411" s="3"/>
      <c r="I3411" s="3"/>
    </row>
    <row r="3412" spans="1:9" s="5" customFormat="1" x14ac:dyDescent="0.35">
      <c r="A3412" s="3" t="s">
        <v>907</v>
      </c>
      <c r="B3412" s="3" t="s">
        <v>1010</v>
      </c>
      <c r="C3412" s="3" t="s">
        <v>45</v>
      </c>
      <c r="D3412" s="3" t="s">
        <v>1173</v>
      </c>
      <c r="E3412" s="3" t="s">
        <v>227</v>
      </c>
      <c r="F3412" s="3"/>
      <c r="G3412" s="3"/>
      <c r="H3412" s="3"/>
      <c r="I3412" s="3"/>
    </row>
    <row r="3413" spans="1:9" s="5" customFormat="1" x14ac:dyDescent="0.35">
      <c r="A3413" s="3" t="s">
        <v>907</v>
      </c>
      <c r="B3413" s="3" t="s">
        <v>1010</v>
      </c>
      <c r="C3413" s="3" t="s">
        <v>45</v>
      </c>
      <c r="D3413" s="3" t="s">
        <v>1173</v>
      </c>
      <c r="E3413" s="3" t="s">
        <v>228</v>
      </c>
      <c r="F3413" s="3"/>
      <c r="G3413" s="3"/>
      <c r="H3413" s="3"/>
      <c r="I3413" s="3"/>
    </row>
    <row r="3414" spans="1:9" s="5" customFormat="1" x14ac:dyDescent="0.35">
      <c r="A3414" s="3" t="s">
        <v>907</v>
      </c>
      <c r="B3414" s="3" t="s">
        <v>1010</v>
      </c>
      <c r="C3414" s="3" t="s">
        <v>45</v>
      </c>
      <c r="D3414" s="3" t="s">
        <v>1173</v>
      </c>
      <c r="E3414" s="3" t="s">
        <v>229</v>
      </c>
      <c r="F3414" s="3"/>
      <c r="G3414" s="3"/>
      <c r="H3414" s="3"/>
      <c r="I3414" s="3"/>
    </row>
    <row r="3415" spans="1:9" s="5" customFormat="1" x14ac:dyDescent="0.35">
      <c r="A3415" s="3" t="s">
        <v>907</v>
      </c>
      <c r="B3415" s="3" t="s">
        <v>1010</v>
      </c>
      <c r="C3415" s="3" t="s">
        <v>45</v>
      </c>
      <c r="D3415" s="3" t="s">
        <v>1173</v>
      </c>
      <c r="E3415" s="3" t="s">
        <v>230</v>
      </c>
      <c r="F3415" s="3"/>
      <c r="G3415" s="3"/>
      <c r="H3415" s="3"/>
      <c r="I3415" s="3"/>
    </row>
    <row r="3416" spans="1:9" s="5" customFormat="1" x14ac:dyDescent="0.35">
      <c r="A3416" s="3" t="s">
        <v>907</v>
      </c>
      <c r="B3416" s="3" t="s">
        <v>1010</v>
      </c>
      <c r="C3416" s="3" t="s">
        <v>45</v>
      </c>
      <c r="D3416" s="3" t="s">
        <v>1173</v>
      </c>
      <c r="E3416" s="3" t="s">
        <v>219</v>
      </c>
      <c r="F3416" s="3"/>
      <c r="G3416" s="3"/>
      <c r="H3416" s="3"/>
      <c r="I3416" s="3"/>
    </row>
    <row r="3417" spans="1:9" s="5" customFormat="1" x14ac:dyDescent="0.35">
      <c r="A3417" s="3" t="s">
        <v>907</v>
      </c>
      <c r="B3417" s="3" t="s">
        <v>1010</v>
      </c>
      <c r="C3417" s="3" t="s">
        <v>45</v>
      </c>
      <c r="D3417" s="3" t="s">
        <v>1173</v>
      </c>
      <c r="E3417" s="3" t="s">
        <v>218</v>
      </c>
      <c r="F3417" s="3"/>
      <c r="G3417" s="3"/>
      <c r="H3417" s="3"/>
      <c r="I3417" s="3"/>
    </row>
    <row r="3418" spans="1:9" s="5" customFormat="1" x14ac:dyDescent="0.35">
      <c r="A3418" s="3" t="s">
        <v>907</v>
      </c>
      <c r="B3418" s="3" t="s">
        <v>1010</v>
      </c>
      <c r="C3418" s="3" t="s">
        <v>45</v>
      </c>
      <c r="D3418" s="3" t="s">
        <v>1173</v>
      </c>
      <c r="E3418" s="3" t="s">
        <v>224</v>
      </c>
      <c r="F3418" s="3"/>
      <c r="G3418" s="3"/>
      <c r="H3418" s="3"/>
      <c r="I3418" s="3"/>
    </row>
    <row r="3419" spans="1:9" s="5" customFormat="1" x14ac:dyDescent="0.35">
      <c r="A3419" s="3" t="s">
        <v>907</v>
      </c>
      <c r="B3419" s="3" t="s">
        <v>1010</v>
      </c>
      <c r="C3419" s="3" t="s">
        <v>45</v>
      </c>
      <c r="D3419" s="3" t="s">
        <v>1174</v>
      </c>
      <c r="E3419" s="3" t="s">
        <v>217</v>
      </c>
      <c r="F3419" s="3"/>
      <c r="G3419" s="3" t="s">
        <v>2286</v>
      </c>
      <c r="H3419" s="3"/>
      <c r="I3419" s="3"/>
    </row>
    <row r="3420" spans="1:9" s="5" customFormat="1" x14ac:dyDescent="0.35">
      <c r="A3420" s="3" t="s">
        <v>907</v>
      </c>
      <c r="B3420" s="3" t="s">
        <v>1010</v>
      </c>
      <c r="C3420" s="3" t="s">
        <v>45</v>
      </c>
      <c r="D3420" s="3" t="s">
        <v>1174</v>
      </c>
      <c r="E3420" s="3" t="s">
        <v>56</v>
      </c>
      <c r="F3420" s="3"/>
      <c r="G3420" s="3"/>
      <c r="H3420" s="3"/>
      <c r="I3420" s="3"/>
    </row>
    <row r="3421" spans="1:9" s="5" customFormat="1" x14ac:dyDescent="0.35">
      <c r="A3421" s="3" t="s">
        <v>907</v>
      </c>
      <c r="B3421" s="3" t="s">
        <v>1010</v>
      </c>
      <c r="C3421" s="3" t="s">
        <v>45</v>
      </c>
      <c r="D3421" s="3" t="s">
        <v>1174</v>
      </c>
      <c r="E3421" s="3" t="s">
        <v>224</v>
      </c>
      <c r="F3421" s="3"/>
      <c r="G3421" s="3"/>
      <c r="H3421" s="3"/>
      <c r="I3421" s="3"/>
    </row>
    <row r="3422" spans="1:9" s="5" customFormat="1" x14ac:dyDescent="0.35">
      <c r="A3422" s="3" t="s">
        <v>907</v>
      </c>
      <c r="B3422" s="3" t="s">
        <v>1010</v>
      </c>
      <c r="C3422" s="3" t="s">
        <v>591</v>
      </c>
      <c r="D3422" s="3" t="s">
        <v>3015</v>
      </c>
      <c r="E3422" s="3" t="s">
        <v>26</v>
      </c>
      <c r="F3422" s="3" t="s">
        <v>16</v>
      </c>
      <c r="G3422" s="3" t="s">
        <v>2871</v>
      </c>
      <c r="H3422" s="3"/>
      <c r="I3422" s="3"/>
    </row>
    <row r="3423" spans="1:9" s="5" customFormat="1" x14ac:dyDescent="0.35">
      <c r="A3423" s="3" t="s">
        <v>907</v>
      </c>
      <c r="B3423" s="3" t="s">
        <v>1010</v>
      </c>
      <c r="C3423" s="3" t="s">
        <v>45</v>
      </c>
      <c r="D3423" s="3" t="s">
        <v>1175</v>
      </c>
      <c r="E3423" s="3" t="s">
        <v>217</v>
      </c>
      <c r="F3423" s="3" t="s">
        <v>16</v>
      </c>
      <c r="G3423" s="3" t="s">
        <v>2906</v>
      </c>
      <c r="H3423" s="3"/>
      <c r="I3423" s="3"/>
    </row>
    <row r="3424" spans="1:9" s="5" customFormat="1" x14ac:dyDescent="0.35">
      <c r="A3424" s="3" t="s">
        <v>907</v>
      </c>
      <c r="B3424" s="3" t="s">
        <v>1010</v>
      </c>
      <c r="C3424" s="3" t="s">
        <v>45</v>
      </c>
      <c r="D3424" s="3" t="s">
        <v>1175</v>
      </c>
      <c r="E3424" s="3" t="s">
        <v>56</v>
      </c>
      <c r="F3424" s="3"/>
      <c r="G3424" s="3"/>
      <c r="H3424" s="3"/>
      <c r="I3424" s="3"/>
    </row>
    <row r="3425" spans="1:9" s="5" customFormat="1" x14ac:dyDescent="0.35">
      <c r="A3425" s="3" t="s">
        <v>907</v>
      </c>
      <c r="B3425" s="3" t="s">
        <v>1010</v>
      </c>
      <c r="C3425" s="3" t="s">
        <v>20</v>
      </c>
      <c r="D3425" s="3" t="s">
        <v>2807</v>
      </c>
      <c r="E3425" s="3" t="s">
        <v>56</v>
      </c>
      <c r="F3425" s="3"/>
      <c r="G3425" s="3" t="s">
        <v>2808</v>
      </c>
      <c r="H3425" s="3"/>
      <c r="I3425" s="3"/>
    </row>
    <row r="3426" spans="1:9" s="5" customFormat="1" x14ac:dyDescent="0.35">
      <c r="A3426" s="3" t="s">
        <v>907</v>
      </c>
      <c r="B3426" s="3" t="s">
        <v>1010</v>
      </c>
      <c r="C3426" s="3" t="s">
        <v>591</v>
      </c>
      <c r="D3426" s="3" t="s">
        <v>1176</v>
      </c>
      <c r="E3426" s="3" t="s">
        <v>26</v>
      </c>
      <c r="F3426" s="3" t="s">
        <v>16</v>
      </c>
      <c r="G3426" s="3" t="s">
        <v>2871</v>
      </c>
      <c r="H3426" s="3"/>
      <c r="I3426" s="3"/>
    </row>
    <row r="3427" spans="1:9" s="5" customFormat="1" x14ac:dyDescent="0.35">
      <c r="A3427" s="3" t="s">
        <v>907</v>
      </c>
      <c r="B3427" s="3" t="s">
        <v>1010</v>
      </c>
      <c r="C3427" s="3" t="s">
        <v>20</v>
      </c>
      <c r="D3427" s="3" t="s">
        <v>1177</v>
      </c>
      <c r="E3427" s="3" t="s">
        <v>1018</v>
      </c>
      <c r="F3427" s="3"/>
      <c r="G3427" s="3"/>
      <c r="H3427" s="3"/>
      <c r="I3427" s="3"/>
    </row>
    <row r="3428" spans="1:9" s="5" customFormat="1" x14ac:dyDescent="0.35">
      <c r="A3428" s="3" t="s">
        <v>907</v>
      </c>
      <c r="B3428" s="3" t="s">
        <v>1010</v>
      </c>
      <c r="C3428" s="3" t="s">
        <v>20</v>
      </c>
      <c r="D3428" s="3" t="s">
        <v>1177</v>
      </c>
      <c r="E3428" s="3" t="s">
        <v>27</v>
      </c>
      <c r="F3428" s="3"/>
      <c r="G3428" s="3"/>
      <c r="H3428" s="3"/>
      <c r="I3428" s="3"/>
    </row>
    <row r="3429" spans="1:9" s="5" customFormat="1" x14ac:dyDescent="0.35">
      <c r="A3429" s="3" t="s">
        <v>907</v>
      </c>
      <c r="B3429" s="3" t="s">
        <v>1010</v>
      </c>
      <c r="C3429" s="3" t="s">
        <v>20</v>
      </c>
      <c r="D3429" s="3" t="s">
        <v>1177</v>
      </c>
      <c r="E3429" s="3" t="s">
        <v>77</v>
      </c>
      <c r="F3429" s="3"/>
      <c r="G3429" s="3"/>
      <c r="H3429" s="3"/>
      <c r="I3429" s="3"/>
    </row>
    <row r="3430" spans="1:9" s="5" customFormat="1" x14ac:dyDescent="0.35">
      <c r="A3430" s="3" t="s">
        <v>907</v>
      </c>
      <c r="B3430" s="3" t="s">
        <v>1010</v>
      </c>
      <c r="C3430" s="3" t="s">
        <v>20</v>
      </c>
      <c r="D3430" s="3" t="s">
        <v>1177</v>
      </c>
      <c r="E3430" s="3" t="s">
        <v>152</v>
      </c>
      <c r="F3430" s="3"/>
      <c r="G3430" s="3"/>
      <c r="H3430" s="3"/>
      <c r="I3430" s="3"/>
    </row>
    <row r="3431" spans="1:9" s="5" customFormat="1" x14ac:dyDescent="0.35">
      <c r="A3431" s="3" t="s">
        <v>907</v>
      </c>
      <c r="B3431" s="3" t="s">
        <v>1010</v>
      </c>
      <c r="C3431" s="3" t="s">
        <v>20</v>
      </c>
      <c r="D3431" s="3" t="s">
        <v>1177</v>
      </c>
      <c r="E3431" s="3" t="s">
        <v>968</v>
      </c>
      <c r="F3431" s="3"/>
      <c r="G3431" s="3"/>
      <c r="H3431" s="3"/>
      <c r="I3431" s="3"/>
    </row>
    <row r="3432" spans="1:9" s="5" customFormat="1" x14ac:dyDescent="0.35">
      <c r="A3432" s="3" t="s">
        <v>907</v>
      </c>
      <c r="B3432" s="3" t="s">
        <v>1010</v>
      </c>
      <c r="C3432" s="3" t="s">
        <v>45</v>
      </c>
      <c r="D3432" s="3" t="s">
        <v>1178</v>
      </c>
      <c r="E3432" s="3" t="s">
        <v>47</v>
      </c>
      <c r="F3432" s="3"/>
      <c r="G3432" s="3"/>
      <c r="H3432" s="3"/>
      <c r="I3432" s="3"/>
    </row>
    <row r="3433" spans="1:9" s="5" customFormat="1" x14ac:dyDescent="0.35">
      <c r="A3433" s="3" t="s">
        <v>907</v>
      </c>
      <c r="B3433" s="3" t="s">
        <v>1010</v>
      </c>
      <c r="C3433" s="3" t="s">
        <v>45</v>
      </c>
      <c r="D3433" s="3" t="s">
        <v>1178</v>
      </c>
      <c r="E3433" s="3" t="s">
        <v>1179</v>
      </c>
      <c r="F3433" s="3"/>
      <c r="G3433" s="3"/>
      <c r="H3433" s="3"/>
      <c r="I3433" s="3"/>
    </row>
    <row r="3434" spans="1:9" s="5" customFormat="1" x14ac:dyDescent="0.35">
      <c r="A3434" s="3" t="s">
        <v>907</v>
      </c>
      <c r="B3434" s="3" t="s">
        <v>1010</v>
      </c>
      <c r="C3434" s="3" t="s">
        <v>45</v>
      </c>
      <c r="D3434" s="3" t="s">
        <v>1180</v>
      </c>
      <c r="E3434" s="3" t="s">
        <v>217</v>
      </c>
      <c r="F3434" s="3"/>
      <c r="G3434" s="3" t="s">
        <v>2286</v>
      </c>
      <c r="H3434" s="3"/>
      <c r="I3434" s="3"/>
    </row>
    <row r="3435" spans="1:9" s="5" customFormat="1" x14ac:dyDescent="0.35">
      <c r="A3435" s="3" t="s">
        <v>907</v>
      </c>
      <c r="B3435" s="3" t="s">
        <v>1010</v>
      </c>
      <c r="C3435" s="3" t="s">
        <v>45</v>
      </c>
      <c r="D3435" s="3" t="s">
        <v>1180</v>
      </c>
      <c r="E3435" s="3" t="s">
        <v>71</v>
      </c>
      <c r="F3435" s="3"/>
      <c r="G3435" s="3"/>
      <c r="H3435" s="3"/>
      <c r="I3435" s="3"/>
    </row>
    <row r="3436" spans="1:9" s="5" customFormat="1" x14ac:dyDescent="0.35">
      <c r="A3436" s="3" t="s">
        <v>907</v>
      </c>
      <c r="B3436" s="3" t="s">
        <v>1010</v>
      </c>
      <c r="C3436" s="3" t="s">
        <v>45</v>
      </c>
      <c r="D3436" s="3" t="s">
        <v>1180</v>
      </c>
      <c r="E3436" s="3" t="s">
        <v>56</v>
      </c>
      <c r="F3436" s="3"/>
      <c r="G3436" s="3"/>
      <c r="H3436" s="3"/>
      <c r="I3436" s="3"/>
    </row>
    <row r="3437" spans="1:9" s="5" customFormat="1" x14ac:dyDescent="0.35">
      <c r="A3437" s="3" t="s">
        <v>907</v>
      </c>
      <c r="B3437" s="3" t="s">
        <v>1010</v>
      </c>
      <c r="C3437" s="3" t="s">
        <v>45</v>
      </c>
      <c r="D3437" s="3" t="s">
        <v>1180</v>
      </c>
      <c r="E3437" s="3" t="s">
        <v>224</v>
      </c>
      <c r="F3437" s="3"/>
      <c r="G3437" s="3"/>
      <c r="H3437" s="3"/>
      <c r="I3437" s="3"/>
    </row>
    <row r="3438" spans="1:9" s="5" customFormat="1" x14ac:dyDescent="0.35">
      <c r="A3438" s="3" t="s">
        <v>907</v>
      </c>
      <c r="B3438" s="3" t="s">
        <v>1010</v>
      </c>
      <c r="C3438" s="3" t="s">
        <v>45</v>
      </c>
      <c r="D3438" s="3" t="s">
        <v>1181</v>
      </c>
      <c r="E3438" s="3" t="s">
        <v>217</v>
      </c>
      <c r="F3438" s="3"/>
      <c r="G3438" s="3" t="s">
        <v>2286</v>
      </c>
      <c r="H3438" s="3"/>
      <c r="I3438" s="3"/>
    </row>
    <row r="3439" spans="1:9" s="5" customFormat="1" x14ac:dyDescent="0.35">
      <c r="A3439" s="3" t="s">
        <v>907</v>
      </c>
      <c r="B3439" s="3" t="s">
        <v>1010</v>
      </c>
      <c r="C3439" s="3" t="s">
        <v>45</v>
      </c>
      <c r="D3439" s="3" t="s">
        <v>1181</v>
      </c>
      <c r="E3439" s="3" t="s">
        <v>56</v>
      </c>
      <c r="F3439" s="3"/>
      <c r="G3439" s="3"/>
      <c r="H3439" s="3"/>
      <c r="I3439" s="3"/>
    </row>
    <row r="3440" spans="1:9" s="5" customFormat="1" x14ac:dyDescent="0.35">
      <c r="A3440" s="3" t="s">
        <v>907</v>
      </c>
      <c r="B3440" s="3" t="s">
        <v>1010</v>
      </c>
      <c r="C3440" s="3" t="s">
        <v>45</v>
      </c>
      <c r="D3440" s="3" t="s">
        <v>1181</v>
      </c>
      <c r="E3440" s="3" t="s">
        <v>224</v>
      </c>
      <c r="F3440" s="3"/>
      <c r="G3440" s="3"/>
      <c r="H3440" s="3"/>
      <c r="I3440" s="3"/>
    </row>
    <row r="3441" spans="1:9" s="5" customFormat="1" x14ac:dyDescent="0.35">
      <c r="A3441" s="3" t="s">
        <v>907</v>
      </c>
      <c r="B3441" s="3" t="s">
        <v>1010</v>
      </c>
      <c r="C3441" s="3" t="s">
        <v>45</v>
      </c>
      <c r="D3441" s="3" t="s">
        <v>1182</v>
      </c>
      <c r="E3441" s="3" t="s">
        <v>217</v>
      </c>
      <c r="F3441" s="3"/>
      <c r="G3441" s="3" t="s">
        <v>2286</v>
      </c>
      <c r="H3441" s="3"/>
      <c r="I3441" s="3"/>
    </row>
    <row r="3442" spans="1:9" s="5" customFormat="1" x14ac:dyDescent="0.35">
      <c r="A3442" s="3" t="s">
        <v>907</v>
      </c>
      <c r="B3442" s="3" t="s">
        <v>1010</v>
      </c>
      <c r="C3442" s="3" t="s">
        <v>45</v>
      </c>
      <c r="D3442" s="3" t="s">
        <v>1182</v>
      </c>
      <c r="E3442" s="3" t="s">
        <v>56</v>
      </c>
      <c r="F3442" s="3"/>
      <c r="G3442" s="3"/>
      <c r="H3442" s="3"/>
      <c r="I3442" s="3"/>
    </row>
    <row r="3443" spans="1:9" s="5" customFormat="1" x14ac:dyDescent="0.35">
      <c r="A3443" s="3" t="s">
        <v>907</v>
      </c>
      <c r="B3443" s="3" t="s">
        <v>1010</v>
      </c>
      <c r="C3443" s="3" t="s">
        <v>45</v>
      </c>
      <c r="D3443" s="3" t="s">
        <v>1182</v>
      </c>
      <c r="E3443" s="3" t="s">
        <v>224</v>
      </c>
      <c r="F3443" s="3"/>
      <c r="G3443" s="3"/>
      <c r="H3443" s="3"/>
      <c r="I3443" s="3"/>
    </row>
    <row r="3444" spans="1:9" s="5" customFormat="1" x14ac:dyDescent="0.35">
      <c r="A3444" s="3" t="s">
        <v>907</v>
      </c>
      <c r="B3444" s="3" t="s">
        <v>1010</v>
      </c>
      <c r="C3444" s="3" t="s">
        <v>10</v>
      </c>
      <c r="D3444" s="3" t="s">
        <v>1183</v>
      </c>
      <c r="E3444" s="3" t="s">
        <v>56</v>
      </c>
      <c r="F3444" s="3"/>
      <c r="G3444" s="3"/>
      <c r="H3444" s="3"/>
      <c r="I3444" s="3"/>
    </row>
    <row r="3445" spans="1:9" s="5" customFormat="1" x14ac:dyDescent="0.35">
      <c r="A3445" s="3" t="s">
        <v>907</v>
      </c>
      <c r="B3445" s="3" t="s">
        <v>1010</v>
      </c>
      <c r="C3445" s="3" t="s">
        <v>10</v>
      </c>
      <c r="D3445" s="3" t="s">
        <v>1183</v>
      </c>
      <c r="E3445" s="3" t="s">
        <v>134</v>
      </c>
      <c r="F3445" s="3"/>
      <c r="G3445" s="3" t="s">
        <v>2423</v>
      </c>
      <c r="H3445" s="3"/>
      <c r="I3445" s="3"/>
    </row>
    <row r="3446" spans="1:9" s="5" customFormat="1" x14ac:dyDescent="0.35">
      <c r="A3446" s="3" t="s">
        <v>907</v>
      </c>
      <c r="B3446" s="3" t="s">
        <v>1010</v>
      </c>
      <c r="C3446" s="3" t="s">
        <v>45</v>
      </c>
      <c r="D3446" s="3" t="s">
        <v>1184</v>
      </c>
      <c r="E3446" s="3" t="s">
        <v>217</v>
      </c>
      <c r="F3446" s="3" t="s">
        <v>33</v>
      </c>
      <c r="G3446" s="3" t="s">
        <v>487</v>
      </c>
      <c r="H3446" s="3"/>
      <c r="I3446" s="3"/>
    </row>
    <row r="3447" spans="1:9" s="5" customFormat="1" x14ac:dyDescent="0.35">
      <c r="A3447" s="3" t="s">
        <v>907</v>
      </c>
      <c r="B3447" s="3" t="s">
        <v>1010</v>
      </c>
      <c r="C3447" s="3" t="s">
        <v>45</v>
      </c>
      <c r="D3447" s="3" t="s">
        <v>1184</v>
      </c>
      <c r="E3447" s="3" t="s">
        <v>28</v>
      </c>
      <c r="F3447" s="3" t="s">
        <v>33</v>
      </c>
      <c r="G3447" s="3" t="s">
        <v>487</v>
      </c>
      <c r="H3447" s="3"/>
      <c r="I3447" s="3"/>
    </row>
    <row r="3448" spans="1:9" s="5" customFormat="1" x14ac:dyDescent="0.35">
      <c r="A3448" s="3" t="s">
        <v>907</v>
      </c>
      <c r="B3448" s="3" t="s">
        <v>1010</v>
      </c>
      <c r="C3448" s="3" t="s">
        <v>45</v>
      </c>
      <c r="D3448" s="3" t="s">
        <v>1184</v>
      </c>
      <c r="E3448" s="3" t="s">
        <v>56</v>
      </c>
      <c r="F3448" s="3" t="s">
        <v>33</v>
      </c>
      <c r="G3448" s="3" t="s">
        <v>487</v>
      </c>
      <c r="H3448" s="3"/>
      <c r="I3448" s="3"/>
    </row>
    <row r="3449" spans="1:9" s="5" customFormat="1" x14ac:dyDescent="0.35">
      <c r="A3449" s="3" t="s">
        <v>907</v>
      </c>
      <c r="B3449" s="3" t="s">
        <v>1010</v>
      </c>
      <c r="C3449" s="3" t="s">
        <v>45</v>
      </c>
      <c r="D3449" s="3" t="s">
        <v>1184</v>
      </c>
      <c r="E3449" s="3" t="s">
        <v>224</v>
      </c>
      <c r="F3449" s="3" t="s">
        <v>33</v>
      </c>
      <c r="G3449" s="3" t="s">
        <v>487</v>
      </c>
      <c r="H3449" s="3"/>
      <c r="I3449" s="3"/>
    </row>
    <row r="3450" spans="1:9" s="5" customFormat="1" x14ac:dyDescent="0.35">
      <c r="A3450" s="3" t="s">
        <v>907</v>
      </c>
      <c r="B3450" s="3" t="s">
        <v>1010</v>
      </c>
      <c r="C3450" s="3" t="s">
        <v>20</v>
      </c>
      <c r="D3450" s="3" t="s">
        <v>2907</v>
      </c>
      <c r="E3450" s="3" t="s">
        <v>15</v>
      </c>
      <c r="F3450" s="3" t="s">
        <v>16</v>
      </c>
      <c r="G3450" s="3" t="s">
        <v>2908</v>
      </c>
      <c r="H3450" s="3"/>
      <c r="I3450" s="3"/>
    </row>
    <row r="3451" spans="1:9" s="5" customFormat="1" x14ac:dyDescent="0.35">
      <c r="A3451" s="3" t="s">
        <v>907</v>
      </c>
      <c r="B3451" s="3" t="s">
        <v>1010</v>
      </c>
      <c r="C3451" s="3" t="s">
        <v>20</v>
      </c>
      <c r="D3451" s="3" t="s">
        <v>2907</v>
      </c>
      <c r="E3451" s="3" t="s">
        <v>56</v>
      </c>
      <c r="F3451" s="3" t="s">
        <v>16</v>
      </c>
      <c r="G3451" s="3" t="s">
        <v>2909</v>
      </c>
      <c r="H3451" s="3"/>
      <c r="I3451" s="3"/>
    </row>
    <row r="3452" spans="1:9" s="5" customFormat="1" x14ac:dyDescent="0.35">
      <c r="A3452" s="3" t="s">
        <v>907</v>
      </c>
      <c r="B3452" s="3" t="s">
        <v>1010</v>
      </c>
      <c r="C3452" s="3" t="s">
        <v>20</v>
      </c>
      <c r="D3452" s="3" t="s">
        <v>2907</v>
      </c>
      <c r="E3452" s="3" t="s">
        <v>191</v>
      </c>
      <c r="F3452" s="3" t="s">
        <v>16</v>
      </c>
      <c r="G3452" s="3" t="s">
        <v>2910</v>
      </c>
      <c r="H3452" s="3"/>
      <c r="I3452" s="3"/>
    </row>
    <row r="3453" spans="1:9" s="5" customFormat="1" x14ac:dyDescent="0.35">
      <c r="A3453" s="3" t="s">
        <v>1185</v>
      </c>
      <c r="B3453" s="3" t="s">
        <v>2593</v>
      </c>
      <c r="C3453" s="3" t="s">
        <v>42</v>
      </c>
      <c r="D3453" s="3" t="s">
        <v>2594</v>
      </c>
      <c r="E3453" s="3" t="s">
        <v>23</v>
      </c>
      <c r="F3453" s="3"/>
      <c r="G3453" s="3"/>
      <c r="H3453" s="3"/>
      <c r="I3453" s="3"/>
    </row>
    <row r="3454" spans="1:9" s="5" customFormat="1" x14ac:dyDescent="0.35">
      <c r="A3454" s="3" t="s">
        <v>1185</v>
      </c>
      <c r="B3454" s="3" t="s">
        <v>2593</v>
      </c>
      <c r="C3454" s="3" t="s">
        <v>42</v>
      </c>
      <c r="D3454" s="3" t="s">
        <v>2594</v>
      </c>
      <c r="E3454" s="3" t="s">
        <v>87</v>
      </c>
      <c r="F3454" s="3"/>
      <c r="G3454" s="3"/>
      <c r="H3454" s="3"/>
      <c r="I3454" s="3"/>
    </row>
    <row r="3455" spans="1:9" s="5" customFormat="1" x14ac:dyDescent="0.35">
      <c r="A3455" s="3" t="s">
        <v>1185</v>
      </c>
      <c r="B3455" s="3" t="s">
        <v>2593</v>
      </c>
      <c r="C3455" s="3" t="s">
        <v>42</v>
      </c>
      <c r="D3455" s="3" t="s">
        <v>2594</v>
      </c>
      <c r="E3455" s="3" t="s">
        <v>15</v>
      </c>
      <c r="F3455" s="3" t="s">
        <v>16</v>
      </c>
      <c r="G3455" s="3" t="s">
        <v>2595</v>
      </c>
      <c r="H3455" s="3"/>
      <c r="I3455" s="3"/>
    </row>
    <row r="3456" spans="1:9" s="5" customFormat="1" x14ac:dyDescent="0.35">
      <c r="A3456" s="3" t="s">
        <v>1185</v>
      </c>
      <c r="B3456" s="3" t="s">
        <v>2593</v>
      </c>
      <c r="C3456" s="3" t="s">
        <v>42</v>
      </c>
      <c r="D3456" s="3" t="s">
        <v>2594</v>
      </c>
      <c r="E3456" s="3" t="s">
        <v>24</v>
      </c>
      <c r="F3456" s="3"/>
      <c r="G3456" s="3"/>
      <c r="H3456" s="3"/>
      <c r="I3456" s="3"/>
    </row>
    <row r="3457" spans="1:9" s="5" customFormat="1" x14ac:dyDescent="0.35">
      <c r="A3457" s="3" t="s">
        <v>1185</v>
      </c>
      <c r="B3457" s="3" t="s">
        <v>2511</v>
      </c>
      <c r="C3457" s="3" t="s">
        <v>42</v>
      </c>
      <c r="D3457" s="3" t="s">
        <v>2512</v>
      </c>
      <c r="E3457" s="3" t="s">
        <v>27</v>
      </c>
      <c r="F3457" s="3" t="s">
        <v>16</v>
      </c>
      <c r="G3457" s="3" t="s">
        <v>2513</v>
      </c>
      <c r="H3457" s="3"/>
      <c r="I3457" s="3"/>
    </row>
    <row r="3458" spans="1:9" s="5" customFormat="1" x14ac:dyDescent="0.35">
      <c r="A3458" s="3" t="s">
        <v>1185</v>
      </c>
      <c r="B3458" s="3" t="s">
        <v>2511</v>
      </c>
      <c r="C3458" s="3" t="s">
        <v>42</v>
      </c>
      <c r="D3458" s="3" t="s">
        <v>2512</v>
      </c>
      <c r="E3458" s="3" t="s">
        <v>44</v>
      </c>
      <c r="F3458" s="3"/>
      <c r="G3458" s="3"/>
      <c r="H3458" s="3"/>
      <c r="I3458" s="3"/>
    </row>
    <row r="3459" spans="1:9" s="5" customFormat="1" x14ac:dyDescent="0.35">
      <c r="A3459" s="3" t="s">
        <v>1185</v>
      </c>
      <c r="B3459" s="3" t="s">
        <v>2511</v>
      </c>
      <c r="C3459" s="3" t="s">
        <v>42</v>
      </c>
      <c r="D3459" s="3" t="s">
        <v>2512</v>
      </c>
      <c r="E3459" s="3" t="s">
        <v>15</v>
      </c>
      <c r="F3459" s="3" t="s">
        <v>16</v>
      </c>
      <c r="G3459" s="3" t="s">
        <v>2515</v>
      </c>
      <c r="H3459" s="3"/>
      <c r="I3459" s="3"/>
    </row>
    <row r="3460" spans="1:9" s="5" customFormat="1" x14ac:dyDescent="0.35">
      <c r="A3460" s="3" t="s">
        <v>1185</v>
      </c>
      <c r="B3460" s="3" t="s">
        <v>2511</v>
      </c>
      <c r="C3460" s="3" t="s">
        <v>42</v>
      </c>
      <c r="D3460" s="3" t="s">
        <v>2512</v>
      </c>
      <c r="E3460" s="3" t="s">
        <v>56</v>
      </c>
      <c r="F3460" s="3"/>
      <c r="G3460" s="3"/>
      <c r="H3460" s="3"/>
      <c r="I3460" s="3"/>
    </row>
    <row r="3461" spans="1:9" s="5" customFormat="1" x14ac:dyDescent="0.35">
      <c r="A3461" s="3" t="s">
        <v>1185</v>
      </c>
      <c r="B3461" s="3" t="s">
        <v>2511</v>
      </c>
      <c r="C3461" s="3" t="s">
        <v>42</v>
      </c>
      <c r="D3461" s="3" t="s">
        <v>2512</v>
      </c>
      <c r="E3461" s="3" t="s">
        <v>24</v>
      </c>
      <c r="F3461" s="3" t="s">
        <v>16</v>
      </c>
      <c r="G3461" s="3" t="s">
        <v>2514</v>
      </c>
      <c r="H3461" s="3"/>
      <c r="I3461" s="3"/>
    </row>
    <row r="3462" spans="1:9" s="5" customFormat="1" x14ac:dyDescent="0.35">
      <c r="A3462" s="3" t="s">
        <v>1185</v>
      </c>
      <c r="B3462" s="3" t="s">
        <v>2561</v>
      </c>
      <c r="C3462" s="3" t="s">
        <v>42</v>
      </c>
      <c r="D3462" s="3" t="s">
        <v>2570</v>
      </c>
      <c r="E3462" s="3" t="s">
        <v>12</v>
      </c>
      <c r="F3462" s="3"/>
      <c r="G3462" s="3"/>
      <c r="H3462" s="3"/>
      <c r="I3462" s="3"/>
    </row>
    <row r="3463" spans="1:9" s="5" customFormat="1" x14ac:dyDescent="0.35">
      <c r="A3463" s="3" t="s">
        <v>1185</v>
      </c>
      <c r="B3463" s="3" t="s">
        <v>2561</v>
      </c>
      <c r="C3463" s="3" t="s">
        <v>42</v>
      </c>
      <c r="D3463" s="3" t="s">
        <v>2570</v>
      </c>
      <c r="E3463" s="3" t="s">
        <v>27</v>
      </c>
      <c r="F3463" s="3"/>
      <c r="G3463" s="3"/>
      <c r="H3463" s="3" t="s">
        <v>16</v>
      </c>
      <c r="I3463" s="3" t="s">
        <v>2571</v>
      </c>
    </row>
    <row r="3464" spans="1:9" s="5" customFormat="1" x14ac:dyDescent="0.35">
      <c r="A3464" s="3" t="s">
        <v>1185</v>
      </c>
      <c r="B3464" s="3" t="s">
        <v>2561</v>
      </c>
      <c r="C3464" s="3" t="s">
        <v>42</v>
      </c>
      <c r="D3464" s="3" t="s">
        <v>2570</v>
      </c>
      <c r="E3464" s="3" t="s">
        <v>24</v>
      </c>
      <c r="F3464" s="3"/>
      <c r="G3464" s="3"/>
      <c r="H3464" s="3" t="s">
        <v>16</v>
      </c>
      <c r="I3464" s="3" t="s">
        <v>2571</v>
      </c>
    </row>
    <row r="3465" spans="1:9" s="5" customFormat="1" x14ac:dyDescent="0.35">
      <c r="A3465" s="3" t="s">
        <v>1185</v>
      </c>
      <c r="B3465" s="3" t="s">
        <v>1186</v>
      </c>
      <c r="C3465" s="3" t="s">
        <v>42</v>
      </c>
      <c r="D3465" s="3" t="s">
        <v>1187</v>
      </c>
      <c r="E3465" s="3" t="s">
        <v>23</v>
      </c>
      <c r="F3465" s="3" t="s">
        <v>16</v>
      </c>
      <c r="G3465" s="3" t="s">
        <v>1188</v>
      </c>
      <c r="H3465" s="3"/>
      <c r="I3465" s="3"/>
    </row>
    <row r="3466" spans="1:9" s="5" customFormat="1" x14ac:dyDescent="0.35">
      <c r="A3466" s="3" t="s">
        <v>1185</v>
      </c>
      <c r="B3466" s="3" t="s">
        <v>1186</v>
      </c>
      <c r="C3466" s="3" t="s">
        <v>42</v>
      </c>
      <c r="D3466" s="3" t="s">
        <v>1187</v>
      </c>
      <c r="E3466" s="3" t="s">
        <v>27</v>
      </c>
      <c r="F3466" s="3"/>
      <c r="G3466" s="3"/>
      <c r="H3466" s="3"/>
      <c r="I3466" s="3"/>
    </row>
    <row r="3467" spans="1:9" s="5" customFormat="1" x14ac:dyDescent="0.35">
      <c r="A3467" s="3" t="s">
        <v>1185</v>
      </c>
      <c r="B3467" s="3" t="s">
        <v>1186</v>
      </c>
      <c r="C3467" s="3" t="s">
        <v>42</v>
      </c>
      <c r="D3467" s="3" t="s">
        <v>1187</v>
      </c>
      <c r="E3467" s="3" t="s">
        <v>87</v>
      </c>
      <c r="F3467" s="3"/>
      <c r="G3467" s="3"/>
      <c r="H3467" s="3"/>
      <c r="I3467" s="3"/>
    </row>
    <row r="3468" spans="1:9" s="5" customFormat="1" x14ac:dyDescent="0.35">
      <c r="A3468" s="3" t="s">
        <v>1185</v>
      </c>
      <c r="B3468" s="3" t="s">
        <v>1186</v>
      </c>
      <c r="C3468" s="3" t="s">
        <v>42</v>
      </c>
      <c r="D3468" s="3" t="s">
        <v>1187</v>
      </c>
      <c r="E3468" s="3" t="s">
        <v>15</v>
      </c>
      <c r="F3468" s="3" t="s">
        <v>16</v>
      </c>
      <c r="G3468" s="3" t="s">
        <v>1189</v>
      </c>
      <c r="H3468" s="3"/>
      <c r="I3468" s="3"/>
    </row>
    <row r="3469" spans="1:9" s="5" customFormat="1" x14ac:dyDescent="0.35">
      <c r="A3469" s="3" t="s">
        <v>1185</v>
      </c>
      <c r="B3469" s="3" t="s">
        <v>1186</v>
      </c>
      <c r="C3469" s="3" t="s">
        <v>42</v>
      </c>
      <c r="D3469" s="3" t="s">
        <v>1187</v>
      </c>
      <c r="E3469" s="3" t="s">
        <v>56</v>
      </c>
      <c r="F3469" s="3"/>
      <c r="G3469" s="3"/>
      <c r="H3469" s="3"/>
      <c r="I3469" s="3"/>
    </row>
    <row r="3470" spans="1:9" s="5" customFormat="1" x14ac:dyDescent="0.35">
      <c r="A3470" s="3" t="s">
        <v>1185</v>
      </c>
      <c r="B3470" s="3" t="s">
        <v>1186</v>
      </c>
      <c r="C3470" s="3" t="s">
        <v>42</v>
      </c>
      <c r="D3470" s="3" t="s">
        <v>1187</v>
      </c>
      <c r="E3470" s="3" t="s">
        <v>1190</v>
      </c>
      <c r="F3470" s="3"/>
      <c r="G3470" s="3"/>
      <c r="H3470" s="3"/>
      <c r="I3470" s="3"/>
    </row>
    <row r="3471" spans="1:9" s="5" customFormat="1" x14ac:dyDescent="0.35">
      <c r="A3471" s="3" t="s">
        <v>1185</v>
      </c>
      <c r="B3471" s="3" t="s">
        <v>1186</v>
      </c>
      <c r="C3471" s="3" t="s">
        <v>42</v>
      </c>
      <c r="D3471" s="3" t="s">
        <v>1187</v>
      </c>
      <c r="E3471" s="3" t="s">
        <v>24</v>
      </c>
      <c r="F3471" s="3"/>
      <c r="G3471" s="3"/>
      <c r="H3471" s="3"/>
      <c r="I3471" s="3"/>
    </row>
    <row r="3472" spans="1:9" s="5" customFormat="1" x14ac:dyDescent="0.35">
      <c r="A3472" s="3" t="s">
        <v>1185</v>
      </c>
      <c r="B3472" s="3" t="s">
        <v>1186</v>
      </c>
      <c r="C3472" s="3" t="s">
        <v>42</v>
      </c>
      <c r="D3472" s="3" t="s">
        <v>1187</v>
      </c>
      <c r="E3472" s="3" t="s">
        <v>630</v>
      </c>
      <c r="F3472" s="3" t="s">
        <v>16</v>
      </c>
      <c r="G3472" s="3" t="s">
        <v>1191</v>
      </c>
      <c r="H3472" s="3"/>
      <c r="I3472" s="3"/>
    </row>
    <row r="3473" spans="1:9" s="5" customFormat="1" x14ac:dyDescent="0.35">
      <c r="A3473" s="3" t="s">
        <v>1185</v>
      </c>
      <c r="B3473" s="3" t="s">
        <v>1186</v>
      </c>
      <c r="C3473" s="3" t="s">
        <v>20</v>
      </c>
      <c r="D3473" s="3" t="s">
        <v>1192</v>
      </c>
      <c r="E3473" s="3" t="s">
        <v>23</v>
      </c>
      <c r="F3473" s="3" t="s">
        <v>16</v>
      </c>
      <c r="G3473" s="3" t="s">
        <v>1188</v>
      </c>
      <c r="H3473" s="3"/>
      <c r="I3473" s="3"/>
    </row>
    <row r="3474" spans="1:9" s="5" customFormat="1" x14ac:dyDescent="0.35">
      <c r="A3474" s="3" t="s">
        <v>1185</v>
      </c>
      <c r="B3474" s="3" t="s">
        <v>1186</v>
      </c>
      <c r="C3474" s="3" t="s">
        <v>20</v>
      </c>
      <c r="D3474" s="3" t="s">
        <v>1192</v>
      </c>
      <c r="E3474" s="3" t="s">
        <v>27</v>
      </c>
      <c r="F3474" s="3"/>
      <c r="G3474" s="3"/>
      <c r="H3474" s="3"/>
      <c r="I3474" s="3"/>
    </row>
    <row r="3475" spans="1:9" s="5" customFormat="1" x14ac:dyDescent="0.35">
      <c r="A3475" s="3" t="s">
        <v>1185</v>
      </c>
      <c r="B3475" s="3" t="s">
        <v>1186</v>
      </c>
      <c r="C3475" s="3" t="s">
        <v>20</v>
      </c>
      <c r="D3475" s="3" t="s">
        <v>1192</v>
      </c>
      <c r="E3475" s="3" t="s">
        <v>1193</v>
      </c>
      <c r="F3475" s="3"/>
      <c r="G3475" s="3"/>
      <c r="H3475" s="3"/>
      <c r="I3475" s="3"/>
    </row>
    <row r="3476" spans="1:9" s="5" customFormat="1" x14ac:dyDescent="0.35">
      <c r="A3476" s="3" t="s">
        <v>1185</v>
      </c>
      <c r="B3476" s="3" t="s">
        <v>1186</v>
      </c>
      <c r="C3476" s="3" t="s">
        <v>20</v>
      </c>
      <c r="D3476" s="3" t="s">
        <v>1192</v>
      </c>
      <c r="E3476" s="3" t="s">
        <v>87</v>
      </c>
      <c r="F3476" s="3"/>
      <c r="G3476" s="3"/>
      <c r="H3476" s="3"/>
      <c r="I3476" s="3"/>
    </row>
    <row r="3477" spans="1:9" s="5" customFormat="1" x14ac:dyDescent="0.35">
      <c r="A3477" s="3" t="s">
        <v>1185</v>
      </c>
      <c r="B3477" s="3" t="s">
        <v>1186</v>
      </c>
      <c r="C3477" s="3" t="s">
        <v>20</v>
      </c>
      <c r="D3477" s="3" t="s">
        <v>1192</v>
      </c>
      <c r="E3477" s="3" t="s">
        <v>31</v>
      </c>
      <c r="F3477" s="3"/>
      <c r="G3477" s="3"/>
      <c r="H3477" s="3"/>
      <c r="I3477" s="3"/>
    </row>
    <row r="3478" spans="1:9" s="5" customFormat="1" x14ac:dyDescent="0.35">
      <c r="A3478" s="3" t="s">
        <v>1185</v>
      </c>
      <c r="B3478" s="3" t="s">
        <v>1186</v>
      </c>
      <c r="C3478" s="3" t="s">
        <v>20</v>
      </c>
      <c r="D3478" s="3" t="s">
        <v>1192</v>
      </c>
      <c r="E3478" s="3" t="s">
        <v>1190</v>
      </c>
      <c r="F3478" s="3"/>
      <c r="G3478" s="3"/>
      <c r="H3478" s="3"/>
      <c r="I3478" s="3"/>
    </row>
    <row r="3479" spans="1:9" s="5" customFormat="1" x14ac:dyDescent="0.35">
      <c r="A3479" s="3" t="s">
        <v>1185</v>
      </c>
      <c r="B3479" s="3" t="s">
        <v>1186</v>
      </c>
      <c r="C3479" s="3" t="s">
        <v>20</v>
      </c>
      <c r="D3479" s="3" t="s">
        <v>1192</v>
      </c>
      <c r="E3479" s="3" t="s">
        <v>134</v>
      </c>
      <c r="F3479" s="3"/>
      <c r="G3479" s="3"/>
      <c r="H3479" s="3"/>
      <c r="I3479" s="3"/>
    </row>
    <row r="3480" spans="1:9" s="5" customFormat="1" x14ac:dyDescent="0.35">
      <c r="A3480" s="3" t="s">
        <v>1185</v>
      </c>
      <c r="B3480" s="3" t="s">
        <v>1186</v>
      </c>
      <c r="C3480" s="3" t="s">
        <v>20</v>
      </c>
      <c r="D3480" s="3" t="s">
        <v>1194</v>
      </c>
      <c r="E3480" s="3" t="s">
        <v>12</v>
      </c>
      <c r="F3480" s="3"/>
      <c r="G3480" s="3"/>
      <c r="H3480" s="3"/>
      <c r="I3480" s="3"/>
    </row>
    <row r="3481" spans="1:9" s="5" customFormat="1" x14ac:dyDescent="0.35">
      <c r="A3481" s="3" t="s">
        <v>1185</v>
      </c>
      <c r="B3481" s="3" t="s">
        <v>1186</v>
      </c>
      <c r="C3481" s="3" t="s">
        <v>20</v>
      </c>
      <c r="D3481" s="3" t="s">
        <v>1194</v>
      </c>
      <c r="E3481" s="3" t="s">
        <v>23</v>
      </c>
      <c r="F3481" s="3"/>
      <c r="G3481" s="3"/>
      <c r="H3481" s="3" t="s">
        <v>16</v>
      </c>
      <c r="I3481" s="3" t="s">
        <v>1195</v>
      </c>
    </row>
    <row r="3482" spans="1:9" s="5" customFormat="1" x14ac:dyDescent="0.35">
      <c r="A3482" s="3" t="s">
        <v>1185</v>
      </c>
      <c r="B3482" s="3" t="s">
        <v>1186</v>
      </c>
      <c r="C3482" s="3" t="s">
        <v>20</v>
      </c>
      <c r="D3482" s="3" t="s">
        <v>1194</v>
      </c>
      <c r="E3482" s="3" t="s">
        <v>25</v>
      </c>
      <c r="F3482" s="3"/>
      <c r="G3482" s="3"/>
      <c r="H3482" s="3"/>
      <c r="I3482" s="3"/>
    </row>
    <row r="3483" spans="1:9" s="5" customFormat="1" x14ac:dyDescent="0.35">
      <c r="A3483" s="3" t="s">
        <v>1185</v>
      </c>
      <c r="B3483" s="3" t="s">
        <v>1186</v>
      </c>
      <c r="C3483" s="3" t="s">
        <v>20</v>
      </c>
      <c r="D3483" s="3" t="s">
        <v>1194</v>
      </c>
      <c r="E3483" s="3" t="s">
        <v>60</v>
      </c>
      <c r="F3483" s="3"/>
      <c r="G3483" s="3"/>
      <c r="H3483" s="3"/>
      <c r="I3483" s="3"/>
    </row>
    <row r="3484" spans="1:9" s="5" customFormat="1" x14ac:dyDescent="0.35">
      <c r="A3484" s="3" t="s">
        <v>1185</v>
      </c>
      <c r="B3484" s="3" t="s">
        <v>1186</v>
      </c>
      <c r="C3484" s="3" t="s">
        <v>20</v>
      </c>
      <c r="D3484" s="3" t="s">
        <v>1194</v>
      </c>
      <c r="E3484" s="3" t="s">
        <v>1196</v>
      </c>
      <c r="F3484" s="3"/>
      <c r="G3484" s="3"/>
      <c r="H3484" s="3"/>
      <c r="I3484" s="3"/>
    </row>
    <row r="3485" spans="1:9" s="5" customFormat="1" x14ac:dyDescent="0.35">
      <c r="A3485" s="3" t="s">
        <v>1185</v>
      </c>
      <c r="B3485" s="3" t="s">
        <v>1186</v>
      </c>
      <c r="C3485" s="3" t="s">
        <v>20</v>
      </c>
      <c r="D3485" s="3" t="s">
        <v>1194</v>
      </c>
      <c r="E3485" s="3" t="s">
        <v>15</v>
      </c>
      <c r="F3485" s="3"/>
      <c r="G3485" s="3"/>
      <c r="H3485" s="3"/>
      <c r="I3485" s="3"/>
    </row>
    <row r="3486" spans="1:9" s="5" customFormat="1" x14ac:dyDescent="0.35">
      <c r="A3486" s="3" t="s">
        <v>1185</v>
      </c>
      <c r="B3486" s="3" t="s">
        <v>1186</v>
      </c>
      <c r="C3486" s="3" t="s">
        <v>20</v>
      </c>
      <c r="D3486" s="3" t="s">
        <v>1194</v>
      </c>
      <c r="E3486" s="3" t="s">
        <v>56</v>
      </c>
      <c r="F3486" s="3"/>
      <c r="G3486" s="3"/>
      <c r="H3486" s="3" t="s">
        <v>16</v>
      </c>
      <c r="I3486" s="3" t="s">
        <v>1195</v>
      </c>
    </row>
    <row r="3487" spans="1:9" s="5" customFormat="1" x14ac:dyDescent="0.35">
      <c r="A3487" s="3" t="s">
        <v>1185</v>
      </c>
      <c r="B3487" s="3" t="s">
        <v>1186</v>
      </c>
      <c r="C3487" s="3" t="s">
        <v>20</v>
      </c>
      <c r="D3487" s="3" t="s">
        <v>1194</v>
      </c>
      <c r="E3487" s="3" t="s">
        <v>1197</v>
      </c>
      <c r="F3487" s="3"/>
      <c r="G3487" s="3"/>
      <c r="H3487" s="3" t="s">
        <v>16</v>
      </c>
      <c r="I3487" s="3" t="s">
        <v>1195</v>
      </c>
    </row>
    <row r="3488" spans="1:9" s="5" customFormat="1" x14ac:dyDescent="0.35">
      <c r="A3488" s="3" t="s">
        <v>1185</v>
      </c>
      <c r="B3488" s="3" t="s">
        <v>1186</v>
      </c>
      <c r="C3488" s="3" t="s">
        <v>20</v>
      </c>
      <c r="D3488" s="3" t="s">
        <v>1194</v>
      </c>
      <c r="E3488" s="3" t="s">
        <v>134</v>
      </c>
      <c r="F3488" s="3"/>
      <c r="G3488" s="3"/>
      <c r="H3488" s="3"/>
      <c r="I3488" s="3"/>
    </row>
    <row r="3489" spans="1:9" s="5" customFormat="1" x14ac:dyDescent="0.35">
      <c r="A3489" s="3" t="s">
        <v>1185</v>
      </c>
      <c r="B3489" s="3" t="s">
        <v>1186</v>
      </c>
      <c r="C3489" s="3" t="s">
        <v>20</v>
      </c>
      <c r="D3489" s="3" t="s">
        <v>1194</v>
      </c>
      <c r="E3489" s="3" t="s">
        <v>191</v>
      </c>
      <c r="F3489" s="3"/>
      <c r="G3489" s="3"/>
      <c r="H3489" s="3" t="s">
        <v>16</v>
      </c>
      <c r="I3489" s="3" t="s">
        <v>1198</v>
      </c>
    </row>
    <row r="3490" spans="1:9" s="5" customFormat="1" x14ac:dyDescent="0.35">
      <c r="A3490" s="3" t="s">
        <v>1185</v>
      </c>
      <c r="B3490" s="3" t="s">
        <v>2699</v>
      </c>
      <c r="C3490" s="3" t="s">
        <v>42</v>
      </c>
      <c r="D3490" s="3" t="s">
        <v>2700</v>
      </c>
      <c r="E3490" s="3" t="s">
        <v>12</v>
      </c>
      <c r="F3490" s="3"/>
      <c r="G3490" s="3"/>
      <c r="H3490" s="3"/>
      <c r="I3490" s="3"/>
    </row>
    <row r="3491" spans="1:9" s="5" customFormat="1" x14ac:dyDescent="0.35">
      <c r="A3491" s="3" t="s">
        <v>1185</v>
      </c>
      <c r="B3491" s="3" t="s">
        <v>2699</v>
      </c>
      <c r="C3491" s="3" t="s">
        <v>42</v>
      </c>
      <c r="D3491" s="3" t="s">
        <v>2700</v>
      </c>
      <c r="E3491" s="3" t="s">
        <v>87</v>
      </c>
      <c r="F3491" s="3"/>
      <c r="G3491" s="3"/>
      <c r="H3491" s="3"/>
      <c r="I3491" s="3"/>
    </row>
    <row r="3492" spans="1:9" s="5" customFormat="1" x14ac:dyDescent="0.35">
      <c r="A3492" s="3" t="s">
        <v>1185</v>
      </c>
      <c r="B3492" s="3" t="s">
        <v>2699</v>
      </c>
      <c r="C3492" s="3" t="s">
        <v>42</v>
      </c>
      <c r="D3492" s="3" t="s">
        <v>2700</v>
      </c>
      <c r="E3492" s="3" t="s">
        <v>98</v>
      </c>
      <c r="F3492" s="3"/>
      <c r="G3492" s="3" t="s">
        <v>2660</v>
      </c>
      <c r="H3492" s="3"/>
      <c r="I3492" s="3"/>
    </row>
    <row r="3493" spans="1:9" s="5" customFormat="1" x14ac:dyDescent="0.35">
      <c r="A3493" s="3" t="s">
        <v>1185</v>
      </c>
      <c r="B3493" s="3" t="s">
        <v>2699</v>
      </c>
      <c r="C3493" s="3" t="s">
        <v>42</v>
      </c>
      <c r="D3493" s="3" t="s">
        <v>2700</v>
      </c>
      <c r="E3493" s="3" t="s">
        <v>15</v>
      </c>
      <c r="F3493" s="3" t="s">
        <v>16</v>
      </c>
      <c r="G3493" s="3" t="s">
        <v>2701</v>
      </c>
      <c r="H3493" s="3"/>
      <c r="I3493" s="3"/>
    </row>
    <row r="3494" spans="1:9" s="5" customFormat="1" x14ac:dyDescent="0.35">
      <c r="A3494" s="3" t="s">
        <v>1185</v>
      </c>
      <c r="B3494" s="3" t="s">
        <v>2699</v>
      </c>
      <c r="C3494" s="3" t="s">
        <v>42</v>
      </c>
      <c r="D3494" s="3" t="s">
        <v>2700</v>
      </c>
      <c r="E3494" s="3" t="s">
        <v>1190</v>
      </c>
      <c r="F3494" s="3"/>
      <c r="G3494" s="3"/>
      <c r="H3494" s="3"/>
      <c r="I3494" s="3"/>
    </row>
    <row r="3495" spans="1:9" s="5" customFormat="1" x14ac:dyDescent="0.35">
      <c r="A3495" s="3" t="s">
        <v>1185</v>
      </c>
      <c r="B3495" s="3" t="s">
        <v>2699</v>
      </c>
      <c r="C3495" s="3" t="s">
        <v>42</v>
      </c>
      <c r="D3495" s="3" t="s">
        <v>2700</v>
      </c>
      <c r="E3495" s="3" t="s">
        <v>24</v>
      </c>
      <c r="F3495" s="3"/>
      <c r="G3495" s="3"/>
      <c r="H3495" s="3"/>
      <c r="I3495" s="3"/>
    </row>
    <row r="3496" spans="1:9" s="5" customFormat="1" x14ac:dyDescent="0.35">
      <c r="A3496" s="3" t="s">
        <v>1185</v>
      </c>
      <c r="B3496" s="3" t="s">
        <v>2699</v>
      </c>
      <c r="C3496" s="3" t="s">
        <v>42</v>
      </c>
      <c r="D3496" s="3" t="s">
        <v>2700</v>
      </c>
      <c r="E3496" s="3" t="s">
        <v>134</v>
      </c>
      <c r="F3496" s="3" t="s">
        <v>33</v>
      </c>
      <c r="G3496" s="3" t="s">
        <v>2762</v>
      </c>
      <c r="H3496" s="3"/>
      <c r="I3496" s="3"/>
    </row>
    <row r="3497" spans="1:9" s="5" customFormat="1" x14ac:dyDescent="0.35">
      <c r="A3497" s="3" t="s">
        <v>1185</v>
      </c>
      <c r="B3497" s="3" t="s">
        <v>1199</v>
      </c>
      <c r="C3497" s="3" t="s">
        <v>42</v>
      </c>
      <c r="D3497" s="3" t="s">
        <v>2975</v>
      </c>
      <c r="E3497" s="3" t="s">
        <v>1196</v>
      </c>
      <c r="F3497" s="3"/>
      <c r="G3497" s="3"/>
      <c r="H3497" s="3"/>
      <c r="I3497" s="3"/>
    </row>
    <row r="3498" spans="1:9" s="5" customFormat="1" x14ac:dyDescent="0.35">
      <c r="A3498" s="3" t="s">
        <v>1185</v>
      </c>
      <c r="B3498" s="3" t="s">
        <v>1199</v>
      </c>
      <c r="C3498" s="3" t="s">
        <v>42</v>
      </c>
      <c r="D3498" s="3" t="s">
        <v>2975</v>
      </c>
      <c r="E3498" s="3" t="s">
        <v>87</v>
      </c>
      <c r="F3498" s="3"/>
      <c r="G3498" s="3"/>
      <c r="H3498" s="3"/>
      <c r="I3498" s="3"/>
    </row>
    <row r="3499" spans="1:9" s="5" customFormat="1" x14ac:dyDescent="0.35">
      <c r="A3499" s="3" t="s">
        <v>1185</v>
      </c>
      <c r="B3499" s="3" t="s">
        <v>1199</v>
      </c>
      <c r="C3499" s="3" t="s">
        <v>42</v>
      </c>
      <c r="D3499" s="3" t="s">
        <v>2975</v>
      </c>
      <c r="E3499" s="3" t="s">
        <v>15</v>
      </c>
      <c r="F3499" s="3" t="s">
        <v>16</v>
      </c>
      <c r="G3499" s="3" t="s">
        <v>1200</v>
      </c>
      <c r="H3499" s="3"/>
      <c r="I3499" s="3"/>
    </row>
    <row r="3500" spans="1:9" s="5" customFormat="1" x14ac:dyDescent="0.35">
      <c r="A3500" s="3" t="s">
        <v>1185</v>
      </c>
      <c r="B3500" s="3" t="s">
        <v>1199</v>
      </c>
      <c r="C3500" s="3" t="s">
        <v>42</v>
      </c>
      <c r="D3500" s="3" t="s">
        <v>2975</v>
      </c>
      <c r="E3500" s="3" t="s">
        <v>56</v>
      </c>
      <c r="F3500" s="3" t="s">
        <v>16</v>
      </c>
      <c r="G3500" s="3" t="s">
        <v>2444</v>
      </c>
      <c r="H3500" s="3"/>
      <c r="I3500" s="3"/>
    </row>
    <row r="3501" spans="1:9" s="5" customFormat="1" x14ac:dyDescent="0.35">
      <c r="A3501" s="3" t="s">
        <v>1185</v>
      </c>
      <c r="B3501" s="3" t="s">
        <v>1199</v>
      </c>
      <c r="C3501" s="3" t="s">
        <v>42</v>
      </c>
      <c r="D3501" s="3" t="s">
        <v>2975</v>
      </c>
      <c r="E3501" s="3" t="s">
        <v>1190</v>
      </c>
      <c r="F3501" s="3" t="s">
        <v>16</v>
      </c>
      <c r="G3501" s="3" t="s">
        <v>1201</v>
      </c>
      <c r="H3501" s="3"/>
      <c r="I3501" s="3"/>
    </row>
    <row r="3502" spans="1:9" s="5" customFormat="1" x14ac:dyDescent="0.35">
      <c r="A3502" s="3" t="s">
        <v>1185</v>
      </c>
      <c r="B3502" s="3" t="s">
        <v>1202</v>
      </c>
      <c r="C3502" s="3" t="s">
        <v>20</v>
      </c>
      <c r="D3502" s="3" t="s">
        <v>1203</v>
      </c>
      <c r="E3502" s="3" t="s">
        <v>60</v>
      </c>
      <c r="F3502" s="3"/>
      <c r="G3502" s="3"/>
      <c r="H3502" s="3" t="s">
        <v>13</v>
      </c>
      <c r="I3502" s="3" t="s">
        <v>1204</v>
      </c>
    </row>
    <row r="3503" spans="1:9" s="5" customFormat="1" x14ac:dyDescent="0.35">
      <c r="A3503" s="3" t="s">
        <v>1185</v>
      </c>
      <c r="B3503" s="3" t="s">
        <v>1202</v>
      </c>
      <c r="C3503" s="3" t="s">
        <v>20</v>
      </c>
      <c r="D3503" s="3" t="s">
        <v>1203</v>
      </c>
      <c r="E3503" s="3" t="s">
        <v>1196</v>
      </c>
      <c r="F3503" s="3"/>
      <c r="G3503" s="3"/>
      <c r="H3503" s="3" t="s">
        <v>13</v>
      </c>
      <c r="I3503" s="3" t="s">
        <v>1204</v>
      </c>
    </row>
    <row r="3504" spans="1:9" s="5" customFormat="1" x14ac:dyDescent="0.35">
      <c r="A3504" s="3" t="s">
        <v>1185</v>
      </c>
      <c r="B3504" s="3" t="s">
        <v>1202</v>
      </c>
      <c r="C3504" s="3" t="s">
        <v>20</v>
      </c>
      <c r="D3504" s="3" t="s">
        <v>1203</v>
      </c>
      <c r="E3504" s="3" t="s">
        <v>87</v>
      </c>
      <c r="F3504" s="3"/>
      <c r="G3504" s="3"/>
      <c r="H3504" s="3" t="s">
        <v>13</v>
      </c>
      <c r="I3504" s="3" t="s">
        <v>1204</v>
      </c>
    </row>
    <row r="3505" spans="1:9" s="5" customFormat="1" x14ac:dyDescent="0.35">
      <c r="A3505" s="3" t="s">
        <v>1185</v>
      </c>
      <c r="B3505" s="3" t="s">
        <v>1202</v>
      </c>
      <c r="C3505" s="3" t="s">
        <v>42</v>
      </c>
      <c r="D3505" s="3" t="s">
        <v>1205</v>
      </c>
      <c r="E3505" s="3" t="s">
        <v>12</v>
      </c>
      <c r="F3505" s="3"/>
      <c r="G3505" s="3"/>
      <c r="H3505" s="3"/>
      <c r="I3505" s="3"/>
    </row>
    <row r="3506" spans="1:9" s="5" customFormat="1" x14ac:dyDescent="0.35">
      <c r="A3506" s="3" t="s">
        <v>1185</v>
      </c>
      <c r="B3506" s="3" t="s">
        <v>1202</v>
      </c>
      <c r="C3506" s="3" t="s">
        <v>42</v>
      </c>
      <c r="D3506" s="3" t="s">
        <v>1205</v>
      </c>
      <c r="E3506" s="3" t="s">
        <v>23</v>
      </c>
      <c r="F3506" s="3" t="s">
        <v>16</v>
      </c>
      <c r="G3506" s="3" t="s">
        <v>1207</v>
      </c>
      <c r="H3506" s="3"/>
      <c r="I3506" s="3"/>
    </row>
    <row r="3507" spans="1:9" s="5" customFormat="1" x14ac:dyDescent="0.35">
      <c r="A3507" s="3" t="s">
        <v>1185</v>
      </c>
      <c r="B3507" s="3" t="s">
        <v>1202</v>
      </c>
      <c r="C3507" s="3" t="s">
        <v>42</v>
      </c>
      <c r="D3507" s="3" t="s">
        <v>1205</v>
      </c>
      <c r="E3507" s="3" t="s">
        <v>27</v>
      </c>
      <c r="F3507" s="3"/>
      <c r="G3507" s="3"/>
      <c r="H3507" s="3"/>
      <c r="I3507" s="3"/>
    </row>
    <row r="3508" spans="1:9" s="5" customFormat="1" x14ac:dyDescent="0.35">
      <c r="A3508" s="3" t="s">
        <v>1185</v>
      </c>
      <c r="B3508" s="3" t="s">
        <v>1202</v>
      </c>
      <c r="C3508" s="3" t="s">
        <v>42</v>
      </c>
      <c r="D3508" s="3" t="s">
        <v>1205</v>
      </c>
      <c r="E3508" s="3" t="s">
        <v>28</v>
      </c>
      <c r="F3508" s="3"/>
      <c r="G3508" s="3" t="s">
        <v>2321</v>
      </c>
      <c r="H3508" s="3"/>
      <c r="I3508" s="3"/>
    </row>
    <row r="3509" spans="1:9" s="5" customFormat="1" x14ac:dyDescent="0.35">
      <c r="A3509" s="3" t="s">
        <v>1185</v>
      </c>
      <c r="B3509" s="3" t="s">
        <v>1202</v>
      </c>
      <c r="C3509" s="3" t="s">
        <v>42</v>
      </c>
      <c r="D3509" s="3" t="s">
        <v>1205</v>
      </c>
      <c r="E3509" s="3" t="s">
        <v>15</v>
      </c>
      <c r="F3509" s="3" t="s">
        <v>16</v>
      </c>
      <c r="G3509" s="3" t="s">
        <v>1208</v>
      </c>
      <c r="H3509" s="3"/>
      <c r="I3509" s="3"/>
    </row>
    <row r="3510" spans="1:9" s="5" customFormat="1" x14ac:dyDescent="0.35">
      <c r="A3510" s="3" t="s">
        <v>1185</v>
      </c>
      <c r="B3510" s="3" t="s">
        <v>1202</v>
      </c>
      <c r="C3510" s="3" t="s">
        <v>42</v>
      </c>
      <c r="D3510" s="3" t="s">
        <v>1205</v>
      </c>
      <c r="E3510" s="3" t="s">
        <v>56</v>
      </c>
      <c r="F3510" s="3" t="s">
        <v>16</v>
      </c>
      <c r="G3510" s="3" t="s">
        <v>1206</v>
      </c>
      <c r="H3510" s="3"/>
      <c r="I3510" s="3"/>
    </row>
    <row r="3511" spans="1:9" s="5" customFormat="1" x14ac:dyDescent="0.35">
      <c r="A3511" s="3" t="s">
        <v>1185</v>
      </c>
      <c r="B3511" s="3" t="s">
        <v>1202</v>
      </c>
      <c r="C3511" s="3" t="s">
        <v>42</v>
      </c>
      <c r="D3511" s="3" t="s">
        <v>1205</v>
      </c>
      <c r="E3511" s="3" t="s">
        <v>24</v>
      </c>
      <c r="F3511" s="3"/>
      <c r="G3511" s="3"/>
      <c r="H3511" s="3"/>
      <c r="I3511" s="3"/>
    </row>
    <row r="3512" spans="1:9" s="5" customFormat="1" x14ac:dyDescent="0.35">
      <c r="A3512" s="3" t="s">
        <v>1185</v>
      </c>
      <c r="B3512" s="3" t="s">
        <v>1202</v>
      </c>
      <c r="C3512" s="3" t="s">
        <v>42</v>
      </c>
      <c r="D3512" s="3" t="s">
        <v>1205</v>
      </c>
      <c r="E3512" s="3" t="s">
        <v>630</v>
      </c>
      <c r="F3512" s="3"/>
      <c r="G3512" s="3"/>
      <c r="H3512" s="3"/>
      <c r="I3512" s="3"/>
    </row>
    <row r="3513" spans="1:9" s="5" customFormat="1" x14ac:dyDescent="0.35">
      <c r="A3513" s="3" t="s">
        <v>1185</v>
      </c>
      <c r="B3513" s="3" t="s">
        <v>1202</v>
      </c>
      <c r="C3513" s="3" t="s">
        <v>20</v>
      </c>
      <c r="D3513" s="3" t="s">
        <v>1209</v>
      </c>
      <c r="E3513" s="3" t="s">
        <v>1210</v>
      </c>
      <c r="F3513" s="3"/>
      <c r="G3513" s="3"/>
      <c r="H3513" s="3"/>
      <c r="I3513" s="3"/>
    </row>
    <row r="3514" spans="1:9" s="5" customFormat="1" x14ac:dyDescent="0.35">
      <c r="A3514" s="3" t="s">
        <v>1185</v>
      </c>
      <c r="B3514" s="3" t="s">
        <v>1202</v>
      </c>
      <c r="C3514" s="3" t="s">
        <v>20</v>
      </c>
      <c r="D3514" s="3" t="s">
        <v>1209</v>
      </c>
      <c r="E3514" s="3" t="s">
        <v>27</v>
      </c>
      <c r="F3514" s="3"/>
      <c r="G3514" s="3"/>
      <c r="H3514" s="3"/>
      <c r="I3514" s="3"/>
    </row>
    <row r="3515" spans="1:9" s="5" customFormat="1" x14ac:dyDescent="0.35">
      <c r="A3515" s="3" t="s">
        <v>1185</v>
      </c>
      <c r="B3515" s="3" t="s">
        <v>1202</v>
      </c>
      <c r="C3515" s="3" t="s">
        <v>20</v>
      </c>
      <c r="D3515" s="3" t="s">
        <v>1209</v>
      </c>
      <c r="E3515" s="3" t="s">
        <v>77</v>
      </c>
      <c r="F3515" s="3"/>
      <c r="G3515" s="3"/>
      <c r="H3515" s="3"/>
      <c r="I3515" s="3"/>
    </row>
    <row r="3516" spans="1:9" s="5" customFormat="1" x14ac:dyDescent="0.35">
      <c r="A3516" s="3" t="s">
        <v>1185</v>
      </c>
      <c r="B3516" s="3" t="s">
        <v>1202</v>
      </c>
      <c r="C3516" s="3" t="s">
        <v>20</v>
      </c>
      <c r="D3516" s="3" t="s">
        <v>1209</v>
      </c>
      <c r="E3516" s="3" t="s">
        <v>87</v>
      </c>
      <c r="F3516" s="3" t="s">
        <v>16</v>
      </c>
      <c r="G3516" s="3" t="s">
        <v>1211</v>
      </c>
      <c r="H3516" s="3"/>
      <c r="I3516" s="3"/>
    </row>
    <row r="3517" spans="1:9" s="5" customFormat="1" x14ac:dyDescent="0.35">
      <c r="A3517" s="3" t="s">
        <v>1185</v>
      </c>
      <c r="B3517" s="3" t="s">
        <v>1202</v>
      </c>
      <c r="C3517" s="3" t="s">
        <v>20</v>
      </c>
      <c r="D3517" s="3" t="s">
        <v>1209</v>
      </c>
      <c r="E3517" s="3" t="s">
        <v>24</v>
      </c>
      <c r="F3517" s="3"/>
      <c r="G3517" s="3"/>
      <c r="H3517" s="3"/>
      <c r="I3517" s="3"/>
    </row>
    <row r="3518" spans="1:9" s="5" customFormat="1" x14ac:dyDescent="0.35">
      <c r="A3518" s="3" t="s">
        <v>1185</v>
      </c>
      <c r="B3518" s="3" t="s">
        <v>1212</v>
      </c>
      <c r="C3518" s="3" t="s">
        <v>10</v>
      </c>
      <c r="D3518" s="3" t="s">
        <v>1213</v>
      </c>
      <c r="E3518" s="3" t="s">
        <v>12</v>
      </c>
      <c r="F3518" s="3"/>
      <c r="G3518" s="3"/>
      <c r="H3518" s="3" t="s">
        <v>16</v>
      </c>
      <c r="I3518" s="3" t="s">
        <v>1214</v>
      </c>
    </row>
    <row r="3519" spans="1:9" s="5" customFormat="1" x14ac:dyDescent="0.35">
      <c r="A3519" s="3" t="s">
        <v>1185</v>
      </c>
      <c r="B3519" s="3" t="s">
        <v>1212</v>
      </c>
      <c r="C3519" s="3" t="s">
        <v>10</v>
      </c>
      <c r="D3519" s="3" t="s">
        <v>1213</v>
      </c>
      <c r="E3519" s="3" t="s">
        <v>27</v>
      </c>
      <c r="F3519" s="3"/>
      <c r="G3519" s="3"/>
      <c r="H3519" s="3" t="s">
        <v>16</v>
      </c>
      <c r="I3519" s="3" t="s">
        <v>1214</v>
      </c>
    </row>
    <row r="3520" spans="1:9" s="5" customFormat="1" x14ac:dyDescent="0.35">
      <c r="A3520" s="3" t="s">
        <v>1185</v>
      </c>
      <c r="B3520" s="3" t="s">
        <v>1212</v>
      </c>
      <c r="C3520" s="3" t="s">
        <v>10</v>
      </c>
      <c r="D3520" s="3" t="s">
        <v>1213</v>
      </c>
      <c r="E3520" s="3" t="s">
        <v>1193</v>
      </c>
      <c r="F3520" s="3"/>
      <c r="G3520" s="3"/>
      <c r="H3520" s="3" t="s">
        <v>16</v>
      </c>
      <c r="I3520" s="3" t="s">
        <v>1214</v>
      </c>
    </row>
    <row r="3521" spans="1:9" s="5" customFormat="1" x14ac:dyDescent="0.35">
      <c r="A3521" s="3" t="s">
        <v>1185</v>
      </c>
      <c r="B3521" s="3" t="s">
        <v>1212</v>
      </c>
      <c r="C3521" s="3" t="s">
        <v>10</v>
      </c>
      <c r="D3521" s="3" t="s">
        <v>1213</v>
      </c>
      <c r="E3521" s="3" t="s">
        <v>1216</v>
      </c>
      <c r="F3521" s="3" t="s">
        <v>16</v>
      </c>
      <c r="G3521" s="3" t="s">
        <v>1217</v>
      </c>
      <c r="H3521" s="3" t="s">
        <v>16</v>
      </c>
      <c r="I3521" s="3" t="s">
        <v>1214</v>
      </c>
    </row>
    <row r="3522" spans="1:9" s="5" customFormat="1" x14ac:dyDescent="0.35">
      <c r="A3522" s="3" t="s">
        <v>1185</v>
      </c>
      <c r="B3522" s="3" t="s">
        <v>1212</v>
      </c>
      <c r="C3522" s="3" t="s">
        <v>10</v>
      </c>
      <c r="D3522" s="3" t="s">
        <v>1213</v>
      </c>
      <c r="E3522" s="3" t="s">
        <v>56</v>
      </c>
      <c r="F3522" s="3" t="s">
        <v>16</v>
      </c>
      <c r="G3522" s="3" t="s">
        <v>1215</v>
      </c>
      <c r="H3522" s="3" t="s">
        <v>16</v>
      </c>
      <c r="I3522" s="3" t="s">
        <v>1214</v>
      </c>
    </row>
    <row r="3523" spans="1:9" s="5" customFormat="1" x14ac:dyDescent="0.35">
      <c r="A3523" s="3" t="s">
        <v>1185</v>
      </c>
      <c r="B3523" s="3" t="s">
        <v>1212</v>
      </c>
      <c r="C3523" s="3" t="s">
        <v>45</v>
      </c>
      <c r="D3523" s="3" t="s">
        <v>2925</v>
      </c>
      <c r="E3523" s="3" t="s">
        <v>25</v>
      </c>
      <c r="F3523" s="3"/>
      <c r="G3523" s="3"/>
      <c r="H3523" s="3" t="s">
        <v>16</v>
      </c>
      <c r="I3523" s="3" t="s">
        <v>1214</v>
      </c>
    </row>
    <row r="3524" spans="1:9" s="5" customFormat="1" x14ac:dyDescent="0.35">
      <c r="A3524" s="3" t="s">
        <v>1185</v>
      </c>
      <c r="B3524" s="3" t="s">
        <v>1212</v>
      </c>
      <c r="C3524" s="3" t="s">
        <v>45</v>
      </c>
      <c r="D3524" s="3" t="s">
        <v>2925</v>
      </c>
      <c r="E3524" s="3" t="s">
        <v>1193</v>
      </c>
      <c r="F3524" s="3"/>
      <c r="G3524" s="3"/>
      <c r="H3524" s="3" t="s">
        <v>16</v>
      </c>
      <c r="I3524" s="3" t="s">
        <v>1214</v>
      </c>
    </row>
    <row r="3525" spans="1:9" s="5" customFormat="1" x14ac:dyDescent="0.35">
      <c r="A3525" s="3" t="s">
        <v>1185</v>
      </c>
      <c r="B3525" s="3" t="s">
        <v>1212</v>
      </c>
      <c r="C3525" s="3" t="s">
        <v>45</v>
      </c>
      <c r="D3525" s="3" t="s">
        <v>2925</v>
      </c>
      <c r="E3525" s="3" t="s">
        <v>56</v>
      </c>
      <c r="F3525" s="3"/>
      <c r="G3525" s="3"/>
      <c r="H3525" s="3" t="s">
        <v>16</v>
      </c>
      <c r="I3525" s="3" t="s">
        <v>1214</v>
      </c>
    </row>
    <row r="3526" spans="1:9" s="5" customFormat="1" x14ac:dyDescent="0.35">
      <c r="A3526" s="3" t="s">
        <v>1185</v>
      </c>
      <c r="B3526" s="3" t="s">
        <v>1212</v>
      </c>
      <c r="C3526" s="3" t="s">
        <v>20</v>
      </c>
      <c r="D3526" s="3" t="s">
        <v>1218</v>
      </c>
      <c r="E3526" s="3" t="s">
        <v>27</v>
      </c>
      <c r="F3526" s="3"/>
      <c r="G3526" s="3"/>
      <c r="H3526" s="3" t="s">
        <v>16</v>
      </c>
      <c r="I3526" s="3" t="s">
        <v>1214</v>
      </c>
    </row>
    <row r="3527" spans="1:9" s="5" customFormat="1" x14ac:dyDescent="0.35">
      <c r="A3527" s="3" t="s">
        <v>1185</v>
      </c>
      <c r="B3527" s="3" t="s">
        <v>1212</v>
      </c>
      <c r="C3527" s="3" t="s">
        <v>20</v>
      </c>
      <c r="D3527" s="3" t="s">
        <v>1218</v>
      </c>
      <c r="E3527" s="3" t="s">
        <v>29</v>
      </c>
      <c r="F3527" s="3"/>
      <c r="G3527" s="3" t="s">
        <v>2332</v>
      </c>
      <c r="H3527" s="3" t="s">
        <v>16</v>
      </c>
      <c r="I3527" s="3" t="s">
        <v>1214</v>
      </c>
    </row>
    <row r="3528" spans="1:9" s="5" customFormat="1" x14ac:dyDescent="0.35">
      <c r="A3528" s="3" t="s">
        <v>1185</v>
      </c>
      <c r="B3528" s="3" t="s">
        <v>1212</v>
      </c>
      <c r="C3528" s="3" t="s">
        <v>20</v>
      </c>
      <c r="D3528" s="3" t="s">
        <v>1219</v>
      </c>
      <c r="E3528" s="3" t="s">
        <v>25</v>
      </c>
      <c r="F3528" s="3"/>
      <c r="G3528" s="3"/>
      <c r="H3528" s="3" t="s">
        <v>16</v>
      </c>
      <c r="I3528" s="3" t="s">
        <v>1214</v>
      </c>
    </row>
    <row r="3529" spans="1:9" s="5" customFormat="1" x14ac:dyDescent="0.35">
      <c r="A3529" s="3" t="s">
        <v>1185</v>
      </c>
      <c r="B3529" s="3" t="s">
        <v>1212</v>
      </c>
      <c r="C3529" s="3" t="s">
        <v>20</v>
      </c>
      <c r="D3529" s="3" t="s">
        <v>1219</v>
      </c>
      <c r="E3529" s="3" t="s">
        <v>27</v>
      </c>
      <c r="F3529" s="3"/>
      <c r="G3529" s="3"/>
      <c r="H3529" s="3" t="s">
        <v>16</v>
      </c>
      <c r="I3529" s="3" t="s">
        <v>1214</v>
      </c>
    </row>
    <row r="3530" spans="1:9" s="5" customFormat="1" x14ac:dyDescent="0.35">
      <c r="A3530" s="3" t="s">
        <v>1185</v>
      </c>
      <c r="B3530" s="3" t="s">
        <v>1212</v>
      </c>
      <c r="C3530" s="3" t="s">
        <v>20</v>
      </c>
      <c r="D3530" s="3" t="s">
        <v>1219</v>
      </c>
      <c r="E3530" s="3" t="s">
        <v>1216</v>
      </c>
      <c r="F3530" s="3" t="s">
        <v>16</v>
      </c>
      <c r="G3530" s="3" t="s">
        <v>1220</v>
      </c>
      <c r="H3530" s="3" t="s">
        <v>16</v>
      </c>
      <c r="I3530" s="3" t="s">
        <v>1214</v>
      </c>
    </row>
    <row r="3531" spans="1:9" s="5" customFormat="1" x14ac:dyDescent="0.35">
      <c r="A3531" s="3" t="s">
        <v>1185</v>
      </c>
      <c r="B3531" s="3" t="s">
        <v>1212</v>
      </c>
      <c r="C3531" s="3" t="s">
        <v>20</v>
      </c>
      <c r="D3531" s="3" t="s">
        <v>1219</v>
      </c>
      <c r="E3531" s="3" t="s">
        <v>56</v>
      </c>
      <c r="F3531" s="3"/>
      <c r="G3531" s="3"/>
      <c r="H3531" s="3" t="s">
        <v>16</v>
      </c>
      <c r="I3531" s="3" t="s">
        <v>1214</v>
      </c>
    </row>
    <row r="3532" spans="1:9" s="5" customFormat="1" x14ac:dyDescent="0.35">
      <c r="A3532" s="3" t="s">
        <v>1185</v>
      </c>
      <c r="B3532" s="3" t="s">
        <v>1212</v>
      </c>
      <c r="C3532" s="3" t="s">
        <v>20</v>
      </c>
      <c r="D3532" s="3" t="s">
        <v>1219</v>
      </c>
      <c r="E3532" s="3" t="s">
        <v>24</v>
      </c>
      <c r="F3532" s="3"/>
      <c r="G3532" s="3"/>
      <c r="H3532" s="3" t="s">
        <v>16</v>
      </c>
      <c r="I3532" s="3" t="s">
        <v>1214</v>
      </c>
    </row>
    <row r="3533" spans="1:9" s="5" customFormat="1" x14ac:dyDescent="0.35">
      <c r="A3533" s="3" t="s">
        <v>1185</v>
      </c>
      <c r="B3533" s="3" t="s">
        <v>1212</v>
      </c>
      <c r="C3533" s="3" t="s">
        <v>10</v>
      </c>
      <c r="D3533" s="3" t="s">
        <v>1221</v>
      </c>
      <c r="E3533" s="3" t="s">
        <v>27</v>
      </c>
      <c r="F3533" s="3"/>
      <c r="G3533" s="3"/>
      <c r="H3533" s="3" t="s">
        <v>16</v>
      </c>
      <c r="I3533" s="3" t="s">
        <v>1214</v>
      </c>
    </row>
    <row r="3534" spans="1:9" s="5" customFormat="1" x14ac:dyDescent="0.35">
      <c r="A3534" s="3" t="s">
        <v>1185</v>
      </c>
      <c r="B3534" s="3" t="s">
        <v>1212</v>
      </c>
      <c r="C3534" s="3" t="s">
        <v>10</v>
      </c>
      <c r="D3534" s="3" t="s">
        <v>1221</v>
      </c>
      <c r="E3534" s="3" t="s">
        <v>87</v>
      </c>
      <c r="F3534" s="3"/>
      <c r="G3534" s="3"/>
      <c r="H3534" s="3" t="s">
        <v>16</v>
      </c>
      <c r="I3534" s="3" t="s">
        <v>1214</v>
      </c>
    </row>
    <row r="3535" spans="1:9" s="5" customFormat="1" x14ac:dyDescent="0.35">
      <c r="A3535" s="3" t="s">
        <v>1185</v>
      </c>
      <c r="B3535" s="3" t="s">
        <v>1212</v>
      </c>
      <c r="C3535" s="3" t="s">
        <v>10</v>
      </c>
      <c r="D3535" s="3" t="s">
        <v>1221</v>
      </c>
      <c r="E3535" s="3" t="s">
        <v>1216</v>
      </c>
      <c r="F3535" s="3" t="s">
        <v>16</v>
      </c>
      <c r="G3535" s="3" t="s">
        <v>157</v>
      </c>
      <c r="H3535" s="3" t="s">
        <v>16</v>
      </c>
      <c r="I3535" s="3" t="s">
        <v>1214</v>
      </c>
    </row>
    <row r="3536" spans="1:9" s="5" customFormat="1" x14ac:dyDescent="0.35">
      <c r="A3536" s="3" t="s">
        <v>1185</v>
      </c>
      <c r="B3536" s="3" t="s">
        <v>1212</v>
      </c>
      <c r="C3536" s="3" t="s">
        <v>10</v>
      </c>
      <c r="D3536" s="3" t="s">
        <v>1221</v>
      </c>
      <c r="E3536" s="3" t="s">
        <v>56</v>
      </c>
      <c r="F3536" s="3" t="s">
        <v>16</v>
      </c>
      <c r="G3536" s="3" t="s">
        <v>1222</v>
      </c>
      <c r="H3536" s="3" t="s">
        <v>16</v>
      </c>
      <c r="I3536" s="3" t="s">
        <v>1214</v>
      </c>
    </row>
    <row r="3537" spans="1:9" s="5" customFormat="1" x14ac:dyDescent="0.35">
      <c r="A3537" s="3" t="s">
        <v>1185</v>
      </c>
      <c r="B3537" s="3" t="s">
        <v>1212</v>
      </c>
      <c r="C3537" s="3" t="s">
        <v>10</v>
      </c>
      <c r="D3537" s="3" t="s">
        <v>1221</v>
      </c>
      <c r="E3537" s="3" t="s">
        <v>630</v>
      </c>
      <c r="F3537" s="3" t="s">
        <v>16</v>
      </c>
      <c r="G3537" s="3" t="s">
        <v>1223</v>
      </c>
      <c r="H3537" s="3" t="s">
        <v>16</v>
      </c>
      <c r="I3537" s="3" t="s">
        <v>1214</v>
      </c>
    </row>
    <row r="3538" spans="1:9" s="5" customFormat="1" x14ac:dyDescent="0.35">
      <c r="A3538" s="3" t="s">
        <v>1185</v>
      </c>
      <c r="B3538" s="3" t="s">
        <v>1212</v>
      </c>
      <c r="C3538" s="3" t="s">
        <v>20</v>
      </c>
      <c r="D3538" s="3" t="s">
        <v>1224</v>
      </c>
      <c r="E3538" s="3" t="s">
        <v>25</v>
      </c>
      <c r="F3538" s="3" t="s">
        <v>33</v>
      </c>
      <c r="G3538" s="3" t="s">
        <v>1225</v>
      </c>
      <c r="H3538" s="3" t="s">
        <v>16</v>
      </c>
      <c r="I3538" s="3" t="s">
        <v>1214</v>
      </c>
    </row>
    <row r="3539" spans="1:9" s="5" customFormat="1" x14ac:dyDescent="0.35">
      <c r="A3539" s="3" t="s">
        <v>1185</v>
      </c>
      <c r="B3539" s="3" t="s">
        <v>1212</v>
      </c>
      <c r="C3539" s="3" t="s">
        <v>20</v>
      </c>
      <c r="D3539" s="3" t="s">
        <v>1224</v>
      </c>
      <c r="E3539" s="3" t="s">
        <v>1193</v>
      </c>
      <c r="F3539" s="3" t="s">
        <v>33</v>
      </c>
      <c r="G3539" s="3" t="s">
        <v>1225</v>
      </c>
      <c r="H3539" s="3" t="s">
        <v>16</v>
      </c>
      <c r="I3539" s="3" t="s">
        <v>1214</v>
      </c>
    </row>
    <row r="3540" spans="1:9" s="5" customFormat="1" x14ac:dyDescent="0.35">
      <c r="A3540" s="3" t="s">
        <v>1185</v>
      </c>
      <c r="B3540" s="3" t="s">
        <v>1212</v>
      </c>
      <c r="C3540" s="3" t="s">
        <v>20</v>
      </c>
      <c r="D3540" s="3" t="s">
        <v>1224</v>
      </c>
      <c r="E3540" s="3" t="s">
        <v>87</v>
      </c>
      <c r="F3540" s="3" t="s">
        <v>33</v>
      </c>
      <c r="G3540" s="3" t="s">
        <v>1225</v>
      </c>
      <c r="H3540" s="3" t="s">
        <v>16</v>
      </c>
      <c r="I3540" s="3" t="s">
        <v>1214</v>
      </c>
    </row>
    <row r="3541" spans="1:9" s="5" customFormat="1" x14ac:dyDescent="0.35">
      <c r="A3541" s="3" t="s">
        <v>1185</v>
      </c>
      <c r="B3541" s="3" t="s">
        <v>1212</v>
      </c>
      <c r="C3541" s="3" t="s">
        <v>20</v>
      </c>
      <c r="D3541" s="3" t="s">
        <v>1224</v>
      </c>
      <c r="E3541" s="3" t="s">
        <v>56</v>
      </c>
      <c r="F3541" s="3" t="s">
        <v>33</v>
      </c>
      <c r="G3541" s="3" t="s">
        <v>1225</v>
      </c>
      <c r="H3541" s="3" t="s">
        <v>16</v>
      </c>
      <c r="I3541" s="3" t="s">
        <v>1214</v>
      </c>
    </row>
    <row r="3542" spans="1:9" s="5" customFormat="1" x14ac:dyDescent="0.35">
      <c r="A3542" s="3" t="s">
        <v>1185</v>
      </c>
      <c r="B3542" s="3" t="s">
        <v>1212</v>
      </c>
      <c r="C3542" s="3" t="s">
        <v>20</v>
      </c>
      <c r="D3542" s="3" t="s">
        <v>1224</v>
      </c>
      <c r="E3542" s="3" t="s">
        <v>24</v>
      </c>
      <c r="F3542" s="3" t="s">
        <v>33</v>
      </c>
      <c r="G3542" s="3" t="s">
        <v>1225</v>
      </c>
      <c r="H3542" s="3" t="s">
        <v>16</v>
      </c>
      <c r="I3542" s="3" t="s">
        <v>1214</v>
      </c>
    </row>
    <row r="3543" spans="1:9" s="5" customFormat="1" x14ac:dyDescent="0.35">
      <c r="A3543" s="3" t="s">
        <v>1185</v>
      </c>
      <c r="B3543" s="3" t="s">
        <v>1212</v>
      </c>
      <c r="C3543" s="3" t="s">
        <v>20</v>
      </c>
      <c r="D3543" s="3" t="s">
        <v>1224</v>
      </c>
      <c r="E3543" s="3" t="s">
        <v>630</v>
      </c>
      <c r="F3543" s="3" t="s">
        <v>33</v>
      </c>
      <c r="G3543" s="3" t="s">
        <v>1225</v>
      </c>
      <c r="H3543" s="3" t="s">
        <v>16</v>
      </c>
      <c r="I3543" s="3" t="s">
        <v>1214</v>
      </c>
    </row>
    <row r="3544" spans="1:9" s="5" customFormat="1" x14ac:dyDescent="0.35">
      <c r="A3544" s="3" t="s">
        <v>1185</v>
      </c>
      <c r="B3544" s="3" t="s">
        <v>1212</v>
      </c>
      <c r="C3544" s="3" t="s">
        <v>45</v>
      </c>
      <c r="D3544" s="3" t="s">
        <v>1226</v>
      </c>
      <c r="E3544" s="3" t="s">
        <v>1216</v>
      </c>
      <c r="F3544" s="3" t="s">
        <v>16</v>
      </c>
      <c r="G3544" s="3" t="s">
        <v>1227</v>
      </c>
      <c r="H3544" s="3" t="s">
        <v>16</v>
      </c>
      <c r="I3544" s="3" t="s">
        <v>1214</v>
      </c>
    </row>
    <row r="3545" spans="1:9" s="5" customFormat="1" x14ac:dyDescent="0.35">
      <c r="A3545" s="3" t="s">
        <v>1185</v>
      </c>
      <c r="B3545" s="3" t="s">
        <v>1212</v>
      </c>
      <c r="C3545" s="3" t="s">
        <v>45</v>
      </c>
      <c r="D3545" s="3" t="s">
        <v>1226</v>
      </c>
      <c r="E3545" s="3" t="s">
        <v>24</v>
      </c>
      <c r="F3545" s="3"/>
      <c r="G3545" s="3"/>
      <c r="H3545" s="3" t="s">
        <v>16</v>
      </c>
      <c r="I3545" s="3" t="s">
        <v>1214</v>
      </c>
    </row>
    <row r="3546" spans="1:9" s="5" customFormat="1" x14ac:dyDescent="0.35">
      <c r="A3546" s="3" t="s">
        <v>1185</v>
      </c>
      <c r="B3546" s="3" t="s">
        <v>1212</v>
      </c>
      <c r="C3546" s="3" t="s">
        <v>45</v>
      </c>
      <c r="D3546" s="3" t="s">
        <v>1226</v>
      </c>
      <c r="E3546" s="3" t="s">
        <v>630</v>
      </c>
      <c r="F3546" s="3" t="s">
        <v>16</v>
      </c>
      <c r="G3546" s="3" t="s">
        <v>1228</v>
      </c>
      <c r="H3546" s="3" t="s">
        <v>16</v>
      </c>
      <c r="I3546" s="3" t="s">
        <v>1214</v>
      </c>
    </row>
    <row r="3547" spans="1:9" s="5" customFormat="1" x14ac:dyDescent="0.35">
      <c r="A3547" s="3" t="s">
        <v>1185</v>
      </c>
      <c r="B3547" s="3" t="s">
        <v>1212</v>
      </c>
      <c r="C3547" s="3" t="s">
        <v>45</v>
      </c>
      <c r="D3547" s="3" t="s">
        <v>1229</v>
      </c>
      <c r="E3547" s="3" t="s">
        <v>27</v>
      </c>
      <c r="F3547" s="3"/>
      <c r="G3547" s="3"/>
      <c r="H3547" s="3" t="s">
        <v>16</v>
      </c>
      <c r="I3547" s="3" t="s">
        <v>1214</v>
      </c>
    </row>
    <row r="3548" spans="1:9" s="5" customFormat="1" x14ac:dyDescent="0.35">
      <c r="A3548" s="3" t="s">
        <v>1185</v>
      </c>
      <c r="B3548" s="3" t="s">
        <v>1212</v>
      </c>
      <c r="C3548" s="3" t="s">
        <v>45</v>
      </c>
      <c r="D3548" s="3" t="s">
        <v>1229</v>
      </c>
      <c r="E3548" s="3" t="s">
        <v>87</v>
      </c>
      <c r="F3548" s="3"/>
      <c r="G3548" s="3" t="s">
        <v>2342</v>
      </c>
      <c r="H3548" s="3" t="s">
        <v>16</v>
      </c>
      <c r="I3548" s="3" t="s">
        <v>1214</v>
      </c>
    </row>
    <row r="3549" spans="1:9" s="5" customFormat="1" x14ac:dyDescent="0.35">
      <c r="A3549" s="3" t="s">
        <v>1185</v>
      </c>
      <c r="B3549" s="3" t="s">
        <v>1212</v>
      </c>
      <c r="C3549" s="3" t="s">
        <v>45</v>
      </c>
      <c r="D3549" s="3" t="s">
        <v>1229</v>
      </c>
      <c r="E3549" s="3" t="s">
        <v>56</v>
      </c>
      <c r="F3549" s="3" t="s">
        <v>16</v>
      </c>
      <c r="G3549" s="3" t="s">
        <v>1230</v>
      </c>
      <c r="H3549" s="3" t="s">
        <v>16</v>
      </c>
      <c r="I3549" s="3" t="s">
        <v>1214</v>
      </c>
    </row>
    <row r="3550" spans="1:9" s="5" customFormat="1" x14ac:dyDescent="0.35">
      <c r="A3550" s="3" t="s">
        <v>1185</v>
      </c>
      <c r="B3550" s="3" t="s">
        <v>1212</v>
      </c>
      <c r="C3550" s="3" t="s">
        <v>45</v>
      </c>
      <c r="D3550" s="3" t="s">
        <v>1231</v>
      </c>
      <c r="E3550" s="3" t="s">
        <v>27</v>
      </c>
      <c r="F3550" s="3"/>
      <c r="G3550" s="3"/>
      <c r="H3550" s="3" t="s">
        <v>16</v>
      </c>
      <c r="I3550" s="3" t="s">
        <v>1214</v>
      </c>
    </row>
    <row r="3551" spans="1:9" s="5" customFormat="1" x14ac:dyDescent="0.35">
      <c r="A3551" s="3" t="s">
        <v>1185</v>
      </c>
      <c r="B3551" s="3" t="s">
        <v>1212</v>
      </c>
      <c r="C3551" s="3" t="s">
        <v>45</v>
      </c>
      <c r="D3551" s="3" t="s">
        <v>1231</v>
      </c>
      <c r="E3551" s="3" t="s">
        <v>1193</v>
      </c>
      <c r="F3551" s="3"/>
      <c r="G3551" s="3"/>
      <c r="H3551" s="3" t="s">
        <v>16</v>
      </c>
      <c r="I3551" s="3" t="s">
        <v>1214</v>
      </c>
    </row>
    <row r="3552" spans="1:9" s="5" customFormat="1" x14ac:dyDescent="0.35">
      <c r="A3552" s="3" t="s">
        <v>1185</v>
      </c>
      <c r="B3552" s="3" t="s">
        <v>1212</v>
      </c>
      <c r="C3552" s="3" t="s">
        <v>45</v>
      </c>
      <c r="D3552" s="3" t="s">
        <v>1231</v>
      </c>
      <c r="E3552" s="3" t="s">
        <v>28</v>
      </c>
      <c r="F3552" s="3"/>
      <c r="G3552" s="3"/>
      <c r="H3552" s="3" t="s">
        <v>16</v>
      </c>
      <c r="I3552" s="3" t="s">
        <v>1214</v>
      </c>
    </row>
    <row r="3553" spans="1:9" s="5" customFormat="1" x14ac:dyDescent="0.35">
      <c r="A3553" s="3" t="s">
        <v>1185</v>
      </c>
      <c r="B3553" s="3" t="s">
        <v>1212</v>
      </c>
      <c r="C3553" s="3" t="s">
        <v>45</v>
      </c>
      <c r="D3553" s="3" t="s">
        <v>1231</v>
      </c>
      <c r="E3553" s="3" t="s">
        <v>56</v>
      </c>
      <c r="F3553" s="3" t="s">
        <v>16</v>
      </c>
      <c r="G3553" s="3" t="s">
        <v>1232</v>
      </c>
      <c r="H3553" s="3" t="s">
        <v>16</v>
      </c>
      <c r="I3553" s="3" t="s">
        <v>1214</v>
      </c>
    </row>
    <row r="3554" spans="1:9" s="5" customFormat="1" x14ac:dyDescent="0.35">
      <c r="A3554" s="3" t="s">
        <v>1185</v>
      </c>
      <c r="B3554" s="3" t="s">
        <v>1212</v>
      </c>
      <c r="C3554" s="3" t="s">
        <v>45</v>
      </c>
      <c r="D3554" s="3" t="s">
        <v>1233</v>
      </c>
      <c r="E3554" s="3" t="s">
        <v>87</v>
      </c>
      <c r="F3554" s="3"/>
      <c r="G3554" s="3"/>
      <c r="H3554" s="3" t="s">
        <v>16</v>
      </c>
      <c r="I3554" s="3" t="s">
        <v>1214</v>
      </c>
    </row>
    <row r="3555" spans="1:9" s="5" customFormat="1" x14ac:dyDescent="0.35">
      <c r="A3555" s="3" t="s">
        <v>1185</v>
      </c>
      <c r="B3555" s="3" t="s">
        <v>1212</v>
      </c>
      <c r="C3555" s="3" t="s">
        <v>45</v>
      </c>
      <c r="D3555" s="3" t="s">
        <v>1233</v>
      </c>
      <c r="E3555" s="3" t="s">
        <v>1216</v>
      </c>
      <c r="F3555" s="3" t="s">
        <v>16</v>
      </c>
      <c r="G3555" s="3" t="s">
        <v>1235</v>
      </c>
      <c r="H3555" s="3" t="s">
        <v>16</v>
      </c>
      <c r="I3555" s="3" t="s">
        <v>1214</v>
      </c>
    </row>
    <row r="3556" spans="1:9" s="5" customFormat="1" x14ac:dyDescent="0.35">
      <c r="A3556" s="3" t="s">
        <v>1185</v>
      </c>
      <c r="B3556" s="3" t="s">
        <v>1212</v>
      </c>
      <c r="C3556" s="3" t="s">
        <v>45</v>
      </c>
      <c r="D3556" s="3" t="s">
        <v>1233</v>
      </c>
      <c r="E3556" s="3" t="s">
        <v>56</v>
      </c>
      <c r="F3556" s="3" t="s">
        <v>16</v>
      </c>
      <c r="G3556" s="3" t="s">
        <v>1234</v>
      </c>
      <c r="H3556" s="3" t="s">
        <v>16</v>
      </c>
      <c r="I3556" s="3" t="s">
        <v>1214</v>
      </c>
    </row>
    <row r="3557" spans="1:9" s="5" customFormat="1" x14ac:dyDescent="0.35">
      <c r="A3557" s="3" t="s">
        <v>1185</v>
      </c>
      <c r="B3557" s="3" t="s">
        <v>1212</v>
      </c>
      <c r="C3557" s="3" t="s">
        <v>45</v>
      </c>
      <c r="D3557" s="3" t="s">
        <v>1233</v>
      </c>
      <c r="E3557" s="3" t="s">
        <v>24</v>
      </c>
      <c r="F3557" s="3"/>
      <c r="G3557" s="3" t="s">
        <v>2343</v>
      </c>
      <c r="H3557" s="3" t="s">
        <v>16</v>
      </c>
      <c r="I3557" s="3" t="s">
        <v>1214</v>
      </c>
    </row>
    <row r="3558" spans="1:9" s="5" customFormat="1" x14ac:dyDescent="0.35">
      <c r="A3558" s="3" t="s">
        <v>1185</v>
      </c>
      <c r="B3558" s="3" t="s">
        <v>1212</v>
      </c>
      <c r="C3558" s="3" t="s">
        <v>10</v>
      </c>
      <c r="D3558" s="3" t="s">
        <v>1236</v>
      </c>
      <c r="E3558" s="3" t="s">
        <v>27</v>
      </c>
      <c r="F3558" s="3"/>
      <c r="G3558" s="3"/>
      <c r="H3558" s="3" t="s">
        <v>16</v>
      </c>
      <c r="I3558" s="3" t="s">
        <v>1214</v>
      </c>
    </row>
    <row r="3559" spans="1:9" s="5" customFormat="1" x14ac:dyDescent="0.35">
      <c r="A3559" s="3" t="s">
        <v>1185</v>
      </c>
      <c r="B3559" s="3" t="s">
        <v>1212</v>
      </c>
      <c r="C3559" s="3" t="s">
        <v>10</v>
      </c>
      <c r="D3559" s="3" t="s">
        <v>1236</v>
      </c>
      <c r="E3559" s="3" t="s">
        <v>1193</v>
      </c>
      <c r="F3559" s="3"/>
      <c r="G3559" s="3"/>
      <c r="H3559" s="3" t="s">
        <v>16</v>
      </c>
      <c r="I3559" s="3" t="s">
        <v>1214</v>
      </c>
    </row>
    <row r="3560" spans="1:9" s="5" customFormat="1" x14ac:dyDescent="0.35">
      <c r="A3560" s="3" t="s">
        <v>1185</v>
      </c>
      <c r="B3560" s="3" t="s">
        <v>1212</v>
      </c>
      <c r="C3560" s="3" t="s">
        <v>10</v>
      </c>
      <c r="D3560" s="3" t="s">
        <v>1236</v>
      </c>
      <c r="E3560" s="3" t="s">
        <v>56</v>
      </c>
      <c r="F3560" s="3" t="s">
        <v>16</v>
      </c>
      <c r="G3560" s="3" t="s">
        <v>1237</v>
      </c>
      <c r="H3560" s="3" t="s">
        <v>16</v>
      </c>
      <c r="I3560" s="3" t="s">
        <v>1214</v>
      </c>
    </row>
    <row r="3561" spans="1:9" s="5" customFormat="1" x14ac:dyDescent="0.35">
      <c r="A3561" s="3" t="s">
        <v>1185</v>
      </c>
      <c r="B3561" s="3" t="s">
        <v>1212</v>
      </c>
      <c r="C3561" s="3" t="s">
        <v>10</v>
      </c>
      <c r="D3561" s="3" t="s">
        <v>1236</v>
      </c>
      <c r="E3561" s="3" t="s">
        <v>24</v>
      </c>
      <c r="F3561" s="3"/>
      <c r="G3561" s="3"/>
      <c r="H3561" s="3" t="s">
        <v>16</v>
      </c>
      <c r="I3561" s="3" t="s">
        <v>1214</v>
      </c>
    </row>
    <row r="3562" spans="1:9" s="5" customFormat="1" x14ac:dyDescent="0.35">
      <c r="A3562" s="3" t="s">
        <v>1185</v>
      </c>
      <c r="B3562" s="3" t="s">
        <v>1212</v>
      </c>
      <c r="C3562" s="3" t="s">
        <v>20</v>
      </c>
      <c r="D3562" s="3" t="s">
        <v>1238</v>
      </c>
      <c r="E3562" s="3" t="s">
        <v>1216</v>
      </c>
      <c r="F3562" s="3" t="s">
        <v>16</v>
      </c>
      <c r="G3562" s="3" t="s">
        <v>1239</v>
      </c>
      <c r="H3562" s="3" t="s">
        <v>16</v>
      </c>
      <c r="I3562" s="3" t="s">
        <v>1214</v>
      </c>
    </row>
    <row r="3563" spans="1:9" s="5" customFormat="1" x14ac:dyDescent="0.35">
      <c r="A3563" s="3" t="s">
        <v>1185</v>
      </c>
      <c r="B3563" s="3" t="s">
        <v>1212</v>
      </c>
      <c r="C3563" s="3" t="s">
        <v>20</v>
      </c>
      <c r="D3563" s="3" t="s">
        <v>1238</v>
      </c>
      <c r="E3563" s="3" t="s">
        <v>56</v>
      </c>
      <c r="F3563" s="3" t="s">
        <v>16</v>
      </c>
      <c r="G3563" s="3" t="s">
        <v>1239</v>
      </c>
      <c r="H3563" s="3" t="s">
        <v>16</v>
      </c>
      <c r="I3563" s="3" t="s">
        <v>1214</v>
      </c>
    </row>
    <row r="3564" spans="1:9" s="5" customFormat="1" x14ac:dyDescent="0.35">
      <c r="A3564" s="3" t="s">
        <v>1185</v>
      </c>
      <c r="B3564" s="3" t="s">
        <v>1212</v>
      </c>
      <c r="C3564" s="3" t="s">
        <v>20</v>
      </c>
      <c r="D3564" s="3" t="s">
        <v>1240</v>
      </c>
      <c r="E3564" s="3" t="s">
        <v>25</v>
      </c>
      <c r="F3564" s="3" t="s">
        <v>33</v>
      </c>
      <c r="G3564" s="3" t="s">
        <v>1225</v>
      </c>
      <c r="H3564" s="3" t="s">
        <v>16</v>
      </c>
      <c r="I3564" s="3" t="s">
        <v>1214</v>
      </c>
    </row>
    <row r="3565" spans="1:9" s="5" customFormat="1" x14ac:dyDescent="0.35">
      <c r="A3565" s="3" t="s">
        <v>1185</v>
      </c>
      <c r="B3565" s="3" t="s">
        <v>1212</v>
      </c>
      <c r="C3565" s="3" t="s">
        <v>20</v>
      </c>
      <c r="D3565" s="3" t="s">
        <v>1240</v>
      </c>
      <c r="E3565" s="3" t="s">
        <v>60</v>
      </c>
      <c r="F3565" s="3" t="s">
        <v>33</v>
      </c>
      <c r="G3565" s="3" t="s">
        <v>1225</v>
      </c>
      <c r="H3565" s="3" t="s">
        <v>16</v>
      </c>
      <c r="I3565" s="3" t="s">
        <v>1214</v>
      </c>
    </row>
    <row r="3566" spans="1:9" s="5" customFormat="1" x14ac:dyDescent="0.35">
      <c r="A3566" s="3" t="s">
        <v>1185</v>
      </c>
      <c r="B3566" s="3" t="s">
        <v>1212</v>
      </c>
      <c r="C3566" s="3" t="s">
        <v>20</v>
      </c>
      <c r="D3566" s="3" t="s">
        <v>1240</v>
      </c>
      <c r="E3566" s="3" t="s">
        <v>1193</v>
      </c>
      <c r="F3566" s="3" t="s">
        <v>33</v>
      </c>
      <c r="G3566" s="3" t="s">
        <v>1225</v>
      </c>
      <c r="H3566" s="3" t="s">
        <v>16</v>
      </c>
      <c r="I3566" s="3" t="s">
        <v>1214</v>
      </c>
    </row>
    <row r="3567" spans="1:9" s="5" customFormat="1" x14ac:dyDescent="0.35">
      <c r="A3567" s="3" t="s">
        <v>1185</v>
      </c>
      <c r="B3567" s="3" t="s">
        <v>1212</v>
      </c>
      <c r="C3567" s="3" t="s">
        <v>20</v>
      </c>
      <c r="D3567" s="3" t="s">
        <v>1240</v>
      </c>
      <c r="E3567" s="3" t="s">
        <v>28</v>
      </c>
      <c r="F3567" s="3" t="s">
        <v>33</v>
      </c>
      <c r="G3567" s="3" t="s">
        <v>1225</v>
      </c>
      <c r="H3567" s="3" t="s">
        <v>16</v>
      </c>
      <c r="I3567" s="3" t="s">
        <v>1214</v>
      </c>
    </row>
    <row r="3568" spans="1:9" s="5" customFormat="1" x14ac:dyDescent="0.35">
      <c r="A3568" s="3" t="s">
        <v>1185</v>
      </c>
      <c r="B3568" s="3" t="s">
        <v>1212</v>
      </c>
      <c r="C3568" s="3" t="s">
        <v>20</v>
      </c>
      <c r="D3568" s="3" t="s">
        <v>1240</v>
      </c>
      <c r="E3568" s="3" t="s">
        <v>1216</v>
      </c>
      <c r="F3568" s="3" t="s">
        <v>33</v>
      </c>
      <c r="G3568" s="3" t="s">
        <v>1225</v>
      </c>
      <c r="H3568" s="3" t="s">
        <v>16</v>
      </c>
      <c r="I3568" s="3" t="s">
        <v>1214</v>
      </c>
    </row>
    <row r="3569" spans="1:9" s="5" customFormat="1" x14ac:dyDescent="0.35">
      <c r="A3569" s="3" t="s">
        <v>1185</v>
      </c>
      <c r="B3569" s="3" t="s">
        <v>1212</v>
      </c>
      <c r="C3569" s="3" t="s">
        <v>20</v>
      </c>
      <c r="D3569" s="3" t="s">
        <v>1240</v>
      </c>
      <c r="E3569" s="3" t="s">
        <v>56</v>
      </c>
      <c r="F3569" s="3" t="s">
        <v>33</v>
      </c>
      <c r="G3569" s="3" t="s">
        <v>1225</v>
      </c>
      <c r="H3569" s="3" t="s">
        <v>16</v>
      </c>
      <c r="I3569" s="3" t="s">
        <v>1214</v>
      </c>
    </row>
    <row r="3570" spans="1:9" s="5" customFormat="1" x14ac:dyDescent="0.35">
      <c r="A3570" s="3" t="s">
        <v>1185</v>
      </c>
      <c r="B3570" s="3" t="s">
        <v>1212</v>
      </c>
      <c r="C3570" s="3" t="s">
        <v>20</v>
      </c>
      <c r="D3570" s="3" t="s">
        <v>1240</v>
      </c>
      <c r="E3570" s="3" t="s">
        <v>24</v>
      </c>
      <c r="F3570" s="3" t="s">
        <v>33</v>
      </c>
      <c r="G3570" s="3" t="s">
        <v>1225</v>
      </c>
      <c r="H3570" s="3" t="s">
        <v>16</v>
      </c>
      <c r="I3570" s="3" t="s">
        <v>1214</v>
      </c>
    </row>
    <row r="3571" spans="1:9" s="5" customFormat="1" x14ac:dyDescent="0.35">
      <c r="A3571" s="3" t="s">
        <v>1185</v>
      </c>
      <c r="B3571" s="3" t="s">
        <v>1212</v>
      </c>
      <c r="C3571" s="3" t="s">
        <v>45</v>
      </c>
      <c r="D3571" s="3" t="s">
        <v>1241</v>
      </c>
      <c r="E3571" s="3" t="s">
        <v>12</v>
      </c>
      <c r="F3571" s="3"/>
      <c r="G3571" s="3"/>
      <c r="H3571" s="3" t="s">
        <v>16</v>
      </c>
      <c r="I3571" s="3" t="s">
        <v>1214</v>
      </c>
    </row>
    <row r="3572" spans="1:9" s="5" customFormat="1" x14ac:dyDescent="0.35">
      <c r="A3572" s="3" t="s">
        <v>1185</v>
      </c>
      <c r="B3572" s="3" t="s">
        <v>1212</v>
      </c>
      <c r="C3572" s="3" t="s">
        <v>45</v>
      </c>
      <c r="D3572" s="3" t="s">
        <v>1241</v>
      </c>
      <c r="E3572" s="3" t="s">
        <v>27</v>
      </c>
      <c r="F3572" s="3"/>
      <c r="G3572" s="3"/>
      <c r="H3572" s="3" t="s">
        <v>16</v>
      </c>
      <c r="I3572" s="3" t="s">
        <v>1214</v>
      </c>
    </row>
    <row r="3573" spans="1:9" s="5" customFormat="1" x14ac:dyDescent="0.35">
      <c r="A3573" s="3" t="s">
        <v>1185</v>
      </c>
      <c r="B3573" s="3" t="s">
        <v>1212</v>
      </c>
      <c r="C3573" s="3" t="s">
        <v>45</v>
      </c>
      <c r="D3573" s="3" t="s">
        <v>1241</v>
      </c>
      <c r="E3573" s="3" t="s">
        <v>1193</v>
      </c>
      <c r="F3573" s="3"/>
      <c r="G3573" s="3" t="s">
        <v>2344</v>
      </c>
      <c r="H3573" s="3" t="s">
        <v>16</v>
      </c>
      <c r="I3573" s="3" t="s">
        <v>1214</v>
      </c>
    </row>
    <row r="3574" spans="1:9" s="5" customFormat="1" x14ac:dyDescent="0.35">
      <c r="A3574" s="3" t="s">
        <v>1185</v>
      </c>
      <c r="B3574" s="3" t="s">
        <v>1212</v>
      </c>
      <c r="C3574" s="3" t="s">
        <v>45</v>
      </c>
      <c r="D3574" s="3" t="s">
        <v>1241</v>
      </c>
      <c r="E3574" s="3" t="s">
        <v>1216</v>
      </c>
      <c r="F3574" s="3" t="s">
        <v>16</v>
      </c>
      <c r="G3574" s="3" t="s">
        <v>1242</v>
      </c>
      <c r="H3574" s="3" t="s">
        <v>16</v>
      </c>
      <c r="I3574" s="3" t="s">
        <v>1214</v>
      </c>
    </row>
    <row r="3575" spans="1:9" s="5" customFormat="1" x14ac:dyDescent="0.35">
      <c r="A3575" s="3" t="s">
        <v>1185</v>
      </c>
      <c r="B3575" s="3" t="s">
        <v>1212</v>
      </c>
      <c r="C3575" s="3" t="s">
        <v>45</v>
      </c>
      <c r="D3575" s="3" t="s">
        <v>1241</v>
      </c>
      <c r="E3575" s="3" t="s">
        <v>56</v>
      </c>
      <c r="F3575" s="3" t="s">
        <v>16</v>
      </c>
      <c r="G3575" s="3" t="s">
        <v>1242</v>
      </c>
      <c r="H3575" s="3" t="s">
        <v>16</v>
      </c>
      <c r="I3575" s="3" t="s">
        <v>1214</v>
      </c>
    </row>
    <row r="3576" spans="1:9" s="5" customFormat="1" x14ac:dyDescent="0.35">
      <c r="A3576" s="3" t="s">
        <v>1185</v>
      </c>
      <c r="B3576" s="3" t="s">
        <v>1212</v>
      </c>
      <c r="C3576" s="3" t="s">
        <v>10</v>
      </c>
      <c r="D3576" s="3" t="s">
        <v>1243</v>
      </c>
      <c r="E3576" s="3" t="s">
        <v>27</v>
      </c>
      <c r="F3576" s="3"/>
      <c r="G3576" s="3"/>
      <c r="H3576" s="3" t="s">
        <v>16</v>
      </c>
      <c r="I3576" s="3" t="s">
        <v>1214</v>
      </c>
    </row>
    <row r="3577" spans="1:9" s="5" customFormat="1" x14ac:dyDescent="0.35">
      <c r="A3577" s="3" t="s">
        <v>1185</v>
      </c>
      <c r="B3577" s="3" t="s">
        <v>1212</v>
      </c>
      <c r="C3577" s="3" t="s">
        <v>10</v>
      </c>
      <c r="D3577" s="3" t="s">
        <v>1243</v>
      </c>
      <c r="E3577" s="3" t="s">
        <v>1216</v>
      </c>
      <c r="F3577" s="3"/>
      <c r="G3577" s="3"/>
      <c r="H3577" s="3" t="s">
        <v>16</v>
      </c>
      <c r="I3577" s="3" t="s">
        <v>1214</v>
      </c>
    </row>
    <row r="3578" spans="1:9" s="5" customFormat="1" x14ac:dyDescent="0.35">
      <c r="A3578" s="3" t="s">
        <v>1185</v>
      </c>
      <c r="B3578" s="3" t="s">
        <v>1212</v>
      </c>
      <c r="C3578" s="3" t="s">
        <v>10</v>
      </c>
      <c r="D3578" s="3" t="s">
        <v>1243</v>
      </c>
      <c r="E3578" s="3" t="s">
        <v>24</v>
      </c>
      <c r="F3578" s="3"/>
      <c r="G3578" s="3"/>
      <c r="H3578" s="3" t="s">
        <v>16</v>
      </c>
      <c r="I3578" s="3" t="s">
        <v>1214</v>
      </c>
    </row>
    <row r="3579" spans="1:9" s="5" customFormat="1" x14ac:dyDescent="0.35">
      <c r="A3579" s="3" t="s">
        <v>1185</v>
      </c>
      <c r="B3579" s="3" t="s">
        <v>1212</v>
      </c>
      <c r="C3579" s="3" t="s">
        <v>20</v>
      </c>
      <c r="D3579" s="3" t="s">
        <v>1244</v>
      </c>
      <c r="E3579" s="3" t="s">
        <v>23</v>
      </c>
      <c r="F3579" s="3"/>
      <c r="G3579" s="3"/>
      <c r="H3579" s="3" t="s">
        <v>16</v>
      </c>
      <c r="I3579" s="3" t="s">
        <v>1214</v>
      </c>
    </row>
    <row r="3580" spans="1:9" s="5" customFormat="1" x14ac:dyDescent="0.35">
      <c r="A3580" s="3" t="s">
        <v>1185</v>
      </c>
      <c r="B3580" s="3" t="s">
        <v>1212</v>
      </c>
      <c r="C3580" s="3" t="s">
        <v>20</v>
      </c>
      <c r="D3580" s="3" t="s">
        <v>1244</v>
      </c>
      <c r="E3580" s="3" t="s">
        <v>25</v>
      </c>
      <c r="F3580" s="3"/>
      <c r="G3580" s="3"/>
      <c r="H3580" s="3" t="s">
        <v>16</v>
      </c>
      <c r="I3580" s="3" t="s">
        <v>1214</v>
      </c>
    </row>
    <row r="3581" spans="1:9" s="5" customFormat="1" x14ac:dyDescent="0.35">
      <c r="A3581" s="3" t="s">
        <v>1185</v>
      </c>
      <c r="B3581" s="3" t="s">
        <v>1212</v>
      </c>
      <c r="C3581" s="3" t="s">
        <v>20</v>
      </c>
      <c r="D3581" s="3" t="s">
        <v>1244</v>
      </c>
      <c r="E3581" s="3" t="s">
        <v>1193</v>
      </c>
      <c r="F3581" s="3"/>
      <c r="G3581" s="3"/>
      <c r="H3581" s="3" t="s">
        <v>16</v>
      </c>
      <c r="I3581" s="3" t="s">
        <v>1214</v>
      </c>
    </row>
    <row r="3582" spans="1:9" s="5" customFormat="1" x14ac:dyDescent="0.35">
      <c r="A3582" s="3" t="s">
        <v>1185</v>
      </c>
      <c r="B3582" s="3" t="s">
        <v>1212</v>
      </c>
      <c r="C3582" s="3" t="s">
        <v>20</v>
      </c>
      <c r="D3582" s="3" t="s">
        <v>1244</v>
      </c>
      <c r="E3582" s="3" t="s">
        <v>28</v>
      </c>
      <c r="F3582" s="3"/>
      <c r="G3582" s="3"/>
      <c r="H3582" s="3" t="s">
        <v>16</v>
      </c>
      <c r="I3582" s="3" t="s">
        <v>1214</v>
      </c>
    </row>
    <row r="3583" spans="1:9" s="5" customFormat="1" x14ac:dyDescent="0.35">
      <c r="A3583" s="3" t="s">
        <v>1185</v>
      </c>
      <c r="B3583" s="3" t="s">
        <v>1212</v>
      </c>
      <c r="C3583" s="3" t="s">
        <v>20</v>
      </c>
      <c r="D3583" s="3" t="s">
        <v>1244</v>
      </c>
      <c r="E3583" s="3" t="s">
        <v>87</v>
      </c>
      <c r="F3583" s="3"/>
      <c r="G3583" s="3"/>
      <c r="H3583" s="3" t="s">
        <v>16</v>
      </c>
      <c r="I3583" s="3" t="s">
        <v>1214</v>
      </c>
    </row>
    <row r="3584" spans="1:9" s="5" customFormat="1" x14ac:dyDescent="0.35">
      <c r="A3584" s="3" t="s">
        <v>1185</v>
      </c>
      <c r="B3584" s="3" t="s">
        <v>1212</v>
      </c>
      <c r="C3584" s="3" t="s">
        <v>20</v>
      </c>
      <c r="D3584" s="3" t="s">
        <v>1244</v>
      </c>
      <c r="E3584" s="3" t="s">
        <v>56</v>
      </c>
      <c r="F3584" s="3"/>
      <c r="G3584" s="3"/>
      <c r="H3584" s="3" t="s">
        <v>16</v>
      </c>
      <c r="I3584" s="3" t="s">
        <v>1214</v>
      </c>
    </row>
    <row r="3585" spans="1:9" s="5" customFormat="1" x14ac:dyDescent="0.35">
      <c r="A3585" s="3" t="s">
        <v>1185</v>
      </c>
      <c r="B3585" s="3" t="s">
        <v>1212</v>
      </c>
      <c r="C3585" s="3" t="s">
        <v>20</v>
      </c>
      <c r="D3585" s="3" t="s">
        <v>1244</v>
      </c>
      <c r="E3585" s="3" t="s">
        <v>152</v>
      </c>
      <c r="F3585" s="3"/>
      <c r="G3585" s="3"/>
      <c r="H3585" s="3" t="s">
        <v>16</v>
      </c>
      <c r="I3585" s="3" t="s">
        <v>1214</v>
      </c>
    </row>
    <row r="3586" spans="1:9" s="5" customFormat="1" x14ac:dyDescent="0.35">
      <c r="A3586" s="3" t="s">
        <v>1185</v>
      </c>
      <c r="B3586" s="3" t="s">
        <v>1212</v>
      </c>
      <c r="C3586" s="3" t="s">
        <v>45</v>
      </c>
      <c r="D3586" s="3" t="s">
        <v>1245</v>
      </c>
      <c r="E3586" s="3" t="s">
        <v>27</v>
      </c>
      <c r="F3586" s="3"/>
      <c r="G3586" s="3"/>
      <c r="H3586" s="3" t="s">
        <v>16</v>
      </c>
      <c r="I3586" s="3" t="s">
        <v>1214</v>
      </c>
    </row>
    <row r="3587" spans="1:9" s="5" customFormat="1" x14ac:dyDescent="0.35">
      <c r="A3587" s="3" t="s">
        <v>1185</v>
      </c>
      <c r="B3587" s="3" t="s">
        <v>1212</v>
      </c>
      <c r="C3587" s="3" t="s">
        <v>45</v>
      </c>
      <c r="D3587" s="3" t="s">
        <v>1245</v>
      </c>
      <c r="E3587" s="3" t="s">
        <v>1193</v>
      </c>
      <c r="F3587" s="3"/>
      <c r="G3587" s="3"/>
      <c r="H3587" s="3" t="s">
        <v>16</v>
      </c>
      <c r="I3587" s="3" t="s">
        <v>1214</v>
      </c>
    </row>
    <row r="3588" spans="1:9" s="5" customFormat="1" x14ac:dyDescent="0.35">
      <c r="A3588" s="3" t="s">
        <v>1185</v>
      </c>
      <c r="B3588" s="3" t="s">
        <v>1212</v>
      </c>
      <c r="C3588" s="3" t="s">
        <v>45</v>
      </c>
      <c r="D3588" s="3" t="s">
        <v>1245</v>
      </c>
      <c r="E3588" s="3" t="s">
        <v>87</v>
      </c>
      <c r="F3588" s="3"/>
      <c r="G3588" s="3"/>
      <c r="H3588" s="3" t="s">
        <v>16</v>
      </c>
      <c r="I3588" s="3" t="s">
        <v>1214</v>
      </c>
    </row>
    <row r="3589" spans="1:9" s="5" customFormat="1" x14ac:dyDescent="0.35">
      <c r="A3589" s="3" t="s">
        <v>1185</v>
      </c>
      <c r="B3589" s="3" t="s">
        <v>1212</v>
      </c>
      <c r="C3589" s="3" t="s">
        <v>45</v>
      </c>
      <c r="D3589" s="3" t="s">
        <v>1245</v>
      </c>
      <c r="E3589" s="3" t="s">
        <v>1216</v>
      </c>
      <c r="F3589" s="3" t="s">
        <v>16</v>
      </c>
      <c r="G3589" s="3" t="s">
        <v>1247</v>
      </c>
      <c r="H3589" s="3" t="s">
        <v>16</v>
      </c>
      <c r="I3589" s="3" t="s">
        <v>1214</v>
      </c>
    </row>
    <row r="3590" spans="1:9" s="5" customFormat="1" x14ac:dyDescent="0.35">
      <c r="A3590" s="3" t="s">
        <v>1185</v>
      </c>
      <c r="B3590" s="3" t="s">
        <v>1212</v>
      </c>
      <c r="C3590" s="3" t="s">
        <v>45</v>
      </c>
      <c r="D3590" s="3" t="s">
        <v>1245</v>
      </c>
      <c r="E3590" s="3" t="s">
        <v>372</v>
      </c>
      <c r="F3590" s="3" t="s">
        <v>16</v>
      </c>
      <c r="G3590" s="3" t="s">
        <v>1246</v>
      </c>
      <c r="H3590" s="3" t="s">
        <v>16</v>
      </c>
      <c r="I3590" s="3" t="s">
        <v>1214</v>
      </c>
    </row>
    <row r="3591" spans="1:9" s="5" customFormat="1" x14ac:dyDescent="0.35">
      <c r="A3591" s="3" t="s">
        <v>1185</v>
      </c>
      <c r="B3591" s="3" t="s">
        <v>1212</v>
      </c>
      <c r="C3591" s="3" t="s">
        <v>39</v>
      </c>
      <c r="D3591" s="3" t="s">
        <v>1248</v>
      </c>
      <c r="E3591" s="3" t="s">
        <v>1193</v>
      </c>
      <c r="F3591" s="3" t="s">
        <v>16</v>
      </c>
      <c r="G3591" s="3" t="s">
        <v>1249</v>
      </c>
      <c r="H3591" s="3" t="s">
        <v>16</v>
      </c>
      <c r="I3591" s="3" t="s">
        <v>1214</v>
      </c>
    </row>
    <row r="3592" spans="1:9" s="5" customFormat="1" x14ac:dyDescent="0.35">
      <c r="A3592" s="3" t="s">
        <v>1185</v>
      </c>
      <c r="B3592" s="3" t="s">
        <v>1212</v>
      </c>
      <c r="C3592" s="3" t="s">
        <v>39</v>
      </c>
      <c r="D3592" s="3" t="s">
        <v>1248</v>
      </c>
      <c r="E3592" s="3" t="s">
        <v>87</v>
      </c>
      <c r="F3592" s="3" t="s">
        <v>16</v>
      </c>
      <c r="G3592" s="3" t="s">
        <v>1249</v>
      </c>
      <c r="H3592" s="3" t="s">
        <v>16</v>
      </c>
      <c r="I3592" s="3" t="s">
        <v>1214</v>
      </c>
    </row>
    <row r="3593" spans="1:9" s="5" customFormat="1" x14ac:dyDescent="0.35">
      <c r="A3593" s="3" t="s">
        <v>1185</v>
      </c>
      <c r="B3593" s="3" t="s">
        <v>1212</v>
      </c>
      <c r="C3593" s="3" t="s">
        <v>39</v>
      </c>
      <c r="D3593" s="3" t="s">
        <v>1248</v>
      </c>
      <c r="E3593" s="3" t="s">
        <v>56</v>
      </c>
      <c r="F3593" s="3" t="s">
        <v>16</v>
      </c>
      <c r="G3593" s="3" t="s">
        <v>1249</v>
      </c>
      <c r="H3593" s="3" t="s">
        <v>16</v>
      </c>
      <c r="I3593" s="3" t="s">
        <v>1214</v>
      </c>
    </row>
    <row r="3594" spans="1:9" s="5" customFormat="1" x14ac:dyDescent="0.35">
      <c r="A3594" s="3" t="s">
        <v>1185</v>
      </c>
      <c r="B3594" s="3" t="s">
        <v>1212</v>
      </c>
      <c r="C3594" s="3" t="s">
        <v>39</v>
      </c>
      <c r="D3594" s="3" t="s">
        <v>1248</v>
      </c>
      <c r="E3594" s="3" t="s">
        <v>29</v>
      </c>
      <c r="F3594" s="3" t="s">
        <v>16</v>
      </c>
      <c r="G3594" s="3" t="s">
        <v>1249</v>
      </c>
      <c r="H3594" s="3" t="s">
        <v>16</v>
      </c>
      <c r="I3594" s="3" t="s">
        <v>1214</v>
      </c>
    </row>
    <row r="3595" spans="1:9" s="5" customFormat="1" x14ac:dyDescent="0.35">
      <c r="A3595" s="3" t="s">
        <v>1185</v>
      </c>
      <c r="B3595" s="3" t="s">
        <v>1212</v>
      </c>
      <c r="C3595" s="3" t="s">
        <v>39</v>
      </c>
      <c r="D3595" s="3" t="s">
        <v>1250</v>
      </c>
      <c r="E3595" s="3" t="s">
        <v>31</v>
      </c>
      <c r="F3595" s="3" t="s">
        <v>16</v>
      </c>
      <c r="G3595" s="3" t="s">
        <v>2443</v>
      </c>
      <c r="H3595" s="3" t="s">
        <v>16</v>
      </c>
      <c r="I3595" s="3" t="s">
        <v>1214</v>
      </c>
    </row>
    <row r="3596" spans="1:9" s="5" customFormat="1" x14ac:dyDescent="0.35">
      <c r="A3596" s="3" t="s">
        <v>1185</v>
      </c>
      <c r="B3596" s="3" t="s">
        <v>1212</v>
      </c>
      <c r="C3596" s="3" t="s">
        <v>39</v>
      </c>
      <c r="D3596" s="3" t="s">
        <v>1250</v>
      </c>
      <c r="E3596" s="3" t="s">
        <v>56</v>
      </c>
      <c r="F3596" s="3" t="s">
        <v>16</v>
      </c>
      <c r="G3596" s="3" t="s">
        <v>2443</v>
      </c>
      <c r="H3596" s="3" t="s">
        <v>16</v>
      </c>
      <c r="I3596" s="3" t="s">
        <v>1214</v>
      </c>
    </row>
    <row r="3597" spans="1:9" s="5" customFormat="1" x14ac:dyDescent="0.35">
      <c r="A3597" s="3" t="s">
        <v>1185</v>
      </c>
      <c r="B3597" s="3" t="s">
        <v>1212</v>
      </c>
      <c r="C3597" s="3" t="s">
        <v>10</v>
      </c>
      <c r="D3597" s="3" t="s">
        <v>1251</v>
      </c>
      <c r="E3597" s="3" t="s">
        <v>56</v>
      </c>
      <c r="F3597" s="3" t="s">
        <v>16</v>
      </c>
      <c r="G3597" s="3" t="s">
        <v>1252</v>
      </c>
      <c r="H3597" s="3" t="s">
        <v>16</v>
      </c>
      <c r="I3597" s="3" t="s">
        <v>1214</v>
      </c>
    </row>
    <row r="3598" spans="1:9" s="5" customFormat="1" x14ac:dyDescent="0.35">
      <c r="A3598" s="3" t="s">
        <v>1185</v>
      </c>
      <c r="B3598" s="3" t="s">
        <v>1212</v>
      </c>
      <c r="C3598" s="3" t="s">
        <v>20</v>
      </c>
      <c r="D3598" s="3" t="s">
        <v>1253</v>
      </c>
      <c r="E3598" s="3" t="s">
        <v>25</v>
      </c>
      <c r="F3598" s="3" t="s">
        <v>16</v>
      </c>
      <c r="G3598" s="3" t="s">
        <v>2450</v>
      </c>
      <c r="H3598" s="3" t="s">
        <v>16</v>
      </c>
      <c r="I3598" s="3" t="s">
        <v>1214</v>
      </c>
    </row>
    <row r="3599" spans="1:9" s="5" customFormat="1" x14ac:dyDescent="0.35">
      <c r="A3599" s="3" t="s">
        <v>1185</v>
      </c>
      <c r="B3599" s="3" t="s">
        <v>1212</v>
      </c>
      <c r="C3599" s="3" t="s">
        <v>20</v>
      </c>
      <c r="D3599" s="3" t="s">
        <v>1253</v>
      </c>
      <c r="E3599" s="3" t="s">
        <v>1216</v>
      </c>
      <c r="F3599" s="3" t="s">
        <v>16</v>
      </c>
      <c r="G3599" s="3" t="s">
        <v>2450</v>
      </c>
      <c r="H3599" s="3" t="s">
        <v>16</v>
      </c>
      <c r="I3599" s="3" t="s">
        <v>1214</v>
      </c>
    </row>
    <row r="3600" spans="1:9" s="5" customFormat="1" x14ac:dyDescent="0.35">
      <c r="A3600" s="3" t="s">
        <v>1185</v>
      </c>
      <c r="B3600" s="3" t="s">
        <v>1212</v>
      </c>
      <c r="C3600" s="3" t="s">
        <v>20</v>
      </c>
      <c r="D3600" s="3" t="s">
        <v>1253</v>
      </c>
      <c r="E3600" s="3" t="s">
        <v>56</v>
      </c>
      <c r="F3600" s="3" t="s">
        <v>16</v>
      </c>
      <c r="G3600" s="3" t="s">
        <v>2450</v>
      </c>
      <c r="H3600" s="3" t="s">
        <v>16</v>
      </c>
      <c r="I3600" s="3" t="s">
        <v>1214</v>
      </c>
    </row>
    <row r="3601" spans="1:9" s="5" customFormat="1" x14ac:dyDescent="0.35">
      <c r="A3601" s="3" t="s">
        <v>1185</v>
      </c>
      <c r="B3601" s="3" t="s">
        <v>1212</v>
      </c>
      <c r="C3601" s="3" t="s">
        <v>20</v>
      </c>
      <c r="D3601" s="3" t="s">
        <v>1253</v>
      </c>
      <c r="E3601" s="3" t="s">
        <v>29</v>
      </c>
      <c r="F3601" s="3" t="s">
        <v>16</v>
      </c>
      <c r="G3601" s="3" t="s">
        <v>2450</v>
      </c>
      <c r="H3601" s="3" t="s">
        <v>16</v>
      </c>
      <c r="I3601" s="3" t="s">
        <v>1214</v>
      </c>
    </row>
    <row r="3602" spans="1:9" s="5" customFormat="1" x14ac:dyDescent="0.35">
      <c r="A3602" s="3" t="s">
        <v>1185</v>
      </c>
      <c r="B3602" s="3" t="s">
        <v>1212</v>
      </c>
      <c r="C3602" s="3" t="s">
        <v>45</v>
      </c>
      <c r="D3602" s="3" t="s">
        <v>1254</v>
      </c>
      <c r="E3602" s="3" t="s">
        <v>25</v>
      </c>
      <c r="F3602" s="3"/>
      <c r="G3602" s="3"/>
      <c r="H3602" s="3" t="s">
        <v>16</v>
      </c>
      <c r="I3602" s="3" t="s">
        <v>1214</v>
      </c>
    </row>
    <row r="3603" spans="1:9" s="5" customFormat="1" x14ac:dyDescent="0.35">
      <c r="A3603" s="3" t="s">
        <v>1185</v>
      </c>
      <c r="B3603" s="3" t="s">
        <v>1212</v>
      </c>
      <c r="C3603" s="3" t="s">
        <v>45</v>
      </c>
      <c r="D3603" s="3" t="s">
        <v>1254</v>
      </c>
      <c r="E3603" s="3" t="s">
        <v>27</v>
      </c>
      <c r="F3603" s="3"/>
      <c r="G3603" s="3"/>
      <c r="H3603" s="3" t="s">
        <v>16</v>
      </c>
      <c r="I3603" s="3" t="s">
        <v>1214</v>
      </c>
    </row>
    <row r="3604" spans="1:9" s="5" customFormat="1" x14ac:dyDescent="0.35">
      <c r="A3604" s="3" t="s">
        <v>1185</v>
      </c>
      <c r="B3604" s="3" t="s">
        <v>1212</v>
      </c>
      <c r="C3604" s="3" t="s">
        <v>45</v>
      </c>
      <c r="D3604" s="3" t="s">
        <v>1254</v>
      </c>
      <c r="E3604" s="3" t="s">
        <v>1193</v>
      </c>
      <c r="F3604" s="3"/>
      <c r="G3604" s="3"/>
      <c r="H3604" s="3" t="s">
        <v>16</v>
      </c>
      <c r="I3604" s="3" t="s">
        <v>1214</v>
      </c>
    </row>
    <row r="3605" spans="1:9" s="5" customFormat="1" x14ac:dyDescent="0.35">
      <c r="A3605" s="3" t="s">
        <v>1185</v>
      </c>
      <c r="B3605" s="3" t="s">
        <v>1212</v>
      </c>
      <c r="C3605" s="3" t="s">
        <v>45</v>
      </c>
      <c r="D3605" s="3" t="s">
        <v>1254</v>
      </c>
      <c r="E3605" s="3" t="s">
        <v>28</v>
      </c>
      <c r="F3605" s="3"/>
      <c r="G3605" s="3"/>
      <c r="H3605" s="3" t="s">
        <v>16</v>
      </c>
      <c r="I3605" s="3" t="s">
        <v>1214</v>
      </c>
    </row>
    <row r="3606" spans="1:9" s="5" customFormat="1" x14ac:dyDescent="0.35">
      <c r="A3606" s="3" t="s">
        <v>1185</v>
      </c>
      <c r="B3606" s="3" t="s">
        <v>1212</v>
      </c>
      <c r="C3606" s="3" t="s">
        <v>45</v>
      </c>
      <c r="D3606" s="3" t="s">
        <v>1254</v>
      </c>
      <c r="E3606" s="3" t="s">
        <v>1216</v>
      </c>
      <c r="F3606" s="3" t="s">
        <v>16</v>
      </c>
      <c r="G3606" s="3" t="s">
        <v>1255</v>
      </c>
      <c r="H3606" s="3" t="s">
        <v>16</v>
      </c>
      <c r="I3606" s="3" t="s">
        <v>1214</v>
      </c>
    </row>
    <row r="3607" spans="1:9" s="5" customFormat="1" x14ac:dyDescent="0.35">
      <c r="A3607" s="3" t="s">
        <v>1185</v>
      </c>
      <c r="B3607" s="3" t="s">
        <v>1212</v>
      </c>
      <c r="C3607" s="3" t="s">
        <v>45</v>
      </c>
      <c r="D3607" s="3" t="s">
        <v>1254</v>
      </c>
      <c r="E3607" s="3" t="s">
        <v>56</v>
      </c>
      <c r="F3607" s="3"/>
      <c r="G3607" s="3"/>
      <c r="H3607" s="3" t="s">
        <v>16</v>
      </c>
      <c r="I3607" s="3" t="s">
        <v>1214</v>
      </c>
    </row>
    <row r="3608" spans="1:9" s="5" customFormat="1" x14ac:dyDescent="0.35">
      <c r="A3608" s="3" t="s">
        <v>1185</v>
      </c>
      <c r="B3608" s="3" t="s">
        <v>1212</v>
      </c>
      <c r="C3608" s="3" t="s">
        <v>45</v>
      </c>
      <c r="D3608" s="3" t="s">
        <v>1254</v>
      </c>
      <c r="E3608" s="3" t="s">
        <v>152</v>
      </c>
      <c r="F3608" s="3"/>
      <c r="G3608" s="3"/>
      <c r="H3608" s="3" t="s">
        <v>16</v>
      </c>
      <c r="I3608" s="3" t="s">
        <v>1214</v>
      </c>
    </row>
    <row r="3609" spans="1:9" s="5" customFormat="1" x14ac:dyDescent="0.35">
      <c r="A3609" s="3" t="s">
        <v>1185</v>
      </c>
      <c r="B3609" s="3" t="s">
        <v>1212</v>
      </c>
      <c r="C3609" s="3" t="s">
        <v>45</v>
      </c>
      <c r="D3609" s="3" t="s">
        <v>1254</v>
      </c>
      <c r="E3609" s="3" t="s">
        <v>24</v>
      </c>
      <c r="F3609" s="3"/>
      <c r="G3609" s="3"/>
      <c r="H3609" s="3" t="s">
        <v>16</v>
      </c>
      <c r="I3609" s="3" t="s">
        <v>1214</v>
      </c>
    </row>
    <row r="3610" spans="1:9" s="5" customFormat="1" x14ac:dyDescent="0.35">
      <c r="A3610" s="3" t="s">
        <v>1185</v>
      </c>
      <c r="B3610" s="3" t="s">
        <v>1212</v>
      </c>
      <c r="C3610" s="3" t="s">
        <v>42</v>
      </c>
      <c r="D3610" s="3" t="s">
        <v>1256</v>
      </c>
      <c r="E3610" s="3" t="s">
        <v>60</v>
      </c>
      <c r="F3610" s="3" t="s">
        <v>16</v>
      </c>
      <c r="G3610" s="3" t="s">
        <v>2847</v>
      </c>
      <c r="H3610" s="3" t="s">
        <v>16</v>
      </c>
      <c r="I3610" s="3" t="s">
        <v>1214</v>
      </c>
    </row>
    <row r="3611" spans="1:9" s="5" customFormat="1" x14ac:dyDescent="0.35">
      <c r="A3611" s="3" t="s">
        <v>1185</v>
      </c>
      <c r="B3611" s="3" t="s">
        <v>1212</v>
      </c>
      <c r="C3611" s="3" t="s">
        <v>42</v>
      </c>
      <c r="D3611" s="3" t="s">
        <v>1256</v>
      </c>
      <c r="E3611" s="3" t="s">
        <v>1193</v>
      </c>
      <c r="F3611" s="3"/>
      <c r="G3611" s="3"/>
      <c r="H3611" s="3" t="s">
        <v>16</v>
      </c>
      <c r="I3611" s="3" t="s">
        <v>1214</v>
      </c>
    </row>
    <row r="3612" spans="1:9" s="5" customFormat="1" x14ac:dyDescent="0.35">
      <c r="A3612" s="3" t="s">
        <v>1185</v>
      </c>
      <c r="B3612" s="3" t="s">
        <v>1212</v>
      </c>
      <c r="C3612" s="3" t="s">
        <v>42</v>
      </c>
      <c r="D3612" s="3" t="s">
        <v>1256</v>
      </c>
      <c r="E3612" s="3" t="s">
        <v>87</v>
      </c>
      <c r="F3612" s="3"/>
      <c r="G3612" s="3"/>
      <c r="H3612" s="3" t="s">
        <v>16</v>
      </c>
      <c r="I3612" s="3" t="s">
        <v>1214</v>
      </c>
    </row>
    <row r="3613" spans="1:9" s="5" customFormat="1" x14ac:dyDescent="0.35">
      <c r="A3613" s="3" t="s">
        <v>1185</v>
      </c>
      <c r="B3613" s="3" t="s">
        <v>1212</v>
      </c>
      <c r="C3613" s="3" t="s">
        <v>42</v>
      </c>
      <c r="D3613" s="3" t="s">
        <v>1256</v>
      </c>
      <c r="E3613" s="3" t="s">
        <v>31</v>
      </c>
      <c r="F3613" s="3"/>
      <c r="G3613" s="3"/>
      <c r="H3613" s="3" t="s">
        <v>16</v>
      </c>
      <c r="I3613" s="3" t="s">
        <v>1214</v>
      </c>
    </row>
    <row r="3614" spans="1:9" s="5" customFormat="1" x14ac:dyDescent="0.35">
      <c r="A3614" s="3" t="s">
        <v>1185</v>
      </c>
      <c r="B3614" s="3" t="s">
        <v>1212</v>
      </c>
      <c r="C3614" s="3" t="s">
        <v>42</v>
      </c>
      <c r="D3614" s="3" t="s">
        <v>1256</v>
      </c>
      <c r="E3614" s="3" t="s">
        <v>56</v>
      </c>
      <c r="F3614" s="3" t="s">
        <v>16</v>
      </c>
      <c r="G3614" s="3" t="s">
        <v>1257</v>
      </c>
      <c r="H3614" s="3" t="s">
        <v>16</v>
      </c>
      <c r="I3614" s="3" t="s">
        <v>1214</v>
      </c>
    </row>
    <row r="3615" spans="1:9" s="5" customFormat="1" x14ac:dyDescent="0.35">
      <c r="A3615" s="3" t="s">
        <v>1185</v>
      </c>
      <c r="B3615" s="3" t="s">
        <v>1212</v>
      </c>
      <c r="C3615" s="3" t="s">
        <v>20</v>
      </c>
      <c r="D3615" s="3" t="s">
        <v>1258</v>
      </c>
      <c r="E3615" s="3" t="s">
        <v>27</v>
      </c>
      <c r="F3615" s="3"/>
      <c r="G3615" s="3"/>
      <c r="H3615" s="3" t="s">
        <v>16</v>
      </c>
      <c r="I3615" s="3" t="s">
        <v>1214</v>
      </c>
    </row>
    <row r="3616" spans="1:9" s="5" customFormat="1" x14ac:dyDescent="0.35">
      <c r="A3616" s="3" t="s">
        <v>1185</v>
      </c>
      <c r="B3616" s="3" t="s">
        <v>1212</v>
      </c>
      <c r="C3616" s="3" t="s">
        <v>20</v>
      </c>
      <c r="D3616" s="3" t="s">
        <v>1258</v>
      </c>
      <c r="E3616" s="3" t="s">
        <v>1216</v>
      </c>
      <c r="F3616" s="3" t="s">
        <v>16</v>
      </c>
      <c r="G3616" s="3" t="s">
        <v>1260</v>
      </c>
      <c r="H3616" s="3" t="s">
        <v>16</v>
      </c>
      <c r="I3616" s="3" t="s">
        <v>1214</v>
      </c>
    </row>
    <row r="3617" spans="1:9" s="5" customFormat="1" x14ac:dyDescent="0.35">
      <c r="A3617" s="3" t="s">
        <v>1185</v>
      </c>
      <c r="B3617" s="3" t="s">
        <v>1212</v>
      </c>
      <c r="C3617" s="3" t="s">
        <v>20</v>
      </c>
      <c r="D3617" s="3" t="s">
        <v>1258</v>
      </c>
      <c r="E3617" s="3" t="s">
        <v>56</v>
      </c>
      <c r="F3617" s="3" t="s">
        <v>16</v>
      </c>
      <c r="G3617" s="3" t="s">
        <v>1259</v>
      </c>
      <c r="H3617" s="3" t="s">
        <v>16</v>
      </c>
      <c r="I3617" s="3" t="s">
        <v>1214</v>
      </c>
    </row>
    <row r="3618" spans="1:9" s="5" customFormat="1" x14ac:dyDescent="0.35">
      <c r="A3618" s="3" t="s">
        <v>1185</v>
      </c>
      <c r="B3618" s="3" t="s">
        <v>1212</v>
      </c>
      <c r="C3618" s="3" t="s">
        <v>10</v>
      </c>
      <c r="D3618" s="3" t="s">
        <v>1261</v>
      </c>
      <c r="E3618" s="3" t="s">
        <v>1216</v>
      </c>
      <c r="F3618" s="3" t="s">
        <v>16</v>
      </c>
      <c r="G3618" s="3" t="s">
        <v>1263</v>
      </c>
      <c r="H3618" s="3" t="s">
        <v>16</v>
      </c>
      <c r="I3618" s="3" t="s">
        <v>1214</v>
      </c>
    </row>
    <row r="3619" spans="1:9" s="5" customFormat="1" x14ac:dyDescent="0.35">
      <c r="A3619" s="3" t="s">
        <v>1185</v>
      </c>
      <c r="B3619" s="3" t="s">
        <v>1212</v>
      </c>
      <c r="C3619" s="3" t="s">
        <v>10</v>
      </c>
      <c r="D3619" s="3" t="s">
        <v>1261</v>
      </c>
      <c r="E3619" s="3" t="s">
        <v>56</v>
      </c>
      <c r="F3619" s="3" t="s">
        <v>16</v>
      </c>
      <c r="G3619" s="3" t="s">
        <v>1262</v>
      </c>
      <c r="H3619" s="3" t="s">
        <v>16</v>
      </c>
      <c r="I3619" s="3" t="s">
        <v>1214</v>
      </c>
    </row>
    <row r="3620" spans="1:9" s="5" customFormat="1" x14ac:dyDescent="0.35">
      <c r="A3620" s="3" t="s">
        <v>1185</v>
      </c>
      <c r="B3620" s="3" t="s">
        <v>1212</v>
      </c>
      <c r="C3620" s="3" t="s">
        <v>10</v>
      </c>
      <c r="D3620" s="3" t="s">
        <v>1261</v>
      </c>
      <c r="E3620" s="3" t="s">
        <v>134</v>
      </c>
      <c r="F3620" s="3"/>
      <c r="G3620" s="3"/>
      <c r="H3620" s="3" t="s">
        <v>16</v>
      </c>
      <c r="I3620" s="3" t="s">
        <v>1214</v>
      </c>
    </row>
    <row r="3621" spans="1:9" s="5" customFormat="1" x14ac:dyDescent="0.35">
      <c r="A3621" s="3" t="s">
        <v>1185</v>
      </c>
      <c r="B3621" s="3" t="s">
        <v>1212</v>
      </c>
      <c r="C3621" s="3" t="s">
        <v>45</v>
      </c>
      <c r="D3621" s="3" t="s">
        <v>1264</v>
      </c>
      <c r="E3621" s="3" t="s">
        <v>27</v>
      </c>
      <c r="F3621" s="3"/>
      <c r="G3621" s="3"/>
      <c r="H3621" s="3" t="s">
        <v>16</v>
      </c>
      <c r="I3621" s="3" t="s">
        <v>1214</v>
      </c>
    </row>
    <row r="3622" spans="1:9" s="5" customFormat="1" x14ac:dyDescent="0.35">
      <c r="A3622" s="3" t="s">
        <v>1185</v>
      </c>
      <c r="B3622" s="3" t="s">
        <v>1212</v>
      </c>
      <c r="C3622" s="3" t="s">
        <v>45</v>
      </c>
      <c r="D3622" s="3" t="s">
        <v>1264</v>
      </c>
      <c r="E3622" s="3" t="s">
        <v>1193</v>
      </c>
      <c r="F3622" s="3"/>
      <c r="G3622" s="3"/>
      <c r="H3622" s="3" t="s">
        <v>16</v>
      </c>
      <c r="I3622" s="3" t="s">
        <v>1214</v>
      </c>
    </row>
    <row r="3623" spans="1:9" s="5" customFormat="1" x14ac:dyDescent="0.35">
      <c r="A3623" s="3" t="s">
        <v>1185</v>
      </c>
      <c r="B3623" s="3" t="s">
        <v>1212</v>
      </c>
      <c r="C3623" s="3" t="s">
        <v>45</v>
      </c>
      <c r="D3623" s="3" t="s">
        <v>1264</v>
      </c>
      <c r="E3623" s="3" t="s">
        <v>28</v>
      </c>
      <c r="F3623" s="3"/>
      <c r="G3623" s="3"/>
      <c r="H3623" s="3" t="s">
        <v>16</v>
      </c>
      <c r="I3623" s="3" t="s">
        <v>1214</v>
      </c>
    </row>
    <row r="3624" spans="1:9" s="5" customFormat="1" x14ac:dyDescent="0.35">
      <c r="A3624" s="3" t="s">
        <v>1185</v>
      </c>
      <c r="B3624" s="3" t="s">
        <v>1212</v>
      </c>
      <c r="C3624" s="3" t="s">
        <v>45</v>
      </c>
      <c r="D3624" s="3" t="s">
        <v>1264</v>
      </c>
      <c r="E3624" s="3" t="s">
        <v>57</v>
      </c>
      <c r="F3624" s="3" t="s">
        <v>16</v>
      </c>
      <c r="G3624" s="3" t="s">
        <v>1265</v>
      </c>
      <c r="H3624" s="3" t="s">
        <v>16</v>
      </c>
      <c r="I3624" s="3" t="s">
        <v>1214</v>
      </c>
    </row>
    <row r="3625" spans="1:9" s="5" customFormat="1" x14ac:dyDescent="0.35">
      <c r="A3625" s="3" t="s">
        <v>1185</v>
      </c>
      <c r="B3625" s="3" t="s">
        <v>1212</v>
      </c>
      <c r="C3625" s="3" t="s">
        <v>45</v>
      </c>
      <c r="D3625" s="3" t="s">
        <v>1264</v>
      </c>
      <c r="E3625" s="3" t="s">
        <v>29</v>
      </c>
      <c r="F3625" s="3"/>
      <c r="G3625" s="3"/>
      <c r="H3625" s="3" t="s">
        <v>16</v>
      </c>
      <c r="I3625" s="3" t="s">
        <v>1214</v>
      </c>
    </row>
    <row r="3626" spans="1:9" s="5" customFormat="1" x14ac:dyDescent="0.35">
      <c r="A3626" s="3" t="s">
        <v>1185</v>
      </c>
      <c r="B3626" s="3" t="s">
        <v>1212</v>
      </c>
      <c r="C3626" s="3" t="s">
        <v>45</v>
      </c>
      <c r="D3626" s="3" t="s">
        <v>1264</v>
      </c>
      <c r="E3626" s="3" t="s">
        <v>24</v>
      </c>
      <c r="F3626" s="3"/>
      <c r="G3626" s="3"/>
      <c r="H3626" s="3" t="s">
        <v>16</v>
      </c>
      <c r="I3626" s="3" t="s">
        <v>1214</v>
      </c>
    </row>
    <row r="3627" spans="1:9" s="5" customFormat="1" x14ac:dyDescent="0.35">
      <c r="A3627" s="3" t="s">
        <v>1185</v>
      </c>
      <c r="B3627" s="3" t="s">
        <v>1212</v>
      </c>
      <c r="C3627" s="3" t="s">
        <v>45</v>
      </c>
      <c r="D3627" s="3" t="s">
        <v>1266</v>
      </c>
      <c r="E3627" s="3" t="s">
        <v>87</v>
      </c>
      <c r="F3627" s="3"/>
      <c r="G3627" s="3"/>
      <c r="H3627" s="3" t="s">
        <v>16</v>
      </c>
      <c r="I3627" s="3" t="s">
        <v>1214</v>
      </c>
    </row>
    <row r="3628" spans="1:9" s="5" customFormat="1" x14ac:dyDescent="0.35">
      <c r="A3628" s="3" t="s">
        <v>1185</v>
      </c>
      <c r="B3628" s="3" t="s">
        <v>1212</v>
      </c>
      <c r="C3628" s="3" t="s">
        <v>45</v>
      </c>
      <c r="D3628" s="3" t="s">
        <v>1266</v>
      </c>
      <c r="E3628" s="3" t="s">
        <v>56</v>
      </c>
      <c r="F3628" s="3" t="s">
        <v>16</v>
      </c>
      <c r="G3628" s="3" t="s">
        <v>1267</v>
      </c>
      <c r="H3628" s="3" t="s">
        <v>16</v>
      </c>
      <c r="I3628" s="3" t="s">
        <v>1214</v>
      </c>
    </row>
    <row r="3629" spans="1:9" s="5" customFormat="1" x14ac:dyDescent="0.35">
      <c r="A3629" s="3" t="s">
        <v>1185</v>
      </c>
      <c r="B3629" s="3" t="s">
        <v>1212</v>
      </c>
      <c r="C3629" s="3" t="s">
        <v>45</v>
      </c>
      <c r="D3629" s="3" t="s">
        <v>1266</v>
      </c>
      <c r="E3629" s="3" t="s">
        <v>24</v>
      </c>
      <c r="F3629" s="3"/>
      <c r="G3629" s="3" t="s">
        <v>2429</v>
      </c>
      <c r="H3629" s="3" t="s">
        <v>16</v>
      </c>
      <c r="I3629" s="3" t="s">
        <v>1214</v>
      </c>
    </row>
    <row r="3630" spans="1:9" s="5" customFormat="1" x14ac:dyDescent="0.35">
      <c r="A3630" s="3" t="s">
        <v>1185</v>
      </c>
      <c r="B3630" s="3" t="s">
        <v>1212</v>
      </c>
      <c r="C3630" s="3" t="s">
        <v>45</v>
      </c>
      <c r="D3630" s="3" t="s">
        <v>1268</v>
      </c>
      <c r="E3630" s="3" t="s">
        <v>1193</v>
      </c>
      <c r="F3630" s="3"/>
      <c r="G3630" s="3"/>
      <c r="H3630" s="3" t="s">
        <v>16</v>
      </c>
      <c r="I3630" s="3" t="s">
        <v>1214</v>
      </c>
    </row>
    <row r="3631" spans="1:9" s="5" customFormat="1" x14ac:dyDescent="0.35">
      <c r="A3631" s="3" t="s">
        <v>1185</v>
      </c>
      <c r="B3631" s="3" t="s">
        <v>1212</v>
      </c>
      <c r="C3631" s="3" t="s">
        <v>45</v>
      </c>
      <c r="D3631" s="3" t="s">
        <v>1268</v>
      </c>
      <c r="E3631" s="3" t="s">
        <v>87</v>
      </c>
      <c r="F3631" s="3"/>
      <c r="G3631" s="3"/>
      <c r="H3631" s="3" t="s">
        <v>16</v>
      </c>
      <c r="I3631" s="3" t="s">
        <v>1214</v>
      </c>
    </row>
    <row r="3632" spans="1:9" s="5" customFormat="1" x14ac:dyDescent="0.35">
      <c r="A3632" s="3" t="s">
        <v>1185</v>
      </c>
      <c r="B3632" s="3" t="s">
        <v>1212</v>
      </c>
      <c r="C3632" s="3" t="s">
        <v>45</v>
      </c>
      <c r="D3632" s="3" t="s">
        <v>1268</v>
      </c>
      <c r="E3632" s="3" t="s">
        <v>56</v>
      </c>
      <c r="F3632" s="3" t="s">
        <v>16</v>
      </c>
      <c r="G3632" s="3" t="s">
        <v>2475</v>
      </c>
      <c r="H3632" s="3" t="s">
        <v>16</v>
      </c>
      <c r="I3632" s="3" t="s">
        <v>1214</v>
      </c>
    </row>
    <row r="3633" spans="1:9" s="5" customFormat="1" x14ac:dyDescent="0.35">
      <c r="A3633" s="3" t="s">
        <v>1185</v>
      </c>
      <c r="B3633" s="3" t="s">
        <v>1212</v>
      </c>
      <c r="C3633" s="3" t="s">
        <v>10</v>
      </c>
      <c r="D3633" s="3" t="s">
        <v>1269</v>
      </c>
      <c r="E3633" s="3" t="s">
        <v>1216</v>
      </c>
      <c r="F3633" s="3" t="s">
        <v>13</v>
      </c>
      <c r="G3633" s="3" t="s">
        <v>1271</v>
      </c>
      <c r="H3633" s="3" t="s">
        <v>16</v>
      </c>
      <c r="I3633" s="3" t="s">
        <v>1214</v>
      </c>
    </row>
    <row r="3634" spans="1:9" s="5" customFormat="1" x14ac:dyDescent="0.35">
      <c r="A3634" s="3" t="s">
        <v>1185</v>
      </c>
      <c r="B3634" s="3" t="s">
        <v>1212</v>
      </c>
      <c r="C3634" s="3" t="s">
        <v>10</v>
      </c>
      <c r="D3634" s="3" t="s">
        <v>1269</v>
      </c>
      <c r="E3634" s="3" t="s">
        <v>56</v>
      </c>
      <c r="F3634" s="3" t="s">
        <v>13</v>
      </c>
      <c r="G3634" s="3" t="s">
        <v>1270</v>
      </c>
      <c r="H3634" s="3" t="s">
        <v>16</v>
      </c>
      <c r="I3634" s="3" t="s">
        <v>1214</v>
      </c>
    </row>
    <row r="3635" spans="1:9" s="5" customFormat="1" x14ac:dyDescent="0.35">
      <c r="A3635" s="3" t="s">
        <v>1185</v>
      </c>
      <c r="B3635" s="3" t="s">
        <v>1212</v>
      </c>
      <c r="C3635" s="3" t="s">
        <v>10</v>
      </c>
      <c r="D3635" s="3" t="s">
        <v>1269</v>
      </c>
      <c r="E3635" s="3" t="s">
        <v>24</v>
      </c>
      <c r="F3635" s="3" t="s">
        <v>13</v>
      </c>
      <c r="G3635" s="3" t="s">
        <v>1272</v>
      </c>
      <c r="H3635" s="3" t="s">
        <v>16</v>
      </c>
      <c r="I3635" s="3" t="s">
        <v>1214</v>
      </c>
    </row>
    <row r="3636" spans="1:9" s="5" customFormat="1" x14ac:dyDescent="0.35">
      <c r="A3636" s="3" t="s">
        <v>1185</v>
      </c>
      <c r="B3636" s="3" t="s">
        <v>1212</v>
      </c>
      <c r="C3636" s="3" t="s">
        <v>45</v>
      </c>
      <c r="D3636" s="3" t="s">
        <v>1273</v>
      </c>
      <c r="E3636" s="3" t="s">
        <v>1193</v>
      </c>
      <c r="F3636" s="3"/>
      <c r="G3636" s="3"/>
      <c r="H3636" s="3" t="s">
        <v>16</v>
      </c>
      <c r="I3636" s="3" t="s">
        <v>1214</v>
      </c>
    </row>
    <row r="3637" spans="1:9" s="5" customFormat="1" x14ac:dyDescent="0.35">
      <c r="A3637" s="3" t="s">
        <v>1185</v>
      </c>
      <c r="B3637" s="3" t="s">
        <v>1212</v>
      </c>
      <c r="C3637" s="3" t="s">
        <v>45</v>
      </c>
      <c r="D3637" s="3" t="s">
        <v>1273</v>
      </c>
      <c r="E3637" s="3" t="s">
        <v>87</v>
      </c>
      <c r="F3637" s="3"/>
      <c r="G3637" s="3"/>
      <c r="H3637" s="3" t="s">
        <v>16</v>
      </c>
      <c r="I3637" s="3" t="s">
        <v>1214</v>
      </c>
    </row>
    <row r="3638" spans="1:9" s="5" customFormat="1" x14ac:dyDescent="0.35">
      <c r="A3638" s="3" t="s">
        <v>1185</v>
      </c>
      <c r="B3638" s="3" t="s">
        <v>1212</v>
      </c>
      <c r="C3638" s="3" t="s">
        <v>45</v>
      </c>
      <c r="D3638" s="3" t="s">
        <v>1273</v>
      </c>
      <c r="E3638" s="3" t="s">
        <v>56</v>
      </c>
      <c r="F3638" s="3" t="s">
        <v>16</v>
      </c>
      <c r="G3638" s="3" t="s">
        <v>2475</v>
      </c>
      <c r="H3638" s="3" t="s">
        <v>16</v>
      </c>
      <c r="I3638" s="3" t="s">
        <v>1214</v>
      </c>
    </row>
    <row r="3639" spans="1:9" s="5" customFormat="1" x14ac:dyDescent="0.35">
      <c r="A3639" s="3" t="s">
        <v>1185</v>
      </c>
      <c r="B3639" s="3" t="s">
        <v>1212</v>
      </c>
      <c r="C3639" s="3" t="s">
        <v>45</v>
      </c>
      <c r="D3639" s="3" t="s">
        <v>1274</v>
      </c>
      <c r="E3639" s="3" t="s">
        <v>1193</v>
      </c>
      <c r="F3639" s="3"/>
      <c r="G3639" s="3"/>
      <c r="H3639" s="3" t="s">
        <v>16</v>
      </c>
      <c r="I3639" s="3" t="s">
        <v>1214</v>
      </c>
    </row>
    <row r="3640" spans="1:9" s="5" customFormat="1" x14ac:dyDescent="0.35">
      <c r="A3640" s="3" t="s">
        <v>1185</v>
      </c>
      <c r="B3640" s="3" t="s">
        <v>1212</v>
      </c>
      <c r="C3640" s="3" t="s">
        <v>45</v>
      </c>
      <c r="D3640" s="3" t="s">
        <v>1274</v>
      </c>
      <c r="E3640" s="3" t="s">
        <v>87</v>
      </c>
      <c r="F3640" s="3"/>
      <c r="G3640" s="3"/>
      <c r="H3640" s="3" t="s">
        <v>16</v>
      </c>
      <c r="I3640" s="3" t="s">
        <v>1214</v>
      </c>
    </row>
    <row r="3641" spans="1:9" s="5" customFormat="1" x14ac:dyDescent="0.35">
      <c r="A3641" s="3" t="s">
        <v>1185</v>
      </c>
      <c r="B3641" s="3" t="s">
        <v>1212</v>
      </c>
      <c r="C3641" s="3" t="s">
        <v>45</v>
      </c>
      <c r="D3641" s="3" t="s">
        <v>1274</v>
      </c>
      <c r="E3641" s="3" t="s">
        <v>56</v>
      </c>
      <c r="F3641" s="3" t="s">
        <v>16</v>
      </c>
      <c r="G3641" s="3" t="s">
        <v>1275</v>
      </c>
      <c r="H3641" s="3" t="s">
        <v>16</v>
      </c>
      <c r="I3641" s="3" t="s">
        <v>1214</v>
      </c>
    </row>
    <row r="3642" spans="1:9" s="5" customFormat="1" x14ac:dyDescent="0.35">
      <c r="A3642" s="3" t="s">
        <v>1185</v>
      </c>
      <c r="B3642" s="3" t="s">
        <v>1212</v>
      </c>
      <c r="C3642" s="3" t="s">
        <v>39</v>
      </c>
      <c r="D3642" s="3" t="s">
        <v>2755</v>
      </c>
      <c r="E3642" s="3" t="s">
        <v>27</v>
      </c>
      <c r="F3642" s="3" t="s">
        <v>16</v>
      </c>
      <c r="G3642" s="3" t="s">
        <v>2756</v>
      </c>
      <c r="H3642" s="3" t="s">
        <v>16</v>
      </c>
      <c r="I3642" s="3" t="s">
        <v>1214</v>
      </c>
    </row>
    <row r="3643" spans="1:9" s="5" customFormat="1" x14ac:dyDescent="0.35">
      <c r="A3643" s="3" t="s">
        <v>1185</v>
      </c>
      <c r="B3643" s="3" t="s">
        <v>1212</v>
      </c>
      <c r="C3643" s="3" t="s">
        <v>39</v>
      </c>
      <c r="D3643" s="3" t="s">
        <v>2755</v>
      </c>
      <c r="E3643" s="3" t="s">
        <v>1216</v>
      </c>
      <c r="F3643" s="3" t="s">
        <v>16</v>
      </c>
      <c r="G3643" s="3" t="s">
        <v>2756</v>
      </c>
      <c r="H3643" s="3" t="s">
        <v>16</v>
      </c>
      <c r="I3643" s="3" t="s">
        <v>1214</v>
      </c>
    </row>
    <row r="3644" spans="1:9" s="5" customFormat="1" x14ac:dyDescent="0.35">
      <c r="A3644" s="3" t="s">
        <v>1185</v>
      </c>
      <c r="B3644" s="3" t="s">
        <v>1212</v>
      </c>
      <c r="C3644" s="3" t="s">
        <v>39</v>
      </c>
      <c r="D3644" s="3" t="s">
        <v>2755</v>
      </c>
      <c r="E3644" s="3" t="s">
        <v>32</v>
      </c>
      <c r="F3644" s="3" t="s">
        <v>16</v>
      </c>
      <c r="G3644" s="3" t="s">
        <v>2756</v>
      </c>
      <c r="H3644" s="3" t="s">
        <v>16</v>
      </c>
      <c r="I3644" s="3" t="s">
        <v>1214</v>
      </c>
    </row>
    <row r="3645" spans="1:9" s="5" customFormat="1" x14ac:dyDescent="0.35">
      <c r="A3645" s="3" t="s">
        <v>1185</v>
      </c>
      <c r="B3645" s="3" t="s">
        <v>1212</v>
      </c>
      <c r="C3645" s="3" t="s">
        <v>39</v>
      </c>
      <c r="D3645" s="3" t="s">
        <v>1276</v>
      </c>
      <c r="E3645" s="3" t="s">
        <v>87</v>
      </c>
      <c r="F3645" s="3"/>
      <c r="G3645" s="3" t="s">
        <v>2411</v>
      </c>
      <c r="H3645" s="3" t="s">
        <v>16</v>
      </c>
      <c r="I3645" s="3" t="s">
        <v>1214</v>
      </c>
    </row>
    <row r="3646" spans="1:9" s="5" customFormat="1" x14ac:dyDescent="0.35">
      <c r="A3646" s="3" t="s">
        <v>1185</v>
      </c>
      <c r="B3646" s="3" t="s">
        <v>1212</v>
      </c>
      <c r="C3646" s="3" t="s">
        <v>39</v>
      </c>
      <c r="D3646" s="3" t="s">
        <v>1276</v>
      </c>
      <c r="E3646" s="3" t="s">
        <v>1216</v>
      </c>
      <c r="F3646" s="3" t="s">
        <v>16</v>
      </c>
      <c r="G3646" s="3" t="s">
        <v>1278</v>
      </c>
      <c r="H3646" s="3" t="s">
        <v>16</v>
      </c>
      <c r="I3646" s="3" t="s">
        <v>1214</v>
      </c>
    </row>
    <row r="3647" spans="1:9" s="5" customFormat="1" x14ac:dyDescent="0.35">
      <c r="A3647" s="3" t="s">
        <v>1185</v>
      </c>
      <c r="B3647" s="3" t="s">
        <v>1212</v>
      </c>
      <c r="C3647" s="3" t="s">
        <v>39</v>
      </c>
      <c r="D3647" s="3" t="s">
        <v>1276</v>
      </c>
      <c r="E3647" s="3" t="s">
        <v>56</v>
      </c>
      <c r="F3647" s="3"/>
      <c r="G3647" s="3"/>
      <c r="H3647" s="3" t="s">
        <v>16</v>
      </c>
      <c r="I3647" s="3" t="s">
        <v>1214</v>
      </c>
    </row>
    <row r="3648" spans="1:9" s="5" customFormat="1" x14ac:dyDescent="0.35">
      <c r="A3648" s="3" t="s">
        <v>1185</v>
      </c>
      <c r="B3648" s="3" t="s">
        <v>1212</v>
      </c>
      <c r="C3648" s="3" t="s">
        <v>39</v>
      </c>
      <c r="D3648" s="3" t="s">
        <v>1276</v>
      </c>
      <c r="E3648" s="3" t="s">
        <v>32</v>
      </c>
      <c r="F3648" s="3" t="s">
        <v>16</v>
      </c>
      <c r="G3648" s="3" t="s">
        <v>1277</v>
      </c>
      <c r="H3648" s="3" t="s">
        <v>16</v>
      </c>
      <c r="I3648" s="3" t="s">
        <v>1214</v>
      </c>
    </row>
    <row r="3649" spans="1:9" s="5" customFormat="1" x14ac:dyDescent="0.35">
      <c r="A3649" s="3" t="s">
        <v>1185</v>
      </c>
      <c r="B3649" s="3" t="s">
        <v>1212</v>
      </c>
      <c r="C3649" s="3" t="s">
        <v>39</v>
      </c>
      <c r="D3649" s="3" t="s">
        <v>1279</v>
      </c>
      <c r="E3649" s="3" t="s">
        <v>1216</v>
      </c>
      <c r="F3649" s="3" t="s">
        <v>16</v>
      </c>
      <c r="G3649" s="3" t="s">
        <v>1249</v>
      </c>
      <c r="H3649" s="3" t="s">
        <v>16</v>
      </c>
      <c r="I3649" s="3" t="s">
        <v>1214</v>
      </c>
    </row>
    <row r="3650" spans="1:9" s="5" customFormat="1" x14ac:dyDescent="0.35">
      <c r="A3650" s="3" t="s">
        <v>1185</v>
      </c>
      <c r="B3650" s="3" t="s">
        <v>1212</v>
      </c>
      <c r="C3650" s="3" t="s">
        <v>39</v>
      </c>
      <c r="D3650" s="3" t="s">
        <v>1279</v>
      </c>
      <c r="E3650" s="3" t="s">
        <v>56</v>
      </c>
      <c r="F3650" s="3" t="s">
        <v>16</v>
      </c>
      <c r="G3650" s="3" t="s">
        <v>1249</v>
      </c>
      <c r="H3650" s="3" t="s">
        <v>16</v>
      </c>
      <c r="I3650" s="3" t="s">
        <v>1214</v>
      </c>
    </row>
    <row r="3651" spans="1:9" s="5" customFormat="1" x14ac:dyDescent="0.35">
      <c r="A3651" s="3" t="s">
        <v>1185</v>
      </c>
      <c r="B3651" s="3" t="s">
        <v>1212</v>
      </c>
      <c r="C3651" s="3" t="s">
        <v>39</v>
      </c>
      <c r="D3651" s="3" t="s">
        <v>1279</v>
      </c>
      <c r="E3651" s="3" t="s">
        <v>29</v>
      </c>
      <c r="F3651" s="3" t="s">
        <v>16</v>
      </c>
      <c r="G3651" s="3" t="s">
        <v>2478</v>
      </c>
      <c r="H3651" s="3" t="s">
        <v>16</v>
      </c>
      <c r="I3651" s="3" t="s">
        <v>1214</v>
      </c>
    </row>
    <row r="3652" spans="1:9" s="5" customFormat="1" x14ac:dyDescent="0.35">
      <c r="A3652" s="3" t="s">
        <v>1185</v>
      </c>
      <c r="B3652" s="3" t="s">
        <v>1212</v>
      </c>
      <c r="C3652" s="3" t="s">
        <v>39</v>
      </c>
      <c r="D3652" s="3" t="s">
        <v>1280</v>
      </c>
      <c r="E3652" s="3" t="s">
        <v>87</v>
      </c>
      <c r="F3652" s="3" t="s">
        <v>13</v>
      </c>
      <c r="G3652" s="3" t="s">
        <v>1281</v>
      </c>
      <c r="H3652" s="3" t="s">
        <v>16</v>
      </c>
      <c r="I3652" s="3" t="s">
        <v>1214</v>
      </c>
    </row>
    <row r="3653" spans="1:9" s="5" customFormat="1" x14ac:dyDescent="0.35">
      <c r="A3653" s="3" t="s">
        <v>1185</v>
      </c>
      <c r="B3653" s="3" t="s">
        <v>1212</v>
      </c>
      <c r="C3653" s="3" t="s">
        <v>39</v>
      </c>
      <c r="D3653" s="3" t="s">
        <v>1280</v>
      </c>
      <c r="E3653" s="3" t="s">
        <v>15</v>
      </c>
      <c r="F3653" s="3" t="s">
        <v>13</v>
      </c>
      <c r="G3653" s="3" t="s">
        <v>1271</v>
      </c>
      <c r="H3653" s="3" t="s">
        <v>16</v>
      </c>
      <c r="I3653" s="3" t="s">
        <v>1214</v>
      </c>
    </row>
    <row r="3654" spans="1:9" s="5" customFormat="1" x14ac:dyDescent="0.35">
      <c r="A3654" s="3" t="s">
        <v>1185</v>
      </c>
      <c r="B3654" s="3" t="s">
        <v>1212</v>
      </c>
      <c r="C3654" s="3" t="s">
        <v>39</v>
      </c>
      <c r="D3654" s="3" t="s">
        <v>1280</v>
      </c>
      <c r="E3654" s="3" t="s">
        <v>56</v>
      </c>
      <c r="F3654" s="3" t="s">
        <v>13</v>
      </c>
      <c r="G3654" s="3" t="s">
        <v>1282</v>
      </c>
      <c r="H3654" s="3" t="s">
        <v>16</v>
      </c>
      <c r="I3654" s="3" t="s">
        <v>1214</v>
      </c>
    </row>
    <row r="3655" spans="1:9" s="5" customFormat="1" x14ac:dyDescent="0.35">
      <c r="A3655" s="3" t="s">
        <v>1185</v>
      </c>
      <c r="B3655" s="3" t="s">
        <v>1212</v>
      </c>
      <c r="C3655" s="3" t="s">
        <v>39</v>
      </c>
      <c r="D3655" s="3" t="s">
        <v>1280</v>
      </c>
      <c r="E3655" s="3" t="s">
        <v>24</v>
      </c>
      <c r="F3655" s="3" t="s">
        <v>13</v>
      </c>
      <c r="G3655" s="3" t="s">
        <v>2480</v>
      </c>
      <c r="H3655" s="3" t="s">
        <v>16</v>
      </c>
      <c r="I3655" s="3" t="s">
        <v>1214</v>
      </c>
    </row>
    <row r="3656" spans="1:9" s="5" customFormat="1" x14ac:dyDescent="0.35">
      <c r="A3656" s="3" t="s">
        <v>1185</v>
      </c>
      <c r="B3656" s="3" t="s">
        <v>1212</v>
      </c>
      <c r="C3656" s="3" t="s">
        <v>45</v>
      </c>
      <c r="D3656" s="3" t="s">
        <v>1283</v>
      </c>
      <c r="E3656" s="3" t="s">
        <v>1193</v>
      </c>
      <c r="F3656" s="3"/>
      <c r="G3656" s="3"/>
      <c r="H3656" s="3" t="s">
        <v>16</v>
      </c>
      <c r="I3656" s="3" t="s">
        <v>1214</v>
      </c>
    </row>
    <row r="3657" spans="1:9" s="5" customFormat="1" x14ac:dyDescent="0.35">
      <c r="A3657" s="3" t="s">
        <v>1185</v>
      </c>
      <c r="B3657" s="3" t="s">
        <v>1212</v>
      </c>
      <c r="C3657" s="3" t="s">
        <v>45</v>
      </c>
      <c r="D3657" s="3" t="s">
        <v>1283</v>
      </c>
      <c r="E3657" s="3" t="s">
        <v>87</v>
      </c>
      <c r="F3657" s="3"/>
      <c r="G3657" s="3"/>
      <c r="H3657" s="3" t="s">
        <v>16</v>
      </c>
      <c r="I3657" s="3" t="s">
        <v>1214</v>
      </c>
    </row>
    <row r="3658" spans="1:9" s="5" customFormat="1" x14ac:dyDescent="0.35">
      <c r="A3658" s="3" t="s">
        <v>1185</v>
      </c>
      <c r="B3658" s="3" t="s">
        <v>1212</v>
      </c>
      <c r="C3658" s="3" t="s">
        <v>45</v>
      </c>
      <c r="D3658" s="3" t="s">
        <v>1283</v>
      </c>
      <c r="E3658" s="3" t="s">
        <v>56</v>
      </c>
      <c r="F3658" s="3" t="s">
        <v>16</v>
      </c>
      <c r="G3658" s="3" t="s">
        <v>1284</v>
      </c>
      <c r="H3658" s="3" t="s">
        <v>16</v>
      </c>
      <c r="I3658" s="3" t="s">
        <v>1214</v>
      </c>
    </row>
    <row r="3659" spans="1:9" s="5" customFormat="1" x14ac:dyDescent="0.35">
      <c r="A3659" s="3" t="s">
        <v>1185</v>
      </c>
      <c r="B3659" s="3" t="s">
        <v>1285</v>
      </c>
      <c r="C3659" s="3" t="s">
        <v>42</v>
      </c>
      <c r="D3659" s="3" t="s">
        <v>1286</v>
      </c>
      <c r="E3659" s="3" t="s">
        <v>12</v>
      </c>
      <c r="F3659" s="3"/>
      <c r="G3659" s="3"/>
      <c r="H3659" s="3" t="s">
        <v>13</v>
      </c>
      <c r="I3659" s="3" t="s">
        <v>1287</v>
      </c>
    </row>
    <row r="3660" spans="1:9" s="5" customFormat="1" x14ac:dyDescent="0.35">
      <c r="A3660" s="3" t="s">
        <v>1185</v>
      </c>
      <c r="B3660" s="3" t="s">
        <v>1285</v>
      </c>
      <c r="C3660" s="3" t="s">
        <v>42</v>
      </c>
      <c r="D3660" s="3" t="s">
        <v>1286</v>
      </c>
      <c r="E3660" s="3" t="s">
        <v>36</v>
      </c>
      <c r="F3660" s="3" t="s">
        <v>33</v>
      </c>
      <c r="G3660" s="3" t="s">
        <v>314</v>
      </c>
      <c r="H3660" s="3" t="s">
        <v>13</v>
      </c>
      <c r="I3660" s="3" t="s">
        <v>1287</v>
      </c>
    </row>
    <row r="3661" spans="1:9" s="5" customFormat="1" x14ac:dyDescent="0.35">
      <c r="A3661" s="3" t="s">
        <v>1185</v>
      </c>
      <c r="B3661" s="3" t="s">
        <v>1285</v>
      </c>
      <c r="C3661" s="3" t="s">
        <v>42</v>
      </c>
      <c r="D3661" s="3" t="s">
        <v>1286</v>
      </c>
      <c r="E3661" s="3" t="s">
        <v>60</v>
      </c>
      <c r="F3661" s="3"/>
      <c r="G3661" s="3" t="s">
        <v>3007</v>
      </c>
      <c r="H3661" s="3"/>
      <c r="I3661" s="3"/>
    </row>
    <row r="3662" spans="1:9" s="5" customFormat="1" x14ac:dyDescent="0.35">
      <c r="A3662" s="3" t="s">
        <v>1185</v>
      </c>
      <c r="B3662" s="3" t="s">
        <v>1285</v>
      </c>
      <c r="C3662" s="3" t="s">
        <v>42</v>
      </c>
      <c r="D3662" s="3" t="s">
        <v>1286</v>
      </c>
      <c r="E3662" s="3" t="s">
        <v>27</v>
      </c>
      <c r="F3662" s="3"/>
      <c r="G3662" s="3"/>
      <c r="H3662" s="3"/>
      <c r="I3662" s="3"/>
    </row>
    <row r="3663" spans="1:9" s="5" customFormat="1" x14ac:dyDescent="0.35">
      <c r="A3663" s="3" t="s">
        <v>1185</v>
      </c>
      <c r="B3663" s="3" t="s">
        <v>1285</v>
      </c>
      <c r="C3663" s="3" t="s">
        <v>42</v>
      </c>
      <c r="D3663" s="3" t="s">
        <v>1286</v>
      </c>
      <c r="E3663" s="3" t="s">
        <v>141</v>
      </c>
      <c r="F3663" s="3" t="s">
        <v>33</v>
      </c>
      <c r="G3663" s="3" t="s">
        <v>723</v>
      </c>
      <c r="H3663" s="3" t="s">
        <v>13</v>
      </c>
      <c r="I3663" s="3" t="s">
        <v>1287</v>
      </c>
    </row>
    <row r="3664" spans="1:9" s="5" customFormat="1" x14ac:dyDescent="0.35">
      <c r="A3664" s="3" t="s">
        <v>1185</v>
      </c>
      <c r="B3664" s="3" t="s">
        <v>1285</v>
      </c>
      <c r="C3664" s="3" t="s">
        <v>42</v>
      </c>
      <c r="D3664" s="3" t="s">
        <v>1286</v>
      </c>
      <c r="E3664" s="3" t="s">
        <v>44</v>
      </c>
      <c r="F3664" s="3"/>
      <c r="G3664" s="3"/>
      <c r="H3664" s="3" t="s">
        <v>13</v>
      </c>
      <c r="I3664" s="3" t="s">
        <v>1287</v>
      </c>
    </row>
    <row r="3665" spans="1:9" s="5" customFormat="1" x14ac:dyDescent="0.35">
      <c r="A3665" s="3" t="s">
        <v>1185</v>
      </c>
      <c r="B3665" s="3" t="s">
        <v>1285</v>
      </c>
      <c r="C3665" s="3" t="s">
        <v>42</v>
      </c>
      <c r="D3665" s="3" t="s">
        <v>1286</v>
      </c>
      <c r="E3665" s="3" t="s">
        <v>15</v>
      </c>
      <c r="F3665" s="3" t="s">
        <v>13</v>
      </c>
      <c r="G3665" s="3" t="s">
        <v>1288</v>
      </c>
      <c r="H3665" s="3" t="s">
        <v>13</v>
      </c>
      <c r="I3665" s="3" t="s">
        <v>1287</v>
      </c>
    </row>
    <row r="3666" spans="1:9" s="5" customFormat="1" x14ac:dyDescent="0.35">
      <c r="A3666" s="3" t="s">
        <v>1185</v>
      </c>
      <c r="B3666" s="3" t="s">
        <v>1285</v>
      </c>
      <c r="C3666" s="3" t="s">
        <v>42</v>
      </c>
      <c r="D3666" s="3" t="s">
        <v>1286</v>
      </c>
      <c r="E3666" s="3" t="s">
        <v>26</v>
      </c>
      <c r="F3666" s="3"/>
      <c r="G3666" s="3"/>
      <c r="H3666" s="3"/>
      <c r="I3666" s="3"/>
    </row>
    <row r="3667" spans="1:9" s="5" customFormat="1" x14ac:dyDescent="0.35">
      <c r="A3667" s="3" t="s">
        <v>1185</v>
      </c>
      <c r="B3667" s="3" t="s">
        <v>1285</v>
      </c>
      <c r="C3667" s="3" t="s">
        <v>42</v>
      </c>
      <c r="D3667" s="3" t="s">
        <v>1286</v>
      </c>
      <c r="E3667" s="3" t="s">
        <v>82</v>
      </c>
      <c r="F3667" s="3" t="s">
        <v>13</v>
      </c>
      <c r="G3667" s="3" t="s">
        <v>144</v>
      </c>
      <c r="H3667" s="3" t="s">
        <v>13</v>
      </c>
      <c r="I3667" s="3" t="s">
        <v>1287</v>
      </c>
    </row>
    <row r="3668" spans="1:9" s="5" customFormat="1" x14ac:dyDescent="0.35">
      <c r="A3668" s="3" t="s">
        <v>1185</v>
      </c>
      <c r="B3668" s="3" t="s">
        <v>1289</v>
      </c>
      <c r="C3668" s="3" t="s">
        <v>10</v>
      </c>
      <c r="D3668" s="3" t="s">
        <v>1290</v>
      </c>
      <c r="E3668" s="3" t="s">
        <v>47</v>
      </c>
      <c r="F3668" s="3"/>
      <c r="G3668" s="3"/>
      <c r="H3668" s="3"/>
      <c r="I3668" s="3"/>
    </row>
    <row r="3669" spans="1:9" s="5" customFormat="1" x14ac:dyDescent="0.35">
      <c r="A3669" s="3" t="s">
        <v>1185</v>
      </c>
      <c r="B3669" s="3" t="s">
        <v>1289</v>
      </c>
      <c r="C3669" s="3" t="s">
        <v>10</v>
      </c>
      <c r="D3669" s="3" t="s">
        <v>1290</v>
      </c>
      <c r="E3669" s="3" t="s">
        <v>28</v>
      </c>
      <c r="F3669" s="3"/>
      <c r="G3669" s="3"/>
      <c r="H3669" s="3"/>
      <c r="I3669" s="3"/>
    </row>
    <row r="3670" spans="1:9" s="5" customFormat="1" x14ac:dyDescent="0.35">
      <c r="A3670" s="3" t="s">
        <v>1185</v>
      </c>
      <c r="B3670" s="3" t="s">
        <v>1289</v>
      </c>
      <c r="C3670" s="3" t="s">
        <v>10</v>
      </c>
      <c r="D3670" s="3" t="s">
        <v>1290</v>
      </c>
      <c r="E3670" s="3" t="s">
        <v>15</v>
      </c>
      <c r="F3670" s="3" t="s">
        <v>16</v>
      </c>
      <c r="G3670" s="3" t="s">
        <v>1291</v>
      </c>
      <c r="H3670" s="3"/>
      <c r="I3670" s="3"/>
    </row>
    <row r="3671" spans="1:9" s="5" customFormat="1" x14ac:dyDescent="0.35">
      <c r="A3671" s="3" t="s">
        <v>1185</v>
      </c>
      <c r="B3671" s="3" t="s">
        <v>1289</v>
      </c>
      <c r="C3671" s="3" t="s">
        <v>10</v>
      </c>
      <c r="D3671" s="3" t="s">
        <v>1290</v>
      </c>
      <c r="E3671" s="3" t="s">
        <v>57</v>
      </c>
      <c r="F3671" s="3" t="s">
        <v>33</v>
      </c>
      <c r="G3671" s="3" t="s">
        <v>34</v>
      </c>
      <c r="H3671" s="3"/>
      <c r="I3671" s="3"/>
    </row>
    <row r="3672" spans="1:9" s="5" customFormat="1" x14ac:dyDescent="0.35">
      <c r="A3672" s="3" t="s">
        <v>1185</v>
      </c>
      <c r="B3672" s="3" t="s">
        <v>1289</v>
      </c>
      <c r="C3672" s="3" t="s">
        <v>10</v>
      </c>
      <c r="D3672" s="3" t="s">
        <v>1290</v>
      </c>
      <c r="E3672" s="3" t="s">
        <v>32</v>
      </c>
      <c r="F3672" s="3"/>
      <c r="G3672" s="3"/>
      <c r="H3672" s="3"/>
      <c r="I3672" s="3"/>
    </row>
    <row r="3673" spans="1:9" s="5" customFormat="1" x14ac:dyDescent="0.35">
      <c r="A3673" s="3" t="s">
        <v>1185</v>
      </c>
      <c r="B3673" s="3" t="s">
        <v>1289</v>
      </c>
      <c r="C3673" s="3" t="s">
        <v>10</v>
      </c>
      <c r="D3673" s="3" t="s">
        <v>1290</v>
      </c>
      <c r="E3673" s="3" t="s">
        <v>134</v>
      </c>
      <c r="F3673" s="3"/>
      <c r="G3673" s="3"/>
      <c r="H3673" s="3"/>
      <c r="I3673" s="3"/>
    </row>
    <row r="3674" spans="1:9" s="5" customFormat="1" x14ac:dyDescent="0.35">
      <c r="A3674" s="3" t="s">
        <v>1185</v>
      </c>
      <c r="B3674" s="3" t="s">
        <v>1289</v>
      </c>
      <c r="C3674" s="3" t="s">
        <v>20</v>
      </c>
      <c r="D3674" s="3" t="s">
        <v>1292</v>
      </c>
      <c r="E3674" s="3" t="s">
        <v>87</v>
      </c>
      <c r="F3674" s="3"/>
      <c r="G3674" s="3"/>
      <c r="H3674" s="3"/>
      <c r="I3674" s="3"/>
    </row>
    <row r="3675" spans="1:9" s="5" customFormat="1" x14ac:dyDescent="0.35">
      <c r="A3675" s="3" t="s">
        <v>1185</v>
      </c>
      <c r="B3675" s="3" t="s">
        <v>1289</v>
      </c>
      <c r="C3675" s="3" t="s">
        <v>20</v>
      </c>
      <c r="D3675" s="3" t="s">
        <v>1292</v>
      </c>
      <c r="E3675" s="3" t="s">
        <v>31</v>
      </c>
      <c r="F3675" s="3"/>
      <c r="G3675" s="3"/>
      <c r="H3675" s="3"/>
      <c r="I3675" s="3"/>
    </row>
    <row r="3676" spans="1:9" s="5" customFormat="1" x14ac:dyDescent="0.35">
      <c r="A3676" s="3" t="s">
        <v>1185</v>
      </c>
      <c r="B3676" s="3" t="s">
        <v>1289</v>
      </c>
      <c r="C3676" s="3" t="s">
        <v>20</v>
      </c>
      <c r="D3676" s="3" t="s">
        <v>1292</v>
      </c>
      <c r="E3676" s="3" t="s">
        <v>15</v>
      </c>
      <c r="F3676" s="3" t="s">
        <v>16</v>
      </c>
      <c r="G3676" s="3" t="s">
        <v>1293</v>
      </c>
      <c r="H3676" s="3"/>
      <c r="I3676" s="3"/>
    </row>
    <row r="3677" spans="1:9" s="5" customFormat="1" x14ac:dyDescent="0.35">
      <c r="A3677" s="3" t="s">
        <v>1185</v>
      </c>
      <c r="B3677" s="3" t="s">
        <v>1289</v>
      </c>
      <c r="C3677" s="3" t="s">
        <v>39</v>
      </c>
      <c r="D3677" s="3" t="s">
        <v>1294</v>
      </c>
      <c r="E3677" s="3" t="s">
        <v>25</v>
      </c>
      <c r="F3677" s="3"/>
      <c r="G3677" s="3"/>
      <c r="H3677" s="3"/>
      <c r="I3677" s="3"/>
    </row>
    <row r="3678" spans="1:9" s="5" customFormat="1" x14ac:dyDescent="0.35">
      <c r="A3678" s="3" t="s">
        <v>1185</v>
      </c>
      <c r="B3678" s="3" t="s">
        <v>1289</v>
      </c>
      <c r="C3678" s="3" t="s">
        <v>39</v>
      </c>
      <c r="D3678" s="3" t="s">
        <v>1294</v>
      </c>
      <c r="E3678" s="3" t="s">
        <v>142</v>
      </c>
      <c r="F3678" s="3"/>
      <c r="G3678" s="3"/>
      <c r="H3678" s="3"/>
      <c r="I3678" s="3"/>
    </row>
    <row r="3679" spans="1:9" s="5" customFormat="1" x14ac:dyDescent="0.35">
      <c r="A3679" s="3" t="s">
        <v>1185</v>
      </c>
      <c r="B3679" s="3" t="s">
        <v>1289</v>
      </c>
      <c r="C3679" s="3" t="s">
        <v>39</v>
      </c>
      <c r="D3679" s="3" t="s">
        <v>1294</v>
      </c>
      <c r="E3679" s="3" t="s">
        <v>15</v>
      </c>
      <c r="F3679" s="3" t="s">
        <v>16</v>
      </c>
      <c r="G3679" s="3" t="s">
        <v>1295</v>
      </c>
      <c r="H3679" s="3"/>
      <c r="I3679" s="3"/>
    </row>
    <row r="3680" spans="1:9" s="5" customFormat="1" x14ac:dyDescent="0.35">
      <c r="A3680" s="3" t="s">
        <v>1185</v>
      </c>
      <c r="B3680" s="3" t="s">
        <v>1289</v>
      </c>
      <c r="C3680" s="3" t="s">
        <v>39</v>
      </c>
      <c r="D3680" s="3" t="s">
        <v>1294</v>
      </c>
      <c r="E3680" s="3" t="s">
        <v>107</v>
      </c>
      <c r="F3680" s="3" t="s">
        <v>16</v>
      </c>
      <c r="G3680" s="3" t="s">
        <v>1296</v>
      </c>
      <c r="H3680" s="3"/>
      <c r="I3680" s="3"/>
    </row>
    <row r="3681" spans="1:9" s="5" customFormat="1" x14ac:dyDescent="0.35">
      <c r="A3681" s="3" t="s">
        <v>1185</v>
      </c>
      <c r="B3681" s="3" t="s">
        <v>1289</v>
      </c>
      <c r="C3681" s="3" t="s">
        <v>10</v>
      </c>
      <c r="D3681" s="3" t="s">
        <v>1297</v>
      </c>
      <c r="E3681" s="3" t="s">
        <v>28</v>
      </c>
      <c r="F3681" s="3"/>
      <c r="G3681" s="3" t="s">
        <v>2409</v>
      </c>
      <c r="H3681" s="3"/>
      <c r="I3681" s="3"/>
    </row>
    <row r="3682" spans="1:9" s="5" customFormat="1" x14ac:dyDescent="0.35">
      <c r="A3682" s="3" t="s">
        <v>1185</v>
      </c>
      <c r="B3682" s="3" t="s">
        <v>1289</v>
      </c>
      <c r="C3682" s="3" t="s">
        <v>10</v>
      </c>
      <c r="D3682" s="3" t="s">
        <v>1297</v>
      </c>
      <c r="E3682" s="3" t="s">
        <v>15</v>
      </c>
      <c r="F3682" s="3" t="s">
        <v>16</v>
      </c>
      <c r="G3682" s="3" t="s">
        <v>1298</v>
      </c>
      <c r="H3682" s="3"/>
      <c r="I3682" s="3"/>
    </row>
    <row r="3683" spans="1:9" s="5" customFormat="1" x14ac:dyDescent="0.35">
      <c r="A3683" s="3" t="s">
        <v>1185</v>
      </c>
      <c r="B3683" s="3" t="s">
        <v>1289</v>
      </c>
      <c r="C3683" s="3" t="s">
        <v>10</v>
      </c>
      <c r="D3683" s="3" t="s">
        <v>1297</v>
      </c>
      <c r="E3683" s="3" t="s">
        <v>29</v>
      </c>
      <c r="F3683" s="3"/>
      <c r="G3683" s="3" t="s">
        <v>2315</v>
      </c>
      <c r="H3683" s="3"/>
      <c r="I3683" s="3"/>
    </row>
    <row r="3684" spans="1:9" s="5" customFormat="1" x14ac:dyDescent="0.35">
      <c r="A3684" s="3" t="s">
        <v>1185</v>
      </c>
      <c r="B3684" s="3" t="s">
        <v>1289</v>
      </c>
      <c r="C3684" s="3" t="s">
        <v>10</v>
      </c>
      <c r="D3684" s="3" t="s">
        <v>1299</v>
      </c>
      <c r="E3684" s="3" t="s">
        <v>28</v>
      </c>
      <c r="F3684" s="3"/>
      <c r="G3684" s="3"/>
      <c r="H3684" s="3"/>
      <c r="I3684" s="3"/>
    </row>
    <row r="3685" spans="1:9" s="5" customFormat="1" x14ac:dyDescent="0.35">
      <c r="A3685" s="3" t="s">
        <v>1185</v>
      </c>
      <c r="B3685" s="3" t="s">
        <v>1289</v>
      </c>
      <c r="C3685" s="3" t="s">
        <v>39</v>
      </c>
      <c r="D3685" s="3" t="s">
        <v>1300</v>
      </c>
      <c r="E3685" s="3" t="s">
        <v>23</v>
      </c>
      <c r="F3685" s="3"/>
      <c r="G3685" s="3"/>
      <c r="H3685" s="3"/>
      <c r="I3685" s="3"/>
    </row>
    <row r="3686" spans="1:9" s="5" customFormat="1" x14ac:dyDescent="0.35">
      <c r="A3686" s="3" t="s">
        <v>1185</v>
      </c>
      <c r="B3686" s="3" t="s">
        <v>1289</v>
      </c>
      <c r="C3686" s="3" t="s">
        <v>39</v>
      </c>
      <c r="D3686" s="3" t="s">
        <v>1300</v>
      </c>
      <c r="E3686" s="3" t="s">
        <v>27</v>
      </c>
      <c r="F3686" s="3"/>
      <c r="G3686" s="3"/>
      <c r="H3686" s="3"/>
      <c r="I3686" s="3"/>
    </row>
    <row r="3687" spans="1:9" s="5" customFormat="1" x14ac:dyDescent="0.35">
      <c r="A3687" s="3" t="s">
        <v>1185</v>
      </c>
      <c r="B3687" s="3" t="s">
        <v>1289</v>
      </c>
      <c r="C3687" s="3" t="s">
        <v>39</v>
      </c>
      <c r="D3687" s="3" t="s">
        <v>1300</v>
      </c>
      <c r="E3687" s="3" t="s">
        <v>87</v>
      </c>
      <c r="F3687" s="3"/>
      <c r="G3687" s="3"/>
      <c r="H3687" s="3"/>
      <c r="I3687" s="3"/>
    </row>
    <row r="3688" spans="1:9" s="5" customFormat="1" x14ac:dyDescent="0.35">
      <c r="A3688" s="3" t="s">
        <v>1185</v>
      </c>
      <c r="B3688" s="3" t="s">
        <v>1289</v>
      </c>
      <c r="C3688" s="3" t="s">
        <v>20</v>
      </c>
      <c r="D3688" s="3" t="s">
        <v>1301</v>
      </c>
      <c r="E3688" s="3" t="s">
        <v>23</v>
      </c>
      <c r="F3688" s="3"/>
      <c r="G3688" s="3"/>
      <c r="H3688" s="3"/>
      <c r="I3688" s="3"/>
    </row>
    <row r="3689" spans="1:9" s="5" customFormat="1" x14ac:dyDescent="0.35">
      <c r="A3689" s="3" t="s">
        <v>1185</v>
      </c>
      <c r="B3689" s="3" t="s">
        <v>1289</v>
      </c>
      <c r="C3689" s="3" t="s">
        <v>20</v>
      </c>
      <c r="D3689" s="3" t="s">
        <v>1301</v>
      </c>
      <c r="E3689" s="3" t="s">
        <v>25</v>
      </c>
      <c r="F3689" s="3"/>
      <c r="G3689" s="3"/>
      <c r="H3689" s="3"/>
      <c r="I3689" s="3"/>
    </row>
    <row r="3690" spans="1:9" s="5" customFormat="1" x14ac:dyDescent="0.35">
      <c r="A3690" s="3" t="s">
        <v>1185</v>
      </c>
      <c r="B3690" s="3" t="s">
        <v>1289</v>
      </c>
      <c r="C3690" s="3" t="s">
        <v>20</v>
      </c>
      <c r="D3690" s="3" t="s">
        <v>1301</v>
      </c>
      <c r="E3690" s="3" t="s">
        <v>77</v>
      </c>
      <c r="F3690" s="3"/>
      <c r="G3690" s="3"/>
      <c r="H3690" s="3"/>
      <c r="I3690" s="3"/>
    </row>
    <row r="3691" spans="1:9" s="5" customFormat="1" x14ac:dyDescent="0.35">
      <c r="A3691" s="3" t="s">
        <v>1185</v>
      </c>
      <c r="B3691" s="3" t="s">
        <v>1289</v>
      </c>
      <c r="C3691" s="3" t="s">
        <v>20</v>
      </c>
      <c r="D3691" s="3" t="s">
        <v>1301</v>
      </c>
      <c r="E3691" s="3" t="s">
        <v>87</v>
      </c>
      <c r="F3691" s="3"/>
      <c r="G3691" s="3"/>
      <c r="H3691" s="3"/>
      <c r="I3691" s="3"/>
    </row>
    <row r="3692" spans="1:9" s="5" customFormat="1" x14ac:dyDescent="0.35">
      <c r="A3692" s="3" t="s">
        <v>1185</v>
      </c>
      <c r="B3692" s="3" t="s">
        <v>1289</v>
      </c>
      <c r="C3692" s="3" t="s">
        <v>20</v>
      </c>
      <c r="D3692" s="3" t="s">
        <v>1301</v>
      </c>
      <c r="E3692" s="3" t="s">
        <v>15</v>
      </c>
      <c r="F3692" s="3" t="s">
        <v>16</v>
      </c>
      <c r="G3692" s="3" t="s">
        <v>1302</v>
      </c>
      <c r="H3692" s="3"/>
      <c r="I3692" s="3"/>
    </row>
    <row r="3693" spans="1:9" s="5" customFormat="1" x14ac:dyDescent="0.35">
      <c r="A3693" s="3" t="s">
        <v>1185</v>
      </c>
      <c r="B3693" s="3" t="s">
        <v>1289</v>
      </c>
      <c r="C3693" s="3" t="s">
        <v>45</v>
      </c>
      <c r="D3693" s="3" t="s">
        <v>1303</v>
      </c>
      <c r="E3693" s="3" t="s">
        <v>23</v>
      </c>
      <c r="F3693" s="3" t="s">
        <v>16</v>
      </c>
      <c r="G3693" s="3" t="s">
        <v>1304</v>
      </c>
      <c r="H3693" s="3"/>
      <c r="I3693" s="3"/>
    </row>
    <row r="3694" spans="1:9" s="5" customFormat="1" x14ac:dyDescent="0.35">
      <c r="A3694" s="3" t="s">
        <v>1185</v>
      </c>
      <c r="B3694" s="3" t="s">
        <v>1289</v>
      </c>
      <c r="C3694" s="3" t="s">
        <v>45</v>
      </c>
      <c r="D3694" s="3" t="s">
        <v>1303</v>
      </c>
      <c r="E3694" s="3" t="s">
        <v>25</v>
      </c>
      <c r="F3694" s="3"/>
      <c r="G3694" s="3"/>
      <c r="H3694" s="3"/>
      <c r="I3694" s="3"/>
    </row>
    <row r="3695" spans="1:9" s="5" customFormat="1" x14ac:dyDescent="0.35">
      <c r="A3695" s="3" t="s">
        <v>1185</v>
      </c>
      <c r="B3695" s="3" t="s">
        <v>1289</v>
      </c>
      <c r="C3695" s="3" t="s">
        <v>45</v>
      </c>
      <c r="D3695" s="3" t="s">
        <v>1303</v>
      </c>
      <c r="E3695" s="3" t="s">
        <v>142</v>
      </c>
      <c r="F3695" s="3"/>
      <c r="G3695" s="3"/>
      <c r="H3695" s="3"/>
      <c r="I3695" s="3"/>
    </row>
    <row r="3696" spans="1:9" s="5" customFormat="1" x14ac:dyDescent="0.35">
      <c r="A3696" s="3" t="s">
        <v>1185</v>
      </c>
      <c r="B3696" s="3" t="s">
        <v>1289</v>
      </c>
      <c r="C3696" s="3" t="s">
        <v>45</v>
      </c>
      <c r="D3696" s="3" t="s">
        <v>1303</v>
      </c>
      <c r="E3696" s="3" t="s">
        <v>77</v>
      </c>
      <c r="F3696" s="3"/>
      <c r="G3696" s="3"/>
      <c r="H3696" s="3"/>
      <c r="I3696" s="3"/>
    </row>
    <row r="3697" spans="1:9" s="5" customFormat="1" x14ac:dyDescent="0.35">
      <c r="A3697" s="3" t="s">
        <v>1185</v>
      </c>
      <c r="B3697" s="3" t="s">
        <v>1289</v>
      </c>
      <c r="C3697" s="3" t="s">
        <v>45</v>
      </c>
      <c r="D3697" s="3" t="s">
        <v>1303</v>
      </c>
      <c r="E3697" s="3" t="s">
        <v>28</v>
      </c>
      <c r="F3697" s="3"/>
      <c r="G3697" s="3"/>
      <c r="H3697" s="3"/>
      <c r="I3697" s="3"/>
    </row>
    <row r="3698" spans="1:9" s="5" customFormat="1" x14ac:dyDescent="0.35">
      <c r="A3698" s="3" t="s">
        <v>1185</v>
      </c>
      <c r="B3698" s="3" t="s">
        <v>1289</v>
      </c>
      <c r="C3698" s="3" t="s">
        <v>45</v>
      </c>
      <c r="D3698" s="3" t="s">
        <v>1303</v>
      </c>
      <c r="E3698" s="3" t="s">
        <v>31</v>
      </c>
      <c r="F3698" s="3"/>
      <c r="G3698" s="3"/>
      <c r="H3698" s="3"/>
      <c r="I3698" s="3"/>
    </row>
    <row r="3699" spans="1:9" s="5" customFormat="1" x14ac:dyDescent="0.35">
      <c r="A3699" s="3" t="s">
        <v>1185</v>
      </c>
      <c r="B3699" s="3" t="s">
        <v>1289</v>
      </c>
      <c r="C3699" s="3" t="s">
        <v>45</v>
      </c>
      <c r="D3699" s="3" t="s">
        <v>1303</v>
      </c>
      <c r="E3699" s="3" t="s">
        <v>15</v>
      </c>
      <c r="F3699" s="3" t="s">
        <v>16</v>
      </c>
      <c r="G3699" s="3" t="s">
        <v>1305</v>
      </c>
      <c r="H3699" s="3"/>
      <c r="I3699" s="3"/>
    </row>
    <row r="3700" spans="1:9" s="5" customFormat="1" x14ac:dyDescent="0.35">
      <c r="A3700" s="3" t="s">
        <v>1185</v>
      </c>
      <c r="B3700" s="3" t="s">
        <v>1289</v>
      </c>
      <c r="C3700" s="3" t="s">
        <v>45</v>
      </c>
      <c r="D3700" s="3" t="s">
        <v>1303</v>
      </c>
      <c r="E3700" s="3" t="s">
        <v>107</v>
      </c>
      <c r="F3700" s="3" t="s">
        <v>16</v>
      </c>
      <c r="G3700" s="3" t="s">
        <v>1306</v>
      </c>
      <c r="H3700" s="3"/>
      <c r="I3700" s="3"/>
    </row>
    <row r="3701" spans="1:9" s="5" customFormat="1" x14ac:dyDescent="0.35">
      <c r="A3701" s="3" t="s">
        <v>1185</v>
      </c>
      <c r="B3701" s="3" t="s">
        <v>1289</v>
      </c>
      <c r="C3701" s="3" t="s">
        <v>45</v>
      </c>
      <c r="D3701" s="3" t="s">
        <v>1303</v>
      </c>
      <c r="E3701" s="3" t="s">
        <v>372</v>
      </c>
      <c r="F3701" s="3"/>
      <c r="G3701" s="3" t="s">
        <v>2410</v>
      </c>
      <c r="H3701" s="3"/>
      <c r="I3701" s="3"/>
    </row>
    <row r="3702" spans="1:9" s="5" customFormat="1" x14ac:dyDescent="0.35">
      <c r="A3702" s="3" t="s">
        <v>1185</v>
      </c>
      <c r="B3702" s="3" t="s">
        <v>1289</v>
      </c>
      <c r="C3702" s="3" t="s">
        <v>10</v>
      </c>
      <c r="D3702" s="3" t="s">
        <v>1307</v>
      </c>
      <c r="E3702" s="3" t="s">
        <v>12</v>
      </c>
      <c r="F3702" s="3"/>
      <c r="G3702" s="3"/>
      <c r="H3702" s="3"/>
      <c r="I3702" s="3"/>
    </row>
    <row r="3703" spans="1:9" s="5" customFormat="1" x14ac:dyDescent="0.35">
      <c r="A3703" s="3" t="s">
        <v>1185</v>
      </c>
      <c r="B3703" s="3" t="s">
        <v>1289</v>
      </c>
      <c r="C3703" s="3" t="s">
        <v>10</v>
      </c>
      <c r="D3703" s="3" t="s">
        <v>1307</v>
      </c>
      <c r="E3703" s="3" t="s">
        <v>36</v>
      </c>
      <c r="F3703" s="3"/>
      <c r="G3703" s="3" t="s">
        <v>2695</v>
      </c>
      <c r="H3703" s="3"/>
      <c r="I3703" s="3"/>
    </row>
    <row r="3704" spans="1:9" s="5" customFormat="1" x14ac:dyDescent="0.35">
      <c r="A3704" s="3" t="s">
        <v>1185</v>
      </c>
      <c r="B3704" s="3" t="s">
        <v>1289</v>
      </c>
      <c r="C3704" s="3" t="s">
        <v>10</v>
      </c>
      <c r="D3704" s="3" t="s">
        <v>1307</v>
      </c>
      <c r="E3704" s="3" t="s">
        <v>28</v>
      </c>
      <c r="F3704" s="3"/>
      <c r="G3704" s="3"/>
      <c r="H3704" s="3"/>
      <c r="I3704" s="3"/>
    </row>
    <row r="3705" spans="1:9" s="5" customFormat="1" x14ac:dyDescent="0.35">
      <c r="A3705" s="3" t="s">
        <v>1185</v>
      </c>
      <c r="B3705" s="3" t="s">
        <v>1289</v>
      </c>
      <c r="C3705" s="3" t="s">
        <v>10</v>
      </c>
      <c r="D3705" s="3" t="s">
        <v>1307</v>
      </c>
      <c r="E3705" s="3" t="s">
        <v>15</v>
      </c>
      <c r="F3705" s="3" t="s">
        <v>16</v>
      </c>
      <c r="G3705" s="3" t="s">
        <v>2694</v>
      </c>
      <c r="H3705" s="3"/>
      <c r="I3705" s="3"/>
    </row>
    <row r="3706" spans="1:9" s="5" customFormat="1" x14ac:dyDescent="0.35">
      <c r="A3706" s="3" t="s">
        <v>1185</v>
      </c>
      <c r="B3706" s="3" t="s">
        <v>1289</v>
      </c>
      <c r="C3706" s="3" t="s">
        <v>10</v>
      </c>
      <c r="D3706" s="3" t="s">
        <v>1307</v>
      </c>
      <c r="E3706" s="3" t="s">
        <v>56</v>
      </c>
      <c r="F3706" s="3"/>
      <c r="G3706" s="3"/>
      <c r="H3706" s="3"/>
      <c r="I3706" s="3"/>
    </row>
    <row r="3707" spans="1:9" s="5" customFormat="1" x14ac:dyDescent="0.35">
      <c r="A3707" s="3" t="s">
        <v>1185</v>
      </c>
      <c r="B3707" s="3" t="s">
        <v>1289</v>
      </c>
      <c r="C3707" s="3" t="s">
        <v>10</v>
      </c>
      <c r="D3707" s="3" t="s">
        <v>1307</v>
      </c>
      <c r="E3707" s="3" t="s">
        <v>29</v>
      </c>
      <c r="F3707" s="3"/>
      <c r="G3707" s="3" t="s">
        <v>2315</v>
      </c>
      <c r="H3707" s="3"/>
      <c r="I3707" s="3"/>
    </row>
    <row r="3708" spans="1:9" s="5" customFormat="1" x14ac:dyDescent="0.35">
      <c r="A3708" s="3" t="s">
        <v>1185</v>
      </c>
      <c r="B3708" s="3" t="s">
        <v>1289</v>
      </c>
      <c r="C3708" s="3" t="s">
        <v>10</v>
      </c>
      <c r="D3708" s="3" t="s">
        <v>1308</v>
      </c>
      <c r="E3708" s="3" t="s">
        <v>12</v>
      </c>
      <c r="F3708" s="3"/>
      <c r="G3708" s="3"/>
      <c r="H3708" s="3"/>
      <c r="I3708" s="3"/>
    </row>
    <row r="3709" spans="1:9" s="5" customFormat="1" x14ac:dyDescent="0.35">
      <c r="A3709" s="3" t="s">
        <v>1185</v>
      </c>
      <c r="B3709" s="3" t="s">
        <v>1289</v>
      </c>
      <c r="C3709" s="3" t="s">
        <v>10</v>
      </c>
      <c r="D3709" s="3" t="s">
        <v>1308</v>
      </c>
      <c r="E3709" s="3" t="s">
        <v>25</v>
      </c>
      <c r="F3709" s="3"/>
      <c r="G3709" s="3"/>
      <c r="H3709" s="3"/>
      <c r="I3709" s="3"/>
    </row>
    <row r="3710" spans="1:9" s="5" customFormat="1" x14ac:dyDescent="0.35">
      <c r="A3710" s="3" t="s">
        <v>1185</v>
      </c>
      <c r="B3710" s="3" t="s">
        <v>1289</v>
      </c>
      <c r="C3710" s="3" t="s">
        <v>10</v>
      </c>
      <c r="D3710" s="3" t="s">
        <v>1308</v>
      </c>
      <c r="E3710" s="3" t="s">
        <v>27</v>
      </c>
      <c r="F3710" s="3"/>
      <c r="G3710" s="3"/>
      <c r="H3710" s="3"/>
      <c r="I3710" s="3"/>
    </row>
    <row r="3711" spans="1:9" s="5" customFormat="1" x14ac:dyDescent="0.35">
      <c r="A3711" s="3" t="s">
        <v>1185</v>
      </c>
      <c r="B3711" s="3" t="s">
        <v>1289</v>
      </c>
      <c r="C3711" s="3" t="s">
        <v>10</v>
      </c>
      <c r="D3711" s="3" t="s">
        <v>1308</v>
      </c>
      <c r="E3711" s="3" t="s">
        <v>15</v>
      </c>
      <c r="F3711" s="3" t="s">
        <v>16</v>
      </c>
      <c r="G3711" s="3" t="s">
        <v>1309</v>
      </c>
      <c r="H3711" s="3"/>
      <c r="I3711" s="3"/>
    </row>
    <row r="3712" spans="1:9" s="5" customFormat="1" x14ac:dyDescent="0.35">
      <c r="A3712" s="3" t="s">
        <v>1185</v>
      </c>
      <c r="B3712" s="3" t="s">
        <v>1289</v>
      </c>
      <c r="C3712" s="3" t="s">
        <v>10</v>
      </c>
      <c r="D3712" s="3" t="s">
        <v>1308</v>
      </c>
      <c r="E3712" s="3" t="s">
        <v>29</v>
      </c>
      <c r="F3712" s="3"/>
      <c r="G3712" s="3" t="s">
        <v>2332</v>
      </c>
      <c r="H3712" s="3"/>
      <c r="I3712" s="3"/>
    </row>
    <row r="3713" spans="1:9" s="5" customFormat="1" x14ac:dyDescent="0.35">
      <c r="A3713" s="3" t="s">
        <v>1185</v>
      </c>
      <c r="B3713" s="3" t="s">
        <v>1289</v>
      </c>
      <c r="C3713" s="3" t="s">
        <v>10</v>
      </c>
      <c r="D3713" s="3" t="s">
        <v>1310</v>
      </c>
      <c r="E3713" s="3" t="s">
        <v>15</v>
      </c>
      <c r="F3713" s="3" t="s">
        <v>16</v>
      </c>
      <c r="G3713" s="3" t="s">
        <v>1311</v>
      </c>
      <c r="H3713" s="3"/>
      <c r="I3713" s="3"/>
    </row>
    <row r="3714" spans="1:9" s="5" customFormat="1" x14ac:dyDescent="0.35">
      <c r="A3714" s="3" t="s">
        <v>1185</v>
      </c>
      <c r="B3714" s="3" t="s">
        <v>1289</v>
      </c>
      <c r="C3714" s="3" t="s">
        <v>10</v>
      </c>
      <c r="D3714" s="3" t="s">
        <v>1310</v>
      </c>
      <c r="E3714" s="3" t="s">
        <v>134</v>
      </c>
      <c r="F3714" s="3" t="s">
        <v>16</v>
      </c>
      <c r="G3714" s="3" t="s">
        <v>1312</v>
      </c>
      <c r="H3714" s="3"/>
      <c r="I3714" s="3"/>
    </row>
    <row r="3715" spans="1:9" s="5" customFormat="1" x14ac:dyDescent="0.35">
      <c r="A3715" s="3" t="s">
        <v>1185</v>
      </c>
      <c r="B3715" s="3" t="s">
        <v>1289</v>
      </c>
      <c r="C3715" s="3" t="s">
        <v>20</v>
      </c>
      <c r="D3715" s="3" t="s">
        <v>1313</v>
      </c>
      <c r="E3715" s="3" t="s">
        <v>12</v>
      </c>
      <c r="F3715" s="3"/>
      <c r="G3715" s="3"/>
      <c r="H3715" s="3"/>
      <c r="I3715" s="3"/>
    </row>
    <row r="3716" spans="1:9" s="5" customFormat="1" x14ac:dyDescent="0.35">
      <c r="A3716" s="3" t="s">
        <v>1185</v>
      </c>
      <c r="B3716" s="3" t="s">
        <v>1289</v>
      </c>
      <c r="C3716" s="3" t="s">
        <v>20</v>
      </c>
      <c r="D3716" s="3" t="s">
        <v>1313</v>
      </c>
      <c r="E3716" s="3" t="s">
        <v>36</v>
      </c>
      <c r="F3716" s="3" t="s">
        <v>16</v>
      </c>
      <c r="G3716" s="3" t="s">
        <v>157</v>
      </c>
      <c r="H3716" s="3"/>
      <c r="I3716" s="3"/>
    </row>
    <row r="3717" spans="1:9" s="5" customFormat="1" x14ac:dyDescent="0.35">
      <c r="A3717" s="3" t="s">
        <v>1185</v>
      </c>
      <c r="B3717" s="3" t="s">
        <v>1289</v>
      </c>
      <c r="C3717" s="3" t="s">
        <v>20</v>
      </c>
      <c r="D3717" s="3" t="s">
        <v>1313</v>
      </c>
      <c r="E3717" s="3" t="s">
        <v>23</v>
      </c>
      <c r="F3717" s="3"/>
      <c r="G3717" s="3"/>
      <c r="H3717" s="3"/>
      <c r="I3717" s="3"/>
    </row>
    <row r="3718" spans="1:9" s="5" customFormat="1" x14ac:dyDescent="0.35">
      <c r="A3718" s="3" t="s">
        <v>1185</v>
      </c>
      <c r="B3718" s="3" t="s">
        <v>1289</v>
      </c>
      <c r="C3718" s="3" t="s">
        <v>20</v>
      </c>
      <c r="D3718" s="3" t="s">
        <v>1313</v>
      </c>
      <c r="E3718" s="3" t="s">
        <v>25</v>
      </c>
      <c r="F3718" s="3"/>
      <c r="G3718" s="3"/>
      <c r="H3718" s="3"/>
      <c r="I3718" s="3"/>
    </row>
    <row r="3719" spans="1:9" s="5" customFormat="1" x14ac:dyDescent="0.35">
      <c r="A3719" s="3" t="s">
        <v>1185</v>
      </c>
      <c r="B3719" s="3" t="s">
        <v>1289</v>
      </c>
      <c r="C3719" s="3" t="s">
        <v>20</v>
      </c>
      <c r="D3719" s="3" t="s">
        <v>1313</v>
      </c>
      <c r="E3719" s="3" t="s">
        <v>44</v>
      </c>
      <c r="F3719" s="3" t="s">
        <v>16</v>
      </c>
      <c r="G3719" s="3" t="s">
        <v>1314</v>
      </c>
      <c r="H3719" s="3"/>
      <c r="I3719" s="3"/>
    </row>
    <row r="3720" spans="1:9" s="5" customFormat="1" x14ac:dyDescent="0.35">
      <c r="A3720" s="3" t="s">
        <v>1185</v>
      </c>
      <c r="B3720" s="3" t="s">
        <v>1289</v>
      </c>
      <c r="C3720" s="3" t="s">
        <v>20</v>
      </c>
      <c r="D3720" s="3" t="s">
        <v>1313</v>
      </c>
      <c r="E3720" s="3" t="s">
        <v>87</v>
      </c>
      <c r="F3720" s="3"/>
      <c r="G3720" s="3"/>
      <c r="H3720" s="3"/>
      <c r="I3720" s="3"/>
    </row>
    <row r="3721" spans="1:9" s="5" customFormat="1" x14ac:dyDescent="0.35">
      <c r="A3721" s="3" t="s">
        <v>1185</v>
      </c>
      <c r="B3721" s="3" t="s">
        <v>1289</v>
      </c>
      <c r="C3721" s="3" t="s">
        <v>20</v>
      </c>
      <c r="D3721" s="3" t="s">
        <v>1313</v>
      </c>
      <c r="E3721" s="3" t="s">
        <v>15</v>
      </c>
      <c r="F3721" s="3" t="s">
        <v>16</v>
      </c>
      <c r="G3721" s="3" t="s">
        <v>1315</v>
      </c>
      <c r="H3721" s="3"/>
      <c r="I3721" s="3"/>
    </row>
    <row r="3722" spans="1:9" s="5" customFormat="1" x14ac:dyDescent="0.35">
      <c r="A3722" s="3" t="s">
        <v>1185</v>
      </c>
      <c r="B3722" s="3" t="s">
        <v>1289</v>
      </c>
      <c r="C3722" s="3" t="s">
        <v>20</v>
      </c>
      <c r="D3722" s="3" t="s">
        <v>1313</v>
      </c>
      <c r="E3722" s="3" t="s">
        <v>57</v>
      </c>
      <c r="F3722" s="3" t="s">
        <v>33</v>
      </c>
      <c r="G3722" s="3" t="s">
        <v>34</v>
      </c>
      <c r="H3722" s="3"/>
      <c r="I3722" s="3"/>
    </row>
    <row r="3723" spans="1:9" s="5" customFormat="1" x14ac:dyDescent="0.35">
      <c r="A3723" s="3" t="s">
        <v>1185</v>
      </c>
      <c r="B3723" s="3" t="s">
        <v>1289</v>
      </c>
      <c r="C3723" s="3" t="s">
        <v>20</v>
      </c>
      <c r="D3723" s="3" t="s">
        <v>1313</v>
      </c>
      <c r="E3723" s="3" t="s">
        <v>32</v>
      </c>
      <c r="F3723" s="3" t="s">
        <v>16</v>
      </c>
      <c r="G3723" s="3" t="s">
        <v>1242</v>
      </c>
      <c r="H3723" s="3"/>
      <c r="I3723" s="3"/>
    </row>
    <row r="3724" spans="1:9" s="5" customFormat="1" x14ac:dyDescent="0.35">
      <c r="A3724" s="3" t="s">
        <v>1185</v>
      </c>
      <c r="B3724" s="3" t="s">
        <v>1289</v>
      </c>
      <c r="C3724" s="3" t="s">
        <v>20</v>
      </c>
      <c r="D3724" s="3" t="s">
        <v>1313</v>
      </c>
      <c r="E3724" s="3" t="s">
        <v>107</v>
      </c>
      <c r="F3724" s="3" t="s">
        <v>16</v>
      </c>
      <c r="G3724" s="3" t="s">
        <v>1316</v>
      </c>
      <c r="H3724" s="3"/>
      <c r="I3724" s="3"/>
    </row>
    <row r="3725" spans="1:9" s="5" customFormat="1" x14ac:dyDescent="0.35">
      <c r="A3725" s="3" t="s">
        <v>1185</v>
      </c>
      <c r="B3725" s="3" t="s">
        <v>1289</v>
      </c>
      <c r="C3725" s="3" t="s">
        <v>10</v>
      </c>
      <c r="D3725" s="3" t="s">
        <v>1317</v>
      </c>
      <c r="E3725" s="3" t="s">
        <v>15</v>
      </c>
      <c r="F3725" s="3" t="s">
        <v>16</v>
      </c>
      <c r="G3725" s="3" t="s">
        <v>1242</v>
      </c>
      <c r="H3725" s="3"/>
      <c r="I3725" s="3"/>
    </row>
    <row r="3726" spans="1:9" s="5" customFormat="1" x14ac:dyDescent="0.35">
      <c r="A3726" s="3" t="s">
        <v>1185</v>
      </c>
      <c r="B3726" s="3" t="s">
        <v>1289</v>
      </c>
      <c r="C3726" s="3" t="s">
        <v>20</v>
      </c>
      <c r="D3726" s="3" t="s">
        <v>1318</v>
      </c>
      <c r="E3726" s="3" t="s">
        <v>15</v>
      </c>
      <c r="F3726" s="3" t="s">
        <v>16</v>
      </c>
      <c r="G3726" s="3" t="s">
        <v>1319</v>
      </c>
      <c r="H3726" s="3"/>
      <c r="I3726" s="3"/>
    </row>
    <row r="3727" spans="1:9" s="5" customFormat="1" x14ac:dyDescent="0.35">
      <c r="A3727" s="3" t="s">
        <v>1185</v>
      </c>
      <c r="B3727" s="3" t="s">
        <v>1289</v>
      </c>
      <c r="C3727" s="3" t="s">
        <v>20</v>
      </c>
      <c r="D3727" s="3" t="s">
        <v>1318</v>
      </c>
      <c r="E3727" s="3" t="s">
        <v>57</v>
      </c>
      <c r="F3727" s="3"/>
      <c r="G3727" s="3"/>
      <c r="H3727" s="3"/>
      <c r="I3727" s="3"/>
    </row>
    <row r="3728" spans="1:9" s="5" customFormat="1" x14ac:dyDescent="0.35">
      <c r="A3728" s="3" t="s">
        <v>1185</v>
      </c>
      <c r="B3728" s="3" t="s">
        <v>1289</v>
      </c>
      <c r="C3728" s="3" t="s">
        <v>20</v>
      </c>
      <c r="D3728" s="3" t="s">
        <v>1318</v>
      </c>
      <c r="E3728" s="3" t="s">
        <v>32</v>
      </c>
      <c r="F3728" s="3"/>
      <c r="G3728" s="3"/>
      <c r="H3728" s="3"/>
      <c r="I3728" s="3"/>
    </row>
    <row r="3729" spans="1:9" s="5" customFormat="1" x14ac:dyDescent="0.35">
      <c r="A3729" s="3" t="s">
        <v>1185</v>
      </c>
      <c r="B3729" s="3" t="s">
        <v>1289</v>
      </c>
      <c r="C3729" s="3" t="s">
        <v>20</v>
      </c>
      <c r="D3729" s="3" t="s">
        <v>1320</v>
      </c>
      <c r="E3729" s="3" t="s">
        <v>12</v>
      </c>
      <c r="F3729" s="3"/>
      <c r="G3729" s="3"/>
      <c r="H3729" s="3"/>
      <c r="I3729" s="3"/>
    </row>
    <row r="3730" spans="1:9" s="5" customFormat="1" x14ac:dyDescent="0.35">
      <c r="A3730" s="3" t="s">
        <v>1185</v>
      </c>
      <c r="B3730" s="3" t="s">
        <v>1289</v>
      </c>
      <c r="C3730" s="3" t="s">
        <v>20</v>
      </c>
      <c r="D3730" s="3" t="s">
        <v>1320</v>
      </c>
      <c r="E3730" s="3" t="s">
        <v>23</v>
      </c>
      <c r="F3730" s="3"/>
      <c r="G3730" s="3"/>
      <c r="H3730" s="3"/>
      <c r="I3730" s="3"/>
    </row>
    <row r="3731" spans="1:9" s="5" customFormat="1" x14ac:dyDescent="0.35">
      <c r="A3731" s="3" t="s">
        <v>1185</v>
      </c>
      <c r="B3731" s="3" t="s">
        <v>1289</v>
      </c>
      <c r="C3731" s="3" t="s">
        <v>20</v>
      </c>
      <c r="D3731" s="3" t="s">
        <v>1320</v>
      </c>
      <c r="E3731" s="3" t="s">
        <v>87</v>
      </c>
      <c r="F3731" s="3"/>
      <c r="G3731" s="3"/>
      <c r="H3731" s="3"/>
      <c r="I3731" s="3"/>
    </row>
    <row r="3732" spans="1:9" s="5" customFormat="1" x14ac:dyDescent="0.35">
      <c r="A3732" s="3" t="s">
        <v>1185</v>
      </c>
      <c r="B3732" s="3" t="s">
        <v>1289</v>
      </c>
      <c r="C3732" s="3" t="s">
        <v>20</v>
      </c>
      <c r="D3732" s="3" t="s">
        <v>1320</v>
      </c>
      <c r="E3732" s="3" t="s">
        <v>15</v>
      </c>
      <c r="F3732" s="3" t="s">
        <v>16</v>
      </c>
      <c r="G3732" s="3" t="s">
        <v>990</v>
      </c>
      <c r="H3732" s="3"/>
      <c r="I3732" s="3"/>
    </row>
    <row r="3733" spans="1:9" s="5" customFormat="1" x14ac:dyDescent="0.35">
      <c r="A3733" s="3" t="s">
        <v>1185</v>
      </c>
      <c r="B3733" s="3" t="s">
        <v>1289</v>
      </c>
      <c r="C3733" s="3" t="s">
        <v>20</v>
      </c>
      <c r="D3733" s="3" t="s">
        <v>1320</v>
      </c>
      <c r="E3733" s="3" t="s">
        <v>107</v>
      </c>
      <c r="F3733" s="3" t="s">
        <v>16</v>
      </c>
      <c r="G3733" s="3" t="s">
        <v>1321</v>
      </c>
      <c r="H3733" s="3"/>
      <c r="I3733" s="3"/>
    </row>
    <row r="3734" spans="1:9" s="5" customFormat="1" x14ac:dyDescent="0.35">
      <c r="A3734" s="3" t="s">
        <v>1185</v>
      </c>
      <c r="B3734" s="3" t="s">
        <v>1289</v>
      </c>
      <c r="C3734" s="3" t="s">
        <v>20</v>
      </c>
      <c r="D3734" s="3" t="s">
        <v>1322</v>
      </c>
      <c r="E3734" s="3" t="s">
        <v>27</v>
      </c>
      <c r="F3734" s="3"/>
      <c r="G3734" s="3"/>
      <c r="H3734" s="3"/>
      <c r="I3734" s="3"/>
    </row>
    <row r="3735" spans="1:9" s="5" customFormat="1" x14ac:dyDescent="0.35">
      <c r="A3735" s="3" t="s">
        <v>1185</v>
      </c>
      <c r="B3735" s="3" t="s">
        <v>1289</v>
      </c>
      <c r="C3735" s="3" t="s">
        <v>20</v>
      </c>
      <c r="D3735" s="3" t="s">
        <v>1322</v>
      </c>
      <c r="E3735" s="3" t="s">
        <v>28</v>
      </c>
      <c r="F3735" s="3"/>
      <c r="G3735" s="3"/>
      <c r="H3735" s="3"/>
      <c r="I3735" s="3"/>
    </row>
    <row r="3736" spans="1:9" s="5" customFormat="1" x14ac:dyDescent="0.35">
      <c r="A3736" s="3" t="s">
        <v>1185</v>
      </c>
      <c r="B3736" s="3" t="s">
        <v>1289</v>
      </c>
      <c r="C3736" s="3" t="s">
        <v>20</v>
      </c>
      <c r="D3736" s="3" t="s">
        <v>1322</v>
      </c>
      <c r="E3736" s="3" t="s">
        <v>87</v>
      </c>
      <c r="F3736" s="3"/>
      <c r="G3736" s="3"/>
      <c r="H3736" s="3"/>
      <c r="I3736" s="3"/>
    </row>
    <row r="3737" spans="1:9" s="5" customFormat="1" x14ac:dyDescent="0.35">
      <c r="A3737" s="3" t="s">
        <v>1185</v>
      </c>
      <c r="B3737" s="3" t="s">
        <v>1289</v>
      </c>
      <c r="C3737" s="3" t="s">
        <v>20</v>
      </c>
      <c r="D3737" s="3" t="s">
        <v>1322</v>
      </c>
      <c r="E3737" s="3" t="s">
        <v>31</v>
      </c>
      <c r="F3737" s="3"/>
      <c r="G3737" s="3"/>
      <c r="H3737" s="3"/>
      <c r="I3737" s="3"/>
    </row>
    <row r="3738" spans="1:9" s="5" customFormat="1" x14ac:dyDescent="0.35">
      <c r="A3738" s="3" t="s">
        <v>1185</v>
      </c>
      <c r="B3738" s="3" t="s">
        <v>1289</v>
      </c>
      <c r="C3738" s="3" t="s">
        <v>20</v>
      </c>
      <c r="D3738" s="3" t="s">
        <v>1322</v>
      </c>
      <c r="E3738" s="3" t="s">
        <v>15</v>
      </c>
      <c r="F3738" s="3" t="s">
        <v>16</v>
      </c>
      <c r="G3738" s="3" t="s">
        <v>1323</v>
      </c>
      <c r="H3738" s="3"/>
      <c r="I3738" s="3"/>
    </row>
    <row r="3739" spans="1:9" s="5" customFormat="1" x14ac:dyDescent="0.35">
      <c r="A3739" s="3" t="s">
        <v>1185</v>
      </c>
      <c r="B3739" s="3" t="s">
        <v>1289</v>
      </c>
      <c r="C3739" s="3" t="s">
        <v>20</v>
      </c>
      <c r="D3739" s="3" t="s">
        <v>1322</v>
      </c>
      <c r="E3739" s="3" t="s">
        <v>57</v>
      </c>
      <c r="F3739" s="3"/>
      <c r="G3739" s="3"/>
      <c r="H3739" s="3"/>
      <c r="I3739" s="3"/>
    </row>
    <row r="3740" spans="1:9" s="5" customFormat="1" x14ac:dyDescent="0.35">
      <c r="A3740" s="3" t="s">
        <v>1185</v>
      </c>
      <c r="B3740" s="3" t="s">
        <v>1289</v>
      </c>
      <c r="C3740" s="3" t="s">
        <v>20</v>
      </c>
      <c r="D3740" s="3" t="s">
        <v>1322</v>
      </c>
      <c r="E3740" s="3" t="s">
        <v>32</v>
      </c>
      <c r="F3740" s="3"/>
      <c r="G3740" s="3"/>
      <c r="H3740" s="3"/>
      <c r="I3740" s="3"/>
    </row>
    <row r="3741" spans="1:9" s="5" customFormat="1" x14ac:dyDescent="0.35">
      <c r="A3741" s="3" t="s">
        <v>1185</v>
      </c>
      <c r="B3741" s="3" t="s">
        <v>1289</v>
      </c>
      <c r="C3741" s="3" t="s">
        <v>20</v>
      </c>
      <c r="D3741" s="3" t="s">
        <v>1322</v>
      </c>
      <c r="E3741" s="3" t="s">
        <v>29</v>
      </c>
      <c r="F3741" s="3"/>
      <c r="G3741" s="3"/>
      <c r="H3741" s="3"/>
      <c r="I3741" s="3"/>
    </row>
    <row r="3742" spans="1:9" s="5" customFormat="1" x14ac:dyDescent="0.35">
      <c r="A3742" s="3" t="s">
        <v>1185</v>
      </c>
      <c r="B3742" s="3" t="s">
        <v>1289</v>
      </c>
      <c r="C3742" s="3" t="s">
        <v>20</v>
      </c>
      <c r="D3742" s="3" t="s">
        <v>1324</v>
      </c>
      <c r="E3742" s="3" t="s">
        <v>12</v>
      </c>
      <c r="F3742" s="3"/>
      <c r="G3742" s="3"/>
      <c r="H3742" s="3"/>
      <c r="I3742" s="3"/>
    </row>
    <row r="3743" spans="1:9" s="5" customFormat="1" x14ac:dyDescent="0.35">
      <c r="A3743" s="3" t="s">
        <v>1185</v>
      </c>
      <c r="B3743" s="3" t="s">
        <v>1289</v>
      </c>
      <c r="C3743" s="3" t="s">
        <v>20</v>
      </c>
      <c r="D3743" s="3" t="s">
        <v>1324</v>
      </c>
      <c r="E3743" s="3" t="s">
        <v>23</v>
      </c>
      <c r="F3743" s="3"/>
      <c r="G3743" s="3"/>
      <c r="H3743" s="3"/>
      <c r="I3743" s="3"/>
    </row>
    <row r="3744" spans="1:9" s="5" customFormat="1" x14ac:dyDescent="0.35">
      <c r="A3744" s="3" t="s">
        <v>1185</v>
      </c>
      <c r="B3744" s="3" t="s">
        <v>1289</v>
      </c>
      <c r="C3744" s="3" t="s">
        <v>20</v>
      </c>
      <c r="D3744" s="3" t="s">
        <v>1324</v>
      </c>
      <c r="E3744" s="3" t="s">
        <v>71</v>
      </c>
      <c r="F3744" s="3"/>
      <c r="G3744" s="3"/>
      <c r="H3744" s="3"/>
      <c r="I3744" s="3"/>
    </row>
    <row r="3745" spans="1:9" s="5" customFormat="1" x14ac:dyDescent="0.35">
      <c r="A3745" s="3" t="s">
        <v>1185</v>
      </c>
      <c r="B3745" s="3" t="s">
        <v>1289</v>
      </c>
      <c r="C3745" s="3" t="s">
        <v>20</v>
      </c>
      <c r="D3745" s="3" t="s">
        <v>1324</v>
      </c>
      <c r="E3745" s="3" t="s">
        <v>142</v>
      </c>
      <c r="F3745" s="3"/>
      <c r="G3745" s="3"/>
      <c r="H3745" s="3"/>
      <c r="I3745" s="3"/>
    </row>
    <row r="3746" spans="1:9" s="5" customFormat="1" x14ac:dyDescent="0.35">
      <c r="A3746" s="3" t="s">
        <v>1185</v>
      </c>
      <c r="B3746" s="3" t="s">
        <v>1289</v>
      </c>
      <c r="C3746" s="3" t="s">
        <v>20</v>
      </c>
      <c r="D3746" s="3" t="s">
        <v>1324</v>
      </c>
      <c r="E3746" s="3" t="s">
        <v>87</v>
      </c>
      <c r="F3746" s="3"/>
      <c r="G3746" s="3"/>
      <c r="H3746" s="3"/>
      <c r="I3746" s="3"/>
    </row>
    <row r="3747" spans="1:9" s="5" customFormat="1" x14ac:dyDescent="0.35">
      <c r="A3747" s="3" t="s">
        <v>1185</v>
      </c>
      <c r="B3747" s="3" t="s">
        <v>1289</v>
      </c>
      <c r="C3747" s="3" t="s">
        <v>20</v>
      </c>
      <c r="D3747" s="3" t="s">
        <v>1324</v>
      </c>
      <c r="E3747" s="3" t="s">
        <v>15</v>
      </c>
      <c r="F3747" s="3" t="s">
        <v>16</v>
      </c>
      <c r="G3747" s="3" t="s">
        <v>1325</v>
      </c>
      <c r="H3747" s="3"/>
      <c r="I3747" s="3"/>
    </row>
    <row r="3748" spans="1:9" s="5" customFormat="1" x14ac:dyDescent="0.35">
      <c r="A3748" s="3" t="s">
        <v>1185</v>
      </c>
      <c r="B3748" s="3" t="s">
        <v>1289</v>
      </c>
      <c r="C3748" s="3" t="s">
        <v>20</v>
      </c>
      <c r="D3748" s="3" t="s">
        <v>1324</v>
      </c>
      <c r="E3748" s="3" t="s">
        <v>89</v>
      </c>
      <c r="F3748" s="3"/>
      <c r="G3748" s="3"/>
      <c r="H3748" s="3"/>
      <c r="I3748" s="3"/>
    </row>
    <row r="3749" spans="1:9" s="5" customFormat="1" x14ac:dyDescent="0.35">
      <c r="A3749" s="3" t="s">
        <v>1185</v>
      </c>
      <c r="B3749" s="3" t="s">
        <v>1289</v>
      </c>
      <c r="C3749" s="3" t="s">
        <v>20</v>
      </c>
      <c r="D3749" s="3" t="s">
        <v>1326</v>
      </c>
      <c r="E3749" s="3" t="s">
        <v>23</v>
      </c>
      <c r="F3749" s="3" t="s">
        <v>33</v>
      </c>
      <c r="G3749" s="3" t="s">
        <v>1327</v>
      </c>
      <c r="H3749" s="3"/>
      <c r="I3749" s="3"/>
    </row>
    <row r="3750" spans="1:9" s="5" customFormat="1" x14ac:dyDescent="0.35">
      <c r="A3750" s="3" t="s">
        <v>1185</v>
      </c>
      <c r="B3750" s="3" t="s">
        <v>1289</v>
      </c>
      <c r="C3750" s="3" t="s">
        <v>20</v>
      </c>
      <c r="D3750" s="3" t="s">
        <v>1326</v>
      </c>
      <c r="E3750" s="3" t="s">
        <v>25</v>
      </c>
      <c r="F3750" s="3" t="s">
        <v>33</v>
      </c>
      <c r="G3750" s="3" t="s">
        <v>1327</v>
      </c>
      <c r="H3750" s="3"/>
      <c r="I3750" s="3"/>
    </row>
    <row r="3751" spans="1:9" s="5" customFormat="1" x14ac:dyDescent="0.35">
      <c r="A3751" s="3" t="s">
        <v>1185</v>
      </c>
      <c r="B3751" s="3" t="s">
        <v>1289</v>
      </c>
      <c r="C3751" s="3" t="s">
        <v>20</v>
      </c>
      <c r="D3751" s="3" t="s">
        <v>1326</v>
      </c>
      <c r="E3751" s="3" t="s">
        <v>28</v>
      </c>
      <c r="F3751" s="3" t="s">
        <v>33</v>
      </c>
      <c r="G3751" s="3" t="s">
        <v>1327</v>
      </c>
      <c r="H3751" s="3"/>
      <c r="I3751" s="3"/>
    </row>
    <row r="3752" spans="1:9" s="5" customFormat="1" x14ac:dyDescent="0.35">
      <c r="A3752" s="3" t="s">
        <v>1185</v>
      </c>
      <c r="B3752" s="3" t="s">
        <v>1289</v>
      </c>
      <c r="C3752" s="3" t="s">
        <v>20</v>
      </c>
      <c r="D3752" s="3" t="s">
        <v>1326</v>
      </c>
      <c r="E3752" s="3" t="s">
        <v>87</v>
      </c>
      <c r="F3752" s="3" t="s">
        <v>33</v>
      </c>
      <c r="G3752" s="3" t="s">
        <v>1327</v>
      </c>
      <c r="H3752" s="3"/>
      <c r="I3752" s="3"/>
    </row>
    <row r="3753" spans="1:9" s="5" customFormat="1" x14ac:dyDescent="0.35">
      <c r="A3753" s="3" t="s">
        <v>1185</v>
      </c>
      <c r="B3753" s="3" t="s">
        <v>1289</v>
      </c>
      <c r="C3753" s="3" t="s">
        <v>20</v>
      </c>
      <c r="D3753" s="3" t="s">
        <v>1328</v>
      </c>
      <c r="E3753" s="3" t="s">
        <v>47</v>
      </c>
      <c r="F3753" s="3"/>
      <c r="G3753" s="3"/>
      <c r="H3753" s="3"/>
      <c r="I3753" s="3"/>
    </row>
    <row r="3754" spans="1:9" s="5" customFormat="1" x14ac:dyDescent="0.35">
      <c r="A3754" s="3" t="s">
        <v>1185</v>
      </c>
      <c r="B3754" s="3" t="s">
        <v>1289</v>
      </c>
      <c r="C3754" s="3" t="s">
        <v>20</v>
      </c>
      <c r="D3754" s="3" t="s">
        <v>1328</v>
      </c>
      <c r="E3754" s="3" t="s">
        <v>25</v>
      </c>
      <c r="F3754" s="3"/>
      <c r="G3754" s="3"/>
      <c r="H3754" s="3"/>
      <c r="I3754" s="3"/>
    </row>
    <row r="3755" spans="1:9" s="5" customFormat="1" x14ac:dyDescent="0.35">
      <c r="A3755" s="3" t="s">
        <v>1185</v>
      </c>
      <c r="B3755" s="3" t="s">
        <v>1289</v>
      </c>
      <c r="C3755" s="3" t="s">
        <v>20</v>
      </c>
      <c r="D3755" s="3" t="s">
        <v>1328</v>
      </c>
      <c r="E3755" s="3" t="s">
        <v>28</v>
      </c>
      <c r="F3755" s="3" t="s">
        <v>16</v>
      </c>
      <c r="G3755" s="3" t="s">
        <v>1329</v>
      </c>
      <c r="H3755" s="3"/>
      <c r="I3755" s="3"/>
    </row>
    <row r="3756" spans="1:9" s="5" customFormat="1" x14ac:dyDescent="0.35">
      <c r="A3756" s="3" t="s">
        <v>1185</v>
      </c>
      <c r="B3756" s="3" t="s">
        <v>1289</v>
      </c>
      <c r="C3756" s="3" t="s">
        <v>20</v>
      </c>
      <c r="D3756" s="3" t="s">
        <v>1328</v>
      </c>
      <c r="E3756" s="3" t="s">
        <v>15</v>
      </c>
      <c r="F3756" s="3" t="s">
        <v>16</v>
      </c>
      <c r="G3756" s="3" t="s">
        <v>1329</v>
      </c>
      <c r="H3756" s="3"/>
      <c r="I3756" s="3"/>
    </row>
    <row r="3757" spans="1:9" s="5" customFormat="1" x14ac:dyDescent="0.35">
      <c r="A3757" s="3" t="s">
        <v>1185</v>
      </c>
      <c r="B3757" s="3" t="s">
        <v>1289</v>
      </c>
      <c r="C3757" s="3" t="s">
        <v>20</v>
      </c>
      <c r="D3757" s="3" t="s">
        <v>1328</v>
      </c>
      <c r="E3757" s="3" t="s">
        <v>29</v>
      </c>
      <c r="F3757" s="3"/>
      <c r="G3757" s="3" t="s">
        <v>2460</v>
      </c>
      <c r="H3757" s="3"/>
      <c r="I3757" s="3"/>
    </row>
    <row r="3758" spans="1:9" s="5" customFormat="1" x14ac:dyDescent="0.35">
      <c r="A3758" s="3" t="s">
        <v>1185</v>
      </c>
      <c r="B3758" s="3" t="s">
        <v>1289</v>
      </c>
      <c r="C3758" s="3" t="s">
        <v>20</v>
      </c>
      <c r="D3758" s="3" t="s">
        <v>1328</v>
      </c>
      <c r="E3758" s="3" t="s">
        <v>134</v>
      </c>
      <c r="F3758" s="3"/>
      <c r="G3758" s="3"/>
      <c r="H3758" s="3"/>
      <c r="I3758" s="3"/>
    </row>
    <row r="3759" spans="1:9" s="5" customFormat="1" x14ac:dyDescent="0.35">
      <c r="A3759" s="3" t="s">
        <v>1185</v>
      </c>
      <c r="B3759" s="3" t="s">
        <v>1289</v>
      </c>
      <c r="C3759" s="3" t="s">
        <v>20</v>
      </c>
      <c r="D3759" s="3" t="s">
        <v>1328</v>
      </c>
      <c r="E3759" s="3" t="s">
        <v>107</v>
      </c>
      <c r="F3759" s="3" t="s">
        <v>16</v>
      </c>
      <c r="G3759" s="3" t="s">
        <v>1329</v>
      </c>
      <c r="H3759" s="3"/>
      <c r="I3759" s="3"/>
    </row>
    <row r="3760" spans="1:9" s="5" customFormat="1" x14ac:dyDescent="0.35">
      <c r="A3760" s="3" t="s">
        <v>1185</v>
      </c>
      <c r="B3760" s="3" t="s">
        <v>1289</v>
      </c>
      <c r="C3760" s="3" t="s">
        <v>10</v>
      </c>
      <c r="D3760" s="3" t="s">
        <v>1330</v>
      </c>
      <c r="E3760" s="3" t="s">
        <v>87</v>
      </c>
      <c r="F3760" s="3" t="s">
        <v>16</v>
      </c>
      <c r="G3760" s="3" t="s">
        <v>1331</v>
      </c>
      <c r="H3760" s="3"/>
      <c r="I3760" s="3"/>
    </row>
    <row r="3761" spans="1:9" s="5" customFormat="1" x14ac:dyDescent="0.35">
      <c r="A3761" s="3" t="s">
        <v>1185</v>
      </c>
      <c r="B3761" s="3" t="s">
        <v>1289</v>
      </c>
      <c r="C3761" s="3" t="s">
        <v>10</v>
      </c>
      <c r="D3761" s="3" t="s">
        <v>1330</v>
      </c>
      <c r="E3761" s="3" t="s">
        <v>15</v>
      </c>
      <c r="F3761" s="3" t="s">
        <v>16</v>
      </c>
      <c r="G3761" s="3" t="s">
        <v>1325</v>
      </c>
      <c r="H3761" s="3"/>
      <c r="I3761" s="3"/>
    </row>
    <row r="3762" spans="1:9" s="5" customFormat="1" x14ac:dyDescent="0.35">
      <c r="A3762" s="3" t="s">
        <v>1185</v>
      </c>
      <c r="B3762" s="3" t="s">
        <v>1289</v>
      </c>
      <c r="C3762" s="3" t="s">
        <v>10</v>
      </c>
      <c r="D3762" s="3" t="s">
        <v>1332</v>
      </c>
      <c r="E3762" s="3" t="s">
        <v>23</v>
      </c>
      <c r="F3762" s="3"/>
      <c r="G3762" s="3"/>
      <c r="H3762" s="3"/>
      <c r="I3762" s="3"/>
    </row>
    <row r="3763" spans="1:9" s="5" customFormat="1" x14ac:dyDescent="0.35">
      <c r="A3763" s="3" t="s">
        <v>1185</v>
      </c>
      <c r="B3763" s="3" t="s">
        <v>1289</v>
      </c>
      <c r="C3763" s="3" t="s">
        <v>10</v>
      </c>
      <c r="D3763" s="3" t="s">
        <v>1332</v>
      </c>
      <c r="E3763" s="3" t="s">
        <v>47</v>
      </c>
      <c r="F3763" s="3" t="s">
        <v>33</v>
      </c>
      <c r="G3763" s="3" t="s">
        <v>723</v>
      </c>
      <c r="H3763" s="3"/>
      <c r="I3763" s="3"/>
    </row>
    <row r="3764" spans="1:9" s="5" customFormat="1" x14ac:dyDescent="0.35">
      <c r="A3764" s="3" t="s">
        <v>1185</v>
      </c>
      <c r="B3764" s="3" t="s">
        <v>1289</v>
      </c>
      <c r="C3764" s="3" t="s">
        <v>10</v>
      </c>
      <c r="D3764" s="3" t="s">
        <v>1332</v>
      </c>
      <c r="E3764" s="3" t="s">
        <v>87</v>
      </c>
      <c r="F3764" s="3"/>
      <c r="G3764" s="3"/>
      <c r="H3764" s="3"/>
      <c r="I3764" s="3"/>
    </row>
    <row r="3765" spans="1:9" s="5" customFormat="1" x14ac:dyDescent="0.35">
      <c r="A3765" s="3" t="s">
        <v>1185</v>
      </c>
      <c r="B3765" s="3" t="s">
        <v>1289</v>
      </c>
      <c r="C3765" s="3" t="s">
        <v>10</v>
      </c>
      <c r="D3765" s="3" t="s">
        <v>1332</v>
      </c>
      <c r="E3765" s="3" t="s">
        <v>29</v>
      </c>
      <c r="F3765" s="3" t="s">
        <v>33</v>
      </c>
      <c r="G3765" s="3" t="s">
        <v>723</v>
      </c>
      <c r="H3765" s="3"/>
      <c r="I3765" s="3"/>
    </row>
    <row r="3766" spans="1:9" s="5" customFormat="1" x14ac:dyDescent="0.35">
      <c r="A3766" s="3" t="s">
        <v>1185</v>
      </c>
      <c r="B3766" s="3" t="s">
        <v>1289</v>
      </c>
      <c r="C3766" s="3" t="s">
        <v>20</v>
      </c>
      <c r="D3766" s="3" t="s">
        <v>1333</v>
      </c>
      <c r="E3766" s="3" t="s">
        <v>12</v>
      </c>
      <c r="F3766" s="3"/>
      <c r="G3766" s="3"/>
      <c r="H3766" s="3"/>
      <c r="I3766" s="3"/>
    </row>
    <row r="3767" spans="1:9" s="5" customFormat="1" x14ac:dyDescent="0.35">
      <c r="A3767" s="3" t="s">
        <v>1185</v>
      </c>
      <c r="B3767" s="3" t="s">
        <v>1289</v>
      </c>
      <c r="C3767" s="3" t="s">
        <v>20</v>
      </c>
      <c r="D3767" s="3" t="s">
        <v>1333</v>
      </c>
      <c r="E3767" s="3" t="s">
        <v>36</v>
      </c>
      <c r="F3767" s="3"/>
      <c r="G3767" s="3"/>
      <c r="H3767" s="3"/>
      <c r="I3767" s="3"/>
    </row>
    <row r="3768" spans="1:9" s="5" customFormat="1" x14ac:dyDescent="0.35">
      <c r="A3768" s="3" t="s">
        <v>1185</v>
      </c>
      <c r="B3768" s="3" t="s">
        <v>1289</v>
      </c>
      <c r="C3768" s="3" t="s">
        <v>20</v>
      </c>
      <c r="D3768" s="3" t="s">
        <v>1333</v>
      </c>
      <c r="E3768" s="3" t="s">
        <v>23</v>
      </c>
      <c r="F3768" s="3"/>
      <c r="G3768" s="3"/>
      <c r="H3768" s="3"/>
      <c r="I3768" s="3"/>
    </row>
    <row r="3769" spans="1:9" s="5" customFormat="1" x14ac:dyDescent="0.35">
      <c r="A3769" s="3" t="s">
        <v>1185</v>
      </c>
      <c r="B3769" s="3" t="s">
        <v>1289</v>
      </c>
      <c r="C3769" s="3" t="s">
        <v>20</v>
      </c>
      <c r="D3769" s="3" t="s">
        <v>1333</v>
      </c>
      <c r="E3769" s="3" t="s">
        <v>25</v>
      </c>
      <c r="F3769" s="3"/>
      <c r="G3769" s="3"/>
      <c r="H3769" s="3"/>
      <c r="I3769" s="3"/>
    </row>
    <row r="3770" spans="1:9" s="5" customFormat="1" x14ac:dyDescent="0.35">
      <c r="A3770" s="3" t="s">
        <v>1185</v>
      </c>
      <c r="B3770" s="3" t="s">
        <v>1289</v>
      </c>
      <c r="C3770" s="3" t="s">
        <v>20</v>
      </c>
      <c r="D3770" s="3" t="s">
        <v>1333</v>
      </c>
      <c r="E3770" s="3" t="s">
        <v>60</v>
      </c>
      <c r="F3770" s="3"/>
      <c r="G3770" s="3"/>
      <c r="H3770" s="3"/>
      <c r="I3770" s="3"/>
    </row>
    <row r="3771" spans="1:9" s="5" customFormat="1" x14ac:dyDescent="0.35">
      <c r="A3771" s="3" t="s">
        <v>1185</v>
      </c>
      <c r="B3771" s="3" t="s">
        <v>1289</v>
      </c>
      <c r="C3771" s="3" t="s">
        <v>20</v>
      </c>
      <c r="D3771" s="3" t="s">
        <v>1333</v>
      </c>
      <c r="E3771" s="3" t="s">
        <v>71</v>
      </c>
      <c r="F3771" s="3"/>
      <c r="G3771" s="3"/>
      <c r="H3771" s="3"/>
      <c r="I3771" s="3"/>
    </row>
    <row r="3772" spans="1:9" s="5" customFormat="1" x14ac:dyDescent="0.35">
      <c r="A3772" s="3" t="s">
        <v>1185</v>
      </c>
      <c r="B3772" s="3" t="s">
        <v>1289</v>
      </c>
      <c r="C3772" s="3" t="s">
        <v>20</v>
      </c>
      <c r="D3772" s="3" t="s">
        <v>1333</v>
      </c>
      <c r="E3772" s="3" t="s">
        <v>142</v>
      </c>
      <c r="F3772" s="3"/>
      <c r="G3772" s="3"/>
      <c r="H3772" s="3"/>
      <c r="I3772" s="3"/>
    </row>
    <row r="3773" spans="1:9" s="5" customFormat="1" x14ac:dyDescent="0.35">
      <c r="A3773" s="3" t="s">
        <v>1185</v>
      </c>
      <c r="B3773" s="3" t="s">
        <v>1289</v>
      </c>
      <c r="C3773" s="3" t="s">
        <v>20</v>
      </c>
      <c r="D3773" s="3" t="s">
        <v>1333</v>
      </c>
      <c r="E3773" s="3" t="s">
        <v>28</v>
      </c>
      <c r="F3773" s="3"/>
      <c r="G3773" s="3" t="s">
        <v>2321</v>
      </c>
      <c r="H3773" s="3"/>
      <c r="I3773" s="3"/>
    </row>
    <row r="3774" spans="1:9" s="5" customFormat="1" x14ac:dyDescent="0.35">
      <c r="A3774" s="3" t="s">
        <v>1185</v>
      </c>
      <c r="B3774" s="3" t="s">
        <v>1289</v>
      </c>
      <c r="C3774" s="3" t="s">
        <v>20</v>
      </c>
      <c r="D3774" s="3" t="s">
        <v>1333</v>
      </c>
      <c r="E3774" s="3" t="s">
        <v>87</v>
      </c>
      <c r="F3774" s="3"/>
      <c r="G3774" s="3"/>
      <c r="H3774" s="3"/>
      <c r="I3774" s="3"/>
    </row>
    <row r="3775" spans="1:9" s="5" customFormat="1" x14ac:dyDescent="0.35">
      <c r="A3775" s="3" t="s">
        <v>1185</v>
      </c>
      <c r="B3775" s="3" t="s">
        <v>1289</v>
      </c>
      <c r="C3775" s="3" t="s">
        <v>20</v>
      </c>
      <c r="D3775" s="3" t="s">
        <v>1333</v>
      </c>
      <c r="E3775" s="3" t="s">
        <v>15</v>
      </c>
      <c r="F3775" s="3" t="s">
        <v>16</v>
      </c>
      <c r="G3775" s="3" t="s">
        <v>1334</v>
      </c>
      <c r="H3775" s="3"/>
      <c r="I3775" s="3"/>
    </row>
    <row r="3776" spans="1:9" s="5" customFormat="1" x14ac:dyDescent="0.35">
      <c r="A3776" s="3" t="s">
        <v>1185</v>
      </c>
      <c r="B3776" s="3" t="s">
        <v>1289</v>
      </c>
      <c r="C3776" s="3" t="s">
        <v>20</v>
      </c>
      <c r="D3776" s="3" t="s">
        <v>1333</v>
      </c>
      <c r="E3776" s="3" t="s">
        <v>56</v>
      </c>
      <c r="F3776" s="3" t="s">
        <v>16</v>
      </c>
      <c r="G3776" s="3" t="s">
        <v>1334</v>
      </c>
      <c r="H3776" s="3"/>
      <c r="I3776" s="3"/>
    </row>
    <row r="3777" spans="1:9" s="5" customFormat="1" x14ac:dyDescent="0.35">
      <c r="A3777" s="3" t="s">
        <v>1185</v>
      </c>
      <c r="B3777" s="3" t="s">
        <v>1289</v>
      </c>
      <c r="C3777" s="3" t="s">
        <v>20</v>
      </c>
      <c r="D3777" s="3" t="s">
        <v>1333</v>
      </c>
      <c r="E3777" s="3" t="s">
        <v>89</v>
      </c>
      <c r="F3777" s="3"/>
      <c r="G3777" s="3"/>
      <c r="H3777" s="3"/>
      <c r="I3777" s="3"/>
    </row>
    <row r="3778" spans="1:9" s="5" customFormat="1" x14ac:dyDescent="0.35">
      <c r="A3778" s="3" t="s">
        <v>1185</v>
      </c>
      <c r="B3778" s="3" t="s">
        <v>1289</v>
      </c>
      <c r="C3778" s="3" t="s">
        <v>20</v>
      </c>
      <c r="D3778" s="3" t="s">
        <v>1333</v>
      </c>
      <c r="E3778" s="3" t="s">
        <v>32</v>
      </c>
      <c r="F3778" s="3"/>
      <c r="G3778" s="3"/>
      <c r="H3778" s="3"/>
      <c r="I3778" s="3"/>
    </row>
    <row r="3779" spans="1:9" s="5" customFormat="1" x14ac:dyDescent="0.35">
      <c r="A3779" s="3" t="s">
        <v>1185</v>
      </c>
      <c r="B3779" s="3" t="s">
        <v>1289</v>
      </c>
      <c r="C3779" s="3" t="s">
        <v>20</v>
      </c>
      <c r="D3779" s="3" t="s">
        <v>1333</v>
      </c>
      <c r="E3779" s="3" t="s">
        <v>29</v>
      </c>
      <c r="F3779" s="3"/>
      <c r="G3779" s="3"/>
      <c r="H3779" s="3"/>
      <c r="I3779" s="3"/>
    </row>
    <row r="3780" spans="1:9" s="5" customFormat="1" x14ac:dyDescent="0.35">
      <c r="A3780" s="3" t="s">
        <v>1185</v>
      </c>
      <c r="B3780" s="3" t="s">
        <v>1289</v>
      </c>
      <c r="C3780" s="3" t="s">
        <v>20</v>
      </c>
      <c r="D3780" s="3" t="s">
        <v>1333</v>
      </c>
      <c r="E3780" s="3" t="s">
        <v>24</v>
      </c>
      <c r="F3780" s="3"/>
      <c r="G3780" s="3"/>
      <c r="H3780" s="3"/>
      <c r="I3780" s="3"/>
    </row>
    <row r="3781" spans="1:9" s="5" customFormat="1" x14ac:dyDescent="0.35">
      <c r="A3781" s="3" t="s">
        <v>1185</v>
      </c>
      <c r="B3781" s="3" t="s">
        <v>1289</v>
      </c>
      <c r="C3781" s="3" t="s">
        <v>20</v>
      </c>
      <c r="D3781" s="3" t="s">
        <v>1333</v>
      </c>
      <c r="E3781" s="3" t="s">
        <v>134</v>
      </c>
      <c r="F3781" s="3"/>
      <c r="G3781" s="3"/>
      <c r="H3781" s="3"/>
      <c r="I3781" s="3"/>
    </row>
    <row r="3782" spans="1:9" s="5" customFormat="1" x14ac:dyDescent="0.35">
      <c r="A3782" s="3" t="s">
        <v>1185</v>
      </c>
      <c r="B3782" s="3" t="s">
        <v>1289</v>
      </c>
      <c r="C3782" s="3" t="s">
        <v>20</v>
      </c>
      <c r="D3782" s="3" t="s">
        <v>1333</v>
      </c>
      <c r="E3782" s="3" t="s">
        <v>244</v>
      </c>
      <c r="F3782" s="3"/>
      <c r="G3782" s="3"/>
      <c r="H3782" s="3"/>
      <c r="I3782" s="3"/>
    </row>
    <row r="3783" spans="1:9" s="5" customFormat="1" x14ac:dyDescent="0.35">
      <c r="A3783" s="3" t="s">
        <v>1185</v>
      </c>
      <c r="B3783" s="3" t="s">
        <v>1289</v>
      </c>
      <c r="C3783" s="3" t="s">
        <v>20</v>
      </c>
      <c r="D3783" s="3" t="s">
        <v>1333</v>
      </c>
      <c r="E3783" s="3" t="s">
        <v>107</v>
      </c>
      <c r="F3783" s="3" t="s">
        <v>16</v>
      </c>
      <c r="G3783" s="3" t="s">
        <v>1335</v>
      </c>
      <c r="H3783" s="3"/>
      <c r="I3783" s="3"/>
    </row>
    <row r="3784" spans="1:9" s="5" customFormat="1" x14ac:dyDescent="0.35">
      <c r="A3784" s="3" t="s">
        <v>1185</v>
      </c>
      <c r="B3784" s="3" t="s">
        <v>1289</v>
      </c>
      <c r="C3784" s="3" t="s">
        <v>10</v>
      </c>
      <c r="D3784" s="3" t="s">
        <v>1336</v>
      </c>
      <c r="E3784" s="3" t="s">
        <v>15</v>
      </c>
      <c r="F3784" s="3" t="s">
        <v>16</v>
      </c>
      <c r="G3784" s="3" t="s">
        <v>1337</v>
      </c>
      <c r="H3784" s="3"/>
      <c r="I3784" s="3"/>
    </row>
    <row r="3785" spans="1:9" s="5" customFormat="1" x14ac:dyDescent="0.35">
      <c r="A3785" s="3" t="s">
        <v>1185</v>
      </c>
      <c r="B3785" s="3" t="s">
        <v>1289</v>
      </c>
      <c r="C3785" s="3" t="s">
        <v>10</v>
      </c>
      <c r="D3785" s="3" t="s">
        <v>1336</v>
      </c>
      <c r="E3785" s="3" t="s">
        <v>1190</v>
      </c>
      <c r="F3785" s="3"/>
      <c r="G3785" s="3"/>
      <c r="H3785" s="3"/>
      <c r="I3785" s="3"/>
    </row>
    <row r="3786" spans="1:9" s="5" customFormat="1" x14ac:dyDescent="0.35">
      <c r="A3786" s="3" t="s">
        <v>1185</v>
      </c>
      <c r="B3786" s="3" t="s">
        <v>1338</v>
      </c>
      <c r="C3786" s="3" t="s">
        <v>10</v>
      </c>
      <c r="D3786" s="3" t="s">
        <v>1339</v>
      </c>
      <c r="E3786" s="3" t="s">
        <v>23</v>
      </c>
      <c r="F3786" s="3" t="s">
        <v>16</v>
      </c>
      <c r="G3786" s="3" t="s">
        <v>1334</v>
      </c>
      <c r="H3786" s="3"/>
      <c r="I3786" s="3"/>
    </row>
    <row r="3787" spans="1:9" s="5" customFormat="1" x14ac:dyDescent="0.35">
      <c r="A3787" s="3" t="s">
        <v>1185</v>
      </c>
      <c r="B3787" s="3" t="s">
        <v>1338</v>
      </c>
      <c r="C3787" s="3" t="s">
        <v>10</v>
      </c>
      <c r="D3787" s="3" t="s">
        <v>1340</v>
      </c>
      <c r="E3787" s="3" t="s">
        <v>28</v>
      </c>
      <c r="F3787" s="3" t="s">
        <v>16</v>
      </c>
      <c r="G3787" s="3" t="s">
        <v>1325</v>
      </c>
      <c r="H3787" s="3"/>
      <c r="I3787" s="3"/>
    </row>
    <row r="3788" spans="1:9" s="5" customFormat="1" x14ac:dyDescent="0.35">
      <c r="A3788" s="3" t="s">
        <v>1185</v>
      </c>
      <c r="B3788" s="3" t="s">
        <v>1338</v>
      </c>
      <c r="C3788" s="3" t="s">
        <v>10</v>
      </c>
      <c r="D3788" s="3" t="s">
        <v>1340</v>
      </c>
      <c r="E3788" s="3" t="s">
        <v>24</v>
      </c>
      <c r="F3788" s="3"/>
      <c r="G3788" s="3"/>
      <c r="H3788" s="3"/>
      <c r="I3788" s="3"/>
    </row>
    <row r="3789" spans="1:9" s="5" customFormat="1" x14ac:dyDescent="0.35">
      <c r="A3789" s="3" t="s">
        <v>1185</v>
      </c>
      <c r="B3789" s="3" t="s">
        <v>1338</v>
      </c>
      <c r="C3789" s="3" t="s">
        <v>45</v>
      </c>
      <c r="D3789" s="3" t="s">
        <v>1341</v>
      </c>
      <c r="E3789" s="3" t="s">
        <v>23</v>
      </c>
      <c r="F3789" s="3" t="s">
        <v>33</v>
      </c>
      <c r="G3789" s="3" t="s">
        <v>723</v>
      </c>
      <c r="H3789" s="3"/>
      <c r="I3789" s="3"/>
    </row>
    <row r="3790" spans="1:9" s="5" customFormat="1" x14ac:dyDescent="0.35">
      <c r="A3790" s="3" t="s">
        <v>1185</v>
      </c>
      <c r="B3790" s="3" t="s">
        <v>1338</v>
      </c>
      <c r="C3790" s="3" t="s">
        <v>45</v>
      </c>
      <c r="D3790" s="3" t="s">
        <v>1341</v>
      </c>
      <c r="E3790" s="3" t="s">
        <v>56</v>
      </c>
      <c r="F3790" s="3" t="s">
        <v>16</v>
      </c>
      <c r="G3790" s="3" t="s">
        <v>2974</v>
      </c>
      <c r="H3790" s="3"/>
      <c r="I3790" s="3"/>
    </row>
    <row r="3791" spans="1:9" s="5" customFormat="1" x14ac:dyDescent="0.35">
      <c r="A3791" s="3" t="s">
        <v>1185</v>
      </c>
      <c r="B3791" s="3" t="s">
        <v>1338</v>
      </c>
      <c r="C3791" s="3" t="s">
        <v>45</v>
      </c>
      <c r="D3791" s="3" t="s">
        <v>1342</v>
      </c>
      <c r="E3791" s="3" t="s">
        <v>12</v>
      </c>
      <c r="F3791" s="3"/>
      <c r="G3791" s="3"/>
      <c r="H3791" s="3"/>
      <c r="I3791" s="3"/>
    </row>
    <row r="3792" spans="1:9" s="5" customFormat="1" x14ac:dyDescent="0.35">
      <c r="A3792" s="3" t="s">
        <v>1185</v>
      </c>
      <c r="B3792" s="3" t="s">
        <v>1338</v>
      </c>
      <c r="C3792" s="3" t="s">
        <v>45</v>
      </c>
      <c r="D3792" s="3" t="s">
        <v>1342</v>
      </c>
      <c r="E3792" s="3" t="s">
        <v>27</v>
      </c>
      <c r="F3792" s="3"/>
      <c r="G3792" s="3" t="s">
        <v>2317</v>
      </c>
      <c r="H3792" s="3"/>
      <c r="I3792" s="3"/>
    </row>
    <row r="3793" spans="1:9" s="5" customFormat="1" x14ac:dyDescent="0.35">
      <c r="A3793" s="3" t="s">
        <v>1185</v>
      </c>
      <c r="B3793" s="3" t="s">
        <v>1338</v>
      </c>
      <c r="C3793" s="3" t="s">
        <v>45</v>
      </c>
      <c r="D3793" s="3" t="s">
        <v>1342</v>
      </c>
      <c r="E3793" s="3" t="s">
        <v>1197</v>
      </c>
      <c r="F3793" s="3"/>
      <c r="G3793" s="3"/>
      <c r="H3793" s="3"/>
      <c r="I3793" s="3"/>
    </row>
    <row r="3794" spans="1:9" s="5" customFormat="1" x14ac:dyDescent="0.35">
      <c r="A3794" s="3" t="s">
        <v>1185</v>
      </c>
      <c r="B3794" s="3" t="s">
        <v>1338</v>
      </c>
      <c r="C3794" s="3" t="s">
        <v>45</v>
      </c>
      <c r="D3794" s="3" t="s">
        <v>1343</v>
      </c>
      <c r="E3794" s="3" t="s">
        <v>23</v>
      </c>
      <c r="F3794" s="3"/>
      <c r="G3794" s="3"/>
      <c r="H3794" s="3"/>
      <c r="I3794" s="3"/>
    </row>
    <row r="3795" spans="1:9" s="5" customFormat="1" x14ac:dyDescent="0.35">
      <c r="A3795" s="3" t="s">
        <v>1185</v>
      </c>
      <c r="B3795" s="3" t="s">
        <v>1338</v>
      </c>
      <c r="C3795" s="3" t="s">
        <v>45</v>
      </c>
      <c r="D3795" s="3" t="s">
        <v>1343</v>
      </c>
      <c r="E3795" s="3" t="s">
        <v>141</v>
      </c>
      <c r="F3795" s="3"/>
      <c r="G3795" s="3"/>
      <c r="H3795" s="3"/>
      <c r="I3795" s="3"/>
    </row>
    <row r="3796" spans="1:9" s="5" customFormat="1" x14ac:dyDescent="0.35">
      <c r="A3796" s="3" t="s">
        <v>1185</v>
      </c>
      <c r="B3796" s="3" t="s">
        <v>1338</v>
      </c>
      <c r="C3796" s="3" t="s">
        <v>45</v>
      </c>
      <c r="D3796" s="3" t="s">
        <v>1343</v>
      </c>
      <c r="E3796" s="3" t="s">
        <v>27</v>
      </c>
      <c r="F3796" s="3"/>
      <c r="G3796" s="3" t="s">
        <v>2317</v>
      </c>
      <c r="H3796" s="3"/>
      <c r="I3796" s="3"/>
    </row>
    <row r="3797" spans="1:9" s="5" customFormat="1" x14ac:dyDescent="0.35">
      <c r="A3797" s="3" t="s">
        <v>1185</v>
      </c>
      <c r="B3797" s="3" t="s">
        <v>1338</v>
      </c>
      <c r="C3797" s="3" t="s">
        <v>45</v>
      </c>
      <c r="D3797" s="3" t="s">
        <v>1343</v>
      </c>
      <c r="E3797" s="3" t="s">
        <v>32</v>
      </c>
      <c r="F3797" s="3" t="s">
        <v>16</v>
      </c>
      <c r="G3797" s="3" t="s">
        <v>1334</v>
      </c>
      <c r="H3797" s="3"/>
      <c r="I3797" s="3"/>
    </row>
    <row r="3798" spans="1:9" s="5" customFormat="1" x14ac:dyDescent="0.35">
      <c r="A3798" s="3" t="s">
        <v>1185</v>
      </c>
      <c r="B3798" s="3" t="s">
        <v>1338</v>
      </c>
      <c r="C3798" s="3" t="s">
        <v>45</v>
      </c>
      <c r="D3798" s="3" t="s">
        <v>1343</v>
      </c>
      <c r="E3798" s="3" t="s">
        <v>24</v>
      </c>
      <c r="F3798" s="3"/>
      <c r="G3798" s="3" t="s">
        <v>2343</v>
      </c>
      <c r="H3798" s="3"/>
      <c r="I3798" s="3"/>
    </row>
    <row r="3799" spans="1:9" s="5" customFormat="1" x14ac:dyDescent="0.35">
      <c r="A3799" s="3" t="s">
        <v>1185</v>
      </c>
      <c r="B3799" s="3" t="s">
        <v>1338</v>
      </c>
      <c r="C3799" s="3" t="s">
        <v>20</v>
      </c>
      <c r="D3799" s="3" t="s">
        <v>1344</v>
      </c>
      <c r="E3799" s="3" t="s">
        <v>12</v>
      </c>
      <c r="F3799" s="3"/>
      <c r="G3799" s="3"/>
      <c r="H3799" s="3"/>
      <c r="I3799" s="3"/>
    </row>
    <row r="3800" spans="1:9" s="5" customFormat="1" x14ac:dyDescent="0.35">
      <c r="A3800" s="3" t="s">
        <v>1185</v>
      </c>
      <c r="B3800" s="3" t="s">
        <v>1338</v>
      </c>
      <c r="C3800" s="3" t="s">
        <v>20</v>
      </c>
      <c r="D3800" s="3" t="s">
        <v>1344</v>
      </c>
      <c r="E3800" s="3" t="s">
        <v>23</v>
      </c>
      <c r="F3800" s="3"/>
      <c r="G3800" s="3"/>
      <c r="H3800" s="3"/>
      <c r="I3800" s="3"/>
    </row>
    <row r="3801" spans="1:9" s="5" customFormat="1" x14ac:dyDescent="0.35">
      <c r="A3801" s="3" t="s">
        <v>1185</v>
      </c>
      <c r="B3801" s="3" t="s">
        <v>1338</v>
      </c>
      <c r="C3801" s="3" t="s">
        <v>10</v>
      </c>
      <c r="D3801" s="3" t="s">
        <v>1345</v>
      </c>
      <c r="E3801" s="3" t="s">
        <v>29</v>
      </c>
      <c r="F3801" s="3"/>
      <c r="G3801" s="3"/>
      <c r="H3801" s="3"/>
      <c r="I3801" s="3"/>
    </row>
    <row r="3802" spans="1:9" s="5" customFormat="1" x14ac:dyDescent="0.35">
      <c r="A3802" s="3" t="s">
        <v>1185</v>
      </c>
      <c r="B3802" s="3" t="s">
        <v>1338</v>
      </c>
      <c r="C3802" s="3" t="s">
        <v>20</v>
      </c>
      <c r="D3802" s="3" t="s">
        <v>1346</v>
      </c>
      <c r="E3802" s="3" t="s">
        <v>12</v>
      </c>
      <c r="F3802" s="3"/>
      <c r="G3802" s="3"/>
      <c r="H3802" s="3"/>
      <c r="I3802" s="3"/>
    </row>
    <row r="3803" spans="1:9" s="5" customFormat="1" x14ac:dyDescent="0.35">
      <c r="A3803" s="3" t="s">
        <v>1185</v>
      </c>
      <c r="B3803" s="3" t="s">
        <v>1338</v>
      </c>
      <c r="C3803" s="3" t="s">
        <v>20</v>
      </c>
      <c r="D3803" s="3" t="s">
        <v>1346</v>
      </c>
      <c r="E3803" s="3" t="s">
        <v>24</v>
      </c>
      <c r="F3803" s="3"/>
      <c r="G3803" s="3"/>
      <c r="H3803" s="3"/>
      <c r="I3803" s="3"/>
    </row>
    <row r="3804" spans="1:9" s="5" customFormat="1" x14ac:dyDescent="0.35">
      <c r="A3804" s="3" t="s">
        <v>1185</v>
      </c>
      <c r="B3804" s="3" t="s">
        <v>1338</v>
      </c>
      <c r="C3804" s="3" t="s">
        <v>10</v>
      </c>
      <c r="D3804" s="3" t="s">
        <v>1347</v>
      </c>
      <c r="E3804" s="3" t="s">
        <v>23</v>
      </c>
      <c r="F3804" s="3" t="s">
        <v>16</v>
      </c>
      <c r="G3804" s="3" t="s">
        <v>1334</v>
      </c>
      <c r="H3804" s="3"/>
      <c r="I3804" s="3"/>
    </row>
    <row r="3805" spans="1:9" s="5" customFormat="1" x14ac:dyDescent="0.35">
      <c r="A3805" s="3" t="s">
        <v>1185</v>
      </c>
      <c r="B3805" s="3" t="s">
        <v>1338</v>
      </c>
      <c r="C3805" s="3" t="s">
        <v>10</v>
      </c>
      <c r="D3805" s="3" t="s">
        <v>1347</v>
      </c>
      <c r="E3805" s="3" t="s">
        <v>29</v>
      </c>
      <c r="F3805" s="3"/>
      <c r="G3805" s="3" t="s">
        <v>2315</v>
      </c>
      <c r="H3805" s="3"/>
      <c r="I3805" s="3"/>
    </row>
    <row r="3806" spans="1:9" s="5" customFormat="1" x14ac:dyDescent="0.35">
      <c r="A3806" s="3" t="s">
        <v>1185</v>
      </c>
      <c r="B3806" s="3" t="s">
        <v>1338</v>
      </c>
      <c r="C3806" s="3" t="s">
        <v>10</v>
      </c>
      <c r="D3806" s="3" t="s">
        <v>1347</v>
      </c>
      <c r="E3806" s="3" t="s">
        <v>134</v>
      </c>
      <c r="F3806" s="3"/>
      <c r="G3806" s="3"/>
      <c r="H3806" s="3"/>
      <c r="I3806" s="3"/>
    </row>
    <row r="3807" spans="1:9" s="5" customFormat="1" x14ac:dyDescent="0.35">
      <c r="A3807" s="3" t="s">
        <v>1185</v>
      </c>
      <c r="B3807" s="3" t="s">
        <v>1338</v>
      </c>
      <c r="C3807" s="3" t="s">
        <v>10</v>
      </c>
      <c r="D3807" s="3" t="s">
        <v>1347</v>
      </c>
      <c r="E3807" s="3" t="s">
        <v>107</v>
      </c>
      <c r="F3807" s="3" t="s">
        <v>16</v>
      </c>
      <c r="G3807" s="3" t="s">
        <v>1325</v>
      </c>
      <c r="H3807" s="3"/>
      <c r="I3807" s="3"/>
    </row>
    <row r="3808" spans="1:9" s="5" customFormat="1" x14ac:dyDescent="0.35">
      <c r="A3808" s="3" t="s">
        <v>1185</v>
      </c>
      <c r="B3808" s="3" t="s">
        <v>1338</v>
      </c>
      <c r="C3808" s="3" t="s">
        <v>10</v>
      </c>
      <c r="D3808" s="3" t="s">
        <v>1348</v>
      </c>
      <c r="E3808" s="3" t="s">
        <v>12</v>
      </c>
      <c r="F3808" s="3"/>
      <c r="G3808" s="3"/>
      <c r="H3808" s="3"/>
      <c r="I3808" s="3"/>
    </row>
    <row r="3809" spans="1:9" s="5" customFormat="1" x14ac:dyDescent="0.35">
      <c r="A3809" s="3" t="s">
        <v>1185</v>
      </c>
      <c r="B3809" s="3" t="s">
        <v>1338</v>
      </c>
      <c r="C3809" s="3" t="s">
        <v>10</v>
      </c>
      <c r="D3809" s="3" t="s">
        <v>1348</v>
      </c>
      <c r="E3809" s="3" t="s">
        <v>23</v>
      </c>
      <c r="F3809" s="3"/>
      <c r="G3809" s="3"/>
      <c r="H3809" s="3"/>
      <c r="I3809" s="3"/>
    </row>
    <row r="3810" spans="1:9" s="5" customFormat="1" x14ac:dyDescent="0.35">
      <c r="A3810" s="3" t="s">
        <v>1185</v>
      </c>
      <c r="B3810" s="3" t="s">
        <v>1338</v>
      </c>
      <c r="C3810" s="3" t="s">
        <v>10</v>
      </c>
      <c r="D3810" s="3" t="s">
        <v>1348</v>
      </c>
      <c r="E3810" s="3" t="s">
        <v>57</v>
      </c>
      <c r="F3810" s="3"/>
      <c r="G3810" s="3"/>
      <c r="H3810" s="3"/>
      <c r="I3810" s="3"/>
    </row>
    <row r="3811" spans="1:9" s="5" customFormat="1" x14ac:dyDescent="0.35">
      <c r="A3811" s="3" t="s">
        <v>1185</v>
      </c>
      <c r="B3811" s="3" t="s">
        <v>1338</v>
      </c>
      <c r="C3811" s="3" t="s">
        <v>10</v>
      </c>
      <c r="D3811" s="3" t="s">
        <v>1349</v>
      </c>
      <c r="E3811" s="3" t="s">
        <v>23</v>
      </c>
      <c r="F3811" s="3" t="s">
        <v>16</v>
      </c>
      <c r="G3811" s="3" t="s">
        <v>1325</v>
      </c>
      <c r="H3811" s="3"/>
      <c r="I3811" s="3"/>
    </row>
    <row r="3812" spans="1:9" s="5" customFormat="1" x14ac:dyDescent="0.35">
      <c r="A3812" s="3" t="s">
        <v>1185</v>
      </c>
      <c r="B3812" s="3" t="s">
        <v>1338</v>
      </c>
      <c r="C3812" s="3" t="s">
        <v>20</v>
      </c>
      <c r="D3812" s="3" t="s">
        <v>1350</v>
      </c>
      <c r="E3812" s="3" t="s">
        <v>23</v>
      </c>
      <c r="F3812" s="3" t="s">
        <v>16</v>
      </c>
      <c r="G3812" s="3" t="s">
        <v>1351</v>
      </c>
      <c r="H3812" s="3"/>
      <c r="I3812" s="3"/>
    </row>
    <row r="3813" spans="1:9" s="5" customFormat="1" x14ac:dyDescent="0.35">
      <c r="A3813" s="3" t="s">
        <v>1185</v>
      </c>
      <c r="B3813" s="3" t="s">
        <v>1338</v>
      </c>
      <c r="C3813" s="3" t="s">
        <v>20</v>
      </c>
      <c r="D3813" s="3" t="s">
        <v>1350</v>
      </c>
      <c r="E3813" s="3" t="s">
        <v>27</v>
      </c>
      <c r="F3813" s="3"/>
      <c r="G3813" s="3"/>
      <c r="H3813" s="3"/>
      <c r="I3813" s="3"/>
    </row>
    <row r="3814" spans="1:9" s="5" customFormat="1" x14ac:dyDescent="0.35">
      <c r="A3814" s="3" t="s">
        <v>1185</v>
      </c>
      <c r="B3814" s="3" t="s">
        <v>1338</v>
      </c>
      <c r="C3814" s="3" t="s">
        <v>20</v>
      </c>
      <c r="D3814" s="3" t="s">
        <v>1350</v>
      </c>
      <c r="E3814" s="3" t="s">
        <v>77</v>
      </c>
      <c r="F3814" s="3"/>
      <c r="G3814" s="3"/>
      <c r="H3814" s="3"/>
      <c r="I3814" s="3"/>
    </row>
    <row r="3815" spans="1:9" s="5" customFormat="1" x14ac:dyDescent="0.35">
      <c r="A3815" s="3" t="s">
        <v>1185</v>
      </c>
      <c r="B3815" s="3" t="s">
        <v>1338</v>
      </c>
      <c r="C3815" s="3" t="s">
        <v>20</v>
      </c>
      <c r="D3815" s="3" t="s">
        <v>1350</v>
      </c>
      <c r="E3815" s="3" t="s">
        <v>15</v>
      </c>
      <c r="F3815" s="3" t="s">
        <v>16</v>
      </c>
      <c r="G3815" s="3" t="s">
        <v>1353</v>
      </c>
      <c r="H3815" s="3"/>
      <c r="I3815" s="3"/>
    </row>
    <row r="3816" spans="1:9" s="5" customFormat="1" x14ac:dyDescent="0.35">
      <c r="A3816" s="3" t="s">
        <v>1185</v>
      </c>
      <c r="B3816" s="3" t="s">
        <v>1338</v>
      </c>
      <c r="C3816" s="3" t="s">
        <v>20</v>
      </c>
      <c r="D3816" s="3" t="s">
        <v>1350</v>
      </c>
      <c r="E3816" s="3" t="s">
        <v>56</v>
      </c>
      <c r="F3816" s="3" t="s">
        <v>16</v>
      </c>
      <c r="G3816" s="3" t="s">
        <v>1352</v>
      </c>
      <c r="H3816" s="3"/>
      <c r="I3816" s="3"/>
    </row>
    <row r="3817" spans="1:9" s="5" customFormat="1" x14ac:dyDescent="0.35">
      <c r="A3817" s="3" t="s">
        <v>1185</v>
      </c>
      <c r="B3817" s="3" t="s">
        <v>1338</v>
      </c>
      <c r="C3817" s="3" t="s">
        <v>20</v>
      </c>
      <c r="D3817" s="3" t="s">
        <v>1350</v>
      </c>
      <c r="E3817" s="3" t="s">
        <v>1197</v>
      </c>
      <c r="F3817" s="3"/>
      <c r="G3817" s="3"/>
      <c r="H3817" s="3"/>
      <c r="I3817" s="3"/>
    </row>
    <row r="3818" spans="1:9" s="5" customFormat="1" x14ac:dyDescent="0.35">
      <c r="A3818" s="3" t="s">
        <v>1185</v>
      </c>
      <c r="B3818" s="3" t="s">
        <v>1338</v>
      </c>
      <c r="C3818" s="3" t="s">
        <v>20</v>
      </c>
      <c r="D3818" s="3" t="s">
        <v>1350</v>
      </c>
      <c r="E3818" s="3" t="s">
        <v>24</v>
      </c>
      <c r="F3818" s="3"/>
      <c r="G3818" s="3"/>
      <c r="H3818" s="3"/>
      <c r="I3818" s="3"/>
    </row>
    <row r="3819" spans="1:9" s="5" customFormat="1" x14ac:dyDescent="0.35">
      <c r="A3819" s="3" t="s">
        <v>1185</v>
      </c>
      <c r="B3819" s="3" t="s">
        <v>1338</v>
      </c>
      <c r="C3819" s="3" t="s">
        <v>20</v>
      </c>
      <c r="D3819" s="3" t="s">
        <v>1350</v>
      </c>
      <c r="E3819" s="3" t="s">
        <v>134</v>
      </c>
      <c r="F3819" s="3" t="s">
        <v>16</v>
      </c>
      <c r="G3819" s="3" t="s">
        <v>1354</v>
      </c>
      <c r="H3819" s="3"/>
      <c r="I3819" s="3"/>
    </row>
    <row r="3820" spans="1:9" s="5" customFormat="1" x14ac:dyDescent="0.35">
      <c r="A3820" s="3" t="s">
        <v>1185</v>
      </c>
      <c r="B3820" s="3" t="s">
        <v>1338</v>
      </c>
      <c r="C3820" s="3" t="s">
        <v>20</v>
      </c>
      <c r="D3820" s="3" t="s">
        <v>2811</v>
      </c>
      <c r="E3820" s="3" t="s">
        <v>23</v>
      </c>
      <c r="F3820" s="3" t="s">
        <v>16</v>
      </c>
      <c r="G3820" s="3" t="s">
        <v>2814</v>
      </c>
      <c r="H3820" s="3"/>
      <c r="I3820" s="3"/>
    </row>
    <row r="3821" spans="1:9" s="5" customFormat="1" x14ac:dyDescent="0.35">
      <c r="A3821" s="3" t="s">
        <v>1185</v>
      </c>
      <c r="B3821" s="3" t="s">
        <v>1338</v>
      </c>
      <c r="C3821" s="3" t="s">
        <v>20</v>
      </c>
      <c r="D3821" s="3" t="s">
        <v>2811</v>
      </c>
      <c r="E3821" s="3" t="s">
        <v>25</v>
      </c>
      <c r="F3821" s="3"/>
      <c r="G3821" s="3"/>
      <c r="H3821" s="3"/>
      <c r="I3821" s="3"/>
    </row>
    <row r="3822" spans="1:9" s="5" customFormat="1" x14ac:dyDescent="0.35">
      <c r="A3822" s="3" t="s">
        <v>1185</v>
      </c>
      <c r="B3822" s="3" t="s">
        <v>1338</v>
      </c>
      <c r="C3822" s="3" t="s">
        <v>20</v>
      </c>
      <c r="D3822" s="3" t="s">
        <v>2811</v>
      </c>
      <c r="E3822" s="3" t="s">
        <v>27</v>
      </c>
      <c r="F3822" s="3"/>
      <c r="G3822" s="3"/>
      <c r="H3822" s="3"/>
      <c r="I3822" s="3"/>
    </row>
    <row r="3823" spans="1:9" s="5" customFormat="1" x14ac:dyDescent="0.35">
      <c r="A3823" s="3" t="s">
        <v>1185</v>
      </c>
      <c r="B3823" s="3" t="s">
        <v>1338</v>
      </c>
      <c r="C3823" s="3" t="s">
        <v>20</v>
      </c>
      <c r="D3823" s="3" t="s">
        <v>2811</v>
      </c>
      <c r="E3823" s="3" t="s">
        <v>87</v>
      </c>
      <c r="F3823" s="3"/>
      <c r="G3823" s="3"/>
      <c r="H3823" s="3"/>
      <c r="I3823" s="3"/>
    </row>
    <row r="3824" spans="1:9" s="5" customFormat="1" x14ac:dyDescent="0.35">
      <c r="A3824" s="3" t="s">
        <v>1185</v>
      </c>
      <c r="B3824" s="3" t="s">
        <v>1338</v>
      </c>
      <c r="C3824" s="3" t="s">
        <v>20</v>
      </c>
      <c r="D3824" s="3" t="s">
        <v>2811</v>
      </c>
      <c r="E3824" s="3" t="s">
        <v>15</v>
      </c>
      <c r="F3824" s="3" t="s">
        <v>16</v>
      </c>
      <c r="G3824" s="3" t="s">
        <v>2813</v>
      </c>
      <c r="H3824" s="3"/>
      <c r="I3824" s="3"/>
    </row>
    <row r="3825" spans="1:9" s="5" customFormat="1" x14ac:dyDescent="0.35">
      <c r="A3825" s="3" t="s">
        <v>1185</v>
      </c>
      <c r="B3825" s="3" t="s">
        <v>1338</v>
      </c>
      <c r="C3825" s="3" t="s">
        <v>20</v>
      </c>
      <c r="D3825" s="3" t="s">
        <v>2811</v>
      </c>
      <c r="E3825" s="3" t="s">
        <v>32</v>
      </c>
      <c r="F3825" s="3" t="s">
        <v>16</v>
      </c>
      <c r="G3825" s="3" t="s">
        <v>2812</v>
      </c>
      <c r="H3825" s="3"/>
      <c r="I3825" s="3"/>
    </row>
    <row r="3826" spans="1:9" s="5" customFormat="1" x14ac:dyDescent="0.35">
      <c r="A3826" s="3" t="s">
        <v>1185</v>
      </c>
      <c r="B3826" s="3" t="s">
        <v>1338</v>
      </c>
      <c r="C3826" s="3" t="s">
        <v>20</v>
      </c>
      <c r="D3826" s="3" t="s">
        <v>2811</v>
      </c>
      <c r="E3826" s="3" t="s">
        <v>24</v>
      </c>
      <c r="F3826" s="3"/>
      <c r="G3826" s="3"/>
      <c r="H3826" s="3"/>
      <c r="I3826" s="3"/>
    </row>
    <row r="3827" spans="1:9" s="5" customFormat="1" x14ac:dyDescent="0.35">
      <c r="A3827" s="3" t="s">
        <v>1185</v>
      </c>
      <c r="B3827" s="3" t="s">
        <v>1338</v>
      </c>
      <c r="C3827" s="3" t="s">
        <v>45</v>
      </c>
      <c r="D3827" s="3" t="s">
        <v>1355</v>
      </c>
      <c r="E3827" s="3" t="s">
        <v>23</v>
      </c>
      <c r="F3827" s="3" t="s">
        <v>16</v>
      </c>
      <c r="G3827" s="3" t="s">
        <v>1356</v>
      </c>
      <c r="H3827" s="3"/>
      <c r="I3827" s="3"/>
    </row>
    <row r="3828" spans="1:9" s="5" customFormat="1" x14ac:dyDescent="0.35">
      <c r="A3828" s="3" t="s">
        <v>1185</v>
      </c>
      <c r="B3828" s="3" t="s">
        <v>1338</v>
      </c>
      <c r="C3828" s="3" t="s">
        <v>45</v>
      </c>
      <c r="D3828" s="3" t="s">
        <v>1355</v>
      </c>
      <c r="E3828" s="3" t="s">
        <v>71</v>
      </c>
      <c r="F3828" s="3"/>
      <c r="G3828" s="3"/>
      <c r="H3828" s="3"/>
      <c r="I3828" s="3"/>
    </row>
    <row r="3829" spans="1:9" s="5" customFormat="1" x14ac:dyDescent="0.35">
      <c r="A3829" s="3" t="s">
        <v>1185</v>
      </c>
      <c r="B3829" s="3" t="s">
        <v>1338</v>
      </c>
      <c r="C3829" s="3" t="s">
        <v>45</v>
      </c>
      <c r="D3829" s="3" t="s">
        <v>1355</v>
      </c>
      <c r="E3829" s="3" t="s">
        <v>15</v>
      </c>
      <c r="F3829" s="3" t="s">
        <v>16</v>
      </c>
      <c r="G3829" s="3" t="s">
        <v>1356</v>
      </c>
      <c r="H3829" s="3"/>
      <c r="I3829" s="3"/>
    </row>
    <row r="3830" spans="1:9" s="5" customFormat="1" x14ac:dyDescent="0.35">
      <c r="A3830" s="3" t="s">
        <v>1185</v>
      </c>
      <c r="B3830" s="3" t="s">
        <v>1338</v>
      </c>
      <c r="C3830" s="3" t="s">
        <v>45</v>
      </c>
      <c r="D3830" s="3" t="s">
        <v>1355</v>
      </c>
      <c r="E3830" s="3" t="s">
        <v>24</v>
      </c>
      <c r="F3830" s="3"/>
      <c r="G3830" s="3"/>
      <c r="H3830" s="3"/>
      <c r="I3830" s="3"/>
    </row>
    <row r="3831" spans="1:9" s="5" customFormat="1" x14ac:dyDescent="0.35">
      <c r="A3831" s="3" t="s">
        <v>1185</v>
      </c>
      <c r="B3831" s="3" t="s">
        <v>1338</v>
      </c>
      <c r="C3831" s="3" t="s">
        <v>39</v>
      </c>
      <c r="D3831" s="3" t="s">
        <v>1357</v>
      </c>
      <c r="E3831" s="3" t="s">
        <v>27</v>
      </c>
      <c r="F3831" s="3"/>
      <c r="G3831" s="3"/>
      <c r="H3831" s="3"/>
      <c r="I3831" s="3"/>
    </row>
    <row r="3832" spans="1:9" s="5" customFormat="1" x14ac:dyDescent="0.35">
      <c r="A3832" s="3" t="s">
        <v>1185</v>
      </c>
      <c r="B3832" s="3" t="s">
        <v>1338</v>
      </c>
      <c r="C3832" s="3" t="s">
        <v>39</v>
      </c>
      <c r="D3832" s="3" t="s">
        <v>1358</v>
      </c>
      <c r="E3832" s="3" t="s">
        <v>15</v>
      </c>
      <c r="F3832" s="3" t="s">
        <v>16</v>
      </c>
      <c r="G3832" s="3" t="s">
        <v>1359</v>
      </c>
      <c r="H3832" s="3"/>
      <c r="I3832" s="3"/>
    </row>
    <row r="3833" spans="1:9" s="5" customFormat="1" x14ac:dyDescent="0.35">
      <c r="A3833" s="3" t="s">
        <v>1185</v>
      </c>
      <c r="B3833" s="3" t="s">
        <v>1338</v>
      </c>
      <c r="C3833" s="3" t="s">
        <v>39</v>
      </c>
      <c r="D3833" s="3" t="s">
        <v>1358</v>
      </c>
      <c r="E3833" s="3" t="s">
        <v>32</v>
      </c>
      <c r="F3833" s="3" t="s">
        <v>16</v>
      </c>
      <c r="G3833" s="3" t="s">
        <v>1359</v>
      </c>
      <c r="H3833" s="3"/>
      <c r="I3833" s="3"/>
    </row>
    <row r="3834" spans="1:9" s="5" customFormat="1" x14ac:dyDescent="0.35">
      <c r="A3834" s="3" t="s">
        <v>1185</v>
      </c>
      <c r="B3834" s="3" t="s">
        <v>1338</v>
      </c>
      <c r="C3834" s="3" t="s">
        <v>45</v>
      </c>
      <c r="D3834" s="3" t="s">
        <v>1360</v>
      </c>
      <c r="E3834" s="3" t="s">
        <v>23</v>
      </c>
      <c r="F3834" s="3" t="s">
        <v>16</v>
      </c>
      <c r="G3834" s="3" t="s">
        <v>1334</v>
      </c>
      <c r="H3834" s="3"/>
      <c r="I3834" s="3"/>
    </row>
    <row r="3835" spans="1:9" s="5" customFormat="1" x14ac:dyDescent="0.35">
      <c r="A3835" s="3" t="s">
        <v>1185</v>
      </c>
      <c r="B3835" s="3" t="s">
        <v>1338</v>
      </c>
      <c r="C3835" s="3" t="s">
        <v>45</v>
      </c>
      <c r="D3835" s="3" t="s">
        <v>1360</v>
      </c>
      <c r="E3835" s="3" t="s">
        <v>15</v>
      </c>
      <c r="F3835" s="3" t="s">
        <v>16</v>
      </c>
      <c r="G3835" s="3" t="s">
        <v>1334</v>
      </c>
      <c r="H3835" s="3"/>
      <c r="I3835" s="3"/>
    </row>
    <row r="3836" spans="1:9" s="5" customFormat="1" x14ac:dyDescent="0.35">
      <c r="A3836" s="3" t="s">
        <v>1185</v>
      </c>
      <c r="B3836" s="3" t="s">
        <v>1338</v>
      </c>
      <c r="C3836" s="3" t="s">
        <v>10</v>
      </c>
      <c r="D3836" s="3" t="s">
        <v>1361</v>
      </c>
      <c r="E3836" s="3" t="s">
        <v>23</v>
      </c>
      <c r="F3836" s="3" t="s">
        <v>16</v>
      </c>
      <c r="G3836" s="3" t="s">
        <v>1362</v>
      </c>
      <c r="H3836" s="3"/>
      <c r="I3836" s="3"/>
    </row>
    <row r="3837" spans="1:9" s="5" customFormat="1" x14ac:dyDescent="0.35">
      <c r="A3837" s="3" t="s">
        <v>1185</v>
      </c>
      <c r="B3837" s="3" t="s">
        <v>1338</v>
      </c>
      <c r="C3837" s="3" t="s">
        <v>10</v>
      </c>
      <c r="D3837" s="3" t="s">
        <v>1361</v>
      </c>
      <c r="E3837" s="3" t="s">
        <v>15</v>
      </c>
      <c r="F3837" s="3" t="s">
        <v>16</v>
      </c>
      <c r="G3837" s="3" t="s">
        <v>1363</v>
      </c>
      <c r="H3837" s="3"/>
      <c r="I3837" s="3"/>
    </row>
    <row r="3838" spans="1:9" s="5" customFormat="1" x14ac:dyDescent="0.35">
      <c r="A3838" s="3" t="s">
        <v>1185</v>
      </c>
      <c r="B3838" s="3" t="s">
        <v>1338</v>
      </c>
      <c r="C3838" s="3" t="s">
        <v>45</v>
      </c>
      <c r="D3838" s="3" t="s">
        <v>1364</v>
      </c>
      <c r="E3838" s="3" t="s">
        <v>23</v>
      </c>
      <c r="F3838" s="3" t="s">
        <v>16</v>
      </c>
      <c r="G3838" s="3" t="s">
        <v>1365</v>
      </c>
      <c r="H3838" s="3"/>
      <c r="I3838" s="3"/>
    </row>
    <row r="3839" spans="1:9" s="5" customFormat="1" x14ac:dyDescent="0.35">
      <c r="A3839" s="3" t="s">
        <v>1185</v>
      </c>
      <c r="B3839" s="3" t="s">
        <v>1338</v>
      </c>
      <c r="C3839" s="3" t="s">
        <v>45</v>
      </c>
      <c r="D3839" s="3" t="s">
        <v>1364</v>
      </c>
      <c r="E3839" s="3" t="s">
        <v>87</v>
      </c>
      <c r="F3839" s="3" t="s">
        <v>16</v>
      </c>
      <c r="G3839" s="3" t="s">
        <v>1365</v>
      </c>
      <c r="H3839" s="3"/>
      <c r="I3839" s="3"/>
    </row>
    <row r="3840" spans="1:9" s="5" customFormat="1" x14ac:dyDescent="0.35">
      <c r="A3840" s="3" t="s">
        <v>1185</v>
      </c>
      <c r="B3840" s="3" t="s">
        <v>1338</v>
      </c>
      <c r="C3840" s="3" t="s">
        <v>45</v>
      </c>
      <c r="D3840" s="3" t="s">
        <v>1366</v>
      </c>
      <c r="E3840" s="3" t="s">
        <v>23</v>
      </c>
      <c r="F3840" s="3" t="s">
        <v>16</v>
      </c>
      <c r="G3840" s="3" t="s">
        <v>1334</v>
      </c>
      <c r="H3840" s="3"/>
      <c r="I3840" s="3"/>
    </row>
    <row r="3841" spans="1:9" s="5" customFormat="1" x14ac:dyDescent="0.35">
      <c r="A3841" s="3" t="s">
        <v>1185</v>
      </c>
      <c r="B3841" s="3" t="s">
        <v>1338</v>
      </c>
      <c r="C3841" s="3" t="s">
        <v>45</v>
      </c>
      <c r="D3841" s="3" t="s">
        <v>1366</v>
      </c>
      <c r="E3841" s="3" t="s">
        <v>77</v>
      </c>
      <c r="F3841" s="3"/>
      <c r="G3841" s="3"/>
      <c r="H3841" s="3"/>
      <c r="I3841" s="3"/>
    </row>
    <row r="3842" spans="1:9" s="5" customFormat="1" x14ac:dyDescent="0.35">
      <c r="A3842" s="3" t="s">
        <v>1185</v>
      </c>
      <c r="B3842" s="3" t="s">
        <v>1338</v>
      </c>
      <c r="C3842" s="3" t="s">
        <v>45</v>
      </c>
      <c r="D3842" s="3" t="s">
        <v>1366</v>
      </c>
      <c r="E3842" s="3" t="s">
        <v>15</v>
      </c>
      <c r="F3842" s="3"/>
      <c r="G3842" s="3"/>
      <c r="H3842" s="3"/>
      <c r="I3842" s="3"/>
    </row>
    <row r="3843" spans="1:9" s="5" customFormat="1" x14ac:dyDescent="0.35">
      <c r="A3843" s="3" t="s">
        <v>1185</v>
      </c>
      <c r="B3843" s="3" t="s">
        <v>1338</v>
      </c>
      <c r="C3843" s="3" t="s">
        <v>45</v>
      </c>
      <c r="D3843" s="3" t="s">
        <v>1366</v>
      </c>
      <c r="E3843" s="3" t="s">
        <v>56</v>
      </c>
      <c r="F3843" s="3"/>
      <c r="G3843" s="3"/>
      <c r="H3843" s="3"/>
      <c r="I3843" s="3"/>
    </row>
    <row r="3844" spans="1:9" s="5" customFormat="1" x14ac:dyDescent="0.35">
      <c r="A3844" s="3" t="s">
        <v>1185</v>
      </c>
      <c r="B3844" s="3" t="s">
        <v>1338</v>
      </c>
      <c r="C3844" s="3" t="s">
        <v>45</v>
      </c>
      <c r="D3844" s="3" t="s">
        <v>1367</v>
      </c>
      <c r="E3844" s="3" t="s">
        <v>23</v>
      </c>
      <c r="F3844" s="3"/>
      <c r="G3844" s="3"/>
      <c r="H3844" s="3"/>
      <c r="I3844" s="3"/>
    </row>
    <row r="3845" spans="1:9" s="5" customFormat="1" x14ac:dyDescent="0.35">
      <c r="A3845" s="3" t="s">
        <v>1185</v>
      </c>
      <c r="B3845" s="3" t="s">
        <v>1338</v>
      </c>
      <c r="C3845" s="3" t="s">
        <v>45</v>
      </c>
      <c r="D3845" s="3" t="s">
        <v>1367</v>
      </c>
      <c r="E3845" s="3" t="s">
        <v>15</v>
      </c>
      <c r="F3845" s="3" t="s">
        <v>16</v>
      </c>
      <c r="G3845" s="3" t="s">
        <v>1368</v>
      </c>
      <c r="H3845" s="3"/>
      <c r="I3845" s="3"/>
    </row>
    <row r="3846" spans="1:9" s="5" customFormat="1" x14ac:dyDescent="0.35">
      <c r="A3846" s="3" t="s">
        <v>1185</v>
      </c>
      <c r="B3846" s="3" t="s">
        <v>1338</v>
      </c>
      <c r="C3846" s="3" t="s">
        <v>45</v>
      </c>
      <c r="D3846" s="3" t="s">
        <v>1369</v>
      </c>
      <c r="E3846" s="3" t="s">
        <v>23</v>
      </c>
      <c r="F3846" s="3"/>
      <c r="G3846" s="3"/>
      <c r="H3846" s="3"/>
      <c r="I3846" s="3"/>
    </row>
    <row r="3847" spans="1:9" s="5" customFormat="1" x14ac:dyDescent="0.35">
      <c r="A3847" s="3" t="s">
        <v>1185</v>
      </c>
      <c r="B3847" s="3" t="s">
        <v>1338</v>
      </c>
      <c r="C3847" s="3" t="s">
        <v>42</v>
      </c>
      <c r="D3847" s="3" t="s">
        <v>1370</v>
      </c>
      <c r="E3847" s="3" t="s">
        <v>23</v>
      </c>
      <c r="F3847" s="3"/>
      <c r="G3847" s="3"/>
      <c r="H3847" s="3"/>
      <c r="I3847" s="3"/>
    </row>
    <row r="3848" spans="1:9" s="5" customFormat="1" x14ac:dyDescent="0.35">
      <c r="A3848" s="3" t="s">
        <v>1185</v>
      </c>
      <c r="B3848" s="3" t="s">
        <v>1338</v>
      </c>
      <c r="C3848" s="3" t="s">
        <v>42</v>
      </c>
      <c r="D3848" s="3" t="s">
        <v>1370</v>
      </c>
      <c r="E3848" s="3" t="s">
        <v>87</v>
      </c>
      <c r="F3848" s="3"/>
      <c r="G3848" s="3"/>
      <c r="H3848" s="3"/>
      <c r="I3848" s="3"/>
    </row>
    <row r="3849" spans="1:9" s="5" customFormat="1" x14ac:dyDescent="0.35">
      <c r="A3849" s="3" t="s">
        <v>1185</v>
      </c>
      <c r="B3849" s="3" t="s">
        <v>1338</v>
      </c>
      <c r="C3849" s="3" t="s">
        <v>42</v>
      </c>
      <c r="D3849" s="3" t="s">
        <v>1370</v>
      </c>
      <c r="E3849" s="3" t="s">
        <v>15</v>
      </c>
      <c r="F3849" s="3" t="s">
        <v>16</v>
      </c>
      <c r="G3849" s="3" t="s">
        <v>1372</v>
      </c>
      <c r="H3849" s="3"/>
      <c r="I3849" s="3"/>
    </row>
    <row r="3850" spans="1:9" s="5" customFormat="1" x14ac:dyDescent="0.35">
      <c r="A3850" s="3" t="s">
        <v>1185</v>
      </c>
      <c r="B3850" s="3" t="s">
        <v>1338</v>
      </c>
      <c r="C3850" s="3" t="s">
        <v>42</v>
      </c>
      <c r="D3850" s="3" t="s">
        <v>1370</v>
      </c>
      <c r="E3850" s="3" t="s">
        <v>56</v>
      </c>
      <c r="F3850" s="3"/>
      <c r="G3850" s="3"/>
      <c r="H3850" s="3"/>
      <c r="I3850" s="3"/>
    </row>
    <row r="3851" spans="1:9" s="5" customFormat="1" x14ac:dyDescent="0.35">
      <c r="A3851" s="3" t="s">
        <v>1185</v>
      </c>
      <c r="B3851" s="3" t="s">
        <v>1338</v>
      </c>
      <c r="C3851" s="3" t="s">
        <v>42</v>
      </c>
      <c r="D3851" s="3" t="s">
        <v>1370</v>
      </c>
      <c r="E3851" s="3" t="s">
        <v>32</v>
      </c>
      <c r="F3851" s="3" t="s">
        <v>16</v>
      </c>
      <c r="G3851" s="3" t="s">
        <v>1371</v>
      </c>
      <c r="H3851" s="3"/>
      <c r="I3851" s="3"/>
    </row>
    <row r="3852" spans="1:9" s="5" customFormat="1" x14ac:dyDescent="0.35">
      <c r="A3852" s="3" t="s">
        <v>1185</v>
      </c>
      <c r="B3852" s="3" t="s">
        <v>1338</v>
      </c>
      <c r="C3852" s="3" t="s">
        <v>42</v>
      </c>
      <c r="D3852" s="3" t="s">
        <v>1370</v>
      </c>
      <c r="E3852" s="3" t="s">
        <v>24</v>
      </c>
      <c r="F3852" s="3"/>
      <c r="G3852" s="3"/>
      <c r="H3852" s="3"/>
      <c r="I3852" s="3"/>
    </row>
    <row r="3853" spans="1:9" s="5" customFormat="1" x14ac:dyDescent="0.35">
      <c r="A3853" s="3" t="s">
        <v>1185</v>
      </c>
      <c r="B3853" s="3" t="s">
        <v>1338</v>
      </c>
      <c r="C3853" s="3" t="s">
        <v>42</v>
      </c>
      <c r="D3853" s="3" t="s">
        <v>1370</v>
      </c>
      <c r="E3853" s="3" t="s">
        <v>107</v>
      </c>
      <c r="F3853" s="3" t="s">
        <v>16</v>
      </c>
      <c r="G3853" s="3" t="s">
        <v>1373</v>
      </c>
      <c r="H3853" s="3"/>
      <c r="I3853" s="3"/>
    </row>
    <row r="3854" spans="1:9" s="5" customFormat="1" x14ac:dyDescent="0.35">
      <c r="A3854" s="3" t="s">
        <v>1185</v>
      </c>
      <c r="B3854" s="3" t="s">
        <v>1338</v>
      </c>
      <c r="C3854" s="3" t="s">
        <v>20</v>
      </c>
      <c r="D3854" s="3" t="s">
        <v>1374</v>
      </c>
      <c r="E3854" s="3" t="s">
        <v>36</v>
      </c>
      <c r="F3854" s="3" t="s">
        <v>16</v>
      </c>
      <c r="G3854" s="3" t="s">
        <v>1375</v>
      </c>
      <c r="H3854" s="3"/>
      <c r="I3854" s="3"/>
    </row>
    <row r="3855" spans="1:9" s="5" customFormat="1" x14ac:dyDescent="0.35">
      <c r="A3855" s="3" t="s">
        <v>1185</v>
      </c>
      <c r="B3855" s="3" t="s">
        <v>1338</v>
      </c>
      <c r="C3855" s="3" t="s">
        <v>20</v>
      </c>
      <c r="D3855" s="3" t="s">
        <v>1374</v>
      </c>
      <c r="E3855" s="3" t="s">
        <v>23</v>
      </c>
      <c r="F3855" s="3"/>
      <c r="G3855" s="3"/>
      <c r="H3855" s="3"/>
      <c r="I3855" s="3"/>
    </row>
    <row r="3856" spans="1:9" s="5" customFormat="1" x14ac:dyDescent="0.35">
      <c r="A3856" s="3" t="s">
        <v>1185</v>
      </c>
      <c r="B3856" s="3" t="s">
        <v>1338</v>
      </c>
      <c r="C3856" s="3" t="s">
        <v>20</v>
      </c>
      <c r="D3856" s="3" t="s">
        <v>1374</v>
      </c>
      <c r="E3856" s="3" t="s">
        <v>25</v>
      </c>
      <c r="F3856" s="3"/>
      <c r="G3856" s="3"/>
      <c r="H3856" s="3"/>
      <c r="I3856" s="3"/>
    </row>
    <row r="3857" spans="1:9" s="5" customFormat="1" x14ac:dyDescent="0.35">
      <c r="A3857" s="3" t="s">
        <v>1185</v>
      </c>
      <c r="B3857" s="3" t="s">
        <v>1338</v>
      </c>
      <c r="C3857" s="3" t="s">
        <v>20</v>
      </c>
      <c r="D3857" s="3" t="s">
        <v>1374</v>
      </c>
      <c r="E3857" s="3" t="s">
        <v>60</v>
      </c>
      <c r="F3857" s="3" t="s">
        <v>16</v>
      </c>
      <c r="G3857" s="3" t="s">
        <v>1376</v>
      </c>
      <c r="H3857" s="3"/>
      <c r="I3857" s="3"/>
    </row>
    <row r="3858" spans="1:9" s="5" customFormat="1" x14ac:dyDescent="0.35">
      <c r="A3858" s="3" t="s">
        <v>1185</v>
      </c>
      <c r="B3858" s="3" t="s">
        <v>1338</v>
      </c>
      <c r="C3858" s="3" t="s">
        <v>20</v>
      </c>
      <c r="D3858" s="3" t="s">
        <v>1374</v>
      </c>
      <c r="E3858" s="3" t="s">
        <v>141</v>
      </c>
      <c r="F3858" s="3"/>
      <c r="G3858" s="3"/>
      <c r="H3858" s="3"/>
      <c r="I3858" s="3"/>
    </row>
    <row r="3859" spans="1:9" s="5" customFormat="1" x14ac:dyDescent="0.35">
      <c r="A3859" s="3" t="s">
        <v>1185</v>
      </c>
      <c r="B3859" s="3" t="s">
        <v>1338</v>
      </c>
      <c r="C3859" s="3" t="s">
        <v>20</v>
      </c>
      <c r="D3859" s="3" t="s">
        <v>1374</v>
      </c>
      <c r="E3859" s="3" t="s">
        <v>77</v>
      </c>
      <c r="F3859" s="3"/>
      <c r="G3859" s="3"/>
      <c r="H3859" s="3"/>
      <c r="I3859" s="3"/>
    </row>
    <row r="3860" spans="1:9" s="5" customFormat="1" x14ac:dyDescent="0.35">
      <c r="A3860" s="3" t="s">
        <v>1185</v>
      </c>
      <c r="B3860" s="3" t="s">
        <v>1338</v>
      </c>
      <c r="C3860" s="3" t="s">
        <v>20</v>
      </c>
      <c r="D3860" s="3" t="s">
        <v>1374</v>
      </c>
      <c r="E3860" s="3" t="s">
        <v>87</v>
      </c>
      <c r="F3860" s="3"/>
      <c r="G3860" s="3"/>
      <c r="H3860" s="3"/>
      <c r="I3860" s="3"/>
    </row>
    <row r="3861" spans="1:9" s="5" customFormat="1" x14ac:dyDescent="0.35">
      <c r="A3861" s="3" t="s">
        <v>1185</v>
      </c>
      <c r="B3861" s="3" t="s">
        <v>1338</v>
      </c>
      <c r="C3861" s="3" t="s">
        <v>20</v>
      </c>
      <c r="D3861" s="3" t="s">
        <v>1374</v>
      </c>
      <c r="E3861" s="3" t="s">
        <v>15</v>
      </c>
      <c r="F3861" s="3" t="s">
        <v>16</v>
      </c>
      <c r="G3861" s="3" t="s">
        <v>1377</v>
      </c>
      <c r="H3861" s="3"/>
      <c r="I3861" s="3"/>
    </row>
    <row r="3862" spans="1:9" s="5" customFormat="1" x14ac:dyDescent="0.35">
      <c r="A3862" s="3" t="s">
        <v>1185</v>
      </c>
      <c r="B3862" s="3" t="s">
        <v>1338</v>
      </c>
      <c r="C3862" s="3" t="s">
        <v>20</v>
      </c>
      <c r="D3862" s="3" t="s">
        <v>1374</v>
      </c>
      <c r="E3862" s="3" t="s">
        <v>56</v>
      </c>
      <c r="F3862" s="3"/>
      <c r="G3862" s="3" t="s">
        <v>2426</v>
      </c>
      <c r="H3862" s="3"/>
      <c r="I3862" s="3"/>
    </row>
    <row r="3863" spans="1:9" s="5" customFormat="1" x14ac:dyDescent="0.35">
      <c r="A3863" s="3" t="s">
        <v>1185</v>
      </c>
      <c r="B3863" s="3" t="s">
        <v>1338</v>
      </c>
      <c r="C3863" s="3" t="s">
        <v>20</v>
      </c>
      <c r="D3863" s="3" t="s">
        <v>1374</v>
      </c>
      <c r="E3863" s="3" t="s">
        <v>32</v>
      </c>
      <c r="F3863" s="3"/>
      <c r="G3863" s="3"/>
      <c r="H3863" s="3"/>
      <c r="I3863" s="3"/>
    </row>
    <row r="3864" spans="1:9" s="5" customFormat="1" x14ac:dyDescent="0.35">
      <c r="A3864" s="3" t="s">
        <v>1185</v>
      </c>
      <c r="B3864" s="3" t="s">
        <v>1378</v>
      </c>
      <c r="C3864" s="3" t="s">
        <v>10</v>
      </c>
      <c r="D3864" s="3" t="s">
        <v>1379</v>
      </c>
      <c r="E3864" s="3" t="s">
        <v>15</v>
      </c>
      <c r="F3864" s="3" t="s">
        <v>16</v>
      </c>
      <c r="G3864" s="3" t="s">
        <v>1380</v>
      </c>
      <c r="H3864" s="3"/>
      <c r="I3864" s="3"/>
    </row>
    <row r="3865" spans="1:9" s="5" customFormat="1" x14ac:dyDescent="0.35">
      <c r="A3865" s="3" t="s">
        <v>1185</v>
      </c>
      <c r="B3865" s="3" t="s">
        <v>1378</v>
      </c>
      <c r="C3865" s="3" t="s">
        <v>20</v>
      </c>
      <c r="D3865" s="3" t="s">
        <v>1381</v>
      </c>
      <c r="E3865" s="3" t="s">
        <v>12</v>
      </c>
      <c r="F3865" s="3"/>
      <c r="G3865" s="3"/>
      <c r="H3865" s="3" t="s">
        <v>16</v>
      </c>
      <c r="I3865" s="3" t="s">
        <v>1383</v>
      </c>
    </row>
    <row r="3866" spans="1:9" s="5" customFormat="1" x14ac:dyDescent="0.35">
      <c r="A3866" s="3" t="s">
        <v>1185</v>
      </c>
      <c r="B3866" s="3" t="s">
        <v>1378</v>
      </c>
      <c r="C3866" s="3" t="s">
        <v>20</v>
      </c>
      <c r="D3866" s="3" t="s">
        <v>1381</v>
      </c>
      <c r="E3866" s="3" t="s">
        <v>15</v>
      </c>
      <c r="F3866" s="3" t="s">
        <v>16</v>
      </c>
      <c r="G3866" s="3" t="s">
        <v>1384</v>
      </c>
      <c r="H3866" s="3" t="s">
        <v>16</v>
      </c>
      <c r="I3866" s="3" t="s">
        <v>1383</v>
      </c>
    </row>
    <row r="3867" spans="1:9" s="5" customFormat="1" x14ac:dyDescent="0.35">
      <c r="A3867" s="3" t="s">
        <v>1185</v>
      </c>
      <c r="B3867" s="3" t="s">
        <v>1378</v>
      </c>
      <c r="C3867" s="3" t="s">
        <v>20</v>
      </c>
      <c r="D3867" s="3" t="s">
        <v>1381</v>
      </c>
      <c r="E3867" s="3" t="s">
        <v>56</v>
      </c>
      <c r="F3867" s="3" t="s">
        <v>16</v>
      </c>
      <c r="G3867" s="3" t="s">
        <v>1382</v>
      </c>
      <c r="H3867" s="3" t="s">
        <v>16</v>
      </c>
      <c r="I3867" s="3" t="s">
        <v>1383</v>
      </c>
    </row>
    <row r="3868" spans="1:9" s="5" customFormat="1" x14ac:dyDescent="0.35">
      <c r="A3868" s="3" t="s">
        <v>1185</v>
      </c>
      <c r="B3868" s="3" t="s">
        <v>1378</v>
      </c>
      <c r="C3868" s="3" t="s">
        <v>20</v>
      </c>
      <c r="D3868" s="3" t="s">
        <v>1381</v>
      </c>
      <c r="E3868" s="3" t="s">
        <v>134</v>
      </c>
      <c r="F3868" s="3"/>
      <c r="G3868" s="3"/>
      <c r="H3868" s="3" t="s">
        <v>16</v>
      </c>
      <c r="I3868" s="3" t="s">
        <v>1383</v>
      </c>
    </row>
    <row r="3869" spans="1:9" s="5" customFormat="1" x14ac:dyDescent="0.35">
      <c r="A3869" s="3" t="s">
        <v>1185</v>
      </c>
      <c r="B3869" s="3" t="s">
        <v>1378</v>
      </c>
      <c r="C3869" s="3" t="s">
        <v>42</v>
      </c>
      <c r="D3869" s="3" t="s">
        <v>1385</v>
      </c>
      <c r="E3869" s="3" t="s">
        <v>15</v>
      </c>
      <c r="F3869" s="3" t="s">
        <v>16</v>
      </c>
      <c r="G3869" s="3" t="s">
        <v>1386</v>
      </c>
      <c r="H3869" s="3" t="s">
        <v>16</v>
      </c>
      <c r="I3869" s="3" t="s">
        <v>1383</v>
      </c>
    </row>
    <row r="3870" spans="1:9" s="5" customFormat="1" x14ac:dyDescent="0.35">
      <c r="A3870" s="3" t="s">
        <v>1185</v>
      </c>
      <c r="B3870" s="3" t="s">
        <v>1378</v>
      </c>
      <c r="C3870" s="3" t="s">
        <v>42</v>
      </c>
      <c r="D3870" s="3" t="s">
        <v>1385</v>
      </c>
      <c r="E3870" s="3" t="s">
        <v>24</v>
      </c>
      <c r="F3870" s="3"/>
      <c r="G3870" s="3"/>
      <c r="H3870" s="3" t="s">
        <v>16</v>
      </c>
      <c r="I3870" s="3" t="s">
        <v>1383</v>
      </c>
    </row>
    <row r="3871" spans="1:9" s="5" customFormat="1" x14ac:dyDescent="0.35">
      <c r="A3871" s="3" t="s">
        <v>1185</v>
      </c>
      <c r="B3871" s="3" t="s">
        <v>1378</v>
      </c>
      <c r="C3871" s="3" t="s">
        <v>42</v>
      </c>
      <c r="D3871" s="3" t="s">
        <v>1385</v>
      </c>
      <c r="E3871" s="3" t="s">
        <v>134</v>
      </c>
      <c r="F3871" s="3"/>
      <c r="G3871" s="3"/>
      <c r="H3871" s="3" t="s">
        <v>16</v>
      </c>
      <c r="I3871" s="3" t="s">
        <v>1383</v>
      </c>
    </row>
    <row r="3872" spans="1:9" s="5" customFormat="1" x14ac:dyDescent="0.35">
      <c r="A3872" s="3" t="s">
        <v>1185</v>
      </c>
      <c r="B3872" s="3" t="s">
        <v>1378</v>
      </c>
      <c r="C3872" s="3" t="s">
        <v>20</v>
      </c>
      <c r="D3872" s="3" t="s">
        <v>1387</v>
      </c>
      <c r="E3872" s="3" t="s">
        <v>23</v>
      </c>
      <c r="F3872" s="3" t="s">
        <v>33</v>
      </c>
      <c r="G3872" s="3" t="s">
        <v>1388</v>
      </c>
      <c r="H3872" s="3" t="s">
        <v>16</v>
      </c>
      <c r="I3872" s="3" t="s">
        <v>1383</v>
      </c>
    </row>
    <row r="3873" spans="1:9" s="5" customFormat="1" x14ac:dyDescent="0.35">
      <c r="A3873" s="3" t="s">
        <v>1185</v>
      </c>
      <c r="B3873" s="3" t="s">
        <v>1378</v>
      </c>
      <c r="C3873" s="3" t="s">
        <v>20</v>
      </c>
      <c r="D3873" s="3" t="s">
        <v>1387</v>
      </c>
      <c r="E3873" s="3" t="s">
        <v>15</v>
      </c>
      <c r="F3873" s="3" t="s">
        <v>33</v>
      </c>
      <c r="G3873" s="3" t="s">
        <v>1388</v>
      </c>
      <c r="H3873" s="3" t="s">
        <v>16</v>
      </c>
      <c r="I3873" s="3" t="s">
        <v>1383</v>
      </c>
    </row>
    <row r="3874" spans="1:9" s="5" customFormat="1" x14ac:dyDescent="0.35">
      <c r="A3874" s="3" t="s">
        <v>1185</v>
      </c>
      <c r="B3874" s="3" t="s">
        <v>1378</v>
      </c>
      <c r="C3874" s="3" t="s">
        <v>20</v>
      </c>
      <c r="D3874" s="3" t="s">
        <v>1387</v>
      </c>
      <c r="E3874" s="3" t="s">
        <v>24</v>
      </c>
      <c r="F3874" s="3" t="s">
        <v>33</v>
      </c>
      <c r="G3874" s="3" t="s">
        <v>1388</v>
      </c>
      <c r="H3874" s="3" t="s">
        <v>16</v>
      </c>
      <c r="I3874" s="3" t="s">
        <v>1383</v>
      </c>
    </row>
    <row r="3875" spans="1:9" s="5" customFormat="1" x14ac:dyDescent="0.35">
      <c r="A3875" s="3" t="s">
        <v>1185</v>
      </c>
      <c r="B3875" s="3" t="s">
        <v>1378</v>
      </c>
      <c r="C3875" s="3" t="s">
        <v>39</v>
      </c>
      <c r="D3875" s="3" t="s">
        <v>1389</v>
      </c>
      <c r="E3875" s="3" t="s">
        <v>15</v>
      </c>
      <c r="F3875" s="3" t="s">
        <v>16</v>
      </c>
      <c r="G3875" s="3" t="s">
        <v>1390</v>
      </c>
      <c r="H3875" s="3" t="s">
        <v>16</v>
      </c>
      <c r="I3875" s="3" t="s">
        <v>1383</v>
      </c>
    </row>
    <row r="3876" spans="1:9" s="5" customFormat="1" x14ac:dyDescent="0.35">
      <c r="A3876" s="3" t="s">
        <v>1185</v>
      </c>
      <c r="B3876" s="3" t="s">
        <v>1378</v>
      </c>
      <c r="C3876" s="3" t="s">
        <v>39</v>
      </c>
      <c r="D3876" s="3" t="s">
        <v>1389</v>
      </c>
      <c r="E3876" s="3" t="s">
        <v>134</v>
      </c>
      <c r="F3876" s="3" t="s">
        <v>16</v>
      </c>
      <c r="G3876" s="3" t="s">
        <v>1390</v>
      </c>
      <c r="H3876" s="3" t="s">
        <v>16</v>
      </c>
      <c r="I3876" s="3" t="s">
        <v>1383</v>
      </c>
    </row>
    <row r="3877" spans="1:9" s="5" customFormat="1" x14ac:dyDescent="0.35">
      <c r="A3877" s="3" t="s">
        <v>1185</v>
      </c>
      <c r="B3877" s="3" t="s">
        <v>1378</v>
      </c>
      <c r="C3877" s="3" t="s">
        <v>45</v>
      </c>
      <c r="D3877" s="3" t="s">
        <v>1391</v>
      </c>
      <c r="E3877" s="3" t="s">
        <v>36</v>
      </c>
      <c r="F3877" s="3"/>
      <c r="G3877" s="3"/>
      <c r="H3877" s="3" t="s">
        <v>16</v>
      </c>
      <c r="I3877" s="3" t="s">
        <v>1383</v>
      </c>
    </row>
    <row r="3878" spans="1:9" s="5" customFormat="1" x14ac:dyDescent="0.35">
      <c r="A3878" s="3" t="s">
        <v>1185</v>
      </c>
      <c r="B3878" s="3" t="s">
        <v>1378</v>
      </c>
      <c r="C3878" s="3" t="s">
        <v>45</v>
      </c>
      <c r="D3878" s="3" t="s">
        <v>1391</v>
      </c>
      <c r="E3878" s="3" t="s">
        <v>23</v>
      </c>
      <c r="F3878" s="3"/>
      <c r="G3878" s="3"/>
      <c r="H3878" s="3" t="s">
        <v>16</v>
      </c>
      <c r="I3878" s="3" t="s">
        <v>1383</v>
      </c>
    </row>
    <row r="3879" spans="1:9" s="5" customFormat="1" x14ac:dyDescent="0.35">
      <c r="A3879" s="3" t="s">
        <v>1185</v>
      </c>
      <c r="B3879" s="3" t="s">
        <v>1378</v>
      </c>
      <c r="C3879" s="3" t="s">
        <v>45</v>
      </c>
      <c r="D3879" s="3" t="s">
        <v>1391</v>
      </c>
      <c r="E3879" s="3" t="s">
        <v>15</v>
      </c>
      <c r="F3879" s="3" t="s">
        <v>16</v>
      </c>
      <c r="G3879" s="3" t="s">
        <v>1334</v>
      </c>
      <c r="H3879" s="3" t="s">
        <v>16</v>
      </c>
      <c r="I3879" s="3" t="s">
        <v>1383</v>
      </c>
    </row>
    <row r="3880" spans="1:9" s="5" customFormat="1" x14ac:dyDescent="0.35">
      <c r="A3880" s="3" t="s">
        <v>1185</v>
      </c>
      <c r="B3880" s="3" t="s">
        <v>1378</v>
      </c>
      <c r="C3880" s="3" t="s">
        <v>45</v>
      </c>
      <c r="D3880" s="3" t="s">
        <v>1391</v>
      </c>
      <c r="E3880" s="3" t="s">
        <v>56</v>
      </c>
      <c r="F3880" s="3" t="s">
        <v>16</v>
      </c>
      <c r="G3880" s="3" t="s">
        <v>1334</v>
      </c>
      <c r="H3880" s="3" t="s">
        <v>16</v>
      </c>
      <c r="I3880" s="3" t="s">
        <v>1383</v>
      </c>
    </row>
    <row r="3881" spans="1:9" s="5" customFormat="1" x14ac:dyDescent="0.35">
      <c r="A3881" s="3" t="s">
        <v>1185</v>
      </c>
      <c r="B3881" s="3" t="s">
        <v>1378</v>
      </c>
      <c r="C3881" s="3" t="s">
        <v>45</v>
      </c>
      <c r="D3881" s="3" t="s">
        <v>1391</v>
      </c>
      <c r="E3881" s="3" t="s">
        <v>24</v>
      </c>
      <c r="F3881" s="3"/>
      <c r="G3881" s="3"/>
      <c r="H3881" s="3" t="s">
        <v>16</v>
      </c>
      <c r="I3881" s="3" t="s">
        <v>1383</v>
      </c>
    </row>
    <row r="3882" spans="1:9" s="5" customFormat="1" x14ac:dyDescent="0.35">
      <c r="A3882" s="3" t="s">
        <v>1185</v>
      </c>
      <c r="B3882" s="3" t="s">
        <v>1378</v>
      </c>
      <c r="C3882" s="3" t="s">
        <v>45</v>
      </c>
      <c r="D3882" s="3" t="s">
        <v>1392</v>
      </c>
      <c r="E3882" s="3" t="s">
        <v>12</v>
      </c>
      <c r="F3882" s="3"/>
      <c r="G3882" s="3"/>
      <c r="H3882" s="3" t="s">
        <v>16</v>
      </c>
      <c r="I3882" s="3" t="s">
        <v>1383</v>
      </c>
    </row>
    <row r="3883" spans="1:9" s="5" customFormat="1" x14ac:dyDescent="0.35">
      <c r="A3883" s="3" t="s">
        <v>1185</v>
      </c>
      <c r="B3883" s="3" t="s">
        <v>1378</v>
      </c>
      <c r="C3883" s="3" t="s">
        <v>45</v>
      </c>
      <c r="D3883" s="3" t="s">
        <v>1392</v>
      </c>
      <c r="E3883" s="3" t="s">
        <v>23</v>
      </c>
      <c r="F3883" s="3" t="s">
        <v>16</v>
      </c>
      <c r="G3883" s="3" t="s">
        <v>1393</v>
      </c>
      <c r="H3883" s="3" t="s">
        <v>16</v>
      </c>
      <c r="I3883" s="3" t="s">
        <v>1383</v>
      </c>
    </row>
    <row r="3884" spans="1:9" s="5" customFormat="1" x14ac:dyDescent="0.35">
      <c r="A3884" s="3" t="s">
        <v>1185</v>
      </c>
      <c r="B3884" s="3" t="s">
        <v>1378</v>
      </c>
      <c r="C3884" s="3" t="s">
        <v>45</v>
      </c>
      <c r="D3884" s="3" t="s">
        <v>1392</v>
      </c>
      <c r="E3884" s="3" t="s">
        <v>27</v>
      </c>
      <c r="F3884" s="3"/>
      <c r="G3884" s="3"/>
      <c r="H3884" s="3" t="s">
        <v>16</v>
      </c>
      <c r="I3884" s="3" t="s">
        <v>1383</v>
      </c>
    </row>
    <row r="3885" spans="1:9" s="5" customFormat="1" x14ac:dyDescent="0.35">
      <c r="A3885" s="3" t="s">
        <v>1185</v>
      </c>
      <c r="B3885" s="3" t="s">
        <v>1378</v>
      </c>
      <c r="C3885" s="3" t="s">
        <v>45</v>
      </c>
      <c r="D3885" s="3" t="s">
        <v>1392</v>
      </c>
      <c r="E3885" s="3" t="s">
        <v>15</v>
      </c>
      <c r="F3885" s="3" t="s">
        <v>16</v>
      </c>
      <c r="G3885" s="3" t="s">
        <v>1394</v>
      </c>
      <c r="H3885" s="3" t="s">
        <v>16</v>
      </c>
      <c r="I3885" s="3" t="s">
        <v>1383</v>
      </c>
    </row>
    <row r="3886" spans="1:9" s="5" customFormat="1" x14ac:dyDescent="0.35">
      <c r="A3886" s="3" t="s">
        <v>1185</v>
      </c>
      <c r="B3886" s="3" t="s">
        <v>1378</v>
      </c>
      <c r="C3886" s="3" t="s">
        <v>45</v>
      </c>
      <c r="D3886" s="3" t="s">
        <v>1392</v>
      </c>
      <c r="E3886" s="3" t="s">
        <v>57</v>
      </c>
      <c r="F3886" s="3"/>
      <c r="G3886" s="3"/>
      <c r="H3886" s="3" t="s">
        <v>16</v>
      </c>
      <c r="I3886" s="3" t="s">
        <v>1383</v>
      </c>
    </row>
    <row r="3887" spans="1:9" s="5" customFormat="1" x14ac:dyDescent="0.35">
      <c r="A3887" s="3" t="s">
        <v>1185</v>
      </c>
      <c r="B3887" s="3" t="s">
        <v>1378</v>
      </c>
      <c r="C3887" s="3" t="s">
        <v>20</v>
      </c>
      <c r="D3887" s="3" t="s">
        <v>1395</v>
      </c>
      <c r="E3887" s="3" t="s">
        <v>12</v>
      </c>
      <c r="F3887" s="3"/>
      <c r="G3887" s="3" t="s">
        <v>2327</v>
      </c>
      <c r="H3887" s="3" t="s">
        <v>16</v>
      </c>
      <c r="I3887" s="3" t="s">
        <v>1383</v>
      </c>
    </row>
    <row r="3888" spans="1:9" s="5" customFormat="1" x14ac:dyDescent="0.35">
      <c r="A3888" s="3" t="s">
        <v>1185</v>
      </c>
      <c r="B3888" s="3" t="s">
        <v>1378</v>
      </c>
      <c r="C3888" s="3" t="s">
        <v>20</v>
      </c>
      <c r="D3888" s="3" t="s">
        <v>1395</v>
      </c>
      <c r="E3888" s="3" t="s">
        <v>23</v>
      </c>
      <c r="F3888" s="3"/>
      <c r="G3888" s="3"/>
      <c r="H3888" s="3" t="s">
        <v>16</v>
      </c>
      <c r="I3888" s="3" t="s">
        <v>1383</v>
      </c>
    </row>
    <row r="3889" spans="1:9" s="5" customFormat="1" x14ac:dyDescent="0.35">
      <c r="A3889" s="3" t="s">
        <v>1185</v>
      </c>
      <c r="B3889" s="3" t="s">
        <v>1378</v>
      </c>
      <c r="C3889" s="3" t="s">
        <v>20</v>
      </c>
      <c r="D3889" s="3" t="s">
        <v>1395</v>
      </c>
      <c r="E3889" s="3" t="s">
        <v>27</v>
      </c>
      <c r="F3889" s="3"/>
      <c r="G3889" s="3"/>
      <c r="H3889" s="3" t="s">
        <v>16</v>
      </c>
      <c r="I3889" s="3" t="s">
        <v>1383</v>
      </c>
    </row>
    <row r="3890" spans="1:9" s="5" customFormat="1" x14ac:dyDescent="0.35">
      <c r="A3890" s="3" t="s">
        <v>1185</v>
      </c>
      <c r="B3890" s="3" t="s">
        <v>1378</v>
      </c>
      <c r="C3890" s="3" t="s">
        <v>20</v>
      </c>
      <c r="D3890" s="3" t="s">
        <v>1395</v>
      </c>
      <c r="E3890" s="3" t="s">
        <v>15</v>
      </c>
      <c r="F3890" s="3" t="s">
        <v>16</v>
      </c>
      <c r="G3890" s="3" t="s">
        <v>1397</v>
      </c>
      <c r="H3890" s="3" t="s">
        <v>16</v>
      </c>
      <c r="I3890" s="3" t="s">
        <v>1383</v>
      </c>
    </row>
    <row r="3891" spans="1:9" s="5" customFormat="1" x14ac:dyDescent="0.35">
      <c r="A3891" s="3" t="s">
        <v>1185</v>
      </c>
      <c r="B3891" s="3" t="s">
        <v>1378</v>
      </c>
      <c r="C3891" s="3" t="s">
        <v>20</v>
      </c>
      <c r="D3891" s="3" t="s">
        <v>1395</v>
      </c>
      <c r="E3891" s="3" t="s">
        <v>56</v>
      </c>
      <c r="F3891" s="3" t="s">
        <v>16</v>
      </c>
      <c r="G3891" s="3" t="s">
        <v>1396</v>
      </c>
      <c r="H3891" s="3" t="s">
        <v>16</v>
      </c>
      <c r="I3891" s="3" t="s">
        <v>1383</v>
      </c>
    </row>
    <row r="3892" spans="1:9" s="5" customFormat="1" x14ac:dyDescent="0.35">
      <c r="A3892" s="3" t="s">
        <v>1185</v>
      </c>
      <c r="B3892" s="3" t="s">
        <v>1378</v>
      </c>
      <c r="C3892" s="3" t="s">
        <v>20</v>
      </c>
      <c r="D3892" s="3" t="s">
        <v>1395</v>
      </c>
      <c r="E3892" s="3" t="s">
        <v>32</v>
      </c>
      <c r="F3892" s="3"/>
      <c r="G3892" s="3"/>
      <c r="H3892" s="3" t="s">
        <v>16</v>
      </c>
      <c r="I3892" s="3" t="s">
        <v>1383</v>
      </c>
    </row>
    <row r="3893" spans="1:9" s="5" customFormat="1" x14ac:dyDescent="0.35">
      <c r="A3893" s="3" t="s">
        <v>1185</v>
      </c>
      <c r="B3893" s="3" t="s">
        <v>1378</v>
      </c>
      <c r="C3893" s="3" t="s">
        <v>20</v>
      </c>
      <c r="D3893" s="3" t="s">
        <v>1395</v>
      </c>
      <c r="E3893" s="3" t="s">
        <v>24</v>
      </c>
      <c r="F3893" s="3"/>
      <c r="G3893" s="3"/>
      <c r="H3893" s="3" t="s">
        <v>16</v>
      </c>
      <c r="I3893" s="3" t="s">
        <v>1383</v>
      </c>
    </row>
    <row r="3894" spans="1:9" s="5" customFormat="1" x14ac:dyDescent="0.35">
      <c r="A3894" s="3" t="s">
        <v>1185</v>
      </c>
      <c r="B3894" s="3" t="s">
        <v>1378</v>
      </c>
      <c r="C3894" s="3" t="s">
        <v>20</v>
      </c>
      <c r="D3894" s="3" t="s">
        <v>1398</v>
      </c>
      <c r="E3894" s="3" t="s">
        <v>15</v>
      </c>
      <c r="F3894" s="3" t="s">
        <v>16</v>
      </c>
      <c r="G3894" s="3" t="s">
        <v>1334</v>
      </c>
      <c r="H3894" s="3" t="s">
        <v>16</v>
      </c>
      <c r="I3894" s="3" t="s">
        <v>1383</v>
      </c>
    </row>
    <row r="3895" spans="1:9" s="5" customFormat="1" x14ac:dyDescent="0.35">
      <c r="A3895" s="3" t="s">
        <v>1185</v>
      </c>
      <c r="B3895" s="3" t="s">
        <v>1378</v>
      </c>
      <c r="C3895" s="3" t="s">
        <v>20</v>
      </c>
      <c r="D3895" s="3" t="s">
        <v>1398</v>
      </c>
      <c r="E3895" s="3" t="s">
        <v>24</v>
      </c>
      <c r="F3895" s="3"/>
      <c r="G3895" s="3"/>
      <c r="H3895" s="3" t="s">
        <v>16</v>
      </c>
      <c r="I3895" s="3" t="s">
        <v>1383</v>
      </c>
    </row>
    <row r="3896" spans="1:9" s="5" customFormat="1" x14ac:dyDescent="0.35">
      <c r="A3896" s="3" t="s">
        <v>1185</v>
      </c>
      <c r="B3896" s="3" t="s">
        <v>1378</v>
      </c>
      <c r="C3896" s="3" t="s">
        <v>20</v>
      </c>
      <c r="D3896" s="3" t="s">
        <v>1399</v>
      </c>
      <c r="E3896" s="3" t="s">
        <v>60</v>
      </c>
      <c r="F3896" s="3"/>
      <c r="G3896" s="3"/>
      <c r="H3896" s="3" t="s">
        <v>16</v>
      </c>
      <c r="I3896" s="3" t="s">
        <v>1383</v>
      </c>
    </row>
    <row r="3897" spans="1:9" s="5" customFormat="1" x14ac:dyDescent="0.35">
      <c r="A3897" s="3" t="s">
        <v>1185</v>
      </c>
      <c r="B3897" s="3" t="s">
        <v>1378</v>
      </c>
      <c r="C3897" s="3" t="s">
        <v>20</v>
      </c>
      <c r="D3897" s="3" t="s">
        <v>1399</v>
      </c>
      <c r="E3897" s="3" t="s">
        <v>87</v>
      </c>
      <c r="F3897" s="3"/>
      <c r="G3897" s="3"/>
      <c r="H3897" s="3" t="s">
        <v>16</v>
      </c>
      <c r="I3897" s="3" t="s">
        <v>1383</v>
      </c>
    </row>
    <row r="3898" spans="1:9" s="5" customFormat="1" x14ac:dyDescent="0.35">
      <c r="A3898" s="3" t="s">
        <v>1185</v>
      </c>
      <c r="B3898" s="3" t="s">
        <v>1378</v>
      </c>
      <c r="C3898" s="3" t="s">
        <v>20</v>
      </c>
      <c r="D3898" s="3" t="s">
        <v>1399</v>
      </c>
      <c r="E3898" s="3" t="s">
        <v>15</v>
      </c>
      <c r="F3898" s="3" t="s">
        <v>16</v>
      </c>
      <c r="G3898" s="3" t="s">
        <v>1400</v>
      </c>
      <c r="H3898" s="3" t="s">
        <v>16</v>
      </c>
      <c r="I3898" s="3" t="s">
        <v>1383</v>
      </c>
    </row>
    <row r="3899" spans="1:9" s="5" customFormat="1" x14ac:dyDescent="0.35">
      <c r="A3899" s="3" t="s">
        <v>1185</v>
      </c>
      <c r="B3899" s="3" t="s">
        <v>1378</v>
      </c>
      <c r="C3899" s="3" t="s">
        <v>20</v>
      </c>
      <c r="D3899" s="3" t="s">
        <v>1399</v>
      </c>
      <c r="E3899" s="3" t="s">
        <v>24</v>
      </c>
      <c r="F3899" s="3"/>
      <c r="G3899" s="3"/>
      <c r="H3899" s="3" t="s">
        <v>16</v>
      </c>
      <c r="I3899" s="3" t="s">
        <v>1383</v>
      </c>
    </row>
    <row r="3900" spans="1:9" s="5" customFormat="1" x14ac:dyDescent="0.35">
      <c r="A3900" s="3" t="s">
        <v>1185</v>
      </c>
      <c r="B3900" s="3" t="s">
        <v>1378</v>
      </c>
      <c r="C3900" s="3" t="s">
        <v>20</v>
      </c>
      <c r="D3900" s="3" t="s">
        <v>1399</v>
      </c>
      <c r="E3900" s="3" t="s">
        <v>134</v>
      </c>
      <c r="F3900" s="3" t="s">
        <v>16</v>
      </c>
      <c r="G3900" s="3" t="s">
        <v>1401</v>
      </c>
      <c r="H3900" s="3" t="s">
        <v>16</v>
      </c>
      <c r="I3900" s="3" t="s">
        <v>1383</v>
      </c>
    </row>
    <row r="3901" spans="1:9" s="5" customFormat="1" x14ac:dyDescent="0.35">
      <c r="A3901" s="3" t="s">
        <v>1185</v>
      </c>
      <c r="B3901" s="3" t="s">
        <v>1378</v>
      </c>
      <c r="C3901" s="3" t="s">
        <v>45</v>
      </c>
      <c r="D3901" s="3" t="s">
        <v>1402</v>
      </c>
      <c r="E3901" s="3" t="s">
        <v>23</v>
      </c>
      <c r="F3901" s="3"/>
      <c r="G3901" s="3"/>
      <c r="H3901" s="3" t="s">
        <v>16</v>
      </c>
      <c r="I3901" s="3" t="s">
        <v>1383</v>
      </c>
    </row>
    <row r="3902" spans="1:9" s="5" customFormat="1" x14ac:dyDescent="0.35">
      <c r="A3902" s="3" t="s">
        <v>1185</v>
      </c>
      <c r="B3902" s="3" t="s">
        <v>1378</v>
      </c>
      <c r="C3902" s="3" t="s">
        <v>45</v>
      </c>
      <c r="D3902" s="3" t="s">
        <v>1402</v>
      </c>
      <c r="E3902" s="3" t="s">
        <v>60</v>
      </c>
      <c r="F3902" s="3"/>
      <c r="G3902" s="3"/>
      <c r="H3902" s="3" t="s">
        <v>16</v>
      </c>
      <c r="I3902" s="3" t="s">
        <v>1383</v>
      </c>
    </row>
    <row r="3903" spans="1:9" s="5" customFormat="1" x14ac:dyDescent="0.35">
      <c r="A3903" s="3" t="s">
        <v>1185</v>
      </c>
      <c r="B3903" s="3" t="s">
        <v>1378</v>
      </c>
      <c r="C3903" s="3" t="s">
        <v>45</v>
      </c>
      <c r="D3903" s="3" t="s">
        <v>1402</v>
      </c>
      <c r="E3903" s="3" t="s">
        <v>77</v>
      </c>
      <c r="F3903" s="3"/>
      <c r="G3903" s="3"/>
      <c r="H3903" s="3" t="s">
        <v>16</v>
      </c>
      <c r="I3903" s="3" t="s">
        <v>1383</v>
      </c>
    </row>
    <row r="3904" spans="1:9" s="5" customFormat="1" x14ac:dyDescent="0.35">
      <c r="A3904" s="3" t="s">
        <v>1185</v>
      </c>
      <c r="B3904" s="3" t="s">
        <v>1378</v>
      </c>
      <c r="C3904" s="3" t="s">
        <v>45</v>
      </c>
      <c r="D3904" s="3" t="s">
        <v>1402</v>
      </c>
      <c r="E3904" s="3" t="s">
        <v>15</v>
      </c>
      <c r="F3904" s="3" t="s">
        <v>16</v>
      </c>
      <c r="G3904" s="3" t="s">
        <v>1334</v>
      </c>
      <c r="H3904" s="3" t="s">
        <v>16</v>
      </c>
      <c r="I3904" s="3" t="s">
        <v>1383</v>
      </c>
    </row>
    <row r="3905" spans="1:9" s="5" customFormat="1" x14ac:dyDescent="0.35">
      <c r="A3905" s="3" t="s">
        <v>1185</v>
      </c>
      <c r="B3905" s="3" t="s">
        <v>1378</v>
      </c>
      <c r="C3905" s="3" t="s">
        <v>45</v>
      </c>
      <c r="D3905" s="3" t="s">
        <v>1402</v>
      </c>
      <c r="E3905" s="3" t="s">
        <v>26</v>
      </c>
      <c r="F3905" s="3"/>
      <c r="G3905" s="3"/>
      <c r="H3905" s="3" t="s">
        <v>16</v>
      </c>
      <c r="I3905" s="3" t="s">
        <v>1383</v>
      </c>
    </row>
    <row r="3906" spans="1:9" s="5" customFormat="1" x14ac:dyDescent="0.35">
      <c r="A3906" s="3" t="s">
        <v>1185</v>
      </c>
      <c r="B3906" s="3" t="s">
        <v>1378</v>
      </c>
      <c r="C3906" s="3" t="s">
        <v>45</v>
      </c>
      <c r="D3906" s="3" t="s">
        <v>1403</v>
      </c>
      <c r="E3906" s="3" t="s">
        <v>15</v>
      </c>
      <c r="F3906" s="3" t="s">
        <v>16</v>
      </c>
      <c r="G3906" s="3" t="s">
        <v>1334</v>
      </c>
      <c r="H3906" s="3" t="s">
        <v>16</v>
      </c>
      <c r="I3906" s="3" t="s">
        <v>1383</v>
      </c>
    </row>
    <row r="3907" spans="1:9" s="5" customFormat="1" x14ac:dyDescent="0.35">
      <c r="A3907" s="3" t="s">
        <v>1185</v>
      </c>
      <c r="B3907" s="3" t="s">
        <v>1378</v>
      </c>
      <c r="C3907" s="3" t="s">
        <v>39</v>
      </c>
      <c r="D3907" s="3" t="s">
        <v>1404</v>
      </c>
      <c r="E3907" s="3" t="s">
        <v>15</v>
      </c>
      <c r="F3907" s="3" t="s">
        <v>16</v>
      </c>
      <c r="G3907" s="3" t="s">
        <v>2440</v>
      </c>
      <c r="H3907" s="3" t="s">
        <v>16</v>
      </c>
      <c r="I3907" s="3" t="s">
        <v>1383</v>
      </c>
    </row>
    <row r="3908" spans="1:9" s="5" customFormat="1" x14ac:dyDescent="0.35">
      <c r="A3908" s="3" t="s">
        <v>1185</v>
      </c>
      <c r="B3908" s="3" t="s">
        <v>1378</v>
      </c>
      <c r="C3908" s="3" t="s">
        <v>39</v>
      </c>
      <c r="D3908" s="3" t="s">
        <v>1404</v>
      </c>
      <c r="E3908" s="3" t="s">
        <v>56</v>
      </c>
      <c r="F3908" s="3" t="s">
        <v>16</v>
      </c>
      <c r="G3908" s="3" t="s">
        <v>1405</v>
      </c>
      <c r="H3908" s="3" t="s">
        <v>16</v>
      </c>
      <c r="I3908" s="3" t="s">
        <v>1383</v>
      </c>
    </row>
    <row r="3909" spans="1:9" s="5" customFormat="1" x14ac:dyDescent="0.35">
      <c r="A3909" s="3" t="s">
        <v>1185</v>
      </c>
      <c r="B3909" s="3" t="s">
        <v>1378</v>
      </c>
      <c r="C3909" s="3" t="s">
        <v>39</v>
      </c>
      <c r="D3909" s="3" t="s">
        <v>1404</v>
      </c>
      <c r="E3909" s="3" t="s">
        <v>24</v>
      </c>
      <c r="F3909" s="3"/>
      <c r="G3909" s="3"/>
      <c r="H3909" s="3" t="s">
        <v>16</v>
      </c>
      <c r="I3909" s="3" t="s">
        <v>1383</v>
      </c>
    </row>
    <row r="3910" spans="1:9" s="5" customFormat="1" x14ac:dyDescent="0.35">
      <c r="A3910" s="3" t="s">
        <v>1185</v>
      </c>
      <c r="B3910" s="3" t="s">
        <v>1378</v>
      </c>
      <c r="C3910" s="3" t="s">
        <v>39</v>
      </c>
      <c r="D3910" s="3" t="s">
        <v>1406</v>
      </c>
      <c r="E3910" s="3" t="s">
        <v>12</v>
      </c>
      <c r="F3910" s="3"/>
      <c r="G3910" s="3"/>
      <c r="H3910" s="3" t="s">
        <v>16</v>
      </c>
      <c r="I3910" s="3" t="s">
        <v>1383</v>
      </c>
    </row>
    <row r="3911" spans="1:9" s="5" customFormat="1" x14ac:dyDescent="0.35">
      <c r="A3911" s="3" t="s">
        <v>1185</v>
      </c>
      <c r="B3911" s="3" t="s">
        <v>1378</v>
      </c>
      <c r="C3911" s="3" t="s">
        <v>39</v>
      </c>
      <c r="D3911" s="3" t="s">
        <v>1406</v>
      </c>
      <c r="E3911" s="3" t="s">
        <v>15</v>
      </c>
      <c r="F3911" s="3" t="s">
        <v>16</v>
      </c>
      <c r="G3911" s="3" t="s">
        <v>1407</v>
      </c>
      <c r="H3911" s="3" t="s">
        <v>16</v>
      </c>
      <c r="I3911" s="3" t="s">
        <v>1383</v>
      </c>
    </row>
    <row r="3912" spans="1:9" s="5" customFormat="1" x14ac:dyDescent="0.35">
      <c r="A3912" s="3" t="s">
        <v>1185</v>
      </c>
      <c r="B3912" s="3" t="s">
        <v>1378</v>
      </c>
      <c r="C3912" s="3" t="s">
        <v>39</v>
      </c>
      <c r="D3912" s="3" t="s">
        <v>1406</v>
      </c>
      <c r="E3912" s="3" t="s">
        <v>24</v>
      </c>
      <c r="F3912" s="3" t="s">
        <v>16</v>
      </c>
      <c r="G3912" s="3" t="s">
        <v>1407</v>
      </c>
      <c r="H3912" s="3" t="s">
        <v>16</v>
      </c>
      <c r="I3912" s="3" t="s">
        <v>1383</v>
      </c>
    </row>
    <row r="3913" spans="1:9" s="5" customFormat="1" x14ac:dyDescent="0.35">
      <c r="A3913" s="3" t="s">
        <v>1185</v>
      </c>
      <c r="B3913" s="3" t="s">
        <v>1378</v>
      </c>
      <c r="C3913" s="3" t="s">
        <v>39</v>
      </c>
      <c r="D3913" s="3" t="s">
        <v>1406</v>
      </c>
      <c r="E3913" s="3" t="s">
        <v>107</v>
      </c>
      <c r="F3913" s="3" t="s">
        <v>16</v>
      </c>
      <c r="G3913" s="3" t="s">
        <v>1407</v>
      </c>
      <c r="H3913" s="3" t="s">
        <v>16</v>
      </c>
      <c r="I3913" s="3" t="s">
        <v>1383</v>
      </c>
    </row>
    <row r="3914" spans="1:9" s="5" customFormat="1" x14ac:dyDescent="0.35">
      <c r="A3914" s="3" t="s">
        <v>1185</v>
      </c>
      <c r="B3914" s="3" t="s">
        <v>1408</v>
      </c>
      <c r="C3914" s="3" t="s">
        <v>42</v>
      </c>
      <c r="D3914" s="3" t="s">
        <v>1409</v>
      </c>
      <c r="E3914" s="3" t="s">
        <v>32</v>
      </c>
      <c r="F3914" s="3" t="s">
        <v>16</v>
      </c>
      <c r="G3914" s="3" t="s">
        <v>1206</v>
      </c>
      <c r="H3914" s="3" t="s">
        <v>16</v>
      </c>
      <c r="I3914" s="3" t="s">
        <v>1410</v>
      </c>
    </row>
    <row r="3915" spans="1:9" s="5" customFormat="1" x14ac:dyDescent="0.35">
      <c r="A3915" s="3" t="s">
        <v>1185</v>
      </c>
      <c r="B3915" s="3" t="s">
        <v>1408</v>
      </c>
      <c r="C3915" s="3" t="s">
        <v>42</v>
      </c>
      <c r="D3915" s="3" t="s">
        <v>1409</v>
      </c>
      <c r="E3915" s="3" t="s">
        <v>107</v>
      </c>
      <c r="F3915" s="3"/>
      <c r="G3915" s="3"/>
      <c r="H3915" s="3" t="s">
        <v>16</v>
      </c>
      <c r="I3915" s="3" t="s">
        <v>1410</v>
      </c>
    </row>
    <row r="3916" spans="1:9" s="5" customFormat="1" x14ac:dyDescent="0.35">
      <c r="A3916" s="3" t="s">
        <v>1185</v>
      </c>
      <c r="B3916" s="3" t="s">
        <v>1408</v>
      </c>
      <c r="C3916" s="3" t="s">
        <v>10</v>
      </c>
      <c r="D3916" s="3" t="s">
        <v>1411</v>
      </c>
      <c r="E3916" s="3" t="s">
        <v>24</v>
      </c>
      <c r="F3916" s="3"/>
      <c r="G3916" s="3"/>
      <c r="H3916" s="3" t="s">
        <v>16</v>
      </c>
      <c r="I3916" s="3" t="s">
        <v>1410</v>
      </c>
    </row>
    <row r="3917" spans="1:9" s="5" customFormat="1" x14ac:dyDescent="0.35">
      <c r="A3917" s="3" t="s">
        <v>1185</v>
      </c>
      <c r="B3917" s="3" t="s">
        <v>1408</v>
      </c>
      <c r="C3917" s="3" t="s">
        <v>20</v>
      </c>
      <c r="D3917" s="3" t="s">
        <v>1412</v>
      </c>
      <c r="E3917" s="3" t="s">
        <v>12</v>
      </c>
      <c r="F3917" s="3" t="s">
        <v>16</v>
      </c>
      <c r="G3917" s="3" t="s">
        <v>1413</v>
      </c>
      <c r="H3917" s="3"/>
      <c r="I3917" s="3"/>
    </row>
    <row r="3918" spans="1:9" s="5" customFormat="1" x14ac:dyDescent="0.35">
      <c r="A3918" s="3" t="s">
        <v>1185</v>
      </c>
      <c r="B3918" s="3" t="s">
        <v>1408</v>
      </c>
      <c r="C3918" s="3" t="s">
        <v>20</v>
      </c>
      <c r="D3918" s="3" t="s">
        <v>1412</v>
      </c>
      <c r="E3918" s="3" t="s">
        <v>15</v>
      </c>
      <c r="F3918" s="3" t="s">
        <v>16</v>
      </c>
      <c r="G3918" s="3" t="s">
        <v>1414</v>
      </c>
      <c r="H3918" s="3"/>
      <c r="I3918" s="3"/>
    </row>
    <row r="3919" spans="1:9" s="5" customFormat="1" x14ac:dyDescent="0.35">
      <c r="A3919" s="3" t="s">
        <v>1185</v>
      </c>
      <c r="B3919" s="3" t="s">
        <v>1408</v>
      </c>
      <c r="C3919" s="3" t="s">
        <v>10</v>
      </c>
      <c r="D3919" s="3" t="s">
        <v>1415</v>
      </c>
      <c r="E3919" s="3" t="s">
        <v>12</v>
      </c>
      <c r="F3919" s="3"/>
      <c r="G3919" s="3"/>
      <c r="H3919" s="3" t="s">
        <v>16</v>
      </c>
      <c r="I3919" s="3" t="s">
        <v>1410</v>
      </c>
    </row>
    <row r="3920" spans="1:9" s="5" customFormat="1" x14ac:dyDescent="0.35">
      <c r="A3920" s="3" t="s">
        <v>1185</v>
      </c>
      <c r="B3920" s="3" t="s">
        <v>1408</v>
      </c>
      <c r="C3920" s="3" t="s">
        <v>10</v>
      </c>
      <c r="D3920" s="3" t="s">
        <v>1415</v>
      </c>
      <c r="E3920" s="3" t="s">
        <v>57</v>
      </c>
      <c r="F3920" s="3"/>
      <c r="G3920" s="3"/>
      <c r="H3920" s="3" t="s">
        <v>16</v>
      </c>
      <c r="I3920" s="3" t="s">
        <v>1410</v>
      </c>
    </row>
    <row r="3921" spans="1:9" s="5" customFormat="1" x14ac:dyDescent="0.35">
      <c r="A3921" s="3" t="s">
        <v>1185</v>
      </c>
      <c r="B3921" s="3" t="s">
        <v>1408</v>
      </c>
      <c r="C3921" s="3" t="s">
        <v>10</v>
      </c>
      <c r="D3921" s="3" t="s">
        <v>1415</v>
      </c>
      <c r="E3921" s="3" t="s">
        <v>56</v>
      </c>
      <c r="F3921" s="3" t="s">
        <v>16</v>
      </c>
      <c r="G3921" s="3" t="s">
        <v>1416</v>
      </c>
      <c r="H3921" s="3" t="s">
        <v>16</v>
      </c>
      <c r="I3921" s="3" t="s">
        <v>1410</v>
      </c>
    </row>
    <row r="3922" spans="1:9" s="5" customFormat="1" x14ac:dyDescent="0.35">
      <c r="A3922" s="3" t="s">
        <v>1185</v>
      </c>
      <c r="B3922" s="3" t="s">
        <v>1408</v>
      </c>
      <c r="C3922" s="3" t="s">
        <v>10</v>
      </c>
      <c r="D3922" s="3" t="s">
        <v>1415</v>
      </c>
      <c r="E3922" s="3" t="s">
        <v>1141</v>
      </c>
      <c r="F3922" s="3"/>
      <c r="G3922" s="3"/>
      <c r="H3922" s="3" t="s">
        <v>16</v>
      </c>
      <c r="I3922" s="3" t="s">
        <v>1410</v>
      </c>
    </row>
    <row r="3923" spans="1:9" s="5" customFormat="1" x14ac:dyDescent="0.35">
      <c r="A3923" s="3" t="s">
        <v>1185</v>
      </c>
      <c r="B3923" s="3" t="s">
        <v>1408</v>
      </c>
      <c r="C3923" s="3" t="s">
        <v>10</v>
      </c>
      <c r="D3923" s="3" t="s">
        <v>1417</v>
      </c>
      <c r="E3923" s="3" t="s">
        <v>25</v>
      </c>
      <c r="F3923" s="3"/>
      <c r="G3923" s="3"/>
      <c r="H3923" s="3" t="s">
        <v>16</v>
      </c>
      <c r="I3923" s="3" t="s">
        <v>1410</v>
      </c>
    </row>
    <row r="3924" spans="1:9" s="5" customFormat="1" x14ac:dyDescent="0.35">
      <c r="A3924" s="3" t="s">
        <v>1185</v>
      </c>
      <c r="B3924" s="3" t="s">
        <v>1408</v>
      </c>
      <c r="C3924" s="3" t="s">
        <v>10</v>
      </c>
      <c r="D3924" s="3" t="s">
        <v>1417</v>
      </c>
      <c r="E3924" s="3" t="s">
        <v>15</v>
      </c>
      <c r="F3924" s="3" t="s">
        <v>16</v>
      </c>
      <c r="G3924" s="3" t="s">
        <v>1418</v>
      </c>
      <c r="H3924" s="3" t="s">
        <v>16</v>
      </c>
      <c r="I3924" s="3" t="s">
        <v>1410</v>
      </c>
    </row>
    <row r="3925" spans="1:9" s="5" customFormat="1" x14ac:dyDescent="0.35">
      <c r="A3925" s="3" t="s">
        <v>1185</v>
      </c>
      <c r="B3925" s="3" t="s">
        <v>1408</v>
      </c>
      <c r="C3925" s="3" t="s">
        <v>10</v>
      </c>
      <c r="D3925" s="3" t="s">
        <v>1417</v>
      </c>
      <c r="E3925" s="3" t="s">
        <v>56</v>
      </c>
      <c r="F3925" s="3" t="s">
        <v>16</v>
      </c>
      <c r="G3925" s="3" t="s">
        <v>1418</v>
      </c>
      <c r="H3925" s="3" t="s">
        <v>16</v>
      </c>
      <c r="I3925" s="3" t="s">
        <v>1410</v>
      </c>
    </row>
    <row r="3926" spans="1:9" s="5" customFormat="1" x14ac:dyDescent="0.35">
      <c r="A3926" s="3" t="s">
        <v>1185</v>
      </c>
      <c r="B3926" s="3" t="s">
        <v>1408</v>
      </c>
      <c r="C3926" s="3" t="s">
        <v>10</v>
      </c>
      <c r="D3926" s="3" t="s">
        <v>1417</v>
      </c>
      <c r="E3926" s="3" t="s">
        <v>24</v>
      </c>
      <c r="F3926" s="3"/>
      <c r="G3926" s="3"/>
      <c r="H3926" s="3" t="s">
        <v>16</v>
      </c>
      <c r="I3926" s="3" t="s">
        <v>1410</v>
      </c>
    </row>
    <row r="3927" spans="1:9" s="5" customFormat="1" x14ac:dyDescent="0.35">
      <c r="A3927" s="3" t="s">
        <v>1185</v>
      </c>
      <c r="B3927" s="3" t="s">
        <v>1408</v>
      </c>
      <c r="C3927" s="3" t="s">
        <v>10</v>
      </c>
      <c r="D3927" s="3" t="s">
        <v>1419</v>
      </c>
      <c r="E3927" s="3" t="s">
        <v>12</v>
      </c>
      <c r="F3927" s="3"/>
      <c r="G3927" s="3"/>
      <c r="H3927" s="3" t="s">
        <v>16</v>
      </c>
      <c r="I3927" s="3" t="s">
        <v>1410</v>
      </c>
    </row>
    <row r="3928" spans="1:9" s="5" customFormat="1" x14ac:dyDescent="0.35">
      <c r="A3928" s="3" t="s">
        <v>1185</v>
      </c>
      <c r="B3928" s="3" t="s">
        <v>1408</v>
      </c>
      <c r="C3928" s="3" t="s">
        <v>10</v>
      </c>
      <c r="D3928" s="3" t="s">
        <v>1419</v>
      </c>
      <c r="E3928" s="3" t="s">
        <v>15</v>
      </c>
      <c r="F3928" s="3" t="s">
        <v>16</v>
      </c>
      <c r="G3928" s="3" t="s">
        <v>1420</v>
      </c>
      <c r="H3928" s="3" t="s">
        <v>16</v>
      </c>
      <c r="I3928" s="3" t="s">
        <v>1410</v>
      </c>
    </row>
    <row r="3929" spans="1:9" s="5" customFormat="1" x14ac:dyDescent="0.35">
      <c r="A3929" s="3" t="s">
        <v>1185</v>
      </c>
      <c r="B3929" s="3" t="s">
        <v>1408</v>
      </c>
      <c r="C3929" s="3" t="s">
        <v>10</v>
      </c>
      <c r="D3929" s="3" t="s">
        <v>1421</v>
      </c>
      <c r="E3929" s="3" t="s">
        <v>15</v>
      </c>
      <c r="F3929" s="3" t="s">
        <v>16</v>
      </c>
      <c r="G3929" s="3" t="s">
        <v>2417</v>
      </c>
      <c r="H3929" s="3"/>
      <c r="I3929" s="3"/>
    </row>
    <row r="3930" spans="1:9" s="5" customFormat="1" x14ac:dyDescent="0.35">
      <c r="A3930" s="3" t="s">
        <v>1185</v>
      </c>
      <c r="B3930" s="3" t="s">
        <v>1408</v>
      </c>
      <c r="C3930" s="3" t="s">
        <v>10</v>
      </c>
      <c r="D3930" s="3" t="s">
        <v>1421</v>
      </c>
      <c r="E3930" s="3" t="s">
        <v>47</v>
      </c>
      <c r="F3930" s="3"/>
      <c r="G3930" s="3"/>
      <c r="H3930" s="3"/>
      <c r="I3930" s="3"/>
    </row>
    <row r="3931" spans="1:9" s="5" customFormat="1" x14ac:dyDescent="0.35">
      <c r="A3931" s="3" t="s">
        <v>1185</v>
      </c>
      <c r="B3931" s="3" t="s">
        <v>1408</v>
      </c>
      <c r="C3931" s="3" t="s">
        <v>45</v>
      </c>
      <c r="D3931" s="3" t="s">
        <v>1422</v>
      </c>
      <c r="E3931" s="3" t="s">
        <v>77</v>
      </c>
      <c r="F3931" s="3"/>
      <c r="G3931" s="3"/>
      <c r="H3931" s="3" t="s">
        <v>16</v>
      </c>
      <c r="I3931" s="3" t="s">
        <v>1410</v>
      </c>
    </row>
    <row r="3932" spans="1:9" s="5" customFormat="1" x14ac:dyDescent="0.35">
      <c r="A3932" s="3" t="s">
        <v>1185</v>
      </c>
      <c r="B3932" s="3" t="s">
        <v>1408</v>
      </c>
      <c r="C3932" s="3" t="s">
        <v>45</v>
      </c>
      <c r="D3932" s="3" t="s">
        <v>1422</v>
      </c>
      <c r="E3932" s="3" t="s">
        <v>15</v>
      </c>
      <c r="F3932" s="3" t="s">
        <v>16</v>
      </c>
      <c r="G3932" s="3" t="s">
        <v>1418</v>
      </c>
      <c r="H3932" s="3" t="s">
        <v>16</v>
      </c>
      <c r="I3932" s="3" t="s">
        <v>1410</v>
      </c>
    </row>
    <row r="3933" spans="1:9" s="5" customFormat="1" x14ac:dyDescent="0.35">
      <c r="A3933" s="3" t="s">
        <v>1185</v>
      </c>
      <c r="B3933" s="3" t="s">
        <v>1408</v>
      </c>
      <c r="C3933" s="3" t="s">
        <v>20</v>
      </c>
      <c r="D3933" s="3" t="s">
        <v>1423</v>
      </c>
      <c r="E3933" s="3" t="s">
        <v>1141</v>
      </c>
      <c r="F3933" s="3" t="s">
        <v>33</v>
      </c>
      <c r="G3933" s="3" t="s">
        <v>3020</v>
      </c>
      <c r="H3933" s="3" t="s">
        <v>16</v>
      </c>
      <c r="I3933" s="3" t="s">
        <v>1410</v>
      </c>
    </row>
    <row r="3934" spans="1:9" s="5" customFormat="1" x14ac:dyDescent="0.35">
      <c r="A3934" s="3" t="s">
        <v>1185</v>
      </c>
      <c r="B3934" s="3" t="s">
        <v>1408</v>
      </c>
      <c r="C3934" s="3" t="s">
        <v>45</v>
      </c>
      <c r="D3934" s="3" t="s">
        <v>1424</v>
      </c>
      <c r="E3934" s="3" t="s">
        <v>77</v>
      </c>
      <c r="F3934" s="3"/>
      <c r="G3934" s="3"/>
      <c r="H3934" s="3"/>
      <c r="I3934" s="3"/>
    </row>
    <row r="3935" spans="1:9" s="5" customFormat="1" x14ac:dyDescent="0.35">
      <c r="A3935" s="3" t="s">
        <v>1185</v>
      </c>
      <c r="B3935" s="3" t="s">
        <v>1408</v>
      </c>
      <c r="C3935" s="3" t="s">
        <v>45</v>
      </c>
      <c r="D3935" s="3" t="s">
        <v>1424</v>
      </c>
      <c r="E3935" s="3" t="s">
        <v>24</v>
      </c>
      <c r="F3935" s="3" t="s">
        <v>33</v>
      </c>
      <c r="G3935" s="3" t="s">
        <v>2815</v>
      </c>
      <c r="H3935" s="3"/>
      <c r="I3935" s="3"/>
    </row>
    <row r="3936" spans="1:9" s="5" customFormat="1" x14ac:dyDescent="0.35">
      <c r="A3936" s="3" t="s">
        <v>1185</v>
      </c>
      <c r="B3936" s="3" t="s">
        <v>1408</v>
      </c>
      <c r="C3936" s="3" t="s">
        <v>39</v>
      </c>
      <c r="D3936" s="3" t="s">
        <v>1425</v>
      </c>
      <c r="E3936" s="3" t="s">
        <v>12</v>
      </c>
      <c r="F3936" s="3"/>
      <c r="G3936" s="3"/>
      <c r="H3936" s="3"/>
      <c r="I3936" s="3"/>
    </row>
    <row r="3937" spans="1:9" s="5" customFormat="1" x14ac:dyDescent="0.35">
      <c r="A3937" s="3" t="s">
        <v>1185</v>
      </c>
      <c r="B3937" s="3" t="s">
        <v>1408</v>
      </c>
      <c r="C3937" s="3" t="s">
        <v>39</v>
      </c>
      <c r="D3937" s="3" t="s">
        <v>1425</v>
      </c>
      <c r="E3937" s="3" t="s">
        <v>87</v>
      </c>
      <c r="F3937" s="3"/>
      <c r="G3937" s="3"/>
      <c r="H3937" s="3"/>
      <c r="I3937" s="3"/>
    </row>
    <row r="3938" spans="1:9" s="5" customFormat="1" x14ac:dyDescent="0.35">
      <c r="A3938" s="3" t="s">
        <v>1185</v>
      </c>
      <c r="B3938" s="3" t="s">
        <v>1408</v>
      </c>
      <c r="C3938" s="3" t="s">
        <v>39</v>
      </c>
      <c r="D3938" s="3" t="s">
        <v>1425</v>
      </c>
      <c r="E3938" s="3" t="s">
        <v>15</v>
      </c>
      <c r="F3938" s="3" t="s">
        <v>16</v>
      </c>
      <c r="G3938" s="3" t="s">
        <v>1426</v>
      </c>
      <c r="H3938" s="3"/>
      <c r="I3938" s="3"/>
    </row>
    <row r="3939" spans="1:9" s="5" customFormat="1" x14ac:dyDescent="0.35">
      <c r="A3939" s="3" t="s">
        <v>1185</v>
      </c>
      <c r="B3939" s="3" t="s">
        <v>1408</v>
      </c>
      <c r="C3939" s="3" t="s">
        <v>39</v>
      </c>
      <c r="D3939" s="3" t="s">
        <v>1425</v>
      </c>
      <c r="E3939" s="3" t="s">
        <v>134</v>
      </c>
      <c r="F3939" s="3"/>
      <c r="G3939" s="3"/>
      <c r="H3939" s="3"/>
      <c r="I3939" s="3"/>
    </row>
    <row r="3940" spans="1:9" s="5" customFormat="1" x14ac:dyDescent="0.35">
      <c r="A3940" s="3" t="s">
        <v>1185</v>
      </c>
      <c r="B3940" s="3" t="s">
        <v>1408</v>
      </c>
      <c r="C3940" s="3" t="s">
        <v>39</v>
      </c>
      <c r="D3940" s="3" t="s">
        <v>1427</v>
      </c>
      <c r="E3940" s="3" t="s">
        <v>27</v>
      </c>
      <c r="F3940" s="3"/>
      <c r="G3940" s="3"/>
      <c r="H3940" s="3"/>
      <c r="I3940" s="3"/>
    </row>
    <row r="3941" spans="1:9" s="5" customFormat="1" x14ac:dyDescent="0.35">
      <c r="A3941" s="3" t="s">
        <v>1185</v>
      </c>
      <c r="B3941" s="3" t="s">
        <v>1408</v>
      </c>
      <c r="C3941" s="3" t="s">
        <v>39</v>
      </c>
      <c r="D3941" s="3" t="s">
        <v>1427</v>
      </c>
      <c r="E3941" s="3" t="s">
        <v>15</v>
      </c>
      <c r="F3941" s="3" t="s">
        <v>16</v>
      </c>
      <c r="G3941" s="3" t="s">
        <v>1418</v>
      </c>
      <c r="H3941" s="3"/>
      <c r="I3941" s="3"/>
    </row>
    <row r="3942" spans="1:9" s="5" customFormat="1" x14ac:dyDescent="0.35">
      <c r="A3942" s="3" t="s">
        <v>1185</v>
      </c>
      <c r="B3942" s="3" t="s">
        <v>1408</v>
      </c>
      <c r="C3942" s="3" t="s">
        <v>39</v>
      </c>
      <c r="D3942" s="3" t="s">
        <v>1427</v>
      </c>
      <c r="E3942" s="3" t="s">
        <v>134</v>
      </c>
      <c r="F3942" s="3" t="s">
        <v>16</v>
      </c>
      <c r="G3942" s="3" t="s">
        <v>1428</v>
      </c>
      <c r="H3942" s="3"/>
      <c r="I3942" s="3"/>
    </row>
    <row r="3943" spans="1:9" s="5" customFormat="1" x14ac:dyDescent="0.35">
      <c r="A3943" s="3" t="s">
        <v>1185</v>
      </c>
      <c r="B3943" s="3" t="s">
        <v>1408</v>
      </c>
      <c r="C3943" s="3" t="s">
        <v>20</v>
      </c>
      <c r="D3943" s="3" t="s">
        <v>1429</v>
      </c>
      <c r="E3943" s="3" t="s">
        <v>60</v>
      </c>
      <c r="F3943" s="3"/>
      <c r="G3943" s="3"/>
      <c r="H3943" s="3"/>
      <c r="I3943" s="3"/>
    </row>
    <row r="3944" spans="1:9" s="5" customFormat="1" x14ac:dyDescent="0.35">
      <c r="A3944" s="3" t="s">
        <v>1185</v>
      </c>
      <c r="B3944" s="3" t="s">
        <v>1408</v>
      </c>
      <c r="C3944" s="3" t="s">
        <v>20</v>
      </c>
      <c r="D3944" s="3" t="s">
        <v>1429</v>
      </c>
      <c r="E3944" s="3" t="s">
        <v>77</v>
      </c>
      <c r="F3944" s="3"/>
      <c r="G3944" s="3"/>
      <c r="H3944" s="3" t="s">
        <v>16</v>
      </c>
      <c r="I3944" s="3" t="s">
        <v>1410</v>
      </c>
    </row>
    <row r="3945" spans="1:9" s="5" customFormat="1" x14ac:dyDescent="0.35">
      <c r="A3945" s="3" t="s">
        <v>1185</v>
      </c>
      <c r="B3945" s="3" t="s">
        <v>1408</v>
      </c>
      <c r="C3945" s="3" t="s">
        <v>20</v>
      </c>
      <c r="D3945" s="3" t="s">
        <v>1429</v>
      </c>
      <c r="E3945" s="3" t="s">
        <v>87</v>
      </c>
      <c r="F3945" s="3" t="s">
        <v>16</v>
      </c>
      <c r="G3945" s="3" t="s">
        <v>1211</v>
      </c>
      <c r="H3945" s="3" t="s">
        <v>16</v>
      </c>
      <c r="I3945" s="3" t="s">
        <v>1410</v>
      </c>
    </row>
    <row r="3946" spans="1:9" s="5" customFormat="1" x14ac:dyDescent="0.35">
      <c r="A3946" s="3" t="s">
        <v>1185</v>
      </c>
      <c r="B3946" s="3" t="s">
        <v>1408</v>
      </c>
      <c r="C3946" s="3" t="s">
        <v>20</v>
      </c>
      <c r="D3946" s="3" t="s">
        <v>1429</v>
      </c>
      <c r="E3946" s="3" t="s">
        <v>15</v>
      </c>
      <c r="F3946" s="3" t="s">
        <v>16</v>
      </c>
      <c r="G3946" s="3" t="s">
        <v>1420</v>
      </c>
      <c r="H3946" s="3" t="s">
        <v>16</v>
      </c>
      <c r="I3946" s="3" t="s">
        <v>1410</v>
      </c>
    </row>
    <row r="3947" spans="1:9" s="5" customFormat="1" x14ac:dyDescent="0.35">
      <c r="A3947" s="3" t="s">
        <v>1185</v>
      </c>
      <c r="B3947" s="3" t="s">
        <v>1408</v>
      </c>
      <c r="C3947" s="3" t="s">
        <v>20</v>
      </c>
      <c r="D3947" s="3" t="s">
        <v>1429</v>
      </c>
      <c r="E3947" s="3" t="s">
        <v>57</v>
      </c>
      <c r="F3947" s="3" t="s">
        <v>33</v>
      </c>
      <c r="G3947" s="3" t="s">
        <v>34</v>
      </c>
      <c r="H3947" s="3" t="s">
        <v>16</v>
      </c>
      <c r="I3947" s="3" t="s">
        <v>1410</v>
      </c>
    </row>
    <row r="3948" spans="1:9" s="5" customFormat="1" x14ac:dyDescent="0.35">
      <c r="A3948" s="3" t="s">
        <v>1185</v>
      </c>
      <c r="B3948" s="3" t="s">
        <v>1408</v>
      </c>
      <c r="C3948" s="3" t="s">
        <v>20</v>
      </c>
      <c r="D3948" s="3" t="s">
        <v>1429</v>
      </c>
      <c r="E3948" s="3" t="s">
        <v>56</v>
      </c>
      <c r="F3948" s="3" t="s">
        <v>16</v>
      </c>
      <c r="G3948" s="3" t="s">
        <v>1206</v>
      </c>
      <c r="H3948" s="3" t="s">
        <v>16</v>
      </c>
      <c r="I3948" s="3" t="s">
        <v>1410</v>
      </c>
    </row>
    <row r="3949" spans="1:9" s="5" customFormat="1" x14ac:dyDescent="0.35">
      <c r="A3949" s="3" t="s">
        <v>1185</v>
      </c>
      <c r="B3949" s="3" t="s">
        <v>1408</v>
      </c>
      <c r="C3949" s="3" t="s">
        <v>20</v>
      </c>
      <c r="D3949" s="3" t="s">
        <v>1429</v>
      </c>
      <c r="E3949" s="3" t="s">
        <v>1197</v>
      </c>
      <c r="F3949" s="3"/>
      <c r="G3949" s="3"/>
      <c r="H3949" s="3"/>
      <c r="I3949" s="3"/>
    </row>
    <row r="3950" spans="1:9" s="5" customFormat="1" x14ac:dyDescent="0.35">
      <c r="A3950" s="3" t="s">
        <v>1185</v>
      </c>
      <c r="B3950" s="3" t="s">
        <v>1408</v>
      </c>
      <c r="C3950" s="3" t="s">
        <v>20</v>
      </c>
      <c r="D3950" s="3" t="s">
        <v>1429</v>
      </c>
      <c r="E3950" s="3" t="s">
        <v>32</v>
      </c>
      <c r="F3950" s="3" t="s">
        <v>16</v>
      </c>
      <c r="G3950" s="3" t="s">
        <v>1206</v>
      </c>
      <c r="H3950" s="3" t="s">
        <v>16</v>
      </c>
      <c r="I3950" s="3" t="s">
        <v>1410</v>
      </c>
    </row>
    <row r="3951" spans="1:9" s="5" customFormat="1" x14ac:dyDescent="0.35">
      <c r="A3951" s="3" t="s">
        <v>1185</v>
      </c>
      <c r="B3951" s="3" t="s">
        <v>1408</v>
      </c>
      <c r="C3951" s="3" t="s">
        <v>20</v>
      </c>
      <c r="D3951" s="3" t="s">
        <v>1429</v>
      </c>
      <c r="E3951" s="3" t="s">
        <v>107</v>
      </c>
      <c r="F3951" s="3"/>
      <c r="G3951" s="3"/>
      <c r="H3951" s="3" t="s">
        <v>16</v>
      </c>
      <c r="I3951" s="3" t="s">
        <v>1410</v>
      </c>
    </row>
    <row r="3952" spans="1:9" s="5" customFormat="1" x14ac:dyDescent="0.35">
      <c r="A3952" s="3" t="s">
        <v>1185</v>
      </c>
      <c r="B3952" s="3" t="s">
        <v>1408</v>
      </c>
      <c r="C3952" s="3" t="s">
        <v>10</v>
      </c>
      <c r="D3952" s="3" t="s">
        <v>1430</v>
      </c>
      <c r="E3952" s="3" t="s">
        <v>56</v>
      </c>
      <c r="F3952" s="3" t="s">
        <v>16</v>
      </c>
      <c r="G3952" s="3" t="s">
        <v>1206</v>
      </c>
      <c r="H3952" s="3" t="s">
        <v>16</v>
      </c>
      <c r="I3952" s="3" t="s">
        <v>1410</v>
      </c>
    </row>
    <row r="3953" spans="1:9" s="5" customFormat="1" x14ac:dyDescent="0.35">
      <c r="A3953" s="3" t="s">
        <v>1185</v>
      </c>
      <c r="B3953" s="3" t="s">
        <v>1408</v>
      </c>
      <c r="C3953" s="3" t="s">
        <v>10</v>
      </c>
      <c r="D3953" s="3" t="s">
        <v>1431</v>
      </c>
      <c r="E3953" s="3" t="s">
        <v>56</v>
      </c>
      <c r="F3953" s="3" t="s">
        <v>16</v>
      </c>
      <c r="G3953" s="3" t="s">
        <v>1432</v>
      </c>
      <c r="H3953" s="3" t="s">
        <v>16</v>
      </c>
      <c r="I3953" s="3" t="s">
        <v>1410</v>
      </c>
    </row>
    <row r="3954" spans="1:9" s="5" customFormat="1" x14ac:dyDescent="0.35">
      <c r="A3954" s="3" t="s">
        <v>1185</v>
      </c>
      <c r="B3954" s="3" t="s">
        <v>1408</v>
      </c>
      <c r="C3954" s="3" t="s">
        <v>10</v>
      </c>
      <c r="D3954" s="3" t="s">
        <v>1433</v>
      </c>
      <c r="E3954" s="3" t="s">
        <v>77</v>
      </c>
      <c r="F3954" s="3"/>
      <c r="G3954" s="3"/>
      <c r="H3954" s="3" t="s">
        <v>16</v>
      </c>
      <c r="I3954" s="3" t="s">
        <v>1410</v>
      </c>
    </row>
    <row r="3955" spans="1:9" s="5" customFormat="1" x14ac:dyDescent="0.35">
      <c r="A3955" s="3" t="s">
        <v>1185</v>
      </c>
      <c r="B3955" s="3" t="s">
        <v>1408</v>
      </c>
      <c r="C3955" s="3" t="s">
        <v>10</v>
      </c>
      <c r="D3955" s="3" t="s">
        <v>1433</v>
      </c>
      <c r="E3955" s="3" t="s">
        <v>15</v>
      </c>
      <c r="F3955" s="3" t="s">
        <v>16</v>
      </c>
      <c r="G3955" s="3" t="s">
        <v>1420</v>
      </c>
      <c r="H3955" s="3" t="s">
        <v>16</v>
      </c>
      <c r="I3955" s="3" t="s">
        <v>1410</v>
      </c>
    </row>
    <row r="3956" spans="1:9" s="5" customFormat="1" x14ac:dyDescent="0.35">
      <c r="A3956" s="3" t="s">
        <v>1185</v>
      </c>
      <c r="B3956" s="3" t="s">
        <v>1408</v>
      </c>
      <c r="C3956" s="3" t="s">
        <v>10</v>
      </c>
      <c r="D3956" s="3" t="s">
        <v>1433</v>
      </c>
      <c r="E3956" s="3" t="s">
        <v>56</v>
      </c>
      <c r="F3956" s="3" t="s">
        <v>16</v>
      </c>
      <c r="G3956" s="3" t="s">
        <v>1206</v>
      </c>
      <c r="H3956" s="3" t="s">
        <v>16</v>
      </c>
      <c r="I3956" s="3" t="s">
        <v>1410</v>
      </c>
    </row>
    <row r="3957" spans="1:9" s="5" customFormat="1" x14ac:dyDescent="0.35">
      <c r="A3957" s="3" t="s">
        <v>1185</v>
      </c>
      <c r="B3957" s="3" t="s">
        <v>1408</v>
      </c>
      <c r="C3957" s="3" t="s">
        <v>10</v>
      </c>
      <c r="D3957" s="3" t="s">
        <v>1433</v>
      </c>
      <c r="E3957" s="3" t="s">
        <v>29</v>
      </c>
      <c r="F3957" s="3"/>
      <c r="G3957" s="3"/>
      <c r="H3957" s="3" t="s">
        <v>16</v>
      </c>
      <c r="I3957" s="3" t="s">
        <v>1410</v>
      </c>
    </row>
    <row r="3958" spans="1:9" s="5" customFormat="1" x14ac:dyDescent="0.35">
      <c r="A3958" s="3" t="s">
        <v>1185</v>
      </c>
      <c r="B3958" s="3" t="s">
        <v>1408</v>
      </c>
      <c r="C3958" s="3" t="s">
        <v>10</v>
      </c>
      <c r="D3958" s="3" t="s">
        <v>2277</v>
      </c>
      <c r="E3958" s="3" t="s">
        <v>56</v>
      </c>
      <c r="F3958" s="3" t="s">
        <v>16</v>
      </c>
      <c r="G3958" s="3" t="s">
        <v>2278</v>
      </c>
      <c r="H3958" s="3" t="s">
        <v>16</v>
      </c>
      <c r="I3958" s="3" t="s">
        <v>1410</v>
      </c>
    </row>
    <row r="3959" spans="1:9" s="5" customFormat="1" x14ac:dyDescent="0.35">
      <c r="A3959" s="3" t="s">
        <v>1185</v>
      </c>
      <c r="B3959" s="3" t="s">
        <v>1408</v>
      </c>
      <c r="C3959" s="3" t="s">
        <v>45</v>
      </c>
      <c r="D3959" s="3" t="s">
        <v>1434</v>
      </c>
      <c r="E3959" s="3" t="s">
        <v>77</v>
      </c>
      <c r="F3959" s="3"/>
      <c r="G3959" s="3"/>
      <c r="H3959" s="3" t="s">
        <v>16</v>
      </c>
      <c r="I3959" s="3" t="s">
        <v>1410</v>
      </c>
    </row>
    <row r="3960" spans="1:9" s="5" customFormat="1" x14ac:dyDescent="0.35">
      <c r="A3960" s="3" t="s">
        <v>1185</v>
      </c>
      <c r="B3960" s="3" t="s">
        <v>1408</v>
      </c>
      <c r="C3960" s="3" t="s">
        <v>45</v>
      </c>
      <c r="D3960" s="3" t="s">
        <v>1434</v>
      </c>
      <c r="E3960" s="3" t="s">
        <v>24</v>
      </c>
      <c r="F3960" s="3"/>
      <c r="G3960" s="3"/>
      <c r="H3960" s="3" t="s">
        <v>16</v>
      </c>
      <c r="I3960" s="3" t="s">
        <v>1410</v>
      </c>
    </row>
    <row r="3961" spans="1:9" s="5" customFormat="1" x14ac:dyDescent="0.35">
      <c r="A3961" s="3" t="s">
        <v>1185</v>
      </c>
      <c r="B3961" s="3" t="s">
        <v>1408</v>
      </c>
      <c r="C3961" s="3" t="s">
        <v>45</v>
      </c>
      <c r="D3961" s="3" t="s">
        <v>1435</v>
      </c>
      <c r="E3961" s="3" t="s">
        <v>12</v>
      </c>
      <c r="F3961" s="3"/>
      <c r="G3961" s="3"/>
      <c r="H3961" s="3" t="s">
        <v>16</v>
      </c>
      <c r="I3961" s="3" t="s">
        <v>1410</v>
      </c>
    </row>
    <row r="3962" spans="1:9" s="5" customFormat="1" x14ac:dyDescent="0.35">
      <c r="A3962" s="3" t="s">
        <v>1185</v>
      </c>
      <c r="B3962" s="3" t="s">
        <v>1408</v>
      </c>
      <c r="C3962" s="3" t="s">
        <v>45</v>
      </c>
      <c r="D3962" s="3" t="s">
        <v>1435</v>
      </c>
      <c r="E3962" s="3" t="s">
        <v>47</v>
      </c>
      <c r="F3962" s="3"/>
      <c r="G3962" s="3"/>
      <c r="H3962" s="3"/>
      <c r="I3962" s="3"/>
    </row>
    <row r="3963" spans="1:9" s="5" customFormat="1" x14ac:dyDescent="0.35">
      <c r="A3963" s="3" t="s">
        <v>1185</v>
      </c>
      <c r="B3963" s="3" t="s">
        <v>1408</v>
      </c>
      <c r="C3963" s="3" t="s">
        <v>45</v>
      </c>
      <c r="D3963" s="3" t="s">
        <v>1435</v>
      </c>
      <c r="E3963" s="3" t="s">
        <v>87</v>
      </c>
      <c r="F3963" s="3"/>
      <c r="G3963" s="3"/>
      <c r="H3963" s="3"/>
      <c r="I3963" s="3"/>
    </row>
    <row r="3964" spans="1:9" s="5" customFormat="1" x14ac:dyDescent="0.35">
      <c r="A3964" s="3" t="s">
        <v>1185</v>
      </c>
      <c r="B3964" s="3" t="s">
        <v>1408</v>
      </c>
      <c r="C3964" s="3" t="s">
        <v>45</v>
      </c>
      <c r="D3964" s="3" t="s">
        <v>1435</v>
      </c>
      <c r="E3964" s="3" t="s">
        <v>15</v>
      </c>
      <c r="F3964" s="3"/>
      <c r="G3964" s="3"/>
      <c r="H3964" s="3" t="s">
        <v>16</v>
      </c>
      <c r="I3964" s="3" t="s">
        <v>1410</v>
      </c>
    </row>
    <row r="3965" spans="1:9" s="5" customFormat="1" x14ac:dyDescent="0.35">
      <c r="A3965" s="3" t="s">
        <v>1185</v>
      </c>
      <c r="B3965" s="3" t="s">
        <v>1408</v>
      </c>
      <c r="C3965" s="3" t="s">
        <v>45</v>
      </c>
      <c r="D3965" s="3" t="s">
        <v>1435</v>
      </c>
      <c r="E3965" s="3" t="s">
        <v>56</v>
      </c>
      <c r="F3965" s="3" t="s">
        <v>16</v>
      </c>
      <c r="G3965" s="3" t="s">
        <v>1206</v>
      </c>
      <c r="H3965" s="3" t="s">
        <v>16</v>
      </c>
      <c r="I3965" s="3" t="s">
        <v>1410</v>
      </c>
    </row>
    <row r="3966" spans="1:9" s="5" customFormat="1" x14ac:dyDescent="0.35">
      <c r="A3966" s="3" t="s">
        <v>1185</v>
      </c>
      <c r="B3966" s="3" t="s">
        <v>1408</v>
      </c>
      <c r="C3966" s="3" t="s">
        <v>45</v>
      </c>
      <c r="D3966" s="3" t="s">
        <v>1435</v>
      </c>
      <c r="E3966" s="3" t="s">
        <v>24</v>
      </c>
      <c r="F3966" s="3"/>
      <c r="G3966" s="3"/>
      <c r="H3966" s="3" t="s">
        <v>16</v>
      </c>
      <c r="I3966" s="3" t="s">
        <v>1410</v>
      </c>
    </row>
    <row r="3967" spans="1:9" s="5" customFormat="1" x14ac:dyDescent="0.35">
      <c r="A3967" s="3" t="s">
        <v>1185</v>
      </c>
      <c r="B3967" s="3" t="s">
        <v>1408</v>
      </c>
      <c r="C3967" s="3" t="s">
        <v>45</v>
      </c>
      <c r="D3967" s="3" t="s">
        <v>1435</v>
      </c>
      <c r="E3967" s="3" t="s">
        <v>1141</v>
      </c>
      <c r="F3967" s="3" t="s">
        <v>33</v>
      </c>
      <c r="G3967" s="3" t="s">
        <v>2539</v>
      </c>
      <c r="H3967" s="3" t="s">
        <v>16</v>
      </c>
      <c r="I3967" s="3" t="s">
        <v>1410</v>
      </c>
    </row>
    <row r="3968" spans="1:9" s="5" customFormat="1" x14ac:dyDescent="0.35">
      <c r="A3968" s="3" t="s">
        <v>1185</v>
      </c>
      <c r="B3968" s="3" t="s">
        <v>1408</v>
      </c>
      <c r="C3968" s="3" t="s">
        <v>45</v>
      </c>
      <c r="D3968" s="3" t="s">
        <v>1436</v>
      </c>
      <c r="E3968" s="3" t="s">
        <v>77</v>
      </c>
      <c r="F3968" s="3"/>
      <c r="G3968" s="3"/>
      <c r="H3968" s="3" t="s">
        <v>16</v>
      </c>
      <c r="I3968" s="3" t="s">
        <v>1410</v>
      </c>
    </row>
    <row r="3969" spans="1:9" s="5" customFormat="1" x14ac:dyDescent="0.35">
      <c r="A3969" s="3" t="s">
        <v>1185</v>
      </c>
      <c r="B3969" s="3" t="s">
        <v>1408</v>
      </c>
      <c r="C3969" s="3" t="s">
        <v>45</v>
      </c>
      <c r="D3969" s="3" t="s">
        <v>1436</v>
      </c>
      <c r="E3969" s="3" t="s">
        <v>24</v>
      </c>
      <c r="F3969" s="3"/>
      <c r="G3969" s="3"/>
      <c r="H3969" s="3" t="s">
        <v>16</v>
      </c>
      <c r="I3969" s="3" t="s">
        <v>1410</v>
      </c>
    </row>
    <row r="3970" spans="1:9" s="5" customFormat="1" x14ac:dyDescent="0.35">
      <c r="A3970" s="3" t="s">
        <v>1185</v>
      </c>
      <c r="B3970" s="3" t="s">
        <v>1408</v>
      </c>
      <c r="C3970" s="3" t="s">
        <v>20</v>
      </c>
      <c r="D3970" s="3" t="s">
        <v>1437</v>
      </c>
      <c r="E3970" s="3" t="s">
        <v>60</v>
      </c>
      <c r="F3970" s="3"/>
      <c r="G3970" s="3"/>
      <c r="H3970" s="3" t="s">
        <v>16</v>
      </c>
      <c r="I3970" s="3" t="s">
        <v>1410</v>
      </c>
    </row>
    <row r="3971" spans="1:9" s="5" customFormat="1" x14ac:dyDescent="0.35">
      <c r="A3971" s="3" t="s">
        <v>1185</v>
      </c>
      <c r="B3971" s="3" t="s">
        <v>1408</v>
      </c>
      <c r="C3971" s="3" t="s">
        <v>20</v>
      </c>
      <c r="D3971" s="3" t="s">
        <v>1437</v>
      </c>
      <c r="E3971" s="3" t="s">
        <v>56</v>
      </c>
      <c r="F3971" s="3" t="s">
        <v>16</v>
      </c>
      <c r="G3971" s="3" t="s">
        <v>1438</v>
      </c>
      <c r="H3971" s="3" t="s">
        <v>16</v>
      </c>
      <c r="I3971" s="3" t="s">
        <v>1410</v>
      </c>
    </row>
    <row r="3972" spans="1:9" s="5" customFormat="1" x14ac:dyDescent="0.35">
      <c r="A3972" s="3" t="s">
        <v>1185</v>
      </c>
      <c r="B3972" s="3" t="s">
        <v>1408</v>
      </c>
      <c r="C3972" s="3" t="s">
        <v>10</v>
      </c>
      <c r="D3972" s="3" t="s">
        <v>1439</v>
      </c>
      <c r="E3972" s="3" t="s">
        <v>15</v>
      </c>
      <c r="F3972" s="3" t="s">
        <v>16</v>
      </c>
      <c r="G3972" s="3" t="s">
        <v>1440</v>
      </c>
      <c r="H3972" s="3" t="s">
        <v>16</v>
      </c>
      <c r="I3972" s="3" t="s">
        <v>1410</v>
      </c>
    </row>
    <row r="3973" spans="1:9" s="5" customFormat="1" x14ac:dyDescent="0.35">
      <c r="A3973" s="3" t="s">
        <v>1185</v>
      </c>
      <c r="B3973" s="3" t="s">
        <v>1408</v>
      </c>
      <c r="C3973" s="3" t="s">
        <v>10</v>
      </c>
      <c r="D3973" s="3" t="s">
        <v>1439</v>
      </c>
      <c r="E3973" s="3" t="s">
        <v>37</v>
      </c>
      <c r="F3973" s="3"/>
      <c r="G3973" s="3"/>
      <c r="H3973" s="3" t="s">
        <v>16</v>
      </c>
      <c r="I3973" s="3" t="s">
        <v>1410</v>
      </c>
    </row>
    <row r="3974" spans="1:9" s="5" customFormat="1" x14ac:dyDescent="0.35">
      <c r="A3974" s="3" t="s">
        <v>1185</v>
      </c>
      <c r="B3974" s="3" t="s">
        <v>1408</v>
      </c>
      <c r="C3974" s="3" t="s">
        <v>10</v>
      </c>
      <c r="D3974" s="3" t="s">
        <v>1439</v>
      </c>
      <c r="E3974" s="3" t="s">
        <v>107</v>
      </c>
      <c r="F3974" s="3" t="s">
        <v>16</v>
      </c>
      <c r="G3974" s="3" t="s">
        <v>1441</v>
      </c>
      <c r="H3974" s="3" t="s">
        <v>16</v>
      </c>
      <c r="I3974" s="3" t="s">
        <v>1410</v>
      </c>
    </row>
    <row r="3975" spans="1:9" s="5" customFormat="1" x14ac:dyDescent="0.35">
      <c r="A3975" s="3" t="s">
        <v>1185</v>
      </c>
      <c r="B3975" s="3" t="s">
        <v>1408</v>
      </c>
      <c r="C3975" s="3" t="s">
        <v>39</v>
      </c>
      <c r="D3975" s="3" t="s">
        <v>1442</v>
      </c>
      <c r="E3975" s="3" t="s">
        <v>25</v>
      </c>
      <c r="F3975" s="3"/>
      <c r="G3975" s="3"/>
      <c r="H3975" s="3" t="s">
        <v>16</v>
      </c>
      <c r="I3975" s="3" t="s">
        <v>1410</v>
      </c>
    </row>
    <row r="3976" spans="1:9" s="5" customFormat="1" x14ac:dyDescent="0.35">
      <c r="A3976" s="3" t="s">
        <v>1185</v>
      </c>
      <c r="B3976" s="3" t="s">
        <v>1408</v>
      </c>
      <c r="C3976" s="3" t="s">
        <v>39</v>
      </c>
      <c r="D3976" s="3" t="s">
        <v>1442</v>
      </c>
      <c r="E3976" s="3" t="s">
        <v>60</v>
      </c>
      <c r="F3976" s="3"/>
      <c r="G3976" s="3"/>
      <c r="H3976" s="3"/>
      <c r="I3976" s="3"/>
    </row>
    <row r="3977" spans="1:9" s="5" customFormat="1" x14ac:dyDescent="0.35">
      <c r="A3977" s="3" t="s">
        <v>1185</v>
      </c>
      <c r="B3977" s="3" t="s">
        <v>1408</v>
      </c>
      <c r="C3977" s="3" t="s">
        <v>39</v>
      </c>
      <c r="D3977" s="3" t="s">
        <v>1442</v>
      </c>
      <c r="E3977" s="3" t="s">
        <v>15</v>
      </c>
      <c r="F3977" s="3" t="s">
        <v>16</v>
      </c>
      <c r="G3977" s="3" t="s">
        <v>1208</v>
      </c>
      <c r="H3977" s="3" t="s">
        <v>16</v>
      </c>
      <c r="I3977" s="3" t="s">
        <v>1410</v>
      </c>
    </row>
    <row r="3978" spans="1:9" s="5" customFormat="1" x14ac:dyDescent="0.35">
      <c r="A3978" s="3" t="s">
        <v>1185</v>
      </c>
      <c r="B3978" s="3" t="s">
        <v>1408</v>
      </c>
      <c r="C3978" s="3" t="s">
        <v>39</v>
      </c>
      <c r="D3978" s="3" t="s">
        <v>1442</v>
      </c>
      <c r="E3978" s="3" t="s">
        <v>56</v>
      </c>
      <c r="F3978" s="3" t="s">
        <v>16</v>
      </c>
      <c r="G3978" s="3" t="s">
        <v>1206</v>
      </c>
      <c r="H3978" s="3" t="s">
        <v>16</v>
      </c>
      <c r="I3978" s="3" t="s">
        <v>1410</v>
      </c>
    </row>
    <row r="3979" spans="1:9" s="5" customFormat="1" x14ac:dyDescent="0.35">
      <c r="A3979" s="3" t="s">
        <v>1185</v>
      </c>
      <c r="B3979" s="3" t="s">
        <v>1408</v>
      </c>
      <c r="C3979" s="3" t="s">
        <v>39</v>
      </c>
      <c r="D3979" s="3" t="s">
        <v>1443</v>
      </c>
      <c r="E3979" s="3" t="s">
        <v>15</v>
      </c>
      <c r="F3979" s="3" t="s">
        <v>16</v>
      </c>
      <c r="G3979" s="3" t="s">
        <v>1444</v>
      </c>
      <c r="H3979" s="3"/>
      <c r="I3979" s="3"/>
    </row>
    <row r="3980" spans="1:9" s="5" customFormat="1" x14ac:dyDescent="0.35">
      <c r="A3980" s="3" t="s">
        <v>1185</v>
      </c>
      <c r="B3980" s="3" t="s">
        <v>1408</v>
      </c>
      <c r="C3980" s="3" t="s">
        <v>45</v>
      </c>
      <c r="D3980" s="3" t="s">
        <v>1445</v>
      </c>
      <c r="E3980" s="3" t="s">
        <v>27</v>
      </c>
      <c r="F3980" s="3"/>
      <c r="G3980" s="3" t="s">
        <v>2317</v>
      </c>
      <c r="H3980" s="3" t="s">
        <v>16</v>
      </c>
      <c r="I3980" s="3" t="s">
        <v>1410</v>
      </c>
    </row>
    <row r="3981" spans="1:9" s="5" customFormat="1" x14ac:dyDescent="0.35">
      <c r="A3981" s="3" t="s">
        <v>1185</v>
      </c>
      <c r="B3981" s="3" t="s">
        <v>1408</v>
      </c>
      <c r="C3981" s="3" t="s">
        <v>45</v>
      </c>
      <c r="D3981" s="3" t="s">
        <v>1445</v>
      </c>
      <c r="E3981" s="3" t="s">
        <v>77</v>
      </c>
      <c r="F3981" s="3"/>
      <c r="G3981" s="3"/>
      <c r="H3981" s="3" t="s">
        <v>16</v>
      </c>
      <c r="I3981" s="3" t="s">
        <v>1410</v>
      </c>
    </row>
    <row r="3982" spans="1:9" s="5" customFormat="1" x14ac:dyDescent="0.35">
      <c r="A3982" s="3" t="s">
        <v>1185</v>
      </c>
      <c r="B3982" s="3" t="s">
        <v>1408</v>
      </c>
      <c r="C3982" s="3" t="s">
        <v>45</v>
      </c>
      <c r="D3982" s="3" t="s">
        <v>1445</v>
      </c>
      <c r="E3982" s="3" t="s">
        <v>98</v>
      </c>
      <c r="F3982" s="3"/>
      <c r="G3982" s="3"/>
      <c r="H3982" s="3" t="s">
        <v>16</v>
      </c>
      <c r="I3982" s="3" t="s">
        <v>1410</v>
      </c>
    </row>
    <row r="3983" spans="1:9" s="5" customFormat="1" x14ac:dyDescent="0.35">
      <c r="A3983" s="3" t="s">
        <v>1185</v>
      </c>
      <c r="B3983" s="3" t="s">
        <v>1408</v>
      </c>
      <c r="C3983" s="3" t="s">
        <v>45</v>
      </c>
      <c r="D3983" s="3" t="s">
        <v>1445</v>
      </c>
      <c r="E3983" s="3" t="s">
        <v>24</v>
      </c>
      <c r="F3983" s="3"/>
      <c r="G3983" s="3"/>
      <c r="H3983" s="3" t="s">
        <v>16</v>
      </c>
      <c r="I3983" s="3" t="s">
        <v>1410</v>
      </c>
    </row>
    <row r="3984" spans="1:9" s="5" customFormat="1" x14ac:dyDescent="0.35">
      <c r="A3984" s="3" t="s">
        <v>1185</v>
      </c>
      <c r="B3984" s="3" t="s">
        <v>1408</v>
      </c>
      <c r="C3984" s="3" t="s">
        <v>45</v>
      </c>
      <c r="D3984" s="3" t="s">
        <v>1445</v>
      </c>
      <c r="E3984" s="3" t="s">
        <v>191</v>
      </c>
      <c r="F3984" s="3"/>
      <c r="G3984" s="3"/>
      <c r="H3984" s="3" t="s">
        <v>16</v>
      </c>
      <c r="I3984" s="3" t="s">
        <v>1410</v>
      </c>
    </row>
    <row r="3985" spans="1:9" s="5" customFormat="1" x14ac:dyDescent="0.35">
      <c r="A3985" s="3" t="s">
        <v>1185</v>
      </c>
      <c r="B3985" s="3" t="s">
        <v>1408</v>
      </c>
      <c r="C3985" s="3" t="s">
        <v>45</v>
      </c>
      <c r="D3985" s="3" t="s">
        <v>1446</v>
      </c>
      <c r="E3985" s="3" t="s">
        <v>36</v>
      </c>
      <c r="F3985" s="3"/>
      <c r="G3985" s="3"/>
      <c r="H3985" s="3" t="s">
        <v>16</v>
      </c>
      <c r="I3985" s="3" t="s">
        <v>1410</v>
      </c>
    </row>
    <row r="3986" spans="1:9" s="5" customFormat="1" x14ac:dyDescent="0.35">
      <c r="A3986" s="3" t="s">
        <v>1185</v>
      </c>
      <c r="B3986" s="3" t="s">
        <v>1408</v>
      </c>
      <c r="C3986" s="3" t="s">
        <v>45</v>
      </c>
      <c r="D3986" s="3" t="s">
        <v>1446</v>
      </c>
      <c r="E3986" s="3" t="s">
        <v>15</v>
      </c>
      <c r="F3986" s="3" t="s">
        <v>16</v>
      </c>
      <c r="G3986" s="3" t="s">
        <v>1208</v>
      </c>
      <c r="H3986" s="3" t="s">
        <v>16</v>
      </c>
      <c r="I3986" s="3" t="s">
        <v>1410</v>
      </c>
    </row>
    <row r="3987" spans="1:9" s="5" customFormat="1" x14ac:dyDescent="0.35">
      <c r="A3987" s="3" t="s">
        <v>1185</v>
      </c>
      <c r="B3987" s="3" t="s">
        <v>1408</v>
      </c>
      <c r="C3987" s="3" t="s">
        <v>45</v>
      </c>
      <c r="D3987" s="3" t="s">
        <v>1446</v>
      </c>
      <c r="E3987" s="3" t="s">
        <v>56</v>
      </c>
      <c r="F3987" s="3" t="s">
        <v>16</v>
      </c>
      <c r="G3987" s="3" t="s">
        <v>1206</v>
      </c>
      <c r="H3987" s="3" t="s">
        <v>16</v>
      </c>
      <c r="I3987" s="3" t="s">
        <v>1410</v>
      </c>
    </row>
    <row r="3988" spans="1:9" s="5" customFormat="1" x14ac:dyDescent="0.35">
      <c r="A3988" s="3" t="s">
        <v>1185</v>
      </c>
      <c r="B3988" s="3" t="s">
        <v>1408</v>
      </c>
      <c r="C3988" s="3" t="s">
        <v>45</v>
      </c>
      <c r="D3988" s="3" t="s">
        <v>1446</v>
      </c>
      <c r="E3988" s="3" t="s">
        <v>24</v>
      </c>
      <c r="F3988" s="3"/>
      <c r="G3988" s="3"/>
      <c r="H3988" s="3" t="s">
        <v>16</v>
      </c>
      <c r="I3988" s="3" t="s">
        <v>1410</v>
      </c>
    </row>
    <row r="3989" spans="1:9" s="5" customFormat="1" x14ac:dyDescent="0.35">
      <c r="A3989" s="3" t="s">
        <v>1185</v>
      </c>
      <c r="B3989" s="3" t="s">
        <v>1408</v>
      </c>
      <c r="C3989" s="3" t="s">
        <v>45</v>
      </c>
      <c r="D3989" s="3" t="s">
        <v>1447</v>
      </c>
      <c r="E3989" s="3" t="s">
        <v>77</v>
      </c>
      <c r="F3989" s="3"/>
      <c r="G3989" s="3"/>
      <c r="H3989" s="3" t="s">
        <v>16</v>
      </c>
      <c r="I3989" s="3" t="s">
        <v>1410</v>
      </c>
    </row>
    <row r="3990" spans="1:9" s="5" customFormat="1" x14ac:dyDescent="0.35">
      <c r="A3990" s="3" t="s">
        <v>1185</v>
      </c>
      <c r="B3990" s="3" t="s">
        <v>1408</v>
      </c>
      <c r="C3990" s="3" t="s">
        <v>45</v>
      </c>
      <c r="D3990" s="3" t="s">
        <v>1447</v>
      </c>
      <c r="E3990" s="3" t="s">
        <v>56</v>
      </c>
      <c r="F3990" s="3" t="s">
        <v>16</v>
      </c>
      <c r="G3990" s="3" t="s">
        <v>1448</v>
      </c>
      <c r="H3990" s="3" t="s">
        <v>16</v>
      </c>
      <c r="I3990" s="3" t="s">
        <v>1410</v>
      </c>
    </row>
    <row r="3991" spans="1:9" s="5" customFormat="1" x14ac:dyDescent="0.35">
      <c r="A3991" s="3" t="s">
        <v>1185</v>
      </c>
      <c r="B3991" s="3" t="s">
        <v>1408</v>
      </c>
      <c r="C3991" s="3" t="s">
        <v>45</v>
      </c>
      <c r="D3991" s="3" t="s">
        <v>1447</v>
      </c>
      <c r="E3991" s="3" t="s">
        <v>191</v>
      </c>
      <c r="F3991" s="3"/>
      <c r="G3991" s="3"/>
      <c r="H3991" s="3" t="s">
        <v>16</v>
      </c>
      <c r="I3991" s="3" t="s">
        <v>1410</v>
      </c>
    </row>
    <row r="3992" spans="1:9" s="5" customFormat="1" x14ac:dyDescent="0.35">
      <c r="A3992" s="3" t="s">
        <v>1185</v>
      </c>
      <c r="B3992" s="3" t="s">
        <v>1408</v>
      </c>
      <c r="C3992" s="3" t="s">
        <v>42</v>
      </c>
      <c r="D3992" s="3" t="s">
        <v>1449</v>
      </c>
      <c r="E3992" s="3" t="s">
        <v>87</v>
      </c>
      <c r="F3992" s="3"/>
      <c r="G3992" s="3"/>
      <c r="H3992" s="3" t="s">
        <v>16</v>
      </c>
      <c r="I3992" s="3" t="s">
        <v>1410</v>
      </c>
    </row>
    <row r="3993" spans="1:9" s="5" customFormat="1" x14ac:dyDescent="0.35">
      <c r="A3993" s="3" t="s">
        <v>1185</v>
      </c>
      <c r="B3993" s="3" t="s">
        <v>1408</v>
      </c>
      <c r="C3993" s="3" t="s">
        <v>42</v>
      </c>
      <c r="D3993" s="3" t="s">
        <v>1449</v>
      </c>
      <c r="E3993" s="3" t="s">
        <v>56</v>
      </c>
      <c r="F3993" s="3" t="s">
        <v>16</v>
      </c>
      <c r="G3993" s="3" t="s">
        <v>1450</v>
      </c>
      <c r="H3993" s="3" t="s">
        <v>16</v>
      </c>
      <c r="I3993" s="3" t="s">
        <v>1410</v>
      </c>
    </row>
    <row r="3994" spans="1:9" s="5" customFormat="1" x14ac:dyDescent="0.35">
      <c r="A3994" s="3" t="s">
        <v>1185</v>
      </c>
      <c r="B3994" s="3" t="s">
        <v>1408</v>
      </c>
      <c r="C3994" s="3" t="s">
        <v>45</v>
      </c>
      <c r="D3994" s="3" t="s">
        <v>2781</v>
      </c>
      <c r="E3994" s="3" t="s">
        <v>77</v>
      </c>
      <c r="F3994" s="3"/>
      <c r="G3994" s="3"/>
      <c r="H3994" s="3"/>
      <c r="I3994" s="3"/>
    </row>
    <row r="3995" spans="1:9" s="5" customFormat="1" x14ac:dyDescent="0.35">
      <c r="A3995" s="3" t="s">
        <v>1185</v>
      </c>
      <c r="B3995" s="3" t="s">
        <v>1408</v>
      </c>
      <c r="C3995" s="3" t="s">
        <v>45</v>
      </c>
      <c r="D3995" s="3" t="s">
        <v>2781</v>
      </c>
      <c r="E3995" s="3" t="s">
        <v>15</v>
      </c>
      <c r="F3995" s="3" t="s">
        <v>16</v>
      </c>
      <c r="G3995" s="3" t="s">
        <v>1440</v>
      </c>
      <c r="H3995" s="3"/>
      <c r="I3995" s="3"/>
    </row>
    <row r="3996" spans="1:9" s="5" customFormat="1" x14ac:dyDescent="0.35">
      <c r="A3996" s="3" t="s">
        <v>1185</v>
      </c>
      <c r="B3996" s="3" t="s">
        <v>1408</v>
      </c>
      <c r="C3996" s="3" t="s">
        <v>45</v>
      </c>
      <c r="D3996" s="3" t="s">
        <v>1451</v>
      </c>
      <c r="E3996" s="3" t="s">
        <v>77</v>
      </c>
      <c r="F3996" s="3"/>
      <c r="G3996" s="3"/>
      <c r="H3996" s="3" t="s">
        <v>16</v>
      </c>
      <c r="I3996" s="3"/>
    </row>
    <row r="3997" spans="1:9" s="5" customFormat="1" x14ac:dyDescent="0.35">
      <c r="A3997" s="3" t="s">
        <v>1185</v>
      </c>
      <c r="B3997" s="3" t="s">
        <v>1408</v>
      </c>
      <c r="C3997" s="3" t="s">
        <v>45</v>
      </c>
      <c r="D3997" s="3" t="s">
        <v>1451</v>
      </c>
      <c r="E3997" s="3" t="s">
        <v>56</v>
      </c>
      <c r="F3997" s="3" t="s">
        <v>16</v>
      </c>
      <c r="G3997" s="3" t="s">
        <v>1452</v>
      </c>
      <c r="H3997" s="3" t="s">
        <v>16</v>
      </c>
      <c r="I3997" s="3"/>
    </row>
    <row r="3998" spans="1:9" s="5" customFormat="1" x14ac:dyDescent="0.35">
      <c r="A3998" s="3" t="s">
        <v>1185</v>
      </c>
      <c r="B3998" s="3" t="s">
        <v>1408</v>
      </c>
      <c r="C3998" s="3" t="s">
        <v>45</v>
      </c>
      <c r="D3998" s="3" t="s">
        <v>1451</v>
      </c>
      <c r="E3998" s="3" t="s">
        <v>1141</v>
      </c>
      <c r="F3998" s="3"/>
      <c r="G3998" s="3"/>
      <c r="H3998" s="3" t="s">
        <v>16</v>
      </c>
      <c r="I3998" s="3"/>
    </row>
    <row r="3999" spans="1:9" s="5" customFormat="1" x14ac:dyDescent="0.35">
      <c r="A3999" s="3" t="s">
        <v>1185</v>
      </c>
      <c r="B3999" s="3" t="s">
        <v>1408</v>
      </c>
      <c r="C3999" s="3" t="s">
        <v>45</v>
      </c>
      <c r="D3999" s="3" t="s">
        <v>1453</v>
      </c>
      <c r="E3999" s="3" t="s">
        <v>77</v>
      </c>
      <c r="F3999" s="3"/>
      <c r="G3999" s="3"/>
      <c r="H3999" s="3"/>
      <c r="I3999" s="3"/>
    </row>
    <row r="4000" spans="1:9" s="5" customFormat="1" x14ac:dyDescent="0.35">
      <c r="A4000" s="3" t="s">
        <v>1185</v>
      </c>
      <c r="B4000" s="3" t="s">
        <v>1408</v>
      </c>
      <c r="C4000" s="3" t="s">
        <v>45</v>
      </c>
      <c r="D4000" s="3" t="s">
        <v>1453</v>
      </c>
      <c r="E4000" s="3" t="s">
        <v>56</v>
      </c>
      <c r="F4000" s="3" t="s">
        <v>16</v>
      </c>
      <c r="G4000" s="3" t="s">
        <v>1454</v>
      </c>
      <c r="H4000" s="3"/>
      <c r="I4000" s="3"/>
    </row>
    <row r="4001" spans="1:9" s="5" customFormat="1" x14ac:dyDescent="0.35">
      <c r="A4001" s="3" t="s">
        <v>1185</v>
      </c>
      <c r="B4001" s="3" t="s">
        <v>1408</v>
      </c>
      <c r="C4001" s="3" t="s">
        <v>45</v>
      </c>
      <c r="D4001" s="3" t="s">
        <v>1453</v>
      </c>
      <c r="E4001" s="3" t="s">
        <v>29</v>
      </c>
      <c r="F4001" s="3"/>
      <c r="G4001" s="3"/>
      <c r="H4001" s="3"/>
      <c r="I4001" s="3"/>
    </row>
    <row r="4002" spans="1:9" s="5" customFormat="1" x14ac:dyDescent="0.35">
      <c r="A4002" s="3" t="s">
        <v>1185</v>
      </c>
      <c r="B4002" s="3" t="s">
        <v>1408</v>
      </c>
      <c r="C4002" s="3" t="s">
        <v>45</v>
      </c>
      <c r="D4002" s="3" t="s">
        <v>1453</v>
      </c>
      <c r="E4002" s="3" t="s">
        <v>1141</v>
      </c>
      <c r="F4002" s="3"/>
      <c r="G4002" s="3"/>
      <c r="H4002" s="3"/>
      <c r="I4002" s="3"/>
    </row>
    <row r="4003" spans="1:9" s="5" customFormat="1" x14ac:dyDescent="0.35">
      <c r="A4003" s="3" t="s">
        <v>1185</v>
      </c>
      <c r="B4003" s="3" t="s">
        <v>1408</v>
      </c>
      <c r="C4003" s="3" t="s">
        <v>10</v>
      </c>
      <c r="D4003" s="3" t="s">
        <v>1455</v>
      </c>
      <c r="E4003" s="3" t="s">
        <v>15</v>
      </c>
      <c r="F4003" s="3"/>
      <c r="G4003" s="3"/>
      <c r="H4003" s="3" t="s">
        <v>16</v>
      </c>
      <c r="I4003" s="3" t="s">
        <v>1410</v>
      </c>
    </row>
    <row r="4004" spans="1:9" s="5" customFormat="1" x14ac:dyDescent="0.35">
      <c r="A4004" s="3" t="s">
        <v>1185</v>
      </c>
      <c r="B4004" s="3" t="s">
        <v>1408</v>
      </c>
      <c r="C4004" s="3" t="s">
        <v>10</v>
      </c>
      <c r="D4004" s="3" t="s">
        <v>1455</v>
      </c>
      <c r="E4004" s="3" t="s">
        <v>56</v>
      </c>
      <c r="F4004" s="3"/>
      <c r="G4004" s="3"/>
      <c r="H4004" s="3" t="s">
        <v>16</v>
      </c>
      <c r="I4004" s="3" t="s">
        <v>1410</v>
      </c>
    </row>
    <row r="4005" spans="1:9" s="5" customFormat="1" x14ac:dyDescent="0.35">
      <c r="A4005" s="3" t="s">
        <v>1185</v>
      </c>
      <c r="B4005" s="3" t="s">
        <v>1408</v>
      </c>
      <c r="C4005" s="3" t="s">
        <v>10</v>
      </c>
      <c r="D4005" s="3" t="s">
        <v>1455</v>
      </c>
      <c r="E4005" s="3" t="s">
        <v>37</v>
      </c>
      <c r="F4005" s="3"/>
      <c r="G4005" s="3"/>
      <c r="H4005" s="3" t="s">
        <v>16</v>
      </c>
      <c r="I4005" s="3" t="s">
        <v>1410</v>
      </c>
    </row>
    <row r="4006" spans="1:9" s="5" customFormat="1" x14ac:dyDescent="0.35">
      <c r="A4006" s="3" t="s">
        <v>1185</v>
      </c>
      <c r="B4006" s="3" t="s">
        <v>1408</v>
      </c>
      <c r="C4006" s="3" t="s">
        <v>10</v>
      </c>
      <c r="D4006" s="3" t="s">
        <v>1456</v>
      </c>
      <c r="E4006" s="3" t="s">
        <v>56</v>
      </c>
      <c r="F4006" s="3" t="s">
        <v>16</v>
      </c>
      <c r="G4006" s="3" t="s">
        <v>1206</v>
      </c>
      <c r="H4006" s="3" t="s">
        <v>16</v>
      </c>
      <c r="I4006" s="3" t="s">
        <v>1410</v>
      </c>
    </row>
    <row r="4007" spans="1:9" s="5" customFormat="1" x14ac:dyDescent="0.35">
      <c r="A4007" s="3" t="s">
        <v>1185</v>
      </c>
      <c r="B4007" s="3" t="s">
        <v>1408</v>
      </c>
      <c r="C4007" s="3" t="s">
        <v>10</v>
      </c>
      <c r="D4007" s="3" t="s">
        <v>1456</v>
      </c>
      <c r="E4007" s="3" t="s">
        <v>24</v>
      </c>
      <c r="F4007" s="3"/>
      <c r="G4007" s="3" t="s">
        <v>2429</v>
      </c>
      <c r="H4007" s="3" t="s">
        <v>16</v>
      </c>
      <c r="I4007" s="3" t="s">
        <v>1410</v>
      </c>
    </row>
    <row r="4008" spans="1:9" s="5" customFormat="1" x14ac:dyDescent="0.35">
      <c r="A4008" s="3" t="s">
        <v>1185</v>
      </c>
      <c r="B4008" s="3" t="s">
        <v>1408</v>
      </c>
      <c r="C4008" s="3" t="s">
        <v>10</v>
      </c>
      <c r="D4008" s="3" t="s">
        <v>1456</v>
      </c>
      <c r="E4008" s="3" t="s">
        <v>134</v>
      </c>
      <c r="F4008" s="3"/>
      <c r="G4008" s="3"/>
      <c r="H4008" s="3" t="s">
        <v>16</v>
      </c>
      <c r="I4008" s="3" t="s">
        <v>1410</v>
      </c>
    </row>
    <row r="4009" spans="1:9" s="5" customFormat="1" x14ac:dyDescent="0.35">
      <c r="A4009" s="3" t="s">
        <v>1185</v>
      </c>
      <c r="B4009" s="3" t="s">
        <v>1457</v>
      </c>
      <c r="C4009" s="3" t="s">
        <v>20</v>
      </c>
      <c r="D4009" s="3" t="s">
        <v>2844</v>
      </c>
      <c r="E4009" s="3" t="s">
        <v>15</v>
      </c>
      <c r="F4009" s="3" t="s">
        <v>16</v>
      </c>
      <c r="G4009" s="3" t="s">
        <v>2845</v>
      </c>
      <c r="H4009" s="3" t="s">
        <v>16</v>
      </c>
      <c r="I4009" s="3" t="s">
        <v>1459</v>
      </c>
    </row>
    <row r="4010" spans="1:9" s="5" customFormat="1" x14ac:dyDescent="0.35">
      <c r="A4010" s="3" t="s">
        <v>1185</v>
      </c>
      <c r="B4010" s="3" t="s">
        <v>1457</v>
      </c>
      <c r="C4010" s="3" t="s">
        <v>20</v>
      </c>
      <c r="D4010" s="3" t="s">
        <v>2844</v>
      </c>
      <c r="E4010" s="3" t="s">
        <v>24</v>
      </c>
      <c r="F4010" s="3"/>
      <c r="G4010" s="3"/>
      <c r="H4010" s="3" t="s">
        <v>16</v>
      </c>
      <c r="I4010" s="3" t="s">
        <v>1459</v>
      </c>
    </row>
    <row r="4011" spans="1:9" s="5" customFormat="1" x14ac:dyDescent="0.35">
      <c r="A4011" s="3" t="s">
        <v>1185</v>
      </c>
      <c r="B4011" s="3" t="s">
        <v>1457</v>
      </c>
      <c r="C4011" s="3" t="s">
        <v>20</v>
      </c>
      <c r="D4011" s="3" t="s">
        <v>1458</v>
      </c>
      <c r="E4011" s="3" t="s">
        <v>12</v>
      </c>
      <c r="F4011" s="3"/>
      <c r="G4011" s="3"/>
      <c r="H4011" s="3" t="s">
        <v>16</v>
      </c>
      <c r="I4011" s="3" t="s">
        <v>1459</v>
      </c>
    </row>
    <row r="4012" spans="1:9" s="5" customFormat="1" x14ac:dyDescent="0.35">
      <c r="A4012" s="3" t="s">
        <v>1185</v>
      </c>
      <c r="B4012" s="3" t="s">
        <v>1457</v>
      </c>
      <c r="C4012" s="3" t="s">
        <v>20</v>
      </c>
      <c r="D4012" s="3" t="s">
        <v>1458</v>
      </c>
      <c r="E4012" s="3" t="s">
        <v>25</v>
      </c>
      <c r="F4012" s="3"/>
      <c r="G4012" s="3"/>
      <c r="H4012" s="3" t="s">
        <v>16</v>
      </c>
      <c r="I4012" s="3" t="s">
        <v>1459</v>
      </c>
    </row>
    <row r="4013" spans="1:9" s="5" customFormat="1" x14ac:dyDescent="0.35">
      <c r="A4013" s="3" t="s">
        <v>1185</v>
      </c>
      <c r="B4013" s="3" t="s">
        <v>1457</v>
      </c>
      <c r="C4013" s="3" t="s">
        <v>20</v>
      </c>
      <c r="D4013" s="3" t="s">
        <v>1458</v>
      </c>
      <c r="E4013" s="3" t="s">
        <v>77</v>
      </c>
      <c r="F4013" s="3"/>
      <c r="G4013" s="3"/>
      <c r="H4013" s="3" t="s">
        <v>16</v>
      </c>
      <c r="I4013" s="3" t="s">
        <v>1459</v>
      </c>
    </row>
    <row r="4014" spans="1:9" s="5" customFormat="1" x14ac:dyDescent="0.35">
      <c r="A4014" s="3" t="s">
        <v>1185</v>
      </c>
      <c r="B4014" s="3" t="s">
        <v>1457</v>
      </c>
      <c r="C4014" s="3" t="s">
        <v>20</v>
      </c>
      <c r="D4014" s="3" t="s">
        <v>1458</v>
      </c>
      <c r="E4014" s="3" t="s">
        <v>87</v>
      </c>
      <c r="F4014" s="3"/>
      <c r="G4014" s="3"/>
      <c r="H4014" s="3" t="s">
        <v>16</v>
      </c>
      <c r="I4014" s="3" t="s">
        <v>1459</v>
      </c>
    </row>
    <row r="4015" spans="1:9" s="5" customFormat="1" x14ac:dyDescent="0.35">
      <c r="A4015" s="3" t="s">
        <v>1185</v>
      </c>
      <c r="B4015" s="3" t="s">
        <v>1457</v>
      </c>
      <c r="C4015" s="3" t="s">
        <v>20</v>
      </c>
      <c r="D4015" s="3" t="s">
        <v>1458</v>
      </c>
      <c r="E4015" s="3" t="s">
        <v>15</v>
      </c>
      <c r="F4015" s="3" t="s">
        <v>16</v>
      </c>
      <c r="G4015" s="3" t="s">
        <v>1460</v>
      </c>
      <c r="H4015" s="3" t="s">
        <v>16</v>
      </c>
      <c r="I4015" s="3" t="s">
        <v>1459</v>
      </c>
    </row>
    <row r="4016" spans="1:9" s="5" customFormat="1" x14ac:dyDescent="0.35">
      <c r="A4016" s="3" t="s">
        <v>1185</v>
      </c>
      <c r="B4016" s="3" t="s">
        <v>1457</v>
      </c>
      <c r="C4016" s="3" t="s">
        <v>20</v>
      </c>
      <c r="D4016" s="3" t="s">
        <v>1458</v>
      </c>
      <c r="E4016" s="3" t="s">
        <v>56</v>
      </c>
      <c r="F4016" s="3"/>
      <c r="G4016" s="3"/>
      <c r="H4016" s="3" t="s">
        <v>16</v>
      </c>
      <c r="I4016" s="3" t="s">
        <v>1459</v>
      </c>
    </row>
    <row r="4017" spans="1:9" s="5" customFormat="1" x14ac:dyDescent="0.35">
      <c r="A4017" s="3" t="s">
        <v>1185</v>
      </c>
      <c r="B4017" s="3" t="s">
        <v>1457</v>
      </c>
      <c r="C4017" s="3" t="s">
        <v>20</v>
      </c>
      <c r="D4017" s="3" t="s">
        <v>1458</v>
      </c>
      <c r="E4017" s="3" t="s">
        <v>24</v>
      </c>
      <c r="F4017" s="3"/>
      <c r="G4017" s="3"/>
      <c r="H4017" s="3" t="s">
        <v>16</v>
      </c>
      <c r="I4017" s="3" t="s">
        <v>1459</v>
      </c>
    </row>
    <row r="4018" spans="1:9" s="5" customFormat="1" x14ac:dyDescent="0.35">
      <c r="A4018" s="3" t="s">
        <v>1185</v>
      </c>
      <c r="B4018" s="3" t="s">
        <v>2596</v>
      </c>
      <c r="C4018" s="3" t="s">
        <v>42</v>
      </c>
      <c r="D4018" s="3" t="s">
        <v>2597</v>
      </c>
      <c r="E4018" s="3" t="s">
        <v>12</v>
      </c>
      <c r="F4018" s="3"/>
      <c r="G4018" s="3"/>
      <c r="H4018" s="3" t="s">
        <v>16</v>
      </c>
      <c r="I4018" s="3" t="s">
        <v>1459</v>
      </c>
    </row>
    <row r="4019" spans="1:9" s="5" customFormat="1" x14ac:dyDescent="0.35">
      <c r="A4019" s="3" t="s">
        <v>1185</v>
      </c>
      <c r="B4019" s="3" t="s">
        <v>2596</v>
      </c>
      <c r="C4019" s="3" t="s">
        <v>42</v>
      </c>
      <c r="D4019" s="3" t="s">
        <v>2597</v>
      </c>
      <c r="E4019" s="3" t="s">
        <v>36</v>
      </c>
      <c r="F4019" s="3"/>
      <c r="G4019" s="3"/>
      <c r="H4019" s="3" t="s">
        <v>16</v>
      </c>
      <c r="I4019" s="3" t="s">
        <v>1459</v>
      </c>
    </row>
    <row r="4020" spans="1:9" s="5" customFormat="1" x14ac:dyDescent="0.35">
      <c r="A4020" s="3" t="s">
        <v>1185</v>
      </c>
      <c r="B4020" s="3" t="s">
        <v>2596</v>
      </c>
      <c r="C4020" s="3" t="s">
        <v>42</v>
      </c>
      <c r="D4020" s="3" t="s">
        <v>2597</v>
      </c>
      <c r="E4020" s="3" t="s">
        <v>27</v>
      </c>
      <c r="F4020" s="3" t="s">
        <v>16</v>
      </c>
      <c r="G4020" s="3" t="s">
        <v>2598</v>
      </c>
      <c r="H4020" s="3" t="s">
        <v>16</v>
      </c>
      <c r="I4020" s="3" t="s">
        <v>1459</v>
      </c>
    </row>
    <row r="4021" spans="1:9" s="5" customFormat="1" x14ac:dyDescent="0.35">
      <c r="A4021" s="3" t="s">
        <v>1185</v>
      </c>
      <c r="B4021" s="3" t="s">
        <v>2596</v>
      </c>
      <c r="C4021" s="3" t="s">
        <v>42</v>
      </c>
      <c r="D4021" s="3" t="s">
        <v>2597</v>
      </c>
      <c r="E4021" s="3" t="s">
        <v>44</v>
      </c>
      <c r="F4021" s="3"/>
      <c r="G4021" s="3"/>
      <c r="H4021" s="3" t="s">
        <v>16</v>
      </c>
      <c r="I4021" s="3" t="s">
        <v>1459</v>
      </c>
    </row>
    <row r="4022" spans="1:9" s="5" customFormat="1" x14ac:dyDescent="0.35">
      <c r="A4022" s="3" t="s">
        <v>1185</v>
      </c>
      <c r="B4022" s="3" t="s">
        <v>2596</v>
      </c>
      <c r="C4022" s="3" t="s">
        <v>42</v>
      </c>
      <c r="D4022" s="3" t="s">
        <v>2597</v>
      </c>
      <c r="E4022" s="3" t="s">
        <v>15</v>
      </c>
      <c r="F4022" s="3"/>
      <c r="G4022" s="3"/>
      <c r="H4022" s="3" t="s">
        <v>16</v>
      </c>
      <c r="I4022" s="3" t="s">
        <v>1459</v>
      </c>
    </row>
    <row r="4023" spans="1:9" s="5" customFormat="1" x14ac:dyDescent="0.35">
      <c r="A4023" s="3" t="s">
        <v>1185</v>
      </c>
      <c r="B4023" s="3" t="s">
        <v>2596</v>
      </c>
      <c r="C4023" s="3" t="s">
        <v>42</v>
      </c>
      <c r="D4023" s="3" t="s">
        <v>2597</v>
      </c>
      <c r="E4023" s="3" t="s">
        <v>290</v>
      </c>
      <c r="F4023" s="3"/>
      <c r="G4023" s="3"/>
      <c r="H4023" s="3" t="s">
        <v>16</v>
      </c>
      <c r="I4023" s="3" t="s">
        <v>1459</v>
      </c>
    </row>
    <row r="4024" spans="1:9" s="5" customFormat="1" x14ac:dyDescent="0.35">
      <c r="A4024" s="3" t="s">
        <v>1185</v>
      </c>
      <c r="B4024" s="3" t="s">
        <v>1461</v>
      </c>
      <c r="C4024" s="3" t="s">
        <v>20</v>
      </c>
      <c r="D4024" s="3" t="s">
        <v>1462</v>
      </c>
      <c r="E4024" s="3" t="s">
        <v>60</v>
      </c>
      <c r="F4024" s="3"/>
      <c r="G4024" s="3"/>
      <c r="H4024" s="3" t="s">
        <v>16</v>
      </c>
      <c r="I4024" s="3" t="s">
        <v>1463</v>
      </c>
    </row>
    <row r="4025" spans="1:9" s="5" customFormat="1" x14ac:dyDescent="0.35">
      <c r="A4025" s="3" t="s">
        <v>1185</v>
      </c>
      <c r="B4025" s="3" t="s">
        <v>1461</v>
      </c>
      <c r="C4025" s="3" t="s">
        <v>20</v>
      </c>
      <c r="D4025" s="3" t="s">
        <v>1462</v>
      </c>
      <c r="E4025" s="3" t="s">
        <v>27</v>
      </c>
      <c r="F4025" s="3"/>
      <c r="G4025" s="3"/>
      <c r="H4025" s="3" t="s">
        <v>16</v>
      </c>
      <c r="I4025" s="3" t="s">
        <v>1463</v>
      </c>
    </row>
    <row r="4026" spans="1:9" s="5" customFormat="1" x14ac:dyDescent="0.35">
      <c r="A4026" s="3" t="s">
        <v>1185</v>
      </c>
      <c r="B4026" s="3" t="s">
        <v>1461</v>
      </c>
      <c r="C4026" s="3" t="s">
        <v>20</v>
      </c>
      <c r="D4026" s="3" t="s">
        <v>1462</v>
      </c>
      <c r="E4026" s="3" t="s">
        <v>1193</v>
      </c>
      <c r="F4026" s="3"/>
      <c r="G4026" s="3"/>
      <c r="H4026" s="3" t="s">
        <v>16</v>
      </c>
      <c r="I4026" s="3" t="s">
        <v>1463</v>
      </c>
    </row>
    <row r="4027" spans="1:9" s="5" customFormat="1" x14ac:dyDescent="0.35">
      <c r="A4027" s="3" t="s">
        <v>1185</v>
      </c>
      <c r="B4027" s="3" t="s">
        <v>1461</v>
      </c>
      <c r="C4027" s="3" t="s">
        <v>20</v>
      </c>
      <c r="D4027" s="3" t="s">
        <v>1462</v>
      </c>
      <c r="E4027" s="3" t="s">
        <v>98</v>
      </c>
      <c r="F4027" s="3"/>
      <c r="G4027" s="3"/>
      <c r="H4027" s="3" t="s">
        <v>16</v>
      </c>
      <c r="I4027" s="3" t="s">
        <v>1463</v>
      </c>
    </row>
    <row r="4028" spans="1:9" s="5" customFormat="1" x14ac:dyDescent="0.35">
      <c r="A4028" s="3" t="s">
        <v>1185</v>
      </c>
      <c r="B4028" s="3" t="s">
        <v>1461</v>
      </c>
      <c r="C4028" s="3" t="s">
        <v>20</v>
      </c>
      <c r="D4028" s="3" t="s">
        <v>1462</v>
      </c>
      <c r="E4028" s="3" t="s">
        <v>1197</v>
      </c>
      <c r="F4028" s="3"/>
      <c r="G4028" s="3"/>
      <c r="H4028" s="3" t="s">
        <v>16</v>
      </c>
      <c r="I4028" s="3" t="s">
        <v>1463</v>
      </c>
    </row>
    <row r="4029" spans="1:9" s="5" customFormat="1" x14ac:dyDescent="0.35">
      <c r="A4029" s="3" t="s">
        <v>1185</v>
      </c>
      <c r="B4029" s="3" t="s">
        <v>1461</v>
      </c>
      <c r="C4029" s="3" t="s">
        <v>20</v>
      </c>
      <c r="D4029" s="3" t="s">
        <v>1462</v>
      </c>
      <c r="E4029" s="3" t="s">
        <v>24</v>
      </c>
      <c r="F4029" s="3"/>
      <c r="G4029" s="3"/>
      <c r="H4029" s="3" t="s">
        <v>16</v>
      </c>
      <c r="I4029" s="3" t="s">
        <v>1463</v>
      </c>
    </row>
    <row r="4030" spans="1:9" s="5" customFormat="1" x14ac:dyDescent="0.35">
      <c r="A4030" s="3" t="s">
        <v>1185</v>
      </c>
      <c r="B4030" s="3" t="s">
        <v>1461</v>
      </c>
      <c r="C4030" s="3" t="s">
        <v>42</v>
      </c>
      <c r="D4030" s="3" t="s">
        <v>1464</v>
      </c>
      <c r="E4030" s="3" t="s">
        <v>12</v>
      </c>
      <c r="F4030" s="3"/>
      <c r="G4030" s="3"/>
      <c r="H4030" s="3"/>
      <c r="I4030" s="3"/>
    </row>
    <row r="4031" spans="1:9" s="5" customFormat="1" x14ac:dyDescent="0.35">
      <c r="A4031" s="3" t="s">
        <v>1185</v>
      </c>
      <c r="B4031" s="3" t="s">
        <v>1461</v>
      </c>
      <c r="C4031" s="3" t="s">
        <v>42</v>
      </c>
      <c r="D4031" s="3" t="s">
        <v>1464</v>
      </c>
      <c r="E4031" s="3" t="s">
        <v>15</v>
      </c>
      <c r="F4031" s="3" t="s">
        <v>16</v>
      </c>
      <c r="G4031" s="3" t="s">
        <v>1465</v>
      </c>
      <c r="H4031" s="3" t="s">
        <v>16</v>
      </c>
      <c r="I4031" s="3" t="s">
        <v>1466</v>
      </c>
    </row>
    <row r="4032" spans="1:9" s="5" customFormat="1" x14ac:dyDescent="0.35">
      <c r="A4032" s="3" t="s">
        <v>1185</v>
      </c>
      <c r="B4032" s="3" t="s">
        <v>1461</v>
      </c>
      <c r="C4032" s="3" t="s">
        <v>45</v>
      </c>
      <c r="D4032" s="3" t="s">
        <v>1467</v>
      </c>
      <c r="E4032" s="3" t="s">
        <v>27</v>
      </c>
      <c r="F4032" s="3"/>
      <c r="G4032" s="3"/>
      <c r="H4032" s="3"/>
      <c r="I4032" s="3"/>
    </row>
    <row r="4033" spans="1:9" s="5" customFormat="1" x14ac:dyDescent="0.35">
      <c r="A4033" s="3" t="s">
        <v>1185</v>
      </c>
      <c r="B4033" s="3" t="s">
        <v>1461</v>
      </c>
      <c r="C4033" s="3" t="s">
        <v>45</v>
      </c>
      <c r="D4033" s="3" t="s">
        <v>1467</v>
      </c>
      <c r="E4033" s="3" t="s">
        <v>15</v>
      </c>
      <c r="F4033" s="3" t="s">
        <v>16</v>
      </c>
      <c r="G4033" s="3" t="s">
        <v>1468</v>
      </c>
      <c r="H4033" s="3"/>
      <c r="I4033" s="3"/>
    </row>
    <row r="4034" spans="1:9" s="5" customFormat="1" x14ac:dyDescent="0.35">
      <c r="A4034" s="3" t="s">
        <v>1185</v>
      </c>
      <c r="B4034" s="3" t="s">
        <v>1461</v>
      </c>
      <c r="C4034" s="3" t="s">
        <v>45</v>
      </c>
      <c r="D4034" s="3" t="s">
        <v>1467</v>
      </c>
      <c r="E4034" s="3" t="s">
        <v>56</v>
      </c>
      <c r="F4034" s="3"/>
      <c r="G4034" s="3"/>
      <c r="H4034" s="3"/>
      <c r="I4034" s="3"/>
    </row>
    <row r="4035" spans="1:9" s="5" customFormat="1" x14ac:dyDescent="0.35">
      <c r="A4035" s="3" t="s">
        <v>1185</v>
      </c>
      <c r="B4035" s="3" t="s">
        <v>1461</v>
      </c>
      <c r="C4035" s="3" t="s">
        <v>45</v>
      </c>
      <c r="D4035" s="3" t="s">
        <v>1467</v>
      </c>
      <c r="E4035" s="3" t="s">
        <v>24</v>
      </c>
      <c r="F4035" s="3"/>
      <c r="G4035" s="3"/>
      <c r="H4035" s="3"/>
      <c r="I4035" s="3"/>
    </row>
    <row r="4036" spans="1:9" s="5" customFormat="1" x14ac:dyDescent="0.35">
      <c r="A4036" s="3" t="s">
        <v>1185</v>
      </c>
      <c r="B4036" s="3" t="s">
        <v>1469</v>
      </c>
      <c r="C4036" s="3" t="s">
        <v>39</v>
      </c>
      <c r="D4036" s="3" t="s">
        <v>1470</v>
      </c>
      <c r="E4036" s="3" t="s">
        <v>12</v>
      </c>
      <c r="F4036" s="3"/>
      <c r="G4036" s="3"/>
      <c r="H4036" s="3"/>
      <c r="I4036" s="3"/>
    </row>
    <row r="4037" spans="1:9" s="5" customFormat="1" x14ac:dyDescent="0.35">
      <c r="A4037" s="3" t="s">
        <v>1185</v>
      </c>
      <c r="B4037" s="3" t="s">
        <v>1469</v>
      </c>
      <c r="C4037" s="3" t="s">
        <v>39</v>
      </c>
      <c r="D4037" s="3" t="s">
        <v>1470</v>
      </c>
      <c r="E4037" s="3" t="s">
        <v>15</v>
      </c>
      <c r="F4037" s="3" t="s">
        <v>16</v>
      </c>
      <c r="G4037" s="3" t="s">
        <v>1471</v>
      </c>
      <c r="H4037" s="3"/>
      <c r="I4037" s="3"/>
    </row>
    <row r="4038" spans="1:9" s="5" customFormat="1" x14ac:dyDescent="0.35">
      <c r="A4038" s="3" t="s">
        <v>1185</v>
      </c>
      <c r="B4038" s="3" t="s">
        <v>1469</v>
      </c>
      <c r="C4038" s="3" t="s">
        <v>39</v>
      </c>
      <c r="D4038" s="3" t="s">
        <v>1470</v>
      </c>
      <c r="E4038" s="3" t="s">
        <v>57</v>
      </c>
      <c r="F4038" s="3" t="s">
        <v>16</v>
      </c>
      <c r="G4038" s="3" t="s">
        <v>157</v>
      </c>
      <c r="H4038" s="3"/>
      <c r="I4038" s="3"/>
    </row>
    <row r="4039" spans="1:9" s="5" customFormat="1" x14ac:dyDescent="0.35">
      <c r="A4039" s="3" t="s">
        <v>1185</v>
      </c>
      <c r="B4039" s="3" t="s">
        <v>1469</v>
      </c>
      <c r="C4039" s="3" t="s">
        <v>39</v>
      </c>
      <c r="D4039" s="3" t="s">
        <v>1470</v>
      </c>
      <c r="E4039" s="3" t="s">
        <v>24</v>
      </c>
      <c r="F4039" s="3"/>
      <c r="G4039" s="3" t="s">
        <v>2429</v>
      </c>
      <c r="H4039" s="3"/>
      <c r="I4039" s="3"/>
    </row>
    <row r="4040" spans="1:9" s="5" customFormat="1" x14ac:dyDescent="0.35">
      <c r="A4040" s="3" t="s">
        <v>1185</v>
      </c>
      <c r="B4040" s="3" t="s">
        <v>1472</v>
      </c>
      <c r="C4040" s="3" t="s">
        <v>10</v>
      </c>
      <c r="D4040" s="3" t="s">
        <v>1473</v>
      </c>
      <c r="E4040" s="3" t="s">
        <v>15</v>
      </c>
      <c r="F4040" s="3" t="s">
        <v>16</v>
      </c>
      <c r="G4040" s="3" t="s">
        <v>1474</v>
      </c>
      <c r="H4040" s="3"/>
      <c r="I4040" s="3"/>
    </row>
    <row r="4041" spans="1:9" s="5" customFormat="1" x14ac:dyDescent="0.35">
      <c r="A4041" s="3" t="s">
        <v>1185</v>
      </c>
      <c r="B4041" s="3" t="s">
        <v>1472</v>
      </c>
      <c r="C4041" s="3" t="s">
        <v>42</v>
      </c>
      <c r="D4041" s="3" t="s">
        <v>1475</v>
      </c>
      <c r="E4041" s="3" t="s">
        <v>12</v>
      </c>
      <c r="F4041" s="3"/>
      <c r="G4041" s="3"/>
      <c r="H4041" s="3"/>
      <c r="I4041" s="3"/>
    </row>
    <row r="4042" spans="1:9" s="5" customFormat="1" x14ac:dyDescent="0.35">
      <c r="A4042" s="3" t="s">
        <v>1185</v>
      </c>
      <c r="B4042" s="3" t="s">
        <v>1472</v>
      </c>
      <c r="C4042" s="3" t="s">
        <v>42</v>
      </c>
      <c r="D4042" s="3" t="s">
        <v>1475</v>
      </c>
      <c r="E4042" s="3" t="s">
        <v>36</v>
      </c>
      <c r="F4042" s="3"/>
      <c r="G4042" s="3"/>
      <c r="H4042" s="3"/>
      <c r="I4042" s="3"/>
    </row>
    <row r="4043" spans="1:9" s="5" customFormat="1" x14ac:dyDescent="0.35">
      <c r="A4043" s="3" t="s">
        <v>1185</v>
      </c>
      <c r="B4043" s="3" t="s">
        <v>1472</v>
      </c>
      <c r="C4043" s="3" t="s">
        <v>42</v>
      </c>
      <c r="D4043" s="3" t="s">
        <v>1475</v>
      </c>
      <c r="E4043" s="3" t="s">
        <v>47</v>
      </c>
      <c r="F4043" s="3"/>
      <c r="G4043" s="3"/>
      <c r="H4043" s="3"/>
      <c r="I4043" s="3"/>
    </row>
    <row r="4044" spans="1:9" s="5" customFormat="1" x14ac:dyDescent="0.35">
      <c r="A4044" s="3" t="s">
        <v>1185</v>
      </c>
      <c r="B4044" s="3" t="s">
        <v>1472</v>
      </c>
      <c r="C4044" s="3" t="s">
        <v>42</v>
      </c>
      <c r="D4044" s="3" t="s">
        <v>1475</v>
      </c>
      <c r="E4044" s="3" t="s">
        <v>1479</v>
      </c>
      <c r="F4044" s="3"/>
      <c r="G4044" s="3"/>
      <c r="H4044" s="3"/>
      <c r="I4044" s="3"/>
    </row>
    <row r="4045" spans="1:9" s="5" customFormat="1" x14ac:dyDescent="0.35">
      <c r="A4045" s="3" t="s">
        <v>1185</v>
      </c>
      <c r="B4045" s="3" t="s">
        <v>1472</v>
      </c>
      <c r="C4045" s="3" t="s">
        <v>42</v>
      </c>
      <c r="D4045" s="3" t="s">
        <v>1475</v>
      </c>
      <c r="E4045" s="3" t="s">
        <v>141</v>
      </c>
      <c r="F4045" s="3"/>
      <c r="G4045" s="3"/>
      <c r="H4045" s="3"/>
      <c r="I4045" s="3"/>
    </row>
    <row r="4046" spans="1:9" s="5" customFormat="1" x14ac:dyDescent="0.35">
      <c r="A4046" s="3" t="s">
        <v>1185</v>
      </c>
      <c r="B4046" s="3" t="s">
        <v>1472</v>
      </c>
      <c r="C4046" s="3" t="s">
        <v>42</v>
      </c>
      <c r="D4046" s="3" t="s">
        <v>1475</v>
      </c>
      <c r="E4046" s="3" t="s">
        <v>27</v>
      </c>
      <c r="F4046" s="3"/>
      <c r="G4046" s="3"/>
      <c r="H4046" s="3"/>
      <c r="I4046" s="3"/>
    </row>
    <row r="4047" spans="1:9" s="5" customFormat="1" x14ac:dyDescent="0.35">
      <c r="A4047" s="3" t="s">
        <v>1185</v>
      </c>
      <c r="B4047" s="3" t="s">
        <v>1472</v>
      </c>
      <c r="C4047" s="3" t="s">
        <v>42</v>
      </c>
      <c r="D4047" s="3" t="s">
        <v>1475</v>
      </c>
      <c r="E4047" s="3" t="s">
        <v>87</v>
      </c>
      <c r="F4047" s="3"/>
      <c r="G4047" s="3"/>
      <c r="H4047" s="3"/>
      <c r="I4047" s="3"/>
    </row>
    <row r="4048" spans="1:9" s="5" customFormat="1" x14ac:dyDescent="0.35">
      <c r="A4048" s="3" t="s">
        <v>1185</v>
      </c>
      <c r="B4048" s="3" t="s">
        <v>1472</v>
      </c>
      <c r="C4048" s="3" t="s">
        <v>42</v>
      </c>
      <c r="D4048" s="3" t="s">
        <v>1475</v>
      </c>
      <c r="E4048" s="3" t="s">
        <v>15</v>
      </c>
      <c r="F4048" s="3" t="s">
        <v>16</v>
      </c>
      <c r="G4048" s="3" t="s">
        <v>1476</v>
      </c>
      <c r="H4048" s="3"/>
      <c r="I4048" s="3"/>
    </row>
    <row r="4049" spans="1:9" s="5" customFormat="1" x14ac:dyDescent="0.35">
      <c r="A4049" s="3" t="s">
        <v>1185</v>
      </c>
      <c r="B4049" s="3" t="s">
        <v>1472</v>
      </c>
      <c r="C4049" s="3" t="s">
        <v>42</v>
      </c>
      <c r="D4049" s="3" t="s">
        <v>1475</v>
      </c>
      <c r="E4049" s="3" t="s">
        <v>56</v>
      </c>
      <c r="F4049" s="3" t="s">
        <v>16</v>
      </c>
      <c r="G4049" s="3" t="s">
        <v>2309</v>
      </c>
      <c r="H4049" s="3"/>
      <c r="I4049" s="3"/>
    </row>
    <row r="4050" spans="1:9" s="5" customFormat="1" x14ac:dyDescent="0.35">
      <c r="A4050" s="3" t="s">
        <v>1185</v>
      </c>
      <c r="B4050" s="3" t="s">
        <v>1472</v>
      </c>
      <c r="C4050" s="3" t="s">
        <v>42</v>
      </c>
      <c r="D4050" s="3" t="s">
        <v>1475</v>
      </c>
      <c r="E4050" s="3" t="s">
        <v>32</v>
      </c>
      <c r="F4050" s="3"/>
      <c r="G4050" s="3"/>
      <c r="H4050" s="3"/>
      <c r="I4050" s="3"/>
    </row>
    <row r="4051" spans="1:9" s="5" customFormat="1" x14ac:dyDescent="0.35">
      <c r="A4051" s="3" t="s">
        <v>1185</v>
      </c>
      <c r="B4051" s="3" t="s">
        <v>1472</v>
      </c>
      <c r="C4051" s="3" t="s">
        <v>42</v>
      </c>
      <c r="D4051" s="3" t="s">
        <v>1475</v>
      </c>
      <c r="E4051" s="3" t="s">
        <v>290</v>
      </c>
      <c r="F4051" s="3"/>
      <c r="G4051" s="3"/>
      <c r="H4051" s="3"/>
      <c r="I4051" s="3"/>
    </row>
    <row r="4052" spans="1:9" s="5" customFormat="1" x14ac:dyDescent="0.35">
      <c r="A4052" s="3" t="s">
        <v>1185</v>
      </c>
      <c r="B4052" s="3" t="s">
        <v>1472</v>
      </c>
      <c r="C4052" s="3" t="s">
        <v>42</v>
      </c>
      <c r="D4052" s="3" t="s">
        <v>1475</v>
      </c>
      <c r="E4052" s="3" t="s">
        <v>630</v>
      </c>
      <c r="F4052" s="3" t="s">
        <v>16</v>
      </c>
      <c r="G4052" s="3" t="s">
        <v>1477</v>
      </c>
      <c r="H4052" s="3"/>
      <c r="I4052" s="3"/>
    </row>
    <row r="4053" spans="1:9" s="5" customFormat="1" x14ac:dyDescent="0.35">
      <c r="A4053" s="3" t="s">
        <v>1185</v>
      </c>
      <c r="B4053" s="3" t="s">
        <v>1472</v>
      </c>
      <c r="C4053" s="3" t="s">
        <v>42</v>
      </c>
      <c r="D4053" s="3" t="s">
        <v>1475</v>
      </c>
      <c r="E4053" s="3" t="s">
        <v>82</v>
      </c>
      <c r="F4053" s="3" t="s">
        <v>16</v>
      </c>
      <c r="G4053" s="3" t="s">
        <v>2592</v>
      </c>
      <c r="H4053" s="3"/>
      <c r="I4053" s="3"/>
    </row>
    <row r="4054" spans="1:9" s="5" customFormat="1" x14ac:dyDescent="0.35">
      <c r="A4054" s="3" t="s">
        <v>1185</v>
      </c>
      <c r="B4054" s="3" t="s">
        <v>1472</v>
      </c>
      <c r="C4054" s="3" t="s">
        <v>45</v>
      </c>
      <c r="D4054" s="3" t="s">
        <v>1478</v>
      </c>
      <c r="E4054" s="3" t="s">
        <v>23</v>
      </c>
      <c r="F4054" s="3"/>
      <c r="G4054" s="3"/>
      <c r="H4054" s="3"/>
      <c r="I4054" s="3"/>
    </row>
    <row r="4055" spans="1:9" s="5" customFormat="1" x14ac:dyDescent="0.35">
      <c r="A4055" s="3" t="s">
        <v>1185</v>
      </c>
      <c r="B4055" s="3" t="s">
        <v>1472</v>
      </c>
      <c r="C4055" s="3" t="s">
        <v>45</v>
      </c>
      <c r="D4055" s="3" t="s">
        <v>1478</v>
      </c>
      <c r="E4055" s="3" t="s">
        <v>1479</v>
      </c>
      <c r="F4055" s="3"/>
      <c r="G4055" s="3"/>
      <c r="H4055" s="3"/>
      <c r="I4055" s="3"/>
    </row>
    <row r="4056" spans="1:9" s="5" customFormat="1" x14ac:dyDescent="0.35">
      <c r="A4056" s="3" t="s">
        <v>1185</v>
      </c>
      <c r="B4056" s="3" t="s">
        <v>1472</v>
      </c>
      <c r="C4056" s="3" t="s">
        <v>45</v>
      </c>
      <c r="D4056" s="3" t="s">
        <v>1478</v>
      </c>
      <c r="E4056" s="3" t="s">
        <v>28</v>
      </c>
      <c r="F4056" s="3"/>
      <c r="G4056" s="3" t="s">
        <v>2316</v>
      </c>
      <c r="H4056" s="3"/>
      <c r="I4056" s="3"/>
    </row>
    <row r="4057" spans="1:9" s="5" customFormat="1" x14ac:dyDescent="0.35">
      <c r="A4057" s="3" t="s">
        <v>1185</v>
      </c>
      <c r="B4057" s="3" t="s">
        <v>1472</v>
      </c>
      <c r="C4057" s="3" t="s">
        <v>45</v>
      </c>
      <c r="D4057" s="3" t="s">
        <v>1478</v>
      </c>
      <c r="E4057" s="3" t="s">
        <v>1141</v>
      </c>
      <c r="F4057" s="3"/>
      <c r="G4057" s="3"/>
      <c r="H4057" s="3"/>
      <c r="I4057" s="3"/>
    </row>
    <row r="4058" spans="1:9" s="5" customFormat="1" x14ac:dyDescent="0.35">
      <c r="A4058" s="3" t="s">
        <v>1185</v>
      </c>
      <c r="B4058" s="3" t="s">
        <v>1472</v>
      </c>
      <c r="C4058" s="3" t="s">
        <v>39</v>
      </c>
      <c r="D4058" s="3" t="s">
        <v>1480</v>
      </c>
      <c r="E4058" s="3" t="s">
        <v>23</v>
      </c>
      <c r="F4058" s="3"/>
      <c r="G4058" s="3"/>
      <c r="H4058" s="3"/>
      <c r="I4058" s="3"/>
    </row>
    <row r="4059" spans="1:9" s="5" customFormat="1" x14ac:dyDescent="0.35">
      <c r="A4059" s="3" t="s">
        <v>1185</v>
      </c>
      <c r="B4059" s="3" t="s">
        <v>1472</v>
      </c>
      <c r="C4059" s="3" t="s">
        <v>39</v>
      </c>
      <c r="D4059" s="3" t="s">
        <v>1480</v>
      </c>
      <c r="E4059" s="3" t="s">
        <v>28</v>
      </c>
      <c r="F4059" s="3"/>
      <c r="G4059" s="3" t="s">
        <v>2356</v>
      </c>
      <c r="H4059" s="3"/>
      <c r="I4059" s="3"/>
    </row>
    <row r="4060" spans="1:9" s="5" customFormat="1" x14ac:dyDescent="0.35">
      <c r="A4060" s="3" t="s">
        <v>1185</v>
      </c>
      <c r="B4060" s="3" t="s">
        <v>1472</v>
      </c>
      <c r="C4060" s="3" t="s">
        <v>39</v>
      </c>
      <c r="D4060" s="3" t="s">
        <v>1480</v>
      </c>
      <c r="E4060" s="3" t="s">
        <v>87</v>
      </c>
      <c r="F4060" s="3"/>
      <c r="G4060" s="3"/>
      <c r="H4060" s="3"/>
      <c r="I4060" s="3"/>
    </row>
    <row r="4061" spans="1:9" s="5" customFormat="1" x14ac:dyDescent="0.35">
      <c r="A4061" s="3" t="s">
        <v>1185</v>
      </c>
      <c r="B4061" s="3" t="s">
        <v>1472</v>
      </c>
      <c r="C4061" s="3" t="s">
        <v>39</v>
      </c>
      <c r="D4061" s="3" t="s">
        <v>1480</v>
      </c>
      <c r="E4061" s="3" t="s">
        <v>15</v>
      </c>
      <c r="F4061" s="3" t="s">
        <v>16</v>
      </c>
      <c r="G4061" s="3" t="s">
        <v>1474</v>
      </c>
      <c r="H4061" s="3" t="s">
        <v>16</v>
      </c>
      <c r="I4061" s="3" t="s">
        <v>1481</v>
      </c>
    </row>
    <row r="4062" spans="1:9" s="5" customFormat="1" x14ac:dyDescent="0.35">
      <c r="A4062" s="3" t="s">
        <v>1185</v>
      </c>
      <c r="B4062" s="3" t="s">
        <v>1472</v>
      </c>
      <c r="C4062" s="3" t="s">
        <v>39</v>
      </c>
      <c r="D4062" s="3" t="s">
        <v>1480</v>
      </c>
      <c r="E4062" s="3" t="s">
        <v>24</v>
      </c>
      <c r="F4062" s="3"/>
      <c r="G4062" s="3"/>
      <c r="H4062" s="3"/>
      <c r="I4062" s="3"/>
    </row>
    <row r="4063" spans="1:9" s="5" customFormat="1" x14ac:dyDescent="0.35">
      <c r="A4063" s="3" t="s">
        <v>1185</v>
      </c>
      <c r="B4063" s="3" t="s">
        <v>1472</v>
      </c>
      <c r="C4063" s="3" t="s">
        <v>10</v>
      </c>
      <c r="D4063" s="3" t="s">
        <v>1482</v>
      </c>
      <c r="E4063" s="3" t="s">
        <v>1479</v>
      </c>
      <c r="F4063" s="3"/>
      <c r="G4063" s="3"/>
      <c r="H4063" s="3"/>
      <c r="I4063" s="3"/>
    </row>
    <row r="4064" spans="1:9" s="5" customFormat="1" x14ac:dyDescent="0.35">
      <c r="A4064" s="3" t="s">
        <v>1185</v>
      </c>
      <c r="B4064" s="3" t="s">
        <v>1472</v>
      </c>
      <c r="C4064" s="3" t="s">
        <v>10</v>
      </c>
      <c r="D4064" s="3" t="s">
        <v>1482</v>
      </c>
      <c r="E4064" s="3" t="s">
        <v>28</v>
      </c>
      <c r="F4064" s="3"/>
      <c r="G4064" s="3"/>
      <c r="H4064" s="3"/>
      <c r="I4064" s="3"/>
    </row>
    <row r="4065" spans="1:9" s="5" customFormat="1" x14ac:dyDescent="0.35">
      <c r="A4065" s="3" t="s">
        <v>1185</v>
      </c>
      <c r="B4065" s="3" t="s">
        <v>1472</v>
      </c>
      <c r="C4065" s="3" t="s">
        <v>10</v>
      </c>
      <c r="D4065" s="3" t="s">
        <v>1482</v>
      </c>
      <c r="E4065" s="3" t="s">
        <v>87</v>
      </c>
      <c r="F4065" s="3"/>
      <c r="G4065" s="3" t="s">
        <v>2397</v>
      </c>
      <c r="H4065" s="3"/>
      <c r="I4065" s="3"/>
    </row>
    <row r="4066" spans="1:9" s="5" customFormat="1" x14ac:dyDescent="0.35">
      <c r="A4066" s="3" t="s">
        <v>1185</v>
      </c>
      <c r="B4066" s="3" t="s">
        <v>1472</v>
      </c>
      <c r="C4066" s="3" t="s">
        <v>10</v>
      </c>
      <c r="D4066" s="3" t="s">
        <v>1482</v>
      </c>
      <c r="E4066" s="3" t="s">
        <v>15</v>
      </c>
      <c r="F4066" s="3" t="s">
        <v>16</v>
      </c>
      <c r="G4066" s="3" t="s">
        <v>1483</v>
      </c>
      <c r="H4066" s="3"/>
      <c r="I4066" s="3"/>
    </row>
    <row r="4067" spans="1:9" s="5" customFormat="1" x14ac:dyDescent="0.35">
      <c r="A4067" s="3" t="s">
        <v>1185</v>
      </c>
      <c r="B4067" s="3" t="s">
        <v>1472</v>
      </c>
      <c r="C4067" s="3" t="s">
        <v>10</v>
      </c>
      <c r="D4067" s="3" t="s">
        <v>1482</v>
      </c>
      <c r="E4067" s="3" t="s">
        <v>32</v>
      </c>
      <c r="F4067" s="3"/>
      <c r="G4067" s="3"/>
      <c r="H4067" s="3"/>
      <c r="I4067" s="3"/>
    </row>
    <row r="4068" spans="1:9" s="5" customFormat="1" x14ac:dyDescent="0.35">
      <c r="A4068" s="3" t="s">
        <v>1185</v>
      </c>
      <c r="B4068" s="3" t="s">
        <v>1472</v>
      </c>
      <c r="C4068" s="3" t="s">
        <v>20</v>
      </c>
      <c r="D4068" s="3" t="s">
        <v>1484</v>
      </c>
      <c r="E4068" s="3" t="s">
        <v>25</v>
      </c>
      <c r="F4068" s="3"/>
      <c r="G4068" s="3"/>
      <c r="H4068" s="3"/>
      <c r="I4068" s="3"/>
    </row>
    <row r="4069" spans="1:9" s="5" customFormat="1" x14ac:dyDescent="0.35">
      <c r="A4069" s="3" t="s">
        <v>1185</v>
      </c>
      <c r="B4069" s="3" t="s">
        <v>1472</v>
      </c>
      <c r="C4069" s="3" t="s">
        <v>20</v>
      </c>
      <c r="D4069" s="3" t="s">
        <v>1484</v>
      </c>
      <c r="E4069" s="3" t="s">
        <v>77</v>
      </c>
      <c r="F4069" s="3"/>
      <c r="G4069" s="3"/>
      <c r="H4069" s="3"/>
      <c r="I4069" s="3"/>
    </row>
    <row r="4070" spans="1:9" s="5" customFormat="1" x14ac:dyDescent="0.35">
      <c r="A4070" s="3" t="s">
        <v>1185</v>
      </c>
      <c r="B4070" s="3" t="s">
        <v>1472</v>
      </c>
      <c r="C4070" s="3" t="s">
        <v>20</v>
      </c>
      <c r="D4070" s="3" t="s">
        <v>1484</v>
      </c>
      <c r="E4070" s="3" t="s">
        <v>87</v>
      </c>
      <c r="F4070" s="3"/>
      <c r="G4070" s="3"/>
      <c r="H4070" s="3"/>
      <c r="I4070" s="3"/>
    </row>
    <row r="4071" spans="1:9" s="5" customFormat="1" x14ac:dyDescent="0.35">
      <c r="A4071" s="3" t="s">
        <v>1185</v>
      </c>
      <c r="B4071" s="3" t="s">
        <v>1472</v>
      </c>
      <c r="C4071" s="3" t="s">
        <v>20</v>
      </c>
      <c r="D4071" s="3" t="s">
        <v>1484</v>
      </c>
      <c r="E4071" s="3" t="s">
        <v>15</v>
      </c>
      <c r="F4071" s="3" t="s">
        <v>16</v>
      </c>
      <c r="G4071" s="3" t="s">
        <v>1474</v>
      </c>
      <c r="H4071" s="3"/>
      <c r="I4071" s="3"/>
    </row>
    <row r="4072" spans="1:9" s="5" customFormat="1" x14ac:dyDescent="0.35">
      <c r="A4072" s="3" t="s">
        <v>1185</v>
      </c>
      <c r="B4072" s="3" t="s">
        <v>1472</v>
      </c>
      <c r="C4072" s="3" t="s">
        <v>20</v>
      </c>
      <c r="D4072" s="3" t="s">
        <v>1484</v>
      </c>
      <c r="E4072" s="3" t="s">
        <v>57</v>
      </c>
      <c r="F4072" s="3"/>
      <c r="G4072" s="3"/>
      <c r="H4072" s="3"/>
      <c r="I4072" s="3"/>
    </row>
    <row r="4073" spans="1:9" s="5" customFormat="1" x14ac:dyDescent="0.35">
      <c r="A4073" s="3" t="s">
        <v>1185</v>
      </c>
      <c r="B4073" s="3" t="s">
        <v>1472</v>
      </c>
      <c r="C4073" s="3" t="s">
        <v>20</v>
      </c>
      <c r="D4073" s="3" t="s">
        <v>1484</v>
      </c>
      <c r="E4073" s="3" t="s">
        <v>56</v>
      </c>
      <c r="F4073" s="3"/>
      <c r="G4073" s="3"/>
      <c r="H4073" s="3"/>
      <c r="I4073" s="3"/>
    </row>
    <row r="4074" spans="1:9" s="5" customFormat="1" x14ac:dyDescent="0.35">
      <c r="A4074" s="3" t="s">
        <v>1185</v>
      </c>
      <c r="B4074" s="3" t="s">
        <v>1472</v>
      </c>
      <c r="C4074" s="3" t="s">
        <v>20</v>
      </c>
      <c r="D4074" s="3" t="s">
        <v>1484</v>
      </c>
      <c r="E4074" s="3" t="s">
        <v>32</v>
      </c>
      <c r="F4074" s="3" t="s">
        <v>16</v>
      </c>
      <c r="G4074" s="3" t="s">
        <v>2431</v>
      </c>
      <c r="H4074" s="3"/>
      <c r="I4074" s="3"/>
    </row>
    <row r="4075" spans="1:9" s="5" customFormat="1" x14ac:dyDescent="0.35">
      <c r="A4075" s="3" t="s">
        <v>1185</v>
      </c>
      <c r="B4075" s="3" t="s">
        <v>1472</v>
      </c>
      <c r="C4075" s="3" t="s">
        <v>20</v>
      </c>
      <c r="D4075" s="3" t="s">
        <v>1484</v>
      </c>
      <c r="E4075" s="3" t="s">
        <v>29</v>
      </c>
      <c r="F4075" s="3"/>
      <c r="G4075" s="3"/>
      <c r="H4075" s="3"/>
      <c r="I4075" s="3"/>
    </row>
    <row r="4076" spans="1:9" s="5" customFormat="1" x14ac:dyDescent="0.35">
      <c r="A4076" s="3" t="s">
        <v>1185</v>
      </c>
      <c r="B4076" s="3" t="s">
        <v>1472</v>
      </c>
      <c r="C4076" s="3" t="s">
        <v>20</v>
      </c>
      <c r="D4076" s="3" t="s">
        <v>1484</v>
      </c>
      <c r="E4076" s="3" t="s">
        <v>24</v>
      </c>
      <c r="F4076" s="3"/>
      <c r="G4076" s="3"/>
      <c r="H4076" s="3"/>
      <c r="I4076" s="3"/>
    </row>
    <row r="4077" spans="1:9" s="5" customFormat="1" x14ac:dyDescent="0.35">
      <c r="A4077" s="3" t="s">
        <v>1185</v>
      </c>
      <c r="B4077" s="3" t="s">
        <v>1472</v>
      </c>
      <c r="C4077" s="3" t="s">
        <v>20</v>
      </c>
      <c r="D4077" s="3" t="s">
        <v>1484</v>
      </c>
      <c r="E4077" s="3" t="s">
        <v>107</v>
      </c>
      <c r="F4077" s="3" t="s">
        <v>16</v>
      </c>
      <c r="G4077" s="3" t="s">
        <v>1474</v>
      </c>
      <c r="H4077" s="3"/>
      <c r="I4077" s="3"/>
    </row>
    <row r="4078" spans="1:9" s="5" customFormat="1" x14ac:dyDescent="0.35">
      <c r="A4078" s="3" t="s">
        <v>1185</v>
      </c>
      <c r="B4078" s="3" t="s">
        <v>1472</v>
      </c>
      <c r="C4078" s="3" t="s">
        <v>20</v>
      </c>
      <c r="D4078" s="3" t="s">
        <v>1485</v>
      </c>
      <c r="E4078" s="3" t="s">
        <v>1486</v>
      </c>
      <c r="F4078" s="3"/>
      <c r="G4078" s="3"/>
      <c r="H4078" s="3"/>
      <c r="I4078" s="3"/>
    </row>
    <row r="4079" spans="1:9" s="5" customFormat="1" x14ac:dyDescent="0.35">
      <c r="A4079" s="3" t="s">
        <v>1185</v>
      </c>
      <c r="B4079" s="3" t="s">
        <v>1472</v>
      </c>
      <c r="C4079" s="3" t="s">
        <v>20</v>
      </c>
      <c r="D4079" s="3" t="s">
        <v>1485</v>
      </c>
      <c r="E4079" s="3" t="s">
        <v>27</v>
      </c>
      <c r="F4079" s="3"/>
      <c r="G4079" s="3"/>
      <c r="H4079" s="3"/>
      <c r="I4079" s="3"/>
    </row>
    <row r="4080" spans="1:9" s="5" customFormat="1" x14ac:dyDescent="0.35">
      <c r="A4080" s="3" t="s">
        <v>1185</v>
      </c>
      <c r="B4080" s="3" t="s">
        <v>1472</v>
      </c>
      <c r="C4080" s="3" t="s">
        <v>20</v>
      </c>
      <c r="D4080" s="3" t="s">
        <v>1485</v>
      </c>
      <c r="E4080" s="3" t="s">
        <v>87</v>
      </c>
      <c r="F4080" s="3"/>
      <c r="G4080" s="3"/>
      <c r="H4080" s="3"/>
      <c r="I4080" s="3"/>
    </row>
    <row r="4081" spans="1:9" s="5" customFormat="1" x14ac:dyDescent="0.35">
      <c r="A4081" s="3" t="s">
        <v>1185</v>
      </c>
      <c r="B4081" s="3" t="s">
        <v>1472</v>
      </c>
      <c r="C4081" s="3" t="s">
        <v>20</v>
      </c>
      <c r="D4081" s="3" t="s">
        <v>1485</v>
      </c>
      <c r="E4081" s="3" t="s">
        <v>185</v>
      </c>
      <c r="F4081" s="3"/>
      <c r="G4081" s="3" t="s">
        <v>2345</v>
      </c>
      <c r="H4081" s="3"/>
      <c r="I4081" s="3"/>
    </row>
    <row r="4082" spans="1:9" s="5" customFormat="1" x14ac:dyDescent="0.35">
      <c r="A4082" s="3" t="s">
        <v>1185</v>
      </c>
      <c r="B4082" s="3" t="s">
        <v>1472</v>
      </c>
      <c r="C4082" s="3" t="s">
        <v>20</v>
      </c>
      <c r="D4082" s="3" t="s">
        <v>1485</v>
      </c>
      <c r="E4082" s="3" t="s">
        <v>15</v>
      </c>
      <c r="F4082" s="3" t="s">
        <v>16</v>
      </c>
      <c r="G4082" s="3" t="s">
        <v>1487</v>
      </c>
      <c r="H4082" s="3"/>
      <c r="I4082" s="3"/>
    </row>
    <row r="4083" spans="1:9" s="5" customFormat="1" x14ac:dyDescent="0.35">
      <c r="A4083" s="3" t="s">
        <v>1185</v>
      </c>
      <c r="B4083" s="3" t="s">
        <v>1472</v>
      </c>
      <c r="C4083" s="3" t="s">
        <v>20</v>
      </c>
      <c r="D4083" s="3" t="s">
        <v>1485</v>
      </c>
      <c r="E4083" s="3" t="s">
        <v>89</v>
      </c>
      <c r="F4083" s="3"/>
      <c r="G4083" s="3"/>
      <c r="H4083" s="3"/>
      <c r="I4083" s="3"/>
    </row>
    <row r="4084" spans="1:9" s="5" customFormat="1" x14ac:dyDescent="0.35">
      <c r="A4084" s="3" t="s">
        <v>1185</v>
      </c>
      <c r="B4084" s="3" t="s">
        <v>1472</v>
      </c>
      <c r="C4084" s="3" t="s">
        <v>20</v>
      </c>
      <c r="D4084" s="3" t="s">
        <v>1485</v>
      </c>
      <c r="E4084" s="3" t="s">
        <v>893</v>
      </c>
      <c r="F4084" s="3"/>
      <c r="G4084" s="3" t="s">
        <v>2301</v>
      </c>
      <c r="H4084" s="3"/>
      <c r="I4084" s="3"/>
    </row>
    <row r="4085" spans="1:9" s="5" customFormat="1" x14ac:dyDescent="0.35">
      <c r="A4085" s="3" t="s">
        <v>1185</v>
      </c>
      <c r="B4085" s="3" t="s">
        <v>1472</v>
      </c>
      <c r="C4085" s="3" t="s">
        <v>39</v>
      </c>
      <c r="D4085" s="3" t="s">
        <v>1488</v>
      </c>
      <c r="E4085" s="3" t="s">
        <v>28</v>
      </c>
      <c r="F4085" s="3"/>
      <c r="G4085" s="3"/>
      <c r="H4085" s="3"/>
      <c r="I4085" s="3"/>
    </row>
    <row r="4086" spans="1:9" s="5" customFormat="1" x14ac:dyDescent="0.35">
      <c r="A4086" s="3" t="s">
        <v>1185</v>
      </c>
      <c r="B4086" s="3" t="s">
        <v>1472</v>
      </c>
      <c r="C4086" s="3" t="s">
        <v>39</v>
      </c>
      <c r="D4086" s="3" t="s">
        <v>1488</v>
      </c>
      <c r="E4086" s="3" t="s">
        <v>15</v>
      </c>
      <c r="F4086" s="3" t="s">
        <v>16</v>
      </c>
      <c r="G4086" s="3" t="s">
        <v>1489</v>
      </c>
      <c r="H4086" s="3"/>
      <c r="I4086" s="3"/>
    </row>
    <row r="4087" spans="1:9" s="5" customFormat="1" x14ac:dyDescent="0.35">
      <c r="A4087" s="3" t="s">
        <v>1185</v>
      </c>
      <c r="B4087" s="3" t="s">
        <v>1472</v>
      </c>
      <c r="C4087" s="3" t="s">
        <v>39</v>
      </c>
      <c r="D4087" s="3" t="s">
        <v>1488</v>
      </c>
      <c r="E4087" s="3" t="s">
        <v>56</v>
      </c>
      <c r="F4087" s="3" t="s">
        <v>16</v>
      </c>
      <c r="G4087" s="3" t="s">
        <v>1474</v>
      </c>
      <c r="H4087" s="3"/>
      <c r="I4087" s="3"/>
    </row>
    <row r="4088" spans="1:9" s="5" customFormat="1" x14ac:dyDescent="0.35">
      <c r="A4088" s="3" t="s">
        <v>1185</v>
      </c>
      <c r="B4088" s="3" t="s">
        <v>1472</v>
      </c>
      <c r="C4088" s="3" t="s">
        <v>39</v>
      </c>
      <c r="D4088" s="3" t="s">
        <v>1488</v>
      </c>
      <c r="E4088" s="3" t="s">
        <v>32</v>
      </c>
      <c r="F4088" s="3" t="s">
        <v>16</v>
      </c>
      <c r="G4088" s="3" t="s">
        <v>1428</v>
      </c>
      <c r="H4088" s="3"/>
      <c r="I4088" s="3"/>
    </row>
    <row r="4089" spans="1:9" s="5" customFormat="1" x14ac:dyDescent="0.35">
      <c r="A4089" s="3" t="s">
        <v>1185</v>
      </c>
      <c r="B4089" s="3" t="s">
        <v>1472</v>
      </c>
      <c r="C4089" s="3" t="s">
        <v>39</v>
      </c>
      <c r="D4089" s="3" t="s">
        <v>1488</v>
      </c>
      <c r="E4089" s="3" t="s">
        <v>630</v>
      </c>
      <c r="F4089" s="3" t="s">
        <v>16</v>
      </c>
      <c r="G4089" s="3" t="s">
        <v>1490</v>
      </c>
      <c r="H4089" s="3"/>
      <c r="I4089" s="3"/>
    </row>
    <row r="4090" spans="1:9" s="5" customFormat="1" x14ac:dyDescent="0.35">
      <c r="A4090" s="3" t="s">
        <v>1185</v>
      </c>
      <c r="B4090" s="3" t="s">
        <v>1472</v>
      </c>
      <c r="C4090" s="3" t="s">
        <v>45</v>
      </c>
      <c r="D4090" s="3" t="s">
        <v>1491</v>
      </c>
      <c r="E4090" s="3" t="s">
        <v>24</v>
      </c>
      <c r="F4090" s="3"/>
      <c r="G4090" s="3" t="s">
        <v>2429</v>
      </c>
      <c r="H4090" s="3"/>
      <c r="I4090" s="3"/>
    </row>
    <row r="4091" spans="1:9" s="5" customFormat="1" x14ac:dyDescent="0.35">
      <c r="A4091" s="3" t="s">
        <v>1185</v>
      </c>
      <c r="B4091" s="3" t="s">
        <v>1472</v>
      </c>
      <c r="C4091" s="3" t="s">
        <v>20</v>
      </c>
      <c r="D4091" s="3" t="s">
        <v>1492</v>
      </c>
      <c r="E4091" s="3" t="s">
        <v>1486</v>
      </c>
      <c r="F4091" s="3"/>
      <c r="G4091" s="3"/>
      <c r="H4091" s="3"/>
      <c r="I4091" s="3"/>
    </row>
    <row r="4092" spans="1:9" s="5" customFormat="1" x14ac:dyDescent="0.35">
      <c r="A4092" s="3" t="s">
        <v>1185</v>
      </c>
      <c r="B4092" s="3" t="s">
        <v>1472</v>
      </c>
      <c r="C4092" s="3" t="s">
        <v>20</v>
      </c>
      <c r="D4092" s="3" t="s">
        <v>1492</v>
      </c>
      <c r="E4092" s="3" t="s">
        <v>1193</v>
      </c>
      <c r="F4092" s="3"/>
      <c r="G4092" s="3"/>
      <c r="H4092" s="3"/>
      <c r="I4092" s="3"/>
    </row>
    <row r="4093" spans="1:9" s="5" customFormat="1" x14ac:dyDescent="0.35">
      <c r="A4093" s="3" t="s">
        <v>1185</v>
      </c>
      <c r="B4093" s="3" t="s">
        <v>1472</v>
      </c>
      <c r="C4093" s="3" t="s">
        <v>20</v>
      </c>
      <c r="D4093" s="3" t="s">
        <v>1492</v>
      </c>
      <c r="E4093" s="3" t="s">
        <v>87</v>
      </c>
      <c r="F4093" s="3"/>
      <c r="G4093" s="3"/>
      <c r="H4093" s="3"/>
      <c r="I4093" s="3"/>
    </row>
    <row r="4094" spans="1:9" s="5" customFormat="1" x14ac:dyDescent="0.35">
      <c r="A4094" s="3" t="s">
        <v>1185</v>
      </c>
      <c r="B4094" s="3" t="s">
        <v>1472</v>
      </c>
      <c r="C4094" s="3" t="s">
        <v>20</v>
      </c>
      <c r="D4094" s="3" t="s">
        <v>1492</v>
      </c>
      <c r="E4094" s="3" t="s">
        <v>15</v>
      </c>
      <c r="F4094" s="3" t="s">
        <v>16</v>
      </c>
      <c r="G4094" s="3" t="s">
        <v>1474</v>
      </c>
      <c r="H4094" s="3"/>
      <c r="I4094" s="3"/>
    </row>
    <row r="4095" spans="1:9" s="5" customFormat="1" x14ac:dyDescent="0.35">
      <c r="A4095" s="3" t="s">
        <v>1185</v>
      </c>
      <c r="B4095" s="3" t="s">
        <v>1472</v>
      </c>
      <c r="C4095" s="3" t="s">
        <v>20</v>
      </c>
      <c r="D4095" s="3" t="s">
        <v>1492</v>
      </c>
      <c r="E4095" s="3" t="s">
        <v>24</v>
      </c>
      <c r="F4095" s="3"/>
      <c r="G4095" s="3"/>
      <c r="H4095" s="3"/>
      <c r="I4095" s="3"/>
    </row>
    <row r="4096" spans="1:9" s="5" customFormat="1" x14ac:dyDescent="0.35">
      <c r="A4096" s="3" t="s">
        <v>1185</v>
      </c>
      <c r="B4096" s="3" t="s">
        <v>1472</v>
      </c>
      <c r="C4096" s="3" t="s">
        <v>39</v>
      </c>
      <c r="D4096" s="3" t="s">
        <v>1493</v>
      </c>
      <c r="E4096" s="3" t="s">
        <v>12</v>
      </c>
      <c r="F4096" s="3"/>
      <c r="G4096" s="3"/>
      <c r="H4096" s="3"/>
      <c r="I4096" s="3"/>
    </row>
    <row r="4097" spans="1:9" s="5" customFormat="1" x14ac:dyDescent="0.35">
      <c r="A4097" s="3" t="s">
        <v>1185</v>
      </c>
      <c r="B4097" s="3" t="s">
        <v>1472</v>
      </c>
      <c r="C4097" s="3" t="s">
        <v>39</v>
      </c>
      <c r="D4097" s="3" t="s">
        <v>1493</v>
      </c>
      <c r="E4097" s="3" t="s">
        <v>185</v>
      </c>
      <c r="F4097" s="3"/>
      <c r="G4097" s="3" t="s">
        <v>2345</v>
      </c>
      <c r="H4097" s="3"/>
      <c r="I4097" s="3"/>
    </row>
    <row r="4098" spans="1:9" s="5" customFormat="1" x14ac:dyDescent="0.35">
      <c r="A4098" s="3" t="s">
        <v>1185</v>
      </c>
      <c r="B4098" s="3" t="s">
        <v>1472</v>
      </c>
      <c r="C4098" s="3" t="s">
        <v>39</v>
      </c>
      <c r="D4098" s="3" t="s">
        <v>1493</v>
      </c>
      <c r="E4098" s="3" t="s">
        <v>56</v>
      </c>
      <c r="F4098" s="3" t="s">
        <v>16</v>
      </c>
      <c r="G4098" s="3" t="s">
        <v>1487</v>
      </c>
      <c r="H4098" s="3"/>
      <c r="I4098" s="3"/>
    </row>
    <row r="4099" spans="1:9" s="5" customFormat="1" x14ac:dyDescent="0.35">
      <c r="A4099" s="3" t="s">
        <v>1185</v>
      </c>
      <c r="B4099" s="3" t="s">
        <v>1472</v>
      </c>
      <c r="C4099" s="3" t="s">
        <v>39</v>
      </c>
      <c r="D4099" s="3" t="s">
        <v>1493</v>
      </c>
      <c r="E4099" s="3" t="s">
        <v>24</v>
      </c>
      <c r="F4099" s="3" t="s">
        <v>16</v>
      </c>
      <c r="G4099" s="3" t="s">
        <v>1487</v>
      </c>
      <c r="H4099" s="3"/>
      <c r="I4099" s="3"/>
    </row>
    <row r="4100" spans="1:9" s="5" customFormat="1" x14ac:dyDescent="0.35">
      <c r="A4100" s="3" t="s">
        <v>1185</v>
      </c>
      <c r="B4100" s="3" t="s">
        <v>1472</v>
      </c>
      <c r="C4100" s="3" t="s">
        <v>20</v>
      </c>
      <c r="D4100" s="3" t="s">
        <v>1494</v>
      </c>
      <c r="E4100" s="3" t="s">
        <v>36</v>
      </c>
      <c r="F4100" s="3" t="s">
        <v>33</v>
      </c>
      <c r="G4100" s="3" t="s">
        <v>723</v>
      </c>
      <c r="H4100" s="3"/>
      <c r="I4100" s="3"/>
    </row>
    <row r="4101" spans="1:9" s="5" customFormat="1" x14ac:dyDescent="0.35">
      <c r="A4101" s="3" t="s">
        <v>1185</v>
      </c>
      <c r="B4101" s="3" t="s">
        <v>1472</v>
      </c>
      <c r="C4101" s="3" t="s">
        <v>20</v>
      </c>
      <c r="D4101" s="3" t="s">
        <v>1494</v>
      </c>
      <c r="E4101" s="3" t="s">
        <v>1486</v>
      </c>
      <c r="F4101" s="3"/>
      <c r="G4101" s="3"/>
      <c r="H4101" s="3"/>
      <c r="I4101" s="3"/>
    </row>
    <row r="4102" spans="1:9" s="5" customFormat="1" x14ac:dyDescent="0.35">
      <c r="A4102" s="3" t="s">
        <v>1185</v>
      </c>
      <c r="B4102" s="3" t="s">
        <v>1472</v>
      </c>
      <c r="C4102" s="3" t="s">
        <v>20</v>
      </c>
      <c r="D4102" s="3" t="s">
        <v>1494</v>
      </c>
      <c r="E4102" s="3" t="s">
        <v>60</v>
      </c>
      <c r="F4102" s="3"/>
      <c r="G4102" s="3"/>
      <c r="H4102" s="3"/>
      <c r="I4102" s="3"/>
    </row>
    <row r="4103" spans="1:9" s="5" customFormat="1" x14ac:dyDescent="0.35">
      <c r="A4103" s="3" t="s">
        <v>1185</v>
      </c>
      <c r="B4103" s="3" t="s">
        <v>1472</v>
      </c>
      <c r="C4103" s="3" t="s">
        <v>20</v>
      </c>
      <c r="D4103" s="3" t="s">
        <v>1494</v>
      </c>
      <c r="E4103" s="3" t="s">
        <v>71</v>
      </c>
      <c r="F4103" s="3"/>
      <c r="G4103" s="3"/>
      <c r="H4103" s="3"/>
      <c r="I4103" s="3"/>
    </row>
    <row r="4104" spans="1:9" s="5" customFormat="1" x14ac:dyDescent="0.35">
      <c r="A4104" s="3" t="s">
        <v>1185</v>
      </c>
      <c r="B4104" s="3" t="s">
        <v>1472</v>
      </c>
      <c r="C4104" s="3" t="s">
        <v>20</v>
      </c>
      <c r="D4104" s="3" t="s">
        <v>1494</v>
      </c>
      <c r="E4104" s="3" t="s">
        <v>142</v>
      </c>
      <c r="F4104" s="3"/>
      <c r="G4104" s="3"/>
      <c r="H4104" s="3"/>
      <c r="I4104" s="3"/>
    </row>
    <row r="4105" spans="1:9" s="5" customFormat="1" x14ac:dyDescent="0.35">
      <c r="A4105" s="3" t="s">
        <v>1185</v>
      </c>
      <c r="B4105" s="3" t="s">
        <v>1472</v>
      </c>
      <c r="C4105" s="3" t="s">
        <v>20</v>
      </c>
      <c r="D4105" s="3" t="s">
        <v>1494</v>
      </c>
      <c r="E4105" s="3" t="s">
        <v>28</v>
      </c>
      <c r="F4105" s="3"/>
      <c r="G4105" s="3"/>
      <c r="H4105" s="3"/>
      <c r="I4105" s="3"/>
    </row>
    <row r="4106" spans="1:9" s="5" customFormat="1" x14ac:dyDescent="0.35">
      <c r="A4106" s="3" t="s">
        <v>1185</v>
      </c>
      <c r="B4106" s="3" t="s">
        <v>1472</v>
      </c>
      <c r="C4106" s="3" t="s">
        <v>20</v>
      </c>
      <c r="D4106" s="3" t="s">
        <v>1494</v>
      </c>
      <c r="E4106" s="3" t="s">
        <v>87</v>
      </c>
      <c r="F4106" s="3"/>
      <c r="G4106" s="3"/>
      <c r="H4106" s="3"/>
      <c r="I4106" s="3"/>
    </row>
    <row r="4107" spans="1:9" s="5" customFormat="1" x14ac:dyDescent="0.35">
      <c r="A4107" s="3" t="s">
        <v>1185</v>
      </c>
      <c r="B4107" s="3" t="s">
        <v>1472</v>
      </c>
      <c r="C4107" s="3" t="s">
        <v>20</v>
      </c>
      <c r="D4107" s="3" t="s">
        <v>1494</v>
      </c>
      <c r="E4107" s="3" t="s">
        <v>15</v>
      </c>
      <c r="F4107" s="3" t="s">
        <v>16</v>
      </c>
      <c r="G4107" s="3" t="s">
        <v>1474</v>
      </c>
      <c r="H4107" s="3"/>
      <c r="I4107" s="3"/>
    </row>
    <row r="4108" spans="1:9" s="5" customFormat="1" x14ac:dyDescent="0.35">
      <c r="A4108" s="3" t="s">
        <v>1185</v>
      </c>
      <c r="B4108" s="3" t="s">
        <v>1472</v>
      </c>
      <c r="C4108" s="3" t="s">
        <v>20</v>
      </c>
      <c r="D4108" s="3" t="s">
        <v>1494</v>
      </c>
      <c r="E4108" s="3" t="s">
        <v>630</v>
      </c>
      <c r="F4108" s="3" t="s">
        <v>16</v>
      </c>
      <c r="G4108" s="3" t="s">
        <v>1477</v>
      </c>
      <c r="H4108" s="3"/>
      <c r="I4108" s="3"/>
    </row>
    <row r="4109" spans="1:9" s="5" customFormat="1" x14ac:dyDescent="0.35">
      <c r="A4109" s="3" t="s">
        <v>1185</v>
      </c>
      <c r="B4109" s="3" t="s">
        <v>2647</v>
      </c>
      <c r="C4109" s="3" t="s">
        <v>42</v>
      </c>
      <c r="D4109" s="3" t="s">
        <v>2648</v>
      </c>
      <c r="E4109" s="3" t="s">
        <v>23</v>
      </c>
      <c r="F4109" s="3"/>
      <c r="G4109" s="3"/>
      <c r="H4109" s="3"/>
      <c r="I4109" s="3"/>
    </row>
    <row r="4110" spans="1:9" s="5" customFormat="1" x14ac:dyDescent="0.35">
      <c r="A4110" s="3" t="s">
        <v>1185</v>
      </c>
      <c r="B4110" s="3" t="s">
        <v>2647</v>
      </c>
      <c r="C4110" s="3" t="s">
        <v>42</v>
      </c>
      <c r="D4110" s="3" t="s">
        <v>2648</v>
      </c>
      <c r="E4110" s="3" t="s">
        <v>27</v>
      </c>
      <c r="F4110" s="3"/>
      <c r="G4110" s="3"/>
      <c r="H4110" s="3"/>
      <c r="I4110" s="3"/>
    </row>
    <row r="4111" spans="1:9" s="5" customFormat="1" x14ac:dyDescent="0.35">
      <c r="A4111" s="3" t="s">
        <v>1185</v>
      </c>
      <c r="B4111" s="3" t="s">
        <v>2647</v>
      </c>
      <c r="C4111" s="3" t="s">
        <v>42</v>
      </c>
      <c r="D4111" s="3" t="s">
        <v>2648</v>
      </c>
      <c r="E4111" s="3" t="s">
        <v>87</v>
      </c>
      <c r="F4111" s="3"/>
      <c r="G4111" s="3"/>
      <c r="H4111" s="3"/>
      <c r="I4111" s="3"/>
    </row>
    <row r="4112" spans="1:9" s="5" customFormat="1" x14ac:dyDescent="0.35">
      <c r="A4112" s="3" t="s">
        <v>1185</v>
      </c>
      <c r="B4112" s="3" t="s">
        <v>2647</v>
      </c>
      <c r="C4112" s="3" t="s">
        <v>42</v>
      </c>
      <c r="D4112" s="3" t="s">
        <v>2648</v>
      </c>
      <c r="E4112" s="3" t="s">
        <v>24</v>
      </c>
      <c r="F4112" s="3"/>
      <c r="G4112" s="3"/>
      <c r="H4112" s="3"/>
      <c r="I4112" s="3"/>
    </row>
    <row r="4113" spans="1:9" s="5" customFormat="1" x14ac:dyDescent="0.35">
      <c r="A4113" s="3" t="s">
        <v>1185</v>
      </c>
      <c r="B4113" s="3" t="s">
        <v>2541</v>
      </c>
      <c r="C4113" s="3" t="s">
        <v>42</v>
      </c>
      <c r="D4113" s="3" t="s">
        <v>2542</v>
      </c>
      <c r="E4113" s="3" t="s">
        <v>44</v>
      </c>
      <c r="F4113" s="3"/>
      <c r="G4113" s="3"/>
      <c r="H4113" s="3" t="s">
        <v>16</v>
      </c>
      <c r="I4113" s="3" t="s">
        <v>2544</v>
      </c>
    </row>
    <row r="4114" spans="1:9" s="5" customFormat="1" x14ac:dyDescent="0.35">
      <c r="A4114" s="3" t="s">
        <v>1185</v>
      </c>
      <c r="B4114" s="3" t="s">
        <v>2541</v>
      </c>
      <c r="C4114" s="3" t="s">
        <v>42</v>
      </c>
      <c r="D4114" s="3" t="s">
        <v>2542</v>
      </c>
      <c r="E4114" s="3" t="s">
        <v>87</v>
      </c>
      <c r="F4114" s="3"/>
      <c r="G4114" s="3"/>
      <c r="H4114" s="3" t="s">
        <v>16</v>
      </c>
      <c r="I4114" s="3" t="s">
        <v>2544</v>
      </c>
    </row>
    <row r="4115" spans="1:9" s="5" customFormat="1" x14ac:dyDescent="0.35">
      <c r="A4115" s="3" t="s">
        <v>1185</v>
      </c>
      <c r="B4115" s="3" t="s">
        <v>2541</v>
      </c>
      <c r="C4115" s="3" t="s">
        <v>42</v>
      </c>
      <c r="D4115" s="3" t="s">
        <v>2542</v>
      </c>
      <c r="E4115" s="3" t="s">
        <v>15</v>
      </c>
      <c r="F4115" s="3" t="s">
        <v>16</v>
      </c>
      <c r="G4115" s="3" t="s">
        <v>2543</v>
      </c>
      <c r="H4115" s="3" t="s">
        <v>16</v>
      </c>
      <c r="I4115" s="3" t="s">
        <v>2544</v>
      </c>
    </row>
    <row r="4116" spans="1:9" s="5" customFormat="1" x14ac:dyDescent="0.35">
      <c r="A4116" s="3" t="s">
        <v>1185</v>
      </c>
      <c r="B4116" s="3" t="s">
        <v>2541</v>
      </c>
      <c r="C4116" s="3" t="s">
        <v>42</v>
      </c>
      <c r="D4116" s="3" t="s">
        <v>2542</v>
      </c>
      <c r="E4116" s="3" t="s">
        <v>29</v>
      </c>
      <c r="F4116" s="3"/>
      <c r="G4116" s="3"/>
      <c r="H4116" s="3" t="s">
        <v>16</v>
      </c>
      <c r="I4116" s="3" t="s">
        <v>2544</v>
      </c>
    </row>
    <row r="4117" spans="1:9" s="5" customFormat="1" x14ac:dyDescent="0.35">
      <c r="A4117" s="3" t="s">
        <v>1185</v>
      </c>
      <c r="B4117" s="3" t="s">
        <v>1495</v>
      </c>
      <c r="C4117" s="3" t="s">
        <v>42</v>
      </c>
      <c r="D4117" s="3" t="s">
        <v>1496</v>
      </c>
      <c r="E4117" s="3" t="s">
        <v>87</v>
      </c>
      <c r="F4117" s="3"/>
      <c r="G4117" s="3"/>
      <c r="H4117" s="3"/>
      <c r="I4117" s="3"/>
    </row>
    <row r="4118" spans="1:9" s="5" customFormat="1" x14ac:dyDescent="0.35">
      <c r="A4118" s="3" t="s">
        <v>1185</v>
      </c>
      <c r="B4118" s="3" t="s">
        <v>1495</v>
      </c>
      <c r="C4118" s="3" t="s">
        <v>42</v>
      </c>
      <c r="D4118" s="3" t="s">
        <v>1496</v>
      </c>
      <c r="E4118" s="3" t="s">
        <v>15</v>
      </c>
      <c r="F4118" s="3" t="s">
        <v>16</v>
      </c>
      <c r="G4118" s="3" t="s">
        <v>1497</v>
      </c>
      <c r="H4118" s="3"/>
      <c r="I4118" s="3"/>
    </row>
    <row r="4119" spans="1:9" s="5" customFormat="1" x14ac:dyDescent="0.35">
      <c r="A4119" s="3" t="s">
        <v>1185</v>
      </c>
      <c r="B4119" s="3" t="s">
        <v>1495</v>
      </c>
      <c r="C4119" s="3" t="s">
        <v>42</v>
      </c>
      <c r="D4119" s="3" t="s">
        <v>1496</v>
      </c>
      <c r="E4119" s="3" t="s">
        <v>24</v>
      </c>
      <c r="F4119" s="3"/>
      <c r="G4119" s="3"/>
      <c r="H4119" s="3"/>
      <c r="I4119" s="3"/>
    </row>
    <row r="4120" spans="1:9" s="5" customFormat="1" x14ac:dyDescent="0.35">
      <c r="A4120" s="3" t="s">
        <v>1185</v>
      </c>
      <c r="B4120" s="3" t="s">
        <v>1495</v>
      </c>
      <c r="C4120" s="3" t="s">
        <v>20</v>
      </c>
      <c r="D4120" s="3" t="s">
        <v>1498</v>
      </c>
      <c r="E4120" s="3" t="s">
        <v>27</v>
      </c>
      <c r="F4120" s="3"/>
      <c r="G4120" s="3"/>
      <c r="H4120" s="3"/>
      <c r="I4120" s="3"/>
    </row>
    <row r="4121" spans="1:9" s="5" customFormat="1" x14ac:dyDescent="0.35">
      <c r="A4121" s="3" t="s">
        <v>1185</v>
      </c>
      <c r="B4121" s="3" t="s">
        <v>1495</v>
      </c>
      <c r="C4121" s="3" t="s">
        <v>20</v>
      </c>
      <c r="D4121" s="3" t="s">
        <v>1498</v>
      </c>
      <c r="E4121" s="3" t="s">
        <v>1193</v>
      </c>
      <c r="F4121" s="3"/>
      <c r="G4121" s="3"/>
      <c r="H4121" s="3"/>
      <c r="I4121" s="3"/>
    </row>
    <row r="4122" spans="1:9" s="5" customFormat="1" x14ac:dyDescent="0.35">
      <c r="A4122" s="3" t="s">
        <v>1185</v>
      </c>
      <c r="B4122" s="3" t="s">
        <v>1495</v>
      </c>
      <c r="C4122" s="3" t="s">
        <v>20</v>
      </c>
      <c r="D4122" s="3" t="s">
        <v>1498</v>
      </c>
      <c r="E4122" s="3" t="s">
        <v>56</v>
      </c>
      <c r="F4122" s="3" t="s">
        <v>16</v>
      </c>
      <c r="G4122" s="3" t="s">
        <v>1499</v>
      </c>
      <c r="H4122" s="3"/>
      <c r="I4122" s="3"/>
    </row>
    <row r="4123" spans="1:9" s="5" customFormat="1" x14ac:dyDescent="0.35">
      <c r="A4123" s="3" t="s">
        <v>1185</v>
      </c>
      <c r="B4123" s="3" t="s">
        <v>1495</v>
      </c>
      <c r="C4123" s="3" t="s">
        <v>20</v>
      </c>
      <c r="D4123" s="3" t="s">
        <v>1498</v>
      </c>
      <c r="E4123" s="3" t="s">
        <v>32</v>
      </c>
      <c r="F4123" s="3" t="s">
        <v>16</v>
      </c>
      <c r="G4123" s="3" t="s">
        <v>1500</v>
      </c>
      <c r="H4123" s="3"/>
      <c r="I4123" s="3"/>
    </row>
    <row r="4124" spans="1:9" s="5" customFormat="1" x14ac:dyDescent="0.35">
      <c r="A4124" s="3" t="s">
        <v>1185</v>
      </c>
      <c r="B4124" s="3" t="s">
        <v>1495</v>
      </c>
      <c r="C4124" s="3" t="s">
        <v>39</v>
      </c>
      <c r="D4124" s="3" t="s">
        <v>1501</v>
      </c>
      <c r="E4124" s="3" t="s">
        <v>27</v>
      </c>
      <c r="F4124" s="3"/>
      <c r="G4124" s="3"/>
      <c r="H4124" s="3"/>
      <c r="I4124" s="3"/>
    </row>
    <row r="4125" spans="1:9" s="5" customFormat="1" x14ac:dyDescent="0.35">
      <c r="A4125" s="3" t="s">
        <v>1185</v>
      </c>
      <c r="B4125" s="3" t="s">
        <v>1502</v>
      </c>
      <c r="C4125" s="3" t="s">
        <v>20</v>
      </c>
      <c r="D4125" s="3" t="s">
        <v>1503</v>
      </c>
      <c r="E4125" s="3" t="s">
        <v>23</v>
      </c>
      <c r="F4125" s="3"/>
      <c r="G4125" s="3"/>
      <c r="H4125" s="3" t="s">
        <v>16</v>
      </c>
      <c r="I4125" s="3" t="s">
        <v>1504</v>
      </c>
    </row>
    <row r="4126" spans="1:9" s="5" customFormat="1" x14ac:dyDescent="0.35">
      <c r="A4126" s="3" t="s">
        <v>1185</v>
      </c>
      <c r="B4126" s="3" t="s">
        <v>1502</v>
      </c>
      <c r="C4126" s="3" t="s">
        <v>20</v>
      </c>
      <c r="D4126" s="3" t="s">
        <v>1503</v>
      </c>
      <c r="E4126" s="3" t="s">
        <v>98</v>
      </c>
      <c r="F4126" s="3" t="s">
        <v>16</v>
      </c>
      <c r="G4126" s="3" t="s">
        <v>1505</v>
      </c>
      <c r="H4126" s="3" t="s">
        <v>16</v>
      </c>
      <c r="I4126" s="3" t="s">
        <v>1504</v>
      </c>
    </row>
    <row r="4127" spans="1:9" s="5" customFormat="1" x14ac:dyDescent="0.35">
      <c r="A4127" s="3" t="s">
        <v>1185</v>
      </c>
      <c r="B4127" s="3" t="s">
        <v>1502</v>
      </c>
      <c r="C4127" s="3" t="s">
        <v>39</v>
      </c>
      <c r="D4127" s="3" t="s">
        <v>1506</v>
      </c>
      <c r="E4127" s="3" t="s">
        <v>27</v>
      </c>
      <c r="F4127" s="3"/>
      <c r="G4127" s="3"/>
      <c r="H4127" s="3" t="s">
        <v>16</v>
      </c>
      <c r="I4127" s="3" t="s">
        <v>1504</v>
      </c>
    </row>
    <row r="4128" spans="1:9" s="5" customFormat="1" x14ac:dyDescent="0.35">
      <c r="A4128" s="3" t="s">
        <v>1185</v>
      </c>
      <c r="B4128" s="3" t="s">
        <v>1502</v>
      </c>
      <c r="C4128" s="3" t="s">
        <v>39</v>
      </c>
      <c r="D4128" s="3" t="s">
        <v>1506</v>
      </c>
      <c r="E4128" s="3" t="s">
        <v>15</v>
      </c>
      <c r="F4128" s="3" t="s">
        <v>16</v>
      </c>
      <c r="G4128" s="3" t="s">
        <v>1507</v>
      </c>
      <c r="H4128" s="3" t="s">
        <v>16</v>
      </c>
      <c r="I4128" s="3" t="s">
        <v>1504</v>
      </c>
    </row>
    <row r="4129" spans="1:9" s="5" customFormat="1" x14ac:dyDescent="0.35">
      <c r="A4129" s="3" t="s">
        <v>1185</v>
      </c>
      <c r="B4129" s="3" t="s">
        <v>1502</v>
      </c>
      <c r="C4129" s="3" t="s">
        <v>45</v>
      </c>
      <c r="D4129" s="3" t="s">
        <v>1508</v>
      </c>
      <c r="E4129" s="3" t="s">
        <v>1193</v>
      </c>
      <c r="F4129" s="3"/>
      <c r="G4129" s="3"/>
      <c r="H4129" s="3"/>
      <c r="I4129" s="3"/>
    </row>
    <row r="4130" spans="1:9" s="5" customFormat="1" x14ac:dyDescent="0.35">
      <c r="A4130" s="3" t="s">
        <v>1185</v>
      </c>
      <c r="B4130" s="3" t="s">
        <v>1502</v>
      </c>
      <c r="C4130" s="3" t="s">
        <v>45</v>
      </c>
      <c r="D4130" s="3" t="s">
        <v>1508</v>
      </c>
      <c r="E4130" s="3" t="s">
        <v>15</v>
      </c>
      <c r="F4130" s="3" t="s">
        <v>16</v>
      </c>
      <c r="G4130" s="3" t="s">
        <v>1505</v>
      </c>
      <c r="H4130" s="3" t="s">
        <v>16</v>
      </c>
      <c r="I4130" s="3" t="s">
        <v>1504</v>
      </c>
    </row>
    <row r="4131" spans="1:9" s="5" customFormat="1" x14ac:dyDescent="0.35">
      <c r="A4131" s="3" t="s">
        <v>1185</v>
      </c>
      <c r="B4131" s="3" t="s">
        <v>1502</v>
      </c>
      <c r="C4131" s="3" t="s">
        <v>42</v>
      </c>
      <c r="D4131" s="3" t="s">
        <v>1509</v>
      </c>
      <c r="E4131" s="3" t="s">
        <v>12</v>
      </c>
      <c r="F4131" s="3"/>
      <c r="G4131" s="3"/>
      <c r="H4131" s="3"/>
      <c r="I4131" s="3"/>
    </row>
    <row r="4132" spans="1:9" s="5" customFormat="1" x14ac:dyDescent="0.35">
      <c r="A4132" s="3" t="s">
        <v>1185</v>
      </c>
      <c r="B4132" s="3" t="s">
        <v>1502</v>
      </c>
      <c r="C4132" s="3" t="s">
        <v>42</v>
      </c>
      <c r="D4132" s="3" t="s">
        <v>1509</v>
      </c>
      <c r="E4132" s="3" t="s">
        <v>36</v>
      </c>
      <c r="F4132" s="3" t="s">
        <v>16</v>
      </c>
      <c r="G4132" s="3" t="s">
        <v>1511</v>
      </c>
      <c r="H4132" s="3"/>
      <c r="I4132" s="3"/>
    </row>
    <row r="4133" spans="1:9" s="5" customFormat="1" x14ac:dyDescent="0.35">
      <c r="A4133" s="3" t="s">
        <v>1185</v>
      </c>
      <c r="B4133" s="3" t="s">
        <v>1502</v>
      </c>
      <c r="C4133" s="3" t="s">
        <v>42</v>
      </c>
      <c r="D4133" s="3" t="s">
        <v>1509</v>
      </c>
      <c r="E4133" s="3" t="s">
        <v>27</v>
      </c>
      <c r="F4133" s="3"/>
      <c r="G4133" s="3"/>
      <c r="H4133" s="3"/>
      <c r="I4133" s="3"/>
    </row>
    <row r="4134" spans="1:9" s="5" customFormat="1" x14ac:dyDescent="0.35">
      <c r="A4134" s="3" t="s">
        <v>1185</v>
      </c>
      <c r="B4134" s="3" t="s">
        <v>1502</v>
      </c>
      <c r="C4134" s="3" t="s">
        <v>42</v>
      </c>
      <c r="D4134" s="3" t="s">
        <v>1509</v>
      </c>
      <c r="E4134" s="3" t="s">
        <v>1193</v>
      </c>
      <c r="F4134" s="3"/>
      <c r="G4134" s="3"/>
      <c r="H4134" s="3" t="s">
        <v>16</v>
      </c>
      <c r="I4134" s="3" t="s">
        <v>1504</v>
      </c>
    </row>
    <row r="4135" spans="1:9" s="5" customFormat="1" x14ac:dyDescent="0.35">
      <c r="A4135" s="3" t="s">
        <v>1185</v>
      </c>
      <c r="B4135" s="3" t="s">
        <v>1502</v>
      </c>
      <c r="C4135" s="3" t="s">
        <v>42</v>
      </c>
      <c r="D4135" s="3" t="s">
        <v>1509</v>
      </c>
      <c r="E4135" s="3" t="s">
        <v>44</v>
      </c>
      <c r="F4135" s="3"/>
      <c r="G4135" s="3"/>
      <c r="H4135" s="3"/>
      <c r="I4135" s="3"/>
    </row>
    <row r="4136" spans="1:9" s="5" customFormat="1" x14ac:dyDescent="0.35">
      <c r="A4136" s="3" t="s">
        <v>1185</v>
      </c>
      <c r="B4136" s="3" t="s">
        <v>1502</v>
      </c>
      <c r="C4136" s="3" t="s">
        <v>42</v>
      </c>
      <c r="D4136" s="3" t="s">
        <v>1509</v>
      </c>
      <c r="E4136" s="3" t="s">
        <v>87</v>
      </c>
      <c r="F4136" s="3" t="s">
        <v>16</v>
      </c>
      <c r="G4136" s="3" t="s">
        <v>1510</v>
      </c>
      <c r="H4136" s="3"/>
      <c r="I4136" s="3"/>
    </row>
    <row r="4137" spans="1:9" s="5" customFormat="1" x14ac:dyDescent="0.35">
      <c r="A4137" s="3" t="s">
        <v>1185</v>
      </c>
      <c r="B4137" s="3" t="s">
        <v>1502</v>
      </c>
      <c r="C4137" s="3" t="s">
        <v>42</v>
      </c>
      <c r="D4137" s="3" t="s">
        <v>1509</v>
      </c>
      <c r="E4137" s="3" t="s">
        <v>56</v>
      </c>
      <c r="F4137" s="3" t="s">
        <v>16</v>
      </c>
      <c r="G4137" s="3" t="s">
        <v>1505</v>
      </c>
      <c r="H4137" s="3" t="s">
        <v>16</v>
      </c>
      <c r="I4137" s="3" t="s">
        <v>1504</v>
      </c>
    </row>
    <row r="4138" spans="1:9" s="5" customFormat="1" x14ac:dyDescent="0.35">
      <c r="A4138" s="3" t="s">
        <v>1185</v>
      </c>
      <c r="B4138" s="3" t="s">
        <v>1502</v>
      </c>
      <c r="C4138" s="3" t="s">
        <v>42</v>
      </c>
      <c r="D4138" s="3" t="s">
        <v>1509</v>
      </c>
      <c r="E4138" s="3" t="s">
        <v>82</v>
      </c>
      <c r="F4138" s="3" t="s">
        <v>16</v>
      </c>
      <c r="G4138" s="3" t="s">
        <v>2914</v>
      </c>
      <c r="H4138" s="3"/>
      <c r="I4138" s="3"/>
    </row>
    <row r="4139" spans="1:9" s="5" customFormat="1" x14ac:dyDescent="0.35">
      <c r="A4139" s="3" t="s">
        <v>1185</v>
      </c>
      <c r="B4139" s="3" t="s">
        <v>1512</v>
      </c>
      <c r="C4139" s="3" t="s">
        <v>39</v>
      </c>
      <c r="D4139" s="3" t="s">
        <v>1513</v>
      </c>
      <c r="E4139" s="3" t="s">
        <v>23</v>
      </c>
      <c r="F4139" s="3"/>
      <c r="G4139" s="3"/>
      <c r="H4139" s="3"/>
      <c r="I4139" s="3"/>
    </row>
    <row r="4140" spans="1:9" s="5" customFormat="1" x14ac:dyDescent="0.35">
      <c r="A4140" s="3" t="s">
        <v>1185</v>
      </c>
      <c r="B4140" s="3" t="s">
        <v>1512</v>
      </c>
      <c r="C4140" s="3" t="s">
        <v>39</v>
      </c>
      <c r="D4140" s="3" t="s">
        <v>1513</v>
      </c>
      <c r="E4140" s="3" t="s">
        <v>87</v>
      </c>
      <c r="F4140" s="3"/>
      <c r="G4140" s="3"/>
      <c r="H4140" s="3"/>
      <c r="I4140" s="3"/>
    </row>
    <row r="4141" spans="1:9" s="5" customFormat="1" x14ac:dyDescent="0.35">
      <c r="A4141" s="3" t="s">
        <v>1185</v>
      </c>
      <c r="B4141" s="3" t="s">
        <v>1512</v>
      </c>
      <c r="C4141" s="3" t="s">
        <v>39</v>
      </c>
      <c r="D4141" s="3" t="s">
        <v>1513</v>
      </c>
      <c r="E4141" s="3" t="s">
        <v>24</v>
      </c>
      <c r="F4141" s="3"/>
      <c r="G4141" s="3"/>
      <c r="H4141" s="3"/>
      <c r="I4141" s="3"/>
    </row>
    <row r="4142" spans="1:9" s="5" customFormat="1" x14ac:dyDescent="0.35">
      <c r="A4142" s="3" t="s">
        <v>1185</v>
      </c>
      <c r="B4142" s="3" t="s">
        <v>1512</v>
      </c>
      <c r="C4142" s="3" t="s">
        <v>39</v>
      </c>
      <c r="D4142" s="3" t="s">
        <v>2649</v>
      </c>
      <c r="E4142" s="3" t="s">
        <v>1193</v>
      </c>
      <c r="F4142" s="3"/>
      <c r="G4142" s="3"/>
      <c r="H4142" s="3"/>
      <c r="I4142" s="3"/>
    </row>
    <row r="4143" spans="1:9" s="5" customFormat="1" x14ac:dyDescent="0.35">
      <c r="A4143" s="3" t="s">
        <v>1185</v>
      </c>
      <c r="B4143" s="3" t="s">
        <v>1512</v>
      </c>
      <c r="C4143" s="3" t="s">
        <v>39</v>
      </c>
      <c r="D4143" s="3" t="s">
        <v>2649</v>
      </c>
      <c r="E4143" s="3" t="s">
        <v>24</v>
      </c>
      <c r="F4143" s="3"/>
      <c r="G4143" s="3"/>
      <c r="H4143" s="3"/>
      <c r="I4143" s="3"/>
    </row>
    <row r="4144" spans="1:9" s="5" customFormat="1" x14ac:dyDescent="0.35">
      <c r="A4144" s="3" t="s">
        <v>1185</v>
      </c>
      <c r="B4144" s="3" t="s">
        <v>1512</v>
      </c>
      <c r="C4144" s="3" t="s">
        <v>20</v>
      </c>
      <c r="D4144" s="3" t="s">
        <v>1514</v>
      </c>
      <c r="E4144" s="3" t="s">
        <v>12</v>
      </c>
      <c r="F4144" s="3"/>
      <c r="G4144" s="3"/>
      <c r="H4144" s="3"/>
      <c r="I4144" s="3"/>
    </row>
    <row r="4145" spans="1:9" s="5" customFormat="1" x14ac:dyDescent="0.35">
      <c r="A4145" s="3" t="s">
        <v>1185</v>
      </c>
      <c r="B4145" s="3" t="s">
        <v>1512</v>
      </c>
      <c r="C4145" s="3" t="s">
        <v>20</v>
      </c>
      <c r="D4145" s="3" t="s">
        <v>1514</v>
      </c>
      <c r="E4145" s="3" t="s">
        <v>23</v>
      </c>
      <c r="F4145" s="3"/>
      <c r="G4145" s="3"/>
      <c r="H4145" s="3"/>
      <c r="I4145" s="3"/>
    </row>
    <row r="4146" spans="1:9" s="5" customFormat="1" x14ac:dyDescent="0.35">
      <c r="A4146" s="3" t="s">
        <v>1185</v>
      </c>
      <c r="B4146" s="3" t="s">
        <v>1512</v>
      </c>
      <c r="C4146" s="3" t="s">
        <v>20</v>
      </c>
      <c r="D4146" s="3" t="s">
        <v>1514</v>
      </c>
      <c r="E4146" s="3" t="s">
        <v>1193</v>
      </c>
      <c r="F4146" s="3"/>
      <c r="G4146" s="3"/>
      <c r="H4146" s="3"/>
      <c r="I4146" s="3"/>
    </row>
    <row r="4147" spans="1:9" s="5" customFormat="1" x14ac:dyDescent="0.35">
      <c r="A4147" s="3" t="s">
        <v>1185</v>
      </c>
      <c r="B4147" s="3" t="s">
        <v>1512</v>
      </c>
      <c r="C4147" s="3" t="s">
        <v>20</v>
      </c>
      <c r="D4147" s="3" t="s">
        <v>1514</v>
      </c>
      <c r="E4147" s="3" t="s">
        <v>87</v>
      </c>
      <c r="F4147" s="3"/>
      <c r="G4147" s="3"/>
      <c r="H4147" s="3"/>
      <c r="I4147" s="3"/>
    </row>
    <row r="4148" spans="1:9" s="5" customFormat="1" x14ac:dyDescent="0.35">
      <c r="A4148" s="3" t="s">
        <v>1185</v>
      </c>
      <c r="B4148" s="3" t="s">
        <v>1512</v>
      </c>
      <c r="C4148" s="3" t="s">
        <v>20</v>
      </c>
      <c r="D4148" s="3" t="s">
        <v>1514</v>
      </c>
      <c r="E4148" s="3" t="s">
        <v>24</v>
      </c>
      <c r="F4148" s="3"/>
      <c r="G4148" s="3"/>
      <c r="H4148" s="3"/>
      <c r="I4148" s="3"/>
    </row>
    <row r="4149" spans="1:9" s="5" customFormat="1" x14ac:dyDescent="0.35">
      <c r="A4149" s="3" t="s">
        <v>1185</v>
      </c>
      <c r="B4149" s="3" t="s">
        <v>1512</v>
      </c>
      <c r="C4149" s="3" t="s">
        <v>42</v>
      </c>
      <c r="D4149" s="3" t="s">
        <v>1515</v>
      </c>
      <c r="E4149" s="3" t="s">
        <v>12</v>
      </c>
      <c r="F4149" s="3"/>
      <c r="G4149" s="3"/>
      <c r="H4149" s="3"/>
      <c r="I4149" s="3"/>
    </row>
    <row r="4150" spans="1:9" s="5" customFormat="1" x14ac:dyDescent="0.35">
      <c r="A4150" s="3" t="s">
        <v>1185</v>
      </c>
      <c r="B4150" s="3" t="s">
        <v>1512</v>
      </c>
      <c r="C4150" s="3" t="s">
        <v>42</v>
      </c>
      <c r="D4150" s="3" t="s">
        <v>1515</v>
      </c>
      <c r="E4150" s="3" t="s">
        <v>23</v>
      </c>
      <c r="F4150" s="3" t="s">
        <v>16</v>
      </c>
      <c r="G4150" s="3" t="s">
        <v>1516</v>
      </c>
      <c r="H4150" s="3"/>
      <c r="I4150" s="3"/>
    </row>
    <row r="4151" spans="1:9" s="5" customFormat="1" x14ac:dyDescent="0.35">
      <c r="A4151" s="3" t="s">
        <v>1185</v>
      </c>
      <c r="B4151" s="3" t="s">
        <v>1512</v>
      </c>
      <c r="C4151" s="3" t="s">
        <v>42</v>
      </c>
      <c r="D4151" s="3" t="s">
        <v>1515</v>
      </c>
      <c r="E4151" s="3" t="s">
        <v>27</v>
      </c>
      <c r="F4151" s="3" t="s">
        <v>16</v>
      </c>
      <c r="G4151" s="3" t="s">
        <v>1518</v>
      </c>
      <c r="H4151" s="3"/>
      <c r="I4151" s="3"/>
    </row>
    <row r="4152" spans="1:9" s="5" customFormat="1" x14ac:dyDescent="0.35">
      <c r="A4152" s="3" t="s">
        <v>1185</v>
      </c>
      <c r="B4152" s="3" t="s">
        <v>1512</v>
      </c>
      <c r="C4152" s="3" t="s">
        <v>42</v>
      </c>
      <c r="D4152" s="3" t="s">
        <v>1515</v>
      </c>
      <c r="E4152" s="3" t="s">
        <v>87</v>
      </c>
      <c r="F4152" s="3" t="s">
        <v>16</v>
      </c>
      <c r="G4152" s="3" t="s">
        <v>1517</v>
      </c>
      <c r="H4152" s="3"/>
      <c r="I4152" s="3"/>
    </row>
    <row r="4153" spans="1:9" s="5" customFormat="1" x14ac:dyDescent="0.35">
      <c r="A4153" s="3" t="s">
        <v>1185</v>
      </c>
      <c r="B4153" s="3" t="s">
        <v>1512</v>
      </c>
      <c r="C4153" s="3" t="s">
        <v>42</v>
      </c>
      <c r="D4153" s="3" t="s">
        <v>1515</v>
      </c>
      <c r="E4153" s="3" t="s">
        <v>1216</v>
      </c>
      <c r="F4153" s="3" t="s">
        <v>16</v>
      </c>
      <c r="G4153" s="3" t="s">
        <v>1519</v>
      </c>
      <c r="H4153" s="3"/>
      <c r="I4153" s="3"/>
    </row>
    <row r="4154" spans="1:9" s="5" customFormat="1" x14ac:dyDescent="0.35">
      <c r="A4154" s="3" t="s">
        <v>1185</v>
      </c>
      <c r="B4154" s="3" t="s">
        <v>1512</v>
      </c>
      <c r="C4154" s="3" t="s">
        <v>42</v>
      </c>
      <c r="D4154" s="3" t="s">
        <v>1515</v>
      </c>
      <c r="E4154" s="3" t="s">
        <v>32</v>
      </c>
      <c r="F4154" s="3" t="s">
        <v>16</v>
      </c>
      <c r="G4154" s="3" t="s">
        <v>1520</v>
      </c>
      <c r="H4154" s="3"/>
      <c r="I4154" s="3"/>
    </row>
    <row r="4155" spans="1:9" s="5" customFormat="1" x14ac:dyDescent="0.35">
      <c r="A4155" s="3" t="s">
        <v>1185</v>
      </c>
      <c r="B4155" s="3" t="s">
        <v>1512</v>
      </c>
      <c r="C4155" s="3" t="s">
        <v>42</v>
      </c>
      <c r="D4155" s="3" t="s">
        <v>1515</v>
      </c>
      <c r="E4155" s="3" t="s">
        <v>107</v>
      </c>
      <c r="F4155" s="3" t="s">
        <v>16</v>
      </c>
      <c r="G4155" s="3" t="s">
        <v>1521</v>
      </c>
      <c r="H4155" s="3"/>
      <c r="I4155" s="3"/>
    </row>
    <row r="4156" spans="1:9" s="5" customFormat="1" x14ac:dyDescent="0.35">
      <c r="A4156" s="3" t="s">
        <v>1185</v>
      </c>
      <c r="B4156" s="3" t="s">
        <v>1522</v>
      </c>
      <c r="C4156" s="3" t="s">
        <v>20</v>
      </c>
      <c r="D4156" s="3" t="s">
        <v>1523</v>
      </c>
      <c r="E4156" s="3" t="s">
        <v>15</v>
      </c>
      <c r="F4156" s="3" t="s">
        <v>16</v>
      </c>
      <c r="G4156" s="3" t="s">
        <v>1474</v>
      </c>
      <c r="H4156" s="3"/>
      <c r="I4156" s="3"/>
    </row>
    <row r="4157" spans="1:9" s="5" customFormat="1" x14ac:dyDescent="0.35">
      <c r="A4157" s="3" t="s">
        <v>1185</v>
      </c>
      <c r="B4157" s="3" t="s">
        <v>1522</v>
      </c>
      <c r="C4157" s="3" t="s">
        <v>20</v>
      </c>
      <c r="D4157" s="3" t="s">
        <v>1523</v>
      </c>
      <c r="E4157" s="3" t="s">
        <v>56</v>
      </c>
      <c r="F4157" s="3" t="s">
        <v>16</v>
      </c>
      <c r="G4157" s="3" t="s">
        <v>1474</v>
      </c>
      <c r="H4157" s="3"/>
      <c r="I4157" s="3"/>
    </row>
    <row r="4158" spans="1:9" s="5" customFormat="1" x14ac:dyDescent="0.35">
      <c r="A4158" s="3" t="s">
        <v>1185</v>
      </c>
      <c r="B4158" s="3" t="s">
        <v>1522</v>
      </c>
      <c r="C4158" s="3" t="s">
        <v>10</v>
      </c>
      <c r="D4158" s="3" t="s">
        <v>1524</v>
      </c>
      <c r="E4158" s="3" t="s">
        <v>25</v>
      </c>
      <c r="F4158" s="3"/>
      <c r="G4158" s="3"/>
      <c r="H4158" s="3"/>
      <c r="I4158" s="3"/>
    </row>
    <row r="4159" spans="1:9" s="5" customFormat="1" x14ac:dyDescent="0.35">
      <c r="A4159" s="3" t="s">
        <v>1185</v>
      </c>
      <c r="B4159" s="3" t="s">
        <v>1522</v>
      </c>
      <c r="C4159" s="3" t="s">
        <v>10</v>
      </c>
      <c r="D4159" s="3" t="s">
        <v>1524</v>
      </c>
      <c r="E4159" s="3" t="s">
        <v>27</v>
      </c>
      <c r="F4159" s="3"/>
      <c r="G4159" s="3"/>
      <c r="H4159" s="3"/>
      <c r="I4159" s="3"/>
    </row>
    <row r="4160" spans="1:9" s="5" customFormat="1" x14ac:dyDescent="0.35">
      <c r="A4160" s="3" t="s">
        <v>1185</v>
      </c>
      <c r="B4160" s="3" t="s">
        <v>1522</v>
      </c>
      <c r="C4160" s="3" t="s">
        <v>10</v>
      </c>
      <c r="D4160" s="3" t="s">
        <v>1524</v>
      </c>
      <c r="E4160" s="3" t="s">
        <v>15</v>
      </c>
      <c r="F4160" s="3" t="s">
        <v>16</v>
      </c>
      <c r="G4160" s="3" t="s">
        <v>1474</v>
      </c>
      <c r="H4160" s="3"/>
      <c r="I4160" s="3"/>
    </row>
    <row r="4161" spans="1:9" s="5" customFormat="1" x14ac:dyDescent="0.35">
      <c r="A4161" s="3" t="s">
        <v>1185</v>
      </c>
      <c r="B4161" s="3" t="s">
        <v>1522</v>
      </c>
      <c r="C4161" s="3" t="s">
        <v>10</v>
      </c>
      <c r="D4161" s="3" t="s">
        <v>1524</v>
      </c>
      <c r="E4161" s="3" t="s">
        <v>56</v>
      </c>
      <c r="F4161" s="3" t="s">
        <v>16</v>
      </c>
      <c r="G4161" s="3" t="s">
        <v>1474</v>
      </c>
      <c r="H4161" s="3"/>
      <c r="I4161" s="3"/>
    </row>
    <row r="4162" spans="1:9" s="5" customFormat="1" x14ac:dyDescent="0.35">
      <c r="A4162" s="3" t="s">
        <v>1185</v>
      </c>
      <c r="B4162" s="3" t="s">
        <v>1522</v>
      </c>
      <c r="C4162" s="3" t="s">
        <v>39</v>
      </c>
      <c r="D4162" s="3" t="s">
        <v>1525</v>
      </c>
      <c r="E4162" s="3" t="s">
        <v>23</v>
      </c>
      <c r="F4162" s="3" t="s">
        <v>16</v>
      </c>
      <c r="G4162" s="3" t="s">
        <v>1526</v>
      </c>
      <c r="H4162" s="3"/>
      <c r="I4162" s="3"/>
    </row>
    <row r="4163" spans="1:9" s="5" customFormat="1" x14ac:dyDescent="0.35">
      <c r="A4163" s="3" t="s">
        <v>1185</v>
      </c>
      <c r="B4163" s="3" t="s">
        <v>1522</v>
      </c>
      <c r="C4163" s="3" t="s">
        <v>39</v>
      </c>
      <c r="D4163" s="3" t="s">
        <v>1525</v>
      </c>
      <c r="E4163" s="3" t="s">
        <v>60</v>
      </c>
      <c r="F4163" s="3"/>
      <c r="G4163" s="3"/>
      <c r="H4163" s="3"/>
      <c r="I4163" s="3"/>
    </row>
    <row r="4164" spans="1:9" s="5" customFormat="1" x14ac:dyDescent="0.35">
      <c r="A4164" s="3" t="s">
        <v>1185</v>
      </c>
      <c r="B4164" s="3" t="s">
        <v>1522</v>
      </c>
      <c r="C4164" s="3" t="s">
        <v>39</v>
      </c>
      <c r="D4164" s="3" t="s">
        <v>1525</v>
      </c>
      <c r="E4164" s="3" t="s">
        <v>24</v>
      </c>
      <c r="F4164" s="3"/>
      <c r="G4164" s="3"/>
      <c r="H4164" s="3"/>
      <c r="I4164" s="3"/>
    </row>
    <row r="4165" spans="1:9" s="5" customFormat="1" x14ac:dyDescent="0.35">
      <c r="A4165" s="3" t="s">
        <v>1185</v>
      </c>
      <c r="B4165" s="3" t="s">
        <v>1522</v>
      </c>
      <c r="C4165" s="3" t="s">
        <v>39</v>
      </c>
      <c r="D4165" s="3" t="s">
        <v>1527</v>
      </c>
      <c r="E4165" s="3" t="s">
        <v>12</v>
      </c>
      <c r="F4165" s="3" t="s">
        <v>16</v>
      </c>
      <c r="G4165" s="3" t="s">
        <v>1407</v>
      </c>
      <c r="H4165" s="3"/>
      <c r="I4165" s="3"/>
    </row>
    <row r="4166" spans="1:9" s="5" customFormat="1" x14ac:dyDescent="0.35">
      <c r="A4166" s="3" t="s">
        <v>1185</v>
      </c>
      <c r="B4166" s="3" t="s">
        <v>1522</v>
      </c>
      <c r="C4166" s="3" t="s">
        <v>39</v>
      </c>
      <c r="D4166" s="3" t="s">
        <v>1527</v>
      </c>
      <c r="E4166" s="3" t="s">
        <v>15</v>
      </c>
      <c r="F4166" s="3" t="s">
        <v>16</v>
      </c>
      <c r="G4166" s="3" t="s">
        <v>1407</v>
      </c>
      <c r="H4166" s="3"/>
      <c r="I4166" s="3"/>
    </row>
    <row r="4167" spans="1:9" s="5" customFormat="1" x14ac:dyDescent="0.35">
      <c r="A4167" s="3" t="s">
        <v>1185</v>
      </c>
      <c r="B4167" s="3" t="s">
        <v>1522</v>
      </c>
      <c r="C4167" s="3" t="s">
        <v>39</v>
      </c>
      <c r="D4167" s="3" t="s">
        <v>1527</v>
      </c>
      <c r="E4167" s="3" t="s">
        <v>56</v>
      </c>
      <c r="F4167" s="3" t="s">
        <v>16</v>
      </c>
      <c r="G4167" s="3" t="s">
        <v>1407</v>
      </c>
      <c r="H4167" s="3"/>
      <c r="I4167" s="3"/>
    </row>
    <row r="4168" spans="1:9" s="5" customFormat="1" x14ac:dyDescent="0.35">
      <c r="A4168" s="3" t="s">
        <v>1185</v>
      </c>
      <c r="B4168" s="3" t="s">
        <v>1522</v>
      </c>
      <c r="C4168" s="3" t="s">
        <v>20</v>
      </c>
      <c r="D4168" s="3" t="s">
        <v>1528</v>
      </c>
      <c r="E4168" s="3" t="s">
        <v>56</v>
      </c>
      <c r="F4168" s="3"/>
      <c r="G4168" s="3"/>
      <c r="H4168" s="3"/>
      <c r="I4168" s="3"/>
    </row>
    <row r="4169" spans="1:9" s="5" customFormat="1" x14ac:dyDescent="0.35">
      <c r="A4169" s="3" t="s">
        <v>1185</v>
      </c>
      <c r="B4169" s="3" t="s">
        <v>1522</v>
      </c>
      <c r="C4169" s="3" t="s">
        <v>42</v>
      </c>
      <c r="D4169" s="3" t="s">
        <v>1529</v>
      </c>
      <c r="E4169" s="3" t="s">
        <v>23</v>
      </c>
      <c r="F4169" s="3" t="s">
        <v>16</v>
      </c>
      <c r="G4169" s="3" t="s">
        <v>1530</v>
      </c>
      <c r="H4169" s="3"/>
      <c r="I4169" s="3"/>
    </row>
    <row r="4170" spans="1:9" s="5" customFormat="1" x14ac:dyDescent="0.35">
      <c r="A4170" s="3" t="s">
        <v>1185</v>
      </c>
      <c r="B4170" s="3" t="s">
        <v>1522</v>
      </c>
      <c r="C4170" s="3" t="s">
        <v>42</v>
      </c>
      <c r="D4170" s="3" t="s">
        <v>1529</v>
      </c>
      <c r="E4170" s="3" t="s">
        <v>1196</v>
      </c>
      <c r="F4170" s="3"/>
      <c r="G4170" s="3"/>
      <c r="H4170" s="3"/>
      <c r="I4170" s="3"/>
    </row>
    <row r="4171" spans="1:9" s="5" customFormat="1" x14ac:dyDescent="0.35">
      <c r="A4171" s="3" t="s">
        <v>1185</v>
      </c>
      <c r="B4171" s="3" t="s">
        <v>1522</v>
      </c>
      <c r="C4171" s="3" t="s">
        <v>42</v>
      </c>
      <c r="D4171" s="3" t="s">
        <v>1529</v>
      </c>
      <c r="E4171" s="3" t="s">
        <v>15</v>
      </c>
      <c r="F4171" s="3" t="s">
        <v>16</v>
      </c>
      <c r="G4171" s="3" t="s">
        <v>1474</v>
      </c>
      <c r="H4171" s="3"/>
      <c r="I4171" s="3"/>
    </row>
    <row r="4172" spans="1:9" s="5" customFormat="1" x14ac:dyDescent="0.35">
      <c r="A4172" s="3" t="s">
        <v>1185</v>
      </c>
      <c r="B4172" s="3" t="s">
        <v>1522</v>
      </c>
      <c r="C4172" s="3" t="s">
        <v>42</v>
      </c>
      <c r="D4172" s="3" t="s">
        <v>1529</v>
      </c>
      <c r="E4172" s="3" t="s">
        <v>32</v>
      </c>
      <c r="F4172" s="3"/>
      <c r="G4172" s="3" t="s">
        <v>2339</v>
      </c>
      <c r="H4172" s="3"/>
      <c r="I4172" s="3"/>
    </row>
    <row r="4173" spans="1:9" s="5" customFormat="1" x14ac:dyDescent="0.35">
      <c r="A4173" s="3" t="s">
        <v>1185</v>
      </c>
      <c r="B4173" s="3" t="s">
        <v>1522</v>
      </c>
      <c r="C4173" s="3" t="s">
        <v>39</v>
      </c>
      <c r="D4173" s="3" t="s">
        <v>1531</v>
      </c>
      <c r="E4173" s="3" t="s">
        <v>23</v>
      </c>
      <c r="F4173" s="3"/>
      <c r="G4173" s="3" t="s">
        <v>2359</v>
      </c>
      <c r="H4173" s="3"/>
      <c r="I4173" s="3"/>
    </row>
    <row r="4174" spans="1:9" s="5" customFormat="1" x14ac:dyDescent="0.35">
      <c r="A4174" s="3" t="s">
        <v>1185</v>
      </c>
      <c r="B4174" s="3" t="s">
        <v>1522</v>
      </c>
      <c r="C4174" s="3" t="s">
        <v>39</v>
      </c>
      <c r="D4174" s="3" t="s">
        <v>1531</v>
      </c>
      <c r="E4174" s="3" t="s">
        <v>71</v>
      </c>
      <c r="F4174" s="3"/>
      <c r="G4174" s="3"/>
      <c r="H4174" s="3"/>
      <c r="I4174" s="3"/>
    </row>
    <row r="4175" spans="1:9" s="5" customFormat="1" x14ac:dyDescent="0.35">
      <c r="A4175" s="3" t="s">
        <v>1185</v>
      </c>
      <c r="B4175" s="3" t="s">
        <v>1522</v>
      </c>
      <c r="C4175" s="3" t="s">
        <v>39</v>
      </c>
      <c r="D4175" s="3" t="s">
        <v>1531</v>
      </c>
      <c r="E4175" s="3" t="s">
        <v>716</v>
      </c>
      <c r="F4175" s="3"/>
      <c r="G4175" s="3"/>
      <c r="H4175" s="3"/>
      <c r="I4175" s="3"/>
    </row>
    <row r="4176" spans="1:9" s="5" customFormat="1" x14ac:dyDescent="0.35">
      <c r="A4176" s="3" t="s">
        <v>1185</v>
      </c>
      <c r="B4176" s="3" t="s">
        <v>1522</v>
      </c>
      <c r="C4176" s="3" t="s">
        <v>39</v>
      </c>
      <c r="D4176" s="3" t="s">
        <v>1531</v>
      </c>
      <c r="E4176" s="3" t="s">
        <v>15</v>
      </c>
      <c r="F4176" s="3" t="s">
        <v>16</v>
      </c>
      <c r="G4176" s="3" t="s">
        <v>1532</v>
      </c>
      <c r="H4176" s="3"/>
      <c r="I4176" s="3"/>
    </row>
    <row r="4177" spans="1:9" s="5" customFormat="1" x14ac:dyDescent="0.35">
      <c r="A4177" s="3" t="s">
        <v>1185</v>
      </c>
      <c r="B4177" s="3" t="s">
        <v>1522</v>
      </c>
      <c r="C4177" s="3" t="s">
        <v>39</v>
      </c>
      <c r="D4177" s="3" t="s">
        <v>1531</v>
      </c>
      <c r="E4177" s="3" t="s">
        <v>24</v>
      </c>
      <c r="F4177" s="3"/>
      <c r="G4177" s="3"/>
      <c r="H4177" s="3"/>
      <c r="I4177" s="3"/>
    </row>
    <row r="4178" spans="1:9" s="5" customFormat="1" x14ac:dyDescent="0.35">
      <c r="A4178" s="3" t="s">
        <v>1185</v>
      </c>
      <c r="B4178" s="3" t="s">
        <v>1522</v>
      </c>
      <c r="C4178" s="3" t="s">
        <v>20</v>
      </c>
      <c r="D4178" s="3" t="s">
        <v>1533</v>
      </c>
      <c r="E4178" s="3" t="s">
        <v>12</v>
      </c>
      <c r="F4178" s="3"/>
      <c r="G4178" s="3"/>
      <c r="H4178" s="3"/>
      <c r="I4178" s="3"/>
    </row>
    <row r="4179" spans="1:9" s="5" customFormat="1" x14ac:dyDescent="0.35">
      <c r="A4179" s="3" t="s">
        <v>1185</v>
      </c>
      <c r="B4179" s="3" t="s">
        <v>1522</v>
      </c>
      <c r="C4179" s="3" t="s">
        <v>20</v>
      </c>
      <c r="D4179" s="3" t="s">
        <v>1533</v>
      </c>
      <c r="E4179" s="3" t="s">
        <v>23</v>
      </c>
      <c r="F4179" s="3"/>
      <c r="G4179" s="3"/>
      <c r="H4179" s="3"/>
      <c r="I4179" s="3"/>
    </row>
    <row r="4180" spans="1:9" s="5" customFormat="1" x14ac:dyDescent="0.35">
      <c r="A4180" s="3" t="s">
        <v>1185</v>
      </c>
      <c r="B4180" s="3" t="s">
        <v>1522</v>
      </c>
      <c r="C4180" s="3" t="s">
        <v>20</v>
      </c>
      <c r="D4180" s="3" t="s">
        <v>1533</v>
      </c>
      <c r="E4180" s="3" t="s">
        <v>28</v>
      </c>
      <c r="F4180" s="3"/>
      <c r="G4180" s="3" t="s">
        <v>2414</v>
      </c>
      <c r="H4180" s="3"/>
      <c r="I4180" s="3"/>
    </row>
    <row r="4181" spans="1:9" s="5" customFormat="1" x14ac:dyDescent="0.35">
      <c r="A4181" s="3" t="s">
        <v>1185</v>
      </c>
      <c r="B4181" s="3" t="s">
        <v>1522</v>
      </c>
      <c r="C4181" s="3" t="s">
        <v>20</v>
      </c>
      <c r="D4181" s="3" t="s">
        <v>1533</v>
      </c>
      <c r="E4181" s="3" t="s">
        <v>15</v>
      </c>
      <c r="F4181" s="3" t="s">
        <v>16</v>
      </c>
      <c r="G4181" s="3" t="s">
        <v>1474</v>
      </c>
      <c r="H4181" s="3"/>
      <c r="I4181" s="3"/>
    </row>
    <row r="4182" spans="1:9" s="5" customFormat="1" x14ac:dyDescent="0.35">
      <c r="A4182" s="3" t="s">
        <v>1185</v>
      </c>
      <c r="B4182" s="3" t="s">
        <v>1522</v>
      </c>
      <c r="C4182" s="3" t="s">
        <v>20</v>
      </c>
      <c r="D4182" s="3" t="s">
        <v>1533</v>
      </c>
      <c r="E4182" s="3" t="s">
        <v>1197</v>
      </c>
      <c r="F4182" s="3"/>
      <c r="G4182" s="3"/>
      <c r="H4182" s="3"/>
      <c r="I4182" s="3"/>
    </row>
    <row r="4183" spans="1:9" s="5" customFormat="1" x14ac:dyDescent="0.35">
      <c r="A4183" s="3" t="s">
        <v>1185</v>
      </c>
      <c r="B4183" s="3" t="s">
        <v>1522</v>
      </c>
      <c r="C4183" s="3" t="s">
        <v>39</v>
      </c>
      <c r="D4183" s="3" t="s">
        <v>1534</v>
      </c>
      <c r="E4183" s="3" t="s">
        <v>23</v>
      </c>
      <c r="F4183" s="3"/>
      <c r="G4183" s="3"/>
      <c r="H4183" s="3"/>
      <c r="I4183" s="3"/>
    </row>
    <row r="4184" spans="1:9" s="5" customFormat="1" x14ac:dyDescent="0.35">
      <c r="A4184" s="3" t="s">
        <v>1185</v>
      </c>
      <c r="B4184" s="3" t="s">
        <v>1522</v>
      </c>
      <c r="C4184" s="3" t="s">
        <v>39</v>
      </c>
      <c r="D4184" s="3" t="s">
        <v>1534</v>
      </c>
      <c r="E4184" s="3" t="s">
        <v>28</v>
      </c>
      <c r="F4184" s="3" t="s">
        <v>16</v>
      </c>
      <c r="G4184" s="3" t="s">
        <v>2452</v>
      </c>
      <c r="H4184" s="3"/>
      <c r="I4184" s="3"/>
    </row>
    <row r="4185" spans="1:9" s="5" customFormat="1" x14ac:dyDescent="0.35">
      <c r="A4185" s="3" t="s">
        <v>1185</v>
      </c>
      <c r="B4185" s="3" t="s">
        <v>1522</v>
      </c>
      <c r="C4185" s="3" t="s">
        <v>39</v>
      </c>
      <c r="D4185" s="3" t="s">
        <v>1534</v>
      </c>
      <c r="E4185" s="3" t="s">
        <v>15</v>
      </c>
      <c r="F4185" s="3" t="s">
        <v>16</v>
      </c>
      <c r="G4185" s="3" t="s">
        <v>1532</v>
      </c>
      <c r="H4185" s="3"/>
      <c r="I4185" s="3"/>
    </row>
    <row r="4186" spans="1:9" s="5" customFormat="1" x14ac:dyDescent="0.35">
      <c r="A4186" s="3" t="s">
        <v>1185</v>
      </c>
      <c r="B4186" s="3" t="s">
        <v>1522</v>
      </c>
      <c r="C4186" s="3" t="s">
        <v>39</v>
      </c>
      <c r="D4186" s="3" t="s">
        <v>1534</v>
      </c>
      <c r="E4186" s="3" t="s">
        <v>32</v>
      </c>
      <c r="F4186" s="3" t="s">
        <v>16</v>
      </c>
      <c r="G4186" s="3" t="s">
        <v>1535</v>
      </c>
      <c r="H4186" s="3"/>
      <c r="I4186" s="3"/>
    </row>
    <row r="4187" spans="1:9" s="5" customFormat="1" x14ac:dyDescent="0.35">
      <c r="A4187" s="3" t="s">
        <v>1185</v>
      </c>
      <c r="B4187" s="3" t="s">
        <v>1522</v>
      </c>
      <c r="C4187" s="3" t="s">
        <v>45</v>
      </c>
      <c r="D4187" s="3" t="s">
        <v>1536</v>
      </c>
      <c r="E4187" s="3" t="s">
        <v>12</v>
      </c>
      <c r="F4187" s="3"/>
      <c r="G4187" s="3"/>
      <c r="H4187" s="3"/>
      <c r="I4187" s="3"/>
    </row>
    <row r="4188" spans="1:9" s="5" customFormat="1" x14ac:dyDescent="0.35">
      <c r="A4188" s="3" t="s">
        <v>1185</v>
      </c>
      <c r="B4188" s="3" t="s">
        <v>1522</v>
      </c>
      <c r="C4188" s="3" t="s">
        <v>45</v>
      </c>
      <c r="D4188" s="3" t="s">
        <v>1536</v>
      </c>
      <c r="E4188" s="3" t="s">
        <v>77</v>
      </c>
      <c r="F4188" s="3"/>
      <c r="G4188" s="3"/>
      <c r="H4188" s="3"/>
      <c r="I4188" s="3"/>
    </row>
    <row r="4189" spans="1:9" s="5" customFormat="1" x14ac:dyDescent="0.35">
      <c r="A4189" s="3" t="s">
        <v>1185</v>
      </c>
      <c r="B4189" s="3" t="s">
        <v>1522</v>
      </c>
      <c r="C4189" s="3" t="s">
        <v>45</v>
      </c>
      <c r="D4189" s="3" t="s">
        <v>1536</v>
      </c>
      <c r="E4189" s="3" t="s">
        <v>87</v>
      </c>
      <c r="F4189" s="3"/>
      <c r="G4189" s="3"/>
      <c r="H4189" s="3"/>
      <c r="I4189" s="3"/>
    </row>
    <row r="4190" spans="1:9" s="5" customFormat="1" x14ac:dyDescent="0.35">
      <c r="A4190" s="3" t="s">
        <v>1185</v>
      </c>
      <c r="B4190" s="3" t="s">
        <v>1522</v>
      </c>
      <c r="C4190" s="3" t="s">
        <v>45</v>
      </c>
      <c r="D4190" s="3" t="s">
        <v>1536</v>
      </c>
      <c r="E4190" s="3" t="s">
        <v>15</v>
      </c>
      <c r="F4190" s="3" t="s">
        <v>16</v>
      </c>
      <c r="G4190" s="3" t="s">
        <v>1538</v>
      </c>
      <c r="H4190" s="3"/>
      <c r="I4190" s="3"/>
    </row>
    <row r="4191" spans="1:9" s="5" customFormat="1" x14ac:dyDescent="0.35">
      <c r="A4191" s="3" t="s">
        <v>1185</v>
      </c>
      <c r="B4191" s="3" t="s">
        <v>1522</v>
      </c>
      <c r="C4191" s="3" t="s">
        <v>45</v>
      </c>
      <c r="D4191" s="3" t="s">
        <v>1536</v>
      </c>
      <c r="E4191" s="3" t="s">
        <v>56</v>
      </c>
      <c r="F4191" s="3" t="s">
        <v>16</v>
      </c>
      <c r="G4191" s="3" t="s">
        <v>1537</v>
      </c>
      <c r="H4191" s="3"/>
      <c r="I4191" s="3"/>
    </row>
    <row r="4192" spans="1:9" s="5" customFormat="1" x14ac:dyDescent="0.35">
      <c r="A4192" s="3" t="s">
        <v>1185</v>
      </c>
      <c r="B4192" s="3" t="s">
        <v>1522</v>
      </c>
      <c r="C4192" s="3" t="s">
        <v>45</v>
      </c>
      <c r="D4192" s="3" t="s">
        <v>1536</v>
      </c>
      <c r="E4192" s="3" t="s">
        <v>29</v>
      </c>
      <c r="F4192" s="3"/>
      <c r="G4192" s="3"/>
      <c r="H4192" s="3"/>
      <c r="I4192" s="3"/>
    </row>
    <row r="4193" spans="1:9" s="5" customFormat="1" x14ac:dyDescent="0.35">
      <c r="A4193" s="3" t="s">
        <v>1185</v>
      </c>
      <c r="B4193" s="3" t="s">
        <v>1522</v>
      </c>
      <c r="C4193" s="3" t="s">
        <v>20</v>
      </c>
      <c r="D4193" s="3" t="s">
        <v>1539</v>
      </c>
      <c r="E4193" s="3" t="s">
        <v>36</v>
      </c>
      <c r="F4193" s="3"/>
      <c r="G4193" s="3"/>
      <c r="H4193" s="3"/>
      <c r="I4193" s="3"/>
    </row>
    <row r="4194" spans="1:9" s="5" customFormat="1" x14ac:dyDescent="0.35">
      <c r="A4194" s="3" t="s">
        <v>1185</v>
      </c>
      <c r="B4194" s="3" t="s">
        <v>1522</v>
      </c>
      <c r="C4194" s="3" t="s">
        <v>20</v>
      </c>
      <c r="D4194" s="3" t="s">
        <v>1539</v>
      </c>
      <c r="E4194" s="3" t="s">
        <v>15</v>
      </c>
      <c r="F4194" s="3" t="s">
        <v>16</v>
      </c>
      <c r="G4194" s="3" t="s">
        <v>1541</v>
      </c>
      <c r="H4194" s="3"/>
      <c r="I4194" s="3"/>
    </row>
    <row r="4195" spans="1:9" s="5" customFormat="1" x14ac:dyDescent="0.35">
      <c r="A4195" s="3" t="s">
        <v>1185</v>
      </c>
      <c r="B4195" s="3" t="s">
        <v>1522</v>
      </c>
      <c r="C4195" s="3" t="s">
        <v>20</v>
      </c>
      <c r="D4195" s="3" t="s">
        <v>1539</v>
      </c>
      <c r="E4195" s="3" t="s">
        <v>56</v>
      </c>
      <c r="F4195" s="3" t="s">
        <v>16</v>
      </c>
      <c r="G4195" s="3" t="s">
        <v>1540</v>
      </c>
      <c r="H4195" s="3"/>
      <c r="I4195" s="3"/>
    </row>
    <row r="4196" spans="1:9" s="5" customFormat="1" x14ac:dyDescent="0.35">
      <c r="A4196" s="3" t="s">
        <v>1185</v>
      </c>
      <c r="B4196" s="3" t="s">
        <v>1522</v>
      </c>
      <c r="C4196" s="3" t="s">
        <v>20</v>
      </c>
      <c r="D4196" s="3" t="s">
        <v>1539</v>
      </c>
      <c r="E4196" s="3" t="s">
        <v>29</v>
      </c>
      <c r="F4196" s="3"/>
      <c r="G4196" s="3"/>
      <c r="H4196" s="3"/>
      <c r="I4196" s="3"/>
    </row>
    <row r="4197" spans="1:9" s="5" customFormat="1" x14ac:dyDescent="0.35">
      <c r="A4197" s="3" t="s">
        <v>1185</v>
      </c>
      <c r="B4197" s="3" t="s">
        <v>1522</v>
      </c>
      <c r="C4197" s="3" t="s">
        <v>20</v>
      </c>
      <c r="D4197" s="3" t="s">
        <v>1542</v>
      </c>
      <c r="E4197" s="3" t="s">
        <v>23</v>
      </c>
      <c r="F4197" s="3"/>
      <c r="G4197" s="3"/>
      <c r="H4197" s="3"/>
      <c r="I4197" s="3"/>
    </row>
    <row r="4198" spans="1:9" s="5" customFormat="1" x14ac:dyDescent="0.35">
      <c r="A4198" s="3" t="s">
        <v>1185</v>
      </c>
      <c r="B4198" s="3" t="s">
        <v>1522</v>
      </c>
      <c r="C4198" s="3" t="s">
        <v>20</v>
      </c>
      <c r="D4198" s="3" t="s">
        <v>1542</v>
      </c>
      <c r="E4198" s="3" t="s">
        <v>60</v>
      </c>
      <c r="F4198" s="3"/>
      <c r="G4198" s="3"/>
      <c r="H4198" s="3"/>
      <c r="I4198" s="3"/>
    </row>
    <row r="4199" spans="1:9" s="5" customFormat="1" x14ac:dyDescent="0.35">
      <c r="A4199" s="3" t="s">
        <v>1185</v>
      </c>
      <c r="B4199" s="3" t="s">
        <v>1522</v>
      </c>
      <c r="C4199" s="3" t="s">
        <v>20</v>
      </c>
      <c r="D4199" s="3" t="s">
        <v>1542</v>
      </c>
      <c r="E4199" s="3" t="s">
        <v>1196</v>
      </c>
      <c r="F4199" s="3"/>
      <c r="G4199" s="3"/>
      <c r="H4199" s="3"/>
      <c r="I4199" s="3"/>
    </row>
    <row r="4200" spans="1:9" s="5" customFormat="1" x14ac:dyDescent="0.35">
      <c r="A4200" s="3" t="s">
        <v>1185</v>
      </c>
      <c r="B4200" s="3" t="s">
        <v>1522</v>
      </c>
      <c r="C4200" s="3" t="s">
        <v>20</v>
      </c>
      <c r="D4200" s="3" t="s">
        <v>1542</v>
      </c>
      <c r="E4200" s="3" t="s">
        <v>77</v>
      </c>
      <c r="F4200" s="3"/>
      <c r="G4200" s="3"/>
      <c r="H4200" s="3"/>
      <c r="I4200" s="3"/>
    </row>
    <row r="4201" spans="1:9" s="5" customFormat="1" x14ac:dyDescent="0.35">
      <c r="A4201" s="3" t="s">
        <v>1185</v>
      </c>
      <c r="B4201" s="3" t="s">
        <v>1522</v>
      </c>
      <c r="C4201" s="3" t="s">
        <v>20</v>
      </c>
      <c r="D4201" s="3" t="s">
        <v>1542</v>
      </c>
      <c r="E4201" s="3" t="s">
        <v>56</v>
      </c>
      <c r="F4201" s="3"/>
      <c r="G4201" s="3"/>
      <c r="H4201" s="3"/>
      <c r="I4201" s="3"/>
    </row>
    <row r="4202" spans="1:9" s="5" customFormat="1" x14ac:dyDescent="0.35">
      <c r="A4202" s="3" t="s">
        <v>1185</v>
      </c>
      <c r="B4202" s="3" t="s">
        <v>1522</v>
      </c>
      <c r="C4202" s="3" t="s">
        <v>20</v>
      </c>
      <c r="D4202" s="3" t="s">
        <v>1542</v>
      </c>
      <c r="E4202" s="3" t="s">
        <v>32</v>
      </c>
      <c r="F4202" s="3"/>
      <c r="G4202" s="3" t="s">
        <v>2293</v>
      </c>
      <c r="H4202" s="3"/>
      <c r="I4202" s="3"/>
    </row>
    <row r="4203" spans="1:9" s="5" customFormat="1" x14ac:dyDescent="0.35">
      <c r="A4203" s="3" t="s">
        <v>1185</v>
      </c>
      <c r="B4203" s="3" t="s">
        <v>1522</v>
      </c>
      <c r="C4203" s="3" t="s">
        <v>20</v>
      </c>
      <c r="D4203" s="3" t="s">
        <v>1542</v>
      </c>
      <c r="E4203" s="3" t="s">
        <v>244</v>
      </c>
      <c r="F4203" s="3"/>
      <c r="G4203" s="3"/>
      <c r="H4203" s="3"/>
      <c r="I4203" s="3"/>
    </row>
    <row r="4204" spans="1:9" s="5" customFormat="1" x14ac:dyDescent="0.35">
      <c r="A4204" s="3" t="s">
        <v>1185</v>
      </c>
      <c r="B4204" s="3" t="s">
        <v>1522</v>
      </c>
      <c r="C4204" s="3" t="s">
        <v>45</v>
      </c>
      <c r="D4204" s="3" t="s">
        <v>1543</v>
      </c>
      <c r="E4204" s="3" t="s">
        <v>23</v>
      </c>
      <c r="F4204" s="3" t="s">
        <v>16</v>
      </c>
      <c r="G4204" s="3" t="s">
        <v>1545</v>
      </c>
      <c r="H4204" s="3"/>
      <c r="I4204" s="3"/>
    </row>
    <row r="4205" spans="1:9" s="5" customFormat="1" x14ac:dyDescent="0.35">
      <c r="A4205" s="3" t="s">
        <v>1185</v>
      </c>
      <c r="B4205" s="3" t="s">
        <v>1522</v>
      </c>
      <c r="C4205" s="3" t="s">
        <v>45</v>
      </c>
      <c r="D4205" s="3" t="s">
        <v>1543</v>
      </c>
      <c r="E4205" s="3" t="s">
        <v>77</v>
      </c>
      <c r="F4205" s="3"/>
      <c r="G4205" s="3"/>
      <c r="H4205" s="3"/>
      <c r="I4205" s="3"/>
    </row>
    <row r="4206" spans="1:9" s="5" customFormat="1" x14ac:dyDescent="0.35">
      <c r="A4206" s="3" t="s">
        <v>1185</v>
      </c>
      <c r="B4206" s="3" t="s">
        <v>1522</v>
      </c>
      <c r="C4206" s="3" t="s">
        <v>45</v>
      </c>
      <c r="D4206" s="3" t="s">
        <v>1543</v>
      </c>
      <c r="E4206" s="3" t="s">
        <v>87</v>
      </c>
      <c r="F4206" s="3"/>
      <c r="G4206" s="3"/>
      <c r="H4206" s="3"/>
      <c r="I4206" s="3"/>
    </row>
    <row r="4207" spans="1:9" s="5" customFormat="1" x14ac:dyDescent="0.35">
      <c r="A4207" s="3" t="s">
        <v>1185</v>
      </c>
      <c r="B4207" s="3" t="s">
        <v>1522</v>
      </c>
      <c r="C4207" s="3" t="s">
        <v>45</v>
      </c>
      <c r="D4207" s="3" t="s">
        <v>1543</v>
      </c>
      <c r="E4207" s="3" t="s">
        <v>56</v>
      </c>
      <c r="F4207" s="3" t="s">
        <v>16</v>
      </c>
      <c r="G4207" s="3" t="s">
        <v>1544</v>
      </c>
      <c r="H4207" s="3"/>
      <c r="I4207" s="3"/>
    </row>
    <row r="4208" spans="1:9" s="5" customFormat="1" x14ac:dyDescent="0.35">
      <c r="A4208" s="3" t="s">
        <v>1185</v>
      </c>
      <c r="B4208" s="3" t="s">
        <v>1522</v>
      </c>
      <c r="C4208" s="3" t="s">
        <v>45</v>
      </c>
      <c r="D4208" s="3" t="s">
        <v>1546</v>
      </c>
      <c r="E4208" s="3" t="s">
        <v>56</v>
      </c>
      <c r="F4208" s="3"/>
      <c r="G4208" s="3"/>
      <c r="H4208" s="3"/>
      <c r="I4208" s="3"/>
    </row>
    <row r="4209" spans="1:9" s="5" customFormat="1" x14ac:dyDescent="0.35">
      <c r="A4209" s="3" t="s">
        <v>1185</v>
      </c>
      <c r="B4209" s="3" t="s">
        <v>1547</v>
      </c>
      <c r="C4209" s="3" t="s">
        <v>20</v>
      </c>
      <c r="D4209" s="3" t="s">
        <v>1548</v>
      </c>
      <c r="E4209" s="3" t="s">
        <v>12</v>
      </c>
      <c r="F4209" s="3"/>
      <c r="G4209" s="3"/>
      <c r="H4209" s="3"/>
      <c r="I4209" s="3"/>
    </row>
    <row r="4210" spans="1:9" s="5" customFormat="1" x14ac:dyDescent="0.35">
      <c r="A4210" s="3" t="s">
        <v>1185</v>
      </c>
      <c r="B4210" s="3" t="s">
        <v>1547</v>
      </c>
      <c r="C4210" s="3" t="s">
        <v>20</v>
      </c>
      <c r="D4210" s="3" t="s">
        <v>1548</v>
      </c>
      <c r="E4210" s="3" t="s">
        <v>36</v>
      </c>
      <c r="F4210" s="3" t="s">
        <v>16</v>
      </c>
      <c r="G4210" s="3" t="s">
        <v>1549</v>
      </c>
      <c r="H4210" s="3"/>
      <c r="I4210" s="3"/>
    </row>
    <row r="4211" spans="1:9" s="5" customFormat="1" x14ac:dyDescent="0.35">
      <c r="A4211" s="3" t="s">
        <v>1185</v>
      </c>
      <c r="B4211" s="3" t="s">
        <v>1547</v>
      </c>
      <c r="C4211" s="3" t="s">
        <v>20</v>
      </c>
      <c r="D4211" s="3" t="s">
        <v>1548</v>
      </c>
      <c r="E4211" s="3" t="s">
        <v>47</v>
      </c>
      <c r="F4211" s="3"/>
      <c r="G4211" s="3"/>
      <c r="H4211" s="3"/>
      <c r="I4211" s="3"/>
    </row>
    <row r="4212" spans="1:9" s="5" customFormat="1" x14ac:dyDescent="0.35">
      <c r="A4212" s="3" t="s">
        <v>1185</v>
      </c>
      <c r="B4212" s="3" t="s">
        <v>1547</v>
      </c>
      <c r="C4212" s="3" t="s">
        <v>20</v>
      </c>
      <c r="D4212" s="3" t="s">
        <v>1548</v>
      </c>
      <c r="E4212" s="3" t="s">
        <v>25</v>
      </c>
      <c r="F4212" s="3"/>
      <c r="G4212" s="3"/>
      <c r="H4212" s="3"/>
      <c r="I4212" s="3"/>
    </row>
    <row r="4213" spans="1:9" s="5" customFormat="1" x14ac:dyDescent="0.35">
      <c r="A4213" s="3" t="s">
        <v>1185</v>
      </c>
      <c r="B4213" s="3" t="s">
        <v>1547</v>
      </c>
      <c r="C4213" s="3" t="s">
        <v>20</v>
      </c>
      <c r="D4213" s="3" t="s">
        <v>1548</v>
      </c>
      <c r="E4213" s="3" t="s">
        <v>1196</v>
      </c>
      <c r="F4213" s="3" t="s">
        <v>16</v>
      </c>
      <c r="G4213" s="3" t="s">
        <v>1549</v>
      </c>
      <c r="H4213" s="3"/>
      <c r="I4213" s="3"/>
    </row>
    <row r="4214" spans="1:9" s="5" customFormat="1" x14ac:dyDescent="0.35">
      <c r="A4214" s="3" t="s">
        <v>1185</v>
      </c>
      <c r="B4214" s="3" t="s">
        <v>1547</v>
      </c>
      <c r="C4214" s="3" t="s">
        <v>20</v>
      </c>
      <c r="D4214" s="3" t="s">
        <v>1548</v>
      </c>
      <c r="E4214" s="3" t="s">
        <v>1021</v>
      </c>
      <c r="F4214" s="3" t="s">
        <v>16</v>
      </c>
      <c r="G4214" s="3" t="s">
        <v>1549</v>
      </c>
      <c r="H4214" s="3"/>
      <c r="I4214" s="3"/>
    </row>
    <row r="4215" spans="1:9" s="5" customFormat="1" x14ac:dyDescent="0.35">
      <c r="A4215" s="3" t="s">
        <v>1185</v>
      </c>
      <c r="B4215" s="3" t="s">
        <v>1547</v>
      </c>
      <c r="C4215" s="3" t="s">
        <v>20</v>
      </c>
      <c r="D4215" s="3" t="s">
        <v>1548</v>
      </c>
      <c r="E4215" s="3" t="s">
        <v>15</v>
      </c>
      <c r="F4215" s="3" t="s">
        <v>16</v>
      </c>
      <c r="G4215" s="3" t="s">
        <v>1549</v>
      </c>
      <c r="H4215" s="3"/>
      <c r="I4215" s="3"/>
    </row>
    <row r="4216" spans="1:9" s="5" customFormat="1" x14ac:dyDescent="0.35">
      <c r="A4216" s="3" t="s">
        <v>1185</v>
      </c>
      <c r="B4216" s="3" t="s">
        <v>1547</v>
      </c>
      <c r="C4216" s="3" t="s">
        <v>20</v>
      </c>
      <c r="D4216" s="3" t="s">
        <v>1548</v>
      </c>
      <c r="E4216" s="3" t="s">
        <v>56</v>
      </c>
      <c r="F4216" s="3"/>
      <c r="G4216" s="3"/>
      <c r="H4216" s="3"/>
      <c r="I4216" s="3"/>
    </row>
    <row r="4217" spans="1:9" s="5" customFormat="1" x14ac:dyDescent="0.35">
      <c r="A4217" s="3" t="s">
        <v>1185</v>
      </c>
      <c r="B4217" s="3" t="s">
        <v>1547</v>
      </c>
      <c r="C4217" s="3" t="s">
        <v>20</v>
      </c>
      <c r="D4217" s="3" t="s">
        <v>1548</v>
      </c>
      <c r="E4217" s="3" t="s">
        <v>89</v>
      </c>
      <c r="F4217" s="3" t="s">
        <v>33</v>
      </c>
      <c r="G4217" s="3" t="s">
        <v>723</v>
      </c>
      <c r="H4217" s="3"/>
      <c r="I4217" s="3"/>
    </row>
    <row r="4218" spans="1:9" s="5" customFormat="1" x14ac:dyDescent="0.35">
      <c r="A4218" s="3" t="s">
        <v>1185</v>
      </c>
      <c r="B4218" s="3" t="s">
        <v>1547</v>
      </c>
      <c r="C4218" s="3" t="s">
        <v>20</v>
      </c>
      <c r="D4218" s="3" t="s">
        <v>1548</v>
      </c>
      <c r="E4218" s="3" t="s">
        <v>29</v>
      </c>
      <c r="F4218" s="3"/>
      <c r="G4218" s="3"/>
      <c r="H4218" s="3"/>
      <c r="I4218" s="3"/>
    </row>
    <row r="4219" spans="1:9" s="5" customFormat="1" x14ac:dyDescent="0.35">
      <c r="A4219" s="3" t="s">
        <v>1185</v>
      </c>
      <c r="B4219" s="3" t="s">
        <v>1547</v>
      </c>
      <c r="C4219" s="3" t="s">
        <v>20</v>
      </c>
      <c r="D4219" s="3" t="s">
        <v>1548</v>
      </c>
      <c r="E4219" s="3" t="s">
        <v>134</v>
      </c>
      <c r="F4219" s="3"/>
      <c r="G4219" s="3"/>
      <c r="H4219" s="3"/>
      <c r="I4219" s="3"/>
    </row>
    <row r="4220" spans="1:9" s="5" customFormat="1" x14ac:dyDescent="0.35">
      <c r="A4220" s="3" t="s">
        <v>1185</v>
      </c>
      <c r="B4220" s="3" t="s">
        <v>1547</v>
      </c>
      <c r="C4220" s="3" t="s">
        <v>10</v>
      </c>
      <c r="D4220" s="3" t="s">
        <v>1550</v>
      </c>
      <c r="E4220" s="3" t="s">
        <v>87</v>
      </c>
      <c r="F4220" s="3"/>
      <c r="G4220" s="3"/>
      <c r="H4220" s="3"/>
      <c r="I4220" s="3"/>
    </row>
    <row r="4221" spans="1:9" s="5" customFormat="1" x14ac:dyDescent="0.35">
      <c r="A4221" s="3" t="s">
        <v>1185</v>
      </c>
      <c r="B4221" s="3" t="s">
        <v>1547</v>
      </c>
      <c r="C4221" s="3" t="s">
        <v>10</v>
      </c>
      <c r="D4221" s="3" t="s">
        <v>1550</v>
      </c>
      <c r="E4221" s="3" t="s">
        <v>15</v>
      </c>
      <c r="F4221" s="3" t="s">
        <v>16</v>
      </c>
      <c r="G4221" s="3" t="s">
        <v>1551</v>
      </c>
      <c r="H4221" s="3"/>
      <c r="I4221" s="3"/>
    </row>
    <row r="4222" spans="1:9" s="5" customFormat="1" x14ac:dyDescent="0.35">
      <c r="A4222" s="3" t="s">
        <v>1185</v>
      </c>
      <c r="B4222" s="3" t="s">
        <v>1547</v>
      </c>
      <c r="C4222" s="3" t="s">
        <v>10</v>
      </c>
      <c r="D4222" s="3" t="s">
        <v>1550</v>
      </c>
      <c r="E4222" s="3" t="s">
        <v>56</v>
      </c>
      <c r="F4222" s="3"/>
      <c r="G4222" s="3"/>
      <c r="H4222" s="3"/>
      <c r="I4222" s="3"/>
    </row>
    <row r="4223" spans="1:9" s="5" customFormat="1" x14ac:dyDescent="0.35">
      <c r="A4223" s="3" t="s">
        <v>1185</v>
      </c>
      <c r="B4223" s="3" t="s">
        <v>1547</v>
      </c>
      <c r="C4223" s="3" t="s">
        <v>10</v>
      </c>
      <c r="D4223" s="3" t="s">
        <v>1550</v>
      </c>
      <c r="E4223" s="3" t="s">
        <v>32</v>
      </c>
      <c r="F4223" s="3"/>
      <c r="G4223" s="3" t="s">
        <v>2293</v>
      </c>
      <c r="H4223" s="3"/>
      <c r="I4223" s="3"/>
    </row>
    <row r="4224" spans="1:9" s="5" customFormat="1" x14ac:dyDescent="0.35">
      <c r="A4224" s="3" t="s">
        <v>1185</v>
      </c>
      <c r="B4224" s="3" t="s">
        <v>1547</v>
      </c>
      <c r="C4224" s="3" t="s">
        <v>10</v>
      </c>
      <c r="D4224" s="3" t="s">
        <v>1550</v>
      </c>
      <c r="E4224" s="3" t="s">
        <v>107</v>
      </c>
      <c r="F4224" s="3" t="s">
        <v>16</v>
      </c>
      <c r="G4224" s="3" t="s">
        <v>1477</v>
      </c>
      <c r="H4224" s="3"/>
      <c r="I4224" s="3"/>
    </row>
    <row r="4225" spans="1:9" s="5" customFormat="1" x14ac:dyDescent="0.35">
      <c r="A4225" s="3" t="s">
        <v>1185</v>
      </c>
      <c r="B4225" s="3" t="s">
        <v>1547</v>
      </c>
      <c r="C4225" s="3" t="s">
        <v>39</v>
      </c>
      <c r="D4225" s="3" t="s">
        <v>1552</v>
      </c>
      <c r="E4225" s="3" t="s">
        <v>15</v>
      </c>
      <c r="F4225" s="3" t="s">
        <v>16</v>
      </c>
      <c r="G4225" s="3" t="s">
        <v>1553</v>
      </c>
      <c r="H4225" s="3"/>
      <c r="I4225" s="3"/>
    </row>
    <row r="4226" spans="1:9" s="5" customFormat="1" x14ac:dyDescent="0.35">
      <c r="A4226" s="3" t="s">
        <v>1185</v>
      </c>
      <c r="B4226" s="3" t="s">
        <v>1547</v>
      </c>
      <c r="C4226" s="3" t="s">
        <v>45</v>
      </c>
      <c r="D4226" s="3" t="s">
        <v>1554</v>
      </c>
      <c r="E4226" s="3" t="s">
        <v>23</v>
      </c>
      <c r="F4226" s="3" t="s">
        <v>16</v>
      </c>
      <c r="G4226" s="3" t="s">
        <v>1334</v>
      </c>
      <c r="H4226" s="3"/>
      <c r="I4226" s="3"/>
    </row>
    <row r="4227" spans="1:9" s="5" customFormat="1" x14ac:dyDescent="0.35">
      <c r="A4227" s="3" t="s">
        <v>1185</v>
      </c>
      <c r="B4227" s="3" t="s">
        <v>1547</v>
      </c>
      <c r="C4227" s="3" t="s">
        <v>20</v>
      </c>
      <c r="D4227" s="3" t="s">
        <v>1555</v>
      </c>
      <c r="E4227" s="3" t="s">
        <v>27</v>
      </c>
      <c r="F4227" s="3"/>
      <c r="G4227" s="3"/>
      <c r="H4227" s="3"/>
      <c r="I4227" s="3"/>
    </row>
    <row r="4228" spans="1:9" s="5" customFormat="1" x14ac:dyDescent="0.35">
      <c r="A4228" s="3" t="s">
        <v>1185</v>
      </c>
      <c r="B4228" s="3" t="s">
        <v>1547</v>
      </c>
      <c r="C4228" s="3" t="s">
        <v>20</v>
      </c>
      <c r="D4228" s="3" t="s">
        <v>1555</v>
      </c>
      <c r="E4228" s="3" t="s">
        <v>15</v>
      </c>
      <c r="F4228" s="3" t="s">
        <v>16</v>
      </c>
      <c r="G4228" s="3" t="s">
        <v>1556</v>
      </c>
      <c r="H4228" s="3"/>
      <c r="I4228" s="3"/>
    </row>
    <row r="4229" spans="1:9" s="5" customFormat="1" x14ac:dyDescent="0.35">
      <c r="A4229" s="3" t="s">
        <v>1185</v>
      </c>
      <c r="B4229" s="3" t="s">
        <v>1547</v>
      </c>
      <c r="C4229" s="3" t="s">
        <v>20</v>
      </c>
      <c r="D4229" s="3" t="s">
        <v>1555</v>
      </c>
      <c r="E4229" s="3" t="s">
        <v>56</v>
      </c>
      <c r="F4229" s="3" t="s">
        <v>16</v>
      </c>
      <c r="G4229" s="3" t="s">
        <v>1557</v>
      </c>
      <c r="H4229" s="3"/>
      <c r="I4229" s="3"/>
    </row>
    <row r="4230" spans="1:9" s="5" customFormat="1" x14ac:dyDescent="0.35">
      <c r="A4230" s="3" t="s">
        <v>1185</v>
      </c>
      <c r="B4230" s="3" t="s">
        <v>1547</v>
      </c>
      <c r="C4230" s="3" t="s">
        <v>10</v>
      </c>
      <c r="D4230" s="3" t="s">
        <v>1558</v>
      </c>
      <c r="E4230" s="3" t="s">
        <v>12</v>
      </c>
      <c r="F4230" s="3"/>
      <c r="G4230" s="3"/>
      <c r="H4230" s="3"/>
      <c r="I4230" s="3"/>
    </row>
    <row r="4231" spans="1:9" s="5" customFormat="1" x14ac:dyDescent="0.35">
      <c r="A4231" s="3" t="s">
        <v>1185</v>
      </c>
      <c r="B4231" s="3" t="s">
        <v>1547</v>
      </c>
      <c r="C4231" s="3" t="s">
        <v>10</v>
      </c>
      <c r="D4231" s="3" t="s">
        <v>1558</v>
      </c>
      <c r="E4231" s="3" t="s">
        <v>15</v>
      </c>
      <c r="F4231" s="3" t="s">
        <v>16</v>
      </c>
      <c r="G4231" s="3" t="s">
        <v>1561</v>
      </c>
      <c r="H4231" s="3"/>
      <c r="I4231" s="3"/>
    </row>
    <row r="4232" spans="1:9" s="5" customFormat="1" x14ac:dyDescent="0.35">
      <c r="A4232" s="3" t="s">
        <v>1185</v>
      </c>
      <c r="B4232" s="3" t="s">
        <v>1547</v>
      </c>
      <c r="C4232" s="3" t="s">
        <v>10</v>
      </c>
      <c r="D4232" s="3" t="s">
        <v>1558</v>
      </c>
      <c r="E4232" s="3" t="s">
        <v>56</v>
      </c>
      <c r="F4232" s="3" t="s">
        <v>16</v>
      </c>
      <c r="G4232" s="3" t="s">
        <v>1559</v>
      </c>
      <c r="H4232" s="3"/>
      <c r="I4232" s="3"/>
    </row>
    <row r="4233" spans="1:9" s="5" customFormat="1" x14ac:dyDescent="0.35">
      <c r="A4233" s="3" t="s">
        <v>1185</v>
      </c>
      <c r="B4233" s="3" t="s">
        <v>1547</v>
      </c>
      <c r="C4233" s="3" t="s">
        <v>10</v>
      </c>
      <c r="D4233" s="3" t="s">
        <v>1558</v>
      </c>
      <c r="E4233" s="3" t="s">
        <v>32</v>
      </c>
      <c r="F4233" s="3" t="s">
        <v>16</v>
      </c>
      <c r="G4233" s="3" t="s">
        <v>1560</v>
      </c>
      <c r="H4233" s="3"/>
      <c r="I4233" s="3"/>
    </row>
    <row r="4234" spans="1:9" s="5" customFormat="1" x14ac:dyDescent="0.35">
      <c r="A4234" s="3" t="s">
        <v>1185</v>
      </c>
      <c r="B4234" s="3" t="s">
        <v>1547</v>
      </c>
      <c r="C4234" s="3" t="s">
        <v>10</v>
      </c>
      <c r="D4234" s="3" t="s">
        <v>1558</v>
      </c>
      <c r="E4234" s="3" t="s">
        <v>107</v>
      </c>
      <c r="F4234" s="3" t="s">
        <v>16</v>
      </c>
      <c r="G4234" s="3" t="s">
        <v>1321</v>
      </c>
      <c r="H4234" s="3"/>
      <c r="I4234" s="3"/>
    </row>
    <row r="4235" spans="1:9" s="5" customFormat="1" x14ac:dyDescent="0.35">
      <c r="A4235" s="3" t="s">
        <v>1185</v>
      </c>
      <c r="B4235" s="3" t="s">
        <v>1547</v>
      </c>
      <c r="C4235" s="3" t="s">
        <v>10</v>
      </c>
      <c r="D4235" s="3" t="s">
        <v>1562</v>
      </c>
      <c r="E4235" s="3" t="s">
        <v>12</v>
      </c>
      <c r="F4235" s="3"/>
      <c r="G4235" s="3"/>
      <c r="H4235" s="3"/>
      <c r="I4235" s="3"/>
    </row>
    <row r="4236" spans="1:9" s="5" customFormat="1" x14ac:dyDescent="0.35">
      <c r="A4236" s="3" t="s">
        <v>1185</v>
      </c>
      <c r="B4236" s="3" t="s">
        <v>1547</v>
      </c>
      <c r="C4236" s="3" t="s">
        <v>10</v>
      </c>
      <c r="D4236" s="3" t="s">
        <v>1562</v>
      </c>
      <c r="E4236" s="3" t="s">
        <v>87</v>
      </c>
      <c r="F4236" s="3"/>
      <c r="G4236" s="3"/>
      <c r="H4236" s="3"/>
      <c r="I4236" s="3"/>
    </row>
    <row r="4237" spans="1:9" s="5" customFormat="1" x14ac:dyDescent="0.35">
      <c r="A4237" s="3" t="s">
        <v>1185</v>
      </c>
      <c r="B4237" s="3" t="s">
        <v>1547</v>
      </c>
      <c r="C4237" s="3" t="s">
        <v>10</v>
      </c>
      <c r="D4237" s="3" t="s">
        <v>1562</v>
      </c>
      <c r="E4237" s="3" t="s">
        <v>15</v>
      </c>
      <c r="F4237" s="3" t="s">
        <v>16</v>
      </c>
      <c r="G4237" s="3" t="s">
        <v>1563</v>
      </c>
      <c r="H4237" s="3"/>
      <c r="I4237" s="3"/>
    </row>
    <row r="4238" spans="1:9" s="5" customFormat="1" x14ac:dyDescent="0.35">
      <c r="A4238" s="3" t="s">
        <v>1185</v>
      </c>
      <c r="B4238" s="3" t="s">
        <v>1547</v>
      </c>
      <c r="C4238" s="3" t="s">
        <v>10</v>
      </c>
      <c r="D4238" s="3" t="s">
        <v>1562</v>
      </c>
      <c r="E4238" s="3" t="s">
        <v>29</v>
      </c>
      <c r="F4238" s="3"/>
      <c r="G4238" s="3" t="s">
        <v>2315</v>
      </c>
      <c r="H4238" s="3"/>
      <c r="I4238" s="3"/>
    </row>
    <row r="4239" spans="1:9" s="5" customFormat="1" x14ac:dyDescent="0.35">
      <c r="A4239" s="3" t="s">
        <v>1185</v>
      </c>
      <c r="B4239" s="3" t="s">
        <v>1547</v>
      </c>
      <c r="C4239" s="3" t="s">
        <v>10</v>
      </c>
      <c r="D4239" s="3" t="s">
        <v>1564</v>
      </c>
      <c r="E4239" s="3" t="s">
        <v>87</v>
      </c>
      <c r="F4239" s="3"/>
      <c r="G4239" s="3"/>
      <c r="H4239" s="3"/>
      <c r="I4239" s="3"/>
    </row>
    <row r="4240" spans="1:9" s="5" customFormat="1" x14ac:dyDescent="0.35">
      <c r="A4240" s="3" t="s">
        <v>1185</v>
      </c>
      <c r="B4240" s="3" t="s">
        <v>1547</v>
      </c>
      <c r="C4240" s="3" t="s">
        <v>10</v>
      </c>
      <c r="D4240" s="3" t="s">
        <v>1564</v>
      </c>
      <c r="E4240" s="3" t="s">
        <v>15</v>
      </c>
      <c r="F4240" s="3"/>
      <c r="G4240" s="3"/>
      <c r="H4240" s="3"/>
      <c r="I4240" s="3"/>
    </row>
    <row r="4241" spans="1:9" s="5" customFormat="1" x14ac:dyDescent="0.35">
      <c r="A4241" s="3" t="s">
        <v>1185</v>
      </c>
      <c r="B4241" s="3" t="s">
        <v>1547</v>
      </c>
      <c r="C4241" s="3" t="s">
        <v>10</v>
      </c>
      <c r="D4241" s="3" t="s">
        <v>1564</v>
      </c>
      <c r="E4241" s="3" t="s">
        <v>32</v>
      </c>
      <c r="F4241" s="3"/>
      <c r="G4241" s="3"/>
      <c r="H4241" s="3"/>
      <c r="I4241" s="3"/>
    </row>
    <row r="4242" spans="1:9" s="5" customFormat="1" x14ac:dyDescent="0.35">
      <c r="A4242" s="3" t="s">
        <v>1185</v>
      </c>
      <c r="B4242" s="3" t="s">
        <v>1547</v>
      </c>
      <c r="C4242" s="3" t="s">
        <v>39</v>
      </c>
      <c r="D4242" s="3" t="s">
        <v>1565</v>
      </c>
      <c r="E4242" s="3" t="s">
        <v>47</v>
      </c>
      <c r="F4242" s="3"/>
      <c r="G4242" s="3"/>
      <c r="H4242" s="3"/>
      <c r="I4242" s="3"/>
    </row>
    <row r="4243" spans="1:9" s="5" customFormat="1" x14ac:dyDescent="0.35">
      <c r="A4243" s="3" t="s">
        <v>1185</v>
      </c>
      <c r="B4243" s="3" t="s">
        <v>1547</v>
      </c>
      <c r="C4243" s="3" t="s">
        <v>39</v>
      </c>
      <c r="D4243" s="3" t="s">
        <v>1565</v>
      </c>
      <c r="E4243" s="3" t="s">
        <v>25</v>
      </c>
      <c r="F4243" s="3"/>
      <c r="G4243" s="3"/>
      <c r="H4243" s="3"/>
      <c r="I4243" s="3"/>
    </row>
    <row r="4244" spans="1:9" s="5" customFormat="1" x14ac:dyDescent="0.35">
      <c r="A4244" s="3" t="s">
        <v>1185</v>
      </c>
      <c r="B4244" s="3" t="s">
        <v>1547</v>
      </c>
      <c r="C4244" s="3" t="s">
        <v>39</v>
      </c>
      <c r="D4244" s="3" t="s">
        <v>1565</v>
      </c>
      <c r="E4244" s="3" t="s">
        <v>15</v>
      </c>
      <c r="F4244" s="3" t="s">
        <v>16</v>
      </c>
      <c r="G4244" s="3" t="s">
        <v>1567</v>
      </c>
      <c r="H4244" s="3"/>
      <c r="I4244" s="3"/>
    </row>
    <row r="4245" spans="1:9" s="5" customFormat="1" x14ac:dyDescent="0.35">
      <c r="A4245" s="3" t="s">
        <v>1185</v>
      </c>
      <c r="B4245" s="3" t="s">
        <v>1547</v>
      </c>
      <c r="C4245" s="3" t="s">
        <v>39</v>
      </c>
      <c r="D4245" s="3" t="s">
        <v>1565</v>
      </c>
      <c r="E4245" s="3" t="s">
        <v>32</v>
      </c>
      <c r="F4245" s="3" t="s">
        <v>16</v>
      </c>
      <c r="G4245" s="3" t="s">
        <v>1566</v>
      </c>
      <c r="H4245" s="3"/>
      <c r="I4245" s="3"/>
    </row>
    <row r="4246" spans="1:9" s="5" customFormat="1" x14ac:dyDescent="0.35">
      <c r="A4246" s="3" t="s">
        <v>1185</v>
      </c>
      <c r="B4246" s="3" t="s">
        <v>1547</v>
      </c>
      <c r="C4246" s="3" t="s">
        <v>39</v>
      </c>
      <c r="D4246" s="3" t="s">
        <v>1565</v>
      </c>
      <c r="E4246" s="3" t="s">
        <v>134</v>
      </c>
      <c r="F4246" s="3"/>
      <c r="G4246" s="3"/>
      <c r="H4246" s="3"/>
      <c r="I4246" s="3"/>
    </row>
    <row r="4247" spans="1:9" s="5" customFormat="1" x14ac:dyDescent="0.35">
      <c r="A4247" s="3" t="s">
        <v>1185</v>
      </c>
      <c r="B4247" s="3" t="s">
        <v>1547</v>
      </c>
      <c r="C4247" s="3" t="s">
        <v>39</v>
      </c>
      <c r="D4247" s="3" t="s">
        <v>1565</v>
      </c>
      <c r="E4247" s="3" t="s">
        <v>107</v>
      </c>
      <c r="F4247" s="3" t="s">
        <v>16</v>
      </c>
      <c r="G4247" s="3" t="s">
        <v>1568</v>
      </c>
      <c r="H4247" s="3"/>
      <c r="I4247" s="3"/>
    </row>
    <row r="4248" spans="1:9" s="5" customFormat="1" x14ac:dyDescent="0.35">
      <c r="A4248" s="3" t="s">
        <v>1185</v>
      </c>
      <c r="B4248" s="3" t="s">
        <v>1547</v>
      </c>
      <c r="C4248" s="3" t="s">
        <v>20</v>
      </c>
      <c r="D4248" s="3" t="s">
        <v>1569</v>
      </c>
      <c r="E4248" s="3" t="s">
        <v>12</v>
      </c>
      <c r="F4248" s="3"/>
      <c r="G4248" s="3"/>
      <c r="H4248" s="3"/>
      <c r="I4248" s="3"/>
    </row>
    <row r="4249" spans="1:9" s="5" customFormat="1" x14ac:dyDescent="0.35">
      <c r="A4249" s="3" t="s">
        <v>1185</v>
      </c>
      <c r="B4249" s="3" t="s">
        <v>1547</v>
      </c>
      <c r="C4249" s="3" t="s">
        <v>20</v>
      </c>
      <c r="D4249" s="3" t="s">
        <v>1569</v>
      </c>
      <c r="E4249" s="3" t="s">
        <v>23</v>
      </c>
      <c r="F4249" s="3"/>
      <c r="G4249" s="3"/>
      <c r="H4249" s="3"/>
      <c r="I4249" s="3"/>
    </row>
    <row r="4250" spans="1:9" s="5" customFormat="1" x14ac:dyDescent="0.35">
      <c r="A4250" s="3" t="s">
        <v>1185</v>
      </c>
      <c r="B4250" s="3" t="s">
        <v>1547</v>
      </c>
      <c r="C4250" s="3" t="s">
        <v>20</v>
      </c>
      <c r="D4250" s="3" t="s">
        <v>1569</v>
      </c>
      <c r="E4250" s="3" t="s">
        <v>47</v>
      </c>
      <c r="F4250" s="3"/>
      <c r="G4250" s="3"/>
      <c r="H4250" s="3"/>
      <c r="I4250" s="3"/>
    </row>
    <row r="4251" spans="1:9" s="5" customFormat="1" x14ac:dyDescent="0.35">
      <c r="A4251" s="3" t="s">
        <v>1185</v>
      </c>
      <c r="B4251" s="3" t="s">
        <v>1547</v>
      </c>
      <c r="C4251" s="3" t="s">
        <v>20</v>
      </c>
      <c r="D4251" s="3" t="s">
        <v>1569</v>
      </c>
      <c r="E4251" s="3" t="s">
        <v>25</v>
      </c>
      <c r="F4251" s="3"/>
      <c r="G4251" s="3"/>
      <c r="H4251" s="3"/>
      <c r="I4251" s="3"/>
    </row>
    <row r="4252" spans="1:9" s="5" customFormat="1" x14ac:dyDescent="0.35">
      <c r="A4252" s="3" t="s">
        <v>1185</v>
      </c>
      <c r="B4252" s="3" t="s">
        <v>1547</v>
      </c>
      <c r="C4252" s="3" t="s">
        <v>20</v>
      </c>
      <c r="D4252" s="3" t="s">
        <v>1569</v>
      </c>
      <c r="E4252" s="3" t="s">
        <v>60</v>
      </c>
      <c r="F4252" s="3"/>
      <c r="G4252" s="3"/>
      <c r="H4252" s="3"/>
      <c r="I4252" s="3"/>
    </row>
    <row r="4253" spans="1:9" s="5" customFormat="1" x14ac:dyDescent="0.35">
      <c r="A4253" s="3" t="s">
        <v>1185</v>
      </c>
      <c r="B4253" s="3" t="s">
        <v>1547</v>
      </c>
      <c r="C4253" s="3" t="s">
        <v>20</v>
      </c>
      <c r="D4253" s="3" t="s">
        <v>1569</v>
      </c>
      <c r="E4253" s="3" t="s">
        <v>141</v>
      </c>
      <c r="F4253" s="3"/>
      <c r="G4253" s="3" t="s">
        <v>2696</v>
      </c>
      <c r="H4253" s="3"/>
      <c r="I4253" s="3"/>
    </row>
    <row r="4254" spans="1:9" s="5" customFormat="1" x14ac:dyDescent="0.35">
      <c r="A4254" s="3" t="s">
        <v>1185</v>
      </c>
      <c r="B4254" s="3" t="s">
        <v>1547</v>
      </c>
      <c r="C4254" s="3" t="s">
        <v>20</v>
      </c>
      <c r="D4254" s="3" t="s">
        <v>1569</v>
      </c>
      <c r="E4254" s="3" t="s">
        <v>27</v>
      </c>
      <c r="F4254" s="3"/>
      <c r="G4254" s="3"/>
      <c r="H4254" s="3"/>
      <c r="I4254" s="3"/>
    </row>
    <row r="4255" spans="1:9" s="5" customFormat="1" x14ac:dyDescent="0.35">
      <c r="A4255" s="3" t="s">
        <v>1185</v>
      </c>
      <c r="B4255" s="3" t="s">
        <v>1547</v>
      </c>
      <c r="C4255" s="3" t="s">
        <v>20</v>
      </c>
      <c r="D4255" s="3" t="s">
        <v>1569</v>
      </c>
      <c r="E4255" s="3" t="s">
        <v>71</v>
      </c>
      <c r="F4255" s="3"/>
      <c r="G4255" s="3"/>
      <c r="H4255" s="3"/>
      <c r="I4255" s="3"/>
    </row>
    <row r="4256" spans="1:9" s="5" customFormat="1" x14ac:dyDescent="0.35">
      <c r="A4256" s="3" t="s">
        <v>1185</v>
      </c>
      <c r="B4256" s="3" t="s">
        <v>1547</v>
      </c>
      <c r="C4256" s="3" t="s">
        <v>20</v>
      </c>
      <c r="D4256" s="3" t="s">
        <v>1569</v>
      </c>
      <c r="E4256" s="3" t="s">
        <v>142</v>
      </c>
      <c r="F4256" s="3"/>
      <c r="G4256" s="3"/>
      <c r="H4256" s="3"/>
      <c r="I4256" s="3"/>
    </row>
    <row r="4257" spans="1:9" s="5" customFormat="1" x14ac:dyDescent="0.35">
      <c r="A4257" s="3" t="s">
        <v>1185</v>
      </c>
      <c r="B4257" s="3" t="s">
        <v>1547</v>
      </c>
      <c r="C4257" s="3" t="s">
        <v>20</v>
      </c>
      <c r="D4257" s="3" t="s">
        <v>1569</v>
      </c>
      <c r="E4257" s="3" t="s">
        <v>1021</v>
      </c>
      <c r="F4257" s="3"/>
      <c r="G4257" s="3" t="s">
        <v>2697</v>
      </c>
      <c r="H4257" s="3"/>
      <c r="I4257" s="3"/>
    </row>
    <row r="4258" spans="1:9" s="5" customFormat="1" x14ac:dyDescent="0.35">
      <c r="A4258" s="3" t="s">
        <v>1185</v>
      </c>
      <c r="B4258" s="3" t="s">
        <v>1547</v>
      </c>
      <c r="C4258" s="3" t="s">
        <v>20</v>
      </c>
      <c r="D4258" s="3" t="s">
        <v>1569</v>
      </c>
      <c r="E4258" s="3" t="s">
        <v>87</v>
      </c>
      <c r="F4258" s="3"/>
      <c r="G4258" s="3" t="s">
        <v>2404</v>
      </c>
      <c r="H4258" s="3"/>
      <c r="I4258" s="3"/>
    </row>
    <row r="4259" spans="1:9" s="5" customFormat="1" x14ac:dyDescent="0.35">
      <c r="A4259" s="3" t="s">
        <v>1185</v>
      </c>
      <c r="B4259" s="3" t="s">
        <v>1547</v>
      </c>
      <c r="C4259" s="3" t="s">
        <v>20</v>
      </c>
      <c r="D4259" s="3" t="s">
        <v>1569</v>
      </c>
      <c r="E4259" s="3" t="s">
        <v>242</v>
      </c>
      <c r="F4259" s="3"/>
      <c r="G4259" s="3" t="s">
        <v>2445</v>
      </c>
      <c r="H4259" s="3"/>
      <c r="I4259" s="3"/>
    </row>
    <row r="4260" spans="1:9" s="5" customFormat="1" x14ac:dyDescent="0.35">
      <c r="A4260" s="3" t="s">
        <v>1185</v>
      </c>
      <c r="B4260" s="3" t="s">
        <v>1547</v>
      </c>
      <c r="C4260" s="3" t="s">
        <v>20</v>
      </c>
      <c r="D4260" s="3" t="s">
        <v>1569</v>
      </c>
      <c r="E4260" s="3" t="s">
        <v>15</v>
      </c>
      <c r="F4260" s="3" t="s">
        <v>16</v>
      </c>
      <c r="G4260" s="3" t="s">
        <v>1570</v>
      </c>
      <c r="H4260" s="3"/>
      <c r="I4260" s="3"/>
    </row>
    <row r="4261" spans="1:9" s="5" customFormat="1" x14ac:dyDescent="0.35">
      <c r="A4261" s="3" t="s">
        <v>1185</v>
      </c>
      <c r="B4261" s="3" t="s">
        <v>1547</v>
      </c>
      <c r="C4261" s="3" t="s">
        <v>20</v>
      </c>
      <c r="D4261" s="3" t="s">
        <v>1569</v>
      </c>
      <c r="E4261" s="3" t="s">
        <v>57</v>
      </c>
      <c r="F4261" s="3"/>
      <c r="G4261" s="3" t="s">
        <v>2311</v>
      </c>
      <c r="H4261" s="3"/>
      <c r="I4261" s="3"/>
    </row>
    <row r="4262" spans="1:9" s="5" customFormat="1" x14ac:dyDescent="0.35">
      <c r="A4262" s="3" t="s">
        <v>1185</v>
      </c>
      <c r="B4262" s="3" t="s">
        <v>1547</v>
      </c>
      <c r="C4262" s="3" t="s">
        <v>20</v>
      </c>
      <c r="D4262" s="3" t="s">
        <v>1569</v>
      </c>
      <c r="E4262" s="3" t="s">
        <v>56</v>
      </c>
      <c r="F4262" s="3"/>
      <c r="G4262" s="3"/>
      <c r="H4262" s="3"/>
      <c r="I4262" s="3"/>
    </row>
    <row r="4263" spans="1:9" s="5" customFormat="1" x14ac:dyDescent="0.35">
      <c r="A4263" s="3" t="s">
        <v>1185</v>
      </c>
      <c r="B4263" s="3" t="s">
        <v>1547</v>
      </c>
      <c r="C4263" s="3" t="s">
        <v>20</v>
      </c>
      <c r="D4263" s="3" t="s">
        <v>1569</v>
      </c>
      <c r="E4263" s="3" t="s">
        <v>32</v>
      </c>
      <c r="F4263" s="3"/>
      <c r="G4263" s="3"/>
      <c r="H4263" s="3"/>
      <c r="I4263" s="3"/>
    </row>
    <row r="4264" spans="1:9" s="5" customFormat="1" x14ac:dyDescent="0.35">
      <c r="A4264" s="3" t="s">
        <v>1185</v>
      </c>
      <c r="B4264" s="3" t="s">
        <v>1547</v>
      </c>
      <c r="C4264" s="3" t="s">
        <v>20</v>
      </c>
      <c r="D4264" s="3" t="s">
        <v>1569</v>
      </c>
      <c r="E4264" s="3" t="s">
        <v>29</v>
      </c>
      <c r="F4264" s="3" t="s">
        <v>16</v>
      </c>
      <c r="G4264" s="3" t="s">
        <v>2698</v>
      </c>
      <c r="H4264" s="3"/>
      <c r="I4264" s="3"/>
    </row>
    <row r="4265" spans="1:9" s="5" customFormat="1" x14ac:dyDescent="0.35">
      <c r="A4265" s="3" t="s">
        <v>1185</v>
      </c>
      <c r="B4265" s="3" t="s">
        <v>1547</v>
      </c>
      <c r="C4265" s="3" t="s">
        <v>20</v>
      </c>
      <c r="D4265" s="3" t="s">
        <v>1569</v>
      </c>
      <c r="E4265" s="3" t="s">
        <v>24</v>
      </c>
      <c r="F4265" s="3"/>
      <c r="G4265" s="3"/>
      <c r="H4265" s="3"/>
      <c r="I4265" s="3"/>
    </row>
    <row r="4266" spans="1:9" s="5" customFormat="1" x14ac:dyDescent="0.35">
      <c r="A4266" s="3" t="s">
        <v>1185</v>
      </c>
      <c r="B4266" s="3" t="s">
        <v>1547</v>
      </c>
      <c r="C4266" s="3" t="s">
        <v>20</v>
      </c>
      <c r="D4266" s="3" t="s">
        <v>1569</v>
      </c>
      <c r="E4266" s="3" t="s">
        <v>107</v>
      </c>
      <c r="F4266" s="3"/>
      <c r="G4266" s="3"/>
      <c r="H4266" s="3"/>
      <c r="I4266" s="3"/>
    </row>
    <row r="4267" spans="1:9" s="5" customFormat="1" x14ac:dyDescent="0.35">
      <c r="A4267" s="3" t="s">
        <v>1185</v>
      </c>
      <c r="B4267" s="3" t="s">
        <v>1547</v>
      </c>
      <c r="C4267" s="3" t="s">
        <v>20</v>
      </c>
      <c r="D4267" s="3" t="s">
        <v>1571</v>
      </c>
      <c r="E4267" s="3" t="s">
        <v>60</v>
      </c>
      <c r="F4267" s="3"/>
      <c r="G4267" s="3"/>
      <c r="H4267" s="3"/>
      <c r="I4267" s="3"/>
    </row>
    <row r="4268" spans="1:9" s="5" customFormat="1" x14ac:dyDescent="0.35">
      <c r="A4268" s="3" t="s">
        <v>1185</v>
      </c>
      <c r="B4268" s="3" t="s">
        <v>1547</v>
      </c>
      <c r="C4268" s="3" t="s">
        <v>20</v>
      </c>
      <c r="D4268" s="3" t="s">
        <v>1571</v>
      </c>
      <c r="E4268" s="3" t="s">
        <v>141</v>
      </c>
      <c r="F4268" s="3"/>
      <c r="G4268" s="3" t="s">
        <v>2336</v>
      </c>
      <c r="H4268" s="3"/>
      <c r="I4268" s="3"/>
    </row>
    <row r="4269" spans="1:9" s="5" customFormat="1" x14ac:dyDescent="0.35">
      <c r="A4269" s="3" t="s">
        <v>1185</v>
      </c>
      <c r="B4269" s="3" t="s">
        <v>1547</v>
      </c>
      <c r="C4269" s="3" t="s">
        <v>20</v>
      </c>
      <c r="D4269" s="3" t="s">
        <v>1571</v>
      </c>
      <c r="E4269" s="3" t="s">
        <v>27</v>
      </c>
      <c r="F4269" s="3"/>
      <c r="G4269" s="3"/>
      <c r="H4269" s="3"/>
      <c r="I4269" s="3"/>
    </row>
    <row r="4270" spans="1:9" s="5" customFormat="1" x14ac:dyDescent="0.35">
      <c r="A4270" s="3" t="s">
        <v>1185</v>
      </c>
      <c r="B4270" s="3" t="s">
        <v>1547</v>
      </c>
      <c r="C4270" s="3" t="s">
        <v>20</v>
      </c>
      <c r="D4270" s="3" t="s">
        <v>1571</v>
      </c>
      <c r="E4270" s="3" t="s">
        <v>87</v>
      </c>
      <c r="F4270" s="3"/>
      <c r="G4270" s="3"/>
      <c r="H4270" s="3"/>
      <c r="I4270" s="3"/>
    </row>
    <row r="4271" spans="1:9" s="5" customFormat="1" x14ac:dyDescent="0.35">
      <c r="A4271" s="3" t="s">
        <v>1185</v>
      </c>
      <c r="B4271" s="3" t="s">
        <v>1547</v>
      </c>
      <c r="C4271" s="3" t="s">
        <v>20</v>
      </c>
      <c r="D4271" s="3" t="s">
        <v>1571</v>
      </c>
      <c r="E4271" s="3" t="s">
        <v>15</v>
      </c>
      <c r="F4271" s="3" t="s">
        <v>16</v>
      </c>
      <c r="G4271" s="3" t="s">
        <v>1572</v>
      </c>
      <c r="H4271" s="3"/>
      <c r="I4271" s="3"/>
    </row>
    <row r="4272" spans="1:9" s="5" customFormat="1" x14ac:dyDescent="0.35">
      <c r="A4272" s="3" t="s">
        <v>1185</v>
      </c>
      <c r="B4272" s="3" t="s">
        <v>1547</v>
      </c>
      <c r="C4272" s="3" t="s">
        <v>20</v>
      </c>
      <c r="D4272" s="3" t="s">
        <v>2605</v>
      </c>
      <c r="E4272" s="3" t="s">
        <v>25</v>
      </c>
      <c r="F4272" s="3"/>
      <c r="G4272" s="3"/>
      <c r="H4272" s="3"/>
      <c r="I4272" s="3"/>
    </row>
    <row r="4273" spans="1:9" s="5" customFormat="1" x14ac:dyDescent="0.35">
      <c r="A4273" s="3" t="s">
        <v>1185</v>
      </c>
      <c r="B4273" s="3" t="s">
        <v>1547</v>
      </c>
      <c r="C4273" s="3" t="s">
        <v>20</v>
      </c>
      <c r="D4273" s="3" t="s">
        <v>2605</v>
      </c>
      <c r="E4273" s="3" t="s">
        <v>142</v>
      </c>
      <c r="F4273" s="3"/>
      <c r="G4273" s="3"/>
      <c r="H4273" s="3"/>
      <c r="I4273" s="3"/>
    </row>
    <row r="4274" spans="1:9" s="5" customFormat="1" x14ac:dyDescent="0.35">
      <c r="A4274" s="3" t="s">
        <v>1185</v>
      </c>
      <c r="B4274" s="3" t="s">
        <v>1547</v>
      </c>
      <c r="C4274" s="3" t="s">
        <v>20</v>
      </c>
      <c r="D4274" s="3" t="s">
        <v>2605</v>
      </c>
      <c r="E4274" s="3" t="s">
        <v>15</v>
      </c>
      <c r="F4274" s="3"/>
      <c r="G4274" s="3"/>
      <c r="H4274" s="3"/>
      <c r="I4274" s="3"/>
    </row>
    <row r="4275" spans="1:9" s="5" customFormat="1" x14ac:dyDescent="0.35">
      <c r="A4275" s="3" t="s">
        <v>1185</v>
      </c>
      <c r="B4275" s="3" t="s">
        <v>1547</v>
      </c>
      <c r="C4275" s="3" t="s">
        <v>20</v>
      </c>
      <c r="D4275" s="3" t="s">
        <v>2605</v>
      </c>
      <c r="E4275" s="3" t="s">
        <v>57</v>
      </c>
      <c r="F4275" s="3"/>
      <c r="G4275" s="3"/>
      <c r="H4275" s="3"/>
      <c r="I4275" s="3"/>
    </row>
    <row r="4276" spans="1:9" s="5" customFormat="1" x14ac:dyDescent="0.35">
      <c r="A4276" s="3" t="s">
        <v>1185</v>
      </c>
      <c r="B4276" s="3" t="s">
        <v>1547</v>
      </c>
      <c r="C4276" s="3" t="s">
        <v>20</v>
      </c>
      <c r="D4276" s="3" t="s">
        <v>2605</v>
      </c>
      <c r="E4276" s="3" t="s">
        <v>29</v>
      </c>
      <c r="F4276" s="3"/>
      <c r="G4276" s="3" t="s">
        <v>2860</v>
      </c>
      <c r="H4276" s="3"/>
      <c r="I4276" s="3"/>
    </row>
    <row r="4277" spans="1:9" s="5" customFormat="1" x14ac:dyDescent="0.35">
      <c r="A4277" s="3" t="s">
        <v>1185</v>
      </c>
      <c r="B4277" s="3" t="s">
        <v>1547</v>
      </c>
      <c r="C4277" s="3" t="s">
        <v>20</v>
      </c>
      <c r="D4277" s="3" t="s">
        <v>1573</v>
      </c>
      <c r="E4277" s="3" t="s">
        <v>12</v>
      </c>
      <c r="F4277" s="3"/>
      <c r="G4277" s="3"/>
      <c r="H4277" s="3"/>
      <c r="I4277" s="3"/>
    </row>
    <row r="4278" spans="1:9" s="5" customFormat="1" x14ac:dyDescent="0.35">
      <c r="A4278" s="3" t="s">
        <v>1185</v>
      </c>
      <c r="B4278" s="3" t="s">
        <v>1547</v>
      </c>
      <c r="C4278" s="3" t="s">
        <v>20</v>
      </c>
      <c r="D4278" s="3" t="s">
        <v>1573</v>
      </c>
      <c r="E4278" s="3" t="s">
        <v>71</v>
      </c>
      <c r="F4278" s="3"/>
      <c r="G4278" s="3"/>
      <c r="H4278" s="3"/>
      <c r="I4278" s="3"/>
    </row>
    <row r="4279" spans="1:9" s="5" customFormat="1" x14ac:dyDescent="0.35">
      <c r="A4279" s="3" t="s">
        <v>1185</v>
      </c>
      <c r="B4279" s="3" t="s">
        <v>1547</v>
      </c>
      <c r="C4279" s="3" t="s">
        <v>20</v>
      </c>
      <c r="D4279" s="3" t="s">
        <v>1573</v>
      </c>
      <c r="E4279" s="3" t="s">
        <v>15</v>
      </c>
      <c r="F4279" s="3" t="s">
        <v>16</v>
      </c>
      <c r="G4279" s="3" t="s">
        <v>1474</v>
      </c>
      <c r="H4279" s="3"/>
      <c r="I4279" s="3"/>
    </row>
    <row r="4280" spans="1:9" s="5" customFormat="1" x14ac:dyDescent="0.35">
      <c r="A4280" s="3" t="s">
        <v>1185</v>
      </c>
      <c r="B4280" s="3" t="s">
        <v>1547</v>
      </c>
      <c r="C4280" s="3" t="s">
        <v>20</v>
      </c>
      <c r="D4280" s="3" t="s">
        <v>1573</v>
      </c>
      <c r="E4280" s="3" t="s">
        <v>32</v>
      </c>
      <c r="F4280" s="3" t="s">
        <v>16</v>
      </c>
      <c r="G4280" s="3" t="s">
        <v>1474</v>
      </c>
      <c r="H4280" s="3"/>
      <c r="I4280" s="3"/>
    </row>
    <row r="4281" spans="1:9" s="5" customFormat="1" x14ac:dyDescent="0.35">
      <c r="A4281" s="3" t="s">
        <v>1185</v>
      </c>
      <c r="B4281" s="3" t="s">
        <v>1547</v>
      </c>
      <c r="C4281" s="3" t="s">
        <v>20</v>
      </c>
      <c r="D4281" s="3" t="s">
        <v>1573</v>
      </c>
      <c r="E4281" s="3" t="s">
        <v>24</v>
      </c>
      <c r="F4281" s="3"/>
      <c r="G4281" s="3"/>
      <c r="H4281" s="3"/>
      <c r="I4281" s="3"/>
    </row>
    <row r="4282" spans="1:9" s="5" customFormat="1" x14ac:dyDescent="0.35">
      <c r="A4282" s="3" t="s">
        <v>1185</v>
      </c>
      <c r="B4282" s="3" t="s">
        <v>1547</v>
      </c>
      <c r="C4282" s="3" t="s">
        <v>45</v>
      </c>
      <c r="D4282" s="3" t="s">
        <v>1574</v>
      </c>
      <c r="E4282" s="3" t="s">
        <v>47</v>
      </c>
      <c r="F4282" s="3"/>
      <c r="G4282" s="3"/>
      <c r="H4282" s="3"/>
      <c r="I4282" s="3"/>
    </row>
    <row r="4283" spans="1:9" s="5" customFormat="1" x14ac:dyDescent="0.35">
      <c r="A4283" s="3" t="s">
        <v>1185</v>
      </c>
      <c r="B4283" s="3" t="s">
        <v>1547</v>
      </c>
      <c r="C4283" s="3" t="s">
        <v>45</v>
      </c>
      <c r="D4283" s="3" t="s">
        <v>1574</v>
      </c>
      <c r="E4283" s="3" t="s">
        <v>25</v>
      </c>
      <c r="F4283" s="3"/>
      <c r="G4283" s="11"/>
      <c r="H4283" s="3"/>
      <c r="I4283" s="3"/>
    </row>
    <row r="4284" spans="1:9" s="5" customFormat="1" x14ac:dyDescent="0.35">
      <c r="A4284" s="3" t="s">
        <v>1185</v>
      </c>
      <c r="B4284" s="3" t="s">
        <v>1547</v>
      </c>
      <c r="C4284" s="3" t="s">
        <v>45</v>
      </c>
      <c r="D4284" s="3" t="s">
        <v>1574</v>
      </c>
      <c r="E4284" s="3" t="s">
        <v>60</v>
      </c>
      <c r="F4284" s="3"/>
      <c r="G4284" s="3"/>
      <c r="H4284" s="3"/>
      <c r="I4284" s="3"/>
    </row>
    <row r="4285" spans="1:9" s="5" customFormat="1" x14ac:dyDescent="0.35">
      <c r="A4285" s="3" t="s">
        <v>1185</v>
      </c>
      <c r="B4285" s="3" t="s">
        <v>1547</v>
      </c>
      <c r="C4285" s="3" t="s">
        <v>45</v>
      </c>
      <c r="D4285" s="3" t="s">
        <v>1574</v>
      </c>
      <c r="E4285" s="3" t="s">
        <v>77</v>
      </c>
      <c r="F4285" s="3"/>
      <c r="G4285" s="3"/>
      <c r="H4285" s="3"/>
      <c r="I4285" s="3"/>
    </row>
    <row r="4286" spans="1:9" s="5" customFormat="1" x14ac:dyDescent="0.35">
      <c r="A4286" s="3" t="s">
        <v>1185</v>
      </c>
      <c r="B4286" s="3" t="s">
        <v>1547</v>
      </c>
      <c r="C4286" s="3" t="s">
        <v>45</v>
      </c>
      <c r="D4286" s="3" t="s">
        <v>1574</v>
      </c>
      <c r="E4286" s="3" t="s">
        <v>28</v>
      </c>
      <c r="F4286" s="3"/>
      <c r="G4286" s="3" t="s">
        <v>2718</v>
      </c>
      <c r="H4286" s="3"/>
      <c r="I4286" s="3"/>
    </row>
    <row r="4287" spans="1:9" s="5" customFormat="1" x14ac:dyDescent="0.35">
      <c r="A4287" s="3" t="s">
        <v>1185</v>
      </c>
      <c r="B4287" s="3" t="s">
        <v>1547</v>
      </c>
      <c r="C4287" s="3" t="s">
        <v>45</v>
      </c>
      <c r="D4287" s="3" t="s">
        <v>1574</v>
      </c>
      <c r="E4287" s="3" t="s">
        <v>242</v>
      </c>
      <c r="F4287" s="3"/>
      <c r="G4287" s="3" t="s">
        <v>2720</v>
      </c>
      <c r="H4287" s="3"/>
      <c r="I4287" s="3"/>
    </row>
    <row r="4288" spans="1:9" s="5" customFormat="1" x14ac:dyDescent="0.35">
      <c r="A4288" s="3" t="s">
        <v>1185</v>
      </c>
      <c r="B4288" s="3" t="s">
        <v>1547</v>
      </c>
      <c r="C4288" s="3" t="s">
        <v>45</v>
      </c>
      <c r="D4288" s="3" t="s">
        <v>1574</v>
      </c>
      <c r="E4288" s="3" t="s">
        <v>15</v>
      </c>
      <c r="F4288" s="3"/>
      <c r="G4288" s="3"/>
      <c r="H4288" s="3"/>
      <c r="I4288" s="3"/>
    </row>
    <row r="4289" spans="1:9" s="5" customFormat="1" x14ac:dyDescent="0.35">
      <c r="A4289" s="3" t="s">
        <v>1185</v>
      </c>
      <c r="B4289" s="3" t="s">
        <v>1547</v>
      </c>
      <c r="C4289" s="3" t="s">
        <v>45</v>
      </c>
      <c r="D4289" s="3" t="s">
        <v>1574</v>
      </c>
      <c r="E4289" s="3" t="s">
        <v>56</v>
      </c>
      <c r="F4289" s="3"/>
      <c r="G4289" s="3" t="s">
        <v>2476</v>
      </c>
      <c r="H4289" s="3"/>
      <c r="I4289" s="3"/>
    </row>
    <row r="4290" spans="1:9" s="5" customFormat="1" x14ac:dyDescent="0.35">
      <c r="A4290" s="3" t="s">
        <v>1185</v>
      </c>
      <c r="B4290" s="3" t="s">
        <v>1547</v>
      </c>
      <c r="C4290" s="3" t="s">
        <v>45</v>
      </c>
      <c r="D4290" s="3" t="s">
        <v>1574</v>
      </c>
      <c r="E4290" s="3" t="s">
        <v>107</v>
      </c>
      <c r="F4290" s="3"/>
      <c r="G4290" s="3"/>
      <c r="H4290" s="3"/>
      <c r="I4290" s="3"/>
    </row>
    <row r="4291" spans="1:9" s="5" customFormat="1" x14ac:dyDescent="0.35">
      <c r="A4291" s="3" t="s">
        <v>1185</v>
      </c>
      <c r="B4291" s="3" t="s">
        <v>1547</v>
      </c>
      <c r="C4291" s="3" t="s">
        <v>10</v>
      </c>
      <c r="D4291" s="3" t="s">
        <v>1575</v>
      </c>
      <c r="E4291" s="3" t="s">
        <v>56</v>
      </c>
      <c r="F4291" s="3"/>
      <c r="G4291" s="3"/>
      <c r="H4291" s="3"/>
      <c r="I4291" s="3"/>
    </row>
    <row r="4292" spans="1:9" s="5" customFormat="1" x14ac:dyDescent="0.35">
      <c r="A4292" s="3" t="s">
        <v>1185</v>
      </c>
      <c r="B4292" s="3" t="s">
        <v>1547</v>
      </c>
      <c r="C4292" s="3" t="s">
        <v>10</v>
      </c>
      <c r="D4292" s="3" t="s">
        <v>1575</v>
      </c>
      <c r="E4292" s="3" t="s">
        <v>29</v>
      </c>
      <c r="F4292" s="3"/>
      <c r="G4292" s="3"/>
      <c r="H4292" s="3"/>
      <c r="I4292" s="3"/>
    </row>
    <row r="4293" spans="1:9" s="5" customFormat="1" x14ac:dyDescent="0.35">
      <c r="A4293" s="3" t="s">
        <v>1185</v>
      </c>
      <c r="B4293" s="3" t="s">
        <v>1576</v>
      </c>
      <c r="C4293" s="3" t="s">
        <v>39</v>
      </c>
      <c r="D4293" s="3" t="s">
        <v>1577</v>
      </c>
      <c r="E4293" s="3" t="s">
        <v>27</v>
      </c>
      <c r="F4293" s="3"/>
      <c r="G4293" s="3"/>
      <c r="H4293" s="3"/>
      <c r="I4293" s="3"/>
    </row>
    <row r="4294" spans="1:9" s="5" customFormat="1" x14ac:dyDescent="0.35">
      <c r="A4294" s="3" t="s">
        <v>1185</v>
      </c>
      <c r="B4294" s="3" t="s">
        <v>1576</v>
      </c>
      <c r="C4294" s="3" t="s">
        <v>39</v>
      </c>
      <c r="D4294" s="3" t="s">
        <v>1577</v>
      </c>
      <c r="E4294" s="3" t="s">
        <v>15</v>
      </c>
      <c r="F4294" s="3"/>
      <c r="G4294" s="3"/>
      <c r="H4294" s="3"/>
      <c r="I4294" s="3"/>
    </row>
    <row r="4295" spans="1:9" s="5" customFormat="1" x14ac:dyDescent="0.35">
      <c r="A4295" s="3" t="s">
        <v>1185</v>
      </c>
      <c r="B4295" s="3" t="s">
        <v>1576</v>
      </c>
      <c r="C4295" s="3" t="s">
        <v>39</v>
      </c>
      <c r="D4295" s="3" t="s">
        <v>1577</v>
      </c>
      <c r="E4295" s="3" t="s">
        <v>32</v>
      </c>
      <c r="F4295" s="3"/>
      <c r="G4295" s="3"/>
      <c r="H4295" s="3"/>
      <c r="I4295" s="3"/>
    </row>
    <row r="4296" spans="1:9" s="5" customFormat="1" x14ac:dyDescent="0.35">
      <c r="A4296" s="3" t="s">
        <v>1185</v>
      </c>
      <c r="B4296" s="3" t="s">
        <v>1576</v>
      </c>
      <c r="C4296" s="3" t="s">
        <v>42</v>
      </c>
      <c r="D4296" s="3" t="s">
        <v>1578</v>
      </c>
      <c r="E4296" s="3" t="s">
        <v>1193</v>
      </c>
      <c r="F4296" s="3"/>
      <c r="G4296" s="3"/>
      <c r="H4296" s="3" t="s">
        <v>16</v>
      </c>
      <c r="I4296" s="3" t="s">
        <v>1579</v>
      </c>
    </row>
    <row r="4297" spans="1:9" s="5" customFormat="1" x14ac:dyDescent="0.35">
      <c r="A4297" s="3" t="s">
        <v>1185</v>
      </c>
      <c r="B4297" s="3" t="s">
        <v>1576</v>
      </c>
      <c r="C4297" s="3" t="s">
        <v>42</v>
      </c>
      <c r="D4297" s="3" t="s">
        <v>1578</v>
      </c>
      <c r="E4297" s="3" t="s">
        <v>15</v>
      </c>
      <c r="F4297" s="3" t="s">
        <v>16</v>
      </c>
      <c r="G4297" s="3" t="s">
        <v>1497</v>
      </c>
      <c r="H4297" s="3" t="s">
        <v>16</v>
      </c>
      <c r="I4297" s="3" t="s">
        <v>1579</v>
      </c>
    </row>
    <row r="4298" spans="1:9" s="5" customFormat="1" x14ac:dyDescent="0.35">
      <c r="A4298" s="3" t="s">
        <v>1185</v>
      </c>
      <c r="B4298" s="3" t="s">
        <v>1576</v>
      </c>
      <c r="C4298" s="3" t="s">
        <v>42</v>
      </c>
      <c r="D4298" s="3" t="s">
        <v>1578</v>
      </c>
      <c r="E4298" s="3" t="s">
        <v>29</v>
      </c>
      <c r="F4298" s="3"/>
      <c r="G4298" s="3"/>
      <c r="H4298" s="3" t="s">
        <v>16</v>
      </c>
      <c r="I4298" s="3" t="s">
        <v>1579</v>
      </c>
    </row>
    <row r="4299" spans="1:9" s="5" customFormat="1" x14ac:dyDescent="0.35">
      <c r="A4299" s="3" t="s">
        <v>1185</v>
      </c>
      <c r="B4299" s="3" t="s">
        <v>1576</v>
      </c>
      <c r="C4299" s="3" t="s">
        <v>20</v>
      </c>
      <c r="D4299" s="3" t="s">
        <v>1580</v>
      </c>
      <c r="E4299" s="3" t="s">
        <v>27</v>
      </c>
      <c r="F4299" s="3"/>
      <c r="G4299" s="3"/>
      <c r="H4299" s="3" t="s">
        <v>16</v>
      </c>
      <c r="I4299" s="3" t="s">
        <v>1579</v>
      </c>
    </row>
    <row r="4300" spans="1:9" s="5" customFormat="1" x14ac:dyDescent="0.35">
      <c r="A4300" s="3" t="s">
        <v>1185</v>
      </c>
      <c r="B4300" s="3" t="s">
        <v>1576</v>
      </c>
      <c r="C4300" s="3" t="s">
        <v>20</v>
      </c>
      <c r="D4300" s="3" t="s">
        <v>1580</v>
      </c>
      <c r="E4300" s="3" t="s">
        <v>1193</v>
      </c>
      <c r="F4300" s="3"/>
      <c r="G4300" s="3"/>
      <c r="H4300" s="3" t="s">
        <v>16</v>
      </c>
      <c r="I4300" s="3" t="s">
        <v>1579</v>
      </c>
    </row>
    <row r="4301" spans="1:9" s="5" customFormat="1" x14ac:dyDescent="0.35">
      <c r="A4301" s="3" t="s">
        <v>1185</v>
      </c>
      <c r="B4301" s="3" t="s">
        <v>1576</v>
      </c>
      <c r="C4301" s="3" t="s">
        <v>20</v>
      </c>
      <c r="D4301" s="3" t="s">
        <v>1580</v>
      </c>
      <c r="E4301" s="3" t="s">
        <v>15</v>
      </c>
      <c r="F4301" s="3" t="s">
        <v>16</v>
      </c>
      <c r="G4301" s="3" t="s">
        <v>1581</v>
      </c>
      <c r="H4301" s="3" t="s">
        <v>16</v>
      </c>
      <c r="I4301" s="3" t="s">
        <v>1579</v>
      </c>
    </row>
    <row r="4302" spans="1:9" s="5" customFormat="1" x14ac:dyDescent="0.35">
      <c r="A4302" s="3" t="s">
        <v>1185</v>
      </c>
      <c r="B4302" s="3" t="s">
        <v>1576</v>
      </c>
      <c r="C4302" s="3" t="s">
        <v>39</v>
      </c>
      <c r="D4302" s="3" t="s">
        <v>1582</v>
      </c>
      <c r="E4302" s="3" t="s">
        <v>12</v>
      </c>
      <c r="F4302" s="3"/>
      <c r="G4302" s="3"/>
      <c r="H4302" s="3"/>
      <c r="I4302" s="3"/>
    </row>
    <row r="4303" spans="1:9" s="5" customFormat="1" x14ac:dyDescent="0.35">
      <c r="A4303" s="3" t="s">
        <v>1185</v>
      </c>
      <c r="B4303" s="3" t="s">
        <v>1576</v>
      </c>
      <c r="C4303" s="3" t="s">
        <v>39</v>
      </c>
      <c r="D4303" s="3" t="s">
        <v>1582</v>
      </c>
      <c r="E4303" s="3" t="s">
        <v>87</v>
      </c>
      <c r="F4303" s="3"/>
      <c r="G4303" s="3"/>
      <c r="H4303" s="3"/>
      <c r="I4303" s="3"/>
    </row>
    <row r="4304" spans="1:9" s="5" customFormat="1" x14ac:dyDescent="0.35">
      <c r="A4304" s="3" t="s">
        <v>1185</v>
      </c>
      <c r="B4304" s="3" t="s">
        <v>1576</v>
      </c>
      <c r="C4304" s="3" t="s">
        <v>39</v>
      </c>
      <c r="D4304" s="3" t="s">
        <v>1582</v>
      </c>
      <c r="E4304" s="3" t="s">
        <v>15</v>
      </c>
      <c r="F4304" s="3"/>
      <c r="G4304" s="3"/>
      <c r="H4304" s="3"/>
      <c r="I4304" s="3"/>
    </row>
    <row r="4305" spans="1:9" s="5" customFormat="1" x14ac:dyDescent="0.35">
      <c r="A4305" s="3" t="s">
        <v>1185</v>
      </c>
      <c r="B4305" s="3" t="s">
        <v>1576</v>
      </c>
      <c r="C4305" s="3" t="s">
        <v>10</v>
      </c>
      <c r="D4305" s="3" t="s">
        <v>1583</v>
      </c>
      <c r="E4305" s="3" t="s">
        <v>27</v>
      </c>
      <c r="F4305" s="3"/>
      <c r="G4305" s="3"/>
      <c r="H4305" s="3" t="s">
        <v>16</v>
      </c>
      <c r="I4305" s="3" t="s">
        <v>1579</v>
      </c>
    </row>
    <row r="4306" spans="1:9" s="5" customFormat="1" x14ac:dyDescent="0.35">
      <c r="A4306" s="3" t="s">
        <v>1185</v>
      </c>
      <c r="B4306" s="3" t="s">
        <v>1576</v>
      </c>
      <c r="C4306" s="3" t="s">
        <v>10</v>
      </c>
      <c r="D4306" s="3" t="s">
        <v>1583</v>
      </c>
      <c r="E4306" s="3" t="s">
        <v>15</v>
      </c>
      <c r="F4306" s="3" t="s">
        <v>16</v>
      </c>
      <c r="G4306" s="3" t="s">
        <v>1584</v>
      </c>
      <c r="H4306" s="3" t="s">
        <v>16</v>
      </c>
      <c r="I4306" s="3" t="s">
        <v>1579</v>
      </c>
    </row>
    <row r="4307" spans="1:9" s="5" customFormat="1" x14ac:dyDescent="0.35">
      <c r="A4307" s="3" t="s">
        <v>1185</v>
      </c>
      <c r="B4307" s="3" t="s">
        <v>1576</v>
      </c>
      <c r="C4307" s="3" t="s">
        <v>10</v>
      </c>
      <c r="D4307" s="3" t="s">
        <v>1583</v>
      </c>
      <c r="E4307" s="3" t="s">
        <v>56</v>
      </c>
      <c r="F4307" s="3" t="s">
        <v>16</v>
      </c>
      <c r="G4307" s="3" t="s">
        <v>1585</v>
      </c>
      <c r="H4307" s="3" t="s">
        <v>16</v>
      </c>
      <c r="I4307" s="3" t="s">
        <v>1579</v>
      </c>
    </row>
    <row r="4308" spans="1:9" s="5" customFormat="1" x14ac:dyDescent="0.35">
      <c r="A4308" s="3" t="s">
        <v>1185</v>
      </c>
      <c r="B4308" s="3" t="s">
        <v>1576</v>
      </c>
      <c r="C4308" s="3" t="s">
        <v>10</v>
      </c>
      <c r="D4308" s="3" t="s">
        <v>1583</v>
      </c>
      <c r="E4308" s="3" t="s">
        <v>24</v>
      </c>
      <c r="F4308" s="3"/>
      <c r="G4308" s="3"/>
      <c r="H4308" s="3" t="s">
        <v>16</v>
      </c>
      <c r="I4308" s="3" t="s">
        <v>1579</v>
      </c>
    </row>
    <row r="4309" spans="1:9" s="5" customFormat="1" x14ac:dyDescent="0.35">
      <c r="A4309" s="3" t="s">
        <v>1185</v>
      </c>
      <c r="B4309" s="3" t="s">
        <v>1576</v>
      </c>
      <c r="C4309" s="3" t="s">
        <v>39</v>
      </c>
      <c r="D4309" s="3" t="s">
        <v>1586</v>
      </c>
      <c r="E4309" s="3" t="s">
        <v>15</v>
      </c>
      <c r="F4309" s="3"/>
      <c r="G4309" s="3"/>
      <c r="H4309" s="3" t="s">
        <v>16</v>
      </c>
      <c r="I4309" s="3" t="s">
        <v>1579</v>
      </c>
    </row>
    <row r="4310" spans="1:9" s="5" customFormat="1" x14ac:dyDescent="0.35">
      <c r="A4310" s="3" t="s">
        <v>1185</v>
      </c>
      <c r="B4310" s="3" t="s">
        <v>1576</v>
      </c>
      <c r="C4310" s="3" t="s">
        <v>39</v>
      </c>
      <c r="D4310" s="3" t="s">
        <v>1587</v>
      </c>
      <c r="E4310" s="3" t="s">
        <v>25</v>
      </c>
      <c r="F4310" s="3"/>
      <c r="G4310" s="3"/>
      <c r="H4310" s="3" t="s">
        <v>16</v>
      </c>
      <c r="I4310" s="3" t="s">
        <v>1579</v>
      </c>
    </row>
    <row r="4311" spans="1:9" s="5" customFormat="1" x14ac:dyDescent="0.35">
      <c r="A4311" s="3" t="s">
        <v>1185</v>
      </c>
      <c r="B4311" s="3" t="s">
        <v>1576</v>
      </c>
      <c r="C4311" s="3" t="s">
        <v>39</v>
      </c>
      <c r="D4311" s="3" t="s">
        <v>1587</v>
      </c>
      <c r="E4311" s="3" t="s">
        <v>1193</v>
      </c>
      <c r="F4311" s="3"/>
      <c r="G4311" s="3"/>
      <c r="H4311" s="3" t="s">
        <v>16</v>
      </c>
      <c r="I4311" s="3" t="s">
        <v>1579</v>
      </c>
    </row>
    <row r="4312" spans="1:9" s="5" customFormat="1" x14ac:dyDescent="0.35">
      <c r="A4312" s="3" t="s">
        <v>1185</v>
      </c>
      <c r="B4312" s="3" t="s">
        <v>1576</v>
      </c>
      <c r="C4312" s="3" t="s">
        <v>39</v>
      </c>
      <c r="D4312" s="3" t="s">
        <v>1587</v>
      </c>
      <c r="E4312" s="3" t="s">
        <v>15</v>
      </c>
      <c r="F4312" s="3" t="s">
        <v>16</v>
      </c>
      <c r="G4312" s="3" t="s">
        <v>1334</v>
      </c>
      <c r="H4312" s="3" t="s">
        <v>16</v>
      </c>
      <c r="I4312" s="3" t="s">
        <v>1579</v>
      </c>
    </row>
    <row r="4313" spans="1:9" s="5" customFormat="1" x14ac:dyDescent="0.35">
      <c r="A4313" s="3" t="s">
        <v>1185</v>
      </c>
      <c r="B4313" s="3" t="s">
        <v>1576</v>
      </c>
      <c r="C4313" s="3" t="s">
        <v>20</v>
      </c>
      <c r="D4313" s="3" t="s">
        <v>1588</v>
      </c>
      <c r="E4313" s="3" t="s">
        <v>25</v>
      </c>
      <c r="F4313" s="3"/>
      <c r="G4313" s="3"/>
      <c r="H4313" s="3" t="s">
        <v>16</v>
      </c>
      <c r="I4313" s="3" t="s">
        <v>1579</v>
      </c>
    </row>
    <row r="4314" spans="1:9" s="5" customFormat="1" x14ac:dyDescent="0.35">
      <c r="A4314" s="3" t="s">
        <v>1185</v>
      </c>
      <c r="B4314" s="3" t="s">
        <v>1576</v>
      </c>
      <c r="C4314" s="3" t="s">
        <v>20</v>
      </c>
      <c r="D4314" s="3" t="s">
        <v>1588</v>
      </c>
      <c r="E4314" s="3" t="s">
        <v>15</v>
      </c>
      <c r="F4314" s="3" t="s">
        <v>16</v>
      </c>
      <c r="G4314" s="3" t="s">
        <v>1418</v>
      </c>
      <c r="H4314" s="3" t="s">
        <v>16</v>
      </c>
      <c r="I4314" s="3" t="s">
        <v>1579</v>
      </c>
    </row>
    <row r="4315" spans="1:9" s="5" customFormat="1" x14ac:dyDescent="0.35">
      <c r="A4315" s="3" t="s">
        <v>1185</v>
      </c>
      <c r="B4315" s="3" t="s">
        <v>1576</v>
      </c>
      <c r="C4315" s="3" t="s">
        <v>20</v>
      </c>
      <c r="D4315" s="3" t="s">
        <v>1588</v>
      </c>
      <c r="E4315" s="3" t="s">
        <v>56</v>
      </c>
      <c r="F4315" s="3"/>
      <c r="G4315" s="3" t="s">
        <v>2426</v>
      </c>
      <c r="H4315" s="3" t="s">
        <v>16</v>
      </c>
      <c r="I4315" s="3" t="s">
        <v>1579</v>
      </c>
    </row>
    <row r="4316" spans="1:9" s="5" customFormat="1" x14ac:dyDescent="0.35">
      <c r="A4316" s="3" t="s">
        <v>1185</v>
      </c>
      <c r="B4316" s="3" t="s">
        <v>1576</v>
      </c>
      <c r="C4316" s="3" t="s">
        <v>20</v>
      </c>
      <c r="D4316" s="3" t="s">
        <v>1589</v>
      </c>
      <c r="E4316" s="3" t="s">
        <v>25</v>
      </c>
      <c r="F4316" s="3"/>
      <c r="G4316" s="3"/>
      <c r="H4316" s="3" t="s">
        <v>16</v>
      </c>
      <c r="I4316" s="3" t="s">
        <v>1579</v>
      </c>
    </row>
    <row r="4317" spans="1:9" s="5" customFormat="1" x14ac:dyDescent="0.35">
      <c r="A4317" s="3" t="s">
        <v>1185</v>
      </c>
      <c r="B4317" s="3" t="s">
        <v>1576</v>
      </c>
      <c r="C4317" s="3" t="s">
        <v>20</v>
      </c>
      <c r="D4317" s="3" t="s">
        <v>1589</v>
      </c>
      <c r="E4317" s="3" t="s">
        <v>1193</v>
      </c>
      <c r="F4317" s="3"/>
      <c r="G4317" s="3"/>
      <c r="H4317" s="3" t="s">
        <v>16</v>
      </c>
      <c r="I4317" s="3" t="s">
        <v>1579</v>
      </c>
    </row>
    <row r="4318" spans="1:9" s="5" customFormat="1" x14ac:dyDescent="0.35">
      <c r="A4318" s="3" t="s">
        <v>1185</v>
      </c>
      <c r="B4318" s="3" t="s">
        <v>1576</v>
      </c>
      <c r="C4318" s="3" t="s">
        <v>20</v>
      </c>
      <c r="D4318" s="3" t="s">
        <v>1589</v>
      </c>
      <c r="E4318" s="3" t="s">
        <v>87</v>
      </c>
      <c r="F4318" s="3"/>
      <c r="G4318" s="3"/>
      <c r="H4318" s="3" t="s">
        <v>16</v>
      </c>
      <c r="I4318" s="3" t="s">
        <v>1579</v>
      </c>
    </row>
    <row r="4319" spans="1:9" s="5" customFormat="1" x14ac:dyDescent="0.35">
      <c r="A4319" s="3" t="s">
        <v>1185</v>
      </c>
      <c r="B4319" s="3" t="s">
        <v>1576</v>
      </c>
      <c r="C4319" s="3" t="s">
        <v>20</v>
      </c>
      <c r="D4319" s="3" t="s">
        <v>1589</v>
      </c>
      <c r="E4319" s="3" t="s">
        <v>15</v>
      </c>
      <c r="F4319" s="3" t="s">
        <v>16</v>
      </c>
      <c r="G4319" s="3" t="s">
        <v>1418</v>
      </c>
      <c r="H4319" s="3" t="s">
        <v>16</v>
      </c>
      <c r="I4319" s="3" t="s">
        <v>1579</v>
      </c>
    </row>
    <row r="4320" spans="1:9" s="5" customFormat="1" x14ac:dyDescent="0.35">
      <c r="A4320" s="3" t="s">
        <v>1185</v>
      </c>
      <c r="B4320" s="3" t="s">
        <v>1576</v>
      </c>
      <c r="C4320" s="3" t="s">
        <v>20</v>
      </c>
      <c r="D4320" s="3" t="s">
        <v>1589</v>
      </c>
      <c r="E4320" s="3" t="s">
        <v>24</v>
      </c>
      <c r="F4320" s="3"/>
      <c r="G4320" s="3"/>
      <c r="H4320" s="3" t="s">
        <v>16</v>
      </c>
      <c r="I4320" s="3" t="s">
        <v>1579</v>
      </c>
    </row>
    <row r="4321" spans="1:9" s="5" customFormat="1" x14ac:dyDescent="0.35">
      <c r="A4321" s="3" t="s">
        <v>1185</v>
      </c>
      <c r="B4321" s="3" t="s">
        <v>1576</v>
      </c>
      <c r="C4321" s="3" t="s">
        <v>10</v>
      </c>
      <c r="D4321" s="3" t="s">
        <v>1590</v>
      </c>
      <c r="E4321" s="3" t="s">
        <v>1193</v>
      </c>
      <c r="F4321" s="3"/>
      <c r="G4321" s="3"/>
      <c r="H4321" s="3" t="s">
        <v>16</v>
      </c>
      <c r="I4321" s="3" t="s">
        <v>1579</v>
      </c>
    </row>
    <row r="4322" spans="1:9" s="5" customFormat="1" x14ac:dyDescent="0.35">
      <c r="A4322" s="3" t="s">
        <v>1185</v>
      </c>
      <c r="B4322" s="3" t="s">
        <v>1576</v>
      </c>
      <c r="C4322" s="3" t="s">
        <v>45</v>
      </c>
      <c r="D4322" s="3" t="s">
        <v>1591</v>
      </c>
      <c r="E4322" s="3" t="s">
        <v>12</v>
      </c>
      <c r="F4322" s="3"/>
      <c r="G4322" s="3"/>
      <c r="H4322" s="3" t="s">
        <v>16</v>
      </c>
      <c r="I4322" s="3" t="s">
        <v>1579</v>
      </c>
    </row>
    <row r="4323" spans="1:9" s="5" customFormat="1" x14ac:dyDescent="0.35">
      <c r="A4323" s="3" t="s">
        <v>1185</v>
      </c>
      <c r="B4323" s="3" t="s">
        <v>1576</v>
      </c>
      <c r="C4323" s="3" t="s">
        <v>45</v>
      </c>
      <c r="D4323" s="3" t="s">
        <v>1591</v>
      </c>
      <c r="E4323" s="3" t="s">
        <v>57</v>
      </c>
      <c r="F4323" s="3"/>
      <c r="G4323" s="3"/>
      <c r="H4323" s="3" t="s">
        <v>16</v>
      </c>
      <c r="I4323" s="3" t="s">
        <v>1579</v>
      </c>
    </row>
    <row r="4324" spans="1:9" s="5" customFormat="1" x14ac:dyDescent="0.35">
      <c r="A4324" s="3" t="s">
        <v>1185</v>
      </c>
      <c r="B4324" s="3" t="s">
        <v>1576</v>
      </c>
      <c r="C4324" s="3" t="s">
        <v>45</v>
      </c>
      <c r="D4324" s="3" t="s">
        <v>1591</v>
      </c>
      <c r="E4324" s="3" t="s">
        <v>56</v>
      </c>
      <c r="F4324" s="3" t="s">
        <v>16</v>
      </c>
      <c r="G4324" s="3" t="s">
        <v>1592</v>
      </c>
      <c r="H4324" s="3" t="s">
        <v>16</v>
      </c>
      <c r="I4324" s="3" t="s">
        <v>1579</v>
      </c>
    </row>
    <row r="4325" spans="1:9" s="5" customFormat="1" x14ac:dyDescent="0.35">
      <c r="A4325" s="3" t="s">
        <v>1185</v>
      </c>
      <c r="B4325" s="3" t="s">
        <v>1576</v>
      </c>
      <c r="C4325" s="3" t="s">
        <v>45</v>
      </c>
      <c r="D4325" s="3" t="s">
        <v>1591</v>
      </c>
      <c r="E4325" s="3" t="s">
        <v>24</v>
      </c>
      <c r="F4325" s="3"/>
      <c r="G4325" s="3"/>
      <c r="H4325" s="3" t="s">
        <v>16</v>
      </c>
      <c r="I4325" s="3" t="s">
        <v>1579</v>
      </c>
    </row>
    <row r="4326" spans="1:9" s="5" customFormat="1" x14ac:dyDescent="0.35">
      <c r="A4326" s="3" t="s">
        <v>1185</v>
      </c>
      <c r="B4326" s="3" t="s">
        <v>1576</v>
      </c>
      <c r="C4326" s="3" t="s">
        <v>39</v>
      </c>
      <c r="D4326" s="3" t="s">
        <v>1593</v>
      </c>
      <c r="E4326" s="3" t="s">
        <v>12</v>
      </c>
      <c r="F4326" s="3"/>
      <c r="G4326" s="3"/>
      <c r="H4326" s="3" t="s">
        <v>16</v>
      </c>
      <c r="I4326" s="3" t="s">
        <v>1579</v>
      </c>
    </row>
    <row r="4327" spans="1:9" s="5" customFormat="1" x14ac:dyDescent="0.35">
      <c r="A4327" s="3" t="s">
        <v>1185</v>
      </c>
      <c r="B4327" s="3" t="s">
        <v>1576</v>
      </c>
      <c r="C4327" s="3" t="s">
        <v>39</v>
      </c>
      <c r="D4327" s="3" t="s">
        <v>1593</v>
      </c>
      <c r="E4327" s="3" t="s">
        <v>27</v>
      </c>
      <c r="F4327" s="3"/>
      <c r="G4327" s="3"/>
      <c r="H4327" s="3" t="s">
        <v>16</v>
      </c>
      <c r="I4327" s="3" t="s">
        <v>1579</v>
      </c>
    </row>
    <row r="4328" spans="1:9" s="5" customFormat="1" x14ac:dyDescent="0.35">
      <c r="A4328" s="3" t="s">
        <v>1185</v>
      </c>
      <c r="B4328" s="3" t="s">
        <v>1576</v>
      </c>
      <c r="C4328" s="3" t="s">
        <v>39</v>
      </c>
      <c r="D4328" s="3" t="s">
        <v>1593</v>
      </c>
      <c r="E4328" s="3" t="s">
        <v>57</v>
      </c>
      <c r="F4328" s="3"/>
      <c r="G4328" s="3"/>
      <c r="H4328" s="3" t="s">
        <v>16</v>
      </c>
      <c r="I4328" s="3" t="s">
        <v>1579</v>
      </c>
    </row>
    <row r="4329" spans="1:9" s="5" customFormat="1" x14ac:dyDescent="0.35">
      <c r="A4329" s="3" t="s">
        <v>1185</v>
      </c>
      <c r="B4329" s="3" t="s">
        <v>1576</v>
      </c>
      <c r="C4329" s="3" t="s">
        <v>45</v>
      </c>
      <c r="D4329" s="3" t="s">
        <v>1594</v>
      </c>
      <c r="E4329" s="3" t="s">
        <v>1193</v>
      </c>
      <c r="F4329" s="3"/>
      <c r="G4329" s="3"/>
      <c r="H4329" s="3" t="s">
        <v>16</v>
      </c>
      <c r="I4329" s="3" t="s">
        <v>1579</v>
      </c>
    </row>
    <row r="4330" spans="1:9" s="5" customFormat="1" x14ac:dyDescent="0.35">
      <c r="A4330" s="3" t="s">
        <v>1185</v>
      </c>
      <c r="B4330" s="3" t="s">
        <v>1576</v>
      </c>
      <c r="C4330" s="3" t="s">
        <v>45</v>
      </c>
      <c r="D4330" s="3" t="s">
        <v>1594</v>
      </c>
      <c r="E4330" s="3" t="s">
        <v>15</v>
      </c>
      <c r="F4330" s="3" t="s">
        <v>16</v>
      </c>
      <c r="G4330" s="3" t="s">
        <v>1595</v>
      </c>
      <c r="H4330" s="3" t="s">
        <v>16</v>
      </c>
      <c r="I4330" s="3" t="s">
        <v>1579</v>
      </c>
    </row>
    <row r="4331" spans="1:9" s="5" customFormat="1" x14ac:dyDescent="0.35">
      <c r="A4331" s="3" t="s">
        <v>1185</v>
      </c>
      <c r="B4331" s="3" t="s">
        <v>1576</v>
      </c>
      <c r="C4331" s="3" t="s">
        <v>45</v>
      </c>
      <c r="D4331" s="3" t="s">
        <v>1594</v>
      </c>
      <c r="E4331" s="3" t="s">
        <v>56</v>
      </c>
      <c r="F4331" s="3" t="s">
        <v>16</v>
      </c>
      <c r="G4331" s="3" t="s">
        <v>1595</v>
      </c>
      <c r="H4331" s="3" t="s">
        <v>16</v>
      </c>
      <c r="I4331" s="3" t="s">
        <v>1579</v>
      </c>
    </row>
    <row r="4332" spans="1:9" s="5" customFormat="1" x14ac:dyDescent="0.35">
      <c r="A4332" s="3" t="s">
        <v>1185</v>
      </c>
      <c r="B4332" s="3" t="s">
        <v>1576</v>
      </c>
      <c r="C4332" s="3" t="s">
        <v>39</v>
      </c>
      <c r="D4332" s="3" t="s">
        <v>1596</v>
      </c>
      <c r="E4332" s="3" t="s">
        <v>56</v>
      </c>
      <c r="F4332" s="3" t="s">
        <v>16</v>
      </c>
      <c r="G4332" s="3" t="s">
        <v>2438</v>
      </c>
      <c r="H4332" s="3" t="s">
        <v>16</v>
      </c>
      <c r="I4332" s="3" t="s">
        <v>1579</v>
      </c>
    </row>
    <row r="4333" spans="1:9" s="5" customFormat="1" x14ac:dyDescent="0.35">
      <c r="A4333" s="3" t="s">
        <v>1185</v>
      </c>
      <c r="B4333" s="3" t="s">
        <v>1597</v>
      </c>
      <c r="C4333" s="3" t="s">
        <v>42</v>
      </c>
      <c r="D4333" s="3" t="s">
        <v>1598</v>
      </c>
      <c r="E4333" s="3" t="s">
        <v>87</v>
      </c>
      <c r="F4333" s="3"/>
      <c r="G4333" s="3"/>
      <c r="H4333" s="3"/>
      <c r="I4333" s="3"/>
    </row>
    <row r="4334" spans="1:9" s="5" customFormat="1" x14ac:dyDescent="0.35">
      <c r="A4334" s="3" t="s">
        <v>1185</v>
      </c>
      <c r="B4334" s="3" t="s">
        <v>1597</v>
      </c>
      <c r="C4334" s="3" t="s">
        <v>42</v>
      </c>
      <c r="D4334" s="3" t="s">
        <v>1598</v>
      </c>
      <c r="E4334" s="3" t="s">
        <v>15</v>
      </c>
      <c r="F4334" s="3" t="s">
        <v>16</v>
      </c>
      <c r="G4334" s="3" t="s">
        <v>1599</v>
      </c>
      <c r="H4334" s="3"/>
      <c r="I4334" s="3"/>
    </row>
    <row r="4335" spans="1:9" s="5" customFormat="1" x14ac:dyDescent="0.35">
      <c r="A4335" s="3" t="s">
        <v>1185</v>
      </c>
      <c r="B4335" s="3" t="s">
        <v>1597</v>
      </c>
      <c r="C4335" s="3" t="s">
        <v>42</v>
      </c>
      <c r="D4335" s="3" t="s">
        <v>1598</v>
      </c>
      <c r="E4335" s="3" t="s">
        <v>56</v>
      </c>
      <c r="F4335" s="3" t="s">
        <v>16</v>
      </c>
      <c r="G4335" s="3" t="s">
        <v>1599</v>
      </c>
      <c r="H4335" s="3"/>
      <c r="I4335" s="3"/>
    </row>
    <row r="4336" spans="1:9" s="5" customFormat="1" x14ac:dyDescent="0.35">
      <c r="A4336" s="3" t="s">
        <v>1185</v>
      </c>
      <c r="B4336" s="3" t="s">
        <v>1597</v>
      </c>
      <c r="C4336" s="3" t="s">
        <v>42</v>
      </c>
      <c r="D4336" s="3" t="s">
        <v>1598</v>
      </c>
      <c r="E4336" s="3" t="s">
        <v>24</v>
      </c>
      <c r="F4336" s="3"/>
      <c r="G4336" s="3"/>
      <c r="H4336" s="3"/>
      <c r="I4336" s="3"/>
    </row>
    <row r="4337" spans="1:9" s="5" customFormat="1" x14ac:dyDescent="0.35">
      <c r="A4337" s="3" t="s">
        <v>1185</v>
      </c>
      <c r="B4337" s="3" t="s">
        <v>1597</v>
      </c>
      <c r="C4337" s="3" t="s">
        <v>45</v>
      </c>
      <c r="D4337" s="3" t="s">
        <v>1600</v>
      </c>
      <c r="E4337" s="3" t="s">
        <v>12</v>
      </c>
      <c r="F4337" s="3"/>
      <c r="G4337" s="3"/>
      <c r="H4337" s="3"/>
      <c r="I4337" s="3"/>
    </row>
    <row r="4338" spans="1:9" s="5" customFormat="1" x14ac:dyDescent="0.35">
      <c r="A4338" s="3" t="s">
        <v>1185</v>
      </c>
      <c r="B4338" s="3" t="s">
        <v>1597</v>
      </c>
      <c r="C4338" s="3" t="s">
        <v>45</v>
      </c>
      <c r="D4338" s="3" t="s">
        <v>1600</v>
      </c>
      <c r="E4338" s="3" t="s">
        <v>23</v>
      </c>
      <c r="F4338" s="3" t="s">
        <v>16</v>
      </c>
      <c r="G4338" s="3" t="s">
        <v>1356</v>
      </c>
      <c r="H4338" s="3"/>
      <c r="I4338" s="3"/>
    </row>
    <row r="4339" spans="1:9" s="5" customFormat="1" x14ac:dyDescent="0.35">
      <c r="A4339" s="3" t="s">
        <v>1185</v>
      </c>
      <c r="B4339" s="3" t="s">
        <v>1597</v>
      </c>
      <c r="C4339" s="3" t="s">
        <v>45</v>
      </c>
      <c r="D4339" s="3" t="s">
        <v>1600</v>
      </c>
      <c r="E4339" s="3" t="s">
        <v>77</v>
      </c>
      <c r="F4339" s="3"/>
      <c r="G4339" s="3"/>
      <c r="H4339" s="3"/>
      <c r="I4339" s="3"/>
    </row>
    <row r="4340" spans="1:9" s="5" customFormat="1" x14ac:dyDescent="0.35">
      <c r="A4340" s="3" t="s">
        <v>1185</v>
      </c>
      <c r="B4340" s="3" t="s">
        <v>1597</v>
      </c>
      <c r="C4340" s="3" t="s">
        <v>45</v>
      </c>
      <c r="D4340" s="3" t="s">
        <v>1600</v>
      </c>
      <c r="E4340" s="3" t="s">
        <v>98</v>
      </c>
      <c r="F4340" s="3"/>
      <c r="G4340" s="3"/>
      <c r="H4340" s="3"/>
      <c r="I4340" s="3"/>
    </row>
    <row r="4341" spans="1:9" s="5" customFormat="1" x14ac:dyDescent="0.35">
      <c r="A4341" s="3" t="s">
        <v>1185</v>
      </c>
      <c r="B4341" s="3" t="s">
        <v>1597</v>
      </c>
      <c r="C4341" s="3" t="s">
        <v>45</v>
      </c>
      <c r="D4341" s="3" t="s">
        <v>1600</v>
      </c>
      <c r="E4341" s="3" t="s">
        <v>15</v>
      </c>
      <c r="F4341" s="3" t="s">
        <v>16</v>
      </c>
      <c r="G4341" s="3" t="s">
        <v>1561</v>
      </c>
      <c r="H4341" s="3"/>
      <c r="I4341" s="3"/>
    </row>
    <row r="4342" spans="1:9" s="5" customFormat="1" x14ac:dyDescent="0.35">
      <c r="A4342" s="3" t="s">
        <v>1185</v>
      </c>
      <c r="B4342" s="3" t="s">
        <v>1597</v>
      </c>
      <c r="C4342" s="3" t="s">
        <v>45</v>
      </c>
      <c r="D4342" s="3" t="s">
        <v>1600</v>
      </c>
      <c r="E4342" s="3" t="s">
        <v>56</v>
      </c>
      <c r="F4342" s="3" t="s">
        <v>16</v>
      </c>
      <c r="G4342" s="3" t="s">
        <v>1601</v>
      </c>
      <c r="H4342" s="3"/>
      <c r="I4342" s="3"/>
    </row>
    <row r="4343" spans="1:9" s="5" customFormat="1" x14ac:dyDescent="0.35">
      <c r="A4343" s="3" t="s">
        <v>1185</v>
      </c>
      <c r="B4343" s="3" t="s">
        <v>1597</v>
      </c>
      <c r="C4343" s="3" t="s">
        <v>20</v>
      </c>
      <c r="D4343" s="3" t="s">
        <v>2846</v>
      </c>
      <c r="E4343" s="3" t="s">
        <v>12</v>
      </c>
      <c r="F4343" s="3"/>
      <c r="G4343" s="3"/>
      <c r="H4343" s="3"/>
      <c r="I4343" s="3"/>
    </row>
    <row r="4344" spans="1:9" s="5" customFormat="1" x14ac:dyDescent="0.35">
      <c r="A4344" s="3" t="s">
        <v>1185</v>
      </c>
      <c r="B4344" s="3" t="s">
        <v>1597</v>
      </c>
      <c r="C4344" s="3" t="s">
        <v>20</v>
      </c>
      <c r="D4344" s="3" t="s">
        <v>2846</v>
      </c>
      <c r="E4344" s="3" t="s">
        <v>23</v>
      </c>
      <c r="F4344" s="3"/>
      <c r="G4344" s="3"/>
      <c r="H4344" s="3"/>
      <c r="I4344" s="3"/>
    </row>
    <row r="4345" spans="1:9" s="5" customFormat="1" x14ac:dyDescent="0.35">
      <c r="A4345" s="3" t="s">
        <v>1185</v>
      </c>
      <c r="B4345" s="3" t="s">
        <v>1597</v>
      </c>
      <c r="C4345" s="3" t="s">
        <v>20</v>
      </c>
      <c r="D4345" s="3" t="s">
        <v>2846</v>
      </c>
      <c r="E4345" s="3" t="s">
        <v>25</v>
      </c>
      <c r="F4345" s="3"/>
      <c r="G4345" s="3"/>
      <c r="H4345" s="3"/>
      <c r="I4345" s="3"/>
    </row>
    <row r="4346" spans="1:9" s="5" customFormat="1" x14ac:dyDescent="0.35">
      <c r="A4346" s="3" t="s">
        <v>1185</v>
      </c>
      <c r="B4346" s="3" t="s">
        <v>1597</v>
      </c>
      <c r="C4346" s="3" t="s">
        <v>20</v>
      </c>
      <c r="D4346" s="3" t="s">
        <v>2846</v>
      </c>
      <c r="E4346" s="3" t="s">
        <v>27</v>
      </c>
      <c r="F4346" s="3"/>
      <c r="G4346" s="3"/>
      <c r="H4346" s="3"/>
      <c r="I4346" s="3"/>
    </row>
    <row r="4347" spans="1:9" s="5" customFormat="1" x14ac:dyDescent="0.35">
      <c r="A4347" s="3" t="s">
        <v>1185</v>
      </c>
      <c r="B4347" s="3" t="s">
        <v>1597</v>
      </c>
      <c r="C4347" s="3" t="s">
        <v>20</v>
      </c>
      <c r="D4347" s="3" t="s">
        <v>2846</v>
      </c>
      <c r="E4347" s="3" t="s">
        <v>1193</v>
      </c>
      <c r="F4347" s="3"/>
      <c r="G4347" s="3"/>
      <c r="H4347" s="3"/>
      <c r="I4347" s="3"/>
    </row>
    <row r="4348" spans="1:9" s="5" customFormat="1" x14ac:dyDescent="0.35">
      <c r="A4348" s="3" t="s">
        <v>1185</v>
      </c>
      <c r="B4348" s="3" t="s">
        <v>1597</v>
      </c>
      <c r="C4348" s="3" t="s">
        <v>20</v>
      </c>
      <c r="D4348" s="3" t="s">
        <v>2846</v>
      </c>
      <c r="E4348" s="3" t="s">
        <v>28</v>
      </c>
      <c r="F4348" s="3"/>
      <c r="G4348" s="3"/>
      <c r="H4348" s="3"/>
      <c r="I4348" s="3"/>
    </row>
    <row r="4349" spans="1:9" s="5" customFormat="1" x14ac:dyDescent="0.35">
      <c r="A4349" s="3" t="s">
        <v>1185</v>
      </c>
      <c r="B4349" s="3" t="s">
        <v>1597</v>
      </c>
      <c r="C4349" s="3" t="s">
        <v>20</v>
      </c>
      <c r="D4349" s="3" t="s">
        <v>2846</v>
      </c>
      <c r="E4349" s="3" t="s">
        <v>15</v>
      </c>
      <c r="F4349" s="3"/>
      <c r="G4349" s="3"/>
      <c r="H4349" s="3"/>
      <c r="I4349" s="3"/>
    </row>
    <row r="4350" spans="1:9" s="5" customFormat="1" x14ac:dyDescent="0.35">
      <c r="A4350" s="3" t="s">
        <v>1185</v>
      </c>
      <c r="B4350" s="3" t="s">
        <v>1597</v>
      </c>
      <c r="C4350" s="3" t="s">
        <v>39</v>
      </c>
      <c r="D4350" s="3" t="s">
        <v>1602</v>
      </c>
      <c r="E4350" s="3" t="s">
        <v>27</v>
      </c>
      <c r="F4350" s="3" t="s">
        <v>16</v>
      </c>
      <c r="G4350" s="3" t="s">
        <v>1603</v>
      </c>
      <c r="H4350" s="3"/>
      <c r="I4350" s="3"/>
    </row>
    <row r="4351" spans="1:9" s="5" customFormat="1" x14ac:dyDescent="0.35">
      <c r="A4351" s="3" t="s">
        <v>1185</v>
      </c>
      <c r="B4351" s="3" t="s">
        <v>1597</v>
      </c>
      <c r="C4351" s="3" t="s">
        <v>39</v>
      </c>
      <c r="D4351" s="3" t="s">
        <v>1602</v>
      </c>
      <c r="E4351" s="3" t="s">
        <v>1216</v>
      </c>
      <c r="F4351" s="3" t="s">
        <v>16</v>
      </c>
      <c r="G4351" s="3" t="s">
        <v>1603</v>
      </c>
      <c r="H4351" s="3"/>
      <c r="I4351" s="3"/>
    </row>
    <row r="4352" spans="1:9" s="5" customFormat="1" x14ac:dyDescent="0.35">
      <c r="A4352" s="3" t="s">
        <v>1185</v>
      </c>
      <c r="B4352" s="3" t="s">
        <v>1597</v>
      </c>
      <c r="C4352" s="3" t="s">
        <v>39</v>
      </c>
      <c r="D4352" s="3" t="s">
        <v>1602</v>
      </c>
      <c r="E4352" s="3" t="s">
        <v>57</v>
      </c>
      <c r="F4352" s="3" t="s">
        <v>16</v>
      </c>
      <c r="G4352" s="3" t="s">
        <v>1603</v>
      </c>
      <c r="H4352" s="3"/>
      <c r="I4352" s="3"/>
    </row>
    <row r="4353" spans="1:9" s="5" customFormat="1" x14ac:dyDescent="0.35">
      <c r="A4353" s="3" t="s">
        <v>1185</v>
      </c>
      <c r="B4353" s="3" t="s">
        <v>1597</v>
      </c>
      <c r="C4353" s="3" t="s">
        <v>39</v>
      </c>
      <c r="D4353" s="3" t="s">
        <v>1602</v>
      </c>
      <c r="E4353" s="3" t="s">
        <v>29</v>
      </c>
      <c r="F4353" s="3" t="s">
        <v>16</v>
      </c>
      <c r="G4353" s="3" t="s">
        <v>1603</v>
      </c>
      <c r="H4353" s="3"/>
      <c r="I4353" s="3"/>
    </row>
    <row r="4354" spans="1:9" s="5" customFormat="1" x14ac:dyDescent="0.35">
      <c r="A4354" s="3" t="s">
        <v>1185</v>
      </c>
      <c r="B4354" s="3" t="s">
        <v>1597</v>
      </c>
      <c r="C4354" s="3" t="s">
        <v>39</v>
      </c>
      <c r="D4354" s="3" t="s">
        <v>1604</v>
      </c>
      <c r="E4354" s="3" t="s">
        <v>23</v>
      </c>
      <c r="F4354" s="3"/>
      <c r="G4354" s="3"/>
      <c r="H4354" s="3"/>
      <c r="I4354" s="3"/>
    </row>
    <row r="4355" spans="1:9" s="5" customFormat="1" x14ac:dyDescent="0.35">
      <c r="A4355" s="3" t="s">
        <v>1185</v>
      </c>
      <c r="B4355" s="3" t="s">
        <v>1597</v>
      </c>
      <c r="C4355" s="3" t="s">
        <v>39</v>
      </c>
      <c r="D4355" s="3" t="s">
        <v>1604</v>
      </c>
      <c r="E4355" s="3" t="s">
        <v>25</v>
      </c>
      <c r="F4355" s="3"/>
      <c r="G4355" s="3"/>
      <c r="H4355" s="3"/>
      <c r="I4355" s="3"/>
    </row>
    <row r="4356" spans="1:9" s="5" customFormat="1" x14ac:dyDescent="0.35">
      <c r="A4356" s="3" t="s">
        <v>1185</v>
      </c>
      <c r="B4356" s="3" t="s">
        <v>1597</v>
      </c>
      <c r="C4356" s="3" t="s">
        <v>39</v>
      </c>
      <c r="D4356" s="3" t="s">
        <v>1604</v>
      </c>
      <c r="E4356" s="3" t="s">
        <v>60</v>
      </c>
      <c r="F4356" s="3"/>
      <c r="G4356" s="3"/>
      <c r="H4356" s="3"/>
      <c r="I4356" s="3"/>
    </row>
    <row r="4357" spans="1:9" s="5" customFormat="1" x14ac:dyDescent="0.35">
      <c r="A4357" s="3" t="s">
        <v>1185</v>
      </c>
      <c r="B4357" s="3" t="s">
        <v>1597</v>
      </c>
      <c r="C4357" s="3" t="s">
        <v>39</v>
      </c>
      <c r="D4357" s="3" t="s">
        <v>1604</v>
      </c>
      <c r="E4357" s="3" t="s">
        <v>27</v>
      </c>
      <c r="F4357" s="3"/>
      <c r="G4357" s="3"/>
      <c r="H4357" s="3"/>
      <c r="I4357" s="3"/>
    </row>
    <row r="4358" spans="1:9" s="5" customFormat="1" x14ac:dyDescent="0.35">
      <c r="A4358" s="3" t="s">
        <v>1185</v>
      </c>
      <c r="B4358" s="3" t="s">
        <v>1597</v>
      </c>
      <c r="C4358" s="3" t="s">
        <v>39</v>
      </c>
      <c r="D4358" s="3" t="s">
        <v>1604</v>
      </c>
      <c r="E4358" s="3" t="s">
        <v>15</v>
      </c>
      <c r="F4358" s="3" t="s">
        <v>16</v>
      </c>
      <c r="G4358" s="3" t="s">
        <v>1474</v>
      </c>
      <c r="H4358" s="3"/>
      <c r="I4358" s="3"/>
    </row>
    <row r="4359" spans="1:9" s="5" customFormat="1" x14ac:dyDescent="0.35">
      <c r="A4359" s="3" t="s">
        <v>1185</v>
      </c>
      <c r="B4359" s="3" t="s">
        <v>1605</v>
      </c>
      <c r="C4359" s="3" t="s">
        <v>10</v>
      </c>
      <c r="D4359" s="3" t="s">
        <v>1606</v>
      </c>
      <c r="E4359" s="3" t="s">
        <v>27</v>
      </c>
      <c r="F4359" s="3"/>
      <c r="G4359" s="3"/>
      <c r="H4359" s="3" t="s">
        <v>16</v>
      </c>
      <c r="I4359" s="3" t="s">
        <v>1214</v>
      </c>
    </row>
    <row r="4360" spans="1:9" s="5" customFormat="1" x14ac:dyDescent="0.35">
      <c r="A4360" s="3" t="s">
        <v>1185</v>
      </c>
      <c r="B4360" s="3" t="s">
        <v>1605</v>
      </c>
      <c r="C4360" s="3" t="s">
        <v>10</v>
      </c>
      <c r="D4360" s="3" t="s">
        <v>1606</v>
      </c>
      <c r="E4360" s="3" t="s">
        <v>1193</v>
      </c>
      <c r="F4360" s="3"/>
      <c r="G4360" s="3"/>
      <c r="H4360" s="3" t="s">
        <v>16</v>
      </c>
      <c r="I4360" s="3" t="s">
        <v>1214</v>
      </c>
    </row>
    <row r="4361" spans="1:9" s="5" customFormat="1" x14ac:dyDescent="0.35">
      <c r="A4361" s="3" t="s">
        <v>1185</v>
      </c>
      <c r="B4361" s="3" t="s">
        <v>1605</v>
      </c>
      <c r="C4361" s="3" t="s">
        <v>10</v>
      </c>
      <c r="D4361" s="3" t="s">
        <v>1606</v>
      </c>
      <c r="E4361" s="3" t="s">
        <v>87</v>
      </c>
      <c r="F4361" s="3"/>
      <c r="G4361" s="3"/>
      <c r="H4361" s="3" t="s">
        <v>16</v>
      </c>
      <c r="I4361" s="3" t="s">
        <v>1214</v>
      </c>
    </row>
    <row r="4362" spans="1:9" s="5" customFormat="1" x14ac:dyDescent="0.35">
      <c r="A4362" s="3" t="s">
        <v>1185</v>
      </c>
      <c r="B4362" s="3" t="s">
        <v>1605</v>
      </c>
      <c r="C4362" s="3" t="s">
        <v>10</v>
      </c>
      <c r="D4362" s="3" t="s">
        <v>1606</v>
      </c>
      <c r="E4362" s="3" t="s">
        <v>1216</v>
      </c>
      <c r="F4362" s="3" t="s">
        <v>16</v>
      </c>
      <c r="G4362" s="3" t="s">
        <v>1608</v>
      </c>
      <c r="H4362" s="3" t="s">
        <v>16</v>
      </c>
      <c r="I4362" s="3" t="s">
        <v>1214</v>
      </c>
    </row>
    <row r="4363" spans="1:9" s="5" customFormat="1" x14ac:dyDescent="0.35">
      <c r="A4363" s="3" t="s">
        <v>1185</v>
      </c>
      <c r="B4363" s="3" t="s">
        <v>1605</v>
      </c>
      <c r="C4363" s="3" t="s">
        <v>10</v>
      </c>
      <c r="D4363" s="3" t="s">
        <v>1606</v>
      </c>
      <c r="E4363" s="3" t="s">
        <v>56</v>
      </c>
      <c r="F4363" s="3" t="s">
        <v>16</v>
      </c>
      <c r="G4363" s="3" t="s">
        <v>1607</v>
      </c>
      <c r="H4363" s="3" t="s">
        <v>16</v>
      </c>
      <c r="I4363" s="3" t="s">
        <v>1214</v>
      </c>
    </row>
    <row r="4364" spans="1:9" s="5" customFormat="1" x14ac:dyDescent="0.35">
      <c r="A4364" s="3" t="s">
        <v>1185</v>
      </c>
      <c r="B4364" s="3" t="s">
        <v>1605</v>
      </c>
      <c r="C4364" s="3" t="s">
        <v>10</v>
      </c>
      <c r="D4364" s="3" t="s">
        <v>1606</v>
      </c>
      <c r="E4364" s="3" t="s">
        <v>29</v>
      </c>
      <c r="F4364" s="3"/>
      <c r="G4364" s="3"/>
      <c r="H4364" s="3" t="s">
        <v>16</v>
      </c>
      <c r="I4364" s="3" t="s">
        <v>1214</v>
      </c>
    </row>
    <row r="4365" spans="1:9" s="5" customFormat="1" x14ac:dyDescent="0.35">
      <c r="A4365" s="3" t="s">
        <v>1185</v>
      </c>
      <c r="B4365" s="3" t="s">
        <v>1605</v>
      </c>
      <c r="C4365" s="3" t="s">
        <v>10</v>
      </c>
      <c r="D4365" s="3" t="s">
        <v>1606</v>
      </c>
      <c r="E4365" s="3" t="s">
        <v>134</v>
      </c>
      <c r="F4365" s="3"/>
      <c r="G4365" s="3"/>
      <c r="H4365" s="3" t="s">
        <v>16</v>
      </c>
      <c r="I4365" s="3" t="s">
        <v>1214</v>
      </c>
    </row>
    <row r="4366" spans="1:9" s="5" customFormat="1" x14ac:dyDescent="0.35">
      <c r="A4366" s="3" t="s">
        <v>1185</v>
      </c>
      <c r="B4366" s="3" t="s">
        <v>1605</v>
      </c>
      <c r="C4366" s="3" t="s">
        <v>10</v>
      </c>
      <c r="D4366" s="3" t="s">
        <v>1606</v>
      </c>
      <c r="E4366" s="3" t="s">
        <v>630</v>
      </c>
      <c r="F4366" s="3" t="s">
        <v>16</v>
      </c>
      <c r="G4366" s="3" t="s">
        <v>1609</v>
      </c>
      <c r="H4366" s="3" t="s">
        <v>16</v>
      </c>
      <c r="I4366" s="3" t="s">
        <v>1214</v>
      </c>
    </row>
    <row r="4367" spans="1:9" s="5" customFormat="1" x14ac:dyDescent="0.35">
      <c r="A4367" s="3" t="s">
        <v>1185</v>
      </c>
      <c r="B4367" s="3" t="s">
        <v>1605</v>
      </c>
      <c r="C4367" s="3" t="s">
        <v>42</v>
      </c>
      <c r="D4367" s="3" t="s">
        <v>1610</v>
      </c>
      <c r="E4367" s="3" t="s">
        <v>27</v>
      </c>
      <c r="F4367" s="3"/>
      <c r="G4367" s="3"/>
      <c r="H4367" s="3" t="s">
        <v>16</v>
      </c>
      <c r="I4367" s="3" t="s">
        <v>1214</v>
      </c>
    </row>
    <row r="4368" spans="1:9" s="5" customFormat="1" x14ac:dyDescent="0.35">
      <c r="A4368" s="3" t="s">
        <v>1185</v>
      </c>
      <c r="B4368" s="3" t="s">
        <v>1605</v>
      </c>
      <c r="C4368" s="3" t="s">
        <v>42</v>
      </c>
      <c r="D4368" s="3" t="s">
        <v>1610</v>
      </c>
      <c r="E4368" s="3" t="s">
        <v>44</v>
      </c>
      <c r="F4368" s="3"/>
      <c r="G4368" s="3"/>
      <c r="H4368" s="3" t="s">
        <v>16</v>
      </c>
      <c r="I4368" s="3" t="s">
        <v>1214</v>
      </c>
    </row>
    <row r="4369" spans="1:9" s="5" customFormat="1" x14ac:dyDescent="0.35">
      <c r="A4369" s="3" t="s">
        <v>1185</v>
      </c>
      <c r="B4369" s="3" t="s">
        <v>1605</v>
      </c>
      <c r="C4369" s="3" t="s">
        <v>42</v>
      </c>
      <c r="D4369" s="3" t="s">
        <v>1610</v>
      </c>
      <c r="E4369" s="3" t="s">
        <v>87</v>
      </c>
      <c r="F4369" s="3"/>
      <c r="G4369" s="3"/>
      <c r="H4369" s="3" t="s">
        <v>16</v>
      </c>
      <c r="I4369" s="3" t="s">
        <v>1214</v>
      </c>
    </row>
    <row r="4370" spans="1:9" s="5" customFormat="1" x14ac:dyDescent="0.35">
      <c r="A4370" s="3" t="s">
        <v>1185</v>
      </c>
      <c r="B4370" s="3" t="s">
        <v>1605</v>
      </c>
      <c r="C4370" s="3" t="s">
        <v>42</v>
      </c>
      <c r="D4370" s="3" t="s">
        <v>1610</v>
      </c>
      <c r="E4370" s="3" t="s">
        <v>1216</v>
      </c>
      <c r="F4370" s="3" t="s">
        <v>16</v>
      </c>
      <c r="G4370" s="3" t="s">
        <v>1612</v>
      </c>
      <c r="H4370" s="3" t="s">
        <v>16</v>
      </c>
      <c r="I4370" s="3" t="s">
        <v>1214</v>
      </c>
    </row>
    <row r="4371" spans="1:9" s="5" customFormat="1" x14ac:dyDescent="0.35">
      <c r="A4371" s="3" t="s">
        <v>1185</v>
      </c>
      <c r="B4371" s="3" t="s">
        <v>1605</v>
      </c>
      <c r="C4371" s="3" t="s">
        <v>42</v>
      </c>
      <c r="D4371" s="3" t="s">
        <v>1610</v>
      </c>
      <c r="E4371" s="3" t="s">
        <v>56</v>
      </c>
      <c r="F4371" s="3" t="s">
        <v>16</v>
      </c>
      <c r="G4371" s="3" t="s">
        <v>1611</v>
      </c>
      <c r="H4371" s="3" t="s">
        <v>16</v>
      </c>
      <c r="I4371" s="3" t="s">
        <v>1214</v>
      </c>
    </row>
    <row r="4372" spans="1:9" s="5" customFormat="1" x14ac:dyDescent="0.35">
      <c r="A4372" s="3" t="s">
        <v>1185</v>
      </c>
      <c r="B4372" s="3" t="s">
        <v>1605</v>
      </c>
      <c r="C4372" s="3" t="s">
        <v>42</v>
      </c>
      <c r="D4372" s="3" t="s">
        <v>1610</v>
      </c>
      <c r="E4372" s="3" t="s">
        <v>29</v>
      </c>
      <c r="F4372" s="3"/>
      <c r="G4372" s="3"/>
      <c r="H4372" s="3" t="s">
        <v>16</v>
      </c>
      <c r="I4372" s="3" t="s">
        <v>1214</v>
      </c>
    </row>
    <row r="4373" spans="1:9" s="5" customFormat="1" x14ac:dyDescent="0.35">
      <c r="A4373" s="3" t="s">
        <v>1185</v>
      </c>
      <c r="B4373" s="3" t="s">
        <v>1605</v>
      </c>
      <c r="C4373" s="3" t="s">
        <v>42</v>
      </c>
      <c r="D4373" s="3" t="s">
        <v>1610</v>
      </c>
      <c r="E4373" s="3" t="s">
        <v>630</v>
      </c>
      <c r="F4373" s="3" t="s">
        <v>16</v>
      </c>
      <c r="G4373" s="3" t="s">
        <v>1228</v>
      </c>
      <c r="H4373" s="3" t="s">
        <v>16</v>
      </c>
      <c r="I4373" s="3" t="s">
        <v>1214</v>
      </c>
    </row>
    <row r="4374" spans="1:9" s="5" customFormat="1" x14ac:dyDescent="0.35">
      <c r="A4374" s="3" t="s">
        <v>1185</v>
      </c>
      <c r="B4374" s="3" t="s">
        <v>1605</v>
      </c>
      <c r="C4374" s="3" t="s">
        <v>20</v>
      </c>
      <c r="D4374" s="3" t="s">
        <v>1613</v>
      </c>
      <c r="E4374" s="3" t="s">
        <v>12</v>
      </c>
      <c r="F4374" s="3"/>
      <c r="G4374" s="3"/>
      <c r="H4374" s="3" t="s">
        <v>16</v>
      </c>
      <c r="I4374" s="3" t="s">
        <v>1214</v>
      </c>
    </row>
    <row r="4375" spans="1:9" s="5" customFormat="1" x14ac:dyDescent="0.35">
      <c r="A4375" s="3" t="s">
        <v>1185</v>
      </c>
      <c r="B4375" s="3" t="s">
        <v>1605</v>
      </c>
      <c r="C4375" s="3" t="s">
        <v>20</v>
      </c>
      <c r="D4375" s="3" t="s">
        <v>1613</v>
      </c>
      <c r="E4375" s="3" t="s">
        <v>1216</v>
      </c>
      <c r="F4375" s="3" t="s">
        <v>16</v>
      </c>
      <c r="G4375" s="3" t="s">
        <v>1615</v>
      </c>
      <c r="H4375" s="3" t="s">
        <v>16</v>
      </c>
      <c r="I4375" s="3" t="s">
        <v>1214</v>
      </c>
    </row>
    <row r="4376" spans="1:9" s="5" customFormat="1" x14ac:dyDescent="0.35">
      <c r="A4376" s="3" t="s">
        <v>1185</v>
      </c>
      <c r="B4376" s="3" t="s">
        <v>1605</v>
      </c>
      <c r="C4376" s="3" t="s">
        <v>20</v>
      </c>
      <c r="D4376" s="3" t="s">
        <v>1613</v>
      </c>
      <c r="E4376" s="3" t="s">
        <v>56</v>
      </c>
      <c r="F4376" s="3" t="s">
        <v>16</v>
      </c>
      <c r="G4376" s="3" t="s">
        <v>1614</v>
      </c>
      <c r="H4376" s="3" t="s">
        <v>16</v>
      </c>
      <c r="I4376" s="3" t="s">
        <v>1214</v>
      </c>
    </row>
    <row r="4377" spans="1:9" s="5" customFormat="1" x14ac:dyDescent="0.35">
      <c r="A4377" s="3" t="s">
        <v>1185</v>
      </c>
      <c r="B4377" s="3" t="s">
        <v>1605</v>
      </c>
      <c r="C4377" s="3" t="s">
        <v>20</v>
      </c>
      <c r="D4377" s="3" t="s">
        <v>1613</v>
      </c>
      <c r="E4377" s="3" t="s">
        <v>29</v>
      </c>
      <c r="F4377" s="3"/>
      <c r="G4377" s="3"/>
      <c r="H4377" s="3" t="s">
        <v>16</v>
      </c>
      <c r="I4377" s="3" t="s">
        <v>1214</v>
      </c>
    </row>
    <row r="4378" spans="1:9" s="5" customFormat="1" x14ac:dyDescent="0.35">
      <c r="A4378" s="3" t="s">
        <v>1185</v>
      </c>
      <c r="B4378" s="3" t="s">
        <v>1605</v>
      </c>
      <c r="C4378" s="3" t="s">
        <v>20</v>
      </c>
      <c r="D4378" s="3" t="s">
        <v>1613</v>
      </c>
      <c r="E4378" s="3" t="s">
        <v>24</v>
      </c>
      <c r="F4378" s="3"/>
      <c r="G4378" s="3"/>
      <c r="H4378" s="3" t="s">
        <v>16</v>
      </c>
      <c r="I4378" s="3" t="s">
        <v>1214</v>
      </c>
    </row>
    <row r="4379" spans="1:9" s="5" customFormat="1" x14ac:dyDescent="0.35">
      <c r="A4379" s="3" t="s">
        <v>1185</v>
      </c>
      <c r="B4379" s="3" t="s">
        <v>1605</v>
      </c>
      <c r="C4379" s="3" t="s">
        <v>10</v>
      </c>
      <c r="D4379" s="3" t="s">
        <v>1616</v>
      </c>
      <c r="E4379" s="3" t="s">
        <v>27</v>
      </c>
      <c r="F4379" s="3"/>
      <c r="G4379" s="3"/>
      <c r="H4379" s="3" t="s">
        <v>16</v>
      </c>
      <c r="I4379" s="3" t="s">
        <v>1214</v>
      </c>
    </row>
    <row r="4380" spans="1:9" s="5" customFormat="1" x14ac:dyDescent="0.35">
      <c r="A4380" s="3" t="s">
        <v>1185</v>
      </c>
      <c r="B4380" s="3" t="s">
        <v>1605</v>
      </c>
      <c r="C4380" s="3" t="s">
        <v>10</v>
      </c>
      <c r="D4380" s="3" t="s">
        <v>1616</v>
      </c>
      <c r="E4380" s="3" t="s">
        <v>1193</v>
      </c>
      <c r="F4380" s="3"/>
      <c r="G4380" s="3"/>
      <c r="H4380" s="3" t="s">
        <v>16</v>
      </c>
      <c r="I4380" s="3" t="s">
        <v>1214</v>
      </c>
    </row>
    <row r="4381" spans="1:9" s="5" customFormat="1" x14ac:dyDescent="0.35">
      <c r="A4381" s="3" t="s">
        <v>1185</v>
      </c>
      <c r="B4381" s="3" t="s">
        <v>1605</v>
      </c>
      <c r="C4381" s="3" t="s">
        <v>10</v>
      </c>
      <c r="D4381" s="3" t="s">
        <v>1616</v>
      </c>
      <c r="E4381" s="3" t="s">
        <v>87</v>
      </c>
      <c r="F4381" s="3"/>
      <c r="G4381" s="3"/>
      <c r="H4381" s="3" t="s">
        <v>16</v>
      </c>
      <c r="I4381" s="3" t="s">
        <v>1214</v>
      </c>
    </row>
    <row r="4382" spans="1:9" s="5" customFormat="1" x14ac:dyDescent="0.35">
      <c r="A4382" s="3" t="s">
        <v>1185</v>
      </c>
      <c r="B4382" s="3" t="s">
        <v>1605</v>
      </c>
      <c r="C4382" s="3" t="s">
        <v>10</v>
      </c>
      <c r="D4382" s="3" t="s">
        <v>1616</v>
      </c>
      <c r="E4382" s="3" t="s">
        <v>1216</v>
      </c>
      <c r="F4382" s="3" t="s">
        <v>16</v>
      </c>
      <c r="G4382" s="3" t="s">
        <v>1474</v>
      </c>
      <c r="H4382" s="3" t="s">
        <v>16</v>
      </c>
      <c r="I4382" s="3" t="s">
        <v>1214</v>
      </c>
    </row>
    <row r="4383" spans="1:9" s="5" customFormat="1" x14ac:dyDescent="0.35">
      <c r="A4383" s="3" t="s">
        <v>1185</v>
      </c>
      <c r="B4383" s="3" t="s">
        <v>1605</v>
      </c>
      <c r="C4383" s="3" t="s">
        <v>10</v>
      </c>
      <c r="D4383" s="3" t="s">
        <v>1616</v>
      </c>
      <c r="E4383" s="3" t="s">
        <v>56</v>
      </c>
      <c r="F4383" s="3" t="s">
        <v>16</v>
      </c>
      <c r="G4383" s="3" t="s">
        <v>1474</v>
      </c>
      <c r="H4383" s="3" t="s">
        <v>16</v>
      </c>
      <c r="I4383" s="3" t="s">
        <v>1214</v>
      </c>
    </row>
    <row r="4384" spans="1:9" s="5" customFormat="1" x14ac:dyDescent="0.35">
      <c r="A4384" s="3" t="s">
        <v>1185</v>
      </c>
      <c r="B4384" s="3" t="s">
        <v>1605</v>
      </c>
      <c r="C4384" s="3" t="s">
        <v>10</v>
      </c>
      <c r="D4384" s="3" t="s">
        <v>1616</v>
      </c>
      <c r="E4384" s="3" t="s">
        <v>29</v>
      </c>
      <c r="F4384" s="3"/>
      <c r="G4384" s="3"/>
      <c r="H4384" s="3" t="s">
        <v>16</v>
      </c>
      <c r="I4384" s="3" t="s">
        <v>1214</v>
      </c>
    </row>
    <row r="4385" spans="1:9" s="5" customFormat="1" x14ac:dyDescent="0.35">
      <c r="A4385" s="3" t="s">
        <v>1185</v>
      </c>
      <c r="B4385" s="3" t="s">
        <v>1605</v>
      </c>
      <c r="C4385" s="3" t="s">
        <v>10</v>
      </c>
      <c r="D4385" s="3" t="s">
        <v>1616</v>
      </c>
      <c r="E4385" s="3" t="s">
        <v>630</v>
      </c>
      <c r="F4385" s="3" t="s">
        <v>16</v>
      </c>
      <c r="G4385" s="3" t="s">
        <v>1474</v>
      </c>
      <c r="H4385" s="3" t="s">
        <v>16</v>
      </c>
      <c r="I4385" s="3" t="s">
        <v>1214</v>
      </c>
    </row>
    <row r="4386" spans="1:9" s="5" customFormat="1" x14ac:dyDescent="0.35">
      <c r="A4386" s="3" t="s">
        <v>1185</v>
      </c>
      <c r="B4386" s="3" t="s">
        <v>1605</v>
      </c>
      <c r="C4386" s="3" t="s">
        <v>20</v>
      </c>
      <c r="D4386" s="3" t="s">
        <v>1617</v>
      </c>
      <c r="E4386" s="3" t="s">
        <v>25</v>
      </c>
      <c r="F4386" s="3" t="s">
        <v>16</v>
      </c>
      <c r="G4386" s="3" t="s">
        <v>1618</v>
      </c>
      <c r="H4386" s="3" t="s">
        <v>16</v>
      </c>
      <c r="I4386" s="3" t="s">
        <v>1214</v>
      </c>
    </row>
    <row r="4387" spans="1:9" s="5" customFormat="1" x14ac:dyDescent="0.35">
      <c r="A4387" s="3" t="s">
        <v>1185</v>
      </c>
      <c r="B4387" s="3" t="s">
        <v>1605</v>
      </c>
      <c r="C4387" s="3" t="s">
        <v>20</v>
      </c>
      <c r="D4387" s="3" t="s">
        <v>1617</v>
      </c>
      <c r="E4387" s="3" t="s">
        <v>71</v>
      </c>
      <c r="F4387" s="3"/>
      <c r="G4387" s="3"/>
      <c r="H4387" s="3" t="s">
        <v>16</v>
      </c>
      <c r="I4387" s="3" t="s">
        <v>1214</v>
      </c>
    </row>
    <row r="4388" spans="1:9" s="5" customFormat="1" x14ac:dyDescent="0.35">
      <c r="A4388" s="3" t="s">
        <v>1185</v>
      </c>
      <c r="B4388" s="3" t="s">
        <v>1605</v>
      </c>
      <c r="C4388" s="3" t="s">
        <v>20</v>
      </c>
      <c r="D4388" s="3" t="s">
        <v>1617</v>
      </c>
      <c r="E4388" s="3" t="s">
        <v>242</v>
      </c>
      <c r="F4388" s="3" t="s">
        <v>16</v>
      </c>
      <c r="G4388" s="3" t="s">
        <v>1618</v>
      </c>
      <c r="H4388" s="3" t="s">
        <v>16</v>
      </c>
      <c r="I4388" s="3" t="s">
        <v>1214</v>
      </c>
    </row>
    <row r="4389" spans="1:9" s="5" customFormat="1" x14ac:dyDescent="0.35">
      <c r="A4389" s="3" t="s">
        <v>1185</v>
      </c>
      <c r="B4389" s="3" t="s">
        <v>1605</v>
      </c>
      <c r="C4389" s="3" t="s">
        <v>20</v>
      </c>
      <c r="D4389" s="3" t="s">
        <v>1617</v>
      </c>
      <c r="E4389" s="3" t="s">
        <v>1216</v>
      </c>
      <c r="F4389" s="3" t="s">
        <v>16</v>
      </c>
      <c r="G4389" s="3" t="s">
        <v>1618</v>
      </c>
      <c r="H4389" s="3" t="s">
        <v>16</v>
      </c>
      <c r="I4389" s="3" t="s">
        <v>1214</v>
      </c>
    </row>
    <row r="4390" spans="1:9" s="5" customFormat="1" x14ac:dyDescent="0.35">
      <c r="A4390" s="3" t="s">
        <v>1185</v>
      </c>
      <c r="B4390" s="3" t="s">
        <v>1605</v>
      </c>
      <c r="C4390" s="3" t="s">
        <v>20</v>
      </c>
      <c r="D4390" s="3" t="s">
        <v>1617</v>
      </c>
      <c r="E4390" s="3" t="s">
        <v>56</v>
      </c>
      <c r="F4390" s="3" t="s">
        <v>16</v>
      </c>
      <c r="G4390" s="3" t="s">
        <v>1618</v>
      </c>
      <c r="H4390" s="3" t="s">
        <v>16</v>
      </c>
      <c r="I4390" s="3" t="s">
        <v>1214</v>
      </c>
    </row>
    <row r="4391" spans="1:9" s="5" customFormat="1" x14ac:dyDescent="0.35">
      <c r="A4391" s="3" t="s">
        <v>1185</v>
      </c>
      <c r="B4391" s="3" t="s">
        <v>1605</v>
      </c>
      <c r="C4391" s="3" t="s">
        <v>20</v>
      </c>
      <c r="D4391" s="3" t="s">
        <v>1617</v>
      </c>
      <c r="E4391" s="3" t="s">
        <v>29</v>
      </c>
      <c r="F4391" s="3"/>
      <c r="G4391" s="3"/>
      <c r="H4391" s="3" t="s">
        <v>16</v>
      </c>
      <c r="I4391" s="3" t="s">
        <v>1214</v>
      </c>
    </row>
    <row r="4392" spans="1:9" s="5" customFormat="1" x14ac:dyDescent="0.35">
      <c r="A4392" s="3" t="s">
        <v>1185</v>
      </c>
      <c r="B4392" s="3" t="s">
        <v>1605</v>
      </c>
      <c r="C4392" s="3" t="s">
        <v>20</v>
      </c>
      <c r="D4392" s="3" t="s">
        <v>1617</v>
      </c>
      <c r="E4392" s="3" t="s">
        <v>24</v>
      </c>
      <c r="F4392" s="3" t="s">
        <v>16</v>
      </c>
      <c r="G4392" s="3" t="s">
        <v>1618</v>
      </c>
      <c r="H4392" s="3" t="s">
        <v>16</v>
      </c>
      <c r="I4392" s="3" t="s">
        <v>1214</v>
      </c>
    </row>
    <row r="4393" spans="1:9" s="5" customFormat="1" x14ac:dyDescent="0.35">
      <c r="A4393" s="3" t="s">
        <v>1185</v>
      </c>
      <c r="B4393" s="3" t="s">
        <v>1605</v>
      </c>
      <c r="C4393" s="3" t="s">
        <v>39</v>
      </c>
      <c r="D4393" s="3" t="s">
        <v>1619</v>
      </c>
      <c r="E4393" s="3" t="s">
        <v>242</v>
      </c>
      <c r="F4393" s="3" t="s">
        <v>16</v>
      </c>
      <c r="G4393" s="3" t="s">
        <v>1620</v>
      </c>
      <c r="H4393" s="3" t="s">
        <v>16</v>
      </c>
      <c r="I4393" s="3" t="s">
        <v>1214</v>
      </c>
    </row>
    <row r="4394" spans="1:9" s="5" customFormat="1" x14ac:dyDescent="0.35">
      <c r="A4394" s="3" t="s">
        <v>1185</v>
      </c>
      <c r="B4394" s="3" t="s">
        <v>1605</v>
      </c>
      <c r="C4394" s="3" t="s">
        <v>39</v>
      </c>
      <c r="D4394" s="3" t="s">
        <v>1619</v>
      </c>
      <c r="E4394" s="3" t="s">
        <v>15</v>
      </c>
      <c r="F4394" s="3" t="s">
        <v>16</v>
      </c>
      <c r="G4394" s="3" t="s">
        <v>1620</v>
      </c>
      <c r="H4394" s="3" t="s">
        <v>16</v>
      </c>
      <c r="I4394" s="3" t="s">
        <v>1214</v>
      </c>
    </row>
    <row r="4395" spans="1:9" s="5" customFormat="1" x14ac:dyDescent="0.35">
      <c r="A4395" s="3" t="s">
        <v>1185</v>
      </c>
      <c r="B4395" s="3" t="s">
        <v>1605</v>
      </c>
      <c r="C4395" s="3" t="s">
        <v>39</v>
      </c>
      <c r="D4395" s="3" t="s">
        <v>1619</v>
      </c>
      <c r="E4395" s="3" t="s">
        <v>56</v>
      </c>
      <c r="F4395" s="3" t="s">
        <v>16</v>
      </c>
      <c r="G4395" s="3" t="s">
        <v>1620</v>
      </c>
      <c r="H4395" s="3" t="s">
        <v>16</v>
      </c>
      <c r="I4395" s="3" t="s">
        <v>1214</v>
      </c>
    </row>
    <row r="4396" spans="1:9" s="5" customFormat="1" x14ac:dyDescent="0.35">
      <c r="A4396" s="3" t="s">
        <v>1185</v>
      </c>
      <c r="B4396" s="3" t="s">
        <v>1605</v>
      </c>
      <c r="C4396" s="3" t="s">
        <v>39</v>
      </c>
      <c r="D4396" s="3" t="s">
        <v>1619</v>
      </c>
      <c r="E4396" s="3" t="s">
        <v>24</v>
      </c>
      <c r="F4396" s="3" t="s">
        <v>16</v>
      </c>
      <c r="G4396" s="3" t="s">
        <v>1620</v>
      </c>
      <c r="H4396" s="3" t="s">
        <v>16</v>
      </c>
      <c r="I4396" s="3" t="s">
        <v>1214</v>
      </c>
    </row>
    <row r="4397" spans="1:9" s="5" customFormat="1" x14ac:dyDescent="0.35">
      <c r="A4397" s="3" t="s">
        <v>1185</v>
      </c>
      <c r="B4397" s="3" t="s">
        <v>1605</v>
      </c>
      <c r="C4397" s="3" t="s">
        <v>45</v>
      </c>
      <c r="D4397" s="3" t="s">
        <v>1621</v>
      </c>
      <c r="E4397" s="3" t="s">
        <v>32</v>
      </c>
      <c r="F4397" s="3" t="s">
        <v>16</v>
      </c>
      <c r="G4397" s="3" t="s">
        <v>1622</v>
      </c>
      <c r="H4397" s="3" t="s">
        <v>16</v>
      </c>
      <c r="I4397" s="3" t="s">
        <v>1214</v>
      </c>
    </row>
    <row r="4398" spans="1:9" s="5" customFormat="1" x14ac:dyDescent="0.35">
      <c r="A4398" s="3" t="s">
        <v>1185</v>
      </c>
      <c r="B4398" s="3" t="s">
        <v>1605</v>
      </c>
      <c r="C4398" s="3" t="s">
        <v>10</v>
      </c>
      <c r="D4398" s="3" t="s">
        <v>1623</v>
      </c>
      <c r="E4398" s="3" t="s">
        <v>56</v>
      </c>
      <c r="F4398" s="3" t="s">
        <v>16</v>
      </c>
      <c r="G4398" s="3" t="s">
        <v>1624</v>
      </c>
      <c r="H4398" s="3" t="s">
        <v>16</v>
      </c>
      <c r="I4398" s="3" t="s">
        <v>1214</v>
      </c>
    </row>
    <row r="4399" spans="1:9" s="5" customFormat="1" x14ac:dyDescent="0.35">
      <c r="A4399" s="3" t="s">
        <v>1185</v>
      </c>
      <c r="B4399" s="3" t="s">
        <v>1605</v>
      </c>
      <c r="C4399" s="3" t="s">
        <v>45</v>
      </c>
      <c r="D4399" s="3" t="s">
        <v>1625</v>
      </c>
      <c r="E4399" s="3" t="s">
        <v>12</v>
      </c>
      <c r="F4399" s="3"/>
      <c r="G4399" s="3"/>
      <c r="H4399" s="3" t="s">
        <v>16</v>
      </c>
      <c r="I4399" s="3" t="s">
        <v>1214</v>
      </c>
    </row>
    <row r="4400" spans="1:9" s="5" customFormat="1" x14ac:dyDescent="0.35">
      <c r="A4400" s="3" t="s">
        <v>1185</v>
      </c>
      <c r="B4400" s="3" t="s">
        <v>1605</v>
      </c>
      <c r="C4400" s="3" t="s">
        <v>45</v>
      </c>
      <c r="D4400" s="3" t="s">
        <v>1625</v>
      </c>
      <c r="E4400" s="3" t="s">
        <v>27</v>
      </c>
      <c r="F4400" s="3"/>
      <c r="G4400" s="3"/>
      <c r="H4400" s="3" t="s">
        <v>16</v>
      </c>
      <c r="I4400" s="3" t="s">
        <v>1214</v>
      </c>
    </row>
    <row r="4401" spans="1:9" s="5" customFormat="1" x14ac:dyDescent="0.35">
      <c r="A4401" s="3" t="s">
        <v>1185</v>
      </c>
      <c r="B4401" s="3" t="s">
        <v>1605</v>
      </c>
      <c r="C4401" s="3" t="s">
        <v>45</v>
      </c>
      <c r="D4401" s="3" t="s">
        <v>1625</v>
      </c>
      <c r="E4401" s="3" t="s">
        <v>87</v>
      </c>
      <c r="F4401" s="3"/>
      <c r="G4401" s="3"/>
      <c r="H4401" s="3" t="s">
        <v>16</v>
      </c>
      <c r="I4401" s="3" t="s">
        <v>1214</v>
      </c>
    </row>
    <row r="4402" spans="1:9" s="5" customFormat="1" x14ac:dyDescent="0.35">
      <c r="A4402" s="3" t="s">
        <v>1185</v>
      </c>
      <c r="B4402" s="3" t="s">
        <v>1605</v>
      </c>
      <c r="C4402" s="3" t="s">
        <v>591</v>
      </c>
      <c r="D4402" s="3" t="s">
        <v>1626</v>
      </c>
      <c r="E4402" s="3" t="s">
        <v>27</v>
      </c>
      <c r="F4402" s="3"/>
      <c r="G4402" s="3"/>
      <c r="H4402" s="3" t="s">
        <v>16</v>
      </c>
      <c r="I4402" s="3" t="s">
        <v>1214</v>
      </c>
    </row>
    <row r="4403" spans="1:9" s="5" customFormat="1" x14ac:dyDescent="0.35">
      <c r="A4403" s="3" t="s">
        <v>1185</v>
      </c>
      <c r="B4403" s="3" t="s">
        <v>1605</v>
      </c>
      <c r="C4403" s="3" t="s">
        <v>39</v>
      </c>
      <c r="D4403" s="3" t="s">
        <v>1627</v>
      </c>
      <c r="E4403" s="3" t="s">
        <v>27</v>
      </c>
      <c r="F4403" s="3" t="s">
        <v>16</v>
      </c>
      <c r="G4403" s="3" t="s">
        <v>1249</v>
      </c>
      <c r="H4403" s="3" t="s">
        <v>16</v>
      </c>
      <c r="I4403" s="3" t="s">
        <v>1214</v>
      </c>
    </row>
    <row r="4404" spans="1:9" s="5" customFormat="1" x14ac:dyDescent="0.35">
      <c r="A4404" s="3" t="s">
        <v>1185</v>
      </c>
      <c r="B4404" s="3" t="s">
        <v>1605</v>
      </c>
      <c r="C4404" s="3" t="s">
        <v>39</v>
      </c>
      <c r="D4404" s="3" t="s">
        <v>1627</v>
      </c>
      <c r="E4404" s="3" t="s">
        <v>71</v>
      </c>
      <c r="F4404" s="3" t="s">
        <v>16</v>
      </c>
      <c r="G4404" s="3" t="s">
        <v>1249</v>
      </c>
      <c r="H4404" s="3" t="s">
        <v>16</v>
      </c>
      <c r="I4404" s="3" t="s">
        <v>1214</v>
      </c>
    </row>
    <row r="4405" spans="1:9" s="5" customFormat="1" x14ac:dyDescent="0.35">
      <c r="A4405" s="3" t="s">
        <v>1185</v>
      </c>
      <c r="B4405" s="3" t="s">
        <v>1605</v>
      </c>
      <c r="C4405" s="3" t="s">
        <v>39</v>
      </c>
      <c r="D4405" s="3" t="s">
        <v>1627</v>
      </c>
      <c r="E4405" s="3" t="s">
        <v>28</v>
      </c>
      <c r="F4405" s="3" t="s">
        <v>16</v>
      </c>
      <c r="G4405" s="3" t="s">
        <v>1249</v>
      </c>
      <c r="H4405" s="3" t="s">
        <v>16</v>
      </c>
      <c r="I4405" s="3" t="s">
        <v>1214</v>
      </c>
    </row>
    <row r="4406" spans="1:9" s="5" customFormat="1" x14ac:dyDescent="0.35">
      <c r="A4406" s="3" t="s">
        <v>1185</v>
      </c>
      <c r="B4406" s="3" t="s">
        <v>1605</v>
      </c>
      <c r="C4406" s="3" t="s">
        <v>39</v>
      </c>
      <c r="D4406" s="3" t="s">
        <v>1627</v>
      </c>
      <c r="E4406" s="3" t="s">
        <v>15</v>
      </c>
      <c r="F4406" s="3" t="s">
        <v>16</v>
      </c>
      <c r="G4406" s="3" t="s">
        <v>1249</v>
      </c>
      <c r="H4406" s="3" t="s">
        <v>16</v>
      </c>
      <c r="I4406" s="3" t="s">
        <v>1214</v>
      </c>
    </row>
    <row r="4407" spans="1:9" s="5" customFormat="1" x14ac:dyDescent="0.35">
      <c r="A4407" s="3" t="s">
        <v>1185</v>
      </c>
      <c r="B4407" s="3" t="s">
        <v>1605</v>
      </c>
      <c r="C4407" s="3" t="s">
        <v>39</v>
      </c>
      <c r="D4407" s="3" t="s">
        <v>1627</v>
      </c>
      <c r="E4407" s="3" t="s">
        <v>32</v>
      </c>
      <c r="F4407" s="3" t="s">
        <v>16</v>
      </c>
      <c r="G4407" s="3" t="s">
        <v>1249</v>
      </c>
      <c r="H4407" s="3" t="s">
        <v>16</v>
      </c>
      <c r="I4407" s="3" t="s">
        <v>1214</v>
      </c>
    </row>
    <row r="4408" spans="1:9" s="5" customFormat="1" x14ac:dyDescent="0.35">
      <c r="A4408" s="3" t="s">
        <v>1185</v>
      </c>
      <c r="B4408" s="3" t="s">
        <v>1605</v>
      </c>
      <c r="C4408" s="3" t="s">
        <v>39</v>
      </c>
      <c r="D4408" s="3" t="s">
        <v>1627</v>
      </c>
      <c r="E4408" s="3" t="s">
        <v>29</v>
      </c>
      <c r="F4408" s="3" t="s">
        <v>16</v>
      </c>
      <c r="G4408" s="3" t="s">
        <v>1249</v>
      </c>
      <c r="H4408" s="3" t="s">
        <v>16</v>
      </c>
      <c r="I4408" s="3" t="s">
        <v>1214</v>
      </c>
    </row>
    <row r="4409" spans="1:9" s="5" customFormat="1" x14ac:dyDescent="0.35">
      <c r="A4409" s="3" t="s">
        <v>1185</v>
      </c>
      <c r="B4409" s="3" t="s">
        <v>1605</v>
      </c>
      <c r="C4409" s="3" t="s">
        <v>39</v>
      </c>
      <c r="D4409" s="3" t="s">
        <v>1627</v>
      </c>
      <c r="E4409" s="3" t="s">
        <v>244</v>
      </c>
      <c r="F4409" s="3" t="s">
        <v>16</v>
      </c>
      <c r="G4409" s="3" t="s">
        <v>1249</v>
      </c>
      <c r="H4409" s="3" t="s">
        <v>16</v>
      </c>
      <c r="I4409" s="3" t="s">
        <v>1214</v>
      </c>
    </row>
    <row r="4410" spans="1:9" s="5" customFormat="1" x14ac:dyDescent="0.35">
      <c r="A4410" s="3" t="s">
        <v>1185</v>
      </c>
      <c r="B4410" s="3" t="s">
        <v>1605</v>
      </c>
      <c r="C4410" s="3" t="s">
        <v>39</v>
      </c>
      <c r="D4410" s="3" t="s">
        <v>1628</v>
      </c>
      <c r="E4410" s="3" t="s">
        <v>27</v>
      </c>
      <c r="F4410" s="3" t="s">
        <v>16</v>
      </c>
      <c r="G4410" s="3" t="s">
        <v>1629</v>
      </c>
      <c r="H4410" s="3" t="s">
        <v>16</v>
      </c>
      <c r="I4410" s="3" t="s">
        <v>1214</v>
      </c>
    </row>
    <row r="4411" spans="1:9" s="5" customFormat="1" x14ac:dyDescent="0.35">
      <c r="A4411" s="3" t="s">
        <v>1185</v>
      </c>
      <c r="B4411" s="3" t="s">
        <v>1605</v>
      </c>
      <c r="C4411" s="3" t="s">
        <v>39</v>
      </c>
      <c r="D4411" s="3" t="s">
        <v>1628</v>
      </c>
      <c r="E4411" s="3" t="s">
        <v>31</v>
      </c>
      <c r="F4411" s="3" t="s">
        <v>16</v>
      </c>
      <c r="G4411" s="3" t="s">
        <v>1629</v>
      </c>
      <c r="H4411" s="3" t="s">
        <v>16</v>
      </c>
      <c r="I4411" s="3" t="s">
        <v>1214</v>
      </c>
    </row>
    <row r="4412" spans="1:9" s="5" customFormat="1" x14ac:dyDescent="0.35">
      <c r="A4412" s="3" t="s">
        <v>1185</v>
      </c>
      <c r="B4412" s="3" t="s">
        <v>1605</v>
      </c>
      <c r="C4412" s="3" t="s">
        <v>39</v>
      </c>
      <c r="D4412" s="3" t="s">
        <v>1628</v>
      </c>
      <c r="E4412" s="3" t="s">
        <v>15</v>
      </c>
      <c r="F4412" s="3" t="s">
        <v>16</v>
      </c>
      <c r="G4412" s="3" t="s">
        <v>1629</v>
      </c>
      <c r="H4412" s="3" t="s">
        <v>16</v>
      </c>
      <c r="I4412" s="3" t="s">
        <v>1214</v>
      </c>
    </row>
    <row r="4413" spans="1:9" s="5" customFormat="1" x14ac:dyDescent="0.35">
      <c r="A4413" s="3" t="s">
        <v>1185</v>
      </c>
      <c r="B4413" s="3" t="s">
        <v>1605</v>
      </c>
      <c r="C4413" s="3" t="s">
        <v>10</v>
      </c>
      <c r="D4413" s="3" t="s">
        <v>1630</v>
      </c>
      <c r="E4413" s="3" t="s">
        <v>27</v>
      </c>
      <c r="F4413" s="3"/>
      <c r="G4413" s="3"/>
      <c r="H4413" s="3" t="s">
        <v>16</v>
      </c>
      <c r="I4413" s="3" t="s">
        <v>1214</v>
      </c>
    </row>
    <row r="4414" spans="1:9" s="5" customFormat="1" x14ac:dyDescent="0.35">
      <c r="A4414" s="3" t="s">
        <v>1185</v>
      </c>
      <c r="B4414" s="3" t="s">
        <v>1605</v>
      </c>
      <c r="C4414" s="3" t="s">
        <v>10</v>
      </c>
      <c r="D4414" s="3" t="s">
        <v>1630</v>
      </c>
      <c r="E4414" s="3" t="s">
        <v>15</v>
      </c>
      <c r="F4414" s="3"/>
      <c r="G4414" s="3"/>
      <c r="H4414" s="3" t="s">
        <v>16</v>
      </c>
      <c r="I4414" s="3" t="s">
        <v>1214</v>
      </c>
    </row>
    <row r="4415" spans="1:9" s="5" customFormat="1" x14ac:dyDescent="0.35">
      <c r="A4415" s="3" t="s">
        <v>1185</v>
      </c>
      <c r="B4415" s="3" t="s">
        <v>1605</v>
      </c>
      <c r="C4415" s="3" t="s">
        <v>10</v>
      </c>
      <c r="D4415" s="3" t="s">
        <v>1630</v>
      </c>
      <c r="E4415" s="3" t="s">
        <v>134</v>
      </c>
      <c r="F4415" s="3"/>
      <c r="G4415" s="3"/>
      <c r="H4415" s="3" t="s">
        <v>16</v>
      </c>
      <c r="I4415" s="3" t="s">
        <v>1214</v>
      </c>
    </row>
    <row r="4416" spans="1:9" s="5" customFormat="1" x14ac:dyDescent="0.35">
      <c r="A4416" s="3" t="s">
        <v>1185</v>
      </c>
      <c r="B4416" s="3" t="s">
        <v>1605</v>
      </c>
      <c r="C4416" s="3" t="s">
        <v>10</v>
      </c>
      <c r="D4416" s="3" t="s">
        <v>1631</v>
      </c>
      <c r="E4416" s="3" t="s">
        <v>12</v>
      </c>
      <c r="F4416" s="3"/>
      <c r="G4416" s="3"/>
      <c r="H4416" s="3" t="s">
        <v>16</v>
      </c>
      <c r="I4416" s="3" t="s">
        <v>1214</v>
      </c>
    </row>
    <row r="4417" spans="1:9" s="5" customFormat="1" x14ac:dyDescent="0.35">
      <c r="A4417" s="3" t="s">
        <v>1185</v>
      </c>
      <c r="B4417" s="3" t="s">
        <v>1605</v>
      </c>
      <c r="C4417" s="3" t="s">
        <v>10</v>
      </c>
      <c r="D4417" s="3" t="s">
        <v>1631</v>
      </c>
      <c r="E4417" s="3" t="s">
        <v>77</v>
      </c>
      <c r="F4417" s="3" t="s">
        <v>16</v>
      </c>
      <c r="G4417" s="3" t="s">
        <v>1632</v>
      </c>
      <c r="H4417" s="3" t="s">
        <v>16</v>
      </c>
      <c r="I4417" s="3" t="s">
        <v>1214</v>
      </c>
    </row>
    <row r="4418" spans="1:9" s="5" customFormat="1" x14ac:dyDescent="0.35">
      <c r="A4418" s="3" t="s">
        <v>1185</v>
      </c>
      <c r="B4418" s="3" t="s">
        <v>1605</v>
      </c>
      <c r="C4418" s="3" t="s">
        <v>10</v>
      </c>
      <c r="D4418" s="3" t="s">
        <v>1631</v>
      </c>
      <c r="E4418" s="3" t="s">
        <v>15</v>
      </c>
      <c r="F4418" s="3" t="s">
        <v>16</v>
      </c>
      <c r="G4418" s="3" t="s">
        <v>1235</v>
      </c>
      <c r="H4418" s="3" t="s">
        <v>16</v>
      </c>
      <c r="I4418" s="3" t="s">
        <v>1214</v>
      </c>
    </row>
    <row r="4419" spans="1:9" s="5" customFormat="1" x14ac:dyDescent="0.35">
      <c r="A4419" s="3" t="s">
        <v>1185</v>
      </c>
      <c r="B4419" s="3" t="s">
        <v>1605</v>
      </c>
      <c r="C4419" s="3" t="s">
        <v>10</v>
      </c>
      <c r="D4419" s="3" t="s">
        <v>1631</v>
      </c>
      <c r="E4419" s="3" t="s">
        <v>57</v>
      </c>
      <c r="F4419" s="3"/>
      <c r="G4419" s="3"/>
      <c r="H4419" s="3" t="s">
        <v>16</v>
      </c>
      <c r="I4419" s="3" t="s">
        <v>1214</v>
      </c>
    </row>
    <row r="4420" spans="1:9" s="5" customFormat="1" x14ac:dyDescent="0.35">
      <c r="A4420" s="3" t="s">
        <v>1185</v>
      </c>
      <c r="B4420" s="3" t="s">
        <v>1605</v>
      </c>
      <c r="C4420" s="3" t="s">
        <v>10</v>
      </c>
      <c r="D4420" s="3" t="s">
        <v>1631</v>
      </c>
      <c r="E4420" s="3" t="s">
        <v>56</v>
      </c>
      <c r="F4420" s="3"/>
      <c r="G4420" s="3"/>
      <c r="H4420" s="3" t="s">
        <v>16</v>
      </c>
      <c r="I4420" s="3" t="s">
        <v>1214</v>
      </c>
    </row>
    <row r="4421" spans="1:9" s="5" customFormat="1" x14ac:dyDescent="0.35">
      <c r="A4421" s="3" t="s">
        <v>1185</v>
      </c>
      <c r="B4421" s="3" t="s">
        <v>1605</v>
      </c>
      <c r="C4421" s="3" t="s">
        <v>10</v>
      </c>
      <c r="D4421" s="3" t="s">
        <v>1631</v>
      </c>
      <c r="E4421" s="3" t="s">
        <v>24</v>
      </c>
      <c r="F4421" s="3"/>
      <c r="G4421" s="3"/>
      <c r="H4421" s="3" t="s">
        <v>16</v>
      </c>
      <c r="I4421" s="3" t="s">
        <v>1214</v>
      </c>
    </row>
    <row r="4422" spans="1:9" s="5" customFormat="1" x14ac:dyDescent="0.35">
      <c r="A4422" s="3" t="s">
        <v>1185</v>
      </c>
      <c r="B4422" s="3" t="s">
        <v>1605</v>
      </c>
      <c r="C4422" s="3" t="s">
        <v>10</v>
      </c>
      <c r="D4422" s="3" t="s">
        <v>1631</v>
      </c>
      <c r="E4422" s="3" t="s">
        <v>134</v>
      </c>
      <c r="F4422" s="3"/>
      <c r="G4422" s="3"/>
      <c r="H4422" s="3" t="s">
        <v>16</v>
      </c>
      <c r="I4422" s="3" t="s">
        <v>1214</v>
      </c>
    </row>
    <row r="4423" spans="1:9" s="5" customFormat="1" x14ac:dyDescent="0.35">
      <c r="A4423" s="3" t="s">
        <v>1185</v>
      </c>
      <c r="B4423" s="3" t="s">
        <v>1605</v>
      </c>
      <c r="C4423" s="3" t="s">
        <v>45</v>
      </c>
      <c r="D4423" s="3" t="s">
        <v>1633</v>
      </c>
      <c r="E4423" s="3" t="s">
        <v>27</v>
      </c>
      <c r="F4423" s="3"/>
      <c r="G4423" s="3"/>
      <c r="H4423" s="3" t="s">
        <v>16</v>
      </c>
      <c r="I4423" s="3" t="s">
        <v>1214</v>
      </c>
    </row>
    <row r="4424" spans="1:9" s="5" customFormat="1" x14ac:dyDescent="0.35">
      <c r="A4424" s="3" t="s">
        <v>1185</v>
      </c>
      <c r="B4424" s="3" t="s">
        <v>1605</v>
      </c>
      <c r="C4424" s="3" t="s">
        <v>45</v>
      </c>
      <c r="D4424" s="3" t="s">
        <v>1633</v>
      </c>
      <c r="E4424" s="3" t="s">
        <v>87</v>
      </c>
      <c r="F4424" s="3"/>
      <c r="G4424" s="3"/>
      <c r="H4424" s="3" t="s">
        <v>16</v>
      </c>
      <c r="I4424" s="3" t="s">
        <v>1214</v>
      </c>
    </row>
    <row r="4425" spans="1:9" s="5" customFormat="1" x14ac:dyDescent="0.35">
      <c r="A4425" s="3" t="s">
        <v>1185</v>
      </c>
      <c r="B4425" s="3" t="s">
        <v>1605</v>
      </c>
      <c r="C4425" s="3" t="s">
        <v>45</v>
      </c>
      <c r="D4425" s="3" t="s">
        <v>1633</v>
      </c>
      <c r="E4425" s="3" t="s">
        <v>15</v>
      </c>
      <c r="F4425" s="3" t="s">
        <v>16</v>
      </c>
      <c r="G4425" s="3" t="s">
        <v>1634</v>
      </c>
      <c r="H4425" s="3" t="s">
        <v>16</v>
      </c>
      <c r="I4425" s="3" t="s">
        <v>1214</v>
      </c>
    </row>
    <row r="4426" spans="1:9" s="5" customFormat="1" x14ac:dyDescent="0.35">
      <c r="A4426" s="3" t="s">
        <v>1185</v>
      </c>
      <c r="B4426" s="3" t="s">
        <v>1605</v>
      </c>
      <c r="C4426" s="3" t="s">
        <v>45</v>
      </c>
      <c r="D4426" s="3" t="s">
        <v>1633</v>
      </c>
      <c r="E4426" s="3" t="s">
        <v>56</v>
      </c>
      <c r="F4426" s="3" t="s">
        <v>16</v>
      </c>
      <c r="G4426" s="3" t="s">
        <v>1634</v>
      </c>
      <c r="H4426" s="3" t="s">
        <v>16</v>
      </c>
      <c r="I4426" s="3" t="s">
        <v>1214</v>
      </c>
    </row>
    <row r="4427" spans="1:9" s="5" customFormat="1" x14ac:dyDescent="0.35">
      <c r="A4427" s="3" t="s">
        <v>1185</v>
      </c>
      <c r="B4427" s="3" t="s">
        <v>1605</v>
      </c>
      <c r="C4427" s="3" t="s">
        <v>45</v>
      </c>
      <c r="D4427" s="3" t="s">
        <v>1633</v>
      </c>
      <c r="E4427" s="3" t="s">
        <v>29</v>
      </c>
      <c r="F4427" s="3"/>
      <c r="G4427" s="3"/>
      <c r="H4427" s="3" t="s">
        <v>16</v>
      </c>
      <c r="I4427" s="3" t="s">
        <v>1214</v>
      </c>
    </row>
    <row r="4428" spans="1:9" s="5" customFormat="1" x14ac:dyDescent="0.35">
      <c r="A4428" s="3" t="s">
        <v>1185</v>
      </c>
      <c r="B4428" s="3" t="s">
        <v>1605</v>
      </c>
      <c r="C4428" s="3" t="s">
        <v>45</v>
      </c>
      <c r="D4428" s="3" t="s">
        <v>1633</v>
      </c>
      <c r="E4428" s="3" t="s">
        <v>24</v>
      </c>
      <c r="F4428" s="3"/>
      <c r="G4428" s="3"/>
      <c r="H4428" s="3" t="s">
        <v>16</v>
      </c>
      <c r="I4428" s="3" t="s">
        <v>1214</v>
      </c>
    </row>
    <row r="4429" spans="1:9" s="5" customFormat="1" x14ac:dyDescent="0.35">
      <c r="A4429" s="3" t="s">
        <v>1185</v>
      </c>
      <c r="B4429" s="3" t="s">
        <v>1605</v>
      </c>
      <c r="C4429" s="3" t="s">
        <v>45</v>
      </c>
      <c r="D4429" s="3" t="s">
        <v>1635</v>
      </c>
      <c r="E4429" s="3" t="s">
        <v>77</v>
      </c>
      <c r="F4429" s="3"/>
      <c r="G4429" s="3"/>
      <c r="H4429" s="3" t="s">
        <v>16</v>
      </c>
      <c r="I4429" s="3" t="s">
        <v>1214</v>
      </c>
    </row>
    <row r="4430" spans="1:9" s="5" customFormat="1" x14ac:dyDescent="0.35">
      <c r="A4430" s="3" t="s">
        <v>1185</v>
      </c>
      <c r="B4430" s="3" t="s">
        <v>1605</v>
      </c>
      <c r="C4430" s="3" t="s">
        <v>45</v>
      </c>
      <c r="D4430" s="3" t="s">
        <v>1635</v>
      </c>
      <c r="E4430" s="3" t="s">
        <v>15</v>
      </c>
      <c r="F4430" s="3" t="s">
        <v>16</v>
      </c>
      <c r="G4430" s="3" t="s">
        <v>1636</v>
      </c>
      <c r="H4430" s="3" t="s">
        <v>16</v>
      </c>
      <c r="I4430" s="3" t="s">
        <v>1214</v>
      </c>
    </row>
    <row r="4431" spans="1:9" s="5" customFormat="1" x14ac:dyDescent="0.35">
      <c r="A4431" s="3" t="s">
        <v>1185</v>
      </c>
      <c r="B4431" s="3" t="s">
        <v>1605</v>
      </c>
      <c r="C4431" s="3" t="s">
        <v>45</v>
      </c>
      <c r="D4431" s="3" t="s">
        <v>1635</v>
      </c>
      <c r="E4431" s="3" t="s">
        <v>24</v>
      </c>
      <c r="F4431" s="3"/>
      <c r="G4431" s="3"/>
      <c r="H4431" s="3" t="s">
        <v>16</v>
      </c>
      <c r="I4431" s="3" t="s">
        <v>1214</v>
      </c>
    </row>
    <row r="4432" spans="1:9" s="5" customFormat="1" x14ac:dyDescent="0.35">
      <c r="A4432" s="3" t="s">
        <v>1185</v>
      </c>
      <c r="B4432" s="3" t="s">
        <v>1605</v>
      </c>
      <c r="C4432" s="3" t="s">
        <v>45</v>
      </c>
      <c r="D4432" s="3" t="s">
        <v>1637</v>
      </c>
      <c r="E4432" s="3" t="s">
        <v>27</v>
      </c>
      <c r="F4432" s="3"/>
      <c r="G4432" s="3"/>
      <c r="H4432" s="3" t="s">
        <v>16</v>
      </c>
      <c r="I4432" s="3" t="s">
        <v>1214</v>
      </c>
    </row>
    <row r="4433" spans="1:9" s="5" customFormat="1" x14ac:dyDescent="0.35">
      <c r="A4433" s="3" t="s">
        <v>1185</v>
      </c>
      <c r="B4433" s="3" t="s">
        <v>1605</v>
      </c>
      <c r="C4433" s="3" t="s">
        <v>45</v>
      </c>
      <c r="D4433" s="3" t="s">
        <v>1637</v>
      </c>
      <c r="E4433" s="3" t="s">
        <v>77</v>
      </c>
      <c r="F4433" s="3"/>
      <c r="G4433" s="3"/>
      <c r="H4433" s="3" t="s">
        <v>16</v>
      </c>
      <c r="I4433" s="3" t="s">
        <v>1214</v>
      </c>
    </row>
    <row r="4434" spans="1:9" s="5" customFormat="1" x14ac:dyDescent="0.35">
      <c r="A4434" s="3" t="s">
        <v>1185</v>
      </c>
      <c r="B4434" s="3" t="s">
        <v>1605</v>
      </c>
      <c r="C4434" s="3" t="s">
        <v>45</v>
      </c>
      <c r="D4434" s="3" t="s">
        <v>1637</v>
      </c>
      <c r="E4434" s="3" t="s">
        <v>56</v>
      </c>
      <c r="F4434" s="3"/>
      <c r="G4434" s="3"/>
      <c r="H4434" s="3" t="s">
        <v>16</v>
      </c>
      <c r="I4434" s="3" t="s">
        <v>1214</v>
      </c>
    </row>
    <row r="4435" spans="1:9" s="5" customFormat="1" x14ac:dyDescent="0.35">
      <c r="A4435" s="3" t="s">
        <v>1185</v>
      </c>
      <c r="B4435" s="3" t="s">
        <v>1605</v>
      </c>
      <c r="C4435" s="3" t="s">
        <v>45</v>
      </c>
      <c r="D4435" s="3" t="s">
        <v>1637</v>
      </c>
      <c r="E4435" s="3" t="s">
        <v>24</v>
      </c>
      <c r="F4435" s="3"/>
      <c r="G4435" s="3"/>
      <c r="H4435" s="3" t="s">
        <v>16</v>
      </c>
      <c r="I4435" s="3" t="s">
        <v>1214</v>
      </c>
    </row>
    <row r="4436" spans="1:9" s="5" customFormat="1" x14ac:dyDescent="0.35">
      <c r="A4436" s="3" t="s">
        <v>1185</v>
      </c>
      <c r="B4436" s="3" t="s">
        <v>1605</v>
      </c>
      <c r="C4436" s="3" t="s">
        <v>20</v>
      </c>
      <c r="D4436" s="3" t="s">
        <v>1638</v>
      </c>
      <c r="E4436" s="3" t="s">
        <v>36</v>
      </c>
      <c r="F4436" s="3" t="s">
        <v>16</v>
      </c>
      <c r="G4436" s="3" t="s">
        <v>1639</v>
      </c>
      <c r="H4436" s="3" t="s">
        <v>16</v>
      </c>
      <c r="I4436" s="3" t="s">
        <v>1214</v>
      </c>
    </row>
    <row r="4437" spans="1:9" s="5" customFormat="1" x14ac:dyDescent="0.35">
      <c r="A4437" s="3" t="s">
        <v>1185</v>
      </c>
      <c r="B4437" s="3" t="s">
        <v>1605</v>
      </c>
      <c r="C4437" s="3" t="s">
        <v>20</v>
      </c>
      <c r="D4437" s="3" t="s">
        <v>1638</v>
      </c>
      <c r="E4437" s="3" t="s">
        <v>60</v>
      </c>
      <c r="F4437" s="3"/>
      <c r="G4437" s="3"/>
      <c r="H4437" s="3" t="s">
        <v>16</v>
      </c>
      <c r="I4437" s="3" t="s">
        <v>1214</v>
      </c>
    </row>
    <row r="4438" spans="1:9" s="5" customFormat="1" x14ac:dyDescent="0.35">
      <c r="A4438" s="3" t="s">
        <v>1185</v>
      </c>
      <c r="B4438" s="3" t="s">
        <v>1605</v>
      </c>
      <c r="C4438" s="3" t="s">
        <v>20</v>
      </c>
      <c r="D4438" s="3" t="s">
        <v>1638</v>
      </c>
      <c r="E4438" s="3" t="s">
        <v>27</v>
      </c>
      <c r="F4438" s="3"/>
      <c r="G4438" s="3"/>
      <c r="H4438" s="3" t="s">
        <v>16</v>
      </c>
      <c r="I4438" s="3" t="s">
        <v>1214</v>
      </c>
    </row>
    <row r="4439" spans="1:9" s="5" customFormat="1" x14ac:dyDescent="0.35">
      <c r="A4439" s="3" t="s">
        <v>1185</v>
      </c>
      <c r="B4439" s="3" t="s">
        <v>1605</v>
      </c>
      <c r="C4439" s="3" t="s">
        <v>20</v>
      </c>
      <c r="D4439" s="3" t="s">
        <v>1638</v>
      </c>
      <c r="E4439" s="3" t="s">
        <v>77</v>
      </c>
      <c r="F4439" s="3"/>
      <c r="G4439" s="3"/>
      <c r="H4439" s="3" t="s">
        <v>16</v>
      </c>
      <c r="I4439" s="3" t="s">
        <v>1214</v>
      </c>
    </row>
    <row r="4440" spans="1:9" s="5" customFormat="1" x14ac:dyDescent="0.35">
      <c r="A4440" s="3" t="s">
        <v>1185</v>
      </c>
      <c r="B4440" s="3" t="s">
        <v>1605</v>
      </c>
      <c r="C4440" s="3" t="s">
        <v>20</v>
      </c>
      <c r="D4440" s="3" t="s">
        <v>1638</v>
      </c>
      <c r="E4440" s="3" t="s">
        <v>87</v>
      </c>
      <c r="F4440" s="3"/>
      <c r="G4440" s="3"/>
      <c r="H4440" s="3" t="s">
        <v>16</v>
      </c>
      <c r="I4440" s="3" t="s">
        <v>1214</v>
      </c>
    </row>
    <row r="4441" spans="1:9" s="5" customFormat="1" x14ac:dyDescent="0.35">
      <c r="A4441" s="3" t="s">
        <v>1185</v>
      </c>
      <c r="B4441" s="3" t="s">
        <v>1605</v>
      </c>
      <c r="C4441" s="3" t="s">
        <v>20</v>
      </c>
      <c r="D4441" s="3" t="s">
        <v>1638</v>
      </c>
      <c r="E4441" s="3" t="s">
        <v>15</v>
      </c>
      <c r="F4441" s="3" t="s">
        <v>16</v>
      </c>
      <c r="G4441" s="3" t="s">
        <v>1641</v>
      </c>
      <c r="H4441" s="3" t="s">
        <v>16</v>
      </c>
      <c r="I4441" s="3" t="s">
        <v>1214</v>
      </c>
    </row>
    <row r="4442" spans="1:9" s="5" customFormat="1" x14ac:dyDescent="0.35">
      <c r="A4442" s="3" t="s">
        <v>1185</v>
      </c>
      <c r="B4442" s="3" t="s">
        <v>1605</v>
      </c>
      <c r="C4442" s="3" t="s">
        <v>20</v>
      </c>
      <c r="D4442" s="3" t="s">
        <v>1638</v>
      </c>
      <c r="E4442" s="3" t="s">
        <v>56</v>
      </c>
      <c r="F4442" s="3" t="s">
        <v>16</v>
      </c>
      <c r="G4442" s="3" t="s">
        <v>1640</v>
      </c>
      <c r="H4442" s="3" t="s">
        <v>16</v>
      </c>
      <c r="I4442" s="3" t="s">
        <v>1214</v>
      </c>
    </row>
    <row r="4443" spans="1:9" s="5" customFormat="1" x14ac:dyDescent="0.35">
      <c r="A4443" s="3" t="s">
        <v>1185</v>
      </c>
      <c r="B4443" s="3" t="s">
        <v>1605</v>
      </c>
      <c r="C4443" s="3" t="s">
        <v>20</v>
      </c>
      <c r="D4443" s="3" t="s">
        <v>1638</v>
      </c>
      <c r="E4443" s="3" t="s">
        <v>29</v>
      </c>
      <c r="F4443" s="3"/>
      <c r="G4443" s="3"/>
      <c r="H4443" s="3" t="s">
        <v>16</v>
      </c>
      <c r="I4443" s="3" t="s">
        <v>1214</v>
      </c>
    </row>
    <row r="4444" spans="1:9" s="5" customFormat="1" x14ac:dyDescent="0.35">
      <c r="A4444" s="3" t="s">
        <v>1185</v>
      </c>
      <c r="B4444" s="3" t="s">
        <v>1605</v>
      </c>
      <c r="C4444" s="3" t="s">
        <v>20</v>
      </c>
      <c r="D4444" s="3" t="s">
        <v>1638</v>
      </c>
      <c r="E4444" s="3" t="s">
        <v>24</v>
      </c>
      <c r="F4444" s="3"/>
      <c r="G4444" s="3"/>
      <c r="H4444" s="3" t="s">
        <v>16</v>
      </c>
      <c r="I4444" s="3" t="s">
        <v>1214</v>
      </c>
    </row>
    <row r="4445" spans="1:9" s="5" customFormat="1" x14ac:dyDescent="0.35">
      <c r="A4445" s="3" t="s">
        <v>1185</v>
      </c>
      <c r="B4445" s="3" t="s">
        <v>1605</v>
      </c>
      <c r="C4445" s="3" t="s">
        <v>20</v>
      </c>
      <c r="D4445" s="3" t="s">
        <v>1638</v>
      </c>
      <c r="E4445" s="3" t="s">
        <v>107</v>
      </c>
      <c r="F4445" s="3"/>
      <c r="G4445" s="3"/>
      <c r="H4445" s="3" t="s">
        <v>16</v>
      </c>
      <c r="I4445" s="3" t="s">
        <v>1214</v>
      </c>
    </row>
    <row r="4446" spans="1:9" s="5" customFormat="1" x14ac:dyDescent="0.35">
      <c r="A4446" s="3" t="s">
        <v>1185</v>
      </c>
      <c r="B4446" s="3" t="s">
        <v>1605</v>
      </c>
      <c r="C4446" s="3" t="s">
        <v>45</v>
      </c>
      <c r="D4446" s="3" t="s">
        <v>1642</v>
      </c>
      <c r="E4446" s="3" t="s">
        <v>27</v>
      </c>
      <c r="F4446" s="3"/>
      <c r="G4446" s="3"/>
      <c r="H4446" s="3" t="s">
        <v>16</v>
      </c>
      <c r="I4446" s="3" t="s">
        <v>1214</v>
      </c>
    </row>
    <row r="4447" spans="1:9" s="5" customFormat="1" x14ac:dyDescent="0.35">
      <c r="A4447" s="3" t="s">
        <v>1185</v>
      </c>
      <c r="B4447" s="3" t="s">
        <v>1605</v>
      </c>
      <c r="C4447" s="3" t="s">
        <v>45</v>
      </c>
      <c r="D4447" s="3" t="s">
        <v>1642</v>
      </c>
      <c r="E4447" s="3" t="s">
        <v>77</v>
      </c>
      <c r="F4447" s="3"/>
      <c r="G4447" s="3"/>
      <c r="H4447" s="3" t="s">
        <v>16</v>
      </c>
      <c r="I4447" s="3" t="s">
        <v>1214</v>
      </c>
    </row>
    <row r="4448" spans="1:9" s="5" customFormat="1" x14ac:dyDescent="0.35">
      <c r="A4448" s="3" t="s">
        <v>1185</v>
      </c>
      <c r="B4448" s="3" t="s">
        <v>1605</v>
      </c>
      <c r="C4448" s="3" t="s">
        <v>45</v>
      </c>
      <c r="D4448" s="3" t="s">
        <v>1642</v>
      </c>
      <c r="E4448" s="3" t="s">
        <v>87</v>
      </c>
      <c r="F4448" s="3"/>
      <c r="G4448" s="3"/>
      <c r="H4448" s="3" t="s">
        <v>16</v>
      </c>
      <c r="I4448" s="3" t="s">
        <v>1214</v>
      </c>
    </row>
    <row r="4449" spans="1:9" s="5" customFormat="1" x14ac:dyDescent="0.35">
      <c r="A4449" s="3" t="s">
        <v>1185</v>
      </c>
      <c r="B4449" s="3" t="s">
        <v>1605</v>
      </c>
      <c r="C4449" s="3" t="s">
        <v>45</v>
      </c>
      <c r="D4449" s="3" t="s">
        <v>1642</v>
      </c>
      <c r="E4449" s="3" t="s">
        <v>15</v>
      </c>
      <c r="F4449" s="3" t="s">
        <v>16</v>
      </c>
      <c r="G4449" s="3" t="s">
        <v>1644</v>
      </c>
      <c r="H4449" s="3" t="s">
        <v>16</v>
      </c>
      <c r="I4449" s="3" t="s">
        <v>1214</v>
      </c>
    </row>
    <row r="4450" spans="1:9" s="5" customFormat="1" x14ac:dyDescent="0.35">
      <c r="A4450" s="3" t="s">
        <v>1185</v>
      </c>
      <c r="B4450" s="3" t="s">
        <v>1605</v>
      </c>
      <c r="C4450" s="3" t="s">
        <v>45</v>
      </c>
      <c r="D4450" s="3" t="s">
        <v>1642</v>
      </c>
      <c r="E4450" s="3" t="s">
        <v>56</v>
      </c>
      <c r="F4450" s="3" t="s">
        <v>16</v>
      </c>
      <c r="G4450" s="3" t="s">
        <v>1643</v>
      </c>
      <c r="H4450" s="3" t="s">
        <v>16</v>
      </c>
      <c r="I4450" s="3" t="s">
        <v>1214</v>
      </c>
    </row>
    <row r="4451" spans="1:9" s="5" customFormat="1" x14ac:dyDescent="0.35">
      <c r="A4451" s="3" t="s">
        <v>1185</v>
      </c>
      <c r="B4451" s="3" t="s">
        <v>1605</v>
      </c>
      <c r="C4451" s="3" t="s">
        <v>45</v>
      </c>
      <c r="D4451" s="3" t="s">
        <v>1642</v>
      </c>
      <c r="E4451" s="3" t="s">
        <v>29</v>
      </c>
      <c r="F4451" s="3"/>
      <c r="G4451" s="3"/>
      <c r="H4451" s="3" t="s">
        <v>16</v>
      </c>
      <c r="I4451" s="3" t="s">
        <v>1214</v>
      </c>
    </row>
    <row r="4452" spans="1:9" s="5" customFormat="1" x14ac:dyDescent="0.35">
      <c r="A4452" s="3" t="s">
        <v>1185</v>
      </c>
      <c r="B4452" s="3" t="s">
        <v>1605</v>
      </c>
      <c r="C4452" s="3" t="s">
        <v>45</v>
      </c>
      <c r="D4452" s="3" t="s">
        <v>1642</v>
      </c>
      <c r="E4452" s="3" t="s">
        <v>107</v>
      </c>
      <c r="F4452" s="3" t="s">
        <v>16</v>
      </c>
      <c r="G4452" s="3" t="s">
        <v>1645</v>
      </c>
      <c r="H4452" s="3" t="s">
        <v>16</v>
      </c>
      <c r="I4452" s="3" t="s">
        <v>1214</v>
      </c>
    </row>
    <row r="4453" spans="1:9" s="5" customFormat="1" x14ac:dyDescent="0.35">
      <c r="A4453" s="3" t="s">
        <v>1185</v>
      </c>
      <c r="B4453" s="3" t="s">
        <v>1605</v>
      </c>
      <c r="C4453" s="3" t="s">
        <v>10</v>
      </c>
      <c r="D4453" s="3" t="s">
        <v>1646</v>
      </c>
      <c r="E4453" s="3" t="s">
        <v>27</v>
      </c>
      <c r="F4453" s="3"/>
      <c r="G4453" s="3"/>
      <c r="H4453" s="3" t="s">
        <v>16</v>
      </c>
      <c r="I4453" s="3" t="s">
        <v>1214</v>
      </c>
    </row>
    <row r="4454" spans="1:9" s="5" customFormat="1" x14ac:dyDescent="0.35">
      <c r="A4454" s="3" t="s">
        <v>1185</v>
      </c>
      <c r="B4454" s="3" t="s">
        <v>1605</v>
      </c>
      <c r="C4454" s="3" t="s">
        <v>10</v>
      </c>
      <c r="D4454" s="3" t="s">
        <v>1646</v>
      </c>
      <c r="E4454" s="3" t="s">
        <v>77</v>
      </c>
      <c r="F4454" s="3"/>
      <c r="G4454" s="3"/>
      <c r="H4454" s="3" t="s">
        <v>16</v>
      </c>
      <c r="I4454" s="3" t="s">
        <v>1214</v>
      </c>
    </row>
    <row r="4455" spans="1:9" s="5" customFormat="1" x14ac:dyDescent="0.35">
      <c r="A4455" s="3" t="s">
        <v>1185</v>
      </c>
      <c r="B4455" s="3" t="s">
        <v>1605</v>
      </c>
      <c r="C4455" s="3" t="s">
        <v>10</v>
      </c>
      <c r="D4455" s="3" t="s">
        <v>1646</v>
      </c>
      <c r="E4455" s="3" t="s">
        <v>87</v>
      </c>
      <c r="F4455" s="3"/>
      <c r="G4455" s="3"/>
      <c r="H4455" s="3" t="s">
        <v>16</v>
      </c>
      <c r="I4455" s="3" t="s">
        <v>1214</v>
      </c>
    </row>
    <row r="4456" spans="1:9" s="5" customFormat="1" x14ac:dyDescent="0.35">
      <c r="A4456" s="3" t="s">
        <v>1185</v>
      </c>
      <c r="B4456" s="3" t="s">
        <v>1605</v>
      </c>
      <c r="C4456" s="3" t="s">
        <v>10</v>
      </c>
      <c r="D4456" s="3" t="s">
        <v>1646</v>
      </c>
      <c r="E4456" s="3" t="s">
        <v>15</v>
      </c>
      <c r="F4456" s="3" t="s">
        <v>16</v>
      </c>
      <c r="G4456" s="3" t="s">
        <v>1647</v>
      </c>
      <c r="H4456" s="3" t="s">
        <v>16</v>
      </c>
      <c r="I4456" s="3" t="s">
        <v>1214</v>
      </c>
    </row>
    <row r="4457" spans="1:9" s="5" customFormat="1" x14ac:dyDescent="0.35">
      <c r="A4457" s="3" t="s">
        <v>1185</v>
      </c>
      <c r="B4457" s="3" t="s">
        <v>1605</v>
      </c>
      <c r="C4457" s="3" t="s">
        <v>10</v>
      </c>
      <c r="D4457" s="3" t="s">
        <v>1646</v>
      </c>
      <c r="E4457" s="3" t="s">
        <v>56</v>
      </c>
      <c r="F4457" s="3" t="s">
        <v>16</v>
      </c>
      <c r="G4457" s="3" t="s">
        <v>1647</v>
      </c>
      <c r="H4457" s="3" t="s">
        <v>16</v>
      </c>
      <c r="I4457" s="3" t="s">
        <v>1214</v>
      </c>
    </row>
    <row r="4458" spans="1:9" s="5" customFormat="1" x14ac:dyDescent="0.35">
      <c r="A4458" s="3" t="s">
        <v>1185</v>
      </c>
      <c r="B4458" s="3" t="s">
        <v>1605</v>
      </c>
      <c r="C4458" s="3" t="s">
        <v>10</v>
      </c>
      <c r="D4458" s="3" t="s">
        <v>1646</v>
      </c>
      <c r="E4458" s="3" t="s">
        <v>29</v>
      </c>
      <c r="F4458" s="3"/>
      <c r="G4458" s="3"/>
      <c r="H4458" s="3" t="s">
        <v>16</v>
      </c>
      <c r="I4458" s="3" t="s">
        <v>1214</v>
      </c>
    </row>
    <row r="4459" spans="1:9" s="5" customFormat="1" x14ac:dyDescent="0.35">
      <c r="A4459" s="3" t="s">
        <v>1185</v>
      </c>
      <c r="B4459" s="3" t="s">
        <v>1605</v>
      </c>
      <c r="C4459" s="3" t="s">
        <v>45</v>
      </c>
      <c r="D4459" s="3" t="s">
        <v>1648</v>
      </c>
      <c r="E4459" s="3" t="s">
        <v>27</v>
      </c>
      <c r="F4459" s="3"/>
      <c r="G4459" s="3"/>
      <c r="H4459" s="3" t="s">
        <v>16</v>
      </c>
      <c r="I4459" s="3" t="s">
        <v>1214</v>
      </c>
    </row>
    <row r="4460" spans="1:9" s="5" customFormat="1" x14ac:dyDescent="0.35">
      <c r="A4460" s="3" t="s">
        <v>1185</v>
      </c>
      <c r="B4460" s="3" t="s">
        <v>1605</v>
      </c>
      <c r="C4460" s="3" t="s">
        <v>45</v>
      </c>
      <c r="D4460" s="3" t="s">
        <v>1648</v>
      </c>
      <c r="E4460" s="3" t="s">
        <v>77</v>
      </c>
      <c r="F4460" s="3"/>
      <c r="G4460" s="3"/>
      <c r="H4460" s="3" t="s">
        <v>16</v>
      </c>
      <c r="I4460" s="3" t="s">
        <v>1214</v>
      </c>
    </row>
    <row r="4461" spans="1:9" s="5" customFormat="1" x14ac:dyDescent="0.35">
      <c r="A4461" s="3" t="s">
        <v>1185</v>
      </c>
      <c r="B4461" s="3" t="s">
        <v>1605</v>
      </c>
      <c r="C4461" s="3" t="s">
        <v>45</v>
      </c>
      <c r="D4461" s="3" t="s">
        <v>1648</v>
      </c>
      <c r="E4461" s="3" t="s">
        <v>87</v>
      </c>
      <c r="F4461" s="3"/>
      <c r="G4461" s="3"/>
      <c r="H4461" s="3" t="s">
        <v>16</v>
      </c>
      <c r="I4461" s="3" t="s">
        <v>1214</v>
      </c>
    </row>
    <row r="4462" spans="1:9" s="5" customFormat="1" x14ac:dyDescent="0.35">
      <c r="A4462" s="3" t="s">
        <v>1185</v>
      </c>
      <c r="B4462" s="3" t="s">
        <v>1605</v>
      </c>
      <c r="C4462" s="3" t="s">
        <v>45</v>
      </c>
      <c r="D4462" s="3" t="s">
        <v>1648</v>
      </c>
      <c r="E4462" s="3" t="s">
        <v>15</v>
      </c>
      <c r="F4462" s="3" t="s">
        <v>16</v>
      </c>
      <c r="G4462" s="3" t="s">
        <v>1647</v>
      </c>
      <c r="H4462" s="3" t="s">
        <v>16</v>
      </c>
      <c r="I4462" s="3" t="s">
        <v>1214</v>
      </c>
    </row>
    <row r="4463" spans="1:9" s="5" customFormat="1" x14ac:dyDescent="0.35">
      <c r="A4463" s="3" t="s">
        <v>1185</v>
      </c>
      <c r="B4463" s="3" t="s">
        <v>1605</v>
      </c>
      <c r="C4463" s="3" t="s">
        <v>45</v>
      </c>
      <c r="D4463" s="3" t="s">
        <v>1648</v>
      </c>
      <c r="E4463" s="3" t="s">
        <v>56</v>
      </c>
      <c r="F4463" s="3" t="s">
        <v>16</v>
      </c>
      <c r="G4463" s="3" t="s">
        <v>1647</v>
      </c>
      <c r="H4463" s="3" t="s">
        <v>16</v>
      </c>
      <c r="I4463" s="3" t="s">
        <v>1214</v>
      </c>
    </row>
    <row r="4464" spans="1:9" s="5" customFormat="1" x14ac:dyDescent="0.35">
      <c r="A4464" s="3" t="s">
        <v>1185</v>
      </c>
      <c r="B4464" s="3" t="s">
        <v>1605</v>
      </c>
      <c r="C4464" s="3" t="s">
        <v>45</v>
      </c>
      <c r="D4464" s="3" t="s">
        <v>1648</v>
      </c>
      <c r="E4464" s="3" t="s">
        <v>29</v>
      </c>
      <c r="F4464" s="3"/>
      <c r="G4464" s="3"/>
      <c r="H4464" s="3" t="s">
        <v>16</v>
      </c>
      <c r="I4464" s="3" t="s">
        <v>1214</v>
      </c>
    </row>
    <row r="4465" spans="1:9" s="5" customFormat="1" x14ac:dyDescent="0.35">
      <c r="A4465" s="3" t="s">
        <v>1185</v>
      </c>
      <c r="B4465" s="3" t="s">
        <v>1605</v>
      </c>
      <c r="C4465" s="3" t="s">
        <v>10</v>
      </c>
      <c r="D4465" s="3" t="s">
        <v>1649</v>
      </c>
      <c r="E4465" s="3" t="s">
        <v>12</v>
      </c>
      <c r="F4465" s="3"/>
      <c r="G4465" s="3"/>
      <c r="H4465" s="3" t="s">
        <v>16</v>
      </c>
      <c r="I4465" s="3" t="s">
        <v>1214</v>
      </c>
    </row>
    <row r="4466" spans="1:9" s="5" customFormat="1" x14ac:dyDescent="0.35">
      <c r="A4466" s="3" t="s">
        <v>1185</v>
      </c>
      <c r="B4466" s="3" t="s">
        <v>1605</v>
      </c>
      <c r="C4466" s="3" t="s">
        <v>10</v>
      </c>
      <c r="D4466" s="3" t="s">
        <v>1649</v>
      </c>
      <c r="E4466" s="3" t="s">
        <v>15</v>
      </c>
      <c r="F4466" s="3" t="s">
        <v>16</v>
      </c>
      <c r="G4466" s="3" t="s">
        <v>1650</v>
      </c>
      <c r="H4466" s="3" t="s">
        <v>16</v>
      </c>
      <c r="I4466" s="3" t="s">
        <v>1214</v>
      </c>
    </row>
    <row r="4467" spans="1:9" s="5" customFormat="1" x14ac:dyDescent="0.35">
      <c r="A4467" s="3" t="s">
        <v>1185</v>
      </c>
      <c r="B4467" s="3" t="s">
        <v>1605</v>
      </c>
      <c r="C4467" s="3" t="s">
        <v>10</v>
      </c>
      <c r="D4467" s="3" t="s">
        <v>1649</v>
      </c>
      <c r="E4467" s="3" t="s">
        <v>29</v>
      </c>
      <c r="F4467" s="3" t="s">
        <v>16</v>
      </c>
      <c r="G4467" s="3" t="s">
        <v>1651</v>
      </c>
      <c r="H4467" s="3" t="s">
        <v>16</v>
      </c>
      <c r="I4467" s="3" t="s">
        <v>1214</v>
      </c>
    </row>
    <row r="4468" spans="1:9" s="5" customFormat="1" x14ac:dyDescent="0.35">
      <c r="A4468" s="3" t="s">
        <v>1185</v>
      </c>
      <c r="B4468" s="3" t="s">
        <v>1605</v>
      </c>
      <c r="C4468" s="3" t="s">
        <v>10</v>
      </c>
      <c r="D4468" s="3" t="s">
        <v>1649</v>
      </c>
      <c r="E4468" s="3" t="s">
        <v>24</v>
      </c>
      <c r="F4468" s="3" t="s">
        <v>16</v>
      </c>
      <c r="G4468" s="3" t="s">
        <v>1651</v>
      </c>
      <c r="H4468" s="3" t="s">
        <v>16</v>
      </c>
      <c r="I4468" s="3" t="s">
        <v>1214</v>
      </c>
    </row>
    <row r="4469" spans="1:9" s="5" customFormat="1" x14ac:dyDescent="0.35">
      <c r="A4469" s="3" t="s">
        <v>1185</v>
      </c>
      <c r="B4469" s="3" t="s">
        <v>2599</v>
      </c>
      <c r="C4469" s="3" t="s">
        <v>42</v>
      </c>
      <c r="D4469" s="3" t="s">
        <v>2600</v>
      </c>
      <c r="E4469" s="3" t="s">
        <v>25</v>
      </c>
      <c r="F4469" s="3"/>
      <c r="G4469" s="3"/>
      <c r="H4469" s="3"/>
      <c r="I4469" s="3"/>
    </row>
    <row r="4470" spans="1:9" s="5" customFormat="1" x14ac:dyDescent="0.35">
      <c r="A4470" s="3" t="s">
        <v>1185</v>
      </c>
      <c r="B4470" s="3" t="s">
        <v>2599</v>
      </c>
      <c r="C4470" s="3" t="s">
        <v>42</v>
      </c>
      <c r="D4470" s="3" t="s">
        <v>2600</v>
      </c>
      <c r="E4470" s="3" t="s">
        <v>1196</v>
      </c>
      <c r="F4470" s="3" t="s">
        <v>16</v>
      </c>
      <c r="G4470" s="3" t="s">
        <v>2601</v>
      </c>
      <c r="H4470" s="3"/>
      <c r="I4470" s="3"/>
    </row>
    <row r="4471" spans="1:9" s="5" customFormat="1" x14ac:dyDescent="0.35">
      <c r="A4471" s="3" t="s">
        <v>1185</v>
      </c>
      <c r="B4471" s="3" t="s">
        <v>2599</v>
      </c>
      <c r="C4471" s="3" t="s">
        <v>42</v>
      </c>
      <c r="D4471" s="3" t="s">
        <v>2600</v>
      </c>
      <c r="E4471" s="3" t="s">
        <v>87</v>
      </c>
      <c r="F4471" s="3" t="s">
        <v>16</v>
      </c>
      <c r="G4471" s="3" t="s">
        <v>2602</v>
      </c>
      <c r="H4471" s="3"/>
      <c r="I4471" s="3"/>
    </row>
    <row r="4472" spans="1:9" s="5" customFormat="1" x14ac:dyDescent="0.35">
      <c r="A4472" s="3" t="s">
        <v>1185</v>
      </c>
      <c r="B4472" s="3" t="s">
        <v>2599</v>
      </c>
      <c r="C4472" s="3" t="s">
        <v>42</v>
      </c>
      <c r="D4472" s="3" t="s">
        <v>2600</v>
      </c>
      <c r="E4472" s="3" t="s">
        <v>98</v>
      </c>
      <c r="F4472" s="3" t="s">
        <v>16</v>
      </c>
      <c r="G4472" s="3" t="s">
        <v>2603</v>
      </c>
      <c r="H4472" s="3"/>
      <c r="I4472" s="3"/>
    </row>
    <row r="4473" spans="1:9" s="5" customFormat="1" x14ac:dyDescent="0.35">
      <c r="A4473" s="3" t="s">
        <v>1185</v>
      </c>
      <c r="B4473" s="3" t="s">
        <v>2599</v>
      </c>
      <c r="C4473" s="3" t="s">
        <v>42</v>
      </c>
      <c r="D4473" s="3" t="s">
        <v>2600</v>
      </c>
      <c r="E4473" s="3" t="s">
        <v>15</v>
      </c>
      <c r="F4473" s="3" t="s">
        <v>16</v>
      </c>
      <c r="G4473" s="3" t="s">
        <v>2604</v>
      </c>
      <c r="H4473" s="3"/>
      <c r="I4473" s="3"/>
    </row>
    <row r="4474" spans="1:9" s="5" customFormat="1" x14ac:dyDescent="0.35">
      <c r="A4474" s="3" t="s">
        <v>1185</v>
      </c>
      <c r="B4474" s="3" t="s">
        <v>1652</v>
      </c>
      <c r="C4474" s="3" t="s">
        <v>39</v>
      </c>
      <c r="D4474" s="3" t="s">
        <v>1653</v>
      </c>
      <c r="E4474" s="3" t="s">
        <v>1196</v>
      </c>
      <c r="F4474" s="3"/>
      <c r="G4474" s="3" t="s">
        <v>2290</v>
      </c>
      <c r="H4474" s="3"/>
      <c r="I4474" s="3"/>
    </row>
    <row r="4475" spans="1:9" s="5" customFormat="1" x14ac:dyDescent="0.35">
      <c r="A4475" s="3" t="s">
        <v>1185</v>
      </c>
      <c r="B4475" s="3" t="s">
        <v>1652</v>
      </c>
      <c r="C4475" s="3" t="s">
        <v>39</v>
      </c>
      <c r="D4475" s="3" t="s">
        <v>1653</v>
      </c>
      <c r="E4475" s="3" t="s">
        <v>15</v>
      </c>
      <c r="F4475" s="3" t="s">
        <v>16</v>
      </c>
      <c r="G4475" s="3" t="s">
        <v>1474</v>
      </c>
      <c r="H4475" s="3"/>
      <c r="I4475" s="3"/>
    </row>
    <row r="4476" spans="1:9" s="5" customFormat="1" x14ac:dyDescent="0.35">
      <c r="A4476" s="3" t="s">
        <v>1185</v>
      </c>
      <c r="B4476" s="3" t="s">
        <v>1652</v>
      </c>
      <c r="C4476" s="3" t="s">
        <v>39</v>
      </c>
      <c r="D4476" s="3" t="s">
        <v>1653</v>
      </c>
      <c r="E4476" s="3" t="s">
        <v>29</v>
      </c>
      <c r="F4476" s="3"/>
      <c r="G4476" s="3" t="s">
        <v>2291</v>
      </c>
      <c r="H4476" s="3"/>
      <c r="I4476" s="3"/>
    </row>
    <row r="4477" spans="1:9" s="5" customFormat="1" x14ac:dyDescent="0.35">
      <c r="A4477" s="3" t="s">
        <v>1185</v>
      </c>
      <c r="B4477" s="3" t="s">
        <v>1652</v>
      </c>
      <c r="C4477" s="3" t="s">
        <v>39</v>
      </c>
      <c r="D4477" s="3" t="s">
        <v>1653</v>
      </c>
      <c r="E4477" s="3" t="s">
        <v>24</v>
      </c>
      <c r="F4477" s="3"/>
      <c r="G4477" s="3"/>
      <c r="H4477" s="3"/>
      <c r="I4477" s="3"/>
    </row>
    <row r="4478" spans="1:9" s="5" customFormat="1" x14ac:dyDescent="0.35">
      <c r="A4478" s="3" t="s">
        <v>1185</v>
      </c>
      <c r="B4478" s="3" t="s">
        <v>1652</v>
      </c>
      <c r="C4478" s="3" t="s">
        <v>10</v>
      </c>
      <c r="D4478" s="3" t="s">
        <v>1654</v>
      </c>
      <c r="E4478" s="3" t="s">
        <v>12</v>
      </c>
      <c r="F4478" s="3"/>
      <c r="G4478" s="3"/>
      <c r="H4478" s="3" t="s">
        <v>16</v>
      </c>
      <c r="I4478" s="3" t="s">
        <v>1466</v>
      </c>
    </row>
    <row r="4479" spans="1:9" s="5" customFormat="1" x14ac:dyDescent="0.35">
      <c r="A4479" s="3" t="s">
        <v>1185</v>
      </c>
      <c r="B4479" s="3" t="s">
        <v>1652</v>
      </c>
      <c r="C4479" s="3" t="s">
        <v>10</v>
      </c>
      <c r="D4479" s="3" t="s">
        <v>1654</v>
      </c>
      <c r="E4479" s="3" t="s">
        <v>77</v>
      </c>
      <c r="F4479" s="3"/>
      <c r="G4479" s="3"/>
      <c r="H4479" s="3" t="s">
        <v>16</v>
      </c>
      <c r="I4479" s="3" t="s">
        <v>1466</v>
      </c>
    </row>
    <row r="4480" spans="1:9" s="5" customFormat="1" x14ac:dyDescent="0.35">
      <c r="A4480" s="3" t="s">
        <v>1185</v>
      </c>
      <c r="B4480" s="3" t="s">
        <v>1652</v>
      </c>
      <c r="C4480" s="3" t="s">
        <v>42</v>
      </c>
      <c r="D4480" s="3" t="s">
        <v>1655</v>
      </c>
      <c r="E4480" s="3" t="s">
        <v>23</v>
      </c>
      <c r="F4480" s="3" t="s">
        <v>16</v>
      </c>
      <c r="G4480" s="3" t="s">
        <v>1657</v>
      </c>
      <c r="H4480" s="3" t="s">
        <v>16</v>
      </c>
      <c r="I4480" s="3" t="s">
        <v>1466</v>
      </c>
    </row>
    <row r="4481" spans="1:9" s="5" customFormat="1" x14ac:dyDescent="0.35">
      <c r="A4481" s="3" t="s">
        <v>1185</v>
      </c>
      <c r="B4481" s="3" t="s">
        <v>1652</v>
      </c>
      <c r="C4481" s="3" t="s">
        <v>42</v>
      </c>
      <c r="D4481" s="3" t="s">
        <v>1655</v>
      </c>
      <c r="E4481" s="3" t="s">
        <v>15</v>
      </c>
      <c r="F4481" s="3" t="s">
        <v>16</v>
      </c>
      <c r="G4481" s="3" t="s">
        <v>1658</v>
      </c>
      <c r="H4481" s="3" t="s">
        <v>16</v>
      </c>
      <c r="I4481" s="3" t="s">
        <v>1466</v>
      </c>
    </row>
    <row r="4482" spans="1:9" s="5" customFormat="1" x14ac:dyDescent="0.35">
      <c r="A4482" s="3" t="s">
        <v>1185</v>
      </c>
      <c r="B4482" s="3" t="s">
        <v>1652</v>
      </c>
      <c r="C4482" s="3" t="s">
        <v>42</v>
      </c>
      <c r="D4482" s="3" t="s">
        <v>1655</v>
      </c>
      <c r="E4482" s="3" t="s">
        <v>56</v>
      </c>
      <c r="F4482" s="3" t="s">
        <v>16</v>
      </c>
      <c r="G4482" s="3" t="s">
        <v>1656</v>
      </c>
      <c r="H4482" s="3" t="s">
        <v>16</v>
      </c>
      <c r="I4482" s="3" t="s">
        <v>1466</v>
      </c>
    </row>
    <row r="4483" spans="1:9" s="5" customFormat="1" x14ac:dyDescent="0.35">
      <c r="A4483" s="3" t="s">
        <v>1185</v>
      </c>
      <c r="B4483" s="3" t="s">
        <v>1652</v>
      </c>
      <c r="C4483" s="3" t="s">
        <v>39</v>
      </c>
      <c r="D4483" s="3" t="s">
        <v>1659</v>
      </c>
      <c r="E4483" s="3" t="s">
        <v>12</v>
      </c>
      <c r="F4483" s="3"/>
      <c r="G4483" s="3"/>
      <c r="H4483" s="3" t="s">
        <v>16</v>
      </c>
      <c r="I4483" s="3" t="s">
        <v>1466</v>
      </c>
    </row>
    <row r="4484" spans="1:9" s="5" customFormat="1" x14ac:dyDescent="0.35">
      <c r="A4484" s="3" t="s">
        <v>1185</v>
      </c>
      <c r="B4484" s="3" t="s">
        <v>1652</v>
      </c>
      <c r="C4484" s="3" t="s">
        <v>39</v>
      </c>
      <c r="D4484" s="3" t="s">
        <v>1659</v>
      </c>
      <c r="E4484" s="3" t="s">
        <v>1196</v>
      </c>
      <c r="F4484" s="3"/>
      <c r="G4484" s="3"/>
      <c r="H4484" s="3" t="s">
        <v>16</v>
      </c>
      <c r="I4484" s="3" t="s">
        <v>1466</v>
      </c>
    </row>
    <row r="4485" spans="1:9" s="5" customFormat="1" x14ac:dyDescent="0.35">
      <c r="A4485" s="3" t="s">
        <v>1185</v>
      </c>
      <c r="B4485" s="3" t="s">
        <v>1652</v>
      </c>
      <c r="C4485" s="3" t="s">
        <v>39</v>
      </c>
      <c r="D4485" s="3" t="s">
        <v>1659</v>
      </c>
      <c r="E4485" s="3" t="s">
        <v>28</v>
      </c>
      <c r="F4485" s="3"/>
      <c r="G4485" s="3"/>
      <c r="H4485" s="3" t="s">
        <v>16</v>
      </c>
      <c r="I4485" s="3" t="s">
        <v>1466</v>
      </c>
    </row>
    <row r="4486" spans="1:9" s="5" customFormat="1" x14ac:dyDescent="0.35">
      <c r="A4486" s="3" t="s">
        <v>1185</v>
      </c>
      <c r="B4486" s="3" t="s">
        <v>1652</v>
      </c>
      <c r="C4486" s="3" t="s">
        <v>39</v>
      </c>
      <c r="D4486" s="3" t="s">
        <v>1659</v>
      </c>
      <c r="E4486" s="3" t="s">
        <v>15</v>
      </c>
      <c r="F4486" s="3" t="s">
        <v>16</v>
      </c>
      <c r="G4486" s="3" t="s">
        <v>1660</v>
      </c>
      <c r="H4486" s="3" t="s">
        <v>16</v>
      </c>
      <c r="I4486" s="3" t="s">
        <v>1466</v>
      </c>
    </row>
    <row r="4487" spans="1:9" s="5" customFormat="1" x14ac:dyDescent="0.35">
      <c r="A4487" s="3" t="s">
        <v>1185</v>
      </c>
      <c r="B4487" s="3" t="s">
        <v>1652</v>
      </c>
      <c r="C4487" s="3" t="s">
        <v>39</v>
      </c>
      <c r="D4487" s="3" t="s">
        <v>1659</v>
      </c>
      <c r="E4487" s="3" t="s">
        <v>24</v>
      </c>
      <c r="F4487" s="3"/>
      <c r="G4487" s="3"/>
      <c r="H4487" s="3" t="s">
        <v>16</v>
      </c>
      <c r="I4487" s="3" t="s">
        <v>1466</v>
      </c>
    </row>
    <row r="4488" spans="1:9" s="5" customFormat="1" x14ac:dyDescent="0.35">
      <c r="A4488" s="3" t="s">
        <v>1185</v>
      </c>
      <c r="B4488" s="3" t="s">
        <v>1652</v>
      </c>
      <c r="C4488" s="3" t="s">
        <v>39</v>
      </c>
      <c r="D4488" s="3" t="s">
        <v>1661</v>
      </c>
      <c r="E4488" s="3" t="s">
        <v>12</v>
      </c>
      <c r="F4488" s="3"/>
      <c r="G4488" s="3"/>
      <c r="H4488" s="3" t="s">
        <v>16</v>
      </c>
      <c r="I4488" s="3" t="s">
        <v>1466</v>
      </c>
    </row>
    <row r="4489" spans="1:9" s="5" customFormat="1" x14ac:dyDescent="0.35">
      <c r="A4489" s="3" t="s">
        <v>1185</v>
      </c>
      <c r="B4489" s="3" t="s">
        <v>1652</v>
      </c>
      <c r="C4489" s="3" t="s">
        <v>39</v>
      </c>
      <c r="D4489" s="3" t="s">
        <v>1661</v>
      </c>
      <c r="E4489" s="3" t="s">
        <v>15</v>
      </c>
      <c r="F4489" s="3" t="s">
        <v>16</v>
      </c>
      <c r="G4489" s="3" t="s">
        <v>1662</v>
      </c>
      <c r="H4489" s="3" t="s">
        <v>16</v>
      </c>
      <c r="I4489" s="3" t="s">
        <v>1466</v>
      </c>
    </row>
    <row r="4490" spans="1:9" s="5" customFormat="1" x14ac:dyDescent="0.35">
      <c r="A4490" s="3" t="s">
        <v>1185</v>
      </c>
      <c r="B4490" s="3" t="s">
        <v>1652</v>
      </c>
      <c r="C4490" s="3" t="s">
        <v>20</v>
      </c>
      <c r="D4490" s="3" t="s">
        <v>1663</v>
      </c>
      <c r="E4490" s="3" t="s">
        <v>23</v>
      </c>
      <c r="F4490" s="3" t="s">
        <v>16</v>
      </c>
      <c r="G4490" s="3" t="s">
        <v>1664</v>
      </c>
      <c r="H4490" s="3" t="s">
        <v>16</v>
      </c>
      <c r="I4490" s="3" t="s">
        <v>1466</v>
      </c>
    </row>
    <row r="4491" spans="1:9" s="5" customFormat="1" x14ac:dyDescent="0.35">
      <c r="A4491" s="3" t="s">
        <v>1185</v>
      </c>
      <c r="B4491" s="3" t="s">
        <v>1652</v>
      </c>
      <c r="C4491" s="3" t="s">
        <v>20</v>
      </c>
      <c r="D4491" s="3" t="s">
        <v>1663</v>
      </c>
      <c r="E4491" s="3" t="s">
        <v>1196</v>
      </c>
      <c r="F4491" s="3"/>
      <c r="G4491" s="3"/>
      <c r="H4491" s="3" t="s">
        <v>16</v>
      </c>
      <c r="I4491" s="3" t="s">
        <v>1466</v>
      </c>
    </row>
    <row r="4492" spans="1:9" s="5" customFormat="1" x14ac:dyDescent="0.35">
      <c r="A4492" s="3" t="s">
        <v>1185</v>
      </c>
      <c r="B4492" s="3" t="s">
        <v>1652</v>
      </c>
      <c r="C4492" s="3" t="s">
        <v>20</v>
      </c>
      <c r="D4492" s="3" t="s">
        <v>1663</v>
      </c>
      <c r="E4492" s="3" t="s">
        <v>71</v>
      </c>
      <c r="F4492" s="3"/>
      <c r="G4492" s="3"/>
      <c r="H4492" s="3" t="s">
        <v>16</v>
      </c>
      <c r="I4492" s="3" t="s">
        <v>1466</v>
      </c>
    </row>
    <row r="4493" spans="1:9" s="5" customFormat="1" x14ac:dyDescent="0.35">
      <c r="A4493" s="3" t="s">
        <v>1185</v>
      </c>
      <c r="B4493" s="3" t="s">
        <v>1652</v>
      </c>
      <c r="C4493" s="3" t="s">
        <v>20</v>
      </c>
      <c r="D4493" s="3" t="s">
        <v>1663</v>
      </c>
      <c r="E4493" s="3" t="s">
        <v>77</v>
      </c>
      <c r="F4493" s="3"/>
      <c r="G4493" s="3"/>
      <c r="H4493" s="3" t="s">
        <v>16</v>
      </c>
      <c r="I4493" s="3" t="s">
        <v>1466</v>
      </c>
    </row>
    <row r="4494" spans="1:9" s="5" customFormat="1" x14ac:dyDescent="0.35">
      <c r="A4494" s="3" t="s">
        <v>1185</v>
      </c>
      <c r="B4494" s="3" t="s">
        <v>1652</v>
      </c>
      <c r="C4494" s="3" t="s">
        <v>20</v>
      </c>
      <c r="D4494" s="3" t="s">
        <v>1663</v>
      </c>
      <c r="E4494" s="3" t="s">
        <v>87</v>
      </c>
      <c r="F4494" s="3" t="s">
        <v>16</v>
      </c>
      <c r="G4494" s="3" t="s">
        <v>1211</v>
      </c>
      <c r="H4494" s="3" t="s">
        <v>16</v>
      </c>
      <c r="I4494" s="3" t="s">
        <v>1466</v>
      </c>
    </row>
    <row r="4495" spans="1:9" s="5" customFormat="1" x14ac:dyDescent="0.35">
      <c r="A4495" s="3" t="s">
        <v>1185</v>
      </c>
      <c r="B4495" s="3" t="s">
        <v>1652</v>
      </c>
      <c r="C4495" s="3" t="s">
        <v>20</v>
      </c>
      <c r="D4495" s="3" t="s">
        <v>1663</v>
      </c>
      <c r="E4495" s="3" t="s">
        <v>15</v>
      </c>
      <c r="F4495" s="3" t="s">
        <v>16</v>
      </c>
      <c r="G4495" s="3" t="s">
        <v>1208</v>
      </c>
      <c r="H4495" s="3" t="s">
        <v>16</v>
      </c>
      <c r="I4495" s="3" t="s">
        <v>1466</v>
      </c>
    </row>
    <row r="4496" spans="1:9" s="5" customFormat="1" x14ac:dyDescent="0.35">
      <c r="A4496" s="3" t="s">
        <v>1185</v>
      </c>
      <c r="B4496" s="3" t="s">
        <v>1652</v>
      </c>
      <c r="C4496" s="3" t="s">
        <v>20</v>
      </c>
      <c r="D4496" s="3" t="s">
        <v>1663</v>
      </c>
      <c r="E4496" s="3" t="s">
        <v>56</v>
      </c>
      <c r="F4496" s="3" t="s">
        <v>16</v>
      </c>
      <c r="G4496" s="3" t="s">
        <v>1206</v>
      </c>
      <c r="H4496" s="3" t="s">
        <v>16</v>
      </c>
      <c r="I4496" s="3" t="s">
        <v>1466</v>
      </c>
    </row>
    <row r="4497" spans="1:9" s="5" customFormat="1" x14ac:dyDescent="0.35">
      <c r="A4497" s="3" t="s">
        <v>1185</v>
      </c>
      <c r="B4497" s="3" t="s">
        <v>1652</v>
      </c>
      <c r="C4497" s="3" t="s">
        <v>20</v>
      </c>
      <c r="D4497" s="3" t="s">
        <v>1663</v>
      </c>
      <c r="E4497" s="3" t="s">
        <v>24</v>
      </c>
      <c r="F4497" s="3"/>
      <c r="G4497" s="3"/>
      <c r="H4497" s="3" t="s">
        <v>16</v>
      </c>
      <c r="I4497" s="3" t="s">
        <v>1466</v>
      </c>
    </row>
    <row r="4498" spans="1:9" s="5" customFormat="1" x14ac:dyDescent="0.35">
      <c r="A4498" s="3" t="s">
        <v>1185</v>
      </c>
      <c r="B4498" s="3" t="s">
        <v>1652</v>
      </c>
      <c r="C4498" s="3" t="s">
        <v>20</v>
      </c>
      <c r="D4498" s="3" t="s">
        <v>1665</v>
      </c>
      <c r="E4498" s="3" t="s">
        <v>23</v>
      </c>
      <c r="F4498" s="3" t="s">
        <v>16</v>
      </c>
      <c r="G4498" s="3" t="s">
        <v>1666</v>
      </c>
      <c r="H4498" s="3" t="s">
        <v>16</v>
      </c>
      <c r="I4498" s="3" t="s">
        <v>1466</v>
      </c>
    </row>
    <row r="4499" spans="1:9" s="5" customFormat="1" x14ac:dyDescent="0.35">
      <c r="A4499" s="3" t="s">
        <v>1185</v>
      </c>
      <c r="B4499" s="3" t="s">
        <v>1652</v>
      </c>
      <c r="C4499" s="3" t="s">
        <v>20</v>
      </c>
      <c r="D4499" s="3" t="s">
        <v>1665</v>
      </c>
      <c r="E4499" s="3" t="s">
        <v>56</v>
      </c>
      <c r="F4499" s="3"/>
      <c r="G4499" s="3"/>
      <c r="H4499" s="3" t="s">
        <v>16</v>
      </c>
      <c r="I4499" s="3" t="s">
        <v>1466</v>
      </c>
    </row>
    <row r="4500" spans="1:9" s="5" customFormat="1" x14ac:dyDescent="0.35">
      <c r="A4500" s="3" t="s">
        <v>1185</v>
      </c>
      <c r="B4500" s="3" t="s">
        <v>1652</v>
      </c>
      <c r="C4500" s="3" t="s">
        <v>45</v>
      </c>
      <c r="D4500" s="3" t="s">
        <v>1667</v>
      </c>
      <c r="E4500" s="3" t="s">
        <v>23</v>
      </c>
      <c r="F4500" s="3"/>
      <c r="G4500" s="3"/>
      <c r="H4500" s="3"/>
      <c r="I4500" s="3"/>
    </row>
    <row r="4501" spans="1:9" s="5" customFormat="1" x14ac:dyDescent="0.35">
      <c r="A4501" s="3" t="s">
        <v>1185</v>
      </c>
      <c r="B4501" s="3" t="s">
        <v>1652</v>
      </c>
      <c r="C4501" s="3" t="s">
        <v>45</v>
      </c>
      <c r="D4501" s="3" t="s">
        <v>1667</v>
      </c>
      <c r="E4501" s="3" t="s">
        <v>77</v>
      </c>
      <c r="F4501" s="3"/>
      <c r="G4501" s="3"/>
      <c r="H4501" s="3"/>
      <c r="I4501" s="3"/>
    </row>
    <row r="4502" spans="1:9" s="5" customFormat="1" x14ac:dyDescent="0.35">
      <c r="A4502" s="3" t="s">
        <v>1185</v>
      </c>
      <c r="B4502" s="3" t="s">
        <v>1652</v>
      </c>
      <c r="C4502" s="3" t="s">
        <v>45</v>
      </c>
      <c r="D4502" s="3" t="s">
        <v>1667</v>
      </c>
      <c r="E4502" s="3" t="s">
        <v>87</v>
      </c>
      <c r="F4502" s="3"/>
      <c r="G4502" s="3"/>
      <c r="H4502" s="3"/>
      <c r="I4502" s="3"/>
    </row>
    <row r="4503" spans="1:9" s="5" customFormat="1" x14ac:dyDescent="0.35">
      <c r="A4503" s="3" t="s">
        <v>1185</v>
      </c>
      <c r="B4503" s="3" t="s">
        <v>1652</v>
      </c>
      <c r="C4503" s="3" t="s">
        <v>45</v>
      </c>
      <c r="D4503" s="3" t="s">
        <v>1667</v>
      </c>
      <c r="E4503" s="3" t="s">
        <v>15</v>
      </c>
      <c r="F4503" s="3" t="s">
        <v>16</v>
      </c>
      <c r="G4503" s="3" t="s">
        <v>1668</v>
      </c>
      <c r="H4503" s="3"/>
      <c r="I4503" s="3"/>
    </row>
    <row r="4504" spans="1:9" s="5" customFormat="1" x14ac:dyDescent="0.35">
      <c r="A4504" s="3" t="s">
        <v>1185</v>
      </c>
      <c r="B4504" s="3" t="s">
        <v>1652</v>
      </c>
      <c r="C4504" s="3" t="s">
        <v>45</v>
      </c>
      <c r="D4504" s="3" t="s">
        <v>1667</v>
      </c>
      <c r="E4504" s="3" t="s">
        <v>24</v>
      </c>
      <c r="F4504" s="3"/>
      <c r="G4504" s="3"/>
      <c r="H4504" s="3"/>
      <c r="I4504" s="3"/>
    </row>
    <row r="4505" spans="1:9" s="5" customFormat="1" x14ac:dyDescent="0.35">
      <c r="A4505" s="3" t="s">
        <v>1185</v>
      </c>
      <c r="B4505" s="3" t="s">
        <v>1652</v>
      </c>
      <c r="C4505" s="3" t="s">
        <v>10</v>
      </c>
      <c r="D4505" s="3" t="s">
        <v>1669</v>
      </c>
      <c r="E4505" s="3" t="s">
        <v>77</v>
      </c>
      <c r="F4505" s="3"/>
      <c r="G4505" s="3"/>
      <c r="H4505" s="3" t="s">
        <v>16</v>
      </c>
      <c r="I4505" s="3" t="s">
        <v>1466</v>
      </c>
    </row>
    <row r="4506" spans="1:9" s="5" customFormat="1" x14ac:dyDescent="0.35">
      <c r="A4506" s="3" t="s">
        <v>1185</v>
      </c>
      <c r="B4506" s="3" t="s">
        <v>1652</v>
      </c>
      <c r="C4506" s="3" t="s">
        <v>10</v>
      </c>
      <c r="D4506" s="3" t="s">
        <v>1669</v>
      </c>
      <c r="E4506" s="3" t="s">
        <v>15</v>
      </c>
      <c r="F4506" s="3" t="s">
        <v>16</v>
      </c>
      <c r="G4506" s="3" t="s">
        <v>1670</v>
      </c>
      <c r="H4506" s="3" t="s">
        <v>16</v>
      </c>
      <c r="I4506" s="3" t="s">
        <v>1466</v>
      </c>
    </row>
    <row r="4507" spans="1:9" s="5" customFormat="1" x14ac:dyDescent="0.35">
      <c r="A4507" s="3" t="s">
        <v>1185</v>
      </c>
      <c r="B4507" s="3" t="s">
        <v>1652</v>
      </c>
      <c r="C4507" s="3" t="s">
        <v>45</v>
      </c>
      <c r="D4507" s="3" t="s">
        <v>1671</v>
      </c>
      <c r="E4507" s="3" t="s">
        <v>77</v>
      </c>
      <c r="F4507" s="3"/>
      <c r="G4507" s="3"/>
      <c r="H4507" s="3"/>
      <c r="I4507" s="3"/>
    </row>
    <row r="4508" spans="1:9" s="5" customFormat="1" x14ac:dyDescent="0.35">
      <c r="A4508" s="3" t="s">
        <v>1185</v>
      </c>
      <c r="B4508" s="3" t="s">
        <v>1652</v>
      </c>
      <c r="C4508" s="3" t="s">
        <v>45</v>
      </c>
      <c r="D4508" s="3" t="s">
        <v>1671</v>
      </c>
      <c r="E4508" s="3" t="s">
        <v>87</v>
      </c>
      <c r="F4508" s="3"/>
      <c r="G4508" s="3"/>
      <c r="H4508" s="3"/>
      <c r="I4508" s="3"/>
    </row>
    <row r="4509" spans="1:9" s="5" customFormat="1" x14ac:dyDescent="0.35">
      <c r="A4509" s="3" t="s">
        <v>1185</v>
      </c>
      <c r="B4509" s="3" t="s">
        <v>2521</v>
      </c>
      <c r="C4509" s="3" t="s">
        <v>42</v>
      </c>
      <c r="D4509" s="3" t="s">
        <v>2522</v>
      </c>
      <c r="E4509" s="3" t="s">
        <v>23</v>
      </c>
      <c r="F4509" s="3"/>
      <c r="G4509" s="3"/>
      <c r="H4509" s="3"/>
      <c r="I4509" s="3"/>
    </row>
    <row r="4510" spans="1:9" s="5" customFormat="1" x14ac:dyDescent="0.35">
      <c r="A4510" s="3" t="s">
        <v>1185</v>
      </c>
      <c r="B4510" s="3" t="s">
        <v>2521</v>
      </c>
      <c r="C4510" s="3" t="s">
        <v>42</v>
      </c>
      <c r="D4510" s="3" t="s">
        <v>2522</v>
      </c>
      <c r="E4510" s="3" t="s">
        <v>77</v>
      </c>
      <c r="F4510" s="3"/>
      <c r="G4510" s="3" t="s">
        <v>2484</v>
      </c>
      <c r="H4510" s="3"/>
      <c r="I4510" s="3"/>
    </row>
    <row r="4511" spans="1:9" s="5" customFormat="1" x14ac:dyDescent="0.35">
      <c r="A4511" s="3" t="s">
        <v>1185</v>
      </c>
      <c r="B4511" s="3" t="s">
        <v>2521</v>
      </c>
      <c r="C4511" s="3" t="s">
        <v>42</v>
      </c>
      <c r="D4511" s="3" t="s">
        <v>2522</v>
      </c>
      <c r="E4511" s="3" t="s">
        <v>87</v>
      </c>
      <c r="F4511" s="3"/>
      <c r="G4511" s="3"/>
      <c r="H4511" s="3"/>
      <c r="I4511" s="3"/>
    </row>
    <row r="4512" spans="1:9" s="5" customFormat="1" x14ac:dyDescent="0.35">
      <c r="A4512" s="3" t="s">
        <v>1185</v>
      </c>
      <c r="B4512" s="3" t="s">
        <v>2521</v>
      </c>
      <c r="C4512" s="3" t="s">
        <v>42</v>
      </c>
      <c r="D4512" s="3" t="s">
        <v>2522</v>
      </c>
      <c r="E4512" s="3" t="s">
        <v>98</v>
      </c>
      <c r="F4512" s="3"/>
      <c r="G4512" s="3"/>
      <c r="H4512" s="3"/>
      <c r="I4512" s="3"/>
    </row>
    <row r="4513" spans="1:9" s="5" customFormat="1" x14ac:dyDescent="0.35">
      <c r="A4513" s="3" t="s">
        <v>1185</v>
      </c>
      <c r="B4513" s="3" t="s">
        <v>2521</v>
      </c>
      <c r="C4513" s="3" t="s">
        <v>42</v>
      </c>
      <c r="D4513" s="3" t="s">
        <v>2522</v>
      </c>
      <c r="E4513" s="3" t="s">
        <v>24</v>
      </c>
      <c r="F4513" s="3"/>
      <c r="G4513" s="3"/>
      <c r="H4513" s="3"/>
      <c r="I4513" s="3"/>
    </row>
    <row r="4514" spans="1:9" s="5" customFormat="1" x14ac:dyDescent="0.35">
      <c r="A4514" s="3" t="s">
        <v>1185</v>
      </c>
      <c r="B4514" s="3" t="s">
        <v>2572</v>
      </c>
      <c r="C4514" s="3" t="s">
        <v>42</v>
      </c>
      <c r="D4514" s="3" t="s">
        <v>2573</v>
      </c>
      <c r="E4514" s="3" t="s">
        <v>27</v>
      </c>
      <c r="F4514" s="3"/>
      <c r="G4514" s="3"/>
      <c r="H4514" s="3" t="s">
        <v>16</v>
      </c>
      <c r="I4514" s="3" t="s">
        <v>1459</v>
      </c>
    </row>
    <row r="4515" spans="1:9" s="5" customFormat="1" x14ac:dyDescent="0.35">
      <c r="A4515" s="3" t="s">
        <v>1185</v>
      </c>
      <c r="B4515" s="3" t="s">
        <v>2572</v>
      </c>
      <c r="C4515" s="3" t="s">
        <v>42</v>
      </c>
      <c r="D4515" s="3" t="s">
        <v>2573</v>
      </c>
      <c r="E4515" s="3" t="s">
        <v>15</v>
      </c>
      <c r="F4515" s="3" t="s">
        <v>16</v>
      </c>
      <c r="G4515" s="3" t="s">
        <v>2574</v>
      </c>
      <c r="H4515" s="3" t="s">
        <v>16</v>
      </c>
      <c r="I4515" s="3" t="s">
        <v>1459</v>
      </c>
    </row>
    <row r="4516" spans="1:9" s="5" customFormat="1" x14ac:dyDescent="0.35">
      <c r="A4516" s="3" t="s">
        <v>1185</v>
      </c>
      <c r="B4516" s="3" t="s">
        <v>2270</v>
      </c>
      <c r="C4516" s="3" t="s">
        <v>42</v>
      </c>
      <c r="D4516" s="3" t="s">
        <v>2271</v>
      </c>
      <c r="E4516" s="3" t="s">
        <v>12</v>
      </c>
      <c r="F4516" s="3"/>
      <c r="G4516" s="3"/>
      <c r="H4516" s="3" t="s">
        <v>16</v>
      </c>
      <c r="I4516" s="3" t="s">
        <v>1459</v>
      </c>
    </row>
    <row r="4517" spans="1:9" s="5" customFormat="1" x14ac:dyDescent="0.35">
      <c r="A4517" s="3" t="s">
        <v>1185</v>
      </c>
      <c r="B4517" s="3" t="s">
        <v>2270</v>
      </c>
      <c r="C4517" s="3" t="s">
        <v>42</v>
      </c>
      <c r="D4517" s="3" t="s">
        <v>2271</v>
      </c>
      <c r="E4517" s="3" t="s">
        <v>25</v>
      </c>
      <c r="F4517" s="3" t="s">
        <v>16</v>
      </c>
      <c r="G4517" s="3" t="s">
        <v>2273</v>
      </c>
      <c r="H4517" s="3" t="s">
        <v>16</v>
      </c>
      <c r="I4517" s="3" t="s">
        <v>1459</v>
      </c>
    </row>
    <row r="4518" spans="1:9" s="5" customFormat="1" x14ac:dyDescent="0.35">
      <c r="A4518" s="3" t="s">
        <v>1185</v>
      </c>
      <c r="B4518" s="3" t="s">
        <v>2270</v>
      </c>
      <c r="C4518" s="3" t="s">
        <v>42</v>
      </c>
      <c r="D4518" s="3" t="s">
        <v>2271</v>
      </c>
      <c r="E4518" s="3" t="s">
        <v>27</v>
      </c>
      <c r="F4518" s="3" t="s">
        <v>16</v>
      </c>
      <c r="G4518" s="3" t="s">
        <v>2272</v>
      </c>
      <c r="H4518" s="3" t="s">
        <v>16</v>
      </c>
      <c r="I4518" s="3" t="s">
        <v>1459</v>
      </c>
    </row>
    <row r="4519" spans="1:9" s="5" customFormat="1" x14ac:dyDescent="0.35">
      <c r="A4519" s="3" t="s">
        <v>1185</v>
      </c>
      <c r="B4519" s="3" t="s">
        <v>2270</v>
      </c>
      <c r="C4519" s="3" t="s">
        <v>42</v>
      </c>
      <c r="D4519" s="3" t="s">
        <v>2271</v>
      </c>
      <c r="E4519" s="3" t="s">
        <v>15</v>
      </c>
      <c r="F4519" s="3" t="s">
        <v>16</v>
      </c>
      <c r="G4519" s="3" t="s">
        <v>2274</v>
      </c>
      <c r="H4519" s="3" t="s">
        <v>16</v>
      </c>
      <c r="I4519" s="3" t="s">
        <v>1459</v>
      </c>
    </row>
    <row r="4520" spans="1:9" s="5" customFormat="1" x14ac:dyDescent="0.35">
      <c r="A4520" s="3" t="s">
        <v>1185</v>
      </c>
      <c r="B4520" s="3" t="s">
        <v>2270</v>
      </c>
      <c r="C4520" s="3" t="s">
        <v>42</v>
      </c>
      <c r="D4520" s="3" t="s">
        <v>2271</v>
      </c>
      <c r="E4520" s="3" t="s">
        <v>24</v>
      </c>
      <c r="F4520" s="3" t="s">
        <v>16</v>
      </c>
      <c r="G4520" s="3" t="s">
        <v>2275</v>
      </c>
      <c r="H4520" s="3" t="s">
        <v>16</v>
      </c>
      <c r="I4520" s="3" t="s">
        <v>1459</v>
      </c>
    </row>
    <row r="4521" spans="1:9" s="5" customFormat="1" x14ac:dyDescent="0.35">
      <c r="A4521" s="3" t="s">
        <v>1185</v>
      </c>
      <c r="B4521" s="3" t="s">
        <v>2270</v>
      </c>
      <c r="C4521" s="3" t="s">
        <v>42</v>
      </c>
      <c r="D4521" s="3" t="s">
        <v>2271</v>
      </c>
      <c r="E4521" s="3" t="s">
        <v>630</v>
      </c>
      <c r="F4521" s="3" t="s">
        <v>16</v>
      </c>
      <c r="G4521" s="3" t="s">
        <v>2276</v>
      </c>
      <c r="H4521" s="3" t="s">
        <v>16</v>
      </c>
      <c r="I4521" s="3" t="s">
        <v>1459</v>
      </c>
    </row>
    <row r="4522" spans="1:9" s="5" customFormat="1" x14ac:dyDescent="0.35">
      <c r="A4522" s="3" t="s">
        <v>1185</v>
      </c>
      <c r="B4522" s="3" t="s">
        <v>1672</v>
      </c>
      <c r="C4522" s="3" t="s">
        <v>20</v>
      </c>
      <c r="D4522" s="3" t="s">
        <v>1673</v>
      </c>
      <c r="E4522" s="3" t="s">
        <v>15</v>
      </c>
      <c r="F4522" s="3" t="s">
        <v>16</v>
      </c>
      <c r="G4522" s="3" t="s">
        <v>1505</v>
      </c>
      <c r="H4522" s="3"/>
      <c r="I4522" s="3"/>
    </row>
    <row r="4523" spans="1:9" s="5" customFormat="1" x14ac:dyDescent="0.35">
      <c r="A4523" s="3" t="s">
        <v>1185</v>
      </c>
      <c r="B4523" s="3" t="s">
        <v>1672</v>
      </c>
      <c r="C4523" s="3" t="s">
        <v>45</v>
      </c>
      <c r="D4523" s="3" t="s">
        <v>1674</v>
      </c>
      <c r="E4523" s="3" t="s">
        <v>28</v>
      </c>
      <c r="F4523" s="3"/>
      <c r="G4523" s="3"/>
      <c r="H4523" s="3" t="s">
        <v>16</v>
      </c>
      <c r="I4523" s="3" t="s">
        <v>1675</v>
      </c>
    </row>
    <row r="4524" spans="1:9" s="5" customFormat="1" x14ac:dyDescent="0.35">
      <c r="A4524" s="3" t="s">
        <v>1185</v>
      </c>
      <c r="B4524" s="3" t="s">
        <v>1672</v>
      </c>
      <c r="C4524" s="3" t="s">
        <v>45</v>
      </c>
      <c r="D4524" s="3" t="s">
        <v>1674</v>
      </c>
      <c r="E4524" s="3" t="s">
        <v>24</v>
      </c>
      <c r="F4524" s="3"/>
      <c r="G4524" s="3"/>
      <c r="H4524" s="3" t="s">
        <v>16</v>
      </c>
      <c r="I4524" s="3" t="s">
        <v>1675</v>
      </c>
    </row>
    <row r="4525" spans="1:9" s="5" customFormat="1" x14ac:dyDescent="0.35">
      <c r="A4525" s="3" t="s">
        <v>1185</v>
      </c>
      <c r="B4525" s="3" t="s">
        <v>1672</v>
      </c>
      <c r="C4525" s="3" t="s">
        <v>45</v>
      </c>
      <c r="D4525" s="3" t="s">
        <v>1676</v>
      </c>
      <c r="E4525" s="3" t="s">
        <v>23</v>
      </c>
      <c r="F4525" s="3" t="s">
        <v>16</v>
      </c>
      <c r="G4525" s="3" t="s">
        <v>1677</v>
      </c>
      <c r="H4525" s="3"/>
      <c r="I4525" s="3"/>
    </row>
    <row r="4526" spans="1:9" s="5" customFormat="1" x14ac:dyDescent="0.35">
      <c r="A4526" s="3" t="s">
        <v>1185</v>
      </c>
      <c r="B4526" s="3" t="s">
        <v>1672</v>
      </c>
      <c r="C4526" s="3" t="s">
        <v>45</v>
      </c>
      <c r="D4526" s="3" t="s">
        <v>1676</v>
      </c>
      <c r="E4526" s="3" t="s">
        <v>15</v>
      </c>
      <c r="F4526" s="3" t="s">
        <v>16</v>
      </c>
      <c r="G4526" s="3" t="s">
        <v>1678</v>
      </c>
      <c r="H4526" s="3"/>
      <c r="I4526" s="3"/>
    </row>
    <row r="4527" spans="1:9" s="5" customFormat="1" x14ac:dyDescent="0.35">
      <c r="A4527" s="3" t="s">
        <v>1185</v>
      </c>
      <c r="B4527" s="3" t="s">
        <v>1672</v>
      </c>
      <c r="C4527" s="3" t="s">
        <v>39</v>
      </c>
      <c r="D4527" s="3" t="s">
        <v>1679</v>
      </c>
      <c r="E4527" s="3" t="s">
        <v>27</v>
      </c>
      <c r="F4527" s="3"/>
      <c r="G4527" s="3"/>
      <c r="H4527" s="3"/>
      <c r="I4527" s="3"/>
    </row>
    <row r="4528" spans="1:9" s="5" customFormat="1" x14ac:dyDescent="0.35">
      <c r="A4528" s="3" t="s">
        <v>1185</v>
      </c>
      <c r="B4528" s="3" t="s">
        <v>1672</v>
      </c>
      <c r="C4528" s="3" t="s">
        <v>39</v>
      </c>
      <c r="D4528" s="3" t="s">
        <v>1679</v>
      </c>
      <c r="E4528" s="3" t="s">
        <v>15</v>
      </c>
      <c r="F4528" s="3" t="s">
        <v>16</v>
      </c>
      <c r="G4528" s="3" t="s">
        <v>1680</v>
      </c>
      <c r="H4528" s="3"/>
      <c r="I4528" s="3"/>
    </row>
    <row r="4529" spans="1:9" s="5" customFormat="1" x14ac:dyDescent="0.35">
      <c r="A4529" s="3" t="s">
        <v>1185</v>
      </c>
      <c r="B4529" s="3" t="s">
        <v>1672</v>
      </c>
      <c r="C4529" s="3" t="s">
        <v>39</v>
      </c>
      <c r="D4529" s="3" t="s">
        <v>1679</v>
      </c>
      <c r="E4529" s="3" t="s">
        <v>56</v>
      </c>
      <c r="F4529" s="3" t="s">
        <v>16</v>
      </c>
      <c r="G4529" s="3" t="s">
        <v>1474</v>
      </c>
      <c r="H4529" s="3"/>
      <c r="I4529" s="3"/>
    </row>
    <row r="4530" spans="1:9" s="5" customFormat="1" x14ac:dyDescent="0.35">
      <c r="A4530" s="3" t="s">
        <v>1185</v>
      </c>
      <c r="B4530" s="3" t="s">
        <v>1672</v>
      </c>
      <c r="C4530" s="3" t="s">
        <v>42</v>
      </c>
      <c r="D4530" s="3" t="s">
        <v>1681</v>
      </c>
      <c r="E4530" s="3" t="s">
        <v>23</v>
      </c>
      <c r="F4530" s="3"/>
      <c r="G4530" s="3"/>
      <c r="H4530" s="3"/>
      <c r="I4530" s="3"/>
    </row>
    <row r="4531" spans="1:9" s="5" customFormat="1" x14ac:dyDescent="0.35">
      <c r="A4531" s="3" t="s">
        <v>1185</v>
      </c>
      <c r="B4531" s="3" t="s">
        <v>1672</v>
      </c>
      <c r="C4531" s="3" t="s">
        <v>42</v>
      </c>
      <c r="D4531" s="3" t="s">
        <v>1681</v>
      </c>
      <c r="E4531" s="3" t="s">
        <v>27</v>
      </c>
      <c r="F4531" s="3"/>
      <c r="G4531" s="3"/>
      <c r="H4531" s="3"/>
      <c r="I4531" s="3"/>
    </row>
    <row r="4532" spans="1:9" s="5" customFormat="1" x14ac:dyDescent="0.35">
      <c r="A4532" s="3" t="s">
        <v>1185</v>
      </c>
      <c r="B4532" s="3" t="s">
        <v>1672</v>
      </c>
      <c r="C4532" s="3" t="s">
        <v>42</v>
      </c>
      <c r="D4532" s="3" t="s">
        <v>1681</v>
      </c>
      <c r="E4532" s="3" t="s">
        <v>77</v>
      </c>
      <c r="F4532" s="3"/>
      <c r="G4532" s="3"/>
      <c r="H4532" s="3"/>
      <c r="I4532" s="3"/>
    </row>
    <row r="4533" spans="1:9" s="5" customFormat="1" x14ac:dyDescent="0.35">
      <c r="A4533" s="3" t="s">
        <v>1185</v>
      </c>
      <c r="B4533" s="3" t="s">
        <v>1672</v>
      </c>
      <c r="C4533" s="3" t="s">
        <v>42</v>
      </c>
      <c r="D4533" s="3" t="s">
        <v>1681</v>
      </c>
      <c r="E4533" s="3" t="s">
        <v>15</v>
      </c>
      <c r="F4533" s="3" t="s">
        <v>16</v>
      </c>
      <c r="G4533" s="3" t="s">
        <v>1682</v>
      </c>
      <c r="H4533" s="3"/>
      <c r="I4533" s="3"/>
    </row>
    <row r="4534" spans="1:9" s="5" customFormat="1" x14ac:dyDescent="0.35">
      <c r="A4534" s="3" t="s">
        <v>1185</v>
      </c>
      <c r="B4534" s="3" t="s">
        <v>1672</v>
      </c>
      <c r="C4534" s="3" t="s">
        <v>42</v>
      </c>
      <c r="D4534" s="3" t="s">
        <v>1681</v>
      </c>
      <c r="E4534" s="3" t="s">
        <v>29</v>
      </c>
      <c r="F4534" s="3"/>
      <c r="G4534" s="3"/>
      <c r="H4534" s="3"/>
      <c r="I4534" s="3"/>
    </row>
    <row r="4535" spans="1:9" s="5" customFormat="1" x14ac:dyDescent="0.35">
      <c r="A4535" s="3" t="s">
        <v>1185</v>
      </c>
      <c r="B4535" s="3" t="s">
        <v>1672</v>
      </c>
      <c r="C4535" s="3" t="s">
        <v>20</v>
      </c>
      <c r="D4535" s="3" t="s">
        <v>1683</v>
      </c>
      <c r="E4535" s="3" t="s">
        <v>60</v>
      </c>
      <c r="F4535" s="3"/>
      <c r="G4535" s="3"/>
      <c r="H4535" s="3"/>
      <c r="I4535" s="3"/>
    </row>
    <row r="4536" spans="1:9" s="5" customFormat="1" x14ac:dyDescent="0.35">
      <c r="A4536" s="3" t="s">
        <v>1185</v>
      </c>
      <c r="B4536" s="3" t="s">
        <v>1672</v>
      </c>
      <c r="C4536" s="3" t="s">
        <v>20</v>
      </c>
      <c r="D4536" s="3" t="s">
        <v>1683</v>
      </c>
      <c r="E4536" s="3" t="s">
        <v>27</v>
      </c>
      <c r="F4536" s="3"/>
      <c r="G4536" s="3"/>
      <c r="H4536" s="3"/>
      <c r="I4536" s="3"/>
    </row>
    <row r="4537" spans="1:9" s="5" customFormat="1" x14ac:dyDescent="0.35">
      <c r="A4537" s="3" t="s">
        <v>1185</v>
      </c>
      <c r="B4537" s="3" t="s">
        <v>1672</v>
      </c>
      <c r="C4537" s="3" t="s">
        <v>20</v>
      </c>
      <c r="D4537" s="3" t="s">
        <v>1683</v>
      </c>
      <c r="E4537" s="3" t="s">
        <v>15</v>
      </c>
      <c r="F4537" s="3" t="s">
        <v>16</v>
      </c>
      <c r="G4537" s="3" t="s">
        <v>1684</v>
      </c>
      <c r="H4537" s="3"/>
      <c r="I4537" s="3"/>
    </row>
    <row r="4538" spans="1:9" s="5" customFormat="1" x14ac:dyDescent="0.35">
      <c r="A4538" s="3" t="s">
        <v>1185</v>
      </c>
      <c r="B4538" s="3" t="s">
        <v>1672</v>
      </c>
      <c r="C4538" s="3" t="s">
        <v>20</v>
      </c>
      <c r="D4538" s="3" t="s">
        <v>1683</v>
      </c>
      <c r="E4538" s="3" t="s">
        <v>32</v>
      </c>
      <c r="F4538" s="3"/>
      <c r="G4538" s="3" t="s">
        <v>2405</v>
      </c>
      <c r="H4538" s="3"/>
      <c r="I4538" s="3"/>
    </row>
    <row r="4539" spans="1:9" s="5" customFormat="1" x14ac:dyDescent="0.35">
      <c r="A4539" s="3" t="s">
        <v>1185</v>
      </c>
      <c r="B4539" s="3" t="s">
        <v>1672</v>
      </c>
      <c r="C4539" s="3" t="s">
        <v>45</v>
      </c>
      <c r="D4539" s="3" t="s">
        <v>1685</v>
      </c>
      <c r="E4539" s="3" t="s">
        <v>23</v>
      </c>
      <c r="F4539" s="3" t="s">
        <v>16</v>
      </c>
      <c r="G4539" s="3" t="s">
        <v>1686</v>
      </c>
      <c r="H4539" s="3"/>
      <c r="I4539" s="3"/>
    </row>
    <row r="4540" spans="1:9" s="5" customFormat="1" x14ac:dyDescent="0.35">
      <c r="A4540" s="3" t="s">
        <v>1185</v>
      </c>
      <c r="B4540" s="3" t="s">
        <v>1672</v>
      </c>
      <c r="C4540" s="3" t="s">
        <v>45</v>
      </c>
      <c r="D4540" s="3" t="s">
        <v>1685</v>
      </c>
      <c r="E4540" s="3" t="s">
        <v>60</v>
      </c>
      <c r="F4540" s="3" t="s">
        <v>16</v>
      </c>
      <c r="G4540" s="3" t="s">
        <v>990</v>
      </c>
      <c r="H4540" s="3"/>
      <c r="I4540" s="3"/>
    </row>
    <row r="4541" spans="1:9" s="5" customFormat="1" x14ac:dyDescent="0.35">
      <c r="A4541" s="3" t="s">
        <v>1185</v>
      </c>
      <c r="B4541" s="3" t="s">
        <v>1672</v>
      </c>
      <c r="C4541" s="3" t="s">
        <v>45</v>
      </c>
      <c r="D4541" s="3" t="s">
        <v>1685</v>
      </c>
      <c r="E4541" s="3" t="s">
        <v>27</v>
      </c>
      <c r="F4541" s="3"/>
      <c r="G4541" s="3"/>
      <c r="H4541" s="3"/>
      <c r="I4541" s="3"/>
    </row>
    <row r="4542" spans="1:9" s="5" customFormat="1" x14ac:dyDescent="0.35">
      <c r="A4542" s="3" t="s">
        <v>1185</v>
      </c>
      <c r="B4542" s="3" t="s">
        <v>1672</v>
      </c>
      <c r="C4542" s="3" t="s">
        <v>45</v>
      </c>
      <c r="D4542" s="3" t="s">
        <v>1685</v>
      </c>
      <c r="E4542" s="3" t="s">
        <v>77</v>
      </c>
      <c r="F4542" s="3"/>
      <c r="G4542" s="3"/>
      <c r="H4542" s="3"/>
      <c r="I4542" s="3"/>
    </row>
    <row r="4543" spans="1:9" s="5" customFormat="1" x14ac:dyDescent="0.35">
      <c r="A4543" s="3" t="s">
        <v>1185</v>
      </c>
      <c r="B4543" s="3" t="s">
        <v>1672</v>
      </c>
      <c r="C4543" s="3" t="s">
        <v>45</v>
      </c>
      <c r="D4543" s="3" t="s">
        <v>1685</v>
      </c>
      <c r="E4543" s="3" t="s">
        <v>15</v>
      </c>
      <c r="F4543" s="3" t="s">
        <v>16</v>
      </c>
      <c r="G4543" s="3" t="s">
        <v>1687</v>
      </c>
      <c r="H4543" s="3"/>
      <c r="I4543" s="3"/>
    </row>
    <row r="4544" spans="1:9" s="5" customFormat="1" x14ac:dyDescent="0.35">
      <c r="A4544" s="3" t="s">
        <v>1185</v>
      </c>
      <c r="B4544" s="3" t="s">
        <v>1672</v>
      </c>
      <c r="C4544" s="3" t="s">
        <v>45</v>
      </c>
      <c r="D4544" s="3" t="s">
        <v>1685</v>
      </c>
      <c r="E4544" s="3" t="s">
        <v>24</v>
      </c>
      <c r="F4544" s="3"/>
      <c r="G4544" s="3"/>
      <c r="H4544" s="3"/>
      <c r="I4544" s="3"/>
    </row>
    <row r="4545" spans="1:9" s="5" customFormat="1" x14ac:dyDescent="0.35">
      <c r="A4545" s="3" t="s">
        <v>1688</v>
      </c>
      <c r="B4545" s="3" t="s">
        <v>2757</v>
      </c>
      <c r="C4545" s="3" t="s">
        <v>20</v>
      </c>
      <c r="D4545" s="3" t="s">
        <v>2758</v>
      </c>
      <c r="E4545" s="3" t="s">
        <v>12</v>
      </c>
      <c r="F4545" s="3"/>
      <c r="G4545" s="3"/>
      <c r="H4545" s="3"/>
      <c r="I4545" s="3"/>
    </row>
    <row r="4546" spans="1:9" s="5" customFormat="1" x14ac:dyDescent="0.35">
      <c r="A4546" s="3" t="s">
        <v>1688</v>
      </c>
      <c r="B4546" s="3" t="s">
        <v>2757</v>
      </c>
      <c r="C4546" s="3" t="s">
        <v>20</v>
      </c>
      <c r="D4546" s="3" t="s">
        <v>2758</v>
      </c>
      <c r="E4546" s="3" t="s">
        <v>27</v>
      </c>
      <c r="F4546" s="3"/>
      <c r="G4546" s="3"/>
      <c r="H4546" s="3"/>
      <c r="I4546" s="3"/>
    </row>
    <row r="4547" spans="1:9" s="5" customFormat="1" x14ac:dyDescent="0.35">
      <c r="A4547" s="3" t="s">
        <v>1688</v>
      </c>
      <c r="B4547" s="3" t="s">
        <v>2757</v>
      </c>
      <c r="C4547" s="3" t="s">
        <v>20</v>
      </c>
      <c r="D4547" s="3" t="s">
        <v>2758</v>
      </c>
      <c r="E4547" s="3" t="s">
        <v>87</v>
      </c>
      <c r="F4547" s="3"/>
      <c r="G4547" s="3"/>
      <c r="H4547" s="3"/>
      <c r="I4547" s="3"/>
    </row>
    <row r="4548" spans="1:9" s="5" customFormat="1" x14ac:dyDescent="0.35">
      <c r="A4548" s="3" t="s">
        <v>1688</v>
      </c>
      <c r="B4548" s="3" t="s">
        <v>2757</v>
      </c>
      <c r="C4548" s="3" t="s">
        <v>20</v>
      </c>
      <c r="D4548" s="3" t="s">
        <v>2758</v>
      </c>
      <c r="E4548" s="3" t="s">
        <v>15</v>
      </c>
      <c r="F4548" s="3" t="s">
        <v>16</v>
      </c>
      <c r="G4548" s="3" t="s">
        <v>990</v>
      </c>
      <c r="H4548" s="3"/>
      <c r="I4548" s="3"/>
    </row>
    <row r="4549" spans="1:9" s="5" customFormat="1" x14ac:dyDescent="0.35">
      <c r="A4549" s="3" t="s">
        <v>1688</v>
      </c>
      <c r="B4549" s="3" t="s">
        <v>2757</v>
      </c>
      <c r="C4549" s="3" t="s">
        <v>20</v>
      </c>
      <c r="D4549" s="3" t="s">
        <v>2758</v>
      </c>
      <c r="E4549" s="3" t="s">
        <v>24</v>
      </c>
      <c r="F4549" s="3"/>
      <c r="G4549" s="3"/>
      <c r="H4549" s="3"/>
      <c r="I4549" s="3"/>
    </row>
    <row r="4550" spans="1:9" s="5" customFormat="1" x14ac:dyDescent="0.35">
      <c r="A4550" s="3" t="s">
        <v>1688</v>
      </c>
      <c r="B4550" s="3" t="s">
        <v>1689</v>
      </c>
      <c r="C4550" s="3" t="s">
        <v>20</v>
      </c>
      <c r="D4550" s="3" t="s">
        <v>1690</v>
      </c>
      <c r="E4550" s="3" t="s">
        <v>87</v>
      </c>
      <c r="F4550" s="3" t="s">
        <v>16</v>
      </c>
      <c r="G4550" s="3" t="s">
        <v>1691</v>
      </c>
      <c r="H4550" s="3"/>
      <c r="I4550" s="3"/>
    </row>
    <row r="4551" spans="1:9" s="5" customFormat="1" x14ac:dyDescent="0.35">
      <c r="A4551" s="3" t="s">
        <v>1688</v>
      </c>
      <c r="B4551" s="3" t="s">
        <v>1689</v>
      </c>
      <c r="C4551" s="3" t="s">
        <v>20</v>
      </c>
      <c r="D4551" s="3" t="s">
        <v>1690</v>
      </c>
      <c r="E4551" s="3" t="s">
        <v>15</v>
      </c>
      <c r="F4551" s="3" t="s">
        <v>16</v>
      </c>
      <c r="G4551" s="3" t="s">
        <v>990</v>
      </c>
      <c r="H4551" s="3"/>
      <c r="I4551" s="3"/>
    </row>
    <row r="4552" spans="1:9" s="5" customFormat="1" x14ac:dyDescent="0.35">
      <c r="A4552" s="3" t="s">
        <v>1688</v>
      </c>
      <c r="B4552" s="3" t="s">
        <v>1692</v>
      </c>
      <c r="C4552" s="3" t="s">
        <v>45</v>
      </c>
      <c r="D4552" s="3" t="s">
        <v>1693</v>
      </c>
      <c r="E4552" s="3" t="s">
        <v>23</v>
      </c>
      <c r="F4552" s="3"/>
      <c r="G4552" s="3"/>
      <c r="H4552" s="3" t="s">
        <v>16</v>
      </c>
      <c r="I4552" s="3" t="s">
        <v>559</v>
      </c>
    </row>
    <row r="4553" spans="1:9" s="5" customFormat="1" x14ac:dyDescent="0.35">
      <c r="A4553" s="3" t="s">
        <v>1688</v>
      </c>
      <c r="B4553" s="3" t="s">
        <v>1692</v>
      </c>
      <c r="C4553" s="3" t="s">
        <v>45</v>
      </c>
      <c r="D4553" s="3" t="s">
        <v>1693</v>
      </c>
      <c r="E4553" s="3" t="s">
        <v>27</v>
      </c>
      <c r="F4553" s="3" t="s">
        <v>16</v>
      </c>
      <c r="G4553" s="3" t="s">
        <v>1694</v>
      </c>
      <c r="H4553" s="3" t="s">
        <v>16</v>
      </c>
      <c r="I4553" s="3" t="s">
        <v>559</v>
      </c>
    </row>
    <row r="4554" spans="1:9" s="5" customFormat="1" x14ac:dyDescent="0.35">
      <c r="A4554" s="3" t="s">
        <v>1688</v>
      </c>
      <c r="B4554" s="3" t="s">
        <v>1692</v>
      </c>
      <c r="C4554" s="3" t="s">
        <v>45</v>
      </c>
      <c r="D4554" s="3" t="s">
        <v>1693</v>
      </c>
      <c r="E4554" s="3" t="s">
        <v>56</v>
      </c>
      <c r="F4554" s="3"/>
      <c r="G4554" s="3"/>
      <c r="H4554" s="3" t="s">
        <v>16</v>
      </c>
      <c r="I4554" s="3" t="s">
        <v>559</v>
      </c>
    </row>
    <row r="4555" spans="1:9" s="5" customFormat="1" x14ac:dyDescent="0.35">
      <c r="A4555" s="3" t="s">
        <v>1688</v>
      </c>
      <c r="B4555" s="3" t="s">
        <v>1692</v>
      </c>
      <c r="C4555" s="3" t="s">
        <v>45</v>
      </c>
      <c r="D4555" s="3" t="s">
        <v>1693</v>
      </c>
      <c r="E4555" s="3" t="s">
        <v>24</v>
      </c>
      <c r="F4555" s="3"/>
      <c r="G4555" s="3"/>
      <c r="H4555" s="3" t="s">
        <v>16</v>
      </c>
      <c r="I4555" s="3" t="s">
        <v>559</v>
      </c>
    </row>
    <row r="4556" spans="1:9" s="5" customFormat="1" x14ac:dyDescent="0.35">
      <c r="A4556" s="3" t="s">
        <v>1688</v>
      </c>
      <c r="B4556" s="3" t="s">
        <v>1692</v>
      </c>
      <c r="C4556" s="3" t="s">
        <v>42</v>
      </c>
      <c r="D4556" s="3" t="s">
        <v>1695</v>
      </c>
      <c r="E4556" s="3" t="s">
        <v>27</v>
      </c>
      <c r="F4556" s="3" t="s">
        <v>33</v>
      </c>
      <c r="G4556" s="13" t="s">
        <v>34</v>
      </c>
      <c r="H4556" s="3"/>
      <c r="I4556" s="3"/>
    </row>
    <row r="4557" spans="1:9" s="5" customFormat="1" x14ac:dyDescent="0.35">
      <c r="A4557" s="3" t="s">
        <v>1688</v>
      </c>
      <c r="B4557" s="3" t="s">
        <v>1692</v>
      </c>
      <c r="C4557" s="3" t="s">
        <v>42</v>
      </c>
      <c r="D4557" s="3" t="s">
        <v>1695</v>
      </c>
      <c r="E4557" s="3" t="s">
        <v>15</v>
      </c>
      <c r="F4557" s="3" t="s">
        <v>16</v>
      </c>
      <c r="G4557" s="3" t="s">
        <v>1697</v>
      </c>
      <c r="H4557" s="3" t="s">
        <v>16</v>
      </c>
      <c r="I4557" s="3" t="s">
        <v>559</v>
      </c>
    </row>
    <row r="4558" spans="1:9" s="5" customFormat="1" x14ac:dyDescent="0.35">
      <c r="A4558" s="3" t="s">
        <v>1688</v>
      </c>
      <c r="B4558" s="3" t="s">
        <v>1692</v>
      </c>
      <c r="C4558" s="3" t="s">
        <v>42</v>
      </c>
      <c r="D4558" s="3" t="s">
        <v>1695</v>
      </c>
      <c r="E4558" s="3" t="s">
        <v>56</v>
      </c>
      <c r="F4558" s="3" t="s">
        <v>16</v>
      </c>
      <c r="G4558" s="3" t="s">
        <v>1696</v>
      </c>
      <c r="H4558" s="3" t="s">
        <v>16</v>
      </c>
      <c r="I4558" s="3" t="s">
        <v>559</v>
      </c>
    </row>
    <row r="4559" spans="1:9" s="5" customFormat="1" x14ac:dyDescent="0.35">
      <c r="A4559" s="3" t="s">
        <v>1688</v>
      </c>
      <c r="B4559" s="3" t="s">
        <v>1692</v>
      </c>
      <c r="C4559" s="3" t="s">
        <v>42</v>
      </c>
      <c r="D4559" s="3" t="s">
        <v>1695</v>
      </c>
      <c r="E4559" s="3" t="s">
        <v>24</v>
      </c>
      <c r="F4559" s="3"/>
      <c r="G4559" s="3"/>
      <c r="H4559" s="3" t="s">
        <v>16</v>
      </c>
      <c r="I4559" s="3" t="s">
        <v>559</v>
      </c>
    </row>
    <row r="4560" spans="1:9" s="5" customFormat="1" x14ac:dyDescent="0.35">
      <c r="A4560" s="3" t="s">
        <v>1688</v>
      </c>
      <c r="B4560" s="3" t="s">
        <v>1692</v>
      </c>
      <c r="C4560" s="3" t="s">
        <v>20</v>
      </c>
      <c r="D4560" s="3" t="s">
        <v>1698</v>
      </c>
      <c r="E4560" s="3" t="s">
        <v>27</v>
      </c>
      <c r="F4560" s="3"/>
      <c r="G4560" s="3"/>
      <c r="H4560" s="3" t="s">
        <v>16</v>
      </c>
      <c r="I4560" s="3" t="s">
        <v>559</v>
      </c>
    </row>
    <row r="4561" spans="1:9" s="5" customFormat="1" x14ac:dyDescent="0.35">
      <c r="A4561" s="3" t="s">
        <v>1688</v>
      </c>
      <c r="B4561" s="3" t="s">
        <v>1692</v>
      </c>
      <c r="C4561" s="3" t="s">
        <v>20</v>
      </c>
      <c r="D4561" s="3" t="s">
        <v>1698</v>
      </c>
      <c r="E4561" s="3" t="s">
        <v>77</v>
      </c>
      <c r="F4561" s="3"/>
      <c r="G4561" s="3"/>
      <c r="H4561" s="3" t="s">
        <v>16</v>
      </c>
      <c r="I4561" s="3" t="s">
        <v>559</v>
      </c>
    </row>
    <row r="4562" spans="1:9" s="5" customFormat="1" x14ac:dyDescent="0.35">
      <c r="A4562" s="3" t="s">
        <v>1688</v>
      </c>
      <c r="B4562" s="3" t="s">
        <v>1692</v>
      </c>
      <c r="C4562" s="3" t="s">
        <v>20</v>
      </c>
      <c r="D4562" s="3" t="s">
        <v>1698</v>
      </c>
      <c r="E4562" s="3" t="s">
        <v>242</v>
      </c>
      <c r="F4562" s="3"/>
      <c r="G4562" s="3"/>
      <c r="H4562" s="3" t="s">
        <v>16</v>
      </c>
      <c r="I4562" s="3" t="s">
        <v>559</v>
      </c>
    </row>
    <row r="4563" spans="1:9" s="5" customFormat="1" x14ac:dyDescent="0.35">
      <c r="A4563" s="3" t="s">
        <v>1688</v>
      </c>
      <c r="B4563" s="3" t="s">
        <v>1692</v>
      </c>
      <c r="C4563" s="3" t="s">
        <v>20</v>
      </c>
      <c r="D4563" s="3" t="s">
        <v>1698</v>
      </c>
      <c r="E4563" s="3" t="s">
        <v>15</v>
      </c>
      <c r="F4563" s="3" t="s">
        <v>16</v>
      </c>
      <c r="G4563" s="3" t="s">
        <v>1699</v>
      </c>
      <c r="H4563" s="3" t="s">
        <v>16</v>
      </c>
      <c r="I4563" s="3" t="s">
        <v>559</v>
      </c>
    </row>
    <row r="4564" spans="1:9" s="5" customFormat="1" x14ac:dyDescent="0.35">
      <c r="A4564" s="3" t="s">
        <v>1688</v>
      </c>
      <c r="B4564" s="3" t="s">
        <v>1692</v>
      </c>
      <c r="C4564" s="3" t="s">
        <v>20</v>
      </c>
      <c r="D4564" s="3" t="s">
        <v>1698</v>
      </c>
      <c r="E4564" s="3" t="s">
        <v>29</v>
      </c>
      <c r="F4564" s="3"/>
      <c r="G4564" s="3" t="s">
        <v>2348</v>
      </c>
      <c r="H4564" s="3" t="s">
        <v>16</v>
      </c>
      <c r="I4564" s="3" t="s">
        <v>559</v>
      </c>
    </row>
    <row r="4565" spans="1:9" s="5" customFormat="1" x14ac:dyDescent="0.35">
      <c r="A4565" s="3" t="s">
        <v>1688</v>
      </c>
      <c r="B4565" s="3" t="s">
        <v>1692</v>
      </c>
      <c r="C4565" s="3" t="s">
        <v>45</v>
      </c>
      <c r="D4565" s="3" t="s">
        <v>2913</v>
      </c>
      <c r="E4565" s="3" t="s">
        <v>23</v>
      </c>
      <c r="F4565" s="3"/>
      <c r="G4565" s="3"/>
      <c r="H4565" s="3" t="s">
        <v>16</v>
      </c>
      <c r="I4565" s="3" t="s">
        <v>559</v>
      </c>
    </row>
    <row r="4566" spans="1:9" s="5" customFormat="1" x14ac:dyDescent="0.35">
      <c r="A4566" s="3" t="s">
        <v>1688</v>
      </c>
      <c r="B4566" s="3" t="s">
        <v>1692</v>
      </c>
      <c r="C4566" s="3" t="s">
        <v>45</v>
      </c>
      <c r="D4566" s="3" t="s">
        <v>2913</v>
      </c>
      <c r="E4566" s="3" t="s">
        <v>56</v>
      </c>
      <c r="F4566" s="3" t="s">
        <v>16</v>
      </c>
      <c r="G4566" s="3" t="s">
        <v>1702</v>
      </c>
      <c r="H4566" s="3" t="s">
        <v>16</v>
      </c>
      <c r="I4566" s="3" t="s">
        <v>559</v>
      </c>
    </row>
    <row r="4567" spans="1:9" s="5" customFormat="1" x14ac:dyDescent="0.35">
      <c r="A4567" s="3" t="s">
        <v>1688</v>
      </c>
      <c r="B4567" s="3" t="s">
        <v>1692</v>
      </c>
      <c r="C4567" s="3" t="s">
        <v>45</v>
      </c>
      <c r="D4567" s="3" t="s">
        <v>2913</v>
      </c>
      <c r="E4567" s="3" t="s">
        <v>24</v>
      </c>
      <c r="F4567" s="3"/>
      <c r="G4567" s="3"/>
      <c r="H4567" s="3" t="s">
        <v>16</v>
      </c>
      <c r="I4567" s="3" t="s">
        <v>559</v>
      </c>
    </row>
    <row r="4568" spans="1:9" s="5" customFormat="1" x14ac:dyDescent="0.35">
      <c r="A4568" s="3" t="s">
        <v>1688</v>
      </c>
      <c r="B4568" s="3" t="s">
        <v>1692</v>
      </c>
      <c r="C4568" s="3" t="s">
        <v>45</v>
      </c>
      <c r="D4568" s="3" t="s">
        <v>1700</v>
      </c>
      <c r="E4568" s="3" t="s">
        <v>23</v>
      </c>
      <c r="F4568" s="3"/>
      <c r="G4568" s="3"/>
      <c r="H4568" s="3" t="s">
        <v>16</v>
      </c>
      <c r="I4568" s="3" t="s">
        <v>559</v>
      </c>
    </row>
    <row r="4569" spans="1:9" s="5" customFormat="1" x14ac:dyDescent="0.35">
      <c r="A4569" s="3" t="s">
        <v>1688</v>
      </c>
      <c r="B4569" s="3" t="s">
        <v>1692</v>
      </c>
      <c r="C4569" s="3" t="s">
        <v>45</v>
      </c>
      <c r="D4569" s="3" t="s">
        <v>1700</v>
      </c>
      <c r="E4569" s="3" t="s">
        <v>77</v>
      </c>
      <c r="F4569" s="3"/>
      <c r="G4569" s="3"/>
      <c r="H4569" s="3" t="s">
        <v>16</v>
      </c>
      <c r="I4569" s="3" t="s">
        <v>559</v>
      </c>
    </row>
    <row r="4570" spans="1:9" s="5" customFormat="1" x14ac:dyDescent="0.35">
      <c r="A4570" s="3" t="s">
        <v>1688</v>
      </c>
      <c r="B4570" s="3" t="s">
        <v>1692</v>
      </c>
      <c r="C4570" s="3" t="s">
        <v>45</v>
      </c>
      <c r="D4570" s="3" t="s">
        <v>1700</v>
      </c>
      <c r="E4570" s="3" t="s">
        <v>290</v>
      </c>
      <c r="F4570" s="3" t="s">
        <v>16</v>
      </c>
      <c r="G4570" s="3" t="s">
        <v>1701</v>
      </c>
      <c r="H4570" s="3" t="s">
        <v>16</v>
      </c>
      <c r="I4570" s="3" t="s">
        <v>559</v>
      </c>
    </row>
    <row r="4571" spans="1:9" s="5" customFormat="1" x14ac:dyDescent="0.35">
      <c r="A4571" s="3" t="s">
        <v>1688</v>
      </c>
      <c r="B4571" s="3" t="s">
        <v>1692</v>
      </c>
      <c r="C4571" s="3" t="s">
        <v>20</v>
      </c>
      <c r="D4571" s="3" t="s">
        <v>2931</v>
      </c>
      <c r="E4571" s="3" t="s">
        <v>23</v>
      </c>
      <c r="F4571" s="3"/>
      <c r="G4571" s="3"/>
      <c r="H4571" s="3" t="s">
        <v>16</v>
      </c>
      <c r="I4571" s="3" t="s">
        <v>559</v>
      </c>
    </row>
    <row r="4572" spans="1:9" s="5" customFormat="1" x14ac:dyDescent="0.35">
      <c r="A4572" s="3" t="s">
        <v>1688</v>
      </c>
      <c r="B4572" s="3" t="s">
        <v>1692</v>
      </c>
      <c r="C4572" s="3" t="s">
        <v>20</v>
      </c>
      <c r="D4572" s="3" t="s">
        <v>2931</v>
      </c>
      <c r="E4572" s="3" t="s">
        <v>15</v>
      </c>
      <c r="F4572" s="3" t="s">
        <v>16</v>
      </c>
      <c r="G4572" s="3" t="s">
        <v>2932</v>
      </c>
      <c r="H4572" s="3" t="s">
        <v>16</v>
      </c>
      <c r="I4572" s="3" t="s">
        <v>559</v>
      </c>
    </row>
    <row r="4573" spans="1:9" s="5" customFormat="1" x14ac:dyDescent="0.35">
      <c r="A4573" s="3" t="s">
        <v>1688</v>
      </c>
      <c r="B4573" s="3" t="s">
        <v>1692</v>
      </c>
      <c r="C4573" s="3" t="s">
        <v>20</v>
      </c>
      <c r="D4573" s="3" t="s">
        <v>2931</v>
      </c>
      <c r="E4573" s="3" t="s">
        <v>56</v>
      </c>
      <c r="F4573" s="3"/>
      <c r="G4573" s="3"/>
      <c r="H4573" s="3" t="s">
        <v>16</v>
      </c>
      <c r="I4573" s="3" t="s">
        <v>559</v>
      </c>
    </row>
    <row r="4574" spans="1:9" s="5" customFormat="1" x14ac:dyDescent="0.35">
      <c r="A4574" s="3" t="s">
        <v>1688</v>
      </c>
      <c r="B4574" s="3" t="s">
        <v>1692</v>
      </c>
      <c r="C4574" s="3" t="s">
        <v>20</v>
      </c>
      <c r="D4574" s="3" t="s">
        <v>2931</v>
      </c>
      <c r="E4574" s="3" t="s">
        <v>290</v>
      </c>
      <c r="F4574" s="3"/>
      <c r="G4574" s="3"/>
      <c r="H4574" s="3" t="s">
        <v>16</v>
      </c>
      <c r="I4574" s="3" t="s">
        <v>559</v>
      </c>
    </row>
    <row r="4575" spans="1:9" s="5" customFormat="1" x14ac:dyDescent="0.35">
      <c r="A4575" s="3" t="s">
        <v>1688</v>
      </c>
      <c r="B4575" s="3" t="s">
        <v>1692</v>
      </c>
      <c r="C4575" s="3" t="s">
        <v>20</v>
      </c>
      <c r="D4575" s="3" t="s">
        <v>1703</v>
      </c>
      <c r="E4575" s="3" t="s">
        <v>77</v>
      </c>
      <c r="F4575" s="3" t="s">
        <v>16</v>
      </c>
      <c r="G4575" s="3" t="s">
        <v>990</v>
      </c>
      <c r="H4575" s="3" t="s">
        <v>16</v>
      </c>
      <c r="I4575" s="3" t="s">
        <v>559</v>
      </c>
    </row>
    <row r="4576" spans="1:9" s="5" customFormat="1" x14ac:dyDescent="0.35">
      <c r="A4576" s="3" t="s">
        <v>1688</v>
      </c>
      <c r="B4576" s="3" t="s">
        <v>1692</v>
      </c>
      <c r="C4576" s="3" t="s">
        <v>20</v>
      </c>
      <c r="D4576" s="3" t="s">
        <v>1703</v>
      </c>
      <c r="E4576" s="3" t="s">
        <v>290</v>
      </c>
      <c r="F4576" s="3"/>
      <c r="G4576" s="3"/>
      <c r="H4576" s="3" t="s">
        <v>16</v>
      </c>
      <c r="I4576" s="3" t="s">
        <v>559</v>
      </c>
    </row>
    <row r="4577" spans="1:9" s="5" customFormat="1" x14ac:dyDescent="0.35">
      <c r="A4577" s="3" t="s">
        <v>1688</v>
      </c>
      <c r="B4577" s="3" t="s">
        <v>1704</v>
      </c>
      <c r="C4577" s="3" t="s">
        <v>42</v>
      </c>
      <c r="D4577" s="3" t="s">
        <v>1705</v>
      </c>
      <c r="E4577" s="3" t="s">
        <v>60</v>
      </c>
      <c r="F4577" s="3" t="s">
        <v>16</v>
      </c>
      <c r="G4577" s="3" t="s">
        <v>1706</v>
      </c>
      <c r="H4577" s="3" t="s">
        <v>16</v>
      </c>
      <c r="I4577" s="3" t="s">
        <v>1707</v>
      </c>
    </row>
    <row r="4578" spans="1:9" s="5" customFormat="1" x14ac:dyDescent="0.35">
      <c r="A4578" s="3" t="s">
        <v>1688</v>
      </c>
      <c r="B4578" s="3" t="s">
        <v>1704</v>
      </c>
      <c r="C4578" s="3" t="s">
        <v>42</v>
      </c>
      <c r="D4578" s="3" t="s">
        <v>1705</v>
      </c>
      <c r="E4578" s="3" t="s">
        <v>87</v>
      </c>
      <c r="F4578" s="3" t="s">
        <v>16</v>
      </c>
      <c r="G4578" s="3" t="s">
        <v>2323</v>
      </c>
      <c r="H4578" s="3" t="s">
        <v>16</v>
      </c>
      <c r="I4578" s="3" t="s">
        <v>1707</v>
      </c>
    </row>
    <row r="4579" spans="1:9" s="5" customFormat="1" x14ac:dyDescent="0.35">
      <c r="A4579" s="3" t="s">
        <v>1688</v>
      </c>
      <c r="B4579" s="3" t="s">
        <v>1704</v>
      </c>
      <c r="C4579" s="3" t="s">
        <v>42</v>
      </c>
      <c r="D4579" s="3" t="s">
        <v>1705</v>
      </c>
      <c r="E4579" s="3" t="s">
        <v>32</v>
      </c>
      <c r="F4579" s="3" t="s">
        <v>16</v>
      </c>
      <c r="G4579" s="3" t="s">
        <v>2494</v>
      </c>
      <c r="H4579" s="3" t="s">
        <v>16</v>
      </c>
      <c r="I4579" s="3" t="s">
        <v>1707</v>
      </c>
    </row>
    <row r="4580" spans="1:9" s="5" customFormat="1" x14ac:dyDescent="0.35">
      <c r="A4580" s="3" t="s">
        <v>1688</v>
      </c>
      <c r="B4580" s="3" t="s">
        <v>1708</v>
      </c>
      <c r="C4580" s="3" t="s">
        <v>10</v>
      </c>
      <c r="D4580" s="3" t="s">
        <v>1709</v>
      </c>
      <c r="E4580" s="3" t="s">
        <v>27</v>
      </c>
      <c r="F4580" s="3"/>
      <c r="G4580" s="3"/>
      <c r="H4580" s="3"/>
      <c r="I4580" s="3"/>
    </row>
    <row r="4581" spans="1:9" s="5" customFormat="1" x14ac:dyDescent="0.35">
      <c r="A4581" s="3" t="s">
        <v>1688</v>
      </c>
      <c r="B4581" s="3" t="s">
        <v>1708</v>
      </c>
      <c r="C4581" s="3" t="s">
        <v>10</v>
      </c>
      <c r="D4581" s="3" t="s">
        <v>1709</v>
      </c>
      <c r="E4581" s="3" t="s">
        <v>15</v>
      </c>
      <c r="F4581" s="3" t="s">
        <v>16</v>
      </c>
      <c r="G4581" s="3" t="s">
        <v>1710</v>
      </c>
      <c r="H4581" s="3"/>
      <c r="I4581" s="3"/>
    </row>
    <row r="4582" spans="1:9" s="5" customFormat="1" x14ac:dyDescent="0.35">
      <c r="A4582" s="3" t="s">
        <v>1688</v>
      </c>
      <c r="B4582" s="3" t="s">
        <v>1708</v>
      </c>
      <c r="C4582" s="3" t="s">
        <v>10</v>
      </c>
      <c r="D4582" s="3" t="s">
        <v>1709</v>
      </c>
      <c r="E4582" s="3" t="s">
        <v>24</v>
      </c>
      <c r="F4582" s="3"/>
      <c r="G4582" s="3"/>
      <c r="H4582" s="3"/>
      <c r="I4582" s="3"/>
    </row>
    <row r="4583" spans="1:9" s="5" customFormat="1" x14ac:dyDescent="0.35">
      <c r="A4583" s="3" t="s">
        <v>1688</v>
      </c>
      <c r="B4583" s="3" t="s">
        <v>1708</v>
      </c>
      <c r="C4583" s="3" t="s">
        <v>42</v>
      </c>
      <c r="D4583" s="3" t="s">
        <v>1711</v>
      </c>
      <c r="E4583" s="3" t="s">
        <v>25</v>
      </c>
      <c r="F4583" s="3"/>
      <c r="G4583" s="3"/>
      <c r="H4583" s="3"/>
      <c r="I4583" s="3"/>
    </row>
    <row r="4584" spans="1:9" s="5" customFormat="1" x14ac:dyDescent="0.35">
      <c r="A4584" s="3" t="s">
        <v>1688</v>
      </c>
      <c r="B4584" s="3" t="s">
        <v>1708</v>
      </c>
      <c r="C4584" s="3" t="s">
        <v>42</v>
      </c>
      <c r="D4584" s="3" t="s">
        <v>1711</v>
      </c>
      <c r="E4584" s="3" t="s">
        <v>27</v>
      </c>
      <c r="F4584" s="3"/>
      <c r="G4584" s="3"/>
      <c r="H4584" s="3"/>
      <c r="I4584" s="3"/>
    </row>
    <row r="4585" spans="1:9" s="5" customFormat="1" x14ac:dyDescent="0.35">
      <c r="A4585" s="3" t="s">
        <v>1688</v>
      </c>
      <c r="B4585" s="3" t="s">
        <v>1708</v>
      </c>
      <c r="C4585" s="3" t="s">
        <v>42</v>
      </c>
      <c r="D4585" s="3" t="s">
        <v>1711</v>
      </c>
      <c r="E4585" s="3" t="s">
        <v>87</v>
      </c>
      <c r="F4585" s="3"/>
      <c r="G4585" s="3"/>
      <c r="H4585" s="3"/>
      <c r="I4585" s="3"/>
    </row>
    <row r="4586" spans="1:9" s="5" customFormat="1" x14ac:dyDescent="0.35">
      <c r="A4586" s="3" t="s">
        <v>1688</v>
      </c>
      <c r="B4586" s="3" t="s">
        <v>1708</v>
      </c>
      <c r="C4586" s="3" t="s">
        <v>42</v>
      </c>
      <c r="D4586" s="3" t="s">
        <v>1711</v>
      </c>
      <c r="E4586" s="3" t="s">
        <v>32</v>
      </c>
      <c r="F4586" s="3" t="s">
        <v>16</v>
      </c>
      <c r="G4586" s="3" t="s">
        <v>2338</v>
      </c>
      <c r="H4586" s="3"/>
      <c r="I4586" s="3"/>
    </row>
    <row r="4587" spans="1:9" s="5" customFormat="1" x14ac:dyDescent="0.35">
      <c r="A4587" s="3" t="s">
        <v>1688</v>
      </c>
      <c r="B4587" s="3" t="s">
        <v>1708</v>
      </c>
      <c r="C4587" s="3" t="s">
        <v>42</v>
      </c>
      <c r="D4587" s="3" t="s">
        <v>1711</v>
      </c>
      <c r="E4587" s="3" t="s">
        <v>630</v>
      </c>
      <c r="F4587" s="3"/>
      <c r="G4587" s="3"/>
      <c r="H4587" s="3"/>
      <c r="I4587" s="3"/>
    </row>
    <row r="4588" spans="1:9" s="5" customFormat="1" x14ac:dyDescent="0.35">
      <c r="A4588" s="3" t="s">
        <v>1688</v>
      </c>
      <c r="B4588" s="3" t="s">
        <v>1708</v>
      </c>
      <c r="C4588" s="3" t="s">
        <v>20</v>
      </c>
      <c r="D4588" s="3" t="s">
        <v>1713</v>
      </c>
      <c r="E4588" s="3" t="s">
        <v>27</v>
      </c>
      <c r="F4588" s="3" t="s">
        <v>33</v>
      </c>
      <c r="G4588" s="3" t="s">
        <v>2915</v>
      </c>
      <c r="H4588" s="3"/>
      <c r="I4588" s="3"/>
    </row>
    <row r="4589" spans="1:9" s="5" customFormat="1" x14ac:dyDescent="0.35">
      <c r="A4589" s="3" t="s">
        <v>1688</v>
      </c>
      <c r="B4589" s="3" t="s">
        <v>1708</v>
      </c>
      <c r="C4589" s="3" t="s">
        <v>20</v>
      </c>
      <c r="D4589" s="3" t="s">
        <v>1713</v>
      </c>
      <c r="E4589" s="3" t="s">
        <v>87</v>
      </c>
      <c r="F4589" s="3" t="s">
        <v>33</v>
      </c>
      <c r="G4589" s="3" t="s">
        <v>2915</v>
      </c>
      <c r="H4589" s="3"/>
      <c r="I4589" s="3"/>
    </row>
    <row r="4590" spans="1:9" s="5" customFormat="1" x14ac:dyDescent="0.35">
      <c r="A4590" s="3" t="s">
        <v>1688</v>
      </c>
      <c r="B4590" s="3" t="s">
        <v>1708</v>
      </c>
      <c r="C4590" s="3" t="s">
        <v>20</v>
      </c>
      <c r="D4590" s="3" t="s">
        <v>1713</v>
      </c>
      <c r="E4590" s="3" t="s">
        <v>56</v>
      </c>
      <c r="F4590" s="3" t="s">
        <v>33</v>
      </c>
      <c r="G4590" s="3" t="s">
        <v>2915</v>
      </c>
      <c r="H4590" s="3"/>
      <c r="I4590" s="3"/>
    </row>
    <row r="4591" spans="1:9" s="5" customFormat="1" x14ac:dyDescent="0.35">
      <c r="A4591" s="3" t="s">
        <v>1688</v>
      </c>
      <c r="B4591" s="3" t="s">
        <v>1708</v>
      </c>
      <c r="C4591" s="3" t="s">
        <v>20</v>
      </c>
      <c r="D4591" s="3" t="s">
        <v>1714</v>
      </c>
      <c r="E4591" s="3" t="s">
        <v>87</v>
      </c>
      <c r="F4591" s="3" t="s">
        <v>33</v>
      </c>
      <c r="G4591" s="3" t="s">
        <v>34</v>
      </c>
      <c r="H4591" s="3"/>
      <c r="I4591" s="3"/>
    </row>
    <row r="4592" spans="1:9" s="5" customFormat="1" x14ac:dyDescent="0.35">
      <c r="A4592" s="3" t="s">
        <v>1688</v>
      </c>
      <c r="B4592" s="3" t="s">
        <v>1708</v>
      </c>
      <c r="C4592" s="3" t="s">
        <v>20</v>
      </c>
      <c r="D4592" s="3" t="s">
        <v>1714</v>
      </c>
      <c r="E4592" s="3" t="s">
        <v>56</v>
      </c>
      <c r="F4592" s="3" t="s">
        <v>16</v>
      </c>
      <c r="G4592" s="3" t="s">
        <v>1712</v>
      </c>
      <c r="H4592" s="3"/>
      <c r="I4592" s="3"/>
    </row>
    <row r="4593" spans="1:9" s="5" customFormat="1" x14ac:dyDescent="0.35">
      <c r="A4593" s="3" t="s">
        <v>1688</v>
      </c>
      <c r="B4593" s="3" t="s">
        <v>1708</v>
      </c>
      <c r="C4593" s="3" t="s">
        <v>20</v>
      </c>
      <c r="D4593" s="3" t="s">
        <v>1714</v>
      </c>
      <c r="E4593" s="3" t="s">
        <v>24</v>
      </c>
      <c r="F4593" s="3" t="s">
        <v>33</v>
      </c>
      <c r="G4593" s="3" t="s">
        <v>34</v>
      </c>
      <c r="H4593" s="3"/>
      <c r="I4593" s="3"/>
    </row>
    <row r="4594" spans="1:9" s="5" customFormat="1" x14ac:dyDescent="0.35">
      <c r="A4594" s="3" t="s">
        <v>1688</v>
      </c>
      <c r="B4594" s="3" t="s">
        <v>1708</v>
      </c>
      <c r="C4594" s="3" t="s">
        <v>20</v>
      </c>
      <c r="D4594" s="3" t="s">
        <v>1715</v>
      </c>
      <c r="E4594" s="3" t="s">
        <v>25</v>
      </c>
      <c r="F4594" s="3"/>
      <c r="G4594" s="3"/>
      <c r="H4594" s="3"/>
      <c r="I4594" s="3"/>
    </row>
    <row r="4595" spans="1:9" s="5" customFormat="1" x14ac:dyDescent="0.35">
      <c r="A4595" s="3" t="s">
        <v>1688</v>
      </c>
      <c r="B4595" s="3" t="s">
        <v>1708</v>
      </c>
      <c r="C4595" s="3" t="s">
        <v>20</v>
      </c>
      <c r="D4595" s="3" t="s">
        <v>1715</v>
      </c>
      <c r="E4595" s="3" t="s">
        <v>77</v>
      </c>
      <c r="F4595" s="3"/>
      <c r="G4595" s="3"/>
      <c r="H4595" s="3"/>
      <c r="I4595" s="3"/>
    </row>
    <row r="4596" spans="1:9" s="5" customFormat="1" x14ac:dyDescent="0.35">
      <c r="A4596" s="3" t="s">
        <v>1688</v>
      </c>
      <c r="B4596" s="3" t="s">
        <v>1708</v>
      </c>
      <c r="C4596" s="3" t="s">
        <v>20</v>
      </c>
      <c r="D4596" s="3" t="s">
        <v>1715</v>
      </c>
      <c r="E4596" s="3" t="s">
        <v>87</v>
      </c>
      <c r="F4596" s="3"/>
      <c r="G4596" s="3"/>
      <c r="H4596" s="3"/>
      <c r="I4596" s="3"/>
    </row>
    <row r="4597" spans="1:9" s="5" customFormat="1" x14ac:dyDescent="0.35">
      <c r="A4597" s="3" t="s">
        <v>1688</v>
      </c>
      <c r="B4597" s="3" t="s">
        <v>1708</v>
      </c>
      <c r="C4597" s="3" t="s">
        <v>20</v>
      </c>
      <c r="D4597" s="3" t="s">
        <v>1715</v>
      </c>
      <c r="E4597" s="3" t="s">
        <v>1216</v>
      </c>
      <c r="F4597" s="3"/>
      <c r="G4597" s="3"/>
      <c r="H4597" s="3"/>
      <c r="I4597" s="3"/>
    </row>
    <row r="4598" spans="1:9" s="5" customFormat="1" x14ac:dyDescent="0.35">
      <c r="A4598" s="3" t="s">
        <v>1688</v>
      </c>
      <c r="B4598" s="3" t="s">
        <v>1708</v>
      </c>
      <c r="C4598" s="3" t="s">
        <v>20</v>
      </c>
      <c r="D4598" s="3" t="s">
        <v>1715</v>
      </c>
      <c r="E4598" s="3" t="s">
        <v>56</v>
      </c>
      <c r="F4598" s="3" t="s">
        <v>16</v>
      </c>
      <c r="G4598" s="3" t="s">
        <v>1716</v>
      </c>
      <c r="H4598" s="3"/>
      <c r="I4598" s="3"/>
    </row>
    <row r="4599" spans="1:9" s="5" customFormat="1" x14ac:dyDescent="0.35">
      <c r="A4599" s="3" t="s">
        <v>1688</v>
      </c>
      <c r="B4599" s="3" t="s">
        <v>1708</v>
      </c>
      <c r="C4599" s="3" t="s">
        <v>20</v>
      </c>
      <c r="D4599" s="3" t="s">
        <v>1715</v>
      </c>
      <c r="E4599" s="3" t="s">
        <v>24</v>
      </c>
      <c r="F4599" s="3"/>
      <c r="G4599" s="3"/>
      <c r="H4599" s="3"/>
      <c r="I4599" s="3"/>
    </row>
    <row r="4600" spans="1:9" s="5" customFormat="1" x14ac:dyDescent="0.35">
      <c r="A4600" s="3" t="s">
        <v>1688</v>
      </c>
      <c r="B4600" s="3" t="s">
        <v>1717</v>
      </c>
      <c r="C4600" s="3" t="s">
        <v>20</v>
      </c>
      <c r="D4600" s="3" t="s">
        <v>1718</v>
      </c>
      <c r="E4600" s="3" t="s">
        <v>27</v>
      </c>
      <c r="F4600" s="3" t="s">
        <v>16</v>
      </c>
      <c r="G4600" s="3" t="s">
        <v>1719</v>
      </c>
      <c r="H4600" s="3"/>
      <c r="I4600" s="3"/>
    </row>
    <row r="4601" spans="1:9" s="5" customFormat="1" x14ac:dyDescent="0.35">
      <c r="A4601" s="3" t="s">
        <v>1688</v>
      </c>
      <c r="B4601" s="3" t="s">
        <v>1717</v>
      </c>
      <c r="C4601" s="3" t="s">
        <v>20</v>
      </c>
      <c r="D4601" s="3" t="s">
        <v>1718</v>
      </c>
      <c r="E4601" s="3" t="s">
        <v>87</v>
      </c>
      <c r="F4601" s="3" t="s">
        <v>16</v>
      </c>
      <c r="G4601" s="3" t="s">
        <v>1719</v>
      </c>
      <c r="H4601" s="3"/>
      <c r="I4601" s="3"/>
    </row>
    <row r="4602" spans="1:9" s="5" customFormat="1" x14ac:dyDescent="0.35">
      <c r="A4602" s="3" t="s">
        <v>1688</v>
      </c>
      <c r="B4602" s="3" t="s">
        <v>1717</v>
      </c>
      <c r="C4602" s="3" t="s">
        <v>20</v>
      </c>
      <c r="D4602" s="3" t="s">
        <v>1718</v>
      </c>
      <c r="E4602" s="3" t="s">
        <v>56</v>
      </c>
      <c r="F4602" s="3" t="s">
        <v>16</v>
      </c>
      <c r="G4602" s="3" t="s">
        <v>1719</v>
      </c>
      <c r="H4602" s="3"/>
      <c r="I4602" s="3"/>
    </row>
    <row r="4603" spans="1:9" s="5" customFormat="1" x14ac:dyDescent="0.35">
      <c r="A4603" s="3" t="s">
        <v>1688</v>
      </c>
      <c r="B4603" s="3" t="s">
        <v>1717</v>
      </c>
      <c r="C4603" s="3" t="s">
        <v>45</v>
      </c>
      <c r="D4603" s="3" t="s">
        <v>1720</v>
      </c>
      <c r="E4603" s="3" t="s">
        <v>77</v>
      </c>
      <c r="F4603" s="3"/>
      <c r="G4603" s="3"/>
      <c r="H4603" s="3"/>
      <c r="I4603" s="3"/>
    </row>
    <row r="4604" spans="1:9" s="5" customFormat="1" x14ac:dyDescent="0.35">
      <c r="A4604" s="3" t="s">
        <v>1688</v>
      </c>
      <c r="B4604" s="3" t="s">
        <v>1717</v>
      </c>
      <c r="C4604" s="3" t="s">
        <v>42</v>
      </c>
      <c r="D4604" s="3" t="s">
        <v>1721</v>
      </c>
      <c r="E4604" s="3" t="s">
        <v>27</v>
      </c>
      <c r="F4604" s="3"/>
      <c r="G4604" s="3"/>
      <c r="H4604" s="3"/>
      <c r="I4604" s="3"/>
    </row>
    <row r="4605" spans="1:9" s="5" customFormat="1" x14ac:dyDescent="0.35">
      <c r="A4605" s="3" t="s">
        <v>1688</v>
      </c>
      <c r="B4605" s="3" t="s">
        <v>1717</v>
      </c>
      <c r="C4605" s="3" t="s">
        <v>42</v>
      </c>
      <c r="D4605" s="3" t="s">
        <v>1721</v>
      </c>
      <c r="E4605" s="3" t="s">
        <v>87</v>
      </c>
      <c r="F4605" s="3"/>
      <c r="G4605" s="3"/>
      <c r="H4605" s="3"/>
      <c r="I4605" s="3"/>
    </row>
    <row r="4606" spans="1:9" s="5" customFormat="1" x14ac:dyDescent="0.35">
      <c r="A4606" s="3" t="s">
        <v>1688</v>
      </c>
      <c r="B4606" s="3" t="s">
        <v>1717</v>
      </c>
      <c r="C4606" s="3" t="s">
        <v>42</v>
      </c>
      <c r="D4606" s="3" t="s">
        <v>1721</v>
      </c>
      <c r="E4606" s="3" t="s">
        <v>15</v>
      </c>
      <c r="F4606" s="3" t="s">
        <v>16</v>
      </c>
      <c r="G4606" s="3" t="s">
        <v>1722</v>
      </c>
      <c r="H4606" s="3"/>
      <c r="I4606" s="3"/>
    </row>
    <row r="4607" spans="1:9" s="5" customFormat="1" x14ac:dyDescent="0.35">
      <c r="A4607" s="3" t="s">
        <v>1688</v>
      </c>
      <c r="B4607" s="3" t="s">
        <v>1717</v>
      </c>
      <c r="C4607" s="3" t="s">
        <v>20</v>
      </c>
      <c r="D4607" s="3" t="s">
        <v>1723</v>
      </c>
      <c r="E4607" s="3" t="s">
        <v>23</v>
      </c>
      <c r="F4607" s="3"/>
      <c r="G4607" s="3"/>
      <c r="H4607" s="3"/>
      <c r="I4607" s="3"/>
    </row>
    <row r="4608" spans="1:9" s="5" customFormat="1" x14ac:dyDescent="0.35">
      <c r="A4608" s="3" t="s">
        <v>1688</v>
      </c>
      <c r="B4608" s="3" t="s">
        <v>1717</v>
      </c>
      <c r="C4608" s="3" t="s">
        <v>20</v>
      </c>
      <c r="D4608" s="3" t="s">
        <v>1723</v>
      </c>
      <c r="E4608" s="3" t="s">
        <v>27</v>
      </c>
      <c r="F4608" s="3" t="s">
        <v>16</v>
      </c>
      <c r="G4608" s="3" t="s">
        <v>2399</v>
      </c>
      <c r="H4608" s="3"/>
      <c r="I4608" s="3"/>
    </row>
    <row r="4609" spans="1:9" s="5" customFormat="1" x14ac:dyDescent="0.35">
      <c r="A4609" s="3" t="s">
        <v>1688</v>
      </c>
      <c r="B4609" s="3" t="s">
        <v>1717</v>
      </c>
      <c r="C4609" s="3" t="s">
        <v>20</v>
      </c>
      <c r="D4609" s="3" t="s">
        <v>1723</v>
      </c>
      <c r="E4609" s="3" t="s">
        <v>28</v>
      </c>
      <c r="F4609" s="3"/>
      <c r="G4609" s="3"/>
      <c r="H4609" s="3"/>
      <c r="I4609" s="3"/>
    </row>
    <row r="4610" spans="1:9" s="5" customFormat="1" x14ac:dyDescent="0.35">
      <c r="A4610" s="3" t="s">
        <v>1688</v>
      </c>
      <c r="B4610" s="3" t="s">
        <v>1717</v>
      </c>
      <c r="C4610" s="3" t="s">
        <v>20</v>
      </c>
      <c r="D4610" s="3" t="s">
        <v>1723</v>
      </c>
      <c r="E4610" s="3" t="s">
        <v>56</v>
      </c>
      <c r="F4610" s="3"/>
      <c r="G4610" s="3"/>
      <c r="H4610" s="3"/>
      <c r="I4610" s="3"/>
    </row>
    <row r="4611" spans="1:9" s="5" customFormat="1" x14ac:dyDescent="0.35">
      <c r="A4611" s="3" t="s">
        <v>1688</v>
      </c>
      <c r="B4611" s="3" t="s">
        <v>1717</v>
      </c>
      <c r="C4611" s="3" t="s">
        <v>20</v>
      </c>
      <c r="D4611" s="3" t="s">
        <v>1723</v>
      </c>
      <c r="E4611" s="3" t="s">
        <v>134</v>
      </c>
      <c r="F4611" s="3"/>
      <c r="G4611" s="3"/>
      <c r="H4611" s="3"/>
      <c r="I4611" s="3"/>
    </row>
    <row r="4612" spans="1:9" s="5" customFormat="1" x14ac:dyDescent="0.35">
      <c r="A4612" s="3" t="s">
        <v>1688</v>
      </c>
      <c r="B4612" s="3" t="s">
        <v>1717</v>
      </c>
      <c r="C4612" s="3" t="s">
        <v>20</v>
      </c>
      <c r="D4612" s="3" t="s">
        <v>1723</v>
      </c>
      <c r="E4612" s="3" t="s">
        <v>82</v>
      </c>
      <c r="F4612" s="3"/>
      <c r="G4612" s="3"/>
      <c r="H4612" s="3"/>
      <c r="I4612" s="3"/>
    </row>
    <row r="4613" spans="1:9" s="5" customFormat="1" x14ac:dyDescent="0.35">
      <c r="A4613" s="3" t="s">
        <v>1688</v>
      </c>
      <c r="B4613" s="3" t="s">
        <v>1724</v>
      </c>
      <c r="C4613" s="3" t="s">
        <v>42</v>
      </c>
      <c r="D4613" s="3" t="s">
        <v>1725</v>
      </c>
      <c r="E4613" s="3" t="s">
        <v>25</v>
      </c>
      <c r="F4613" s="3"/>
      <c r="G4613" s="3"/>
      <c r="H4613" s="3"/>
      <c r="I4613" s="3"/>
    </row>
    <row r="4614" spans="1:9" s="5" customFormat="1" x14ac:dyDescent="0.35">
      <c r="A4614" s="3" t="s">
        <v>1688</v>
      </c>
      <c r="B4614" s="3" t="s">
        <v>1724</v>
      </c>
      <c r="C4614" s="3" t="s">
        <v>42</v>
      </c>
      <c r="D4614" s="3" t="s">
        <v>1725</v>
      </c>
      <c r="E4614" s="3" t="s">
        <v>27</v>
      </c>
      <c r="F4614" s="3" t="s">
        <v>16</v>
      </c>
      <c r="G4614" s="3" t="s">
        <v>1726</v>
      </c>
      <c r="H4614" s="3"/>
      <c r="I4614" s="3"/>
    </row>
    <row r="4615" spans="1:9" s="5" customFormat="1" x14ac:dyDescent="0.35">
      <c r="A4615" s="3" t="s">
        <v>1688</v>
      </c>
      <c r="B4615" s="3" t="s">
        <v>1724</v>
      </c>
      <c r="C4615" s="3" t="s">
        <v>20</v>
      </c>
      <c r="D4615" s="3" t="s">
        <v>1727</v>
      </c>
      <c r="E4615" s="3" t="s">
        <v>27</v>
      </c>
      <c r="F4615" s="3" t="s">
        <v>16</v>
      </c>
      <c r="G4615" s="3" t="s">
        <v>1728</v>
      </c>
      <c r="H4615" s="3"/>
      <c r="I4615" s="3"/>
    </row>
    <row r="4616" spans="1:9" s="5" customFormat="1" x14ac:dyDescent="0.35">
      <c r="A4616" s="3" t="s">
        <v>1688</v>
      </c>
      <c r="B4616" s="3" t="s">
        <v>1724</v>
      </c>
      <c r="C4616" s="3" t="s">
        <v>20</v>
      </c>
      <c r="D4616" s="3" t="s">
        <v>1727</v>
      </c>
      <c r="E4616" s="3" t="s">
        <v>87</v>
      </c>
      <c r="F4616" s="3" t="s">
        <v>16</v>
      </c>
      <c r="G4616" s="3" t="s">
        <v>2419</v>
      </c>
      <c r="H4616" s="3"/>
      <c r="I4616" s="3"/>
    </row>
    <row r="4617" spans="1:9" s="5" customFormat="1" x14ac:dyDescent="0.35">
      <c r="A4617" s="3" t="s">
        <v>1688</v>
      </c>
      <c r="B4617" s="3" t="s">
        <v>1724</v>
      </c>
      <c r="C4617" s="3" t="s">
        <v>20</v>
      </c>
      <c r="D4617" s="3" t="s">
        <v>1727</v>
      </c>
      <c r="E4617" s="3" t="s">
        <v>56</v>
      </c>
      <c r="F4617" s="3" t="s">
        <v>16</v>
      </c>
      <c r="G4617" s="3" t="s">
        <v>1728</v>
      </c>
      <c r="H4617" s="3"/>
      <c r="I4617" s="3"/>
    </row>
    <row r="4618" spans="1:9" s="5" customFormat="1" x14ac:dyDescent="0.35">
      <c r="A4618" s="3" t="s">
        <v>1688</v>
      </c>
      <c r="B4618" s="3" t="s">
        <v>1724</v>
      </c>
      <c r="C4618" s="3" t="s">
        <v>20</v>
      </c>
      <c r="D4618" s="3" t="s">
        <v>1727</v>
      </c>
      <c r="E4618" s="3" t="s">
        <v>29</v>
      </c>
      <c r="F4618" s="3" t="s">
        <v>16</v>
      </c>
      <c r="G4618" s="3" t="s">
        <v>2418</v>
      </c>
      <c r="H4618" s="3"/>
      <c r="I4618" s="3"/>
    </row>
    <row r="4619" spans="1:9" s="5" customFormat="1" x14ac:dyDescent="0.35">
      <c r="A4619" s="3" t="s">
        <v>1688</v>
      </c>
      <c r="B4619" s="3" t="s">
        <v>1724</v>
      </c>
      <c r="C4619" s="3" t="s">
        <v>20</v>
      </c>
      <c r="D4619" s="3" t="s">
        <v>1727</v>
      </c>
      <c r="E4619" s="3" t="s">
        <v>888</v>
      </c>
      <c r="F4619" s="3" t="s">
        <v>16</v>
      </c>
      <c r="G4619" s="3" t="s">
        <v>1728</v>
      </c>
      <c r="H4619" s="3"/>
      <c r="I4619" s="3"/>
    </row>
    <row r="4620" spans="1:9" s="5" customFormat="1" x14ac:dyDescent="0.35">
      <c r="A4620" s="3" t="s">
        <v>1688</v>
      </c>
      <c r="B4620" s="3" t="s">
        <v>1724</v>
      </c>
      <c r="C4620" s="3" t="s">
        <v>39</v>
      </c>
      <c r="D4620" s="3" t="s">
        <v>1729</v>
      </c>
      <c r="E4620" s="3" t="s">
        <v>27</v>
      </c>
      <c r="F4620" s="3"/>
      <c r="G4620" s="3"/>
      <c r="H4620" s="3"/>
      <c r="I4620" s="3"/>
    </row>
    <row r="4621" spans="1:9" s="5" customFormat="1" x14ac:dyDescent="0.35">
      <c r="A4621" s="3" t="s">
        <v>1688</v>
      </c>
      <c r="B4621" s="3" t="s">
        <v>1724</v>
      </c>
      <c r="C4621" s="3" t="s">
        <v>39</v>
      </c>
      <c r="D4621" s="3" t="s">
        <v>1729</v>
      </c>
      <c r="E4621" s="3" t="s">
        <v>87</v>
      </c>
      <c r="F4621" s="3"/>
      <c r="G4621" s="3"/>
      <c r="H4621" s="3"/>
      <c r="I4621" s="3"/>
    </row>
    <row r="4622" spans="1:9" s="5" customFormat="1" x14ac:dyDescent="0.35">
      <c r="A4622" s="3" t="s">
        <v>1688</v>
      </c>
      <c r="B4622" s="3" t="s">
        <v>1724</v>
      </c>
      <c r="C4622" s="3" t="s">
        <v>39</v>
      </c>
      <c r="D4622" s="3" t="s">
        <v>1729</v>
      </c>
      <c r="E4622" s="3" t="s">
        <v>1216</v>
      </c>
      <c r="F4622" s="3" t="s">
        <v>16</v>
      </c>
      <c r="G4622" s="3" t="s">
        <v>1730</v>
      </c>
      <c r="H4622" s="3"/>
      <c r="I4622" s="3"/>
    </row>
    <row r="4623" spans="1:9" s="5" customFormat="1" x14ac:dyDescent="0.35">
      <c r="A4623" s="3" t="s">
        <v>1688</v>
      </c>
      <c r="B4623" s="3" t="s">
        <v>1724</v>
      </c>
      <c r="C4623" s="3" t="s">
        <v>39</v>
      </c>
      <c r="D4623" s="3" t="s">
        <v>1729</v>
      </c>
      <c r="E4623" s="3" t="s">
        <v>56</v>
      </c>
      <c r="F4623" s="3"/>
      <c r="G4623" s="3"/>
      <c r="H4623" s="3"/>
      <c r="I4623" s="3"/>
    </row>
    <row r="4624" spans="1:9" s="5" customFormat="1" x14ac:dyDescent="0.35">
      <c r="A4624" s="3" t="s">
        <v>1688</v>
      </c>
      <c r="B4624" s="3" t="s">
        <v>1724</v>
      </c>
      <c r="C4624" s="3" t="s">
        <v>39</v>
      </c>
      <c r="D4624" s="3" t="s">
        <v>1729</v>
      </c>
      <c r="E4624" s="3" t="s">
        <v>888</v>
      </c>
      <c r="F4624" s="3"/>
      <c r="G4624" s="3"/>
      <c r="H4624" s="3"/>
      <c r="I4624" s="3"/>
    </row>
    <row r="4625" spans="1:9" s="5" customFormat="1" x14ac:dyDescent="0.35">
      <c r="A4625" s="3" t="s">
        <v>1688</v>
      </c>
      <c r="B4625" s="3" t="s">
        <v>1731</v>
      </c>
      <c r="C4625" s="3" t="s">
        <v>20</v>
      </c>
      <c r="D4625" s="3" t="s">
        <v>2926</v>
      </c>
      <c r="E4625" s="3" t="s">
        <v>77</v>
      </c>
      <c r="F4625" s="3" t="s">
        <v>16</v>
      </c>
      <c r="G4625" s="3" t="s">
        <v>2927</v>
      </c>
      <c r="H4625" s="3" t="s">
        <v>16</v>
      </c>
      <c r="I4625" s="3" t="s">
        <v>559</v>
      </c>
    </row>
    <row r="4626" spans="1:9" s="5" customFormat="1" x14ac:dyDescent="0.35">
      <c r="A4626" s="3" t="s">
        <v>1688</v>
      </c>
      <c r="B4626" s="3" t="s">
        <v>1731</v>
      </c>
      <c r="C4626" s="3" t="s">
        <v>20</v>
      </c>
      <c r="D4626" s="3" t="s">
        <v>2926</v>
      </c>
      <c r="E4626" s="3" t="s">
        <v>57</v>
      </c>
      <c r="F4626" s="3"/>
      <c r="G4626" s="3"/>
      <c r="H4626" s="3" t="s">
        <v>16</v>
      </c>
      <c r="I4626" s="3" t="s">
        <v>559</v>
      </c>
    </row>
    <row r="4627" spans="1:9" s="5" customFormat="1" x14ac:dyDescent="0.35">
      <c r="A4627" s="3" t="s">
        <v>1688</v>
      </c>
      <c r="B4627" s="3" t="s">
        <v>1731</v>
      </c>
      <c r="C4627" s="3" t="s">
        <v>42</v>
      </c>
      <c r="D4627" s="3" t="s">
        <v>2928</v>
      </c>
      <c r="E4627" s="3" t="s">
        <v>23</v>
      </c>
      <c r="F4627" s="3" t="s">
        <v>16</v>
      </c>
      <c r="G4627" s="3" t="s">
        <v>2929</v>
      </c>
      <c r="H4627" s="3" t="s">
        <v>16</v>
      </c>
      <c r="I4627" s="3" t="s">
        <v>559</v>
      </c>
    </row>
    <row r="4628" spans="1:9" s="5" customFormat="1" x14ac:dyDescent="0.35">
      <c r="A4628" s="3" t="s">
        <v>1688</v>
      </c>
      <c r="B4628" s="3" t="s">
        <v>1731</v>
      </c>
      <c r="C4628" s="3" t="s">
        <v>42</v>
      </c>
      <c r="D4628" s="3" t="s">
        <v>2928</v>
      </c>
      <c r="E4628" s="3" t="s">
        <v>290</v>
      </c>
      <c r="F4628" s="3"/>
      <c r="G4628" s="3"/>
      <c r="H4628" s="3" t="s">
        <v>16</v>
      </c>
      <c r="I4628" s="3" t="s">
        <v>559</v>
      </c>
    </row>
    <row r="4629" spans="1:9" s="5" customFormat="1" x14ac:dyDescent="0.35">
      <c r="A4629" s="3" t="s">
        <v>1688</v>
      </c>
      <c r="B4629" s="3" t="s">
        <v>1731</v>
      </c>
      <c r="C4629" s="3" t="s">
        <v>45</v>
      </c>
      <c r="D4629" s="3" t="s">
        <v>1732</v>
      </c>
      <c r="E4629" s="3" t="s">
        <v>23</v>
      </c>
      <c r="F4629" s="3" t="s">
        <v>16</v>
      </c>
      <c r="G4629" s="3" t="s">
        <v>1733</v>
      </c>
      <c r="H4629" s="3" t="s">
        <v>16</v>
      </c>
      <c r="I4629" s="3" t="s">
        <v>559</v>
      </c>
    </row>
    <row r="4630" spans="1:9" s="5" customFormat="1" x14ac:dyDescent="0.35">
      <c r="A4630" s="3" t="s">
        <v>1688</v>
      </c>
      <c r="B4630" s="3" t="s">
        <v>1731</v>
      </c>
      <c r="C4630" s="3" t="s">
        <v>45</v>
      </c>
      <c r="D4630" s="3" t="s">
        <v>1732</v>
      </c>
      <c r="E4630" s="3" t="s">
        <v>290</v>
      </c>
      <c r="F4630" s="3"/>
      <c r="G4630" s="3"/>
      <c r="H4630" s="3" t="s">
        <v>16</v>
      </c>
      <c r="I4630" s="3" t="s">
        <v>559</v>
      </c>
    </row>
    <row r="4631" spans="1:9" s="5" customFormat="1" x14ac:dyDescent="0.35">
      <c r="A4631" s="3" t="s">
        <v>1688</v>
      </c>
      <c r="B4631" s="3" t="s">
        <v>1734</v>
      </c>
      <c r="C4631" s="3" t="s">
        <v>10</v>
      </c>
      <c r="D4631" s="3" t="s">
        <v>1735</v>
      </c>
      <c r="E4631" s="3" t="s">
        <v>12</v>
      </c>
      <c r="F4631" s="3"/>
      <c r="G4631" s="3"/>
      <c r="H4631" s="3" t="s">
        <v>16</v>
      </c>
      <c r="I4631" s="3" t="s">
        <v>1736</v>
      </c>
    </row>
    <row r="4632" spans="1:9" s="5" customFormat="1" x14ac:dyDescent="0.35">
      <c r="A4632" s="3" t="s">
        <v>1688</v>
      </c>
      <c r="B4632" s="3" t="s">
        <v>1734</v>
      </c>
      <c r="C4632" s="3" t="s">
        <v>10</v>
      </c>
      <c r="D4632" s="3" t="s">
        <v>1735</v>
      </c>
      <c r="E4632" s="3" t="s">
        <v>23</v>
      </c>
      <c r="F4632" s="3" t="s">
        <v>1737</v>
      </c>
      <c r="G4632" s="3" t="s">
        <v>1740</v>
      </c>
      <c r="H4632" s="3" t="s">
        <v>16</v>
      </c>
      <c r="I4632" s="3" t="s">
        <v>1736</v>
      </c>
    </row>
    <row r="4633" spans="1:9" s="5" customFormat="1" x14ac:dyDescent="0.35">
      <c r="A4633" s="3" t="s">
        <v>1688</v>
      </c>
      <c r="B4633" s="3" t="s">
        <v>1734</v>
      </c>
      <c r="C4633" s="3" t="s">
        <v>10</v>
      </c>
      <c r="D4633" s="3" t="s">
        <v>1735</v>
      </c>
      <c r="E4633" s="3" t="s">
        <v>47</v>
      </c>
      <c r="F4633" s="3"/>
      <c r="G4633" s="3"/>
      <c r="H4633" s="3" t="s">
        <v>16</v>
      </c>
      <c r="I4633" s="3" t="s">
        <v>1736</v>
      </c>
    </row>
    <row r="4634" spans="1:9" s="5" customFormat="1" x14ac:dyDescent="0.35">
      <c r="A4634" s="3" t="s">
        <v>1688</v>
      </c>
      <c r="B4634" s="3" t="s">
        <v>1734</v>
      </c>
      <c r="C4634" s="3" t="s">
        <v>10</v>
      </c>
      <c r="D4634" s="3" t="s">
        <v>1735</v>
      </c>
      <c r="E4634" s="3" t="s">
        <v>25</v>
      </c>
      <c r="F4634" s="3"/>
      <c r="G4634" s="3"/>
      <c r="H4634" s="3" t="s">
        <v>16</v>
      </c>
      <c r="I4634" s="3" t="s">
        <v>1736</v>
      </c>
    </row>
    <row r="4635" spans="1:9" s="5" customFormat="1" x14ac:dyDescent="0.35">
      <c r="A4635" s="3" t="s">
        <v>1688</v>
      </c>
      <c r="B4635" s="3" t="s">
        <v>1734</v>
      </c>
      <c r="C4635" s="3" t="s">
        <v>10</v>
      </c>
      <c r="D4635" s="3" t="s">
        <v>1735</v>
      </c>
      <c r="E4635" s="3" t="s">
        <v>60</v>
      </c>
      <c r="F4635" s="3"/>
      <c r="G4635" s="3" t="s">
        <v>2816</v>
      </c>
      <c r="H4635" s="3" t="s">
        <v>16</v>
      </c>
      <c r="I4635" s="3" t="s">
        <v>1736</v>
      </c>
    </row>
    <row r="4636" spans="1:9" s="5" customFormat="1" x14ac:dyDescent="0.35">
      <c r="A4636" s="3" t="s">
        <v>1688</v>
      </c>
      <c r="B4636" s="3" t="s">
        <v>1734</v>
      </c>
      <c r="C4636" s="3" t="s">
        <v>10</v>
      </c>
      <c r="D4636" s="3" t="s">
        <v>1735</v>
      </c>
      <c r="E4636" s="3" t="s">
        <v>15</v>
      </c>
      <c r="F4636" s="3" t="s">
        <v>1737</v>
      </c>
      <c r="G4636" s="3" t="s">
        <v>1738</v>
      </c>
      <c r="H4636" s="3" t="s">
        <v>16</v>
      </c>
      <c r="I4636" s="3" t="s">
        <v>1736</v>
      </c>
    </row>
    <row r="4637" spans="1:9" s="5" customFormat="1" x14ac:dyDescent="0.35">
      <c r="A4637" s="3" t="s">
        <v>1688</v>
      </c>
      <c r="B4637" s="3" t="s">
        <v>1734</v>
      </c>
      <c r="C4637" s="3" t="s">
        <v>10</v>
      </c>
      <c r="D4637" s="3" t="s">
        <v>1735</v>
      </c>
      <c r="E4637" s="3" t="s">
        <v>57</v>
      </c>
      <c r="F4637" s="3"/>
      <c r="G4637" s="3"/>
      <c r="H4637" s="3" t="s">
        <v>16</v>
      </c>
      <c r="I4637" s="3" t="s">
        <v>1736</v>
      </c>
    </row>
    <row r="4638" spans="1:9" s="5" customFormat="1" x14ac:dyDescent="0.35">
      <c r="A4638" s="3" t="s">
        <v>1688</v>
      </c>
      <c r="B4638" s="3" t="s">
        <v>1734</v>
      </c>
      <c r="C4638" s="3" t="s">
        <v>10</v>
      </c>
      <c r="D4638" s="3" t="s">
        <v>1735</v>
      </c>
      <c r="E4638" s="3" t="s">
        <v>56</v>
      </c>
      <c r="F4638" s="3" t="s">
        <v>16</v>
      </c>
      <c r="G4638" s="3" t="s">
        <v>1739</v>
      </c>
      <c r="H4638" s="3" t="s">
        <v>16</v>
      </c>
      <c r="I4638" s="3" t="s">
        <v>1736</v>
      </c>
    </row>
    <row r="4639" spans="1:9" s="5" customFormat="1" x14ac:dyDescent="0.35">
      <c r="A4639" s="3" t="s">
        <v>1688</v>
      </c>
      <c r="B4639" s="3" t="s">
        <v>1734</v>
      </c>
      <c r="C4639" s="3" t="s">
        <v>10</v>
      </c>
      <c r="D4639" s="3" t="s">
        <v>1735</v>
      </c>
      <c r="E4639" s="3" t="s">
        <v>32</v>
      </c>
      <c r="F4639" s="3" t="s">
        <v>1737</v>
      </c>
      <c r="G4639" s="3" t="s">
        <v>1741</v>
      </c>
      <c r="H4639" s="3" t="s">
        <v>16</v>
      </c>
      <c r="I4639" s="3" t="s">
        <v>1736</v>
      </c>
    </row>
    <row r="4640" spans="1:9" s="5" customFormat="1" x14ac:dyDescent="0.35">
      <c r="A4640" s="3" t="s">
        <v>1688</v>
      </c>
      <c r="B4640" s="3" t="s">
        <v>1734</v>
      </c>
      <c r="C4640" s="3" t="s">
        <v>10</v>
      </c>
      <c r="D4640" s="3" t="s">
        <v>1735</v>
      </c>
      <c r="E4640" s="3" t="s">
        <v>24</v>
      </c>
      <c r="F4640" s="3"/>
      <c r="G4640" s="3"/>
      <c r="H4640" s="3" t="s">
        <v>16</v>
      </c>
      <c r="I4640" s="3" t="s">
        <v>1736</v>
      </c>
    </row>
    <row r="4641" spans="1:9" s="5" customFormat="1" x14ac:dyDescent="0.35">
      <c r="A4641" s="3" t="s">
        <v>1688</v>
      </c>
      <c r="B4641" s="3" t="s">
        <v>1734</v>
      </c>
      <c r="C4641" s="3" t="s">
        <v>10</v>
      </c>
      <c r="D4641" s="3" t="s">
        <v>1735</v>
      </c>
      <c r="E4641" s="3" t="s">
        <v>134</v>
      </c>
      <c r="F4641" s="3"/>
      <c r="G4641" s="3"/>
      <c r="H4641" s="3" t="s">
        <v>16</v>
      </c>
      <c r="I4641" s="3" t="s">
        <v>1736</v>
      </c>
    </row>
    <row r="4642" spans="1:9" s="5" customFormat="1" x14ac:dyDescent="0.35">
      <c r="A4642" s="3" t="s">
        <v>1688</v>
      </c>
      <c r="B4642" s="3" t="s">
        <v>1734</v>
      </c>
      <c r="C4642" s="3" t="s">
        <v>10</v>
      </c>
      <c r="D4642" s="3" t="s">
        <v>1742</v>
      </c>
      <c r="E4642" s="3" t="s">
        <v>77</v>
      </c>
      <c r="F4642" s="3"/>
      <c r="G4642" s="3"/>
      <c r="H4642" s="3" t="s">
        <v>16</v>
      </c>
      <c r="I4642" s="3" t="s">
        <v>1736</v>
      </c>
    </row>
    <row r="4643" spans="1:9" s="5" customFormat="1" x14ac:dyDescent="0.35">
      <c r="A4643" s="3" t="s">
        <v>1688</v>
      </c>
      <c r="B4643" s="3" t="s">
        <v>1734</v>
      </c>
      <c r="C4643" s="3" t="s">
        <v>10</v>
      </c>
      <c r="D4643" s="3" t="s">
        <v>1742</v>
      </c>
      <c r="E4643" s="3" t="s">
        <v>242</v>
      </c>
      <c r="F4643" s="3" t="s">
        <v>1737</v>
      </c>
      <c r="G4643" s="3" t="s">
        <v>1699</v>
      </c>
      <c r="H4643" s="3" t="s">
        <v>16</v>
      </c>
      <c r="I4643" s="3" t="s">
        <v>1736</v>
      </c>
    </row>
    <row r="4644" spans="1:9" s="5" customFormat="1" x14ac:dyDescent="0.35">
      <c r="A4644" s="3" t="s">
        <v>1688</v>
      </c>
      <c r="B4644" s="3" t="s">
        <v>1734</v>
      </c>
      <c r="C4644" s="3" t="s">
        <v>10</v>
      </c>
      <c r="D4644" s="3" t="s">
        <v>1742</v>
      </c>
      <c r="E4644" s="3" t="s">
        <v>56</v>
      </c>
      <c r="F4644" s="3" t="s">
        <v>1737</v>
      </c>
      <c r="G4644" s="3" t="s">
        <v>1743</v>
      </c>
      <c r="H4644" s="3" t="s">
        <v>16</v>
      </c>
      <c r="I4644" s="3" t="s">
        <v>1736</v>
      </c>
    </row>
    <row r="4645" spans="1:9" s="5" customFormat="1" x14ac:dyDescent="0.35">
      <c r="A4645" s="3" t="s">
        <v>1688</v>
      </c>
      <c r="B4645" s="3" t="s">
        <v>1734</v>
      </c>
      <c r="C4645" s="3" t="s">
        <v>10</v>
      </c>
      <c r="D4645" s="3" t="s">
        <v>1742</v>
      </c>
      <c r="E4645" s="3" t="s">
        <v>134</v>
      </c>
      <c r="F4645" s="3"/>
      <c r="G4645" s="3"/>
      <c r="H4645" s="3" t="s">
        <v>16</v>
      </c>
      <c r="I4645" s="3" t="s">
        <v>1736</v>
      </c>
    </row>
    <row r="4646" spans="1:9" s="5" customFormat="1" x14ac:dyDescent="0.35">
      <c r="A4646" s="3" t="s">
        <v>1688</v>
      </c>
      <c r="B4646" s="3" t="s">
        <v>1734</v>
      </c>
      <c r="C4646" s="3" t="s">
        <v>45</v>
      </c>
      <c r="D4646" s="3" t="s">
        <v>1744</v>
      </c>
      <c r="E4646" s="3" t="s">
        <v>36</v>
      </c>
      <c r="F4646" s="3"/>
      <c r="G4646" s="3"/>
      <c r="H4646" s="3" t="s">
        <v>16</v>
      </c>
      <c r="I4646" s="3" t="s">
        <v>1745</v>
      </c>
    </row>
    <row r="4647" spans="1:9" s="5" customFormat="1" x14ac:dyDescent="0.35">
      <c r="A4647" s="3" t="s">
        <v>1688</v>
      </c>
      <c r="B4647" s="3" t="s">
        <v>1734</v>
      </c>
      <c r="C4647" s="3" t="s">
        <v>45</v>
      </c>
      <c r="D4647" s="3" t="s">
        <v>1744</v>
      </c>
      <c r="E4647" s="3" t="s">
        <v>23</v>
      </c>
      <c r="F4647" s="3"/>
      <c r="G4647" s="3"/>
      <c r="H4647" s="3" t="s">
        <v>16</v>
      </c>
      <c r="I4647" s="3" t="s">
        <v>1745</v>
      </c>
    </row>
    <row r="4648" spans="1:9" s="5" customFormat="1" x14ac:dyDescent="0.35">
      <c r="A4648" s="3" t="s">
        <v>1688</v>
      </c>
      <c r="B4648" s="3" t="s">
        <v>1734</v>
      </c>
      <c r="C4648" s="3" t="s">
        <v>45</v>
      </c>
      <c r="D4648" s="3" t="s">
        <v>1744</v>
      </c>
      <c r="E4648" s="3" t="s">
        <v>60</v>
      </c>
      <c r="F4648" s="3"/>
      <c r="G4648" s="3" t="s">
        <v>2848</v>
      </c>
      <c r="H4648" s="3" t="s">
        <v>16</v>
      </c>
      <c r="I4648" s="3" t="s">
        <v>1745</v>
      </c>
    </row>
    <row r="4649" spans="1:9" s="5" customFormat="1" x14ac:dyDescent="0.35">
      <c r="A4649" s="3" t="s">
        <v>1688</v>
      </c>
      <c r="B4649" s="3" t="s">
        <v>1734</v>
      </c>
      <c r="C4649" s="3" t="s">
        <v>45</v>
      </c>
      <c r="D4649" s="3" t="s">
        <v>1744</v>
      </c>
      <c r="E4649" s="3" t="s">
        <v>27</v>
      </c>
      <c r="F4649" s="3" t="s">
        <v>16</v>
      </c>
      <c r="G4649" s="3" t="s">
        <v>1746</v>
      </c>
      <c r="H4649" s="3" t="s">
        <v>16</v>
      </c>
      <c r="I4649" s="3" t="s">
        <v>1745</v>
      </c>
    </row>
    <row r="4650" spans="1:9" s="5" customFormat="1" x14ac:dyDescent="0.35">
      <c r="A4650" s="3" t="s">
        <v>1688</v>
      </c>
      <c r="B4650" s="3" t="s">
        <v>1734</v>
      </c>
      <c r="C4650" s="3" t="s">
        <v>45</v>
      </c>
      <c r="D4650" s="3" t="s">
        <v>1744</v>
      </c>
      <c r="E4650" s="3" t="s">
        <v>185</v>
      </c>
      <c r="F4650" s="3"/>
      <c r="G4650" s="3"/>
      <c r="H4650" s="3" t="s">
        <v>16</v>
      </c>
      <c r="I4650" s="3" t="s">
        <v>1745</v>
      </c>
    </row>
    <row r="4651" spans="1:9" s="5" customFormat="1" x14ac:dyDescent="0.35">
      <c r="A4651" s="3" t="s">
        <v>1688</v>
      </c>
      <c r="B4651" s="3" t="s">
        <v>1734</v>
      </c>
      <c r="C4651" s="3" t="s">
        <v>45</v>
      </c>
      <c r="D4651" s="3" t="s">
        <v>1744</v>
      </c>
      <c r="E4651" s="3" t="s">
        <v>15</v>
      </c>
      <c r="F4651" s="3"/>
      <c r="G4651" s="3"/>
      <c r="H4651" s="3" t="s">
        <v>16</v>
      </c>
      <c r="I4651" s="3" t="s">
        <v>1745</v>
      </c>
    </row>
    <row r="4652" spans="1:9" s="5" customFormat="1" x14ac:dyDescent="0.35">
      <c r="A4652" s="3" t="s">
        <v>1688</v>
      </c>
      <c r="B4652" s="3" t="s">
        <v>1734</v>
      </c>
      <c r="C4652" s="3" t="s">
        <v>45</v>
      </c>
      <c r="D4652" s="3" t="s">
        <v>1744</v>
      </c>
      <c r="E4652" s="3" t="s">
        <v>56</v>
      </c>
      <c r="F4652" s="3"/>
      <c r="G4652" s="3"/>
      <c r="H4652" s="3" t="s">
        <v>16</v>
      </c>
      <c r="I4652" s="3" t="s">
        <v>1745</v>
      </c>
    </row>
    <row r="4653" spans="1:9" s="5" customFormat="1" x14ac:dyDescent="0.35">
      <c r="A4653" s="3" t="s">
        <v>1688</v>
      </c>
      <c r="B4653" s="3" t="s">
        <v>1734</v>
      </c>
      <c r="C4653" s="3" t="s">
        <v>45</v>
      </c>
      <c r="D4653" s="3" t="s">
        <v>1744</v>
      </c>
      <c r="E4653" s="3" t="s">
        <v>24</v>
      </c>
      <c r="F4653" s="3" t="s">
        <v>16</v>
      </c>
      <c r="G4653" s="3" t="s">
        <v>1699</v>
      </c>
      <c r="H4653" s="3" t="s">
        <v>16</v>
      </c>
      <c r="I4653" s="3" t="s">
        <v>1745</v>
      </c>
    </row>
    <row r="4654" spans="1:9" s="5" customFormat="1" x14ac:dyDescent="0.35">
      <c r="A4654" s="3" t="s">
        <v>1688</v>
      </c>
      <c r="B4654" s="3" t="s">
        <v>1734</v>
      </c>
      <c r="C4654" s="3" t="s">
        <v>45</v>
      </c>
      <c r="D4654" s="3" t="s">
        <v>1744</v>
      </c>
      <c r="E4654" s="3" t="s">
        <v>134</v>
      </c>
      <c r="F4654" s="3"/>
      <c r="G4654" s="3"/>
      <c r="H4654" s="3" t="s">
        <v>16</v>
      </c>
      <c r="I4654" s="3" t="s">
        <v>1745</v>
      </c>
    </row>
    <row r="4655" spans="1:9" s="5" customFormat="1" x14ac:dyDescent="0.35">
      <c r="A4655" s="3" t="s">
        <v>1688</v>
      </c>
      <c r="B4655" s="3" t="s">
        <v>1734</v>
      </c>
      <c r="C4655" s="3" t="s">
        <v>45</v>
      </c>
      <c r="D4655" s="3" t="s">
        <v>1747</v>
      </c>
      <c r="E4655" s="3" t="s">
        <v>36</v>
      </c>
      <c r="F4655" s="3" t="s">
        <v>33</v>
      </c>
      <c r="G4655" s="3" t="s">
        <v>1748</v>
      </c>
      <c r="H4655" s="3" t="s">
        <v>16</v>
      </c>
      <c r="I4655" s="3" t="s">
        <v>1745</v>
      </c>
    </row>
    <row r="4656" spans="1:9" s="5" customFormat="1" x14ac:dyDescent="0.35">
      <c r="A4656" s="3" t="s">
        <v>1688</v>
      </c>
      <c r="B4656" s="3" t="s">
        <v>1734</v>
      </c>
      <c r="C4656" s="3" t="s">
        <v>45</v>
      </c>
      <c r="D4656" s="3" t="s">
        <v>1747</v>
      </c>
      <c r="E4656" s="3" t="s">
        <v>23</v>
      </c>
      <c r="F4656" s="3" t="s">
        <v>33</v>
      </c>
      <c r="G4656" s="3" t="s">
        <v>1748</v>
      </c>
      <c r="H4656" s="3" t="s">
        <v>16</v>
      </c>
      <c r="I4656" s="3" t="s">
        <v>1745</v>
      </c>
    </row>
    <row r="4657" spans="1:9" s="5" customFormat="1" x14ac:dyDescent="0.35">
      <c r="A4657" s="3" t="s">
        <v>1688</v>
      </c>
      <c r="B4657" s="3" t="s">
        <v>1734</v>
      </c>
      <c r="C4657" s="3" t="s">
        <v>45</v>
      </c>
      <c r="D4657" s="3" t="s">
        <v>1747</v>
      </c>
      <c r="E4657" s="3" t="s">
        <v>27</v>
      </c>
      <c r="F4657" s="3" t="s">
        <v>33</v>
      </c>
      <c r="G4657" s="3" t="s">
        <v>1748</v>
      </c>
      <c r="H4657" s="3" t="s">
        <v>16</v>
      </c>
      <c r="I4657" s="3" t="s">
        <v>1745</v>
      </c>
    </row>
    <row r="4658" spans="1:9" s="5" customFormat="1" x14ac:dyDescent="0.35">
      <c r="A4658" s="3" t="s">
        <v>1688</v>
      </c>
      <c r="B4658" s="3" t="s">
        <v>1734</v>
      </c>
      <c r="C4658" s="3" t="s">
        <v>45</v>
      </c>
      <c r="D4658" s="3" t="s">
        <v>1747</v>
      </c>
      <c r="E4658" s="3" t="s">
        <v>185</v>
      </c>
      <c r="F4658" s="3" t="s">
        <v>33</v>
      </c>
      <c r="G4658" s="3" t="s">
        <v>1748</v>
      </c>
      <c r="H4658" s="3" t="s">
        <v>16</v>
      </c>
      <c r="I4658" s="3" t="s">
        <v>1745</v>
      </c>
    </row>
    <row r="4659" spans="1:9" s="5" customFormat="1" x14ac:dyDescent="0.35">
      <c r="A4659" s="3" t="s">
        <v>1688</v>
      </c>
      <c r="B4659" s="3" t="s">
        <v>1734</v>
      </c>
      <c r="C4659" s="3" t="s">
        <v>45</v>
      </c>
      <c r="D4659" s="3" t="s">
        <v>1747</v>
      </c>
      <c r="E4659" s="3" t="s">
        <v>15</v>
      </c>
      <c r="F4659" s="3" t="s">
        <v>33</v>
      </c>
      <c r="G4659" s="3" t="s">
        <v>1748</v>
      </c>
      <c r="H4659" s="3" t="s">
        <v>16</v>
      </c>
      <c r="I4659" s="3" t="s">
        <v>1745</v>
      </c>
    </row>
    <row r="4660" spans="1:9" s="5" customFormat="1" x14ac:dyDescent="0.35">
      <c r="A4660" s="3" t="s">
        <v>1688</v>
      </c>
      <c r="B4660" s="3" t="s">
        <v>1734</v>
      </c>
      <c r="C4660" s="3" t="s">
        <v>45</v>
      </c>
      <c r="D4660" s="3" t="s">
        <v>1747</v>
      </c>
      <c r="E4660" s="3" t="s">
        <v>56</v>
      </c>
      <c r="F4660" s="3" t="s">
        <v>33</v>
      </c>
      <c r="G4660" s="3" t="s">
        <v>1748</v>
      </c>
      <c r="H4660" s="3" t="s">
        <v>16</v>
      </c>
      <c r="I4660" s="3" t="s">
        <v>1745</v>
      </c>
    </row>
    <row r="4661" spans="1:9" s="5" customFormat="1" x14ac:dyDescent="0.35">
      <c r="A4661" s="3" t="s">
        <v>1688</v>
      </c>
      <c r="B4661" s="3" t="s">
        <v>1734</v>
      </c>
      <c r="C4661" s="3" t="s">
        <v>45</v>
      </c>
      <c r="D4661" s="3" t="s">
        <v>1747</v>
      </c>
      <c r="E4661" s="3" t="s">
        <v>24</v>
      </c>
      <c r="F4661" s="3" t="s">
        <v>33</v>
      </c>
      <c r="G4661" s="3" t="s">
        <v>1748</v>
      </c>
      <c r="H4661" s="3" t="s">
        <v>16</v>
      </c>
      <c r="I4661" s="3" t="s">
        <v>1745</v>
      </c>
    </row>
    <row r="4662" spans="1:9" s="5" customFormat="1" x14ac:dyDescent="0.35">
      <c r="A4662" s="3" t="s">
        <v>1688</v>
      </c>
      <c r="B4662" s="3" t="s">
        <v>1734</v>
      </c>
      <c r="C4662" s="3" t="s">
        <v>45</v>
      </c>
      <c r="D4662" s="3" t="s">
        <v>1747</v>
      </c>
      <c r="E4662" s="3" t="s">
        <v>134</v>
      </c>
      <c r="F4662" s="3" t="s">
        <v>33</v>
      </c>
      <c r="G4662" s="3" t="s">
        <v>1748</v>
      </c>
      <c r="H4662" s="3" t="s">
        <v>16</v>
      </c>
      <c r="I4662" s="3" t="s">
        <v>1745</v>
      </c>
    </row>
    <row r="4663" spans="1:9" s="5" customFormat="1" x14ac:dyDescent="0.35">
      <c r="A4663" s="3" t="s">
        <v>1688</v>
      </c>
      <c r="B4663" s="3" t="s">
        <v>1734</v>
      </c>
      <c r="C4663" s="3" t="s">
        <v>42</v>
      </c>
      <c r="D4663" s="3" t="s">
        <v>1749</v>
      </c>
      <c r="E4663" s="3" t="s">
        <v>23</v>
      </c>
      <c r="F4663" s="3" t="s">
        <v>1737</v>
      </c>
      <c r="G4663" s="3" t="s">
        <v>1750</v>
      </c>
      <c r="H4663" s="3" t="s">
        <v>16</v>
      </c>
      <c r="I4663" s="3" t="s">
        <v>1736</v>
      </c>
    </row>
    <row r="4664" spans="1:9" s="5" customFormat="1" x14ac:dyDescent="0.35">
      <c r="A4664" s="3" t="s">
        <v>1688</v>
      </c>
      <c r="B4664" s="3" t="s">
        <v>1734</v>
      </c>
      <c r="C4664" s="3" t="s">
        <v>42</v>
      </c>
      <c r="D4664" s="3" t="s">
        <v>1749</v>
      </c>
      <c r="E4664" s="3" t="s">
        <v>25</v>
      </c>
      <c r="F4664" s="3"/>
      <c r="G4664" s="3"/>
      <c r="H4664" s="3" t="s">
        <v>16</v>
      </c>
      <c r="I4664" s="3" t="s">
        <v>1736</v>
      </c>
    </row>
    <row r="4665" spans="1:9" s="5" customFormat="1" x14ac:dyDescent="0.35">
      <c r="A4665" s="3" t="s">
        <v>1688</v>
      </c>
      <c r="B4665" s="3" t="s">
        <v>1734</v>
      </c>
      <c r="C4665" s="3" t="s">
        <v>42</v>
      </c>
      <c r="D4665" s="3" t="s">
        <v>1749</v>
      </c>
      <c r="E4665" s="3" t="s">
        <v>60</v>
      </c>
      <c r="F4665" s="3"/>
      <c r="G4665" s="3"/>
      <c r="H4665" s="3" t="s">
        <v>16</v>
      </c>
      <c r="I4665" s="3" t="s">
        <v>1736</v>
      </c>
    </row>
    <row r="4666" spans="1:9" s="5" customFormat="1" x14ac:dyDescent="0.35">
      <c r="A4666" s="3" t="s">
        <v>1688</v>
      </c>
      <c r="B4666" s="3" t="s">
        <v>1734</v>
      </c>
      <c r="C4666" s="3" t="s">
        <v>42</v>
      </c>
      <c r="D4666" s="3" t="s">
        <v>1749</v>
      </c>
      <c r="E4666" s="3" t="s">
        <v>27</v>
      </c>
      <c r="F4666" s="3"/>
      <c r="G4666" s="3"/>
      <c r="H4666" s="3" t="s">
        <v>16</v>
      </c>
      <c r="I4666" s="3" t="s">
        <v>1736</v>
      </c>
    </row>
    <row r="4667" spans="1:9" s="5" customFormat="1" x14ac:dyDescent="0.35">
      <c r="A4667" s="3" t="s">
        <v>1688</v>
      </c>
      <c r="B4667" s="3" t="s">
        <v>1734</v>
      </c>
      <c r="C4667" s="3" t="s">
        <v>42</v>
      </c>
      <c r="D4667" s="3" t="s">
        <v>1749</v>
      </c>
      <c r="E4667" s="3" t="s">
        <v>98</v>
      </c>
      <c r="F4667" s="3"/>
      <c r="G4667" s="3"/>
      <c r="H4667" s="3"/>
      <c r="I4667" s="3"/>
    </row>
    <row r="4668" spans="1:9" s="5" customFormat="1" x14ac:dyDescent="0.35">
      <c r="A4668" s="3" t="s">
        <v>1688</v>
      </c>
      <c r="B4668" s="3" t="s">
        <v>1734</v>
      </c>
      <c r="C4668" s="3" t="s">
        <v>42</v>
      </c>
      <c r="D4668" s="3" t="s">
        <v>1749</v>
      </c>
      <c r="E4668" s="3" t="s">
        <v>185</v>
      </c>
      <c r="F4668" s="3"/>
      <c r="G4668" s="3"/>
      <c r="H4668" s="3" t="s">
        <v>16</v>
      </c>
      <c r="I4668" s="3" t="s">
        <v>1745</v>
      </c>
    </row>
    <row r="4669" spans="1:9" s="5" customFormat="1" x14ac:dyDescent="0.35">
      <c r="A4669" s="3" t="s">
        <v>1688</v>
      </c>
      <c r="B4669" s="3" t="s">
        <v>1734</v>
      </c>
      <c r="C4669" s="3" t="s">
        <v>42</v>
      </c>
      <c r="D4669" s="3" t="s">
        <v>1749</v>
      </c>
      <c r="E4669" s="3" t="s">
        <v>56</v>
      </c>
      <c r="F4669" s="3" t="s">
        <v>1737</v>
      </c>
      <c r="G4669" s="3" t="s">
        <v>1751</v>
      </c>
      <c r="H4669" s="3" t="s">
        <v>16</v>
      </c>
      <c r="I4669" s="3" t="s">
        <v>1736</v>
      </c>
    </row>
    <row r="4670" spans="1:9" s="5" customFormat="1" x14ac:dyDescent="0.35">
      <c r="A4670" s="3" t="s">
        <v>1688</v>
      </c>
      <c r="B4670" s="3" t="s">
        <v>1734</v>
      </c>
      <c r="C4670" s="3" t="s">
        <v>42</v>
      </c>
      <c r="D4670" s="3" t="s">
        <v>1749</v>
      </c>
      <c r="E4670" s="3" t="s">
        <v>24</v>
      </c>
      <c r="F4670" s="3"/>
      <c r="G4670" s="3"/>
      <c r="H4670" s="3" t="s">
        <v>16</v>
      </c>
      <c r="I4670" s="3" t="s">
        <v>1736</v>
      </c>
    </row>
    <row r="4671" spans="1:9" s="5" customFormat="1" x14ac:dyDescent="0.35">
      <c r="A4671" s="3" t="s">
        <v>1688</v>
      </c>
      <c r="B4671" s="3" t="s">
        <v>1734</v>
      </c>
      <c r="C4671" s="3" t="s">
        <v>42</v>
      </c>
      <c r="D4671" s="3" t="s">
        <v>1749</v>
      </c>
      <c r="E4671" s="3" t="s">
        <v>290</v>
      </c>
      <c r="F4671" s="3"/>
      <c r="G4671" s="3"/>
      <c r="H4671" s="3" t="s">
        <v>16</v>
      </c>
      <c r="I4671" s="3" t="s">
        <v>1736</v>
      </c>
    </row>
    <row r="4672" spans="1:9" s="5" customFormat="1" x14ac:dyDescent="0.35">
      <c r="A4672" s="3" t="s">
        <v>1688</v>
      </c>
      <c r="B4672" s="3" t="s">
        <v>1734</v>
      </c>
      <c r="C4672" s="3" t="s">
        <v>45</v>
      </c>
      <c r="D4672" s="3" t="s">
        <v>1752</v>
      </c>
      <c r="E4672" s="3" t="s">
        <v>36</v>
      </c>
      <c r="F4672" s="3"/>
      <c r="G4672" s="3"/>
      <c r="H4672" s="3" t="s">
        <v>16</v>
      </c>
      <c r="I4672" s="3" t="s">
        <v>1736</v>
      </c>
    </row>
    <row r="4673" spans="1:9" s="5" customFormat="1" x14ac:dyDescent="0.35">
      <c r="A4673" s="3" t="s">
        <v>1688</v>
      </c>
      <c r="B4673" s="3" t="s">
        <v>1734</v>
      </c>
      <c r="C4673" s="3" t="s">
        <v>45</v>
      </c>
      <c r="D4673" s="3" t="s">
        <v>1752</v>
      </c>
      <c r="E4673" s="3" t="s">
        <v>185</v>
      </c>
      <c r="F4673" s="3"/>
      <c r="G4673" s="3"/>
      <c r="H4673" s="3" t="s">
        <v>16</v>
      </c>
      <c r="I4673" s="3" t="s">
        <v>1736</v>
      </c>
    </row>
    <row r="4674" spans="1:9" s="5" customFormat="1" x14ac:dyDescent="0.35">
      <c r="A4674" s="3" t="s">
        <v>1688</v>
      </c>
      <c r="B4674" s="3" t="s">
        <v>1734</v>
      </c>
      <c r="C4674" s="3" t="s">
        <v>45</v>
      </c>
      <c r="D4674" s="3" t="s">
        <v>1752</v>
      </c>
      <c r="E4674" s="3" t="s">
        <v>15</v>
      </c>
      <c r="F4674" s="3"/>
      <c r="G4674" s="3"/>
      <c r="H4674" s="3" t="s">
        <v>16</v>
      </c>
      <c r="I4674" s="3" t="s">
        <v>1736</v>
      </c>
    </row>
    <row r="4675" spans="1:9" s="5" customFormat="1" x14ac:dyDescent="0.35">
      <c r="A4675" s="3" t="s">
        <v>1688</v>
      </c>
      <c r="B4675" s="3" t="s">
        <v>1734</v>
      </c>
      <c r="C4675" s="3" t="s">
        <v>45</v>
      </c>
      <c r="D4675" s="3" t="s">
        <v>1752</v>
      </c>
      <c r="E4675" s="3" t="s">
        <v>56</v>
      </c>
      <c r="F4675" s="3"/>
      <c r="G4675" s="3"/>
      <c r="H4675" s="3" t="s">
        <v>16</v>
      </c>
      <c r="I4675" s="3" t="s">
        <v>1736</v>
      </c>
    </row>
    <row r="4676" spans="1:9" s="5" customFormat="1" x14ac:dyDescent="0.35">
      <c r="A4676" s="3" t="s">
        <v>1688</v>
      </c>
      <c r="B4676" s="3" t="s">
        <v>1734</v>
      </c>
      <c r="C4676" s="3" t="s">
        <v>45</v>
      </c>
      <c r="D4676" s="3" t="s">
        <v>1752</v>
      </c>
      <c r="E4676" s="3" t="s">
        <v>24</v>
      </c>
      <c r="F4676" s="3"/>
      <c r="G4676" s="3"/>
      <c r="H4676" s="3" t="s">
        <v>16</v>
      </c>
      <c r="I4676" s="3" t="s">
        <v>1736</v>
      </c>
    </row>
    <row r="4677" spans="1:9" s="5" customFormat="1" x14ac:dyDescent="0.35">
      <c r="A4677" s="3" t="s">
        <v>1688</v>
      </c>
      <c r="B4677" s="3" t="s">
        <v>1734</v>
      </c>
      <c r="C4677" s="3" t="s">
        <v>20</v>
      </c>
      <c r="D4677" s="3" t="s">
        <v>1753</v>
      </c>
      <c r="E4677" s="3" t="s">
        <v>12</v>
      </c>
      <c r="F4677" s="3"/>
      <c r="G4677" s="3"/>
      <c r="H4677" s="3" t="s">
        <v>16</v>
      </c>
      <c r="I4677" s="3" t="s">
        <v>1736</v>
      </c>
    </row>
    <row r="4678" spans="1:9" s="5" customFormat="1" x14ac:dyDescent="0.35">
      <c r="A4678" s="3" t="s">
        <v>1688</v>
      </c>
      <c r="B4678" s="3" t="s">
        <v>1734</v>
      </c>
      <c r="C4678" s="3" t="s">
        <v>20</v>
      </c>
      <c r="D4678" s="3" t="s">
        <v>1753</v>
      </c>
      <c r="E4678" s="3" t="s">
        <v>36</v>
      </c>
      <c r="F4678" s="3"/>
      <c r="G4678" s="3"/>
      <c r="H4678" s="3" t="s">
        <v>16</v>
      </c>
      <c r="I4678" s="3" t="s">
        <v>1736</v>
      </c>
    </row>
    <row r="4679" spans="1:9" s="5" customFormat="1" x14ac:dyDescent="0.35">
      <c r="A4679" s="3" t="s">
        <v>1688</v>
      </c>
      <c r="B4679" s="3" t="s">
        <v>1734</v>
      </c>
      <c r="C4679" s="3" t="s">
        <v>20</v>
      </c>
      <c r="D4679" s="3" t="s">
        <v>1753</v>
      </c>
      <c r="E4679" s="3" t="s">
        <v>23</v>
      </c>
      <c r="F4679" s="3"/>
      <c r="G4679" s="3" t="s">
        <v>2359</v>
      </c>
      <c r="H4679" s="3" t="s">
        <v>16</v>
      </c>
      <c r="I4679" s="3" t="s">
        <v>1736</v>
      </c>
    </row>
    <row r="4680" spans="1:9" s="5" customFormat="1" x14ac:dyDescent="0.35">
      <c r="A4680" s="3" t="s">
        <v>1688</v>
      </c>
      <c r="B4680" s="3" t="s">
        <v>1734</v>
      </c>
      <c r="C4680" s="3" t="s">
        <v>20</v>
      </c>
      <c r="D4680" s="3" t="s">
        <v>1753</v>
      </c>
      <c r="E4680" s="3" t="s">
        <v>25</v>
      </c>
      <c r="F4680" s="3"/>
      <c r="G4680" s="3"/>
      <c r="H4680" s="3" t="s">
        <v>16</v>
      </c>
      <c r="I4680" s="3" t="s">
        <v>1736</v>
      </c>
    </row>
    <row r="4681" spans="1:9" s="5" customFormat="1" x14ac:dyDescent="0.35">
      <c r="A4681" s="3" t="s">
        <v>1688</v>
      </c>
      <c r="B4681" s="3" t="s">
        <v>1734</v>
      </c>
      <c r="C4681" s="3" t="s">
        <v>20</v>
      </c>
      <c r="D4681" s="3" t="s">
        <v>1753</v>
      </c>
      <c r="E4681" s="3" t="s">
        <v>60</v>
      </c>
      <c r="F4681" s="3"/>
      <c r="G4681" s="3"/>
      <c r="H4681" s="3" t="s">
        <v>16</v>
      </c>
      <c r="I4681" s="3" t="s">
        <v>1736</v>
      </c>
    </row>
    <row r="4682" spans="1:9" s="5" customFormat="1" x14ac:dyDescent="0.35">
      <c r="A4682" s="3" t="s">
        <v>1688</v>
      </c>
      <c r="B4682" s="3" t="s">
        <v>1734</v>
      </c>
      <c r="C4682" s="3" t="s">
        <v>20</v>
      </c>
      <c r="D4682" s="3" t="s">
        <v>1753</v>
      </c>
      <c r="E4682" s="3" t="s">
        <v>28</v>
      </c>
      <c r="F4682" s="3"/>
      <c r="G4682" s="3" t="s">
        <v>2352</v>
      </c>
      <c r="H4682" s="3" t="s">
        <v>16</v>
      </c>
      <c r="I4682" s="3" t="s">
        <v>1736</v>
      </c>
    </row>
    <row r="4683" spans="1:9" s="5" customFormat="1" x14ac:dyDescent="0.35">
      <c r="A4683" s="3" t="s">
        <v>1688</v>
      </c>
      <c r="B4683" s="3" t="s">
        <v>1734</v>
      </c>
      <c r="C4683" s="3" t="s">
        <v>20</v>
      </c>
      <c r="D4683" s="3" t="s">
        <v>1753</v>
      </c>
      <c r="E4683" s="3" t="s">
        <v>98</v>
      </c>
      <c r="F4683" s="3"/>
      <c r="G4683" s="3"/>
      <c r="H4683" s="3" t="s">
        <v>16</v>
      </c>
      <c r="I4683" s="3" t="s">
        <v>1736</v>
      </c>
    </row>
    <row r="4684" spans="1:9" s="5" customFormat="1" x14ac:dyDescent="0.35">
      <c r="A4684" s="3" t="s">
        <v>1688</v>
      </c>
      <c r="B4684" s="3" t="s">
        <v>1734</v>
      </c>
      <c r="C4684" s="3" t="s">
        <v>20</v>
      </c>
      <c r="D4684" s="3" t="s">
        <v>1753</v>
      </c>
      <c r="E4684" s="3" t="s">
        <v>56</v>
      </c>
      <c r="F4684" s="3" t="s">
        <v>1737</v>
      </c>
      <c r="G4684" s="3" t="s">
        <v>2353</v>
      </c>
      <c r="H4684" s="3" t="s">
        <v>16</v>
      </c>
      <c r="I4684" s="3" t="s">
        <v>1736</v>
      </c>
    </row>
    <row r="4685" spans="1:9" s="5" customFormat="1" x14ac:dyDescent="0.35">
      <c r="A4685" s="3" t="s">
        <v>1688</v>
      </c>
      <c r="B4685" s="3" t="s">
        <v>1734</v>
      </c>
      <c r="C4685" s="3" t="s">
        <v>20</v>
      </c>
      <c r="D4685" s="3" t="s">
        <v>1753</v>
      </c>
      <c r="E4685" s="3" t="s">
        <v>24</v>
      </c>
      <c r="F4685" s="3"/>
      <c r="G4685" s="3"/>
      <c r="H4685" s="3" t="s">
        <v>16</v>
      </c>
      <c r="I4685" s="3" t="s">
        <v>1736</v>
      </c>
    </row>
    <row r="4686" spans="1:9" s="5" customFormat="1" x14ac:dyDescent="0.35">
      <c r="A4686" s="3" t="s">
        <v>1688</v>
      </c>
      <c r="B4686" s="3" t="s">
        <v>1734</v>
      </c>
      <c r="C4686" s="3" t="s">
        <v>20</v>
      </c>
      <c r="D4686" s="3" t="s">
        <v>1753</v>
      </c>
      <c r="E4686" s="3" t="s">
        <v>290</v>
      </c>
      <c r="F4686" s="3"/>
      <c r="G4686" s="3"/>
      <c r="H4686" s="3" t="s">
        <v>16</v>
      </c>
      <c r="I4686" s="3" t="s">
        <v>1736</v>
      </c>
    </row>
    <row r="4687" spans="1:9" s="5" customFormat="1" x14ac:dyDescent="0.35">
      <c r="A4687" s="3" t="s">
        <v>1688</v>
      </c>
      <c r="B4687" s="3" t="s">
        <v>1734</v>
      </c>
      <c r="C4687" s="3" t="s">
        <v>39</v>
      </c>
      <c r="D4687" s="3" t="s">
        <v>1754</v>
      </c>
      <c r="E4687" s="3" t="s">
        <v>27</v>
      </c>
      <c r="F4687" s="3" t="s">
        <v>1737</v>
      </c>
      <c r="G4687" s="3" t="s">
        <v>1755</v>
      </c>
      <c r="H4687" s="3" t="s">
        <v>16</v>
      </c>
      <c r="I4687" s="3" t="s">
        <v>1736</v>
      </c>
    </row>
    <row r="4688" spans="1:9" s="5" customFormat="1" x14ac:dyDescent="0.35">
      <c r="A4688" s="3" t="s">
        <v>1688</v>
      </c>
      <c r="B4688" s="3" t="s">
        <v>1734</v>
      </c>
      <c r="C4688" s="3" t="s">
        <v>39</v>
      </c>
      <c r="D4688" s="3" t="s">
        <v>1754</v>
      </c>
      <c r="E4688" s="3" t="s">
        <v>15</v>
      </c>
      <c r="F4688" s="3" t="s">
        <v>1737</v>
      </c>
      <c r="G4688" s="3" t="s">
        <v>1755</v>
      </c>
      <c r="H4688" s="3" t="s">
        <v>16</v>
      </c>
      <c r="I4688" s="3" t="s">
        <v>1736</v>
      </c>
    </row>
    <row r="4689" spans="1:9" s="5" customFormat="1" x14ac:dyDescent="0.35">
      <c r="A4689" s="3" t="s">
        <v>1688</v>
      </c>
      <c r="B4689" s="3" t="s">
        <v>1734</v>
      </c>
      <c r="C4689" s="3" t="s">
        <v>39</v>
      </c>
      <c r="D4689" s="3" t="s">
        <v>1754</v>
      </c>
      <c r="E4689" s="3" t="s">
        <v>56</v>
      </c>
      <c r="F4689" s="3" t="s">
        <v>1737</v>
      </c>
      <c r="G4689" s="3" t="s">
        <v>1755</v>
      </c>
      <c r="H4689" s="3" t="s">
        <v>16</v>
      </c>
      <c r="I4689" s="3" t="s">
        <v>1736</v>
      </c>
    </row>
    <row r="4690" spans="1:9" s="5" customFormat="1" x14ac:dyDescent="0.35">
      <c r="A4690" s="3" t="s">
        <v>1688</v>
      </c>
      <c r="B4690" s="3" t="s">
        <v>1734</v>
      </c>
      <c r="C4690" s="3" t="s">
        <v>39</v>
      </c>
      <c r="D4690" s="3" t="s">
        <v>1754</v>
      </c>
      <c r="E4690" s="3" t="s">
        <v>290</v>
      </c>
      <c r="F4690" s="3" t="s">
        <v>1737</v>
      </c>
      <c r="G4690" s="3" t="s">
        <v>1755</v>
      </c>
      <c r="H4690" s="3" t="s">
        <v>16</v>
      </c>
      <c r="I4690" s="3" t="s">
        <v>1736</v>
      </c>
    </row>
    <row r="4691" spans="1:9" s="5" customFormat="1" x14ac:dyDescent="0.35">
      <c r="A4691" s="3" t="s">
        <v>1688</v>
      </c>
      <c r="B4691" s="3" t="s">
        <v>1734</v>
      </c>
      <c r="C4691" s="3" t="s">
        <v>45</v>
      </c>
      <c r="D4691" s="3" t="s">
        <v>2980</v>
      </c>
      <c r="E4691" s="3" t="s">
        <v>23</v>
      </c>
      <c r="F4691" s="3"/>
      <c r="G4691" s="3"/>
      <c r="H4691" s="3" t="s">
        <v>16</v>
      </c>
      <c r="I4691" s="3" t="s">
        <v>1736</v>
      </c>
    </row>
    <row r="4692" spans="1:9" s="5" customFormat="1" x14ac:dyDescent="0.35">
      <c r="A4692" s="3" t="s">
        <v>1688</v>
      </c>
      <c r="B4692" s="3" t="s">
        <v>1734</v>
      </c>
      <c r="C4692" s="3" t="s">
        <v>45</v>
      </c>
      <c r="D4692" s="3" t="s">
        <v>2980</v>
      </c>
      <c r="E4692" s="3" t="s">
        <v>185</v>
      </c>
      <c r="F4692" s="3" t="s">
        <v>16</v>
      </c>
      <c r="G4692" s="3" t="s">
        <v>2981</v>
      </c>
      <c r="H4692" s="3" t="s">
        <v>16</v>
      </c>
      <c r="I4692" s="3" t="s">
        <v>1736</v>
      </c>
    </row>
    <row r="4693" spans="1:9" s="5" customFormat="1" x14ac:dyDescent="0.35">
      <c r="A4693" s="3" t="s">
        <v>1688</v>
      </c>
      <c r="B4693" s="3" t="s">
        <v>1734</v>
      </c>
      <c r="C4693" s="3" t="s">
        <v>45</v>
      </c>
      <c r="D4693" s="3" t="s">
        <v>2980</v>
      </c>
      <c r="E4693" s="3" t="s">
        <v>24</v>
      </c>
      <c r="F4693" s="3" t="s">
        <v>16</v>
      </c>
      <c r="G4693" s="3" t="s">
        <v>2981</v>
      </c>
      <c r="H4693" s="3" t="s">
        <v>16</v>
      </c>
      <c r="I4693" s="3" t="s">
        <v>1736</v>
      </c>
    </row>
    <row r="4694" spans="1:9" s="5" customFormat="1" x14ac:dyDescent="0.35">
      <c r="A4694" s="3" t="s">
        <v>1688</v>
      </c>
      <c r="B4694" s="3" t="s">
        <v>1734</v>
      </c>
      <c r="C4694" s="3" t="s">
        <v>10</v>
      </c>
      <c r="D4694" s="3" t="s">
        <v>1756</v>
      </c>
      <c r="E4694" s="3" t="s">
        <v>36</v>
      </c>
      <c r="F4694" s="3"/>
      <c r="G4694" s="3"/>
      <c r="H4694" s="3" t="s">
        <v>16</v>
      </c>
      <c r="I4694" s="3" t="s">
        <v>1736</v>
      </c>
    </row>
    <row r="4695" spans="1:9" s="5" customFormat="1" x14ac:dyDescent="0.35">
      <c r="A4695" s="3" t="s">
        <v>1688</v>
      </c>
      <c r="B4695" s="3" t="s">
        <v>1734</v>
      </c>
      <c r="C4695" s="3" t="s">
        <v>10</v>
      </c>
      <c r="D4695" s="3" t="s">
        <v>1756</v>
      </c>
      <c r="E4695" s="3" t="s">
        <v>32</v>
      </c>
      <c r="F4695" s="3" t="s">
        <v>16</v>
      </c>
      <c r="G4695" s="3" t="s">
        <v>1757</v>
      </c>
      <c r="H4695" s="3" t="s">
        <v>16</v>
      </c>
      <c r="I4695" s="3" t="s">
        <v>1736</v>
      </c>
    </row>
    <row r="4696" spans="1:9" s="5" customFormat="1" x14ac:dyDescent="0.35">
      <c r="A4696" s="3" t="s">
        <v>1688</v>
      </c>
      <c r="B4696" s="3" t="s">
        <v>1734</v>
      </c>
      <c r="C4696" s="3" t="s">
        <v>39</v>
      </c>
      <c r="D4696" s="3" t="s">
        <v>1758</v>
      </c>
      <c r="E4696" s="3" t="s">
        <v>27</v>
      </c>
      <c r="F4696" s="3" t="s">
        <v>16</v>
      </c>
      <c r="G4696" s="3" t="s">
        <v>1759</v>
      </c>
      <c r="H4696" s="3" t="s">
        <v>16</v>
      </c>
      <c r="I4696" s="3" t="s">
        <v>1736</v>
      </c>
    </row>
    <row r="4697" spans="1:9" s="5" customFormat="1" x14ac:dyDescent="0.35">
      <c r="A4697" s="3" t="s">
        <v>1688</v>
      </c>
      <c r="B4697" s="3" t="s">
        <v>1734</v>
      </c>
      <c r="C4697" s="3" t="s">
        <v>39</v>
      </c>
      <c r="D4697" s="3" t="s">
        <v>1758</v>
      </c>
      <c r="E4697" s="3" t="s">
        <v>77</v>
      </c>
      <c r="F4697" s="3" t="s">
        <v>16</v>
      </c>
      <c r="G4697" s="3" t="s">
        <v>1759</v>
      </c>
      <c r="H4697" s="3" t="s">
        <v>16</v>
      </c>
      <c r="I4697" s="3" t="s">
        <v>1736</v>
      </c>
    </row>
    <row r="4698" spans="1:9" s="5" customFormat="1" x14ac:dyDescent="0.35">
      <c r="A4698" s="3" t="s">
        <v>1688</v>
      </c>
      <c r="B4698" s="3" t="s">
        <v>1734</v>
      </c>
      <c r="C4698" s="3" t="s">
        <v>39</v>
      </c>
      <c r="D4698" s="3" t="s">
        <v>1758</v>
      </c>
      <c r="E4698" s="3" t="s">
        <v>29</v>
      </c>
      <c r="F4698" s="3" t="s">
        <v>16</v>
      </c>
      <c r="G4698" s="3" t="s">
        <v>1759</v>
      </c>
      <c r="H4698" s="3" t="s">
        <v>16</v>
      </c>
      <c r="I4698" s="3" t="s">
        <v>1736</v>
      </c>
    </row>
    <row r="4699" spans="1:9" s="5" customFormat="1" x14ac:dyDescent="0.35">
      <c r="A4699" s="3" t="s">
        <v>1688</v>
      </c>
      <c r="B4699" s="3" t="s">
        <v>1734</v>
      </c>
      <c r="C4699" s="3" t="s">
        <v>20</v>
      </c>
      <c r="D4699" s="3" t="s">
        <v>1760</v>
      </c>
      <c r="E4699" s="3" t="s">
        <v>23</v>
      </c>
      <c r="F4699" s="3"/>
      <c r="G4699" s="3"/>
      <c r="H4699" s="3" t="s">
        <v>16</v>
      </c>
      <c r="I4699" s="3" t="s">
        <v>1736</v>
      </c>
    </row>
    <row r="4700" spans="1:9" s="5" customFormat="1" x14ac:dyDescent="0.35">
      <c r="A4700" s="3" t="s">
        <v>1688</v>
      </c>
      <c r="B4700" s="3" t="s">
        <v>1734</v>
      </c>
      <c r="C4700" s="3" t="s">
        <v>20</v>
      </c>
      <c r="D4700" s="3" t="s">
        <v>1760</v>
      </c>
      <c r="E4700" s="3" t="s">
        <v>25</v>
      </c>
      <c r="F4700" s="3"/>
      <c r="G4700" s="3"/>
      <c r="H4700" s="3" t="s">
        <v>16</v>
      </c>
      <c r="I4700" s="3" t="s">
        <v>1736</v>
      </c>
    </row>
    <row r="4701" spans="1:9" s="5" customFormat="1" x14ac:dyDescent="0.35">
      <c r="A4701" s="3" t="s">
        <v>1688</v>
      </c>
      <c r="B4701" s="3" t="s">
        <v>1734</v>
      </c>
      <c r="C4701" s="3" t="s">
        <v>20</v>
      </c>
      <c r="D4701" s="3" t="s">
        <v>1760</v>
      </c>
      <c r="E4701" s="3" t="s">
        <v>60</v>
      </c>
      <c r="F4701" s="3"/>
      <c r="G4701" s="3"/>
      <c r="H4701" s="3" t="s">
        <v>16</v>
      </c>
      <c r="I4701" s="3" t="s">
        <v>1736</v>
      </c>
    </row>
    <row r="4702" spans="1:9" s="5" customFormat="1" x14ac:dyDescent="0.35">
      <c r="A4702" s="3" t="s">
        <v>1688</v>
      </c>
      <c r="B4702" s="3" t="s">
        <v>1734</v>
      </c>
      <c r="C4702" s="3" t="s">
        <v>20</v>
      </c>
      <c r="D4702" s="3" t="s">
        <v>1760</v>
      </c>
      <c r="E4702" s="3" t="s">
        <v>27</v>
      </c>
      <c r="F4702" s="3"/>
      <c r="G4702" s="3"/>
      <c r="H4702" s="3" t="s">
        <v>16</v>
      </c>
      <c r="I4702" s="3" t="s">
        <v>1736</v>
      </c>
    </row>
    <row r="4703" spans="1:9" s="5" customFormat="1" x14ac:dyDescent="0.35">
      <c r="A4703" s="3" t="s">
        <v>1688</v>
      </c>
      <c r="B4703" s="3" t="s">
        <v>1734</v>
      </c>
      <c r="C4703" s="3" t="s">
        <v>20</v>
      </c>
      <c r="D4703" s="3" t="s">
        <v>1760</v>
      </c>
      <c r="E4703" s="3" t="s">
        <v>98</v>
      </c>
      <c r="F4703" s="3"/>
      <c r="G4703" s="3"/>
      <c r="H4703" s="3" t="s">
        <v>16</v>
      </c>
      <c r="I4703" s="3" t="s">
        <v>1736</v>
      </c>
    </row>
    <row r="4704" spans="1:9" s="5" customFormat="1" x14ac:dyDescent="0.35">
      <c r="A4704" s="3" t="s">
        <v>1688</v>
      </c>
      <c r="B4704" s="3" t="s">
        <v>1734</v>
      </c>
      <c r="C4704" s="3" t="s">
        <v>20</v>
      </c>
      <c r="D4704" s="3" t="s">
        <v>1760</v>
      </c>
      <c r="E4704" s="3" t="s">
        <v>290</v>
      </c>
      <c r="F4704" s="3"/>
      <c r="G4704" s="3"/>
      <c r="H4704" s="3" t="s">
        <v>16</v>
      </c>
      <c r="I4704" s="3" t="s">
        <v>1736</v>
      </c>
    </row>
    <row r="4705" spans="1:9" s="5" customFormat="1" x14ac:dyDescent="0.35">
      <c r="A4705" s="3" t="s">
        <v>1688</v>
      </c>
      <c r="B4705" s="3" t="s">
        <v>1734</v>
      </c>
      <c r="C4705" s="3" t="s">
        <v>20</v>
      </c>
      <c r="D4705" s="3" t="s">
        <v>1761</v>
      </c>
      <c r="E4705" s="3" t="s">
        <v>23</v>
      </c>
      <c r="F4705" s="3"/>
      <c r="G4705" s="3"/>
      <c r="H4705" s="3" t="s">
        <v>16</v>
      </c>
      <c r="I4705" s="3" t="s">
        <v>1736</v>
      </c>
    </row>
    <row r="4706" spans="1:9" s="5" customFormat="1" x14ac:dyDescent="0.35">
      <c r="A4706" s="3" t="s">
        <v>1688</v>
      </c>
      <c r="B4706" s="3" t="s">
        <v>1734</v>
      </c>
      <c r="C4706" s="3" t="s">
        <v>20</v>
      </c>
      <c r="D4706" s="3" t="s">
        <v>1761</v>
      </c>
      <c r="E4706" s="3" t="s">
        <v>25</v>
      </c>
      <c r="F4706" s="3"/>
      <c r="G4706" s="3"/>
      <c r="H4706" s="3" t="s">
        <v>16</v>
      </c>
      <c r="I4706" s="3" t="s">
        <v>1736</v>
      </c>
    </row>
    <row r="4707" spans="1:9" s="5" customFormat="1" x14ac:dyDescent="0.35">
      <c r="A4707" s="3" t="s">
        <v>1688</v>
      </c>
      <c r="B4707" s="3" t="s">
        <v>1734</v>
      </c>
      <c r="C4707" s="3" t="s">
        <v>20</v>
      </c>
      <c r="D4707" s="3" t="s">
        <v>1761</v>
      </c>
      <c r="E4707" s="3" t="s">
        <v>27</v>
      </c>
      <c r="F4707" s="3" t="s">
        <v>1737</v>
      </c>
      <c r="G4707" s="3" t="s">
        <v>1763</v>
      </c>
      <c r="H4707" s="3" t="s">
        <v>16</v>
      </c>
      <c r="I4707" s="3" t="s">
        <v>1736</v>
      </c>
    </row>
    <row r="4708" spans="1:9" s="5" customFormat="1" x14ac:dyDescent="0.35">
      <c r="A4708" s="3" t="s">
        <v>1688</v>
      </c>
      <c r="B4708" s="3" t="s">
        <v>1734</v>
      </c>
      <c r="C4708" s="3" t="s">
        <v>20</v>
      </c>
      <c r="D4708" s="3" t="s">
        <v>1761</v>
      </c>
      <c r="E4708" s="3" t="s">
        <v>98</v>
      </c>
      <c r="F4708" s="3"/>
      <c r="G4708" s="3"/>
      <c r="H4708" s="3" t="s">
        <v>16</v>
      </c>
      <c r="I4708" s="3" t="s">
        <v>1736</v>
      </c>
    </row>
    <row r="4709" spans="1:9" s="5" customFormat="1" x14ac:dyDescent="0.35">
      <c r="A4709" s="3" t="s">
        <v>1688</v>
      </c>
      <c r="B4709" s="3" t="s">
        <v>1734</v>
      </c>
      <c r="C4709" s="3" t="s">
        <v>20</v>
      </c>
      <c r="D4709" s="3" t="s">
        <v>1761</v>
      </c>
      <c r="E4709" s="3" t="s">
        <v>1216</v>
      </c>
      <c r="F4709" s="3"/>
      <c r="G4709" s="3"/>
      <c r="H4709" s="3" t="s">
        <v>16</v>
      </c>
      <c r="I4709" s="3" t="s">
        <v>1736</v>
      </c>
    </row>
    <row r="4710" spans="1:9" s="5" customFormat="1" x14ac:dyDescent="0.35">
      <c r="A4710" s="3" t="s">
        <v>1688</v>
      </c>
      <c r="B4710" s="3" t="s">
        <v>1734</v>
      </c>
      <c r="C4710" s="3" t="s">
        <v>20</v>
      </c>
      <c r="D4710" s="3" t="s">
        <v>1761</v>
      </c>
      <c r="E4710" s="3" t="s">
        <v>56</v>
      </c>
      <c r="F4710" s="3" t="s">
        <v>1737</v>
      </c>
      <c r="G4710" s="3" t="s">
        <v>1762</v>
      </c>
      <c r="H4710" s="3" t="s">
        <v>16</v>
      </c>
      <c r="I4710" s="3" t="s">
        <v>1736</v>
      </c>
    </row>
    <row r="4711" spans="1:9" s="5" customFormat="1" x14ac:dyDescent="0.35">
      <c r="A4711" s="3" t="s">
        <v>1688</v>
      </c>
      <c r="B4711" s="3" t="s">
        <v>1734</v>
      </c>
      <c r="C4711" s="3" t="s">
        <v>20</v>
      </c>
      <c r="D4711" s="3" t="s">
        <v>1761</v>
      </c>
      <c r="E4711" s="3" t="s">
        <v>290</v>
      </c>
      <c r="F4711" s="3"/>
      <c r="G4711" s="3"/>
      <c r="H4711" s="3" t="s">
        <v>16</v>
      </c>
      <c r="I4711" s="3" t="s">
        <v>1736</v>
      </c>
    </row>
    <row r="4712" spans="1:9" s="5" customFormat="1" x14ac:dyDescent="0.35">
      <c r="A4712" s="3" t="s">
        <v>1688</v>
      </c>
      <c r="B4712" s="3" t="s">
        <v>1764</v>
      </c>
      <c r="C4712" s="3" t="s">
        <v>20</v>
      </c>
      <c r="D4712" s="3" t="s">
        <v>1765</v>
      </c>
      <c r="E4712" s="3" t="s">
        <v>12</v>
      </c>
      <c r="F4712" s="3"/>
      <c r="G4712" s="3"/>
      <c r="H4712" s="3"/>
      <c r="I4712" s="3"/>
    </row>
    <row r="4713" spans="1:9" s="5" customFormat="1" x14ac:dyDescent="0.35">
      <c r="A4713" s="3" t="s">
        <v>1688</v>
      </c>
      <c r="B4713" s="3" t="s">
        <v>1764</v>
      </c>
      <c r="C4713" s="3" t="s">
        <v>20</v>
      </c>
      <c r="D4713" s="3" t="s">
        <v>1765</v>
      </c>
      <c r="E4713" s="3" t="s">
        <v>60</v>
      </c>
      <c r="F4713" s="3"/>
      <c r="G4713" s="3"/>
      <c r="H4713" s="3"/>
      <c r="I4713" s="3"/>
    </row>
    <row r="4714" spans="1:9" s="5" customFormat="1" x14ac:dyDescent="0.35">
      <c r="A4714" s="3" t="s">
        <v>1688</v>
      </c>
      <c r="B4714" s="3" t="s">
        <v>1764</v>
      </c>
      <c r="C4714" s="3" t="s">
        <v>20</v>
      </c>
      <c r="D4714" s="3" t="s">
        <v>1765</v>
      </c>
      <c r="E4714" s="3" t="s">
        <v>27</v>
      </c>
      <c r="F4714" s="3"/>
      <c r="G4714" s="3"/>
      <c r="H4714" s="3"/>
      <c r="I4714" s="3"/>
    </row>
    <row r="4715" spans="1:9" s="5" customFormat="1" x14ac:dyDescent="0.35">
      <c r="A4715" s="3" t="s">
        <v>1688</v>
      </c>
      <c r="B4715" s="3" t="s">
        <v>1764</v>
      </c>
      <c r="C4715" s="3" t="s">
        <v>20</v>
      </c>
      <c r="D4715" s="3" t="s">
        <v>1765</v>
      </c>
      <c r="E4715" s="3" t="s">
        <v>28</v>
      </c>
      <c r="F4715" s="3"/>
      <c r="G4715" s="3"/>
      <c r="H4715" s="3"/>
      <c r="I4715" s="3"/>
    </row>
    <row r="4716" spans="1:9" s="5" customFormat="1" x14ac:dyDescent="0.35">
      <c r="A4716" s="3" t="s">
        <v>1688</v>
      </c>
      <c r="B4716" s="3" t="s">
        <v>1764</v>
      </c>
      <c r="C4716" s="3" t="s">
        <v>20</v>
      </c>
      <c r="D4716" s="3" t="s">
        <v>1765</v>
      </c>
      <c r="E4716" s="3" t="s">
        <v>31</v>
      </c>
      <c r="F4716" s="3"/>
      <c r="G4716" s="3"/>
      <c r="H4716" s="3"/>
      <c r="I4716" s="3"/>
    </row>
    <row r="4717" spans="1:9" s="5" customFormat="1" x14ac:dyDescent="0.35">
      <c r="A4717" s="3" t="s">
        <v>1688</v>
      </c>
      <c r="B4717" s="3" t="s">
        <v>1764</v>
      </c>
      <c r="C4717" s="3" t="s">
        <v>20</v>
      </c>
      <c r="D4717" s="3" t="s">
        <v>1765</v>
      </c>
      <c r="E4717" s="3" t="s">
        <v>15</v>
      </c>
      <c r="F4717" s="3"/>
      <c r="G4717" s="3"/>
      <c r="H4717" s="3"/>
      <c r="I4717" s="3"/>
    </row>
    <row r="4718" spans="1:9" s="5" customFormat="1" x14ac:dyDescent="0.35">
      <c r="A4718" s="3" t="s">
        <v>1688</v>
      </c>
      <c r="B4718" s="3" t="s">
        <v>1764</v>
      </c>
      <c r="C4718" s="3" t="s">
        <v>20</v>
      </c>
      <c r="D4718" s="3" t="s">
        <v>1765</v>
      </c>
      <c r="E4718" s="3" t="s">
        <v>56</v>
      </c>
      <c r="F4718" s="3"/>
      <c r="G4718" s="3"/>
      <c r="H4718" s="3"/>
      <c r="I4718" s="3"/>
    </row>
    <row r="4719" spans="1:9" s="5" customFormat="1" x14ac:dyDescent="0.35">
      <c r="A4719" s="3" t="s">
        <v>1688</v>
      </c>
      <c r="B4719" s="3" t="s">
        <v>1764</v>
      </c>
      <c r="C4719" s="3" t="s">
        <v>20</v>
      </c>
      <c r="D4719" s="3" t="s">
        <v>1765</v>
      </c>
      <c r="E4719" s="3" t="s">
        <v>24</v>
      </c>
      <c r="F4719" s="3"/>
      <c r="G4719" s="3"/>
      <c r="H4719" s="3"/>
      <c r="I4719" s="3"/>
    </row>
    <row r="4720" spans="1:9" s="5" customFormat="1" x14ac:dyDescent="0.35">
      <c r="A4720" s="3" t="s">
        <v>1688</v>
      </c>
      <c r="B4720" s="3" t="s">
        <v>1766</v>
      </c>
      <c r="C4720" s="3" t="s">
        <v>20</v>
      </c>
      <c r="D4720" s="3" t="s">
        <v>1767</v>
      </c>
      <c r="E4720" s="3" t="s">
        <v>23</v>
      </c>
      <c r="F4720" s="3"/>
      <c r="G4720" s="3"/>
      <c r="H4720" s="3"/>
      <c r="I4720" s="3"/>
    </row>
    <row r="4721" spans="1:9" s="5" customFormat="1" x14ac:dyDescent="0.35">
      <c r="A4721" s="3" t="s">
        <v>1688</v>
      </c>
      <c r="B4721" s="3" t="s">
        <v>1766</v>
      </c>
      <c r="C4721" s="3" t="s">
        <v>20</v>
      </c>
      <c r="D4721" s="3" t="s">
        <v>1767</v>
      </c>
      <c r="E4721" s="3" t="s">
        <v>25</v>
      </c>
      <c r="F4721" s="3"/>
      <c r="G4721" s="3"/>
      <c r="H4721" s="3"/>
      <c r="I4721" s="3"/>
    </row>
    <row r="4722" spans="1:9" s="5" customFormat="1" x14ac:dyDescent="0.35">
      <c r="A4722" s="3" t="s">
        <v>1688</v>
      </c>
      <c r="B4722" s="3" t="s">
        <v>1766</v>
      </c>
      <c r="C4722" s="3" t="s">
        <v>20</v>
      </c>
      <c r="D4722" s="3" t="s">
        <v>1767</v>
      </c>
      <c r="E4722" s="3" t="s">
        <v>27</v>
      </c>
      <c r="F4722" s="3"/>
      <c r="G4722" s="3"/>
      <c r="H4722" s="3"/>
      <c r="I4722" s="3"/>
    </row>
    <row r="4723" spans="1:9" s="5" customFormat="1" x14ac:dyDescent="0.35">
      <c r="A4723" s="3" t="s">
        <v>1688</v>
      </c>
      <c r="B4723" s="3" t="s">
        <v>1766</v>
      </c>
      <c r="C4723" s="3" t="s">
        <v>20</v>
      </c>
      <c r="D4723" s="3" t="s">
        <v>1767</v>
      </c>
      <c r="E4723" s="3" t="s">
        <v>28</v>
      </c>
      <c r="F4723" s="3" t="s">
        <v>16</v>
      </c>
      <c r="G4723" s="3" t="s">
        <v>1768</v>
      </c>
      <c r="H4723" s="3"/>
      <c r="I4723" s="3"/>
    </row>
    <row r="4724" spans="1:9" s="5" customFormat="1" x14ac:dyDescent="0.35">
      <c r="A4724" s="3" t="s">
        <v>1688</v>
      </c>
      <c r="B4724" s="3" t="s">
        <v>1766</v>
      </c>
      <c r="C4724" s="3" t="s">
        <v>20</v>
      </c>
      <c r="D4724" s="3" t="s">
        <v>1767</v>
      </c>
      <c r="E4724" s="3" t="s">
        <v>87</v>
      </c>
      <c r="F4724" s="3" t="s">
        <v>33</v>
      </c>
      <c r="G4724" s="3" t="s">
        <v>34</v>
      </c>
      <c r="H4724" s="3"/>
      <c r="I4724" s="3"/>
    </row>
    <row r="4725" spans="1:9" s="5" customFormat="1" x14ac:dyDescent="0.35">
      <c r="A4725" s="3" t="s">
        <v>1688</v>
      </c>
      <c r="B4725" s="3" t="s">
        <v>1766</v>
      </c>
      <c r="C4725" s="3" t="s">
        <v>20</v>
      </c>
      <c r="D4725" s="3" t="s">
        <v>1767</v>
      </c>
      <c r="E4725" s="3" t="s">
        <v>56</v>
      </c>
      <c r="F4725" s="3" t="s">
        <v>16</v>
      </c>
      <c r="G4725" s="3" t="s">
        <v>1768</v>
      </c>
      <c r="H4725" s="3"/>
      <c r="I4725" s="3"/>
    </row>
    <row r="4726" spans="1:9" s="5" customFormat="1" x14ac:dyDescent="0.35">
      <c r="A4726" s="3" t="s">
        <v>1688</v>
      </c>
      <c r="B4726" s="3" t="s">
        <v>1766</v>
      </c>
      <c r="C4726" s="3" t="s">
        <v>20</v>
      </c>
      <c r="D4726" s="3" t="s">
        <v>1767</v>
      </c>
      <c r="E4726" s="3" t="s">
        <v>24</v>
      </c>
      <c r="F4726" s="3"/>
      <c r="G4726" s="3"/>
      <c r="H4726" s="3"/>
      <c r="I4726" s="3"/>
    </row>
    <row r="4727" spans="1:9" s="5" customFormat="1" x14ac:dyDescent="0.35">
      <c r="A4727" s="3" t="s">
        <v>1688</v>
      </c>
      <c r="B4727" s="3" t="s">
        <v>1766</v>
      </c>
      <c r="C4727" s="3" t="s">
        <v>39</v>
      </c>
      <c r="D4727" s="3" t="s">
        <v>1769</v>
      </c>
      <c r="E4727" s="3" t="s">
        <v>27</v>
      </c>
      <c r="F4727" s="3" t="s">
        <v>1737</v>
      </c>
      <c r="G4727" s="3" t="s">
        <v>1770</v>
      </c>
      <c r="H4727" s="3"/>
      <c r="I4727" s="3"/>
    </row>
    <row r="4728" spans="1:9" s="5" customFormat="1" x14ac:dyDescent="0.35">
      <c r="A4728" s="3" t="s">
        <v>1688</v>
      </c>
      <c r="B4728" s="3" t="s">
        <v>1766</v>
      </c>
      <c r="C4728" s="3" t="s">
        <v>39</v>
      </c>
      <c r="D4728" s="3" t="s">
        <v>1769</v>
      </c>
      <c r="E4728" s="3" t="s">
        <v>1216</v>
      </c>
      <c r="F4728" s="3"/>
      <c r="G4728" s="3"/>
      <c r="H4728" s="3"/>
      <c r="I4728" s="3"/>
    </row>
    <row r="4729" spans="1:9" s="5" customFormat="1" x14ac:dyDescent="0.35">
      <c r="A4729" s="3" t="s">
        <v>1688</v>
      </c>
      <c r="B4729" s="3" t="s">
        <v>1766</v>
      </c>
      <c r="C4729" s="3" t="s">
        <v>20</v>
      </c>
      <c r="D4729" s="3" t="s">
        <v>1771</v>
      </c>
      <c r="E4729" s="3" t="s">
        <v>12</v>
      </c>
      <c r="F4729" s="3"/>
      <c r="G4729" s="3"/>
      <c r="H4729" s="3"/>
      <c r="I4729" s="3"/>
    </row>
    <row r="4730" spans="1:9" s="5" customFormat="1" x14ac:dyDescent="0.35">
      <c r="A4730" s="3" t="s">
        <v>1688</v>
      </c>
      <c r="B4730" s="3" t="s">
        <v>1766</v>
      </c>
      <c r="C4730" s="3" t="s">
        <v>20</v>
      </c>
      <c r="D4730" s="3" t="s">
        <v>1771</v>
      </c>
      <c r="E4730" s="3" t="s">
        <v>28</v>
      </c>
      <c r="F4730" s="3"/>
      <c r="G4730" s="3"/>
      <c r="H4730" s="3"/>
      <c r="I4730" s="3"/>
    </row>
    <row r="4731" spans="1:9" s="5" customFormat="1" x14ac:dyDescent="0.35">
      <c r="A4731" s="3" t="s">
        <v>1688</v>
      </c>
      <c r="B4731" s="3" t="s">
        <v>1766</v>
      </c>
      <c r="C4731" s="3" t="s">
        <v>20</v>
      </c>
      <c r="D4731" s="3" t="s">
        <v>1771</v>
      </c>
      <c r="E4731" s="3" t="s">
        <v>31</v>
      </c>
      <c r="F4731" s="3"/>
      <c r="G4731" s="3"/>
      <c r="H4731" s="3"/>
      <c r="I4731" s="3"/>
    </row>
    <row r="4732" spans="1:9" s="5" customFormat="1" x14ac:dyDescent="0.35">
      <c r="A4732" s="3" t="s">
        <v>1688</v>
      </c>
      <c r="B4732" s="3" t="s">
        <v>1772</v>
      </c>
      <c r="C4732" s="3" t="s">
        <v>45</v>
      </c>
      <c r="D4732" s="3" t="s">
        <v>1773</v>
      </c>
      <c r="E4732" s="3" t="s">
        <v>23</v>
      </c>
      <c r="F4732" s="3"/>
      <c r="G4732" s="3"/>
      <c r="H4732" s="3" t="s">
        <v>16</v>
      </c>
      <c r="I4732" s="3" t="s">
        <v>559</v>
      </c>
    </row>
    <row r="4733" spans="1:9" s="5" customFormat="1" x14ac:dyDescent="0.35">
      <c r="A4733" s="3" t="s">
        <v>1688</v>
      </c>
      <c r="B4733" s="3" t="s">
        <v>1772</v>
      </c>
      <c r="C4733" s="3" t="s">
        <v>45</v>
      </c>
      <c r="D4733" s="3" t="s">
        <v>1773</v>
      </c>
      <c r="E4733" s="3" t="s">
        <v>98</v>
      </c>
      <c r="F4733" s="3"/>
      <c r="G4733" s="3"/>
      <c r="H4733" s="3" t="s">
        <v>16</v>
      </c>
      <c r="I4733" s="3" t="s">
        <v>559</v>
      </c>
    </row>
    <row r="4734" spans="1:9" s="5" customFormat="1" x14ac:dyDescent="0.35">
      <c r="A4734" s="3" t="s">
        <v>1688</v>
      </c>
      <c r="B4734" s="3" t="s">
        <v>1772</v>
      </c>
      <c r="C4734" s="3" t="s">
        <v>45</v>
      </c>
      <c r="D4734" s="3" t="s">
        <v>1773</v>
      </c>
      <c r="E4734" s="3" t="s">
        <v>185</v>
      </c>
      <c r="F4734" s="3"/>
      <c r="G4734" s="3"/>
      <c r="H4734" s="3" t="s">
        <v>16</v>
      </c>
      <c r="I4734" s="3" t="s">
        <v>559</v>
      </c>
    </row>
    <row r="4735" spans="1:9" s="5" customFormat="1" x14ac:dyDescent="0.35">
      <c r="A4735" s="3" t="s">
        <v>1688</v>
      </c>
      <c r="B4735" s="3" t="s">
        <v>1772</v>
      </c>
      <c r="C4735" s="3" t="s">
        <v>45</v>
      </c>
      <c r="D4735" s="3" t="s">
        <v>1773</v>
      </c>
      <c r="E4735" s="3" t="s">
        <v>56</v>
      </c>
      <c r="F4735" s="3"/>
      <c r="G4735" s="3"/>
      <c r="H4735" s="3" t="s">
        <v>16</v>
      </c>
      <c r="I4735" s="3" t="s">
        <v>559</v>
      </c>
    </row>
    <row r="4736" spans="1:9" s="5" customFormat="1" x14ac:dyDescent="0.35">
      <c r="A4736" s="3" t="s">
        <v>1688</v>
      </c>
      <c r="B4736" s="3" t="s">
        <v>1772</v>
      </c>
      <c r="C4736" s="3" t="s">
        <v>45</v>
      </c>
      <c r="D4736" s="3" t="s">
        <v>1773</v>
      </c>
      <c r="E4736" s="3" t="s">
        <v>24</v>
      </c>
      <c r="F4736" s="3" t="s">
        <v>1737</v>
      </c>
      <c r="G4736" s="3" t="s">
        <v>1774</v>
      </c>
      <c r="H4736" s="3" t="s">
        <v>16</v>
      </c>
      <c r="I4736" s="3" t="s">
        <v>559</v>
      </c>
    </row>
    <row r="4737" spans="1:9" s="5" customFormat="1" x14ac:dyDescent="0.35">
      <c r="A4737" s="3" t="s">
        <v>1688</v>
      </c>
      <c r="B4737" s="3" t="s">
        <v>1772</v>
      </c>
      <c r="C4737" s="3" t="s">
        <v>45</v>
      </c>
      <c r="D4737" s="3" t="s">
        <v>1773</v>
      </c>
      <c r="E4737" s="3" t="s">
        <v>290</v>
      </c>
      <c r="F4737" s="3"/>
      <c r="G4737" s="3"/>
      <c r="H4737" s="3" t="s">
        <v>16</v>
      </c>
      <c r="I4737" s="3" t="s">
        <v>559</v>
      </c>
    </row>
    <row r="4738" spans="1:9" s="5" customFormat="1" x14ac:dyDescent="0.35">
      <c r="A4738" s="3" t="s">
        <v>1688</v>
      </c>
      <c r="B4738" s="3" t="s">
        <v>1772</v>
      </c>
      <c r="C4738" s="3" t="s">
        <v>45</v>
      </c>
      <c r="D4738" s="3" t="s">
        <v>1775</v>
      </c>
      <c r="E4738" s="3" t="s">
        <v>23</v>
      </c>
      <c r="F4738" s="3"/>
      <c r="G4738" s="3"/>
      <c r="H4738" s="3" t="s">
        <v>16</v>
      </c>
      <c r="I4738" s="3" t="s">
        <v>559</v>
      </c>
    </row>
    <row r="4739" spans="1:9" s="5" customFormat="1" x14ac:dyDescent="0.35">
      <c r="A4739" s="3" t="s">
        <v>1688</v>
      </c>
      <c r="B4739" s="3" t="s">
        <v>1772</v>
      </c>
      <c r="C4739" s="3" t="s">
        <v>45</v>
      </c>
      <c r="D4739" s="3" t="s">
        <v>1775</v>
      </c>
      <c r="E4739" s="3" t="s">
        <v>1216</v>
      </c>
      <c r="F4739" s="3"/>
      <c r="G4739" s="3"/>
      <c r="H4739" s="3" t="s">
        <v>16</v>
      </c>
      <c r="I4739" s="3" t="s">
        <v>559</v>
      </c>
    </row>
    <row r="4740" spans="1:9" s="5" customFormat="1" x14ac:dyDescent="0.35">
      <c r="A4740" s="3" t="s">
        <v>1688</v>
      </c>
      <c r="B4740" s="3" t="s">
        <v>1772</v>
      </c>
      <c r="C4740" s="3" t="s">
        <v>45</v>
      </c>
      <c r="D4740" s="3" t="s">
        <v>1775</v>
      </c>
      <c r="E4740" s="3" t="s">
        <v>56</v>
      </c>
      <c r="F4740" s="3" t="s">
        <v>16</v>
      </c>
      <c r="G4740" s="3" t="s">
        <v>2322</v>
      </c>
      <c r="H4740" s="3" t="s">
        <v>16</v>
      </c>
      <c r="I4740" s="3" t="s">
        <v>559</v>
      </c>
    </row>
    <row r="4741" spans="1:9" s="5" customFormat="1" x14ac:dyDescent="0.35">
      <c r="A4741" s="3" t="s">
        <v>1688</v>
      </c>
      <c r="B4741" s="3" t="s">
        <v>1772</v>
      </c>
      <c r="C4741" s="3" t="s">
        <v>45</v>
      </c>
      <c r="D4741" s="3" t="s">
        <v>1775</v>
      </c>
      <c r="E4741" s="3" t="s">
        <v>911</v>
      </c>
      <c r="F4741" s="3" t="s">
        <v>16</v>
      </c>
      <c r="G4741" s="3" t="s">
        <v>1776</v>
      </c>
      <c r="H4741" s="3" t="s">
        <v>16</v>
      </c>
      <c r="I4741" s="3" t="s">
        <v>559</v>
      </c>
    </row>
    <row r="4742" spans="1:9" s="5" customFormat="1" x14ac:dyDescent="0.35">
      <c r="A4742" s="3" t="s">
        <v>1688</v>
      </c>
      <c r="B4742" s="3" t="s">
        <v>1772</v>
      </c>
      <c r="C4742" s="3" t="s">
        <v>45</v>
      </c>
      <c r="D4742" s="3" t="s">
        <v>1775</v>
      </c>
      <c r="E4742" s="3" t="s">
        <v>24</v>
      </c>
      <c r="F4742" s="3"/>
      <c r="G4742" s="3"/>
      <c r="H4742" s="3" t="s">
        <v>16</v>
      </c>
      <c r="I4742" s="3" t="s">
        <v>559</v>
      </c>
    </row>
    <row r="4743" spans="1:9" s="5" customFormat="1" x14ac:dyDescent="0.35">
      <c r="A4743" s="3" t="s">
        <v>1688</v>
      </c>
      <c r="B4743" s="3" t="s">
        <v>1772</v>
      </c>
      <c r="C4743" s="3" t="s">
        <v>42</v>
      </c>
      <c r="D4743" s="3" t="s">
        <v>1777</v>
      </c>
      <c r="E4743" s="3" t="s">
        <v>23</v>
      </c>
      <c r="F4743" s="3"/>
      <c r="G4743" s="3"/>
      <c r="H4743" s="3" t="s">
        <v>16</v>
      </c>
      <c r="I4743" s="3" t="s">
        <v>559</v>
      </c>
    </row>
    <row r="4744" spans="1:9" s="5" customFormat="1" x14ac:dyDescent="0.35">
      <c r="A4744" s="3" t="s">
        <v>1688</v>
      </c>
      <c r="B4744" s="3" t="s">
        <v>1772</v>
      </c>
      <c r="C4744" s="3" t="s">
        <v>42</v>
      </c>
      <c r="D4744" s="3" t="s">
        <v>1777</v>
      </c>
      <c r="E4744" s="3" t="s">
        <v>27</v>
      </c>
      <c r="F4744" s="3"/>
      <c r="G4744" s="3"/>
      <c r="H4744" s="3" t="s">
        <v>16</v>
      </c>
      <c r="I4744" s="3" t="s">
        <v>559</v>
      </c>
    </row>
    <row r="4745" spans="1:9" s="5" customFormat="1" x14ac:dyDescent="0.35">
      <c r="A4745" s="3" t="s">
        <v>1688</v>
      </c>
      <c r="B4745" s="3" t="s">
        <v>1772</v>
      </c>
      <c r="C4745" s="3" t="s">
        <v>42</v>
      </c>
      <c r="D4745" s="3" t="s">
        <v>1777</v>
      </c>
      <c r="E4745" s="3" t="s">
        <v>77</v>
      </c>
      <c r="F4745" s="3"/>
      <c r="G4745" s="3"/>
      <c r="H4745" s="3" t="s">
        <v>16</v>
      </c>
      <c r="I4745" s="3" t="s">
        <v>559</v>
      </c>
    </row>
    <row r="4746" spans="1:9" s="5" customFormat="1" x14ac:dyDescent="0.35">
      <c r="A4746" s="3" t="s">
        <v>1688</v>
      </c>
      <c r="B4746" s="3" t="s">
        <v>1772</v>
      </c>
      <c r="C4746" s="3" t="s">
        <v>45</v>
      </c>
      <c r="D4746" s="3" t="s">
        <v>1778</v>
      </c>
      <c r="E4746" s="3" t="s">
        <v>24</v>
      </c>
      <c r="F4746" s="3" t="s">
        <v>1737</v>
      </c>
      <c r="G4746" s="3" t="s">
        <v>1779</v>
      </c>
      <c r="H4746" s="3" t="s">
        <v>16</v>
      </c>
      <c r="I4746" s="3" t="s">
        <v>559</v>
      </c>
    </row>
    <row r="4747" spans="1:9" s="5" customFormat="1" x14ac:dyDescent="0.35">
      <c r="A4747" s="3" t="s">
        <v>1688</v>
      </c>
      <c r="B4747" s="3" t="s">
        <v>1772</v>
      </c>
      <c r="C4747" s="3" t="s">
        <v>20</v>
      </c>
      <c r="D4747" s="3" t="s">
        <v>1780</v>
      </c>
      <c r="E4747" s="3" t="s">
        <v>23</v>
      </c>
      <c r="F4747" s="3" t="s">
        <v>16</v>
      </c>
      <c r="G4747" s="3" t="s">
        <v>1781</v>
      </c>
      <c r="H4747" s="3" t="s">
        <v>16</v>
      </c>
      <c r="I4747" s="3" t="s">
        <v>559</v>
      </c>
    </row>
    <row r="4748" spans="1:9" s="5" customFormat="1" x14ac:dyDescent="0.35">
      <c r="A4748" s="3" t="s">
        <v>1688</v>
      </c>
      <c r="B4748" s="3" t="s">
        <v>1772</v>
      </c>
      <c r="C4748" s="3" t="s">
        <v>20</v>
      </c>
      <c r="D4748" s="3" t="s">
        <v>1780</v>
      </c>
      <c r="E4748" s="3" t="s">
        <v>25</v>
      </c>
      <c r="F4748" s="3"/>
      <c r="G4748" s="3"/>
      <c r="H4748" s="3" t="s">
        <v>16</v>
      </c>
      <c r="I4748" s="3" t="s">
        <v>559</v>
      </c>
    </row>
    <row r="4749" spans="1:9" s="5" customFormat="1" x14ac:dyDescent="0.35">
      <c r="A4749" s="3" t="s">
        <v>1688</v>
      </c>
      <c r="B4749" s="3" t="s">
        <v>1772</v>
      </c>
      <c r="C4749" s="3" t="s">
        <v>20</v>
      </c>
      <c r="D4749" s="3" t="s">
        <v>1780</v>
      </c>
      <c r="E4749" s="3" t="s">
        <v>27</v>
      </c>
      <c r="F4749" s="3"/>
      <c r="G4749" s="3"/>
      <c r="H4749" s="3" t="s">
        <v>16</v>
      </c>
      <c r="I4749" s="3" t="s">
        <v>559</v>
      </c>
    </row>
    <row r="4750" spans="1:9" s="5" customFormat="1" x14ac:dyDescent="0.35">
      <c r="A4750" s="3" t="s">
        <v>1688</v>
      </c>
      <c r="B4750" s="3" t="s">
        <v>1772</v>
      </c>
      <c r="C4750" s="3" t="s">
        <v>20</v>
      </c>
      <c r="D4750" s="3" t="s">
        <v>1780</v>
      </c>
      <c r="E4750" s="3" t="s">
        <v>1216</v>
      </c>
      <c r="F4750" s="3" t="s">
        <v>16</v>
      </c>
      <c r="G4750" s="3" t="s">
        <v>1782</v>
      </c>
      <c r="H4750" s="3" t="s">
        <v>16</v>
      </c>
      <c r="I4750" s="3" t="s">
        <v>559</v>
      </c>
    </row>
    <row r="4751" spans="1:9" s="5" customFormat="1" x14ac:dyDescent="0.35">
      <c r="A4751" s="3" t="s">
        <v>1688</v>
      </c>
      <c r="B4751" s="3" t="s">
        <v>1772</v>
      </c>
      <c r="C4751" s="3" t="s">
        <v>20</v>
      </c>
      <c r="D4751" s="3" t="s">
        <v>1780</v>
      </c>
      <c r="E4751" s="3" t="s">
        <v>24</v>
      </c>
      <c r="F4751" s="3"/>
      <c r="G4751" s="3" t="s">
        <v>2351</v>
      </c>
      <c r="H4751" s="3" t="s">
        <v>16</v>
      </c>
      <c r="I4751" s="3" t="s">
        <v>559</v>
      </c>
    </row>
    <row r="4752" spans="1:9" s="5" customFormat="1" x14ac:dyDescent="0.35">
      <c r="A4752" s="3" t="s">
        <v>1688</v>
      </c>
      <c r="B4752" s="3" t="s">
        <v>1772</v>
      </c>
      <c r="C4752" s="3" t="s">
        <v>20</v>
      </c>
      <c r="D4752" s="3" t="s">
        <v>1780</v>
      </c>
      <c r="E4752" s="3" t="s">
        <v>290</v>
      </c>
      <c r="F4752" s="3"/>
      <c r="G4752" s="3"/>
      <c r="H4752" s="3" t="s">
        <v>16</v>
      </c>
      <c r="I4752" s="3" t="s">
        <v>559</v>
      </c>
    </row>
    <row r="4753" spans="1:9" s="5" customFormat="1" x14ac:dyDescent="0.35">
      <c r="A4753" s="3" t="s">
        <v>1688</v>
      </c>
      <c r="B4753" s="3" t="s">
        <v>1772</v>
      </c>
      <c r="C4753" s="3" t="s">
        <v>45</v>
      </c>
      <c r="D4753" s="3" t="s">
        <v>1783</v>
      </c>
      <c r="E4753" s="3" t="s">
        <v>36</v>
      </c>
      <c r="F4753" s="3" t="s">
        <v>16</v>
      </c>
      <c r="G4753" s="3" t="s">
        <v>1784</v>
      </c>
      <c r="H4753" s="3"/>
      <c r="I4753" s="3"/>
    </row>
    <row r="4754" spans="1:9" s="5" customFormat="1" x14ac:dyDescent="0.35">
      <c r="A4754" s="3" t="s">
        <v>1688</v>
      </c>
      <c r="B4754" s="3" t="s">
        <v>1772</v>
      </c>
      <c r="C4754" s="3" t="s">
        <v>45</v>
      </c>
      <c r="D4754" s="3" t="s">
        <v>1783</v>
      </c>
      <c r="E4754" s="3" t="s">
        <v>23</v>
      </c>
      <c r="F4754" s="3"/>
      <c r="G4754" s="3"/>
      <c r="H4754" s="3"/>
      <c r="I4754" s="3"/>
    </row>
    <row r="4755" spans="1:9" s="5" customFormat="1" x14ac:dyDescent="0.35">
      <c r="A4755" s="3" t="s">
        <v>1688</v>
      </c>
      <c r="B4755" s="3" t="s">
        <v>1772</v>
      </c>
      <c r="C4755" s="3" t="s">
        <v>45</v>
      </c>
      <c r="D4755" s="3" t="s">
        <v>1783</v>
      </c>
      <c r="E4755" s="3" t="s">
        <v>28</v>
      </c>
      <c r="F4755" s="3"/>
      <c r="G4755" s="3"/>
      <c r="H4755" s="3" t="s">
        <v>16</v>
      </c>
      <c r="I4755" s="3" t="s">
        <v>559</v>
      </c>
    </row>
    <row r="4756" spans="1:9" s="5" customFormat="1" x14ac:dyDescent="0.35">
      <c r="A4756" s="3" t="s">
        <v>1688</v>
      </c>
      <c r="B4756" s="3" t="s">
        <v>1772</v>
      </c>
      <c r="C4756" s="3" t="s">
        <v>45</v>
      </c>
      <c r="D4756" s="3" t="s">
        <v>1783</v>
      </c>
      <c r="E4756" s="3" t="s">
        <v>24</v>
      </c>
      <c r="F4756" s="3"/>
      <c r="G4756" s="3"/>
      <c r="H4756" s="3"/>
      <c r="I4756" s="3"/>
    </row>
    <row r="4757" spans="1:9" s="5" customFormat="1" x14ac:dyDescent="0.35">
      <c r="A4757" s="3" t="s">
        <v>1688</v>
      </c>
      <c r="B4757" s="3" t="s">
        <v>1772</v>
      </c>
      <c r="C4757" s="3" t="s">
        <v>39</v>
      </c>
      <c r="D4757" s="3" t="s">
        <v>1785</v>
      </c>
      <c r="E4757" s="3" t="s">
        <v>25</v>
      </c>
      <c r="F4757" s="3"/>
      <c r="G4757" s="3"/>
      <c r="H4757" s="3" t="s">
        <v>16</v>
      </c>
      <c r="I4757" s="3" t="s">
        <v>559</v>
      </c>
    </row>
    <row r="4758" spans="1:9" s="5" customFormat="1" x14ac:dyDescent="0.35">
      <c r="A4758" s="3" t="s">
        <v>1688</v>
      </c>
      <c r="B4758" s="3" t="s">
        <v>1772</v>
      </c>
      <c r="C4758" s="3" t="s">
        <v>39</v>
      </c>
      <c r="D4758" s="3" t="s">
        <v>1785</v>
      </c>
      <c r="E4758" s="3" t="s">
        <v>27</v>
      </c>
      <c r="F4758" s="3"/>
      <c r="G4758" s="3"/>
      <c r="H4758" s="3" t="s">
        <v>16</v>
      </c>
      <c r="I4758" s="3" t="s">
        <v>559</v>
      </c>
    </row>
    <row r="4759" spans="1:9" s="5" customFormat="1" x14ac:dyDescent="0.35">
      <c r="A4759" s="3" t="s">
        <v>1688</v>
      </c>
      <c r="B4759" s="3" t="s">
        <v>1772</v>
      </c>
      <c r="C4759" s="3" t="s">
        <v>39</v>
      </c>
      <c r="D4759" s="3" t="s">
        <v>1785</v>
      </c>
      <c r="E4759" s="3" t="s">
        <v>77</v>
      </c>
      <c r="F4759" s="3"/>
      <c r="G4759" s="3"/>
      <c r="H4759" s="3" t="s">
        <v>16</v>
      </c>
      <c r="I4759" s="3" t="s">
        <v>559</v>
      </c>
    </row>
    <row r="4760" spans="1:9" s="5" customFormat="1" x14ac:dyDescent="0.35">
      <c r="A4760" s="3" t="s">
        <v>1688</v>
      </c>
      <c r="B4760" s="3" t="s">
        <v>1772</v>
      </c>
      <c r="C4760" s="3" t="s">
        <v>39</v>
      </c>
      <c r="D4760" s="3" t="s">
        <v>1785</v>
      </c>
      <c r="E4760" s="3" t="s">
        <v>185</v>
      </c>
      <c r="F4760" s="3"/>
      <c r="G4760" s="3"/>
      <c r="H4760" s="3" t="s">
        <v>16</v>
      </c>
      <c r="I4760" s="3" t="s">
        <v>559</v>
      </c>
    </row>
    <row r="4761" spans="1:9" s="5" customFormat="1" x14ac:dyDescent="0.35">
      <c r="A4761" s="3" t="s">
        <v>1688</v>
      </c>
      <c r="B4761" s="3" t="s">
        <v>1772</v>
      </c>
      <c r="C4761" s="3" t="s">
        <v>39</v>
      </c>
      <c r="D4761" s="3" t="s">
        <v>1785</v>
      </c>
      <c r="E4761" s="3" t="s">
        <v>56</v>
      </c>
      <c r="F4761" s="3"/>
      <c r="G4761" s="3"/>
      <c r="H4761" s="3" t="s">
        <v>16</v>
      </c>
      <c r="I4761" s="3" t="s">
        <v>559</v>
      </c>
    </row>
    <row r="4762" spans="1:9" s="5" customFormat="1" x14ac:dyDescent="0.35">
      <c r="A4762" s="3" t="s">
        <v>1688</v>
      </c>
      <c r="B4762" s="3" t="s">
        <v>1772</v>
      </c>
      <c r="C4762" s="3" t="s">
        <v>39</v>
      </c>
      <c r="D4762" s="3" t="s">
        <v>1785</v>
      </c>
      <c r="E4762" s="3" t="s">
        <v>290</v>
      </c>
      <c r="F4762" s="3"/>
      <c r="G4762" s="3"/>
      <c r="H4762" s="3" t="s">
        <v>16</v>
      </c>
      <c r="I4762" s="3" t="s">
        <v>559</v>
      </c>
    </row>
    <row r="4763" spans="1:9" s="5" customFormat="1" x14ac:dyDescent="0.35">
      <c r="A4763" s="3" t="s">
        <v>1688</v>
      </c>
      <c r="B4763" s="3" t="s">
        <v>1772</v>
      </c>
      <c r="C4763" s="3" t="s">
        <v>20</v>
      </c>
      <c r="D4763" s="3" t="s">
        <v>1786</v>
      </c>
      <c r="E4763" s="3" t="s">
        <v>23</v>
      </c>
      <c r="F4763" s="3"/>
      <c r="G4763" s="3"/>
      <c r="H4763" s="3" t="s">
        <v>16</v>
      </c>
      <c r="I4763" s="3" t="s">
        <v>559</v>
      </c>
    </row>
    <row r="4764" spans="1:9" s="5" customFormat="1" x14ac:dyDescent="0.35">
      <c r="A4764" s="3" t="s">
        <v>1688</v>
      </c>
      <c r="B4764" s="3" t="s">
        <v>1772</v>
      </c>
      <c r="C4764" s="3" t="s">
        <v>20</v>
      </c>
      <c r="D4764" s="3" t="s">
        <v>1786</v>
      </c>
      <c r="E4764" s="3" t="s">
        <v>27</v>
      </c>
      <c r="F4764" s="3"/>
      <c r="G4764" s="3"/>
      <c r="H4764" s="3" t="s">
        <v>16</v>
      </c>
      <c r="I4764" s="3" t="s">
        <v>559</v>
      </c>
    </row>
    <row r="4765" spans="1:9" s="5" customFormat="1" x14ac:dyDescent="0.35">
      <c r="A4765" s="3" t="s">
        <v>1688</v>
      </c>
      <c r="B4765" s="3" t="s">
        <v>1772</v>
      </c>
      <c r="C4765" s="3" t="s">
        <v>20</v>
      </c>
      <c r="D4765" s="3" t="s">
        <v>1786</v>
      </c>
      <c r="E4765" s="3" t="s">
        <v>1216</v>
      </c>
      <c r="F4765" s="3" t="s">
        <v>16</v>
      </c>
      <c r="G4765" s="3" t="s">
        <v>1787</v>
      </c>
      <c r="H4765" s="3" t="s">
        <v>16</v>
      </c>
      <c r="I4765" s="3" t="s">
        <v>559</v>
      </c>
    </row>
    <row r="4766" spans="1:9" s="5" customFormat="1" x14ac:dyDescent="0.35">
      <c r="A4766" s="3" t="s">
        <v>1688</v>
      </c>
      <c r="B4766" s="3" t="s">
        <v>1772</v>
      </c>
      <c r="C4766" s="3" t="s">
        <v>20</v>
      </c>
      <c r="D4766" s="3" t="s">
        <v>1788</v>
      </c>
      <c r="E4766" s="3" t="s">
        <v>23</v>
      </c>
      <c r="F4766" s="3" t="s">
        <v>16</v>
      </c>
      <c r="G4766" s="3" t="s">
        <v>1789</v>
      </c>
      <c r="H4766" s="3" t="s">
        <v>16</v>
      </c>
      <c r="I4766" s="3" t="s">
        <v>559</v>
      </c>
    </row>
    <row r="4767" spans="1:9" s="5" customFormat="1" x14ac:dyDescent="0.35">
      <c r="A4767" s="3" t="s">
        <v>1688</v>
      </c>
      <c r="B4767" s="3" t="s">
        <v>1772</v>
      </c>
      <c r="C4767" s="3" t="s">
        <v>20</v>
      </c>
      <c r="D4767" s="3" t="s">
        <v>1788</v>
      </c>
      <c r="E4767" s="3" t="s">
        <v>27</v>
      </c>
      <c r="F4767" s="3"/>
      <c r="G4767" s="3"/>
      <c r="H4767" s="3"/>
      <c r="I4767" s="3"/>
    </row>
    <row r="4768" spans="1:9" s="5" customFormat="1" x14ac:dyDescent="0.35">
      <c r="A4768" s="3" t="s">
        <v>1688</v>
      </c>
      <c r="B4768" s="3" t="s">
        <v>1790</v>
      </c>
      <c r="C4768" s="3" t="s">
        <v>10</v>
      </c>
      <c r="D4768" s="3" t="s">
        <v>1791</v>
      </c>
      <c r="E4768" s="3" t="s">
        <v>24</v>
      </c>
      <c r="F4768" s="3"/>
      <c r="G4768" s="3"/>
      <c r="H4768" s="3" t="s">
        <v>16</v>
      </c>
      <c r="I4768" s="3" t="s">
        <v>559</v>
      </c>
    </row>
    <row r="4769" spans="1:9" s="5" customFormat="1" x14ac:dyDescent="0.35">
      <c r="A4769" s="3" t="s">
        <v>1688</v>
      </c>
      <c r="B4769" s="3" t="s">
        <v>1790</v>
      </c>
      <c r="C4769" s="3" t="s">
        <v>20</v>
      </c>
      <c r="D4769" s="3" t="s">
        <v>1792</v>
      </c>
      <c r="E4769" s="3" t="s">
        <v>36</v>
      </c>
      <c r="F4769" s="3"/>
      <c r="G4769" s="3"/>
      <c r="H4769" s="3" t="s">
        <v>16</v>
      </c>
      <c r="I4769" s="3" t="s">
        <v>559</v>
      </c>
    </row>
    <row r="4770" spans="1:9" s="5" customFormat="1" x14ac:dyDescent="0.35">
      <c r="A4770" s="3" t="s">
        <v>1688</v>
      </c>
      <c r="B4770" s="3" t="s">
        <v>1790</v>
      </c>
      <c r="C4770" s="3" t="s">
        <v>20</v>
      </c>
      <c r="D4770" s="3" t="s">
        <v>1792</v>
      </c>
      <c r="E4770" s="3" t="s">
        <v>23</v>
      </c>
      <c r="F4770" s="3"/>
      <c r="G4770" s="3"/>
      <c r="H4770" s="3" t="s">
        <v>16</v>
      </c>
      <c r="I4770" s="3" t="s">
        <v>559</v>
      </c>
    </row>
    <row r="4771" spans="1:9" s="5" customFormat="1" x14ac:dyDescent="0.35">
      <c r="A4771" s="3" t="s">
        <v>1688</v>
      </c>
      <c r="B4771" s="3" t="s">
        <v>1790</v>
      </c>
      <c r="C4771" s="3" t="s">
        <v>20</v>
      </c>
      <c r="D4771" s="3" t="s">
        <v>1792</v>
      </c>
      <c r="E4771" s="3" t="s">
        <v>77</v>
      </c>
      <c r="F4771" s="3"/>
      <c r="G4771" s="3"/>
      <c r="H4771" s="3" t="s">
        <v>16</v>
      </c>
      <c r="I4771" s="3" t="s">
        <v>559</v>
      </c>
    </row>
    <row r="4772" spans="1:9" s="5" customFormat="1" x14ac:dyDescent="0.35">
      <c r="A4772" s="3" t="s">
        <v>1688</v>
      </c>
      <c r="B4772" s="3" t="s">
        <v>1790</v>
      </c>
      <c r="C4772" s="3" t="s">
        <v>20</v>
      </c>
      <c r="D4772" s="3" t="s">
        <v>1792</v>
      </c>
      <c r="E4772" s="3" t="s">
        <v>185</v>
      </c>
      <c r="F4772" s="3"/>
      <c r="G4772" s="3"/>
      <c r="H4772" s="3" t="s">
        <v>16</v>
      </c>
      <c r="I4772" s="3" t="s">
        <v>559</v>
      </c>
    </row>
    <row r="4773" spans="1:9" s="5" customFormat="1" x14ac:dyDescent="0.35">
      <c r="A4773" s="3" t="s">
        <v>1688</v>
      </c>
      <c r="B4773" s="3" t="s">
        <v>1790</v>
      </c>
      <c r="C4773" s="3" t="s">
        <v>20</v>
      </c>
      <c r="D4773" s="3" t="s">
        <v>1792</v>
      </c>
      <c r="E4773" s="3" t="s">
        <v>24</v>
      </c>
      <c r="F4773" s="3"/>
      <c r="G4773" s="3"/>
      <c r="H4773" s="3" t="s">
        <v>16</v>
      </c>
      <c r="I4773" s="3" t="s">
        <v>559</v>
      </c>
    </row>
    <row r="4774" spans="1:9" s="5" customFormat="1" x14ac:dyDescent="0.35">
      <c r="A4774" s="3" t="s">
        <v>1688</v>
      </c>
      <c r="B4774" s="3" t="s">
        <v>1790</v>
      </c>
      <c r="C4774" s="3" t="s">
        <v>20</v>
      </c>
      <c r="D4774" s="3" t="s">
        <v>1792</v>
      </c>
      <c r="E4774" s="3" t="s">
        <v>191</v>
      </c>
      <c r="F4774" s="3"/>
      <c r="G4774" s="3"/>
      <c r="H4774" s="3" t="s">
        <v>16</v>
      </c>
      <c r="I4774" s="3" t="s">
        <v>559</v>
      </c>
    </row>
    <row r="4775" spans="1:9" s="5" customFormat="1" x14ac:dyDescent="0.35">
      <c r="A4775" s="3" t="s">
        <v>1688</v>
      </c>
      <c r="B4775" s="3" t="s">
        <v>1790</v>
      </c>
      <c r="C4775" s="3" t="s">
        <v>45</v>
      </c>
      <c r="D4775" s="3" t="s">
        <v>1793</v>
      </c>
      <c r="E4775" s="3" t="s">
        <v>36</v>
      </c>
      <c r="F4775" s="3" t="s">
        <v>16</v>
      </c>
      <c r="G4775" s="3" t="s">
        <v>1794</v>
      </c>
      <c r="H4775" s="3" t="s">
        <v>16</v>
      </c>
      <c r="I4775" s="3" t="s">
        <v>559</v>
      </c>
    </row>
    <row r="4776" spans="1:9" s="5" customFormat="1" x14ac:dyDescent="0.35">
      <c r="A4776" s="3" t="s">
        <v>1688</v>
      </c>
      <c r="B4776" s="3" t="s">
        <v>1790</v>
      </c>
      <c r="C4776" s="3" t="s">
        <v>45</v>
      </c>
      <c r="D4776" s="3" t="s">
        <v>1793</v>
      </c>
      <c r="E4776" s="3" t="s">
        <v>27</v>
      </c>
      <c r="F4776" s="3"/>
      <c r="G4776" s="3"/>
      <c r="H4776" s="3" t="s">
        <v>16</v>
      </c>
      <c r="I4776" s="3" t="s">
        <v>559</v>
      </c>
    </row>
    <row r="4777" spans="1:9" s="5" customFormat="1" x14ac:dyDescent="0.35">
      <c r="A4777" s="3" t="s">
        <v>1688</v>
      </c>
      <c r="B4777" s="3" t="s">
        <v>1790</v>
      </c>
      <c r="C4777" s="3" t="s">
        <v>45</v>
      </c>
      <c r="D4777" s="3" t="s">
        <v>1793</v>
      </c>
      <c r="E4777" s="3" t="s">
        <v>77</v>
      </c>
      <c r="F4777" s="3"/>
      <c r="G4777" s="3"/>
      <c r="H4777" s="3" t="s">
        <v>16</v>
      </c>
      <c r="I4777" s="3" t="s">
        <v>559</v>
      </c>
    </row>
    <row r="4778" spans="1:9" s="5" customFormat="1" x14ac:dyDescent="0.35">
      <c r="A4778" s="3" t="s">
        <v>1688</v>
      </c>
      <c r="B4778" s="3" t="s">
        <v>1790</v>
      </c>
      <c r="C4778" s="3" t="s">
        <v>45</v>
      </c>
      <c r="D4778" s="3" t="s">
        <v>1793</v>
      </c>
      <c r="E4778" s="3" t="s">
        <v>24</v>
      </c>
      <c r="F4778" s="3"/>
      <c r="G4778" s="3"/>
      <c r="H4778" s="3" t="s">
        <v>16</v>
      </c>
      <c r="I4778" s="3" t="s">
        <v>559</v>
      </c>
    </row>
    <row r="4779" spans="1:9" s="5" customFormat="1" x14ac:dyDescent="0.35">
      <c r="A4779" s="3" t="s">
        <v>1688</v>
      </c>
      <c r="B4779" s="3" t="s">
        <v>1790</v>
      </c>
      <c r="C4779" s="3" t="s">
        <v>42</v>
      </c>
      <c r="D4779" s="3" t="s">
        <v>1795</v>
      </c>
      <c r="E4779" s="3" t="s">
        <v>36</v>
      </c>
      <c r="F4779" s="3"/>
      <c r="G4779" s="3"/>
      <c r="H4779" s="3" t="s">
        <v>16</v>
      </c>
      <c r="I4779" s="3" t="s">
        <v>559</v>
      </c>
    </row>
    <row r="4780" spans="1:9" s="5" customFormat="1" x14ac:dyDescent="0.35">
      <c r="A4780" s="3" t="s">
        <v>1688</v>
      </c>
      <c r="B4780" s="3" t="s">
        <v>1790</v>
      </c>
      <c r="C4780" s="3" t="s">
        <v>42</v>
      </c>
      <c r="D4780" s="3" t="s">
        <v>1795</v>
      </c>
      <c r="E4780" s="3" t="s">
        <v>23</v>
      </c>
      <c r="F4780" s="3"/>
      <c r="G4780" s="3" t="s">
        <v>2359</v>
      </c>
      <c r="H4780" s="3" t="s">
        <v>16</v>
      </c>
      <c r="I4780" s="3" t="s">
        <v>559</v>
      </c>
    </row>
    <row r="4781" spans="1:9" s="5" customFormat="1" x14ac:dyDescent="0.35">
      <c r="A4781" s="3" t="s">
        <v>1688</v>
      </c>
      <c r="B4781" s="3" t="s">
        <v>1790</v>
      </c>
      <c r="C4781" s="3" t="s">
        <v>42</v>
      </c>
      <c r="D4781" s="3" t="s">
        <v>1795</v>
      </c>
      <c r="E4781" s="3" t="s">
        <v>290</v>
      </c>
      <c r="F4781" s="3"/>
      <c r="G4781" s="3"/>
      <c r="H4781" s="3" t="s">
        <v>16</v>
      </c>
      <c r="I4781" s="3" t="s">
        <v>559</v>
      </c>
    </row>
    <row r="4782" spans="1:9" s="5" customFormat="1" x14ac:dyDescent="0.35">
      <c r="A4782" s="3" t="s">
        <v>1688</v>
      </c>
      <c r="B4782" s="3" t="s">
        <v>1790</v>
      </c>
      <c r="C4782" s="3" t="s">
        <v>39</v>
      </c>
      <c r="D4782" s="3" t="s">
        <v>1796</v>
      </c>
      <c r="E4782" s="3" t="s">
        <v>23</v>
      </c>
      <c r="F4782" s="3" t="s">
        <v>1797</v>
      </c>
      <c r="G4782" s="3" t="s">
        <v>34</v>
      </c>
      <c r="H4782" s="3" t="s">
        <v>16</v>
      </c>
      <c r="I4782" s="3" t="s">
        <v>559</v>
      </c>
    </row>
    <row r="4783" spans="1:9" s="5" customFormat="1" x14ac:dyDescent="0.35">
      <c r="A4783" s="3" t="s">
        <v>1688</v>
      </c>
      <c r="B4783" s="3" t="s">
        <v>1790</v>
      </c>
      <c r="C4783" s="3" t="s">
        <v>39</v>
      </c>
      <c r="D4783" s="3" t="s">
        <v>1796</v>
      </c>
      <c r="E4783" s="3" t="s">
        <v>27</v>
      </c>
      <c r="F4783" s="3" t="s">
        <v>1797</v>
      </c>
      <c r="G4783" s="3" t="s">
        <v>34</v>
      </c>
      <c r="H4783" s="3" t="s">
        <v>16</v>
      </c>
      <c r="I4783" s="3" t="s">
        <v>559</v>
      </c>
    </row>
    <row r="4784" spans="1:9" s="5" customFormat="1" x14ac:dyDescent="0.35">
      <c r="A4784" s="3" t="s">
        <v>1688</v>
      </c>
      <c r="B4784" s="3" t="s">
        <v>1790</v>
      </c>
      <c r="C4784" s="3" t="s">
        <v>39</v>
      </c>
      <c r="D4784" s="3" t="s">
        <v>1796</v>
      </c>
      <c r="E4784" s="3" t="s">
        <v>77</v>
      </c>
      <c r="F4784" s="3" t="s">
        <v>1797</v>
      </c>
      <c r="G4784" s="3" t="s">
        <v>34</v>
      </c>
      <c r="H4784" s="3" t="s">
        <v>16</v>
      </c>
      <c r="I4784" s="3" t="s">
        <v>559</v>
      </c>
    </row>
    <row r="4785" spans="1:9" s="5" customFormat="1" x14ac:dyDescent="0.35">
      <c r="A4785" s="3" t="s">
        <v>1688</v>
      </c>
      <c r="B4785" s="3" t="s">
        <v>1790</v>
      </c>
      <c r="C4785" s="3" t="s">
        <v>39</v>
      </c>
      <c r="D4785" s="3" t="s">
        <v>1796</v>
      </c>
      <c r="E4785" s="3" t="s">
        <v>26</v>
      </c>
      <c r="F4785" s="3" t="s">
        <v>1797</v>
      </c>
      <c r="G4785" s="3" t="s">
        <v>34</v>
      </c>
      <c r="H4785" s="3" t="s">
        <v>16</v>
      </c>
      <c r="I4785" s="3" t="s">
        <v>559</v>
      </c>
    </row>
    <row r="4786" spans="1:9" s="5" customFormat="1" x14ac:dyDescent="0.35">
      <c r="A4786" s="3" t="s">
        <v>1688</v>
      </c>
      <c r="B4786" s="3" t="s">
        <v>1790</v>
      </c>
      <c r="C4786" s="3" t="s">
        <v>39</v>
      </c>
      <c r="D4786" s="3" t="s">
        <v>1796</v>
      </c>
      <c r="E4786" s="3" t="s">
        <v>290</v>
      </c>
      <c r="F4786" s="3" t="s">
        <v>1797</v>
      </c>
      <c r="G4786" s="3" t="s">
        <v>34</v>
      </c>
      <c r="H4786" s="3" t="s">
        <v>16</v>
      </c>
      <c r="I4786" s="3" t="s">
        <v>559</v>
      </c>
    </row>
    <row r="4787" spans="1:9" s="5" customFormat="1" x14ac:dyDescent="0.35">
      <c r="A4787" s="3" t="s">
        <v>1688</v>
      </c>
      <c r="B4787" s="3" t="s">
        <v>1790</v>
      </c>
      <c r="C4787" s="3" t="s">
        <v>39</v>
      </c>
      <c r="D4787" s="3" t="s">
        <v>1798</v>
      </c>
      <c r="E4787" s="3" t="s">
        <v>77</v>
      </c>
      <c r="F4787" s="3"/>
      <c r="G4787" s="3"/>
      <c r="H4787" s="3" t="s">
        <v>16</v>
      </c>
      <c r="I4787" s="3" t="s">
        <v>559</v>
      </c>
    </row>
    <row r="4788" spans="1:9" s="5" customFormat="1" x14ac:dyDescent="0.35">
      <c r="A4788" s="3" t="s">
        <v>1688</v>
      </c>
      <c r="B4788" s="3" t="s">
        <v>1790</v>
      </c>
      <c r="C4788" s="3" t="s">
        <v>39</v>
      </c>
      <c r="D4788" s="3" t="s">
        <v>1798</v>
      </c>
      <c r="E4788" s="3" t="s">
        <v>152</v>
      </c>
      <c r="F4788" s="3"/>
      <c r="G4788" s="3"/>
      <c r="H4788" s="3" t="s">
        <v>16</v>
      </c>
      <c r="I4788" s="3" t="s">
        <v>559</v>
      </c>
    </row>
    <row r="4789" spans="1:9" s="5" customFormat="1" x14ac:dyDescent="0.35">
      <c r="A4789" s="3" t="s">
        <v>1688</v>
      </c>
      <c r="B4789" s="3" t="s">
        <v>1790</v>
      </c>
      <c r="C4789" s="3" t="s">
        <v>39</v>
      </c>
      <c r="D4789" s="3" t="s">
        <v>1798</v>
      </c>
      <c r="E4789" s="3" t="s">
        <v>290</v>
      </c>
      <c r="F4789" s="3"/>
      <c r="G4789" s="3"/>
      <c r="H4789" s="3" t="s">
        <v>16</v>
      </c>
      <c r="I4789" s="3" t="s">
        <v>559</v>
      </c>
    </row>
    <row r="4790" spans="1:9" s="5" customFormat="1" x14ac:dyDescent="0.35">
      <c r="A4790" s="3" t="s">
        <v>1688</v>
      </c>
      <c r="B4790" s="3" t="s">
        <v>1790</v>
      </c>
      <c r="C4790" s="3" t="s">
        <v>39</v>
      </c>
      <c r="D4790" s="3" t="s">
        <v>1799</v>
      </c>
      <c r="E4790" s="3" t="s">
        <v>23</v>
      </c>
      <c r="F4790" s="3" t="s">
        <v>16</v>
      </c>
      <c r="G4790" s="3" t="s">
        <v>1800</v>
      </c>
      <c r="H4790" s="3" t="s">
        <v>16</v>
      </c>
      <c r="I4790" s="3" t="s">
        <v>559</v>
      </c>
    </row>
    <row r="4791" spans="1:9" s="5" customFormat="1" x14ac:dyDescent="0.35">
      <c r="A4791" s="3" t="s">
        <v>1688</v>
      </c>
      <c r="B4791" s="3" t="s">
        <v>1790</v>
      </c>
      <c r="C4791" s="3" t="s">
        <v>39</v>
      </c>
      <c r="D4791" s="3" t="s">
        <v>1799</v>
      </c>
      <c r="E4791" s="3" t="s">
        <v>77</v>
      </c>
      <c r="F4791" s="3" t="s">
        <v>16</v>
      </c>
      <c r="G4791" s="3" t="s">
        <v>1800</v>
      </c>
      <c r="H4791" s="3" t="s">
        <v>16</v>
      </c>
      <c r="I4791" s="3" t="s">
        <v>559</v>
      </c>
    </row>
    <row r="4792" spans="1:9" s="5" customFormat="1" x14ac:dyDescent="0.35">
      <c r="A4792" s="3" t="s">
        <v>1688</v>
      </c>
      <c r="B4792" s="3" t="s">
        <v>1790</v>
      </c>
      <c r="C4792" s="3" t="s">
        <v>39</v>
      </c>
      <c r="D4792" s="3" t="s">
        <v>1799</v>
      </c>
      <c r="E4792" s="3" t="s">
        <v>290</v>
      </c>
      <c r="F4792" s="3" t="s">
        <v>16</v>
      </c>
      <c r="G4792" s="3" t="s">
        <v>1800</v>
      </c>
      <c r="H4792" s="3" t="s">
        <v>16</v>
      </c>
      <c r="I4792" s="3" t="s">
        <v>559</v>
      </c>
    </row>
    <row r="4793" spans="1:9" s="5" customFormat="1" x14ac:dyDescent="0.35">
      <c r="A4793" s="3" t="s">
        <v>1688</v>
      </c>
      <c r="B4793" s="3" t="s">
        <v>1790</v>
      </c>
      <c r="C4793" s="3" t="s">
        <v>20</v>
      </c>
      <c r="D4793" s="3" t="s">
        <v>1801</v>
      </c>
      <c r="E4793" s="3" t="s">
        <v>23</v>
      </c>
      <c r="F4793" s="3" t="s">
        <v>16</v>
      </c>
      <c r="G4793" s="3" t="s">
        <v>1802</v>
      </c>
      <c r="H4793" s="3" t="s">
        <v>16</v>
      </c>
      <c r="I4793" s="3" t="s">
        <v>559</v>
      </c>
    </row>
    <row r="4794" spans="1:9" s="5" customFormat="1" x14ac:dyDescent="0.35">
      <c r="A4794" s="3" t="s">
        <v>1688</v>
      </c>
      <c r="B4794" s="3" t="s">
        <v>1790</v>
      </c>
      <c r="C4794" s="3" t="s">
        <v>20</v>
      </c>
      <c r="D4794" s="3" t="s">
        <v>1801</v>
      </c>
      <c r="E4794" s="3" t="s">
        <v>27</v>
      </c>
      <c r="F4794" s="3"/>
      <c r="G4794" s="3"/>
      <c r="H4794" s="3" t="s">
        <v>16</v>
      </c>
      <c r="I4794" s="3" t="s">
        <v>559</v>
      </c>
    </row>
    <row r="4795" spans="1:9" s="5" customFormat="1" x14ac:dyDescent="0.35">
      <c r="A4795" s="3" t="s">
        <v>1688</v>
      </c>
      <c r="B4795" s="3" t="s">
        <v>1803</v>
      </c>
      <c r="C4795" s="3" t="s">
        <v>45</v>
      </c>
      <c r="D4795" s="3" t="s">
        <v>1804</v>
      </c>
      <c r="E4795" s="3" t="s">
        <v>25</v>
      </c>
      <c r="F4795" s="3"/>
      <c r="G4795" s="3"/>
      <c r="H4795" s="3" t="s">
        <v>16</v>
      </c>
      <c r="I4795" s="3" t="s">
        <v>559</v>
      </c>
    </row>
    <row r="4796" spans="1:9" s="5" customFormat="1" x14ac:dyDescent="0.35">
      <c r="A4796" s="3" t="s">
        <v>1688</v>
      </c>
      <c r="B4796" s="3" t="s">
        <v>1803</v>
      </c>
      <c r="C4796" s="3" t="s">
        <v>45</v>
      </c>
      <c r="D4796" s="3" t="s">
        <v>1804</v>
      </c>
      <c r="E4796" s="3" t="s">
        <v>37</v>
      </c>
      <c r="F4796" s="3"/>
      <c r="G4796" s="3"/>
      <c r="H4796" s="3" t="s">
        <v>16</v>
      </c>
      <c r="I4796" s="3" t="s">
        <v>559</v>
      </c>
    </row>
    <row r="4797" spans="1:9" s="5" customFormat="1" x14ac:dyDescent="0.35">
      <c r="A4797" s="3" t="s">
        <v>1688</v>
      </c>
      <c r="B4797" s="3" t="s">
        <v>1803</v>
      </c>
      <c r="C4797" s="3" t="s">
        <v>45</v>
      </c>
      <c r="D4797" s="3" t="s">
        <v>1804</v>
      </c>
      <c r="E4797" s="3" t="s">
        <v>24</v>
      </c>
      <c r="F4797" s="3"/>
      <c r="G4797" s="3"/>
      <c r="H4797" s="3" t="s">
        <v>16</v>
      </c>
      <c r="I4797" s="3" t="s">
        <v>559</v>
      </c>
    </row>
    <row r="4798" spans="1:9" s="5" customFormat="1" x14ac:dyDescent="0.35">
      <c r="A4798" s="3" t="s">
        <v>1688</v>
      </c>
      <c r="B4798" s="3" t="s">
        <v>1803</v>
      </c>
      <c r="C4798" s="3" t="s">
        <v>42</v>
      </c>
      <c r="D4798" s="3" t="s">
        <v>1805</v>
      </c>
      <c r="E4798" s="3" t="s">
        <v>27</v>
      </c>
      <c r="F4798" s="3"/>
      <c r="G4798" s="3"/>
      <c r="H4798" s="3" t="s">
        <v>16</v>
      </c>
      <c r="I4798" s="3" t="s">
        <v>559</v>
      </c>
    </row>
    <row r="4799" spans="1:9" s="5" customFormat="1" x14ac:dyDescent="0.35">
      <c r="A4799" s="3" t="s">
        <v>1688</v>
      </c>
      <c r="B4799" s="3" t="s">
        <v>1803</v>
      </c>
      <c r="C4799" s="3" t="s">
        <v>42</v>
      </c>
      <c r="D4799" s="3" t="s">
        <v>1805</v>
      </c>
      <c r="E4799" s="3" t="s">
        <v>77</v>
      </c>
      <c r="F4799" s="3" t="s">
        <v>16</v>
      </c>
      <c r="G4799" s="3" t="s">
        <v>2326</v>
      </c>
      <c r="H4799" s="3" t="s">
        <v>16</v>
      </c>
      <c r="I4799" s="3" t="s">
        <v>559</v>
      </c>
    </row>
    <row r="4800" spans="1:9" s="5" customFormat="1" x14ac:dyDescent="0.35">
      <c r="A4800" s="3" t="s">
        <v>1688</v>
      </c>
      <c r="B4800" s="3" t="s">
        <v>1803</v>
      </c>
      <c r="C4800" s="3" t="s">
        <v>42</v>
      </c>
      <c r="D4800" s="3" t="s">
        <v>1805</v>
      </c>
      <c r="E4800" s="3" t="s">
        <v>28</v>
      </c>
      <c r="F4800" s="3"/>
      <c r="G4800" s="3"/>
      <c r="H4800" s="3" t="s">
        <v>16</v>
      </c>
      <c r="I4800" s="3" t="s">
        <v>559</v>
      </c>
    </row>
    <row r="4801" spans="1:9" s="5" customFormat="1" x14ac:dyDescent="0.35">
      <c r="A4801" s="3" t="s">
        <v>1688</v>
      </c>
      <c r="B4801" s="3" t="s">
        <v>1803</v>
      </c>
      <c r="C4801" s="3" t="s">
        <v>42</v>
      </c>
      <c r="D4801" s="3" t="s">
        <v>1805</v>
      </c>
      <c r="E4801" s="3" t="s">
        <v>24</v>
      </c>
      <c r="F4801" s="3"/>
      <c r="G4801" s="3"/>
      <c r="H4801" s="3" t="s">
        <v>16</v>
      </c>
      <c r="I4801" s="3" t="s">
        <v>559</v>
      </c>
    </row>
    <row r="4802" spans="1:9" s="5" customFormat="1" x14ac:dyDescent="0.35">
      <c r="A4802" s="3" t="s">
        <v>1688</v>
      </c>
      <c r="B4802" s="3" t="s">
        <v>1803</v>
      </c>
      <c r="C4802" s="3" t="s">
        <v>20</v>
      </c>
      <c r="D4802" s="3" t="s">
        <v>1806</v>
      </c>
      <c r="E4802" s="3" t="s">
        <v>27</v>
      </c>
      <c r="F4802" s="3"/>
      <c r="G4802" s="3"/>
      <c r="H4802" s="3" t="s">
        <v>16</v>
      </c>
      <c r="I4802" s="3" t="s">
        <v>559</v>
      </c>
    </row>
    <row r="4803" spans="1:9" s="5" customFormat="1" x14ac:dyDescent="0.35">
      <c r="A4803" s="3" t="s">
        <v>1688</v>
      </c>
      <c r="B4803" s="3" t="s">
        <v>1803</v>
      </c>
      <c r="C4803" s="3" t="s">
        <v>20</v>
      </c>
      <c r="D4803" s="3" t="s">
        <v>1806</v>
      </c>
      <c r="E4803" s="3" t="s">
        <v>77</v>
      </c>
      <c r="F4803" s="3"/>
      <c r="G4803" s="3"/>
      <c r="H4803" s="3" t="s">
        <v>16</v>
      </c>
      <c r="I4803" s="3" t="s">
        <v>559</v>
      </c>
    </row>
    <row r="4804" spans="1:9" s="5" customFormat="1" x14ac:dyDescent="0.35">
      <c r="A4804" s="3" t="s">
        <v>1688</v>
      </c>
      <c r="B4804" s="3" t="s">
        <v>1803</v>
      </c>
      <c r="C4804" s="3" t="s">
        <v>20</v>
      </c>
      <c r="D4804" s="3" t="s">
        <v>1806</v>
      </c>
      <c r="E4804" s="3" t="s">
        <v>152</v>
      </c>
      <c r="F4804" s="3"/>
      <c r="G4804" s="3"/>
      <c r="H4804" s="3" t="s">
        <v>16</v>
      </c>
      <c r="I4804" s="3" t="s">
        <v>559</v>
      </c>
    </row>
    <row r="4805" spans="1:9" s="5" customFormat="1" x14ac:dyDescent="0.35">
      <c r="A4805" s="3" t="s">
        <v>1688</v>
      </c>
      <c r="B4805" s="3" t="s">
        <v>1803</v>
      </c>
      <c r="C4805" s="3" t="s">
        <v>20</v>
      </c>
      <c r="D4805" s="3" t="s">
        <v>1806</v>
      </c>
      <c r="E4805" s="3" t="s">
        <v>24</v>
      </c>
      <c r="F4805" s="3"/>
      <c r="G4805" s="3"/>
      <c r="H4805" s="3" t="s">
        <v>16</v>
      </c>
      <c r="I4805" s="3" t="s">
        <v>559</v>
      </c>
    </row>
    <row r="4806" spans="1:9" s="5" customFormat="1" x14ac:dyDescent="0.35">
      <c r="A4806" s="3" t="s">
        <v>1688</v>
      </c>
      <c r="B4806" s="3" t="s">
        <v>1803</v>
      </c>
      <c r="C4806" s="3" t="s">
        <v>20</v>
      </c>
      <c r="D4806" s="3" t="s">
        <v>1807</v>
      </c>
      <c r="E4806" s="3" t="s">
        <v>23</v>
      </c>
      <c r="F4806" s="3" t="s">
        <v>16</v>
      </c>
      <c r="G4806" s="3" t="s">
        <v>1808</v>
      </c>
      <c r="H4806" s="3" t="s">
        <v>16</v>
      </c>
      <c r="I4806" s="3" t="s">
        <v>559</v>
      </c>
    </row>
    <row r="4807" spans="1:9" s="5" customFormat="1" x14ac:dyDescent="0.35">
      <c r="A4807" s="3" t="s">
        <v>1688</v>
      </c>
      <c r="B4807" s="3" t="s">
        <v>1803</v>
      </c>
      <c r="C4807" s="3" t="s">
        <v>20</v>
      </c>
      <c r="D4807" s="3" t="s">
        <v>1807</v>
      </c>
      <c r="E4807" s="3" t="s">
        <v>77</v>
      </c>
      <c r="F4807" s="3"/>
      <c r="G4807" s="3"/>
      <c r="H4807" s="3" t="s">
        <v>16</v>
      </c>
      <c r="I4807" s="3" t="s">
        <v>559</v>
      </c>
    </row>
    <row r="4808" spans="1:9" s="5" customFormat="1" x14ac:dyDescent="0.35">
      <c r="A4808" s="3" t="s">
        <v>1688</v>
      </c>
      <c r="B4808" s="3" t="s">
        <v>1803</v>
      </c>
      <c r="C4808" s="3" t="s">
        <v>20</v>
      </c>
      <c r="D4808" s="3" t="s">
        <v>1807</v>
      </c>
      <c r="E4808" s="3" t="s">
        <v>152</v>
      </c>
      <c r="F4808" s="3"/>
      <c r="G4808" s="3"/>
      <c r="H4808" s="3" t="s">
        <v>16</v>
      </c>
      <c r="I4808" s="3" t="s">
        <v>559</v>
      </c>
    </row>
    <row r="4809" spans="1:9" s="5" customFormat="1" x14ac:dyDescent="0.35">
      <c r="A4809" s="3" t="s">
        <v>1688</v>
      </c>
      <c r="B4809" s="3" t="s">
        <v>1803</v>
      </c>
      <c r="C4809" s="3" t="s">
        <v>20</v>
      </c>
      <c r="D4809" s="3" t="s">
        <v>1807</v>
      </c>
      <c r="E4809" s="3" t="s">
        <v>24</v>
      </c>
      <c r="F4809" s="3"/>
      <c r="G4809" s="3"/>
      <c r="H4809" s="3" t="s">
        <v>16</v>
      </c>
      <c r="I4809" s="3" t="s">
        <v>559</v>
      </c>
    </row>
    <row r="4810" spans="1:9" s="5" customFormat="1" x14ac:dyDescent="0.35">
      <c r="A4810" s="3" t="s">
        <v>1688</v>
      </c>
      <c r="B4810" s="3" t="s">
        <v>1803</v>
      </c>
      <c r="C4810" s="3" t="s">
        <v>20</v>
      </c>
      <c r="D4810" s="3" t="s">
        <v>1807</v>
      </c>
      <c r="E4810" s="3" t="s">
        <v>290</v>
      </c>
      <c r="F4810" s="3"/>
      <c r="G4810" s="3"/>
      <c r="H4810" s="3" t="s">
        <v>16</v>
      </c>
      <c r="I4810" s="3" t="s">
        <v>559</v>
      </c>
    </row>
    <row r="4811" spans="1:9" s="5" customFormat="1" x14ac:dyDescent="0.35">
      <c r="A4811" s="3" t="s">
        <v>1688</v>
      </c>
      <c r="B4811" s="3" t="s">
        <v>1803</v>
      </c>
      <c r="C4811" s="3" t="s">
        <v>20</v>
      </c>
      <c r="D4811" s="3" t="s">
        <v>1809</v>
      </c>
      <c r="E4811" s="3" t="s">
        <v>12</v>
      </c>
      <c r="F4811" s="3"/>
      <c r="G4811" s="3"/>
      <c r="H4811" s="3" t="s">
        <v>16</v>
      </c>
      <c r="I4811" s="3" t="s">
        <v>559</v>
      </c>
    </row>
    <row r="4812" spans="1:9" s="5" customFormat="1" x14ac:dyDescent="0.35">
      <c r="A4812" s="3" t="s">
        <v>1688</v>
      </c>
      <c r="B4812" s="3" t="s">
        <v>1803</v>
      </c>
      <c r="C4812" s="3" t="s">
        <v>20</v>
      </c>
      <c r="D4812" s="3" t="s">
        <v>1809</v>
      </c>
      <c r="E4812" s="3" t="s">
        <v>23</v>
      </c>
      <c r="F4812" s="3"/>
      <c r="G4812" s="3"/>
      <c r="H4812" s="3" t="s">
        <v>16</v>
      </c>
      <c r="I4812" s="3" t="s">
        <v>559</v>
      </c>
    </row>
    <row r="4813" spans="1:9" s="5" customFormat="1" x14ac:dyDescent="0.35">
      <c r="A4813" s="3" t="s">
        <v>1688</v>
      </c>
      <c r="B4813" s="3" t="s">
        <v>1803</v>
      </c>
      <c r="C4813" s="3" t="s">
        <v>20</v>
      </c>
      <c r="D4813" s="3" t="s">
        <v>1809</v>
      </c>
      <c r="E4813" s="3" t="s">
        <v>27</v>
      </c>
      <c r="F4813" s="3"/>
      <c r="G4813" s="3"/>
      <c r="H4813" s="3" t="s">
        <v>16</v>
      </c>
      <c r="I4813" s="3" t="s">
        <v>559</v>
      </c>
    </row>
    <row r="4814" spans="1:9" s="5" customFormat="1" x14ac:dyDescent="0.35">
      <c r="A4814" s="3" t="s">
        <v>1688</v>
      </c>
      <c r="B4814" s="3" t="s">
        <v>1803</v>
      </c>
      <c r="C4814" s="3" t="s">
        <v>20</v>
      </c>
      <c r="D4814" s="3" t="s">
        <v>1809</v>
      </c>
      <c r="E4814" s="3" t="s">
        <v>77</v>
      </c>
      <c r="F4814" s="3"/>
      <c r="G4814" s="3"/>
      <c r="H4814" s="3" t="s">
        <v>16</v>
      </c>
      <c r="I4814" s="3" t="s">
        <v>559</v>
      </c>
    </row>
    <row r="4815" spans="1:9" s="5" customFormat="1" x14ac:dyDescent="0.35">
      <c r="A4815" s="3" t="s">
        <v>1688</v>
      </c>
      <c r="B4815" s="3" t="s">
        <v>1803</v>
      </c>
      <c r="C4815" s="3" t="s">
        <v>20</v>
      </c>
      <c r="D4815" s="3" t="s">
        <v>1809</v>
      </c>
      <c r="E4815" s="3" t="s">
        <v>152</v>
      </c>
      <c r="F4815" s="3"/>
      <c r="G4815" s="3"/>
      <c r="H4815" s="3" t="s">
        <v>16</v>
      </c>
      <c r="I4815" s="3" t="s">
        <v>559</v>
      </c>
    </row>
    <row r="4816" spans="1:9" s="5" customFormat="1" x14ac:dyDescent="0.35">
      <c r="A4816" s="3" t="s">
        <v>1688</v>
      </c>
      <c r="B4816" s="3" t="s">
        <v>1803</v>
      </c>
      <c r="C4816" s="3" t="s">
        <v>20</v>
      </c>
      <c r="D4816" s="3" t="s">
        <v>1809</v>
      </c>
      <c r="E4816" s="3" t="s">
        <v>24</v>
      </c>
      <c r="F4816" s="3"/>
      <c r="G4816" s="3"/>
      <c r="H4816" s="3" t="s">
        <v>16</v>
      </c>
      <c r="I4816" s="3" t="s">
        <v>559</v>
      </c>
    </row>
    <row r="4817" spans="1:9" s="5" customFormat="1" x14ac:dyDescent="0.35">
      <c r="A4817" s="3" t="s">
        <v>1688</v>
      </c>
      <c r="B4817" s="3" t="s">
        <v>1803</v>
      </c>
      <c r="C4817" s="3" t="s">
        <v>20</v>
      </c>
      <c r="D4817" s="3" t="s">
        <v>1809</v>
      </c>
      <c r="E4817" s="3" t="s">
        <v>290</v>
      </c>
      <c r="F4817" s="3"/>
      <c r="G4817" s="3"/>
      <c r="H4817" s="3" t="s">
        <v>16</v>
      </c>
      <c r="I4817" s="3" t="s">
        <v>559</v>
      </c>
    </row>
    <row r="4818" spans="1:9" s="5" customFormat="1" x14ac:dyDescent="0.35">
      <c r="A4818" s="3" t="s">
        <v>1688</v>
      </c>
      <c r="B4818" s="3" t="s">
        <v>1803</v>
      </c>
      <c r="C4818" s="3" t="s">
        <v>20</v>
      </c>
      <c r="D4818" s="3" t="s">
        <v>1810</v>
      </c>
      <c r="E4818" s="3" t="s">
        <v>23</v>
      </c>
      <c r="F4818" s="3"/>
      <c r="G4818" s="3"/>
      <c r="H4818" s="3" t="s">
        <v>16</v>
      </c>
      <c r="I4818" s="3" t="s">
        <v>559</v>
      </c>
    </row>
    <row r="4819" spans="1:9" s="5" customFormat="1" x14ac:dyDescent="0.35">
      <c r="A4819" s="3" t="s">
        <v>1688</v>
      </c>
      <c r="B4819" s="3" t="s">
        <v>1803</v>
      </c>
      <c r="C4819" s="3" t="s">
        <v>20</v>
      </c>
      <c r="D4819" s="3" t="s">
        <v>1810</v>
      </c>
      <c r="E4819" s="3" t="s">
        <v>27</v>
      </c>
      <c r="F4819" s="3"/>
      <c r="G4819" s="3"/>
      <c r="H4819" s="3" t="s">
        <v>16</v>
      </c>
      <c r="I4819" s="3" t="s">
        <v>559</v>
      </c>
    </row>
    <row r="4820" spans="1:9" s="5" customFormat="1" x14ac:dyDescent="0.35">
      <c r="A4820" s="3" t="s">
        <v>1688</v>
      </c>
      <c r="B4820" s="3" t="s">
        <v>1803</v>
      </c>
      <c r="C4820" s="3" t="s">
        <v>20</v>
      </c>
      <c r="D4820" s="3" t="s">
        <v>1810</v>
      </c>
      <c r="E4820" s="3" t="s">
        <v>77</v>
      </c>
      <c r="F4820" s="3"/>
      <c r="G4820" s="3"/>
      <c r="H4820" s="3" t="s">
        <v>16</v>
      </c>
      <c r="I4820" s="3" t="s">
        <v>559</v>
      </c>
    </row>
    <row r="4821" spans="1:9" s="5" customFormat="1" x14ac:dyDescent="0.35">
      <c r="A4821" s="3" t="s">
        <v>1688</v>
      </c>
      <c r="B4821" s="3" t="s">
        <v>1803</v>
      </c>
      <c r="C4821" s="3" t="s">
        <v>20</v>
      </c>
      <c r="D4821" s="3" t="s">
        <v>1810</v>
      </c>
      <c r="E4821" s="3" t="s">
        <v>24</v>
      </c>
      <c r="F4821" s="3"/>
      <c r="G4821" s="3"/>
      <c r="H4821" s="3" t="s">
        <v>16</v>
      </c>
      <c r="I4821" s="3" t="s">
        <v>559</v>
      </c>
    </row>
    <row r="4822" spans="1:9" s="5" customFormat="1" x14ac:dyDescent="0.35">
      <c r="A4822" s="3" t="s">
        <v>1688</v>
      </c>
      <c r="B4822" s="3" t="s">
        <v>2518</v>
      </c>
      <c r="C4822" s="3" t="s">
        <v>42</v>
      </c>
      <c r="D4822" s="3" t="s">
        <v>2519</v>
      </c>
      <c r="E4822" s="3" t="s">
        <v>23</v>
      </c>
      <c r="F4822" s="3"/>
      <c r="G4822" s="3"/>
      <c r="H4822" s="3" t="s">
        <v>16</v>
      </c>
      <c r="I4822" s="3" t="s">
        <v>559</v>
      </c>
    </row>
    <row r="4823" spans="1:9" s="5" customFormat="1" x14ac:dyDescent="0.35">
      <c r="A4823" s="3" t="s">
        <v>1688</v>
      </c>
      <c r="B4823" s="3" t="s">
        <v>2518</v>
      </c>
      <c r="C4823" s="3" t="s">
        <v>42</v>
      </c>
      <c r="D4823" s="3" t="s">
        <v>2519</v>
      </c>
      <c r="E4823" s="3" t="s">
        <v>27</v>
      </c>
      <c r="F4823" s="3"/>
      <c r="G4823" s="3"/>
      <c r="H4823" s="3" t="s">
        <v>16</v>
      </c>
      <c r="I4823" s="3" t="s">
        <v>559</v>
      </c>
    </row>
    <row r="4824" spans="1:9" s="5" customFormat="1" x14ac:dyDescent="0.35">
      <c r="A4824" s="3" t="s">
        <v>1688</v>
      </c>
      <c r="B4824" s="3" t="s">
        <v>2518</v>
      </c>
      <c r="C4824" s="3" t="s">
        <v>42</v>
      </c>
      <c r="D4824" s="3" t="s">
        <v>2519</v>
      </c>
      <c r="E4824" s="3" t="s">
        <v>77</v>
      </c>
      <c r="G4824" s="3" t="s">
        <v>2484</v>
      </c>
      <c r="H4824" s="3" t="s">
        <v>16</v>
      </c>
      <c r="I4824" s="3" t="s">
        <v>559</v>
      </c>
    </row>
    <row r="4825" spans="1:9" s="5" customFormat="1" x14ac:dyDescent="0.35">
      <c r="A4825" s="3" t="s">
        <v>1688</v>
      </c>
      <c r="B4825" s="3" t="s">
        <v>2518</v>
      </c>
      <c r="C4825" s="3" t="s">
        <v>42</v>
      </c>
      <c r="D4825" s="3" t="s">
        <v>2519</v>
      </c>
      <c r="E4825" s="3" t="s">
        <v>98</v>
      </c>
      <c r="F4825" s="3"/>
      <c r="G4825" s="3"/>
      <c r="H4825" s="3" t="s">
        <v>16</v>
      </c>
      <c r="I4825" s="3" t="s">
        <v>559</v>
      </c>
    </row>
    <row r="4826" spans="1:9" s="5" customFormat="1" x14ac:dyDescent="0.35">
      <c r="A4826" s="3" t="s">
        <v>1688</v>
      </c>
      <c r="B4826" s="3" t="s">
        <v>2518</v>
      </c>
      <c r="C4826" s="3" t="s">
        <v>42</v>
      </c>
      <c r="D4826" s="3" t="s">
        <v>2519</v>
      </c>
      <c r="E4826" s="3" t="s">
        <v>15</v>
      </c>
      <c r="F4826" s="3" t="s">
        <v>16</v>
      </c>
      <c r="G4826" s="3" t="s">
        <v>2520</v>
      </c>
      <c r="H4826" s="3" t="s">
        <v>16</v>
      </c>
      <c r="I4826" s="3" t="s">
        <v>559</v>
      </c>
    </row>
    <row r="4827" spans="1:9" s="5" customFormat="1" x14ac:dyDescent="0.35">
      <c r="A4827" s="3" t="s">
        <v>1688</v>
      </c>
      <c r="B4827" s="3" t="s">
        <v>2518</v>
      </c>
      <c r="C4827" s="3" t="s">
        <v>42</v>
      </c>
      <c r="D4827" s="3" t="s">
        <v>2519</v>
      </c>
      <c r="E4827" s="3" t="s">
        <v>290</v>
      </c>
      <c r="F4827" s="3"/>
      <c r="G4827" s="3"/>
      <c r="H4827" s="3" t="s">
        <v>16</v>
      </c>
      <c r="I4827" s="3" t="s">
        <v>559</v>
      </c>
    </row>
    <row r="4828" spans="1:9" s="5" customFormat="1" x14ac:dyDescent="0.35">
      <c r="A4828" s="3" t="s">
        <v>1688</v>
      </c>
      <c r="B4828" s="3" t="s">
        <v>1811</v>
      </c>
      <c r="C4828" s="3" t="s">
        <v>42</v>
      </c>
      <c r="D4828" s="3" t="s">
        <v>1812</v>
      </c>
      <c r="E4828" s="3" t="s">
        <v>87</v>
      </c>
      <c r="F4828" s="3" t="s">
        <v>16</v>
      </c>
      <c r="G4828" s="3" t="s">
        <v>1813</v>
      </c>
      <c r="H4828" s="3" t="s">
        <v>16</v>
      </c>
      <c r="I4828" s="3" t="s">
        <v>1707</v>
      </c>
    </row>
    <row r="4829" spans="1:9" s="5" customFormat="1" x14ac:dyDescent="0.35">
      <c r="A4829" s="3" t="s">
        <v>1688</v>
      </c>
      <c r="B4829" s="3" t="s">
        <v>1811</v>
      </c>
      <c r="C4829" s="3" t="s">
        <v>42</v>
      </c>
      <c r="D4829" s="3" t="s">
        <v>1812</v>
      </c>
      <c r="E4829" s="3" t="s">
        <v>24</v>
      </c>
      <c r="F4829" s="3" t="s">
        <v>16</v>
      </c>
      <c r="G4829" s="3" t="s">
        <v>1813</v>
      </c>
      <c r="H4829" s="3" t="s">
        <v>16</v>
      </c>
      <c r="I4829" s="3" t="s">
        <v>1707</v>
      </c>
    </row>
    <row r="4830" spans="1:9" s="5" customFormat="1" x14ac:dyDescent="0.35">
      <c r="A4830" s="3" t="s">
        <v>1688</v>
      </c>
      <c r="B4830" s="3" t="s">
        <v>1814</v>
      </c>
      <c r="C4830" s="3" t="s">
        <v>39</v>
      </c>
      <c r="D4830" s="3" t="s">
        <v>1815</v>
      </c>
      <c r="E4830" s="3" t="s">
        <v>56</v>
      </c>
      <c r="F4830" s="3"/>
      <c r="G4830" s="3"/>
      <c r="H4830" s="3"/>
      <c r="I4830" s="3"/>
    </row>
    <row r="4831" spans="1:9" s="5" customFormat="1" x14ac:dyDescent="0.35">
      <c r="A4831" s="3" t="s">
        <v>1688</v>
      </c>
      <c r="B4831" s="3" t="s">
        <v>1814</v>
      </c>
      <c r="C4831" s="3" t="s">
        <v>39</v>
      </c>
      <c r="D4831" s="3" t="s">
        <v>1815</v>
      </c>
      <c r="E4831" s="3" t="s">
        <v>24</v>
      </c>
      <c r="F4831" s="3"/>
      <c r="G4831" s="3"/>
      <c r="H4831" s="3"/>
      <c r="I4831" s="3"/>
    </row>
    <row r="4832" spans="1:9" s="5" customFormat="1" x14ac:dyDescent="0.35">
      <c r="A4832" s="3" t="s">
        <v>1688</v>
      </c>
      <c r="B4832" s="3" t="s">
        <v>1816</v>
      </c>
      <c r="C4832" s="3" t="s">
        <v>42</v>
      </c>
      <c r="D4832" s="3" t="s">
        <v>1817</v>
      </c>
      <c r="E4832" s="3" t="s">
        <v>27</v>
      </c>
      <c r="F4832" s="3"/>
      <c r="G4832" s="3"/>
      <c r="H4832" s="3" t="s">
        <v>16</v>
      </c>
      <c r="I4832" s="3" t="s">
        <v>559</v>
      </c>
    </row>
    <row r="4833" spans="1:9" s="5" customFormat="1" x14ac:dyDescent="0.35">
      <c r="A4833" s="3" t="s">
        <v>1688</v>
      </c>
      <c r="B4833" s="3" t="s">
        <v>1816</v>
      </c>
      <c r="C4833" s="3" t="s">
        <v>42</v>
      </c>
      <c r="D4833" s="3" t="s">
        <v>1817</v>
      </c>
      <c r="E4833" s="3" t="s">
        <v>28</v>
      </c>
      <c r="F4833" s="3"/>
      <c r="G4833" s="3"/>
      <c r="H4833" s="3" t="s">
        <v>16</v>
      </c>
      <c r="I4833" s="3" t="s">
        <v>559</v>
      </c>
    </row>
    <row r="4834" spans="1:9" s="5" customFormat="1" x14ac:dyDescent="0.35">
      <c r="A4834" s="3" t="s">
        <v>1688</v>
      </c>
      <c r="B4834" s="3" t="s">
        <v>1816</v>
      </c>
      <c r="C4834" s="3" t="s">
        <v>42</v>
      </c>
      <c r="D4834" s="3" t="s">
        <v>1817</v>
      </c>
      <c r="E4834" s="3" t="s">
        <v>26</v>
      </c>
      <c r="F4834" s="3"/>
      <c r="G4834" s="3"/>
      <c r="H4834" s="3" t="s">
        <v>16</v>
      </c>
      <c r="I4834" s="3" t="s">
        <v>559</v>
      </c>
    </row>
    <row r="4835" spans="1:9" s="5" customFormat="1" x14ac:dyDescent="0.35">
      <c r="A4835" s="3" t="s">
        <v>1688</v>
      </c>
      <c r="B4835" s="3" t="s">
        <v>1816</v>
      </c>
      <c r="C4835" s="3" t="s">
        <v>42</v>
      </c>
      <c r="D4835" s="3" t="s">
        <v>1817</v>
      </c>
      <c r="E4835" s="3" t="s">
        <v>152</v>
      </c>
      <c r="F4835" s="3"/>
      <c r="G4835" s="3"/>
      <c r="H4835" s="3" t="s">
        <v>16</v>
      </c>
      <c r="I4835" s="3" t="s">
        <v>559</v>
      </c>
    </row>
    <row r="4836" spans="1:9" s="5" customFormat="1" x14ac:dyDescent="0.35">
      <c r="A4836" s="3" t="s">
        <v>1688</v>
      </c>
      <c r="B4836" s="3" t="s">
        <v>1816</v>
      </c>
      <c r="C4836" s="3" t="s">
        <v>42</v>
      </c>
      <c r="D4836" s="3" t="s">
        <v>1817</v>
      </c>
      <c r="E4836" s="3" t="s">
        <v>24</v>
      </c>
      <c r="F4836" s="3"/>
      <c r="G4836" s="3"/>
      <c r="H4836" s="3" t="s">
        <v>16</v>
      </c>
      <c r="I4836" s="3" t="s">
        <v>559</v>
      </c>
    </row>
    <row r="4837" spans="1:9" s="5" customFormat="1" x14ac:dyDescent="0.35">
      <c r="A4837" s="3" t="s">
        <v>1688</v>
      </c>
      <c r="B4837" s="3" t="s">
        <v>1816</v>
      </c>
      <c r="C4837" s="3" t="s">
        <v>45</v>
      </c>
      <c r="D4837" s="3" t="s">
        <v>1818</v>
      </c>
      <c r="E4837" s="3" t="s">
        <v>23</v>
      </c>
      <c r="F4837" s="3"/>
      <c r="G4837" s="3"/>
      <c r="H4837" s="3" t="s">
        <v>16</v>
      </c>
      <c r="I4837" s="3" t="s">
        <v>559</v>
      </c>
    </row>
    <row r="4838" spans="1:9" s="5" customFormat="1" x14ac:dyDescent="0.35">
      <c r="A4838" s="3" t="s">
        <v>1688</v>
      </c>
      <c r="B4838" s="3" t="s">
        <v>1816</v>
      </c>
      <c r="C4838" s="3" t="s">
        <v>45</v>
      </c>
      <c r="D4838" s="3" t="s">
        <v>1818</v>
      </c>
      <c r="E4838" s="3" t="s">
        <v>185</v>
      </c>
      <c r="F4838" s="3"/>
      <c r="G4838" s="3"/>
      <c r="H4838" s="3" t="s">
        <v>16</v>
      </c>
      <c r="I4838" s="3" t="s">
        <v>559</v>
      </c>
    </row>
    <row r="4839" spans="1:9" s="5" customFormat="1" x14ac:dyDescent="0.35">
      <c r="A4839" s="3" t="s">
        <v>1688</v>
      </c>
      <c r="B4839" s="3" t="s">
        <v>1816</v>
      </c>
      <c r="C4839" s="3" t="s">
        <v>20</v>
      </c>
      <c r="D4839" s="3" t="s">
        <v>1819</v>
      </c>
      <c r="E4839" s="3" t="s">
        <v>23</v>
      </c>
      <c r="F4839" s="3" t="s">
        <v>16</v>
      </c>
      <c r="G4839" s="3" t="s">
        <v>1820</v>
      </c>
      <c r="H4839" s="3" t="s">
        <v>16</v>
      </c>
      <c r="I4839" s="3" t="s">
        <v>559</v>
      </c>
    </row>
    <row r="4840" spans="1:9" s="5" customFormat="1" x14ac:dyDescent="0.35">
      <c r="A4840" s="3" t="s">
        <v>1688</v>
      </c>
      <c r="B4840" s="3" t="s">
        <v>1816</v>
      </c>
      <c r="C4840" s="3" t="s">
        <v>20</v>
      </c>
      <c r="D4840" s="3" t="s">
        <v>1819</v>
      </c>
      <c r="E4840" s="3" t="s">
        <v>25</v>
      </c>
      <c r="F4840" s="3"/>
      <c r="G4840" s="3"/>
      <c r="H4840" s="3"/>
      <c r="I4840" s="3"/>
    </row>
    <row r="4841" spans="1:9" s="5" customFormat="1" x14ac:dyDescent="0.35">
      <c r="A4841" s="3" t="s">
        <v>1688</v>
      </c>
      <c r="B4841" s="3" t="s">
        <v>1816</v>
      </c>
      <c r="C4841" s="3" t="s">
        <v>20</v>
      </c>
      <c r="D4841" s="3" t="s">
        <v>1819</v>
      </c>
      <c r="E4841" s="3" t="s">
        <v>27</v>
      </c>
      <c r="F4841" s="3"/>
      <c r="G4841" s="3"/>
      <c r="H4841" s="3"/>
      <c r="I4841" s="3"/>
    </row>
    <row r="4842" spans="1:9" s="5" customFormat="1" x14ac:dyDescent="0.35">
      <c r="A4842" s="3" t="s">
        <v>1688</v>
      </c>
      <c r="B4842" s="3" t="s">
        <v>1816</v>
      </c>
      <c r="C4842" s="3" t="s">
        <v>20</v>
      </c>
      <c r="D4842" s="3" t="s">
        <v>1819</v>
      </c>
      <c r="E4842" s="3" t="s">
        <v>185</v>
      </c>
      <c r="F4842" s="3"/>
      <c r="G4842" s="3"/>
      <c r="H4842" s="3"/>
      <c r="I4842" s="3"/>
    </row>
    <row r="4843" spans="1:9" s="5" customFormat="1" x14ac:dyDescent="0.35">
      <c r="A4843" s="3" t="s">
        <v>1688</v>
      </c>
      <c r="B4843" s="3" t="s">
        <v>1816</v>
      </c>
      <c r="C4843" s="3" t="s">
        <v>20</v>
      </c>
      <c r="D4843" s="3" t="s">
        <v>1819</v>
      </c>
      <c r="E4843" s="3" t="s">
        <v>24</v>
      </c>
      <c r="F4843" s="3"/>
      <c r="G4843" s="3"/>
      <c r="H4843" s="3"/>
      <c r="I4843" s="3"/>
    </row>
    <row r="4844" spans="1:9" s="5" customFormat="1" x14ac:dyDescent="0.35">
      <c r="A4844" s="3" t="s">
        <v>1688</v>
      </c>
      <c r="B4844" s="3" t="s">
        <v>1816</v>
      </c>
      <c r="C4844" s="3" t="s">
        <v>20</v>
      </c>
      <c r="D4844" s="3" t="s">
        <v>1819</v>
      </c>
      <c r="E4844" s="3" t="s">
        <v>290</v>
      </c>
      <c r="F4844" s="3"/>
      <c r="G4844" s="3"/>
      <c r="H4844" s="3"/>
      <c r="I4844" s="3"/>
    </row>
    <row r="4845" spans="1:9" s="5" customFormat="1" x14ac:dyDescent="0.35">
      <c r="A4845" s="3" t="s">
        <v>1688</v>
      </c>
      <c r="B4845" s="3" t="s">
        <v>1816</v>
      </c>
      <c r="C4845" s="3" t="s">
        <v>20</v>
      </c>
      <c r="D4845" s="3" t="s">
        <v>1821</v>
      </c>
      <c r="E4845" s="3" t="s">
        <v>23</v>
      </c>
      <c r="F4845" s="3"/>
      <c r="G4845" s="3"/>
      <c r="H4845" s="3" t="s">
        <v>16</v>
      </c>
      <c r="I4845" s="3" t="s">
        <v>559</v>
      </c>
    </row>
    <row r="4846" spans="1:9" s="5" customFormat="1" x14ac:dyDescent="0.35">
      <c r="A4846" s="3" t="s">
        <v>1688</v>
      </c>
      <c r="B4846" s="3" t="s">
        <v>1816</v>
      </c>
      <c r="C4846" s="3" t="s">
        <v>20</v>
      </c>
      <c r="D4846" s="3" t="s">
        <v>1821</v>
      </c>
      <c r="E4846" s="3" t="s">
        <v>290</v>
      </c>
      <c r="F4846" s="3"/>
      <c r="G4846" s="3"/>
      <c r="H4846" s="3" t="s">
        <v>16</v>
      </c>
      <c r="I4846" s="3" t="s">
        <v>559</v>
      </c>
    </row>
    <row r="4847" spans="1:9" s="5" customFormat="1" x14ac:dyDescent="0.35">
      <c r="A4847" s="3" t="s">
        <v>1688</v>
      </c>
      <c r="B4847" s="3" t="s">
        <v>1816</v>
      </c>
      <c r="C4847" s="3" t="s">
        <v>20</v>
      </c>
      <c r="D4847" s="3" t="s">
        <v>1822</v>
      </c>
      <c r="E4847" s="3" t="s">
        <v>23</v>
      </c>
      <c r="F4847" s="3"/>
      <c r="G4847" s="3"/>
      <c r="H4847" s="3" t="s">
        <v>16</v>
      </c>
      <c r="I4847" s="3" t="s">
        <v>559</v>
      </c>
    </row>
    <row r="4848" spans="1:9" s="5" customFormat="1" x14ac:dyDescent="0.35">
      <c r="A4848" s="3" t="s">
        <v>1688</v>
      </c>
      <c r="B4848" s="3" t="s">
        <v>1816</v>
      </c>
      <c r="C4848" s="3" t="s">
        <v>20</v>
      </c>
      <c r="D4848" s="3" t="s">
        <v>1822</v>
      </c>
      <c r="E4848" s="3" t="s">
        <v>27</v>
      </c>
      <c r="F4848" s="3"/>
      <c r="G4848" s="3"/>
      <c r="H4848" s="3" t="s">
        <v>16</v>
      </c>
      <c r="I4848" s="3" t="s">
        <v>559</v>
      </c>
    </row>
    <row r="4849" spans="1:9" s="5" customFormat="1" x14ac:dyDescent="0.35">
      <c r="A4849" s="3" t="s">
        <v>1688</v>
      </c>
      <c r="B4849" s="3" t="s">
        <v>1816</v>
      </c>
      <c r="C4849" s="3" t="s">
        <v>20</v>
      </c>
      <c r="D4849" s="3" t="s">
        <v>1822</v>
      </c>
      <c r="E4849" s="3" t="s">
        <v>29</v>
      </c>
      <c r="F4849" s="3"/>
      <c r="G4849" s="3" t="s">
        <v>2360</v>
      </c>
      <c r="H4849" s="3" t="s">
        <v>16</v>
      </c>
      <c r="I4849" s="3" t="s">
        <v>559</v>
      </c>
    </row>
    <row r="4850" spans="1:9" s="5" customFormat="1" x14ac:dyDescent="0.35">
      <c r="A4850" s="3" t="s">
        <v>1688</v>
      </c>
      <c r="B4850" s="3" t="s">
        <v>1816</v>
      </c>
      <c r="C4850" s="3" t="s">
        <v>20</v>
      </c>
      <c r="D4850" s="3" t="s">
        <v>1822</v>
      </c>
      <c r="E4850" s="3" t="s">
        <v>24</v>
      </c>
      <c r="F4850" s="3"/>
      <c r="G4850" s="3"/>
      <c r="H4850" s="3" t="s">
        <v>16</v>
      </c>
      <c r="I4850" s="3" t="s">
        <v>559</v>
      </c>
    </row>
    <row r="4851" spans="1:9" s="5" customFormat="1" x14ac:dyDescent="0.35">
      <c r="A4851" s="3" t="s">
        <v>1688</v>
      </c>
      <c r="B4851" s="3" t="s">
        <v>1816</v>
      </c>
      <c r="C4851" s="3" t="s">
        <v>20</v>
      </c>
      <c r="D4851" s="3" t="s">
        <v>1822</v>
      </c>
      <c r="E4851" s="3" t="s">
        <v>290</v>
      </c>
      <c r="F4851" s="3"/>
      <c r="G4851" s="3"/>
      <c r="H4851" s="3" t="s">
        <v>16</v>
      </c>
      <c r="I4851" s="3" t="s">
        <v>559</v>
      </c>
    </row>
    <row r="4852" spans="1:9" s="5" customFormat="1" x14ac:dyDescent="0.35">
      <c r="A4852" s="3" t="s">
        <v>1688</v>
      </c>
      <c r="B4852" s="3" t="s">
        <v>1816</v>
      </c>
      <c r="C4852" s="3" t="s">
        <v>20</v>
      </c>
      <c r="D4852" s="3" t="s">
        <v>1823</v>
      </c>
      <c r="E4852" s="3" t="s">
        <v>23</v>
      </c>
      <c r="F4852" s="3"/>
      <c r="G4852" s="3"/>
      <c r="H4852" s="3" t="s">
        <v>16</v>
      </c>
      <c r="I4852" s="3" t="s">
        <v>559</v>
      </c>
    </row>
    <row r="4853" spans="1:9" s="5" customFormat="1" x14ac:dyDescent="0.35">
      <c r="A4853" s="3" t="s">
        <v>1688</v>
      </c>
      <c r="B4853" s="3" t="s">
        <v>1816</v>
      </c>
      <c r="C4853" s="3" t="s">
        <v>20</v>
      </c>
      <c r="D4853" s="3" t="s">
        <v>1823</v>
      </c>
      <c r="E4853" s="3" t="s">
        <v>27</v>
      </c>
      <c r="F4853" s="3"/>
      <c r="G4853" s="3"/>
      <c r="H4853" s="3" t="s">
        <v>16</v>
      </c>
      <c r="I4853" s="3" t="s">
        <v>559</v>
      </c>
    </row>
    <row r="4854" spans="1:9" s="5" customFormat="1" x14ac:dyDescent="0.35">
      <c r="A4854" s="3" t="s">
        <v>1688</v>
      </c>
      <c r="B4854" s="3" t="s">
        <v>1816</v>
      </c>
      <c r="C4854" s="3" t="s">
        <v>20</v>
      </c>
      <c r="D4854" s="3" t="s">
        <v>1823</v>
      </c>
      <c r="E4854" s="3" t="s">
        <v>29</v>
      </c>
      <c r="F4854" s="3"/>
      <c r="G4854" s="3" t="s">
        <v>2360</v>
      </c>
      <c r="H4854" s="3" t="s">
        <v>16</v>
      </c>
      <c r="I4854" s="3" t="s">
        <v>559</v>
      </c>
    </row>
    <row r="4855" spans="1:9" s="5" customFormat="1" x14ac:dyDescent="0.35">
      <c r="A4855" s="3" t="s">
        <v>1688</v>
      </c>
      <c r="B4855" s="3" t="s">
        <v>1816</v>
      </c>
      <c r="C4855" s="3" t="s">
        <v>20</v>
      </c>
      <c r="D4855" s="3" t="s">
        <v>1823</v>
      </c>
      <c r="E4855" s="3" t="s">
        <v>290</v>
      </c>
      <c r="F4855" s="3"/>
      <c r="G4855" s="3"/>
      <c r="H4855" s="3" t="s">
        <v>16</v>
      </c>
      <c r="I4855" s="3" t="s">
        <v>559</v>
      </c>
    </row>
    <row r="4856" spans="1:9" s="5" customFormat="1" x14ac:dyDescent="0.35">
      <c r="A4856" s="3" t="s">
        <v>1688</v>
      </c>
      <c r="B4856" s="3" t="s">
        <v>1816</v>
      </c>
      <c r="C4856" s="3" t="s">
        <v>20</v>
      </c>
      <c r="D4856" s="3" t="s">
        <v>1824</v>
      </c>
      <c r="E4856" s="3" t="s">
        <v>27</v>
      </c>
      <c r="F4856" s="3" t="s">
        <v>16</v>
      </c>
      <c r="G4856" s="3" t="s">
        <v>1789</v>
      </c>
      <c r="H4856" s="3" t="s">
        <v>16</v>
      </c>
      <c r="I4856" s="3" t="s">
        <v>559</v>
      </c>
    </row>
    <row r="4857" spans="1:9" s="5" customFormat="1" x14ac:dyDescent="0.35">
      <c r="A4857" s="3" t="s">
        <v>1688</v>
      </c>
      <c r="B4857" s="3" t="s">
        <v>1816</v>
      </c>
      <c r="C4857" s="3" t="s">
        <v>20</v>
      </c>
      <c r="D4857" s="3" t="s">
        <v>1824</v>
      </c>
      <c r="E4857" s="3" t="s">
        <v>77</v>
      </c>
      <c r="F4857" s="3" t="s">
        <v>16</v>
      </c>
      <c r="G4857" s="3" t="s">
        <v>1789</v>
      </c>
      <c r="H4857" s="3" t="s">
        <v>16</v>
      </c>
      <c r="I4857" s="3" t="s">
        <v>559</v>
      </c>
    </row>
    <row r="4858" spans="1:9" s="5" customFormat="1" x14ac:dyDescent="0.35">
      <c r="A4858" s="3" t="s">
        <v>1688</v>
      </c>
      <c r="B4858" s="3" t="s">
        <v>1816</v>
      </c>
      <c r="C4858" s="3" t="s">
        <v>20</v>
      </c>
      <c r="D4858" s="3" t="s">
        <v>1824</v>
      </c>
      <c r="E4858" s="3" t="s">
        <v>15</v>
      </c>
      <c r="F4858" s="3" t="s">
        <v>16</v>
      </c>
      <c r="G4858" s="3" t="s">
        <v>1789</v>
      </c>
      <c r="H4858" s="3" t="s">
        <v>16</v>
      </c>
      <c r="I4858" s="3" t="s">
        <v>559</v>
      </c>
    </row>
    <row r="4859" spans="1:9" s="5" customFormat="1" x14ac:dyDescent="0.35">
      <c r="A4859" s="3" t="s">
        <v>1688</v>
      </c>
      <c r="B4859" s="3" t="s">
        <v>1816</v>
      </c>
      <c r="C4859" s="3" t="s">
        <v>20</v>
      </c>
      <c r="D4859" s="3" t="s">
        <v>1824</v>
      </c>
      <c r="E4859" s="3" t="s">
        <v>290</v>
      </c>
      <c r="F4859" s="3"/>
      <c r="G4859" s="3"/>
      <c r="H4859" s="3" t="s">
        <v>16</v>
      </c>
      <c r="I4859" s="3" t="s">
        <v>559</v>
      </c>
    </row>
    <row r="4860" spans="1:9" s="5" customFormat="1" x14ac:dyDescent="0.35">
      <c r="A4860" s="3" t="s">
        <v>1688</v>
      </c>
      <c r="B4860" s="3" t="s">
        <v>1825</v>
      </c>
      <c r="C4860" s="3" t="s">
        <v>20</v>
      </c>
      <c r="D4860" s="3" t="s">
        <v>1826</v>
      </c>
      <c r="E4860" s="3" t="s">
        <v>24</v>
      </c>
      <c r="F4860" s="3"/>
      <c r="G4860" s="3"/>
      <c r="H4860" s="3" t="s">
        <v>16</v>
      </c>
      <c r="I4860" s="3" t="s">
        <v>559</v>
      </c>
    </row>
    <row r="4861" spans="1:9" s="5" customFormat="1" x14ac:dyDescent="0.35">
      <c r="A4861" s="3" t="s">
        <v>1688</v>
      </c>
      <c r="B4861" s="3" t="s">
        <v>1825</v>
      </c>
      <c r="C4861" s="3" t="s">
        <v>20</v>
      </c>
      <c r="D4861" s="3" t="s">
        <v>1826</v>
      </c>
      <c r="E4861" s="3" t="s">
        <v>290</v>
      </c>
      <c r="F4861" s="3" t="s">
        <v>16</v>
      </c>
      <c r="G4861" s="3" t="s">
        <v>1827</v>
      </c>
      <c r="H4861" s="3" t="s">
        <v>16</v>
      </c>
      <c r="I4861" s="3" t="s">
        <v>559</v>
      </c>
    </row>
    <row r="4862" spans="1:9" s="5" customFormat="1" x14ac:dyDescent="0.35">
      <c r="A4862" s="3" t="s">
        <v>1688</v>
      </c>
      <c r="B4862" s="3" t="s">
        <v>1825</v>
      </c>
      <c r="C4862" s="3" t="s">
        <v>20</v>
      </c>
      <c r="D4862" s="3" t="s">
        <v>1828</v>
      </c>
      <c r="E4862" s="3" t="s">
        <v>23</v>
      </c>
      <c r="F4862" s="3"/>
      <c r="G4862" s="3"/>
      <c r="H4862" s="3" t="s">
        <v>16</v>
      </c>
      <c r="I4862" s="3" t="s">
        <v>559</v>
      </c>
    </row>
    <row r="4863" spans="1:9" s="5" customFormat="1" x14ac:dyDescent="0.35">
      <c r="A4863" s="3" t="s">
        <v>1688</v>
      </c>
      <c r="B4863" s="3" t="s">
        <v>1825</v>
      </c>
      <c r="C4863" s="3" t="s">
        <v>20</v>
      </c>
      <c r="D4863" s="3" t="s">
        <v>1828</v>
      </c>
      <c r="E4863" s="3" t="s">
        <v>185</v>
      </c>
      <c r="F4863" s="3"/>
      <c r="G4863" s="3"/>
      <c r="H4863" s="3" t="s">
        <v>16</v>
      </c>
      <c r="I4863" s="3" t="s">
        <v>559</v>
      </c>
    </row>
    <row r="4864" spans="1:9" s="5" customFormat="1" x14ac:dyDescent="0.35">
      <c r="A4864" s="3" t="s">
        <v>1688</v>
      </c>
      <c r="B4864" s="3" t="s">
        <v>1825</v>
      </c>
      <c r="C4864" s="3" t="s">
        <v>20</v>
      </c>
      <c r="D4864" s="3" t="s">
        <v>1828</v>
      </c>
      <c r="E4864" s="3" t="s">
        <v>290</v>
      </c>
      <c r="F4864" s="3" t="s">
        <v>16</v>
      </c>
      <c r="G4864" s="3" t="s">
        <v>1829</v>
      </c>
      <c r="H4864" s="3" t="s">
        <v>16</v>
      </c>
      <c r="I4864" s="3" t="s">
        <v>559</v>
      </c>
    </row>
    <row r="4865" spans="1:9" s="5" customFormat="1" x14ac:dyDescent="0.35">
      <c r="A4865" s="3" t="s">
        <v>1688</v>
      </c>
      <c r="B4865" s="3" t="s">
        <v>1825</v>
      </c>
      <c r="C4865" s="3" t="s">
        <v>20</v>
      </c>
      <c r="D4865" s="3" t="s">
        <v>1830</v>
      </c>
      <c r="E4865" s="3" t="s">
        <v>23</v>
      </c>
      <c r="F4865" s="3" t="s">
        <v>16</v>
      </c>
      <c r="G4865" s="3" t="s">
        <v>1831</v>
      </c>
      <c r="H4865" s="3" t="s">
        <v>16</v>
      </c>
      <c r="I4865" s="3" t="s">
        <v>559</v>
      </c>
    </row>
    <row r="4866" spans="1:9" s="5" customFormat="1" x14ac:dyDescent="0.35">
      <c r="A4866" s="3" t="s">
        <v>1688</v>
      </c>
      <c r="B4866" s="3" t="s">
        <v>1825</v>
      </c>
      <c r="C4866" s="3" t="s">
        <v>20</v>
      </c>
      <c r="D4866" s="3" t="s">
        <v>1830</v>
      </c>
      <c r="E4866" s="3" t="s">
        <v>24</v>
      </c>
      <c r="F4866" s="3" t="s">
        <v>16</v>
      </c>
      <c r="G4866" s="3" t="s">
        <v>1831</v>
      </c>
      <c r="H4866" s="3" t="s">
        <v>16</v>
      </c>
      <c r="I4866" s="3" t="s">
        <v>559</v>
      </c>
    </row>
    <row r="4867" spans="1:9" s="5" customFormat="1" x14ac:dyDescent="0.35">
      <c r="A4867" s="3" t="s">
        <v>1688</v>
      </c>
      <c r="B4867" s="3" t="s">
        <v>1825</v>
      </c>
      <c r="C4867" s="3" t="s">
        <v>20</v>
      </c>
      <c r="D4867" s="3" t="s">
        <v>1830</v>
      </c>
      <c r="E4867" s="3" t="s">
        <v>290</v>
      </c>
      <c r="F4867" s="3" t="s">
        <v>16</v>
      </c>
      <c r="G4867" s="3" t="s">
        <v>1831</v>
      </c>
      <c r="H4867" s="3" t="s">
        <v>16</v>
      </c>
      <c r="I4867" s="3" t="s">
        <v>559</v>
      </c>
    </row>
    <row r="4868" spans="1:9" s="5" customFormat="1" x14ac:dyDescent="0.35">
      <c r="A4868" s="3" t="s">
        <v>1688</v>
      </c>
      <c r="B4868" s="3" t="s">
        <v>1832</v>
      </c>
      <c r="C4868" s="3" t="s">
        <v>42</v>
      </c>
      <c r="D4868" s="3" t="s">
        <v>1833</v>
      </c>
      <c r="E4868" s="3" t="s">
        <v>25</v>
      </c>
      <c r="F4868" s="3" t="s">
        <v>16</v>
      </c>
      <c r="G4868" s="3" t="s">
        <v>1834</v>
      </c>
      <c r="H4868" s="3" t="s">
        <v>16</v>
      </c>
      <c r="I4868" s="3" t="s">
        <v>559</v>
      </c>
    </row>
    <row r="4869" spans="1:9" s="5" customFormat="1" x14ac:dyDescent="0.35">
      <c r="A4869" s="3" t="s">
        <v>1688</v>
      </c>
      <c r="B4869" s="3" t="s">
        <v>1832</v>
      </c>
      <c r="C4869" s="3" t="s">
        <v>42</v>
      </c>
      <c r="D4869" s="3" t="s">
        <v>1833</v>
      </c>
      <c r="E4869" s="3" t="s">
        <v>27</v>
      </c>
      <c r="F4869" s="3"/>
      <c r="G4869" s="3"/>
      <c r="H4869" s="3" t="s">
        <v>16</v>
      </c>
      <c r="I4869" s="3" t="s">
        <v>559</v>
      </c>
    </row>
    <row r="4870" spans="1:9" s="5" customFormat="1" x14ac:dyDescent="0.35">
      <c r="A4870" s="3" t="s">
        <v>1688</v>
      </c>
      <c r="B4870" s="3" t="s">
        <v>1832</v>
      </c>
      <c r="C4870" s="3" t="s">
        <v>42</v>
      </c>
      <c r="D4870" s="3" t="s">
        <v>1833</v>
      </c>
      <c r="E4870" s="3" t="s">
        <v>98</v>
      </c>
      <c r="F4870" s="3" t="s">
        <v>16</v>
      </c>
      <c r="G4870" s="3" t="s">
        <v>1834</v>
      </c>
      <c r="H4870" s="3" t="s">
        <v>16</v>
      </c>
      <c r="I4870" s="3" t="s">
        <v>559</v>
      </c>
    </row>
    <row r="4871" spans="1:9" s="5" customFormat="1" x14ac:dyDescent="0.35">
      <c r="A4871" s="3" t="s">
        <v>1688</v>
      </c>
      <c r="B4871" s="3" t="s">
        <v>1832</v>
      </c>
      <c r="C4871" s="3" t="s">
        <v>42</v>
      </c>
      <c r="D4871" s="3" t="s">
        <v>1833</v>
      </c>
      <c r="E4871" s="3" t="s">
        <v>152</v>
      </c>
      <c r="F4871" s="3"/>
      <c r="G4871" s="3"/>
      <c r="H4871" s="3" t="s">
        <v>16</v>
      </c>
      <c r="I4871" s="3" t="s">
        <v>559</v>
      </c>
    </row>
    <row r="4872" spans="1:9" s="5" customFormat="1" x14ac:dyDescent="0.35">
      <c r="A4872" s="3" t="s">
        <v>1688</v>
      </c>
      <c r="B4872" s="3" t="s">
        <v>1832</v>
      </c>
      <c r="C4872" s="3" t="s">
        <v>42</v>
      </c>
      <c r="D4872" s="3" t="s">
        <v>1833</v>
      </c>
      <c r="E4872" s="3" t="s">
        <v>24</v>
      </c>
      <c r="F4872" s="3"/>
      <c r="G4872" s="3"/>
      <c r="H4872" s="3" t="s">
        <v>16</v>
      </c>
      <c r="I4872" s="3" t="s">
        <v>559</v>
      </c>
    </row>
    <row r="4873" spans="1:9" s="5" customFormat="1" x14ac:dyDescent="0.35">
      <c r="A4873" s="3" t="s">
        <v>1688</v>
      </c>
      <c r="B4873" s="3" t="s">
        <v>1832</v>
      </c>
      <c r="C4873" s="3" t="s">
        <v>20</v>
      </c>
      <c r="D4873" s="3" t="s">
        <v>1835</v>
      </c>
      <c r="E4873" s="3" t="s">
        <v>185</v>
      </c>
      <c r="F4873" s="3"/>
      <c r="G4873" s="3"/>
      <c r="H4873" s="3" t="s">
        <v>16</v>
      </c>
      <c r="I4873" s="3" t="s">
        <v>559</v>
      </c>
    </row>
    <row r="4874" spans="1:9" s="5" customFormat="1" x14ac:dyDescent="0.35">
      <c r="A4874" s="3" t="s">
        <v>1688</v>
      </c>
      <c r="B4874" s="3" t="s">
        <v>1832</v>
      </c>
      <c r="C4874" s="3" t="s">
        <v>20</v>
      </c>
      <c r="D4874" s="3" t="s">
        <v>1835</v>
      </c>
      <c r="E4874" s="3" t="s">
        <v>15</v>
      </c>
      <c r="F4874" s="3" t="s">
        <v>16</v>
      </c>
      <c r="G4874" s="3" t="s">
        <v>1836</v>
      </c>
      <c r="H4874" s="3" t="s">
        <v>16</v>
      </c>
      <c r="I4874" s="3" t="s">
        <v>559</v>
      </c>
    </row>
    <row r="4875" spans="1:9" s="5" customFormat="1" x14ac:dyDescent="0.35">
      <c r="A4875" s="3" t="s">
        <v>1688</v>
      </c>
      <c r="B4875" s="3" t="s">
        <v>1832</v>
      </c>
      <c r="C4875" s="3" t="s">
        <v>20</v>
      </c>
      <c r="D4875" s="3" t="s">
        <v>1835</v>
      </c>
      <c r="E4875" s="3" t="s">
        <v>24</v>
      </c>
      <c r="F4875" s="3"/>
      <c r="G4875" s="3"/>
      <c r="H4875" s="3" t="s">
        <v>16</v>
      </c>
      <c r="I4875" s="3" t="s">
        <v>559</v>
      </c>
    </row>
    <row r="4876" spans="1:9" s="5" customFormat="1" x14ac:dyDescent="0.35">
      <c r="A4876" s="3" t="s">
        <v>1688</v>
      </c>
      <c r="B4876" s="3" t="s">
        <v>1832</v>
      </c>
      <c r="C4876" s="3" t="s">
        <v>20</v>
      </c>
      <c r="D4876" s="3" t="s">
        <v>1835</v>
      </c>
      <c r="E4876" s="3" t="s">
        <v>290</v>
      </c>
      <c r="F4876" s="3"/>
      <c r="G4876" s="3"/>
      <c r="H4876" s="3" t="s">
        <v>16</v>
      </c>
      <c r="I4876" s="3" t="s">
        <v>559</v>
      </c>
    </row>
    <row r="4877" spans="1:9" s="5" customFormat="1" x14ac:dyDescent="0.35">
      <c r="A4877" s="3" t="s">
        <v>1688</v>
      </c>
      <c r="B4877" s="3" t="s">
        <v>2279</v>
      </c>
      <c r="C4877" s="3" t="s">
        <v>20</v>
      </c>
      <c r="D4877" s="3" t="s">
        <v>2280</v>
      </c>
      <c r="E4877" s="3" t="s">
        <v>27</v>
      </c>
      <c r="F4877" s="3"/>
      <c r="G4877" s="3"/>
      <c r="H4877" s="3" t="s">
        <v>16</v>
      </c>
      <c r="I4877" s="3" t="s">
        <v>559</v>
      </c>
    </row>
    <row r="4878" spans="1:9" s="5" customFormat="1" x14ac:dyDescent="0.35">
      <c r="A4878" s="3" t="s">
        <v>1688</v>
      </c>
      <c r="B4878" s="3" t="s">
        <v>2279</v>
      </c>
      <c r="C4878" s="3" t="s">
        <v>20</v>
      </c>
      <c r="D4878" s="3" t="s">
        <v>2280</v>
      </c>
      <c r="E4878" s="3" t="s">
        <v>71</v>
      </c>
      <c r="F4878" s="3"/>
      <c r="G4878" s="3"/>
      <c r="H4878" s="3" t="s">
        <v>16</v>
      </c>
      <c r="I4878" s="3" t="s">
        <v>559</v>
      </c>
    </row>
    <row r="4879" spans="1:9" s="5" customFormat="1" x14ac:dyDescent="0.35">
      <c r="A4879" s="3" t="s">
        <v>1688</v>
      </c>
      <c r="B4879" s="3" t="s">
        <v>2279</v>
      </c>
      <c r="C4879" s="3" t="s">
        <v>20</v>
      </c>
      <c r="D4879" s="3" t="s">
        <v>2280</v>
      </c>
      <c r="E4879" s="3" t="s">
        <v>185</v>
      </c>
      <c r="F4879" s="3"/>
      <c r="G4879" s="3"/>
      <c r="H4879" s="3" t="s">
        <v>16</v>
      </c>
      <c r="I4879" s="3" t="s">
        <v>559</v>
      </c>
    </row>
    <row r="4880" spans="1:9" s="5" customFormat="1" x14ac:dyDescent="0.35">
      <c r="A4880" s="3" t="s">
        <v>1688</v>
      </c>
      <c r="B4880" s="3" t="s">
        <v>2279</v>
      </c>
      <c r="C4880" s="3" t="s">
        <v>20</v>
      </c>
      <c r="D4880" s="3" t="s">
        <v>2280</v>
      </c>
      <c r="E4880" s="3" t="s">
        <v>24</v>
      </c>
      <c r="F4880" s="3"/>
      <c r="G4880" s="3"/>
      <c r="H4880" s="3" t="s">
        <v>16</v>
      </c>
      <c r="I4880" s="3" t="s">
        <v>559</v>
      </c>
    </row>
    <row r="4881" spans="1:9" s="5" customFormat="1" x14ac:dyDescent="0.35">
      <c r="A4881" s="3" t="s">
        <v>1688</v>
      </c>
      <c r="B4881" s="3" t="s">
        <v>2279</v>
      </c>
      <c r="C4881" s="3" t="s">
        <v>20</v>
      </c>
      <c r="D4881" s="3" t="s">
        <v>2280</v>
      </c>
      <c r="E4881" s="3" t="s">
        <v>191</v>
      </c>
      <c r="F4881" s="3"/>
      <c r="G4881" s="3"/>
      <c r="H4881" s="3" t="s">
        <v>16</v>
      </c>
      <c r="I4881" s="3" t="s">
        <v>559</v>
      </c>
    </row>
    <row r="4882" spans="1:9" s="5" customFormat="1" x14ac:dyDescent="0.35">
      <c r="A4882" s="3" t="s">
        <v>1688</v>
      </c>
      <c r="B4882" s="3" t="s">
        <v>1837</v>
      </c>
      <c r="C4882" s="3" t="s">
        <v>42</v>
      </c>
      <c r="D4882" s="3" t="s">
        <v>1838</v>
      </c>
      <c r="E4882" s="3" t="s">
        <v>12</v>
      </c>
      <c r="F4882" s="3"/>
      <c r="G4882" s="3"/>
      <c r="H4882" s="3"/>
      <c r="I4882" s="3"/>
    </row>
    <row r="4883" spans="1:9" s="5" customFormat="1" x14ac:dyDescent="0.35">
      <c r="A4883" s="3" t="s">
        <v>1688</v>
      </c>
      <c r="B4883" s="3" t="s">
        <v>1837</v>
      </c>
      <c r="C4883" s="3" t="s">
        <v>42</v>
      </c>
      <c r="D4883" s="3" t="s">
        <v>1838</v>
      </c>
      <c r="E4883" s="3" t="s">
        <v>27</v>
      </c>
      <c r="F4883" s="3"/>
      <c r="G4883" s="3"/>
      <c r="H4883" s="3"/>
      <c r="I4883" s="3"/>
    </row>
    <row r="4884" spans="1:9" s="5" customFormat="1" x14ac:dyDescent="0.35">
      <c r="A4884" s="3" t="s">
        <v>1688</v>
      </c>
      <c r="B4884" s="3" t="s">
        <v>1837</v>
      </c>
      <c r="C4884" s="3" t="s">
        <v>42</v>
      </c>
      <c r="D4884" s="3" t="s">
        <v>1838</v>
      </c>
      <c r="E4884" s="3" t="s">
        <v>87</v>
      </c>
      <c r="F4884" s="3"/>
      <c r="G4884" s="3"/>
      <c r="H4884" s="3"/>
      <c r="I4884" s="3"/>
    </row>
    <row r="4885" spans="1:9" s="5" customFormat="1" x14ac:dyDescent="0.35">
      <c r="A4885" s="3" t="s">
        <v>1688</v>
      </c>
      <c r="B4885" s="3" t="s">
        <v>1837</v>
      </c>
      <c r="C4885" s="3" t="s">
        <v>42</v>
      </c>
      <c r="D4885" s="3" t="s">
        <v>1838</v>
      </c>
      <c r="E4885" s="3" t="s">
        <v>26</v>
      </c>
      <c r="F4885" s="3"/>
      <c r="G4885" s="3"/>
      <c r="H4885" s="3"/>
      <c r="I4885" s="3"/>
    </row>
    <row r="4886" spans="1:9" s="5" customFormat="1" x14ac:dyDescent="0.35">
      <c r="A4886" s="3" t="s">
        <v>1688</v>
      </c>
      <c r="B4886" s="3" t="s">
        <v>1837</v>
      </c>
      <c r="C4886" s="3" t="s">
        <v>42</v>
      </c>
      <c r="D4886" s="3" t="s">
        <v>1838</v>
      </c>
      <c r="E4886" s="3" t="s">
        <v>152</v>
      </c>
      <c r="F4886" s="3"/>
      <c r="G4886" s="3"/>
      <c r="H4886" s="3"/>
      <c r="I4886" s="3"/>
    </row>
    <row r="4887" spans="1:9" s="5" customFormat="1" x14ac:dyDescent="0.35">
      <c r="A4887" s="3" t="s">
        <v>1688</v>
      </c>
      <c r="B4887" s="3" t="s">
        <v>1837</v>
      </c>
      <c r="C4887" s="3" t="s">
        <v>42</v>
      </c>
      <c r="D4887" s="3" t="s">
        <v>1838</v>
      </c>
      <c r="E4887" s="3" t="s">
        <v>24</v>
      </c>
      <c r="F4887" s="3"/>
      <c r="G4887" s="3"/>
      <c r="H4887" s="3"/>
      <c r="I4887" s="3"/>
    </row>
    <row r="4888" spans="1:9" s="5" customFormat="1" x14ac:dyDescent="0.35">
      <c r="A4888" s="3" t="s">
        <v>1688</v>
      </c>
      <c r="B4888" s="3" t="s">
        <v>2607</v>
      </c>
      <c r="C4888" s="3" t="s">
        <v>42</v>
      </c>
      <c r="D4888" s="3" t="s">
        <v>2608</v>
      </c>
      <c r="E4888" s="3" t="s">
        <v>23</v>
      </c>
      <c r="F4888" s="3" t="s">
        <v>16</v>
      </c>
      <c r="G4888" s="3" t="s">
        <v>2609</v>
      </c>
      <c r="H4888" s="3" t="s">
        <v>16</v>
      </c>
      <c r="I4888" s="3" t="s">
        <v>409</v>
      </c>
    </row>
    <row r="4889" spans="1:9" s="5" customFormat="1" x14ac:dyDescent="0.35">
      <c r="A4889" s="3" t="s">
        <v>1688</v>
      </c>
      <c r="B4889" s="3" t="s">
        <v>1839</v>
      </c>
      <c r="C4889" s="3" t="s">
        <v>42</v>
      </c>
      <c r="D4889" s="3" t="s">
        <v>2930</v>
      </c>
      <c r="E4889" s="3" t="s">
        <v>23</v>
      </c>
      <c r="F4889" s="3"/>
      <c r="G4889" s="3"/>
      <c r="H4889" s="3" t="s">
        <v>16</v>
      </c>
      <c r="I4889" s="3" t="s">
        <v>559</v>
      </c>
    </row>
    <row r="4890" spans="1:9" s="5" customFormat="1" x14ac:dyDescent="0.35">
      <c r="A4890" s="3" t="s">
        <v>1688</v>
      </c>
      <c r="B4890" s="3" t="s">
        <v>1839</v>
      </c>
      <c r="C4890" s="3" t="s">
        <v>42</v>
      </c>
      <c r="D4890" s="3" t="s">
        <v>2930</v>
      </c>
      <c r="E4890" s="3" t="s">
        <v>77</v>
      </c>
      <c r="F4890" s="3"/>
      <c r="G4890" s="3" t="s">
        <v>2484</v>
      </c>
      <c r="H4890" s="3" t="s">
        <v>16</v>
      </c>
      <c r="I4890" s="3" t="s">
        <v>559</v>
      </c>
    </row>
    <row r="4891" spans="1:9" s="5" customFormat="1" x14ac:dyDescent="0.35">
      <c r="A4891" s="3" t="s">
        <v>1688</v>
      </c>
      <c r="B4891" s="3" t="s">
        <v>1839</v>
      </c>
      <c r="C4891" s="3" t="s">
        <v>42</v>
      </c>
      <c r="D4891" s="3" t="s">
        <v>2930</v>
      </c>
      <c r="E4891" s="3" t="s">
        <v>290</v>
      </c>
      <c r="F4891" s="3"/>
      <c r="G4891" s="3"/>
      <c r="H4891" s="3" t="s">
        <v>16</v>
      </c>
      <c r="I4891" s="3" t="s">
        <v>559</v>
      </c>
    </row>
    <row r="4892" spans="1:9" s="5" customFormat="1" x14ac:dyDescent="0.35">
      <c r="A4892" s="3" t="s">
        <v>1688</v>
      </c>
      <c r="B4892" s="3" t="s">
        <v>1839</v>
      </c>
      <c r="C4892" s="3" t="s">
        <v>20</v>
      </c>
      <c r="D4892" s="3" t="s">
        <v>1840</v>
      </c>
      <c r="E4892" s="3" t="s">
        <v>23</v>
      </c>
      <c r="F4892" s="3" t="s">
        <v>16</v>
      </c>
      <c r="G4892" s="3" t="s">
        <v>1841</v>
      </c>
      <c r="H4892" s="3" t="s">
        <v>16</v>
      </c>
      <c r="I4892" s="3" t="s">
        <v>559</v>
      </c>
    </row>
    <row r="4893" spans="1:9" s="5" customFormat="1" x14ac:dyDescent="0.35">
      <c r="A4893" s="3" t="s">
        <v>1688</v>
      </c>
      <c r="B4893" s="3" t="s">
        <v>1839</v>
      </c>
      <c r="C4893" s="3" t="s">
        <v>20</v>
      </c>
      <c r="D4893" s="3" t="s">
        <v>1840</v>
      </c>
      <c r="E4893" s="3" t="s">
        <v>27</v>
      </c>
      <c r="F4893" s="3"/>
      <c r="G4893" s="3"/>
      <c r="H4893" s="3" t="s">
        <v>16</v>
      </c>
      <c r="I4893" s="3" t="s">
        <v>559</v>
      </c>
    </row>
    <row r="4894" spans="1:9" s="5" customFormat="1" x14ac:dyDescent="0.35">
      <c r="A4894" s="3" t="s">
        <v>1688</v>
      </c>
      <c r="B4894" s="3" t="s">
        <v>1839</v>
      </c>
      <c r="C4894" s="3" t="s">
        <v>20</v>
      </c>
      <c r="D4894" s="3" t="s">
        <v>1840</v>
      </c>
      <c r="E4894" s="3" t="s">
        <v>290</v>
      </c>
      <c r="F4894" s="3"/>
      <c r="G4894" s="3"/>
      <c r="H4894" s="3" t="s">
        <v>16</v>
      </c>
      <c r="I4894" s="3" t="s">
        <v>559</v>
      </c>
    </row>
    <row r="4895" spans="1:9" s="5" customFormat="1" x14ac:dyDescent="0.35">
      <c r="A4895" s="3" t="s">
        <v>1688</v>
      </c>
      <c r="B4895" s="3" t="s">
        <v>1842</v>
      </c>
      <c r="C4895" s="3" t="s">
        <v>42</v>
      </c>
      <c r="D4895" s="3" t="s">
        <v>1843</v>
      </c>
      <c r="E4895" s="3" t="s">
        <v>28</v>
      </c>
      <c r="F4895" s="3"/>
      <c r="G4895" s="3"/>
      <c r="H4895" s="3"/>
      <c r="I4895" s="3"/>
    </row>
    <row r="4896" spans="1:9" s="5" customFormat="1" x14ac:dyDescent="0.35">
      <c r="A4896" s="3" t="s">
        <v>1688</v>
      </c>
      <c r="B4896" s="3" t="s">
        <v>1842</v>
      </c>
      <c r="C4896" s="3" t="s">
        <v>42</v>
      </c>
      <c r="D4896" s="3" t="s">
        <v>1843</v>
      </c>
      <c r="E4896" s="3" t="s">
        <v>15</v>
      </c>
      <c r="F4896" s="3"/>
      <c r="G4896" s="3"/>
      <c r="H4896" s="3"/>
      <c r="I4896" s="3"/>
    </row>
    <row r="4897" spans="1:9" s="5" customFormat="1" x14ac:dyDescent="0.35">
      <c r="A4897" s="3" t="s">
        <v>1688</v>
      </c>
      <c r="B4897" s="3" t="s">
        <v>1842</v>
      </c>
      <c r="C4897" s="3" t="s">
        <v>42</v>
      </c>
      <c r="D4897" s="3" t="s">
        <v>1843</v>
      </c>
      <c r="E4897" s="3" t="s">
        <v>24</v>
      </c>
      <c r="F4897" s="3"/>
      <c r="G4897" s="3"/>
      <c r="H4897" s="3"/>
      <c r="I4897" s="3"/>
    </row>
    <row r="4898" spans="1:9" s="5" customFormat="1" x14ac:dyDescent="0.35">
      <c r="A4898" s="3" t="s">
        <v>1688</v>
      </c>
      <c r="B4898" s="3" t="s">
        <v>1842</v>
      </c>
      <c r="C4898" s="3" t="s">
        <v>20</v>
      </c>
      <c r="D4898" s="3" t="s">
        <v>1844</v>
      </c>
      <c r="E4898" s="3" t="s">
        <v>36</v>
      </c>
      <c r="F4898" s="3"/>
      <c r="G4898" s="3"/>
      <c r="H4898" s="3"/>
      <c r="I4898" s="3"/>
    </row>
    <row r="4899" spans="1:9" s="5" customFormat="1" x14ac:dyDescent="0.35">
      <c r="A4899" s="3" t="s">
        <v>1688</v>
      </c>
      <c r="B4899" s="3" t="s">
        <v>1842</v>
      </c>
      <c r="C4899" s="3" t="s">
        <v>20</v>
      </c>
      <c r="D4899" s="3" t="s">
        <v>1844</v>
      </c>
      <c r="E4899" s="3" t="s">
        <v>25</v>
      </c>
      <c r="F4899" s="3"/>
      <c r="G4899" s="3"/>
      <c r="H4899" s="3"/>
      <c r="I4899" s="3"/>
    </row>
    <row r="4900" spans="1:9" s="5" customFormat="1" x14ac:dyDescent="0.35">
      <c r="A4900" s="3" t="s">
        <v>1688</v>
      </c>
      <c r="B4900" s="3" t="s">
        <v>1842</v>
      </c>
      <c r="C4900" s="3" t="s">
        <v>20</v>
      </c>
      <c r="D4900" s="3" t="s">
        <v>1844</v>
      </c>
      <c r="E4900" s="3" t="s">
        <v>28</v>
      </c>
      <c r="F4900" s="3" t="s">
        <v>16</v>
      </c>
      <c r="G4900" s="3" t="s">
        <v>2400</v>
      </c>
      <c r="H4900" s="3"/>
      <c r="I4900" s="3"/>
    </row>
    <row r="4901" spans="1:9" s="5" customFormat="1" x14ac:dyDescent="0.35">
      <c r="A4901" s="3" t="s">
        <v>1688</v>
      </c>
      <c r="B4901" s="3" t="s">
        <v>1842</v>
      </c>
      <c r="C4901" s="3" t="s">
        <v>20</v>
      </c>
      <c r="D4901" s="3" t="s">
        <v>1844</v>
      </c>
      <c r="E4901" s="3" t="s">
        <v>87</v>
      </c>
      <c r="F4901" s="3" t="s">
        <v>16</v>
      </c>
      <c r="G4901" s="3" t="s">
        <v>1845</v>
      </c>
      <c r="H4901" s="3"/>
      <c r="I4901" s="3"/>
    </row>
    <row r="4902" spans="1:9" s="5" customFormat="1" x14ac:dyDescent="0.35">
      <c r="A4902" s="3" t="s">
        <v>1688</v>
      </c>
      <c r="B4902" s="3" t="s">
        <v>1842</v>
      </c>
      <c r="C4902" s="3" t="s">
        <v>20</v>
      </c>
      <c r="D4902" s="3" t="s">
        <v>1844</v>
      </c>
      <c r="E4902" s="3" t="s">
        <v>15</v>
      </c>
      <c r="F4902" s="3" t="s">
        <v>16</v>
      </c>
      <c r="G4902" s="3" t="s">
        <v>1846</v>
      </c>
      <c r="H4902" s="3"/>
      <c r="I4902" s="3"/>
    </row>
    <row r="4903" spans="1:9" s="5" customFormat="1" x14ac:dyDescent="0.35">
      <c r="A4903" s="3" t="s">
        <v>1688</v>
      </c>
      <c r="B4903" s="3" t="s">
        <v>1842</v>
      </c>
      <c r="C4903" s="3" t="s">
        <v>20</v>
      </c>
      <c r="D4903" s="3" t="s">
        <v>1847</v>
      </c>
      <c r="E4903" s="3" t="s">
        <v>27</v>
      </c>
      <c r="F4903" s="3"/>
      <c r="G4903" s="3"/>
      <c r="H4903" s="3"/>
      <c r="I4903" s="3"/>
    </row>
    <row r="4904" spans="1:9" s="5" customFormat="1" x14ac:dyDescent="0.35">
      <c r="A4904" s="3" t="s">
        <v>1688</v>
      </c>
      <c r="B4904" s="3" t="s">
        <v>1848</v>
      </c>
      <c r="C4904" s="3" t="s">
        <v>45</v>
      </c>
      <c r="D4904" s="3" t="s">
        <v>1849</v>
      </c>
      <c r="E4904" s="3" t="s">
        <v>24</v>
      </c>
      <c r="F4904" s="3"/>
      <c r="G4904" s="3"/>
      <c r="H4904" s="3"/>
      <c r="I4904" s="3"/>
    </row>
    <row r="4905" spans="1:9" s="5" customFormat="1" x14ac:dyDescent="0.35">
      <c r="A4905" s="3" t="s">
        <v>1688</v>
      </c>
      <c r="B4905" s="3" t="s">
        <v>1848</v>
      </c>
      <c r="C4905" s="3" t="s">
        <v>10</v>
      </c>
      <c r="D4905" s="3" t="s">
        <v>1850</v>
      </c>
      <c r="E4905" s="3" t="s">
        <v>87</v>
      </c>
      <c r="F4905" s="3" t="s">
        <v>33</v>
      </c>
      <c r="G4905" s="3" t="s">
        <v>34</v>
      </c>
      <c r="H4905" s="3" t="s">
        <v>16</v>
      </c>
      <c r="I4905" s="3" t="s">
        <v>559</v>
      </c>
    </row>
    <row r="4906" spans="1:9" s="5" customFormat="1" x14ac:dyDescent="0.35">
      <c r="A4906" s="3" t="s">
        <v>1688</v>
      </c>
      <c r="B4906" s="3" t="s">
        <v>1848</v>
      </c>
      <c r="C4906" s="3" t="s">
        <v>10</v>
      </c>
      <c r="D4906" s="3" t="s">
        <v>1850</v>
      </c>
      <c r="E4906" s="3" t="s">
        <v>56</v>
      </c>
      <c r="F4906" s="3" t="s">
        <v>1737</v>
      </c>
      <c r="G4906" s="3" t="s">
        <v>1851</v>
      </c>
      <c r="H4906" s="3" t="s">
        <v>16</v>
      </c>
      <c r="I4906" s="3" t="s">
        <v>559</v>
      </c>
    </row>
    <row r="4907" spans="1:9" s="5" customFormat="1" x14ac:dyDescent="0.35">
      <c r="A4907" s="3" t="s">
        <v>1688</v>
      </c>
      <c r="B4907" s="3" t="s">
        <v>1848</v>
      </c>
      <c r="C4907" s="3" t="s">
        <v>10</v>
      </c>
      <c r="D4907" s="3" t="s">
        <v>1850</v>
      </c>
      <c r="E4907" s="3" t="s">
        <v>24</v>
      </c>
      <c r="F4907" s="3"/>
      <c r="G4907" s="3"/>
      <c r="H4907" s="3" t="s">
        <v>16</v>
      </c>
      <c r="I4907" s="3" t="s">
        <v>559</v>
      </c>
    </row>
    <row r="4908" spans="1:9" s="5" customFormat="1" x14ac:dyDescent="0.35">
      <c r="A4908" s="3" t="s">
        <v>1688</v>
      </c>
      <c r="B4908" s="3" t="s">
        <v>1848</v>
      </c>
      <c r="C4908" s="3" t="s">
        <v>42</v>
      </c>
      <c r="D4908" s="3" t="s">
        <v>1852</v>
      </c>
      <c r="E4908" s="3" t="s">
        <v>23</v>
      </c>
      <c r="F4908" s="3" t="s">
        <v>1737</v>
      </c>
      <c r="G4908" s="3" t="s">
        <v>1834</v>
      </c>
      <c r="H4908" s="3" t="s">
        <v>16</v>
      </c>
      <c r="I4908" s="3" t="s">
        <v>559</v>
      </c>
    </row>
    <row r="4909" spans="1:9" s="5" customFormat="1" x14ac:dyDescent="0.35">
      <c r="A4909" s="3" t="s">
        <v>1688</v>
      </c>
      <c r="B4909" s="3" t="s">
        <v>1848</v>
      </c>
      <c r="C4909" s="3" t="s">
        <v>42</v>
      </c>
      <c r="D4909" s="3" t="s">
        <v>1852</v>
      </c>
      <c r="E4909" s="3" t="s">
        <v>1210</v>
      </c>
      <c r="F4909" s="3"/>
      <c r="G4909" s="3"/>
      <c r="H4909" s="3" t="s">
        <v>16</v>
      </c>
      <c r="I4909" s="3" t="s">
        <v>559</v>
      </c>
    </row>
    <row r="4910" spans="1:9" s="5" customFormat="1" x14ac:dyDescent="0.35">
      <c r="A4910" s="3" t="s">
        <v>1688</v>
      </c>
      <c r="B4910" s="3" t="s">
        <v>1848</v>
      </c>
      <c r="C4910" s="3" t="s">
        <v>42</v>
      </c>
      <c r="D4910" s="3" t="s">
        <v>1852</v>
      </c>
      <c r="E4910" s="3" t="s">
        <v>60</v>
      </c>
      <c r="F4910" s="3"/>
      <c r="G4910" s="3"/>
      <c r="H4910" s="3" t="s">
        <v>16</v>
      </c>
      <c r="I4910" s="3" t="s">
        <v>559</v>
      </c>
    </row>
    <row r="4911" spans="1:9" s="5" customFormat="1" x14ac:dyDescent="0.35">
      <c r="A4911" s="3" t="s">
        <v>1688</v>
      </c>
      <c r="B4911" s="3" t="s">
        <v>1848</v>
      </c>
      <c r="C4911" s="3" t="s">
        <v>42</v>
      </c>
      <c r="D4911" s="3" t="s">
        <v>1852</v>
      </c>
      <c r="E4911" s="3" t="s">
        <v>185</v>
      </c>
      <c r="F4911" s="3"/>
      <c r="G4911" s="3"/>
      <c r="H4911" s="3" t="s">
        <v>16</v>
      </c>
      <c r="I4911" s="3" t="s">
        <v>559</v>
      </c>
    </row>
    <row r="4912" spans="1:9" s="5" customFormat="1" x14ac:dyDescent="0.35">
      <c r="A4912" s="3" t="s">
        <v>1688</v>
      </c>
      <c r="B4912" s="3" t="s">
        <v>1848</v>
      </c>
      <c r="C4912" s="3" t="s">
        <v>42</v>
      </c>
      <c r="D4912" s="3" t="s">
        <v>1852</v>
      </c>
      <c r="E4912" s="3" t="s">
        <v>15</v>
      </c>
      <c r="F4912" s="3" t="s">
        <v>16</v>
      </c>
      <c r="G4912" s="3" t="s">
        <v>1834</v>
      </c>
      <c r="H4912" s="3" t="s">
        <v>16</v>
      </c>
      <c r="I4912" s="3" t="s">
        <v>559</v>
      </c>
    </row>
    <row r="4913" spans="1:9" s="5" customFormat="1" x14ac:dyDescent="0.35">
      <c r="A4913" s="3" t="s">
        <v>1688</v>
      </c>
      <c r="B4913" s="3" t="s">
        <v>1848</v>
      </c>
      <c r="C4913" s="3" t="s">
        <v>42</v>
      </c>
      <c r="D4913" s="3" t="s">
        <v>1852</v>
      </c>
      <c r="E4913" s="3" t="s">
        <v>290</v>
      </c>
      <c r="F4913" s="3" t="s">
        <v>1737</v>
      </c>
      <c r="G4913" s="3" t="s">
        <v>1834</v>
      </c>
      <c r="H4913" s="3" t="s">
        <v>16</v>
      </c>
      <c r="I4913" s="3" t="s">
        <v>559</v>
      </c>
    </row>
    <row r="4914" spans="1:9" s="5" customFormat="1" x14ac:dyDescent="0.35">
      <c r="A4914" s="3" t="s">
        <v>1688</v>
      </c>
      <c r="B4914" s="3" t="s">
        <v>1848</v>
      </c>
      <c r="C4914" s="3" t="s">
        <v>45</v>
      </c>
      <c r="D4914" s="3" t="s">
        <v>1853</v>
      </c>
      <c r="E4914" s="3" t="s">
        <v>77</v>
      </c>
      <c r="F4914" s="3"/>
      <c r="G4914" s="3"/>
      <c r="H4914" s="3" t="s">
        <v>16</v>
      </c>
      <c r="I4914" s="3" t="s">
        <v>1854</v>
      </c>
    </row>
    <row r="4915" spans="1:9" s="5" customFormat="1" x14ac:dyDescent="0.35">
      <c r="A4915" s="3" t="s">
        <v>1688</v>
      </c>
      <c r="B4915" s="3" t="s">
        <v>1848</v>
      </c>
      <c r="C4915" s="3" t="s">
        <v>20</v>
      </c>
      <c r="D4915" s="3" t="s">
        <v>1855</v>
      </c>
      <c r="E4915" s="3" t="s">
        <v>60</v>
      </c>
      <c r="F4915" s="3"/>
      <c r="G4915" s="3"/>
      <c r="H4915" s="3" t="s">
        <v>16</v>
      </c>
      <c r="I4915" s="3" t="s">
        <v>559</v>
      </c>
    </row>
    <row r="4916" spans="1:9" s="5" customFormat="1" x14ac:dyDescent="0.35">
      <c r="A4916" s="3" t="s">
        <v>1688</v>
      </c>
      <c r="B4916" s="3" t="s">
        <v>1848</v>
      </c>
      <c r="C4916" s="3" t="s">
        <v>20</v>
      </c>
      <c r="D4916" s="3" t="s">
        <v>1855</v>
      </c>
      <c r="E4916" s="3" t="s">
        <v>24</v>
      </c>
      <c r="F4916" s="3"/>
      <c r="G4916" s="3"/>
      <c r="H4916" s="3" t="s">
        <v>16</v>
      </c>
      <c r="I4916" s="3" t="s">
        <v>559</v>
      </c>
    </row>
    <row r="4917" spans="1:9" s="5" customFormat="1" x14ac:dyDescent="0.35">
      <c r="A4917" s="3" t="s">
        <v>1688</v>
      </c>
      <c r="B4917" s="3" t="s">
        <v>1848</v>
      </c>
      <c r="C4917" s="3" t="s">
        <v>20</v>
      </c>
      <c r="D4917" s="3" t="s">
        <v>1856</v>
      </c>
      <c r="E4917" s="3" t="s">
        <v>15</v>
      </c>
      <c r="F4917" s="3" t="s">
        <v>16</v>
      </c>
      <c r="G4917" s="3" t="s">
        <v>1728</v>
      </c>
      <c r="H4917" s="3" t="s">
        <v>16</v>
      </c>
      <c r="I4917" s="3" t="s">
        <v>559</v>
      </c>
    </row>
    <row r="4918" spans="1:9" s="5" customFormat="1" x14ac:dyDescent="0.35">
      <c r="A4918" s="3" t="s">
        <v>1688</v>
      </c>
      <c r="B4918" s="3" t="s">
        <v>1848</v>
      </c>
      <c r="C4918" s="3" t="s">
        <v>20</v>
      </c>
      <c r="D4918" s="3" t="s">
        <v>1856</v>
      </c>
      <c r="E4918" s="3" t="s">
        <v>24</v>
      </c>
      <c r="F4918" s="3" t="s">
        <v>16</v>
      </c>
      <c r="G4918" s="3" t="s">
        <v>1728</v>
      </c>
      <c r="H4918" s="3" t="s">
        <v>16</v>
      </c>
      <c r="I4918" s="3" t="s">
        <v>559</v>
      </c>
    </row>
    <row r="4919" spans="1:9" s="5" customFormat="1" x14ac:dyDescent="0.35">
      <c r="A4919" s="3" t="s">
        <v>1688</v>
      </c>
      <c r="B4919" s="3" t="s">
        <v>1848</v>
      </c>
      <c r="C4919" s="3" t="s">
        <v>20</v>
      </c>
      <c r="D4919" s="3" t="s">
        <v>2817</v>
      </c>
      <c r="E4919" s="3" t="s">
        <v>12</v>
      </c>
      <c r="F4919" s="3"/>
      <c r="G4919" s="3"/>
      <c r="H4919" s="3" t="s">
        <v>16</v>
      </c>
      <c r="I4919" s="3" t="s">
        <v>559</v>
      </c>
    </row>
    <row r="4920" spans="1:9" s="5" customFormat="1" x14ac:dyDescent="0.35">
      <c r="A4920" s="3" t="s">
        <v>1688</v>
      </c>
      <c r="B4920" s="3" t="s">
        <v>1848</v>
      </c>
      <c r="C4920" s="3" t="s">
        <v>20</v>
      </c>
      <c r="D4920" s="3" t="s">
        <v>2817</v>
      </c>
      <c r="E4920" s="3" t="s">
        <v>36</v>
      </c>
      <c r="F4920" s="3"/>
      <c r="G4920" s="3"/>
      <c r="H4920" s="3" t="s">
        <v>16</v>
      </c>
      <c r="I4920" s="3" t="s">
        <v>559</v>
      </c>
    </row>
    <row r="4921" spans="1:9" s="5" customFormat="1" x14ac:dyDescent="0.35">
      <c r="A4921" s="3" t="s">
        <v>1688</v>
      </c>
      <c r="B4921" s="3" t="s">
        <v>1848</v>
      </c>
      <c r="C4921" s="3" t="s">
        <v>20</v>
      </c>
      <c r="D4921" s="3" t="s">
        <v>2817</v>
      </c>
      <c r="E4921" s="3" t="s">
        <v>60</v>
      </c>
      <c r="F4921" s="3"/>
      <c r="G4921" s="3"/>
      <c r="H4921" s="3" t="s">
        <v>16</v>
      </c>
      <c r="I4921" s="3" t="s">
        <v>559</v>
      </c>
    </row>
    <row r="4922" spans="1:9" s="5" customFormat="1" x14ac:dyDescent="0.35">
      <c r="A4922" s="3" t="s">
        <v>1688</v>
      </c>
      <c r="B4922" s="3" t="s">
        <v>1848</v>
      </c>
      <c r="C4922" s="3" t="s">
        <v>20</v>
      </c>
      <c r="D4922" s="3" t="s">
        <v>2817</v>
      </c>
      <c r="E4922" s="3" t="s">
        <v>15</v>
      </c>
      <c r="F4922" s="3"/>
      <c r="G4922" s="3"/>
      <c r="H4922" s="3" t="s">
        <v>16</v>
      </c>
      <c r="I4922" s="3" t="s">
        <v>559</v>
      </c>
    </row>
    <row r="4923" spans="1:9" s="5" customFormat="1" x14ac:dyDescent="0.35">
      <c r="A4923" s="3" t="s">
        <v>1688</v>
      </c>
      <c r="B4923" s="3" t="s">
        <v>1848</v>
      </c>
      <c r="C4923" s="3" t="s">
        <v>20</v>
      </c>
      <c r="D4923" s="3" t="s">
        <v>2817</v>
      </c>
      <c r="E4923" s="3" t="s">
        <v>290</v>
      </c>
      <c r="F4923" s="3"/>
      <c r="G4923" s="3"/>
      <c r="H4923" s="3" t="s">
        <v>16</v>
      </c>
      <c r="I4923" s="3" t="s">
        <v>559</v>
      </c>
    </row>
    <row r="4924" spans="1:9" s="5" customFormat="1" x14ac:dyDescent="0.35">
      <c r="A4924" s="3" t="s">
        <v>1688</v>
      </c>
      <c r="B4924" s="3" t="s">
        <v>1848</v>
      </c>
      <c r="C4924" s="3" t="s">
        <v>20</v>
      </c>
      <c r="D4924" s="3" t="s">
        <v>1857</v>
      </c>
      <c r="E4924" s="3" t="s">
        <v>60</v>
      </c>
      <c r="F4924" s="3"/>
      <c r="G4924" s="3"/>
      <c r="H4924" s="3" t="s">
        <v>16</v>
      </c>
      <c r="I4924" s="3" t="s">
        <v>559</v>
      </c>
    </row>
    <row r="4925" spans="1:9" s="5" customFormat="1" x14ac:dyDescent="0.35">
      <c r="A4925" s="3" t="s">
        <v>1688</v>
      </c>
      <c r="B4925" s="3" t="s">
        <v>1848</v>
      </c>
      <c r="C4925" s="3" t="s">
        <v>20</v>
      </c>
      <c r="D4925" s="3" t="s">
        <v>1857</v>
      </c>
      <c r="E4925" s="3" t="s">
        <v>27</v>
      </c>
      <c r="F4925" s="3"/>
      <c r="G4925" s="3"/>
      <c r="H4925" s="3" t="s">
        <v>16</v>
      </c>
      <c r="I4925" s="3" t="s">
        <v>559</v>
      </c>
    </row>
    <row r="4926" spans="1:9" s="5" customFormat="1" x14ac:dyDescent="0.35">
      <c r="A4926" s="3" t="s">
        <v>1688</v>
      </c>
      <c r="B4926" s="3" t="s">
        <v>1848</v>
      </c>
      <c r="C4926" s="3" t="s">
        <v>20</v>
      </c>
      <c r="D4926" s="3" t="s">
        <v>1857</v>
      </c>
      <c r="E4926" s="3" t="s">
        <v>24</v>
      </c>
      <c r="F4926" s="3"/>
      <c r="G4926" s="3"/>
      <c r="H4926" s="3" t="s">
        <v>16</v>
      </c>
      <c r="I4926" s="3" t="s">
        <v>559</v>
      </c>
    </row>
    <row r="4927" spans="1:9" s="5" customFormat="1" x14ac:dyDescent="0.35">
      <c r="A4927" s="3" t="s">
        <v>1688</v>
      </c>
      <c r="B4927" s="3" t="s">
        <v>1848</v>
      </c>
      <c r="C4927" s="3" t="s">
        <v>591</v>
      </c>
      <c r="D4927" s="3" t="s">
        <v>1858</v>
      </c>
      <c r="E4927" s="3" t="s">
        <v>27</v>
      </c>
      <c r="F4927" s="3" t="s">
        <v>1737</v>
      </c>
      <c r="G4927" s="3" t="s">
        <v>1728</v>
      </c>
      <c r="H4927" s="3" t="s">
        <v>16</v>
      </c>
      <c r="I4927" s="3" t="s">
        <v>559</v>
      </c>
    </row>
    <row r="4928" spans="1:9" s="5" customFormat="1" x14ac:dyDescent="0.35">
      <c r="A4928" s="3" t="s">
        <v>1688</v>
      </c>
      <c r="B4928" s="3" t="s">
        <v>1848</v>
      </c>
      <c r="C4928" s="3" t="s">
        <v>45</v>
      </c>
      <c r="D4928" s="3" t="s">
        <v>1859</v>
      </c>
      <c r="E4928" s="3" t="s">
        <v>77</v>
      </c>
      <c r="F4928" s="3"/>
      <c r="G4928" s="3"/>
      <c r="H4928" s="3" t="s">
        <v>16</v>
      </c>
      <c r="I4928" s="3" t="s">
        <v>559</v>
      </c>
    </row>
    <row r="4929" spans="1:9" s="5" customFormat="1" x14ac:dyDescent="0.35">
      <c r="A4929" s="3" t="s">
        <v>1688</v>
      </c>
      <c r="B4929" s="3" t="s">
        <v>1848</v>
      </c>
      <c r="C4929" s="3" t="s">
        <v>45</v>
      </c>
      <c r="D4929" s="3" t="s">
        <v>1859</v>
      </c>
      <c r="E4929" s="3" t="s">
        <v>185</v>
      </c>
      <c r="F4929" s="3"/>
      <c r="G4929" s="3"/>
      <c r="H4929" s="3" t="s">
        <v>16</v>
      </c>
      <c r="I4929" s="3" t="s">
        <v>559</v>
      </c>
    </row>
    <row r="4930" spans="1:9" s="5" customFormat="1" x14ac:dyDescent="0.35">
      <c r="A4930" s="3" t="s">
        <v>1688</v>
      </c>
      <c r="B4930" s="3" t="s">
        <v>1848</v>
      </c>
      <c r="C4930" s="3" t="s">
        <v>45</v>
      </c>
      <c r="D4930" s="3" t="s">
        <v>1859</v>
      </c>
      <c r="E4930" s="3" t="s">
        <v>56</v>
      </c>
      <c r="F4930" s="3" t="s">
        <v>16</v>
      </c>
      <c r="G4930" s="3" t="s">
        <v>1860</v>
      </c>
      <c r="H4930" s="3" t="s">
        <v>16</v>
      </c>
      <c r="I4930" s="3" t="s">
        <v>559</v>
      </c>
    </row>
    <row r="4931" spans="1:9" s="5" customFormat="1" x14ac:dyDescent="0.35">
      <c r="A4931" s="3" t="s">
        <v>1688</v>
      </c>
      <c r="B4931" s="3" t="s">
        <v>1848</v>
      </c>
      <c r="C4931" s="3" t="s">
        <v>45</v>
      </c>
      <c r="D4931" s="3" t="s">
        <v>1859</v>
      </c>
      <c r="E4931" s="3" t="s">
        <v>911</v>
      </c>
      <c r="F4931" s="3" t="s">
        <v>16</v>
      </c>
      <c r="G4931" s="3" t="s">
        <v>1860</v>
      </c>
      <c r="H4931" s="3" t="s">
        <v>16</v>
      </c>
      <c r="I4931" s="3" t="s">
        <v>559</v>
      </c>
    </row>
    <row r="4932" spans="1:9" s="5" customFormat="1" x14ac:dyDescent="0.35">
      <c r="A4932" s="3" t="s">
        <v>1688</v>
      </c>
      <c r="B4932" s="3" t="s">
        <v>1848</v>
      </c>
      <c r="C4932" s="3" t="s">
        <v>45</v>
      </c>
      <c r="D4932" s="3" t="s">
        <v>1859</v>
      </c>
      <c r="E4932" s="3" t="s">
        <v>24</v>
      </c>
      <c r="F4932" s="3"/>
      <c r="G4932" s="3"/>
      <c r="H4932" s="3" t="s">
        <v>16</v>
      </c>
      <c r="I4932" s="3" t="s">
        <v>559</v>
      </c>
    </row>
    <row r="4933" spans="1:9" s="5" customFormat="1" x14ac:dyDescent="0.35">
      <c r="A4933" s="3" t="s">
        <v>1688</v>
      </c>
      <c r="B4933" s="3" t="s">
        <v>1848</v>
      </c>
      <c r="C4933" s="3" t="s">
        <v>45</v>
      </c>
      <c r="D4933" s="3" t="s">
        <v>1861</v>
      </c>
      <c r="E4933" s="3" t="s">
        <v>23</v>
      </c>
      <c r="F4933" s="3"/>
      <c r="G4933" s="3"/>
      <c r="H4933" s="3" t="s">
        <v>16</v>
      </c>
      <c r="I4933" s="3" t="s">
        <v>559</v>
      </c>
    </row>
    <row r="4934" spans="1:9" s="5" customFormat="1" x14ac:dyDescent="0.35">
      <c r="A4934" s="3" t="s">
        <v>1688</v>
      </c>
      <c r="B4934" s="3" t="s">
        <v>1848</v>
      </c>
      <c r="C4934" s="3" t="s">
        <v>45</v>
      </c>
      <c r="D4934" s="3" t="s">
        <v>1861</v>
      </c>
      <c r="E4934" s="3" t="s">
        <v>185</v>
      </c>
      <c r="F4934" s="3"/>
      <c r="G4934" s="3"/>
      <c r="H4934" s="3" t="s">
        <v>16</v>
      </c>
      <c r="I4934" s="3" t="s">
        <v>559</v>
      </c>
    </row>
    <row r="4935" spans="1:9" s="5" customFormat="1" x14ac:dyDescent="0.35">
      <c r="A4935" s="3" t="s">
        <v>1688</v>
      </c>
      <c r="B4935" s="3" t="s">
        <v>1848</v>
      </c>
      <c r="C4935" s="3" t="s">
        <v>45</v>
      </c>
      <c r="D4935" s="3" t="s">
        <v>1861</v>
      </c>
      <c r="E4935" s="3" t="s">
        <v>56</v>
      </c>
      <c r="F4935" s="3" t="s">
        <v>16</v>
      </c>
      <c r="G4935" s="3" t="s">
        <v>990</v>
      </c>
      <c r="H4935" s="3" t="s">
        <v>16</v>
      </c>
      <c r="I4935" s="3" t="s">
        <v>559</v>
      </c>
    </row>
    <row r="4936" spans="1:9" s="5" customFormat="1" x14ac:dyDescent="0.35">
      <c r="A4936" s="3" t="s">
        <v>1688</v>
      </c>
      <c r="B4936" s="3" t="s">
        <v>1848</v>
      </c>
      <c r="C4936" s="3" t="s">
        <v>45</v>
      </c>
      <c r="D4936" s="3" t="s">
        <v>1861</v>
      </c>
      <c r="E4936" s="3" t="s">
        <v>24</v>
      </c>
      <c r="F4936" s="3"/>
      <c r="G4936" s="3"/>
      <c r="H4936" s="3" t="s">
        <v>16</v>
      </c>
      <c r="I4936" s="3" t="s">
        <v>559</v>
      </c>
    </row>
    <row r="4937" spans="1:9" s="5" customFormat="1" x14ac:dyDescent="0.35">
      <c r="A4937" s="3" t="s">
        <v>1688</v>
      </c>
      <c r="B4937" s="3" t="s">
        <v>1848</v>
      </c>
      <c r="C4937" s="3" t="s">
        <v>20</v>
      </c>
      <c r="D4937" s="3" t="s">
        <v>1862</v>
      </c>
      <c r="E4937" s="3" t="s">
        <v>87</v>
      </c>
      <c r="F4937" s="3"/>
      <c r="G4937" s="3"/>
      <c r="H4937" s="3" t="s">
        <v>16</v>
      </c>
      <c r="I4937" s="3" t="s">
        <v>559</v>
      </c>
    </row>
    <row r="4938" spans="1:9" s="5" customFormat="1" x14ac:dyDescent="0.35">
      <c r="A4938" s="3" t="s">
        <v>1688</v>
      </c>
      <c r="B4938" s="3" t="s">
        <v>1848</v>
      </c>
      <c r="C4938" s="3" t="s">
        <v>20</v>
      </c>
      <c r="D4938" s="3" t="s">
        <v>1862</v>
      </c>
      <c r="E4938" s="3" t="s">
        <v>24</v>
      </c>
      <c r="F4938" s="3"/>
      <c r="G4938" s="3"/>
      <c r="H4938" s="3" t="s">
        <v>16</v>
      </c>
      <c r="I4938" s="3" t="s">
        <v>559</v>
      </c>
    </row>
    <row r="4939" spans="1:9" s="5" customFormat="1" x14ac:dyDescent="0.35">
      <c r="A4939" s="3" t="s">
        <v>1688</v>
      </c>
      <c r="B4939" s="3" t="s">
        <v>1848</v>
      </c>
      <c r="C4939" s="3" t="s">
        <v>45</v>
      </c>
      <c r="D4939" s="3" t="s">
        <v>1863</v>
      </c>
      <c r="E4939" s="3" t="s">
        <v>185</v>
      </c>
      <c r="F4939" s="3"/>
      <c r="G4939" s="3"/>
      <c r="H4939" s="3" t="s">
        <v>16</v>
      </c>
      <c r="I4939" s="3" t="s">
        <v>559</v>
      </c>
    </row>
    <row r="4940" spans="1:9" s="5" customFormat="1" x14ac:dyDescent="0.35">
      <c r="A4940" s="3" t="s">
        <v>1688</v>
      </c>
      <c r="B4940" s="3" t="s">
        <v>1848</v>
      </c>
      <c r="C4940" s="3" t="s">
        <v>45</v>
      </c>
      <c r="D4940" s="3" t="s">
        <v>1863</v>
      </c>
      <c r="E4940" s="3" t="s">
        <v>56</v>
      </c>
      <c r="F4940" s="3" t="s">
        <v>1737</v>
      </c>
      <c r="G4940" s="3" t="s">
        <v>1779</v>
      </c>
      <c r="H4940" s="3" t="s">
        <v>16</v>
      </c>
      <c r="I4940" s="3" t="s">
        <v>559</v>
      </c>
    </row>
    <row r="4941" spans="1:9" s="5" customFormat="1" x14ac:dyDescent="0.35">
      <c r="A4941" s="3" t="s">
        <v>1688</v>
      </c>
      <c r="B4941" s="3" t="s">
        <v>1848</v>
      </c>
      <c r="C4941" s="3" t="s">
        <v>45</v>
      </c>
      <c r="D4941" s="3" t="s">
        <v>1863</v>
      </c>
      <c r="E4941" s="3" t="s">
        <v>24</v>
      </c>
      <c r="F4941" s="3"/>
      <c r="G4941" s="3"/>
      <c r="H4941" s="3" t="s">
        <v>16</v>
      </c>
      <c r="I4941" s="3" t="s">
        <v>559</v>
      </c>
    </row>
    <row r="4942" spans="1:9" s="5" customFormat="1" x14ac:dyDescent="0.35">
      <c r="A4942" s="3" t="s">
        <v>1688</v>
      </c>
      <c r="B4942" s="3" t="s">
        <v>1848</v>
      </c>
      <c r="C4942" s="3" t="s">
        <v>39</v>
      </c>
      <c r="D4942" s="3" t="s">
        <v>1864</v>
      </c>
      <c r="E4942" s="3" t="s">
        <v>23</v>
      </c>
      <c r="F4942" s="3" t="s">
        <v>1737</v>
      </c>
      <c r="G4942" s="3" t="s">
        <v>1834</v>
      </c>
      <c r="H4942" s="3" t="s">
        <v>16</v>
      </c>
      <c r="I4942" s="3" t="s">
        <v>559</v>
      </c>
    </row>
    <row r="4943" spans="1:9" s="5" customFormat="1" x14ac:dyDescent="0.35">
      <c r="A4943" s="3" t="s">
        <v>1688</v>
      </c>
      <c r="B4943" s="3" t="s">
        <v>1848</v>
      </c>
      <c r="C4943" s="3" t="s">
        <v>39</v>
      </c>
      <c r="D4943" s="3" t="s">
        <v>1864</v>
      </c>
      <c r="E4943" s="3" t="s">
        <v>27</v>
      </c>
      <c r="F4943" s="3" t="s">
        <v>1737</v>
      </c>
      <c r="G4943" s="3" t="s">
        <v>1834</v>
      </c>
      <c r="H4943" s="3" t="s">
        <v>16</v>
      </c>
      <c r="I4943" s="3" t="s">
        <v>559</v>
      </c>
    </row>
    <row r="4944" spans="1:9" s="5" customFormat="1" x14ac:dyDescent="0.35">
      <c r="A4944" s="3" t="s">
        <v>1688</v>
      </c>
      <c r="B4944" s="3" t="s">
        <v>1848</v>
      </c>
      <c r="C4944" s="3" t="s">
        <v>39</v>
      </c>
      <c r="D4944" s="3" t="s">
        <v>1864</v>
      </c>
      <c r="E4944" s="3" t="s">
        <v>15</v>
      </c>
      <c r="F4944" s="3" t="s">
        <v>16</v>
      </c>
      <c r="G4944" s="3" t="s">
        <v>1834</v>
      </c>
      <c r="H4944" s="3" t="s">
        <v>16</v>
      </c>
      <c r="I4944" s="3" t="s">
        <v>559</v>
      </c>
    </row>
    <row r="4945" spans="1:9" s="5" customFormat="1" x14ac:dyDescent="0.35">
      <c r="A4945" s="3" t="s">
        <v>1688</v>
      </c>
      <c r="B4945" s="3" t="s">
        <v>1848</v>
      </c>
      <c r="C4945" s="3" t="s">
        <v>39</v>
      </c>
      <c r="D4945" s="3" t="s">
        <v>1864</v>
      </c>
      <c r="E4945" s="3" t="s">
        <v>56</v>
      </c>
      <c r="F4945" s="3" t="s">
        <v>16</v>
      </c>
      <c r="G4945" s="3" t="s">
        <v>1834</v>
      </c>
      <c r="H4945" s="3" t="s">
        <v>16</v>
      </c>
      <c r="I4945" s="3" t="s">
        <v>559</v>
      </c>
    </row>
    <row r="4946" spans="1:9" s="5" customFormat="1" x14ac:dyDescent="0.35">
      <c r="A4946" s="3" t="s">
        <v>1688</v>
      </c>
      <c r="B4946" s="3" t="s">
        <v>1848</v>
      </c>
      <c r="C4946" s="3" t="s">
        <v>39</v>
      </c>
      <c r="D4946" s="3" t="s">
        <v>1864</v>
      </c>
      <c r="E4946" s="3" t="s">
        <v>290</v>
      </c>
      <c r="F4946" s="3" t="s">
        <v>1737</v>
      </c>
      <c r="G4946" s="3" t="s">
        <v>1834</v>
      </c>
      <c r="H4946" s="3" t="s">
        <v>16</v>
      </c>
      <c r="I4946" s="3" t="s">
        <v>559</v>
      </c>
    </row>
    <row r="4947" spans="1:9" s="5" customFormat="1" x14ac:dyDescent="0.35">
      <c r="A4947" s="3" t="s">
        <v>1688</v>
      </c>
      <c r="B4947" s="3" t="s">
        <v>1865</v>
      </c>
      <c r="C4947" s="3" t="s">
        <v>20</v>
      </c>
      <c r="D4947" s="3" t="s">
        <v>1866</v>
      </c>
      <c r="E4947" s="3" t="s">
        <v>27</v>
      </c>
      <c r="F4947" s="3"/>
      <c r="G4947" s="3"/>
      <c r="H4947" s="3"/>
      <c r="I4947" s="3"/>
    </row>
    <row r="4948" spans="1:9" s="5" customFormat="1" x14ac:dyDescent="0.35">
      <c r="A4948" s="3" t="s">
        <v>1688</v>
      </c>
      <c r="B4948" s="3" t="s">
        <v>1865</v>
      </c>
      <c r="C4948" s="3" t="s">
        <v>20</v>
      </c>
      <c r="D4948" s="3" t="s">
        <v>1866</v>
      </c>
      <c r="E4948" s="3" t="s">
        <v>87</v>
      </c>
      <c r="F4948" s="3"/>
      <c r="G4948" s="3"/>
      <c r="H4948" s="3"/>
      <c r="I4948" s="3"/>
    </row>
    <row r="4949" spans="1:9" s="5" customFormat="1" x14ac:dyDescent="0.35">
      <c r="A4949" s="3" t="s">
        <v>1688</v>
      </c>
      <c r="B4949" s="3" t="s">
        <v>1865</v>
      </c>
      <c r="C4949" s="3" t="s">
        <v>20</v>
      </c>
      <c r="D4949" s="3" t="s">
        <v>1866</v>
      </c>
      <c r="E4949" s="3" t="s">
        <v>24</v>
      </c>
      <c r="F4949" s="3" t="s">
        <v>13</v>
      </c>
      <c r="G4949" s="3" t="s">
        <v>1867</v>
      </c>
      <c r="H4949" s="3"/>
      <c r="I4949" s="12"/>
    </row>
    <row r="4950" spans="1:9" s="5" customFormat="1" x14ac:dyDescent="0.35">
      <c r="A4950" s="3" t="s">
        <v>1688</v>
      </c>
      <c r="B4950" s="3" t="s">
        <v>1868</v>
      </c>
      <c r="C4950" s="3" t="s">
        <v>45</v>
      </c>
      <c r="D4950" s="3" t="s">
        <v>1869</v>
      </c>
      <c r="E4950" s="3" t="s">
        <v>23</v>
      </c>
      <c r="F4950" s="3"/>
      <c r="G4950" s="3"/>
      <c r="H4950" s="3" t="s">
        <v>16</v>
      </c>
      <c r="I4950" s="3" t="s">
        <v>559</v>
      </c>
    </row>
    <row r="4951" spans="1:9" s="5" customFormat="1" x14ac:dyDescent="0.35">
      <c r="A4951" s="3" t="s">
        <v>1688</v>
      </c>
      <c r="B4951" s="3" t="s">
        <v>1868</v>
      </c>
      <c r="C4951" s="3" t="s">
        <v>45</v>
      </c>
      <c r="D4951" s="3" t="s">
        <v>1869</v>
      </c>
      <c r="E4951" s="3" t="s">
        <v>27</v>
      </c>
      <c r="F4951" s="3"/>
      <c r="G4951" s="3"/>
      <c r="H4951" s="3" t="s">
        <v>16</v>
      </c>
      <c r="I4951" s="3" t="s">
        <v>559</v>
      </c>
    </row>
    <row r="4952" spans="1:9" s="5" customFormat="1" x14ac:dyDescent="0.35">
      <c r="A4952" s="3" t="s">
        <v>1688</v>
      </c>
      <c r="B4952" s="3" t="s">
        <v>1868</v>
      </c>
      <c r="C4952" s="3" t="s">
        <v>45</v>
      </c>
      <c r="D4952" s="3" t="s">
        <v>1869</v>
      </c>
      <c r="E4952" s="3" t="s">
        <v>77</v>
      </c>
      <c r="F4952" s="3"/>
      <c r="G4952" s="3"/>
      <c r="H4952" s="3" t="s">
        <v>16</v>
      </c>
      <c r="I4952" s="3" t="s">
        <v>559</v>
      </c>
    </row>
    <row r="4953" spans="1:9" s="5" customFormat="1" x14ac:dyDescent="0.35">
      <c r="A4953" s="3" t="s">
        <v>1688</v>
      </c>
      <c r="B4953" s="3" t="s">
        <v>1868</v>
      </c>
      <c r="C4953" s="3" t="s">
        <v>45</v>
      </c>
      <c r="D4953" s="3" t="s">
        <v>1869</v>
      </c>
      <c r="E4953" s="3" t="s">
        <v>1870</v>
      </c>
      <c r="F4953" s="3"/>
      <c r="G4953" s="3"/>
      <c r="H4953" s="3" t="s">
        <v>16</v>
      </c>
      <c r="I4953" s="3" t="s">
        <v>559</v>
      </c>
    </row>
    <row r="4954" spans="1:9" s="5" customFormat="1" x14ac:dyDescent="0.35">
      <c r="A4954" s="3" t="s">
        <v>1688</v>
      </c>
      <c r="B4954" s="3" t="s">
        <v>1868</v>
      </c>
      <c r="C4954" s="3" t="s">
        <v>45</v>
      </c>
      <c r="D4954" s="3" t="s">
        <v>1869</v>
      </c>
      <c r="E4954" s="3" t="s">
        <v>29</v>
      </c>
      <c r="F4954" s="3"/>
      <c r="G4954" s="3" t="s">
        <v>2315</v>
      </c>
      <c r="H4954" s="3" t="s">
        <v>16</v>
      </c>
      <c r="I4954" s="3" t="s">
        <v>559</v>
      </c>
    </row>
    <row r="4955" spans="1:9" s="5" customFormat="1" x14ac:dyDescent="0.35">
      <c r="A4955" s="3" t="s">
        <v>1688</v>
      </c>
      <c r="B4955" s="3" t="s">
        <v>1868</v>
      </c>
      <c r="C4955" s="3" t="s">
        <v>45</v>
      </c>
      <c r="D4955" s="3" t="s">
        <v>1869</v>
      </c>
      <c r="E4955" s="3" t="s">
        <v>24</v>
      </c>
      <c r="F4955" s="3"/>
      <c r="G4955" s="3"/>
      <c r="H4955" s="3" t="s">
        <v>16</v>
      </c>
      <c r="I4955" s="3" t="s">
        <v>559</v>
      </c>
    </row>
    <row r="4956" spans="1:9" s="5" customFormat="1" x14ac:dyDescent="0.35">
      <c r="A4956" s="3" t="s">
        <v>1688</v>
      </c>
      <c r="B4956" s="3" t="s">
        <v>1868</v>
      </c>
      <c r="C4956" s="3" t="s">
        <v>45</v>
      </c>
      <c r="D4956" s="3" t="s">
        <v>1869</v>
      </c>
      <c r="E4956" s="3" t="s">
        <v>290</v>
      </c>
      <c r="F4956" s="3"/>
      <c r="G4956" s="3"/>
      <c r="H4956" s="3" t="s">
        <v>16</v>
      </c>
      <c r="I4956" s="3" t="s">
        <v>559</v>
      </c>
    </row>
    <row r="4957" spans="1:9" s="5" customFormat="1" x14ac:dyDescent="0.35">
      <c r="A4957" s="3" t="s">
        <v>1688</v>
      </c>
      <c r="B4957" s="3" t="s">
        <v>1868</v>
      </c>
      <c r="C4957" s="3" t="s">
        <v>20</v>
      </c>
      <c r="D4957" s="3" t="s">
        <v>1871</v>
      </c>
      <c r="E4957" s="3" t="s">
        <v>36</v>
      </c>
      <c r="F4957" s="3" t="s">
        <v>16</v>
      </c>
      <c r="G4957" s="3" t="s">
        <v>1872</v>
      </c>
      <c r="H4957" s="3" t="s">
        <v>16</v>
      </c>
      <c r="I4957" s="3" t="s">
        <v>559</v>
      </c>
    </row>
    <row r="4958" spans="1:9" s="5" customFormat="1" x14ac:dyDescent="0.35">
      <c r="A4958" s="3" t="s">
        <v>1688</v>
      </c>
      <c r="B4958" s="3" t="s">
        <v>1868</v>
      </c>
      <c r="C4958" s="3" t="s">
        <v>20</v>
      </c>
      <c r="D4958" s="3" t="s">
        <v>1871</v>
      </c>
      <c r="E4958" s="3" t="s">
        <v>23</v>
      </c>
      <c r="F4958" s="3" t="s">
        <v>16</v>
      </c>
      <c r="G4958" s="3" t="s">
        <v>1789</v>
      </c>
      <c r="H4958" s="3" t="s">
        <v>16</v>
      </c>
      <c r="I4958" s="3" t="s">
        <v>559</v>
      </c>
    </row>
    <row r="4959" spans="1:9" s="5" customFormat="1" x14ac:dyDescent="0.35">
      <c r="A4959" s="3" t="s">
        <v>1688</v>
      </c>
      <c r="B4959" s="3" t="s">
        <v>1868</v>
      </c>
      <c r="C4959" s="3" t="s">
        <v>20</v>
      </c>
      <c r="D4959" s="3" t="s">
        <v>1871</v>
      </c>
      <c r="E4959" s="3" t="s">
        <v>27</v>
      </c>
      <c r="F4959" s="3" t="s">
        <v>16</v>
      </c>
      <c r="G4959" s="3" t="s">
        <v>1789</v>
      </c>
      <c r="H4959" s="3" t="s">
        <v>16</v>
      </c>
      <c r="I4959" s="3" t="s">
        <v>559</v>
      </c>
    </row>
    <row r="4960" spans="1:9" s="5" customFormat="1" x14ac:dyDescent="0.35">
      <c r="A4960" s="3" t="s">
        <v>1688</v>
      </c>
      <c r="B4960" s="3" t="s">
        <v>1868</v>
      </c>
      <c r="C4960" s="3" t="s">
        <v>20</v>
      </c>
      <c r="D4960" s="3" t="s">
        <v>1871</v>
      </c>
      <c r="E4960" s="3" t="s">
        <v>77</v>
      </c>
      <c r="F4960" s="3" t="s">
        <v>16</v>
      </c>
      <c r="G4960" s="3" t="s">
        <v>1789</v>
      </c>
      <c r="H4960" s="3" t="s">
        <v>16</v>
      </c>
      <c r="I4960" s="3" t="s">
        <v>559</v>
      </c>
    </row>
    <row r="4961" spans="1:9" s="5" customFormat="1" x14ac:dyDescent="0.35">
      <c r="A4961" s="3" t="s">
        <v>1688</v>
      </c>
      <c r="B4961" s="3" t="s">
        <v>1868</v>
      </c>
      <c r="C4961" s="3" t="s">
        <v>20</v>
      </c>
      <c r="D4961" s="3" t="s">
        <v>1871</v>
      </c>
      <c r="E4961" s="3" t="s">
        <v>31</v>
      </c>
      <c r="F4961" s="3" t="s">
        <v>16</v>
      </c>
      <c r="G4961" s="3" t="s">
        <v>1789</v>
      </c>
      <c r="H4961" s="3" t="s">
        <v>16</v>
      </c>
      <c r="I4961" s="3" t="s">
        <v>559</v>
      </c>
    </row>
    <row r="4962" spans="1:9" s="5" customFormat="1" x14ac:dyDescent="0.35">
      <c r="A4962" s="3" t="s">
        <v>1688</v>
      </c>
      <c r="B4962" s="3" t="s">
        <v>1868</v>
      </c>
      <c r="C4962" s="3" t="s">
        <v>20</v>
      </c>
      <c r="D4962" s="3" t="s">
        <v>1871</v>
      </c>
      <c r="E4962" s="3" t="s">
        <v>15</v>
      </c>
      <c r="F4962" s="3" t="s">
        <v>16</v>
      </c>
      <c r="G4962" s="3" t="s">
        <v>1789</v>
      </c>
      <c r="H4962" s="3" t="s">
        <v>16</v>
      </c>
      <c r="I4962" s="3" t="s">
        <v>559</v>
      </c>
    </row>
    <row r="4963" spans="1:9" s="5" customFormat="1" x14ac:dyDescent="0.35">
      <c r="A4963" s="3" t="s">
        <v>1688</v>
      </c>
      <c r="B4963" s="3" t="s">
        <v>1868</v>
      </c>
      <c r="C4963" s="3" t="s">
        <v>20</v>
      </c>
      <c r="D4963" s="3" t="s">
        <v>1871</v>
      </c>
      <c r="E4963" s="3" t="s">
        <v>24</v>
      </c>
      <c r="F4963" s="3" t="s">
        <v>16</v>
      </c>
      <c r="G4963" s="3" t="s">
        <v>1873</v>
      </c>
      <c r="H4963" s="3" t="s">
        <v>16</v>
      </c>
      <c r="I4963" s="3" t="s">
        <v>559</v>
      </c>
    </row>
    <row r="4964" spans="1:9" s="5" customFormat="1" x14ac:dyDescent="0.35">
      <c r="A4964" s="3" t="s">
        <v>1688</v>
      </c>
      <c r="B4964" s="3" t="s">
        <v>1874</v>
      </c>
      <c r="C4964" s="3" t="s">
        <v>45</v>
      </c>
      <c r="D4964" s="3" t="s">
        <v>1875</v>
      </c>
      <c r="E4964" s="3" t="s">
        <v>24</v>
      </c>
      <c r="F4964" s="3"/>
      <c r="G4964" s="3"/>
      <c r="H4964" s="3"/>
      <c r="I4964" s="3"/>
    </row>
    <row r="4965" spans="1:9" s="5" customFormat="1" x14ac:dyDescent="0.35">
      <c r="A4965" s="3" t="s">
        <v>1688</v>
      </c>
      <c r="B4965" s="3" t="s">
        <v>1874</v>
      </c>
      <c r="C4965" s="3" t="s">
        <v>39</v>
      </c>
      <c r="D4965" s="3" t="s">
        <v>1876</v>
      </c>
      <c r="E4965" s="3" t="s">
        <v>27</v>
      </c>
      <c r="F4965" s="3" t="s">
        <v>16</v>
      </c>
      <c r="G4965" s="3" t="s">
        <v>1728</v>
      </c>
      <c r="H4965" s="3" t="s">
        <v>16</v>
      </c>
      <c r="I4965" s="3" t="s">
        <v>559</v>
      </c>
    </row>
    <row r="4966" spans="1:9" s="5" customFormat="1" x14ac:dyDescent="0.35">
      <c r="A4966" s="3" t="s">
        <v>1688</v>
      </c>
      <c r="B4966" s="3" t="s">
        <v>1874</v>
      </c>
      <c r="C4966" s="3" t="s">
        <v>39</v>
      </c>
      <c r="D4966" s="3" t="s">
        <v>1876</v>
      </c>
      <c r="E4966" s="3" t="s">
        <v>77</v>
      </c>
      <c r="F4966" s="3" t="s">
        <v>16</v>
      </c>
      <c r="G4966" s="3" t="s">
        <v>1728</v>
      </c>
      <c r="H4966" s="3" t="s">
        <v>16</v>
      </c>
      <c r="I4966" s="3" t="s">
        <v>559</v>
      </c>
    </row>
    <row r="4967" spans="1:9" s="5" customFormat="1" x14ac:dyDescent="0.35">
      <c r="A4967" s="3" t="s">
        <v>1688</v>
      </c>
      <c r="B4967" s="3" t="s">
        <v>1874</v>
      </c>
      <c r="C4967" s="3" t="s">
        <v>39</v>
      </c>
      <c r="D4967" s="3" t="s">
        <v>1876</v>
      </c>
      <c r="E4967" s="3" t="s">
        <v>185</v>
      </c>
      <c r="F4967" s="3" t="s">
        <v>33</v>
      </c>
      <c r="G4967" s="3" t="s">
        <v>1877</v>
      </c>
      <c r="H4967" s="3" t="s">
        <v>16</v>
      </c>
      <c r="I4967" s="3" t="s">
        <v>559</v>
      </c>
    </row>
    <row r="4968" spans="1:9" s="5" customFormat="1" x14ac:dyDescent="0.35">
      <c r="A4968" s="3" t="s">
        <v>1688</v>
      </c>
      <c r="B4968" s="3" t="s">
        <v>1874</v>
      </c>
      <c r="C4968" s="3" t="s">
        <v>39</v>
      </c>
      <c r="D4968" s="3" t="s">
        <v>1876</v>
      </c>
      <c r="E4968" s="3" t="s">
        <v>290</v>
      </c>
      <c r="F4968" s="3" t="s">
        <v>33</v>
      </c>
      <c r="G4968" s="3" t="s">
        <v>1877</v>
      </c>
      <c r="H4968" s="3" t="s">
        <v>16</v>
      </c>
      <c r="I4968" s="3" t="s">
        <v>559</v>
      </c>
    </row>
    <row r="4969" spans="1:9" s="5" customFormat="1" x14ac:dyDescent="0.35">
      <c r="A4969" s="3" t="s">
        <v>1688</v>
      </c>
      <c r="B4969" s="3" t="s">
        <v>1874</v>
      </c>
      <c r="C4969" s="3" t="s">
        <v>20</v>
      </c>
      <c r="D4969" s="3" t="s">
        <v>1878</v>
      </c>
      <c r="E4969" s="3" t="s">
        <v>23</v>
      </c>
      <c r="F4969" s="3" t="s">
        <v>16</v>
      </c>
      <c r="G4969" s="3" t="s">
        <v>1879</v>
      </c>
      <c r="H4969" s="3"/>
      <c r="I4969" s="3"/>
    </row>
    <row r="4970" spans="1:9" s="5" customFormat="1" x14ac:dyDescent="0.35">
      <c r="A4970" s="3" t="s">
        <v>1688</v>
      </c>
      <c r="B4970" s="3" t="s">
        <v>1874</v>
      </c>
      <c r="C4970" s="3" t="s">
        <v>20</v>
      </c>
      <c r="D4970" s="3" t="s">
        <v>1878</v>
      </c>
      <c r="E4970" s="3" t="s">
        <v>1210</v>
      </c>
      <c r="F4970" s="3"/>
      <c r="G4970" s="3"/>
      <c r="H4970" s="3"/>
      <c r="I4970" s="3"/>
    </row>
    <row r="4971" spans="1:9" s="5" customFormat="1" x14ac:dyDescent="0.35">
      <c r="A4971" s="3" t="s">
        <v>1688</v>
      </c>
      <c r="B4971" s="3" t="s">
        <v>1874</v>
      </c>
      <c r="C4971" s="3" t="s">
        <v>20</v>
      </c>
      <c r="D4971" s="3" t="s">
        <v>1878</v>
      </c>
      <c r="E4971" s="3" t="s">
        <v>27</v>
      </c>
      <c r="F4971" s="3"/>
      <c r="G4971" s="3"/>
      <c r="H4971" s="3"/>
      <c r="I4971" s="3"/>
    </row>
    <row r="4972" spans="1:9" s="5" customFormat="1" x14ac:dyDescent="0.35">
      <c r="A4972" s="3" t="s">
        <v>1688</v>
      </c>
      <c r="B4972" s="3" t="s">
        <v>1874</v>
      </c>
      <c r="C4972" s="3" t="s">
        <v>20</v>
      </c>
      <c r="D4972" s="3" t="s">
        <v>1878</v>
      </c>
      <c r="E4972" s="3" t="s">
        <v>77</v>
      </c>
      <c r="F4972" s="3"/>
      <c r="G4972" s="3" t="s">
        <v>2484</v>
      </c>
      <c r="H4972" s="3" t="s">
        <v>16</v>
      </c>
      <c r="I4972" s="3" t="s">
        <v>559</v>
      </c>
    </row>
    <row r="4973" spans="1:9" s="5" customFormat="1" x14ac:dyDescent="0.35">
      <c r="A4973" s="3" t="s">
        <v>1688</v>
      </c>
      <c r="B4973" s="3" t="s">
        <v>1874</v>
      </c>
      <c r="C4973" s="3" t="s">
        <v>20</v>
      </c>
      <c r="D4973" s="3" t="s">
        <v>1878</v>
      </c>
      <c r="E4973" s="3" t="s">
        <v>15</v>
      </c>
      <c r="F4973" s="3" t="s">
        <v>16</v>
      </c>
      <c r="G4973" s="3" t="s">
        <v>1880</v>
      </c>
      <c r="H4973" s="3"/>
      <c r="I4973" s="3"/>
    </row>
    <row r="4974" spans="1:9" s="5" customFormat="1" x14ac:dyDescent="0.35">
      <c r="A4974" s="3" t="s">
        <v>1688</v>
      </c>
      <c r="B4974" s="3" t="s">
        <v>1874</v>
      </c>
      <c r="C4974" s="3" t="s">
        <v>20</v>
      </c>
      <c r="D4974" s="3" t="s">
        <v>1878</v>
      </c>
      <c r="E4974" s="3" t="s">
        <v>56</v>
      </c>
      <c r="F4974" s="3" t="s">
        <v>16</v>
      </c>
      <c r="G4974" s="3" t="s">
        <v>1880</v>
      </c>
      <c r="H4974" s="3"/>
      <c r="I4974" s="3"/>
    </row>
    <row r="4975" spans="1:9" s="5" customFormat="1" x14ac:dyDescent="0.35">
      <c r="A4975" s="3" t="s">
        <v>1688</v>
      </c>
      <c r="B4975" s="3" t="s">
        <v>1874</v>
      </c>
      <c r="C4975" s="3" t="s">
        <v>20</v>
      </c>
      <c r="D4975" s="3" t="s">
        <v>1878</v>
      </c>
      <c r="E4975" s="3" t="s">
        <v>29</v>
      </c>
      <c r="F4975" s="3"/>
      <c r="G4975" s="3" t="s">
        <v>2332</v>
      </c>
      <c r="H4975" s="3"/>
      <c r="I4975" s="3"/>
    </row>
    <row r="4976" spans="1:9" s="5" customFormat="1" x14ac:dyDescent="0.35">
      <c r="A4976" s="3" t="s">
        <v>1688</v>
      </c>
      <c r="B4976" s="3" t="s">
        <v>1874</v>
      </c>
      <c r="C4976" s="3" t="s">
        <v>20</v>
      </c>
      <c r="D4976" s="3" t="s">
        <v>1878</v>
      </c>
      <c r="E4976" s="3" t="s">
        <v>24</v>
      </c>
      <c r="F4976" s="3" t="s">
        <v>16</v>
      </c>
      <c r="G4976" s="3" t="s">
        <v>1881</v>
      </c>
      <c r="H4976" s="3"/>
      <c r="I4976" s="3"/>
    </row>
    <row r="4977" spans="1:9" s="5" customFormat="1" x14ac:dyDescent="0.35">
      <c r="A4977" s="3" t="s">
        <v>1688</v>
      </c>
      <c r="B4977" s="3" t="s">
        <v>1874</v>
      </c>
      <c r="C4977" s="3" t="s">
        <v>20</v>
      </c>
      <c r="D4977" s="3" t="s">
        <v>1878</v>
      </c>
      <c r="E4977" s="3" t="s">
        <v>290</v>
      </c>
      <c r="F4977" s="3" t="s">
        <v>16</v>
      </c>
      <c r="G4977" s="3" t="s">
        <v>1882</v>
      </c>
      <c r="H4977" s="3"/>
      <c r="I4977" s="3"/>
    </row>
    <row r="4978" spans="1:9" s="5" customFormat="1" x14ac:dyDescent="0.35">
      <c r="A4978" s="3" t="s">
        <v>1688</v>
      </c>
      <c r="B4978" s="3" t="s">
        <v>1874</v>
      </c>
      <c r="C4978" s="3" t="s">
        <v>20</v>
      </c>
      <c r="D4978" s="3" t="s">
        <v>1883</v>
      </c>
      <c r="E4978" s="3" t="s">
        <v>23</v>
      </c>
      <c r="F4978" s="3" t="s">
        <v>16</v>
      </c>
      <c r="G4978" s="3" t="s">
        <v>1884</v>
      </c>
      <c r="H4978" s="3" t="s">
        <v>16</v>
      </c>
      <c r="I4978" s="3" t="s">
        <v>559</v>
      </c>
    </row>
    <row r="4979" spans="1:9" s="5" customFormat="1" x14ac:dyDescent="0.35">
      <c r="A4979" s="3" t="s">
        <v>1688</v>
      </c>
      <c r="B4979" s="3" t="s">
        <v>1874</v>
      </c>
      <c r="C4979" s="3" t="s">
        <v>20</v>
      </c>
      <c r="D4979" s="3" t="s">
        <v>1883</v>
      </c>
      <c r="E4979" s="3" t="s">
        <v>27</v>
      </c>
      <c r="F4979" s="3"/>
      <c r="G4979" s="3"/>
      <c r="H4979" s="3" t="s">
        <v>16</v>
      </c>
      <c r="I4979" s="3" t="s">
        <v>559</v>
      </c>
    </row>
    <row r="4980" spans="1:9" s="5" customFormat="1" x14ac:dyDescent="0.35">
      <c r="A4980" s="3" t="s">
        <v>1688</v>
      </c>
      <c r="B4980" s="3" t="s">
        <v>1874</v>
      </c>
      <c r="C4980" s="3" t="s">
        <v>20</v>
      </c>
      <c r="D4980" s="3" t="s">
        <v>1883</v>
      </c>
      <c r="E4980" s="3" t="s">
        <v>77</v>
      </c>
      <c r="F4980" s="3"/>
      <c r="G4980" s="3"/>
      <c r="H4980" s="3" t="s">
        <v>16</v>
      </c>
      <c r="I4980" s="3" t="s">
        <v>559</v>
      </c>
    </row>
    <row r="4981" spans="1:9" s="5" customFormat="1" x14ac:dyDescent="0.35">
      <c r="A4981" s="3" t="s">
        <v>1688</v>
      </c>
      <c r="B4981" s="3" t="s">
        <v>1874</v>
      </c>
      <c r="C4981" s="3" t="s">
        <v>20</v>
      </c>
      <c r="D4981" s="3" t="s">
        <v>1883</v>
      </c>
      <c r="E4981" s="3" t="s">
        <v>24</v>
      </c>
      <c r="F4981" s="3"/>
      <c r="G4981" s="3"/>
      <c r="H4981" s="3" t="s">
        <v>16</v>
      </c>
      <c r="I4981" s="3" t="s">
        <v>559</v>
      </c>
    </row>
    <row r="4982" spans="1:9" s="5" customFormat="1" x14ac:dyDescent="0.35">
      <c r="A4982" s="3" t="s">
        <v>1688</v>
      </c>
      <c r="B4982" s="3" t="s">
        <v>1874</v>
      </c>
      <c r="C4982" s="3" t="s">
        <v>20</v>
      </c>
      <c r="D4982" s="3" t="s">
        <v>1883</v>
      </c>
      <c r="E4982" s="3" t="s">
        <v>290</v>
      </c>
      <c r="F4982" s="3"/>
      <c r="G4982" s="3"/>
      <c r="H4982" s="3" t="s">
        <v>16</v>
      </c>
      <c r="I4982" s="3" t="s">
        <v>559</v>
      </c>
    </row>
    <row r="4983" spans="1:9" s="5" customFormat="1" x14ac:dyDescent="0.35">
      <c r="A4983" s="3" t="s">
        <v>1688</v>
      </c>
      <c r="B4983" s="3" t="s">
        <v>1874</v>
      </c>
      <c r="C4983" s="3" t="s">
        <v>20</v>
      </c>
      <c r="D4983" s="3" t="s">
        <v>1885</v>
      </c>
      <c r="E4983" s="3" t="s">
        <v>23</v>
      </c>
      <c r="F4983" s="3"/>
      <c r="G4983" s="3"/>
      <c r="H4983" s="3" t="s">
        <v>16</v>
      </c>
      <c r="I4983" s="3" t="s">
        <v>559</v>
      </c>
    </row>
    <row r="4984" spans="1:9" s="5" customFormat="1" x14ac:dyDescent="0.35">
      <c r="A4984" s="3" t="s">
        <v>1688</v>
      </c>
      <c r="B4984" s="3" t="s">
        <v>1874</v>
      </c>
      <c r="C4984" s="3" t="s">
        <v>20</v>
      </c>
      <c r="D4984" s="3" t="s">
        <v>1885</v>
      </c>
      <c r="E4984" s="3" t="s">
        <v>27</v>
      </c>
      <c r="F4984" s="3"/>
      <c r="G4984" s="3"/>
      <c r="H4984" s="3" t="s">
        <v>16</v>
      </c>
      <c r="I4984" s="3" t="s">
        <v>559</v>
      </c>
    </row>
    <row r="4985" spans="1:9" s="5" customFormat="1" x14ac:dyDescent="0.35">
      <c r="A4985" s="3" t="s">
        <v>1688</v>
      </c>
      <c r="B4985" s="3" t="s">
        <v>1874</v>
      </c>
      <c r="C4985" s="3" t="s">
        <v>20</v>
      </c>
      <c r="D4985" s="3" t="s">
        <v>1885</v>
      </c>
      <c r="E4985" s="3" t="s">
        <v>77</v>
      </c>
      <c r="F4985" s="3"/>
      <c r="G4985" s="3"/>
      <c r="H4985" s="3" t="s">
        <v>16</v>
      </c>
      <c r="I4985" s="3" t="s">
        <v>559</v>
      </c>
    </row>
    <row r="4986" spans="1:9" s="5" customFormat="1" x14ac:dyDescent="0.35">
      <c r="A4986" s="3" t="s">
        <v>1688</v>
      </c>
      <c r="B4986" s="3" t="s">
        <v>1874</v>
      </c>
      <c r="C4986" s="3" t="s">
        <v>20</v>
      </c>
      <c r="D4986" s="3" t="s">
        <v>1885</v>
      </c>
      <c r="E4986" s="3" t="s">
        <v>185</v>
      </c>
      <c r="F4986" s="3" t="s">
        <v>13</v>
      </c>
      <c r="G4986" s="3" t="s">
        <v>1886</v>
      </c>
      <c r="H4986" s="3" t="s">
        <v>16</v>
      </c>
      <c r="I4986" s="3" t="s">
        <v>559</v>
      </c>
    </row>
    <row r="4987" spans="1:9" s="5" customFormat="1" x14ac:dyDescent="0.35">
      <c r="A4987" s="3" t="s">
        <v>1688</v>
      </c>
      <c r="B4987" s="3" t="s">
        <v>1874</v>
      </c>
      <c r="C4987" s="3" t="s">
        <v>20</v>
      </c>
      <c r="D4987" s="3" t="s">
        <v>1885</v>
      </c>
      <c r="E4987" s="3" t="s">
        <v>37</v>
      </c>
      <c r="F4987" s="3"/>
      <c r="G4987" s="3"/>
      <c r="H4987" s="3" t="s">
        <v>16</v>
      </c>
      <c r="I4987" s="3" t="s">
        <v>559</v>
      </c>
    </row>
    <row r="4988" spans="1:9" s="5" customFormat="1" x14ac:dyDescent="0.35">
      <c r="A4988" s="3" t="s">
        <v>1688</v>
      </c>
      <c r="B4988" s="3" t="s">
        <v>1874</v>
      </c>
      <c r="C4988" s="3" t="s">
        <v>20</v>
      </c>
      <c r="D4988" s="3" t="s">
        <v>1885</v>
      </c>
      <c r="E4988" s="3" t="s">
        <v>152</v>
      </c>
      <c r="F4988" s="3"/>
      <c r="G4988" s="3" t="s">
        <v>2485</v>
      </c>
      <c r="H4988" s="3" t="s">
        <v>16</v>
      </c>
      <c r="I4988" s="3" t="s">
        <v>559</v>
      </c>
    </row>
    <row r="4989" spans="1:9" s="5" customFormat="1" x14ac:dyDescent="0.35">
      <c r="A4989" s="3" t="s">
        <v>1688</v>
      </c>
      <c r="B4989" s="3" t="s">
        <v>1874</v>
      </c>
      <c r="C4989" s="3" t="s">
        <v>20</v>
      </c>
      <c r="D4989" s="3" t="s">
        <v>1887</v>
      </c>
      <c r="E4989" s="3" t="s">
        <v>23</v>
      </c>
      <c r="F4989" s="3" t="s">
        <v>16</v>
      </c>
      <c r="G4989" s="3" t="s">
        <v>1789</v>
      </c>
      <c r="H4989" s="3" t="s">
        <v>16</v>
      </c>
      <c r="I4989" s="3" t="s">
        <v>559</v>
      </c>
    </row>
    <row r="4990" spans="1:9" s="5" customFormat="1" x14ac:dyDescent="0.35">
      <c r="A4990" s="3" t="s">
        <v>1688</v>
      </c>
      <c r="B4990" s="3" t="s">
        <v>1874</v>
      </c>
      <c r="C4990" s="3" t="s">
        <v>20</v>
      </c>
      <c r="D4990" s="3" t="s">
        <v>1887</v>
      </c>
      <c r="E4990" s="3" t="s">
        <v>27</v>
      </c>
      <c r="F4990" s="3" t="s">
        <v>16</v>
      </c>
      <c r="G4990" s="3" t="s">
        <v>1789</v>
      </c>
      <c r="H4990" s="3" t="s">
        <v>16</v>
      </c>
      <c r="I4990" s="3" t="s">
        <v>559</v>
      </c>
    </row>
    <row r="4991" spans="1:9" s="5" customFormat="1" x14ac:dyDescent="0.35">
      <c r="A4991" s="3" t="s">
        <v>1688</v>
      </c>
      <c r="B4991" s="3" t="s">
        <v>1874</v>
      </c>
      <c r="C4991" s="3" t="s">
        <v>20</v>
      </c>
      <c r="D4991" s="3" t="s">
        <v>1887</v>
      </c>
      <c r="E4991" s="3" t="s">
        <v>77</v>
      </c>
      <c r="F4991" s="3" t="s">
        <v>16</v>
      </c>
      <c r="G4991" s="3" t="s">
        <v>1789</v>
      </c>
      <c r="H4991" s="3" t="s">
        <v>16</v>
      </c>
      <c r="I4991" s="3" t="s">
        <v>559</v>
      </c>
    </row>
    <row r="4992" spans="1:9" s="5" customFormat="1" x14ac:dyDescent="0.35">
      <c r="A4992" s="3" t="s">
        <v>1688</v>
      </c>
      <c r="B4992" s="3" t="s">
        <v>1874</v>
      </c>
      <c r="C4992" s="3" t="s">
        <v>20</v>
      </c>
      <c r="D4992" s="3" t="s">
        <v>1887</v>
      </c>
      <c r="E4992" s="3" t="s">
        <v>15</v>
      </c>
      <c r="F4992" s="3" t="s">
        <v>16</v>
      </c>
      <c r="G4992" s="3" t="s">
        <v>1888</v>
      </c>
      <c r="H4992" s="3" t="s">
        <v>16</v>
      </c>
      <c r="I4992" s="3" t="s">
        <v>559</v>
      </c>
    </row>
    <row r="4993" spans="1:9" s="5" customFormat="1" x14ac:dyDescent="0.35">
      <c r="A4993" s="3" t="s">
        <v>1688</v>
      </c>
      <c r="B4993" s="3" t="s">
        <v>1874</v>
      </c>
      <c r="C4993" s="3" t="s">
        <v>20</v>
      </c>
      <c r="D4993" s="3" t="s">
        <v>1887</v>
      </c>
      <c r="E4993" s="3" t="s">
        <v>290</v>
      </c>
      <c r="F4993" s="3" t="s">
        <v>16</v>
      </c>
      <c r="G4993" s="3" t="s">
        <v>1889</v>
      </c>
      <c r="H4993" s="3" t="s">
        <v>16</v>
      </c>
      <c r="I4993" s="3" t="s">
        <v>559</v>
      </c>
    </row>
    <row r="4994" spans="1:9" s="5" customFormat="1" x14ac:dyDescent="0.35">
      <c r="A4994" s="3" t="s">
        <v>1688</v>
      </c>
      <c r="B4994" s="3" t="s">
        <v>1890</v>
      </c>
      <c r="C4994" s="3" t="s">
        <v>42</v>
      </c>
      <c r="D4994" s="3" t="s">
        <v>1891</v>
      </c>
      <c r="E4994" s="3" t="s">
        <v>23</v>
      </c>
      <c r="F4994" s="3" t="s">
        <v>16</v>
      </c>
      <c r="G4994" s="3" t="s">
        <v>1774</v>
      </c>
      <c r="H4994" s="3" t="s">
        <v>16</v>
      </c>
      <c r="I4994" s="3" t="s">
        <v>559</v>
      </c>
    </row>
    <row r="4995" spans="1:9" s="5" customFormat="1" x14ac:dyDescent="0.35">
      <c r="A4995" s="3" t="s">
        <v>1688</v>
      </c>
      <c r="B4995" s="3" t="s">
        <v>1890</v>
      </c>
      <c r="C4995" s="3" t="s">
        <v>42</v>
      </c>
      <c r="D4995" s="3" t="s">
        <v>1891</v>
      </c>
      <c r="E4995" s="3" t="s">
        <v>27</v>
      </c>
      <c r="F4995" s="3"/>
      <c r="G4995" s="3"/>
      <c r="H4995" s="3" t="s">
        <v>16</v>
      </c>
      <c r="I4995" s="3" t="s">
        <v>559</v>
      </c>
    </row>
    <row r="4996" spans="1:9" s="5" customFormat="1" x14ac:dyDescent="0.35">
      <c r="A4996" s="3" t="s">
        <v>1688</v>
      </c>
      <c r="B4996" s="3" t="s">
        <v>1890</v>
      </c>
      <c r="C4996" s="3" t="s">
        <v>42</v>
      </c>
      <c r="D4996" s="3" t="s">
        <v>1891</v>
      </c>
      <c r="E4996" s="3" t="s">
        <v>87</v>
      </c>
      <c r="F4996" s="3"/>
      <c r="G4996" s="3"/>
      <c r="H4996" s="3" t="s">
        <v>16</v>
      </c>
      <c r="I4996" s="3" t="s">
        <v>559</v>
      </c>
    </row>
    <row r="4997" spans="1:9" s="5" customFormat="1" x14ac:dyDescent="0.35">
      <c r="A4997" s="3" t="s">
        <v>1688</v>
      </c>
      <c r="B4997" s="3" t="s">
        <v>1890</v>
      </c>
      <c r="C4997" s="3" t="s">
        <v>42</v>
      </c>
      <c r="D4997" s="3" t="s">
        <v>1891</v>
      </c>
      <c r="E4997" s="3" t="s">
        <v>290</v>
      </c>
      <c r="F4997" s="3" t="s">
        <v>16</v>
      </c>
      <c r="G4997" s="3" t="s">
        <v>1892</v>
      </c>
      <c r="H4997" s="3" t="s">
        <v>16</v>
      </c>
      <c r="I4997" s="3" t="s">
        <v>559</v>
      </c>
    </row>
    <row r="4998" spans="1:9" s="5" customFormat="1" x14ac:dyDescent="0.35">
      <c r="A4998" s="3" t="s">
        <v>1688</v>
      </c>
      <c r="B4998" s="3" t="s">
        <v>1890</v>
      </c>
      <c r="C4998" s="3" t="s">
        <v>20</v>
      </c>
      <c r="D4998" s="3" t="s">
        <v>1893</v>
      </c>
      <c r="E4998" s="3" t="s">
        <v>23</v>
      </c>
      <c r="F4998" s="3"/>
      <c r="G4998" s="3"/>
      <c r="H4998" s="3" t="s">
        <v>16</v>
      </c>
      <c r="I4998" s="3" t="s">
        <v>559</v>
      </c>
    </row>
    <row r="4999" spans="1:9" s="5" customFormat="1" x14ac:dyDescent="0.35">
      <c r="A4999" s="3" t="s">
        <v>1688</v>
      </c>
      <c r="B4999" s="3" t="s">
        <v>1890</v>
      </c>
      <c r="C4999" s="3" t="s">
        <v>20</v>
      </c>
      <c r="D4999" s="3" t="s">
        <v>1893</v>
      </c>
      <c r="E4999" s="3" t="s">
        <v>290</v>
      </c>
      <c r="F4999" s="3"/>
      <c r="G4999" s="3"/>
      <c r="H4999" s="3" t="s">
        <v>16</v>
      </c>
      <c r="I4999" s="3" t="s">
        <v>559</v>
      </c>
    </row>
    <row r="5000" spans="1:9" s="5" customFormat="1" x14ac:dyDescent="0.35">
      <c r="A5000" s="3" t="s">
        <v>1688</v>
      </c>
      <c r="B5000" s="3" t="s">
        <v>1890</v>
      </c>
      <c r="C5000" s="3" t="s">
        <v>39</v>
      </c>
      <c r="D5000" s="3" t="s">
        <v>2732</v>
      </c>
      <c r="E5000" s="3" t="s">
        <v>23</v>
      </c>
      <c r="F5000" s="3" t="s">
        <v>16</v>
      </c>
      <c r="G5000" s="3" t="s">
        <v>2733</v>
      </c>
      <c r="H5000" s="3" t="s">
        <v>16</v>
      </c>
      <c r="I5000" s="3" t="s">
        <v>559</v>
      </c>
    </row>
    <row r="5001" spans="1:9" s="5" customFormat="1" x14ac:dyDescent="0.35">
      <c r="A5001" s="3" t="s">
        <v>1688</v>
      </c>
      <c r="B5001" s="3" t="s">
        <v>1890</v>
      </c>
      <c r="C5001" s="3" t="s">
        <v>39</v>
      </c>
      <c r="D5001" s="3" t="s">
        <v>2732</v>
      </c>
      <c r="E5001" s="3" t="s">
        <v>27</v>
      </c>
      <c r="F5001" s="3" t="s">
        <v>16</v>
      </c>
      <c r="G5001" s="3" t="s">
        <v>2733</v>
      </c>
      <c r="H5001" s="3" t="s">
        <v>16</v>
      </c>
      <c r="I5001" s="3" t="s">
        <v>559</v>
      </c>
    </row>
    <row r="5002" spans="1:9" s="5" customFormat="1" x14ac:dyDescent="0.35">
      <c r="A5002" s="3" t="s">
        <v>1688</v>
      </c>
      <c r="B5002" s="3" t="s">
        <v>1890</v>
      </c>
      <c r="C5002" s="3" t="s">
        <v>39</v>
      </c>
      <c r="D5002" s="3" t="s">
        <v>2732</v>
      </c>
      <c r="E5002" s="3" t="s">
        <v>77</v>
      </c>
      <c r="F5002" s="3" t="s">
        <v>16</v>
      </c>
      <c r="G5002" s="3" t="s">
        <v>2734</v>
      </c>
      <c r="H5002" s="3" t="s">
        <v>16</v>
      </c>
      <c r="I5002" s="3" t="s">
        <v>559</v>
      </c>
    </row>
    <row r="5003" spans="1:9" s="5" customFormat="1" x14ac:dyDescent="0.35">
      <c r="A5003" s="3" t="s">
        <v>1688</v>
      </c>
      <c r="B5003" s="3" t="s">
        <v>1890</v>
      </c>
      <c r="C5003" s="3" t="s">
        <v>39</v>
      </c>
      <c r="D5003" s="3" t="s">
        <v>2732</v>
      </c>
      <c r="E5003" s="3" t="s">
        <v>15</v>
      </c>
      <c r="F5003" s="3" t="s">
        <v>16</v>
      </c>
      <c r="G5003" s="3" t="s">
        <v>2733</v>
      </c>
      <c r="H5003" s="3" t="s">
        <v>16</v>
      </c>
      <c r="I5003" s="3" t="s">
        <v>559</v>
      </c>
    </row>
    <row r="5004" spans="1:9" s="5" customFormat="1" x14ac:dyDescent="0.35">
      <c r="A5004" s="3" t="s">
        <v>1688</v>
      </c>
      <c r="B5004" s="3" t="s">
        <v>1890</v>
      </c>
      <c r="C5004" s="3" t="s">
        <v>39</v>
      </c>
      <c r="D5004" s="3" t="s">
        <v>2732</v>
      </c>
      <c r="E5004" s="3" t="s">
        <v>290</v>
      </c>
      <c r="F5004" s="3" t="s">
        <v>16</v>
      </c>
      <c r="G5004" s="3" t="s">
        <v>2733</v>
      </c>
      <c r="H5004" s="3" t="s">
        <v>16</v>
      </c>
      <c r="I5004" s="3" t="s">
        <v>559</v>
      </c>
    </row>
    <row r="5005" spans="1:9" s="5" customFormat="1" x14ac:dyDescent="0.35">
      <c r="A5005" s="3" t="s">
        <v>1688</v>
      </c>
      <c r="B5005" s="3" t="s">
        <v>1894</v>
      </c>
      <c r="C5005" s="3" t="s">
        <v>42</v>
      </c>
      <c r="D5005" s="3" t="s">
        <v>1895</v>
      </c>
      <c r="E5005" s="3" t="s">
        <v>23</v>
      </c>
      <c r="F5005" s="3"/>
      <c r="G5005" s="3"/>
      <c r="H5005" s="3" t="s">
        <v>16</v>
      </c>
      <c r="I5005" s="3" t="s">
        <v>559</v>
      </c>
    </row>
    <row r="5006" spans="1:9" s="5" customFormat="1" x14ac:dyDescent="0.35">
      <c r="A5006" s="3" t="s">
        <v>1688</v>
      </c>
      <c r="B5006" s="3" t="s">
        <v>1894</v>
      </c>
      <c r="C5006" s="3" t="s">
        <v>42</v>
      </c>
      <c r="D5006" s="3" t="s">
        <v>1895</v>
      </c>
      <c r="E5006" s="3" t="s">
        <v>290</v>
      </c>
      <c r="F5006" s="3" t="s">
        <v>16</v>
      </c>
      <c r="G5006" s="3" t="s">
        <v>1896</v>
      </c>
      <c r="H5006" s="3" t="s">
        <v>16</v>
      </c>
      <c r="I5006" s="3" t="s">
        <v>559</v>
      </c>
    </row>
    <row r="5007" spans="1:9" s="5" customFormat="1" x14ac:dyDescent="0.35">
      <c r="A5007" s="3" t="s">
        <v>1688</v>
      </c>
      <c r="B5007" s="3" t="s">
        <v>1894</v>
      </c>
      <c r="C5007" s="3" t="s">
        <v>39</v>
      </c>
      <c r="D5007" s="3" t="s">
        <v>1897</v>
      </c>
      <c r="E5007" s="3" t="s">
        <v>27</v>
      </c>
      <c r="F5007" s="3" t="s">
        <v>16</v>
      </c>
      <c r="G5007" s="3" t="s">
        <v>1800</v>
      </c>
      <c r="H5007" s="3" t="s">
        <v>16</v>
      </c>
      <c r="I5007" s="3" t="s">
        <v>559</v>
      </c>
    </row>
    <row r="5008" spans="1:9" s="5" customFormat="1" x14ac:dyDescent="0.35">
      <c r="A5008" s="3" t="s">
        <v>1688</v>
      </c>
      <c r="B5008" s="3" t="s">
        <v>1894</v>
      </c>
      <c r="C5008" s="3" t="s">
        <v>39</v>
      </c>
      <c r="D5008" s="3" t="s">
        <v>1897</v>
      </c>
      <c r="E5008" s="3" t="s">
        <v>290</v>
      </c>
      <c r="F5008" s="3" t="s">
        <v>16</v>
      </c>
      <c r="G5008" s="3" t="s">
        <v>1800</v>
      </c>
      <c r="H5008" s="3" t="s">
        <v>16</v>
      </c>
      <c r="I5008" s="3" t="s">
        <v>559</v>
      </c>
    </row>
    <row r="5009" spans="1:9" s="5" customFormat="1" x14ac:dyDescent="0.35">
      <c r="A5009" s="3" t="s">
        <v>1688</v>
      </c>
      <c r="B5009" s="3" t="s">
        <v>1894</v>
      </c>
      <c r="C5009" s="3" t="s">
        <v>20</v>
      </c>
      <c r="D5009" s="3" t="s">
        <v>1898</v>
      </c>
      <c r="E5009" s="3" t="s">
        <v>36</v>
      </c>
      <c r="F5009" s="3"/>
      <c r="G5009" s="3"/>
      <c r="H5009" s="3" t="s">
        <v>16</v>
      </c>
      <c r="I5009" s="3" t="s">
        <v>559</v>
      </c>
    </row>
    <row r="5010" spans="1:9" s="5" customFormat="1" x14ac:dyDescent="0.35">
      <c r="A5010" s="3" t="s">
        <v>1688</v>
      </c>
      <c r="B5010" s="3" t="s">
        <v>1894</v>
      </c>
      <c r="C5010" s="3" t="s">
        <v>20</v>
      </c>
      <c r="D5010" s="3" t="s">
        <v>1898</v>
      </c>
      <c r="E5010" s="3" t="s">
        <v>23</v>
      </c>
      <c r="F5010" s="3" t="s">
        <v>16</v>
      </c>
      <c r="G5010" s="3" t="s">
        <v>1755</v>
      </c>
      <c r="H5010" s="3" t="s">
        <v>16</v>
      </c>
      <c r="I5010" s="3" t="s">
        <v>559</v>
      </c>
    </row>
    <row r="5011" spans="1:9" s="5" customFormat="1" x14ac:dyDescent="0.35">
      <c r="A5011" s="3" t="s">
        <v>1688</v>
      </c>
      <c r="B5011" s="3" t="s">
        <v>1894</v>
      </c>
      <c r="C5011" s="3" t="s">
        <v>20</v>
      </c>
      <c r="D5011" s="3" t="s">
        <v>1898</v>
      </c>
      <c r="E5011" s="3" t="s">
        <v>27</v>
      </c>
      <c r="F5011" s="3"/>
      <c r="G5011" s="3"/>
      <c r="H5011" s="3" t="s">
        <v>16</v>
      </c>
      <c r="I5011" s="3" t="s">
        <v>559</v>
      </c>
    </row>
    <row r="5012" spans="1:9" s="5" customFormat="1" x14ac:dyDescent="0.35">
      <c r="A5012" s="3" t="s">
        <v>1688</v>
      </c>
      <c r="B5012" s="3" t="s">
        <v>1894</v>
      </c>
      <c r="C5012" s="3" t="s">
        <v>20</v>
      </c>
      <c r="D5012" s="3" t="s">
        <v>1898</v>
      </c>
      <c r="E5012" s="3" t="s">
        <v>87</v>
      </c>
      <c r="F5012" s="3"/>
      <c r="G5012" s="3"/>
      <c r="H5012" s="3" t="s">
        <v>16</v>
      </c>
      <c r="I5012" s="3" t="s">
        <v>559</v>
      </c>
    </row>
    <row r="5013" spans="1:9" s="5" customFormat="1" x14ac:dyDescent="0.35">
      <c r="A5013" s="3" t="s">
        <v>1688</v>
      </c>
      <c r="B5013" s="3" t="s">
        <v>1894</v>
      </c>
      <c r="C5013" s="3" t="s">
        <v>20</v>
      </c>
      <c r="D5013" s="3" t="s">
        <v>1898</v>
      </c>
      <c r="E5013" s="3" t="s">
        <v>185</v>
      </c>
      <c r="F5013" s="3" t="s">
        <v>16</v>
      </c>
      <c r="G5013" s="3" t="s">
        <v>2482</v>
      </c>
      <c r="H5013" s="3" t="s">
        <v>16</v>
      </c>
      <c r="I5013" s="3" t="s">
        <v>559</v>
      </c>
    </row>
    <row r="5014" spans="1:9" s="5" customFormat="1" x14ac:dyDescent="0.35">
      <c r="A5014" s="3" t="s">
        <v>1688</v>
      </c>
      <c r="B5014" s="3" t="s">
        <v>1894</v>
      </c>
      <c r="C5014" s="3" t="s">
        <v>20</v>
      </c>
      <c r="D5014" s="3" t="s">
        <v>1898</v>
      </c>
      <c r="E5014" s="3" t="s">
        <v>15</v>
      </c>
      <c r="F5014" s="3" t="s">
        <v>33</v>
      </c>
      <c r="G5014" s="3" t="s">
        <v>34</v>
      </c>
      <c r="H5014" s="3" t="s">
        <v>16</v>
      </c>
      <c r="I5014" s="3" t="s">
        <v>559</v>
      </c>
    </row>
    <row r="5015" spans="1:9" s="5" customFormat="1" x14ac:dyDescent="0.35">
      <c r="A5015" s="3" t="s">
        <v>1688</v>
      </c>
      <c r="B5015" s="3" t="s">
        <v>1894</v>
      </c>
      <c r="C5015" s="3" t="s">
        <v>20</v>
      </c>
      <c r="D5015" s="3" t="s">
        <v>1898</v>
      </c>
      <c r="E5015" s="3" t="s">
        <v>32</v>
      </c>
      <c r="F5015" s="3"/>
      <c r="G5015" s="3" t="s">
        <v>2483</v>
      </c>
      <c r="H5015" s="3" t="s">
        <v>16</v>
      </c>
      <c r="I5015" s="3" t="s">
        <v>559</v>
      </c>
    </row>
    <row r="5016" spans="1:9" s="5" customFormat="1" x14ac:dyDescent="0.35">
      <c r="A5016" s="3" t="s">
        <v>1688</v>
      </c>
      <c r="B5016" s="3" t="s">
        <v>1894</v>
      </c>
      <c r="C5016" s="3" t="s">
        <v>20</v>
      </c>
      <c r="D5016" s="3" t="s">
        <v>1898</v>
      </c>
      <c r="E5016" s="3" t="s">
        <v>290</v>
      </c>
      <c r="F5016" s="3" t="s">
        <v>16</v>
      </c>
      <c r="G5016" s="3" t="s">
        <v>1755</v>
      </c>
      <c r="H5016" s="3" t="s">
        <v>16</v>
      </c>
      <c r="I5016" s="3" t="s">
        <v>559</v>
      </c>
    </row>
    <row r="5017" spans="1:9" s="5" customFormat="1" x14ac:dyDescent="0.35">
      <c r="A5017" s="3" t="s">
        <v>1688</v>
      </c>
      <c r="B5017" s="3" t="s">
        <v>1894</v>
      </c>
      <c r="C5017" s="3" t="s">
        <v>20</v>
      </c>
      <c r="D5017" s="3" t="s">
        <v>1899</v>
      </c>
      <c r="E5017" s="3" t="s">
        <v>25</v>
      </c>
      <c r="F5017" s="3"/>
      <c r="G5017" s="3"/>
      <c r="H5017" s="3" t="s">
        <v>16</v>
      </c>
      <c r="I5017" s="3" t="s">
        <v>559</v>
      </c>
    </row>
    <row r="5018" spans="1:9" s="5" customFormat="1" x14ac:dyDescent="0.35">
      <c r="A5018" s="3" t="s">
        <v>1688</v>
      </c>
      <c r="B5018" s="3" t="s">
        <v>1894</v>
      </c>
      <c r="C5018" s="3" t="s">
        <v>20</v>
      </c>
      <c r="D5018" s="3" t="s">
        <v>1899</v>
      </c>
      <c r="E5018" s="3" t="s">
        <v>27</v>
      </c>
      <c r="F5018" s="3"/>
      <c r="G5018" s="3"/>
      <c r="H5018" s="3" t="s">
        <v>16</v>
      </c>
      <c r="I5018" s="3" t="s">
        <v>559</v>
      </c>
    </row>
    <row r="5019" spans="1:9" s="5" customFormat="1" x14ac:dyDescent="0.35">
      <c r="A5019" s="3" t="s">
        <v>1688</v>
      </c>
      <c r="B5019" s="3" t="s">
        <v>1894</v>
      </c>
      <c r="C5019" s="3" t="s">
        <v>20</v>
      </c>
      <c r="D5019" s="3" t="s">
        <v>1899</v>
      </c>
      <c r="E5019" s="3" t="s">
        <v>77</v>
      </c>
      <c r="F5019" s="3"/>
      <c r="G5019" s="3"/>
      <c r="H5019" s="3" t="s">
        <v>16</v>
      </c>
      <c r="I5019" s="3" t="s">
        <v>559</v>
      </c>
    </row>
    <row r="5020" spans="1:9" s="5" customFormat="1" x14ac:dyDescent="0.35">
      <c r="A5020" s="3" t="s">
        <v>1688</v>
      </c>
      <c r="B5020" s="3" t="s">
        <v>1894</v>
      </c>
      <c r="C5020" s="3" t="s">
        <v>20</v>
      </c>
      <c r="D5020" s="3" t="s">
        <v>1899</v>
      </c>
      <c r="E5020" s="3" t="s">
        <v>15</v>
      </c>
      <c r="F5020" s="3" t="s">
        <v>16</v>
      </c>
      <c r="G5020" s="3" t="s">
        <v>1900</v>
      </c>
      <c r="H5020" s="3" t="s">
        <v>16</v>
      </c>
      <c r="I5020" s="3" t="s">
        <v>559</v>
      </c>
    </row>
    <row r="5021" spans="1:9" s="5" customFormat="1" x14ac:dyDescent="0.35">
      <c r="A5021" s="3" t="s">
        <v>1688</v>
      </c>
      <c r="B5021" s="3" t="s">
        <v>1894</v>
      </c>
      <c r="C5021" s="3" t="s">
        <v>20</v>
      </c>
      <c r="D5021" s="3" t="s">
        <v>1899</v>
      </c>
      <c r="E5021" s="3" t="s">
        <v>290</v>
      </c>
      <c r="F5021" s="3" t="s">
        <v>16</v>
      </c>
      <c r="G5021" s="3" t="s">
        <v>1901</v>
      </c>
      <c r="H5021" s="3" t="s">
        <v>16</v>
      </c>
      <c r="I5021" s="3" t="s">
        <v>559</v>
      </c>
    </row>
    <row r="5022" spans="1:9" s="5" customFormat="1" x14ac:dyDescent="0.35">
      <c r="A5022" s="3" t="s">
        <v>1688</v>
      </c>
      <c r="B5022" s="3" t="s">
        <v>1902</v>
      </c>
      <c r="C5022" s="3" t="s">
        <v>20</v>
      </c>
      <c r="D5022" s="3" t="s">
        <v>1903</v>
      </c>
      <c r="E5022" s="3" t="s">
        <v>23</v>
      </c>
      <c r="F5022" s="3"/>
      <c r="G5022" s="3"/>
      <c r="H5022" s="3"/>
      <c r="I5022" s="3"/>
    </row>
    <row r="5023" spans="1:9" s="5" customFormat="1" x14ac:dyDescent="0.35">
      <c r="A5023" s="3" t="s">
        <v>1688</v>
      </c>
      <c r="B5023" s="3" t="s">
        <v>1902</v>
      </c>
      <c r="C5023" s="3" t="s">
        <v>20</v>
      </c>
      <c r="D5023" s="3" t="s">
        <v>1903</v>
      </c>
      <c r="E5023" s="3" t="s">
        <v>27</v>
      </c>
      <c r="F5023" s="3"/>
      <c r="G5023" s="3"/>
      <c r="H5023" s="3"/>
      <c r="I5023" s="3"/>
    </row>
    <row r="5024" spans="1:9" s="5" customFormat="1" x14ac:dyDescent="0.35">
      <c r="A5024" s="3" t="s">
        <v>1688</v>
      </c>
      <c r="B5024" s="3" t="s">
        <v>1902</v>
      </c>
      <c r="C5024" s="3" t="s">
        <v>20</v>
      </c>
      <c r="D5024" s="3" t="s">
        <v>1903</v>
      </c>
      <c r="E5024" s="3" t="s">
        <v>56</v>
      </c>
      <c r="F5024" s="3"/>
      <c r="G5024" s="3"/>
      <c r="H5024" s="3"/>
      <c r="I5024" s="3"/>
    </row>
    <row r="5025" spans="1:9" s="5" customFormat="1" x14ac:dyDescent="0.35">
      <c r="A5025" s="3" t="s">
        <v>1688</v>
      </c>
      <c r="B5025" s="3" t="s">
        <v>1902</v>
      </c>
      <c r="C5025" s="3" t="s">
        <v>20</v>
      </c>
      <c r="D5025" s="3" t="s">
        <v>1903</v>
      </c>
      <c r="E5025" s="3" t="s">
        <v>24</v>
      </c>
      <c r="F5025" s="3"/>
      <c r="G5025" s="3"/>
      <c r="H5025" s="3"/>
      <c r="I5025" s="3"/>
    </row>
    <row r="5026" spans="1:9" s="5" customFormat="1" x14ac:dyDescent="0.35">
      <c r="A5026" s="3" t="s">
        <v>1688</v>
      </c>
      <c r="B5026" s="3" t="s">
        <v>1902</v>
      </c>
      <c r="C5026" s="3" t="s">
        <v>20</v>
      </c>
      <c r="D5026" s="3" t="s">
        <v>1904</v>
      </c>
      <c r="E5026" s="3" t="s">
        <v>23</v>
      </c>
      <c r="F5026" s="3"/>
      <c r="G5026" s="3"/>
      <c r="H5026" s="3"/>
      <c r="I5026" s="3"/>
    </row>
    <row r="5027" spans="1:9" s="5" customFormat="1" x14ac:dyDescent="0.35">
      <c r="A5027" s="3" t="s">
        <v>1688</v>
      </c>
      <c r="B5027" s="3" t="s">
        <v>1902</v>
      </c>
      <c r="C5027" s="3" t="s">
        <v>20</v>
      </c>
      <c r="D5027" s="3" t="s">
        <v>1904</v>
      </c>
      <c r="E5027" s="3" t="s">
        <v>27</v>
      </c>
      <c r="F5027" s="3"/>
      <c r="G5027" s="3"/>
      <c r="H5027" s="3"/>
      <c r="I5027" s="3"/>
    </row>
    <row r="5028" spans="1:9" s="5" customFormat="1" x14ac:dyDescent="0.35">
      <c r="A5028" s="3" t="s">
        <v>1688</v>
      </c>
      <c r="B5028" s="3" t="s">
        <v>1902</v>
      </c>
      <c r="C5028" s="3" t="s">
        <v>20</v>
      </c>
      <c r="D5028" s="3" t="s">
        <v>1904</v>
      </c>
      <c r="E5028" s="3" t="s">
        <v>24</v>
      </c>
      <c r="F5028" s="3"/>
      <c r="G5028" s="3"/>
      <c r="H5028" s="3"/>
      <c r="I5028" s="3"/>
    </row>
    <row r="5029" spans="1:9" s="5" customFormat="1" x14ac:dyDescent="0.35">
      <c r="A5029" s="3" t="s">
        <v>1688</v>
      </c>
      <c r="B5029" s="3" t="s">
        <v>1905</v>
      </c>
      <c r="C5029" s="3" t="s">
        <v>20</v>
      </c>
      <c r="D5029" s="3" t="s">
        <v>1906</v>
      </c>
      <c r="E5029" s="3" t="s">
        <v>27</v>
      </c>
      <c r="F5029" s="3"/>
      <c r="G5029" s="3"/>
      <c r="H5029" s="3"/>
      <c r="I5029" s="3"/>
    </row>
    <row r="5030" spans="1:9" s="5" customFormat="1" x14ac:dyDescent="0.35">
      <c r="A5030" s="3" t="s">
        <v>1688</v>
      </c>
      <c r="B5030" s="3" t="s">
        <v>1907</v>
      </c>
      <c r="C5030" s="3" t="s">
        <v>20</v>
      </c>
      <c r="D5030" s="3" t="s">
        <v>1908</v>
      </c>
      <c r="E5030" s="3" t="s">
        <v>23</v>
      </c>
      <c r="F5030" s="3"/>
      <c r="G5030" s="3"/>
      <c r="H5030" s="3"/>
      <c r="I5030" s="3"/>
    </row>
    <row r="5031" spans="1:9" s="5" customFormat="1" x14ac:dyDescent="0.35">
      <c r="A5031" s="3" t="s">
        <v>1688</v>
      </c>
      <c r="B5031" s="3" t="s">
        <v>1907</v>
      </c>
      <c r="C5031" s="3" t="s">
        <v>20</v>
      </c>
      <c r="D5031" s="3" t="s">
        <v>1908</v>
      </c>
      <c r="E5031" s="3" t="s">
        <v>28</v>
      </c>
      <c r="F5031" s="3"/>
      <c r="G5031" s="3"/>
      <c r="H5031" s="3"/>
      <c r="I5031" s="3"/>
    </row>
    <row r="5032" spans="1:9" s="5" customFormat="1" x14ac:dyDescent="0.35">
      <c r="A5032" s="3" t="s">
        <v>1688</v>
      </c>
      <c r="B5032" s="3" t="s">
        <v>1909</v>
      </c>
      <c r="C5032" s="3" t="s">
        <v>20</v>
      </c>
      <c r="D5032" s="3" t="s">
        <v>1910</v>
      </c>
      <c r="E5032" s="3" t="s">
        <v>27</v>
      </c>
      <c r="F5032" s="3"/>
      <c r="G5032" s="3"/>
      <c r="H5032" s="3"/>
      <c r="I5032" s="3"/>
    </row>
    <row r="5033" spans="1:9" s="5" customFormat="1" x14ac:dyDescent="0.35">
      <c r="A5033" s="3" t="s">
        <v>1688</v>
      </c>
      <c r="B5033" s="3" t="s">
        <v>1909</v>
      </c>
      <c r="C5033" s="3" t="s">
        <v>20</v>
      </c>
      <c r="D5033" s="3" t="s">
        <v>1910</v>
      </c>
      <c r="E5033" s="3" t="s">
        <v>87</v>
      </c>
      <c r="F5033" s="3"/>
      <c r="G5033" s="3"/>
      <c r="H5033" s="3"/>
      <c r="I5033" s="3"/>
    </row>
    <row r="5034" spans="1:9" s="5" customFormat="1" x14ac:dyDescent="0.35">
      <c r="A5034" s="3" t="s">
        <v>1688</v>
      </c>
      <c r="B5034" s="3" t="s">
        <v>1909</v>
      </c>
      <c r="C5034" s="3" t="s">
        <v>20</v>
      </c>
      <c r="D5034" s="3" t="s">
        <v>1910</v>
      </c>
      <c r="E5034" s="3" t="s">
        <v>15</v>
      </c>
      <c r="F5034" s="3"/>
      <c r="G5034" s="3"/>
      <c r="H5034" s="3"/>
      <c r="I5034" s="3"/>
    </row>
    <row r="5035" spans="1:9" s="5" customFormat="1" x14ac:dyDescent="0.35">
      <c r="A5035" s="3" t="s">
        <v>1688</v>
      </c>
      <c r="B5035" s="3" t="s">
        <v>1911</v>
      </c>
      <c r="C5035" s="3" t="s">
        <v>42</v>
      </c>
      <c r="D5035" s="3" t="s">
        <v>1912</v>
      </c>
      <c r="E5035" s="3" t="s">
        <v>27</v>
      </c>
      <c r="F5035" s="3"/>
      <c r="G5035" s="3"/>
      <c r="H5035" s="3" t="s">
        <v>16</v>
      </c>
      <c r="I5035" s="3" t="s">
        <v>1913</v>
      </c>
    </row>
    <row r="5036" spans="1:9" s="5" customFormat="1" x14ac:dyDescent="0.35">
      <c r="A5036" s="3" t="s">
        <v>1688</v>
      </c>
      <c r="B5036" s="3" t="s">
        <v>1911</v>
      </c>
      <c r="C5036" s="3" t="s">
        <v>42</v>
      </c>
      <c r="D5036" s="3" t="s">
        <v>1912</v>
      </c>
      <c r="E5036" s="3" t="s">
        <v>87</v>
      </c>
      <c r="F5036" s="3"/>
      <c r="G5036" s="3"/>
      <c r="H5036" s="3" t="s">
        <v>16</v>
      </c>
      <c r="I5036" s="3" t="s">
        <v>1913</v>
      </c>
    </row>
    <row r="5037" spans="1:9" s="5" customFormat="1" x14ac:dyDescent="0.35">
      <c r="A5037" s="3" t="s">
        <v>1688</v>
      </c>
      <c r="B5037" s="3" t="s">
        <v>1911</v>
      </c>
      <c r="C5037" s="3" t="s">
        <v>42</v>
      </c>
      <c r="D5037" s="3" t="s">
        <v>1912</v>
      </c>
      <c r="E5037" s="3" t="s">
        <v>15</v>
      </c>
      <c r="F5037" s="3" t="s">
        <v>16</v>
      </c>
      <c r="G5037" s="3" t="s">
        <v>1914</v>
      </c>
      <c r="H5037" s="3" t="s">
        <v>16</v>
      </c>
      <c r="I5037" s="3" t="s">
        <v>1913</v>
      </c>
    </row>
    <row r="5038" spans="1:9" s="5" customFormat="1" x14ac:dyDescent="0.35">
      <c r="A5038" s="3" t="s">
        <v>1688</v>
      </c>
      <c r="B5038" s="3" t="s">
        <v>1911</v>
      </c>
      <c r="C5038" s="3" t="s">
        <v>42</v>
      </c>
      <c r="D5038" s="3" t="s">
        <v>1912</v>
      </c>
      <c r="E5038" s="3" t="s">
        <v>24</v>
      </c>
      <c r="F5038" s="3"/>
      <c r="G5038" s="3"/>
      <c r="H5038" s="3" t="s">
        <v>16</v>
      </c>
      <c r="I5038" s="3" t="s">
        <v>1913</v>
      </c>
    </row>
    <row r="5039" spans="1:9" s="5" customFormat="1" x14ac:dyDescent="0.35">
      <c r="A5039" s="3" t="s">
        <v>1688</v>
      </c>
      <c r="B5039" s="3" t="s">
        <v>1915</v>
      </c>
      <c r="C5039" s="3" t="s">
        <v>42</v>
      </c>
      <c r="D5039" s="3" t="s">
        <v>1916</v>
      </c>
      <c r="E5039" s="3" t="s">
        <v>23</v>
      </c>
      <c r="F5039" s="3" t="s">
        <v>16</v>
      </c>
      <c r="G5039" s="3" t="s">
        <v>913</v>
      </c>
      <c r="H5039" s="3"/>
      <c r="I5039" s="3"/>
    </row>
    <row r="5040" spans="1:9" s="5" customFormat="1" x14ac:dyDescent="0.35">
      <c r="A5040" s="3" t="s">
        <v>1688</v>
      </c>
      <c r="B5040" s="3" t="s">
        <v>1915</v>
      </c>
      <c r="C5040" s="3" t="s">
        <v>42</v>
      </c>
      <c r="D5040" s="3" t="s">
        <v>1916</v>
      </c>
      <c r="E5040" s="3" t="s">
        <v>27</v>
      </c>
      <c r="F5040" s="3" t="s">
        <v>16</v>
      </c>
      <c r="G5040" s="3" t="s">
        <v>913</v>
      </c>
      <c r="H5040" s="3"/>
      <c r="I5040" s="3"/>
    </row>
    <row r="5041" spans="1:9" s="5" customFormat="1" x14ac:dyDescent="0.35">
      <c r="A5041" s="3" t="s">
        <v>1688</v>
      </c>
      <c r="B5041" s="3" t="s">
        <v>1915</v>
      </c>
      <c r="C5041" s="3" t="s">
        <v>42</v>
      </c>
      <c r="D5041" s="3" t="s">
        <v>1916</v>
      </c>
      <c r="E5041" s="3" t="s">
        <v>87</v>
      </c>
      <c r="F5041" s="3" t="s">
        <v>16</v>
      </c>
      <c r="G5041" s="3" t="s">
        <v>913</v>
      </c>
      <c r="H5041" s="3"/>
      <c r="I5041" s="3"/>
    </row>
    <row r="5042" spans="1:9" s="5" customFormat="1" x14ac:dyDescent="0.35">
      <c r="A5042" s="3" t="s">
        <v>1688</v>
      </c>
      <c r="B5042" s="3" t="s">
        <v>1915</v>
      </c>
      <c r="C5042" s="3" t="s">
        <v>42</v>
      </c>
      <c r="D5042" s="3" t="s">
        <v>1916</v>
      </c>
      <c r="E5042" s="3" t="s">
        <v>15</v>
      </c>
      <c r="F5042" s="3" t="s">
        <v>16</v>
      </c>
      <c r="G5042" s="3" t="s">
        <v>913</v>
      </c>
      <c r="H5042" s="3"/>
      <c r="I5042" s="3"/>
    </row>
    <row r="5043" spans="1:9" s="5" customFormat="1" x14ac:dyDescent="0.35">
      <c r="A5043" s="3" t="s">
        <v>1688</v>
      </c>
      <c r="B5043" s="3" t="s">
        <v>1915</v>
      </c>
      <c r="C5043" s="3" t="s">
        <v>20</v>
      </c>
      <c r="D5043" s="3" t="s">
        <v>1917</v>
      </c>
      <c r="E5043" s="3" t="s">
        <v>23</v>
      </c>
      <c r="F5043" s="3"/>
      <c r="G5043" s="3"/>
      <c r="H5043" s="3"/>
      <c r="I5043" s="3"/>
    </row>
    <row r="5044" spans="1:9" s="5" customFormat="1" x14ac:dyDescent="0.35">
      <c r="A5044" s="3" t="s">
        <v>1688</v>
      </c>
      <c r="B5044" s="3" t="s">
        <v>1915</v>
      </c>
      <c r="C5044" s="3" t="s">
        <v>20</v>
      </c>
      <c r="D5044" s="3" t="s">
        <v>1917</v>
      </c>
      <c r="E5044" s="3" t="s">
        <v>27</v>
      </c>
      <c r="F5044" s="3"/>
      <c r="G5044" s="3"/>
      <c r="H5044" s="3"/>
      <c r="I5044" s="3"/>
    </row>
    <row r="5045" spans="1:9" s="5" customFormat="1" x14ac:dyDescent="0.35">
      <c r="A5045" s="3" t="s">
        <v>1688</v>
      </c>
      <c r="B5045" s="3" t="s">
        <v>1915</v>
      </c>
      <c r="C5045" s="3" t="s">
        <v>20</v>
      </c>
      <c r="D5045" s="3" t="s">
        <v>1917</v>
      </c>
      <c r="E5045" s="3" t="s">
        <v>15</v>
      </c>
      <c r="F5045" s="3" t="s">
        <v>16</v>
      </c>
      <c r="G5045" s="3" t="s">
        <v>1918</v>
      </c>
      <c r="H5045" s="3"/>
      <c r="I5045" s="3"/>
    </row>
    <row r="5046" spans="1:9" s="5" customFormat="1" x14ac:dyDescent="0.35">
      <c r="A5046" s="3" t="s">
        <v>1688</v>
      </c>
      <c r="B5046" s="3" t="s">
        <v>1915</v>
      </c>
      <c r="C5046" s="3" t="s">
        <v>20</v>
      </c>
      <c r="D5046" s="3" t="s">
        <v>1917</v>
      </c>
      <c r="E5046" s="3" t="s">
        <v>56</v>
      </c>
      <c r="F5046" s="3" t="s">
        <v>16</v>
      </c>
      <c r="G5046" s="3" t="s">
        <v>1919</v>
      </c>
      <c r="H5046" s="3"/>
      <c r="I5046" s="3"/>
    </row>
    <row r="5047" spans="1:9" s="5" customFormat="1" x14ac:dyDescent="0.35">
      <c r="A5047" s="3" t="s">
        <v>1688</v>
      </c>
      <c r="B5047" s="3" t="s">
        <v>1915</v>
      </c>
      <c r="C5047" s="3" t="s">
        <v>20</v>
      </c>
      <c r="D5047" s="3" t="s">
        <v>1917</v>
      </c>
      <c r="E5047" s="3" t="s">
        <v>24</v>
      </c>
      <c r="F5047" s="3"/>
      <c r="G5047" s="3"/>
      <c r="H5047" s="3"/>
      <c r="I5047" s="3"/>
    </row>
    <row r="5048" spans="1:9" s="5" customFormat="1" x14ac:dyDescent="0.35">
      <c r="A5048" s="3" t="s">
        <v>1688</v>
      </c>
      <c r="B5048" s="3" t="s">
        <v>1915</v>
      </c>
      <c r="C5048" s="3" t="s">
        <v>20</v>
      </c>
      <c r="D5048" s="3" t="s">
        <v>1920</v>
      </c>
      <c r="E5048" s="3" t="s">
        <v>23</v>
      </c>
      <c r="F5048" s="3"/>
      <c r="G5048" s="3" t="s">
        <v>2359</v>
      </c>
      <c r="H5048" s="3"/>
      <c r="I5048" s="3"/>
    </row>
    <row r="5049" spans="1:9" s="5" customFormat="1" x14ac:dyDescent="0.35">
      <c r="A5049" s="3" t="s">
        <v>1688</v>
      </c>
      <c r="B5049" s="3" t="s">
        <v>1915</v>
      </c>
      <c r="C5049" s="3" t="s">
        <v>20</v>
      </c>
      <c r="D5049" s="3" t="s">
        <v>1920</v>
      </c>
      <c r="E5049" s="3" t="s">
        <v>27</v>
      </c>
      <c r="F5049" s="3"/>
      <c r="G5049" s="3" t="s">
        <v>2317</v>
      </c>
      <c r="H5049" s="3"/>
      <c r="I5049" s="3"/>
    </row>
    <row r="5050" spans="1:9" s="5" customFormat="1" x14ac:dyDescent="0.35">
      <c r="A5050" s="3" t="s">
        <v>1688</v>
      </c>
      <c r="B5050" s="3" t="s">
        <v>1915</v>
      </c>
      <c r="C5050" s="3" t="s">
        <v>20</v>
      </c>
      <c r="D5050" s="3" t="s">
        <v>1920</v>
      </c>
      <c r="E5050" s="3" t="s">
        <v>87</v>
      </c>
      <c r="F5050" s="3" t="s">
        <v>16</v>
      </c>
      <c r="G5050" s="3" t="s">
        <v>2491</v>
      </c>
      <c r="H5050" s="3"/>
      <c r="I5050" s="3"/>
    </row>
    <row r="5051" spans="1:9" s="5" customFormat="1" x14ac:dyDescent="0.35">
      <c r="A5051" s="3" t="s">
        <v>1688</v>
      </c>
      <c r="B5051" s="3" t="s">
        <v>1915</v>
      </c>
      <c r="C5051" s="3" t="s">
        <v>20</v>
      </c>
      <c r="D5051" s="3" t="s">
        <v>1920</v>
      </c>
      <c r="E5051" s="3" t="s">
        <v>56</v>
      </c>
      <c r="F5051" s="3" t="s">
        <v>16</v>
      </c>
      <c r="G5051" s="3" t="s">
        <v>2492</v>
      </c>
      <c r="H5051" s="3"/>
      <c r="I5051" s="3"/>
    </row>
    <row r="5052" spans="1:9" s="5" customFormat="1" x14ac:dyDescent="0.35">
      <c r="A5052" s="3" t="s">
        <v>1688</v>
      </c>
      <c r="B5052" s="3" t="s">
        <v>1921</v>
      </c>
      <c r="C5052" s="3" t="s">
        <v>39</v>
      </c>
      <c r="D5052" s="3" t="s">
        <v>1922</v>
      </c>
      <c r="E5052" s="3" t="s">
        <v>15</v>
      </c>
      <c r="F5052" s="3" t="s">
        <v>16</v>
      </c>
      <c r="G5052" s="3" t="s">
        <v>1923</v>
      </c>
      <c r="H5052" s="3"/>
      <c r="I5052" s="3"/>
    </row>
    <row r="5053" spans="1:9" s="5" customFormat="1" x14ac:dyDescent="0.35">
      <c r="A5053" s="3" t="s">
        <v>1688</v>
      </c>
      <c r="B5053" s="3" t="s">
        <v>1921</v>
      </c>
      <c r="C5053" s="3" t="s">
        <v>39</v>
      </c>
      <c r="D5053" s="3" t="s">
        <v>1922</v>
      </c>
      <c r="E5053" s="3" t="s">
        <v>24</v>
      </c>
      <c r="F5053" s="3"/>
      <c r="G5053" s="3"/>
      <c r="H5053" s="3"/>
      <c r="I5053" s="3"/>
    </row>
    <row r="5054" spans="1:9" s="5" customFormat="1" x14ac:dyDescent="0.35">
      <c r="A5054" s="3" t="s">
        <v>1688</v>
      </c>
      <c r="B5054" s="3" t="s">
        <v>1924</v>
      </c>
      <c r="C5054" s="3" t="s">
        <v>39</v>
      </c>
      <c r="D5054" s="3" t="s">
        <v>1925</v>
      </c>
      <c r="E5054" s="3" t="s">
        <v>36</v>
      </c>
      <c r="F5054" s="3"/>
      <c r="G5054" s="3"/>
      <c r="H5054" s="3"/>
      <c r="I5054" s="3"/>
    </row>
    <row r="5055" spans="1:9" s="5" customFormat="1" x14ac:dyDescent="0.35">
      <c r="A5055" s="3" t="s">
        <v>1688</v>
      </c>
      <c r="B5055" s="3" t="s">
        <v>1924</v>
      </c>
      <c r="C5055" s="3" t="s">
        <v>39</v>
      </c>
      <c r="D5055" s="3" t="s">
        <v>1925</v>
      </c>
      <c r="E5055" s="3" t="s">
        <v>27</v>
      </c>
      <c r="F5055" s="3"/>
      <c r="G5055" s="3"/>
      <c r="H5055" s="3"/>
      <c r="I5055" s="3"/>
    </row>
    <row r="5056" spans="1:9" s="5" customFormat="1" x14ac:dyDescent="0.35">
      <c r="A5056" s="3" t="s">
        <v>1688</v>
      </c>
      <c r="B5056" s="3" t="s">
        <v>1924</v>
      </c>
      <c r="C5056" s="3" t="s">
        <v>39</v>
      </c>
      <c r="D5056" s="3" t="s">
        <v>1925</v>
      </c>
      <c r="E5056" s="3" t="s">
        <v>15</v>
      </c>
      <c r="F5056" s="3" t="s">
        <v>16</v>
      </c>
      <c r="G5056" s="3" t="s">
        <v>1926</v>
      </c>
      <c r="H5056" s="3"/>
      <c r="I5056" s="3"/>
    </row>
    <row r="5057" spans="1:9" s="5" customFormat="1" x14ac:dyDescent="0.35">
      <c r="A5057" s="3" t="s">
        <v>1688</v>
      </c>
      <c r="B5057" s="3" t="s">
        <v>1927</v>
      </c>
      <c r="C5057" s="3" t="s">
        <v>42</v>
      </c>
      <c r="D5057" s="3" t="s">
        <v>1928</v>
      </c>
      <c r="E5057" s="3" t="s">
        <v>23</v>
      </c>
      <c r="F5057" s="3"/>
      <c r="G5057" s="3"/>
      <c r="H5057" s="3" t="s">
        <v>16</v>
      </c>
      <c r="I5057" s="3" t="s">
        <v>559</v>
      </c>
    </row>
    <row r="5058" spans="1:9" s="5" customFormat="1" x14ac:dyDescent="0.35">
      <c r="A5058" s="3" t="s">
        <v>1688</v>
      </c>
      <c r="B5058" s="3" t="s">
        <v>1927</v>
      </c>
      <c r="C5058" s="3" t="s">
        <v>42</v>
      </c>
      <c r="D5058" s="3" t="s">
        <v>1928</v>
      </c>
      <c r="E5058" s="3" t="s">
        <v>27</v>
      </c>
      <c r="F5058" s="3"/>
      <c r="G5058" s="3"/>
      <c r="H5058" s="3" t="s">
        <v>16</v>
      </c>
      <c r="I5058" s="3" t="s">
        <v>559</v>
      </c>
    </row>
    <row r="5059" spans="1:9" s="5" customFormat="1" x14ac:dyDescent="0.35">
      <c r="A5059" s="3" t="s">
        <v>1688</v>
      </c>
      <c r="B5059" s="3" t="s">
        <v>1927</v>
      </c>
      <c r="C5059" s="3" t="s">
        <v>42</v>
      </c>
      <c r="D5059" s="3" t="s">
        <v>1928</v>
      </c>
      <c r="E5059" s="3" t="s">
        <v>77</v>
      </c>
      <c r="F5059" s="3"/>
      <c r="G5059" s="3"/>
      <c r="H5059" s="3" t="s">
        <v>16</v>
      </c>
      <c r="I5059" s="3" t="s">
        <v>559</v>
      </c>
    </row>
    <row r="5060" spans="1:9" s="5" customFormat="1" x14ac:dyDescent="0.35">
      <c r="A5060" s="3" t="s">
        <v>1688</v>
      </c>
      <c r="B5060" s="3" t="s">
        <v>1927</v>
      </c>
      <c r="C5060" s="3" t="s">
        <v>42</v>
      </c>
      <c r="D5060" s="3" t="s">
        <v>1928</v>
      </c>
      <c r="E5060" s="3" t="s">
        <v>56</v>
      </c>
      <c r="F5060" s="3" t="s">
        <v>16</v>
      </c>
      <c r="G5060" s="3" t="s">
        <v>1882</v>
      </c>
      <c r="H5060" s="3" t="s">
        <v>16</v>
      </c>
      <c r="I5060" s="3" t="s">
        <v>559</v>
      </c>
    </row>
    <row r="5061" spans="1:9" s="5" customFormat="1" x14ac:dyDescent="0.35">
      <c r="A5061" s="3" t="s">
        <v>1688</v>
      </c>
      <c r="B5061" s="3" t="s">
        <v>1927</v>
      </c>
      <c r="C5061" s="3" t="s">
        <v>42</v>
      </c>
      <c r="D5061" s="3" t="s">
        <v>1928</v>
      </c>
      <c r="E5061" s="3" t="s">
        <v>290</v>
      </c>
      <c r="F5061" s="3" t="s">
        <v>16</v>
      </c>
      <c r="G5061" s="3" t="s">
        <v>1929</v>
      </c>
      <c r="H5061" s="3" t="s">
        <v>16</v>
      </c>
      <c r="I5061" s="3" t="s">
        <v>559</v>
      </c>
    </row>
    <row r="5062" spans="1:9" s="5" customFormat="1" x14ac:dyDescent="0.35">
      <c r="A5062" s="3" t="s">
        <v>1688</v>
      </c>
      <c r="B5062" s="3" t="s">
        <v>1927</v>
      </c>
      <c r="C5062" s="3" t="s">
        <v>39</v>
      </c>
      <c r="D5062" s="3" t="s">
        <v>1930</v>
      </c>
      <c r="E5062" s="3" t="s">
        <v>27</v>
      </c>
      <c r="F5062" s="3" t="s">
        <v>16</v>
      </c>
      <c r="G5062" s="3" t="s">
        <v>1759</v>
      </c>
      <c r="H5062" s="3"/>
      <c r="I5062" s="3"/>
    </row>
    <row r="5063" spans="1:9" s="5" customFormat="1" x14ac:dyDescent="0.35">
      <c r="A5063" s="3" t="s">
        <v>1688</v>
      </c>
      <c r="B5063" s="3" t="s">
        <v>1927</v>
      </c>
      <c r="C5063" s="3" t="s">
        <v>39</v>
      </c>
      <c r="D5063" s="3" t="s">
        <v>1930</v>
      </c>
      <c r="E5063" s="3" t="s">
        <v>77</v>
      </c>
      <c r="F5063" s="3" t="s">
        <v>16</v>
      </c>
      <c r="G5063" s="3" t="s">
        <v>1931</v>
      </c>
      <c r="H5063" s="3"/>
      <c r="I5063" s="3"/>
    </row>
    <row r="5064" spans="1:9" s="5" customFormat="1" x14ac:dyDescent="0.35">
      <c r="A5064" s="3" t="s">
        <v>1688</v>
      </c>
      <c r="B5064" s="3" t="s">
        <v>1932</v>
      </c>
      <c r="C5064" s="3" t="s">
        <v>42</v>
      </c>
      <c r="D5064" s="3" t="s">
        <v>1933</v>
      </c>
      <c r="E5064" s="3" t="s">
        <v>23</v>
      </c>
      <c r="F5064" s="3"/>
      <c r="G5064" s="3"/>
      <c r="H5064" s="3" t="s">
        <v>16</v>
      </c>
      <c r="I5064" s="3" t="s">
        <v>559</v>
      </c>
    </row>
    <row r="5065" spans="1:9" s="5" customFormat="1" x14ac:dyDescent="0.35">
      <c r="A5065" s="3" t="s">
        <v>1688</v>
      </c>
      <c r="B5065" s="3" t="s">
        <v>1932</v>
      </c>
      <c r="C5065" s="3" t="s">
        <v>42</v>
      </c>
      <c r="D5065" s="3" t="s">
        <v>1933</v>
      </c>
      <c r="E5065" s="3" t="s">
        <v>77</v>
      </c>
      <c r="F5065" s="3"/>
      <c r="G5065" s="3"/>
      <c r="H5065" s="3" t="s">
        <v>16</v>
      </c>
      <c r="I5065" s="3" t="s">
        <v>559</v>
      </c>
    </row>
    <row r="5066" spans="1:9" s="5" customFormat="1" x14ac:dyDescent="0.35">
      <c r="A5066" s="3" t="s">
        <v>1688</v>
      </c>
      <c r="B5066" s="3" t="s">
        <v>1932</v>
      </c>
      <c r="C5066" s="3" t="s">
        <v>42</v>
      </c>
      <c r="D5066" s="3" t="s">
        <v>1933</v>
      </c>
      <c r="E5066" s="3" t="s">
        <v>15</v>
      </c>
      <c r="F5066" s="3" t="s">
        <v>1737</v>
      </c>
      <c r="G5066" s="3" t="s">
        <v>1935</v>
      </c>
      <c r="H5066" s="3" t="s">
        <v>16</v>
      </c>
      <c r="I5066" s="3" t="s">
        <v>559</v>
      </c>
    </row>
    <row r="5067" spans="1:9" s="5" customFormat="1" x14ac:dyDescent="0.35">
      <c r="A5067" s="3" t="s">
        <v>1688</v>
      </c>
      <c r="B5067" s="3" t="s">
        <v>1932</v>
      </c>
      <c r="C5067" s="3" t="s">
        <v>42</v>
      </c>
      <c r="D5067" s="3" t="s">
        <v>1933</v>
      </c>
      <c r="E5067" s="3" t="s">
        <v>56</v>
      </c>
      <c r="F5067" s="3" t="s">
        <v>1737</v>
      </c>
      <c r="G5067" s="3" t="s">
        <v>1934</v>
      </c>
      <c r="H5067" s="3" t="s">
        <v>16</v>
      </c>
      <c r="I5067" s="3" t="s">
        <v>559</v>
      </c>
    </row>
    <row r="5068" spans="1:9" s="5" customFormat="1" x14ac:dyDescent="0.35">
      <c r="A5068" s="3" t="s">
        <v>1688</v>
      </c>
      <c r="B5068" s="3" t="s">
        <v>1932</v>
      </c>
      <c r="C5068" s="3" t="s">
        <v>42</v>
      </c>
      <c r="D5068" s="3" t="s">
        <v>1933</v>
      </c>
      <c r="E5068" s="3" t="s">
        <v>290</v>
      </c>
      <c r="F5068" s="3" t="s">
        <v>1737</v>
      </c>
      <c r="G5068" s="3" t="s">
        <v>1755</v>
      </c>
      <c r="H5068" s="3" t="s">
        <v>16</v>
      </c>
      <c r="I5068" s="3" t="s">
        <v>559</v>
      </c>
    </row>
    <row r="5069" spans="1:9" s="5" customFormat="1" x14ac:dyDescent="0.35">
      <c r="A5069" s="3" t="s">
        <v>1688</v>
      </c>
      <c r="B5069" s="3" t="s">
        <v>1932</v>
      </c>
      <c r="C5069" s="3" t="s">
        <v>20</v>
      </c>
      <c r="D5069" s="3" t="s">
        <v>1936</v>
      </c>
      <c r="E5069" s="3" t="s">
        <v>23</v>
      </c>
      <c r="F5069" s="3" t="s">
        <v>16</v>
      </c>
      <c r="G5069" s="3" t="s">
        <v>1937</v>
      </c>
      <c r="H5069" s="3" t="s">
        <v>16</v>
      </c>
      <c r="I5069" s="3" t="s">
        <v>559</v>
      </c>
    </row>
    <row r="5070" spans="1:9" s="5" customFormat="1" x14ac:dyDescent="0.35">
      <c r="A5070" s="3" t="s">
        <v>1688</v>
      </c>
      <c r="B5070" s="3" t="s">
        <v>1932</v>
      </c>
      <c r="C5070" s="3" t="s">
        <v>20</v>
      </c>
      <c r="D5070" s="3" t="s">
        <v>1936</v>
      </c>
      <c r="E5070" s="3" t="s">
        <v>290</v>
      </c>
      <c r="F5070" s="3"/>
      <c r="G5070" s="3"/>
      <c r="H5070" s="3" t="s">
        <v>16</v>
      </c>
      <c r="I5070" s="3" t="s">
        <v>559</v>
      </c>
    </row>
    <row r="5071" spans="1:9" s="5" customFormat="1" x14ac:dyDescent="0.35">
      <c r="A5071" s="3" t="s">
        <v>1938</v>
      </c>
      <c r="B5071" s="3" t="s">
        <v>1939</v>
      </c>
      <c r="C5071" s="3" t="s">
        <v>10</v>
      </c>
      <c r="D5071" s="3" t="s">
        <v>1940</v>
      </c>
      <c r="E5071" s="3" t="s">
        <v>47</v>
      </c>
      <c r="F5071" s="3"/>
      <c r="G5071" s="3"/>
      <c r="H5071" s="3"/>
      <c r="I5071" s="3"/>
    </row>
    <row r="5072" spans="1:9" s="5" customFormat="1" x14ac:dyDescent="0.35">
      <c r="A5072" s="3" t="s">
        <v>1938</v>
      </c>
      <c r="B5072" s="3" t="s">
        <v>1939</v>
      </c>
      <c r="C5072" s="3" t="s">
        <v>10</v>
      </c>
      <c r="D5072" s="3" t="s">
        <v>1940</v>
      </c>
      <c r="E5072" s="3" t="s">
        <v>32</v>
      </c>
      <c r="F5072" s="3"/>
      <c r="G5072" s="3"/>
      <c r="H5072" s="3"/>
      <c r="I5072" s="3"/>
    </row>
    <row r="5073" spans="1:9" s="5" customFormat="1" x14ac:dyDescent="0.35">
      <c r="A5073" s="3" t="s">
        <v>1938</v>
      </c>
      <c r="B5073" s="3" t="s">
        <v>1939</v>
      </c>
      <c r="C5073" s="3" t="s">
        <v>10</v>
      </c>
      <c r="D5073" s="3" t="s">
        <v>1941</v>
      </c>
      <c r="E5073" s="3" t="s">
        <v>47</v>
      </c>
      <c r="F5073" s="3"/>
      <c r="G5073" s="3"/>
      <c r="H5073" s="3"/>
      <c r="I5073" s="3"/>
    </row>
    <row r="5074" spans="1:9" s="5" customFormat="1" x14ac:dyDescent="0.35">
      <c r="A5074" s="3" t="s">
        <v>1938</v>
      </c>
      <c r="B5074" s="3" t="s">
        <v>1939</v>
      </c>
      <c r="C5074" s="3" t="s">
        <v>10</v>
      </c>
      <c r="D5074" s="3" t="s">
        <v>1941</v>
      </c>
      <c r="E5074" s="3" t="s">
        <v>15</v>
      </c>
      <c r="F5074" s="3" t="s">
        <v>16</v>
      </c>
      <c r="G5074" s="3" t="s">
        <v>1942</v>
      </c>
      <c r="H5074" s="3"/>
      <c r="I5074" s="3"/>
    </row>
    <row r="5075" spans="1:9" s="5" customFormat="1" x14ac:dyDescent="0.35">
      <c r="A5075" s="3" t="s">
        <v>1938</v>
      </c>
      <c r="B5075" s="3" t="s">
        <v>1939</v>
      </c>
      <c r="C5075" s="3" t="s">
        <v>10</v>
      </c>
      <c r="D5075" s="3" t="s">
        <v>1943</v>
      </c>
      <c r="E5075" s="3" t="s">
        <v>47</v>
      </c>
      <c r="F5075" s="3"/>
      <c r="G5075" s="3"/>
      <c r="H5075" s="3"/>
      <c r="I5075" s="3"/>
    </row>
    <row r="5076" spans="1:9" s="5" customFormat="1" x14ac:dyDescent="0.35">
      <c r="A5076" s="3" t="s">
        <v>1938</v>
      </c>
      <c r="B5076" s="3" t="s">
        <v>1939</v>
      </c>
      <c r="C5076" s="3" t="s">
        <v>10</v>
      </c>
      <c r="D5076" s="3" t="s">
        <v>1943</v>
      </c>
      <c r="E5076" s="3" t="s">
        <v>15</v>
      </c>
      <c r="F5076" s="3" t="s">
        <v>16</v>
      </c>
      <c r="G5076" s="3" t="s">
        <v>1944</v>
      </c>
      <c r="H5076" s="3"/>
      <c r="I5076" s="3"/>
    </row>
    <row r="5077" spans="1:9" s="5" customFormat="1" x14ac:dyDescent="0.35">
      <c r="A5077" s="3" t="s">
        <v>1938</v>
      </c>
      <c r="B5077" s="3" t="s">
        <v>1939</v>
      </c>
      <c r="C5077" s="3" t="s">
        <v>10</v>
      </c>
      <c r="D5077" s="3" t="s">
        <v>1943</v>
      </c>
      <c r="E5077" s="3" t="s">
        <v>134</v>
      </c>
      <c r="F5077" s="3"/>
      <c r="G5077" s="3"/>
      <c r="H5077" s="3"/>
      <c r="I5077" s="3"/>
    </row>
    <row r="5078" spans="1:9" s="5" customFormat="1" x14ac:dyDescent="0.35">
      <c r="A5078" s="3" t="s">
        <v>1938</v>
      </c>
      <c r="B5078" s="3" t="s">
        <v>1939</v>
      </c>
      <c r="C5078" s="3" t="s">
        <v>10</v>
      </c>
      <c r="D5078" s="3" t="s">
        <v>1943</v>
      </c>
      <c r="E5078" s="3" t="s">
        <v>630</v>
      </c>
      <c r="F5078" s="3" t="s">
        <v>16</v>
      </c>
      <c r="G5078" s="3" t="s">
        <v>1945</v>
      </c>
      <c r="H5078" s="3"/>
      <c r="I5078" s="3"/>
    </row>
    <row r="5079" spans="1:9" s="5" customFormat="1" x14ac:dyDescent="0.35">
      <c r="A5079" s="3" t="s">
        <v>1938</v>
      </c>
      <c r="B5079" s="3" t="s">
        <v>1939</v>
      </c>
      <c r="C5079" s="3" t="s">
        <v>20</v>
      </c>
      <c r="D5079" s="3" t="s">
        <v>1946</v>
      </c>
      <c r="E5079" s="3" t="s">
        <v>15</v>
      </c>
      <c r="F5079" s="3" t="s">
        <v>16</v>
      </c>
      <c r="G5079" s="3" t="s">
        <v>1947</v>
      </c>
      <c r="H5079" s="3"/>
      <c r="I5079" s="3"/>
    </row>
    <row r="5080" spans="1:9" s="5" customFormat="1" x14ac:dyDescent="0.35">
      <c r="A5080" s="3" t="s">
        <v>1938</v>
      </c>
      <c r="B5080" s="3" t="s">
        <v>1939</v>
      </c>
      <c r="C5080" s="3" t="s">
        <v>20</v>
      </c>
      <c r="D5080" s="3" t="s">
        <v>1946</v>
      </c>
      <c r="E5080" s="3" t="s">
        <v>32</v>
      </c>
      <c r="F5080" s="3" t="s">
        <v>16</v>
      </c>
      <c r="G5080" s="3" t="s">
        <v>1948</v>
      </c>
      <c r="H5080" s="3"/>
      <c r="I5080" s="3"/>
    </row>
    <row r="5081" spans="1:9" s="5" customFormat="1" x14ac:dyDescent="0.35">
      <c r="A5081" s="3" t="s">
        <v>1938</v>
      </c>
      <c r="B5081" s="3" t="s">
        <v>1939</v>
      </c>
      <c r="C5081" s="3" t="s">
        <v>20</v>
      </c>
      <c r="D5081" s="3" t="s">
        <v>1946</v>
      </c>
      <c r="E5081" s="3" t="s">
        <v>630</v>
      </c>
      <c r="F5081" s="3" t="s">
        <v>16</v>
      </c>
      <c r="G5081" s="3" t="s">
        <v>1949</v>
      </c>
      <c r="H5081" s="3"/>
      <c r="I5081" s="3"/>
    </row>
    <row r="5082" spans="1:9" s="5" customFormat="1" x14ac:dyDescent="0.35">
      <c r="A5082" s="3" t="s">
        <v>1938</v>
      </c>
      <c r="B5082" s="3" t="s">
        <v>1939</v>
      </c>
      <c r="C5082" s="3" t="s">
        <v>39</v>
      </c>
      <c r="D5082" s="3" t="s">
        <v>1950</v>
      </c>
      <c r="E5082" s="3" t="s">
        <v>25</v>
      </c>
      <c r="F5082" s="3"/>
      <c r="G5082" s="3"/>
      <c r="H5082" s="3"/>
      <c r="I5082" s="3"/>
    </row>
    <row r="5083" spans="1:9" s="5" customFormat="1" x14ac:dyDescent="0.35">
      <c r="A5083" s="3" t="s">
        <v>1938</v>
      </c>
      <c r="B5083" s="3" t="s">
        <v>1939</v>
      </c>
      <c r="C5083" s="3" t="s">
        <v>39</v>
      </c>
      <c r="D5083" s="3" t="s">
        <v>1950</v>
      </c>
      <c r="E5083" s="3" t="s">
        <v>27</v>
      </c>
      <c r="F5083" s="3"/>
      <c r="G5083" s="3" t="s">
        <v>2295</v>
      </c>
      <c r="H5083" s="3"/>
      <c r="I5083" s="3"/>
    </row>
    <row r="5084" spans="1:9" s="5" customFormat="1" x14ac:dyDescent="0.35">
      <c r="A5084" s="3" t="s">
        <v>1938</v>
      </c>
      <c r="B5084" s="3" t="s">
        <v>1939</v>
      </c>
      <c r="C5084" s="3" t="s">
        <v>39</v>
      </c>
      <c r="D5084" s="3" t="s">
        <v>1950</v>
      </c>
      <c r="E5084" s="3" t="s">
        <v>29</v>
      </c>
      <c r="F5084" s="3"/>
      <c r="G5084" s="3"/>
      <c r="H5084" s="3"/>
      <c r="I5084" s="3"/>
    </row>
    <row r="5085" spans="1:9" s="5" customFormat="1" x14ac:dyDescent="0.35">
      <c r="A5085" s="3" t="s">
        <v>1938</v>
      </c>
      <c r="B5085" s="3" t="s">
        <v>1939</v>
      </c>
      <c r="C5085" s="3" t="s">
        <v>39</v>
      </c>
      <c r="D5085" s="3" t="s">
        <v>1950</v>
      </c>
      <c r="E5085" s="3" t="s">
        <v>24</v>
      </c>
      <c r="F5085" s="3"/>
      <c r="G5085" s="3"/>
      <c r="H5085" s="3"/>
      <c r="I5085" s="3"/>
    </row>
    <row r="5086" spans="1:9" s="5" customFormat="1" x14ac:dyDescent="0.35">
      <c r="A5086" s="3" t="s">
        <v>1938</v>
      </c>
      <c r="B5086" s="3" t="s">
        <v>1939</v>
      </c>
      <c r="C5086" s="3" t="s">
        <v>39</v>
      </c>
      <c r="D5086" s="3" t="s">
        <v>1951</v>
      </c>
      <c r="E5086" s="3" t="s">
        <v>47</v>
      </c>
      <c r="F5086" s="3" t="s">
        <v>16</v>
      </c>
      <c r="G5086" s="3" t="s">
        <v>1952</v>
      </c>
      <c r="H5086" s="3"/>
      <c r="I5086" s="3"/>
    </row>
    <row r="5087" spans="1:9" s="5" customFormat="1" x14ac:dyDescent="0.35">
      <c r="A5087" s="3" t="s">
        <v>1938</v>
      </c>
      <c r="B5087" s="3" t="s">
        <v>1939</v>
      </c>
      <c r="C5087" s="3" t="s">
        <v>39</v>
      </c>
      <c r="D5087" s="3" t="s">
        <v>1951</v>
      </c>
      <c r="E5087" s="3" t="s">
        <v>25</v>
      </c>
      <c r="F5087" s="3" t="s">
        <v>16</v>
      </c>
      <c r="G5087" s="3" t="s">
        <v>1952</v>
      </c>
      <c r="H5087" s="3"/>
      <c r="I5087" s="3"/>
    </row>
    <row r="5088" spans="1:9" s="5" customFormat="1" x14ac:dyDescent="0.35">
      <c r="A5088" s="3" t="s">
        <v>1938</v>
      </c>
      <c r="B5088" s="3" t="s">
        <v>1939</v>
      </c>
      <c r="C5088" s="3" t="s">
        <v>39</v>
      </c>
      <c r="D5088" s="3" t="s">
        <v>1951</v>
      </c>
      <c r="E5088" s="3" t="s">
        <v>31</v>
      </c>
      <c r="F5088" s="3" t="s">
        <v>16</v>
      </c>
      <c r="G5088" s="3" t="s">
        <v>1952</v>
      </c>
      <c r="H5088" s="3"/>
      <c r="I5088" s="3"/>
    </row>
    <row r="5089" spans="1:9" s="5" customFormat="1" x14ac:dyDescent="0.35">
      <c r="A5089" s="3" t="s">
        <v>1938</v>
      </c>
      <c r="B5089" s="3" t="s">
        <v>1939</v>
      </c>
      <c r="C5089" s="3" t="s">
        <v>39</v>
      </c>
      <c r="D5089" s="3" t="s">
        <v>1951</v>
      </c>
      <c r="E5089" s="3" t="s">
        <v>242</v>
      </c>
      <c r="F5089" s="3" t="s">
        <v>16</v>
      </c>
      <c r="G5089" s="3" t="s">
        <v>1952</v>
      </c>
      <c r="H5089" s="3"/>
      <c r="I5089" s="3"/>
    </row>
    <row r="5090" spans="1:9" s="5" customFormat="1" x14ac:dyDescent="0.35">
      <c r="A5090" s="3" t="s">
        <v>1938</v>
      </c>
      <c r="B5090" s="3" t="s">
        <v>1939</v>
      </c>
      <c r="C5090" s="3" t="s">
        <v>10</v>
      </c>
      <c r="D5090" s="3" t="s">
        <v>1953</v>
      </c>
      <c r="E5090" s="3" t="s">
        <v>47</v>
      </c>
      <c r="F5090" s="3"/>
      <c r="G5090" s="3"/>
      <c r="H5090" s="3"/>
      <c r="I5090" s="3"/>
    </row>
    <row r="5091" spans="1:9" s="5" customFormat="1" x14ac:dyDescent="0.35">
      <c r="A5091" s="3" t="s">
        <v>1938</v>
      </c>
      <c r="B5091" s="3" t="s">
        <v>1939</v>
      </c>
      <c r="C5091" s="3" t="s">
        <v>10</v>
      </c>
      <c r="D5091" s="3" t="s">
        <v>1953</v>
      </c>
      <c r="E5091" s="3" t="s">
        <v>15</v>
      </c>
      <c r="F5091" s="3"/>
      <c r="G5091" s="3"/>
      <c r="H5091" s="3"/>
      <c r="I5091" s="3"/>
    </row>
    <row r="5092" spans="1:9" s="5" customFormat="1" x14ac:dyDescent="0.35">
      <c r="A5092" s="3" t="s">
        <v>1938</v>
      </c>
      <c r="B5092" s="3" t="s">
        <v>1939</v>
      </c>
      <c r="C5092" s="3" t="s">
        <v>10</v>
      </c>
      <c r="D5092" s="3" t="s">
        <v>1953</v>
      </c>
      <c r="E5092" s="3" t="s">
        <v>29</v>
      </c>
      <c r="F5092" s="3"/>
      <c r="G5092" s="3" t="s">
        <v>2545</v>
      </c>
      <c r="H5092" s="3"/>
      <c r="I5092" s="3"/>
    </row>
    <row r="5093" spans="1:9" s="5" customFormat="1" x14ac:dyDescent="0.35">
      <c r="A5093" s="3" t="s">
        <v>1938</v>
      </c>
      <c r="B5093" s="3" t="s">
        <v>1939</v>
      </c>
      <c r="C5093" s="3" t="s">
        <v>302</v>
      </c>
      <c r="D5093" s="3" t="s">
        <v>1954</v>
      </c>
      <c r="E5093" s="3" t="s">
        <v>12</v>
      </c>
      <c r="F5093" s="3"/>
      <c r="G5093" s="3"/>
      <c r="H5093" s="3"/>
      <c r="I5093" s="3"/>
    </row>
    <row r="5094" spans="1:9" s="5" customFormat="1" x14ac:dyDescent="0.35">
      <c r="A5094" s="3" t="s">
        <v>1938</v>
      </c>
      <c r="B5094" s="3" t="s">
        <v>1939</v>
      </c>
      <c r="C5094" s="3" t="s">
        <v>302</v>
      </c>
      <c r="D5094" s="3" t="s">
        <v>1954</v>
      </c>
      <c r="E5094" s="3" t="s">
        <v>47</v>
      </c>
      <c r="F5094" s="3"/>
      <c r="G5094" s="3"/>
      <c r="H5094" s="3"/>
      <c r="I5094" s="3"/>
    </row>
    <row r="5095" spans="1:9" s="5" customFormat="1" x14ac:dyDescent="0.35">
      <c r="A5095" s="3" t="s">
        <v>1938</v>
      </c>
      <c r="B5095" s="3" t="s">
        <v>1939</v>
      </c>
      <c r="C5095" s="3" t="s">
        <v>302</v>
      </c>
      <c r="D5095" s="3" t="s">
        <v>1954</v>
      </c>
      <c r="E5095" s="3" t="s">
        <v>25</v>
      </c>
      <c r="F5095" s="3"/>
      <c r="G5095" s="3"/>
      <c r="H5095" s="3"/>
      <c r="I5095" s="3"/>
    </row>
    <row r="5096" spans="1:9" s="5" customFormat="1" x14ac:dyDescent="0.35">
      <c r="A5096" s="3" t="s">
        <v>1938</v>
      </c>
      <c r="B5096" s="3" t="s">
        <v>1939</v>
      </c>
      <c r="C5096" s="3" t="s">
        <v>302</v>
      </c>
      <c r="D5096" s="3" t="s">
        <v>1954</v>
      </c>
      <c r="E5096" s="3" t="s">
        <v>15</v>
      </c>
      <c r="F5096" s="3" t="s">
        <v>16</v>
      </c>
      <c r="G5096" s="3" t="s">
        <v>1955</v>
      </c>
      <c r="H5096" s="3"/>
      <c r="I5096" s="3"/>
    </row>
    <row r="5097" spans="1:9" s="5" customFormat="1" x14ac:dyDescent="0.35">
      <c r="A5097" s="3" t="s">
        <v>1938</v>
      </c>
      <c r="B5097" s="3" t="s">
        <v>1939</v>
      </c>
      <c r="C5097" s="3" t="s">
        <v>302</v>
      </c>
      <c r="D5097" s="3" t="s">
        <v>1954</v>
      </c>
      <c r="E5097" s="3" t="s">
        <v>24</v>
      </c>
      <c r="F5097" s="3"/>
      <c r="G5097" s="3"/>
      <c r="H5097" s="3"/>
      <c r="I5097" s="3"/>
    </row>
    <row r="5098" spans="1:9" s="5" customFormat="1" x14ac:dyDescent="0.35">
      <c r="A5098" s="3" t="s">
        <v>1938</v>
      </c>
      <c r="B5098" s="3" t="s">
        <v>1939</v>
      </c>
      <c r="C5098" s="3" t="s">
        <v>10</v>
      </c>
      <c r="D5098" s="3" t="s">
        <v>1956</v>
      </c>
      <c r="E5098" s="3" t="s">
        <v>47</v>
      </c>
      <c r="F5098" s="3"/>
      <c r="G5098" s="3"/>
      <c r="H5098" s="3"/>
      <c r="I5098" s="3"/>
    </row>
    <row r="5099" spans="1:9" s="5" customFormat="1" x14ac:dyDescent="0.35">
      <c r="A5099" s="3" t="s">
        <v>1938</v>
      </c>
      <c r="B5099" s="3" t="s">
        <v>1939</v>
      </c>
      <c r="C5099" s="3" t="s">
        <v>10</v>
      </c>
      <c r="D5099" s="3" t="s">
        <v>1956</v>
      </c>
      <c r="E5099" s="3" t="s">
        <v>87</v>
      </c>
      <c r="F5099" s="3"/>
      <c r="G5099" s="3"/>
      <c r="H5099" s="3"/>
      <c r="I5099" s="3"/>
    </row>
    <row r="5100" spans="1:9" s="5" customFormat="1" x14ac:dyDescent="0.35">
      <c r="A5100" s="3" t="s">
        <v>1938</v>
      </c>
      <c r="B5100" s="3" t="s">
        <v>1939</v>
      </c>
      <c r="C5100" s="3" t="s">
        <v>10</v>
      </c>
      <c r="D5100" s="3" t="s">
        <v>1956</v>
      </c>
      <c r="E5100" s="3" t="s">
        <v>56</v>
      </c>
      <c r="F5100" s="3" t="s">
        <v>16</v>
      </c>
      <c r="G5100" s="3" t="s">
        <v>1957</v>
      </c>
      <c r="H5100" s="3"/>
      <c r="I5100" s="3"/>
    </row>
    <row r="5101" spans="1:9" s="5" customFormat="1" x14ac:dyDescent="0.35">
      <c r="A5101" s="3" t="s">
        <v>1938</v>
      </c>
      <c r="B5101" s="3" t="s">
        <v>1939</v>
      </c>
      <c r="C5101" s="3" t="s">
        <v>10</v>
      </c>
      <c r="D5101" s="3" t="s">
        <v>1956</v>
      </c>
      <c r="E5101" s="3" t="s">
        <v>29</v>
      </c>
      <c r="F5101" s="3"/>
      <c r="G5101" s="3" t="s">
        <v>2297</v>
      </c>
      <c r="H5101" s="3"/>
      <c r="I5101" s="3"/>
    </row>
    <row r="5102" spans="1:9" s="5" customFormat="1" x14ac:dyDescent="0.35">
      <c r="A5102" s="3" t="s">
        <v>1938</v>
      </c>
      <c r="B5102" s="3" t="s">
        <v>1939</v>
      </c>
      <c r="C5102" s="3" t="s">
        <v>20</v>
      </c>
      <c r="D5102" s="3" t="s">
        <v>1958</v>
      </c>
      <c r="E5102" s="3" t="s">
        <v>15</v>
      </c>
      <c r="F5102" s="3" t="s">
        <v>16</v>
      </c>
      <c r="G5102" s="3" t="s">
        <v>1959</v>
      </c>
      <c r="H5102" s="3"/>
      <c r="I5102" s="3"/>
    </row>
    <row r="5103" spans="1:9" s="5" customFormat="1" x14ac:dyDescent="0.35">
      <c r="A5103" s="3" t="s">
        <v>1938</v>
      </c>
      <c r="B5103" s="3" t="s">
        <v>1939</v>
      </c>
      <c r="C5103" s="3" t="s">
        <v>20</v>
      </c>
      <c r="D5103" s="3" t="s">
        <v>1958</v>
      </c>
      <c r="E5103" s="3" t="s">
        <v>56</v>
      </c>
      <c r="F5103" s="3" t="s">
        <v>16</v>
      </c>
      <c r="G5103" s="3" t="s">
        <v>1960</v>
      </c>
      <c r="H5103" s="3"/>
      <c r="I5103" s="3"/>
    </row>
    <row r="5104" spans="1:9" s="5" customFormat="1" x14ac:dyDescent="0.35">
      <c r="A5104" s="3" t="s">
        <v>1938</v>
      </c>
      <c r="B5104" s="3" t="s">
        <v>1939</v>
      </c>
      <c r="C5104" s="3" t="s">
        <v>39</v>
      </c>
      <c r="D5104" s="3" t="s">
        <v>1961</v>
      </c>
      <c r="E5104" s="3" t="s">
        <v>25</v>
      </c>
      <c r="F5104" s="3"/>
      <c r="G5104" s="3"/>
      <c r="H5104" s="3"/>
      <c r="I5104" s="3"/>
    </row>
    <row r="5105" spans="1:9" s="5" customFormat="1" x14ac:dyDescent="0.35">
      <c r="A5105" s="3" t="s">
        <v>1938</v>
      </c>
      <c r="B5105" s="3" t="s">
        <v>1939</v>
      </c>
      <c r="C5105" s="3" t="s">
        <v>39</v>
      </c>
      <c r="D5105" s="3" t="s">
        <v>1961</v>
      </c>
      <c r="E5105" s="3" t="s">
        <v>15</v>
      </c>
      <c r="F5105" s="3" t="s">
        <v>16</v>
      </c>
      <c r="G5105" s="3" t="s">
        <v>1962</v>
      </c>
      <c r="H5105" s="3"/>
      <c r="I5105" s="3"/>
    </row>
    <row r="5106" spans="1:9" s="5" customFormat="1" x14ac:dyDescent="0.35">
      <c r="A5106" s="3" t="s">
        <v>1938</v>
      </c>
      <c r="B5106" s="3" t="s">
        <v>1939</v>
      </c>
      <c r="C5106" s="3" t="s">
        <v>39</v>
      </c>
      <c r="D5106" s="3" t="s">
        <v>1963</v>
      </c>
      <c r="E5106" s="3" t="s">
        <v>12</v>
      </c>
      <c r="F5106" s="3"/>
      <c r="G5106" s="3"/>
      <c r="H5106" s="3"/>
      <c r="I5106" s="3"/>
    </row>
    <row r="5107" spans="1:9" s="5" customFormat="1" x14ac:dyDescent="0.35">
      <c r="A5107" s="3" t="s">
        <v>1938</v>
      </c>
      <c r="B5107" s="3" t="s">
        <v>1939</v>
      </c>
      <c r="C5107" s="3" t="s">
        <v>39</v>
      </c>
      <c r="D5107" s="3" t="s">
        <v>1963</v>
      </c>
      <c r="E5107" s="3" t="s">
        <v>25</v>
      </c>
      <c r="F5107" s="3"/>
      <c r="G5107" s="3"/>
      <c r="H5107" s="3"/>
      <c r="I5107" s="3"/>
    </row>
    <row r="5108" spans="1:9" s="5" customFormat="1" x14ac:dyDescent="0.35">
      <c r="A5108" s="3" t="s">
        <v>1938</v>
      </c>
      <c r="B5108" s="3" t="s">
        <v>1939</v>
      </c>
      <c r="C5108" s="3" t="s">
        <v>39</v>
      </c>
      <c r="D5108" s="3" t="s">
        <v>1963</v>
      </c>
      <c r="E5108" s="3" t="s">
        <v>15</v>
      </c>
      <c r="F5108" s="3" t="s">
        <v>16</v>
      </c>
      <c r="G5108" s="3" t="s">
        <v>1964</v>
      </c>
      <c r="H5108" s="3"/>
      <c r="I5108" s="3"/>
    </row>
    <row r="5109" spans="1:9" s="5" customFormat="1" x14ac:dyDescent="0.35">
      <c r="A5109" s="3" t="s">
        <v>1938</v>
      </c>
      <c r="B5109" s="3" t="s">
        <v>1939</v>
      </c>
      <c r="C5109" s="3" t="s">
        <v>39</v>
      </c>
      <c r="D5109" s="3" t="s">
        <v>1963</v>
      </c>
      <c r="E5109" s="3" t="s">
        <v>32</v>
      </c>
      <c r="F5109" s="3" t="s">
        <v>16</v>
      </c>
      <c r="G5109" s="3" t="s">
        <v>1948</v>
      </c>
      <c r="H5109" s="3"/>
      <c r="I5109" s="3"/>
    </row>
    <row r="5110" spans="1:9" s="5" customFormat="1" x14ac:dyDescent="0.35">
      <c r="A5110" s="3" t="s">
        <v>1938</v>
      </c>
      <c r="B5110" s="3" t="s">
        <v>1939</v>
      </c>
      <c r="C5110" s="3" t="s">
        <v>39</v>
      </c>
      <c r="D5110" s="3" t="s">
        <v>1963</v>
      </c>
      <c r="E5110" s="3" t="s">
        <v>134</v>
      </c>
      <c r="F5110" s="3" t="s">
        <v>16</v>
      </c>
      <c r="G5110" s="3" t="s">
        <v>1965</v>
      </c>
      <c r="H5110" s="3"/>
      <c r="I5110" s="3"/>
    </row>
    <row r="5111" spans="1:9" s="5" customFormat="1" x14ac:dyDescent="0.35">
      <c r="A5111" s="3" t="s">
        <v>1938</v>
      </c>
      <c r="B5111" s="3" t="s">
        <v>1939</v>
      </c>
      <c r="C5111" s="3" t="s">
        <v>10</v>
      </c>
      <c r="D5111" s="3" t="s">
        <v>1966</v>
      </c>
      <c r="E5111" s="3" t="s">
        <v>47</v>
      </c>
      <c r="F5111" s="3"/>
      <c r="G5111" s="3"/>
      <c r="H5111" s="3"/>
      <c r="I5111" s="3"/>
    </row>
    <row r="5112" spans="1:9" s="5" customFormat="1" x14ac:dyDescent="0.35">
      <c r="A5112" s="3" t="s">
        <v>1938</v>
      </c>
      <c r="B5112" s="3" t="s">
        <v>1939</v>
      </c>
      <c r="C5112" s="3" t="s">
        <v>10</v>
      </c>
      <c r="D5112" s="3" t="s">
        <v>1966</v>
      </c>
      <c r="E5112" s="3" t="s">
        <v>15</v>
      </c>
      <c r="F5112" s="3" t="s">
        <v>16</v>
      </c>
      <c r="G5112" s="3" t="s">
        <v>1967</v>
      </c>
      <c r="H5112" s="3"/>
      <c r="I5112" s="3"/>
    </row>
    <row r="5113" spans="1:9" s="5" customFormat="1" x14ac:dyDescent="0.35">
      <c r="A5113" s="3" t="s">
        <v>1938</v>
      </c>
      <c r="B5113" s="3" t="s">
        <v>1939</v>
      </c>
      <c r="C5113" s="3" t="s">
        <v>10</v>
      </c>
      <c r="D5113" s="3" t="s">
        <v>1968</v>
      </c>
      <c r="E5113" s="3" t="s">
        <v>47</v>
      </c>
      <c r="F5113" s="3"/>
      <c r="G5113" s="3"/>
      <c r="H5113" s="3"/>
      <c r="I5113" s="3"/>
    </row>
    <row r="5114" spans="1:9" s="5" customFormat="1" x14ac:dyDescent="0.35">
      <c r="A5114" s="3" t="s">
        <v>1938</v>
      </c>
      <c r="B5114" s="3" t="s">
        <v>1939</v>
      </c>
      <c r="C5114" s="3" t="s">
        <v>10</v>
      </c>
      <c r="D5114" s="3" t="s">
        <v>1968</v>
      </c>
      <c r="E5114" s="3" t="s">
        <v>25</v>
      </c>
      <c r="F5114" s="3"/>
      <c r="G5114" s="3"/>
      <c r="H5114" s="3"/>
      <c r="I5114" s="3"/>
    </row>
    <row r="5115" spans="1:9" s="5" customFormat="1" x14ac:dyDescent="0.35">
      <c r="A5115" s="3" t="s">
        <v>1938</v>
      </c>
      <c r="B5115" s="3" t="s">
        <v>1939</v>
      </c>
      <c r="C5115" s="3" t="s">
        <v>10</v>
      </c>
      <c r="D5115" s="3" t="s">
        <v>1968</v>
      </c>
      <c r="E5115" s="3" t="s">
        <v>29</v>
      </c>
      <c r="F5115" s="3"/>
      <c r="G5115" s="3"/>
      <c r="H5115" s="3"/>
      <c r="I5115" s="3"/>
    </row>
    <row r="5116" spans="1:9" s="5" customFormat="1" x14ac:dyDescent="0.35">
      <c r="A5116" s="3" t="s">
        <v>1938</v>
      </c>
      <c r="B5116" s="3" t="s">
        <v>1939</v>
      </c>
      <c r="C5116" s="3" t="s">
        <v>10</v>
      </c>
      <c r="D5116" s="3" t="s">
        <v>1969</v>
      </c>
      <c r="E5116" s="3" t="s">
        <v>12</v>
      </c>
      <c r="F5116" s="3"/>
      <c r="G5116" s="3"/>
      <c r="H5116" s="3"/>
      <c r="I5116" s="3"/>
    </row>
    <row r="5117" spans="1:9" s="5" customFormat="1" x14ac:dyDescent="0.35">
      <c r="A5117" s="3" t="s">
        <v>1938</v>
      </c>
      <c r="B5117" s="3" t="s">
        <v>1939</v>
      </c>
      <c r="C5117" s="3" t="s">
        <v>10</v>
      </c>
      <c r="D5117" s="3" t="s">
        <v>1969</v>
      </c>
      <c r="E5117" s="3" t="s">
        <v>47</v>
      </c>
      <c r="F5117" s="3"/>
      <c r="G5117" s="3"/>
      <c r="H5117" s="3"/>
      <c r="I5117" s="3"/>
    </row>
    <row r="5118" spans="1:9" s="5" customFormat="1" x14ac:dyDescent="0.35">
      <c r="A5118" s="3" t="s">
        <v>1938</v>
      </c>
      <c r="B5118" s="3" t="s">
        <v>1939</v>
      </c>
      <c r="C5118" s="3" t="s">
        <v>10</v>
      </c>
      <c r="D5118" s="3" t="s">
        <v>1969</v>
      </c>
      <c r="E5118" s="3" t="s">
        <v>25</v>
      </c>
      <c r="F5118" s="3"/>
      <c r="G5118" s="3"/>
      <c r="H5118" s="3"/>
      <c r="I5118" s="3"/>
    </row>
    <row r="5119" spans="1:9" s="5" customFormat="1" x14ac:dyDescent="0.35">
      <c r="A5119" s="3" t="s">
        <v>1938</v>
      </c>
      <c r="B5119" s="3" t="s">
        <v>1939</v>
      </c>
      <c r="C5119" s="3" t="s">
        <v>10</v>
      </c>
      <c r="D5119" s="3" t="s">
        <v>1969</v>
      </c>
      <c r="E5119" s="3" t="s">
        <v>15</v>
      </c>
      <c r="F5119" s="3" t="s">
        <v>16</v>
      </c>
      <c r="G5119" s="3" t="s">
        <v>990</v>
      </c>
      <c r="H5119" s="3"/>
      <c r="I5119" s="3"/>
    </row>
    <row r="5120" spans="1:9" s="5" customFormat="1" x14ac:dyDescent="0.35">
      <c r="A5120" s="3" t="s">
        <v>1938</v>
      </c>
      <c r="B5120" s="3" t="s">
        <v>1939</v>
      </c>
      <c r="C5120" s="3" t="s">
        <v>10</v>
      </c>
      <c r="D5120" s="3" t="s">
        <v>1969</v>
      </c>
      <c r="E5120" s="3" t="s">
        <v>134</v>
      </c>
      <c r="F5120" s="3" t="s">
        <v>16</v>
      </c>
      <c r="G5120" s="3" t="s">
        <v>1970</v>
      </c>
      <c r="H5120" s="3"/>
      <c r="I5120" s="3"/>
    </row>
    <row r="5121" spans="1:9" s="5" customFormat="1" x14ac:dyDescent="0.35">
      <c r="A5121" s="3" t="s">
        <v>1938</v>
      </c>
      <c r="B5121" s="3" t="s">
        <v>1939</v>
      </c>
      <c r="C5121" s="3" t="s">
        <v>20</v>
      </c>
      <c r="D5121" s="3" t="s">
        <v>1971</v>
      </c>
      <c r="E5121" s="3" t="s">
        <v>12</v>
      </c>
      <c r="F5121" s="3"/>
      <c r="G5121" s="3"/>
      <c r="H5121" s="3"/>
      <c r="I5121" s="3"/>
    </row>
    <row r="5122" spans="1:9" s="5" customFormat="1" x14ac:dyDescent="0.35">
      <c r="A5122" s="3" t="s">
        <v>1938</v>
      </c>
      <c r="B5122" s="3" t="s">
        <v>1939</v>
      </c>
      <c r="C5122" s="3" t="s">
        <v>20</v>
      </c>
      <c r="D5122" s="3" t="s">
        <v>1971</v>
      </c>
      <c r="E5122" s="3" t="s">
        <v>47</v>
      </c>
      <c r="F5122" s="3"/>
      <c r="G5122" s="3"/>
      <c r="H5122" s="3"/>
      <c r="I5122" s="3"/>
    </row>
    <row r="5123" spans="1:9" s="5" customFormat="1" x14ac:dyDescent="0.35">
      <c r="A5123" s="3" t="s">
        <v>1938</v>
      </c>
      <c r="B5123" s="3" t="s">
        <v>1939</v>
      </c>
      <c r="C5123" s="3" t="s">
        <v>20</v>
      </c>
      <c r="D5123" s="3" t="s">
        <v>1971</v>
      </c>
      <c r="E5123" s="3" t="s">
        <v>25</v>
      </c>
      <c r="F5123" s="3"/>
      <c r="G5123" s="3"/>
      <c r="H5123" s="3"/>
      <c r="I5123" s="3"/>
    </row>
    <row r="5124" spans="1:9" s="5" customFormat="1" x14ac:dyDescent="0.35">
      <c r="A5124" s="3" t="s">
        <v>1938</v>
      </c>
      <c r="B5124" s="3" t="s">
        <v>1939</v>
      </c>
      <c r="C5124" s="3" t="s">
        <v>20</v>
      </c>
      <c r="D5124" s="3" t="s">
        <v>1971</v>
      </c>
      <c r="E5124" s="3" t="s">
        <v>60</v>
      </c>
      <c r="F5124" s="3"/>
      <c r="G5124" s="3"/>
      <c r="H5124" s="3"/>
      <c r="I5124" s="3"/>
    </row>
    <row r="5125" spans="1:9" s="5" customFormat="1" x14ac:dyDescent="0.35">
      <c r="A5125" s="3" t="s">
        <v>1938</v>
      </c>
      <c r="B5125" s="3" t="s">
        <v>1939</v>
      </c>
      <c r="C5125" s="3" t="s">
        <v>20</v>
      </c>
      <c r="D5125" s="3" t="s">
        <v>1971</v>
      </c>
      <c r="E5125" s="3" t="s">
        <v>141</v>
      </c>
      <c r="F5125" s="3"/>
      <c r="G5125" s="3"/>
      <c r="H5125" s="3"/>
      <c r="I5125" s="3"/>
    </row>
    <row r="5126" spans="1:9" s="5" customFormat="1" x14ac:dyDescent="0.35">
      <c r="A5126" s="3" t="s">
        <v>1938</v>
      </c>
      <c r="B5126" s="3" t="s">
        <v>1939</v>
      </c>
      <c r="C5126" s="3" t="s">
        <v>20</v>
      </c>
      <c r="D5126" s="3" t="s">
        <v>1971</v>
      </c>
      <c r="E5126" s="3" t="s">
        <v>28</v>
      </c>
      <c r="F5126" s="3"/>
      <c r="G5126" s="3" t="s">
        <v>2298</v>
      </c>
      <c r="H5126" s="3"/>
      <c r="I5126" s="3"/>
    </row>
    <row r="5127" spans="1:9" s="5" customFormat="1" x14ac:dyDescent="0.35">
      <c r="A5127" s="3" t="s">
        <v>1938</v>
      </c>
      <c r="B5127" s="3" t="s">
        <v>1939</v>
      </c>
      <c r="C5127" s="3" t="s">
        <v>20</v>
      </c>
      <c r="D5127" s="3" t="s">
        <v>1971</v>
      </c>
      <c r="E5127" s="3" t="s">
        <v>87</v>
      </c>
      <c r="F5127" s="3"/>
      <c r="G5127" s="3" t="s">
        <v>2299</v>
      </c>
      <c r="H5127" s="3"/>
      <c r="I5127" s="3"/>
    </row>
    <row r="5128" spans="1:9" s="5" customFormat="1" x14ac:dyDescent="0.35">
      <c r="A5128" s="3" t="s">
        <v>1938</v>
      </c>
      <c r="B5128" s="3" t="s">
        <v>1939</v>
      </c>
      <c r="C5128" s="3" t="s">
        <v>20</v>
      </c>
      <c r="D5128" s="3" t="s">
        <v>1971</v>
      </c>
      <c r="E5128" s="3" t="s">
        <v>15</v>
      </c>
      <c r="F5128" s="3" t="s">
        <v>16</v>
      </c>
      <c r="G5128" s="3" t="s">
        <v>1972</v>
      </c>
      <c r="H5128" s="3"/>
      <c r="I5128" s="3"/>
    </row>
    <row r="5129" spans="1:9" s="5" customFormat="1" x14ac:dyDescent="0.35">
      <c r="A5129" s="3" t="s">
        <v>1938</v>
      </c>
      <c r="B5129" s="3" t="s">
        <v>1939</v>
      </c>
      <c r="C5129" s="3" t="s">
        <v>20</v>
      </c>
      <c r="D5129" s="3" t="s">
        <v>1971</v>
      </c>
      <c r="E5129" s="3" t="s">
        <v>57</v>
      </c>
      <c r="F5129" s="3"/>
      <c r="G5129" s="3"/>
      <c r="H5129" s="3"/>
      <c r="I5129" s="3"/>
    </row>
    <row r="5130" spans="1:9" s="5" customFormat="1" x14ac:dyDescent="0.35">
      <c r="A5130" s="3" t="s">
        <v>1938</v>
      </c>
      <c r="B5130" s="3" t="s">
        <v>1939</v>
      </c>
      <c r="C5130" s="3" t="s">
        <v>20</v>
      </c>
      <c r="D5130" s="3" t="s">
        <v>1971</v>
      </c>
      <c r="E5130" s="3" t="s">
        <v>32</v>
      </c>
      <c r="F5130" s="3" t="s">
        <v>16</v>
      </c>
      <c r="G5130" s="3" t="s">
        <v>2300</v>
      </c>
      <c r="H5130" s="3"/>
      <c r="I5130" s="3"/>
    </row>
    <row r="5131" spans="1:9" s="5" customFormat="1" x14ac:dyDescent="0.35">
      <c r="A5131" s="3" t="s">
        <v>1938</v>
      </c>
      <c r="B5131" s="3" t="s">
        <v>1939</v>
      </c>
      <c r="C5131" s="3" t="s">
        <v>20</v>
      </c>
      <c r="D5131" s="3" t="s">
        <v>1971</v>
      </c>
      <c r="E5131" s="3" t="s">
        <v>29</v>
      </c>
      <c r="F5131" s="3"/>
      <c r="G5131" s="3"/>
      <c r="H5131" s="3"/>
      <c r="I5131" s="3"/>
    </row>
    <row r="5132" spans="1:9" s="5" customFormat="1" x14ac:dyDescent="0.35">
      <c r="A5132" s="3" t="s">
        <v>1938</v>
      </c>
      <c r="B5132" s="3" t="s">
        <v>1939</v>
      </c>
      <c r="C5132" s="3" t="s">
        <v>20</v>
      </c>
      <c r="D5132" s="3" t="s">
        <v>1971</v>
      </c>
      <c r="E5132" s="3" t="s">
        <v>152</v>
      </c>
      <c r="F5132" s="3"/>
      <c r="G5132" s="3"/>
      <c r="H5132" s="3"/>
      <c r="I5132" s="3"/>
    </row>
    <row r="5133" spans="1:9" s="5" customFormat="1" x14ac:dyDescent="0.35">
      <c r="A5133" s="3" t="s">
        <v>1938</v>
      </c>
      <c r="B5133" s="3" t="s">
        <v>1939</v>
      </c>
      <c r="C5133" s="3" t="s">
        <v>20</v>
      </c>
      <c r="D5133" s="3" t="s">
        <v>1971</v>
      </c>
      <c r="E5133" s="3" t="s">
        <v>893</v>
      </c>
      <c r="F5133" s="3"/>
      <c r="G5133" s="3" t="s">
        <v>2301</v>
      </c>
      <c r="H5133" s="3"/>
      <c r="I5133" s="3"/>
    </row>
    <row r="5134" spans="1:9" s="5" customFormat="1" x14ac:dyDescent="0.35">
      <c r="A5134" s="3" t="s">
        <v>1938</v>
      </c>
      <c r="B5134" s="3" t="s">
        <v>1939</v>
      </c>
      <c r="C5134" s="3" t="s">
        <v>20</v>
      </c>
      <c r="D5134" s="3" t="s">
        <v>1971</v>
      </c>
      <c r="E5134" s="3" t="s">
        <v>630</v>
      </c>
      <c r="F5134" s="3"/>
      <c r="G5134" s="3"/>
      <c r="H5134" s="3"/>
      <c r="I5134" s="3"/>
    </row>
    <row r="5135" spans="1:9" s="5" customFormat="1" x14ac:dyDescent="0.35">
      <c r="A5135" s="3" t="s">
        <v>1938</v>
      </c>
      <c r="B5135" s="3" t="s">
        <v>1939</v>
      </c>
      <c r="C5135" s="3" t="s">
        <v>10</v>
      </c>
      <c r="D5135" s="3" t="s">
        <v>1973</v>
      </c>
      <c r="E5135" s="3" t="s">
        <v>12</v>
      </c>
      <c r="F5135" s="3"/>
      <c r="G5135" s="3"/>
      <c r="H5135" s="3"/>
      <c r="I5135" s="3"/>
    </row>
    <row r="5136" spans="1:9" s="5" customFormat="1" x14ac:dyDescent="0.35">
      <c r="A5136" s="3" t="s">
        <v>1938</v>
      </c>
      <c r="B5136" s="3" t="s">
        <v>1939</v>
      </c>
      <c r="C5136" s="3" t="s">
        <v>10</v>
      </c>
      <c r="D5136" s="3" t="s">
        <v>1973</v>
      </c>
      <c r="E5136" s="3" t="s">
        <v>47</v>
      </c>
      <c r="F5136" s="3"/>
      <c r="G5136" s="3"/>
      <c r="H5136" s="3"/>
      <c r="I5136" s="3"/>
    </row>
    <row r="5137" spans="1:9" s="5" customFormat="1" x14ac:dyDescent="0.35">
      <c r="A5137" s="3" t="s">
        <v>1938</v>
      </c>
      <c r="B5137" s="3" t="s">
        <v>1939</v>
      </c>
      <c r="C5137" s="3" t="s">
        <v>10</v>
      </c>
      <c r="D5137" s="3" t="s">
        <v>1973</v>
      </c>
      <c r="E5137" s="3" t="s">
        <v>15</v>
      </c>
      <c r="F5137" s="3" t="s">
        <v>16</v>
      </c>
      <c r="G5137" s="3" t="s">
        <v>2977</v>
      </c>
      <c r="H5137" s="3"/>
      <c r="I5137" s="3"/>
    </row>
    <row r="5138" spans="1:9" s="5" customFormat="1" x14ac:dyDescent="0.35">
      <c r="A5138" s="3" t="s">
        <v>1938</v>
      </c>
      <c r="B5138" s="3" t="s">
        <v>1939</v>
      </c>
      <c r="C5138" s="3" t="s">
        <v>10</v>
      </c>
      <c r="D5138" s="3" t="s">
        <v>1973</v>
      </c>
      <c r="E5138" s="3" t="s">
        <v>32</v>
      </c>
      <c r="F5138" s="3" t="s">
        <v>33</v>
      </c>
      <c r="G5138" s="3" t="s">
        <v>2976</v>
      </c>
      <c r="H5138" s="3"/>
      <c r="I5138" s="3"/>
    </row>
    <row r="5139" spans="1:9" s="5" customFormat="1" x14ac:dyDescent="0.35">
      <c r="A5139" s="3" t="s">
        <v>1938</v>
      </c>
      <c r="B5139" s="3" t="s">
        <v>1939</v>
      </c>
      <c r="C5139" s="3" t="s">
        <v>45</v>
      </c>
      <c r="D5139" s="3" t="s">
        <v>1974</v>
      </c>
      <c r="E5139" s="3" t="s">
        <v>12</v>
      </c>
      <c r="F5139" s="3"/>
      <c r="G5139" s="3"/>
      <c r="H5139" s="3"/>
      <c r="I5139" s="3"/>
    </row>
    <row r="5140" spans="1:9" s="5" customFormat="1" x14ac:dyDescent="0.35">
      <c r="A5140" s="3" t="s">
        <v>1938</v>
      </c>
      <c r="B5140" s="3" t="s">
        <v>1939</v>
      </c>
      <c r="C5140" s="3" t="s">
        <v>45</v>
      </c>
      <c r="D5140" s="3" t="s">
        <v>1974</v>
      </c>
      <c r="E5140" s="3" t="s">
        <v>23</v>
      </c>
      <c r="F5140" s="3"/>
      <c r="G5140" s="3"/>
      <c r="H5140" s="3"/>
      <c r="I5140" s="3"/>
    </row>
    <row r="5141" spans="1:9" s="5" customFormat="1" x14ac:dyDescent="0.35">
      <c r="A5141" s="3" t="s">
        <v>1938</v>
      </c>
      <c r="B5141" s="3" t="s">
        <v>1939</v>
      </c>
      <c r="C5141" s="3" t="s">
        <v>45</v>
      </c>
      <c r="D5141" s="3" t="s">
        <v>1974</v>
      </c>
      <c r="E5141" s="3" t="s">
        <v>47</v>
      </c>
      <c r="F5141" s="3"/>
      <c r="G5141" s="3"/>
      <c r="H5141" s="3"/>
      <c r="I5141" s="3"/>
    </row>
    <row r="5142" spans="1:9" s="5" customFormat="1" x14ac:dyDescent="0.35">
      <c r="A5142" s="3" t="s">
        <v>1938</v>
      </c>
      <c r="B5142" s="3" t="s">
        <v>1939</v>
      </c>
      <c r="C5142" s="3" t="s">
        <v>45</v>
      </c>
      <c r="D5142" s="3" t="s">
        <v>1974</v>
      </c>
      <c r="E5142" s="3" t="s">
        <v>25</v>
      </c>
      <c r="F5142" s="3"/>
      <c r="G5142" s="3"/>
      <c r="H5142" s="3"/>
      <c r="I5142" s="3"/>
    </row>
    <row r="5143" spans="1:9" s="5" customFormat="1" x14ac:dyDescent="0.35">
      <c r="A5143" s="3" t="s">
        <v>1938</v>
      </c>
      <c r="B5143" s="3" t="s">
        <v>1939</v>
      </c>
      <c r="C5143" s="3" t="s">
        <v>45</v>
      </c>
      <c r="D5143" s="3" t="s">
        <v>1974</v>
      </c>
      <c r="E5143" s="3" t="s">
        <v>60</v>
      </c>
      <c r="F5143" s="3"/>
      <c r="G5143" s="3"/>
      <c r="H5143" s="3"/>
      <c r="I5143" s="3"/>
    </row>
    <row r="5144" spans="1:9" s="5" customFormat="1" x14ac:dyDescent="0.35">
      <c r="A5144" s="3" t="s">
        <v>1938</v>
      </c>
      <c r="B5144" s="3" t="s">
        <v>1939</v>
      </c>
      <c r="C5144" s="3" t="s">
        <v>45</v>
      </c>
      <c r="D5144" s="3" t="s">
        <v>1974</v>
      </c>
      <c r="E5144" s="3" t="s">
        <v>77</v>
      </c>
      <c r="F5144" s="3"/>
      <c r="G5144" s="3"/>
      <c r="H5144" s="3"/>
      <c r="I5144" s="3"/>
    </row>
    <row r="5145" spans="1:9" s="5" customFormat="1" x14ac:dyDescent="0.35">
      <c r="A5145" s="3" t="s">
        <v>1938</v>
      </c>
      <c r="B5145" s="3" t="s">
        <v>1939</v>
      </c>
      <c r="C5145" s="3" t="s">
        <v>45</v>
      </c>
      <c r="D5145" s="3" t="s">
        <v>1974</v>
      </c>
      <c r="E5145" s="3" t="s">
        <v>28</v>
      </c>
      <c r="F5145" s="3"/>
      <c r="G5145" s="3"/>
      <c r="H5145" s="3"/>
      <c r="I5145" s="3"/>
    </row>
    <row r="5146" spans="1:9" s="5" customFormat="1" x14ac:dyDescent="0.35">
      <c r="A5146" s="3" t="s">
        <v>1938</v>
      </c>
      <c r="B5146" s="3" t="s">
        <v>1939</v>
      </c>
      <c r="C5146" s="3" t="s">
        <v>45</v>
      </c>
      <c r="D5146" s="3" t="s">
        <v>1974</v>
      </c>
      <c r="E5146" s="3" t="s">
        <v>15</v>
      </c>
      <c r="F5146" s="3" t="s">
        <v>16</v>
      </c>
      <c r="G5146" s="3" t="s">
        <v>1975</v>
      </c>
      <c r="H5146" s="3"/>
      <c r="I5146" s="3"/>
    </row>
    <row r="5147" spans="1:9" s="5" customFormat="1" x14ac:dyDescent="0.35">
      <c r="A5147" s="3" t="s">
        <v>1938</v>
      </c>
      <c r="B5147" s="3" t="s">
        <v>1939</v>
      </c>
      <c r="C5147" s="3" t="s">
        <v>45</v>
      </c>
      <c r="D5147" s="3" t="s">
        <v>1974</v>
      </c>
      <c r="E5147" s="3" t="s">
        <v>57</v>
      </c>
      <c r="F5147" s="3"/>
      <c r="G5147" s="3"/>
      <c r="H5147" s="3"/>
      <c r="I5147" s="3"/>
    </row>
    <row r="5148" spans="1:9" s="5" customFormat="1" x14ac:dyDescent="0.35">
      <c r="A5148" s="3" t="s">
        <v>1938</v>
      </c>
      <c r="B5148" s="3" t="s">
        <v>1939</v>
      </c>
      <c r="C5148" s="3" t="s">
        <v>45</v>
      </c>
      <c r="D5148" s="3" t="s">
        <v>1974</v>
      </c>
      <c r="E5148" s="3" t="s">
        <v>56</v>
      </c>
      <c r="F5148" s="3"/>
      <c r="G5148" s="3"/>
      <c r="H5148" s="3"/>
      <c r="I5148" s="3"/>
    </row>
    <row r="5149" spans="1:9" s="5" customFormat="1" x14ac:dyDescent="0.35">
      <c r="A5149" s="3" t="s">
        <v>1938</v>
      </c>
      <c r="B5149" s="3" t="s">
        <v>1939</v>
      </c>
      <c r="C5149" s="3" t="s">
        <v>45</v>
      </c>
      <c r="D5149" s="3" t="s">
        <v>1974</v>
      </c>
      <c r="E5149" s="3" t="s">
        <v>630</v>
      </c>
      <c r="F5149" s="3" t="s">
        <v>16</v>
      </c>
      <c r="G5149" s="3" t="s">
        <v>1976</v>
      </c>
      <c r="H5149" s="3"/>
      <c r="I5149" s="3"/>
    </row>
    <row r="5150" spans="1:9" s="5" customFormat="1" x14ac:dyDescent="0.35">
      <c r="A5150" s="3" t="s">
        <v>1938</v>
      </c>
      <c r="B5150" s="3" t="s">
        <v>1939</v>
      </c>
      <c r="C5150" s="3" t="s">
        <v>20</v>
      </c>
      <c r="D5150" s="3" t="s">
        <v>1977</v>
      </c>
      <c r="E5150" s="3" t="s">
        <v>12</v>
      </c>
      <c r="F5150" s="3"/>
      <c r="G5150" s="3"/>
      <c r="H5150" s="3"/>
      <c r="I5150" s="3"/>
    </row>
    <row r="5151" spans="1:9" s="5" customFormat="1" x14ac:dyDescent="0.35">
      <c r="A5151" s="3" t="s">
        <v>1938</v>
      </c>
      <c r="B5151" s="3" t="s">
        <v>1939</v>
      </c>
      <c r="C5151" s="3" t="s">
        <v>20</v>
      </c>
      <c r="D5151" s="3" t="s">
        <v>1977</v>
      </c>
      <c r="E5151" s="3" t="s">
        <v>25</v>
      </c>
      <c r="F5151" s="3"/>
      <c r="G5151" s="3"/>
      <c r="H5151" s="3"/>
      <c r="I5151" s="3"/>
    </row>
    <row r="5152" spans="1:9" s="5" customFormat="1" x14ac:dyDescent="0.35">
      <c r="A5152" s="3" t="s">
        <v>1938</v>
      </c>
      <c r="B5152" s="3" t="s">
        <v>1939</v>
      </c>
      <c r="C5152" s="3" t="s">
        <v>20</v>
      </c>
      <c r="D5152" s="3" t="s">
        <v>1977</v>
      </c>
      <c r="E5152" s="3" t="s">
        <v>142</v>
      </c>
      <c r="F5152" s="3"/>
      <c r="G5152" s="3"/>
      <c r="H5152" s="3"/>
      <c r="I5152" s="3"/>
    </row>
    <row r="5153" spans="1:9" s="5" customFormat="1" x14ac:dyDescent="0.35">
      <c r="A5153" s="3" t="s">
        <v>1938</v>
      </c>
      <c r="B5153" s="3" t="s">
        <v>1939</v>
      </c>
      <c r="C5153" s="3" t="s">
        <v>20</v>
      </c>
      <c r="D5153" s="3" t="s">
        <v>1977</v>
      </c>
      <c r="E5153" s="3" t="s">
        <v>28</v>
      </c>
      <c r="F5153" s="3"/>
      <c r="G5153" s="3" t="s">
        <v>2302</v>
      </c>
      <c r="H5153" s="3"/>
      <c r="I5153" s="3"/>
    </row>
    <row r="5154" spans="1:9" s="5" customFormat="1" x14ac:dyDescent="0.35">
      <c r="A5154" s="3" t="s">
        <v>1938</v>
      </c>
      <c r="B5154" s="3" t="s">
        <v>1939</v>
      </c>
      <c r="C5154" s="3" t="s">
        <v>20</v>
      </c>
      <c r="D5154" s="3" t="s">
        <v>1977</v>
      </c>
      <c r="E5154" s="3" t="s">
        <v>716</v>
      </c>
      <c r="F5154" s="3"/>
      <c r="G5154" s="3"/>
      <c r="H5154" s="3"/>
      <c r="I5154" s="3"/>
    </row>
    <row r="5155" spans="1:9" s="5" customFormat="1" x14ac:dyDescent="0.35">
      <c r="A5155" s="3" t="s">
        <v>1938</v>
      </c>
      <c r="B5155" s="3" t="s">
        <v>1939</v>
      </c>
      <c r="C5155" s="3" t="s">
        <v>20</v>
      </c>
      <c r="D5155" s="3" t="s">
        <v>1977</v>
      </c>
      <c r="E5155" s="3" t="s">
        <v>15</v>
      </c>
      <c r="F5155" s="3" t="s">
        <v>16</v>
      </c>
      <c r="G5155" s="3" t="s">
        <v>2303</v>
      </c>
      <c r="H5155" s="3"/>
      <c r="I5155" s="3"/>
    </row>
    <row r="5156" spans="1:9" s="5" customFormat="1" x14ac:dyDescent="0.35">
      <c r="A5156" s="3" t="s">
        <v>1938</v>
      </c>
      <c r="B5156" s="3" t="s">
        <v>1939</v>
      </c>
      <c r="C5156" s="3" t="s">
        <v>20</v>
      </c>
      <c r="D5156" s="3" t="s">
        <v>1977</v>
      </c>
      <c r="E5156" s="3" t="s">
        <v>89</v>
      </c>
      <c r="F5156" s="3"/>
      <c r="G5156" s="3"/>
      <c r="H5156" s="3"/>
      <c r="I5156" s="3"/>
    </row>
    <row r="5157" spans="1:9" s="5" customFormat="1" x14ac:dyDescent="0.35">
      <c r="A5157" s="3" t="s">
        <v>1938</v>
      </c>
      <c r="B5157" s="3" t="s">
        <v>1939</v>
      </c>
      <c r="C5157" s="3" t="s">
        <v>20</v>
      </c>
      <c r="D5157" s="3" t="s">
        <v>1977</v>
      </c>
      <c r="E5157" s="3" t="s">
        <v>29</v>
      </c>
      <c r="F5157" s="3"/>
      <c r="G5157" s="3"/>
      <c r="H5157" s="3"/>
      <c r="I5157" s="3"/>
    </row>
    <row r="5158" spans="1:9" s="5" customFormat="1" x14ac:dyDescent="0.35">
      <c r="A5158" s="3" t="s">
        <v>1938</v>
      </c>
      <c r="B5158" s="3" t="s">
        <v>1939</v>
      </c>
      <c r="C5158" s="3" t="s">
        <v>20</v>
      </c>
      <c r="D5158" s="3" t="s">
        <v>1977</v>
      </c>
      <c r="E5158" s="3" t="s">
        <v>152</v>
      </c>
      <c r="F5158" s="3" t="s">
        <v>33</v>
      </c>
      <c r="G5158" s="3" t="s">
        <v>34</v>
      </c>
      <c r="H5158" s="3"/>
      <c r="I5158" s="3"/>
    </row>
    <row r="5159" spans="1:9" s="5" customFormat="1" x14ac:dyDescent="0.35">
      <c r="A5159" s="3" t="s">
        <v>1938</v>
      </c>
      <c r="B5159" s="3" t="s">
        <v>1939</v>
      </c>
      <c r="C5159" s="3" t="s">
        <v>20</v>
      </c>
      <c r="D5159" s="3" t="s">
        <v>1977</v>
      </c>
      <c r="E5159" s="3" t="s">
        <v>134</v>
      </c>
      <c r="F5159" s="3"/>
      <c r="G5159" s="3"/>
      <c r="H5159" s="3"/>
      <c r="I5159" s="3"/>
    </row>
    <row r="5160" spans="1:9" s="5" customFormat="1" x14ac:dyDescent="0.35">
      <c r="A5160" s="3" t="s">
        <v>1938</v>
      </c>
      <c r="B5160" s="3" t="s">
        <v>1939</v>
      </c>
      <c r="C5160" s="3" t="s">
        <v>20</v>
      </c>
      <c r="D5160" s="3" t="s">
        <v>1977</v>
      </c>
      <c r="E5160" s="3" t="s">
        <v>893</v>
      </c>
      <c r="F5160" s="3"/>
      <c r="G5160" s="3" t="s">
        <v>2301</v>
      </c>
      <c r="H5160" s="3"/>
      <c r="I5160" s="3"/>
    </row>
    <row r="5161" spans="1:9" s="5" customFormat="1" x14ac:dyDescent="0.35">
      <c r="A5161" s="3" t="s">
        <v>1938</v>
      </c>
      <c r="B5161" s="3" t="s">
        <v>1939</v>
      </c>
      <c r="C5161" s="3" t="s">
        <v>20</v>
      </c>
      <c r="D5161" s="3" t="s">
        <v>1977</v>
      </c>
      <c r="E5161" s="3" t="s">
        <v>630</v>
      </c>
      <c r="F5161" s="3"/>
      <c r="G5161" s="3"/>
      <c r="H5161" s="3"/>
      <c r="I5161" s="3"/>
    </row>
    <row r="5162" spans="1:9" s="5" customFormat="1" x14ac:dyDescent="0.35">
      <c r="A5162" s="3" t="s">
        <v>1938</v>
      </c>
      <c r="B5162" s="3" t="s">
        <v>1939</v>
      </c>
      <c r="C5162" s="3" t="s">
        <v>39</v>
      </c>
      <c r="D5162" s="3" t="s">
        <v>1978</v>
      </c>
      <c r="E5162" s="3" t="s">
        <v>25</v>
      </c>
      <c r="F5162" s="3" t="s">
        <v>16</v>
      </c>
      <c r="G5162" s="3" t="s">
        <v>1980</v>
      </c>
      <c r="H5162" s="3"/>
      <c r="I5162" s="3"/>
    </row>
    <row r="5163" spans="1:9" s="5" customFormat="1" x14ac:dyDescent="0.35">
      <c r="A5163" s="3" t="s">
        <v>1938</v>
      </c>
      <c r="B5163" s="3" t="s">
        <v>1939</v>
      </c>
      <c r="C5163" s="3" t="s">
        <v>39</v>
      </c>
      <c r="D5163" s="3" t="s">
        <v>1978</v>
      </c>
      <c r="E5163" s="3" t="s">
        <v>15</v>
      </c>
      <c r="F5163" s="3" t="s">
        <v>16</v>
      </c>
      <c r="G5163" s="3" t="s">
        <v>1979</v>
      </c>
      <c r="H5163" s="3"/>
      <c r="I5163" s="3"/>
    </row>
    <row r="5164" spans="1:9" s="5" customFormat="1" x14ac:dyDescent="0.35">
      <c r="A5164" s="3" t="s">
        <v>1938</v>
      </c>
      <c r="B5164" s="3" t="s">
        <v>1939</v>
      </c>
      <c r="C5164" s="3" t="s">
        <v>39</v>
      </c>
      <c r="D5164" s="3" t="s">
        <v>1978</v>
      </c>
      <c r="E5164" s="3" t="s">
        <v>56</v>
      </c>
      <c r="F5164" s="3" t="s">
        <v>16</v>
      </c>
      <c r="G5164" s="3" t="s">
        <v>1980</v>
      </c>
      <c r="H5164" s="3"/>
      <c r="I5164" s="3"/>
    </row>
    <row r="5165" spans="1:9" s="5" customFormat="1" x14ac:dyDescent="0.35">
      <c r="A5165" s="3" t="s">
        <v>1938</v>
      </c>
      <c r="B5165" s="3" t="s">
        <v>1939</v>
      </c>
      <c r="C5165" s="3" t="s">
        <v>39</v>
      </c>
      <c r="D5165" s="3" t="s">
        <v>1978</v>
      </c>
      <c r="E5165" s="3" t="s">
        <v>32</v>
      </c>
      <c r="F5165" s="3" t="s">
        <v>16</v>
      </c>
      <c r="G5165" s="3" t="s">
        <v>1980</v>
      </c>
      <c r="H5165" s="3"/>
      <c r="I5165" s="3"/>
    </row>
    <row r="5166" spans="1:9" s="5" customFormat="1" x14ac:dyDescent="0.35">
      <c r="A5166" s="3" t="s">
        <v>1938</v>
      </c>
      <c r="B5166" s="3" t="s">
        <v>1939</v>
      </c>
      <c r="C5166" s="3" t="s">
        <v>39</v>
      </c>
      <c r="D5166" s="3" t="s">
        <v>1978</v>
      </c>
      <c r="E5166" s="3" t="s">
        <v>630</v>
      </c>
      <c r="F5166" s="3" t="s">
        <v>16</v>
      </c>
      <c r="G5166" s="3" t="s">
        <v>1980</v>
      </c>
      <c r="H5166" s="3"/>
      <c r="I5166" s="3"/>
    </row>
    <row r="5167" spans="1:9" s="5" customFormat="1" x14ac:dyDescent="0.35">
      <c r="A5167" s="3" t="s">
        <v>1938</v>
      </c>
      <c r="B5167" s="3" t="s">
        <v>1939</v>
      </c>
      <c r="C5167" s="3" t="s">
        <v>20</v>
      </c>
      <c r="D5167" s="3" t="s">
        <v>1981</v>
      </c>
      <c r="E5167" s="3" t="s">
        <v>12</v>
      </c>
      <c r="F5167" s="3"/>
      <c r="G5167" s="3"/>
      <c r="H5167" s="3"/>
      <c r="I5167" s="3"/>
    </row>
    <row r="5168" spans="1:9" s="5" customFormat="1" x14ac:dyDescent="0.35">
      <c r="A5168" s="3" t="s">
        <v>1938</v>
      </c>
      <c r="B5168" s="3" t="s">
        <v>1939</v>
      </c>
      <c r="C5168" s="3" t="s">
        <v>20</v>
      </c>
      <c r="D5168" s="3" t="s">
        <v>1981</v>
      </c>
      <c r="E5168" s="3" t="s">
        <v>23</v>
      </c>
      <c r="F5168" s="3"/>
      <c r="G5168" s="3"/>
      <c r="H5168" s="3"/>
      <c r="I5168" s="3"/>
    </row>
    <row r="5169" spans="1:9" s="5" customFormat="1" x14ac:dyDescent="0.35">
      <c r="A5169" s="3" t="s">
        <v>1938</v>
      </c>
      <c r="B5169" s="3" t="s">
        <v>1939</v>
      </c>
      <c r="C5169" s="3" t="s">
        <v>20</v>
      </c>
      <c r="D5169" s="3" t="s">
        <v>1981</v>
      </c>
      <c r="E5169" s="3" t="s">
        <v>25</v>
      </c>
      <c r="F5169" s="3"/>
      <c r="G5169" s="3"/>
      <c r="H5169" s="3"/>
      <c r="I5169" s="3"/>
    </row>
    <row r="5170" spans="1:9" s="5" customFormat="1" x14ac:dyDescent="0.35">
      <c r="A5170" s="3" t="s">
        <v>1938</v>
      </c>
      <c r="B5170" s="3" t="s">
        <v>1939</v>
      </c>
      <c r="C5170" s="3" t="s">
        <v>20</v>
      </c>
      <c r="D5170" s="3" t="s">
        <v>1981</v>
      </c>
      <c r="E5170" s="3" t="s">
        <v>77</v>
      </c>
      <c r="F5170" s="3"/>
      <c r="G5170" s="3"/>
      <c r="H5170" s="3"/>
      <c r="I5170" s="3"/>
    </row>
    <row r="5171" spans="1:9" s="5" customFormat="1" x14ac:dyDescent="0.35">
      <c r="A5171" s="3" t="s">
        <v>1938</v>
      </c>
      <c r="B5171" s="3" t="s">
        <v>1939</v>
      </c>
      <c r="C5171" s="3" t="s">
        <v>20</v>
      </c>
      <c r="D5171" s="3" t="s">
        <v>1981</v>
      </c>
      <c r="E5171" s="3" t="s">
        <v>28</v>
      </c>
      <c r="F5171" s="3"/>
      <c r="G5171" s="3"/>
      <c r="H5171" s="3"/>
      <c r="I5171" s="3"/>
    </row>
    <row r="5172" spans="1:9" s="5" customFormat="1" x14ac:dyDescent="0.35">
      <c r="A5172" s="3" t="s">
        <v>1938</v>
      </c>
      <c r="B5172" s="3" t="s">
        <v>1939</v>
      </c>
      <c r="C5172" s="3" t="s">
        <v>20</v>
      </c>
      <c r="D5172" s="3" t="s">
        <v>1981</v>
      </c>
      <c r="E5172" s="3" t="s">
        <v>15</v>
      </c>
      <c r="F5172" s="3" t="s">
        <v>16</v>
      </c>
      <c r="G5172" s="3" t="s">
        <v>1979</v>
      </c>
      <c r="H5172" s="3"/>
      <c r="I5172" s="3"/>
    </row>
    <row r="5173" spans="1:9" s="5" customFormat="1" x14ac:dyDescent="0.35">
      <c r="A5173" s="3" t="s">
        <v>1938</v>
      </c>
      <c r="B5173" s="3" t="s">
        <v>1939</v>
      </c>
      <c r="C5173" s="3" t="s">
        <v>20</v>
      </c>
      <c r="D5173" s="3" t="s">
        <v>1981</v>
      </c>
      <c r="E5173" s="3" t="s">
        <v>152</v>
      </c>
      <c r="F5173" s="3"/>
      <c r="G5173" s="3"/>
      <c r="H5173" s="3"/>
      <c r="I5173" s="3"/>
    </row>
    <row r="5174" spans="1:9" s="5" customFormat="1" x14ac:dyDescent="0.35">
      <c r="A5174" s="3" t="s">
        <v>1938</v>
      </c>
      <c r="B5174" s="3" t="s">
        <v>1939</v>
      </c>
      <c r="C5174" s="3" t="s">
        <v>20</v>
      </c>
      <c r="D5174" s="3" t="s">
        <v>1981</v>
      </c>
      <c r="E5174" s="3" t="s">
        <v>134</v>
      </c>
      <c r="F5174" s="3" t="s">
        <v>16</v>
      </c>
      <c r="G5174" s="3" t="s">
        <v>1965</v>
      </c>
      <c r="H5174" s="3"/>
      <c r="I5174" s="3"/>
    </row>
    <row r="5175" spans="1:9" s="5" customFormat="1" x14ac:dyDescent="0.35">
      <c r="A5175" s="3" t="s">
        <v>1938</v>
      </c>
      <c r="B5175" s="3" t="s">
        <v>1939</v>
      </c>
      <c r="C5175" s="3" t="s">
        <v>20</v>
      </c>
      <c r="D5175" s="3" t="s">
        <v>1981</v>
      </c>
      <c r="E5175" s="3" t="s">
        <v>893</v>
      </c>
      <c r="F5175" s="3"/>
      <c r="G5175" s="3" t="s">
        <v>2301</v>
      </c>
      <c r="H5175" s="3"/>
      <c r="I5175" s="3"/>
    </row>
    <row r="5176" spans="1:9" s="5" customFormat="1" x14ac:dyDescent="0.35">
      <c r="A5176" s="3" t="s">
        <v>1938</v>
      </c>
      <c r="B5176" s="3" t="s">
        <v>1939</v>
      </c>
      <c r="C5176" s="3" t="s">
        <v>20</v>
      </c>
      <c r="D5176" s="3" t="s">
        <v>1981</v>
      </c>
      <c r="E5176" s="3" t="s">
        <v>630</v>
      </c>
      <c r="F5176" s="3"/>
      <c r="G5176" s="3"/>
      <c r="H5176" s="3"/>
      <c r="I5176" s="3"/>
    </row>
    <row r="5177" spans="1:9" s="5" customFormat="1" x14ac:dyDescent="0.35">
      <c r="A5177" s="3" t="s">
        <v>1938</v>
      </c>
      <c r="B5177" s="3" t="s">
        <v>1939</v>
      </c>
      <c r="C5177" s="3" t="s">
        <v>20</v>
      </c>
      <c r="D5177" s="3" t="s">
        <v>1982</v>
      </c>
      <c r="E5177" s="3" t="s">
        <v>12</v>
      </c>
      <c r="F5177" s="3"/>
      <c r="G5177" s="3"/>
      <c r="H5177" s="3"/>
      <c r="I5177" s="3"/>
    </row>
    <row r="5178" spans="1:9" s="5" customFormat="1" x14ac:dyDescent="0.35">
      <c r="A5178" s="3" t="s">
        <v>1938</v>
      </c>
      <c r="B5178" s="3" t="s">
        <v>1939</v>
      </c>
      <c r="C5178" s="3" t="s">
        <v>20</v>
      </c>
      <c r="D5178" s="3" t="s">
        <v>1982</v>
      </c>
      <c r="E5178" s="3" t="s">
        <v>36</v>
      </c>
      <c r="F5178" s="3"/>
      <c r="G5178" s="3"/>
      <c r="H5178" s="3"/>
      <c r="I5178" s="3"/>
    </row>
    <row r="5179" spans="1:9" s="5" customFormat="1" x14ac:dyDescent="0.35">
      <c r="A5179" s="3" t="s">
        <v>1938</v>
      </c>
      <c r="B5179" s="3" t="s">
        <v>1939</v>
      </c>
      <c r="C5179" s="3" t="s">
        <v>20</v>
      </c>
      <c r="D5179" s="3" t="s">
        <v>1982</v>
      </c>
      <c r="E5179" s="3" t="s">
        <v>47</v>
      </c>
      <c r="F5179" s="3"/>
      <c r="G5179" s="3"/>
      <c r="H5179" s="3"/>
      <c r="I5179" s="3"/>
    </row>
    <row r="5180" spans="1:9" s="5" customFormat="1" x14ac:dyDescent="0.35">
      <c r="A5180" s="3" t="s">
        <v>1938</v>
      </c>
      <c r="B5180" s="3" t="s">
        <v>1939</v>
      </c>
      <c r="C5180" s="3" t="s">
        <v>20</v>
      </c>
      <c r="D5180" s="3" t="s">
        <v>1982</v>
      </c>
      <c r="E5180" s="3" t="s">
        <v>28</v>
      </c>
      <c r="F5180" s="3"/>
      <c r="G5180" s="3"/>
      <c r="H5180" s="3"/>
      <c r="I5180" s="3"/>
    </row>
    <row r="5181" spans="1:9" s="5" customFormat="1" x14ac:dyDescent="0.35">
      <c r="A5181" s="3" t="s">
        <v>1938</v>
      </c>
      <c r="B5181" s="3" t="s">
        <v>1939</v>
      </c>
      <c r="C5181" s="3" t="s">
        <v>20</v>
      </c>
      <c r="D5181" s="3" t="s">
        <v>1982</v>
      </c>
      <c r="E5181" s="3" t="s">
        <v>15</v>
      </c>
      <c r="F5181" s="3"/>
      <c r="G5181" s="3"/>
      <c r="H5181" s="3"/>
      <c r="I5181" s="3"/>
    </row>
    <row r="5182" spans="1:9" s="5" customFormat="1" x14ac:dyDescent="0.35">
      <c r="A5182" s="3" t="s">
        <v>1938</v>
      </c>
      <c r="B5182" s="3" t="s">
        <v>1939</v>
      </c>
      <c r="C5182" s="3" t="s">
        <v>20</v>
      </c>
      <c r="D5182" s="3" t="s">
        <v>1982</v>
      </c>
      <c r="E5182" s="3" t="s">
        <v>134</v>
      </c>
      <c r="F5182" s="3"/>
      <c r="G5182" s="3"/>
      <c r="H5182" s="3"/>
      <c r="I5182" s="3"/>
    </row>
    <row r="5183" spans="1:9" s="5" customFormat="1" x14ac:dyDescent="0.35">
      <c r="A5183" s="3" t="s">
        <v>1938</v>
      </c>
      <c r="B5183" s="3" t="s">
        <v>1939</v>
      </c>
      <c r="C5183" s="3" t="s">
        <v>45</v>
      </c>
      <c r="D5183" s="3" t="s">
        <v>3021</v>
      </c>
      <c r="E5183" s="3" t="s">
        <v>47</v>
      </c>
      <c r="F5183" s="3"/>
      <c r="G5183" s="3"/>
      <c r="H5183" s="3"/>
      <c r="I5183" s="3"/>
    </row>
    <row r="5184" spans="1:9" s="5" customFormat="1" x14ac:dyDescent="0.35">
      <c r="A5184" s="3" t="s">
        <v>1938</v>
      </c>
      <c r="B5184" s="3" t="s">
        <v>1939</v>
      </c>
      <c r="C5184" s="3" t="s">
        <v>45</v>
      </c>
      <c r="D5184" s="3" t="s">
        <v>3021</v>
      </c>
      <c r="E5184" s="3" t="s">
        <v>25</v>
      </c>
      <c r="F5184" s="3"/>
      <c r="G5184" s="3"/>
      <c r="H5184" s="3"/>
      <c r="I5184" s="3"/>
    </row>
    <row r="5185" spans="1:9" s="5" customFormat="1" x14ac:dyDescent="0.35">
      <c r="A5185" s="3" t="s">
        <v>1938</v>
      </c>
      <c r="B5185" s="3" t="s">
        <v>1939</v>
      </c>
      <c r="C5185" s="3" t="s">
        <v>45</v>
      </c>
      <c r="D5185" s="3" t="s">
        <v>3021</v>
      </c>
      <c r="E5185" s="3" t="s">
        <v>77</v>
      </c>
      <c r="F5185" s="3"/>
      <c r="G5185" s="3"/>
      <c r="H5185" s="3"/>
      <c r="I5185" s="3"/>
    </row>
    <row r="5186" spans="1:9" s="5" customFormat="1" x14ac:dyDescent="0.35">
      <c r="A5186" s="3" t="s">
        <v>1938</v>
      </c>
      <c r="B5186" s="3" t="s">
        <v>1939</v>
      </c>
      <c r="C5186" s="3" t="s">
        <v>45</v>
      </c>
      <c r="D5186" s="3" t="s">
        <v>3021</v>
      </c>
      <c r="E5186" s="3" t="s">
        <v>56</v>
      </c>
      <c r="F5186" s="3" t="s">
        <v>16</v>
      </c>
      <c r="G5186" s="3" t="s">
        <v>2285</v>
      </c>
      <c r="H5186" s="3"/>
      <c r="I5186" s="3"/>
    </row>
    <row r="5187" spans="1:9" s="5" customFormat="1" x14ac:dyDescent="0.35">
      <c r="A5187" s="3" t="s">
        <v>1938</v>
      </c>
      <c r="B5187" s="3" t="s">
        <v>1939</v>
      </c>
      <c r="C5187" s="3" t="s">
        <v>20</v>
      </c>
      <c r="D5187" s="3" t="s">
        <v>1984</v>
      </c>
      <c r="E5187" s="3" t="s">
        <v>25</v>
      </c>
      <c r="F5187" s="3"/>
      <c r="G5187" s="3"/>
      <c r="H5187" s="3"/>
      <c r="I5187" s="3"/>
    </row>
    <row r="5188" spans="1:9" s="5" customFormat="1" x14ac:dyDescent="0.35">
      <c r="A5188" s="3" t="s">
        <v>1938</v>
      </c>
      <c r="B5188" s="3" t="s">
        <v>1939</v>
      </c>
      <c r="C5188" s="3" t="s">
        <v>20</v>
      </c>
      <c r="D5188" s="3" t="s">
        <v>1984</v>
      </c>
      <c r="E5188" s="3" t="s">
        <v>141</v>
      </c>
      <c r="F5188" s="3"/>
      <c r="G5188" s="3"/>
      <c r="H5188" s="3"/>
      <c r="I5188" s="3"/>
    </row>
    <row r="5189" spans="1:9" s="5" customFormat="1" x14ac:dyDescent="0.35">
      <c r="A5189" s="3" t="s">
        <v>1938</v>
      </c>
      <c r="B5189" s="3" t="s">
        <v>1939</v>
      </c>
      <c r="C5189" s="3" t="s">
        <v>20</v>
      </c>
      <c r="D5189" s="3" t="s">
        <v>1984</v>
      </c>
      <c r="E5189" s="3" t="s">
        <v>15</v>
      </c>
      <c r="F5189" s="3" t="s">
        <v>16</v>
      </c>
      <c r="G5189" s="3" t="s">
        <v>2606</v>
      </c>
      <c r="H5189" s="3"/>
      <c r="I5189" s="3"/>
    </row>
    <row r="5190" spans="1:9" s="5" customFormat="1" x14ac:dyDescent="0.35">
      <c r="A5190" s="3" t="s">
        <v>1938</v>
      </c>
      <c r="B5190" s="3" t="s">
        <v>1939</v>
      </c>
      <c r="C5190" s="3" t="s">
        <v>20</v>
      </c>
      <c r="D5190" s="3" t="s">
        <v>1984</v>
      </c>
      <c r="E5190" s="3" t="s">
        <v>134</v>
      </c>
      <c r="F5190" s="3"/>
      <c r="G5190" s="3"/>
      <c r="H5190" s="3"/>
      <c r="I5190" s="3"/>
    </row>
    <row r="5191" spans="1:9" s="5" customFormat="1" x14ac:dyDescent="0.35">
      <c r="A5191" s="3" t="s">
        <v>1938</v>
      </c>
      <c r="B5191" s="3" t="s">
        <v>1939</v>
      </c>
      <c r="C5191" s="3" t="s">
        <v>10</v>
      </c>
      <c r="D5191" s="3" t="s">
        <v>2782</v>
      </c>
      <c r="E5191" s="3" t="s">
        <v>47</v>
      </c>
      <c r="F5191" s="3"/>
      <c r="G5191" s="3"/>
      <c r="H5191" s="3"/>
      <c r="I5191" s="3"/>
    </row>
    <row r="5192" spans="1:9" s="5" customFormat="1" x14ac:dyDescent="0.35">
      <c r="A5192" s="3" t="s">
        <v>1938</v>
      </c>
      <c r="B5192" s="3" t="s">
        <v>1939</v>
      </c>
      <c r="C5192" s="3" t="s">
        <v>10</v>
      </c>
      <c r="D5192" s="3" t="s">
        <v>2782</v>
      </c>
      <c r="E5192" s="3" t="s">
        <v>134</v>
      </c>
      <c r="F5192" s="3"/>
      <c r="G5192" s="3"/>
      <c r="H5192" s="3"/>
      <c r="I5192" s="3"/>
    </row>
    <row r="5193" spans="1:9" s="5" customFormat="1" x14ac:dyDescent="0.35">
      <c r="A5193" s="3" t="s">
        <v>1938</v>
      </c>
      <c r="B5193" s="3" t="s">
        <v>1939</v>
      </c>
      <c r="C5193" s="3" t="s">
        <v>20</v>
      </c>
      <c r="D5193" s="3" t="s">
        <v>1985</v>
      </c>
      <c r="E5193" s="3" t="s">
        <v>12</v>
      </c>
      <c r="F5193" s="3" t="s">
        <v>33</v>
      </c>
      <c r="G5193" s="3" t="s">
        <v>1986</v>
      </c>
      <c r="H5193" s="3"/>
      <c r="I5193" s="3"/>
    </row>
    <row r="5194" spans="1:9" s="5" customFormat="1" x14ac:dyDescent="0.35">
      <c r="A5194" s="3" t="s">
        <v>1938</v>
      </c>
      <c r="B5194" s="3" t="s">
        <v>1939</v>
      </c>
      <c r="C5194" s="3" t="s">
        <v>20</v>
      </c>
      <c r="D5194" s="3" t="s">
        <v>1985</v>
      </c>
      <c r="E5194" s="3" t="s">
        <v>47</v>
      </c>
      <c r="F5194" s="3" t="s">
        <v>33</v>
      </c>
      <c r="G5194" s="3" t="s">
        <v>1986</v>
      </c>
      <c r="H5194" s="3"/>
      <c r="I5194" s="3"/>
    </row>
    <row r="5195" spans="1:9" s="5" customFormat="1" x14ac:dyDescent="0.35">
      <c r="A5195" s="3" t="s">
        <v>1938</v>
      </c>
      <c r="B5195" s="3" t="s">
        <v>1939</v>
      </c>
      <c r="C5195" s="3" t="s">
        <v>20</v>
      </c>
      <c r="D5195" s="3" t="s">
        <v>1985</v>
      </c>
      <c r="E5195" s="3" t="s">
        <v>57</v>
      </c>
      <c r="F5195" s="3" t="s">
        <v>33</v>
      </c>
      <c r="G5195" s="3" t="s">
        <v>1986</v>
      </c>
      <c r="H5195" s="3"/>
      <c r="I5195" s="3"/>
    </row>
    <row r="5196" spans="1:9" s="5" customFormat="1" x14ac:dyDescent="0.35">
      <c r="A5196" s="3" t="s">
        <v>1938</v>
      </c>
      <c r="B5196" s="3" t="s">
        <v>1939</v>
      </c>
      <c r="C5196" s="3" t="s">
        <v>20</v>
      </c>
      <c r="D5196" s="3" t="s">
        <v>1985</v>
      </c>
      <c r="E5196" s="3" t="s">
        <v>56</v>
      </c>
      <c r="F5196" s="3" t="s">
        <v>33</v>
      </c>
      <c r="G5196" s="3" t="s">
        <v>1986</v>
      </c>
      <c r="H5196" s="3"/>
      <c r="I5196" s="3"/>
    </row>
    <row r="5197" spans="1:9" s="5" customFormat="1" x14ac:dyDescent="0.35">
      <c r="A5197" s="3" t="s">
        <v>1938</v>
      </c>
      <c r="B5197" s="3" t="s">
        <v>1939</v>
      </c>
      <c r="C5197" s="3" t="s">
        <v>20</v>
      </c>
      <c r="D5197" s="3" t="s">
        <v>1985</v>
      </c>
      <c r="E5197" s="3" t="s">
        <v>32</v>
      </c>
      <c r="F5197" s="3" t="s">
        <v>33</v>
      </c>
      <c r="G5197" s="3" t="s">
        <v>1986</v>
      </c>
      <c r="H5197" s="3"/>
      <c r="I5197" s="3"/>
    </row>
    <row r="5198" spans="1:9" s="5" customFormat="1" x14ac:dyDescent="0.35">
      <c r="A5198" s="3" t="s">
        <v>1938</v>
      </c>
      <c r="B5198" s="3" t="s">
        <v>1939</v>
      </c>
      <c r="C5198" s="3" t="s">
        <v>10</v>
      </c>
      <c r="D5198" s="3" t="s">
        <v>1987</v>
      </c>
      <c r="E5198" s="3" t="s">
        <v>47</v>
      </c>
      <c r="F5198" s="3"/>
      <c r="G5198" s="3"/>
      <c r="H5198" s="3"/>
      <c r="I5198" s="3"/>
    </row>
    <row r="5199" spans="1:9" s="5" customFormat="1" x14ac:dyDescent="0.35">
      <c r="A5199" s="3" t="s">
        <v>1938</v>
      </c>
      <c r="B5199" s="3" t="s">
        <v>1939</v>
      </c>
      <c r="C5199" s="3" t="s">
        <v>10</v>
      </c>
      <c r="D5199" s="3" t="s">
        <v>1987</v>
      </c>
      <c r="E5199" s="3" t="s">
        <v>15</v>
      </c>
      <c r="F5199" s="3" t="s">
        <v>16</v>
      </c>
      <c r="G5199" s="3" t="s">
        <v>1988</v>
      </c>
      <c r="H5199" s="3"/>
      <c r="I5199" s="3"/>
    </row>
    <row r="5200" spans="1:9" s="5" customFormat="1" x14ac:dyDescent="0.35">
      <c r="A5200" s="3" t="s">
        <v>1938</v>
      </c>
      <c r="B5200" s="3" t="s">
        <v>1939</v>
      </c>
      <c r="C5200" s="3" t="s">
        <v>20</v>
      </c>
      <c r="D5200" s="3" t="s">
        <v>1989</v>
      </c>
      <c r="E5200" s="3" t="s">
        <v>12</v>
      </c>
      <c r="F5200" s="3"/>
      <c r="G5200" s="3"/>
      <c r="H5200" s="3"/>
      <c r="I5200" s="3"/>
    </row>
    <row r="5201" spans="1:9" s="5" customFormat="1" x14ac:dyDescent="0.35">
      <c r="A5201" s="3" t="s">
        <v>1938</v>
      </c>
      <c r="B5201" s="3" t="s">
        <v>1939</v>
      </c>
      <c r="C5201" s="3" t="s">
        <v>20</v>
      </c>
      <c r="D5201" s="3" t="s">
        <v>1989</v>
      </c>
      <c r="E5201" s="3" t="s">
        <v>47</v>
      </c>
      <c r="F5201" s="3"/>
      <c r="G5201" s="3"/>
      <c r="H5201" s="3"/>
      <c r="I5201" s="3"/>
    </row>
    <row r="5202" spans="1:9" s="5" customFormat="1" x14ac:dyDescent="0.35">
      <c r="A5202" s="3" t="s">
        <v>1938</v>
      </c>
      <c r="B5202" s="3" t="s">
        <v>1939</v>
      </c>
      <c r="C5202" s="3" t="s">
        <v>20</v>
      </c>
      <c r="D5202" s="3" t="s">
        <v>1989</v>
      </c>
      <c r="E5202" s="3" t="s">
        <v>32</v>
      </c>
      <c r="F5202" s="3"/>
      <c r="G5202" s="3"/>
      <c r="H5202" s="3"/>
      <c r="I5202" s="3"/>
    </row>
    <row r="5203" spans="1:9" s="5" customFormat="1" x14ac:dyDescent="0.35">
      <c r="A5203" s="3" t="s">
        <v>1938</v>
      </c>
      <c r="B5203" s="3" t="s">
        <v>1939</v>
      </c>
      <c r="C5203" s="3" t="s">
        <v>10</v>
      </c>
      <c r="D5203" s="3" t="s">
        <v>1990</v>
      </c>
      <c r="E5203" s="3" t="s">
        <v>47</v>
      </c>
      <c r="F5203" s="3"/>
      <c r="G5203" s="3"/>
      <c r="H5203" s="3"/>
      <c r="I5203" s="3"/>
    </row>
    <row r="5204" spans="1:9" s="5" customFormat="1" x14ac:dyDescent="0.35">
      <c r="A5204" s="3" t="s">
        <v>1938</v>
      </c>
      <c r="B5204" s="3" t="s">
        <v>1939</v>
      </c>
      <c r="C5204" s="3" t="s">
        <v>10</v>
      </c>
      <c r="D5204" s="3" t="s">
        <v>1990</v>
      </c>
      <c r="E5204" s="3" t="s">
        <v>25</v>
      </c>
      <c r="F5204" s="3"/>
      <c r="G5204" s="3"/>
      <c r="H5204" s="3"/>
      <c r="I5204" s="3"/>
    </row>
    <row r="5205" spans="1:9" s="5" customFormat="1" x14ac:dyDescent="0.35">
      <c r="A5205" s="3" t="s">
        <v>1938</v>
      </c>
      <c r="B5205" s="3" t="s">
        <v>1939</v>
      </c>
      <c r="C5205" s="3" t="s">
        <v>10</v>
      </c>
      <c r="D5205" s="3" t="s">
        <v>1990</v>
      </c>
      <c r="E5205" s="3" t="s">
        <v>28</v>
      </c>
      <c r="F5205" s="3"/>
      <c r="G5205" s="3"/>
      <c r="H5205" s="3"/>
      <c r="I5205" s="3"/>
    </row>
    <row r="5206" spans="1:9" s="5" customFormat="1" x14ac:dyDescent="0.35">
      <c r="A5206" s="3" t="s">
        <v>1938</v>
      </c>
      <c r="B5206" s="3" t="s">
        <v>1939</v>
      </c>
      <c r="C5206" s="3" t="s">
        <v>10</v>
      </c>
      <c r="D5206" s="3" t="s">
        <v>1990</v>
      </c>
      <c r="E5206" s="3" t="s">
        <v>87</v>
      </c>
      <c r="F5206" s="3"/>
      <c r="G5206" s="3" t="s">
        <v>2397</v>
      </c>
      <c r="H5206" s="3"/>
      <c r="I5206" s="3"/>
    </row>
    <row r="5207" spans="1:9" s="5" customFormat="1" x14ac:dyDescent="0.35">
      <c r="A5207" s="3" t="s">
        <v>1938</v>
      </c>
      <c r="B5207" s="3" t="s">
        <v>1939</v>
      </c>
      <c r="C5207" s="3" t="s">
        <v>10</v>
      </c>
      <c r="D5207" s="3" t="s">
        <v>1990</v>
      </c>
      <c r="E5207" s="3" t="s">
        <v>15</v>
      </c>
      <c r="F5207" s="3"/>
      <c r="G5207" s="3"/>
      <c r="H5207" s="3"/>
      <c r="I5207" s="3"/>
    </row>
    <row r="5208" spans="1:9" s="5" customFormat="1" x14ac:dyDescent="0.35">
      <c r="A5208" s="3" t="s">
        <v>1938</v>
      </c>
      <c r="B5208" s="3" t="s">
        <v>1939</v>
      </c>
      <c r="C5208" s="3" t="s">
        <v>20</v>
      </c>
      <c r="D5208" s="3" t="s">
        <v>1991</v>
      </c>
      <c r="E5208" s="3" t="s">
        <v>25</v>
      </c>
      <c r="F5208" s="3"/>
      <c r="G5208" s="3"/>
      <c r="H5208" s="3"/>
      <c r="I5208" s="3"/>
    </row>
    <row r="5209" spans="1:9" s="5" customFormat="1" x14ac:dyDescent="0.35">
      <c r="A5209" s="3" t="s">
        <v>1938</v>
      </c>
      <c r="B5209" s="3" t="s">
        <v>1939</v>
      </c>
      <c r="C5209" s="3" t="s">
        <v>20</v>
      </c>
      <c r="D5209" s="3" t="s">
        <v>1991</v>
      </c>
      <c r="E5209" s="3" t="s">
        <v>32</v>
      </c>
      <c r="F5209" s="3" t="s">
        <v>33</v>
      </c>
      <c r="G5209" s="3" t="s">
        <v>34</v>
      </c>
      <c r="H5209" s="3"/>
      <c r="I5209" s="3"/>
    </row>
    <row r="5210" spans="1:9" s="5" customFormat="1" x14ac:dyDescent="0.35">
      <c r="A5210" s="3" t="s">
        <v>1938</v>
      </c>
      <c r="B5210" s="3" t="s">
        <v>1939</v>
      </c>
      <c r="C5210" s="3" t="s">
        <v>20</v>
      </c>
      <c r="D5210" s="3" t="s">
        <v>1991</v>
      </c>
      <c r="E5210" s="3" t="s">
        <v>134</v>
      </c>
      <c r="F5210" s="3"/>
      <c r="G5210" s="3"/>
      <c r="H5210" s="3"/>
      <c r="I5210" s="3"/>
    </row>
    <row r="5211" spans="1:9" s="5" customFormat="1" x14ac:dyDescent="0.35">
      <c r="A5211" s="3" t="s">
        <v>1938</v>
      </c>
      <c r="B5211" s="3" t="s">
        <v>1939</v>
      </c>
      <c r="C5211" s="3" t="s">
        <v>20</v>
      </c>
      <c r="D5211" s="3" t="s">
        <v>1991</v>
      </c>
      <c r="E5211" s="3" t="s">
        <v>630</v>
      </c>
      <c r="F5211" s="3" t="s">
        <v>33</v>
      </c>
      <c r="G5211" s="3" t="s">
        <v>34</v>
      </c>
      <c r="H5211" s="3"/>
      <c r="I5211" s="3"/>
    </row>
    <row r="5212" spans="1:9" s="5" customFormat="1" x14ac:dyDescent="0.35">
      <c r="A5212" s="3" t="s">
        <v>1938</v>
      </c>
      <c r="B5212" s="3" t="s">
        <v>1939</v>
      </c>
      <c r="C5212" s="3" t="s">
        <v>10</v>
      </c>
      <c r="D5212" s="3" t="s">
        <v>1992</v>
      </c>
      <c r="E5212" s="3" t="s">
        <v>15</v>
      </c>
      <c r="F5212" s="3" t="s">
        <v>16</v>
      </c>
      <c r="G5212" s="3" t="s">
        <v>1993</v>
      </c>
      <c r="H5212" s="3"/>
      <c r="I5212" s="3"/>
    </row>
    <row r="5213" spans="1:9" s="5" customFormat="1" x14ac:dyDescent="0.35">
      <c r="A5213" s="3" t="s">
        <v>1938</v>
      </c>
      <c r="B5213" s="3" t="s">
        <v>1939</v>
      </c>
      <c r="C5213" s="3" t="s">
        <v>10</v>
      </c>
      <c r="D5213" s="3" t="s">
        <v>1994</v>
      </c>
      <c r="E5213" s="3" t="s">
        <v>47</v>
      </c>
      <c r="F5213" s="3"/>
      <c r="G5213" s="3"/>
      <c r="H5213" s="3"/>
      <c r="I5213" s="3"/>
    </row>
    <row r="5214" spans="1:9" s="5" customFormat="1" x14ac:dyDescent="0.35">
      <c r="A5214" s="3" t="s">
        <v>1938</v>
      </c>
      <c r="B5214" s="3" t="s">
        <v>1939</v>
      </c>
      <c r="C5214" s="3" t="s">
        <v>10</v>
      </c>
      <c r="D5214" s="3" t="s">
        <v>1995</v>
      </c>
      <c r="E5214" s="3" t="s">
        <v>47</v>
      </c>
      <c r="F5214" s="3"/>
      <c r="G5214" s="3"/>
      <c r="H5214" s="3"/>
      <c r="I5214" s="3"/>
    </row>
    <row r="5215" spans="1:9" s="5" customFormat="1" x14ac:dyDescent="0.35">
      <c r="A5215" s="3" t="s">
        <v>1938</v>
      </c>
      <c r="B5215" s="3" t="s">
        <v>1939</v>
      </c>
      <c r="C5215" s="3" t="s">
        <v>10</v>
      </c>
      <c r="D5215" s="3" t="s">
        <v>1995</v>
      </c>
      <c r="E5215" s="3" t="s">
        <v>32</v>
      </c>
      <c r="F5215" s="3"/>
      <c r="G5215" s="3"/>
      <c r="H5215" s="3"/>
      <c r="I5215" s="3"/>
    </row>
    <row r="5216" spans="1:9" s="5" customFormat="1" x14ac:dyDescent="0.35">
      <c r="A5216" s="3" t="s">
        <v>1938</v>
      </c>
      <c r="B5216" s="3" t="s">
        <v>1939</v>
      </c>
      <c r="C5216" s="3" t="s">
        <v>10</v>
      </c>
      <c r="D5216" s="3" t="s">
        <v>2911</v>
      </c>
      <c r="E5216" s="3" t="s">
        <v>47</v>
      </c>
      <c r="F5216" s="3"/>
      <c r="G5216" s="3"/>
      <c r="H5216" s="3"/>
      <c r="I5216" s="3"/>
    </row>
    <row r="5217" spans="1:9" s="5" customFormat="1" x14ac:dyDescent="0.35">
      <c r="A5217" s="3" t="s">
        <v>1938</v>
      </c>
      <c r="B5217" s="3" t="s">
        <v>1939</v>
      </c>
      <c r="C5217" s="3" t="s">
        <v>10</v>
      </c>
      <c r="D5217" s="3" t="s">
        <v>2911</v>
      </c>
      <c r="E5217" s="3" t="s">
        <v>15</v>
      </c>
      <c r="F5217" s="3" t="s">
        <v>16</v>
      </c>
      <c r="G5217" s="3" t="s">
        <v>2912</v>
      </c>
      <c r="H5217" s="3"/>
      <c r="I5217" s="3"/>
    </row>
    <row r="5218" spans="1:9" s="5" customFormat="1" x14ac:dyDescent="0.35">
      <c r="A5218" s="3" t="s">
        <v>1938</v>
      </c>
      <c r="B5218" s="3" t="s">
        <v>1939</v>
      </c>
      <c r="C5218" s="3" t="s">
        <v>45</v>
      </c>
      <c r="D5218" s="3" t="s">
        <v>1996</v>
      </c>
      <c r="E5218" s="3" t="s">
        <v>12</v>
      </c>
      <c r="F5218" s="3"/>
      <c r="G5218" s="3"/>
      <c r="H5218" s="3"/>
      <c r="I5218" s="3"/>
    </row>
    <row r="5219" spans="1:9" s="5" customFormat="1" x14ac:dyDescent="0.35">
      <c r="A5219" s="3" t="s">
        <v>1938</v>
      </c>
      <c r="B5219" s="3" t="s">
        <v>1939</v>
      </c>
      <c r="C5219" s="3" t="s">
        <v>45</v>
      </c>
      <c r="D5219" s="3" t="s">
        <v>1996</v>
      </c>
      <c r="E5219" s="3" t="s">
        <v>47</v>
      </c>
      <c r="F5219" s="3"/>
      <c r="G5219" s="3"/>
      <c r="H5219" s="3"/>
      <c r="I5219" s="3"/>
    </row>
    <row r="5220" spans="1:9" s="5" customFormat="1" x14ac:dyDescent="0.35">
      <c r="A5220" s="3" t="s">
        <v>1938</v>
      </c>
      <c r="B5220" s="3" t="s">
        <v>1939</v>
      </c>
      <c r="C5220" s="3" t="s">
        <v>45</v>
      </c>
      <c r="D5220" s="3" t="s">
        <v>1996</v>
      </c>
      <c r="E5220" s="3" t="s">
        <v>77</v>
      </c>
      <c r="F5220" s="3"/>
      <c r="G5220" s="3"/>
      <c r="H5220" s="3"/>
      <c r="I5220" s="3"/>
    </row>
    <row r="5221" spans="1:9" s="5" customFormat="1" x14ac:dyDescent="0.35">
      <c r="A5221" s="3" t="s">
        <v>1938</v>
      </c>
      <c r="B5221" s="3" t="s">
        <v>1939</v>
      </c>
      <c r="C5221" s="3" t="s">
        <v>45</v>
      </c>
      <c r="D5221" s="3" t="s">
        <v>1996</v>
      </c>
      <c r="E5221" s="3" t="s">
        <v>28</v>
      </c>
      <c r="F5221" s="3"/>
      <c r="G5221" s="3" t="s">
        <v>2356</v>
      </c>
      <c r="H5221" s="3"/>
      <c r="I5221" s="3"/>
    </row>
    <row r="5222" spans="1:9" s="5" customFormat="1" x14ac:dyDescent="0.35">
      <c r="A5222" s="3" t="s">
        <v>1938</v>
      </c>
      <c r="B5222" s="3" t="s">
        <v>1939</v>
      </c>
      <c r="C5222" s="3" t="s">
        <v>45</v>
      </c>
      <c r="D5222" s="3" t="s">
        <v>1996</v>
      </c>
      <c r="E5222" s="3" t="s">
        <v>242</v>
      </c>
      <c r="F5222" s="3" t="s">
        <v>16</v>
      </c>
      <c r="G5222" s="3" t="s">
        <v>2719</v>
      </c>
      <c r="H5222" s="3"/>
      <c r="I5222" s="3"/>
    </row>
    <row r="5223" spans="1:9" s="5" customFormat="1" x14ac:dyDescent="0.35">
      <c r="A5223" s="3" t="s">
        <v>1938</v>
      </c>
      <c r="B5223" s="3" t="s">
        <v>1939</v>
      </c>
      <c r="C5223" s="3" t="s">
        <v>45</v>
      </c>
      <c r="D5223" s="3" t="s">
        <v>1996</v>
      </c>
      <c r="E5223" s="3" t="s">
        <v>15</v>
      </c>
      <c r="F5223" s="3" t="s">
        <v>16</v>
      </c>
      <c r="G5223" s="3" t="s">
        <v>2727</v>
      </c>
      <c r="H5223" s="3"/>
      <c r="I5223" s="3"/>
    </row>
    <row r="5224" spans="1:9" s="5" customFormat="1" x14ac:dyDescent="0.35">
      <c r="A5224" s="3" t="s">
        <v>1938</v>
      </c>
      <c r="B5224" s="3" t="s">
        <v>1939</v>
      </c>
      <c r="C5224" s="3" t="s">
        <v>45</v>
      </c>
      <c r="D5224" s="3" t="s">
        <v>1996</v>
      </c>
      <c r="E5224" s="3" t="s">
        <v>29</v>
      </c>
      <c r="F5224" s="3" t="s">
        <v>33</v>
      </c>
      <c r="G5224" s="3" t="s">
        <v>34</v>
      </c>
      <c r="H5224" s="3"/>
      <c r="I5224" s="3"/>
    </row>
    <row r="5225" spans="1:9" s="5" customFormat="1" x14ac:dyDescent="0.35">
      <c r="A5225" s="3" t="s">
        <v>1938</v>
      </c>
      <c r="B5225" s="3" t="s">
        <v>1939</v>
      </c>
      <c r="C5225" s="3" t="s">
        <v>45</v>
      </c>
      <c r="D5225" s="3" t="s">
        <v>1996</v>
      </c>
      <c r="E5225" s="3" t="s">
        <v>134</v>
      </c>
      <c r="F5225" s="3" t="s">
        <v>33</v>
      </c>
      <c r="G5225" s="3" t="s">
        <v>34</v>
      </c>
      <c r="H5225" s="3"/>
      <c r="I5225" s="3"/>
    </row>
    <row r="5226" spans="1:9" s="5" customFormat="1" x14ac:dyDescent="0.35">
      <c r="A5226" s="3" t="s">
        <v>1938</v>
      </c>
      <c r="B5226" s="3" t="s">
        <v>1939</v>
      </c>
      <c r="C5226" s="3" t="s">
        <v>20</v>
      </c>
      <c r="D5226" s="3" t="s">
        <v>1997</v>
      </c>
      <c r="E5226" s="3" t="s">
        <v>12</v>
      </c>
      <c r="F5226" s="3"/>
      <c r="G5226" s="3"/>
      <c r="H5226" s="3"/>
      <c r="I5226" s="3"/>
    </row>
    <row r="5227" spans="1:9" s="5" customFormat="1" x14ac:dyDescent="0.35">
      <c r="A5227" s="3" t="s">
        <v>1938</v>
      </c>
      <c r="B5227" s="3" t="s">
        <v>1939</v>
      </c>
      <c r="C5227" s="3" t="s">
        <v>20</v>
      </c>
      <c r="D5227" s="3" t="s">
        <v>1997</v>
      </c>
      <c r="E5227" s="3" t="s">
        <v>28</v>
      </c>
      <c r="F5227" s="3" t="s">
        <v>16</v>
      </c>
      <c r="G5227" s="3" t="s">
        <v>2728</v>
      </c>
      <c r="H5227" s="3"/>
      <c r="I5227" s="3"/>
    </row>
    <row r="5228" spans="1:9" s="5" customFormat="1" x14ac:dyDescent="0.35">
      <c r="A5228" s="3" t="s">
        <v>1938</v>
      </c>
      <c r="B5228" s="3" t="s">
        <v>1939</v>
      </c>
      <c r="C5228" s="3" t="s">
        <v>20</v>
      </c>
      <c r="D5228" s="3" t="s">
        <v>1997</v>
      </c>
      <c r="E5228" s="3" t="s">
        <v>15</v>
      </c>
      <c r="F5228" s="3" t="s">
        <v>16</v>
      </c>
      <c r="G5228" s="3" t="s">
        <v>1993</v>
      </c>
      <c r="H5228" s="3"/>
      <c r="I5228" s="3"/>
    </row>
    <row r="5229" spans="1:9" s="5" customFormat="1" x14ac:dyDescent="0.35">
      <c r="A5229" s="3" t="s">
        <v>1938</v>
      </c>
      <c r="B5229" s="3" t="s">
        <v>1939</v>
      </c>
      <c r="C5229" s="3" t="s">
        <v>20</v>
      </c>
      <c r="D5229" s="3" t="s">
        <v>1997</v>
      </c>
      <c r="E5229" s="3" t="s">
        <v>57</v>
      </c>
      <c r="F5229" s="3" t="s">
        <v>16</v>
      </c>
      <c r="G5229" s="3" t="s">
        <v>1998</v>
      </c>
      <c r="H5229" s="3"/>
      <c r="I5229" s="3"/>
    </row>
    <row r="5230" spans="1:9" s="5" customFormat="1" x14ac:dyDescent="0.35">
      <c r="A5230" s="3" t="s">
        <v>1938</v>
      </c>
      <c r="B5230" s="3" t="s">
        <v>1939</v>
      </c>
      <c r="C5230" s="3" t="s">
        <v>20</v>
      </c>
      <c r="D5230" s="3" t="s">
        <v>1999</v>
      </c>
      <c r="E5230" s="3" t="s">
        <v>47</v>
      </c>
      <c r="F5230" s="3" t="s">
        <v>16</v>
      </c>
      <c r="G5230" s="3" t="s">
        <v>2000</v>
      </c>
      <c r="H5230" s="3"/>
      <c r="I5230" s="3"/>
    </row>
    <row r="5231" spans="1:9" s="5" customFormat="1" x14ac:dyDescent="0.35">
      <c r="A5231" s="3" t="s">
        <v>1938</v>
      </c>
      <c r="B5231" s="3" t="s">
        <v>1939</v>
      </c>
      <c r="C5231" s="3" t="s">
        <v>20</v>
      </c>
      <c r="D5231" s="3" t="s">
        <v>1999</v>
      </c>
      <c r="E5231" s="3" t="s">
        <v>25</v>
      </c>
      <c r="F5231" s="3" t="s">
        <v>16</v>
      </c>
      <c r="G5231" s="3" t="s">
        <v>2000</v>
      </c>
      <c r="H5231" s="3"/>
      <c r="I5231" s="3"/>
    </row>
    <row r="5232" spans="1:9" s="5" customFormat="1" x14ac:dyDescent="0.35">
      <c r="A5232" s="3" t="s">
        <v>1938</v>
      </c>
      <c r="B5232" s="3" t="s">
        <v>1939</v>
      </c>
      <c r="C5232" s="3" t="s">
        <v>20</v>
      </c>
      <c r="D5232" s="3" t="s">
        <v>1999</v>
      </c>
      <c r="E5232" s="3" t="s">
        <v>28</v>
      </c>
      <c r="F5232" s="3" t="s">
        <v>16</v>
      </c>
      <c r="G5232" s="3" t="s">
        <v>2000</v>
      </c>
      <c r="H5232" s="3"/>
      <c r="I5232" s="3"/>
    </row>
    <row r="5233" spans="1:9" s="5" customFormat="1" x14ac:dyDescent="0.35">
      <c r="A5233" s="3" t="s">
        <v>1938</v>
      </c>
      <c r="B5233" s="3" t="s">
        <v>1939</v>
      </c>
      <c r="C5233" s="3" t="s">
        <v>20</v>
      </c>
      <c r="D5233" s="3" t="s">
        <v>1999</v>
      </c>
      <c r="E5233" s="3" t="s">
        <v>87</v>
      </c>
      <c r="F5233" s="3" t="s">
        <v>16</v>
      </c>
      <c r="G5233" s="3" t="s">
        <v>2000</v>
      </c>
      <c r="H5233" s="3"/>
      <c r="I5233" s="3"/>
    </row>
    <row r="5234" spans="1:9" s="5" customFormat="1" x14ac:dyDescent="0.35">
      <c r="A5234" s="3" t="s">
        <v>1938</v>
      </c>
      <c r="B5234" s="3" t="s">
        <v>1939</v>
      </c>
      <c r="C5234" s="3" t="s">
        <v>20</v>
      </c>
      <c r="D5234" s="3" t="s">
        <v>1999</v>
      </c>
      <c r="E5234" s="3" t="s">
        <v>32</v>
      </c>
      <c r="F5234" s="3" t="s">
        <v>16</v>
      </c>
      <c r="G5234" s="3" t="s">
        <v>2000</v>
      </c>
      <c r="H5234" s="3"/>
      <c r="I5234" s="3"/>
    </row>
    <row r="5235" spans="1:9" s="5" customFormat="1" x14ac:dyDescent="0.35">
      <c r="A5235" s="3" t="s">
        <v>1938</v>
      </c>
      <c r="B5235" s="3" t="s">
        <v>1939</v>
      </c>
      <c r="C5235" s="3" t="s">
        <v>20</v>
      </c>
      <c r="D5235" s="3" t="s">
        <v>1999</v>
      </c>
      <c r="E5235" s="3" t="s">
        <v>107</v>
      </c>
      <c r="F5235" s="3" t="s">
        <v>16</v>
      </c>
      <c r="G5235" s="3" t="s">
        <v>2000</v>
      </c>
      <c r="H5235" s="3"/>
      <c r="I5235" s="3"/>
    </row>
    <row r="5236" spans="1:9" s="5" customFormat="1" x14ac:dyDescent="0.35">
      <c r="A5236" s="3" t="s">
        <v>1938</v>
      </c>
      <c r="B5236" s="3" t="s">
        <v>1939</v>
      </c>
      <c r="C5236" s="3" t="s">
        <v>42</v>
      </c>
      <c r="D5236" s="3" t="s">
        <v>2001</v>
      </c>
      <c r="E5236" s="3" t="s">
        <v>12</v>
      </c>
      <c r="F5236" s="3"/>
      <c r="G5236" s="3"/>
      <c r="H5236" s="3"/>
      <c r="I5236" s="3"/>
    </row>
    <row r="5237" spans="1:9" s="5" customFormat="1" x14ac:dyDescent="0.35">
      <c r="A5237" s="3" t="s">
        <v>1938</v>
      </c>
      <c r="B5237" s="3" t="s">
        <v>1939</v>
      </c>
      <c r="C5237" s="3" t="s">
        <v>42</v>
      </c>
      <c r="D5237" s="3" t="s">
        <v>2001</v>
      </c>
      <c r="E5237" s="3" t="s">
        <v>36</v>
      </c>
      <c r="F5237" s="3" t="s">
        <v>16</v>
      </c>
      <c r="G5237" s="3" t="s">
        <v>2546</v>
      </c>
      <c r="H5237" s="3"/>
      <c r="I5237" s="3"/>
    </row>
    <row r="5238" spans="1:9" s="5" customFormat="1" x14ac:dyDescent="0.35">
      <c r="A5238" s="3" t="s">
        <v>1938</v>
      </c>
      <c r="B5238" s="3" t="s">
        <v>1939</v>
      </c>
      <c r="C5238" s="3" t="s">
        <v>42</v>
      </c>
      <c r="D5238" s="3" t="s">
        <v>2001</v>
      </c>
      <c r="E5238" s="3" t="s">
        <v>47</v>
      </c>
      <c r="F5238" s="3"/>
      <c r="G5238" s="3"/>
      <c r="H5238" s="3"/>
      <c r="I5238" s="3"/>
    </row>
    <row r="5239" spans="1:9" s="5" customFormat="1" x14ac:dyDescent="0.35">
      <c r="A5239" s="3" t="s">
        <v>1938</v>
      </c>
      <c r="B5239" s="3" t="s">
        <v>1939</v>
      </c>
      <c r="C5239" s="3" t="s">
        <v>42</v>
      </c>
      <c r="D5239" s="3" t="s">
        <v>2001</v>
      </c>
      <c r="E5239" s="3" t="s">
        <v>25</v>
      </c>
      <c r="F5239" s="3"/>
      <c r="G5239" s="3"/>
      <c r="H5239" s="3"/>
      <c r="I5239" s="3"/>
    </row>
    <row r="5240" spans="1:9" s="5" customFormat="1" x14ac:dyDescent="0.35">
      <c r="A5240" s="3" t="s">
        <v>1938</v>
      </c>
      <c r="B5240" s="3" t="s">
        <v>1939</v>
      </c>
      <c r="C5240" s="3" t="s">
        <v>42</v>
      </c>
      <c r="D5240" s="3" t="s">
        <v>2001</v>
      </c>
      <c r="E5240" s="3" t="s">
        <v>141</v>
      </c>
      <c r="F5240" s="3"/>
      <c r="G5240" s="3"/>
      <c r="H5240" s="3"/>
      <c r="I5240" s="3"/>
    </row>
    <row r="5241" spans="1:9" s="5" customFormat="1" x14ac:dyDescent="0.35">
      <c r="A5241" s="3" t="s">
        <v>1938</v>
      </c>
      <c r="B5241" s="3" t="s">
        <v>1939</v>
      </c>
      <c r="C5241" s="3" t="s">
        <v>42</v>
      </c>
      <c r="D5241" s="3" t="s">
        <v>2001</v>
      </c>
      <c r="E5241" s="3" t="s">
        <v>142</v>
      </c>
      <c r="F5241" s="3"/>
      <c r="G5241" s="3"/>
      <c r="H5241" s="3"/>
      <c r="I5241" s="3"/>
    </row>
    <row r="5242" spans="1:9" s="5" customFormat="1" x14ac:dyDescent="0.35">
      <c r="A5242" s="3" t="s">
        <v>1938</v>
      </c>
      <c r="B5242" s="3" t="s">
        <v>1939</v>
      </c>
      <c r="C5242" s="3" t="s">
        <v>42</v>
      </c>
      <c r="D5242" s="3" t="s">
        <v>2001</v>
      </c>
      <c r="E5242" s="3" t="s">
        <v>28</v>
      </c>
      <c r="F5242" s="3"/>
      <c r="G5242" s="3" t="s">
        <v>2547</v>
      </c>
      <c r="H5242" s="3"/>
      <c r="I5242" s="3"/>
    </row>
    <row r="5243" spans="1:9" s="5" customFormat="1" x14ac:dyDescent="0.35">
      <c r="A5243" s="3" t="s">
        <v>1938</v>
      </c>
      <c r="B5243" s="3" t="s">
        <v>1939</v>
      </c>
      <c r="C5243" s="3" t="s">
        <v>42</v>
      </c>
      <c r="D5243" s="3" t="s">
        <v>2001</v>
      </c>
      <c r="E5243" s="3" t="s">
        <v>15</v>
      </c>
      <c r="F5243" s="3" t="s">
        <v>16</v>
      </c>
      <c r="G5243" s="3" t="s">
        <v>2002</v>
      </c>
      <c r="H5243" s="3"/>
      <c r="I5243" s="3"/>
    </row>
    <row r="5244" spans="1:9" s="5" customFormat="1" x14ac:dyDescent="0.35">
      <c r="A5244" s="3" t="s">
        <v>1938</v>
      </c>
      <c r="B5244" s="3" t="s">
        <v>1939</v>
      </c>
      <c r="C5244" s="3" t="s">
        <v>42</v>
      </c>
      <c r="D5244" s="3" t="s">
        <v>2001</v>
      </c>
      <c r="E5244" s="3" t="s">
        <v>57</v>
      </c>
      <c r="F5244" s="3"/>
      <c r="G5244" s="3" t="s">
        <v>2311</v>
      </c>
      <c r="H5244" s="3"/>
      <c r="I5244" s="3"/>
    </row>
    <row r="5245" spans="1:9" s="5" customFormat="1" x14ac:dyDescent="0.35">
      <c r="A5245" s="3" t="s">
        <v>1938</v>
      </c>
      <c r="B5245" s="3" t="s">
        <v>1939</v>
      </c>
      <c r="C5245" s="3" t="s">
        <v>42</v>
      </c>
      <c r="D5245" s="3" t="s">
        <v>2001</v>
      </c>
      <c r="E5245" s="3" t="s">
        <v>32</v>
      </c>
      <c r="F5245" s="3"/>
      <c r="G5245" s="3" t="s">
        <v>2466</v>
      </c>
      <c r="H5245" s="3"/>
      <c r="I5245" s="3"/>
    </row>
    <row r="5246" spans="1:9" s="5" customFormat="1" x14ac:dyDescent="0.35">
      <c r="A5246" s="3" t="s">
        <v>1938</v>
      </c>
      <c r="B5246" s="3" t="s">
        <v>1939</v>
      </c>
      <c r="C5246" s="3" t="s">
        <v>42</v>
      </c>
      <c r="D5246" s="3" t="s">
        <v>2001</v>
      </c>
      <c r="E5246" s="3" t="s">
        <v>134</v>
      </c>
      <c r="F5246" s="3"/>
      <c r="G5246" s="3"/>
      <c r="H5246" s="3"/>
      <c r="I5246" s="3"/>
    </row>
    <row r="5247" spans="1:9" s="5" customFormat="1" x14ac:dyDescent="0.35">
      <c r="A5247" s="3" t="s">
        <v>1938</v>
      </c>
      <c r="B5247" s="3" t="s">
        <v>1939</v>
      </c>
      <c r="C5247" s="3" t="s">
        <v>42</v>
      </c>
      <c r="D5247" s="3" t="s">
        <v>2001</v>
      </c>
      <c r="E5247" s="3" t="s">
        <v>107</v>
      </c>
      <c r="F5247" s="3" t="s">
        <v>16</v>
      </c>
      <c r="G5247" s="3" t="s">
        <v>2003</v>
      </c>
      <c r="H5247" s="3"/>
      <c r="I5247" s="3"/>
    </row>
    <row r="5248" spans="1:9" s="5" customFormat="1" x14ac:dyDescent="0.35">
      <c r="A5248" s="3" t="s">
        <v>1938</v>
      </c>
      <c r="B5248" s="3" t="s">
        <v>1939</v>
      </c>
      <c r="C5248" s="3" t="s">
        <v>10</v>
      </c>
      <c r="D5248" s="3" t="s">
        <v>2004</v>
      </c>
      <c r="E5248" s="3" t="s">
        <v>47</v>
      </c>
      <c r="F5248" s="3"/>
      <c r="G5248" s="3"/>
      <c r="H5248" s="3"/>
      <c r="I5248" s="3"/>
    </row>
    <row r="5249" spans="1:9" s="5" customFormat="1" x14ac:dyDescent="0.35">
      <c r="A5249" s="3" t="s">
        <v>1938</v>
      </c>
      <c r="B5249" s="3" t="s">
        <v>1939</v>
      </c>
      <c r="C5249" s="3" t="s">
        <v>10</v>
      </c>
      <c r="D5249" s="3" t="s">
        <v>2004</v>
      </c>
      <c r="E5249" s="3" t="s">
        <v>15</v>
      </c>
      <c r="F5249" s="3" t="s">
        <v>16</v>
      </c>
      <c r="G5249" s="3" t="s">
        <v>990</v>
      </c>
      <c r="H5249" s="3"/>
      <c r="I5249" s="3"/>
    </row>
    <row r="5250" spans="1:9" s="5" customFormat="1" x14ac:dyDescent="0.35">
      <c r="A5250" s="3" t="s">
        <v>1938</v>
      </c>
      <c r="B5250" s="3" t="s">
        <v>1939</v>
      </c>
      <c r="C5250" s="3" t="s">
        <v>302</v>
      </c>
      <c r="D5250" s="3" t="s">
        <v>2005</v>
      </c>
      <c r="E5250" s="3" t="s">
        <v>12</v>
      </c>
      <c r="F5250" s="3" t="s">
        <v>33</v>
      </c>
      <c r="G5250" s="3" t="s">
        <v>1986</v>
      </c>
      <c r="H5250" s="3"/>
      <c r="I5250" s="3"/>
    </row>
    <row r="5251" spans="1:9" s="5" customFormat="1" x14ac:dyDescent="0.35">
      <c r="A5251" s="3" t="s">
        <v>1938</v>
      </c>
      <c r="B5251" s="3" t="s">
        <v>1939</v>
      </c>
      <c r="C5251" s="3" t="s">
        <v>302</v>
      </c>
      <c r="D5251" s="3" t="s">
        <v>2005</v>
      </c>
      <c r="E5251" s="3" t="s">
        <v>36</v>
      </c>
      <c r="F5251" s="3" t="s">
        <v>33</v>
      </c>
      <c r="G5251" s="3" t="s">
        <v>1986</v>
      </c>
      <c r="H5251" s="3"/>
      <c r="I5251" s="3"/>
    </row>
    <row r="5252" spans="1:9" s="5" customFormat="1" x14ac:dyDescent="0.35">
      <c r="A5252" s="3" t="s">
        <v>1938</v>
      </c>
      <c r="B5252" s="3" t="s">
        <v>1939</v>
      </c>
      <c r="C5252" s="3" t="s">
        <v>302</v>
      </c>
      <c r="D5252" s="3" t="s">
        <v>2005</v>
      </c>
      <c r="E5252" s="3" t="s">
        <v>28</v>
      </c>
      <c r="F5252" s="3" t="s">
        <v>33</v>
      </c>
      <c r="G5252" s="3" t="s">
        <v>1986</v>
      </c>
      <c r="H5252" s="3"/>
      <c r="I5252" s="3"/>
    </row>
    <row r="5253" spans="1:9" s="5" customFormat="1" x14ac:dyDescent="0.35">
      <c r="A5253" s="3" t="s">
        <v>1938</v>
      </c>
      <c r="B5253" s="3" t="s">
        <v>1939</v>
      </c>
      <c r="C5253" s="3" t="s">
        <v>10</v>
      </c>
      <c r="D5253" s="3" t="s">
        <v>2006</v>
      </c>
      <c r="E5253" s="3" t="s">
        <v>15</v>
      </c>
      <c r="F5253" s="3" t="s">
        <v>33</v>
      </c>
      <c r="G5253" s="3" t="s">
        <v>487</v>
      </c>
      <c r="H5253" s="3"/>
      <c r="I5253" s="3"/>
    </row>
    <row r="5254" spans="1:9" s="5" customFormat="1" x14ac:dyDescent="0.35">
      <c r="A5254" s="3" t="s">
        <v>1938</v>
      </c>
      <c r="B5254" s="3" t="s">
        <v>1939</v>
      </c>
      <c r="C5254" s="3" t="s">
        <v>45</v>
      </c>
      <c r="D5254" s="3" t="s">
        <v>2007</v>
      </c>
      <c r="E5254" s="3" t="s">
        <v>15</v>
      </c>
      <c r="F5254" s="3" t="s">
        <v>16</v>
      </c>
      <c r="G5254" s="3" t="s">
        <v>990</v>
      </c>
      <c r="H5254" s="3"/>
      <c r="I5254" s="3"/>
    </row>
    <row r="5255" spans="1:9" s="5" customFormat="1" x14ac:dyDescent="0.35">
      <c r="A5255" s="3" t="s">
        <v>1938</v>
      </c>
      <c r="B5255" s="3" t="s">
        <v>2008</v>
      </c>
      <c r="C5255" s="3" t="s">
        <v>20</v>
      </c>
      <c r="D5255" s="3" t="s">
        <v>2009</v>
      </c>
      <c r="E5255" s="3" t="s">
        <v>12</v>
      </c>
      <c r="F5255" s="3"/>
      <c r="G5255" s="3"/>
      <c r="H5255" s="3"/>
      <c r="I5255" s="3"/>
    </row>
    <row r="5256" spans="1:9" s="5" customFormat="1" x14ac:dyDescent="0.35">
      <c r="A5256" s="3" t="s">
        <v>1938</v>
      </c>
      <c r="B5256" s="3" t="s">
        <v>2008</v>
      </c>
      <c r="C5256" s="3" t="s">
        <v>20</v>
      </c>
      <c r="D5256" s="3" t="s">
        <v>2009</v>
      </c>
      <c r="E5256" s="3" t="s">
        <v>36</v>
      </c>
      <c r="F5256" s="3" t="s">
        <v>33</v>
      </c>
      <c r="G5256" s="3" t="s">
        <v>34</v>
      </c>
      <c r="H5256" s="3"/>
      <c r="I5256" s="3"/>
    </row>
    <row r="5257" spans="1:9" s="5" customFormat="1" x14ac:dyDescent="0.35">
      <c r="A5257" s="3" t="s">
        <v>1938</v>
      </c>
      <c r="B5257" s="3" t="s">
        <v>2008</v>
      </c>
      <c r="C5257" s="3" t="s">
        <v>20</v>
      </c>
      <c r="D5257" s="3" t="s">
        <v>2009</v>
      </c>
      <c r="E5257" s="3" t="s">
        <v>27</v>
      </c>
      <c r="F5257" s="3"/>
      <c r="G5257" s="3"/>
      <c r="H5257" s="3"/>
      <c r="I5257" s="3"/>
    </row>
    <row r="5258" spans="1:9" s="5" customFormat="1" x14ac:dyDescent="0.35">
      <c r="A5258" s="3" t="s">
        <v>1938</v>
      </c>
      <c r="B5258" s="3" t="s">
        <v>2008</v>
      </c>
      <c r="C5258" s="3" t="s">
        <v>20</v>
      </c>
      <c r="D5258" s="3" t="s">
        <v>2009</v>
      </c>
      <c r="E5258" s="3" t="s">
        <v>31</v>
      </c>
      <c r="F5258" s="3"/>
      <c r="G5258" s="3"/>
      <c r="H5258" s="3"/>
      <c r="I5258" s="3"/>
    </row>
    <row r="5259" spans="1:9" s="5" customFormat="1" x14ac:dyDescent="0.35">
      <c r="A5259" s="3" t="s">
        <v>1938</v>
      </c>
      <c r="B5259" s="3" t="s">
        <v>2008</v>
      </c>
      <c r="C5259" s="3" t="s">
        <v>20</v>
      </c>
      <c r="D5259" s="3" t="s">
        <v>2009</v>
      </c>
      <c r="E5259" s="3" t="s">
        <v>15</v>
      </c>
      <c r="F5259" s="3"/>
      <c r="G5259" s="3"/>
      <c r="H5259" s="3"/>
      <c r="I5259" s="3"/>
    </row>
    <row r="5260" spans="1:9" s="5" customFormat="1" x14ac:dyDescent="0.35">
      <c r="A5260" s="3" t="s">
        <v>1938</v>
      </c>
      <c r="B5260" s="3" t="s">
        <v>2008</v>
      </c>
      <c r="C5260" s="3" t="s">
        <v>20</v>
      </c>
      <c r="D5260" s="3" t="s">
        <v>2009</v>
      </c>
      <c r="E5260" s="3" t="s">
        <v>26</v>
      </c>
      <c r="F5260" s="3"/>
      <c r="G5260" s="3"/>
      <c r="H5260" s="3"/>
      <c r="I5260" s="3"/>
    </row>
    <row r="5261" spans="1:9" s="5" customFormat="1" x14ac:dyDescent="0.35">
      <c r="A5261" s="3" t="s">
        <v>1938</v>
      </c>
      <c r="B5261" s="3" t="s">
        <v>2008</v>
      </c>
      <c r="C5261" s="3" t="s">
        <v>20</v>
      </c>
      <c r="D5261" s="3" t="s">
        <v>2009</v>
      </c>
      <c r="E5261" s="3" t="s">
        <v>29</v>
      </c>
      <c r="F5261" s="3" t="s">
        <v>16</v>
      </c>
      <c r="G5261" s="3" t="s">
        <v>2010</v>
      </c>
      <c r="H5261" s="3"/>
      <c r="I5261" s="3"/>
    </row>
    <row r="5262" spans="1:9" s="5" customFormat="1" x14ac:dyDescent="0.35">
      <c r="A5262" s="3" t="s">
        <v>1938</v>
      </c>
      <c r="B5262" s="3" t="s">
        <v>2011</v>
      </c>
      <c r="C5262" s="3" t="s">
        <v>42</v>
      </c>
      <c r="D5262" s="3" t="s">
        <v>2012</v>
      </c>
      <c r="E5262" s="3" t="s">
        <v>15</v>
      </c>
      <c r="F5262" s="3" t="s">
        <v>16</v>
      </c>
      <c r="G5262" s="3" t="s">
        <v>2013</v>
      </c>
      <c r="H5262" s="3"/>
      <c r="I5262" s="3"/>
    </row>
    <row r="5263" spans="1:9" s="5" customFormat="1" x14ac:dyDescent="0.35">
      <c r="A5263" s="3" t="s">
        <v>1938</v>
      </c>
      <c r="B5263" s="3" t="s">
        <v>2011</v>
      </c>
      <c r="C5263" s="3" t="s">
        <v>42</v>
      </c>
      <c r="D5263" s="3" t="s">
        <v>2012</v>
      </c>
      <c r="E5263" s="3" t="s">
        <v>29</v>
      </c>
      <c r="F5263" s="3"/>
      <c r="G5263" s="3"/>
      <c r="H5263" s="3"/>
      <c r="I5263" s="3"/>
    </row>
    <row r="5264" spans="1:9" s="5" customFormat="1" x14ac:dyDescent="0.35">
      <c r="A5264" s="3" t="s">
        <v>1938</v>
      </c>
      <c r="B5264" s="3" t="s">
        <v>2011</v>
      </c>
      <c r="C5264" s="3" t="s">
        <v>42</v>
      </c>
      <c r="D5264" s="3" t="s">
        <v>2012</v>
      </c>
      <c r="E5264" s="3" t="s">
        <v>134</v>
      </c>
      <c r="F5264" s="3"/>
      <c r="G5264" s="3"/>
      <c r="H5264" s="3"/>
      <c r="I5264" s="3"/>
    </row>
    <row r="5265" spans="1:9" s="5" customFormat="1" x14ac:dyDescent="0.35">
      <c r="A5265" s="3" t="s">
        <v>1938</v>
      </c>
      <c r="B5265" s="3" t="s">
        <v>2011</v>
      </c>
      <c r="C5265" s="3" t="s">
        <v>42</v>
      </c>
      <c r="D5265" s="3" t="s">
        <v>2012</v>
      </c>
      <c r="E5265" s="3" t="s">
        <v>107</v>
      </c>
      <c r="F5265" s="3" t="s">
        <v>16</v>
      </c>
      <c r="G5265" s="3" t="s">
        <v>2014</v>
      </c>
      <c r="H5265" s="3"/>
      <c r="I5265" s="3"/>
    </row>
    <row r="5266" spans="1:9" s="5" customFormat="1" x14ac:dyDescent="0.35">
      <c r="A5266" s="3" t="s">
        <v>1938</v>
      </c>
      <c r="B5266" s="3" t="s">
        <v>2729</v>
      </c>
      <c r="C5266" s="3" t="s">
        <v>20</v>
      </c>
      <c r="D5266" s="3" t="s">
        <v>2730</v>
      </c>
      <c r="E5266" s="3" t="s">
        <v>12</v>
      </c>
      <c r="F5266" s="3"/>
      <c r="G5266" s="3"/>
      <c r="H5266" s="3"/>
      <c r="I5266" s="3"/>
    </row>
    <row r="5267" spans="1:9" s="5" customFormat="1" x14ac:dyDescent="0.35">
      <c r="A5267" s="3" t="s">
        <v>1938</v>
      </c>
      <c r="B5267" s="3" t="s">
        <v>2729</v>
      </c>
      <c r="C5267" s="3" t="s">
        <v>20</v>
      </c>
      <c r="D5267" s="3" t="s">
        <v>2730</v>
      </c>
      <c r="E5267" s="3" t="s">
        <v>27</v>
      </c>
      <c r="F5267" s="3"/>
      <c r="G5267" s="11"/>
      <c r="H5267" s="3"/>
      <c r="I5267" s="3"/>
    </row>
    <row r="5268" spans="1:9" s="5" customFormat="1" x14ac:dyDescent="0.35">
      <c r="A5268" s="3" t="s">
        <v>1938</v>
      </c>
      <c r="B5268" s="3" t="s">
        <v>2729</v>
      </c>
      <c r="C5268" s="3" t="s">
        <v>20</v>
      </c>
      <c r="D5268" s="3" t="s">
        <v>2730</v>
      </c>
      <c r="E5268" s="3" t="s">
        <v>28</v>
      </c>
      <c r="F5268" s="3"/>
      <c r="G5268" s="11"/>
      <c r="H5268" s="3"/>
      <c r="I5268" s="3"/>
    </row>
    <row r="5269" spans="1:9" s="5" customFormat="1" x14ac:dyDescent="0.35">
      <c r="A5269" s="3" t="s">
        <v>1938</v>
      </c>
      <c r="B5269" s="3" t="s">
        <v>2729</v>
      </c>
      <c r="C5269" s="3" t="s">
        <v>20</v>
      </c>
      <c r="D5269" s="3" t="s">
        <v>2730</v>
      </c>
      <c r="E5269" s="3" t="s">
        <v>98</v>
      </c>
      <c r="F5269" s="3"/>
      <c r="G5269" s="3" t="s">
        <v>2660</v>
      </c>
      <c r="H5269" s="3"/>
      <c r="I5269" s="3"/>
    </row>
    <row r="5270" spans="1:9" s="5" customFormat="1" x14ac:dyDescent="0.35">
      <c r="A5270" s="3" t="s">
        <v>1938</v>
      </c>
      <c r="B5270" s="3" t="s">
        <v>2729</v>
      </c>
      <c r="C5270" s="3" t="s">
        <v>20</v>
      </c>
      <c r="D5270" s="3" t="s">
        <v>2730</v>
      </c>
      <c r="E5270" s="3" t="s">
        <v>15</v>
      </c>
      <c r="F5270" s="3" t="s">
        <v>16</v>
      </c>
      <c r="G5270" s="3" t="s">
        <v>2731</v>
      </c>
      <c r="H5270" s="3"/>
      <c r="I5270" s="3"/>
    </row>
    <row r="5271" spans="1:9" s="5" customFormat="1" x14ac:dyDescent="0.35">
      <c r="A5271" s="3" t="s">
        <v>1938</v>
      </c>
      <c r="B5271" s="3" t="s">
        <v>2729</v>
      </c>
      <c r="C5271" s="3" t="s">
        <v>20</v>
      </c>
      <c r="D5271" s="3" t="s">
        <v>2730</v>
      </c>
      <c r="E5271" s="3" t="s">
        <v>24</v>
      </c>
      <c r="F5271" s="3"/>
      <c r="G5271" s="3"/>
      <c r="H5271" s="3"/>
      <c r="I5271" s="3"/>
    </row>
    <row r="5272" spans="1:9" s="5" customFormat="1" x14ac:dyDescent="0.35">
      <c r="A5272" s="3" t="s">
        <v>1938</v>
      </c>
      <c r="B5272" s="3" t="s">
        <v>2724</v>
      </c>
      <c r="C5272" s="3" t="s">
        <v>42</v>
      </c>
      <c r="D5272" s="3" t="s">
        <v>2725</v>
      </c>
      <c r="E5272" s="3" t="s">
        <v>12</v>
      </c>
      <c r="F5272" s="3"/>
      <c r="G5272" s="3"/>
      <c r="H5272" s="3" t="s">
        <v>16</v>
      </c>
      <c r="I5272" s="3" t="s">
        <v>409</v>
      </c>
    </row>
    <row r="5273" spans="1:9" s="5" customFormat="1" x14ac:dyDescent="0.35">
      <c r="A5273" s="3" t="s">
        <v>1938</v>
      </c>
      <c r="B5273" s="3" t="s">
        <v>2724</v>
      </c>
      <c r="C5273" s="3" t="s">
        <v>42</v>
      </c>
      <c r="D5273" s="3" t="s">
        <v>2725</v>
      </c>
      <c r="E5273" s="3" t="s">
        <v>15</v>
      </c>
      <c r="F5273" s="3" t="s">
        <v>16</v>
      </c>
      <c r="G5273" s="3" t="s">
        <v>2726</v>
      </c>
      <c r="H5273" s="3" t="s">
        <v>16</v>
      </c>
      <c r="I5273" s="3" t="s">
        <v>409</v>
      </c>
    </row>
    <row r="5274" spans="1:9" s="5" customFormat="1" x14ac:dyDescent="0.35">
      <c r="A5274" s="3" t="s">
        <v>1938</v>
      </c>
      <c r="B5274" s="3" t="s">
        <v>2015</v>
      </c>
      <c r="C5274" s="3" t="s">
        <v>20</v>
      </c>
      <c r="D5274" s="3" t="s">
        <v>2016</v>
      </c>
      <c r="E5274" s="3" t="s">
        <v>25</v>
      </c>
      <c r="F5274" s="3" t="s">
        <v>33</v>
      </c>
      <c r="G5274" s="3" t="s">
        <v>487</v>
      </c>
      <c r="H5274" s="3"/>
      <c r="I5274" s="3"/>
    </row>
    <row r="5275" spans="1:9" s="5" customFormat="1" x14ac:dyDescent="0.35">
      <c r="A5275" s="3" t="s">
        <v>1938</v>
      </c>
      <c r="B5275" s="3" t="s">
        <v>2015</v>
      </c>
      <c r="C5275" s="3" t="s">
        <v>20</v>
      </c>
      <c r="D5275" s="3" t="s">
        <v>2016</v>
      </c>
      <c r="E5275" s="3" t="s">
        <v>15</v>
      </c>
      <c r="F5275" s="3" t="s">
        <v>33</v>
      </c>
      <c r="G5275" s="3" t="s">
        <v>487</v>
      </c>
      <c r="H5275" s="3"/>
      <c r="I5275" s="3"/>
    </row>
    <row r="5276" spans="1:9" s="5" customFormat="1" x14ac:dyDescent="0.35">
      <c r="A5276" s="3" t="s">
        <v>1938</v>
      </c>
      <c r="B5276" s="3" t="s">
        <v>2015</v>
      </c>
      <c r="C5276" s="3" t="s">
        <v>20</v>
      </c>
      <c r="D5276" s="3" t="s">
        <v>2016</v>
      </c>
      <c r="E5276" s="3" t="s">
        <v>32</v>
      </c>
      <c r="F5276" s="3" t="s">
        <v>33</v>
      </c>
      <c r="G5276" s="3" t="s">
        <v>487</v>
      </c>
      <c r="H5276" s="3"/>
      <c r="I5276" s="3"/>
    </row>
    <row r="5277" spans="1:9" s="5" customFormat="1" x14ac:dyDescent="0.35">
      <c r="A5277" s="3" t="s">
        <v>1938</v>
      </c>
      <c r="B5277" s="3" t="s">
        <v>2015</v>
      </c>
      <c r="C5277" s="3" t="s">
        <v>20</v>
      </c>
      <c r="D5277" s="3" t="s">
        <v>2017</v>
      </c>
      <c r="E5277" s="3" t="s">
        <v>25</v>
      </c>
      <c r="F5277" s="3" t="s">
        <v>16</v>
      </c>
      <c r="G5277" s="3" t="s">
        <v>2018</v>
      </c>
      <c r="H5277" s="3"/>
      <c r="I5277" s="3"/>
    </row>
    <row r="5278" spans="1:9" s="5" customFormat="1" x14ac:dyDescent="0.35">
      <c r="A5278" s="3" t="s">
        <v>1938</v>
      </c>
      <c r="B5278" s="3" t="s">
        <v>2015</v>
      </c>
      <c r="C5278" s="3" t="s">
        <v>20</v>
      </c>
      <c r="D5278" s="3" t="s">
        <v>2017</v>
      </c>
      <c r="E5278" s="3" t="s">
        <v>60</v>
      </c>
      <c r="F5278" s="3" t="s">
        <v>16</v>
      </c>
      <c r="G5278" s="3" t="s">
        <v>2019</v>
      </c>
      <c r="H5278" s="3"/>
      <c r="I5278" s="3"/>
    </row>
    <row r="5279" spans="1:9" s="5" customFormat="1" x14ac:dyDescent="0.35">
      <c r="A5279" s="3" t="s">
        <v>1938</v>
      </c>
      <c r="B5279" s="3" t="s">
        <v>2015</v>
      </c>
      <c r="C5279" s="3" t="s">
        <v>20</v>
      </c>
      <c r="D5279" s="3" t="s">
        <v>2017</v>
      </c>
      <c r="E5279" s="3" t="s">
        <v>28</v>
      </c>
      <c r="F5279" s="3"/>
      <c r="G5279" s="3"/>
      <c r="H5279" s="3"/>
      <c r="I5279" s="3"/>
    </row>
    <row r="5280" spans="1:9" s="5" customFormat="1" x14ac:dyDescent="0.35">
      <c r="A5280" s="3" t="s">
        <v>1938</v>
      </c>
      <c r="B5280" s="3" t="s">
        <v>2015</v>
      </c>
      <c r="C5280" s="3" t="s">
        <v>20</v>
      </c>
      <c r="D5280" s="3" t="s">
        <v>2017</v>
      </c>
      <c r="E5280" s="3" t="s">
        <v>15</v>
      </c>
      <c r="F5280" s="3" t="s">
        <v>16</v>
      </c>
      <c r="G5280" s="3" t="s">
        <v>2020</v>
      </c>
      <c r="H5280" s="3"/>
      <c r="I5280" s="3"/>
    </row>
    <row r="5281" spans="1:9" s="5" customFormat="1" x14ac:dyDescent="0.35">
      <c r="A5281" s="3" t="s">
        <v>1938</v>
      </c>
      <c r="B5281" s="3" t="s">
        <v>2015</v>
      </c>
      <c r="C5281" s="3" t="s">
        <v>39</v>
      </c>
      <c r="D5281" s="3" t="s">
        <v>2021</v>
      </c>
      <c r="E5281" s="3" t="s">
        <v>12</v>
      </c>
      <c r="F5281" s="3"/>
      <c r="G5281" s="3"/>
      <c r="H5281" s="3"/>
      <c r="I5281" s="3"/>
    </row>
    <row r="5282" spans="1:9" s="5" customFormat="1" x14ac:dyDescent="0.35">
      <c r="A5282" s="3" t="s">
        <v>1938</v>
      </c>
      <c r="B5282" s="3" t="s">
        <v>2015</v>
      </c>
      <c r="C5282" s="3" t="s">
        <v>39</v>
      </c>
      <c r="D5282" s="3" t="s">
        <v>2021</v>
      </c>
      <c r="E5282" s="3" t="s">
        <v>31</v>
      </c>
      <c r="F5282" s="3" t="s">
        <v>33</v>
      </c>
      <c r="G5282" s="3" t="s">
        <v>723</v>
      </c>
      <c r="H5282" s="3"/>
      <c r="I5282" s="3"/>
    </row>
    <row r="5283" spans="1:9" s="5" customFormat="1" x14ac:dyDescent="0.35">
      <c r="A5283" s="3" t="s">
        <v>1938</v>
      </c>
      <c r="B5283" s="3" t="s">
        <v>2015</v>
      </c>
      <c r="C5283" s="3" t="s">
        <v>39</v>
      </c>
      <c r="D5283" s="3" t="s">
        <v>2021</v>
      </c>
      <c r="E5283" s="3" t="s">
        <v>15</v>
      </c>
      <c r="F5283" s="3"/>
      <c r="G5283" s="3"/>
      <c r="H5283" s="3"/>
      <c r="I5283" s="3"/>
    </row>
    <row r="5284" spans="1:9" s="5" customFormat="1" x14ac:dyDescent="0.35">
      <c r="A5284" s="3" t="s">
        <v>1938</v>
      </c>
      <c r="B5284" s="3" t="s">
        <v>2015</v>
      </c>
      <c r="C5284" s="3" t="s">
        <v>39</v>
      </c>
      <c r="D5284" s="3" t="s">
        <v>2021</v>
      </c>
      <c r="E5284" s="3" t="s">
        <v>57</v>
      </c>
      <c r="F5284" s="3"/>
      <c r="G5284" s="3"/>
      <c r="H5284" s="3"/>
      <c r="I5284" s="3"/>
    </row>
    <row r="5285" spans="1:9" s="5" customFormat="1" x14ac:dyDescent="0.35">
      <c r="A5285" s="3" t="s">
        <v>1938</v>
      </c>
      <c r="B5285" s="3" t="s">
        <v>2015</v>
      </c>
      <c r="C5285" s="3" t="s">
        <v>39</v>
      </c>
      <c r="D5285" s="3" t="s">
        <v>2021</v>
      </c>
      <c r="E5285" s="3" t="s">
        <v>134</v>
      </c>
      <c r="F5285" s="3"/>
      <c r="G5285" s="3"/>
      <c r="H5285" s="3"/>
      <c r="I5285" s="3"/>
    </row>
    <row r="5286" spans="1:9" s="5" customFormat="1" x14ac:dyDescent="0.35">
      <c r="A5286" s="3" t="s">
        <v>1938</v>
      </c>
      <c r="B5286" s="3" t="s">
        <v>2015</v>
      </c>
      <c r="C5286" s="3" t="s">
        <v>20</v>
      </c>
      <c r="D5286" s="3" t="s">
        <v>2022</v>
      </c>
      <c r="E5286" s="3" t="s">
        <v>57</v>
      </c>
      <c r="F5286" s="3"/>
      <c r="G5286" s="3" t="s">
        <v>2308</v>
      </c>
      <c r="H5286" s="3"/>
      <c r="I5286" s="3"/>
    </row>
    <row r="5287" spans="1:9" s="5" customFormat="1" x14ac:dyDescent="0.35">
      <c r="A5287" s="3" t="s">
        <v>1938</v>
      </c>
      <c r="B5287" s="3" t="s">
        <v>2015</v>
      </c>
      <c r="C5287" s="3" t="s">
        <v>20</v>
      </c>
      <c r="D5287" s="3" t="s">
        <v>2022</v>
      </c>
      <c r="E5287" s="3" t="s">
        <v>134</v>
      </c>
      <c r="F5287" s="3"/>
      <c r="G5287" s="3" t="s">
        <v>2861</v>
      </c>
      <c r="H5287" s="3"/>
      <c r="I5287" s="3"/>
    </row>
    <row r="5288" spans="1:9" s="5" customFormat="1" x14ac:dyDescent="0.35">
      <c r="A5288" s="3" t="s">
        <v>1938</v>
      </c>
      <c r="B5288" s="3" t="s">
        <v>2015</v>
      </c>
      <c r="C5288" s="3" t="s">
        <v>20</v>
      </c>
      <c r="D5288" s="3" t="s">
        <v>2023</v>
      </c>
      <c r="E5288" s="3" t="s">
        <v>47</v>
      </c>
      <c r="F5288" s="3" t="s">
        <v>33</v>
      </c>
      <c r="G5288" s="3" t="s">
        <v>723</v>
      </c>
      <c r="H5288" s="3"/>
      <c r="I5288" s="3"/>
    </row>
    <row r="5289" spans="1:9" s="5" customFormat="1" x14ac:dyDescent="0.35">
      <c r="A5289" s="3" t="s">
        <v>1938</v>
      </c>
      <c r="B5289" s="3" t="s">
        <v>2015</v>
      </c>
      <c r="C5289" s="3" t="s">
        <v>20</v>
      </c>
      <c r="D5289" s="3" t="s">
        <v>2023</v>
      </c>
      <c r="E5289" s="3" t="s">
        <v>25</v>
      </c>
      <c r="F5289" s="3"/>
      <c r="G5289" s="3"/>
      <c r="H5289" s="3"/>
      <c r="I5289" s="3"/>
    </row>
    <row r="5290" spans="1:9" s="5" customFormat="1" x14ac:dyDescent="0.35">
      <c r="A5290" s="3" t="s">
        <v>1938</v>
      </c>
      <c r="B5290" s="3" t="s">
        <v>2015</v>
      </c>
      <c r="C5290" s="3" t="s">
        <v>20</v>
      </c>
      <c r="D5290" s="3" t="s">
        <v>2023</v>
      </c>
      <c r="E5290" s="3" t="s">
        <v>141</v>
      </c>
      <c r="F5290" s="3" t="s">
        <v>33</v>
      </c>
      <c r="G5290" s="3" t="s">
        <v>723</v>
      </c>
      <c r="H5290" s="3"/>
      <c r="I5290" s="3"/>
    </row>
    <row r="5291" spans="1:9" s="5" customFormat="1" x14ac:dyDescent="0.35">
      <c r="A5291" s="3" t="s">
        <v>1938</v>
      </c>
      <c r="B5291" s="3" t="s">
        <v>2015</v>
      </c>
      <c r="C5291" s="3" t="s">
        <v>20</v>
      </c>
      <c r="D5291" s="3" t="s">
        <v>2023</v>
      </c>
      <c r="E5291" s="3" t="s">
        <v>28</v>
      </c>
      <c r="F5291" s="3"/>
      <c r="G5291" s="3" t="s">
        <v>2978</v>
      </c>
      <c r="H5291" s="3"/>
      <c r="I5291" s="3"/>
    </row>
    <row r="5292" spans="1:9" s="5" customFormat="1" x14ac:dyDescent="0.35">
      <c r="A5292" s="3" t="s">
        <v>1938</v>
      </c>
      <c r="B5292" s="3" t="s">
        <v>2015</v>
      </c>
      <c r="C5292" s="3" t="s">
        <v>20</v>
      </c>
      <c r="D5292" s="3" t="s">
        <v>2023</v>
      </c>
      <c r="E5292" s="3" t="s">
        <v>87</v>
      </c>
      <c r="F5292" s="3" t="s">
        <v>33</v>
      </c>
      <c r="G5292" s="3" t="s">
        <v>723</v>
      </c>
      <c r="H5292" s="3"/>
      <c r="I5292" s="3"/>
    </row>
    <row r="5293" spans="1:9" s="5" customFormat="1" x14ac:dyDescent="0.35">
      <c r="A5293" s="3" t="s">
        <v>1938</v>
      </c>
      <c r="B5293" s="3" t="s">
        <v>2015</v>
      </c>
      <c r="C5293" s="3" t="s">
        <v>20</v>
      </c>
      <c r="D5293" s="3" t="s">
        <v>2023</v>
      </c>
      <c r="E5293" s="3" t="s">
        <v>15</v>
      </c>
      <c r="F5293" s="3" t="s">
        <v>16</v>
      </c>
      <c r="G5293" s="3" t="s">
        <v>1993</v>
      </c>
      <c r="H5293" s="3"/>
      <c r="I5293" s="3"/>
    </row>
    <row r="5294" spans="1:9" s="5" customFormat="1" x14ac:dyDescent="0.35">
      <c r="A5294" s="3" t="s">
        <v>1938</v>
      </c>
      <c r="B5294" s="3" t="s">
        <v>2015</v>
      </c>
      <c r="C5294" s="3" t="s">
        <v>20</v>
      </c>
      <c r="D5294" s="3" t="s">
        <v>2023</v>
      </c>
      <c r="E5294" s="3" t="s">
        <v>57</v>
      </c>
      <c r="F5294" s="3"/>
      <c r="G5294" s="3"/>
      <c r="H5294" s="3"/>
      <c r="I5294" s="3"/>
    </row>
    <row r="5295" spans="1:9" s="5" customFormat="1" x14ac:dyDescent="0.35">
      <c r="A5295" s="3" t="s">
        <v>1938</v>
      </c>
      <c r="B5295" s="3" t="s">
        <v>2015</v>
      </c>
      <c r="C5295" s="3" t="s">
        <v>20</v>
      </c>
      <c r="D5295" s="3" t="s">
        <v>2023</v>
      </c>
      <c r="E5295" s="3" t="s">
        <v>56</v>
      </c>
      <c r="F5295" s="3"/>
      <c r="G5295" s="3"/>
      <c r="H5295" s="3"/>
      <c r="I5295" s="3"/>
    </row>
    <row r="5296" spans="1:9" s="5" customFormat="1" x14ac:dyDescent="0.35">
      <c r="A5296" s="3" t="s">
        <v>1938</v>
      </c>
      <c r="B5296" s="3" t="s">
        <v>2015</v>
      </c>
      <c r="C5296" s="3" t="s">
        <v>20</v>
      </c>
      <c r="D5296" s="3" t="s">
        <v>2023</v>
      </c>
      <c r="E5296" s="3" t="s">
        <v>32</v>
      </c>
      <c r="F5296" s="3" t="s">
        <v>16</v>
      </c>
      <c r="G5296" s="3" t="s">
        <v>2024</v>
      </c>
      <c r="H5296" s="3"/>
      <c r="I5296" s="3"/>
    </row>
    <row r="5297" spans="1:9" s="5" customFormat="1" x14ac:dyDescent="0.35">
      <c r="A5297" s="3" t="s">
        <v>1938</v>
      </c>
      <c r="B5297" s="3" t="s">
        <v>2015</v>
      </c>
      <c r="C5297" s="3" t="s">
        <v>20</v>
      </c>
      <c r="D5297" s="3" t="s">
        <v>2023</v>
      </c>
      <c r="E5297" s="3" t="s">
        <v>29</v>
      </c>
      <c r="F5297" s="3"/>
      <c r="G5297" s="3"/>
      <c r="H5297" s="3"/>
      <c r="I5297" s="3"/>
    </row>
    <row r="5298" spans="1:9" s="5" customFormat="1" x14ac:dyDescent="0.35">
      <c r="A5298" s="3" t="s">
        <v>1938</v>
      </c>
      <c r="B5298" s="3" t="s">
        <v>2015</v>
      </c>
      <c r="C5298" s="3" t="s">
        <v>20</v>
      </c>
      <c r="D5298" s="3" t="s">
        <v>2023</v>
      </c>
      <c r="E5298" s="3" t="s">
        <v>134</v>
      </c>
      <c r="F5298" s="3"/>
      <c r="G5298" s="3"/>
      <c r="H5298" s="3"/>
      <c r="I5298" s="3"/>
    </row>
    <row r="5299" spans="1:9" s="5" customFormat="1" x14ac:dyDescent="0.35">
      <c r="A5299" s="3" t="s">
        <v>1938</v>
      </c>
      <c r="B5299" s="3" t="s">
        <v>2015</v>
      </c>
      <c r="C5299" s="3" t="s">
        <v>20</v>
      </c>
      <c r="D5299" s="3" t="s">
        <v>2023</v>
      </c>
      <c r="E5299" s="3" t="s">
        <v>893</v>
      </c>
      <c r="F5299" s="3"/>
      <c r="G5299" s="3" t="s">
        <v>2301</v>
      </c>
      <c r="H5299" s="3"/>
      <c r="I5299" s="3"/>
    </row>
    <row r="5300" spans="1:9" s="5" customFormat="1" x14ac:dyDescent="0.35">
      <c r="A5300" s="3" t="s">
        <v>1938</v>
      </c>
      <c r="B5300" s="3" t="s">
        <v>2015</v>
      </c>
      <c r="C5300" s="3" t="s">
        <v>20</v>
      </c>
      <c r="D5300" s="3" t="s">
        <v>2023</v>
      </c>
      <c r="E5300" s="3" t="s">
        <v>107</v>
      </c>
      <c r="F5300" s="3"/>
      <c r="G5300" s="3"/>
      <c r="H5300" s="3"/>
      <c r="I5300" s="3"/>
    </row>
    <row r="5301" spans="1:9" s="5" customFormat="1" x14ac:dyDescent="0.35">
      <c r="A5301" s="3" t="s">
        <v>1938</v>
      </c>
      <c r="B5301" s="3" t="s">
        <v>2015</v>
      </c>
      <c r="C5301" s="3" t="s">
        <v>10</v>
      </c>
      <c r="D5301" s="3" t="s">
        <v>2979</v>
      </c>
      <c r="E5301" s="3" t="s">
        <v>12</v>
      </c>
      <c r="F5301" s="3"/>
      <c r="G5301" s="3"/>
      <c r="H5301" s="3"/>
      <c r="I5301" s="3"/>
    </row>
    <row r="5302" spans="1:9" s="5" customFormat="1" x14ac:dyDescent="0.35">
      <c r="A5302" s="3" t="s">
        <v>1938</v>
      </c>
      <c r="B5302" s="3" t="s">
        <v>2015</v>
      </c>
      <c r="C5302" s="3" t="s">
        <v>10</v>
      </c>
      <c r="D5302" s="3" t="s">
        <v>2979</v>
      </c>
      <c r="E5302" s="3" t="s">
        <v>47</v>
      </c>
      <c r="F5302" s="3"/>
      <c r="G5302" s="3"/>
      <c r="H5302" s="3"/>
      <c r="I5302" s="3"/>
    </row>
    <row r="5303" spans="1:9" s="5" customFormat="1" x14ac:dyDescent="0.35">
      <c r="A5303" s="3" t="s">
        <v>1938</v>
      </c>
      <c r="B5303" s="3" t="s">
        <v>2015</v>
      </c>
      <c r="C5303" s="3" t="s">
        <v>39</v>
      </c>
      <c r="D5303" s="3" t="s">
        <v>2025</v>
      </c>
      <c r="E5303" s="3" t="s">
        <v>47</v>
      </c>
      <c r="F5303" s="3" t="s">
        <v>16</v>
      </c>
      <c r="G5303" s="3" t="s">
        <v>2026</v>
      </c>
      <c r="H5303" s="3"/>
      <c r="I5303" s="3"/>
    </row>
    <row r="5304" spans="1:9" s="5" customFormat="1" x14ac:dyDescent="0.35">
      <c r="A5304" s="3" t="s">
        <v>1938</v>
      </c>
      <c r="B5304" s="3" t="s">
        <v>2015</v>
      </c>
      <c r="C5304" s="3" t="s">
        <v>39</v>
      </c>
      <c r="D5304" s="3" t="s">
        <v>2025</v>
      </c>
      <c r="E5304" s="3" t="s">
        <v>25</v>
      </c>
      <c r="F5304" s="3" t="s">
        <v>16</v>
      </c>
      <c r="G5304" s="3" t="s">
        <v>2026</v>
      </c>
      <c r="H5304" s="3"/>
      <c r="I5304" s="3"/>
    </row>
    <row r="5305" spans="1:9" s="5" customFormat="1" x14ac:dyDescent="0.35">
      <c r="A5305" s="3" t="s">
        <v>1938</v>
      </c>
      <c r="B5305" s="3" t="s">
        <v>2015</v>
      </c>
      <c r="C5305" s="3" t="s">
        <v>39</v>
      </c>
      <c r="D5305" s="3" t="s">
        <v>2025</v>
      </c>
      <c r="E5305" s="3" t="s">
        <v>141</v>
      </c>
      <c r="F5305" s="3" t="s">
        <v>16</v>
      </c>
      <c r="G5305" s="3" t="s">
        <v>2026</v>
      </c>
      <c r="H5305" s="3"/>
      <c r="I5305" s="3"/>
    </row>
    <row r="5306" spans="1:9" s="5" customFormat="1" x14ac:dyDescent="0.35">
      <c r="A5306" s="3" t="s">
        <v>1938</v>
      </c>
      <c r="B5306" s="3" t="s">
        <v>2015</v>
      </c>
      <c r="C5306" s="3" t="s">
        <v>39</v>
      </c>
      <c r="D5306" s="3" t="s">
        <v>2025</v>
      </c>
      <c r="E5306" s="3" t="s">
        <v>57</v>
      </c>
      <c r="F5306" s="3" t="s">
        <v>16</v>
      </c>
      <c r="G5306" s="3" t="s">
        <v>2026</v>
      </c>
      <c r="H5306" s="3"/>
      <c r="I5306" s="3"/>
    </row>
    <row r="5307" spans="1:9" s="5" customFormat="1" x14ac:dyDescent="0.35">
      <c r="A5307" s="3" t="s">
        <v>1938</v>
      </c>
      <c r="B5307" s="3" t="s">
        <v>2015</v>
      </c>
      <c r="C5307" s="3" t="s">
        <v>39</v>
      </c>
      <c r="D5307" s="3" t="s">
        <v>2025</v>
      </c>
      <c r="E5307" s="3" t="s">
        <v>29</v>
      </c>
      <c r="F5307" s="3" t="s">
        <v>16</v>
      </c>
      <c r="G5307" s="3" t="s">
        <v>2026</v>
      </c>
      <c r="H5307" s="3"/>
      <c r="I5307" s="3"/>
    </row>
    <row r="5308" spans="1:9" s="5" customFormat="1" x14ac:dyDescent="0.35">
      <c r="A5308" s="3" t="s">
        <v>1938</v>
      </c>
      <c r="B5308" s="3" t="s">
        <v>2015</v>
      </c>
      <c r="C5308" s="3" t="s">
        <v>39</v>
      </c>
      <c r="D5308" s="3" t="s">
        <v>2025</v>
      </c>
      <c r="E5308" s="3" t="s">
        <v>152</v>
      </c>
      <c r="F5308" s="3" t="s">
        <v>16</v>
      </c>
      <c r="G5308" s="3" t="s">
        <v>2026</v>
      </c>
      <c r="H5308" s="3"/>
      <c r="I5308" s="3"/>
    </row>
    <row r="5309" spans="1:9" s="5" customFormat="1" x14ac:dyDescent="0.35">
      <c r="A5309" s="3" t="s">
        <v>1938</v>
      </c>
      <c r="B5309" s="3" t="s">
        <v>2015</v>
      </c>
      <c r="C5309" s="3" t="s">
        <v>39</v>
      </c>
      <c r="D5309" s="3" t="s">
        <v>2025</v>
      </c>
      <c r="E5309" s="3" t="s">
        <v>134</v>
      </c>
      <c r="F5309" s="3" t="s">
        <v>16</v>
      </c>
      <c r="G5309" s="3" t="s">
        <v>2026</v>
      </c>
      <c r="H5309" s="3"/>
      <c r="I5309" s="3"/>
    </row>
    <row r="5310" spans="1:9" s="5" customFormat="1" x14ac:dyDescent="0.35">
      <c r="A5310" s="3" t="s">
        <v>1938</v>
      </c>
      <c r="B5310" s="3" t="s">
        <v>2015</v>
      </c>
      <c r="C5310" s="3" t="s">
        <v>39</v>
      </c>
      <c r="D5310" s="3" t="s">
        <v>2027</v>
      </c>
      <c r="E5310" s="3" t="s">
        <v>25</v>
      </c>
      <c r="F5310" s="3" t="s">
        <v>16</v>
      </c>
      <c r="G5310" s="3" t="s">
        <v>2028</v>
      </c>
      <c r="H5310" s="3"/>
      <c r="I5310" s="3"/>
    </row>
    <row r="5311" spans="1:9" s="5" customFormat="1" x14ac:dyDescent="0.35">
      <c r="A5311" s="3" t="s">
        <v>1938</v>
      </c>
      <c r="B5311" s="3" t="s">
        <v>2015</v>
      </c>
      <c r="C5311" s="3" t="s">
        <v>39</v>
      </c>
      <c r="D5311" s="3" t="s">
        <v>2027</v>
      </c>
      <c r="E5311" s="3" t="s">
        <v>141</v>
      </c>
      <c r="F5311" s="3" t="s">
        <v>16</v>
      </c>
      <c r="G5311" s="3" t="s">
        <v>2028</v>
      </c>
      <c r="H5311" s="3"/>
      <c r="I5311" s="3"/>
    </row>
    <row r="5312" spans="1:9" s="5" customFormat="1" x14ac:dyDescent="0.35">
      <c r="A5312" s="3" t="s">
        <v>1938</v>
      </c>
      <c r="B5312" s="3" t="s">
        <v>2015</v>
      </c>
      <c r="C5312" s="3" t="s">
        <v>39</v>
      </c>
      <c r="D5312" s="3" t="s">
        <v>2027</v>
      </c>
      <c r="E5312" s="3" t="s">
        <v>56</v>
      </c>
      <c r="F5312" s="3" t="s">
        <v>16</v>
      </c>
      <c r="G5312" s="3" t="s">
        <v>2442</v>
      </c>
      <c r="H5312" s="3"/>
      <c r="I5312" s="3"/>
    </row>
    <row r="5313" spans="1:9" s="5" customFormat="1" x14ac:dyDescent="0.35">
      <c r="A5313" s="3" t="s">
        <v>1938</v>
      </c>
      <c r="B5313" s="3" t="s">
        <v>2015</v>
      </c>
      <c r="C5313" s="3" t="s">
        <v>39</v>
      </c>
      <c r="D5313" s="3" t="s">
        <v>2027</v>
      </c>
      <c r="E5313" s="3" t="s">
        <v>134</v>
      </c>
      <c r="F5313" s="3" t="s">
        <v>16</v>
      </c>
      <c r="G5313" s="3" t="s">
        <v>2028</v>
      </c>
      <c r="H5313" s="3"/>
      <c r="I5313" s="3"/>
    </row>
    <row r="5314" spans="1:9" s="5" customFormat="1" x14ac:dyDescent="0.35">
      <c r="A5314" s="3" t="s">
        <v>1938</v>
      </c>
      <c r="B5314" s="3" t="s">
        <v>2015</v>
      </c>
      <c r="C5314" s="3" t="s">
        <v>45</v>
      </c>
      <c r="D5314" s="3" t="s">
        <v>2029</v>
      </c>
      <c r="E5314" s="3" t="s">
        <v>134</v>
      </c>
      <c r="F5314" s="3" t="s">
        <v>16</v>
      </c>
      <c r="G5314" s="3" t="s">
        <v>2028</v>
      </c>
      <c r="H5314" s="3"/>
      <c r="I5314" s="3"/>
    </row>
    <row r="5315" spans="1:9" s="5" customFormat="1" x14ac:dyDescent="0.35">
      <c r="A5315" s="3" t="s">
        <v>1938</v>
      </c>
      <c r="B5315" s="3" t="s">
        <v>2015</v>
      </c>
      <c r="C5315" s="3" t="s">
        <v>10</v>
      </c>
      <c r="D5315" s="3" t="s">
        <v>2030</v>
      </c>
      <c r="E5315" s="3" t="s">
        <v>47</v>
      </c>
      <c r="F5315" s="3" t="s">
        <v>16</v>
      </c>
      <c r="G5315" s="3" t="s">
        <v>2031</v>
      </c>
      <c r="H5315" s="3"/>
      <c r="I5315" s="3"/>
    </row>
    <row r="5316" spans="1:9" s="5" customFormat="1" x14ac:dyDescent="0.35">
      <c r="A5316" s="3" t="s">
        <v>1938</v>
      </c>
      <c r="B5316" s="3" t="s">
        <v>2015</v>
      </c>
      <c r="C5316" s="3" t="s">
        <v>45</v>
      </c>
      <c r="D5316" s="3" t="s">
        <v>2032</v>
      </c>
      <c r="E5316" s="3" t="s">
        <v>12</v>
      </c>
      <c r="F5316" s="3" t="s">
        <v>33</v>
      </c>
      <c r="G5316" s="3" t="s">
        <v>34</v>
      </c>
      <c r="H5316" s="3"/>
      <c r="I5316" s="3"/>
    </row>
    <row r="5317" spans="1:9" s="5" customFormat="1" x14ac:dyDescent="0.35">
      <c r="A5317" s="3" t="s">
        <v>1938</v>
      </c>
      <c r="B5317" s="3" t="s">
        <v>2015</v>
      </c>
      <c r="C5317" s="3" t="s">
        <v>45</v>
      </c>
      <c r="D5317" s="3" t="s">
        <v>2032</v>
      </c>
      <c r="E5317" s="3" t="s">
        <v>25</v>
      </c>
      <c r="F5317" s="3"/>
      <c r="G5317" s="3"/>
      <c r="H5317" s="3"/>
      <c r="I5317" s="3"/>
    </row>
    <row r="5318" spans="1:9" s="5" customFormat="1" x14ac:dyDescent="0.35">
      <c r="A5318" s="3" t="s">
        <v>1938</v>
      </c>
      <c r="B5318" s="3" t="s">
        <v>2015</v>
      </c>
      <c r="C5318" s="3" t="s">
        <v>45</v>
      </c>
      <c r="D5318" s="3" t="s">
        <v>2032</v>
      </c>
      <c r="E5318" s="3" t="s">
        <v>142</v>
      </c>
      <c r="F5318" s="3"/>
      <c r="G5318" s="3"/>
      <c r="H5318" s="3"/>
      <c r="I5318" s="3"/>
    </row>
    <row r="5319" spans="1:9" s="5" customFormat="1" x14ac:dyDescent="0.35">
      <c r="A5319" s="3" t="s">
        <v>1938</v>
      </c>
      <c r="B5319" s="3" t="s">
        <v>2015</v>
      </c>
      <c r="C5319" s="3" t="s">
        <v>45</v>
      </c>
      <c r="D5319" s="3" t="s">
        <v>2032</v>
      </c>
      <c r="E5319" s="3" t="s">
        <v>77</v>
      </c>
      <c r="F5319" s="3"/>
      <c r="G5319" s="3"/>
      <c r="H5319" s="3"/>
      <c r="I5319" s="3"/>
    </row>
    <row r="5320" spans="1:9" s="5" customFormat="1" x14ac:dyDescent="0.35">
      <c r="A5320" s="3" t="s">
        <v>1938</v>
      </c>
      <c r="B5320" s="3" t="s">
        <v>2015</v>
      </c>
      <c r="C5320" s="3" t="s">
        <v>45</v>
      </c>
      <c r="D5320" s="3" t="s">
        <v>2032</v>
      </c>
      <c r="E5320" s="3" t="s">
        <v>28</v>
      </c>
      <c r="F5320" s="3"/>
      <c r="G5320" s="3" t="s">
        <v>2454</v>
      </c>
      <c r="H5320" s="3"/>
      <c r="I5320" s="3"/>
    </row>
    <row r="5321" spans="1:9" s="5" customFormat="1" x14ac:dyDescent="0.35">
      <c r="A5321" s="3" t="s">
        <v>1938</v>
      </c>
      <c r="B5321" s="3" t="s">
        <v>2015</v>
      </c>
      <c r="C5321" s="3" t="s">
        <v>45</v>
      </c>
      <c r="D5321" s="3" t="s">
        <v>2032</v>
      </c>
      <c r="E5321" s="3" t="s">
        <v>15</v>
      </c>
      <c r="F5321" s="3" t="s">
        <v>16</v>
      </c>
      <c r="G5321" s="3" t="s">
        <v>2033</v>
      </c>
      <c r="H5321" s="3"/>
      <c r="I5321" s="3"/>
    </row>
    <row r="5322" spans="1:9" s="5" customFormat="1" x14ac:dyDescent="0.35">
      <c r="A5322" s="3" t="s">
        <v>1938</v>
      </c>
      <c r="B5322" s="3" t="s">
        <v>2015</v>
      </c>
      <c r="C5322" s="3" t="s">
        <v>45</v>
      </c>
      <c r="D5322" s="3" t="s">
        <v>2032</v>
      </c>
      <c r="E5322" s="3" t="s">
        <v>57</v>
      </c>
      <c r="F5322" s="3"/>
      <c r="G5322" s="3"/>
      <c r="H5322" s="3"/>
      <c r="I5322" s="3"/>
    </row>
    <row r="5323" spans="1:9" s="5" customFormat="1" x14ac:dyDescent="0.35">
      <c r="A5323" s="3" t="s">
        <v>1938</v>
      </c>
      <c r="B5323" s="3" t="s">
        <v>2015</v>
      </c>
      <c r="C5323" s="3" t="s">
        <v>45</v>
      </c>
      <c r="D5323" s="3" t="s">
        <v>2032</v>
      </c>
      <c r="E5323" s="3" t="s">
        <v>89</v>
      </c>
      <c r="F5323" s="3"/>
      <c r="G5323" s="3"/>
      <c r="H5323" s="3"/>
      <c r="I5323" s="3"/>
    </row>
    <row r="5324" spans="1:9" s="5" customFormat="1" x14ac:dyDescent="0.35">
      <c r="A5324" s="3" t="s">
        <v>1938</v>
      </c>
      <c r="B5324" s="3" t="s">
        <v>2015</v>
      </c>
      <c r="C5324" s="3" t="s">
        <v>45</v>
      </c>
      <c r="D5324" s="3" t="s">
        <v>2032</v>
      </c>
      <c r="E5324" s="3" t="s">
        <v>372</v>
      </c>
      <c r="F5324" s="3" t="s">
        <v>33</v>
      </c>
      <c r="G5324" s="3" t="s">
        <v>34</v>
      </c>
      <c r="H5324" s="3"/>
      <c r="I5324" s="3"/>
    </row>
    <row r="5325" spans="1:9" s="5" customFormat="1" x14ac:dyDescent="0.35">
      <c r="A5325" s="3" t="s">
        <v>1938</v>
      </c>
      <c r="B5325" s="3" t="s">
        <v>2015</v>
      </c>
      <c r="C5325" s="3" t="s">
        <v>10</v>
      </c>
      <c r="D5325" s="3" t="s">
        <v>2650</v>
      </c>
      <c r="E5325" s="3" t="s">
        <v>87</v>
      </c>
      <c r="F5325" s="3"/>
      <c r="G5325" s="3"/>
      <c r="H5325" s="3"/>
      <c r="I5325" s="3"/>
    </row>
    <row r="5326" spans="1:9" s="5" customFormat="1" x14ac:dyDescent="0.35">
      <c r="A5326" s="3" t="s">
        <v>1938</v>
      </c>
      <c r="B5326" s="3" t="s">
        <v>2015</v>
      </c>
      <c r="C5326" s="3" t="s">
        <v>10</v>
      </c>
      <c r="D5326" s="3" t="s">
        <v>2650</v>
      </c>
      <c r="E5326" s="3" t="s">
        <v>29</v>
      </c>
      <c r="F5326" s="3"/>
      <c r="G5326" s="3"/>
      <c r="H5326" s="3"/>
      <c r="I5326" s="3"/>
    </row>
    <row r="5327" spans="1:9" s="5" customFormat="1" x14ac:dyDescent="0.35">
      <c r="A5327" s="3" t="s">
        <v>1938</v>
      </c>
      <c r="B5327" s="3" t="s">
        <v>2015</v>
      </c>
      <c r="C5327" s="3" t="s">
        <v>20</v>
      </c>
      <c r="D5327" s="3" t="s">
        <v>2034</v>
      </c>
      <c r="E5327" s="3" t="s">
        <v>12</v>
      </c>
      <c r="F5327" s="3"/>
      <c r="G5327" s="3"/>
      <c r="H5327" s="3"/>
      <c r="I5327" s="3"/>
    </row>
    <row r="5328" spans="1:9" s="5" customFormat="1" x14ac:dyDescent="0.35">
      <c r="A5328" s="3" t="s">
        <v>1938</v>
      </c>
      <c r="B5328" s="3" t="s">
        <v>2015</v>
      </c>
      <c r="C5328" s="3" t="s">
        <v>20</v>
      </c>
      <c r="D5328" s="3" t="s">
        <v>2034</v>
      </c>
      <c r="E5328" s="3" t="s">
        <v>15</v>
      </c>
      <c r="F5328" s="3" t="s">
        <v>16</v>
      </c>
      <c r="G5328" s="3" t="s">
        <v>2035</v>
      </c>
      <c r="H5328" s="3"/>
      <c r="I5328" s="3"/>
    </row>
    <row r="5329" spans="1:9" s="5" customFormat="1" x14ac:dyDescent="0.35">
      <c r="A5329" s="3" t="s">
        <v>1938</v>
      </c>
      <c r="B5329" s="3" t="s">
        <v>2015</v>
      </c>
      <c r="C5329" s="3" t="s">
        <v>20</v>
      </c>
      <c r="D5329" s="3" t="s">
        <v>2036</v>
      </c>
      <c r="E5329" s="3" t="s">
        <v>15</v>
      </c>
      <c r="F5329" s="3" t="s">
        <v>16</v>
      </c>
      <c r="G5329" s="3" t="s">
        <v>2037</v>
      </c>
      <c r="H5329" s="3"/>
      <c r="I5329" s="3"/>
    </row>
    <row r="5330" spans="1:9" s="5" customFormat="1" x14ac:dyDescent="0.35">
      <c r="A5330" s="3" t="s">
        <v>1938</v>
      </c>
      <c r="B5330" s="3" t="s">
        <v>2015</v>
      </c>
      <c r="C5330" s="3" t="s">
        <v>10</v>
      </c>
      <c r="D5330" s="3" t="s">
        <v>2783</v>
      </c>
      <c r="E5330" s="3" t="s">
        <v>47</v>
      </c>
      <c r="F5330" s="3" t="s">
        <v>16</v>
      </c>
      <c r="G5330" s="3" t="s">
        <v>2784</v>
      </c>
      <c r="H5330" s="3"/>
      <c r="I5330" s="3"/>
    </row>
    <row r="5331" spans="1:9" s="5" customFormat="1" x14ac:dyDescent="0.35">
      <c r="A5331" s="3" t="s">
        <v>1938</v>
      </c>
      <c r="B5331" s="3" t="s">
        <v>2015</v>
      </c>
      <c r="C5331" s="3" t="s">
        <v>10</v>
      </c>
      <c r="D5331" s="3" t="s">
        <v>2783</v>
      </c>
      <c r="E5331" s="3" t="s">
        <v>15</v>
      </c>
      <c r="F5331" s="3" t="s">
        <v>16</v>
      </c>
      <c r="G5331" s="3" t="s">
        <v>2784</v>
      </c>
      <c r="H5331" s="3"/>
      <c r="I5331" s="3"/>
    </row>
    <row r="5332" spans="1:9" s="5" customFormat="1" x14ac:dyDescent="0.35">
      <c r="A5332" s="3" t="s">
        <v>1938</v>
      </c>
      <c r="B5332" s="3" t="s">
        <v>2015</v>
      </c>
      <c r="C5332" s="3" t="s">
        <v>10</v>
      </c>
      <c r="D5332" s="3" t="s">
        <v>2783</v>
      </c>
      <c r="E5332" s="3" t="s">
        <v>134</v>
      </c>
      <c r="F5332" s="3" t="s">
        <v>16</v>
      </c>
      <c r="G5332" s="3" t="s">
        <v>2784</v>
      </c>
      <c r="H5332" s="3"/>
      <c r="I5332" s="3"/>
    </row>
    <row r="5333" spans="1:9" s="5" customFormat="1" x14ac:dyDescent="0.35">
      <c r="A5333" s="3" t="s">
        <v>1938</v>
      </c>
      <c r="B5333" s="3" t="s">
        <v>2015</v>
      </c>
      <c r="C5333" s="3" t="s">
        <v>20</v>
      </c>
      <c r="D5333" s="3" t="s">
        <v>2038</v>
      </c>
      <c r="E5333" s="3" t="s">
        <v>47</v>
      </c>
      <c r="F5333" s="3" t="s">
        <v>16</v>
      </c>
      <c r="G5333" s="3" t="s">
        <v>2000</v>
      </c>
      <c r="H5333" s="3"/>
      <c r="I5333" s="3"/>
    </row>
    <row r="5334" spans="1:9" s="5" customFormat="1" x14ac:dyDescent="0.35">
      <c r="A5334" s="3" t="s">
        <v>1938</v>
      </c>
      <c r="B5334" s="3" t="s">
        <v>2015</v>
      </c>
      <c r="C5334" s="3" t="s">
        <v>20</v>
      </c>
      <c r="D5334" s="3" t="s">
        <v>2038</v>
      </c>
      <c r="E5334" s="3" t="s">
        <v>25</v>
      </c>
      <c r="F5334" s="3" t="s">
        <v>16</v>
      </c>
      <c r="G5334" s="3" t="s">
        <v>2000</v>
      </c>
      <c r="H5334" s="3"/>
      <c r="I5334" s="3"/>
    </row>
    <row r="5335" spans="1:9" s="5" customFormat="1" x14ac:dyDescent="0.35">
      <c r="A5335" s="3" t="s">
        <v>1938</v>
      </c>
      <c r="B5335" s="3" t="s">
        <v>2015</v>
      </c>
      <c r="C5335" s="3" t="s">
        <v>20</v>
      </c>
      <c r="D5335" s="3" t="s">
        <v>2038</v>
      </c>
      <c r="E5335" s="3" t="s">
        <v>28</v>
      </c>
      <c r="F5335" s="3" t="s">
        <v>16</v>
      </c>
      <c r="G5335" s="3" t="s">
        <v>2000</v>
      </c>
      <c r="H5335" s="3"/>
      <c r="I5335" s="3"/>
    </row>
    <row r="5336" spans="1:9" s="5" customFormat="1" x14ac:dyDescent="0.35">
      <c r="A5336" s="3" t="s">
        <v>1938</v>
      </c>
      <c r="B5336" s="3" t="s">
        <v>2015</v>
      </c>
      <c r="C5336" s="3" t="s">
        <v>20</v>
      </c>
      <c r="D5336" s="3" t="s">
        <v>2038</v>
      </c>
      <c r="E5336" s="3" t="s">
        <v>15</v>
      </c>
      <c r="F5336" s="3" t="s">
        <v>16</v>
      </c>
      <c r="G5336" s="3" t="s">
        <v>2000</v>
      </c>
      <c r="H5336" s="3"/>
      <c r="I5336" s="3"/>
    </row>
    <row r="5337" spans="1:9" s="5" customFormat="1" x14ac:dyDescent="0.35">
      <c r="A5337" s="3" t="s">
        <v>1938</v>
      </c>
      <c r="B5337" s="3" t="s">
        <v>2015</v>
      </c>
      <c r="C5337" s="3" t="s">
        <v>20</v>
      </c>
      <c r="D5337" s="3" t="s">
        <v>2038</v>
      </c>
      <c r="E5337" s="3" t="s">
        <v>57</v>
      </c>
      <c r="F5337" s="3" t="s">
        <v>16</v>
      </c>
      <c r="G5337" s="3" t="s">
        <v>2000</v>
      </c>
      <c r="H5337" s="3"/>
      <c r="I5337" s="3"/>
    </row>
    <row r="5338" spans="1:9" s="5" customFormat="1" x14ac:dyDescent="0.35">
      <c r="A5338" s="3" t="s">
        <v>1938</v>
      </c>
      <c r="B5338" s="3" t="s">
        <v>2015</v>
      </c>
      <c r="C5338" s="3" t="s">
        <v>20</v>
      </c>
      <c r="D5338" s="3" t="s">
        <v>2038</v>
      </c>
      <c r="E5338" s="3" t="s">
        <v>32</v>
      </c>
      <c r="F5338" s="3" t="s">
        <v>16</v>
      </c>
      <c r="G5338" s="3" t="s">
        <v>2000</v>
      </c>
      <c r="H5338" s="3"/>
      <c r="I5338" s="3"/>
    </row>
    <row r="5339" spans="1:9" s="5" customFormat="1" x14ac:dyDescent="0.35">
      <c r="A5339" s="3" t="s">
        <v>1938</v>
      </c>
      <c r="B5339" s="3" t="s">
        <v>2015</v>
      </c>
      <c r="C5339" s="3" t="s">
        <v>20</v>
      </c>
      <c r="D5339" s="3" t="s">
        <v>2038</v>
      </c>
      <c r="E5339" s="3" t="s">
        <v>29</v>
      </c>
      <c r="F5339" s="3" t="s">
        <v>16</v>
      </c>
      <c r="G5339" s="3" t="s">
        <v>2000</v>
      </c>
      <c r="H5339" s="3"/>
      <c r="I5339" s="3"/>
    </row>
    <row r="5340" spans="1:9" s="5" customFormat="1" x14ac:dyDescent="0.35">
      <c r="A5340" s="3" t="s">
        <v>1938</v>
      </c>
      <c r="B5340" s="3" t="s">
        <v>2015</v>
      </c>
      <c r="C5340" s="3" t="s">
        <v>20</v>
      </c>
      <c r="D5340" s="3" t="s">
        <v>2038</v>
      </c>
      <c r="E5340" s="3" t="s">
        <v>107</v>
      </c>
      <c r="F5340" s="3" t="s">
        <v>16</v>
      </c>
      <c r="G5340" s="3" t="s">
        <v>2000</v>
      </c>
      <c r="H5340" s="3"/>
      <c r="I5340" s="3"/>
    </row>
    <row r="5341" spans="1:9" s="5" customFormat="1" x14ac:dyDescent="0.35">
      <c r="A5341" s="3" t="s">
        <v>1938</v>
      </c>
      <c r="B5341" s="3" t="s">
        <v>2015</v>
      </c>
      <c r="C5341" s="3" t="s">
        <v>42</v>
      </c>
      <c r="D5341" s="3" t="s">
        <v>2039</v>
      </c>
      <c r="E5341" s="3" t="s">
        <v>12</v>
      </c>
      <c r="F5341" s="3"/>
      <c r="G5341" s="3"/>
      <c r="H5341" s="3"/>
      <c r="I5341" s="3"/>
    </row>
    <row r="5342" spans="1:9" s="5" customFormat="1" x14ac:dyDescent="0.35">
      <c r="A5342" s="3" t="s">
        <v>1938</v>
      </c>
      <c r="B5342" s="3" t="s">
        <v>2015</v>
      </c>
      <c r="C5342" s="3" t="s">
        <v>42</v>
      </c>
      <c r="D5342" s="3" t="s">
        <v>2039</v>
      </c>
      <c r="E5342" s="3" t="s">
        <v>36</v>
      </c>
      <c r="F5342" s="3"/>
      <c r="G5342" s="3"/>
      <c r="H5342" s="3"/>
      <c r="I5342" s="3"/>
    </row>
    <row r="5343" spans="1:9" s="5" customFormat="1" x14ac:dyDescent="0.35">
      <c r="A5343" s="3" t="s">
        <v>1938</v>
      </c>
      <c r="B5343" s="3" t="s">
        <v>2015</v>
      </c>
      <c r="C5343" s="3" t="s">
        <v>42</v>
      </c>
      <c r="D5343" s="3" t="s">
        <v>2039</v>
      </c>
      <c r="E5343" s="3" t="s">
        <v>47</v>
      </c>
      <c r="F5343" s="3"/>
      <c r="G5343" s="3"/>
      <c r="H5343" s="3"/>
      <c r="I5343" s="3"/>
    </row>
    <row r="5344" spans="1:9" s="5" customFormat="1" x14ac:dyDescent="0.35">
      <c r="A5344" s="3" t="s">
        <v>1938</v>
      </c>
      <c r="B5344" s="3" t="s">
        <v>2015</v>
      </c>
      <c r="C5344" s="3" t="s">
        <v>42</v>
      </c>
      <c r="D5344" s="3" t="s">
        <v>2039</v>
      </c>
      <c r="E5344" s="3" t="s">
        <v>25</v>
      </c>
      <c r="F5344" s="3"/>
      <c r="G5344" s="3"/>
      <c r="H5344" s="3"/>
      <c r="I5344" s="3"/>
    </row>
    <row r="5345" spans="1:9" s="5" customFormat="1" x14ac:dyDescent="0.35">
      <c r="A5345" s="3" t="s">
        <v>1938</v>
      </c>
      <c r="B5345" s="3" t="s">
        <v>2015</v>
      </c>
      <c r="C5345" s="3" t="s">
        <v>42</v>
      </c>
      <c r="D5345" s="3" t="s">
        <v>2039</v>
      </c>
      <c r="E5345" s="3" t="s">
        <v>141</v>
      </c>
      <c r="F5345" s="3"/>
      <c r="G5345" s="3"/>
      <c r="H5345" s="3"/>
      <c r="I5345" s="3"/>
    </row>
    <row r="5346" spans="1:9" s="5" customFormat="1" x14ac:dyDescent="0.35">
      <c r="A5346" s="3" t="s">
        <v>1938</v>
      </c>
      <c r="B5346" s="3" t="s">
        <v>2015</v>
      </c>
      <c r="C5346" s="3" t="s">
        <v>42</v>
      </c>
      <c r="D5346" s="3" t="s">
        <v>2039</v>
      </c>
      <c r="E5346" s="3" t="s">
        <v>142</v>
      </c>
      <c r="F5346" s="3"/>
      <c r="G5346" s="3"/>
      <c r="H5346" s="3"/>
      <c r="I5346" s="3"/>
    </row>
    <row r="5347" spans="1:9" s="5" customFormat="1" x14ac:dyDescent="0.35">
      <c r="A5347" s="3" t="s">
        <v>1938</v>
      </c>
      <c r="B5347" s="3" t="s">
        <v>2015</v>
      </c>
      <c r="C5347" s="3" t="s">
        <v>42</v>
      </c>
      <c r="D5347" s="3" t="s">
        <v>2039</v>
      </c>
      <c r="E5347" s="3" t="s">
        <v>44</v>
      </c>
      <c r="F5347" s="3"/>
      <c r="G5347" s="3"/>
      <c r="H5347" s="3"/>
      <c r="I5347" s="3"/>
    </row>
    <row r="5348" spans="1:9" s="5" customFormat="1" x14ac:dyDescent="0.35">
      <c r="A5348" s="3" t="s">
        <v>1938</v>
      </c>
      <c r="B5348" s="3" t="s">
        <v>2015</v>
      </c>
      <c r="C5348" s="3" t="s">
        <v>42</v>
      </c>
      <c r="D5348" s="3" t="s">
        <v>2039</v>
      </c>
      <c r="E5348" s="3" t="s">
        <v>185</v>
      </c>
      <c r="F5348" s="3"/>
      <c r="G5348" s="3" t="s">
        <v>2467</v>
      </c>
      <c r="H5348" s="3"/>
      <c r="I5348" s="3"/>
    </row>
    <row r="5349" spans="1:9" s="5" customFormat="1" x14ac:dyDescent="0.35">
      <c r="A5349" s="3" t="s">
        <v>1938</v>
      </c>
      <c r="B5349" s="3" t="s">
        <v>2015</v>
      </c>
      <c r="C5349" s="3" t="s">
        <v>42</v>
      </c>
      <c r="D5349" s="3" t="s">
        <v>2039</v>
      </c>
      <c r="E5349" s="3" t="s">
        <v>15</v>
      </c>
      <c r="F5349" s="3" t="s">
        <v>16</v>
      </c>
      <c r="G5349" s="3" t="s">
        <v>2040</v>
      </c>
      <c r="H5349" s="3"/>
      <c r="I5349" s="3"/>
    </row>
    <row r="5350" spans="1:9" s="5" customFormat="1" x14ac:dyDescent="0.35">
      <c r="A5350" s="3" t="s">
        <v>1938</v>
      </c>
      <c r="B5350" s="3" t="s">
        <v>2015</v>
      </c>
      <c r="C5350" s="3" t="s">
        <v>42</v>
      </c>
      <c r="D5350" s="3" t="s">
        <v>2039</v>
      </c>
      <c r="E5350" s="3" t="s">
        <v>89</v>
      </c>
      <c r="F5350" s="3" t="s">
        <v>33</v>
      </c>
      <c r="G5350" s="3" t="s">
        <v>2041</v>
      </c>
      <c r="H5350" s="3"/>
      <c r="I5350" s="3"/>
    </row>
    <row r="5351" spans="1:9" s="5" customFormat="1" x14ac:dyDescent="0.35">
      <c r="A5351" s="3" t="s">
        <v>1938</v>
      </c>
      <c r="B5351" s="3" t="s">
        <v>2015</v>
      </c>
      <c r="C5351" s="3" t="s">
        <v>42</v>
      </c>
      <c r="D5351" s="3" t="s">
        <v>2039</v>
      </c>
      <c r="E5351" s="3" t="s">
        <v>32</v>
      </c>
      <c r="F5351" s="3" t="s">
        <v>16</v>
      </c>
      <c r="G5351" s="3" t="s">
        <v>2003</v>
      </c>
      <c r="H5351" s="3"/>
      <c r="I5351" s="3"/>
    </row>
    <row r="5352" spans="1:9" s="5" customFormat="1" x14ac:dyDescent="0.35">
      <c r="A5352" s="3" t="s">
        <v>1938</v>
      </c>
      <c r="B5352" s="3" t="s">
        <v>2015</v>
      </c>
      <c r="C5352" s="3" t="s">
        <v>42</v>
      </c>
      <c r="D5352" s="3" t="s">
        <v>2039</v>
      </c>
      <c r="E5352" s="3" t="s">
        <v>29</v>
      </c>
      <c r="F5352" s="3"/>
      <c r="G5352" s="3" t="s">
        <v>2468</v>
      </c>
      <c r="H5352" s="3"/>
      <c r="I5352" s="3"/>
    </row>
    <row r="5353" spans="1:9" s="5" customFormat="1" x14ac:dyDescent="0.35">
      <c r="A5353" s="3" t="s">
        <v>1938</v>
      </c>
      <c r="B5353" s="3" t="s">
        <v>2015</v>
      </c>
      <c r="C5353" s="3" t="s">
        <v>42</v>
      </c>
      <c r="D5353" s="3" t="s">
        <v>2039</v>
      </c>
      <c r="E5353" s="3" t="s">
        <v>152</v>
      </c>
      <c r="F5353" s="3"/>
      <c r="G5353" s="3" t="s">
        <v>2304</v>
      </c>
      <c r="H5353" s="3"/>
      <c r="I5353" s="3"/>
    </row>
    <row r="5354" spans="1:9" s="5" customFormat="1" x14ac:dyDescent="0.35">
      <c r="A5354" s="3" t="s">
        <v>1938</v>
      </c>
      <c r="B5354" s="3" t="s">
        <v>2015</v>
      </c>
      <c r="C5354" s="3" t="s">
        <v>42</v>
      </c>
      <c r="D5354" s="3" t="s">
        <v>2039</v>
      </c>
      <c r="E5354" s="3" t="s">
        <v>107</v>
      </c>
      <c r="F5354" s="3" t="s">
        <v>16</v>
      </c>
      <c r="G5354" s="3" t="s">
        <v>2042</v>
      </c>
      <c r="H5354" s="3"/>
      <c r="I5354" s="3"/>
    </row>
    <row r="5355" spans="1:9" s="5" customFormat="1" x14ac:dyDescent="0.35">
      <c r="A5355" s="3" t="s">
        <v>1938</v>
      </c>
      <c r="B5355" s="3" t="s">
        <v>2721</v>
      </c>
      <c r="C5355" s="3" t="s">
        <v>20</v>
      </c>
      <c r="D5355" s="3" t="s">
        <v>2722</v>
      </c>
      <c r="E5355" s="3" t="s">
        <v>12</v>
      </c>
      <c r="F5355" s="3"/>
      <c r="G5355" s="3"/>
      <c r="H5355" s="3"/>
      <c r="I5355" s="3"/>
    </row>
    <row r="5356" spans="1:9" s="5" customFormat="1" x14ac:dyDescent="0.35">
      <c r="A5356" s="3" t="s">
        <v>1938</v>
      </c>
      <c r="B5356" s="3" t="s">
        <v>2721</v>
      </c>
      <c r="C5356" s="3" t="s">
        <v>20</v>
      </c>
      <c r="D5356" s="3" t="s">
        <v>2722</v>
      </c>
      <c r="E5356" s="3" t="s">
        <v>15</v>
      </c>
      <c r="F5356" s="3" t="s">
        <v>16</v>
      </c>
      <c r="G5356" s="3" t="s">
        <v>2723</v>
      </c>
      <c r="H5356" s="3"/>
      <c r="I5356" s="3"/>
    </row>
    <row r="5357" spans="1:9" s="5" customFormat="1" x14ac:dyDescent="0.35">
      <c r="A5357" s="3" t="s">
        <v>1938</v>
      </c>
      <c r="B5357" s="3" t="s">
        <v>2721</v>
      </c>
      <c r="C5357" s="3" t="s">
        <v>20</v>
      </c>
      <c r="D5357" s="3" t="s">
        <v>2722</v>
      </c>
      <c r="E5357" s="3" t="s">
        <v>24</v>
      </c>
      <c r="F5357" s="3"/>
      <c r="G5357" s="3"/>
      <c r="H5357" s="3"/>
      <c r="I5357" s="3"/>
    </row>
    <row r="5358" spans="1:9" s="5" customFormat="1" x14ac:dyDescent="0.35">
      <c r="A5358" s="3" t="s">
        <v>1938</v>
      </c>
      <c r="B5358" s="3" t="s">
        <v>2043</v>
      </c>
      <c r="C5358" s="3" t="s">
        <v>42</v>
      </c>
      <c r="D5358" s="3" t="s">
        <v>2044</v>
      </c>
      <c r="E5358" s="3" t="s">
        <v>12</v>
      </c>
      <c r="F5358" s="14"/>
      <c r="G5358" s="3"/>
      <c r="H5358" s="3"/>
      <c r="I5358" s="3"/>
    </row>
    <row r="5359" spans="1:9" s="5" customFormat="1" x14ac:dyDescent="0.35">
      <c r="A5359" s="3" t="s">
        <v>1938</v>
      </c>
      <c r="B5359" s="3" t="s">
        <v>2043</v>
      </c>
      <c r="C5359" s="3" t="s">
        <v>42</v>
      </c>
      <c r="D5359" s="3" t="s">
        <v>2044</v>
      </c>
      <c r="E5359" s="3" t="s">
        <v>56</v>
      </c>
      <c r="F5359" s="3" t="s">
        <v>16</v>
      </c>
      <c r="G5359" s="15" t="s">
        <v>2045</v>
      </c>
      <c r="H5359" s="3"/>
      <c r="I5359" s="3"/>
    </row>
    <row r="5360" spans="1:9" s="5" customFormat="1" x14ac:dyDescent="0.35">
      <c r="A5360" s="3" t="s">
        <v>1938</v>
      </c>
      <c r="B5360" s="3" t="s">
        <v>2043</v>
      </c>
      <c r="C5360" s="3" t="s">
        <v>42</v>
      </c>
      <c r="D5360" s="3" t="s">
        <v>2044</v>
      </c>
      <c r="E5360" s="3" t="s">
        <v>107</v>
      </c>
      <c r="F5360" s="3" t="s">
        <v>16</v>
      </c>
      <c r="G5360" s="15" t="s">
        <v>2046</v>
      </c>
      <c r="H5360" s="3"/>
      <c r="I5360" s="3"/>
    </row>
    <row r="5361" spans="1:9" s="5" customFormat="1" x14ac:dyDescent="0.35">
      <c r="A5361" s="3" t="s">
        <v>1938</v>
      </c>
      <c r="B5361" s="3" t="s">
        <v>2047</v>
      </c>
      <c r="C5361" s="3" t="s">
        <v>42</v>
      </c>
      <c r="D5361" s="3" t="s">
        <v>2048</v>
      </c>
      <c r="E5361" s="3" t="s">
        <v>36</v>
      </c>
      <c r="F5361" s="3"/>
      <c r="G5361" s="3" t="s">
        <v>2337</v>
      </c>
      <c r="H5361" s="3"/>
      <c r="I5361" s="3"/>
    </row>
    <row r="5362" spans="1:9" s="5" customFormat="1" x14ac:dyDescent="0.35">
      <c r="A5362" s="3" t="s">
        <v>1938</v>
      </c>
      <c r="B5362" s="3" t="s">
        <v>2047</v>
      </c>
      <c r="C5362" s="3" t="s">
        <v>42</v>
      </c>
      <c r="D5362" s="3" t="s">
        <v>2048</v>
      </c>
      <c r="E5362" s="3" t="s">
        <v>27</v>
      </c>
      <c r="F5362" s="3"/>
      <c r="G5362" s="3"/>
      <c r="H5362" s="3"/>
      <c r="I5362" s="3"/>
    </row>
    <row r="5363" spans="1:9" s="5" customFormat="1" x14ac:dyDescent="0.35">
      <c r="A5363" s="3" t="s">
        <v>1938</v>
      </c>
      <c r="B5363" s="3" t="s">
        <v>2047</v>
      </c>
      <c r="C5363" s="3" t="s">
        <v>42</v>
      </c>
      <c r="D5363" s="3" t="s">
        <v>2048</v>
      </c>
      <c r="E5363" s="3" t="s">
        <v>15</v>
      </c>
      <c r="F5363" s="3" t="s">
        <v>16</v>
      </c>
      <c r="G5363" s="3" t="s">
        <v>2049</v>
      </c>
      <c r="H5363" s="3"/>
      <c r="I5363" s="3"/>
    </row>
    <row r="5364" spans="1:9" s="5" customFormat="1" x14ac:dyDescent="0.35">
      <c r="A5364" s="3" t="s">
        <v>1938</v>
      </c>
      <c r="B5364" s="3" t="s">
        <v>2050</v>
      </c>
      <c r="C5364" s="3" t="s">
        <v>42</v>
      </c>
      <c r="D5364" s="3" t="s">
        <v>2051</v>
      </c>
      <c r="E5364" s="3" t="s">
        <v>12</v>
      </c>
      <c r="F5364" s="3"/>
      <c r="G5364" s="3"/>
      <c r="H5364" s="3"/>
      <c r="I5364" s="3"/>
    </row>
    <row r="5365" spans="1:9" s="5" customFormat="1" x14ac:dyDescent="0.35">
      <c r="A5365" s="3" t="s">
        <v>1938</v>
      </c>
      <c r="B5365" s="3" t="s">
        <v>2050</v>
      </c>
      <c r="C5365" s="3" t="s">
        <v>42</v>
      </c>
      <c r="D5365" s="3" t="s">
        <v>2051</v>
      </c>
      <c r="E5365" s="3" t="s">
        <v>44</v>
      </c>
      <c r="F5365" s="3"/>
      <c r="G5365" s="3"/>
      <c r="H5365" s="3"/>
      <c r="I5365" s="3"/>
    </row>
    <row r="5366" spans="1:9" s="5" customFormat="1" x14ac:dyDescent="0.35">
      <c r="A5366" s="3" t="s">
        <v>1938</v>
      </c>
      <c r="B5366" s="3" t="s">
        <v>2050</v>
      </c>
      <c r="C5366" s="3" t="s">
        <v>42</v>
      </c>
      <c r="D5366" s="3" t="s">
        <v>2051</v>
      </c>
      <c r="E5366" s="3" t="s">
        <v>15</v>
      </c>
      <c r="F5366" s="3" t="s">
        <v>16</v>
      </c>
      <c r="G5366" s="3" t="s">
        <v>2052</v>
      </c>
      <c r="H5366" s="3"/>
      <c r="I5366" s="3"/>
    </row>
    <row r="5367" spans="1:9" s="5" customFormat="1" x14ac:dyDescent="0.35">
      <c r="A5367" s="3" t="s">
        <v>1938</v>
      </c>
      <c r="B5367" s="3" t="s">
        <v>2050</v>
      </c>
      <c r="C5367" s="3" t="s">
        <v>42</v>
      </c>
      <c r="D5367" s="3" t="s">
        <v>2051</v>
      </c>
      <c r="E5367" s="3" t="s">
        <v>56</v>
      </c>
      <c r="F5367" s="3" t="s">
        <v>16</v>
      </c>
      <c r="G5367" s="3" t="s">
        <v>2052</v>
      </c>
      <c r="H5367" s="3"/>
      <c r="I5367" s="3"/>
    </row>
    <row r="5368" spans="1:9" s="5" customFormat="1" x14ac:dyDescent="0.35">
      <c r="A5368" s="3" t="s">
        <v>1938</v>
      </c>
      <c r="B5368" s="3" t="s">
        <v>2050</v>
      </c>
      <c r="C5368" s="3" t="s">
        <v>42</v>
      </c>
      <c r="D5368" s="3" t="s">
        <v>2051</v>
      </c>
      <c r="E5368" s="3" t="s">
        <v>82</v>
      </c>
      <c r="F5368" s="3"/>
      <c r="G5368" s="3"/>
      <c r="H5368" s="3"/>
      <c r="I5368" s="3"/>
    </row>
    <row r="5369" spans="1:9" s="5" customFormat="1" x14ac:dyDescent="0.35">
      <c r="A5369" s="3" t="s">
        <v>1938</v>
      </c>
      <c r="B5369" s="3" t="s">
        <v>2053</v>
      </c>
      <c r="C5369" s="3" t="s">
        <v>42</v>
      </c>
      <c r="D5369" s="3" t="s">
        <v>2054</v>
      </c>
      <c r="E5369" s="3" t="s">
        <v>12</v>
      </c>
      <c r="F5369" s="3"/>
      <c r="G5369" s="3"/>
      <c r="H5369" s="3"/>
      <c r="I5369" s="3"/>
    </row>
    <row r="5370" spans="1:9" s="5" customFormat="1" x14ac:dyDescent="0.35">
      <c r="A5370" s="3" t="s">
        <v>1938</v>
      </c>
      <c r="B5370" s="3" t="s">
        <v>2053</v>
      </c>
      <c r="C5370" s="3" t="s">
        <v>42</v>
      </c>
      <c r="D5370" s="3" t="s">
        <v>2054</v>
      </c>
      <c r="E5370" s="3" t="s">
        <v>27</v>
      </c>
      <c r="F5370" s="3"/>
      <c r="G5370" s="3"/>
      <c r="H5370" s="3"/>
      <c r="I5370" s="3"/>
    </row>
    <row r="5371" spans="1:9" s="5" customFormat="1" x14ac:dyDescent="0.35">
      <c r="A5371" s="3" t="s">
        <v>1938</v>
      </c>
      <c r="B5371" s="3" t="s">
        <v>2053</v>
      </c>
      <c r="C5371" s="3" t="s">
        <v>42</v>
      </c>
      <c r="D5371" s="3" t="s">
        <v>2054</v>
      </c>
      <c r="E5371" s="3" t="s">
        <v>87</v>
      </c>
      <c r="F5371" s="3"/>
      <c r="G5371" s="3"/>
      <c r="H5371" s="3"/>
      <c r="I5371" s="3"/>
    </row>
    <row r="5372" spans="1:9" s="5" customFormat="1" x14ac:dyDescent="0.35">
      <c r="A5372" s="3" t="s">
        <v>1938</v>
      </c>
      <c r="B5372" s="3" t="s">
        <v>2053</v>
      </c>
      <c r="C5372" s="3" t="s">
        <v>42</v>
      </c>
      <c r="D5372" s="3" t="s">
        <v>2054</v>
      </c>
      <c r="E5372" s="3" t="s">
        <v>24</v>
      </c>
      <c r="F5372" s="3"/>
      <c r="G5372" s="3"/>
      <c r="H5372" s="3"/>
      <c r="I5372" s="3"/>
    </row>
    <row r="5373" spans="1:9" s="5" customFormat="1" x14ac:dyDescent="0.35">
      <c r="A5373" s="3" t="s">
        <v>1938</v>
      </c>
      <c r="B5373" s="3" t="s">
        <v>2053</v>
      </c>
      <c r="C5373" s="3" t="s">
        <v>42</v>
      </c>
      <c r="D5373" s="3" t="s">
        <v>2054</v>
      </c>
      <c r="E5373" s="3" t="s">
        <v>134</v>
      </c>
      <c r="F5373" s="3" t="s">
        <v>16</v>
      </c>
      <c r="G5373" s="3" t="s">
        <v>2055</v>
      </c>
      <c r="H5373" s="3"/>
      <c r="I5373" s="3"/>
    </row>
    <row r="5374" spans="1:9" s="5" customFormat="1" x14ac:dyDescent="0.35">
      <c r="A5374" s="3" t="s">
        <v>1938</v>
      </c>
      <c r="B5374" s="3" t="s">
        <v>2056</v>
      </c>
      <c r="C5374" s="3" t="s">
        <v>42</v>
      </c>
      <c r="D5374" s="3" t="s">
        <v>2057</v>
      </c>
      <c r="E5374" s="3" t="s">
        <v>12</v>
      </c>
      <c r="F5374" s="3"/>
      <c r="G5374" s="3"/>
      <c r="H5374" s="3"/>
      <c r="I5374" s="3"/>
    </row>
    <row r="5375" spans="1:9" s="5" customFormat="1" x14ac:dyDescent="0.35">
      <c r="A5375" s="3" t="s">
        <v>1938</v>
      </c>
      <c r="B5375" s="3" t="s">
        <v>2056</v>
      </c>
      <c r="C5375" s="3" t="s">
        <v>42</v>
      </c>
      <c r="D5375" s="3" t="s">
        <v>2057</v>
      </c>
      <c r="E5375" s="3" t="s">
        <v>15</v>
      </c>
      <c r="F5375" s="3" t="s">
        <v>16</v>
      </c>
      <c r="G5375" s="3" t="s">
        <v>2058</v>
      </c>
      <c r="H5375" s="3"/>
      <c r="I5375" s="3"/>
    </row>
    <row r="5376" spans="1:9" s="5" customFormat="1" x14ac:dyDescent="0.35">
      <c r="A5376" s="3" t="s">
        <v>1938</v>
      </c>
      <c r="B5376" s="3" t="s">
        <v>2056</v>
      </c>
      <c r="C5376" s="3" t="s">
        <v>42</v>
      </c>
      <c r="D5376" s="3" t="s">
        <v>2057</v>
      </c>
      <c r="E5376" s="3" t="s">
        <v>134</v>
      </c>
      <c r="F5376" s="3" t="s">
        <v>16</v>
      </c>
      <c r="G5376" s="3" t="s">
        <v>2059</v>
      </c>
      <c r="H5376" s="3"/>
      <c r="I5376" s="3"/>
    </row>
    <row r="5377" spans="1:9" s="5" customFormat="1" x14ac:dyDescent="0.35">
      <c r="A5377" s="3" t="s">
        <v>2060</v>
      </c>
      <c r="B5377" s="3" t="s">
        <v>2061</v>
      </c>
      <c r="C5377" s="3" t="s">
        <v>20</v>
      </c>
      <c r="D5377" s="3" t="s">
        <v>2062</v>
      </c>
      <c r="E5377" s="3" t="s">
        <v>12</v>
      </c>
      <c r="F5377" s="3"/>
      <c r="G5377" s="3"/>
      <c r="H5377" s="3" t="s">
        <v>16</v>
      </c>
      <c r="I5377" s="3" t="s">
        <v>2063</v>
      </c>
    </row>
    <row r="5378" spans="1:9" s="5" customFormat="1" x14ac:dyDescent="0.35">
      <c r="A5378" s="3" t="s">
        <v>2060</v>
      </c>
      <c r="B5378" s="3" t="s">
        <v>2061</v>
      </c>
      <c r="C5378" s="3" t="s">
        <v>20</v>
      </c>
      <c r="D5378" s="3" t="s">
        <v>2062</v>
      </c>
      <c r="E5378" s="3" t="s">
        <v>98</v>
      </c>
      <c r="F5378" s="3"/>
      <c r="G5378" s="3"/>
      <c r="H5378" s="3" t="s">
        <v>16</v>
      </c>
      <c r="I5378" s="3" t="s">
        <v>2063</v>
      </c>
    </row>
    <row r="5379" spans="1:9" s="5" customFormat="1" x14ac:dyDescent="0.35">
      <c r="A5379" s="3" t="s">
        <v>2060</v>
      </c>
      <c r="B5379" s="3" t="s">
        <v>2061</v>
      </c>
      <c r="C5379" s="3" t="s">
        <v>20</v>
      </c>
      <c r="D5379" s="3" t="s">
        <v>2062</v>
      </c>
      <c r="E5379" s="3" t="s">
        <v>911</v>
      </c>
      <c r="F5379" s="3" t="s">
        <v>16</v>
      </c>
      <c r="G5379" s="3" t="s">
        <v>2064</v>
      </c>
      <c r="H5379" s="3" t="s">
        <v>16</v>
      </c>
      <c r="I5379" s="3" t="s">
        <v>2063</v>
      </c>
    </row>
    <row r="5380" spans="1:9" s="5" customFormat="1" x14ac:dyDescent="0.35">
      <c r="A5380" s="3" t="s">
        <v>2060</v>
      </c>
      <c r="B5380" s="3" t="s">
        <v>2061</v>
      </c>
      <c r="C5380" s="3" t="s">
        <v>20</v>
      </c>
      <c r="D5380" s="3" t="s">
        <v>2062</v>
      </c>
      <c r="E5380" s="3" t="s">
        <v>24</v>
      </c>
      <c r="F5380" s="3"/>
      <c r="G5380" s="3"/>
      <c r="H5380" s="3" t="s">
        <v>16</v>
      </c>
      <c r="I5380" s="3" t="s">
        <v>2063</v>
      </c>
    </row>
    <row r="5381" spans="1:9" s="5" customFormat="1" x14ac:dyDescent="0.35">
      <c r="A5381" s="3" t="s">
        <v>2060</v>
      </c>
      <c r="B5381" s="3" t="s">
        <v>2065</v>
      </c>
      <c r="C5381" s="3" t="s">
        <v>20</v>
      </c>
      <c r="D5381" s="3" t="s">
        <v>2933</v>
      </c>
      <c r="E5381" s="3" t="s">
        <v>23</v>
      </c>
      <c r="F5381" s="3"/>
      <c r="G5381" s="3"/>
      <c r="H5381" s="3" t="s">
        <v>16</v>
      </c>
      <c r="I5381" s="3" t="s">
        <v>559</v>
      </c>
    </row>
    <row r="5382" spans="1:9" s="5" customFormat="1" x14ac:dyDescent="0.35">
      <c r="A5382" s="3" t="s">
        <v>2060</v>
      </c>
      <c r="B5382" s="3" t="s">
        <v>2065</v>
      </c>
      <c r="C5382" s="3" t="s">
        <v>20</v>
      </c>
      <c r="D5382" s="3" t="s">
        <v>2933</v>
      </c>
      <c r="E5382" s="3" t="s">
        <v>15</v>
      </c>
      <c r="F5382" s="3" t="s">
        <v>16</v>
      </c>
      <c r="G5382" s="3" t="s">
        <v>2934</v>
      </c>
      <c r="H5382" s="3" t="s">
        <v>16</v>
      </c>
      <c r="I5382" s="3" t="s">
        <v>559</v>
      </c>
    </row>
    <row r="5383" spans="1:9" s="5" customFormat="1" x14ac:dyDescent="0.35">
      <c r="A5383" s="3" t="s">
        <v>2060</v>
      </c>
      <c r="B5383" s="3" t="s">
        <v>2065</v>
      </c>
      <c r="C5383" s="3" t="s">
        <v>20</v>
      </c>
      <c r="D5383" s="3" t="s">
        <v>2933</v>
      </c>
      <c r="E5383" s="3" t="s">
        <v>56</v>
      </c>
      <c r="F5383" s="3"/>
      <c r="G5383" s="3"/>
      <c r="H5383" s="3" t="s">
        <v>16</v>
      </c>
      <c r="I5383" s="3" t="s">
        <v>559</v>
      </c>
    </row>
    <row r="5384" spans="1:9" s="5" customFormat="1" x14ac:dyDescent="0.35">
      <c r="A5384" s="3" t="s">
        <v>2060</v>
      </c>
      <c r="B5384" s="3" t="s">
        <v>2065</v>
      </c>
      <c r="C5384" s="3" t="s">
        <v>20</v>
      </c>
      <c r="D5384" s="3" t="s">
        <v>2933</v>
      </c>
      <c r="E5384" s="3" t="s">
        <v>290</v>
      </c>
      <c r="F5384" s="3"/>
      <c r="G5384" s="3"/>
      <c r="H5384" s="3" t="s">
        <v>16</v>
      </c>
      <c r="I5384" s="3" t="s">
        <v>559</v>
      </c>
    </row>
    <row r="5385" spans="1:9" s="5" customFormat="1" x14ac:dyDescent="0.35">
      <c r="A5385" s="3" t="s">
        <v>2060</v>
      </c>
      <c r="B5385" s="3" t="s">
        <v>2065</v>
      </c>
      <c r="C5385" s="3" t="s">
        <v>20</v>
      </c>
      <c r="D5385" s="3" t="s">
        <v>2066</v>
      </c>
      <c r="E5385" s="3" t="s">
        <v>12</v>
      </c>
      <c r="F5385" s="3"/>
      <c r="G5385" s="3"/>
      <c r="H5385" s="3" t="s">
        <v>16</v>
      </c>
      <c r="I5385" s="3" t="s">
        <v>1736</v>
      </c>
    </row>
    <row r="5386" spans="1:9" s="5" customFormat="1" x14ac:dyDescent="0.35">
      <c r="A5386" s="3" t="s">
        <v>2060</v>
      </c>
      <c r="B5386" s="3" t="s">
        <v>2065</v>
      </c>
      <c r="C5386" s="3" t="s">
        <v>20</v>
      </c>
      <c r="D5386" s="3" t="s">
        <v>2066</v>
      </c>
      <c r="E5386" s="3" t="s">
        <v>25</v>
      </c>
      <c r="F5386" s="3"/>
      <c r="G5386" s="3"/>
      <c r="H5386" s="3" t="s">
        <v>16</v>
      </c>
      <c r="I5386" s="3" t="s">
        <v>1736</v>
      </c>
    </row>
    <row r="5387" spans="1:9" s="5" customFormat="1" x14ac:dyDescent="0.35">
      <c r="A5387" s="3" t="s">
        <v>2060</v>
      </c>
      <c r="B5387" s="3" t="s">
        <v>2065</v>
      </c>
      <c r="C5387" s="3" t="s">
        <v>20</v>
      </c>
      <c r="D5387" s="3" t="s">
        <v>2066</v>
      </c>
      <c r="E5387" s="3" t="s">
        <v>27</v>
      </c>
      <c r="F5387" s="3"/>
      <c r="G5387" s="3"/>
      <c r="H5387" s="3" t="s">
        <v>16</v>
      </c>
      <c r="I5387" s="3" t="s">
        <v>1736</v>
      </c>
    </row>
    <row r="5388" spans="1:9" s="5" customFormat="1" x14ac:dyDescent="0.35">
      <c r="A5388" s="3" t="s">
        <v>2060</v>
      </c>
      <c r="B5388" s="3" t="s">
        <v>2065</v>
      </c>
      <c r="C5388" s="3" t="s">
        <v>20</v>
      </c>
      <c r="D5388" s="3" t="s">
        <v>2066</v>
      </c>
      <c r="E5388" s="3" t="s">
        <v>142</v>
      </c>
      <c r="F5388" s="3"/>
      <c r="G5388" s="3"/>
      <c r="H5388" s="3" t="s">
        <v>16</v>
      </c>
      <c r="I5388" s="3" t="s">
        <v>1736</v>
      </c>
    </row>
    <row r="5389" spans="1:9" s="5" customFormat="1" x14ac:dyDescent="0.35">
      <c r="A5389" s="3" t="s">
        <v>2060</v>
      </c>
      <c r="B5389" s="3" t="s">
        <v>2065</v>
      </c>
      <c r="C5389" s="3" t="s">
        <v>20</v>
      </c>
      <c r="D5389" s="3" t="s">
        <v>2066</v>
      </c>
      <c r="E5389" s="3" t="s">
        <v>98</v>
      </c>
      <c r="F5389" s="3"/>
      <c r="G5389" s="3"/>
      <c r="H5389" s="3" t="s">
        <v>16</v>
      </c>
      <c r="I5389" s="3" t="s">
        <v>1736</v>
      </c>
    </row>
    <row r="5390" spans="1:9" s="5" customFormat="1" x14ac:dyDescent="0.35">
      <c r="A5390" s="3" t="s">
        <v>2060</v>
      </c>
      <c r="B5390" s="3" t="s">
        <v>2065</v>
      </c>
      <c r="C5390" s="3" t="s">
        <v>20</v>
      </c>
      <c r="D5390" s="3" t="s">
        <v>2066</v>
      </c>
      <c r="E5390" s="3" t="s">
        <v>15</v>
      </c>
      <c r="F5390" s="3" t="s">
        <v>16</v>
      </c>
      <c r="G5390" s="3" t="s">
        <v>2067</v>
      </c>
      <c r="H5390" s="3" t="s">
        <v>16</v>
      </c>
      <c r="I5390" s="3" t="s">
        <v>1736</v>
      </c>
    </row>
    <row r="5391" spans="1:9" s="5" customFormat="1" x14ac:dyDescent="0.35">
      <c r="A5391" s="3" t="s">
        <v>2060</v>
      </c>
      <c r="B5391" s="3" t="s">
        <v>2065</v>
      </c>
      <c r="C5391" s="3" t="s">
        <v>20</v>
      </c>
      <c r="D5391" s="3" t="s">
        <v>2066</v>
      </c>
      <c r="E5391" s="3" t="s">
        <v>57</v>
      </c>
      <c r="F5391" s="3"/>
      <c r="G5391" s="3"/>
      <c r="H5391" s="3" t="s">
        <v>16</v>
      </c>
      <c r="I5391" s="3" t="s">
        <v>1736</v>
      </c>
    </row>
    <row r="5392" spans="1:9" s="5" customFormat="1" x14ac:dyDescent="0.35">
      <c r="A5392" s="3" t="s">
        <v>2060</v>
      </c>
      <c r="B5392" s="3" t="s">
        <v>2065</v>
      </c>
      <c r="C5392" s="3" t="s">
        <v>20</v>
      </c>
      <c r="D5392" s="3" t="s">
        <v>2066</v>
      </c>
      <c r="E5392" s="3" t="s">
        <v>24</v>
      </c>
      <c r="F5392" s="3"/>
      <c r="G5392" s="3"/>
      <c r="H5392" s="3" t="s">
        <v>16</v>
      </c>
      <c r="I5392" s="3" t="s">
        <v>1736</v>
      </c>
    </row>
    <row r="5393" spans="1:9" s="5" customFormat="1" x14ac:dyDescent="0.35">
      <c r="A5393" s="3" t="s">
        <v>2060</v>
      </c>
      <c r="B5393" s="3" t="s">
        <v>2065</v>
      </c>
      <c r="C5393" s="3" t="s">
        <v>20</v>
      </c>
      <c r="D5393" s="3" t="s">
        <v>2066</v>
      </c>
      <c r="E5393" s="3" t="s">
        <v>107</v>
      </c>
      <c r="F5393" s="3" t="s">
        <v>16</v>
      </c>
      <c r="G5393" s="3" t="s">
        <v>2068</v>
      </c>
      <c r="H5393" s="3" t="s">
        <v>16</v>
      </c>
      <c r="I5393" s="3" t="s">
        <v>1736</v>
      </c>
    </row>
    <row r="5394" spans="1:9" s="5" customFormat="1" x14ac:dyDescent="0.35">
      <c r="A5394" s="3" t="s">
        <v>2060</v>
      </c>
      <c r="B5394" s="3" t="s">
        <v>2069</v>
      </c>
      <c r="C5394" s="3" t="s">
        <v>42</v>
      </c>
      <c r="D5394" s="3" t="s">
        <v>2070</v>
      </c>
      <c r="E5394" s="3" t="s">
        <v>12</v>
      </c>
      <c r="F5394" s="3" t="s">
        <v>13</v>
      </c>
      <c r="G5394" s="3" t="s">
        <v>1428</v>
      </c>
      <c r="H5394" s="3"/>
      <c r="I5394" s="3"/>
    </row>
    <row r="5395" spans="1:9" s="5" customFormat="1" x14ac:dyDescent="0.35">
      <c r="A5395" s="3" t="s">
        <v>2060</v>
      </c>
      <c r="B5395" s="3" t="s">
        <v>2069</v>
      </c>
      <c r="C5395" s="3" t="s">
        <v>42</v>
      </c>
      <c r="D5395" s="3" t="s">
        <v>2070</v>
      </c>
      <c r="E5395" s="3" t="s">
        <v>23</v>
      </c>
      <c r="F5395" s="3"/>
      <c r="G5395" s="3"/>
      <c r="H5395" s="3"/>
      <c r="I5395" s="3"/>
    </row>
    <row r="5396" spans="1:9" s="5" customFormat="1" x14ac:dyDescent="0.35">
      <c r="A5396" s="3" t="s">
        <v>2060</v>
      </c>
      <c r="B5396" s="3" t="s">
        <v>2069</v>
      </c>
      <c r="C5396" s="3" t="s">
        <v>42</v>
      </c>
      <c r="D5396" s="3" t="s">
        <v>2070</v>
      </c>
      <c r="E5396" s="3" t="s">
        <v>87</v>
      </c>
      <c r="F5396" s="3"/>
      <c r="G5396" s="3"/>
      <c r="H5396" s="3"/>
      <c r="I5396" s="3"/>
    </row>
    <row r="5397" spans="1:9" s="5" customFormat="1" x14ac:dyDescent="0.35">
      <c r="A5397" s="3" t="s">
        <v>2060</v>
      </c>
      <c r="B5397" s="3" t="s">
        <v>2069</v>
      </c>
      <c r="C5397" s="3" t="s">
        <v>42</v>
      </c>
      <c r="D5397" s="3" t="s">
        <v>2070</v>
      </c>
      <c r="E5397" s="3" t="s">
        <v>107</v>
      </c>
      <c r="F5397" s="3" t="s">
        <v>13</v>
      </c>
      <c r="G5397" s="3" t="s">
        <v>2071</v>
      </c>
      <c r="H5397" s="3"/>
      <c r="I5397" s="3"/>
    </row>
    <row r="5398" spans="1:9" s="5" customFormat="1" x14ac:dyDescent="0.35">
      <c r="A5398" s="3" t="s">
        <v>2060</v>
      </c>
      <c r="B5398" s="3" t="s">
        <v>2069</v>
      </c>
      <c r="C5398" s="3" t="s">
        <v>20</v>
      </c>
      <c r="D5398" s="3" t="s">
        <v>2072</v>
      </c>
      <c r="E5398" s="3" t="s">
        <v>12</v>
      </c>
      <c r="F5398" s="3"/>
      <c r="G5398" s="3"/>
      <c r="H5398" s="3"/>
      <c r="I5398" s="3"/>
    </row>
    <row r="5399" spans="1:9" s="5" customFormat="1" x14ac:dyDescent="0.35">
      <c r="A5399" s="3" t="s">
        <v>2060</v>
      </c>
      <c r="B5399" s="3" t="s">
        <v>2069</v>
      </c>
      <c r="C5399" s="3" t="s">
        <v>20</v>
      </c>
      <c r="D5399" s="3" t="s">
        <v>2072</v>
      </c>
      <c r="E5399" s="3" t="s">
        <v>27</v>
      </c>
      <c r="F5399" s="3"/>
      <c r="G5399" s="3"/>
      <c r="H5399" s="3"/>
      <c r="I5399" s="3"/>
    </row>
    <row r="5400" spans="1:9" s="5" customFormat="1" x14ac:dyDescent="0.35">
      <c r="A5400" s="3" t="s">
        <v>2060</v>
      </c>
      <c r="B5400" s="3" t="s">
        <v>2069</v>
      </c>
      <c r="C5400" s="3" t="s">
        <v>20</v>
      </c>
      <c r="D5400" s="3" t="s">
        <v>2072</v>
      </c>
      <c r="E5400" s="3" t="s">
        <v>15</v>
      </c>
      <c r="F5400" s="3" t="s">
        <v>13</v>
      </c>
      <c r="G5400" s="3" t="s">
        <v>2073</v>
      </c>
      <c r="H5400" s="3"/>
      <c r="I5400" s="3"/>
    </row>
    <row r="5401" spans="1:9" s="5" customFormat="1" x14ac:dyDescent="0.35">
      <c r="A5401" s="3" t="s">
        <v>2060</v>
      </c>
      <c r="B5401" s="3" t="s">
        <v>2069</v>
      </c>
      <c r="C5401" s="3" t="s">
        <v>20</v>
      </c>
      <c r="D5401" s="3" t="s">
        <v>2072</v>
      </c>
      <c r="E5401" s="3" t="s">
        <v>32</v>
      </c>
      <c r="F5401" s="3" t="s">
        <v>13</v>
      </c>
      <c r="G5401" s="3" t="s">
        <v>2074</v>
      </c>
      <c r="H5401" s="3"/>
      <c r="I5401" s="3"/>
    </row>
    <row r="5402" spans="1:9" s="5" customFormat="1" x14ac:dyDescent="0.35">
      <c r="A5402" s="3" t="s">
        <v>2060</v>
      </c>
      <c r="B5402" s="3" t="s">
        <v>2069</v>
      </c>
      <c r="C5402" s="3" t="s">
        <v>45</v>
      </c>
      <c r="D5402" s="3" t="s">
        <v>2075</v>
      </c>
      <c r="E5402" s="3" t="s">
        <v>12</v>
      </c>
      <c r="F5402" s="3"/>
      <c r="G5402" s="3"/>
      <c r="H5402" s="3"/>
      <c r="I5402" s="3"/>
    </row>
    <row r="5403" spans="1:9" s="5" customFormat="1" x14ac:dyDescent="0.35">
      <c r="A5403" s="3" t="s">
        <v>2060</v>
      </c>
      <c r="B5403" s="3" t="s">
        <v>2069</v>
      </c>
      <c r="C5403" s="3" t="s">
        <v>45</v>
      </c>
      <c r="D5403" s="3" t="s">
        <v>2075</v>
      </c>
      <c r="E5403" s="3" t="s">
        <v>23</v>
      </c>
      <c r="F5403" s="3"/>
      <c r="G5403" s="3"/>
      <c r="H5403" s="3"/>
      <c r="I5403" s="3"/>
    </row>
    <row r="5404" spans="1:9" s="5" customFormat="1" x14ac:dyDescent="0.35">
      <c r="A5404" s="3" t="s">
        <v>2060</v>
      </c>
      <c r="B5404" s="3" t="s">
        <v>2069</v>
      </c>
      <c r="C5404" s="3" t="s">
        <v>45</v>
      </c>
      <c r="D5404" s="3" t="s">
        <v>2075</v>
      </c>
      <c r="E5404" s="3" t="s">
        <v>77</v>
      </c>
      <c r="F5404" s="3"/>
      <c r="G5404" s="3"/>
      <c r="H5404" s="3"/>
      <c r="I5404" s="3"/>
    </row>
    <row r="5405" spans="1:9" s="5" customFormat="1" x14ac:dyDescent="0.35">
      <c r="A5405" s="3" t="s">
        <v>2060</v>
      </c>
      <c r="B5405" s="3" t="s">
        <v>2069</v>
      </c>
      <c r="C5405" s="3" t="s">
        <v>45</v>
      </c>
      <c r="D5405" s="3" t="s">
        <v>2075</v>
      </c>
      <c r="E5405" s="3" t="s">
        <v>56</v>
      </c>
      <c r="F5405" s="3" t="s">
        <v>13</v>
      </c>
      <c r="G5405" s="3" t="s">
        <v>2076</v>
      </c>
      <c r="H5405" s="3"/>
      <c r="I5405" s="3"/>
    </row>
    <row r="5406" spans="1:9" s="5" customFormat="1" x14ac:dyDescent="0.35">
      <c r="A5406" s="3" t="s">
        <v>2060</v>
      </c>
      <c r="B5406" s="3" t="s">
        <v>2523</v>
      </c>
      <c r="C5406" s="3" t="s">
        <v>42</v>
      </c>
      <c r="D5406" s="3" t="s">
        <v>2524</v>
      </c>
      <c r="E5406" s="3" t="s">
        <v>23</v>
      </c>
      <c r="F5406" s="3"/>
      <c r="G5406" s="3"/>
      <c r="H5406" s="3" t="s">
        <v>16</v>
      </c>
      <c r="I5406" s="3" t="s">
        <v>1736</v>
      </c>
    </row>
    <row r="5407" spans="1:9" s="5" customFormat="1" x14ac:dyDescent="0.35">
      <c r="A5407" s="3" t="s">
        <v>2060</v>
      </c>
      <c r="B5407" s="3" t="s">
        <v>2523</v>
      </c>
      <c r="C5407" s="3" t="s">
        <v>42</v>
      </c>
      <c r="D5407" s="3" t="s">
        <v>2524</v>
      </c>
      <c r="E5407" s="3" t="s">
        <v>25</v>
      </c>
      <c r="F5407" s="3"/>
      <c r="G5407" s="3"/>
      <c r="H5407" s="3" t="s">
        <v>16</v>
      </c>
      <c r="I5407" s="3" t="s">
        <v>1736</v>
      </c>
    </row>
    <row r="5408" spans="1:9" s="5" customFormat="1" x14ac:dyDescent="0.35">
      <c r="A5408" s="3" t="s">
        <v>2060</v>
      </c>
      <c r="B5408" s="3" t="s">
        <v>2523</v>
      </c>
      <c r="C5408" s="3" t="s">
        <v>42</v>
      </c>
      <c r="D5408" s="3" t="s">
        <v>2524</v>
      </c>
      <c r="E5408" s="3" t="s">
        <v>27</v>
      </c>
      <c r="F5408" s="3"/>
      <c r="G5408" s="3"/>
      <c r="H5408" s="3" t="s">
        <v>16</v>
      </c>
      <c r="I5408" s="3" t="s">
        <v>1736</v>
      </c>
    </row>
    <row r="5409" spans="1:9" s="5" customFormat="1" x14ac:dyDescent="0.35">
      <c r="A5409" s="3" t="s">
        <v>2060</v>
      </c>
      <c r="B5409" s="3" t="s">
        <v>2523</v>
      </c>
      <c r="C5409" s="3" t="s">
        <v>42</v>
      </c>
      <c r="D5409" s="3" t="s">
        <v>2524</v>
      </c>
      <c r="E5409" s="3" t="s">
        <v>56</v>
      </c>
      <c r="F5409" s="3"/>
      <c r="G5409" s="3"/>
      <c r="H5409" s="3" t="s">
        <v>16</v>
      </c>
      <c r="I5409" s="3" t="s">
        <v>1736</v>
      </c>
    </row>
    <row r="5410" spans="1:9" s="5" customFormat="1" x14ac:dyDescent="0.35">
      <c r="A5410" s="3" t="s">
        <v>2060</v>
      </c>
      <c r="B5410" s="3" t="s">
        <v>2523</v>
      </c>
      <c r="C5410" s="3" t="s">
        <v>42</v>
      </c>
      <c r="D5410" s="3" t="s">
        <v>2524</v>
      </c>
      <c r="E5410" s="3" t="s">
        <v>24</v>
      </c>
      <c r="F5410" s="3"/>
      <c r="G5410" s="3"/>
      <c r="H5410" s="3" t="s">
        <v>16</v>
      </c>
      <c r="I5410" s="3" t="s">
        <v>1736</v>
      </c>
    </row>
    <row r="5411" spans="1:9" s="5" customFormat="1" x14ac:dyDescent="0.35">
      <c r="A5411" s="3" t="s">
        <v>2060</v>
      </c>
      <c r="B5411" s="3" t="s">
        <v>2742</v>
      </c>
      <c r="C5411" s="3" t="s">
        <v>42</v>
      </c>
      <c r="D5411" s="3" t="s">
        <v>2741</v>
      </c>
      <c r="E5411" s="3" t="s">
        <v>12</v>
      </c>
      <c r="F5411" s="3"/>
      <c r="G5411" s="3"/>
      <c r="H5411" s="3" t="s">
        <v>16</v>
      </c>
      <c r="I5411" s="3" t="s">
        <v>409</v>
      </c>
    </row>
    <row r="5412" spans="1:9" s="5" customFormat="1" x14ac:dyDescent="0.35">
      <c r="A5412" s="3" t="s">
        <v>2060</v>
      </c>
      <c r="B5412" s="3" t="s">
        <v>2742</v>
      </c>
      <c r="C5412" s="3" t="s">
        <v>42</v>
      </c>
      <c r="D5412" s="3" t="s">
        <v>2741</v>
      </c>
      <c r="E5412" s="3" t="s">
        <v>15</v>
      </c>
      <c r="F5412" s="3" t="s">
        <v>16</v>
      </c>
      <c r="G5412" s="3" t="s">
        <v>2743</v>
      </c>
      <c r="H5412" s="3" t="s">
        <v>16</v>
      </c>
      <c r="I5412" s="3" t="s">
        <v>409</v>
      </c>
    </row>
    <row r="5413" spans="1:9" s="5" customFormat="1" x14ac:dyDescent="0.35">
      <c r="A5413" s="3" t="s">
        <v>2060</v>
      </c>
      <c r="B5413" s="3" t="s">
        <v>2525</v>
      </c>
      <c r="C5413" s="3" t="s">
        <v>20</v>
      </c>
      <c r="D5413" s="3" t="s">
        <v>2849</v>
      </c>
      <c r="E5413" s="3" t="s">
        <v>15</v>
      </c>
      <c r="F5413" s="3" t="s">
        <v>16</v>
      </c>
      <c r="G5413" s="3" t="s">
        <v>2850</v>
      </c>
      <c r="H5413" s="3" t="s">
        <v>16</v>
      </c>
      <c r="I5413" s="3" t="s">
        <v>409</v>
      </c>
    </row>
    <row r="5414" spans="1:9" s="5" customFormat="1" x14ac:dyDescent="0.35">
      <c r="A5414" s="3" t="s">
        <v>2060</v>
      </c>
      <c r="B5414" s="3" t="s">
        <v>2525</v>
      </c>
      <c r="C5414" s="3" t="s">
        <v>20</v>
      </c>
      <c r="D5414" s="3" t="s">
        <v>2849</v>
      </c>
      <c r="E5414" s="3" t="s">
        <v>24</v>
      </c>
      <c r="F5414" s="3"/>
      <c r="G5414" s="3"/>
      <c r="H5414" s="3" t="s">
        <v>16</v>
      </c>
      <c r="I5414" s="3" t="s">
        <v>409</v>
      </c>
    </row>
    <row r="5415" spans="1:9" s="5" customFormat="1" x14ac:dyDescent="0.35">
      <c r="A5415" s="3" t="s">
        <v>2060</v>
      </c>
      <c r="B5415" s="3" t="s">
        <v>2525</v>
      </c>
      <c r="C5415" s="3" t="s">
        <v>42</v>
      </c>
      <c r="D5415" s="3" t="s">
        <v>2526</v>
      </c>
      <c r="E5415" s="3" t="s">
        <v>12</v>
      </c>
      <c r="F5415" s="3"/>
      <c r="G5415" s="3"/>
      <c r="H5415" s="3" t="s">
        <v>16</v>
      </c>
      <c r="I5415" s="3" t="s">
        <v>409</v>
      </c>
    </row>
    <row r="5416" spans="1:9" s="5" customFormat="1" x14ac:dyDescent="0.35">
      <c r="A5416" s="3" t="s">
        <v>2060</v>
      </c>
      <c r="B5416" s="3" t="s">
        <v>2525</v>
      </c>
      <c r="C5416" s="3" t="s">
        <v>42</v>
      </c>
      <c r="D5416" s="3" t="s">
        <v>2526</v>
      </c>
      <c r="E5416" s="3" t="s">
        <v>15</v>
      </c>
      <c r="F5416" s="3" t="s">
        <v>16</v>
      </c>
      <c r="G5416" s="3" t="s">
        <v>2527</v>
      </c>
      <c r="H5416" s="3" t="s">
        <v>16</v>
      </c>
      <c r="I5416" s="3" t="s">
        <v>409</v>
      </c>
    </row>
    <row r="5417" spans="1:9" s="5" customFormat="1" x14ac:dyDescent="0.35">
      <c r="A5417" s="3" t="s">
        <v>2060</v>
      </c>
      <c r="B5417" s="3" t="s">
        <v>2744</v>
      </c>
      <c r="C5417" s="3" t="s">
        <v>42</v>
      </c>
      <c r="D5417" s="3" t="s">
        <v>2745</v>
      </c>
      <c r="E5417" s="3" t="s">
        <v>12</v>
      </c>
      <c r="F5417" s="3"/>
      <c r="G5417" s="3"/>
      <c r="H5417" s="3" t="s">
        <v>16</v>
      </c>
      <c r="I5417" s="3" t="s">
        <v>409</v>
      </c>
    </row>
    <row r="5418" spans="1:9" s="5" customFormat="1" x14ac:dyDescent="0.35">
      <c r="A5418" s="3" t="s">
        <v>2060</v>
      </c>
      <c r="B5418" s="3" t="s">
        <v>2744</v>
      </c>
      <c r="C5418" s="3" t="s">
        <v>42</v>
      </c>
      <c r="D5418" s="3" t="s">
        <v>2745</v>
      </c>
      <c r="E5418" s="3" t="s">
        <v>23</v>
      </c>
      <c r="F5418" s="3"/>
      <c r="G5418" s="3"/>
      <c r="H5418" s="3" t="s">
        <v>16</v>
      </c>
      <c r="I5418" s="3" t="s">
        <v>409</v>
      </c>
    </row>
    <row r="5419" spans="1:9" s="5" customFormat="1" x14ac:dyDescent="0.35">
      <c r="A5419" s="3" t="s">
        <v>2060</v>
      </c>
      <c r="B5419" s="3" t="s">
        <v>2744</v>
      </c>
      <c r="C5419" s="3" t="s">
        <v>42</v>
      </c>
      <c r="D5419" s="3" t="s">
        <v>2745</v>
      </c>
      <c r="E5419" s="3" t="s">
        <v>27</v>
      </c>
      <c r="F5419" s="3"/>
      <c r="G5419" s="3"/>
      <c r="H5419" s="3" t="s">
        <v>16</v>
      </c>
      <c r="I5419" s="3" t="s">
        <v>409</v>
      </c>
    </row>
    <row r="5420" spans="1:9" s="5" customFormat="1" x14ac:dyDescent="0.35">
      <c r="A5420" s="3" t="s">
        <v>2060</v>
      </c>
      <c r="B5420" s="3" t="s">
        <v>2744</v>
      </c>
      <c r="C5420" s="3" t="s">
        <v>42</v>
      </c>
      <c r="D5420" s="3" t="s">
        <v>2745</v>
      </c>
      <c r="E5420" s="3" t="s">
        <v>77</v>
      </c>
      <c r="F5420" s="3" t="s">
        <v>16</v>
      </c>
      <c r="G5420" s="3" t="s">
        <v>2746</v>
      </c>
      <c r="H5420" s="3" t="s">
        <v>16</v>
      </c>
      <c r="I5420" s="3" t="s">
        <v>409</v>
      </c>
    </row>
    <row r="5421" spans="1:9" s="5" customFormat="1" x14ac:dyDescent="0.35">
      <c r="A5421" s="3" t="s">
        <v>2060</v>
      </c>
      <c r="B5421" s="3" t="s">
        <v>2744</v>
      </c>
      <c r="C5421" s="3" t="s">
        <v>42</v>
      </c>
      <c r="D5421" s="3" t="s">
        <v>2745</v>
      </c>
      <c r="E5421" s="3" t="s">
        <v>98</v>
      </c>
      <c r="F5421" s="3"/>
      <c r="G5421" s="3"/>
      <c r="H5421" s="3" t="s">
        <v>16</v>
      </c>
      <c r="I5421" s="3" t="s">
        <v>409</v>
      </c>
    </row>
    <row r="5422" spans="1:9" s="5" customFormat="1" x14ac:dyDescent="0.35">
      <c r="A5422" s="3" t="s">
        <v>2060</v>
      </c>
      <c r="B5422" s="3" t="s">
        <v>2077</v>
      </c>
      <c r="C5422" s="3" t="s">
        <v>42</v>
      </c>
      <c r="D5422" s="3" t="s">
        <v>2078</v>
      </c>
      <c r="E5422" s="3" t="s">
        <v>12</v>
      </c>
      <c r="F5422" s="3"/>
      <c r="G5422" s="3" t="s">
        <v>2327</v>
      </c>
      <c r="H5422" s="3"/>
      <c r="I5422" s="3"/>
    </row>
    <row r="5423" spans="1:9" s="5" customFormat="1" x14ac:dyDescent="0.35">
      <c r="A5423" s="3" t="s">
        <v>2060</v>
      </c>
      <c r="B5423" s="3" t="s">
        <v>2077</v>
      </c>
      <c r="C5423" s="3" t="s">
        <v>42</v>
      </c>
      <c r="D5423" s="3" t="s">
        <v>2078</v>
      </c>
      <c r="E5423" s="3" t="s">
        <v>23</v>
      </c>
      <c r="F5423" s="3" t="s">
        <v>13</v>
      </c>
      <c r="G5423" s="3" t="s">
        <v>2079</v>
      </c>
      <c r="H5423" s="3"/>
      <c r="I5423" s="3"/>
    </row>
    <row r="5424" spans="1:9" s="5" customFormat="1" x14ac:dyDescent="0.35">
      <c r="A5424" s="3" t="s">
        <v>2060</v>
      </c>
      <c r="B5424" s="3" t="s">
        <v>2077</v>
      </c>
      <c r="C5424" s="3" t="s">
        <v>39</v>
      </c>
      <c r="D5424" s="3" t="s">
        <v>2080</v>
      </c>
      <c r="E5424" s="3" t="s">
        <v>12</v>
      </c>
      <c r="F5424" s="3"/>
      <c r="G5424" s="3"/>
      <c r="H5424" s="3"/>
      <c r="I5424" s="3"/>
    </row>
    <row r="5425" spans="1:9" s="5" customFormat="1" x14ac:dyDescent="0.35">
      <c r="A5425" s="3" t="s">
        <v>2060</v>
      </c>
      <c r="B5425" s="3" t="s">
        <v>2077</v>
      </c>
      <c r="C5425" s="3" t="s">
        <v>39</v>
      </c>
      <c r="D5425" s="3" t="s">
        <v>2080</v>
      </c>
      <c r="E5425" s="3" t="s">
        <v>56</v>
      </c>
      <c r="F5425" s="3" t="s">
        <v>13</v>
      </c>
      <c r="G5425" s="3" t="s">
        <v>2081</v>
      </c>
      <c r="H5425" s="3"/>
      <c r="I5425" s="3"/>
    </row>
    <row r="5426" spans="1:9" s="5" customFormat="1" x14ac:dyDescent="0.35">
      <c r="A5426" s="3" t="s">
        <v>2060</v>
      </c>
      <c r="B5426" s="3" t="s">
        <v>2077</v>
      </c>
      <c r="C5426" s="3" t="s">
        <v>39</v>
      </c>
      <c r="D5426" s="3" t="s">
        <v>2080</v>
      </c>
      <c r="E5426" s="3" t="s">
        <v>26</v>
      </c>
      <c r="F5426" s="3"/>
      <c r="G5426" s="3"/>
      <c r="H5426" s="3"/>
      <c r="I5426" s="3"/>
    </row>
    <row r="5427" spans="1:9" s="5" customFormat="1" x14ac:dyDescent="0.35">
      <c r="A5427" s="3" t="s">
        <v>2060</v>
      </c>
      <c r="B5427" s="3" t="s">
        <v>2557</v>
      </c>
      <c r="C5427" s="3" t="s">
        <v>42</v>
      </c>
      <c r="D5427" s="3" t="s">
        <v>2939</v>
      </c>
      <c r="E5427" s="3" t="s">
        <v>12</v>
      </c>
      <c r="F5427" s="3"/>
      <c r="G5427" s="3"/>
      <c r="H5427" s="3"/>
      <c r="I5427" s="3"/>
    </row>
    <row r="5428" spans="1:9" s="5" customFormat="1" x14ac:dyDescent="0.35">
      <c r="A5428" s="3" t="s">
        <v>2060</v>
      </c>
      <c r="B5428" s="3" t="s">
        <v>2557</v>
      </c>
      <c r="C5428" s="3" t="s">
        <v>42</v>
      </c>
      <c r="D5428" s="3" t="s">
        <v>2939</v>
      </c>
      <c r="E5428" s="3" t="s">
        <v>44</v>
      </c>
      <c r="F5428" s="3"/>
      <c r="G5428" s="3"/>
      <c r="H5428" s="3"/>
      <c r="I5428" s="3"/>
    </row>
    <row r="5429" spans="1:9" s="5" customFormat="1" x14ac:dyDescent="0.35">
      <c r="A5429" s="3" t="s">
        <v>2060</v>
      </c>
      <c r="B5429" s="3" t="s">
        <v>2557</v>
      </c>
      <c r="C5429" s="3" t="s">
        <v>42</v>
      </c>
      <c r="D5429" s="3" t="s">
        <v>2939</v>
      </c>
      <c r="E5429" s="3" t="s">
        <v>15</v>
      </c>
      <c r="F5429" s="3" t="s">
        <v>16</v>
      </c>
      <c r="G5429" s="3" t="s">
        <v>2940</v>
      </c>
      <c r="H5429" s="3"/>
      <c r="I5429" s="3"/>
    </row>
    <row r="5430" spans="1:9" s="5" customFormat="1" x14ac:dyDescent="0.35">
      <c r="A5430" s="3" t="s">
        <v>2060</v>
      </c>
      <c r="B5430" s="3" t="s">
        <v>2557</v>
      </c>
      <c r="C5430" s="3" t="s">
        <v>42</v>
      </c>
      <c r="D5430" s="3" t="s">
        <v>2939</v>
      </c>
      <c r="E5430" s="3" t="s">
        <v>29</v>
      </c>
      <c r="F5430" s="3"/>
      <c r="G5430" s="3"/>
      <c r="H5430" s="3"/>
      <c r="I5430" s="3"/>
    </row>
    <row r="5431" spans="1:9" s="5" customFormat="1" x14ac:dyDescent="0.35">
      <c r="A5431" s="3" t="s">
        <v>2060</v>
      </c>
      <c r="B5431" s="3" t="s">
        <v>2557</v>
      </c>
      <c r="C5431" s="3" t="s">
        <v>42</v>
      </c>
      <c r="D5431" s="3" t="s">
        <v>2939</v>
      </c>
      <c r="E5431" s="3" t="s">
        <v>134</v>
      </c>
      <c r="F5431" s="3"/>
      <c r="G5431" s="3"/>
      <c r="H5431" s="3"/>
      <c r="I5431" s="3"/>
    </row>
    <row r="5432" spans="1:9" s="5" customFormat="1" x14ac:dyDescent="0.35">
      <c r="A5432" s="3" t="s">
        <v>2060</v>
      </c>
      <c r="B5432" s="3" t="s">
        <v>2557</v>
      </c>
      <c r="C5432" s="3" t="s">
        <v>20</v>
      </c>
      <c r="D5432" s="3" t="s">
        <v>2558</v>
      </c>
      <c r="E5432" s="3" t="s">
        <v>12</v>
      </c>
      <c r="F5432" s="3"/>
      <c r="G5432" s="3"/>
      <c r="H5432" s="3"/>
      <c r="I5432" s="3"/>
    </row>
    <row r="5433" spans="1:9" s="5" customFormat="1" x14ac:dyDescent="0.35">
      <c r="A5433" s="3" t="s">
        <v>2060</v>
      </c>
      <c r="B5433" s="3" t="s">
        <v>2557</v>
      </c>
      <c r="C5433" s="3" t="s">
        <v>20</v>
      </c>
      <c r="D5433" s="3" t="s">
        <v>2558</v>
      </c>
      <c r="E5433" s="3" t="s">
        <v>23</v>
      </c>
      <c r="F5433" s="3"/>
      <c r="G5433" s="3"/>
      <c r="H5433" s="3"/>
      <c r="I5433" s="3"/>
    </row>
    <row r="5434" spans="1:9" s="5" customFormat="1" x14ac:dyDescent="0.35">
      <c r="A5434" s="3" t="s">
        <v>2060</v>
      </c>
      <c r="B5434" s="3" t="s">
        <v>2557</v>
      </c>
      <c r="C5434" s="3" t="s">
        <v>20</v>
      </c>
      <c r="D5434" s="3" t="s">
        <v>2558</v>
      </c>
      <c r="E5434" s="3" t="s">
        <v>27</v>
      </c>
      <c r="F5434" s="3"/>
      <c r="G5434" s="3"/>
      <c r="H5434" s="3"/>
      <c r="I5434" s="3"/>
    </row>
    <row r="5435" spans="1:9" s="5" customFormat="1" x14ac:dyDescent="0.35">
      <c r="A5435" s="3" t="s">
        <v>2060</v>
      </c>
      <c r="B5435" s="3" t="s">
        <v>2557</v>
      </c>
      <c r="C5435" s="3" t="s">
        <v>20</v>
      </c>
      <c r="D5435" s="3" t="s">
        <v>2558</v>
      </c>
      <c r="E5435" s="3" t="s">
        <v>87</v>
      </c>
      <c r="F5435" s="3"/>
      <c r="G5435" s="3"/>
      <c r="H5435" s="3"/>
      <c r="I5435" s="3"/>
    </row>
    <row r="5436" spans="1:9" s="5" customFormat="1" x14ac:dyDescent="0.35">
      <c r="A5436" s="3" t="s">
        <v>2060</v>
      </c>
      <c r="B5436" s="3" t="s">
        <v>2557</v>
      </c>
      <c r="C5436" s="3" t="s">
        <v>20</v>
      </c>
      <c r="D5436" s="3" t="s">
        <v>2558</v>
      </c>
      <c r="E5436" s="3" t="s">
        <v>56</v>
      </c>
      <c r="F5436" s="3"/>
      <c r="G5436" s="3"/>
      <c r="H5436" s="3"/>
      <c r="I5436" s="3"/>
    </row>
    <row r="5437" spans="1:9" s="5" customFormat="1" x14ac:dyDescent="0.35">
      <c r="A5437" s="3" t="s">
        <v>2060</v>
      </c>
      <c r="B5437" s="3" t="s">
        <v>2557</v>
      </c>
      <c r="C5437" s="3" t="s">
        <v>20</v>
      </c>
      <c r="D5437" s="3" t="s">
        <v>2558</v>
      </c>
      <c r="E5437" s="3" t="s">
        <v>24</v>
      </c>
      <c r="F5437" s="3"/>
      <c r="G5437" s="3"/>
      <c r="H5437" s="3"/>
      <c r="I5437" s="3"/>
    </row>
    <row r="5438" spans="1:9" s="5" customFormat="1" x14ac:dyDescent="0.35">
      <c r="A5438" s="3" t="s">
        <v>2060</v>
      </c>
      <c r="B5438" s="3" t="s">
        <v>2281</v>
      </c>
      <c r="C5438" s="3" t="s">
        <v>42</v>
      </c>
      <c r="D5438" s="3" t="s">
        <v>2282</v>
      </c>
      <c r="E5438" s="3" t="s">
        <v>12</v>
      </c>
      <c r="F5438" s="3"/>
      <c r="G5438" s="3"/>
      <c r="H5438" s="3"/>
      <c r="I5438" s="3"/>
    </row>
    <row r="5439" spans="1:9" s="5" customFormat="1" x14ac:dyDescent="0.35">
      <c r="A5439" s="3" t="s">
        <v>2060</v>
      </c>
      <c r="B5439" s="3" t="s">
        <v>2281</v>
      </c>
      <c r="C5439" s="3" t="s">
        <v>42</v>
      </c>
      <c r="D5439" s="3" t="s">
        <v>2282</v>
      </c>
      <c r="E5439" s="3" t="s">
        <v>36</v>
      </c>
      <c r="F5439" s="3"/>
      <c r="G5439" s="3"/>
      <c r="H5439" s="3"/>
      <c r="I5439" s="3"/>
    </row>
    <row r="5440" spans="1:9" s="5" customFormat="1" x14ac:dyDescent="0.35">
      <c r="A5440" s="3" t="s">
        <v>2060</v>
      </c>
      <c r="B5440" s="3" t="s">
        <v>2281</v>
      </c>
      <c r="C5440" s="3" t="s">
        <v>42</v>
      </c>
      <c r="D5440" s="3" t="s">
        <v>2282</v>
      </c>
      <c r="E5440" s="3" t="s">
        <v>27</v>
      </c>
      <c r="F5440" s="3"/>
      <c r="G5440" s="3"/>
      <c r="H5440" s="3"/>
      <c r="I5440" s="3"/>
    </row>
    <row r="5441" spans="1:9" s="5" customFormat="1" x14ac:dyDescent="0.35">
      <c r="A5441" s="3" t="s">
        <v>2060</v>
      </c>
      <c r="B5441" s="3" t="s">
        <v>2281</v>
      </c>
      <c r="C5441" s="3" t="s">
        <v>42</v>
      </c>
      <c r="D5441" s="3" t="s">
        <v>2282</v>
      </c>
      <c r="E5441" s="3" t="s">
        <v>87</v>
      </c>
      <c r="F5441" s="3"/>
      <c r="G5441" s="3"/>
      <c r="H5441" s="3"/>
      <c r="I5441" s="3"/>
    </row>
    <row r="5442" spans="1:9" s="5" customFormat="1" x14ac:dyDescent="0.35">
      <c r="A5442" s="3" t="s">
        <v>2060</v>
      </c>
      <c r="B5442" s="3" t="s">
        <v>2281</v>
      </c>
      <c r="C5442" s="3" t="s">
        <v>42</v>
      </c>
      <c r="D5442" s="3" t="s">
        <v>2282</v>
      </c>
      <c r="E5442" s="3" t="s">
        <v>98</v>
      </c>
      <c r="F5442" s="3"/>
      <c r="G5442" s="3"/>
      <c r="H5442" s="3"/>
      <c r="I5442" s="3"/>
    </row>
    <row r="5443" spans="1:9" s="5" customFormat="1" x14ac:dyDescent="0.35">
      <c r="A5443" s="3" t="s">
        <v>2060</v>
      </c>
      <c r="B5443" s="3" t="s">
        <v>2281</v>
      </c>
      <c r="C5443" s="3" t="s">
        <v>42</v>
      </c>
      <c r="D5443" s="3" t="s">
        <v>2282</v>
      </c>
      <c r="E5443" s="3" t="s">
        <v>15</v>
      </c>
      <c r="F5443" s="3" t="s">
        <v>16</v>
      </c>
      <c r="G5443" s="3" t="s">
        <v>2283</v>
      </c>
      <c r="H5443" s="3"/>
      <c r="I5443" s="3"/>
    </row>
    <row r="5444" spans="1:9" s="5" customFormat="1" x14ac:dyDescent="0.35">
      <c r="A5444" s="3" t="s">
        <v>2060</v>
      </c>
      <c r="B5444" s="3" t="s">
        <v>2281</v>
      </c>
      <c r="C5444" s="3" t="s">
        <v>42</v>
      </c>
      <c r="D5444" s="3" t="s">
        <v>2282</v>
      </c>
      <c r="E5444" s="3" t="s">
        <v>24</v>
      </c>
      <c r="F5444" s="3"/>
      <c r="G5444" s="3"/>
      <c r="H5444" s="3"/>
      <c r="I5444" s="3"/>
    </row>
    <row r="5445" spans="1:9" s="5" customFormat="1" x14ac:dyDescent="0.35">
      <c r="A5445" s="3" t="s">
        <v>2060</v>
      </c>
      <c r="B5445" s="3" t="s">
        <v>2281</v>
      </c>
      <c r="C5445" s="3" t="s">
        <v>42</v>
      </c>
      <c r="D5445" s="3" t="s">
        <v>2282</v>
      </c>
      <c r="E5445" s="3" t="s">
        <v>82</v>
      </c>
      <c r="F5445" s="3"/>
      <c r="G5445" s="3"/>
      <c r="H5445" s="3"/>
      <c r="I5445" s="3"/>
    </row>
    <row r="5446" spans="1:9" s="5" customFormat="1" x14ac:dyDescent="0.35">
      <c r="A5446" s="3" t="s">
        <v>2060</v>
      </c>
      <c r="B5446" s="3" t="s">
        <v>2082</v>
      </c>
      <c r="C5446" s="3" t="s">
        <v>42</v>
      </c>
      <c r="D5446" s="3" t="s">
        <v>2083</v>
      </c>
      <c r="E5446" s="3" t="s">
        <v>12</v>
      </c>
      <c r="F5446" s="3"/>
      <c r="G5446" s="3"/>
      <c r="H5446" s="3"/>
      <c r="I5446" s="3"/>
    </row>
    <row r="5447" spans="1:9" s="5" customFormat="1" x14ac:dyDescent="0.35">
      <c r="A5447" s="3" t="s">
        <v>2060</v>
      </c>
      <c r="B5447" s="3" t="s">
        <v>2082</v>
      </c>
      <c r="C5447" s="3" t="s">
        <v>42</v>
      </c>
      <c r="D5447" s="3" t="s">
        <v>2083</v>
      </c>
      <c r="E5447" s="3" t="s">
        <v>27</v>
      </c>
      <c r="F5447" s="3"/>
      <c r="G5447" s="3"/>
      <c r="H5447" s="3"/>
      <c r="I5447" s="3"/>
    </row>
    <row r="5448" spans="1:9" s="5" customFormat="1" x14ac:dyDescent="0.35">
      <c r="A5448" s="3" t="s">
        <v>2060</v>
      </c>
      <c r="B5448" s="3" t="s">
        <v>2082</v>
      </c>
      <c r="C5448" s="3" t="s">
        <v>42</v>
      </c>
      <c r="D5448" s="3" t="s">
        <v>2083</v>
      </c>
      <c r="E5448" s="3" t="s">
        <v>87</v>
      </c>
      <c r="F5448" s="3" t="s">
        <v>13</v>
      </c>
      <c r="G5448" s="3" t="s">
        <v>2084</v>
      </c>
      <c r="H5448" s="3"/>
      <c r="I5448" s="3"/>
    </row>
    <row r="5449" spans="1:9" s="5" customFormat="1" x14ac:dyDescent="0.35">
      <c r="A5449" s="3" t="s">
        <v>2060</v>
      </c>
      <c r="B5449" s="3" t="s">
        <v>2082</v>
      </c>
      <c r="C5449" s="3" t="s">
        <v>42</v>
      </c>
      <c r="D5449" s="3" t="s">
        <v>2083</v>
      </c>
      <c r="E5449" s="3" t="s">
        <v>56</v>
      </c>
      <c r="F5449" s="3" t="s">
        <v>13</v>
      </c>
      <c r="G5449" s="3" t="s">
        <v>2085</v>
      </c>
      <c r="H5449" s="3"/>
      <c r="I5449" s="3"/>
    </row>
    <row r="5450" spans="1:9" s="5" customFormat="1" x14ac:dyDescent="0.35">
      <c r="A5450" s="3" t="s">
        <v>2060</v>
      </c>
      <c r="B5450" s="3" t="s">
        <v>2082</v>
      </c>
      <c r="C5450" s="3" t="s">
        <v>42</v>
      </c>
      <c r="D5450" s="3" t="s">
        <v>2083</v>
      </c>
      <c r="E5450" s="3" t="s">
        <v>107</v>
      </c>
      <c r="F5450" s="3" t="s">
        <v>13</v>
      </c>
      <c r="G5450" s="3" t="s">
        <v>2086</v>
      </c>
      <c r="H5450" s="3"/>
      <c r="I5450" s="3"/>
    </row>
    <row r="5451" spans="1:9" s="5" customFormat="1" x14ac:dyDescent="0.35">
      <c r="A5451" s="3" t="s">
        <v>2060</v>
      </c>
      <c r="B5451" s="3" t="s">
        <v>2082</v>
      </c>
      <c r="C5451" s="3" t="s">
        <v>20</v>
      </c>
      <c r="D5451" s="3" t="s">
        <v>2087</v>
      </c>
      <c r="E5451" s="3" t="s">
        <v>87</v>
      </c>
      <c r="F5451" s="3"/>
      <c r="G5451" s="3"/>
      <c r="H5451" s="3"/>
      <c r="I5451" s="3"/>
    </row>
    <row r="5452" spans="1:9" s="5" customFormat="1" x14ac:dyDescent="0.35">
      <c r="A5452" s="3" t="s">
        <v>2060</v>
      </c>
      <c r="B5452" s="3" t="s">
        <v>2082</v>
      </c>
      <c r="C5452" s="3" t="s">
        <v>20</v>
      </c>
      <c r="D5452" s="3" t="s">
        <v>2087</v>
      </c>
      <c r="E5452" s="3" t="s">
        <v>15</v>
      </c>
      <c r="F5452" s="3" t="s">
        <v>13</v>
      </c>
      <c r="G5452" s="3" t="s">
        <v>2088</v>
      </c>
      <c r="H5452" s="3"/>
      <c r="I5452" s="3"/>
    </row>
    <row r="5453" spans="1:9" s="5" customFormat="1" x14ac:dyDescent="0.35">
      <c r="A5453" s="3" t="s">
        <v>2060</v>
      </c>
      <c r="B5453" s="3" t="s">
        <v>2082</v>
      </c>
      <c r="C5453" s="3" t="s">
        <v>20</v>
      </c>
      <c r="D5453" s="3" t="s">
        <v>2089</v>
      </c>
      <c r="E5453" s="3" t="s">
        <v>12</v>
      </c>
      <c r="F5453" s="3"/>
      <c r="G5453" s="3"/>
      <c r="H5453" s="3"/>
      <c r="I5453" s="3"/>
    </row>
    <row r="5454" spans="1:9" s="5" customFormat="1" x14ac:dyDescent="0.35">
      <c r="A5454" s="3" t="s">
        <v>2060</v>
      </c>
      <c r="B5454" s="3" t="s">
        <v>2082</v>
      </c>
      <c r="C5454" s="3" t="s">
        <v>20</v>
      </c>
      <c r="D5454" s="3" t="s">
        <v>2089</v>
      </c>
      <c r="E5454" s="3" t="s">
        <v>31</v>
      </c>
      <c r="F5454" s="3"/>
      <c r="G5454" s="3"/>
      <c r="H5454" s="3"/>
      <c r="I5454" s="3"/>
    </row>
    <row r="5455" spans="1:9" s="5" customFormat="1" x14ac:dyDescent="0.35">
      <c r="A5455" s="3" t="s">
        <v>2060</v>
      </c>
      <c r="B5455" s="3" t="s">
        <v>2082</v>
      </c>
      <c r="C5455" s="3" t="s">
        <v>20</v>
      </c>
      <c r="D5455" s="3" t="s">
        <v>2089</v>
      </c>
      <c r="E5455" s="3" t="s">
        <v>56</v>
      </c>
      <c r="F5455" s="3" t="s">
        <v>13</v>
      </c>
      <c r="G5455" s="3" t="s">
        <v>2877</v>
      </c>
      <c r="H5455" s="3"/>
      <c r="I5455" s="3"/>
    </row>
    <row r="5456" spans="1:9" s="5" customFormat="1" x14ac:dyDescent="0.35">
      <c r="A5456" s="3" t="s">
        <v>2060</v>
      </c>
      <c r="B5456" s="3" t="s">
        <v>2548</v>
      </c>
      <c r="C5456" s="3" t="s">
        <v>42</v>
      </c>
      <c r="D5456" s="3" t="s">
        <v>2549</v>
      </c>
      <c r="E5456" s="3" t="s">
        <v>27</v>
      </c>
      <c r="F5456" s="3"/>
      <c r="G5456" s="3"/>
      <c r="H5456" s="3" t="s">
        <v>16</v>
      </c>
      <c r="I5456" s="3" t="s">
        <v>409</v>
      </c>
    </row>
    <row r="5457" spans="1:9" s="5" customFormat="1" x14ac:dyDescent="0.35">
      <c r="A5457" s="3" t="s">
        <v>2060</v>
      </c>
      <c r="B5457" s="3" t="s">
        <v>2548</v>
      </c>
      <c r="C5457" s="3" t="s">
        <v>42</v>
      </c>
      <c r="D5457" s="3" t="s">
        <v>2549</v>
      </c>
      <c r="E5457" s="3" t="s">
        <v>15</v>
      </c>
      <c r="F5457" s="3"/>
      <c r="G5457" s="3"/>
      <c r="H5457" s="3" t="s">
        <v>16</v>
      </c>
      <c r="I5457" s="3" t="s">
        <v>409</v>
      </c>
    </row>
    <row r="5458" spans="1:9" s="5" customFormat="1" x14ac:dyDescent="0.35">
      <c r="A5458" s="3" t="s">
        <v>2060</v>
      </c>
      <c r="B5458" s="3" t="s">
        <v>2548</v>
      </c>
      <c r="C5458" s="3" t="s">
        <v>42</v>
      </c>
      <c r="D5458" s="3" t="s">
        <v>2549</v>
      </c>
      <c r="E5458" s="3" t="s">
        <v>24</v>
      </c>
      <c r="F5458" s="3"/>
      <c r="G5458" s="3"/>
      <c r="H5458" s="3" t="s">
        <v>16</v>
      </c>
      <c r="I5458" s="3" t="s">
        <v>409</v>
      </c>
    </row>
    <row r="5459" spans="1:9" s="5" customFormat="1" x14ac:dyDescent="0.35">
      <c r="A5459" s="3" t="s">
        <v>2060</v>
      </c>
      <c r="B5459" s="3" t="s">
        <v>2090</v>
      </c>
      <c r="C5459" s="3" t="s">
        <v>20</v>
      </c>
      <c r="D5459" s="3" t="s">
        <v>2091</v>
      </c>
      <c r="E5459" s="3" t="s">
        <v>87</v>
      </c>
      <c r="F5459" s="3"/>
      <c r="G5459" s="3"/>
      <c r="H5459" s="3"/>
      <c r="I5459" s="3"/>
    </row>
    <row r="5460" spans="1:9" s="5" customFormat="1" x14ac:dyDescent="0.35">
      <c r="A5460" s="3" t="s">
        <v>2060</v>
      </c>
      <c r="B5460" s="3" t="s">
        <v>2090</v>
      </c>
      <c r="C5460" s="3" t="s">
        <v>20</v>
      </c>
      <c r="D5460" s="3" t="s">
        <v>2091</v>
      </c>
      <c r="E5460" s="3" t="s">
        <v>98</v>
      </c>
      <c r="F5460" s="3"/>
      <c r="G5460" s="3"/>
      <c r="H5460" s="3"/>
      <c r="I5460" s="3"/>
    </row>
    <row r="5461" spans="1:9" s="5" customFormat="1" x14ac:dyDescent="0.35">
      <c r="A5461" s="3" t="s">
        <v>2060</v>
      </c>
      <c r="B5461" s="3" t="s">
        <v>2090</v>
      </c>
      <c r="C5461" s="3" t="s">
        <v>20</v>
      </c>
      <c r="D5461" s="3" t="s">
        <v>2091</v>
      </c>
      <c r="E5461" s="3" t="s">
        <v>15</v>
      </c>
      <c r="F5461" s="3" t="s">
        <v>13</v>
      </c>
      <c r="G5461" s="3" t="s">
        <v>2092</v>
      </c>
      <c r="H5461" s="3"/>
      <c r="I5461" s="3"/>
    </row>
    <row r="5462" spans="1:9" s="5" customFormat="1" x14ac:dyDescent="0.35">
      <c r="A5462" s="3" t="s">
        <v>2060</v>
      </c>
      <c r="B5462" s="3" t="s">
        <v>2090</v>
      </c>
      <c r="C5462" s="3" t="s">
        <v>20</v>
      </c>
      <c r="D5462" s="3" t="s">
        <v>2091</v>
      </c>
      <c r="E5462" s="3" t="s">
        <v>29</v>
      </c>
      <c r="F5462" s="3"/>
      <c r="G5462" s="3" t="s">
        <v>2315</v>
      </c>
      <c r="H5462" s="3"/>
      <c r="I5462" s="3"/>
    </row>
    <row r="5463" spans="1:9" s="5" customFormat="1" x14ac:dyDescent="0.35">
      <c r="A5463" s="3" t="s">
        <v>2060</v>
      </c>
      <c r="B5463" s="3" t="s">
        <v>2090</v>
      </c>
      <c r="C5463" s="3" t="s">
        <v>20</v>
      </c>
      <c r="D5463" s="3" t="s">
        <v>2091</v>
      </c>
      <c r="E5463" s="3" t="s">
        <v>24</v>
      </c>
      <c r="F5463" s="3"/>
      <c r="G5463" s="3"/>
      <c r="H5463" s="3"/>
      <c r="I5463" s="3"/>
    </row>
    <row r="5464" spans="1:9" s="5" customFormat="1" x14ac:dyDescent="0.35">
      <c r="A5464" s="3" t="s">
        <v>2060</v>
      </c>
      <c r="B5464" s="3" t="s">
        <v>2090</v>
      </c>
      <c r="C5464" s="3" t="s">
        <v>20</v>
      </c>
      <c r="D5464" s="3" t="s">
        <v>2091</v>
      </c>
      <c r="E5464" s="3" t="s">
        <v>134</v>
      </c>
      <c r="F5464" s="3"/>
      <c r="G5464" s="3"/>
      <c r="H5464" s="3"/>
      <c r="I5464" s="3"/>
    </row>
    <row r="5465" spans="1:9" s="5" customFormat="1" x14ac:dyDescent="0.35">
      <c r="A5465" s="3" t="s">
        <v>2060</v>
      </c>
      <c r="B5465" s="3" t="s">
        <v>2090</v>
      </c>
      <c r="C5465" s="3" t="s">
        <v>20</v>
      </c>
      <c r="D5465" s="3" t="s">
        <v>2091</v>
      </c>
      <c r="E5465" s="3" t="s">
        <v>107</v>
      </c>
      <c r="F5465" s="3" t="s">
        <v>13</v>
      </c>
      <c r="G5465" s="3" t="s">
        <v>2093</v>
      </c>
      <c r="H5465" s="3"/>
      <c r="I5465" s="3"/>
    </row>
    <row r="5466" spans="1:9" s="5" customFormat="1" x14ac:dyDescent="0.35">
      <c r="A5466" s="3" t="s">
        <v>2060</v>
      </c>
      <c r="B5466" s="3" t="s">
        <v>2090</v>
      </c>
      <c r="C5466" s="3" t="s">
        <v>42</v>
      </c>
      <c r="D5466" s="3" t="s">
        <v>2094</v>
      </c>
      <c r="E5466" s="3" t="s">
        <v>12</v>
      </c>
      <c r="F5466" s="3"/>
      <c r="G5466" s="3" t="s">
        <v>2327</v>
      </c>
      <c r="H5466" s="3"/>
      <c r="I5466" s="3"/>
    </row>
    <row r="5467" spans="1:9" s="5" customFormat="1" x14ac:dyDescent="0.35">
      <c r="A5467" s="3" t="s">
        <v>2060</v>
      </c>
      <c r="B5467" s="3" t="s">
        <v>2090</v>
      </c>
      <c r="C5467" s="3" t="s">
        <v>42</v>
      </c>
      <c r="D5467" s="3" t="s">
        <v>2094</v>
      </c>
      <c r="E5467" s="3" t="s">
        <v>23</v>
      </c>
      <c r="F5467" s="3" t="s">
        <v>16</v>
      </c>
      <c r="G5467" s="3" t="s">
        <v>2095</v>
      </c>
      <c r="H5467" s="3"/>
      <c r="I5467" s="3"/>
    </row>
    <row r="5468" spans="1:9" s="5" customFormat="1" x14ac:dyDescent="0.35">
      <c r="A5468" s="3" t="s">
        <v>2060</v>
      </c>
      <c r="B5468" s="3" t="s">
        <v>2090</v>
      </c>
      <c r="C5468" s="3" t="s">
        <v>42</v>
      </c>
      <c r="D5468" s="3" t="s">
        <v>2094</v>
      </c>
      <c r="E5468" s="3" t="s">
        <v>25</v>
      </c>
      <c r="F5468" s="3" t="s">
        <v>13</v>
      </c>
      <c r="G5468" s="3" t="s">
        <v>2096</v>
      </c>
      <c r="H5468" s="3"/>
      <c r="I5468" s="3"/>
    </row>
    <row r="5469" spans="1:9" s="5" customFormat="1" x14ac:dyDescent="0.35">
      <c r="A5469" s="3" t="s">
        <v>2060</v>
      </c>
      <c r="B5469" s="3" t="s">
        <v>2090</v>
      </c>
      <c r="C5469" s="3" t="s">
        <v>42</v>
      </c>
      <c r="D5469" s="3" t="s">
        <v>2094</v>
      </c>
      <c r="E5469" s="3" t="s">
        <v>27</v>
      </c>
      <c r="F5469" s="3" t="s">
        <v>13</v>
      </c>
      <c r="G5469" s="3" t="s">
        <v>2098</v>
      </c>
      <c r="H5469" s="3"/>
      <c r="I5469" s="3"/>
    </row>
    <row r="5470" spans="1:9" s="5" customFormat="1" x14ac:dyDescent="0.35">
      <c r="A5470" s="3" t="s">
        <v>2060</v>
      </c>
      <c r="B5470" s="3" t="s">
        <v>2090</v>
      </c>
      <c r="C5470" s="3" t="s">
        <v>42</v>
      </c>
      <c r="D5470" s="3" t="s">
        <v>2094</v>
      </c>
      <c r="E5470" s="3" t="s">
        <v>28</v>
      </c>
      <c r="F5470" s="3"/>
      <c r="G5470" s="3"/>
      <c r="H5470" s="3"/>
      <c r="I5470" s="3"/>
    </row>
    <row r="5471" spans="1:9" s="5" customFormat="1" x14ac:dyDescent="0.35">
      <c r="A5471" s="3" t="s">
        <v>2060</v>
      </c>
      <c r="B5471" s="3" t="s">
        <v>2090</v>
      </c>
      <c r="C5471" s="3" t="s">
        <v>42</v>
      </c>
      <c r="D5471" s="3" t="s">
        <v>2094</v>
      </c>
      <c r="E5471" s="3" t="s">
        <v>87</v>
      </c>
      <c r="F5471" s="3" t="s">
        <v>13</v>
      </c>
      <c r="G5471" s="3" t="s">
        <v>2097</v>
      </c>
      <c r="H5471" s="3"/>
      <c r="I5471" s="3"/>
    </row>
    <row r="5472" spans="1:9" s="5" customFormat="1" x14ac:dyDescent="0.35">
      <c r="A5472" s="3" t="s">
        <v>2060</v>
      </c>
      <c r="B5472" s="3" t="s">
        <v>2090</v>
      </c>
      <c r="C5472" s="3" t="s">
        <v>42</v>
      </c>
      <c r="D5472" s="3" t="s">
        <v>2094</v>
      </c>
      <c r="E5472" s="3" t="s">
        <v>15</v>
      </c>
      <c r="F5472" s="3" t="s">
        <v>13</v>
      </c>
      <c r="G5472" s="3" t="s">
        <v>2099</v>
      </c>
      <c r="H5472" s="3"/>
      <c r="I5472" s="3"/>
    </row>
    <row r="5473" spans="1:9" s="5" customFormat="1" x14ac:dyDescent="0.35">
      <c r="A5473" s="3" t="s">
        <v>2060</v>
      </c>
      <c r="B5473" s="3" t="s">
        <v>2090</v>
      </c>
      <c r="C5473" s="3" t="s">
        <v>42</v>
      </c>
      <c r="D5473" s="3" t="s">
        <v>2094</v>
      </c>
      <c r="E5473" s="3" t="s">
        <v>134</v>
      </c>
      <c r="F5473" s="3" t="s">
        <v>13</v>
      </c>
      <c r="G5473" s="3" t="s">
        <v>2100</v>
      </c>
      <c r="H5473" s="3"/>
      <c r="I5473" s="3"/>
    </row>
    <row r="5474" spans="1:9" s="5" customFormat="1" x14ac:dyDescent="0.35">
      <c r="A5474" s="3" t="s">
        <v>2060</v>
      </c>
      <c r="B5474" s="3" t="s">
        <v>2090</v>
      </c>
      <c r="C5474" s="3" t="s">
        <v>39</v>
      </c>
      <c r="D5474" s="3" t="s">
        <v>2101</v>
      </c>
      <c r="E5474" s="3" t="s">
        <v>23</v>
      </c>
      <c r="F5474" s="3"/>
      <c r="G5474" s="3"/>
      <c r="H5474" s="3"/>
      <c r="I5474" s="3"/>
    </row>
    <row r="5475" spans="1:9" s="5" customFormat="1" x14ac:dyDescent="0.35">
      <c r="A5475" s="3" t="s">
        <v>2060</v>
      </c>
      <c r="B5475" s="3" t="s">
        <v>2090</v>
      </c>
      <c r="C5475" s="3" t="s">
        <v>39</v>
      </c>
      <c r="D5475" s="3" t="s">
        <v>2101</v>
      </c>
      <c r="E5475" s="3" t="s">
        <v>27</v>
      </c>
      <c r="F5475" s="3"/>
      <c r="G5475" s="3"/>
      <c r="H5475" s="3"/>
      <c r="I5475" s="3"/>
    </row>
    <row r="5476" spans="1:9" s="5" customFormat="1" x14ac:dyDescent="0.35">
      <c r="A5476" s="3" t="s">
        <v>2060</v>
      </c>
      <c r="B5476" s="3" t="s">
        <v>2090</v>
      </c>
      <c r="C5476" s="3" t="s">
        <v>39</v>
      </c>
      <c r="D5476" s="3" t="s">
        <v>2101</v>
      </c>
      <c r="E5476" s="3" t="s">
        <v>28</v>
      </c>
      <c r="F5476" s="3" t="s">
        <v>13</v>
      </c>
      <c r="G5476" s="3" t="s">
        <v>2102</v>
      </c>
      <c r="H5476" s="3"/>
      <c r="I5476" s="3"/>
    </row>
    <row r="5477" spans="1:9" s="5" customFormat="1" x14ac:dyDescent="0.35">
      <c r="A5477" s="3" t="s">
        <v>2060</v>
      </c>
      <c r="B5477" s="3" t="s">
        <v>2090</v>
      </c>
      <c r="C5477" s="3" t="s">
        <v>39</v>
      </c>
      <c r="D5477" s="3" t="s">
        <v>2101</v>
      </c>
      <c r="E5477" s="3" t="s">
        <v>15</v>
      </c>
      <c r="F5477" s="3"/>
      <c r="G5477" s="3"/>
      <c r="H5477" s="3"/>
      <c r="I5477" s="3"/>
    </row>
    <row r="5478" spans="1:9" s="5" customFormat="1" x14ac:dyDescent="0.35">
      <c r="A5478" s="3" t="s">
        <v>2060</v>
      </c>
      <c r="B5478" s="3" t="s">
        <v>2090</v>
      </c>
      <c r="C5478" s="3" t="s">
        <v>20</v>
      </c>
      <c r="D5478" s="3" t="s">
        <v>2823</v>
      </c>
      <c r="E5478" s="3" t="s">
        <v>23</v>
      </c>
      <c r="F5478" s="3"/>
      <c r="G5478" s="3"/>
      <c r="H5478" s="3"/>
      <c r="I5478" s="3"/>
    </row>
    <row r="5479" spans="1:9" s="5" customFormat="1" x14ac:dyDescent="0.35">
      <c r="A5479" s="3" t="s">
        <v>2060</v>
      </c>
      <c r="B5479" s="3" t="s">
        <v>2090</v>
      </c>
      <c r="C5479" s="3" t="s">
        <v>20</v>
      </c>
      <c r="D5479" s="3" t="s">
        <v>2823</v>
      </c>
      <c r="E5479" s="3" t="s">
        <v>44</v>
      </c>
      <c r="F5479" s="3"/>
      <c r="G5479" s="3"/>
      <c r="H5479" s="3"/>
      <c r="I5479" s="3"/>
    </row>
    <row r="5480" spans="1:9" s="5" customFormat="1" x14ac:dyDescent="0.35">
      <c r="A5480" s="3" t="s">
        <v>2060</v>
      </c>
      <c r="B5480" s="3" t="s">
        <v>2090</v>
      </c>
      <c r="C5480" s="3" t="s">
        <v>20</v>
      </c>
      <c r="D5480" s="3" t="s">
        <v>2823</v>
      </c>
      <c r="E5480" s="3" t="s">
        <v>87</v>
      </c>
      <c r="F5480" s="3"/>
      <c r="G5480" s="3"/>
      <c r="H5480" s="3"/>
      <c r="I5480" s="3"/>
    </row>
    <row r="5481" spans="1:9" s="5" customFormat="1" x14ac:dyDescent="0.35">
      <c r="A5481" s="3" t="s">
        <v>2060</v>
      </c>
      <c r="B5481" s="3" t="s">
        <v>2090</v>
      </c>
      <c r="C5481" s="3" t="s">
        <v>20</v>
      </c>
      <c r="D5481" s="3" t="s">
        <v>2823</v>
      </c>
      <c r="E5481" s="3" t="s">
        <v>911</v>
      </c>
      <c r="F5481" s="3"/>
      <c r="G5481" s="3"/>
      <c r="H5481" s="3"/>
      <c r="I5481" s="3"/>
    </row>
    <row r="5482" spans="1:9" s="5" customFormat="1" x14ac:dyDescent="0.35">
      <c r="A5482" s="3" t="s">
        <v>2060</v>
      </c>
      <c r="B5482" s="3" t="s">
        <v>2090</v>
      </c>
      <c r="C5482" s="3" t="s">
        <v>20</v>
      </c>
      <c r="D5482" s="3" t="s">
        <v>2103</v>
      </c>
      <c r="E5482" s="3" t="s">
        <v>12</v>
      </c>
      <c r="F5482" s="3"/>
      <c r="G5482" s="3"/>
      <c r="H5482" s="3"/>
      <c r="I5482" s="3"/>
    </row>
    <row r="5483" spans="1:9" s="5" customFormat="1" x14ac:dyDescent="0.35">
      <c r="A5483" s="3" t="s">
        <v>2060</v>
      </c>
      <c r="B5483" s="3" t="s">
        <v>2090</v>
      </c>
      <c r="C5483" s="3" t="s">
        <v>20</v>
      </c>
      <c r="D5483" s="3" t="s">
        <v>2103</v>
      </c>
      <c r="E5483" s="3" t="s">
        <v>28</v>
      </c>
      <c r="F5483" s="3"/>
      <c r="G5483" s="3" t="s">
        <v>2356</v>
      </c>
      <c r="H5483" s="3"/>
      <c r="I5483" s="3"/>
    </row>
    <row r="5484" spans="1:9" s="5" customFormat="1" x14ac:dyDescent="0.35">
      <c r="A5484" s="3" t="s">
        <v>2060</v>
      </c>
      <c r="B5484" s="3" t="s">
        <v>2090</v>
      </c>
      <c r="C5484" s="3" t="s">
        <v>20</v>
      </c>
      <c r="D5484" s="3" t="s">
        <v>2103</v>
      </c>
      <c r="E5484" s="3" t="s">
        <v>87</v>
      </c>
      <c r="F5484" s="3"/>
      <c r="G5484" s="3"/>
      <c r="H5484" s="3"/>
      <c r="I5484" s="3"/>
    </row>
    <row r="5485" spans="1:9" s="5" customFormat="1" x14ac:dyDescent="0.35">
      <c r="A5485" s="3" t="s">
        <v>2060</v>
      </c>
      <c r="B5485" s="3" t="s">
        <v>2090</v>
      </c>
      <c r="C5485" s="3" t="s">
        <v>20</v>
      </c>
      <c r="D5485" s="3" t="s">
        <v>2103</v>
      </c>
      <c r="E5485" s="3" t="s">
        <v>15</v>
      </c>
      <c r="F5485" s="3" t="s">
        <v>13</v>
      </c>
      <c r="G5485" s="3" t="s">
        <v>2104</v>
      </c>
      <c r="H5485" s="3"/>
      <c r="I5485" s="3"/>
    </row>
    <row r="5486" spans="1:9" s="5" customFormat="1" x14ac:dyDescent="0.35">
      <c r="A5486" s="3" t="s">
        <v>2060</v>
      </c>
      <c r="B5486" s="3" t="s">
        <v>2090</v>
      </c>
      <c r="C5486" s="3" t="s">
        <v>20</v>
      </c>
      <c r="D5486" s="3" t="s">
        <v>2103</v>
      </c>
      <c r="E5486" s="3" t="s">
        <v>107</v>
      </c>
      <c r="F5486" s="3" t="s">
        <v>13</v>
      </c>
      <c r="G5486" s="3" t="s">
        <v>2105</v>
      </c>
      <c r="H5486" s="3"/>
      <c r="I5486" s="3"/>
    </row>
    <row r="5487" spans="1:9" s="5" customFormat="1" x14ac:dyDescent="0.35">
      <c r="A5487" s="3" t="s">
        <v>2060</v>
      </c>
      <c r="B5487" s="3" t="s">
        <v>2702</v>
      </c>
      <c r="C5487" s="3" t="s">
        <v>42</v>
      </c>
      <c r="D5487" s="3" t="s">
        <v>2703</v>
      </c>
      <c r="E5487" s="3" t="s">
        <v>12</v>
      </c>
      <c r="F5487" s="3"/>
      <c r="G5487" s="3"/>
      <c r="H5487" s="3"/>
      <c r="I5487" s="3"/>
    </row>
    <row r="5488" spans="1:9" s="5" customFormat="1" x14ac:dyDescent="0.35">
      <c r="A5488" s="3" t="s">
        <v>2060</v>
      </c>
      <c r="B5488" s="3" t="s">
        <v>2702</v>
      </c>
      <c r="C5488" s="3" t="s">
        <v>42</v>
      </c>
      <c r="D5488" s="3" t="s">
        <v>2703</v>
      </c>
      <c r="E5488" s="3" t="s">
        <v>36</v>
      </c>
      <c r="F5488" s="3"/>
      <c r="G5488" s="3"/>
      <c r="H5488" s="3"/>
      <c r="I5488" s="3"/>
    </row>
    <row r="5489" spans="1:9" s="5" customFormat="1" x14ac:dyDescent="0.35">
      <c r="A5489" s="3" t="s">
        <v>2060</v>
      </c>
      <c r="B5489" s="3" t="s">
        <v>2702</v>
      </c>
      <c r="C5489" s="3" t="s">
        <v>42</v>
      </c>
      <c r="D5489" s="3" t="s">
        <v>2703</v>
      </c>
      <c r="E5489" s="3" t="s">
        <v>27</v>
      </c>
      <c r="F5489" s="3"/>
      <c r="G5489" s="3"/>
      <c r="H5489" s="3"/>
      <c r="I5489" s="3"/>
    </row>
    <row r="5490" spans="1:9" s="5" customFormat="1" x14ac:dyDescent="0.35">
      <c r="A5490" s="3" t="s">
        <v>2060</v>
      </c>
      <c r="B5490" s="3" t="s">
        <v>2702</v>
      </c>
      <c r="C5490" s="3" t="s">
        <v>42</v>
      </c>
      <c r="D5490" s="3" t="s">
        <v>2703</v>
      </c>
      <c r="E5490" s="3" t="s">
        <v>77</v>
      </c>
      <c r="F5490" s="3"/>
      <c r="G5490" s="3"/>
      <c r="H5490" s="3"/>
      <c r="I5490" s="3"/>
    </row>
    <row r="5491" spans="1:9" s="5" customFormat="1" x14ac:dyDescent="0.35">
      <c r="A5491" s="3" t="s">
        <v>2060</v>
      </c>
      <c r="B5491" s="3" t="s">
        <v>2702</v>
      </c>
      <c r="C5491" s="3" t="s">
        <v>42</v>
      </c>
      <c r="D5491" s="3" t="s">
        <v>2703</v>
      </c>
      <c r="E5491" s="3" t="s">
        <v>44</v>
      </c>
      <c r="F5491" s="3"/>
      <c r="G5491" s="3"/>
      <c r="H5491" s="3"/>
      <c r="I5491" s="3"/>
    </row>
    <row r="5492" spans="1:9" s="5" customFormat="1" x14ac:dyDescent="0.35">
      <c r="A5492" s="3" t="s">
        <v>2060</v>
      </c>
      <c r="B5492" s="3" t="s">
        <v>2702</v>
      </c>
      <c r="C5492" s="3" t="s">
        <v>42</v>
      </c>
      <c r="D5492" s="3" t="s">
        <v>2703</v>
      </c>
      <c r="E5492" s="3" t="s">
        <v>15</v>
      </c>
      <c r="F5492" s="3" t="s">
        <v>16</v>
      </c>
      <c r="G5492" s="3" t="s">
        <v>2704</v>
      </c>
      <c r="H5492" s="3"/>
      <c r="I5492" s="3"/>
    </row>
    <row r="5493" spans="1:9" s="5" customFormat="1" x14ac:dyDescent="0.35">
      <c r="A5493" s="3" t="s">
        <v>2060</v>
      </c>
      <c r="B5493" s="3" t="s">
        <v>2702</v>
      </c>
      <c r="C5493" s="3" t="s">
        <v>42</v>
      </c>
      <c r="D5493" s="3" t="s">
        <v>2703</v>
      </c>
      <c r="E5493" s="3" t="s">
        <v>175</v>
      </c>
      <c r="F5493" s="3"/>
      <c r="G5493" s="3"/>
      <c r="H5493" s="3"/>
      <c r="I5493" s="3"/>
    </row>
    <row r="5494" spans="1:9" s="5" customFormat="1" x14ac:dyDescent="0.35">
      <c r="A5494" s="3" t="s">
        <v>2060</v>
      </c>
      <c r="B5494" s="3" t="s">
        <v>2702</v>
      </c>
      <c r="C5494" s="3" t="s">
        <v>42</v>
      </c>
      <c r="D5494" s="3" t="s">
        <v>2703</v>
      </c>
      <c r="E5494" s="3" t="s">
        <v>82</v>
      </c>
      <c r="F5494" s="3"/>
      <c r="G5494" s="3"/>
      <c r="H5494" s="3"/>
      <c r="I5494" s="3"/>
    </row>
    <row r="5495" spans="1:9" s="5" customFormat="1" x14ac:dyDescent="0.35">
      <c r="A5495" s="3" t="s">
        <v>2060</v>
      </c>
      <c r="B5495" s="3" t="s">
        <v>2581</v>
      </c>
      <c r="C5495" s="3" t="s">
        <v>42</v>
      </c>
      <c r="D5495" s="3" t="s">
        <v>2582</v>
      </c>
      <c r="E5495" s="3" t="s">
        <v>12</v>
      </c>
      <c r="F5495" s="3"/>
      <c r="G5495" s="3"/>
      <c r="H5495" s="3"/>
      <c r="I5495" s="3"/>
    </row>
    <row r="5496" spans="1:9" s="5" customFormat="1" x14ac:dyDescent="0.35">
      <c r="A5496" s="3" t="s">
        <v>2060</v>
      </c>
      <c r="B5496" s="3" t="s">
        <v>2581</v>
      </c>
      <c r="C5496" s="3" t="s">
        <v>42</v>
      </c>
      <c r="D5496" s="3" t="s">
        <v>2582</v>
      </c>
      <c r="E5496" s="3" t="s">
        <v>87</v>
      </c>
      <c r="F5496" s="3"/>
      <c r="G5496" s="3"/>
      <c r="H5496" s="3"/>
      <c r="I5496" s="3"/>
    </row>
    <row r="5497" spans="1:9" s="5" customFormat="1" x14ac:dyDescent="0.35">
      <c r="A5497" s="3" t="s">
        <v>2060</v>
      </c>
      <c r="B5497" s="3" t="s">
        <v>2581</v>
      </c>
      <c r="C5497" s="3" t="s">
        <v>42</v>
      </c>
      <c r="D5497" s="3" t="s">
        <v>2582</v>
      </c>
      <c r="E5497" s="3" t="s">
        <v>24</v>
      </c>
      <c r="F5497" s="3"/>
      <c r="G5497" s="3"/>
      <c r="H5497" s="3"/>
      <c r="I5497" s="3"/>
    </row>
    <row r="5498" spans="1:9" s="5" customFormat="1" x14ac:dyDescent="0.35">
      <c r="A5498" s="3" t="s">
        <v>2060</v>
      </c>
      <c r="B5498" s="3" t="s">
        <v>2528</v>
      </c>
      <c r="C5498" s="3" t="s">
        <v>42</v>
      </c>
      <c r="D5498" s="3" t="s">
        <v>2529</v>
      </c>
      <c r="E5498" s="3" t="s">
        <v>23</v>
      </c>
      <c r="F5498" s="3"/>
      <c r="G5498" s="3"/>
      <c r="H5498" s="3" t="s">
        <v>16</v>
      </c>
      <c r="I5498" s="3" t="s">
        <v>816</v>
      </c>
    </row>
    <row r="5499" spans="1:9" s="5" customFormat="1" x14ac:dyDescent="0.35">
      <c r="A5499" s="3" t="s">
        <v>2060</v>
      </c>
      <c r="B5499" s="3" t="s">
        <v>2528</v>
      </c>
      <c r="C5499" s="3" t="s">
        <v>42</v>
      </c>
      <c r="D5499" s="3" t="s">
        <v>2529</v>
      </c>
      <c r="E5499" s="3" t="s">
        <v>27</v>
      </c>
      <c r="F5499" s="3"/>
      <c r="G5499" s="3"/>
      <c r="H5499" s="3" t="s">
        <v>16</v>
      </c>
      <c r="I5499" s="3" t="s">
        <v>816</v>
      </c>
    </row>
    <row r="5500" spans="1:9" s="5" customFormat="1" x14ac:dyDescent="0.35">
      <c r="A5500" s="3" t="s">
        <v>2060</v>
      </c>
      <c r="B5500" s="3" t="s">
        <v>2528</v>
      </c>
      <c r="C5500" s="3" t="s">
        <v>42</v>
      </c>
      <c r="D5500" s="3" t="s">
        <v>2529</v>
      </c>
      <c r="E5500" s="3" t="s">
        <v>15</v>
      </c>
      <c r="F5500" s="3" t="s">
        <v>16</v>
      </c>
      <c r="G5500" s="3" t="s">
        <v>2530</v>
      </c>
      <c r="H5500" s="3" t="s">
        <v>16</v>
      </c>
      <c r="I5500" s="3" t="s">
        <v>816</v>
      </c>
    </row>
    <row r="5501" spans="1:9" s="5" customFormat="1" x14ac:dyDescent="0.35">
      <c r="A5501" s="3" t="s">
        <v>2060</v>
      </c>
      <c r="B5501" s="3" t="s">
        <v>2578</v>
      </c>
      <c r="C5501" s="3" t="s">
        <v>42</v>
      </c>
      <c r="D5501" s="3" t="s">
        <v>2579</v>
      </c>
      <c r="E5501" s="3" t="s">
        <v>12</v>
      </c>
      <c r="F5501" s="3"/>
      <c r="G5501" s="3"/>
      <c r="H5501" s="3" t="s">
        <v>16</v>
      </c>
      <c r="I5501" s="3" t="s">
        <v>409</v>
      </c>
    </row>
    <row r="5502" spans="1:9" s="5" customFormat="1" x14ac:dyDescent="0.35">
      <c r="A5502" s="3" t="s">
        <v>2060</v>
      </c>
      <c r="B5502" s="3" t="s">
        <v>2578</v>
      </c>
      <c r="C5502" s="3" t="s">
        <v>42</v>
      </c>
      <c r="D5502" s="3" t="s">
        <v>2579</v>
      </c>
      <c r="E5502" s="3" t="s">
        <v>98</v>
      </c>
      <c r="F5502" s="3" t="s">
        <v>16</v>
      </c>
      <c r="G5502" s="3" t="s">
        <v>2580</v>
      </c>
      <c r="H5502" s="3" t="s">
        <v>16</v>
      </c>
      <c r="I5502" s="3" t="s">
        <v>409</v>
      </c>
    </row>
    <row r="5503" spans="1:9" s="5" customFormat="1" x14ac:dyDescent="0.35">
      <c r="A5503" s="3" t="s">
        <v>2060</v>
      </c>
      <c r="B5503" s="3" t="s">
        <v>2658</v>
      </c>
      <c r="C5503" s="3" t="s">
        <v>42</v>
      </c>
      <c r="D5503" s="3" t="s">
        <v>2659</v>
      </c>
      <c r="E5503" s="3" t="s">
        <v>12</v>
      </c>
      <c r="F5503" s="3"/>
      <c r="G5503" s="3"/>
      <c r="H5503" s="3"/>
      <c r="I5503" s="3"/>
    </row>
    <row r="5504" spans="1:9" s="5" customFormat="1" x14ac:dyDescent="0.35">
      <c r="A5504" s="3" t="s">
        <v>2060</v>
      </c>
      <c r="B5504" s="3" t="s">
        <v>2658</v>
      </c>
      <c r="C5504" s="3" t="s">
        <v>42</v>
      </c>
      <c r="D5504" s="3" t="s">
        <v>2659</v>
      </c>
      <c r="E5504" s="3" t="s">
        <v>87</v>
      </c>
      <c r="F5504" s="3"/>
      <c r="G5504" s="3"/>
      <c r="H5504" s="3"/>
      <c r="I5504" s="3"/>
    </row>
    <row r="5505" spans="1:9" s="5" customFormat="1" x14ac:dyDescent="0.35">
      <c r="A5505" s="3" t="s">
        <v>2060</v>
      </c>
      <c r="B5505" s="3" t="s">
        <v>2658</v>
      </c>
      <c r="C5505" s="3" t="s">
        <v>42</v>
      </c>
      <c r="D5505" s="3" t="s">
        <v>2659</v>
      </c>
      <c r="E5505" s="3" t="s">
        <v>98</v>
      </c>
      <c r="F5505" s="3"/>
      <c r="G5505" s="3" t="s">
        <v>2660</v>
      </c>
      <c r="H5505" s="3"/>
      <c r="I5505" s="3"/>
    </row>
    <row r="5506" spans="1:9" s="5" customFormat="1" x14ac:dyDescent="0.35">
      <c r="A5506" s="3" t="s">
        <v>2060</v>
      </c>
      <c r="B5506" s="3" t="s">
        <v>2658</v>
      </c>
      <c r="C5506" s="3" t="s">
        <v>42</v>
      </c>
      <c r="D5506" s="3" t="s">
        <v>2659</v>
      </c>
      <c r="E5506" s="3" t="s">
        <v>24</v>
      </c>
      <c r="F5506" s="3"/>
      <c r="G5506" s="3"/>
      <c r="H5506" s="3"/>
      <c r="I5506" s="3"/>
    </row>
    <row r="5507" spans="1:9" s="5" customFormat="1" x14ac:dyDescent="0.35">
      <c r="A5507" s="3" t="s">
        <v>2060</v>
      </c>
      <c r="B5507" s="3" t="s">
        <v>2651</v>
      </c>
      <c r="C5507" s="3" t="s">
        <v>42</v>
      </c>
      <c r="D5507" s="3" t="s">
        <v>2652</v>
      </c>
      <c r="E5507" s="3" t="s">
        <v>27</v>
      </c>
      <c r="F5507" s="3" t="s">
        <v>16</v>
      </c>
      <c r="G5507" s="3" t="s">
        <v>2653</v>
      </c>
      <c r="H5507" s="3" t="s">
        <v>16</v>
      </c>
      <c r="I5507" s="3" t="s">
        <v>409</v>
      </c>
    </row>
    <row r="5508" spans="1:9" s="5" customFormat="1" x14ac:dyDescent="0.35">
      <c r="A5508" s="3" t="s">
        <v>2060</v>
      </c>
      <c r="B5508" s="3" t="s">
        <v>2651</v>
      </c>
      <c r="C5508" s="3" t="s">
        <v>42</v>
      </c>
      <c r="D5508" s="3" t="s">
        <v>2652</v>
      </c>
      <c r="E5508" s="3" t="s">
        <v>98</v>
      </c>
      <c r="F5508" s="3"/>
      <c r="G5508" s="3"/>
      <c r="H5508" s="3" t="s">
        <v>16</v>
      </c>
      <c r="I5508" s="3" t="s">
        <v>409</v>
      </c>
    </row>
    <row r="5509" spans="1:9" s="5" customFormat="1" x14ac:dyDescent="0.35">
      <c r="A5509" s="3" t="s">
        <v>2060</v>
      </c>
      <c r="B5509" s="3" t="s">
        <v>2651</v>
      </c>
      <c r="C5509" s="3" t="s">
        <v>42</v>
      </c>
      <c r="D5509" s="3" t="s">
        <v>2652</v>
      </c>
      <c r="E5509" s="3" t="s">
        <v>77</v>
      </c>
      <c r="F5509" s="3" t="s">
        <v>16</v>
      </c>
      <c r="G5509" s="3" t="s">
        <v>2654</v>
      </c>
      <c r="H5509" s="3" t="s">
        <v>16</v>
      </c>
      <c r="I5509" s="3" t="s">
        <v>409</v>
      </c>
    </row>
    <row r="5510" spans="1:9" s="5" customFormat="1" x14ac:dyDescent="0.35">
      <c r="A5510" s="3" t="s">
        <v>2060</v>
      </c>
      <c r="B5510" s="3" t="s">
        <v>2106</v>
      </c>
      <c r="C5510" s="3" t="s">
        <v>42</v>
      </c>
      <c r="D5510" s="3" t="s">
        <v>2107</v>
      </c>
      <c r="E5510" s="3" t="s">
        <v>12</v>
      </c>
      <c r="F5510" s="3"/>
      <c r="G5510" s="3"/>
      <c r="H5510" s="3"/>
      <c r="I5510" s="3"/>
    </row>
    <row r="5511" spans="1:9" s="5" customFormat="1" x14ac:dyDescent="0.35">
      <c r="A5511" s="3" t="s">
        <v>2060</v>
      </c>
      <c r="B5511" s="3" t="s">
        <v>2106</v>
      </c>
      <c r="C5511" s="3" t="s">
        <v>42</v>
      </c>
      <c r="D5511" s="3" t="s">
        <v>2107</v>
      </c>
      <c r="E5511" s="3" t="s">
        <v>25</v>
      </c>
      <c r="F5511" s="3" t="s">
        <v>13</v>
      </c>
      <c r="G5511" s="3" t="s">
        <v>2310</v>
      </c>
      <c r="H5511" s="3"/>
      <c r="I5511" s="3"/>
    </row>
    <row r="5512" spans="1:9" s="5" customFormat="1" x14ac:dyDescent="0.35">
      <c r="A5512" s="3" t="s">
        <v>2060</v>
      </c>
      <c r="B5512" s="3" t="s">
        <v>2106</v>
      </c>
      <c r="C5512" s="3" t="s">
        <v>42</v>
      </c>
      <c r="D5512" s="3" t="s">
        <v>2107</v>
      </c>
      <c r="E5512" s="3" t="s">
        <v>27</v>
      </c>
      <c r="F5512" s="3" t="s">
        <v>13</v>
      </c>
      <c r="G5512" s="3" t="s">
        <v>2108</v>
      </c>
      <c r="H5512" s="3"/>
      <c r="I5512" s="3"/>
    </row>
    <row r="5513" spans="1:9" s="5" customFormat="1" x14ac:dyDescent="0.35">
      <c r="A5513" s="3" t="s">
        <v>2060</v>
      </c>
      <c r="B5513" s="3" t="s">
        <v>2106</v>
      </c>
      <c r="C5513" s="3" t="s">
        <v>42</v>
      </c>
      <c r="D5513" s="3" t="s">
        <v>2107</v>
      </c>
      <c r="E5513" s="3" t="s">
        <v>44</v>
      </c>
      <c r="F5513" s="3"/>
      <c r="G5513" s="3"/>
      <c r="H5513" s="3"/>
      <c r="I5513" s="3"/>
    </row>
    <row r="5514" spans="1:9" s="5" customFormat="1" x14ac:dyDescent="0.35">
      <c r="A5514" s="3" t="s">
        <v>2060</v>
      </c>
      <c r="B5514" s="3" t="s">
        <v>2106</v>
      </c>
      <c r="C5514" s="3" t="s">
        <v>42</v>
      </c>
      <c r="D5514" s="3" t="s">
        <v>2107</v>
      </c>
      <c r="E5514" s="3" t="s">
        <v>28</v>
      </c>
      <c r="F5514" s="3" t="s">
        <v>13</v>
      </c>
      <c r="G5514" s="3" t="s">
        <v>2108</v>
      </c>
      <c r="H5514" s="3"/>
      <c r="I5514" s="3"/>
    </row>
    <row r="5515" spans="1:9" s="5" customFormat="1" x14ac:dyDescent="0.35">
      <c r="A5515" s="3" t="s">
        <v>2060</v>
      </c>
      <c r="B5515" s="3" t="s">
        <v>2106</v>
      </c>
      <c r="C5515" s="3" t="s">
        <v>42</v>
      </c>
      <c r="D5515" s="3" t="s">
        <v>2107</v>
      </c>
      <c r="E5515" s="3" t="s">
        <v>15</v>
      </c>
      <c r="F5515" s="3" t="s">
        <v>13</v>
      </c>
      <c r="G5515" s="3" t="s">
        <v>2109</v>
      </c>
      <c r="H5515" s="3"/>
      <c r="I5515" s="3"/>
    </row>
    <row r="5516" spans="1:9" s="5" customFormat="1" x14ac:dyDescent="0.35">
      <c r="A5516" s="3" t="s">
        <v>2060</v>
      </c>
      <c r="B5516" s="3" t="s">
        <v>2106</v>
      </c>
      <c r="C5516" s="3" t="s">
        <v>42</v>
      </c>
      <c r="D5516" s="3" t="s">
        <v>2107</v>
      </c>
      <c r="E5516" s="3" t="s">
        <v>107</v>
      </c>
      <c r="F5516" s="3" t="s">
        <v>13</v>
      </c>
      <c r="G5516" s="3" t="s">
        <v>2110</v>
      </c>
      <c r="H5516" s="3"/>
      <c r="I5516" s="3"/>
    </row>
    <row r="5517" spans="1:9" s="5" customFormat="1" x14ac:dyDescent="0.35">
      <c r="A5517" s="3" t="s">
        <v>2060</v>
      </c>
      <c r="B5517" s="3" t="s">
        <v>2106</v>
      </c>
      <c r="C5517" s="3" t="s">
        <v>20</v>
      </c>
      <c r="D5517" s="3" t="s">
        <v>2111</v>
      </c>
      <c r="E5517" s="3" t="s">
        <v>12</v>
      </c>
      <c r="F5517" s="3"/>
      <c r="G5517" s="3"/>
      <c r="H5517" s="3"/>
      <c r="I5517" s="3"/>
    </row>
    <row r="5518" spans="1:9" s="5" customFormat="1" x14ac:dyDescent="0.35">
      <c r="A5518" s="3" t="s">
        <v>2060</v>
      </c>
      <c r="B5518" s="3" t="s">
        <v>2106</v>
      </c>
      <c r="C5518" s="3" t="s">
        <v>20</v>
      </c>
      <c r="D5518" s="3" t="s">
        <v>2111</v>
      </c>
      <c r="E5518" s="3" t="s">
        <v>23</v>
      </c>
      <c r="F5518" s="3"/>
      <c r="G5518" s="3"/>
      <c r="H5518" s="3"/>
      <c r="I5518" s="3"/>
    </row>
    <row r="5519" spans="1:9" s="5" customFormat="1" x14ac:dyDescent="0.35">
      <c r="A5519" s="3" t="s">
        <v>2060</v>
      </c>
      <c r="B5519" s="3" t="s">
        <v>2106</v>
      </c>
      <c r="C5519" s="3" t="s">
        <v>20</v>
      </c>
      <c r="D5519" s="3" t="s">
        <v>2111</v>
      </c>
      <c r="E5519" s="3" t="s">
        <v>25</v>
      </c>
      <c r="F5519" s="3"/>
      <c r="G5519" s="3"/>
      <c r="H5519" s="3"/>
      <c r="I5519" s="3"/>
    </row>
    <row r="5520" spans="1:9" s="5" customFormat="1" x14ac:dyDescent="0.35">
      <c r="A5520" s="3" t="s">
        <v>2060</v>
      </c>
      <c r="B5520" s="3" t="s">
        <v>2106</v>
      </c>
      <c r="C5520" s="3" t="s">
        <v>20</v>
      </c>
      <c r="D5520" s="3" t="s">
        <v>2111</v>
      </c>
      <c r="E5520" s="3" t="s">
        <v>60</v>
      </c>
      <c r="F5520" s="3"/>
      <c r="G5520" s="3"/>
      <c r="H5520" s="3"/>
      <c r="I5520" s="3"/>
    </row>
    <row r="5521" spans="1:9" s="5" customFormat="1" x14ac:dyDescent="0.35">
      <c r="A5521" s="3" t="s">
        <v>2060</v>
      </c>
      <c r="B5521" s="3" t="s">
        <v>2106</v>
      </c>
      <c r="C5521" s="3" t="s">
        <v>20</v>
      </c>
      <c r="D5521" s="3" t="s">
        <v>2111</v>
      </c>
      <c r="E5521" s="3" t="s">
        <v>27</v>
      </c>
      <c r="F5521" s="3"/>
      <c r="G5521" s="3"/>
      <c r="H5521" s="3"/>
      <c r="I5521" s="3"/>
    </row>
    <row r="5522" spans="1:9" s="5" customFormat="1" x14ac:dyDescent="0.35">
      <c r="A5522" s="3" t="s">
        <v>2060</v>
      </c>
      <c r="B5522" s="3" t="s">
        <v>2106</v>
      </c>
      <c r="C5522" s="3" t="s">
        <v>20</v>
      </c>
      <c r="D5522" s="3" t="s">
        <v>2111</v>
      </c>
      <c r="E5522" s="3" t="s">
        <v>28</v>
      </c>
      <c r="F5522" s="3"/>
      <c r="G5522" s="3"/>
      <c r="H5522" s="3"/>
      <c r="I5522" s="3"/>
    </row>
    <row r="5523" spans="1:9" s="5" customFormat="1" x14ac:dyDescent="0.35">
      <c r="A5523" s="3" t="s">
        <v>2060</v>
      </c>
      <c r="B5523" s="3" t="s">
        <v>2106</v>
      </c>
      <c r="C5523" s="3" t="s">
        <v>20</v>
      </c>
      <c r="D5523" s="3" t="s">
        <v>2111</v>
      </c>
      <c r="E5523" s="3" t="s">
        <v>15</v>
      </c>
      <c r="F5523" s="3" t="s">
        <v>13</v>
      </c>
      <c r="G5523" s="3" t="s">
        <v>2112</v>
      </c>
      <c r="H5523" s="3"/>
      <c r="I5523" s="3"/>
    </row>
    <row r="5524" spans="1:9" s="5" customFormat="1" x14ac:dyDescent="0.35">
      <c r="A5524" s="3" t="s">
        <v>2060</v>
      </c>
      <c r="B5524" s="3" t="s">
        <v>2106</v>
      </c>
      <c r="C5524" s="3" t="s">
        <v>20</v>
      </c>
      <c r="D5524" s="3" t="s">
        <v>2111</v>
      </c>
      <c r="E5524" s="3" t="s">
        <v>57</v>
      </c>
      <c r="F5524" s="3"/>
      <c r="G5524" s="3"/>
      <c r="H5524" s="3"/>
      <c r="I5524" s="3"/>
    </row>
    <row r="5525" spans="1:9" s="5" customFormat="1" x14ac:dyDescent="0.35">
      <c r="A5525" s="3" t="s">
        <v>2060</v>
      </c>
      <c r="B5525" s="3" t="s">
        <v>2106</v>
      </c>
      <c r="C5525" s="3" t="s">
        <v>20</v>
      </c>
      <c r="D5525" s="3" t="s">
        <v>2111</v>
      </c>
      <c r="E5525" s="3" t="s">
        <v>107</v>
      </c>
      <c r="F5525" s="3" t="s">
        <v>13</v>
      </c>
      <c r="G5525" s="3" t="s">
        <v>2113</v>
      </c>
      <c r="H5525" s="3"/>
      <c r="I5525" s="3"/>
    </row>
    <row r="5526" spans="1:9" s="5" customFormat="1" x14ac:dyDescent="0.35">
      <c r="A5526" s="3" t="s">
        <v>2060</v>
      </c>
      <c r="B5526" s="3" t="s">
        <v>2106</v>
      </c>
      <c r="C5526" s="3" t="s">
        <v>20</v>
      </c>
      <c r="D5526" s="3" t="s">
        <v>2114</v>
      </c>
      <c r="E5526" s="3" t="s">
        <v>28</v>
      </c>
      <c r="F5526" s="3" t="s">
        <v>13</v>
      </c>
      <c r="G5526" s="3" t="s">
        <v>136</v>
      </c>
      <c r="H5526" s="3"/>
      <c r="I5526" s="3"/>
    </row>
    <row r="5527" spans="1:9" s="5" customFormat="1" x14ac:dyDescent="0.35">
      <c r="A5527" s="3" t="s">
        <v>2060</v>
      </c>
      <c r="B5527" s="3" t="s">
        <v>2106</v>
      </c>
      <c r="C5527" s="3" t="s">
        <v>20</v>
      </c>
      <c r="D5527" s="3" t="s">
        <v>2114</v>
      </c>
      <c r="E5527" s="3" t="s">
        <v>56</v>
      </c>
      <c r="F5527" s="3" t="s">
        <v>13</v>
      </c>
      <c r="G5527" s="3" t="s">
        <v>136</v>
      </c>
      <c r="H5527" s="3"/>
      <c r="I5527" s="3"/>
    </row>
    <row r="5528" spans="1:9" s="5" customFormat="1" x14ac:dyDescent="0.35">
      <c r="A5528" s="3" t="s">
        <v>2060</v>
      </c>
      <c r="B5528" s="3" t="s">
        <v>2106</v>
      </c>
      <c r="C5528" s="3" t="s">
        <v>20</v>
      </c>
      <c r="D5528" s="3" t="s">
        <v>2114</v>
      </c>
      <c r="E5528" s="3" t="s">
        <v>32</v>
      </c>
      <c r="F5528" s="3" t="s">
        <v>13</v>
      </c>
      <c r="G5528" s="3" t="s">
        <v>136</v>
      </c>
      <c r="H5528" s="3"/>
      <c r="I5528" s="3"/>
    </row>
    <row r="5529" spans="1:9" s="5" customFormat="1" x14ac:dyDescent="0.35">
      <c r="A5529" s="3" t="s">
        <v>2060</v>
      </c>
      <c r="B5529" s="3" t="s">
        <v>2106</v>
      </c>
      <c r="C5529" s="3" t="s">
        <v>20</v>
      </c>
      <c r="D5529" s="3" t="s">
        <v>2114</v>
      </c>
      <c r="E5529" s="3" t="s">
        <v>24</v>
      </c>
      <c r="F5529" s="3"/>
      <c r="G5529" s="3"/>
      <c r="H5529" s="3"/>
      <c r="I5529" s="3"/>
    </row>
    <row r="5530" spans="1:9" s="5" customFormat="1" x14ac:dyDescent="0.35">
      <c r="A5530" s="3" t="s">
        <v>2060</v>
      </c>
      <c r="B5530" s="3" t="s">
        <v>2106</v>
      </c>
      <c r="C5530" s="3" t="s">
        <v>20</v>
      </c>
      <c r="D5530" s="3" t="s">
        <v>2115</v>
      </c>
      <c r="E5530" s="3" t="s">
        <v>15</v>
      </c>
      <c r="F5530" s="3" t="s">
        <v>16</v>
      </c>
      <c r="G5530" s="3" t="s">
        <v>2116</v>
      </c>
      <c r="H5530" s="3"/>
      <c r="I5530" s="3"/>
    </row>
    <row r="5531" spans="1:9" s="5" customFormat="1" x14ac:dyDescent="0.35">
      <c r="A5531" s="3" t="s">
        <v>2060</v>
      </c>
      <c r="B5531" s="3" t="s">
        <v>2106</v>
      </c>
      <c r="C5531" s="3" t="s">
        <v>20</v>
      </c>
      <c r="D5531" s="3" t="s">
        <v>2115</v>
      </c>
      <c r="E5531" s="3" t="s">
        <v>57</v>
      </c>
      <c r="F5531" s="3" t="s">
        <v>16</v>
      </c>
      <c r="G5531" s="3" t="s">
        <v>2116</v>
      </c>
      <c r="H5531" s="3"/>
      <c r="I5531" s="3"/>
    </row>
    <row r="5532" spans="1:9" s="5" customFormat="1" x14ac:dyDescent="0.35">
      <c r="A5532" s="3" t="s">
        <v>2060</v>
      </c>
      <c r="B5532" s="3" t="s">
        <v>2106</v>
      </c>
      <c r="C5532" s="3" t="s">
        <v>20</v>
      </c>
      <c r="D5532" s="3" t="s">
        <v>2115</v>
      </c>
      <c r="E5532" s="3" t="s">
        <v>56</v>
      </c>
      <c r="F5532" s="3" t="s">
        <v>16</v>
      </c>
      <c r="G5532" s="3" t="s">
        <v>2116</v>
      </c>
      <c r="H5532" s="3"/>
      <c r="I5532" s="3"/>
    </row>
    <row r="5533" spans="1:9" s="5" customFormat="1" x14ac:dyDescent="0.35">
      <c r="A5533" s="3" t="s">
        <v>2060</v>
      </c>
      <c r="B5533" s="3" t="s">
        <v>2106</v>
      </c>
      <c r="C5533" s="3" t="s">
        <v>20</v>
      </c>
      <c r="D5533" s="3" t="s">
        <v>2115</v>
      </c>
      <c r="E5533" s="3" t="s">
        <v>32</v>
      </c>
      <c r="F5533" s="3" t="s">
        <v>16</v>
      </c>
      <c r="G5533" s="3" t="s">
        <v>2116</v>
      </c>
      <c r="H5533" s="3"/>
      <c r="I5533" s="3"/>
    </row>
    <row r="5534" spans="1:9" s="5" customFormat="1" x14ac:dyDescent="0.35">
      <c r="A5534" s="3" t="s">
        <v>2060</v>
      </c>
      <c r="B5534" s="3" t="s">
        <v>2106</v>
      </c>
      <c r="C5534" s="3" t="s">
        <v>20</v>
      </c>
      <c r="D5534" s="3" t="s">
        <v>2115</v>
      </c>
      <c r="E5534" s="3" t="s">
        <v>107</v>
      </c>
      <c r="F5534" s="3" t="s">
        <v>16</v>
      </c>
      <c r="G5534" s="3" t="s">
        <v>2116</v>
      </c>
      <c r="H5534" s="3"/>
      <c r="I5534" s="3"/>
    </row>
    <row r="5535" spans="1:9" s="5" customFormat="1" x14ac:dyDescent="0.35">
      <c r="A5535" s="3" t="s">
        <v>2060</v>
      </c>
      <c r="B5535" s="3" t="s">
        <v>2106</v>
      </c>
      <c r="C5535" s="3" t="s">
        <v>39</v>
      </c>
      <c r="D5535" s="3" t="s">
        <v>2117</v>
      </c>
      <c r="E5535" s="3" t="s">
        <v>12</v>
      </c>
      <c r="F5535" s="3"/>
      <c r="G5535" s="3" t="s">
        <v>2395</v>
      </c>
      <c r="H5535" s="3"/>
      <c r="I5535" s="3"/>
    </row>
    <row r="5536" spans="1:9" s="5" customFormat="1" x14ac:dyDescent="0.35">
      <c r="A5536" s="3" t="s">
        <v>2060</v>
      </c>
      <c r="B5536" s="3" t="s">
        <v>2106</v>
      </c>
      <c r="C5536" s="3" t="s">
        <v>39</v>
      </c>
      <c r="D5536" s="3" t="s">
        <v>2117</v>
      </c>
      <c r="E5536" s="3" t="s">
        <v>87</v>
      </c>
      <c r="F5536" s="3"/>
      <c r="G5536" s="3"/>
      <c r="H5536" s="3"/>
      <c r="I5536" s="3"/>
    </row>
    <row r="5537" spans="1:9" s="5" customFormat="1" x14ac:dyDescent="0.35">
      <c r="A5537" s="3" t="s">
        <v>2060</v>
      </c>
      <c r="B5537" s="3" t="s">
        <v>2106</v>
      </c>
      <c r="C5537" s="3" t="s">
        <v>39</v>
      </c>
      <c r="D5537" s="3" t="s">
        <v>2117</v>
      </c>
      <c r="E5537" s="3" t="s">
        <v>56</v>
      </c>
      <c r="F5537" s="3"/>
      <c r="G5537" s="3"/>
      <c r="H5537" s="3"/>
      <c r="I5537" s="3"/>
    </row>
    <row r="5538" spans="1:9" s="5" customFormat="1" x14ac:dyDescent="0.35">
      <c r="A5538" s="3" t="s">
        <v>2060</v>
      </c>
      <c r="B5538" s="3" t="s">
        <v>2106</v>
      </c>
      <c r="C5538" s="3" t="s">
        <v>39</v>
      </c>
      <c r="D5538" s="3" t="s">
        <v>2118</v>
      </c>
      <c r="E5538" s="3" t="s">
        <v>27</v>
      </c>
      <c r="F5538" s="3" t="s">
        <v>13</v>
      </c>
      <c r="G5538" s="3" t="s">
        <v>2121</v>
      </c>
      <c r="H5538" s="3"/>
      <c r="I5538" s="3"/>
    </row>
    <row r="5539" spans="1:9" s="5" customFormat="1" x14ac:dyDescent="0.35">
      <c r="A5539" s="3" t="s">
        <v>2060</v>
      </c>
      <c r="B5539" s="3" t="s">
        <v>2106</v>
      </c>
      <c r="C5539" s="3" t="s">
        <v>39</v>
      </c>
      <c r="D5539" s="3" t="s">
        <v>2118</v>
      </c>
      <c r="E5539" s="3" t="s">
        <v>87</v>
      </c>
      <c r="F5539" s="3" t="s">
        <v>13</v>
      </c>
      <c r="G5539" s="3" t="s">
        <v>2119</v>
      </c>
      <c r="H5539" s="3"/>
      <c r="I5539" s="3"/>
    </row>
    <row r="5540" spans="1:9" s="5" customFormat="1" x14ac:dyDescent="0.35">
      <c r="A5540" s="3" t="s">
        <v>2060</v>
      </c>
      <c r="B5540" s="3" t="s">
        <v>2106</v>
      </c>
      <c r="C5540" s="3" t="s">
        <v>39</v>
      </c>
      <c r="D5540" s="3" t="s">
        <v>2118</v>
      </c>
      <c r="E5540" s="3" t="s">
        <v>98</v>
      </c>
      <c r="F5540" s="3" t="s">
        <v>13</v>
      </c>
      <c r="G5540" s="3" t="s">
        <v>2120</v>
      </c>
      <c r="H5540" s="3"/>
      <c r="I5540" s="3"/>
    </row>
    <row r="5541" spans="1:9" s="5" customFormat="1" x14ac:dyDescent="0.35">
      <c r="A5541" s="3" t="s">
        <v>2060</v>
      </c>
      <c r="B5541" s="3" t="s">
        <v>2106</v>
      </c>
      <c r="C5541" s="3" t="s">
        <v>39</v>
      </c>
      <c r="D5541" s="3" t="s">
        <v>2118</v>
      </c>
      <c r="E5541" s="3" t="s">
        <v>15</v>
      </c>
      <c r="F5541" s="3" t="s">
        <v>13</v>
      </c>
      <c r="G5541" s="3" t="s">
        <v>136</v>
      </c>
      <c r="H5541" s="3"/>
      <c r="I5541" s="3"/>
    </row>
    <row r="5542" spans="1:9" s="5" customFormat="1" x14ac:dyDescent="0.35">
      <c r="A5542" s="3" t="s">
        <v>2060</v>
      </c>
      <c r="B5542" s="3" t="s">
        <v>2106</v>
      </c>
      <c r="C5542" s="3" t="s">
        <v>45</v>
      </c>
      <c r="D5542" s="3" t="s">
        <v>2122</v>
      </c>
      <c r="E5542" s="3" t="s">
        <v>77</v>
      </c>
      <c r="F5542" s="3"/>
      <c r="G5542" s="3"/>
      <c r="H5542" s="3"/>
      <c r="I5542" s="3"/>
    </row>
    <row r="5543" spans="1:9" s="5" customFormat="1" x14ac:dyDescent="0.35">
      <c r="A5543" s="3" t="s">
        <v>2060</v>
      </c>
      <c r="B5543" s="3" t="s">
        <v>2106</v>
      </c>
      <c r="C5543" s="3" t="s">
        <v>45</v>
      </c>
      <c r="D5543" s="3" t="s">
        <v>2122</v>
      </c>
      <c r="E5543" s="3" t="s">
        <v>28</v>
      </c>
      <c r="F5543" s="3"/>
      <c r="G5543" s="3"/>
      <c r="H5543" s="3"/>
      <c r="I5543" s="3"/>
    </row>
    <row r="5544" spans="1:9" s="5" customFormat="1" x14ac:dyDescent="0.35">
      <c r="A5544" s="3" t="s">
        <v>2060</v>
      </c>
      <c r="B5544" s="3" t="s">
        <v>2106</v>
      </c>
      <c r="C5544" s="3" t="s">
        <v>45</v>
      </c>
      <c r="D5544" s="3" t="s">
        <v>2122</v>
      </c>
      <c r="E5544" s="3" t="s">
        <v>56</v>
      </c>
      <c r="F5544" s="3"/>
      <c r="G5544" s="3" t="s">
        <v>2481</v>
      </c>
      <c r="H5544" s="3"/>
      <c r="I5544" s="3"/>
    </row>
    <row r="5545" spans="1:9" s="5" customFormat="1" x14ac:dyDescent="0.35">
      <c r="A5545" s="3" t="s">
        <v>2060</v>
      </c>
      <c r="B5545" s="3" t="s">
        <v>2106</v>
      </c>
      <c r="C5545" s="3" t="s">
        <v>45</v>
      </c>
      <c r="D5545" s="3" t="s">
        <v>2122</v>
      </c>
      <c r="E5545" s="3" t="s">
        <v>32</v>
      </c>
      <c r="F5545" s="3"/>
      <c r="G5545" s="3"/>
      <c r="H5545" s="3"/>
      <c r="I5545" s="3"/>
    </row>
    <row r="5546" spans="1:9" s="5" customFormat="1" x14ac:dyDescent="0.35">
      <c r="A5546" s="3" t="s">
        <v>2060</v>
      </c>
      <c r="B5546" s="3" t="s">
        <v>2106</v>
      </c>
      <c r="C5546" s="3" t="s">
        <v>45</v>
      </c>
      <c r="D5546" s="3" t="s">
        <v>2122</v>
      </c>
      <c r="E5546" s="3" t="s">
        <v>24</v>
      </c>
      <c r="F5546" s="3"/>
      <c r="G5546" s="3"/>
      <c r="H5546" s="3"/>
      <c r="I5546" s="3"/>
    </row>
    <row r="5547" spans="1:9" s="5" customFormat="1" x14ac:dyDescent="0.35">
      <c r="A5547" s="3" t="s">
        <v>2060</v>
      </c>
      <c r="B5547" s="3" t="s">
        <v>2123</v>
      </c>
      <c r="C5547" s="3" t="s">
        <v>20</v>
      </c>
      <c r="D5547" s="3" t="s">
        <v>2818</v>
      </c>
      <c r="E5547" s="3" t="s">
        <v>12</v>
      </c>
      <c r="F5547" s="3" t="s">
        <v>16</v>
      </c>
      <c r="G5547" s="3" t="s">
        <v>2819</v>
      </c>
      <c r="H5547" s="3" t="s">
        <v>16</v>
      </c>
      <c r="I5547" s="3" t="s">
        <v>816</v>
      </c>
    </row>
    <row r="5548" spans="1:9" s="5" customFormat="1" x14ac:dyDescent="0.35">
      <c r="A5548" s="3" t="s">
        <v>2060</v>
      </c>
      <c r="B5548" s="3" t="s">
        <v>2123</v>
      </c>
      <c r="C5548" s="3" t="s">
        <v>20</v>
      </c>
      <c r="D5548" s="3" t="s">
        <v>2818</v>
      </c>
      <c r="E5548" s="3" t="s">
        <v>27</v>
      </c>
      <c r="F5548" s="3" t="s">
        <v>16</v>
      </c>
      <c r="G5548" s="3" t="s">
        <v>2820</v>
      </c>
      <c r="H5548" s="3" t="s">
        <v>16</v>
      </c>
      <c r="I5548" s="3" t="s">
        <v>816</v>
      </c>
    </row>
    <row r="5549" spans="1:9" s="5" customFormat="1" x14ac:dyDescent="0.35">
      <c r="A5549" s="3" t="s">
        <v>2060</v>
      </c>
      <c r="B5549" s="3" t="s">
        <v>2123</v>
      </c>
      <c r="C5549" s="3" t="s">
        <v>20</v>
      </c>
      <c r="D5549" s="3" t="s">
        <v>2818</v>
      </c>
      <c r="E5549" s="3" t="s">
        <v>28</v>
      </c>
      <c r="F5549" s="3" t="s">
        <v>16</v>
      </c>
      <c r="G5549" s="3" t="s">
        <v>2821</v>
      </c>
      <c r="H5549" s="3" t="s">
        <v>16</v>
      </c>
      <c r="I5549" s="3" t="s">
        <v>816</v>
      </c>
    </row>
    <row r="5550" spans="1:9" s="5" customFormat="1" x14ac:dyDescent="0.35">
      <c r="A5550" s="3" t="s">
        <v>2060</v>
      </c>
      <c r="B5550" s="3" t="s">
        <v>2123</v>
      </c>
      <c r="C5550" s="3" t="s">
        <v>20</v>
      </c>
      <c r="D5550" s="3" t="s">
        <v>2818</v>
      </c>
      <c r="E5550" s="3" t="s">
        <v>15</v>
      </c>
      <c r="F5550" s="3" t="s">
        <v>16</v>
      </c>
      <c r="G5550" s="3" t="s">
        <v>2822</v>
      </c>
      <c r="H5550" s="3" t="s">
        <v>16</v>
      </c>
      <c r="I5550" s="3" t="s">
        <v>816</v>
      </c>
    </row>
    <row r="5551" spans="1:9" s="5" customFormat="1" x14ac:dyDescent="0.35">
      <c r="A5551" s="3" t="s">
        <v>2060</v>
      </c>
      <c r="B5551" s="3" t="s">
        <v>2123</v>
      </c>
      <c r="C5551" s="3" t="s">
        <v>20</v>
      </c>
      <c r="D5551" s="3" t="s">
        <v>2124</v>
      </c>
      <c r="E5551" s="3" t="s">
        <v>12</v>
      </c>
      <c r="F5551" s="3"/>
      <c r="G5551" s="3"/>
      <c r="H5551" s="3" t="s">
        <v>16</v>
      </c>
      <c r="I5551" s="3" t="s">
        <v>2063</v>
      </c>
    </row>
    <row r="5552" spans="1:9" s="5" customFormat="1" x14ac:dyDescent="0.35">
      <c r="A5552" s="3" t="s">
        <v>2060</v>
      </c>
      <c r="B5552" s="3" t="s">
        <v>2123</v>
      </c>
      <c r="C5552" s="3" t="s">
        <v>20</v>
      </c>
      <c r="D5552" s="3" t="s">
        <v>2124</v>
      </c>
      <c r="E5552" s="3" t="s">
        <v>23</v>
      </c>
      <c r="F5552" s="3"/>
      <c r="G5552" s="3"/>
      <c r="H5552" s="3" t="s">
        <v>16</v>
      </c>
      <c r="I5552" s="3" t="s">
        <v>2063</v>
      </c>
    </row>
    <row r="5553" spans="1:9" s="5" customFormat="1" x14ac:dyDescent="0.35">
      <c r="A5553" s="3" t="s">
        <v>2060</v>
      </c>
      <c r="B5553" s="3" t="s">
        <v>2123</v>
      </c>
      <c r="C5553" s="3" t="s">
        <v>20</v>
      </c>
      <c r="D5553" s="3" t="s">
        <v>2124</v>
      </c>
      <c r="E5553" s="3" t="s">
        <v>25</v>
      </c>
      <c r="F5553" s="3"/>
      <c r="G5553" s="3"/>
      <c r="H5553" s="3" t="s">
        <v>16</v>
      </c>
      <c r="I5553" s="3" t="s">
        <v>2063</v>
      </c>
    </row>
    <row r="5554" spans="1:9" s="5" customFormat="1" x14ac:dyDescent="0.35">
      <c r="A5554" s="3" t="s">
        <v>2060</v>
      </c>
      <c r="B5554" s="3" t="s">
        <v>2123</v>
      </c>
      <c r="C5554" s="3" t="s">
        <v>20</v>
      </c>
      <c r="D5554" s="3" t="s">
        <v>2124</v>
      </c>
      <c r="E5554" s="3" t="s">
        <v>27</v>
      </c>
      <c r="F5554" s="3"/>
      <c r="G5554" s="3"/>
      <c r="H5554" s="3" t="s">
        <v>16</v>
      </c>
      <c r="I5554" s="3" t="s">
        <v>2063</v>
      </c>
    </row>
    <row r="5555" spans="1:9" s="5" customFormat="1" x14ac:dyDescent="0.35">
      <c r="A5555" s="3" t="s">
        <v>2060</v>
      </c>
      <c r="B5555" s="3" t="s">
        <v>2123</v>
      </c>
      <c r="C5555" s="3" t="s">
        <v>20</v>
      </c>
      <c r="D5555" s="3" t="s">
        <v>2124</v>
      </c>
      <c r="E5555" s="3" t="s">
        <v>77</v>
      </c>
      <c r="F5555" s="3" t="s">
        <v>16</v>
      </c>
      <c r="G5555" s="3" t="s">
        <v>2125</v>
      </c>
      <c r="H5555" s="3" t="s">
        <v>16</v>
      </c>
      <c r="I5555" s="3" t="s">
        <v>2063</v>
      </c>
    </row>
    <row r="5556" spans="1:9" s="5" customFormat="1" x14ac:dyDescent="0.35">
      <c r="A5556" s="3" t="s">
        <v>2060</v>
      </c>
      <c r="B5556" s="3" t="s">
        <v>2123</v>
      </c>
      <c r="C5556" s="3" t="s">
        <v>20</v>
      </c>
      <c r="D5556" s="3" t="s">
        <v>2124</v>
      </c>
      <c r="E5556" s="3" t="s">
        <v>28</v>
      </c>
      <c r="F5556" s="3" t="s">
        <v>16</v>
      </c>
      <c r="G5556" s="3" t="s">
        <v>2126</v>
      </c>
      <c r="H5556" s="3" t="s">
        <v>16</v>
      </c>
      <c r="I5556" s="3" t="s">
        <v>2063</v>
      </c>
    </row>
    <row r="5557" spans="1:9" s="5" customFormat="1" x14ac:dyDescent="0.35">
      <c r="A5557" s="3" t="s">
        <v>2060</v>
      </c>
      <c r="B5557" s="3" t="s">
        <v>2123</v>
      </c>
      <c r="C5557" s="3" t="s">
        <v>20</v>
      </c>
      <c r="D5557" s="3" t="s">
        <v>2124</v>
      </c>
      <c r="E5557" s="3" t="s">
        <v>32</v>
      </c>
      <c r="F5557" s="3" t="s">
        <v>16</v>
      </c>
      <c r="G5557" s="3" t="s">
        <v>2127</v>
      </c>
      <c r="H5557" s="3" t="s">
        <v>16</v>
      </c>
      <c r="I5557" s="3" t="s">
        <v>2063</v>
      </c>
    </row>
    <row r="5558" spans="1:9" s="5" customFormat="1" x14ac:dyDescent="0.35">
      <c r="A5558" s="3" t="s">
        <v>2060</v>
      </c>
      <c r="B5558" s="3" t="s">
        <v>2123</v>
      </c>
      <c r="C5558" s="3" t="s">
        <v>20</v>
      </c>
      <c r="D5558" s="3" t="s">
        <v>2124</v>
      </c>
      <c r="E5558" s="3" t="s">
        <v>24</v>
      </c>
      <c r="F5558" s="3"/>
      <c r="G5558" s="3"/>
      <c r="H5558" s="3" t="s">
        <v>16</v>
      </c>
      <c r="I5558" s="3" t="s">
        <v>2063</v>
      </c>
    </row>
    <row r="5559" spans="1:9" s="5" customFormat="1" x14ac:dyDescent="0.35">
      <c r="A5559" s="3" t="s">
        <v>2060</v>
      </c>
      <c r="B5559" s="3" t="s">
        <v>2123</v>
      </c>
      <c r="C5559" s="3" t="s">
        <v>42</v>
      </c>
      <c r="D5559" s="3" t="s">
        <v>2937</v>
      </c>
      <c r="E5559" s="3" t="s">
        <v>12</v>
      </c>
      <c r="F5559" s="3"/>
      <c r="G5559" s="3"/>
      <c r="H5559" s="3" t="s">
        <v>16</v>
      </c>
      <c r="I5559" s="3" t="s">
        <v>409</v>
      </c>
    </row>
    <row r="5560" spans="1:9" s="5" customFormat="1" x14ac:dyDescent="0.35">
      <c r="A5560" s="3" t="s">
        <v>2060</v>
      </c>
      <c r="B5560" s="3" t="s">
        <v>2123</v>
      </c>
      <c r="C5560" s="3" t="s">
        <v>42</v>
      </c>
      <c r="D5560" s="3" t="s">
        <v>2937</v>
      </c>
      <c r="E5560" s="3" t="s">
        <v>27</v>
      </c>
      <c r="F5560" s="3"/>
      <c r="G5560" s="3"/>
      <c r="H5560" s="3" t="s">
        <v>16</v>
      </c>
      <c r="I5560" s="3" t="s">
        <v>409</v>
      </c>
    </row>
    <row r="5561" spans="1:9" s="5" customFormat="1" x14ac:dyDescent="0.35">
      <c r="A5561" s="3" t="s">
        <v>2060</v>
      </c>
      <c r="B5561" s="3" t="s">
        <v>2123</v>
      </c>
      <c r="C5561" s="3" t="s">
        <v>42</v>
      </c>
      <c r="D5561" s="3" t="s">
        <v>2937</v>
      </c>
      <c r="E5561" s="3" t="s">
        <v>24</v>
      </c>
      <c r="F5561" s="3"/>
      <c r="G5561" s="3"/>
      <c r="H5561" s="3" t="s">
        <v>16</v>
      </c>
      <c r="I5561" s="3" t="s">
        <v>409</v>
      </c>
    </row>
    <row r="5562" spans="1:9" s="5" customFormat="1" x14ac:dyDescent="0.35">
      <c r="A5562" s="3" t="s">
        <v>2060</v>
      </c>
      <c r="B5562" s="3" t="s">
        <v>2123</v>
      </c>
      <c r="C5562" s="3" t="s">
        <v>42</v>
      </c>
      <c r="D5562" s="3" t="s">
        <v>2937</v>
      </c>
      <c r="E5562" s="3" t="s">
        <v>107</v>
      </c>
      <c r="F5562" s="3" t="s">
        <v>16</v>
      </c>
      <c r="G5562" s="3" t="s">
        <v>2938</v>
      </c>
      <c r="H5562" s="3" t="s">
        <v>16</v>
      </c>
      <c r="I5562" s="3" t="s">
        <v>409</v>
      </c>
    </row>
    <row r="5563" spans="1:9" s="5" customFormat="1" x14ac:dyDescent="0.35">
      <c r="A5563" s="3" t="s">
        <v>2060</v>
      </c>
      <c r="B5563" s="3" t="s">
        <v>2128</v>
      </c>
      <c r="C5563" s="3" t="s">
        <v>42</v>
      </c>
      <c r="D5563" s="3" t="s">
        <v>2935</v>
      </c>
      <c r="E5563" s="3" t="s">
        <v>23</v>
      </c>
      <c r="F5563" s="3"/>
      <c r="G5563" s="3"/>
      <c r="H5563" s="3" t="s">
        <v>16</v>
      </c>
      <c r="I5563" s="3" t="s">
        <v>1736</v>
      </c>
    </row>
    <row r="5564" spans="1:9" s="5" customFormat="1" x14ac:dyDescent="0.35">
      <c r="A5564" s="3" t="s">
        <v>2060</v>
      </c>
      <c r="B5564" s="3" t="s">
        <v>2128</v>
      </c>
      <c r="C5564" s="3" t="s">
        <v>42</v>
      </c>
      <c r="D5564" s="3" t="s">
        <v>2935</v>
      </c>
      <c r="E5564" s="3" t="s">
        <v>56</v>
      </c>
      <c r="F5564" s="3" t="s">
        <v>16</v>
      </c>
      <c r="G5564" s="3" t="s">
        <v>2936</v>
      </c>
      <c r="H5564" s="3" t="s">
        <v>16</v>
      </c>
      <c r="I5564" s="3" t="s">
        <v>1736</v>
      </c>
    </row>
    <row r="5565" spans="1:9" s="5" customFormat="1" x14ac:dyDescent="0.35">
      <c r="A5565" s="3" t="s">
        <v>2060</v>
      </c>
      <c r="B5565" s="3" t="s">
        <v>2128</v>
      </c>
      <c r="C5565" s="3" t="s">
        <v>20</v>
      </c>
      <c r="D5565" s="3" t="s">
        <v>2129</v>
      </c>
      <c r="E5565" s="3" t="s">
        <v>56</v>
      </c>
      <c r="F5565" s="3"/>
      <c r="G5565" s="3"/>
      <c r="H5565" s="3"/>
      <c r="I5565" s="3"/>
    </row>
    <row r="5566" spans="1:9" s="5" customFormat="1" x14ac:dyDescent="0.35">
      <c r="A5566" s="3" t="s">
        <v>2060</v>
      </c>
      <c r="B5566" s="3" t="s">
        <v>2130</v>
      </c>
      <c r="C5566" s="3" t="s">
        <v>42</v>
      </c>
      <c r="D5566" s="3" t="s">
        <v>2131</v>
      </c>
      <c r="E5566" s="3" t="s">
        <v>12</v>
      </c>
      <c r="F5566" s="3"/>
      <c r="G5566" s="3"/>
      <c r="H5566" s="3"/>
      <c r="I5566" s="3"/>
    </row>
    <row r="5567" spans="1:9" s="5" customFormat="1" x14ac:dyDescent="0.35">
      <c r="A5567" s="3" t="s">
        <v>2060</v>
      </c>
      <c r="B5567" s="3" t="s">
        <v>2130</v>
      </c>
      <c r="C5567" s="3" t="s">
        <v>42</v>
      </c>
      <c r="D5567" s="3" t="s">
        <v>2131</v>
      </c>
      <c r="E5567" s="3" t="s">
        <v>44</v>
      </c>
      <c r="F5567" s="3"/>
      <c r="G5567" s="3"/>
      <c r="H5567" s="3"/>
      <c r="I5567" s="3"/>
    </row>
    <row r="5568" spans="1:9" s="5" customFormat="1" x14ac:dyDescent="0.35">
      <c r="A5568" s="3" t="s">
        <v>2060</v>
      </c>
      <c r="B5568" s="3" t="s">
        <v>2130</v>
      </c>
      <c r="C5568" s="3" t="s">
        <v>42</v>
      </c>
      <c r="D5568" s="3" t="s">
        <v>2131</v>
      </c>
      <c r="E5568" s="3" t="s">
        <v>87</v>
      </c>
      <c r="F5568" s="3" t="s">
        <v>16</v>
      </c>
      <c r="G5568" s="3" t="s">
        <v>2132</v>
      </c>
      <c r="H5568" s="3"/>
      <c r="I5568" s="3"/>
    </row>
    <row r="5569" spans="1:9" s="5" customFormat="1" x14ac:dyDescent="0.35">
      <c r="A5569" s="3" t="s">
        <v>2060</v>
      </c>
      <c r="B5569" s="3" t="s">
        <v>2130</v>
      </c>
      <c r="C5569" s="3" t="s">
        <v>42</v>
      </c>
      <c r="D5569" s="3" t="s">
        <v>2131</v>
      </c>
      <c r="E5569" s="3" t="s">
        <v>24</v>
      </c>
      <c r="F5569" s="3"/>
      <c r="G5569" s="3"/>
      <c r="H5569" s="3"/>
      <c r="I5569" s="3"/>
    </row>
    <row r="5570" spans="1:9" s="5" customFormat="1" x14ac:dyDescent="0.35">
      <c r="A5570" s="3" t="s">
        <v>2060</v>
      </c>
      <c r="B5570" s="3" t="s">
        <v>2130</v>
      </c>
      <c r="C5570" s="3" t="s">
        <v>20</v>
      </c>
      <c r="D5570" s="3" t="s">
        <v>2785</v>
      </c>
      <c r="E5570" s="3" t="s">
        <v>12</v>
      </c>
      <c r="F5570" s="3"/>
      <c r="G5570" s="3"/>
      <c r="H5570" s="3"/>
      <c r="I5570" s="3"/>
    </row>
    <row r="5571" spans="1:9" s="5" customFormat="1" x14ac:dyDescent="0.35">
      <c r="A5571" s="3" t="s">
        <v>2060</v>
      </c>
      <c r="B5571" s="3" t="s">
        <v>2130</v>
      </c>
      <c r="C5571" s="3" t="s">
        <v>20</v>
      </c>
      <c r="D5571" s="3" t="s">
        <v>2785</v>
      </c>
      <c r="E5571" s="3" t="s">
        <v>23</v>
      </c>
      <c r="G5571" s="3"/>
      <c r="H5571" s="3"/>
      <c r="I5571" s="3"/>
    </row>
    <row r="5572" spans="1:9" s="5" customFormat="1" x14ac:dyDescent="0.35">
      <c r="A5572" s="3" t="s">
        <v>2060</v>
      </c>
      <c r="B5572" s="3" t="s">
        <v>2130</v>
      </c>
      <c r="C5572" s="3" t="s">
        <v>20</v>
      </c>
      <c r="D5572" s="3" t="s">
        <v>2785</v>
      </c>
      <c r="E5572" s="3" t="s">
        <v>28</v>
      </c>
      <c r="H5572" s="3"/>
      <c r="I5572" s="3"/>
    </row>
    <row r="5573" spans="1:9" s="5" customFormat="1" x14ac:dyDescent="0.35">
      <c r="A5573" s="3" t="s">
        <v>2060</v>
      </c>
      <c r="B5573" s="3" t="s">
        <v>2130</v>
      </c>
      <c r="C5573" s="3" t="s">
        <v>20</v>
      </c>
      <c r="D5573" s="3" t="s">
        <v>2785</v>
      </c>
      <c r="E5573" s="3" t="s">
        <v>98</v>
      </c>
      <c r="F5573" s="3"/>
      <c r="G5573" s="3" t="s">
        <v>2660</v>
      </c>
      <c r="H5573" s="3"/>
      <c r="I5573" s="3"/>
    </row>
    <row r="5574" spans="1:9" s="5" customFormat="1" x14ac:dyDescent="0.35">
      <c r="A5574" s="3" t="s">
        <v>2060</v>
      </c>
      <c r="B5574" s="3" t="s">
        <v>2130</v>
      </c>
      <c r="C5574" s="3" t="s">
        <v>20</v>
      </c>
      <c r="D5574" s="3" t="s">
        <v>2946</v>
      </c>
      <c r="E5574" s="3" t="s">
        <v>23</v>
      </c>
      <c r="F5574" s="3"/>
      <c r="G5574" s="3"/>
      <c r="H5574" s="3"/>
      <c r="I5574" s="3"/>
    </row>
    <row r="5575" spans="1:9" s="5" customFormat="1" x14ac:dyDescent="0.35">
      <c r="A5575" s="3" t="s">
        <v>2060</v>
      </c>
      <c r="B5575" s="3" t="s">
        <v>2130</v>
      </c>
      <c r="C5575" s="3" t="s">
        <v>20</v>
      </c>
      <c r="D5575" s="3" t="s">
        <v>2946</v>
      </c>
      <c r="E5575" s="3" t="s">
        <v>27</v>
      </c>
      <c r="F5575" s="3"/>
      <c r="G5575" s="3"/>
      <c r="H5575" s="3"/>
      <c r="I5575" s="3"/>
    </row>
    <row r="5576" spans="1:9" s="5" customFormat="1" x14ac:dyDescent="0.35">
      <c r="A5576" s="3" t="s">
        <v>2060</v>
      </c>
      <c r="B5576" s="3" t="s">
        <v>2130</v>
      </c>
      <c r="C5576" s="3" t="s">
        <v>20</v>
      </c>
      <c r="D5576" s="3" t="s">
        <v>2946</v>
      </c>
      <c r="E5576" s="3" t="s">
        <v>28</v>
      </c>
      <c r="F5576" s="3"/>
      <c r="G5576" s="3"/>
      <c r="H5576" s="3"/>
      <c r="I5576" s="3"/>
    </row>
    <row r="5577" spans="1:9" s="5" customFormat="1" x14ac:dyDescent="0.35">
      <c r="A5577" s="3" t="s">
        <v>2060</v>
      </c>
      <c r="B5577" s="3" t="s">
        <v>2130</v>
      </c>
      <c r="C5577" s="3" t="s">
        <v>20</v>
      </c>
      <c r="D5577" s="3" t="s">
        <v>2946</v>
      </c>
      <c r="E5577" s="3" t="s">
        <v>98</v>
      </c>
      <c r="F5577" s="3"/>
      <c r="G5577" s="3"/>
      <c r="H5577" s="3"/>
      <c r="I5577" s="3"/>
    </row>
    <row r="5578" spans="1:9" s="5" customFormat="1" x14ac:dyDescent="0.35">
      <c r="A5578" s="3" t="s">
        <v>2060</v>
      </c>
      <c r="B5578" s="3" t="s">
        <v>2130</v>
      </c>
      <c r="C5578" s="3" t="s">
        <v>20</v>
      </c>
      <c r="D5578" s="3" t="s">
        <v>2946</v>
      </c>
      <c r="E5578" s="3" t="s">
        <v>56</v>
      </c>
      <c r="F5578" s="3"/>
      <c r="G5578" s="3"/>
      <c r="H5578" s="3"/>
      <c r="I5578" s="3"/>
    </row>
    <row r="5579" spans="1:9" s="5" customFormat="1" x14ac:dyDescent="0.35">
      <c r="A5579" s="3" t="s">
        <v>2060</v>
      </c>
      <c r="B5579" s="3" t="s">
        <v>2130</v>
      </c>
      <c r="C5579" s="3" t="s">
        <v>20</v>
      </c>
      <c r="D5579" s="3" t="s">
        <v>2946</v>
      </c>
      <c r="E5579" s="3" t="s">
        <v>32</v>
      </c>
      <c r="F5579" s="3"/>
      <c r="G5579" s="3"/>
      <c r="H5579" s="3"/>
      <c r="I5579" s="3"/>
    </row>
    <row r="5580" spans="1:9" s="5" customFormat="1" x14ac:dyDescent="0.35">
      <c r="A5580" s="3" t="s">
        <v>2060</v>
      </c>
      <c r="B5580" s="3" t="s">
        <v>2130</v>
      </c>
      <c r="C5580" s="3" t="s">
        <v>20</v>
      </c>
      <c r="D5580" s="3" t="s">
        <v>2946</v>
      </c>
      <c r="E5580" s="3" t="s">
        <v>24</v>
      </c>
      <c r="F5580" s="3"/>
      <c r="G5580" s="3"/>
      <c r="H5580" s="3"/>
      <c r="I5580" s="3"/>
    </row>
    <row r="5581" spans="1:9" s="5" customFormat="1" x14ac:dyDescent="0.35">
      <c r="A5581" s="3" t="s">
        <v>2060</v>
      </c>
      <c r="B5581" s="3" t="s">
        <v>2133</v>
      </c>
      <c r="C5581" s="3" t="s">
        <v>42</v>
      </c>
      <c r="D5581" s="3" t="s">
        <v>2134</v>
      </c>
      <c r="E5581" s="3" t="s">
        <v>12</v>
      </c>
      <c r="F5581" s="3"/>
      <c r="G5581" s="3"/>
      <c r="H5581" s="3"/>
      <c r="I5581" s="12"/>
    </row>
    <row r="5582" spans="1:9" s="5" customFormat="1" x14ac:dyDescent="0.35">
      <c r="A5582" s="3" t="s">
        <v>2060</v>
      </c>
      <c r="B5582" s="3" t="s">
        <v>2133</v>
      </c>
      <c r="C5582" s="3" t="s">
        <v>42</v>
      </c>
      <c r="D5582" s="3" t="s">
        <v>2134</v>
      </c>
      <c r="E5582" s="3" t="s">
        <v>23</v>
      </c>
      <c r="F5582" s="3" t="s">
        <v>13</v>
      </c>
      <c r="G5582" s="3" t="s">
        <v>2135</v>
      </c>
      <c r="H5582" s="3"/>
      <c r="I5582" s="3"/>
    </row>
    <row r="5583" spans="1:9" s="5" customFormat="1" x14ac:dyDescent="0.35">
      <c r="A5583" s="3" t="s">
        <v>2060</v>
      </c>
      <c r="B5583" s="3" t="s">
        <v>2133</v>
      </c>
      <c r="C5583" s="3" t="s">
        <v>42</v>
      </c>
      <c r="D5583" s="3" t="s">
        <v>2134</v>
      </c>
      <c r="E5583" s="3" t="s">
        <v>44</v>
      </c>
      <c r="F5583" s="3"/>
      <c r="G5583" s="3"/>
      <c r="H5583" s="3"/>
      <c r="I5583" s="3"/>
    </row>
    <row r="5584" spans="1:9" s="5" customFormat="1" x14ac:dyDescent="0.35">
      <c r="A5584" s="3" t="s">
        <v>2060</v>
      </c>
      <c r="B5584" s="3" t="s">
        <v>2133</v>
      </c>
      <c r="C5584" s="3" t="s">
        <v>42</v>
      </c>
      <c r="D5584" s="3" t="s">
        <v>2134</v>
      </c>
      <c r="E5584" s="3" t="s">
        <v>28</v>
      </c>
      <c r="F5584" s="3" t="s">
        <v>13</v>
      </c>
      <c r="G5584" s="3" t="s">
        <v>2334</v>
      </c>
      <c r="H5584" s="3"/>
      <c r="I5584" s="3"/>
    </row>
    <row r="5585" spans="1:9" s="5" customFormat="1" x14ac:dyDescent="0.35">
      <c r="A5585" s="3" t="s">
        <v>2060</v>
      </c>
      <c r="B5585" s="3" t="s">
        <v>2133</v>
      </c>
      <c r="C5585" s="3" t="s">
        <v>42</v>
      </c>
      <c r="D5585" s="3" t="s">
        <v>2134</v>
      </c>
      <c r="E5585" s="3" t="s">
        <v>15</v>
      </c>
      <c r="F5585" s="3" t="s">
        <v>13</v>
      </c>
      <c r="G5585" s="3" t="s">
        <v>2136</v>
      </c>
      <c r="H5585" s="3"/>
      <c r="I5585" s="3"/>
    </row>
    <row r="5586" spans="1:9" s="5" customFormat="1" x14ac:dyDescent="0.35">
      <c r="A5586" s="3" t="s">
        <v>2060</v>
      </c>
      <c r="B5586" s="3" t="s">
        <v>2133</v>
      </c>
      <c r="C5586" s="3" t="s">
        <v>42</v>
      </c>
      <c r="D5586" s="3" t="s">
        <v>2134</v>
      </c>
      <c r="E5586" s="3" t="s">
        <v>32</v>
      </c>
      <c r="F5586" s="3" t="s">
        <v>13</v>
      </c>
      <c r="G5586" s="3" t="s">
        <v>2335</v>
      </c>
      <c r="H5586" s="3"/>
      <c r="I5586" s="3"/>
    </row>
    <row r="5587" spans="1:9" s="5" customFormat="1" x14ac:dyDescent="0.35">
      <c r="A5587" s="3" t="s">
        <v>2060</v>
      </c>
      <c r="B5587" s="3" t="s">
        <v>2133</v>
      </c>
      <c r="C5587" s="3" t="s">
        <v>42</v>
      </c>
      <c r="D5587" s="3" t="s">
        <v>2134</v>
      </c>
      <c r="E5587" s="3" t="s">
        <v>82</v>
      </c>
      <c r="F5587" s="3" t="s">
        <v>33</v>
      </c>
      <c r="G5587" s="3" t="s">
        <v>2333</v>
      </c>
      <c r="H5587" s="3"/>
      <c r="I5587" s="3"/>
    </row>
    <row r="5588" spans="1:9" s="5" customFormat="1" x14ac:dyDescent="0.35">
      <c r="A5588" s="3" t="s">
        <v>2060</v>
      </c>
      <c r="B5588" s="3" t="s">
        <v>2133</v>
      </c>
      <c r="C5588" s="3" t="s">
        <v>20</v>
      </c>
      <c r="D5588" s="3" t="s">
        <v>2788</v>
      </c>
      <c r="E5588" s="3" t="s">
        <v>23</v>
      </c>
      <c r="F5588" s="3"/>
      <c r="G5588" s="3"/>
      <c r="H5588" s="3"/>
      <c r="I5588" s="3"/>
    </row>
    <row r="5589" spans="1:9" s="5" customFormat="1" x14ac:dyDescent="0.35">
      <c r="A5589" s="3" t="s">
        <v>2060</v>
      </c>
      <c r="B5589" s="3" t="s">
        <v>2133</v>
      </c>
      <c r="C5589" s="3" t="s">
        <v>20</v>
      </c>
      <c r="D5589" s="3" t="s">
        <v>2788</v>
      </c>
      <c r="E5589" s="3" t="s">
        <v>28</v>
      </c>
      <c r="F5589" s="3"/>
      <c r="G5589" s="3"/>
      <c r="H5589" s="3"/>
      <c r="I5589" s="3"/>
    </row>
    <row r="5590" spans="1:9" s="5" customFormat="1" x14ac:dyDescent="0.35">
      <c r="A5590" s="3" t="s">
        <v>2060</v>
      </c>
      <c r="B5590" s="3" t="s">
        <v>2133</v>
      </c>
      <c r="C5590" s="3" t="s">
        <v>20</v>
      </c>
      <c r="D5590" s="3" t="s">
        <v>2760</v>
      </c>
      <c r="E5590" s="3" t="s">
        <v>12</v>
      </c>
      <c r="F5590" s="3"/>
      <c r="G5590" s="3"/>
      <c r="H5590" s="3"/>
      <c r="I5590" s="3"/>
    </row>
    <row r="5591" spans="1:9" s="5" customFormat="1" x14ac:dyDescent="0.35">
      <c r="A5591" s="3" t="s">
        <v>2060</v>
      </c>
      <c r="B5591" s="3" t="s">
        <v>2133</v>
      </c>
      <c r="C5591" s="3" t="s">
        <v>20</v>
      </c>
      <c r="D5591" s="3" t="s">
        <v>2760</v>
      </c>
      <c r="E5591" s="3" t="s">
        <v>15</v>
      </c>
      <c r="F5591" s="3"/>
      <c r="G5591" s="3"/>
      <c r="H5591" s="3"/>
      <c r="I5591" s="3"/>
    </row>
    <row r="5592" spans="1:9" s="5" customFormat="1" x14ac:dyDescent="0.35">
      <c r="A5592" s="3" t="s">
        <v>2060</v>
      </c>
      <c r="B5592" s="3" t="s">
        <v>2133</v>
      </c>
      <c r="C5592" s="3" t="s">
        <v>20</v>
      </c>
      <c r="D5592" s="3" t="s">
        <v>2760</v>
      </c>
      <c r="E5592" s="3" t="s">
        <v>107</v>
      </c>
      <c r="F5592" s="3"/>
      <c r="G5592" s="3"/>
      <c r="H5592" s="3"/>
      <c r="I5592" s="3"/>
    </row>
    <row r="5593" spans="1:9" s="5" customFormat="1" x14ac:dyDescent="0.35">
      <c r="A5593" s="3" t="s">
        <v>2060</v>
      </c>
      <c r="B5593" s="3" t="s">
        <v>2133</v>
      </c>
      <c r="C5593" s="3" t="s">
        <v>20</v>
      </c>
      <c r="D5593" s="3" t="s">
        <v>2138</v>
      </c>
      <c r="E5593" s="3" t="s">
        <v>28</v>
      </c>
      <c r="F5593" s="3"/>
      <c r="G5593" s="3"/>
      <c r="H5593" s="3"/>
      <c r="I5593" s="3"/>
    </row>
    <row r="5594" spans="1:9" s="5" customFormat="1" x14ac:dyDescent="0.35">
      <c r="A5594" s="3" t="s">
        <v>2060</v>
      </c>
      <c r="B5594" s="3" t="s">
        <v>2133</v>
      </c>
      <c r="C5594" s="3" t="s">
        <v>20</v>
      </c>
      <c r="D5594" s="3" t="s">
        <v>2138</v>
      </c>
      <c r="E5594" s="3" t="s">
        <v>134</v>
      </c>
      <c r="F5594" s="3"/>
      <c r="G5594" s="3" t="s">
        <v>2139</v>
      </c>
      <c r="H5594" s="3"/>
      <c r="I5594" s="3"/>
    </row>
    <row r="5595" spans="1:9" s="5" customFormat="1" x14ac:dyDescent="0.35">
      <c r="A5595" s="3" t="s">
        <v>2060</v>
      </c>
      <c r="B5595" s="3" t="s">
        <v>2133</v>
      </c>
      <c r="C5595" s="3" t="s">
        <v>20</v>
      </c>
      <c r="D5595" s="3" t="s">
        <v>2140</v>
      </c>
      <c r="E5595" s="3" t="s">
        <v>12</v>
      </c>
      <c r="F5595" s="3"/>
      <c r="G5595" s="3"/>
      <c r="H5595" s="3"/>
      <c r="I5595" s="3"/>
    </row>
    <row r="5596" spans="1:9" s="5" customFormat="1" x14ac:dyDescent="0.35">
      <c r="A5596" s="3" t="s">
        <v>2060</v>
      </c>
      <c r="B5596" s="3" t="s">
        <v>2133</v>
      </c>
      <c r="C5596" s="3" t="s">
        <v>20</v>
      </c>
      <c r="D5596" s="3" t="s">
        <v>2140</v>
      </c>
      <c r="E5596" s="3" t="s">
        <v>23</v>
      </c>
      <c r="F5596" s="3"/>
      <c r="G5596" s="3"/>
      <c r="H5596" s="3"/>
      <c r="I5596" s="3"/>
    </row>
    <row r="5597" spans="1:9" s="5" customFormat="1" x14ac:dyDescent="0.35">
      <c r="A5597" s="3" t="s">
        <v>2060</v>
      </c>
      <c r="B5597" s="3" t="s">
        <v>2133</v>
      </c>
      <c r="C5597" s="3" t="s">
        <v>20</v>
      </c>
      <c r="D5597" s="3" t="s">
        <v>2140</v>
      </c>
      <c r="E5597" s="3" t="s">
        <v>77</v>
      </c>
      <c r="F5597" s="3"/>
      <c r="G5597" s="3"/>
      <c r="H5597" s="3"/>
      <c r="I5597" s="3"/>
    </row>
    <row r="5598" spans="1:9" s="5" customFormat="1" x14ac:dyDescent="0.35">
      <c r="A5598" s="3" t="s">
        <v>2060</v>
      </c>
      <c r="B5598" s="3" t="s">
        <v>2133</v>
      </c>
      <c r="C5598" s="3" t="s">
        <v>20</v>
      </c>
      <c r="D5598" s="3" t="s">
        <v>2140</v>
      </c>
      <c r="E5598" s="3" t="s">
        <v>87</v>
      </c>
      <c r="F5598" s="3"/>
      <c r="G5598" s="3"/>
      <c r="H5598" s="3"/>
      <c r="I5598" s="3"/>
    </row>
    <row r="5599" spans="1:9" s="5" customFormat="1" x14ac:dyDescent="0.35">
      <c r="A5599" s="3" t="s">
        <v>2060</v>
      </c>
      <c r="B5599" s="3" t="s">
        <v>2133</v>
      </c>
      <c r="C5599" s="3" t="s">
        <v>20</v>
      </c>
      <c r="D5599" s="3" t="s">
        <v>2140</v>
      </c>
      <c r="E5599" s="3" t="s">
        <v>31</v>
      </c>
      <c r="F5599" s="3"/>
      <c r="G5599" s="3"/>
      <c r="H5599" s="3"/>
      <c r="I5599" s="3"/>
    </row>
    <row r="5600" spans="1:9" s="5" customFormat="1" x14ac:dyDescent="0.35">
      <c r="A5600" s="3" t="s">
        <v>2060</v>
      </c>
      <c r="B5600" s="3" t="s">
        <v>2133</v>
      </c>
      <c r="C5600" s="3" t="s">
        <v>20</v>
      </c>
      <c r="D5600" s="3" t="s">
        <v>2140</v>
      </c>
      <c r="E5600" s="3" t="s">
        <v>15</v>
      </c>
      <c r="F5600" s="3" t="s">
        <v>13</v>
      </c>
      <c r="G5600" s="3" t="s">
        <v>2141</v>
      </c>
      <c r="H5600" s="3"/>
      <c r="I5600" s="3"/>
    </row>
    <row r="5601" spans="1:9" s="5" customFormat="1" x14ac:dyDescent="0.35">
      <c r="A5601" s="3" t="s">
        <v>2060</v>
      </c>
      <c r="B5601" s="3" t="s">
        <v>2133</v>
      </c>
      <c r="C5601" s="3" t="s">
        <v>20</v>
      </c>
      <c r="D5601" s="3" t="s">
        <v>2140</v>
      </c>
      <c r="E5601" s="3" t="s">
        <v>29</v>
      </c>
      <c r="F5601" s="3"/>
      <c r="G5601" s="3" t="s">
        <v>2315</v>
      </c>
      <c r="H5601" s="3"/>
      <c r="I5601" s="3"/>
    </row>
    <row r="5602" spans="1:9" s="5" customFormat="1" x14ac:dyDescent="0.35">
      <c r="A5602" s="3" t="s">
        <v>2060</v>
      </c>
      <c r="B5602" s="3" t="s">
        <v>2610</v>
      </c>
      <c r="C5602" s="3" t="s">
        <v>42</v>
      </c>
      <c r="D5602" s="3" t="s">
        <v>2611</v>
      </c>
      <c r="E5602" s="3" t="s">
        <v>12</v>
      </c>
      <c r="F5602" s="3"/>
      <c r="G5602" s="3"/>
      <c r="H5602" s="3"/>
      <c r="I5602" s="3"/>
    </row>
    <row r="5603" spans="1:9" s="5" customFormat="1" x14ac:dyDescent="0.35">
      <c r="A5603" s="3" t="s">
        <v>2060</v>
      </c>
      <c r="B5603" s="3" t="s">
        <v>2610</v>
      </c>
      <c r="C5603" s="3" t="s">
        <v>42</v>
      </c>
      <c r="D5603" s="3" t="s">
        <v>2611</v>
      </c>
      <c r="E5603" s="3" t="s">
        <v>27</v>
      </c>
      <c r="F5603" s="3" t="s">
        <v>16</v>
      </c>
      <c r="G5603" s="3" t="s">
        <v>2612</v>
      </c>
      <c r="H5603" s="3"/>
      <c r="I5603" s="3"/>
    </row>
    <row r="5604" spans="1:9" s="5" customFormat="1" x14ac:dyDescent="0.35">
      <c r="A5604" s="3" t="s">
        <v>2060</v>
      </c>
      <c r="B5604" s="3" t="s">
        <v>2610</v>
      </c>
      <c r="C5604" s="3" t="s">
        <v>42</v>
      </c>
      <c r="D5604" s="3" t="s">
        <v>2611</v>
      </c>
      <c r="E5604" s="3" t="s">
        <v>87</v>
      </c>
      <c r="F5604" s="3" t="s">
        <v>16</v>
      </c>
      <c r="G5604" s="3" t="s">
        <v>2612</v>
      </c>
      <c r="H5604" s="3"/>
      <c r="I5604" s="3"/>
    </row>
    <row r="5605" spans="1:9" s="5" customFormat="1" x14ac:dyDescent="0.35">
      <c r="A5605" s="3" t="s">
        <v>2060</v>
      </c>
      <c r="B5605" s="3" t="s">
        <v>2610</v>
      </c>
      <c r="C5605" s="3" t="s">
        <v>42</v>
      </c>
      <c r="D5605" s="3" t="s">
        <v>2611</v>
      </c>
      <c r="E5605" s="3" t="s">
        <v>98</v>
      </c>
      <c r="F5605" s="3" t="s">
        <v>16</v>
      </c>
      <c r="G5605" s="3" t="s">
        <v>2612</v>
      </c>
      <c r="H5605" s="3"/>
      <c r="I5605" s="3"/>
    </row>
    <row r="5606" spans="1:9" s="5" customFormat="1" x14ac:dyDescent="0.35">
      <c r="A5606" s="3" t="s">
        <v>2060</v>
      </c>
      <c r="B5606" s="3" t="s">
        <v>2610</v>
      </c>
      <c r="C5606" s="3" t="s">
        <v>42</v>
      </c>
      <c r="D5606" s="3" t="s">
        <v>2611</v>
      </c>
      <c r="E5606" s="3" t="s">
        <v>24</v>
      </c>
      <c r="F5606" s="3" t="s">
        <v>16</v>
      </c>
      <c r="G5606" s="3" t="s">
        <v>2705</v>
      </c>
      <c r="H5606" s="3"/>
      <c r="I5606" s="3"/>
    </row>
    <row r="5607" spans="1:9" s="5" customFormat="1" x14ac:dyDescent="0.35">
      <c r="A5607" s="3" t="s">
        <v>2060</v>
      </c>
      <c r="B5607" s="3" t="s">
        <v>2610</v>
      </c>
      <c r="C5607" s="3" t="s">
        <v>42</v>
      </c>
      <c r="D5607" s="3" t="s">
        <v>2611</v>
      </c>
      <c r="E5607" s="3" t="s">
        <v>107</v>
      </c>
      <c r="F5607" s="3" t="s">
        <v>16</v>
      </c>
      <c r="G5607" s="3" t="s">
        <v>2613</v>
      </c>
      <c r="H5607" s="3"/>
      <c r="I5607" s="3"/>
    </row>
    <row r="5608" spans="1:9" s="5" customFormat="1" x14ac:dyDescent="0.35">
      <c r="A5608" s="3" t="s">
        <v>2060</v>
      </c>
      <c r="B5608" s="3" t="s">
        <v>2735</v>
      </c>
      <c r="C5608" s="3" t="s">
        <v>42</v>
      </c>
      <c r="D5608" s="3" t="s">
        <v>2736</v>
      </c>
      <c r="E5608" s="3" t="s">
        <v>15</v>
      </c>
      <c r="F5608" s="3" t="s">
        <v>16</v>
      </c>
      <c r="G5608" s="3" t="s">
        <v>2737</v>
      </c>
      <c r="H5608" s="3" t="s">
        <v>16</v>
      </c>
      <c r="I5608" s="3" t="s">
        <v>1736</v>
      </c>
    </row>
    <row r="5609" spans="1:9" s="5" customFormat="1" x14ac:dyDescent="0.35">
      <c r="A5609" s="3" t="s">
        <v>2060</v>
      </c>
      <c r="B5609" s="3" t="s">
        <v>2735</v>
      </c>
      <c r="C5609" s="3" t="s">
        <v>42</v>
      </c>
      <c r="D5609" s="3" t="s">
        <v>2736</v>
      </c>
      <c r="E5609" s="3" t="s">
        <v>24</v>
      </c>
      <c r="F5609" s="3"/>
      <c r="G5609" s="3"/>
      <c r="H5609" s="3" t="s">
        <v>16</v>
      </c>
      <c r="I5609" s="3" t="s">
        <v>1736</v>
      </c>
    </row>
    <row r="5610" spans="1:9" s="5" customFormat="1" x14ac:dyDescent="0.35">
      <c r="A5610" s="3" t="s">
        <v>2060</v>
      </c>
      <c r="B5610" s="3" t="s">
        <v>2735</v>
      </c>
      <c r="C5610" s="3" t="s">
        <v>42</v>
      </c>
      <c r="D5610" s="3" t="s">
        <v>2736</v>
      </c>
      <c r="E5610" s="3" t="s">
        <v>134</v>
      </c>
      <c r="F5610" s="3"/>
      <c r="G5610" s="3"/>
      <c r="H5610" s="3" t="s">
        <v>16</v>
      </c>
      <c r="I5610" s="3" t="s">
        <v>1736</v>
      </c>
    </row>
    <row r="5611" spans="1:9" s="5" customFormat="1" x14ac:dyDescent="0.35">
      <c r="A5611" s="3" t="s">
        <v>2060</v>
      </c>
      <c r="B5611" s="3" t="s">
        <v>2142</v>
      </c>
      <c r="C5611" s="3" t="s">
        <v>42</v>
      </c>
      <c r="D5611" s="3" t="s">
        <v>2143</v>
      </c>
      <c r="E5611" s="3" t="s">
        <v>12</v>
      </c>
      <c r="F5611" s="3"/>
      <c r="G5611" s="3"/>
      <c r="H5611" s="3"/>
      <c r="I5611" s="3"/>
    </row>
    <row r="5612" spans="1:9" s="5" customFormat="1" x14ac:dyDescent="0.35">
      <c r="A5612" s="3" t="s">
        <v>2060</v>
      </c>
      <c r="B5612" s="3" t="s">
        <v>2142</v>
      </c>
      <c r="C5612" s="3" t="s">
        <v>42</v>
      </c>
      <c r="D5612" s="3" t="s">
        <v>2143</v>
      </c>
      <c r="E5612" s="3" t="s">
        <v>23</v>
      </c>
      <c r="F5612" s="3" t="s">
        <v>13</v>
      </c>
      <c r="G5612" s="3" t="s">
        <v>2144</v>
      </c>
      <c r="H5612" s="3"/>
      <c r="I5612" s="3"/>
    </row>
    <row r="5613" spans="1:9" s="5" customFormat="1" x14ac:dyDescent="0.35">
      <c r="A5613" s="3" t="s">
        <v>2060</v>
      </c>
      <c r="B5613" s="3" t="s">
        <v>2142</v>
      </c>
      <c r="C5613" s="3" t="s">
        <v>42</v>
      </c>
      <c r="D5613" s="3" t="s">
        <v>2143</v>
      </c>
      <c r="E5613" s="3" t="s">
        <v>87</v>
      </c>
      <c r="F5613" s="3" t="s">
        <v>13</v>
      </c>
      <c r="G5613" s="3" t="s">
        <v>2145</v>
      </c>
      <c r="H5613" s="3"/>
      <c r="I5613" s="3"/>
    </row>
    <row r="5614" spans="1:9" s="5" customFormat="1" x14ac:dyDescent="0.35">
      <c r="A5614" s="3" t="s">
        <v>2060</v>
      </c>
      <c r="B5614" s="3" t="s">
        <v>2142</v>
      </c>
      <c r="C5614" s="3" t="s">
        <v>42</v>
      </c>
      <c r="D5614" s="3" t="s">
        <v>2143</v>
      </c>
      <c r="E5614" s="3" t="s">
        <v>15</v>
      </c>
      <c r="F5614" s="3" t="s">
        <v>13</v>
      </c>
      <c r="G5614" s="3" t="s">
        <v>2146</v>
      </c>
      <c r="H5614" s="3"/>
      <c r="I5614" s="3"/>
    </row>
    <row r="5615" spans="1:9" s="5" customFormat="1" x14ac:dyDescent="0.35">
      <c r="A5615" s="3" t="s">
        <v>2060</v>
      </c>
      <c r="B5615" s="3" t="s">
        <v>2142</v>
      </c>
      <c r="C5615" s="3" t="s">
        <v>42</v>
      </c>
      <c r="D5615" s="3" t="s">
        <v>2143</v>
      </c>
      <c r="E5615" s="3" t="s">
        <v>107</v>
      </c>
      <c r="F5615" s="3" t="s">
        <v>13</v>
      </c>
      <c r="G5615" s="3" t="s">
        <v>2147</v>
      </c>
      <c r="H5615" s="3"/>
      <c r="I5615" s="3"/>
    </row>
    <row r="5616" spans="1:9" s="5" customFormat="1" x14ac:dyDescent="0.35">
      <c r="A5616" s="3" t="s">
        <v>2060</v>
      </c>
      <c r="B5616" s="3" t="s">
        <v>2142</v>
      </c>
      <c r="C5616" s="3" t="s">
        <v>20</v>
      </c>
      <c r="D5616" s="3" t="s">
        <v>2148</v>
      </c>
      <c r="E5616" s="3" t="s">
        <v>12</v>
      </c>
      <c r="F5616" s="3"/>
      <c r="G5616" s="3"/>
      <c r="H5616" s="3"/>
      <c r="I5616" s="3"/>
    </row>
    <row r="5617" spans="1:9" s="5" customFormat="1" x14ac:dyDescent="0.35">
      <c r="A5617" s="3" t="s">
        <v>2060</v>
      </c>
      <c r="B5617" s="3" t="s">
        <v>2142</v>
      </c>
      <c r="C5617" s="3" t="s">
        <v>20</v>
      </c>
      <c r="D5617" s="3" t="s">
        <v>2148</v>
      </c>
      <c r="E5617" s="3" t="s">
        <v>23</v>
      </c>
      <c r="F5617" s="3"/>
      <c r="G5617" s="3"/>
      <c r="H5617" s="3"/>
      <c r="I5617" s="3"/>
    </row>
    <row r="5618" spans="1:9" s="5" customFormat="1" x14ac:dyDescent="0.35">
      <c r="A5618" s="3" t="s">
        <v>2060</v>
      </c>
      <c r="B5618" s="3" t="s">
        <v>2142</v>
      </c>
      <c r="C5618" s="3" t="s">
        <v>20</v>
      </c>
      <c r="D5618" s="3" t="s">
        <v>2148</v>
      </c>
      <c r="E5618" s="3" t="s">
        <v>87</v>
      </c>
      <c r="F5618" s="3"/>
      <c r="G5618" s="3"/>
      <c r="H5618" s="3"/>
      <c r="I5618" s="3"/>
    </row>
    <row r="5619" spans="1:9" s="5" customFormat="1" x14ac:dyDescent="0.35">
      <c r="A5619" s="3" t="s">
        <v>2060</v>
      </c>
      <c r="B5619" s="3" t="s">
        <v>2142</v>
      </c>
      <c r="C5619" s="3" t="s">
        <v>20</v>
      </c>
      <c r="D5619" s="3" t="s">
        <v>2148</v>
      </c>
      <c r="E5619" s="3" t="s">
        <v>57</v>
      </c>
      <c r="F5619" s="3"/>
      <c r="G5619" s="3"/>
      <c r="H5619" s="3"/>
      <c r="I5619" s="3"/>
    </row>
    <row r="5620" spans="1:9" s="5" customFormat="1" x14ac:dyDescent="0.35">
      <c r="A5620" s="3" t="s">
        <v>2060</v>
      </c>
      <c r="B5620" s="3" t="s">
        <v>2142</v>
      </c>
      <c r="C5620" s="3" t="s">
        <v>20</v>
      </c>
      <c r="D5620" s="3" t="s">
        <v>2148</v>
      </c>
      <c r="E5620" s="3" t="s">
        <v>56</v>
      </c>
      <c r="F5620" s="3" t="s">
        <v>16</v>
      </c>
      <c r="G5620" s="3" t="s">
        <v>2149</v>
      </c>
      <c r="H5620" s="3"/>
      <c r="I5620" s="3"/>
    </row>
    <row r="5621" spans="1:9" s="5" customFormat="1" x14ac:dyDescent="0.35">
      <c r="A5621" s="3" t="s">
        <v>2060</v>
      </c>
      <c r="B5621" s="3" t="s">
        <v>2142</v>
      </c>
      <c r="C5621" s="3" t="s">
        <v>20</v>
      </c>
      <c r="D5621" s="3" t="s">
        <v>2148</v>
      </c>
      <c r="E5621" s="3" t="s">
        <v>24</v>
      </c>
      <c r="F5621" s="3"/>
      <c r="G5621" s="3" t="s">
        <v>2404</v>
      </c>
      <c r="H5621" s="3"/>
      <c r="I5621" s="3"/>
    </row>
    <row r="5622" spans="1:9" s="5" customFormat="1" x14ac:dyDescent="0.35">
      <c r="A5622" s="3" t="s">
        <v>2060</v>
      </c>
      <c r="B5622" s="3" t="s">
        <v>2739</v>
      </c>
      <c r="C5622" s="3" t="s">
        <v>42</v>
      </c>
      <c r="D5622" s="3" t="s">
        <v>2738</v>
      </c>
      <c r="E5622" s="3" t="s">
        <v>27</v>
      </c>
      <c r="F5622" s="3"/>
      <c r="G5622" s="3"/>
      <c r="H5622" s="3"/>
      <c r="I5622" s="3"/>
    </row>
    <row r="5623" spans="1:9" s="5" customFormat="1" x14ac:dyDescent="0.35">
      <c r="A5623" s="3" t="s">
        <v>2060</v>
      </c>
      <c r="B5623" s="3" t="s">
        <v>2739</v>
      </c>
      <c r="C5623" s="3" t="s">
        <v>42</v>
      </c>
      <c r="D5623" s="3" t="s">
        <v>2738</v>
      </c>
      <c r="E5623" s="3" t="s">
        <v>87</v>
      </c>
      <c r="F5623" s="3"/>
      <c r="G5623" s="3"/>
      <c r="H5623" s="3"/>
      <c r="I5623" s="3"/>
    </row>
    <row r="5624" spans="1:9" s="5" customFormat="1" x14ac:dyDescent="0.35">
      <c r="A5624" s="3" t="s">
        <v>2060</v>
      </c>
      <c r="B5624" s="3" t="s">
        <v>2739</v>
      </c>
      <c r="C5624" s="3" t="s">
        <v>42</v>
      </c>
      <c r="D5624" s="3" t="s">
        <v>2738</v>
      </c>
      <c r="E5624" s="3" t="s">
        <v>24</v>
      </c>
      <c r="F5624" s="3"/>
      <c r="G5624" s="3"/>
      <c r="H5624" s="3"/>
      <c r="I5624" s="3"/>
    </row>
    <row r="5625" spans="1:9" s="5" customFormat="1" x14ac:dyDescent="0.35">
      <c r="A5625" s="3" t="s">
        <v>2060</v>
      </c>
      <c r="B5625" s="3" t="s">
        <v>2739</v>
      </c>
      <c r="C5625" s="3" t="s">
        <v>42</v>
      </c>
      <c r="D5625" s="3" t="s">
        <v>2738</v>
      </c>
      <c r="E5625" s="3" t="s">
        <v>134</v>
      </c>
      <c r="F5625" s="3" t="s">
        <v>16</v>
      </c>
      <c r="G5625" s="3" t="s">
        <v>2740</v>
      </c>
      <c r="H5625" s="3"/>
      <c r="I5625" s="3"/>
    </row>
    <row r="5626" spans="1:9" s="5" customFormat="1" x14ac:dyDescent="0.35">
      <c r="A5626" s="3" t="s">
        <v>2060</v>
      </c>
      <c r="B5626" s="3" t="s">
        <v>2655</v>
      </c>
      <c r="C5626" s="3" t="s">
        <v>42</v>
      </c>
      <c r="D5626" s="3" t="s">
        <v>2656</v>
      </c>
      <c r="E5626" s="3" t="s">
        <v>15</v>
      </c>
      <c r="F5626" s="3" t="s">
        <v>16</v>
      </c>
      <c r="G5626" s="3" t="s">
        <v>990</v>
      </c>
      <c r="H5626" s="3" t="s">
        <v>16</v>
      </c>
      <c r="I5626" s="3" t="s">
        <v>2657</v>
      </c>
    </row>
    <row r="5627" spans="1:9" s="5" customFormat="1" x14ac:dyDescent="0.35">
      <c r="A5627" s="3" t="s">
        <v>2060</v>
      </c>
      <c r="B5627" s="3" t="s">
        <v>2655</v>
      </c>
      <c r="C5627" s="3" t="s">
        <v>42</v>
      </c>
      <c r="D5627" s="3" t="s">
        <v>2656</v>
      </c>
      <c r="E5627" s="3" t="s">
        <v>24</v>
      </c>
      <c r="F5627" s="3"/>
      <c r="G5627" s="3"/>
      <c r="H5627" s="3"/>
      <c r="I5627" s="3"/>
    </row>
    <row r="5628" spans="1:9" s="5" customFormat="1" x14ac:dyDescent="0.35">
      <c r="A5628" s="3" t="s">
        <v>2060</v>
      </c>
      <c r="B5628" s="3" t="s">
        <v>2150</v>
      </c>
      <c r="C5628" s="3" t="s">
        <v>20</v>
      </c>
      <c r="D5628" s="3" t="s">
        <v>2151</v>
      </c>
      <c r="E5628" s="3" t="s">
        <v>12</v>
      </c>
      <c r="F5628" s="3"/>
      <c r="G5628" s="3"/>
      <c r="H5628" s="3"/>
      <c r="I5628" s="3"/>
    </row>
    <row r="5629" spans="1:9" s="5" customFormat="1" x14ac:dyDescent="0.35">
      <c r="A5629" s="3" t="s">
        <v>2060</v>
      </c>
      <c r="B5629" s="3" t="s">
        <v>2150</v>
      </c>
      <c r="C5629" s="3" t="s">
        <v>20</v>
      </c>
      <c r="D5629" s="3" t="s">
        <v>2151</v>
      </c>
      <c r="E5629" s="3" t="s">
        <v>23</v>
      </c>
      <c r="F5629" s="3" t="s">
        <v>13</v>
      </c>
      <c r="G5629" s="3" t="s">
        <v>2152</v>
      </c>
      <c r="H5629" s="3"/>
      <c r="I5629" s="3"/>
    </row>
    <row r="5630" spans="1:9" s="5" customFormat="1" x14ac:dyDescent="0.35">
      <c r="A5630" s="3" t="s">
        <v>2060</v>
      </c>
      <c r="B5630" s="3" t="s">
        <v>2150</v>
      </c>
      <c r="C5630" s="3" t="s">
        <v>20</v>
      </c>
      <c r="D5630" s="3" t="s">
        <v>2151</v>
      </c>
      <c r="E5630" s="3" t="s">
        <v>141</v>
      </c>
      <c r="F5630" s="3" t="s">
        <v>13</v>
      </c>
      <c r="G5630" s="3" t="s">
        <v>2153</v>
      </c>
      <c r="H5630" s="3"/>
      <c r="I5630" s="3"/>
    </row>
    <row r="5631" spans="1:9" s="5" customFormat="1" x14ac:dyDescent="0.35">
      <c r="A5631" s="3" t="s">
        <v>2060</v>
      </c>
      <c r="B5631" s="3" t="s">
        <v>2150</v>
      </c>
      <c r="C5631" s="3" t="s">
        <v>20</v>
      </c>
      <c r="D5631" s="3" t="s">
        <v>2151</v>
      </c>
      <c r="E5631" s="3" t="s">
        <v>87</v>
      </c>
      <c r="F5631" s="3" t="s">
        <v>13</v>
      </c>
      <c r="G5631" s="3" t="s">
        <v>2153</v>
      </c>
      <c r="H5631" s="3"/>
      <c r="I5631" s="3"/>
    </row>
    <row r="5632" spans="1:9" s="5" customFormat="1" x14ac:dyDescent="0.35">
      <c r="A5632" s="3" t="s">
        <v>2060</v>
      </c>
      <c r="B5632" s="3" t="s">
        <v>2150</v>
      </c>
      <c r="C5632" s="3" t="s">
        <v>20</v>
      </c>
      <c r="D5632" s="3" t="s">
        <v>2786</v>
      </c>
      <c r="E5632" s="3" t="s">
        <v>12</v>
      </c>
      <c r="F5632" s="3"/>
      <c r="G5632" s="3"/>
      <c r="H5632" s="3"/>
      <c r="I5632" s="3"/>
    </row>
    <row r="5633" spans="1:9" s="5" customFormat="1" x14ac:dyDescent="0.35">
      <c r="A5633" s="3" t="s">
        <v>2060</v>
      </c>
      <c r="B5633" s="3" t="s">
        <v>2150</v>
      </c>
      <c r="C5633" s="3" t="s">
        <v>20</v>
      </c>
      <c r="D5633" s="3" t="s">
        <v>2786</v>
      </c>
      <c r="E5633" s="3" t="s">
        <v>23</v>
      </c>
      <c r="F5633" s="3"/>
      <c r="G5633" s="3"/>
      <c r="H5633" s="3"/>
      <c r="I5633" s="3"/>
    </row>
    <row r="5634" spans="1:9" s="5" customFormat="1" x14ac:dyDescent="0.35">
      <c r="A5634" s="3" t="s">
        <v>2060</v>
      </c>
      <c r="B5634" s="3" t="s">
        <v>2150</v>
      </c>
      <c r="C5634" s="3" t="s">
        <v>20</v>
      </c>
      <c r="D5634" s="3" t="s">
        <v>2786</v>
      </c>
      <c r="E5634" s="3" t="s">
        <v>60</v>
      </c>
      <c r="F5634" s="3" t="s">
        <v>13</v>
      </c>
      <c r="G5634" s="3" t="s">
        <v>2155</v>
      </c>
      <c r="H5634" s="3"/>
      <c r="I5634" s="3"/>
    </row>
    <row r="5635" spans="1:9" s="5" customFormat="1" x14ac:dyDescent="0.35">
      <c r="A5635" s="3" t="s">
        <v>2060</v>
      </c>
      <c r="B5635" s="3" t="s">
        <v>2150</v>
      </c>
      <c r="C5635" s="3" t="s">
        <v>20</v>
      </c>
      <c r="D5635" s="3" t="s">
        <v>2786</v>
      </c>
      <c r="E5635" s="3" t="s">
        <v>28</v>
      </c>
      <c r="F5635" s="3"/>
      <c r="G5635" s="3"/>
      <c r="H5635" s="3"/>
      <c r="I5635" s="3"/>
    </row>
    <row r="5636" spans="1:9" s="5" customFormat="1" x14ac:dyDescent="0.35">
      <c r="A5636" s="3" t="s">
        <v>2060</v>
      </c>
      <c r="B5636" s="3" t="s">
        <v>2150</v>
      </c>
      <c r="C5636" s="3" t="s">
        <v>20</v>
      </c>
      <c r="D5636" s="3" t="s">
        <v>2786</v>
      </c>
      <c r="E5636" s="3" t="s">
        <v>56</v>
      </c>
      <c r="F5636" s="3" t="s">
        <v>13</v>
      </c>
      <c r="G5636" s="3" t="s">
        <v>2154</v>
      </c>
      <c r="H5636" s="3"/>
      <c r="I5636" s="3"/>
    </row>
    <row r="5637" spans="1:9" s="5" customFormat="1" x14ac:dyDescent="0.35">
      <c r="A5637" s="3" t="s">
        <v>2060</v>
      </c>
      <c r="B5637" s="3" t="s">
        <v>2150</v>
      </c>
      <c r="C5637" s="3" t="s">
        <v>20</v>
      </c>
      <c r="D5637" s="3" t="s">
        <v>2156</v>
      </c>
      <c r="E5637" s="3" t="s">
        <v>36</v>
      </c>
      <c r="F5637" s="3"/>
      <c r="G5637" s="3"/>
      <c r="H5637" s="3"/>
      <c r="I5637" s="3"/>
    </row>
    <row r="5638" spans="1:9" s="5" customFormat="1" x14ac:dyDescent="0.35">
      <c r="A5638" s="3" t="s">
        <v>2060</v>
      </c>
      <c r="B5638" s="3" t="s">
        <v>2150</v>
      </c>
      <c r="C5638" s="3" t="s">
        <v>20</v>
      </c>
      <c r="D5638" s="3" t="s">
        <v>2156</v>
      </c>
      <c r="E5638" s="3" t="s">
        <v>23</v>
      </c>
      <c r="F5638" s="3"/>
      <c r="G5638" s="3"/>
      <c r="H5638" s="3"/>
      <c r="I5638" s="3"/>
    </row>
    <row r="5639" spans="1:9" s="5" customFormat="1" x14ac:dyDescent="0.35">
      <c r="A5639" s="3" t="s">
        <v>2060</v>
      </c>
      <c r="B5639" s="3" t="s">
        <v>2150</v>
      </c>
      <c r="C5639" s="3" t="s">
        <v>20</v>
      </c>
      <c r="D5639" s="3" t="s">
        <v>2156</v>
      </c>
      <c r="E5639" s="3" t="s">
        <v>25</v>
      </c>
      <c r="F5639" s="3"/>
      <c r="G5639" s="3"/>
      <c r="H5639" s="3"/>
      <c r="I5639" s="3"/>
    </row>
    <row r="5640" spans="1:9" s="5" customFormat="1" x14ac:dyDescent="0.35">
      <c r="A5640" s="3" t="s">
        <v>2060</v>
      </c>
      <c r="B5640" s="3" t="s">
        <v>2150</v>
      </c>
      <c r="C5640" s="3" t="s">
        <v>20</v>
      </c>
      <c r="D5640" s="3" t="s">
        <v>2156</v>
      </c>
      <c r="E5640" s="3" t="s">
        <v>87</v>
      </c>
      <c r="F5640" s="3"/>
      <c r="G5640" s="3" t="s">
        <v>2397</v>
      </c>
      <c r="H5640" s="3"/>
      <c r="I5640" s="3"/>
    </row>
    <row r="5641" spans="1:9" s="5" customFormat="1" x14ac:dyDescent="0.35">
      <c r="A5641" s="3" t="s">
        <v>2060</v>
      </c>
      <c r="B5641" s="3" t="s">
        <v>2150</v>
      </c>
      <c r="C5641" s="3" t="s">
        <v>20</v>
      </c>
      <c r="D5641" s="3" t="s">
        <v>2156</v>
      </c>
      <c r="E5641" s="3" t="s">
        <v>15</v>
      </c>
      <c r="F5641" s="3" t="s">
        <v>16</v>
      </c>
      <c r="G5641" s="3" t="s">
        <v>2157</v>
      </c>
      <c r="H5641" s="3"/>
      <c r="I5641" s="3"/>
    </row>
    <row r="5642" spans="1:9" s="5" customFormat="1" x14ac:dyDescent="0.35">
      <c r="A5642" s="3" t="s">
        <v>2060</v>
      </c>
      <c r="B5642" s="3" t="s">
        <v>2150</v>
      </c>
      <c r="C5642" s="3" t="s">
        <v>20</v>
      </c>
      <c r="D5642" s="3" t="s">
        <v>2156</v>
      </c>
      <c r="E5642" s="3" t="s">
        <v>57</v>
      </c>
      <c r="F5642" s="3"/>
      <c r="G5642" s="3"/>
      <c r="H5642" s="3"/>
      <c r="I5642" s="3"/>
    </row>
    <row r="5643" spans="1:9" s="5" customFormat="1" x14ac:dyDescent="0.35">
      <c r="A5643" s="3" t="s">
        <v>2060</v>
      </c>
      <c r="B5643" s="3" t="s">
        <v>2150</v>
      </c>
      <c r="C5643" s="3" t="s">
        <v>20</v>
      </c>
      <c r="D5643" s="3" t="s">
        <v>2156</v>
      </c>
      <c r="E5643" s="3" t="s">
        <v>56</v>
      </c>
      <c r="F5643" s="3" t="s">
        <v>16</v>
      </c>
      <c r="G5643" s="3" t="s">
        <v>2398</v>
      </c>
      <c r="H5643" s="3"/>
      <c r="I5643" s="3"/>
    </row>
    <row r="5644" spans="1:9" s="5" customFormat="1" x14ac:dyDescent="0.35">
      <c r="A5644" s="3" t="s">
        <v>2060</v>
      </c>
      <c r="B5644" s="3" t="s">
        <v>2150</v>
      </c>
      <c r="C5644" s="3" t="s">
        <v>39</v>
      </c>
      <c r="D5644" s="3" t="s">
        <v>2158</v>
      </c>
      <c r="E5644" s="3" t="s">
        <v>12</v>
      </c>
      <c r="F5644" s="3" t="s">
        <v>33</v>
      </c>
      <c r="G5644" s="3" t="s">
        <v>2159</v>
      </c>
      <c r="H5644" s="3"/>
      <c r="I5644" s="3"/>
    </row>
    <row r="5645" spans="1:9" s="5" customFormat="1" x14ac:dyDescent="0.35">
      <c r="A5645" s="3" t="s">
        <v>2060</v>
      </c>
      <c r="B5645" s="3" t="s">
        <v>2150</v>
      </c>
      <c r="C5645" s="3" t="s">
        <v>39</v>
      </c>
      <c r="D5645" s="3" t="s">
        <v>2158</v>
      </c>
      <c r="E5645" s="3" t="s">
        <v>60</v>
      </c>
      <c r="F5645" s="3" t="s">
        <v>33</v>
      </c>
      <c r="G5645" s="3" t="s">
        <v>2159</v>
      </c>
      <c r="H5645" s="3"/>
      <c r="I5645" s="3"/>
    </row>
    <row r="5646" spans="1:9" s="5" customFormat="1" x14ac:dyDescent="0.35">
      <c r="A5646" s="3" t="s">
        <v>2060</v>
      </c>
      <c r="B5646" s="3" t="s">
        <v>2150</v>
      </c>
      <c r="C5646" s="3" t="s">
        <v>39</v>
      </c>
      <c r="D5646" s="3" t="s">
        <v>2158</v>
      </c>
      <c r="E5646" s="3" t="s">
        <v>141</v>
      </c>
      <c r="F5646" s="3" t="s">
        <v>33</v>
      </c>
      <c r="G5646" s="3" t="s">
        <v>2159</v>
      </c>
      <c r="H5646" s="3"/>
      <c r="I5646" s="3"/>
    </row>
    <row r="5647" spans="1:9" s="5" customFormat="1" x14ac:dyDescent="0.35">
      <c r="A5647" s="3" t="s">
        <v>2060</v>
      </c>
      <c r="B5647" s="3" t="s">
        <v>2150</v>
      </c>
      <c r="C5647" s="3" t="s">
        <v>39</v>
      </c>
      <c r="D5647" s="3" t="s">
        <v>2158</v>
      </c>
      <c r="E5647" s="3" t="s">
        <v>15</v>
      </c>
      <c r="F5647" s="3" t="s">
        <v>33</v>
      </c>
      <c r="G5647" s="3" t="s">
        <v>2159</v>
      </c>
      <c r="H5647" s="3"/>
      <c r="I5647" s="3"/>
    </row>
    <row r="5648" spans="1:9" s="5" customFormat="1" x14ac:dyDescent="0.35">
      <c r="A5648" s="3" t="s">
        <v>2060</v>
      </c>
      <c r="B5648" s="3" t="s">
        <v>2150</v>
      </c>
      <c r="C5648" s="3" t="s">
        <v>39</v>
      </c>
      <c r="D5648" s="3" t="s">
        <v>2158</v>
      </c>
      <c r="E5648" s="3" t="s">
        <v>134</v>
      </c>
      <c r="F5648" s="3" t="s">
        <v>33</v>
      </c>
      <c r="G5648" s="3" t="s">
        <v>2159</v>
      </c>
      <c r="H5648" s="3"/>
      <c r="I5648" s="3"/>
    </row>
    <row r="5649" spans="1:9" s="5" customFormat="1" x14ac:dyDescent="0.35">
      <c r="A5649" s="3" t="s">
        <v>2060</v>
      </c>
      <c r="B5649" s="3" t="s">
        <v>2150</v>
      </c>
      <c r="C5649" s="3" t="s">
        <v>20</v>
      </c>
      <c r="D5649" s="3" t="s">
        <v>2160</v>
      </c>
      <c r="E5649" s="3" t="s">
        <v>12</v>
      </c>
      <c r="F5649" s="3"/>
      <c r="G5649" s="3"/>
      <c r="H5649" s="3"/>
      <c r="I5649" s="3"/>
    </row>
    <row r="5650" spans="1:9" s="5" customFormat="1" x14ac:dyDescent="0.35">
      <c r="A5650" s="3" t="s">
        <v>2060</v>
      </c>
      <c r="B5650" s="3" t="s">
        <v>2150</v>
      </c>
      <c r="C5650" s="3" t="s">
        <v>20</v>
      </c>
      <c r="D5650" s="3" t="s">
        <v>2160</v>
      </c>
      <c r="E5650" s="3" t="s">
        <v>24</v>
      </c>
      <c r="F5650" s="3"/>
      <c r="G5650" s="3"/>
      <c r="H5650" s="3"/>
      <c r="I5650" s="3"/>
    </row>
    <row r="5651" spans="1:9" s="5" customFormat="1" x14ac:dyDescent="0.35">
      <c r="A5651" s="3" t="s">
        <v>2060</v>
      </c>
      <c r="B5651" s="3" t="s">
        <v>2150</v>
      </c>
      <c r="C5651" s="3" t="s">
        <v>45</v>
      </c>
      <c r="D5651" s="3" t="s">
        <v>2161</v>
      </c>
      <c r="E5651" s="3" t="s">
        <v>77</v>
      </c>
      <c r="F5651" s="3"/>
      <c r="G5651" s="3"/>
      <c r="H5651" s="3"/>
      <c r="I5651" s="3"/>
    </row>
    <row r="5652" spans="1:9" s="5" customFormat="1" x14ac:dyDescent="0.35">
      <c r="A5652" s="3" t="s">
        <v>2060</v>
      </c>
      <c r="B5652" s="3" t="s">
        <v>2150</v>
      </c>
      <c r="C5652" s="3" t="s">
        <v>45</v>
      </c>
      <c r="D5652" s="3" t="s">
        <v>2161</v>
      </c>
      <c r="E5652" s="3" t="s">
        <v>56</v>
      </c>
      <c r="F5652" s="3" t="s">
        <v>13</v>
      </c>
      <c r="G5652" s="3" t="s">
        <v>2162</v>
      </c>
      <c r="H5652" s="3"/>
      <c r="I5652" s="3"/>
    </row>
    <row r="5653" spans="1:9" s="5" customFormat="1" x14ac:dyDescent="0.35">
      <c r="A5653" s="3" t="s">
        <v>2060</v>
      </c>
      <c r="B5653" s="3" t="s">
        <v>2150</v>
      </c>
      <c r="C5653" s="3" t="s">
        <v>45</v>
      </c>
      <c r="D5653" s="3" t="s">
        <v>2161</v>
      </c>
      <c r="E5653" s="3" t="s">
        <v>24</v>
      </c>
      <c r="F5653" s="3"/>
      <c r="G5653" s="3" t="s">
        <v>2429</v>
      </c>
      <c r="H5653" s="3"/>
      <c r="I5653" s="3"/>
    </row>
    <row r="5654" spans="1:9" s="5" customFormat="1" x14ac:dyDescent="0.35">
      <c r="A5654" s="3" t="s">
        <v>2060</v>
      </c>
      <c r="B5654" s="3" t="s">
        <v>2150</v>
      </c>
      <c r="C5654" s="3" t="s">
        <v>20</v>
      </c>
      <c r="D5654" s="3" t="s">
        <v>2163</v>
      </c>
      <c r="E5654" s="3" t="s">
        <v>12</v>
      </c>
      <c r="F5654" s="3"/>
      <c r="G5654" s="3"/>
      <c r="H5654" s="3"/>
      <c r="I5654" s="3"/>
    </row>
    <row r="5655" spans="1:9" s="5" customFormat="1" x14ac:dyDescent="0.35">
      <c r="A5655" s="3" t="s">
        <v>2060</v>
      </c>
      <c r="B5655" s="3" t="s">
        <v>2150</v>
      </c>
      <c r="C5655" s="3" t="s">
        <v>20</v>
      </c>
      <c r="D5655" s="3" t="s">
        <v>2163</v>
      </c>
      <c r="E5655" s="3" t="s">
        <v>23</v>
      </c>
      <c r="F5655" s="3"/>
      <c r="G5655" s="3"/>
      <c r="H5655" s="3"/>
      <c r="I5655" s="3"/>
    </row>
    <row r="5656" spans="1:9" s="5" customFormat="1" x14ac:dyDescent="0.35">
      <c r="A5656" s="3" t="s">
        <v>2060</v>
      </c>
      <c r="B5656" s="3" t="s">
        <v>2150</v>
      </c>
      <c r="C5656" s="3" t="s">
        <v>20</v>
      </c>
      <c r="D5656" s="3" t="s">
        <v>2163</v>
      </c>
      <c r="E5656" s="3" t="s">
        <v>15</v>
      </c>
      <c r="F5656" s="3"/>
      <c r="G5656" s="3"/>
      <c r="H5656" s="3"/>
      <c r="I5656" s="3"/>
    </row>
    <row r="5657" spans="1:9" s="5" customFormat="1" x14ac:dyDescent="0.35">
      <c r="A5657" s="3" t="s">
        <v>2060</v>
      </c>
      <c r="B5657" s="3" t="s">
        <v>2150</v>
      </c>
      <c r="C5657" s="3" t="s">
        <v>20</v>
      </c>
      <c r="D5657" s="3" t="s">
        <v>2163</v>
      </c>
      <c r="E5657" s="3" t="s">
        <v>57</v>
      </c>
      <c r="F5657" s="3"/>
      <c r="G5657" s="3"/>
      <c r="H5657" s="3"/>
      <c r="I5657" s="3"/>
    </row>
    <row r="5658" spans="1:9" s="5" customFormat="1" x14ac:dyDescent="0.35">
      <c r="A5658" s="3" t="s">
        <v>2060</v>
      </c>
      <c r="B5658" s="3" t="s">
        <v>2150</v>
      </c>
      <c r="C5658" s="3" t="s">
        <v>20</v>
      </c>
      <c r="D5658" s="3" t="s">
        <v>2163</v>
      </c>
      <c r="E5658" s="3" t="s">
        <v>134</v>
      </c>
      <c r="F5658" s="3" t="s">
        <v>13</v>
      </c>
      <c r="G5658" s="3" t="s">
        <v>2164</v>
      </c>
      <c r="H5658" s="3"/>
      <c r="I5658" s="3"/>
    </row>
    <row r="5659" spans="1:9" s="5" customFormat="1" x14ac:dyDescent="0.35">
      <c r="A5659" s="3" t="s">
        <v>2060</v>
      </c>
      <c r="B5659" s="3" t="s">
        <v>2150</v>
      </c>
      <c r="C5659" s="3" t="s">
        <v>39</v>
      </c>
      <c r="D5659" s="3" t="s">
        <v>2759</v>
      </c>
      <c r="E5659" s="3" t="s">
        <v>12</v>
      </c>
      <c r="F5659" s="3"/>
      <c r="G5659" s="3"/>
      <c r="H5659" s="3"/>
      <c r="I5659" s="3"/>
    </row>
    <row r="5660" spans="1:9" s="5" customFormat="1" x14ac:dyDescent="0.35">
      <c r="A5660" s="3" t="s">
        <v>2060</v>
      </c>
      <c r="B5660" s="3" t="s">
        <v>2150</v>
      </c>
      <c r="C5660" s="3" t="s">
        <v>39</v>
      </c>
      <c r="D5660" s="3" t="s">
        <v>2759</v>
      </c>
      <c r="E5660" s="3" t="s">
        <v>25</v>
      </c>
      <c r="F5660" s="3" t="s">
        <v>13</v>
      </c>
      <c r="G5660" s="3" t="s">
        <v>2165</v>
      </c>
      <c r="H5660" s="3"/>
      <c r="I5660" s="3"/>
    </row>
    <row r="5661" spans="1:9" s="5" customFormat="1" x14ac:dyDescent="0.35">
      <c r="A5661" s="3" t="s">
        <v>2060</v>
      </c>
      <c r="B5661" s="3" t="s">
        <v>2150</v>
      </c>
      <c r="C5661" s="3" t="s">
        <v>39</v>
      </c>
      <c r="D5661" s="3" t="s">
        <v>2759</v>
      </c>
      <c r="E5661" s="3" t="s">
        <v>15</v>
      </c>
      <c r="F5661" s="3" t="s">
        <v>13</v>
      </c>
      <c r="G5661" s="3" t="s">
        <v>2166</v>
      </c>
      <c r="H5661" s="3"/>
      <c r="I5661" s="3"/>
    </row>
    <row r="5662" spans="1:9" s="5" customFormat="1" x14ac:dyDescent="0.35">
      <c r="A5662" s="3" t="s">
        <v>2060</v>
      </c>
      <c r="B5662" s="3" t="s">
        <v>2150</v>
      </c>
      <c r="C5662" s="3" t="s">
        <v>39</v>
      </c>
      <c r="D5662" s="3" t="s">
        <v>2759</v>
      </c>
      <c r="E5662" s="3" t="s">
        <v>57</v>
      </c>
      <c r="F5662" s="3"/>
      <c r="G5662" s="3"/>
      <c r="H5662" s="3"/>
      <c r="I5662" s="3"/>
    </row>
    <row r="5663" spans="1:9" s="5" customFormat="1" x14ac:dyDescent="0.35">
      <c r="A5663" s="3" t="s">
        <v>2060</v>
      </c>
      <c r="B5663" s="3" t="s">
        <v>2150</v>
      </c>
      <c r="C5663" s="3" t="s">
        <v>39</v>
      </c>
      <c r="D5663" s="3" t="s">
        <v>2759</v>
      </c>
      <c r="E5663" s="3" t="s">
        <v>26</v>
      </c>
      <c r="F5663" s="3" t="s">
        <v>13</v>
      </c>
      <c r="G5663" s="3" t="s">
        <v>2165</v>
      </c>
      <c r="H5663" s="3"/>
      <c r="I5663" s="3"/>
    </row>
    <row r="5664" spans="1:9" s="5" customFormat="1" x14ac:dyDescent="0.35">
      <c r="A5664" s="3" t="s">
        <v>2060</v>
      </c>
      <c r="B5664" s="3" t="s">
        <v>2150</v>
      </c>
      <c r="C5664" s="3" t="s">
        <v>20</v>
      </c>
      <c r="D5664" s="3" t="s">
        <v>2167</v>
      </c>
      <c r="E5664" s="3" t="s">
        <v>23</v>
      </c>
      <c r="F5664" s="3"/>
      <c r="G5664" s="3"/>
      <c r="H5664" s="3"/>
      <c r="I5664" s="3"/>
    </row>
    <row r="5665" spans="1:9" s="5" customFormat="1" x14ac:dyDescent="0.35">
      <c r="A5665" s="3" t="s">
        <v>2060</v>
      </c>
      <c r="B5665" s="3" t="s">
        <v>2150</v>
      </c>
      <c r="C5665" s="3" t="s">
        <v>20</v>
      </c>
      <c r="D5665" s="3" t="s">
        <v>2167</v>
      </c>
      <c r="E5665" s="3" t="s">
        <v>26</v>
      </c>
      <c r="F5665" s="3"/>
      <c r="G5665" s="3" t="s">
        <v>2863</v>
      </c>
      <c r="H5665" s="3"/>
      <c r="I5665" s="3"/>
    </row>
    <row r="5666" spans="1:9" s="5" customFormat="1" x14ac:dyDescent="0.35">
      <c r="A5666" s="3" t="s">
        <v>2060</v>
      </c>
      <c r="B5666" s="3" t="s">
        <v>2150</v>
      </c>
      <c r="C5666" s="3" t="s">
        <v>20</v>
      </c>
      <c r="D5666" s="3" t="s">
        <v>2167</v>
      </c>
      <c r="E5666" s="3" t="s">
        <v>28</v>
      </c>
      <c r="F5666" s="3"/>
      <c r="G5666" s="3"/>
      <c r="H5666" s="3"/>
      <c r="I5666" s="3"/>
    </row>
    <row r="5667" spans="1:9" s="5" customFormat="1" x14ac:dyDescent="0.35">
      <c r="A5667" s="3" t="s">
        <v>2060</v>
      </c>
      <c r="B5667" s="3" t="s">
        <v>2150</v>
      </c>
      <c r="C5667" s="3" t="s">
        <v>20</v>
      </c>
      <c r="D5667" s="3" t="s">
        <v>2167</v>
      </c>
      <c r="E5667" s="3" t="s">
        <v>87</v>
      </c>
      <c r="F5667" s="3"/>
      <c r="G5667" s="3" t="s">
        <v>2397</v>
      </c>
      <c r="H5667" s="3"/>
      <c r="I5667" s="3"/>
    </row>
    <row r="5668" spans="1:9" s="5" customFormat="1" x14ac:dyDescent="0.35">
      <c r="A5668" s="3" t="s">
        <v>2060</v>
      </c>
      <c r="B5668" s="3" t="s">
        <v>2150</v>
      </c>
      <c r="C5668" s="3" t="s">
        <v>20</v>
      </c>
      <c r="D5668" s="3" t="s">
        <v>2167</v>
      </c>
      <c r="E5668" s="3" t="s">
        <v>98</v>
      </c>
      <c r="F5668" s="3"/>
      <c r="G5668" s="3"/>
      <c r="H5668" s="3"/>
      <c r="I5668" s="3"/>
    </row>
    <row r="5669" spans="1:9" s="5" customFormat="1" x14ac:dyDescent="0.35">
      <c r="A5669" s="3" t="s">
        <v>2060</v>
      </c>
      <c r="B5669" s="3" t="s">
        <v>2150</v>
      </c>
      <c r="C5669" s="3" t="s">
        <v>20</v>
      </c>
      <c r="D5669" s="3" t="s">
        <v>2167</v>
      </c>
      <c r="E5669" s="3" t="s">
        <v>56</v>
      </c>
      <c r="F5669" s="3"/>
      <c r="G5669" s="3"/>
      <c r="H5669" s="3"/>
      <c r="I5669" s="3"/>
    </row>
    <row r="5670" spans="1:9" s="5" customFormat="1" x14ac:dyDescent="0.35">
      <c r="A5670" s="3" t="s">
        <v>2060</v>
      </c>
      <c r="B5670" s="3" t="s">
        <v>2150</v>
      </c>
      <c r="C5670" s="3" t="s">
        <v>20</v>
      </c>
      <c r="D5670" s="3" t="s">
        <v>2167</v>
      </c>
      <c r="E5670" s="3" t="s">
        <v>911</v>
      </c>
      <c r="F5670" s="3"/>
      <c r="G5670" s="3"/>
      <c r="H5670" s="3"/>
      <c r="I5670" s="3"/>
    </row>
    <row r="5671" spans="1:9" s="5" customFormat="1" x14ac:dyDescent="0.35">
      <c r="A5671" s="3" t="s">
        <v>2060</v>
      </c>
      <c r="B5671" s="3" t="s">
        <v>2150</v>
      </c>
      <c r="C5671" s="3" t="s">
        <v>20</v>
      </c>
      <c r="D5671" s="3" t="s">
        <v>2167</v>
      </c>
      <c r="E5671" s="3" t="s">
        <v>24</v>
      </c>
      <c r="F5671" s="3"/>
      <c r="G5671" s="3"/>
      <c r="H5671" s="3"/>
      <c r="I5671" s="3"/>
    </row>
    <row r="5672" spans="1:9" s="5" customFormat="1" x14ac:dyDescent="0.35">
      <c r="A5672" s="3" t="s">
        <v>2060</v>
      </c>
      <c r="B5672" s="3" t="s">
        <v>2150</v>
      </c>
      <c r="C5672" s="3" t="s">
        <v>10</v>
      </c>
      <c r="D5672" s="3" t="s">
        <v>2168</v>
      </c>
      <c r="E5672" s="3" t="s">
        <v>28</v>
      </c>
      <c r="F5672" s="3"/>
      <c r="G5672" s="3"/>
      <c r="H5672" s="3"/>
      <c r="I5672" s="3"/>
    </row>
    <row r="5673" spans="1:9" s="5" customFormat="1" x14ac:dyDescent="0.35">
      <c r="A5673" s="3" t="s">
        <v>2060</v>
      </c>
      <c r="B5673" s="3" t="s">
        <v>2150</v>
      </c>
      <c r="C5673" s="3" t="s">
        <v>10</v>
      </c>
      <c r="D5673" s="3" t="s">
        <v>2168</v>
      </c>
      <c r="E5673" s="3" t="s">
        <v>24</v>
      </c>
      <c r="F5673" s="3"/>
      <c r="G5673" s="3"/>
      <c r="H5673" s="3"/>
      <c r="I5673" s="3"/>
    </row>
    <row r="5674" spans="1:9" s="5" customFormat="1" x14ac:dyDescent="0.35">
      <c r="A5674" s="3" t="s">
        <v>2060</v>
      </c>
      <c r="B5674" s="3" t="s">
        <v>2150</v>
      </c>
      <c r="C5674" s="3" t="s">
        <v>42</v>
      </c>
      <c r="D5674" s="3" t="s">
        <v>2169</v>
      </c>
      <c r="E5674" s="3" t="s">
        <v>12</v>
      </c>
      <c r="F5674" s="3"/>
      <c r="G5674" s="3"/>
      <c r="H5674" s="3"/>
      <c r="I5674" s="3"/>
    </row>
    <row r="5675" spans="1:9" s="5" customFormat="1" x14ac:dyDescent="0.35">
      <c r="A5675" s="3" t="s">
        <v>2060</v>
      </c>
      <c r="B5675" s="3" t="s">
        <v>2150</v>
      </c>
      <c r="C5675" s="3" t="s">
        <v>42</v>
      </c>
      <c r="D5675" s="3" t="s">
        <v>2169</v>
      </c>
      <c r="E5675" s="3" t="s">
        <v>23</v>
      </c>
      <c r="F5675" s="3" t="s">
        <v>13</v>
      </c>
      <c r="G5675" s="3" t="s">
        <v>2170</v>
      </c>
      <c r="H5675" s="3"/>
      <c r="I5675" s="3"/>
    </row>
    <row r="5676" spans="1:9" s="5" customFormat="1" x14ac:dyDescent="0.35">
      <c r="A5676" s="3" t="s">
        <v>2060</v>
      </c>
      <c r="B5676" s="3" t="s">
        <v>2150</v>
      </c>
      <c r="C5676" s="3" t="s">
        <v>42</v>
      </c>
      <c r="D5676" s="3" t="s">
        <v>2169</v>
      </c>
      <c r="E5676" s="3" t="s">
        <v>60</v>
      </c>
      <c r="F5676" s="3"/>
      <c r="G5676" s="3"/>
      <c r="H5676" s="3"/>
      <c r="I5676" s="3"/>
    </row>
    <row r="5677" spans="1:9" s="5" customFormat="1" x14ac:dyDescent="0.35">
      <c r="A5677" s="3" t="s">
        <v>2060</v>
      </c>
      <c r="B5677" s="3" t="s">
        <v>2150</v>
      </c>
      <c r="C5677" s="3" t="s">
        <v>42</v>
      </c>
      <c r="D5677" s="3" t="s">
        <v>2169</v>
      </c>
      <c r="E5677" s="3" t="s">
        <v>28</v>
      </c>
      <c r="F5677" s="3" t="s">
        <v>13</v>
      </c>
      <c r="G5677" s="3" t="s">
        <v>2171</v>
      </c>
      <c r="H5677" s="3"/>
      <c r="I5677" s="3"/>
    </row>
    <row r="5678" spans="1:9" s="5" customFormat="1" x14ac:dyDescent="0.35">
      <c r="A5678" s="3" t="s">
        <v>2060</v>
      </c>
      <c r="B5678" s="3" t="s">
        <v>2150</v>
      </c>
      <c r="C5678" s="3" t="s">
        <v>42</v>
      </c>
      <c r="D5678" s="3" t="s">
        <v>2169</v>
      </c>
      <c r="E5678" s="3" t="s">
        <v>98</v>
      </c>
      <c r="F5678" s="3"/>
      <c r="G5678" s="3"/>
      <c r="H5678" s="3"/>
      <c r="I5678" s="3"/>
    </row>
    <row r="5679" spans="1:9" s="5" customFormat="1" x14ac:dyDescent="0.35">
      <c r="A5679" s="3" t="s">
        <v>2060</v>
      </c>
      <c r="B5679" s="3" t="s">
        <v>2150</v>
      </c>
      <c r="C5679" s="3" t="s">
        <v>42</v>
      </c>
      <c r="D5679" s="3" t="s">
        <v>2169</v>
      </c>
      <c r="E5679" s="3" t="s">
        <v>15</v>
      </c>
      <c r="F5679" s="3"/>
      <c r="G5679" s="3"/>
      <c r="H5679" s="3"/>
      <c r="I5679" s="3"/>
    </row>
    <row r="5680" spans="1:9" s="5" customFormat="1" x14ac:dyDescent="0.35">
      <c r="A5680" s="3" t="s">
        <v>2060</v>
      </c>
      <c r="B5680" s="3" t="s">
        <v>2150</v>
      </c>
      <c r="C5680" s="3" t="s">
        <v>42</v>
      </c>
      <c r="D5680" s="3" t="s">
        <v>2169</v>
      </c>
      <c r="E5680" s="3" t="s">
        <v>57</v>
      </c>
      <c r="F5680" s="3"/>
      <c r="G5680" s="3" t="s">
        <v>2311</v>
      </c>
      <c r="H5680" s="3"/>
      <c r="I5680" s="3"/>
    </row>
    <row r="5681" spans="1:9" s="5" customFormat="1" x14ac:dyDescent="0.35">
      <c r="A5681" s="3" t="s">
        <v>2060</v>
      </c>
      <c r="B5681" s="3" t="s">
        <v>2150</v>
      </c>
      <c r="C5681" s="3" t="s">
        <v>42</v>
      </c>
      <c r="D5681" s="3" t="s">
        <v>2169</v>
      </c>
      <c r="E5681" s="3" t="s">
        <v>56</v>
      </c>
      <c r="F5681" s="3"/>
      <c r="G5681" s="3"/>
      <c r="H5681" s="3"/>
      <c r="I5681" s="3"/>
    </row>
    <row r="5682" spans="1:9" s="5" customFormat="1" x14ac:dyDescent="0.35">
      <c r="A5682" s="3" t="s">
        <v>2060</v>
      </c>
      <c r="B5682" s="3" t="s">
        <v>2150</v>
      </c>
      <c r="C5682" s="3" t="s">
        <v>42</v>
      </c>
      <c r="D5682" s="3" t="s">
        <v>2169</v>
      </c>
      <c r="E5682" s="3" t="s">
        <v>107</v>
      </c>
      <c r="F5682" s="3"/>
      <c r="G5682" s="3"/>
      <c r="H5682" s="3"/>
      <c r="I5682" s="3"/>
    </row>
    <row r="5683" spans="1:9" s="5" customFormat="1" x14ac:dyDescent="0.35">
      <c r="A5683" s="3" t="s">
        <v>2060</v>
      </c>
      <c r="B5683" s="3" t="s">
        <v>2172</v>
      </c>
      <c r="C5683" s="3" t="s">
        <v>42</v>
      </c>
      <c r="D5683" s="3" t="s">
        <v>2173</v>
      </c>
      <c r="E5683" s="3" t="s">
        <v>12</v>
      </c>
      <c r="F5683" s="3"/>
      <c r="G5683" s="3"/>
      <c r="H5683" s="3"/>
      <c r="I5683" s="3"/>
    </row>
    <row r="5684" spans="1:9" s="5" customFormat="1" x14ac:dyDescent="0.35">
      <c r="A5684" s="3" t="s">
        <v>2060</v>
      </c>
      <c r="B5684" s="3" t="s">
        <v>2172</v>
      </c>
      <c r="C5684" s="3" t="s">
        <v>42</v>
      </c>
      <c r="D5684" s="3" t="s">
        <v>2173</v>
      </c>
      <c r="E5684" s="3" t="s">
        <v>27</v>
      </c>
      <c r="F5684" s="3" t="s">
        <v>13</v>
      </c>
      <c r="G5684" s="3" t="s">
        <v>2175</v>
      </c>
      <c r="H5684" s="3"/>
      <c r="I5684" s="3"/>
    </row>
    <row r="5685" spans="1:9" s="5" customFormat="1" x14ac:dyDescent="0.35">
      <c r="A5685" s="3" t="s">
        <v>2060</v>
      </c>
      <c r="B5685" s="3" t="s">
        <v>2172</v>
      </c>
      <c r="C5685" s="3" t="s">
        <v>42</v>
      </c>
      <c r="D5685" s="3" t="s">
        <v>2173</v>
      </c>
      <c r="E5685" s="3" t="s">
        <v>44</v>
      </c>
      <c r="F5685" s="3"/>
      <c r="G5685" s="3"/>
      <c r="H5685" s="3"/>
      <c r="I5685" s="3"/>
    </row>
    <row r="5686" spans="1:9" s="5" customFormat="1" x14ac:dyDescent="0.35">
      <c r="A5686" s="3" t="s">
        <v>2060</v>
      </c>
      <c r="B5686" s="3" t="s">
        <v>2172</v>
      </c>
      <c r="C5686" s="3" t="s">
        <v>42</v>
      </c>
      <c r="D5686" s="3" t="s">
        <v>2173</v>
      </c>
      <c r="E5686" s="3" t="s">
        <v>15</v>
      </c>
      <c r="F5686" s="3" t="s">
        <v>13</v>
      </c>
      <c r="G5686" s="3" t="s">
        <v>2174</v>
      </c>
      <c r="H5686" s="3"/>
      <c r="I5686" s="3"/>
    </row>
    <row r="5687" spans="1:9" s="5" customFormat="1" x14ac:dyDescent="0.35">
      <c r="A5687" s="3" t="s">
        <v>2060</v>
      </c>
      <c r="B5687" s="3" t="s">
        <v>2172</v>
      </c>
      <c r="C5687" s="3" t="s">
        <v>42</v>
      </c>
      <c r="D5687" s="3" t="s">
        <v>2173</v>
      </c>
      <c r="E5687" s="3" t="s">
        <v>32</v>
      </c>
      <c r="F5687" s="3" t="s">
        <v>13</v>
      </c>
      <c r="G5687" s="3" t="s">
        <v>2176</v>
      </c>
      <c r="H5687" s="3"/>
      <c r="I5687" s="3"/>
    </row>
    <row r="5688" spans="1:9" s="5" customFormat="1" x14ac:dyDescent="0.35">
      <c r="A5688" s="3" t="s">
        <v>2060</v>
      </c>
      <c r="B5688" s="3" t="s">
        <v>2172</v>
      </c>
      <c r="C5688" s="3" t="s">
        <v>39</v>
      </c>
      <c r="D5688" s="3" t="s">
        <v>2177</v>
      </c>
      <c r="E5688" s="3" t="s">
        <v>12</v>
      </c>
      <c r="F5688" s="3"/>
      <c r="G5688" s="3"/>
      <c r="H5688" s="3"/>
      <c r="I5688" s="3"/>
    </row>
    <row r="5689" spans="1:9" s="5" customFormat="1" x14ac:dyDescent="0.35">
      <c r="A5689" s="3" t="s">
        <v>2060</v>
      </c>
      <c r="B5689" s="3" t="s">
        <v>2172</v>
      </c>
      <c r="C5689" s="3" t="s">
        <v>39</v>
      </c>
      <c r="D5689" s="3" t="s">
        <v>2177</v>
      </c>
      <c r="E5689" s="3" t="s">
        <v>27</v>
      </c>
      <c r="F5689" s="3"/>
      <c r="G5689" s="3"/>
      <c r="H5689" s="3"/>
      <c r="I5689" s="3"/>
    </row>
    <row r="5690" spans="1:9" s="5" customFormat="1" x14ac:dyDescent="0.35">
      <c r="A5690" s="3" t="s">
        <v>2060</v>
      </c>
      <c r="B5690" s="3" t="s">
        <v>2172</v>
      </c>
      <c r="C5690" s="3" t="s">
        <v>39</v>
      </c>
      <c r="D5690" s="3" t="s">
        <v>2177</v>
      </c>
      <c r="E5690" s="3" t="s">
        <v>87</v>
      </c>
      <c r="F5690" s="3"/>
      <c r="G5690" s="3"/>
      <c r="H5690" s="3"/>
      <c r="I5690" s="3"/>
    </row>
    <row r="5691" spans="1:9" s="5" customFormat="1" x14ac:dyDescent="0.35">
      <c r="A5691" s="3" t="s">
        <v>2060</v>
      </c>
      <c r="B5691" s="3" t="s">
        <v>2172</v>
      </c>
      <c r="C5691" s="3" t="s">
        <v>39</v>
      </c>
      <c r="D5691" s="3" t="s">
        <v>2177</v>
      </c>
      <c r="E5691" s="3" t="s">
        <v>56</v>
      </c>
      <c r="F5691" s="3"/>
      <c r="G5691" s="3"/>
      <c r="H5691" s="3"/>
      <c r="I5691" s="3"/>
    </row>
    <row r="5692" spans="1:9" s="5" customFormat="1" x14ac:dyDescent="0.35">
      <c r="A5692" s="3" t="s">
        <v>2060</v>
      </c>
      <c r="B5692" s="3" t="s">
        <v>2172</v>
      </c>
      <c r="C5692" s="3" t="s">
        <v>45</v>
      </c>
      <c r="D5692" s="3" t="s">
        <v>2178</v>
      </c>
      <c r="E5692" s="3" t="s">
        <v>77</v>
      </c>
      <c r="F5692" s="3"/>
      <c r="G5692" s="3"/>
      <c r="H5692" s="3"/>
      <c r="I5692" s="3"/>
    </row>
    <row r="5693" spans="1:9" s="5" customFormat="1" x14ac:dyDescent="0.35">
      <c r="A5693" s="3" t="s">
        <v>2060</v>
      </c>
      <c r="B5693" s="3" t="s">
        <v>2172</v>
      </c>
      <c r="C5693" s="3" t="s">
        <v>20</v>
      </c>
      <c r="D5693" s="3" t="s">
        <v>2179</v>
      </c>
      <c r="E5693" s="3" t="s">
        <v>12</v>
      </c>
      <c r="F5693" s="3"/>
      <c r="G5693" s="3"/>
      <c r="H5693" s="3"/>
      <c r="I5693" s="3"/>
    </row>
    <row r="5694" spans="1:9" s="5" customFormat="1" x14ac:dyDescent="0.35">
      <c r="A5694" s="3" t="s">
        <v>2060</v>
      </c>
      <c r="B5694" s="3" t="s">
        <v>2172</v>
      </c>
      <c r="C5694" s="3" t="s">
        <v>20</v>
      </c>
      <c r="D5694" s="3" t="s">
        <v>2179</v>
      </c>
      <c r="E5694" s="3" t="s">
        <v>27</v>
      </c>
      <c r="F5694" s="3"/>
      <c r="G5694" s="3"/>
      <c r="H5694" s="3"/>
      <c r="I5694" s="3"/>
    </row>
    <row r="5695" spans="1:9" s="5" customFormat="1" x14ac:dyDescent="0.35">
      <c r="A5695" s="3" t="s">
        <v>2060</v>
      </c>
      <c r="B5695" s="3" t="s">
        <v>2172</v>
      </c>
      <c r="C5695" s="3" t="s">
        <v>20</v>
      </c>
      <c r="D5695" s="3" t="s">
        <v>2179</v>
      </c>
      <c r="E5695" s="3" t="s">
        <v>15</v>
      </c>
      <c r="F5695" s="3" t="s">
        <v>13</v>
      </c>
      <c r="G5695" s="3" t="s">
        <v>2180</v>
      </c>
      <c r="H5695" s="3"/>
      <c r="I5695" s="3"/>
    </row>
    <row r="5696" spans="1:9" s="5" customFormat="1" x14ac:dyDescent="0.35">
      <c r="A5696" s="3" t="s">
        <v>2060</v>
      </c>
      <c r="B5696" s="3" t="s">
        <v>2172</v>
      </c>
      <c r="C5696" s="3" t="s">
        <v>20</v>
      </c>
      <c r="D5696" s="3" t="s">
        <v>2181</v>
      </c>
      <c r="E5696" s="3" t="s">
        <v>15</v>
      </c>
      <c r="F5696" s="3" t="s">
        <v>13</v>
      </c>
      <c r="G5696" s="3" t="s">
        <v>2182</v>
      </c>
      <c r="H5696" s="3"/>
      <c r="I5696" s="3"/>
    </row>
    <row r="5697" spans="1:9" s="5" customFormat="1" x14ac:dyDescent="0.35">
      <c r="A5697" s="3" t="s">
        <v>2060</v>
      </c>
      <c r="B5697" s="3" t="s">
        <v>2172</v>
      </c>
      <c r="C5697" s="3" t="s">
        <v>20</v>
      </c>
      <c r="D5697" s="3" t="s">
        <v>2181</v>
      </c>
      <c r="E5697" s="3" t="s">
        <v>57</v>
      </c>
      <c r="F5697" s="3"/>
      <c r="G5697" s="3"/>
      <c r="H5697" s="3"/>
      <c r="I5697" s="3"/>
    </row>
    <row r="5698" spans="1:9" s="5" customFormat="1" x14ac:dyDescent="0.35">
      <c r="A5698" s="3" t="s">
        <v>2060</v>
      </c>
      <c r="B5698" s="3" t="s">
        <v>2172</v>
      </c>
      <c r="C5698" s="3" t="s">
        <v>20</v>
      </c>
      <c r="D5698" s="3" t="s">
        <v>2181</v>
      </c>
      <c r="E5698" s="3" t="s">
        <v>107</v>
      </c>
      <c r="F5698" s="3" t="s">
        <v>13</v>
      </c>
      <c r="G5698" s="3" t="s">
        <v>2183</v>
      </c>
      <c r="H5698" s="3"/>
      <c r="I5698" s="3"/>
    </row>
    <row r="5699" spans="1:9" s="5" customFormat="1" x14ac:dyDescent="0.35">
      <c r="A5699" s="3" t="s">
        <v>2060</v>
      </c>
      <c r="B5699" s="3" t="s">
        <v>2172</v>
      </c>
      <c r="C5699" s="3" t="s">
        <v>20</v>
      </c>
      <c r="D5699" s="3" t="s">
        <v>2184</v>
      </c>
      <c r="E5699" s="3" t="s">
        <v>12</v>
      </c>
      <c r="F5699" s="3"/>
      <c r="G5699" s="3"/>
      <c r="H5699" s="3"/>
      <c r="I5699" s="3"/>
    </row>
    <row r="5700" spans="1:9" s="5" customFormat="1" x14ac:dyDescent="0.35">
      <c r="A5700" s="3" t="s">
        <v>2060</v>
      </c>
      <c r="B5700" s="3" t="s">
        <v>2172</v>
      </c>
      <c r="C5700" s="3" t="s">
        <v>20</v>
      </c>
      <c r="D5700" s="3" t="s">
        <v>2184</v>
      </c>
      <c r="E5700" s="3" t="s">
        <v>32</v>
      </c>
      <c r="F5700" s="3"/>
      <c r="G5700" s="3"/>
      <c r="H5700" s="3"/>
      <c r="I5700" s="3"/>
    </row>
    <row r="5701" spans="1:9" s="5" customFormat="1" x14ac:dyDescent="0.35">
      <c r="A5701" s="3" t="s">
        <v>2060</v>
      </c>
      <c r="B5701" s="3" t="s">
        <v>2575</v>
      </c>
      <c r="C5701" s="3" t="s">
        <v>42</v>
      </c>
      <c r="D5701" s="3" t="s">
        <v>2576</v>
      </c>
      <c r="E5701" s="3" t="s">
        <v>12</v>
      </c>
      <c r="F5701" s="3"/>
      <c r="G5701" s="3"/>
      <c r="H5701" s="3" t="s">
        <v>16</v>
      </c>
      <c r="I5701" s="3" t="s">
        <v>409</v>
      </c>
    </row>
    <row r="5702" spans="1:9" s="5" customFormat="1" x14ac:dyDescent="0.35">
      <c r="A5702" s="3" t="s">
        <v>2060</v>
      </c>
      <c r="B5702" s="3" t="s">
        <v>2575</v>
      </c>
      <c r="C5702" s="3" t="s">
        <v>42</v>
      </c>
      <c r="D5702" s="3" t="s">
        <v>2576</v>
      </c>
      <c r="E5702" s="3" t="s">
        <v>23</v>
      </c>
      <c r="F5702" s="3" t="s">
        <v>16</v>
      </c>
      <c r="G5702" s="3" t="s">
        <v>2577</v>
      </c>
      <c r="H5702" s="3" t="s">
        <v>16</v>
      </c>
      <c r="I5702" s="3" t="s">
        <v>2063</v>
      </c>
    </row>
    <row r="5703" spans="1:9" s="5" customFormat="1" x14ac:dyDescent="0.35">
      <c r="A5703" s="3" t="s">
        <v>2060</v>
      </c>
      <c r="B5703" s="3" t="s">
        <v>2575</v>
      </c>
      <c r="C5703" s="3" t="s">
        <v>42</v>
      </c>
      <c r="D5703" s="3" t="s">
        <v>2576</v>
      </c>
      <c r="E5703" s="3" t="s">
        <v>27</v>
      </c>
      <c r="F5703" s="3"/>
      <c r="G5703" s="3"/>
      <c r="H5703" s="3" t="s">
        <v>16</v>
      </c>
      <c r="I5703" s="3" t="s">
        <v>2063</v>
      </c>
    </row>
    <row r="5704" spans="1:9" s="5" customFormat="1" x14ac:dyDescent="0.35">
      <c r="A5704" s="3" t="s">
        <v>2060</v>
      </c>
      <c r="B5704" s="3" t="s">
        <v>2575</v>
      </c>
      <c r="C5704" s="3" t="s">
        <v>20</v>
      </c>
      <c r="D5704" s="3" t="s">
        <v>2941</v>
      </c>
      <c r="E5704" s="3" t="s">
        <v>23</v>
      </c>
      <c r="F5704" s="3" t="s">
        <v>16</v>
      </c>
      <c r="G5704" s="3" t="s">
        <v>2942</v>
      </c>
      <c r="H5704" s="3" t="s">
        <v>16</v>
      </c>
      <c r="I5704" s="3" t="s">
        <v>409</v>
      </c>
    </row>
    <row r="5705" spans="1:9" s="5" customFormat="1" x14ac:dyDescent="0.35">
      <c r="A5705" s="3" t="s">
        <v>2060</v>
      </c>
      <c r="B5705" s="3" t="s">
        <v>2575</v>
      </c>
      <c r="C5705" s="3" t="s">
        <v>20</v>
      </c>
      <c r="D5705" s="3" t="s">
        <v>2941</v>
      </c>
      <c r="E5705" s="3" t="s">
        <v>60</v>
      </c>
      <c r="H5705" s="3" t="s">
        <v>16</v>
      </c>
      <c r="I5705" s="3" t="s">
        <v>409</v>
      </c>
    </row>
    <row r="5706" spans="1:9" s="5" customFormat="1" x14ac:dyDescent="0.35">
      <c r="A5706" s="3" t="s">
        <v>2060</v>
      </c>
      <c r="B5706" s="3" t="s">
        <v>2575</v>
      </c>
      <c r="C5706" s="3" t="s">
        <v>20</v>
      </c>
      <c r="D5706" s="3" t="s">
        <v>2941</v>
      </c>
      <c r="E5706" s="3" t="s">
        <v>77</v>
      </c>
      <c r="F5706" s="3"/>
      <c r="G5706" s="3" t="s">
        <v>2344</v>
      </c>
      <c r="H5706" s="3" t="s">
        <v>16</v>
      </c>
      <c r="I5706" s="3" t="s">
        <v>409</v>
      </c>
    </row>
    <row r="5707" spans="1:9" s="5" customFormat="1" x14ac:dyDescent="0.35">
      <c r="A5707" s="3" t="s">
        <v>2060</v>
      </c>
      <c r="B5707" s="3" t="s">
        <v>2575</v>
      </c>
      <c r="C5707" s="3" t="s">
        <v>20</v>
      </c>
      <c r="D5707" s="3" t="s">
        <v>2941</v>
      </c>
      <c r="E5707" s="3" t="s">
        <v>56</v>
      </c>
      <c r="F5707" s="3"/>
      <c r="G5707" s="3"/>
      <c r="H5707" s="3" t="s">
        <v>16</v>
      </c>
      <c r="I5707" s="3" t="s">
        <v>409</v>
      </c>
    </row>
    <row r="5708" spans="1:9" s="5" customFormat="1" x14ac:dyDescent="0.35">
      <c r="A5708" s="3" t="s">
        <v>2060</v>
      </c>
      <c r="B5708" s="3" t="s">
        <v>2575</v>
      </c>
      <c r="C5708" s="3" t="s">
        <v>20</v>
      </c>
      <c r="D5708" s="3" t="s">
        <v>2941</v>
      </c>
      <c r="E5708" s="3" t="s">
        <v>24</v>
      </c>
      <c r="F5708" s="3"/>
      <c r="G5708" s="3"/>
      <c r="H5708" s="3" t="s">
        <v>16</v>
      </c>
      <c r="I5708" s="3" t="s">
        <v>409</v>
      </c>
    </row>
    <row r="5709" spans="1:9" s="5" customFormat="1" x14ac:dyDescent="0.35">
      <c r="A5709" s="3" t="s">
        <v>2060</v>
      </c>
      <c r="B5709" s="3" t="s">
        <v>2185</v>
      </c>
      <c r="C5709" s="3" t="s">
        <v>42</v>
      </c>
      <c r="D5709" s="3" t="s">
        <v>2186</v>
      </c>
      <c r="E5709" s="3" t="s">
        <v>12</v>
      </c>
      <c r="F5709" s="3" t="s">
        <v>16</v>
      </c>
      <c r="G5709" s="3" t="s">
        <v>2187</v>
      </c>
      <c r="H5709" s="3"/>
      <c r="I5709" s="3"/>
    </row>
    <row r="5710" spans="1:9" s="5" customFormat="1" x14ac:dyDescent="0.35">
      <c r="A5710" s="3" t="s">
        <v>2060</v>
      </c>
      <c r="B5710" s="3" t="s">
        <v>2185</v>
      </c>
      <c r="C5710" s="3" t="s">
        <v>42</v>
      </c>
      <c r="D5710" s="3" t="s">
        <v>2186</v>
      </c>
      <c r="E5710" s="3" t="s">
        <v>27</v>
      </c>
      <c r="F5710" s="3" t="s">
        <v>16</v>
      </c>
      <c r="G5710" s="3" t="s">
        <v>2188</v>
      </c>
      <c r="H5710" s="3"/>
      <c r="I5710" s="3"/>
    </row>
    <row r="5711" spans="1:9" s="5" customFormat="1" x14ac:dyDescent="0.35">
      <c r="A5711" s="3" t="s">
        <v>2060</v>
      </c>
      <c r="B5711" s="3" t="s">
        <v>2185</v>
      </c>
      <c r="C5711" s="3" t="s">
        <v>42</v>
      </c>
      <c r="D5711" s="3" t="s">
        <v>2186</v>
      </c>
      <c r="E5711" s="3" t="s">
        <v>44</v>
      </c>
      <c r="F5711" s="3"/>
      <c r="G5711" s="3"/>
      <c r="H5711" s="3"/>
      <c r="I5711" s="3"/>
    </row>
    <row r="5712" spans="1:9" s="5" customFormat="1" x14ac:dyDescent="0.35">
      <c r="A5712" s="3" t="s">
        <v>2060</v>
      </c>
      <c r="B5712" s="3" t="s">
        <v>2185</v>
      </c>
      <c r="C5712" s="3" t="s">
        <v>42</v>
      </c>
      <c r="D5712" s="3" t="s">
        <v>2186</v>
      </c>
      <c r="E5712" s="3" t="s">
        <v>107</v>
      </c>
      <c r="F5712" s="3" t="s">
        <v>16</v>
      </c>
      <c r="G5712" s="3" t="s">
        <v>2189</v>
      </c>
      <c r="H5712" s="3"/>
      <c r="I5712" s="3"/>
    </row>
    <row r="5713" spans="1:9" s="5" customFormat="1" x14ac:dyDescent="0.35">
      <c r="A5713" s="3" t="s">
        <v>2060</v>
      </c>
      <c r="B5713" s="3" t="s">
        <v>2185</v>
      </c>
      <c r="C5713" s="3" t="s">
        <v>20</v>
      </c>
      <c r="D5713" s="3" t="s">
        <v>2190</v>
      </c>
      <c r="E5713" s="3" t="s">
        <v>27</v>
      </c>
      <c r="F5713" s="3"/>
      <c r="G5713" s="3"/>
      <c r="H5713" s="3"/>
      <c r="I5713" s="3"/>
    </row>
    <row r="5714" spans="1:9" s="5" customFormat="1" x14ac:dyDescent="0.35">
      <c r="A5714" s="3" t="s">
        <v>2060</v>
      </c>
      <c r="B5714" s="3" t="s">
        <v>2185</v>
      </c>
      <c r="C5714" s="3" t="s">
        <v>20</v>
      </c>
      <c r="D5714" s="3" t="s">
        <v>2190</v>
      </c>
      <c r="E5714" s="3" t="s">
        <v>28</v>
      </c>
      <c r="F5714" s="3"/>
      <c r="G5714" s="3" t="s">
        <v>2321</v>
      </c>
      <c r="H5714" s="3"/>
      <c r="I5714" s="3"/>
    </row>
    <row r="5715" spans="1:9" s="5" customFormat="1" x14ac:dyDescent="0.35">
      <c r="A5715" s="3" t="s">
        <v>2060</v>
      </c>
      <c r="B5715" s="3" t="s">
        <v>2185</v>
      </c>
      <c r="C5715" s="3" t="s">
        <v>20</v>
      </c>
      <c r="D5715" s="3" t="s">
        <v>2190</v>
      </c>
      <c r="E5715" s="3" t="s">
        <v>87</v>
      </c>
      <c r="F5715" s="3"/>
      <c r="G5715" s="3"/>
      <c r="H5715" s="3"/>
      <c r="I5715" s="3"/>
    </row>
    <row r="5716" spans="1:9" s="5" customFormat="1" x14ac:dyDescent="0.35">
      <c r="A5716" s="3" t="s">
        <v>2060</v>
      </c>
      <c r="B5716" s="3" t="s">
        <v>2185</v>
      </c>
      <c r="C5716" s="3" t="s">
        <v>20</v>
      </c>
      <c r="D5716" s="3" t="s">
        <v>2190</v>
      </c>
      <c r="E5716" s="3" t="s">
        <v>98</v>
      </c>
      <c r="F5716" s="3"/>
      <c r="G5716" s="3"/>
      <c r="H5716" s="3"/>
      <c r="I5716" s="3"/>
    </row>
    <row r="5717" spans="1:9" s="5" customFormat="1" x14ac:dyDescent="0.35">
      <c r="A5717" s="3" t="s">
        <v>2060</v>
      </c>
      <c r="B5717" s="3" t="s">
        <v>2185</v>
      </c>
      <c r="C5717" s="3" t="s">
        <v>20</v>
      </c>
      <c r="D5717" s="3" t="s">
        <v>2190</v>
      </c>
      <c r="E5717" s="3" t="s">
        <v>56</v>
      </c>
      <c r="F5717" s="3"/>
      <c r="G5717" s="3"/>
      <c r="H5717" s="3"/>
      <c r="I5717" s="3"/>
    </row>
    <row r="5718" spans="1:9" s="5" customFormat="1" x14ac:dyDescent="0.35">
      <c r="A5718" s="3" t="s">
        <v>2060</v>
      </c>
      <c r="B5718" s="3" t="s">
        <v>2185</v>
      </c>
      <c r="C5718" s="3" t="s">
        <v>20</v>
      </c>
      <c r="D5718" s="3" t="s">
        <v>2190</v>
      </c>
      <c r="E5718" s="3" t="s">
        <v>24</v>
      </c>
      <c r="F5718" s="3"/>
      <c r="G5718" s="3"/>
      <c r="H5718" s="3"/>
      <c r="I5718" s="3"/>
    </row>
    <row r="5719" spans="1:9" s="5" customFormat="1" x14ac:dyDescent="0.35">
      <c r="A5719" s="3" t="s">
        <v>2060</v>
      </c>
      <c r="B5719" s="3" t="s">
        <v>2185</v>
      </c>
      <c r="C5719" s="3" t="s">
        <v>20</v>
      </c>
      <c r="D5719" s="3" t="s">
        <v>2787</v>
      </c>
      <c r="E5719" s="3" t="s">
        <v>12</v>
      </c>
      <c r="F5719" s="3"/>
      <c r="G5719" s="3"/>
      <c r="H5719" s="3"/>
      <c r="I5719" s="3"/>
    </row>
    <row r="5720" spans="1:9" s="5" customFormat="1" x14ac:dyDescent="0.35">
      <c r="A5720" s="3" t="s">
        <v>2060</v>
      </c>
      <c r="B5720" s="3" t="s">
        <v>2185</v>
      </c>
      <c r="C5720" s="3" t="s">
        <v>20</v>
      </c>
      <c r="D5720" s="3" t="s">
        <v>2787</v>
      </c>
      <c r="E5720" s="3" t="s">
        <v>23</v>
      </c>
      <c r="F5720" s="3"/>
      <c r="G5720" s="3"/>
      <c r="H5720" s="3"/>
      <c r="I5720" s="3"/>
    </row>
    <row r="5721" spans="1:9" s="5" customFormat="1" x14ac:dyDescent="0.35">
      <c r="A5721" s="3" t="s">
        <v>2060</v>
      </c>
      <c r="B5721" s="3" t="s">
        <v>2185</v>
      </c>
      <c r="C5721" s="3" t="s">
        <v>20</v>
      </c>
      <c r="D5721" s="3" t="s">
        <v>2787</v>
      </c>
      <c r="E5721" s="3" t="s">
        <v>27</v>
      </c>
      <c r="F5721" s="3"/>
      <c r="G5721" s="3"/>
      <c r="H5721" s="3"/>
      <c r="I5721" s="3"/>
    </row>
    <row r="5722" spans="1:9" s="5" customFormat="1" x14ac:dyDescent="0.35">
      <c r="A5722" s="3" t="s">
        <v>2060</v>
      </c>
      <c r="B5722" s="3" t="s">
        <v>2185</v>
      </c>
      <c r="C5722" s="3" t="s">
        <v>20</v>
      </c>
      <c r="D5722" s="3" t="s">
        <v>2787</v>
      </c>
      <c r="E5722" s="3" t="s">
        <v>87</v>
      </c>
      <c r="F5722" s="3"/>
      <c r="G5722" s="3"/>
      <c r="H5722" s="3"/>
      <c r="I5722" s="3"/>
    </row>
    <row r="5723" spans="1:9" s="5" customFormat="1" x14ac:dyDescent="0.35">
      <c r="A5723" s="3" t="s">
        <v>2060</v>
      </c>
      <c r="B5723" s="3" t="s">
        <v>2185</v>
      </c>
      <c r="C5723" s="3" t="s">
        <v>20</v>
      </c>
      <c r="D5723" s="3" t="s">
        <v>2787</v>
      </c>
      <c r="E5723" s="3" t="s">
        <v>24</v>
      </c>
      <c r="F5723" s="3"/>
      <c r="G5723" s="3"/>
      <c r="H5723" s="3"/>
      <c r="I5723" s="3"/>
    </row>
    <row r="5724" spans="1:9" s="5" customFormat="1" x14ac:dyDescent="0.35">
      <c r="A5724" s="3" t="s">
        <v>2060</v>
      </c>
      <c r="B5724" s="3" t="s">
        <v>2191</v>
      </c>
      <c r="C5724" s="3" t="s">
        <v>42</v>
      </c>
      <c r="D5724" s="3" t="s">
        <v>2192</v>
      </c>
      <c r="E5724" s="3" t="s">
        <v>12</v>
      </c>
      <c r="F5724" s="3"/>
      <c r="G5724" s="3"/>
      <c r="H5724" s="3"/>
      <c r="I5724" s="3"/>
    </row>
    <row r="5725" spans="1:9" s="5" customFormat="1" x14ac:dyDescent="0.35">
      <c r="A5725" s="3" t="s">
        <v>2060</v>
      </c>
      <c r="B5725" s="3" t="s">
        <v>2191</v>
      </c>
      <c r="C5725" s="3" t="s">
        <v>42</v>
      </c>
      <c r="D5725" s="3" t="s">
        <v>2192</v>
      </c>
      <c r="E5725" s="3" t="s">
        <v>23</v>
      </c>
      <c r="F5725" s="3" t="s">
        <v>13</v>
      </c>
      <c r="G5725" s="3" t="s">
        <v>2193</v>
      </c>
      <c r="H5725" s="3"/>
      <c r="I5725" s="3"/>
    </row>
    <row r="5726" spans="1:9" s="5" customFormat="1" x14ac:dyDescent="0.35">
      <c r="A5726" s="3" t="s">
        <v>2060</v>
      </c>
      <c r="B5726" s="3" t="s">
        <v>2191</v>
      </c>
      <c r="C5726" s="3" t="s">
        <v>42</v>
      </c>
      <c r="D5726" s="3" t="s">
        <v>2192</v>
      </c>
      <c r="E5726" s="3" t="s">
        <v>15</v>
      </c>
      <c r="F5726" s="3" t="s">
        <v>13</v>
      </c>
      <c r="G5726" s="3" t="s">
        <v>2194</v>
      </c>
      <c r="H5726" s="3"/>
      <c r="I5726" s="3"/>
    </row>
    <row r="5727" spans="1:9" s="5" customFormat="1" x14ac:dyDescent="0.35">
      <c r="A5727" s="3" t="s">
        <v>2060</v>
      </c>
      <c r="B5727" s="3" t="s">
        <v>2191</v>
      </c>
      <c r="C5727" s="3" t="s">
        <v>42</v>
      </c>
      <c r="D5727" s="3" t="s">
        <v>2192</v>
      </c>
      <c r="E5727" s="3" t="s">
        <v>56</v>
      </c>
      <c r="F5727" s="3" t="s">
        <v>13</v>
      </c>
      <c r="G5727" s="3" t="s">
        <v>2194</v>
      </c>
      <c r="H5727" s="3"/>
      <c r="I5727" s="3"/>
    </row>
    <row r="5728" spans="1:9" s="5" customFormat="1" x14ac:dyDescent="0.35">
      <c r="A5728" s="3" t="s">
        <v>2060</v>
      </c>
      <c r="B5728" s="3" t="s">
        <v>2191</v>
      </c>
      <c r="C5728" s="3" t="s">
        <v>42</v>
      </c>
      <c r="D5728" s="3" t="s">
        <v>2192</v>
      </c>
      <c r="E5728" s="3" t="s">
        <v>24</v>
      </c>
      <c r="F5728" s="3"/>
      <c r="G5728" s="3"/>
      <c r="H5728" s="3"/>
      <c r="I5728" s="3"/>
    </row>
    <row r="5729" spans="1:9" s="5" customFormat="1" x14ac:dyDescent="0.35">
      <c r="A5729" s="3" t="s">
        <v>2060</v>
      </c>
      <c r="B5729" s="3" t="s">
        <v>2191</v>
      </c>
      <c r="C5729" s="3" t="s">
        <v>20</v>
      </c>
      <c r="D5729" s="3" t="s">
        <v>2195</v>
      </c>
      <c r="E5729" s="3" t="s">
        <v>12</v>
      </c>
      <c r="F5729" s="3"/>
      <c r="G5729" s="3"/>
      <c r="H5729" s="3"/>
      <c r="I5729" s="3"/>
    </row>
    <row r="5730" spans="1:9" s="5" customFormat="1" x14ac:dyDescent="0.35">
      <c r="A5730" s="3" t="s">
        <v>2060</v>
      </c>
      <c r="B5730" s="3" t="s">
        <v>2191</v>
      </c>
      <c r="C5730" s="3" t="s">
        <v>20</v>
      </c>
      <c r="D5730" s="3" t="s">
        <v>2195</v>
      </c>
      <c r="E5730" s="3" t="s">
        <v>23</v>
      </c>
      <c r="F5730" s="3"/>
      <c r="G5730" s="3"/>
      <c r="H5730" s="3"/>
      <c r="I5730" s="3"/>
    </row>
    <row r="5731" spans="1:9" s="5" customFormat="1" x14ac:dyDescent="0.35">
      <c r="A5731" s="3" t="s">
        <v>2060</v>
      </c>
      <c r="B5731" s="3" t="s">
        <v>2191</v>
      </c>
      <c r="C5731" s="3" t="s">
        <v>20</v>
      </c>
      <c r="D5731" s="3" t="s">
        <v>2195</v>
      </c>
      <c r="E5731" s="3" t="s">
        <v>87</v>
      </c>
      <c r="F5731" s="3"/>
      <c r="G5731" s="3"/>
      <c r="H5731" s="3"/>
      <c r="I5731" s="3"/>
    </row>
    <row r="5732" spans="1:9" s="5" customFormat="1" x14ac:dyDescent="0.35">
      <c r="A5732" s="3" t="s">
        <v>2060</v>
      </c>
      <c r="B5732" s="3" t="s">
        <v>2191</v>
      </c>
      <c r="C5732" s="3" t="s">
        <v>20</v>
      </c>
      <c r="D5732" s="3" t="s">
        <v>2195</v>
      </c>
      <c r="E5732" s="3" t="s">
        <v>29</v>
      </c>
      <c r="F5732" s="3" t="s">
        <v>13</v>
      </c>
      <c r="G5732" s="3" t="s">
        <v>2196</v>
      </c>
      <c r="H5732" s="3"/>
      <c r="I5732" s="3"/>
    </row>
    <row r="5733" spans="1:9" s="5" customFormat="1" x14ac:dyDescent="0.35">
      <c r="A5733" s="3" t="s">
        <v>2060</v>
      </c>
      <c r="B5733" s="3" t="s">
        <v>2197</v>
      </c>
      <c r="C5733" s="3" t="s">
        <v>39</v>
      </c>
      <c r="D5733" s="3" t="s">
        <v>2198</v>
      </c>
      <c r="E5733" s="3" t="s">
        <v>12</v>
      </c>
      <c r="F5733" s="3"/>
      <c r="G5733" s="3"/>
      <c r="H5733" s="3"/>
      <c r="I5733" s="3"/>
    </row>
    <row r="5734" spans="1:9" s="5" customFormat="1" x14ac:dyDescent="0.35">
      <c r="A5734" s="3" t="s">
        <v>2060</v>
      </c>
      <c r="B5734" s="3" t="s">
        <v>2197</v>
      </c>
      <c r="C5734" s="3" t="s">
        <v>39</v>
      </c>
      <c r="D5734" s="3" t="s">
        <v>2198</v>
      </c>
      <c r="E5734" s="3" t="s">
        <v>27</v>
      </c>
      <c r="F5734" s="3"/>
      <c r="G5734" s="3"/>
      <c r="H5734" s="3"/>
      <c r="I5734" s="3"/>
    </row>
    <row r="5735" spans="1:9" s="5" customFormat="1" x14ac:dyDescent="0.35">
      <c r="A5735" s="3" t="s">
        <v>2060</v>
      </c>
      <c r="B5735" s="3" t="s">
        <v>2197</v>
      </c>
      <c r="C5735" s="3" t="s">
        <v>39</v>
      </c>
      <c r="D5735" s="3" t="s">
        <v>2198</v>
      </c>
      <c r="E5735" s="3" t="s">
        <v>56</v>
      </c>
      <c r="F5735" s="3" t="s">
        <v>13</v>
      </c>
      <c r="G5735" s="3" t="s">
        <v>2199</v>
      </c>
      <c r="H5735" s="3"/>
      <c r="I5735" s="3"/>
    </row>
    <row r="5736" spans="1:9" s="5" customFormat="1" x14ac:dyDescent="0.35">
      <c r="A5736" s="3" t="s">
        <v>2060</v>
      </c>
      <c r="B5736" s="3" t="s">
        <v>2197</v>
      </c>
      <c r="C5736" s="3" t="s">
        <v>20</v>
      </c>
      <c r="D5736" s="3" t="s">
        <v>2862</v>
      </c>
      <c r="E5736" s="3" t="s">
        <v>12</v>
      </c>
      <c r="F5736" s="3"/>
      <c r="G5736" s="3"/>
      <c r="H5736" s="3"/>
      <c r="I5736" s="3"/>
    </row>
    <row r="5737" spans="1:9" s="5" customFormat="1" x14ac:dyDescent="0.35">
      <c r="A5737" s="3" t="s">
        <v>2060</v>
      </c>
      <c r="B5737" s="3" t="s">
        <v>2197</v>
      </c>
      <c r="C5737" s="3" t="s">
        <v>20</v>
      </c>
      <c r="D5737" s="3" t="s">
        <v>2862</v>
      </c>
      <c r="E5737" s="3" t="s">
        <v>23</v>
      </c>
      <c r="F5737" s="3"/>
      <c r="G5737" s="3"/>
      <c r="H5737" s="3"/>
      <c r="I5737" s="3"/>
    </row>
    <row r="5738" spans="1:9" s="5" customFormat="1" x14ac:dyDescent="0.35">
      <c r="A5738" s="3" t="s">
        <v>2060</v>
      </c>
      <c r="B5738" s="3" t="s">
        <v>2197</v>
      </c>
      <c r="C5738" s="3" t="s">
        <v>20</v>
      </c>
      <c r="D5738" s="3" t="s">
        <v>2862</v>
      </c>
      <c r="E5738" s="3" t="s">
        <v>27</v>
      </c>
      <c r="F5738" s="3"/>
      <c r="G5738" s="3"/>
      <c r="H5738" s="3"/>
      <c r="I5738" s="3"/>
    </row>
    <row r="5739" spans="1:9" s="5" customFormat="1" x14ac:dyDescent="0.35">
      <c r="A5739" s="3" t="s">
        <v>2060</v>
      </c>
      <c r="B5739" s="3" t="s">
        <v>2197</v>
      </c>
      <c r="C5739" s="3" t="s">
        <v>20</v>
      </c>
      <c r="D5739" s="3" t="s">
        <v>2862</v>
      </c>
      <c r="E5739" s="3" t="s">
        <v>87</v>
      </c>
      <c r="F5739" s="3"/>
      <c r="G5739" s="3"/>
      <c r="H5739" s="3"/>
      <c r="I5739" s="3"/>
    </row>
    <row r="5740" spans="1:9" s="5" customFormat="1" x14ac:dyDescent="0.35">
      <c r="A5740" s="3" t="s">
        <v>2060</v>
      </c>
      <c r="B5740" s="3" t="s">
        <v>2197</v>
      </c>
      <c r="C5740" s="3" t="s">
        <v>42</v>
      </c>
      <c r="D5740" s="3" t="s">
        <v>2200</v>
      </c>
      <c r="E5740" s="3" t="s">
        <v>12</v>
      </c>
      <c r="F5740" s="3"/>
      <c r="G5740" s="3"/>
      <c r="H5740" s="3"/>
      <c r="I5740" s="3"/>
    </row>
    <row r="5741" spans="1:9" s="5" customFormat="1" x14ac:dyDescent="0.35">
      <c r="A5741" s="3" t="s">
        <v>2060</v>
      </c>
      <c r="B5741" s="3" t="s">
        <v>2197</v>
      </c>
      <c r="C5741" s="3" t="s">
        <v>42</v>
      </c>
      <c r="D5741" s="3" t="s">
        <v>2200</v>
      </c>
      <c r="E5741" s="3" t="s">
        <v>25</v>
      </c>
      <c r="F5741" s="3" t="s">
        <v>33</v>
      </c>
      <c r="G5741" s="3" t="s">
        <v>2137</v>
      </c>
      <c r="H5741" s="3"/>
      <c r="I5741" s="3"/>
    </row>
    <row r="5742" spans="1:9" s="5" customFormat="1" x14ac:dyDescent="0.35">
      <c r="A5742" s="3" t="s">
        <v>2060</v>
      </c>
      <c r="B5742" s="3" t="s">
        <v>2197</v>
      </c>
      <c r="C5742" s="3" t="s">
        <v>42</v>
      </c>
      <c r="D5742" s="3" t="s">
        <v>2200</v>
      </c>
      <c r="E5742" s="3" t="s">
        <v>44</v>
      </c>
      <c r="F5742" s="3"/>
      <c r="G5742" s="3"/>
      <c r="H5742" s="3"/>
      <c r="I5742" s="3"/>
    </row>
    <row r="5743" spans="1:9" s="5" customFormat="1" x14ac:dyDescent="0.35">
      <c r="A5743" s="3" t="s">
        <v>2060</v>
      </c>
      <c r="B5743" s="3" t="s">
        <v>2197</v>
      </c>
      <c r="C5743" s="3" t="s">
        <v>42</v>
      </c>
      <c r="D5743" s="3" t="s">
        <v>2200</v>
      </c>
      <c r="E5743" s="3" t="s">
        <v>87</v>
      </c>
      <c r="F5743" s="3" t="s">
        <v>13</v>
      </c>
      <c r="G5743" s="3" t="s">
        <v>2201</v>
      </c>
      <c r="H5743" s="3"/>
      <c r="I5743" s="3"/>
    </row>
    <row r="5744" spans="1:9" s="5" customFormat="1" x14ac:dyDescent="0.35">
      <c r="A5744" s="3" t="s">
        <v>2060</v>
      </c>
      <c r="B5744" s="3" t="s">
        <v>2197</v>
      </c>
      <c r="C5744" s="3" t="s">
        <v>42</v>
      </c>
      <c r="D5744" s="3" t="s">
        <v>2200</v>
      </c>
      <c r="E5744" s="3" t="s">
        <v>15</v>
      </c>
      <c r="F5744" s="3" t="s">
        <v>13</v>
      </c>
      <c r="G5744" s="3" t="s">
        <v>2202</v>
      </c>
      <c r="H5744" s="3"/>
      <c r="I5744" s="3"/>
    </row>
    <row r="5745" spans="1:9" s="5" customFormat="1" x14ac:dyDescent="0.35">
      <c r="A5745" s="3" t="s">
        <v>2060</v>
      </c>
      <c r="B5745" s="3" t="s">
        <v>2197</v>
      </c>
      <c r="C5745" s="3" t="s">
        <v>42</v>
      </c>
      <c r="D5745" s="3" t="s">
        <v>2200</v>
      </c>
      <c r="E5745" s="3" t="s">
        <v>32</v>
      </c>
      <c r="F5745" s="3"/>
      <c r="G5745" s="3"/>
      <c r="H5745" s="3"/>
      <c r="I5745" s="3"/>
    </row>
    <row r="5746" spans="1:9" s="5" customFormat="1" x14ac:dyDescent="0.35">
      <c r="A5746" s="3" t="s">
        <v>2060</v>
      </c>
      <c r="B5746" s="3" t="s">
        <v>2197</v>
      </c>
      <c r="C5746" s="3" t="s">
        <v>42</v>
      </c>
      <c r="D5746" s="3" t="s">
        <v>2200</v>
      </c>
      <c r="E5746" s="3" t="s">
        <v>107</v>
      </c>
      <c r="F5746" s="3" t="s">
        <v>13</v>
      </c>
      <c r="G5746" s="3" t="s">
        <v>2203</v>
      </c>
      <c r="H5746" s="3"/>
      <c r="I5746" s="3"/>
    </row>
    <row r="5747" spans="1:9" s="5" customFormat="1" x14ac:dyDescent="0.35">
      <c r="A5747" s="3" t="s">
        <v>2060</v>
      </c>
      <c r="B5747" s="3" t="s">
        <v>2197</v>
      </c>
      <c r="C5747" s="3" t="s">
        <v>20</v>
      </c>
      <c r="D5747" s="3" t="s">
        <v>2204</v>
      </c>
      <c r="E5747" s="3" t="s">
        <v>12</v>
      </c>
      <c r="F5747" s="3"/>
      <c r="G5747" s="3"/>
      <c r="H5747" s="3"/>
      <c r="I5747" s="3"/>
    </row>
    <row r="5748" spans="1:9" s="5" customFormat="1" x14ac:dyDescent="0.35">
      <c r="A5748" s="3" t="s">
        <v>2060</v>
      </c>
      <c r="B5748" s="3" t="s">
        <v>2197</v>
      </c>
      <c r="C5748" s="3" t="s">
        <v>20</v>
      </c>
      <c r="D5748" s="3" t="s">
        <v>2204</v>
      </c>
      <c r="E5748" s="3" t="s">
        <v>27</v>
      </c>
      <c r="F5748" s="3"/>
      <c r="G5748" s="3"/>
      <c r="H5748" s="3"/>
      <c r="I5748" s="3"/>
    </row>
    <row r="5749" spans="1:9" s="5" customFormat="1" x14ac:dyDescent="0.35">
      <c r="A5749" s="3" t="s">
        <v>2060</v>
      </c>
      <c r="B5749" s="3" t="s">
        <v>2197</v>
      </c>
      <c r="C5749" s="3" t="s">
        <v>20</v>
      </c>
      <c r="D5749" s="3" t="s">
        <v>2204</v>
      </c>
      <c r="E5749" s="3" t="s">
        <v>15</v>
      </c>
      <c r="F5749" s="3"/>
      <c r="G5749" s="3"/>
      <c r="H5749" s="3"/>
      <c r="I5749" s="3"/>
    </row>
    <row r="5750" spans="1:9" s="5" customFormat="1" x14ac:dyDescent="0.35">
      <c r="A5750" s="3" t="s">
        <v>2060</v>
      </c>
      <c r="B5750" s="3" t="s">
        <v>2197</v>
      </c>
      <c r="C5750" s="3" t="s">
        <v>20</v>
      </c>
      <c r="D5750" s="3" t="s">
        <v>2204</v>
      </c>
      <c r="E5750" s="3" t="s">
        <v>32</v>
      </c>
      <c r="F5750" s="3"/>
      <c r="G5750" s="3"/>
      <c r="H5750" s="3"/>
      <c r="I5750" s="3"/>
    </row>
    <row r="5751" spans="1:9" s="5" customFormat="1" x14ac:dyDescent="0.35">
      <c r="A5751" s="3" t="s">
        <v>2205</v>
      </c>
      <c r="B5751" s="3" t="s">
        <v>2205</v>
      </c>
      <c r="C5751" s="3" t="s">
        <v>129</v>
      </c>
      <c r="D5751" s="3" t="s">
        <v>2878</v>
      </c>
      <c r="E5751" s="3" t="s">
        <v>15</v>
      </c>
      <c r="F5751" s="3" t="s">
        <v>16</v>
      </c>
      <c r="G5751" s="3" t="s">
        <v>2879</v>
      </c>
      <c r="H5751" s="3"/>
      <c r="I5751" s="3"/>
    </row>
    <row r="5752" spans="1:9" s="5" customFormat="1" x14ac:dyDescent="0.35">
      <c r="A5752" s="3" t="s">
        <v>2205</v>
      </c>
      <c r="B5752" s="3" t="s">
        <v>2205</v>
      </c>
      <c r="C5752" s="3" t="s">
        <v>129</v>
      </c>
      <c r="D5752" s="3" t="s">
        <v>2878</v>
      </c>
      <c r="E5752" s="3" t="s">
        <v>57</v>
      </c>
      <c r="F5752" s="3"/>
      <c r="G5752" s="3"/>
      <c r="H5752" s="3"/>
      <c r="I5752" s="3"/>
    </row>
    <row r="5753" spans="1:9" s="5" customFormat="1" x14ac:dyDescent="0.35">
      <c r="A5753" s="3" t="s">
        <v>2205</v>
      </c>
      <c r="B5753" s="3" t="s">
        <v>2205</v>
      </c>
      <c r="C5753" s="3" t="s">
        <v>129</v>
      </c>
      <c r="D5753" s="3" t="s">
        <v>2878</v>
      </c>
      <c r="E5753" s="3" t="s">
        <v>134</v>
      </c>
      <c r="F5753" s="3"/>
      <c r="G5753" s="3"/>
      <c r="H5753" s="3"/>
      <c r="I5753" s="3"/>
    </row>
    <row r="5754" spans="1:9" s="5" customFormat="1" x14ac:dyDescent="0.35">
      <c r="A5754" s="3" t="s">
        <v>2205</v>
      </c>
      <c r="B5754" s="3" t="s">
        <v>2947</v>
      </c>
      <c r="C5754" s="3" t="s">
        <v>129</v>
      </c>
      <c r="D5754" s="3" t="s">
        <v>2206</v>
      </c>
      <c r="E5754" s="3" t="s">
        <v>15</v>
      </c>
      <c r="F5754" s="3" t="s">
        <v>16</v>
      </c>
      <c r="G5754" s="3" t="s">
        <v>2207</v>
      </c>
      <c r="H5754" s="3"/>
      <c r="I5754" s="3"/>
    </row>
    <row r="5755" spans="1:9" s="5" customFormat="1" x14ac:dyDescent="0.35">
      <c r="A5755" s="3" t="s">
        <v>2205</v>
      </c>
      <c r="B5755" s="3" t="s">
        <v>2947</v>
      </c>
      <c r="C5755" s="3" t="s">
        <v>129</v>
      </c>
      <c r="D5755" s="3" t="s">
        <v>2206</v>
      </c>
      <c r="E5755" s="3" t="s">
        <v>56</v>
      </c>
      <c r="F5755" s="3" t="s">
        <v>16</v>
      </c>
      <c r="G5755" s="3" t="s">
        <v>2207</v>
      </c>
      <c r="H5755" s="3"/>
      <c r="I5755" s="3"/>
    </row>
    <row r="5756" spans="1:9" s="5" customFormat="1" x14ac:dyDescent="0.35">
      <c r="A5756" s="3" t="s">
        <v>2205</v>
      </c>
      <c r="B5756" s="3" t="s">
        <v>2947</v>
      </c>
      <c r="C5756" s="3" t="s">
        <v>129</v>
      </c>
      <c r="D5756" s="3" t="s">
        <v>2206</v>
      </c>
      <c r="E5756" s="3" t="s">
        <v>32</v>
      </c>
      <c r="F5756" s="3" t="s">
        <v>16</v>
      </c>
      <c r="G5756" s="3" t="s">
        <v>2207</v>
      </c>
      <c r="H5756" s="3"/>
      <c r="I5756" s="3"/>
    </row>
    <row r="5757" spans="1:9" s="5" customFormat="1" x14ac:dyDescent="0.35">
      <c r="A5757" s="3" t="s">
        <v>2205</v>
      </c>
      <c r="B5757" s="3" t="s">
        <v>2955</v>
      </c>
      <c r="C5757" s="3" t="s">
        <v>10</v>
      </c>
      <c r="D5757" s="3" t="s">
        <v>2956</v>
      </c>
      <c r="E5757" s="3" t="s">
        <v>12</v>
      </c>
      <c r="F5757" s="3"/>
      <c r="G5757" s="3"/>
      <c r="H5757" s="3"/>
      <c r="I5757" s="3"/>
    </row>
    <row r="5758" spans="1:9" s="5" customFormat="1" x14ac:dyDescent="0.35">
      <c r="A5758" s="3" t="s">
        <v>2205</v>
      </c>
      <c r="B5758" s="3" t="s">
        <v>2955</v>
      </c>
      <c r="C5758" s="3" t="s">
        <v>10</v>
      </c>
      <c r="D5758" s="3" t="s">
        <v>2956</v>
      </c>
      <c r="E5758" s="3" t="s">
        <v>47</v>
      </c>
      <c r="F5758" s="3"/>
      <c r="G5758" s="3"/>
      <c r="H5758" s="3"/>
      <c r="I5758" s="3"/>
    </row>
    <row r="5759" spans="1:9" s="5" customFormat="1" x14ac:dyDescent="0.35">
      <c r="A5759" s="3" t="s">
        <v>2205</v>
      </c>
      <c r="B5759" s="3" t="s">
        <v>2955</v>
      </c>
      <c r="C5759" s="3" t="s">
        <v>10</v>
      </c>
      <c r="D5759" s="3" t="s">
        <v>2956</v>
      </c>
      <c r="E5759" s="3" t="s">
        <v>15</v>
      </c>
      <c r="F5759" s="3" t="s">
        <v>16</v>
      </c>
      <c r="G5759" s="3" t="s">
        <v>2957</v>
      </c>
      <c r="H5759" s="3"/>
      <c r="I5759" s="3"/>
    </row>
    <row r="5760" spans="1:9" s="5" customFormat="1" x14ac:dyDescent="0.35">
      <c r="A5760" s="3" t="s">
        <v>2205</v>
      </c>
      <c r="B5760" s="3" t="s">
        <v>2205</v>
      </c>
      <c r="C5760" s="3" t="s">
        <v>129</v>
      </c>
      <c r="D5760" s="3" t="s">
        <v>2208</v>
      </c>
      <c r="E5760" s="3" t="s">
        <v>12</v>
      </c>
      <c r="F5760" s="3"/>
      <c r="G5760" s="3"/>
      <c r="H5760" s="3"/>
      <c r="I5760" s="3"/>
    </row>
    <row r="5761" spans="1:9" s="5" customFormat="1" x14ac:dyDescent="0.35">
      <c r="A5761" s="3" t="s">
        <v>2205</v>
      </c>
      <c r="B5761" s="3" t="s">
        <v>2205</v>
      </c>
      <c r="C5761" s="3" t="s">
        <v>129</v>
      </c>
      <c r="D5761" s="3" t="s">
        <v>2208</v>
      </c>
      <c r="E5761" s="3" t="s">
        <v>15</v>
      </c>
      <c r="F5761" s="3" t="s">
        <v>16</v>
      </c>
      <c r="G5761" s="3" t="s">
        <v>2209</v>
      </c>
      <c r="H5761" s="3"/>
      <c r="I5761" s="3"/>
    </row>
    <row r="5762" spans="1:9" s="5" customFormat="1" x14ac:dyDescent="0.35">
      <c r="A5762" s="3" t="s">
        <v>2205</v>
      </c>
      <c r="B5762" s="3" t="s">
        <v>2205</v>
      </c>
      <c r="C5762" s="3" t="s">
        <v>129</v>
      </c>
      <c r="D5762" s="3" t="s">
        <v>2208</v>
      </c>
      <c r="E5762" s="3" t="s">
        <v>57</v>
      </c>
      <c r="F5762" s="3"/>
      <c r="G5762" s="3" t="s">
        <v>2308</v>
      </c>
      <c r="H5762" s="3"/>
      <c r="I5762" s="3"/>
    </row>
    <row r="5763" spans="1:9" s="5" customFormat="1" x14ac:dyDescent="0.35">
      <c r="A5763" s="3" t="s">
        <v>2205</v>
      </c>
      <c r="B5763" s="3" t="s">
        <v>2205</v>
      </c>
      <c r="C5763" s="3" t="s">
        <v>129</v>
      </c>
      <c r="D5763" s="3" t="s">
        <v>2208</v>
      </c>
      <c r="E5763" s="3" t="s">
        <v>134</v>
      </c>
      <c r="F5763" s="3"/>
      <c r="G5763" s="3" t="s">
        <v>2306</v>
      </c>
      <c r="H5763" s="3"/>
      <c r="I5763" s="3"/>
    </row>
    <row r="5764" spans="1:9" s="5" customFormat="1" x14ac:dyDescent="0.35">
      <c r="A5764" s="3" t="s">
        <v>2205</v>
      </c>
      <c r="B5764" s="3" t="s">
        <v>2205</v>
      </c>
      <c r="C5764" s="3" t="s">
        <v>129</v>
      </c>
      <c r="D5764" s="3" t="s">
        <v>2208</v>
      </c>
      <c r="E5764" s="3" t="s">
        <v>107</v>
      </c>
      <c r="F5764" s="3" t="s">
        <v>16</v>
      </c>
      <c r="G5764" s="3" t="s">
        <v>2307</v>
      </c>
      <c r="H5764" s="3"/>
      <c r="I5764" s="3"/>
    </row>
    <row r="5765" spans="1:9" s="5" customFormat="1" x14ac:dyDescent="0.35">
      <c r="A5765" s="3" t="s">
        <v>2205</v>
      </c>
      <c r="B5765" s="3" t="s">
        <v>2205</v>
      </c>
      <c r="C5765" s="3" t="s">
        <v>129</v>
      </c>
      <c r="D5765" s="3" t="s">
        <v>2208</v>
      </c>
      <c r="E5765" s="3" t="s">
        <v>82</v>
      </c>
      <c r="F5765" s="3"/>
      <c r="G5765" s="3"/>
      <c r="H5765" s="3"/>
      <c r="I5765" s="3"/>
    </row>
    <row r="5766" spans="1:9" s="5" customFormat="1" x14ac:dyDescent="0.35">
      <c r="A5766" s="3" t="s">
        <v>2205</v>
      </c>
      <c r="B5766" s="3" t="s">
        <v>2948</v>
      </c>
      <c r="C5766" s="3" t="s">
        <v>42</v>
      </c>
      <c r="D5766" s="3" t="s">
        <v>2550</v>
      </c>
      <c r="E5766" s="3" t="s">
        <v>23</v>
      </c>
      <c r="F5766" s="3" t="s">
        <v>16</v>
      </c>
      <c r="G5766" s="3" t="s">
        <v>2551</v>
      </c>
      <c r="H5766" s="3" t="s">
        <v>16</v>
      </c>
      <c r="I5766" s="3" t="s">
        <v>409</v>
      </c>
    </row>
    <row r="5767" spans="1:9" s="5" customFormat="1" x14ac:dyDescent="0.35">
      <c r="A5767" s="3" t="s">
        <v>2205</v>
      </c>
      <c r="B5767" s="3" t="s">
        <v>2948</v>
      </c>
      <c r="C5767" s="3" t="s">
        <v>42</v>
      </c>
      <c r="D5767" s="3" t="s">
        <v>2550</v>
      </c>
      <c r="E5767" s="3" t="s">
        <v>98</v>
      </c>
      <c r="F5767" s="3" t="s">
        <v>16</v>
      </c>
      <c r="G5767" s="3" t="s">
        <v>2552</v>
      </c>
      <c r="H5767" s="3" t="s">
        <v>16</v>
      </c>
      <c r="I5767" s="3" t="s">
        <v>409</v>
      </c>
    </row>
    <row r="5768" spans="1:9" s="5" customFormat="1" x14ac:dyDescent="0.35">
      <c r="A5768" s="3" t="s">
        <v>2205</v>
      </c>
      <c r="B5768" s="3" t="s">
        <v>2948</v>
      </c>
      <c r="C5768" s="3" t="s">
        <v>42</v>
      </c>
      <c r="D5768" s="3" t="s">
        <v>2550</v>
      </c>
      <c r="E5768" s="3" t="s">
        <v>24</v>
      </c>
      <c r="F5768" s="3" t="s">
        <v>16</v>
      </c>
      <c r="G5768" s="3" t="s">
        <v>2553</v>
      </c>
      <c r="H5768" s="3" t="s">
        <v>16</v>
      </c>
      <c r="I5768" s="3" t="s">
        <v>409</v>
      </c>
    </row>
    <row r="5769" spans="1:9" s="5" customFormat="1" x14ac:dyDescent="0.35">
      <c r="A5769" s="3" t="s">
        <v>2205</v>
      </c>
      <c r="B5769" s="3" t="s">
        <v>2205</v>
      </c>
      <c r="C5769" s="3" t="s">
        <v>129</v>
      </c>
      <c r="D5769" s="3" t="s">
        <v>2210</v>
      </c>
      <c r="E5769" s="3" t="s">
        <v>47</v>
      </c>
      <c r="F5769" s="3"/>
      <c r="G5769" s="3"/>
      <c r="H5769" s="3"/>
      <c r="I5769" s="3"/>
    </row>
    <row r="5770" spans="1:9" s="5" customFormat="1" x14ac:dyDescent="0.35">
      <c r="A5770" s="3" t="s">
        <v>2205</v>
      </c>
      <c r="B5770" s="3" t="s">
        <v>2205</v>
      </c>
      <c r="C5770" s="3" t="s">
        <v>129</v>
      </c>
      <c r="D5770" s="3" t="s">
        <v>2210</v>
      </c>
      <c r="E5770" s="3" t="s">
        <v>25</v>
      </c>
      <c r="F5770" s="3"/>
      <c r="G5770" s="3"/>
      <c r="H5770" s="3"/>
      <c r="I5770" s="3"/>
    </row>
    <row r="5771" spans="1:9" s="5" customFormat="1" x14ac:dyDescent="0.35">
      <c r="A5771" s="3" t="s">
        <v>2205</v>
      </c>
      <c r="B5771" s="3" t="s">
        <v>2205</v>
      </c>
      <c r="C5771" s="3" t="s">
        <v>129</v>
      </c>
      <c r="D5771" s="3" t="s">
        <v>2210</v>
      </c>
      <c r="E5771" s="3" t="s">
        <v>71</v>
      </c>
      <c r="F5771" s="3"/>
      <c r="G5771" s="3"/>
      <c r="H5771" s="3"/>
      <c r="I5771" s="3"/>
    </row>
    <row r="5772" spans="1:9" s="5" customFormat="1" x14ac:dyDescent="0.35">
      <c r="A5772" s="3" t="s">
        <v>2205</v>
      </c>
      <c r="B5772" s="3" t="s">
        <v>2205</v>
      </c>
      <c r="C5772" s="3" t="s">
        <v>129</v>
      </c>
      <c r="D5772" s="3" t="s">
        <v>2210</v>
      </c>
      <c r="E5772" s="3" t="s">
        <v>32</v>
      </c>
      <c r="F5772" s="3" t="s">
        <v>16</v>
      </c>
      <c r="G5772" s="3" t="s">
        <v>2013</v>
      </c>
      <c r="H5772" s="3"/>
      <c r="I5772" s="3"/>
    </row>
    <row r="5773" spans="1:9" s="5" customFormat="1" x14ac:dyDescent="0.35">
      <c r="A5773" s="3" t="s">
        <v>2205</v>
      </c>
      <c r="B5773" s="3" t="s">
        <v>2205</v>
      </c>
      <c r="C5773" s="3" t="s">
        <v>129</v>
      </c>
      <c r="D5773" s="3" t="s">
        <v>2210</v>
      </c>
      <c r="E5773" s="3" t="s">
        <v>134</v>
      </c>
      <c r="F5773" s="3" t="s">
        <v>16</v>
      </c>
      <c r="G5773" s="3" t="s">
        <v>2013</v>
      </c>
      <c r="H5773" s="3"/>
      <c r="I5773" s="3"/>
    </row>
    <row r="5774" spans="1:9" s="5" customFormat="1" x14ac:dyDescent="0.35">
      <c r="A5774" s="3" t="s">
        <v>2205</v>
      </c>
      <c r="B5774" s="3" t="s">
        <v>2205</v>
      </c>
      <c r="C5774" s="3" t="s">
        <v>129</v>
      </c>
      <c r="D5774" s="3" t="s">
        <v>2210</v>
      </c>
      <c r="E5774" s="3" t="s">
        <v>107</v>
      </c>
      <c r="F5774" s="3" t="s">
        <v>16</v>
      </c>
      <c r="G5774" s="3" t="s">
        <v>2013</v>
      </c>
      <c r="H5774" s="3"/>
      <c r="I5774" s="3"/>
    </row>
    <row r="5775" spans="1:9" s="5" customFormat="1" x14ac:dyDescent="0.35">
      <c r="A5775" s="3" t="s">
        <v>2205</v>
      </c>
      <c r="B5775" s="3" t="s">
        <v>2205</v>
      </c>
      <c r="C5775" s="3" t="s">
        <v>129</v>
      </c>
      <c r="D5775" s="3" t="s">
        <v>2210</v>
      </c>
      <c r="E5775" s="3" t="s">
        <v>82</v>
      </c>
      <c r="F5775" s="3"/>
      <c r="G5775" s="3"/>
      <c r="H5775" s="3"/>
      <c r="I5775" s="3"/>
    </row>
    <row r="5776" spans="1:9" s="5" customFormat="1" x14ac:dyDescent="0.35">
      <c r="A5776" s="3" t="s">
        <v>2205</v>
      </c>
      <c r="B5776" s="3" t="s">
        <v>2205</v>
      </c>
      <c r="C5776" s="3" t="s">
        <v>10</v>
      </c>
      <c r="D5776" s="3" t="s">
        <v>3013</v>
      </c>
      <c r="E5776" s="3" t="s">
        <v>47</v>
      </c>
      <c r="F5776" s="3"/>
      <c r="G5776" s="3"/>
      <c r="H5776" s="3"/>
      <c r="I5776" s="3"/>
    </row>
    <row r="5777" spans="1:9" s="5" customFormat="1" x14ac:dyDescent="0.35">
      <c r="A5777" s="3" t="s">
        <v>2205</v>
      </c>
      <c r="B5777" s="3" t="s">
        <v>2945</v>
      </c>
      <c r="C5777" s="3" t="s">
        <v>129</v>
      </c>
      <c r="D5777" s="3" t="s">
        <v>2943</v>
      </c>
      <c r="E5777" s="3" t="s">
        <v>60</v>
      </c>
      <c r="F5777" s="3" t="s">
        <v>16</v>
      </c>
      <c r="G5777" s="3" t="s">
        <v>2944</v>
      </c>
      <c r="H5777" s="3" t="s">
        <v>16</v>
      </c>
      <c r="I5777" s="3" t="s">
        <v>409</v>
      </c>
    </row>
    <row r="5778" spans="1:9" s="5" customFormat="1" x14ac:dyDescent="0.35">
      <c r="A5778" s="3" t="s">
        <v>2205</v>
      </c>
      <c r="B5778" s="3" t="s">
        <v>2945</v>
      </c>
      <c r="C5778" s="3" t="s">
        <v>129</v>
      </c>
      <c r="D5778" s="3" t="s">
        <v>2943</v>
      </c>
      <c r="E5778" s="3" t="s">
        <v>24</v>
      </c>
      <c r="F5778" s="3"/>
      <c r="G5778" s="3"/>
      <c r="H5778" s="3" t="s">
        <v>16</v>
      </c>
      <c r="I5778" s="3" t="s">
        <v>409</v>
      </c>
    </row>
    <row r="5779" spans="1:9" s="5" customFormat="1" x14ac:dyDescent="0.35">
      <c r="A5779" s="3" t="s">
        <v>2205</v>
      </c>
      <c r="B5779" s="3" t="s">
        <v>2949</v>
      </c>
      <c r="C5779" s="3" t="s">
        <v>20</v>
      </c>
      <c r="D5779" s="3" t="s">
        <v>2554</v>
      </c>
      <c r="E5779" s="3" t="s">
        <v>23</v>
      </c>
      <c r="F5779" s="3" t="s">
        <v>16</v>
      </c>
      <c r="G5779" s="3" t="s">
        <v>2555</v>
      </c>
      <c r="H5779" s="3" t="s">
        <v>16</v>
      </c>
      <c r="I5779" s="3" t="s">
        <v>409</v>
      </c>
    </row>
    <row r="5780" spans="1:9" s="5" customFormat="1" x14ac:dyDescent="0.35">
      <c r="A5780" s="3" t="s">
        <v>2205</v>
      </c>
      <c r="B5780" s="3" t="s">
        <v>2949</v>
      </c>
      <c r="C5780" s="3" t="s">
        <v>20</v>
      </c>
      <c r="D5780" s="3" t="s">
        <v>2554</v>
      </c>
      <c r="E5780" s="3" t="s">
        <v>98</v>
      </c>
      <c r="F5780" s="3" t="s">
        <v>16</v>
      </c>
      <c r="G5780" s="3" t="s">
        <v>2556</v>
      </c>
      <c r="H5780" s="3" t="s">
        <v>16</v>
      </c>
      <c r="I5780" s="3" t="s">
        <v>409</v>
      </c>
    </row>
    <row r="5781" spans="1:9" s="5" customFormat="1" x14ac:dyDescent="0.35">
      <c r="A5781" s="3" t="s">
        <v>2205</v>
      </c>
      <c r="B5781" s="3" t="s">
        <v>2205</v>
      </c>
      <c r="C5781" s="3" t="s">
        <v>129</v>
      </c>
      <c r="D5781" s="3" t="s">
        <v>2679</v>
      </c>
      <c r="E5781" s="3" t="s">
        <v>87</v>
      </c>
      <c r="F5781" s="3"/>
      <c r="G5781" s="3" t="s">
        <v>2680</v>
      </c>
      <c r="H5781" s="3"/>
      <c r="I5781" s="3"/>
    </row>
    <row r="5782" spans="1:9" s="5" customFormat="1" x14ac:dyDescent="0.35">
      <c r="A5782" s="3" t="s">
        <v>2205</v>
      </c>
      <c r="B5782" s="3" t="s">
        <v>2205</v>
      </c>
      <c r="C5782" s="3" t="s">
        <v>129</v>
      </c>
      <c r="D5782" s="3" t="s">
        <v>2679</v>
      </c>
      <c r="E5782" s="3" t="s">
        <v>15</v>
      </c>
      <c r="F5782" s="3"/>
      <c r="G5782" s="3" t="s">
        <v>2681</v>
      </c>
      <c r="H5782" s="3"/>
      <c r="I5782" s="3"/>
    </row>
    <row r="5783" spans="1:9" s="5" customFormat="1" x14ac:dyDescent="0.35">
      <c r="A5783" s="3" t="s">
        <v>2205</v>
      </c>
      <c r="B5783" s="3" t="s">
        <v>2205</v>
      </c>
      <c r="C5783" s="3" t="s">
        <v>129</v>
      </c>
      <c r="D5783" s="3" t="s">
        <v>2679</v>
      </c>
      <c r="E5783" s="3" t="s">
        <v>24</v>
      </c>
      <c r="F5783" s="3"/>
      <c r="G5783" s="3" t="s">
        <v>2682</v>
      </c>
      <c r="H5783" s="3"/>
      <c r="I5783" s="3"/>
    </row>
    <row r="5784" spans="1:9" s="5" customFormat="1" x14ac:dyDescent="0.35">
      <c r="A5784" s="3" t="s">
        <v>2205</v>
      </c>
      <c r="B5784" s="3" t="s">
        <v>2950</v>
      </c>
      <c r="C5784" s="3" t="s">
        <v>42</v>
      </c>
      <c r="D5784" s="3" t="s">
        <v>2211</v>
      </c>
      <c r="E5784" s="3" t="s">
        <v>87</v>
      </c>
      <c r="F5784" s="3"/>
      <c r="G5784" s="3"/>
      <c r="H5784" s="3"/>
    </row>
    <row r="5785" spans="1:9" s="5" customFormat="1" x14ac:dyDescent="0.35">
      <c r="A5785" s="3" t="s">
        <v>2205</v>
      </c>
      <c r="B5785" s="3" t="s">
        <v>2950</v>
      </c>
      <c r="C5785" s="3" t="s">
        <v>42</v>
      </c>
      <c r="D5785" s="3" t="s">
        <v>2211</v>
      </c>
      <c r="E5785" s="3" t="s">
        <v>24</v>
      </c>
      <c r="F5785" s="3"/>
      <c r="G5785" s="3"/>
      <c r="H5785" s="3"/>
    </row>
    <row r="5786" spans="1:9" s="5" customFormat="1" x14ac:dyDescent="0.35">
      <c r="A5786" s="3" t="s">
        <v>2205</v>
      </c>
      <c r="B5786" s="3" t="s">
        <v>2950</v>
      </c>
      <c r="C5786" s="3" t="s">
        <v>20</v>
      </c>
      <c r="D5786" s="3" t="s">
        <v>2212</v>
      </c>
      <c r="E5786" s="3" t="s">
        <v>27</v>
      </c>
      <c r="F5786" s="3"/>
      <c r="G5786" s="3"/>
      <c r="H5786" s="3"/>
    </row>
    <row r="5787" spans="1:9" s="5" customFormat="1" x14ac:dyDescent="0.35">
      <c r="A5787" s="3" t="s">
        <v>2205</v>
      </c>
      <c r="B5787" s="3" t="s">
        <v>2950</v>
      </c>
      <c r="C5787" s="3" t="s">
        <v>20</v>
      </c>
      <c r="D5787" s="3" t="s">
        <v>2212</v>
      </c>
      <c r="E5787" s="3" t="s">
        <v>28</v>
      </c>
      <c r="F5787" s="3"/>
      <c r="G5787" s="3" t="s">
        <v>2370</v>
      </c>
      <c r="H5787" s="3"/>
    </row>
    <row r="5788" spans="1:9" s="5" customFormat="1" x14ac:dyDescent="0.35">
      <c r="A5788" s="3" t="s">
        <v>2205</v>
      </c>
      <c r="B5788" s="3" t="s">
        <v>2950</v>
      </c>
      <c r="C5788" s="3" t="s">
        <v>20</v>
      </c>
      <c r="D5788" s="3" t="s">
        <v>2212</v>
      </c>
      <c r="E5788" s="3" t="s">
        <v>15</v>
      </c>
      <c r="F5788" s="3"/>
      <c r="G5788" s="3"/>
      <c r="H5788" s="3"/>
    </row>
    <row r="5789" spans="1:9" s="5" customFormat="1" x14ac:dyDescent="0.35">
      <c r="A5789" s="3" t="s">
        <v>2205</v>
      </c>
      <c r="B5789" s="3" t="s">
        <v>2950</v>
      </c>
      <c r="C5789" s="3" t="s">
        <v>20</v>
      </c>
      <c r="D5789" s="3" t="s">
        <v>2212</v>
      </c>
      <c r="E5789" s="3" t="s">
        <v>89</v>
      </c>
      <c r="F5789" s="3"/>
      <c r="G5789" s="3"/>
      <c r="H5789" s="3"/>
    </row>
    <row r="5790" spans="1:9" s="5" customFormat="1" x14ac:dyDescent="0.35">
      <c r="A5790" s="3" t="s">
        <v>2205</v>
      </c>
      <c r="B5790" s="3" t="s">
        <v>2950</v>
      </c>
      <c r="C5790" s="3" t="s">
        <v>20</v>
      </c>
      <c r="D5790" s="3" t="s">
        <v>2212</v>
      </c>
      <c r="E5790" s="3" t="s">
        <v>26</v>
      </c>
      <c r="F5790" s="3"/>
      <c r="G5790" s="3"/>
      <c r="H5790" s="3"/>
    </row>
    <row r="5791" spans="1:9" s="5" customFormat="1" x14ac:dyDescent="0.35">
      <c r="A5791" s="3" t="s">
        <v>2205</v>
      </c>
      <c r="B5791" s="3" t="s">
        <v>2950</v>
      </c>
      <c r="C5791" s="3" t="s">
        <v>20</v>
      </c>
      <c r="D5791" s="3" t="s">
        <v>2212</v>
      </c>
      <c r="E5791" s="3" t="s">
        <v>911</v>
      </c>
      <c r="F5791" s="3"/>
      <c r="G5791" s="3"/>
      <c r="H5791" s="3"/>
    </row>
    <row r="5792" spans="1:9" s="5" customFormat="1" x14ac:dyDescent="0.35">
      <c r="A5792" s="3" t="s">
        <v>2205</v>
      </c>
      <c r="B5792" s="3" t="s">
        <v>2950</v>
      </c>
      <c r="C5792" s="3" t="s">
        <v>20</v>
      </c>
      <c r="D5792" s="3" t="s">
        <v>2212</v>
      </c>
      <c r="E5792" s="3" t="s">
        <v>152</v>
      </c>
      <c r="F5792" s="3"/>
      <c r="G5792" s="3"/>
      <c r="H5792" s="3"/>
    </row>
    <row r="5793" spans="1:9" s="5" customFormat="1" x14ac:dyDescent="0.35">
      <c r="A5793" s="3" t="s">
        <v>2205</v>
      </c>
      <c r="B5793" s="3" t="s">
        <v>2950</v>
      </c>
      <c r="C5793" s="3" t="s">
        <v>20</v>
      </c>
      <c r="D5793" s="3" t="s">
        <v>2212</v>
      </c>
      <c r="E5793" s="3" t="s">
        <v>24</v>
      </c>
      <c r="F5793" s="3"/>
      <c r="G5793" s="3"/>
      <c r="H5793" s="3"/>
    </row>
    <row r="5794" spans="1:9" s="5" customFormat="1" x14ac:dyDescent="0.35">
      <c r="A5794" s="3" t="s">
        <v>2205</v>
      </c>
      <c r="B5794" s="3" t="s">
        <v>2205</v>
      </c>
      <c r="C5794" s="3" t="s">
        <v>10</v>
      </c>
      <c r="D5794" s="3" t="s">
        <v>2213</v>
      </c>
      <c r="E5794" s="3" t="s">
        <v>32</v>
      </c>
      <c r="F5794" s="3"/>
      <c r="G5794" s="3"/>
      <c r="H5794" s="3"/>
    </row>
    <row r="5795" spans="1:9" s="5" customFormat="1" x14ac:dyDescent="0.35">
      <c r="A5795" s="3" t="s">
        <v>2205</v>
      </c>
      <c r="B5795" s="3" t="s">
        <v>2205</v>
      </c>
      <c r="C5795" s="3" t="s">
        <v>10</v>
      </c>
      <c r="D5795" s="3" t="s">
        <v>2213</v>
      </c>
      <c r="E5795" s="3" t="s">
        <v>911</v>
      </c>
      <c r="F5795" s="3" t="s">
        <v>16</v>
      </c>
      <c r="G5795" s="3" t="s">
        <v>2214</v>
      </c>
      <c r="H5795" s="3"/>
    </row>
    <row r="5796" spans="1:9" s="5" customFormat="1" x14ac:dyDescent="0.35">
      <c r="A5796" s="3" t="s">
        <v>2205</v>
      </c>
      <c r="B5796" s="3" t="s">
        <v>3000</v>
      </c>
      <c r="C5796" s="3" t="s">
        <v>10</v>
      </c>
      <c r="D5796" s="3" t="s">
        <v>3001</v>
      </c>
      <c r="E5796" s="3" t="s">
        <v>47</v>
      </c>
      <c r="F5796" s="3"/>
      <c r="G5796" s="3"/>
      <c r="H5796" s="3"/>
    </row>
    <row r="5797" spans="1:9" s="5" customFormat="1" x14ac:dyDescent="0.35">
      <c r="A5797" s="3" t="s">
        <v>2205</v>
      </c>
      <c r="B5797" s="3" t="s">
        <v>3000</v>
      </c>
      <c r="C5797" s="3" t="s">
        <v>10</v>
      </c>
      <c r="D5797" s="3" t="s">
        <v>3001</v>
      </c>
      <c r="E5797" s="3" t="s">
        <v>15</v>
      </c>
      <c r="F5797" s="3" t="s">
        <v>16</v>
      </c>
      <c r="G5797" s="3" t="s">
        <v>3002</v>
      </c>
      <c r="H5797" s="3"/>
    </row>
    <row r="5798" spans="1:9" s="5" customFormat="1" x14ac:dyDescent="0.35">
      <c r="A5798" s="3" t="s">
        <v>2205</v>
      </c>
      <c r="B5798" s="3" t="s">
        <v>2205</v>
      </c>
      <c r="C5798" s="3" t="s">
        <v>129</v>
      </c>
      <c r="D5798" s="3" t="s">
        <v>2215</v>
      </c>
      <c r="E5798" s="3" t="s">
        <v>25</v>
      </c>
      <c r="F5798" s="3"/>
      <c r="G5798" s="3"/>
      <c r="H5798" s="3"/>
      <c r="I5798" s="3"/>
    </row>
    <row r="5799" spans="1:9" s="5" customFormat="1" x14ac:dyDescent="0.35">
      <c r="A5799" s="3" t="s">
        <v>2205</v>
      </c>
      <c r="B5799" s="3" t="s">
        <v>2205</v>
      </c>
      <c r="C5799" s="3" t="s">
        <v>129</v>
      </c>
      <c r="D5799" s="3" t="s">
        <v>2215</v>
      </c>
      <c r="E5799" s="3" t="s">
        <v>28</v>
      </c>
      <c r="F5799" s="3"/>
      <c r="G5799" s="3"/>
      <c r="H5799" s="3"/>
      <c r="I5799" s="3"/>
    </row>
    <row r="5800" spans="1:9" s="5" customFormat="1" x14ac:dyDescent="0.35">
      <c r="A5800" s="3" t="s">
        <v>2205</v>
      </c>
      <c r="B5800" s="3" t="s">
        <v>2205</v>
      </c>
      <c r="C5800" s="3" t="s">
        <v>129</v>
      </c>
      <c r="D5800" s="3" t="s">
        <v>2215</v>
      </c>
      <c r="E5800" s="3" t="s">
        <v>15</v>
      </c>
      <c r="F5800" s="3"/>
      <c r="G5800" s="3"/>
      <c r="H5800" s="3"/>
      <c r="I5800" s="3"/>
    </row>
    <row r="5801" spans="1:9" s="5" customFormat="1" x14ac:dyDescent="0.35">
      <c r="A5801" s="3" t="s">
        <v>2205</v>
      </c>
      <c r="B5801" s="3" t="s">
        <v>2205</v>
      </c>
      <c r="C5801" s="3" t="s">
        <v>129</v>
      </c>
      <c r="D5801" s="3" t="s">
        <v>2215</v>
      </c>
      <c r="E5801" s="3" t="s">
        <v>911</v>
      </c>
      <c r="F5801" s="3"/>
      <c r="G5801" s="3"/>
      <c r="H5801" s="3"/>
      <c r="I5801" s="3"/>
    </row>
    <row r="5802" spans="1:9" s="5" customFormat="1" x14ac:dyDescent="0.35">
      <c r="A5802" s="3" t="s">
        <v>2205</v>
      </c>
      <c r="B5802" s="3" t="s">
        <v>2205</v>
      </c>
      <c r="C5802" s="3" t="s">
        <v>129</v>
      </c>
      <c r="D5802" s="3" t="s">
        <v>2215</v>
      </c>
      <c r="E5802" s="3" t="s">
        <v>134</v>
      </c>
      <c r="F5802" s="3"/>
      <c r="G5802" s="3"/>
      <c r="H5802" s="3"/>
      <c r="I5802" s="3"/>
    </row>
    <row r="5803" spans="1:9" s="5" customFormat="1" x14ac:dyDescent="0.35">
      <c r="A5803" s="3" t="s">
        <v>2205</v>
      </c>
      <c r="B5803" s="3" t="s">
        <v>2205</v>
      </c>
      <c r="C5803" s="3" t="s">
        <v>129</v>
      </c>
      <c r="D5803" s="3" t="s">
        <v>2215</v>
      </c>
      <c r="E5803" s="3" t="s">
        <v>107</v>
      </c>
      <c r="F5803" s="3"/>
      <c r="G5803" s="3"/>
      <c r="H5803" s="3"/>
      <c r="I5803" s="3"/>
    </row>
    <row r="5804" spans="1:9" s="5" customFormat="1" x14ac:dyDescent="0.35">
      <c r="A5804" s="3" t="s">
        <v>2205</v>
      </c>
      <c r="B5804" s="3" t="s">
        <v>2951</v>
      </c>
      <c r="C5804" s="3" t="s">
        <v>10</v>
      </c>
      <c r="D5804" s="3" t="s">
        <v>2216</v>
      </c>
      <c r="E5804" s="3" t="s">
        <v>47</v>
      </c>
      <c r="F5804" s="3"/>
      <c r="G5804" s="3"/>
      <c r="H5804" s="3"/>
      <c r="I5804" s="3"/>
    </row>
    <row r="5805" spans="1:9" s="5" customFormat="1" x14ac:dyDescent="0.35">
      <c r="A5805" s="3" t="s">
        <v>2205</v>
      </c>
      <c r="B5805" s="3" t="s">
        <v>2951</v>
      </c>
      <c r="C5805" s="3" t="s">
        <v>10</v>
      </c>
      <c r="D5805" s="3" t="s">
        <v>2216</v>
      </c>
      <c r="E5805" s="3" t="s">
        <v>32</v>
      </c>
      <c r="F5805" s="3"/>
      <c r="G5805" s="3"/>
      <c r="H5805" s="3"/>
      <c r="I5805" s="3"/>
    </row>
    <row r="5806" spans="1:9" s="5" customFormat="1" x14ac:dyDescent="0.35">
      <c r="A5806" s="3" t="s">
        <v>2205</v>
      </c>
      <c r="B5806" s="3" t="s">
        <v>2205</v>
      </c>
      <c r="C5806" s="3" t="s">
        <v>129</v>
      </c>
      <c r="D5806" s="3" t="s">
        <v>2217</v>
      </c>
      <c r="E5806" s="3" t="s">
        <v>12</v>
      </c>
      <c r="F5806" s="3"/>
      <c r="G5806" s="3"/>
      <c r="H5806" s="3"/>
      <c r="I5806" s="3"/>
    </row>
    <row r="5807" spans="1:9" s="5" customFormat="1" x14ac:dyDescent="0.35">
      <c r="A5807" s="3" t="s">
        <v>2205</v>
      </c>
      <c r="B5807" s="3" t="s">
        <v>2205</v>
      </c>
      <c r="C5807" s="3" t="s">
        <v>129</v>
      </c>
      <c r="D5807" s="3" t="s">
        <v>2217</v>
      </c>
      <c r="E5807" s="3" t="s">
        <v>25</v>
      </c>
      <c r="F5807" s="3"/>
      <c r="G5807" s="3"/>
      <c r="H5807" s="3"/>
      <c r="I5807" s="3"/>
    </row>
    <row r="5808" spans="1:9" s="5" customFormat="1" x14ac:dyDescent="0.35">
      <c r="A5808" s="3" t="s">
        <v>2205</v>
      </c>
      <c r="B5808" s="3" t="s">
        <v>2205</v>
      </c>
      <c r="C5808" s="3" t="s">
        <v>129</v>
      </c>
      <c r="D5808" s="3" t="s">
        <v>2217</v>
      </c>
      <c r="E5808" s="3" t="s">
        <v>142</v>
      </c>
      <c r="F5808" s="3"/>
      <c r="G5808" s="3"/>
      <c r="H5808" s="3"/>
      <c r="I5808" s="3"/>
    </row>
    <row r="5809" spans="1:9" s="5" customFormat="1" x14ac:dyDescent="0.35">
      <c r="A5809" s="3" t="s">
        <v>2205</v>
      </c>
      <c r="B5809" s="3" t="s">
        <v>2205</v>
      </c>
      <c r="C5809" s="3" t="s">
        <v>129</v>
      </c>
      <c r="D5809" s="3" t="s">
        <v>2217</v>
      </c>
      <c r="E5809" s="3" t="s">
        <v>28</v>
      </c>
      <c r="F5809" s="3"/>
      <c r="G5809" s="3" t="s">
        <v>2401</v>
      </c>
      <c r="H5809" s="3"/>
      <c r="I5809" s="3"/>
    </row>
    <row r="5810" spans="1:9" s="5" customFormat="1" x14ac:dyDescent="0.35">
      <c r="A5810" s="3" t="s">
        <v>2205</v>
      </c>
      <c r="B5810" s="3" t="s">
        <v>2205</v>
      </c>
      <c r="C5810" s="3" t="s">
        <v>129</v>
      </c>
      <c r="D5810" s="3" t="s">
        <v>2217</v>
      </c>
      <c r="E5810" s="3" t="s">
        <v>15</v>
      </c>
      <c r="F5810" s="3" t="s">
        <v>16</v>
      </c>
      <c r="G5810" s="3" t="s">
        <v>2218</v>
      </c>
      <c r="H5810" s="3"/>
      <c r="I5810" s="3"/>
    </row>
    <row r="5811" spans="1:9" s="5" customFormat="1" x14ac:dyDescent="0.35">
      <c r="A5811" s="3" t="s">
        <v>2205</v>
      </c>
      <c r="B5811" s="3" t="s">
        <v>2205</v>
      </c>
      <c r="C5811" s="3" t="s">
        <v>129</v>
      </c>
      <c r="D5811" s="3" t="s">
        <v>2217</v>
      </c>
      <c r="E5811" s="3" t="s">
        <v>32</v>
      </c>
      <c r="F5811" s="3"/>
      <c r="G5811" s="3" t="s">
        <v>2293</v>
      </c>
      <c r="H5811" s="3"/>
      <c r="I5811" s="3"/>
    </row>
    <row r="5812" spans="1:9" s="5" customFormat="1" x14ac:dyDescent="0.35">
      <c r="A5812" s="3" t="s">
        <v>2205</v>
      </c>
      <c r="B5812" s="3" t="s">
        <v>2205</v>
      </c>
      <c r="C5812" s="3" t="s">
        <v>129</v>
      </c>
      <c r="D5812" s="3" t="s">
        <v>2217</v>
      </c>
      <c r="E5812" s="3" t="s">
        <v>911</v>
      </c>
      <c r="F5812" s="3"/>
      <c r="G5812" s="3"/>
      <c r="H5812" s="3"/>
      <c r="I5812" s="3"/>
    </row>
    <row r="5813" spans="1:9" s="5" customFormat="1" x14ac:dyDescent="0.35">
      <c r="A5813" s="3" t="s">
        <v>2205</v>
      </c>
      <c r="B5813" s="3" t="s">
        <v>2205</v>
      </c>
      <c r="C5813" s="3" t="s">
        <v>129</v>
      </c>
      <c r="D5813" s="3" t="s">
        <v>2217</v>
      </c>
      <c r="E5813" s="3" t="s">
        <v>134</v>
      </c>
      <c r="F5813" s="3"/>
      <c r="G5813" s="3" t="s">
        <v>2402</v>
      </c>
      <c r="H5813" s="3"/>
      <c r="I5813" s="3"/>
    </row>
    <row r="5814" spans="1:9" s="5" customFormat="1" x14ac:dyDescent="0.35">
      <c r="A5814" s="3" t="s">
        <v>2205</v>
      </c>
      <c r="B5814" s="3" t="s">
        <v>2205</v>
      </c>
      <c r="C5814" s="3" t="s">
        <v>129</v>
      </c>
      <c r="D5814" s="3" t="s">
        <v>2853</v>
      </c>
      <c r="E5814" s="3" t="s">
        <v>141</v>
      </c>
      <c r="F5814" s="3"/>
      <c r="G5814" s="3" t="s">
        <v>2854</v>
      </c>
      <c r="H5814" s="3"/>
      <c r="I5814" s="3"/>
    </row>
    <row r="5815" spans="1:9" s="5" customFormat="1" x14ac:dyDescent="0.35">
      <c r="A5815" s="3" t="s">
        <v>2205</v>
      </c>
      <c r="B5815" s="3" t="s">
        <v>2205</v>
      </c>
      <c r="C5815" s="3" t="s">
        <v>129</v>
      </c>
      <c r="D5815" s="3" t="s">
        <v>2853</v>
      </c>
      <c r="E5815" s="3" t="s">
        <v>28</v>
      </c>
      <c r="F5815" s="3"/>
      <c r="G5815" s="3" t="s">
        <v>2855</v>
      </c>
      <c r="H5815" s="3"/>
      <c r="I5815" s="3"/>
    </row>
    <row r="5816" spans="1:9" s="5" customFormat="1" x14ac:dyDescent="0.35">
      <c r="A5816" s="3" t="s">
        <v>2205</v>
      </c>
      <c r="B5816" s="3" t="s">
        <v>2205</v>
      </c>
      <c r="C5816" s="3" t="s">
        <v>129</v>
      </c>
      <c r="D5816" s="3" t="s">
        <v>2853</v>
      </c>
      <c r="E5816" s="3" t="s">
        <v>175</v>
      </c>
      <c r="F5816" s="3"/>
      <c r="G5816" s="3"/>
      <c r="H5816" s="3"/>
      <c r="I5816" s="3"/>
    </row>
    <row r="5817" spans="1:9" s="5" customFormat="1" x14ac:dyDescent="0.35">
      <c r="A5817" s="3" t="s">
        <v>2205</v>
      </c>
      <c r="B5817" s="3" t="s">
        <v>2205</v>
      </c>
      <c r="C5817" s="3" t="s">
        <v>10</v>
      </c>
      <c r="D5817" s="3" t="s">
        <v>2219</v>
      </c>
      <c r="E5817" s="3" t="s">
        <v>47</v>
      </c>
      <c r="F5817" s="3"/>
      <c r="G5817" s="3"/>
      <c r="H5817" s="3"/>
      <c r="I5817" s="3"/>
    </row>
    <row r="5818" spans="1:9" s="5" customFormat="1" x14ac:dyDescent="0.35">
      <c r="A5818" s="3" t="s">
        <v>2205</v>
      </c>
      <c r="B5818" s="3" t="s">
        <v>2205</v>
      </c>
      <c r="C5818" s="3" t="s">
        <v>10</v>
      </c>
      <c r="D5818" s="3" t="s">
        <v>2219</v>
      </c>
      <c r="E5818" s="3" t="s">
        <v>28</v>
      </c>
      <c r="F5818" s="3"/>
      <c r="G5818" s="3"/>
      <c r="H5818" s="3"/>
      <c r="I5818" s="3"/>
    </row>
    <row r="5819" spans="1:9" s="5" customFormat="1" x14ac:dyDescent="0.35">
      <c r="A5819" s="3" t="s">
        <v>2205</v>
      </c>
      <c r="B5819" s="3" t="s">
        <v>2205</v>
      </c>
      <c r="C5819" s="3" t="s">
        <v>10</v>
      </c>
      <c r="D5819" s="3" t="s">
        <v>2219</v>
      </c>
      <c r="E5819" s="3" t="s">
        <v>15</v>
      </c>
      <c r="F5819" s="3" t="s">
        <v>16</v>
      </c>
      <c r="G5819" s="3" t="s">
        <v>2220</v>
      </c>
      <c r="H5819" s="3"/>
      <c r="I5819" s="3"/>
    </row>
    <row r="5820" spans="1:9" s="5" customFormat="1" x14ac:dyDescent="0.35">
      <c r="A5820" s="3" t="s">
        <v>2205</v>
      </c>
      <c r="B5820" s="3" t="s">
        <v>2205</v>
      </c>
      <c r="C5820" s="3" t="s">
        <v>10</v>
      </c>
      <c r="D5820" s="3" t="s">
        <v>2219</v>
      </c>
      <c r="E5820" s="3" t="s">
        <v>107</v>
      </c>
      <c r="F5820" s="3" t="s">
        <v>16</v>
      </c>
      <c r="G5820" s="3" t="s">
        <v>2540</v>
      </c>
      <c r="H5820" s="3"/>
      <c r="I5820" s="3"/>
    </row>
    <row r="5821" spans="1:9" s="5" customFormat="1" x14ac:dyDescent="0.35">
      <c r="A5821" s="3" t="s">
        <v>2205</v>
      </c>
      <c r="B5821" s="3" t="s">
        <v>2205</v>
      </c>
      <c r="C5821" s="3" t="s">
        <v>10</v>
      </c>
      <c r="D5821" s="3" t="s">
        <v>2959</v>
      </c>
      <c r="E5821" s="3" t="s">
        <v>12</v>
      </c>
      <c r="F5821" s="3"/>
      <c r="G5821" s="3"/>
      <c r="H5821" s="3"/>
      <c r="I5821" s="3"/>
    </row>
    <row r="5822" spans="1:9" s="5" customFormat="1" x14ac:dyDescent="0.35">
      <c r="A5822" s="3" t="s">
        <v>2205</v>
      </c>
      <c r="B5822" s="3" t="s">
        <v>2205</v>
      </c>
      <c r="C5822" s="3" t="s">
        <v>10</v>
      </c>
      <c r="D5822" s="3" t="s">
        <v>2959</v>
      </c>
      <c r="E5822" s="3" t="s">
        <v>15</v>
      </c>
      <c r="F5822" s="3" t="s">
        <v>16</v>
      </c>
      <c r="G5822" s="3" t="s">
        <v>2960</v>
      </c>
      <c r="H5822" s="3"/>
      <c r="I5822" s="3"/>
    </row>
    <row r="5823" spans="1:9" s="5" customFormat="1" x14ac:dyDescent="0.35">
      <c r="A5823" s="3" t="s">
        <v>2205</v>
      </c>
      <c r="B5823" s="3" t="s">
        <v>2205</v>
      </c>
      <c r="C5823" s="3" t="s">
        <v>10</v>
      </c>
      <c r="D5823" s="3" t="s">
        <v>2959</v>
      </c>
      <c r="E5823" s="3" t="s">
        <v>134</v>
      </c>
      <c r="F5823" s="3"/>
      <c r="G5823" s="3"/>
      <c r="H5823" s="3"/>
      <c r="I5823" s="3"/>
    </row>
    <row r="5824" spans="1:9" s="5" customFormat="1" x14ac:dyDescent="0.35">
      <c r="A5824" s="3" t="s">
        <v>2205</v>
      </c>
      <c r="B5824" s="3" t="s">
        <v>2205</v>
      </c>
      <c r="C5824" s="3" t="s">
        <v>10</v>
      </c>
      <c r="D5824" s="3" t="s">
        <v>2856</v>
      </c>
      <c r="E5824" s="3" t="s">
        <v>12</v>
      </c>
      <c r="F5824" s="3"/>
      <c r="G5824" s="3"/>
      <c r="H5824" s="3"/>
      <c r="I5824" s="3"/>
    </row>
    <row r="5825" spans="1:9" s="5" customFormat="1" x14ac:dyDescent="0.35">
      <c r="A5825" s="3" t="s">
        <v>2205</v>
      </c>
      <c r="B5825" s="3" t="s">
        <v>2205</v>
      </c>
      <c r="C5825" s="3" t="s">
        <v>10</v>
      </c>
      <c r="D5825" s="3" t="s">
        <v>2856</v>
      </c>
      <c r="E5825" s="3" t="s">
        <v>47</v>
      </c>
      <c r="F5825" s="3"/>
      <c r="G5825" s="3"/>
      <c r="H5825" s="3"/>
      <c r="I5825" s="3"/>
    </row>
    <row r="5826" spans="1:9" s="5" customFormat="1" x14ac:dyDescent="0.35">
      <c r="A5826" s="3" t="s">
        <v>2205</v>
      </c>
      <c r="B5826" s="3" t="s">
        <v>2205</v>
      </c>
      <c r="C5826" s="3" t="s">
        <v>10</v>
      </c>
      <c r="D5826" s="3" t="s">
        <v>2856</v>
      </c>
      <c r="E5826" s="3" t="s">
        <v>15</v>
      </c>
      <c r="F5826" s="3" t="s">
        <v>16</v>
      </c>
      <c r="G5826" s="3" t="s">
        <v>2857</v>
      </c>
      <c r="H5826" s="3"/>
      <c r="I5826" s="3"/>
    </row>
    <row r="5827" spans="1:9" s="5" customFormat="1" x14ac:dyDescent="0.35">
      <c r="A5827" s="3" t="s">
        <v>2205</v>
      </c>
      <c r="B5827" s="3" t="s">
        <v>2205</v>
      </c>
      <c r="C5827" s="3" t="s">
        <v>10</v>
      </c>
      <c r="D5827" s="3" t="s">
        <v>2221</v>
      </c>
      <c r="E5827" s="3" t="s">
        <v>47</v>
      </c>
      <c r="F5827" s="3"/>
      <c r="G5827" s="3"/>
      <c r="H5827" s="3"/>
      <c r="I5827" s="3"/>
    </row>
    <row r="5828" spans="1:9" s="5" customFormat="1" x14ac:dyDescent="0.35">
      <c r="A5828" s="3" t="s">
        <v>2205</v>
      </c>
      <c r="B5828" s="3" t="s">
        <v>2205</v>
      </c>
      <c r="C5828" s="3" t="s">
        <v>10</v>
      </c>
      <c r="D5828" s="3" t="s">
        <v>2221</v>
      </c>
      <c r="E5828" s="3" t="s">
        <v>15</v>
      </c>
      <c r="F5828" s="3" t="s">
        <v>16</v>
      </c>
      <c r="G5828" s="3" t="s">
        <v>2222</v>
      </c>
      <c r="H5828" s="3"/>
      <c r="I5828" s="3"/>
    </row>
    <row r="5829" spans="1:9" s="5" customFormat="1" x14ac:dyDescent="0.35">
      <c r="A5829" s="3" t="s">
        <v>2205</v>
      </c>
      <c r="B5829" s="3" t="s">
        <v>2205</v>
      </c>
      <c r="C5829" s="3" t="s">
        <v>10</v>
      </c>
      <c r="D5829" s="3" t="s">
        <v>2221</v>
      </c>
      <c r="E5829" s="3" t="s">
        <v>29</v>
      </c>
      <c r="F5829" s="3"/>
      <c r="G5829" s="3"/>
      <c r="H5829" s="3"/>
      <c r="I5829" s="3"/>
    </row>
    <row r="5830" spans="1:9" s="5" customFormat="1" x14ac:dyDescent="0.35">
      <c r="A5830" s="3" t="s">
        <v>2205</v>
      </c>
      <c r="B5830" s="3" t="s">
        <v>2205</v>
      </c>
      <c r="C5830" s="3" t="s">
        <v>10</v>
      </c>
      <c r="D5830" s="3" t="s">
        <v>2221</v>
      </c>
      <c r="E5830" s="3" t="s">
        <v>134</v>
      </c>
      <c r="F5830" s="3"/>
      <c r="G5830" s="3"/>
      <c r="H5830" s="3"/>
      <c r="I5830" s="3"/>
    </row>
    <row r="5831" spans="1:9" s="5" customFormat="1" x14ac:dyDescent="0.35">
      <c r="A5831" s="3" t="s">
        <v>2205</v>
      </c>
      <c r="B5831" s="3" t="s">
        <v>2205</v>
      </c>
      <c r="C5831" s="3" t="s">
        <v>129</v>
      </c>
      <c r="D5831" s="3" t="s">
        <v>2223</v>
      </c>
      <c r="E5831" s="3" t="s">
        <v>15</v>
      </c>
      <c r="F5831" s="3"/>
      <c r="G5831" s="3"/>
      <c r="H5831" s="3"/>
      <c r="I5831" s="3"/>
    </row>
    <row r="5832" spans="1:9" s="5" customFormat="1" x14ac:dyDescent="0.35">
      <c r="A5832" s="3" t="s">
        <v>2205</v>
      </c>
      <c r="B5832" s="3" t="s">
        <v>2205</v>
      </c>
      <c r="C5832" s="3" t="s">
        <v>10</v>
      </c>
      <c r="D5832" s="3" t="s">
        <v>2224</v>
      </c>
      <c r="E5832" s="3" t="s">
        <v>47</v>
      </c>
      <c r="F5832" s="3"/>
      <c r="G5832" s="3"/>
      <c r="H5832" s="3"/>
      <c r="I5832" s="3"/>
    </row>
    <row r="5833" spans="1:9" s="5" customFormat="1" x14ac:dyDescent="0.35">
      <c r="A5833" s="3" t="s">
        <v>2205</v>
      </c>
      <c r="B5833" s="3" t="s">
        <v>2205</v>
      </c>
      <c r="C5833" s="3" t="s">
        <v>10</v>
      </c>
      <c r="D5833" s="3" t="s">
        <v>2224</v>
      </c>
      <c r="E5833" s="3" t="s">
        <v>15</v>
      </c>
      <c r="F5833" s="3" t="s">
        <v>16</v>
      </c>
      <c r="G5833" s="3" t="s">
        <v>2225</v>
      </c>
      <c r="H5833" s="3"/>
      <c r="I5833" s="3"/>
    </row>
    <row r="5834" spans="1:9" s="5" customFormat="1" x14ac:dyDescent="0.35">
      <c r="A5834" s="3" t="s">
        <v>2205</v>
      </c>
      <c r="B5834" s="3" t="s">
        <v>2205</v>
      </c>
      <c r="C5834" s="3" t="s">
        <v>10</v>
      </c>
      <c r="D5834" s="3" t="s">
        <v>2224</v>
      </c>
      <c r="E5834" s="3" t="s">
        <v>134</v>
      </c>
      <c r="F5834" s="3"/>
      <c r="G5834" s="3"/>
      <c r="H5834" s="3"/>
      <c r="I5834" s="3"/>
    </row>
    <row r="5835" spans="1:9" s="5" customFormat="1" x14ac:dyDescent="0.35">
      <c r="A5835" s="3" t="s">
        <v>2205</v>
      </c>
      <c r="B5835" s="3" t="s">
        <v>2205</v>
      </c>
      <c r="C5835" s="3" t="s">
        <v>10</v>
      </c>
      <c r="D5835" s="3" t="s">
        <v>2971</v>
      </c>
      <c r="E5835" s="3" t="s">
        <v>25</v>
      </c>
      <c r="F5835" s="3"/>
      <c r="G5835" s="3"/>
      <c r="H5835" s="3"/>
      <c r="I5835" s="3"/>
    </row>
    <row r="5836" spans="1:9" s="5" customFormat="1" x14ac:dyDescent="0.35">
      <c r="A5836" s="3" t="s">
        <v>2205</v>
      </c>
      <c r="B5836" s="3" t="s">
        <v>2205</v>
      </c>
      <c r="C5836" s="3" t="s">
        <v>10</v>
      </c>
      <c r="D5836" s="3" t="s">
        <v>2971</v>
      </c>
      <c r="E5836" s="3" t="s">
        <v>15</v>
      </c>
      <c r="F5836" s="3" t="s">
        <v>16</v>
      </c>
      <c r="G5836" s="3" t="s">
        <v>2967</v>
      </c>
      <c r="H5836" s="3"/>
      <c r="I5836" s="3"/>
    </row>
    <row r="5837" spans="1:9" s="5" customFormat="1" x14ac:dyDescent="0.35">
      <c r="A5837" s="3" t="s">
        <v>2205</v>
      </c>
      <c r="B5837" s="3" t="s">
        <v>2205</v>
      </c>
      <c r="C5837" s="3" t="s">
        <v>10</v>
      </c>
      <c r="D5837" s="3" t="s">
        <v>2971</v>
      </c>
      <c r="E5837" s="3" t="s">
        <v>107</v>
      </c>
      <c r="F5837" s="3"/>
      <c r="G5837" s="3"/>
      <c r="H5837" s="3"/>
      <c r="I5837" s="3"/>
    </row>
    <row r="5838" spans="1:9" s="5" customFormat="1" x14ac:dyDescent="0.35">
      <c r="A5838" s="3" t="s">
        <v>2205</v>
      </c>
      <c r="B5838" s="3" t="s">
        <v>2205</v>
      </c>
      <c r="C5838" s="3" t="s">
        <v>129</v>
      </c>
      <c r="D5838" s="3" t="s">
        <v>2226</v>
      </c>
      <c r="E5838" s="3" t="s">
        <v>47</v>
      </c>
      <c r="F5838" s="3"/>
      <c r="G5838" s="3"/>
      <c r="H5838" s="3"/>
      <c r="I5838" s="3"/>
    </row>
    <row r="5839" spans="1:9" s="5" customFormat="1" x14ac:dyDescent="0.35">
      <c r="A5839" s="3" t="s">
        <v>2205</v>
      </c>
      <c r="B5839" s="3" t="s">
        <v>2205</v>
      </c>
      <c r="C5839" s="3" t="s">
        <v>129</v>
      </c>
      <c r="D5839" s="3" t="s">
        <v>2226</v>
      </c>
      <c r="E5839" s="3" t="s">
        <v>25</v>
      </c>
      <c r="F5839" s="3"/>
      <c r="G5839" s="3"/>
      <c r="H5839" s="3"/>
      <c r="I5839" s="3"/>
    </row>
    <row r="5840" spans="1:9" s="5" customFormat="1" x14ac:dyDescent="0.35">
      <c r="A5840" s="3" t="s">
        <v>2205</v>
      </c>
      <c r="B5840" s="3" t="s">
        <v>2205</v>
      </c>
      <c r="C5840" s="3" t="s">
        <v>129</v>
      </c>
      <c r="D5840" s="3" t="s">
        <v>2226</v>
      </c>
      <c r="E5840" s="3" t="s">
        <v>141</v>
      </c>
      <c r="F5840" s="3"/>
      <c r="G5840" s="3"/>
      <c r="H5840" s="3"/>
      <c r="I5840" s="3"/>
    </row>
    <row r="5841" spans="1:9" s="5" customFormat="1" x14ac:dyDescent="0.35">
      <c r="A5841" s="3" t="s">
        <v>2205</v>
      </c>
      <c r="B5841" s="3" t="s">
        <v>2205</v>
      </c>
      <c r="C5841" s="3" t="s">
        <v>129</v>
      </c>
      <c r="D5841" s="3" t="s">
        <v>2226</v>
      </c>
      <c r="E5841" s="3" t="s">
        <v>28</v>
      </c>
      <c r="F5841" s="3"/>
      <c r="G5841" s="3" t="s">
        <v>2401</v>
      </c>
      <c r="H5841" s="3"/>
      <c r="I5841" s="3"/>
    </row>
    <row r="5842" spans="1:9" s="5" customFormat="1" x14ac:dyDescent="0.35">
      <c r="A5842" s="3" t="s">
        <v>2205</v>
      </c>
      <c r="B5842" s="3" t="s">
        <v>2205</v>
      </c>
      <c r="C5842" s="3" t="s">
        <v>129</v>
      </c>
      <c r="D5842" s="3" t="s">
        <v>2226</v>
      </c>
      <c r="E5842" s="3" t="s">
        <v>87</v>
      </c>
      <c r="F5842" s="3"/>
      <c r="G5842" s="3" t="s">
        <v>2397</v>
      </c>
      <c r="H5842" s="3"/>
      <c r="I5842" s="3"/>
    </row>
    <row r="5843" spans="1:9" s="5" customFormat="1" x14ac:dyDescent="0.35">
      <c r="A5843" s="3" t="s">
        <v>2205</v>
      </c>
      <c r="B5843" s="3" t="s">
        <v>2205</v>
      </c>
      <c r="C5843" s="3" t="s">
        <v>129</v>
      </c>
      <c r="D5843" s="3" t="s">
        <v>2226</v>
      </c>
      <c r="E5843" s="3" t="s">
        <v>15</v>
      </c>
      <c r="F5843" s="3" t="s">
        <v>16</v>
      </c>
      <c r="G5843" s="3" t="s">
        <v>2227</v>
      </c>
      <c r="H5843" s="3"/>
      <c r="I5843" s="3"/>
    </row>
    <row r="5844" spans="1:9" s="5" customFormat="1" x14ac:dyDescent="0.35">
      <c r="A5844" s="3" t="s">
        <v>2205</v>
      </c>
      <c r="B5844" s="3" t="s">
        <v>2205</v>
      </c>
      <c r="C5844" s="3" t="s">
        <v>129</v>
      </c>
      <c r="D5844" s="3" t="s">
        <v>2226</v>
      </c>
      <c r="E5844" s="3" t="s">
        <v>32</v>
      </c>
      <c r="F5844" s="3"/>
      <c r="G5844" s="3"/>
      <c r="H5844" s="3"/>
      <c r="I5844" s="3"/>
    </row>
    <row r="5845" spans="1:9" s="5" customFormat="1" x14ac:dyDescent="0.35">
      <c r="A5845" s="3" t="s">
        <v>2205</v>
      </c>
      <c r="B5845" s="3" t="s">
        <v>2205</v>
      </c>
      <c r="C5845" s="3" t="s">
        <v>129</v>
      </c>
      <c r="D5845" s="3" t="s">
        <v>2226</v>
      </c>
      <c r="E5845" s="3" t="s">
        <v>911</v>
      </c>
      <c r="F5845" s="3"/>
      <c r="G5845" s="3"/>
      <c r="H5845" s="3"/>
      <c r="I5845" s="3"/>
    </row>
    <row r="5846" spans="1:9" s="5" customFormat="1" x14ac:dyDescent="0.35">
      <c r="A5846" s="3" t="s">
        <v>2205</v>
      </c>
      <c r="B5846" s="3" t="s">
        <v>2205</v>
      </c>
      <c r="C5846" s="3" t="s">
        <v>129</v>
      </c>
      <c r="D5846" s="3" t="s">
        <v>2226</v>
      </c>
      <c r="E5846" s="3" t="s">
        <v>134</v>
      </c>
      <c r="F5846" s="3"/>
      <c r="G5846" s="3" t="s">
        <v>2415</v>
      </c>
      <c r="H5846" s="3"/>
      <c r="I5846" s="3"/>
    </row>
    <row r="5847" spans="1:9" s="5" customFormat="1" x14ac:dyDescent="0.35">
      <c r="A5847" s="3" t="s">
        <v>2205</v>
      </c>
      <c r="B5847" s="3" t="s">
        <v>2205</v>
      </c>
      <c r="C5847" s="3" t="s">
        <v>129</v>
      </c>
      <c r="D5847" s="3" t="s">
        <v>2226</v>
      </c>
      <c r="E5847" s="3" t="s">
        <v>191</v>
      </c>
      <c r="F5847" s="3"/>
      <c r="G5847" s="3" t="s">
        <v>2416</v>
      </c>
      <c r="H5847" s="3"/>
      <c r="I5847" s="3"/>
    </row>
    <row r="5848" spans="1:9" s="5" customFormat="1" x14ac:dyDescent="0.35">
      <c r="A5848" s="3" t="s">
        <v>2205</v>
      </c>
      <c r="B5848" s="3" t="s">
        <v>2205</v>
      </c>
      <c r="C5848" s="3" t="s">
        <v>129</v>
      </c>
      <c r="D5848" s="3" t="s">
        <v>2226</v>
      </c>
      <c r="E5848" s="3" t="s">
        <v>107</v>
      </c>
      <c r="F5848" s="3"/>
      <c r="G5848" s="3"/>
      <c r="H5848" s="3"/>
      <c r="I5848" s="3"/>
    </row>
    <row r="5849" spans="1:9" s="5" customFormat="1" x14ac:dyDescent="0.35">
      <c r="A5849" s="3" t="s">
        <v>2205</v>
      </c>
      <c r="B5849" s="3" t="s">
        <v>2205</v>
      </c>
      <c r="C5849" s="3" t="s">
        <v>10</v>
      </c>
      <c r="D5849" s="3" t="s">
        <v>2228</v>
      </c>
      <c r="E5849" s="3" t="s">
        <v>47</v>
      </c>
      <c r="F5849" s="3" t="s">
        <v>16</v>
      </c>
      <c r="G5849" s="3" t="s">
        <v>2229</v>
      </c>
      <c r="H5849" s="3"/>
    </row>
    <row r="5850" spans="1:9" s="5" customFormat="1" x14ac:dyDescent="0.35">
      <c r="A5850" s="3" t="s">
        <v>2205</v>
      </c>
      <c r="B5850" s="3" t="s">
        <v>2205</v>
      </c>
      <c r="C5850" s="3" t="s">
        <v>129</v>
      </c>
      <c r="D5850" s="3" t="s">
        <v>2230</v>
      </c>
      <c r="E5850" s="3" t="s">
        <v>142</v>
      </c>
      <c r="F5850" s="3"/>
      <c r="G5850" s="3" t="s">
        <v>2421</v>
      </c>
      <c r="H5850" s="3"/>
      <c r="I5850" s="3"/>
    </row>
    <row r="5851" spans="1:9" s="5" customFormat="1" x14ac:dyDescent="0.35">
      <c r="A5851" s="3" t="s">
        <v>2205</v>
      </c>
      <c r="B5851" s="3" t="s">
        <v>2205</v>
      </c>
      <c r="C5851" s="3" t="s">
        <v>129</v>
      </c>
      <c r="D5851" s="3" t="s">
        <v>2230</v>
      </c>
      <c r="E5851" s="3" t="s">
        <v>15</v>
      </c>
      <c r="F5851" s="3" t="s">
        <v>16</v>
      </c>
      <c r="G5851" s="3" t="s">
        <v>2768</v>
      </c>
      <c r="H5851" s="3"/>
      <c r="I5851" s="3"/>
    </row>
    <row r="5852" spans="1:9" s="5" customFormat="1" x14ac:dyDescent="0.35">
      <c r="A5852" s="3" t="s">
        <v>2205</v>
      </c>
      <c r="B5852" s="3" t="s">
        <v>2205</v>
      </c>
      <c r="C5852" s="3" t="s">
        <v>129</v>
      </c>
      <c r="D5852" s="3" t="s">
        <v>2230</v>
      </c>
      <c r="E5852" s="3" t="s">
        <v>32</v>
      </c>
      <c r="F5852" s="3" t="s">
        <v>16</v>
      </c>
      <c r="G5852" s="3" t="s">
        <v>2231</v>
      </c>
      <c r="H5852" s="3"/>
      <c r="I5852" s="3"/>
    </row>
    <row r="5853" spans="1:9" s="5" customFormat="1" x14ac:dyDescent="0.35">
      <c r="A5853" s="3" t="s">
        <v>2205</v>
      </c>
      <c r="B5853" s="3" t="s">
        <v>2205</v>
      </c>
      <c r="C5853" s="3" t="s">
        <v>129</v>
      </c>
      <c r="D5853" s="3" t="s">
        <v>2230</v>
      </c>
      <c r="E5853" s="3" t="s">
        <v>134</v>
      </c>
      <c r="F5853" s="3"/>
      <c r="G5853" s="3" t="s">
        <v>2420</v>
      </c>
      <c r="H5853" s="3"/>
      <c r="I5853" s="3"/>
    </row>
    <row r="5854" spans="1:9" s="5" customFormat="1" x14ac:dyDescent="0.35">
      <c r="A5854" s="3" t="s">
        <v>2205</v>
      </c>
      <c r="B5854" s="3" t="s">
        <v>2205</v>
      </c>
      <c r="C5854" s="3" t="s">
        <v>129</v>
      </c>
      <c r="D5854" s="3" t="s">
        <v>2230</v>
      </c>
      <c r="E5854" s="3" t="s">
        <v>107</v>
      </c>
      <c r="F5854" s="3" t="s">
        <v>16</v>
      </c>
      <c r="G5854" s="3" t="s">
        <v>2232</v>
      </c>
      <c r="H5854" s="3"/>
      <c r="I5854" s="3"/>
    </row>
    <row r="5855" spans="1:9" s="5" customFormat="1" x14ac:dyDescent="0.35">
      <c r="A5855" s="3" t="s">
        <v>2205</v>
      </c>
      <c r="B5855" s="3" t="s">
        <v>2205</v>
      </c>
      <c r="C5855" s="3" t="s">
        <v>129</v>
      </c>
      <c r="D5855" s="3" t="s">
        <v>2233</v>
      </c>
      <c r="E5855" s="3" t="s">
        <v>12</v>
      </c>
      <c r="F5855" s="3"/>
      <c r="G5855" s="3"/>
      <c r="H5855" s="3"/>
      <c r="I5855" s="3"/>
    </row>
    <row r="5856" spans="1:9" s="5" customFormat="1" x14ac:dyDescent="0.35">
      <c r="A5856" s="3" t="s">
        <v>2205</v>
      </c>
      <c r="B5856" s="3" t="s">
        <v>2205</v>
      </c>
      <c r="C5856" s="3" t="s">
        <v>129</v>
      </c>
      <c r="D5856" s="3" t="s">
        <v>2233</v>
      </c>
      <c r="E5856" s="3" t="s">
        <v>47</v>
      </c>
      <c r="F5856" s="3"/>
      <c r="G5856" s="3"/>
      <c r="H5856" s="3"/>
      <c r="I5856" s="3"/>
    </row>
    <row r="5857" spans="1:9" s="5" customFormat="1" x14ac:dyDescent="0.35">
      <c r="A5857" s="3" t="s">
        <v>2205</v>
      </c>
      <c r="B5857" s="3" t="s">
        <v>2205</v>
      </c>
      <c r="C5857" s="3" t="s">
        <v>129</v>
      </c>
      <c r="D5857" s="3" t="s">
        <v>2233</v>
      </c>
      <c r="E5857" s="3" t="s">
        <v>25</v>
      </c>
      <c r="F5857" s="3"/>
      <c r="G5857" s="3"/>
      <c r="H5857" s="3"/>
      <c r="I5857" s="3"/>
    </row>
    <row r="5858" spans="1:9" s="5" customFormat="1" x14ac:dyDescent="0.35">
      <c r="A5858" s="3" t="s">
        <v>2205</v>
      </c>
      <c r="B5858" s="3" t="s">
        <v>2205</v>
      </c>
      <c r="C5858" s="3" t="s">
        <v>129</v>
      </c>
      <c r="D5858" s="3" t="s">
        <v>2233</v>
      </c>
      <c r="E5858" s="3" t="s">
        <v>142</v>
      </c>
      <c r="F5858" s="3"/>
      <c r="G5858" s="3"/>
      <c r="H5858" s="3"/>
      <c r="I5858" s="3"/>
    </row>
    <row r="5859" spans="1:9" s="5" customFormat="1" x14ac:dyDescent="0.35">
      <c r="A5859" s="3" t="s">
        <v>2205</v>
      </c>
      <c r="B5859" s="3" t="s">
        <v>2205</v>
      </c>
      <c r="C5859" s="3" t="s">
        <v>129</v>
      </c>
      <c r="D5859" s="3" t="s">
        <v>2233</v>
      </c>
      <c r="E5859" s="3" t="s">
        <v>28</v>
      </c>
      <c r="F5859" s="3"/>
      <c r="G5859" s="3" t="s">
        <v>2422</v>
      </c>
      <c r="H5859" s="3"/>
      <c r="I5859" s="3"/>
    </row>
    <row r="5860" spans="1:9" s="5" customFormat="1" x14ac:dyDescent="0.35">
      <c r="A5860" s="3" t="s">
        <v>2205</v>
      </c>
      <c r="B5860" s="3" t="s">
        <v>2205</v>
      </c>
      <c r="C5860" s="3" t="s">
        <v>129</v>
      </c>
      <c r="D5860" s="3" t="s">
        <v>2233</v>
      </c>
      <c r="E5860" s="3" t="s">
        <v>15</v>
      </c>
      <c r="F5860" s="3"/>
      <c r="G5860" s="3"/>
      <c r="H5860" s="3"/>
      <c r="I5860" s="3"/>
    </row>
    <row r="5861" spans="1:9" s="5" customFormat="1" x14ac:dyDescent="0.35">
      <c r="A5861" s="3" t="s">
        <v>2205</v>
      </c>
      <c r="B5861" s="3" t="s">
        <v>2205</v>
      </c>
      <c r="C5861" s="3" t="s">
        <v>129</v>
      </c>
      <c r="D5861" s="3" t="s">
        <v>2233</v>
      </c>
      <c r="E5861" s="3" t="s">
        <v>57</v>
      </c>
      <c r="F5861" s="3"/>
      <c r="G5861" s="3"/>
      <c r="H5861" s="3"/>
      <c r="I5861" s="3"/>
    </row>
    <row r="5862" spans="1:9" s="5" customFormat="1" x14ac:dyDescent="0.35">
      <c r="A5862" s="3" t="s">
        <v>2205</v>
      </c>
      <c r="B5862" s="3" t="s">
        <v>2205</v>
      </c>
      <c r="C5862" s="3" t="s">
        <v>129</v>
      </c>
      <c r="D5862" s="3" t="s">
        <v>2233</v>
      </c>
      <c r="E5862" s="3" t="s">
        <v>911</v>
      </c>
      <c r="F5862" s="3"/>
      <c r="G5862" s="3"/>
      <c r="H5862" s="3"/>
      <c r="I5862" s="3"/>
    </row>
    <row r="5863" spans="1:9" s="5" customFormat="1" x14ac:dyDescent="0.35">
      <c r="A5863" s="3" t="s">
        <v>2205</v>
      </c>
      <c r="B5863" s="3" t="s">
        <v>2205</v>
      </c>
      <c r="C5863" s="3" t="s">
        <v>129</v>
      </c>
      <c r="D5863" s="3" t="s">
        <v>2233</v>
      </c>
      <c r="E5863" s="3" t="s">
        <v>134</v>
      </c>
      <c r="F5863" s="3"/>
      <c r="G5863" s="3"/>
      <c r="H5863" s="3"/>
      <c r="I5863" s="3"/>
    </row>
    <row r="5864" spans="1:9" s="5" customFormat="1" x14ac:dyDescent="0.35">
      <c r="A5864" s="3" t="s">
        <v>2205</v>
      </c>
      <c r="B5864" s="3" t="s">
        <v>2205</v>
      </c>
      <c r="C5864" s="3" t="s">
        <v>129</v>
      </c>
      <c r="D5864" s="3" t="s">
        <v>2233</v>
      </c>
      <c r="E5864" s="3" t="s">
        <v>290</v>
      </c>
      <c r="F5864" s="3"/>
      <c r="G5864" s="3"/>
      <c r="H5864" s="3"/>
      <c r="I5864" s="3"/>
    </row>
    <row r="5865" spans="1:9" s="5" customFormat="1" x14ac:dyDescent="0.35">
      <c r="A5865" s="3" t="s">
        <v>2205</v>
      </c>
      <c r="B5865" s="3" t="s">
        <v>2205</v>
      </c>
      <c r="C5865" s="3" t="s">
        <v>129</v>
      </c>
      <c r="D5865" s="3" t="s">
        <v>2233</v>
      </c>
      <c r="E5865" s="3" t="s">
        <v>107</v>
      </c>
      <c r="F5865" s="3"/>
      <c r="G5865" s="3"/>
      <c r="H5865" s="3"/>
      <c r="I5865" s="3"/>
    </row>
    <row r="5866" spans="1:9" s="5" customFormat="1" x14ac:dyDescent="0.35">
      <c r="A5866" s="3" t="s">
        <v>2205</v>
      </c>
      <c r="B5866" s="3" t="s">
        <v>2205</v>
      </c>
      <c r="C5866" s="3" t="s">
        <v>10</v>
      </c>
      <c r="D5866" s="3" t="s">
        <v>2234</v>
      </c>
      <c r="E5866" s="3" t="s">
        <v>15</v>
      </c>
      <c r="F5866" s="3" t="s">
        <v>16</v>
      </c>
      <c r="G5866" s="3" t="s">
        <v>2235</v>
      </c>
      <c r="H5866" s="3"/>
      <c r="I5866" s="12"/>
    </row>
    <row r="5867" spans="1:9" s="5" customFormat="1" x14ac:dyDescent="0.35">
      <c r="A5867" s="3" t="s">
        <v>2205</v>
      </c>
      <c r="B5867" s="3" t="s">
        <v>2205</v>
      </c>
      <c r="C5867" s="3" t="s">
        <v>10</v>
      </c>
      <c r="D5867" s="3" t="s">
        <v>2236</v>
      </c>
      <c r="E5867" s="3" t="s">
        <v>134</v>
      </c>
      <c r="F5867" s="3"/>
      <c r="G5867" s="3"/>
      <c r="H5867" s="3"/>
      <c r="I5867" s="12"/>
    </row>
    <row r="5868" spans="1:9" s="5" customFormat="1" x14ac:dyDescent="0.35">
      <c r="A5868" s="3" t="s">
        <v>2205</v>
      </c>
      <c r="B5868" s="3" t="s">
        <v>2205</v>
      </c>
      <c r="C5868" s="3" t="s">
        <v>10</v>
      </c>
      <c r="D5868" s="3" t="s">
        <v>2237</v>
      </c>
      <c r="E5868" s="3" t="s">
        <v>47</v>
      </c>
      <c r="F5868" s="3"/>
      <c r="G5868" s="3"/>
      <c r="H5868" s="3"/>
      <c r="I5868" s="3"/>
    </row>
    <row r="5869" spans="1:9" s="5" customFormat="1" x14ac:dyDescent="0.35">
      <c r="A5869" s="3" t="s">
        <v>2205</v>
      </c>
      <c r="B5869" s="3" t="s">
        <v>2205</v>
      </c>
      <c r="C5869" s="3" t="s">
        <v>10</v>
      </c>
      <c r="D5869" s="3" t="s">
        <v>2237</v>
      </c>
      <c r="E5869" s="3" t="s">
        <v>15</v>
      </c>
      <c r="F5869" s="3" t="s">
        <v>16</v>
      </c>
      <c r="G5869" s="3" t="s">
        <v>990</v>
      </c>
      <c r="H5869" s="3"/>
      <c r="I5869" s="3"/>
    </row>
    <row r="5870" spans="1:9" s="5" customFormat="1" x14ac:dyDescent="0.35">
      <c r="A5870" s="3" t="s">
        <v>2205</v>
      </c>
      <c r="B5870" s="3" t="s">
        <v>2205</v>
      </c>
      <c r="C5870" s="3" t="s">
        <v>10</v>
      </c>
      <c r="D5870" s="3" t="s">
        <v>2237</v>
      </c>
      <c r="E5870" s="3" t="s">
        <v>57</v>
      </c>
      <c r="F5870" s="3"/>
      <c r="G5870" s="3"/>
      <c r="H5870" s="3"/>
      <c r="I5870" s="3"/>
    </row>
    <row r="5871" spans="1:9" s="5" customFormat="1" x14ac:dyDescent="0.35">
      <c r="A5871" s="3" t="s">
        <v>2205</v>
      </c>
      <c r="B5871" s="3" t="s">
        <v>2205</v>
      </c>
      <c r="C5871" s="3" t="s">
        <v>129</v>
      </c>
      <c r="D5871" s="3" t="s">
        <v>2238</v>
      </c>
      <c r="E5871" s="3" t="s">
        <v>25</v>
      </c>
      <c r="F5871" s="3"/>
      <c r="G5871" s="3"/>
      <c r="H5871" s="3"/>
      <c r="I5871" s="3"/>
    </row>
    <row r="5872" spans="1:9" s="5" customFormat="1" x14ac:dyDescent="0.35">
      <c r="A5872" s="3" t="s">
        <v>2205</v>
      </c>
      <c r="B5872" s="3" t="s">
        <v>2205</v>
      </c>
      <c r="C5872" s="3" t="s">
        <v>129</v>
      </c>
      <c r="D5872" s="3" t="s">
        <v>2238</v>
      </c>
      <c r="E5872" s="3" t="s">
        <v>134</v>
      </c>
      <c r="F5872" s="3"/>
      <c r="G5872" s="3"/>
      <c r="H5872" s="3"/>
      <c r="I5872" s="3"/>
    </row>
    <row r="5873" spans="1:9" s="5" customFormat="1" x14ac:dyDescent="0.35">
      <c r="A5873" s="3" t="s">
        <v>2205</v>
      </c>
      <c r="B5873" s="3" t="s">
        <v>2205</v>
      </c>
      <c r="C5873" s="3" t="s">
        <v>129</v>
      </c>
      <c r="D5873" s="3" t="s">
        <v>2239</v>
      </c>
      <c r="E5873" s="3" t="s">
        <v>25</v>
      </c>
      <c r="F5873" s="3"/>
      <c r="G5873" s="3"/>
      <c r="H5873" s="3"/>
      <c r="I5873" s="3"/>
    </row>
    <row r="5874" spans="1:9" s="11" customFormat="1" ht="14" x14ac:dyDescent="0.3">
      <c r="A5874" s="3" t="s">
        <v>2205</v>
      </c>
      <c r="B5874" s="3" t="s">
        <v>2205</v>
      </c>
      <c r="C5874" s="3" t="s">
        <v>129</v>
      </c>
      <c r="D5874" s="3" t="s">
        <v>2239</v>
      </c>
      <c r="E5874" s="3" t="s">
        <v>15</v>
      </c>
      <c r="F5874" s="3" t="s">
        <v>16</v>
      </c>
      <c r="G5874" s="3" t="s">
        <v>990</v>
      </c>
      <c r="H5874" s="3"/>
      <c r="I5874" s="3"/>
    </row>
    <row r="5875" spans="1:9" s="11" customFormat="1" ht="14" x14ac:dyDescent="0.3">
      <c r="A5875" s="3" t="s">
        <v>2205</v>
      </c>
      <c r="B5875" s="3" t="s">
        <v>2205</v>
      </c>
      <c r="C5875" s="3" t="s">
        <v>129</v>
      </c>
      <c r="D5875" s="3" t="s">
        <v>2239</v>
      </c>
      <c r="E5875" s="3" t="s">
        <v>32</v>
      </c>
      <c r="F5875" s="3"/>
      <c r="G5875" s="3"/>
      <c r="H5875" s="3"/>
      <c r="I5875" s="3"/>
    </row>
    <row r="5876" spans="1:9" s="11" customFormat="1" ht="14" x14ac:dyDescent="0.3">
      <c r="A5876" s="3" t="s">
        <v>2205</v>
      </c>
      <c r="B5876" s="3" t="s">
        <v>2205</v>
      </c>
      <c r="C5876" s="3" t="s">
        <v>129</v>
      </c>
      <c r="D5876" s="3" t="s">
        <v>2239</v>
      </c>
      <c r="E5876" s="3" t="s">
        <v>911</v>
      </c>
      <c r="F5876" s="3"/>
      <c r="G5876" s="3"/>
      <c r="H5876" s="3"/>
      <c r="I5876" s="3"/>
    </row>
    <row r="5877" spans="1:9" s="11" customFormat="1" ht="14" x14ac:dyDescent="0.3">
      <c r="A5877" s="3" t="s">
        <v>2205</v>
      </c>
      <c r="B5877" s="3" t="s">
        <v>2205</v>
      </c>
      <c r="C5877" s="3" t="s">
        <v>129</v>
      </c>
      <c r="D5877" s="3" t="s">
        <v>2239</v>
      </c>
      <c r="E5877" s="3" t="s">
        <v>134</v>
      </c>
      <c r="F5877" s="3" t="s">
        <v>16</v>
      </c>
      <c r="G5877" s="3" t="s">
        <v>157</v>
      </c>
      <c r="H5877" s="3"/>
      <c r="I5877" s="3"/>
    </row>
    <row r="5878" spans="1:9" s="11" customFormat="1" ht="14" x14ac:dyDescent="0.3">
      <c r="A5878" s="3" t="s">
        <v>2205</v>
      </c>
      <c r="B5878" s="3" t="s">
        <v>2205</v>
      </c>
      <c r="C5878" s="3" t="s">
        <v>10</v>
      </c>
      <c r="D5878" s="3" t="s">
        <v>2964</v>
      </c>
      <c r="E5878" s="3" t="s">
        <v>28</v>
      </c>
      <c r="F5878" s="3"/>
      <c r="G5878" s="3" t="s">
        <v>2965</v>
      </c>
      <c r="H5878" s="3"/>
      <c r="I5878" s="3"/>
    </row>
    <row r="5879" spans="1:9" s="11" customFormat="1" ht="14" x14ac:dyDescent="0.3">
      <c r="A5879" s="3" t="s">
        <v>2205</v>
      </c>
      <c r="B5879" s="3" t="s">
        <v>2205</v>
      </c>
      <c r="C5879" s="3" t="s">
        <v>10</v>
      </c>
      <c r="D5879" s="3" t="s">
        <v>2964</v>
      </c>
      <c r="E5879" s="3" t="s">
        <v>175</v>
      </c>
      <c r="F5879" s="3"/>
      <c r="G5879" s="3"/>
      <c r="H5879" s="3"/>
      <c r="I5879" s="3"/>
    </row>
    <row r="5880" spans="1:9" s="11" customFormat="1" ht="14" x14ac:dyDescent="0.3">
      <c r="A5880" s="3" t="s">
        <v>2205</v>
      </c>
      <c r="B5880" s="3" t="s">
        <v>2205</v>
      </c>
      <c r="C5880" s="3" t="s">
        <v>10</v>
      </c>
      <c r="D5880" s="3" t="s">
        <v>2964</v>
      </c>
      <c r="E5880" s="3" t="s">
        <v>32</v>
      </c>
      <c r="F5880" s="3"/>
      <c r="G5880" s="3" t="s">
        <v>2966</v>
      </c>
      <c r="H5880" s="3"/>
      <c r="I5880" s="3"/>
    </row>
    <row r="5881" spans="1:9" s="11" customFormat="1" ht="14" x14ac:dyDescent="0.3">
      <c r="A5881" s="3" t="s">
        <v>2205</v>
      </c>
      <c r="B5881" s="3" t="s">
        <v>2205</v>
      </c>
      <c r="C5881" s="3" t="s">
        <v>10</v>
      </c>
      <c r="D5881" s="3" t="s">
        <v>2964</v>
      </c>
      <c r="E5881" s="3" t="s">
        <v>15</v>
      </c>
      <c r="F5881" s="3" t="s">
        <v>16</v>
      </c>
      <c r="G5881" s="10" t="s">
        <v>2967</v>
      </c>
      <c r="H5881" s="3"/>
      <c r="I5881" s="3"/>
    </row>
    <row r="5882" spans="1:9" s="11" customFormat="1" ht="14" x14ac:dyDescent="0.3">
      <c r="A5882" s="3" t="s">
        <v>2205</v>
      </c>
      <c r="B5882" s="3" t="s">
        <v>2205</v>
      </c>
      <c r="C5882" s="3" t="s">
        <v>10</v>
      </c>
      <c r="D5882" s="3" t="s">
        <v>2964</v>
      </c>
      <c r="E5882" s="3" t="s">
        <v>134</v>
      </c>
      <c r="F5882" s="3"/>
      <c r="G5882" s="3"/>
      <c r="H5882" s="3"/>
      <c r="I5882" s="3"/>
    </row>
    <row r="5883" spans="1:9" s="11" customFormat="1" ht="14" x14ac:dyDescent="0.3">
      <c r="A5883" s="3" t="s">
        <v>2205</v>
      </c>
      <c r="B5883" s="3" t="s">
        <v>2205</v>
      </c>
      <c r="C5883" s="3" t="s">
        <v>10</v>
      </c>
      <c r="D5883" s="3" t="s">
        <v>2964</v>
      </c>
      <c r="E5883" s="3" t="s">
        <v>107</v>
      </c>
      <c r="F5883" s="3"/>
      <c r="G5883" s="3"/>
      <c r="H5883" s="3"/>
      <c r="I5883" s="3"/>
    </row>
    <row r="5884" spans="1:9" s="11" customFormat="1" ht="14" x14ac:dyDescent="0.3">
      <c r="A5884" s="3" t="s">
        <v>2205</v>
      </c>
      <c r="B5884" s="3" t="s">
        <v>2205</v>
      </c>
      <c r="C5884" s="3" t="s">
        <v>10</v>
      </c>
      <c r="D5884" s="3" t="s">
        <v>2240</v>
      </c>
      <c r="E5884" s="3" t="s">
        <v>12</v>
      </c>
      <c r="F5884" s="3"/>
      <c r="G5884" s="3" t="s">
        <v>2327</v>
      </c>
      <c r="H5884" s="3"/>
      <c r="I5884" s="3"/>
    </row>
    <row r="5885" spans="1:9" s="11" customFormat="1" ht="14" x14ac:dyDescent="0.3">
      <c r="A5885" s="3" t="s">
        <v>2205</v>
      </c>
      <c r="B5885" s="3" t="s">
        <v>2205</v>
      </c>
      <c r="C5885" s="3" t="s">
        <v>10</v>
      </c>
      <c r="D5885" s="3" t="s">
        <v>2240</v>
      </c>
      <c r="E5885" s="3" t="s">
        <v>15</v>
      </c>
      <c r="F5885" s="3" t="s">
        <v>16</v>
      </c>
      <c r="G5885" s="3" t="s">
        <v>2241</v>
      </c>
      <c r="H5885" s="3"/>
      <c r="I5885" s="3"/>
    </row>
    <row r="5886" spans="1:9" s="11" customFormat="1" ht="14" x14ac:dyDescent="0.3">
      <c r="A5886" s="3" t="s">
        <v>2205</v>
      </c>
      <c r="B5886" s="3" t="s">
        <v>2205</v>
      </c>
      <c r="C5886" s="3" t="s">
        <v>10</v>
      </c>
      <c r="D5886" s="3" t="s">
        <v>2240</v>
      </c>
      <c r="E5886" s="3" t="s">
        <v>29</v>
      </c>
      <c r="F5886" s="3"/>
      <c r="G5886" s="3"/>
      <c r="H5886" s="3"/>
      <c r="I5886" s="3"/>
    </row>
    <row r="5887" spans="1:9" s="11" customFormat="1" ht="14" x14ac:dyDescent="0.3">
      <c r="A5887" s="3" t="s">
        <v>2205</v>
      </c>
      <c r="B5887" s="3" t="s">
        <v>2205</v>
      </c>
      <c r="C5887" s="3" t="s">
        <v>10</v>
      </c>
      <c r="D5887" s="3" t="s">
        <v>2240</v>
      </c>
      <c r="E5887" s="3" t="s">
        <v>107</v>
      </c>
      <c r="F5887" s="3" t="s">
        <v>16</v>
      </c>
      <c r="G5887" s="3" t="s">
        <v>2241</v>
      </c>
      <c r="H5887" s="3"/>
      <c r="I5887" s="3"/>
    </row>
    <row r="5888" spans="1:9" s="11" customFormat="1" ht="14" x14ac:dyDescent="0.3">
      <c r="A5888" s="3" t="s">
        <v>2205</v>
      </c>
      <c r="B5888" s="3" t="s">
        <v>2205</v>
      </c>
      <c r="C5888" s="3" t="s">
        <v>10</v>
      </c>
      <c r="D5888" s="3" t="s">
        <v>2240</v>
      </c>
      <c r="E5888" s="3" t="s">
        <v>82</v>
      </c>
      <c r="F5888" s="3"/>
      <c r="G5888" s="3"/>
      <c r="H5888" s="3"/>
      <c r="I5888" s="3"/>
    </row>
    <row r="5889" spans="1:9" s="11" customFormat="1" ht="14" x14ac:dyDescent="0.3">
      <c r="A5889" s="3" t="s">
        <v>2205</v>
      </c>
      <c r="B5889" s="3" t="s">
        <v>2205</v>
      </c>
      <c r="C5889" s="3" t="s">
        <v>129</v>
      </c>
      <c r="D5889" s="3" t="s">
        <v>2242</v>
      </c>
      <c r="E5889" s="3" t="s">
        <v>12</v>
      </c>
      <c r="F5889" s="3"/>
      <c r="G5889" s="3"/>
      <c r="H5889" s="3"/>
      <c r="I5889" s="3"/>
    </row>
    <row r="5890" spans="1:9" s="11" customFormat="1" ht="14" x14ac:dyDescent="0.3">
      <c r="A5890" s="3" t="s">
        <v>2205</v>
      </c>
      <c r="B5890" s="3" t="s">
        <v>2205</v>
      </c>
      <c r="C5890" s="3" t="s">
        <v>129</v>
      </c>
      <c r="D5890" s="3" t="s">
        <v>2242</v>
      </c>
      <c r="E5890" s="3" t="s">
        <v>15</v>
      </c>
      <c r="F5890" s="3" t="s">
        <v>16</v>
      </c>
      <c r="G5890" s="15" t="s">
        <v>2243</v>
      </c>
      <c r="H5890" s="3"/>
      <c r="I5890" s="3"/>
    </row>
    <row r="5891" spans="1:9" s="11" customFormat="1" ht="14" x14ac:dyDescent="0.3">
      <c r="A5891" s="3" t="s">
        <v>2205</v>
      </c>
      <c r="B5891" s="3" t="s">
        <v>2205</v>
      </c>
      <c r="C5891" s="3" t="s">
        <v>129</v>
      </c>
      <c r="D5891" s="3" t="s">
        <v>2242</v>
      </c>
      <c r="E5891" s="3" t="s">
        <v>107</v>
      </c>
      <c r="F5891" s="3" t="s">
        <v>16</v>
      </c>
      <c r="G5891" s="15" t="s">
        <v>2244</v>
      </c>
      <c r="H5891" s="3"/>
      <c r="I5891" s="3"/>
    </row>
    <row r="5892" spans="1:9" s="11" customFormat="1" ht="14" x14ac:dyDescent="0.3">
      <c r="A5892" s="3" t="s">
        <v>2205</v>
      </c>
      <c r="B5892" s="3" t="s">
        <v>2205</v>
      </c>
      <c r="C5892" s="3" t="s">
        <v>129</v>
      </c>
      <c r="D5892" s="3" t="s">
        <v>2245</v>
      </c>
      <c r="E5892" s="3" t="s">
        <v>15</v>
      </c>
      <c r="F5892" s="3" t="s">
        <v>16</v>
      </c>
      <c r="G5892" s="15" t="s">
        <v>2247</v>
      </c>
      <c r="H5892" s="3"/>
      <c r="I5892" s="3"/>
    </row>
    <row r="5893" spans="1:9" s="11" customFormat="1" ht="14" x14ac:dyDescent="0.3">
      <c r="A5893" s="3" t="s">
        <v>2205</v>
      </c>
      <c r="B5893" s="3" t="s">
        <v>2205</v>
      </c>
      <c r="C5893" s="3" t="s">
        <v>129</v>
      </c>
      <c r="D5893" s="3" t="s">
        <v>2245</v>
      </c>
      <c r="E5893" s="3" t="s">
        <v>57</v>
      </c>
      <c r="F5893" s="3" t="s">
        <v>16</v>
      </c>
      <c r="G5893" s="15" t="s">
        <v>2246</v>
      </c>
      <c r="H5893" s="3"/>
      <c r="I5893" s="3"/>
    </row>
    <row r="5894" spans="1:9" s="11" customFormat="1" ht="14" x14ac:dyDescent="0.3">
      <c r="A5894" s="3" t="s">
        <v>2205</v>
      </c>
      <c r="B5894" s="3" t="s">
        <v>2205</v>
      </c>
      <c r="C5894" s="3" t="s">
        <v>129</v>
      </c>
      <c r="D5894" s="3" t="s">
        <v>2245</v>
      </c>
      <c r="E5894" s="3" t="s">
        <v>32</v>
      </c>
      <c r="F5894" s="3" t="s">
        <v>16</v>
      </c>
      <c r="G5894" s="15" t="s">
        <v>2248</v>
      </c>
      <c r="H5894" s="3"/>
      <c r="I5894" s="3"/>
    </row>
    <row r="5895" spans="1:9" s="11" customFormat="1" ht="14" x14ac:dyDescent="0.3">
      <c r="A5895" s="3" t="s">
        <v>2205</v>
      </c>
      <c r="B5895" s="3" t="s">
        <v>2205</v>
      </c>
      <c r="C5895" s="3" t="s">
        <v>129</v>
      </c>
      <c r="D5895" s="3" t="s">
        <v>2245</v>
      </c>
      <c r="E5895" s="3" t="s">
        <v>134</v>
      </c>
      <c r="F5895" s="3"/>
      <c r="G5895" s="15" t="s">
        <v>2423</v>
      </c>
      <c r="H5895" s="3"/>
      <c r="I5895" s="3"/>
    </row>
    <row r="5896" spans="1:9" s="11" customFormat="1" ht="14" x14ac:dyDescent="0.3">
      <c r="A5896" s="3" t="s">
        <v>2205</v>
      </c>
      <c r="B5896" s="3" t="s">
        <v>2205</v>
      </c>
      <c r="C5896" s="3" t="s">
        <v>129</v>
      </c>
      <c r="D5896" s="3" t="s">
        <v>2249</v>
      </c>
      <c r="E5896" s="3" t="s">
        <v>71</v>
      </c>
      <c r="F5896" s="3" t="s">
        <v>33</v>
      </c>
      <c r="G5896" s="15" t="s">
        <v>2560</v>
      </c>
      <c r="H5896" s="3"/>
      <c r="I5896" s="3"/>
    </row>
    <row r="5897" spans="1:9" s="5" customFormat="1" x14ac:dyDescent="0.35">
      <c r="A5897" s="3" t="s">
        <v>2205</v>
      </c>
      <c r="B5897" s="3" t="s">
        <v>2205</v>
      </c>
      <c r="C5897" s="3" t="s">
        <v>129</v>
      </c>
      <c r="D5897" s="3" t="s">
        <v>2249</v>
      </c>
      <c r="E5897" s="3" t="s">
        <v>15</v>
      </c>
      <c r="F5897" s="3" t="s">
        <v>16</v>
      </c>
      <c r="G5897" s="15" t="s">
        <v>2250</v>
      </c>
      <c r="H5897" s="3"/>
      <c r="I5897" s="3"/>
    </row>
    <row r="5898" spans="1:9" s="5" customFormat="1" x14ac:dyDescent="0.35">
      <c r="A5898" s="3" t="s">
        <v>2205</v>
      </c>
      <c r="B5898" s="3" t="s">
        <v>2205</v>
      </c>
      <c r="C5898" s="3" t="s">
        <v>129</v>
      </c>
      <c r="D5898" s="3" t="s">
        <v>2251</v>
      </c>
      <c r="E5898" s="3" t="s">
        <v>134</v>
      </c>
      <c r="F5898" s="3" t="s">
        <v>16</v>
      </c>
      <c r="G5898" s="15" t="s">
        <v>2252</v>
      </c>
      <c r="H5898" s="3"/>
      <c r="I5898" s="3"/>
    </row>
    <row r="5899" spans="1:9" s="5" customFormat="1" x14ac:dyDescent="0.35">
      <c r="A5899" s="3" t="s">
        <v>2205</v>
      </c>
      <c r="B5899" s="3" t="s">
        <v>2205</v>
      </c>
      <c r="C5899" s="3" t="s">
        <v>129</v>
      </c>
      <c r="D5899" s="3" t="s">
        <v>2253</v>
      </c>
      <c r="E5899" s="3" t="s">
        <v>28</v>
      </c>
      <c r="F5899" s="3"/>
      <c r="G5899" s="3"/>
      <c r="H5899" s="3"/>
      <c r="I5899" s="3"/>
    </row>
    <row r="5900" spans="1:9" s="5" customFormat="1" x14ac:dyDescent="0.35">
      <c r="A5900" s="3" t="s">
        <v>2205</v>
      </c>
      <c r="B5900" s="3" t="s">
        <v>2205</v>
      </c>
      <c r="C5900" s="3" t="s">
        <v>129</v>
      </c>
      <c r="D5900" s="3" t="s">
        <v>2253</v>
      </c>
      <c r="E5900" s="3" t="s">
        <v>2254</v>
      </c>
      <c r="F5900" s="3"/>
      <c r="G5900" s="3"/>
      <c r="H5900" s="3"/>
      <c r="I5900" s="3"/>
    </row>
    <row r="5901" spans="1:9" s="5" customFormat="1" x14ac:dyDescent="0.35">
      <c r="A5901" s="3" t="s">
        <v>2205</v>
      </c>
      <c r="B5901" s="3" t="s">
        <v>2205</v>
      </c>
      <c r="C5901" s="3" t="s">
        <v>10</v>
      </c>
      <c r="D5901" s="3" t="s">
        <v>2255</v>
      </c>
      <c r="E5901" s="3" t="s">
        <v>47</v>
      </c>
      <c r="F5901" s="3"/>
      <c r="G5901" s="3"/>
      <c r="H5901" s="3"/>
      <c r="I5901" s="3"/>
    </row>
    <row r="5902" spans="1:9" s="5" customFormat="1" x14ac:dyDescent="0.35">
      <c r="A5902" s="3" t="s">
        <v>2205</v>
      </c>
      <c r="B5902" s="3" t="s">
        <v>2205</v>
      </c>
      <c r="C5902" s="3" t="s">
        <v>10</v>
      </c>
      <c r="D5902" s="3" t="s">
        <v>2255</v>
      </c>
      <c r="E5902" s="3" t="s">
        <v>28</v>
      </c>
      <c r="F5902" s="3" t="s">
        <v>16</v>
      </c>
      <c r="G5902" s="3" t="s">
        <v>2256</v>
      </c>
      <c r="H5902" s="3"/>
      <c r="I5902" s="3"/>
    </row>
    <row r="5903" spans="1:9" x14ac:dyDescent="0.35">
      <c r="A5903" s="3" t="s">
        <v>2205</v>
      </c>
      <c r="B5903" s="3" t="s">
        <v>2205</v>
      </c>
      <c r="C5903" s="3" t="s">
        <v>10</v>
      </c>
      <c r="D5903" s="3" t="s">
        <v>2894</v>
      </c>
      <c r="E5903" s="3" t="s">
        <v>47</v>
      </c>
    </row>
    <row r="5904" spans="1:9" x14ac:dyDescent="0.35">
      <c r="A5904" s="3" t="s">
        <v>2205</v>
      </c>
      <c r="B5904" s="3" t="s">
        <v>2205</v>
      </c>
      <c r="C5904" s="3" t="s">
        <v>10</v>
      </c>
      <c r="D5904" s="3" t="s">
        <v>2894</v>
      </c>
      <c r="E5904" s="3" t="s">
        <v>57</v>
      </c>
      <c r="F5904" s="3" t="s">
        <v>16</v>
      </c>
      <c r="G5904" s="3" t="s">
        <v>2887</v>
      </c>
    </row>
  </sheetData>
  <autoFilter ref="A1:I5904" xr:uid="{00000000-0009-0000-0000-000000000000}"/>
  <pageMargins left="0.7" right="0.7" top="0.75" bottom="0.75" header="0.3" footer="0.3"/>
  <pageSetup paperSize="9" orientation="portrait" r:id="rId1"/>
  <customProperties>
    <customPr name="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779"/>
  <sheetViews>
    <sheetView workbookViewId="0">
      <selection activeCell="A2" sqref="A2"/>
    </sheetView>
  </sheetViews>
  <sheetFormatPr defaultRowHeight="14.5" x14ac:dyDescent="0.35"/>
  <cols>
    <col min="1" max="1" width="16.453125" customWidth="1"/>
    <col min="2" max="2" width="21.453125" customWidth="1"/>
    <col min="3" max="3" width="54.81640625" customWidth="1"/>
    <col min="4" max="4" width="31.453125" customWidth="1"/>
    <col min="5" max="5" width="12.54296875" customWidth="1"/>
    <col min="6" max="6" width="34.54296875" customWidth="1"/>
    <col min="7" max="8" width="14.26953125" customWidth="1"/>
  </cols>
  <sheetData>
    <row r="1" spans="1:8" ht="34.5" customHeight="1" x14ac:dyDescent="0.35">
      <c r="A1" s="1" t="s">
        <v>1</v>
      </c>
      <c r="B1" s="1" t="s">
        <v>2</v>
      </c>
      <c r="C1" s="1" t="s">
        <v>3</v>
      </c>
      <c r="D1" s="1" t="s">
        <v>4</v>
      </c>
      <c r="E1" s="1" t="s">
        <v>5</v>
      </c>
      <c r="F1" s="1" t="s">
        <v>2296</v>
      </c>
      <c r="G1" s="1" t="s">
        <v>6</v>
      </c>
      <c r="H1" s="1" t="s">
        <v>7</v>
      </c>
    </row>
    <row r="2" spans="1:8" x14ac:dyDescent="0.35">
      <c r="A2" s="9" t="s">
        <v>2583</v>
      </c>
      <c r="B2" s="8" t="s">
        <v>20</v>
      </c>
      <c r="C2" s="9" t="s">
        <v>2584</v>
      </c>
      <c r="D2" s="8" t="s">
        <v>12</v>
      </c>
      <c r="E2" s="10"/>
      <c r="F2" s="10"/>
      <c r="G2" s="10"/>
      <c r="H2" s="10"/>
    </row>
    <row r="3" spans="1:8" x14ac:dyDescent="0.35">
      <c r="A3" s="9" t="s">
        <v>2583</v>
      </c>
      <c r="B3" s="8" t="s">
        <v>20</v>
      </c>
      <c r="C3" s="9" t="s">
        <v>2584</v>
      </c>
      <c r="D3" s="8" t="s">
        <v>87</v>
      </c>
      <c r="E3" s="10"/>
      <c r="F3" s="10"/>
      <c r="G3" s="10"/>
      <c r="H3" s="10"/>
    </row>
    <row r="4" spans="1:8" x14ac:dyDescent="0.35">
      <c r="A4" s="9" t="s">
        <v>2583</v>
      </c>
      <c r="B4" s="8" t="s">
        <v>20</v>
      </c>
      <c r="C4" s="9" t="s">
        <v>2584</v>
      </c>
      <c r="D4" s="8" t="s">
        <v>24</v>
      </c>
      <c r="E4" s="10"/>
      <c r="F4" s="10"/>
      <c r="G4" s="10"/>
      <c r="H4" s="10"/>
    </row>
    <row r="5" spans="1:8" x14ac:dyDescent="0.35">
      <c r="A5" s="9" t="s">
        <v>2583</v>
      </c>
      <c r="B5" s="3" t="s">
        <v>42</v>
      </c>
      <c r="C5" s="9" t="s">
        <v>2747</v>
      </c>
      <c r="D5" s="8" t="s">
        <v>12</v>
      </c>
      <c r="E5" s="10"/>
      <c r="F5" s="10"/>
      <c r="G5" s="10"/>
      <c r="H5" s="10"/>
    </row>
    <row r="6" spans="1:8" x14ac:dyDescent="0.35">
      <c r="A6" s="9" t="s">
        <v>2583</v>
      </c>
      <c r="B6" s="3" t="s">
        <v>42</v>
      </c>
      <c r="C6" s="9" t="s">
        <v>2747</v>
      </c>
      <c r="D6" s="3" t="s">
        <v>44</v>
      </c>
      <c r="E6" s="10"/>
      <c r="F6" s="10"/>
      <c r="G6" s="10"/>
      <c r="H6" s="10"/>
    </row>
    <row r="7" spans="1:8" x14ac:dyDescent="0.35">
      <c r="A7" s="9" t="s">
        <v>2583</v>
      </c>
      <c r="B7" s="3" t="s">
        <v>42</v>
      </c>
      <c r="C7" s="9" t="s">
        <v>2747</v>
      </c>
      <c r="D7" s="3" t="s">
        <v>87</v>
      </c>
      <c r="E7" s="10"/>
      <c r="F7" s="10"/>
      <c r="G7" s="10"/>
      <c r="H7" s="10"/>
    </row>
    <row r="8" spans="1:8" x14ac:dyDescent="0.35">
      <c r="A8" s="9" t="s">
        <v>2583</v>
      </c>
      <c r="B8" s="3" t="s">
        <v>42</v>
      </c>
      <c r="C8" s="9" t="s">
        <v>2747</v>
      </c>
      <c r="D8" s="3" t="s">
        <v>15</v>
      </c>
      <c r="E8" s="10" t="s">
        <v>16</v>
      </c>
      <c r="F8" s="10" t="s">
        <v>2748</v>
      </c>
      <c r="G8" s="10"/>
      <c r="H8" s="10"/>
    </row>
    <row r="9" spans="1:8" x14ac:dyDescent="0.35">
      <c r="A9" s="9" t="s">
        <v>2583</v>
      </c>
      <c r="B9" s="3" t="s">
        <v>42</v>
      </c>
      <c r="C9" s="9" t="s">
        <v>2747</v>
      </c>
      <c r="D9" s="3" t="s">
        <v>57</v>
      </c>
      <c r="E9" s="10"/>
      <c r="F9" s="10"/>
      <c r="G9" s="10"/>
      <c r="H9" s="10"/>
    </row>
    <row r="10" spans="1:8" x14ac:dyDescent="0.35">
      <c r="A10" s="9" t="s">
        <v>2583</v>
      </c>
      <c r="B10" s="3" t="s">
        <v>42</v>
      </c>
      <c r="C10" s="9" t="s">
        <v>2747</v>
      </c>
      <c r="D10" s="3" t="s">
        <v>24</v>
      </c>
      <c r="E10" s="10"/>
      <c r="F10" s="10"/>
      <c r="G10" s="10"/>
      <c r="H10" s="10"/>
    </row>
    <row r="11" spans="1:8" x14ac:dyDescent="0.35">
      <c r="A11" s="9" t="s">
        <v>2583</v>
      </c>
      <c r="B11" s="3" t="s">
        <v>42</v>
      </c>
      <c r="C11" s="9" t="s">
        <v>2747</v>
      </c>
      <c r="D11" s="3" t="s">
        <v>107</v>
      </c>
      <c r="E11" s="10"/>
      <c r="F11" s="10"/>
      <c r="G11" s="10"/>
      <c r="H11" s="10"/>
    </row>
    <row r="12" spans="1:8" x14ac:dyDescent="0.35">
      <c r="A12" s="9" t="s">
        <v>2583</v>
      </c>
      <c r="B12" s="3" t="s">
        <v>42</v>
      </c>
      <c r="C12" s="9" t="s">
        <v>2747</v>
      </c>
      <c r="D12" s="3" t="s">
        <v>82</v>
      </c>
      <c r="E12" s="10"/>
      <c r="F12" s="10"/>
      <c r="G12" s="10"/>
      <c r="H12" s="10"/>
    </row>
    <row r="13" spans="1:8" x14ac:dyDescent="0.35">
      <c r="A13" s="3" t="s">
        <v>2668</v>
      </c>
      <c r="B13" s="3" t="s">
        <v>20</v>
      </c>
      <c r="C13" s="3" t="s">
        <v>2664</v>
      </c>
      <c r="D13" s="3" t="s">
        <v>27</v>
      </c>
      <c r="E13" s="3"/>
      <c r="F13" s="11"/>
      <c r="G13" s="3" t="s">
        <v>16</v>
      </c>
      <c r="H13" s="3" t="s">
        <v>2667</v>
      </c>
    </row>
    <row r="14" spans="1:8" x14ac:dyDescent="0.35">
      <c r="A14" s="3" t="s">
        <v>2668</v>
      </c>
      <c r="B14" s="3" t="s">
        <v>20</v>
      </c>
      <c r="C14" s="3" t="s">
        <v>2664</v>
      </c>
      <c r="D14" s="3" t="s">
        <v>77</v>
      </c>
      <c r="E14" s="3"/>
      <c r="F14" s="3" t="s">
        <v>2344</v>
      </c>
      <c r="G14" s="3" t="s">
        <v>16</v>
      </c>
      <c r="H14" s="3" t="s">
        <v>2667</v>
      </c>
    </row>
    <row r="15" spans="1:8" x14ac:dyDescent="0.35">
      <c r="A15" s="3" t="s">
        <v>2668</v>
      </c>
      <c r="B15" s="3" t="s">
        <v>20</v>
      </c>
      <c r="C15" s="3" t="s">
        <v>2664</v>
      </c>
      <c r="D15" s="3" t="s">
        <v>15</v>
      </c>
      <c r="E15" s="3" t="s">
        <v>16</v>
      </c>
      <c r="F15" s="10" t="s">
        <v>2666</v>
      </c>
      <c r="G15" s="3" t="s">
        <v>16</v>
      </c>
      <c r="H15" s="3" t="s">
        <v>2667</v>
      </c>
    </row>
    <row r="16" spans="1:8" x14ac:dyDescent="0.35">
      <c r="A16" s="3" t="s">
        <v>2668</v>
      </c>
      <c r="B16" s="3" t="s">
        <v>20</v>
      </c>
      <c r="C16" s="3" t="s">
        <v>2664</v>
      </c>
      <c r="D16" s="3" t="s">
        <v>56</v>
      </c>
      <c r="E16" s="3" t="s">
        <v>16</v>
      </c>
      <c r="F16" s="3" t="s">
        <v>2665</v>
      </c>
      <c r="G16" s="3" t="s">
        <v>16</v>
      </c>
      <c r="H16" s="3" t="s">
        <v>2667</v>
      </c>
    </row>
    <row r="17" spans="1:8" x14ac:dyDescent="0.35">
      <c r="A17" s="3" t="s">
        <v>2668</v>
      </c>
      <c r="B17" s="3" t="s">
        <v>20</v>
      </c>
      <c r="C17" s="3" t="s">
        <v>2664</v>
      </c>
      <c r="D17" s="3" t="s">
        <v>62</v>
      </c>
      <c r="E17" s="3"/>
      <c r="F17" s="3"/>
      <c r="G17" s="3" t="s">
        <v>16</v>
      </c>
      <c r="H17" s="3" t="s">
        <v>2667</v>
      </c>
    </row>
    <row r="18" spans="1:8" x14ac:dyDescent="0.35">
      <c r="A18" s="3" t="s">
        <v>9</v>
      </c>
      <c r="B18" s="3" t="s">
        <v>10</v>
      </c>
      <c r="C18" s="3" t="s">
        <v>11</v>
      </c>
      <c r="D18" s="3" t="s">
        <v>12</v>
      </c>
      <c r="E18" s="5"/>
      <c r="F18" s="11"/>
      <c r="G18" s="3" t="s">
        <v>13</v>
      </c>
      <c r="H18" s="3" t="s">
        <v>14</v>
      </c>
    </row>
    <row r="19" spans="1:8" x14ac:dyDescent="0.35">
      <c r="A19" s="3" t="s">
        <v>9</v>
      </c>
      <c r="B19" s="3" t="s">
        <v>10</v>
      </c>
      <c r="C19" s="3" t="s">
        <v>11</v>
      </c>
      <c r="D19" s="3" t="s">
        <v>15</v>
      </c>
      <c r="E19" s="3" t="s">
        <v>16</v>
      </c>
      <c r="F19" s="3" t="s">
        <v>17</v>
      </c>
      <c r="G19" s="3" t="s">
        <v>13</v>
      </c>
      <c r="H19" s="3" t="s">
        <v>14</v>
      </c>
    </row>
    <row r="20" spans="1:8" x14ac:dyDescent="0.35">
      <c r="A20" s="3" t="s">
        <v>9</v>
      </c>
      <c r="B20" s="3" t="s">
        <v>10</v>
      </c>
      <c r="C20" s="3" t="s">
        <v>18</v>
      </c>
      <c r="D20" s="3" t="s">
        <v>15</v>
      </c>
      <c r="E20" s="3" t="s">
        <v>16</v>
      </c>
      <c r="F20" s="3" t="s">
        <v>19</v>
      </c>
      <c r="G20" s="3" t="s">
        <v>13</v>
      </c>
      <c r="H20" s="3" t="s">
        <v>14</v>
      </c>
    </row>
    <row r="21" spans="1:8" x14ac:dyDescent="0.35">
      <c r="A21" s="3" t="s">
        <v>9</v>
      </c>
      <c r="B21" s="3" t="s">
        <v>20</v>
      </c>
      <c r="C21" s="3" t="s">
        <v>21</v>
      </c>
      <c r="D21" s="3" t="s">
        <v>12</v>
      </c>
      <c r="E21" s="3"/>
      <c r="F21" s="3"/>
      <c r="G21" s="3" t="s">
        <v>13</v>
      </c>
      <c r="H21" s="3" t="s">
        <v>22</v>
      </c>
    </row>
    <row r="22" spans="1:8" x14ac:dyDescent="0.35">
      <c r="A22" s="3" t="s">
        <v>9</v>
      </c>
      <c r="B22" s="3" t="s">
        <v>20</v>
      </c>
      <c r="C22" s="3" t="s">
        <v>21</v>
      </c>
      <c r="D22" s="3" t="s">
        <v>23</v>
      </c>
      <c r="E22" s="3"/>
      <c r="F22" s="3"/>
      <c r="G22" s="3" t="s">
        <v>13</v>
      </c>
      <c r="H22" s="3" t="s">
        <v>22</v>
      </c>
    </row>
    <row r="23" spans="1:8" x14ac:dyDescent="0.35">
      <c r="A23" s="3" t="s">
        <v>9</v>
      </c>
      <c r="B23" s="3" t="s">
        <v>20</v>
      </c>
      <c r="C23" s="3" t="s">
        <v>21</v>
      </c>
      <c r="D23" s="3" t="s">
        <v>25</v>
      </c>
      <c r="E23" s="3"/>
      <c r="F23" s="3"/>
      <c r="G23" s="3" t="s">
        <v>13</v>
      </c>
      <c r="H23" s="3" t="s">
        <v>22</v>
      </c>
    </row>
    <row r="24" spans="1:8" x14ac:dyDescent="0.35">
      <c r="A24" s="3" t="s">
        <v>9</v>
      </c>
      <c r="B24" s="3" t="s">
        <v>20</v>
      </c>
      <c r="C24" s="3" t="s">
        <v>21</v>
      </c>
      <c r="D24" s="3" t="s">
        <v>27</v>
      </c>
      <c r="E24" s="3"/>
      <c r="F24" s="3"/>
      <c r="G24" s="3" t="s">
        <v>13</v>
      </c>
      <c r="H24" s="3" t="s">
        <v>22</v>
      </c>
    </row>
    <row r="25" spans="1:8" x14ac:dyDescent="0.35">
      <c r="A25" s="3" t="s">
        <v>9</v>
      </c>
      <c r="B25" s="3" t="s">
        <v>20</v>
      </c>
      <c r="C25" s="3" t="s">
        <v>21</v>
      </c>
      <c r="D25" s="3" t="s">
        <v>28</v>
      </c>
      <c r="E25" s="3"/>
      <c r="F25" s="3" t="s">
        <v>2305</v>
      </c>
      <c r="G25" s="3" t="s">
        <v>13</v>
      </c>
      <c r="H25" s="3" t="s">
        <v>22</v>
      </c>
    </row>
    <row r="26" spans="1:8" x14ac:dyDescent="0.35">
      <c r="A26" s="3" t="s">
        <v>9</v>
      </c>
      <c r="B26" s="3" t="s">
        <v>20</v>
      </c>
      <c r="C26" s="3" t="s">
        <v>21</v>
      </c>
      <c r="D26" s="3" t="s">
        <v>31</v>
      </c>
      <c r="E26" s="3"/>
      <c r="F26" s="3" t="s">
        <v>2872</v>
      </c>
      <c r="G26" s="3" t="s">
        <v>13</v>
      </c>
      <c r="H26" s="3" t="s">
        <v>22</v>
      </c>
    </row>
    <row r="27" spans="1:8" x14ac:dyDescent="0.35">
      <c r="A27" s="3" t="s">
        <v>9</v>
      </c>
      <c r="B27" s="3" t="s">
        <v>20</v>
      </c>
      <c r="C27" s="3" t="s">
        <v>21</v>
      </c>
      <c r="D27" s="3" t="s">
        <v>15</v>
      </c>
      <c r="E27" s="3" t="s">
        <v>13</v>
      </c>
      <c r="F27" s="3" t="s">
        <v>30</v>
      </c>
      <c r="G27" s="3" t="s">
        <v>13</v>
      </c>
      <c r="H27" s="3" t="s">
        <v>22</v>
      </c>
    </row>
    <row r="28" spans="1:8" x14ac:dyDescent="0.35">
      <c r="A28" s="3" t="s">
        <v>9</v>
      </c>
      <c r="B28" s="3" t="s">
        <v>20</v>
      </c>
      <c r="C28" s="3" t="s">
        <v>21</v>
      </c>
      <c r="D28" s="3" t="s">
        <v>32</v>
      </c>
      <c r="E28" s="3" t="s">
        <v>33</v>
      </c>
      <c r="F28" s="3" t="s">
        <v>34</v>
      </c>
      <c r="G28" s="3" t="s">
        <v>13</v>
      </c>
      <c r="H28" s="3" t="s">
        <v>22</v>
      </c>
    </row>
    <row r="29" spans="1:8" x14ac:dyDescent="0.35">
      <c r="A29" s="3" t="s">
        <v>9</v>
      </c>
      <c r="B29" s="3" t="s">
        <v>20</v>
      </c>
      <c r="C29" s="3" t="s">
        <v>21</v>
      </c>
      <c r="D29" s="3" t="s">
        <v>26</v>
      </c>
      <c r="E29" s="3"/>
      <c r="F29" s="3"/>
      <c r="G29" s="3" t="s">
        <v>13</v>
      </c>
      <c r="H29" s="3" t="s">
        <v>22</v>
      </c>
    </row>
    <row r="30" spans="1:8" x14ac:dyDescent="0.35">
      <c r="A30" s="3" t="s">
        <v>9</v>
      </c>
      <c r="B30" s="3" t="s">
        <v>20</v>
      </c>
      <c r="C30" s="3" t="s">
        <v>21</v>
      </c>
      <c r="D30" s="3" t="s">
        <v>29</v>
      </c>
      <c r="E30" s="3"/>
      <c r="F30" s="3"/>
      <c r="G30" s="3" t="s">
        <v>13</v>
      </c>
      <c r="H30" s="3" t="s">
        <v>22</v>
      </c>
    </row>
    <row r="31" spans="1:8" x14ac:dyDescent="0.35">
      <c r="A31" s="3" t="s">
        <v>9</v>
      </c>
      <c r="B31" s="3" t="s">
        <v>20</v>
      </c>
      <c r="C31" s="3" t="s">
        <v>21</v>
      </c>
      <c r="D31" s="3" t="s">
        <v>24</v>
      </c>
      <c r="E31" s="3"/>
      <c r="F31" s="3"/>
      <c r="G31" s="3" t="s">
        <v>13</v>
      </c>
      <c r="H31" s="3" t="s">
        <v>22</v>
      </c>
    </row>
    <row r="32" spans="1:8" x14ac:dyDescent="0.35">
      <c r="A32" s="3" t="s">
        <v>9</v>
      </c>
      <c r="B32" s="3" t="s">
        <v>20</v>
      </c>
      <c r="C32" s="3" t="s">
        <v>35</v>
      </c>
      <c r="D32" s="3" t="s">
        <v>36</v>
      </c>
      <c r="E32" s="3"/>
      <c r="F32" s="3"/>
      <c r="G32" s="3" t="s">
        <v>13</v>
      </c>
      <c r="H32" s="3" t="s">
        <v>14</v>
      </c>
    </row>
    <row r="33" spans="1:8" x14ac:dyDescent="0.35">
      <c r="A33" s="3" t="s">
        <v>9</v>
      </c>
      <c r="B33" s="3" t="s">
        <v>20</v>
      </c>
      <c r="C33" s="3" t="s">
        <v>35</v>
      </c>
      <c r="D33" s="3" t="s">
        <v>27</v>
      </c>
      <c r="E33" s="3"/>
      <c r="F33" s="3"/>
      <c r="G33" s="3" t="s">
        <v>13</v>
      </c>
      <c r="H33" s="3" t="s">
        <v>14</v>
      </c>
    </row>
    <row r="34" spans="1:8" x14ac:dyDescent="0.35">
      <c r="A34" s="3" t="s">
        <v>9</v>
      </c>
      <c r="B34" s="3" t="s">
        <v>20</v>
      </c>
      <c r="C34" s="3" t="s">
        <v>35</v>
      </c>
      <c r="D34" s="3" t="s">
        <v>15</v>
      </c>
      <c r="E34" s="3" t="s">
        <v>13</v>
      </c>
      <c r="F34" s="3" t="s">
        <v>38</v>
      </c>
      <c r="G34" s="3" t="s">
        <v>13</v>
      </c>
      <c r="H34" s="3" t="s">
        <v>14</v>
      </c>
    </row>
    <row r="35" spans="1:8" x14ac:dyDescent="0.35">
      <c r="A35" s="3" t="s">
        <v>9</v>
      </c>
      <c r="B35" s="3" t="s">
        <v>20</v>
      </c>
      <c r="C35" s="3" t="s">
        <v>35</v>
      </c>
      <c r="D35" s="3" t="s">
        <v>37</v>
      </c>
      <c r="E35" s="3"/>
      <c r="F35" s="3"/>
      <c r="G35" s="3" t="s">
        <v>13</v>
      </c>
      <c r="H35" s="3" t="s">
        <v>14</v>
      </c>
    </row>
    <row r="36" spans="1:8" x14ac:dyDescent="0.35">
      <c r="A36" s="3" t="s">
        <v>9</v>
      </c>
      <c r="B36" s="3" t="s">
        <v>39</v>
      </c>
      <c r="C36" s="3" t="s">
        <v>40</v>
      </c>
      <c r="D36" s="3" t="s">
        <v>15</v>
      </c>
      <c r="E36" s="3" t="s">
        <v>16</v>
      </c>
      <c r="F36" s="3" t="s">
        <v>41</v>
      </c>
      <c r="G36" s="3" t="s">
        <v>13</v>
      </c>
      <c r="H36" s="3" t="s">
        <v>14</v>
      </c>
    </row>
    <row r="37" spans="1:8" x14ac:dyDescent="0.35">
      <c r="A37" s="3" t="s">
        <v>9</v>
      </c>
      <c r="B37" s="3" t="s">
        <v>42</v>
      </c>
      <c r="C37" s="3" t="s">
        <v>43</v>
      </c>
      <c r="D37" s="3" t="s">
        <v>44</v>
      </c>
      <c r="E37" s="3"/>
      <c r="F37" s="3"/>
      <c r="G37" s="3" t="s">
        <v>13</v>
      </c>
      <c r="H37" s="3" t="s">
        <v>14</v>
      </c>
    </row>
    <row r="38" spans="1:8" x14ac:dyDescent="0.35">
      <c r="A38" s="3" t="s">
        <v>9</v>
      </c>
      <c r="B38" s="3" t="s">
        <v>42</v>
      </c>
      <c r="C38" s="3" t="s">
        <v>43</v>
      </c>
      <c r="D38" s="3" t="s">
        <v>15</v>
      </c>
      <c r="E38" s="3"/>
      <c r="F38" s="3"/>
      <c r="G38" s="3" t="s">
        <v>13</v>
      </c>
      <c r="H38" s="3" t="s">
        <v>14</v>
      </c>
    </row>
    <row r="39" spans="1:8" x14ac:dyDescent="0.35">
      <c r="A39" s="3" t="s">
        <v>9</v>
      </c>
      <c r="B39" s="3" t="s">
        <v>42</v>
      </c>
      <c r="C39" s="3" t="s">
        <v>43</v>
      </c>
      <c r="D39" s="3" t="s">
        <v>24</v>
      </c>
      <c r="E39" s="3"/>
      <c r="F39" s="3"/>
      <c r="G39" s="3" t="s">
        <v>13</v>
      </c>
      <c r="H39" s="3" t="s">
        <v>14</v>
      </c>
    </row>
    <row r="40" spans="1:8" x14ac:dyDescent="0.35">
      <c r="A40" s="3" t="s">
        <v>9</v>
      </c>
      <c r="B40" s="3" t="s">
        <v>45</v>
      </c>
      <c r="C40" s="3" t="s">
        <v>46</v>
      </c>
      <c r="D40" s="3" t="s">
        <v>47</v>
      </c>
      <c r="E40" s="3"/>
      <c r="F40" s="3"/>
      <c r="G40" s="3" t="s">
        <v>13</v>
      </c>
      <c r="H40" s="3" t="s">
        <v>22</v>
      </c>
    </row>
    <row r="41" spans="1:8" x14ac:dyDescent="0.35">
      <c r="A41" s="3" t="s">
        <v>9</v>
      </c>
      <c r="B41" s="3" t="s">
        <v>45</v>
      </c>
      <c r="C41" s="3" t="s">
        <v>46</v>
      </c>
      <c r="D41" s="3" t="s">
        <v>15</v>
      </c>
      <c r="E41" s="3" t="s">
        <v>13</v>
      </c>
      <c r="F41" s="3" t="s">
        <v>48</v>
      </c>
      <c r="G41" s="3" t="s">
        <v>13</v>
      </c>
      <c r="H41" s="3" t="s">
        <v>22</v>
      </c>
    </row>
    <row r="42" spans="1:8" x14ac:dyDescent="0.35">
      <c r="A42" s="3" t="s">
        <v>9</v>
      </c>
      <c r="B42" s="3" t="s">
        <v>45</v>
      </c>
      <c r="C42" s="3" t="s">
        <v>46</v>
      </c>
      <c r="D42" s="3" t="s">
        <v>24</v>
      </c>
      <c r="E42" s="3"/>
      <c r="F42" s="3"/>
      <c r="G42" s="3" t="s">
        <v>13</v>
      </c>
      <c r="H42" s="3" t="s">
        <v>22</v>
      </c>
    </row>
    <row r="43" spans="1:8" x14ac:dyDescent="0.35">
      <c r="A43" s="3" t="s">
        <v>49</v>
      </c>
      <c r="B43" s="3" t="s">
        <v>39</v>
      </c>
      <c r="C43" s="3" t="s">
        <v>2919</v>
      </c>
      <c r="D43" s="3" t="s">
        <v>12</v>
      </c>
      <c r="E43" s="3"/>
      <c r="F43" s="3"/>
      <c r="G43" s="3" t="s">
        <v>16</v>
      </c>
      <c r="H43" s="3" t="s">
        <v>1459</v>
      </c>
    </row>
    <row r="44" spans="1:8" x14ac:dyDescent="0.35">
      <c r="A44" s="3" t="s">
        <v>49</v>
      </c>
      <c r="B44" s="3" t="s">
        <v>39</v>
      </c>
      <c r="C44" s="3" t="s">
        <v>2919</v>
      </c>
      <c r="D44" s="3" t="s">
        <v>25</v>
      </c>
      <c r="E44" s="3"/>
      <c r="F44" s="3"/>
      <c r="G44" s="3" t="s">
        <v>16</v>
      </c>
      <c r="H44" s="3" t="s">
        <v>1459</v>
      </c>
    </row>
    <row r="45" spans="1:8" x14ac:dyDescent="0.35">
      <c r="A45" s="3" t="s">
        <v>49</v>
      </c>
      <c r="B45" s="3" t="s">
        <v>39</v>
      </c>
      <c r="C45" s="3" t="s">
        <v>2919</v>
      </c>
      <c r="D45" s="3" t="s">
        <v>27</v>
      </c>
      <c r="E45" s="5"/>
      <c r="F45" s="5"/>
      <c r="G45" s="3" t="s">
        <v>16</v>
      </c>
      <c r="H45" s="3" t="s">
        <v>1459</v>
      </c>
    </row>
    <row r="46" spans="1:8" x14ac:dyDescent="0.35">
      <c r="A46" s="3" t="s">
        <v>49</v>
      </c>
      <c r="B46" s="3" t="s">
        <v>39</v>
      </c>
      <c r="C46" s="3" t="s">
        <v>2919</v>
      </c>
      <c r="D46" s="3" t="s">
        <v>142</v>
      </c>
      <c r="E46" s="3"/>
      <c r="F46" s="3"/>
      <c r="G46" s="3" t="s">
        <v>16</v>
      </c>
      <c r="H46" s="3" t="s">
        <v>1459</v>
      </c>
    </row>
    <row r="47" spans="1:8" x14ac:dyDescent="0.35">
      <c r="A47" s="3" t="s">
        <v>49</v>
      </c>
      <c r="B47" s="3" t="s">
        <v>39</v>
      </c>
      <c r="C47" s="3" t="s">
        <v>2919</v>
      </c>
      <c r="D47" s="3" t="s">
        <v>28</v>
      </c>
      <c r="E47" s="3"/>
      <c r="F47" s="3" t="s">
        <v>2352</v>
      </c>
      <c r="G47" s="3" t="s">
        <v>16</v>
      </c>
      <c r="H47" s="3" t="s">
        <v>1459</v>
      </c>
    </row>
    <row r="48" spans="1:8" x14ac:dyDescent="0.35">
      <c r="A48" s="3" t="s">
        <v>49</v>
      </c>
      <c r="B48" s="3" t="s">
        <v>39</v>
      </c>
      <c r="C48" s="3" t="s">
        <v>2919</v>
      </c>
      <c r="D48" s="3" t="s">
        <v>134</v>
      </c>
      <c r="E48" s="3"/>
      <c r="F48" s="3" t="s">
        <v>2389</v>
      </c>
      <c r="G48" s="3" t="s">
        <v>16</v>
      </c>
      <c r="H48" s="3" t="s">
        <v>1459</v>
      </c>
    </row>
    <row r="49" spans="1:8" x14ac:dyDescent="0.35">
      <c r="A49" s="3" t="s">
        <v>49</v>
      </c>
      <c r="B49" s="3" t="s">
        <v>39</v>
      </c>
      <c r="C49" s="3" t="s">
        <v>2919</v>
      </c>
      <c r="D49" s="3" t="s">
        <v>290</v>
      </c>
      <c r="E49" s="3"/>
      <c r="F49" s="3"/>
      <c r="G49" s="3" t="s">
        <v>16</v>
      </c>
      <c r="H49" s="3" t="s">
        <v>1459</v>
      </c>
    </row>
    <row r="50" spans="1:8" x14ac:dyDescent="0.35">
      <c r="A50" s="3" t="s">
        <v>49</v>
      </c>
      <c r="B50" s="3" t="s">
        <v>42</v>
      </c>
      <c r="C50" s="3" t="s">
        <v>50</v>
      </c>
      <c r="D50" s="3" t="s">
        <v>27</v>
      </c>
      <c r="E50" s="3"/>
      <c r="F50" s="3"/>
      <c r="G50" s="3" t="s">
        <v>16</v>
      </c>
      <c r="H50" s="3" t="s">
        <v>51</v>
      </c>
    </row>
    <row r="51" spans="1:8" x14ac:dyDescent="0.35">
      <c r="A51" s="3" t="s">
        <v>49</v>
      </c>
      <c r="B51" s="3" t="s">
        <v>42</v>
      </c>
      <c r="C51" s="3" t="s">
        <v>50</v>
      </c>
      <c r="D51" s="3" t="s">
        <v>15</v>
      </c>
      <c r="E51" s="3" t="s">
        <v>16</v>
      </c>
      <c r="F51" s="3" t="s">
        <v>52</v>
      </c>
      <c r="G51" s="3" t="s">
        <v>16</v>
      </c>
      <c r="H51" s="3" t="s">
        <v>51</v>
      </c>
    </row>
    <row r="52" spans="1:8" x14ac:dyDescent="0.35">
      <c r="A52" s="3" t="s">
        <v>49</v>
      </c>
      <c r="B52" s="3" t="s">
        <v>42</v>
      </c>
      <c r="C52" s="3" t="s">
        <v>50</v>
      </c>
      <c r="D52" s="3" t="s">
        <v>24</v>
      </c>
      <c r="E52" s="3"/>
      <c r="F52" s="3"/>
      <c r="G52" s="3" t="s">
        <v>16</v>
      </c>
      <c r="H52" s="3" t="s">
        <v>51</v>
      </c>
    </row>
    <row r="53" spans="1:8" x14ac:dyDescent="0.35">
      <c r="A53" s="3" t="s">
        <v>53</v>
      </c>
      <c r="B53" s="3" t="s">
        <v>10</v>
      </c>
      <c r="C53" s="3" t="s">
        <v>2988</v>
      </c>
      <c r="D53" s="3" t="s">
        <v>28</v>
      </c>
      <c r="E53" s="3" t="s">
        <v>16</v>
      </c>
      <c r="F53" s="3" t="s">
        <v>2989</v>
      </c>
      <c r="G53" s="3" t="s">
        <v>13</v>
      </c>
      <c r="H53" s="3" t="s">
        <v>59</v>
      </c>
    </row>
    <row r="54" spans="1:8" x14ac:dyDescent="0.35">
      <c r="A54" s="3" t="s">
        <v>53</v>
      </c>
      <c r="B54" s="3" t="s">
        <v>10</v>
      </c>
      <c r="C54" s="3" t="s">
        <v>2988</v>
      </c>
      <c r="D54" s="3" t="s">
        <v>24</v>
      </c>
      <c r="E54" s="3" t="s">
        <v>16</v>
      </c>
      <c r="F54" s="3" t="s">
        <v>2990</v>
      </c>
      <c r="G54" s="3" t="s">
        <v>13</v>
      </c>
      <c r="H54" s="3" t="s">
        <v>59</v>
      </c>
    </row>
    <row r="55" spans="1:8" x14ac:dyDescent="0.35">
      <c r="A55" s="3" t="s">
        <v>53</v>
      </c>
      <c r="B55" s="3" t="s">
        <v>20</v>
      </c>
      <c r="C55" s="3" t="s">
        <v>54</v>
      </c>
      <c r="D55" s="3" t="s">
        <v>12</v>
      </c>
      <c r="E55" s="3" t="s">
        <v>33</v>
      </c>
      <c r="F55" s="3" t="s">
        <v>55</v>
      </c>
      <c r="G55" s="3"/>
      <c r="H55" s="3"/>
    </row>
    <row r="56" spans="1:8" x14ac:dyDescent="0.35">
      <c r="A56" s="3" t="s">
        <v>53</v>
      </c>
      <c r="B56" s="3" t="s">
        <v>20</v>
      </c>
      <c r="C56" s="3" t="s">
        <v>54</v>
      </c>
      <c r="D56" s="3" t="s">
        <v>23</v>
      </c>
      <c r="E56" s="3" t="s">
        <v>33</v>
      </c>
      <c r="F56" s="3" t="s">
        <v>55</v>
      </c>
      <c r="G56" s="3"/>
      <c r="H56" s="3"/>
    </row>
    <row r="57" spans="1:8" x14ac:dyDescent="0.35">
      <c r="A57" s="3" t="s">
        <v>53</v>
      </c>
      <c r="B57" s="3" t="s">
        <v>20</v>
      </c>
      <c r="C57" s="3" t="s">
        <v>54</v>
      </c>
      <c r="D57" s="3" t="s">
        <v>25</v>
      </c>
      <c r="E57" s="3" t="s">
        <v>33</v>
      </c>
      <c r="F57" s="3" t="s">
        <v>55</v>
      </c>
      <c r="G57" s="3"/>
      <c r="H57" s="3"/>
    </row>
    <row r="58" spans="1:8" x14ac:dyDescent="0.35">
      <c r="A58" s="3" t="s">
        <v>53</v>
      </c>
      <c r="B58" s="3" t="s">
        <v>20</v>
      </c>
      <c r="C58" s="3" t="s">
        <v>54</v>
      </c>
      <c r="D58" s="3" t="s">
        <v>28</v>
      </c>
      <c r="E58" s="3" t="s">
        <v>33</v>
      </c>
      <c r="F58" s="3" t="s">
        <v>55</v>
      </c>
      <c r="G58" s="3"/>
      <c r="H58" s="3"/>
    </row>
    <row r="59" spans="1:8" x14ac:dyDescent="0.35">
      <c r="A59" s="3" t="s">
        <v>53</v>
      </c>
      <c r="B59" s="3" t="s">
        <v>20</v>
      </c>
      <c r="C59" s="3" t="s">
        <v>54</v>
      </c>
      <c r="D59" s="3" t="s">
        <v>57</v>
      </c>
      <c r="E59" s="3" t="s">
        <v>33</v>
      </c>
      <c r="F59" s="3" t="s">
        <v>55</v>
      </c>
      <c r="G59" s="3"/>
      <c r="H59" s="3"/>
    </row>
    <row r="60" spans="1:8" x14ac:dyDescent="0.35">
      <c r="A60" s="3" t="s">
        <v>53</v>
      </c>
      <c r="B60" s="3" t="s">
        <v>20</v>
      </c>
      <c r="C60" s="3" t="s">
        <v>54</v>
      </c>
      <c r="D60" s="3" t="s">
        <v>56</v>
      </c>
      <c r="E60" s="3" t="s">
        <v>33</v>
      </c>
      <c r="F60" s="3" t="s">
        <v>55</v>
      </c>
      <c r="G60" s="3"/>
      <c r="H60" s="3"/>
    </row>
    <row r="61" spans="1:8" x14ac:dyDescent="0.35">
      <c r="A61" s="3" t="s">
        <v>53</v>
      </c>
      <c r="B61" s="3" t="s">
        <v>20</v>
      </c>
      <c r="C61" s="3" t="s">
        <v>54</v>
      </c>
      <c r="D61" s="3" t="s">
        <v>32</v>
      </c>
      <c r="E61" s="3" t="s">
        <v>33</v>
      </c>
      <c r="F61" s="3" t="s">
        <v>55</v>
      </c>
      <c r="G61" s="3"/>
      <c r="H61" s="3"/>
    </row>
    <row r="62" spans="1:8" x14ac:dyDescent="0.35">
      <c r="A62" s="3" t="s">
        <v>53</v>
      </c>
      <c r="B62" s="3" t="s">
        <v>20</v>
      </c>
      <c r="C62" s="3" t="s">
        <v>58</v>
      </c>
      <c r="D62" s="3" t="s">
        <v>12</v>
      </c>
      <c r="E62" s="3"/>
      <c r="F62" s="3"/>
      <c r="G62" s="3" t="s">
        <v>13</v>
      </c>
      <c r="H62" s="3" t="s">
        <v>59</v>
      </c>
    </row>
    <row r="63" spans="1:8" x14ac:dyDescent="0.35">
      <c r="A63" s="3" t="s">
        <v>53</v>
      </c>
      <c r="B63" s="3" t="s">
        <v>20</v>
      </c>
      <c r="C63" s="3" t="s">
        <v>58</v>
      </c>
      <c r="D63" s="3" t="s">
        <v>60</v>
      </c>
      <c r="E63" s="3" t="s">
        <v>13</v>
      </c>
      <c r="F63" s="3" t="s">
        <v>61</v>
      </c>
      <c r="G63" s="3" t="s">
        <v>13</v>
      </c>
      <c r="H63" s="3" t="s">
        <v>59</v>
      </c>
    </row>
    <row r="64" spans="1:8" x14ac:dyDescent="0.35">
      <c r="A64" s="3" t="s">
        <v>53</v>
      </c>
      <c r="B64" s="3" t="s">
        <v>20</v>
      </c>
      <c r="C64" s="3" t="s">
        <v>58</v>
      </c>
      <c r="D64" s="3" t="s">
        <v>37</v>
      </c>
      <c r="E64" s="3" t="s">
        <v>13</v>
      </c>
      <c r="F64" s="3" t="s">
        <v>61</v>
      </c>
      <c r="G64" s="3" t="s">
        <v>13</v>
      </c>
      <c r="H64" s="3" t="s">
        <v>59</v>
      </c>
    </row>
    <row r="65" spans="1:8" x14ac:dyDescent="0.35">
      <c r="A65" s="3" t="s">
        <v>53</v>
      </c>
      <c r="B65" s="3" t="s">
        <v>20</v>
      </c>
      <c r="C65" s="3" t="s">
        <v>58</v>
      </c>
      <c r="D65" s="3" t="s">
        <v>62</v>
      </c>
      <c r="E65" s="3" t="s">
        <v>13</v>
      </c>
      <c r="F65" s="3" t="s">
        <v>61</v>
      </c>
      <c r="G65" s="3" t="s">
        <v>13</v>
      </c>
      <c r="H65" s="3" t="s">
        <v>59</v>
      </c>
    </row>
    <row r="66" spans="1:8" x14ac:dyDescent="0.35">
      <c r="A66" s="3" t="s">
        <v>53</v>
      </c>
      <c r="B66" s="3" t="s">
        <v>20</v>
      </c>
      <c r="C66" s="3" t="s">
        <v>63</v>
      </c>
      <c r="D66" s="3" t="s">
        <v>56</v>
      </c>
      <c r="E66" s="3" t="s">
        <v>13</v>
      </c>
      <c r="F66" s="3" t="s">
        <v>64</v>
      </c>
      <c r="G66" s="3" t="s">
        <v>13</v>
      </c>
      <c r="H66" s="3" t="s">
        <v>59</v>
      </c>
    </row>
    <row r="67" spans="1:8" x14ac:dyDescent="0.35">
      <c r="A67" s="3" t="s">
        <v>53</v>
      </c>
      <c r="B67" s="3" t="s">
        <v>20</v>
      </c>
      <c r="C67" s="3" t="s">
        <v>63</v>
      </c>
      <c r="D67" s="3" t="s">
        <v>32</v>
      </c>
      <c r="E67" s="3"/>
      <c r="F67" s="3"/>
      <c r="G67" s="3" t="s">
        <v>13</v>
      </c>
      <c r="H67" s="3" t="s">
        <v>59</v>
      </c>
    </row>
    <row r="68" spans="1:8" x14ac:dyDescent="0.35">
      <c r="A68" s="3" t="s">
        <v>53</v>
      </c>
      <c r="B68" s="3" t="s">
        <v>10</v>
      </c>
      <c r="C68" s="3" t="s">
        <v>65</v>
      </c>
      <c r="D68" s="3" t="s">
        <v>12</v>
      </c>
      <c r="E68" s="3"/>
      <c r="F68" s="3"/>
      <c r="G68" s="3"/>
      <c r="H68" s="3"/>
    </row>
    <row r="69" spans="1:8" x14ac:dyDescent="0.35">
      <c r="A69" s="3" t="s">
        <v>53</v>
      </c>
      <c r="B69" s="3" t="s">
        <v>10</v>
      </c>
      <c r="C69" s="3" t="s">
        <v>65</v>
      </c>
      <c r="D69" s="3" t="s">
        <v>15</v>
      </c>
      <c r="E69" s="3" t="s">
        <v>13</v>
      </c>
      <c r="F69" s="3" t="s">
        <v>66</v>
      </c>
      <c r="G69" s="3"/>
      <c r="H69" s="3"/>
    </row>
    <row r="70" spans="1:8" x14ac:dyDescent="0.35">
      <c r="A70" s="3" t="s">
        <v>53</v>
      </c>
      <c r="B70" s="3" t="s">
        <v>10</v>
      </c>
      <c r="C70" s="3" t="s">
        <v>65</v>
      </c>
      <c r="D70" s="3" t="s">
        <v>57</v>
      </c>
      <c r="E70" s="3"/>
      <c r="F70" s="3"/>
      <c r="G70" s="3"/>
      <c r="H70" s="3"/>
    </row>
    <row r="71" spans="1:8" x14ac:dyDescent="0.35">
      <c r="A71" s="3" t="s">
        <v>53</v>
      </c>
      <c r="B71" s="3" t="s">
        <v>10</v>
      </c>
      <c r="C71" s="3" t="s">
        <v>65</v>
      </c>
      <c r="D71" s="3" t="s">
        <v>32</v>
      </c>
      <c r="E71" s="3" t="s">
        <v>13</v>
      </c>
      <c r="F71" s="3" t="s">
        <v>67</v>
      </c>
      <c r="G71" s="3"/>
      <c r="H71" s="3"/>
    </row>
    <row r="72" spans="1:8" x14ac:dyDescent="0.35">
      <c r="A72" s="3" t="s">
        <v>53</v>
      </c>
      <c r="B72" s="3" t="s">
        <v>20</v>
      </c>
      <c r="C72" s="3" t="s">
        <v>68</v>
      </c>
      <c r="D72" s="3" t="s">
        <v>23</v>
      </c>
      <c r="E72" s="3"/>
      <c r="F72" s="3"/>
      <c r="G72" s="3" t="s">
        <v>13</v>
      </c>
      <c r="H72" s="3" t="s">
        <v>69</v>
      </c>
    </row>
    <row r="73" spans="1:8" x14ac:dyDescent="0.35">
      <c r="A73" s="3" t="s">
        <v>53</v>
      </c>
      <c r="B73" s="3" t="s">
        <v>20</v>
      </c>
      <c r="C73" s="3" t="s">
        <v>68</v>
      </c>
      <c r="D73" s="3" t="s">
        <v>25</v>
      </c>
      <c r="E73" s="3"/>
      <c r="F73" s="3"/>
      <c r="G73" s="3" t="s">
        <v>13</v>
      </c>
      <c r="H73" s="3" t="s">
        <v>69</v>
      </c>
    </row>
    <row r="74" spans="1:8" x14ac:dyDescent="0.35">
      <c r="A74" s="3" t="s">
        <v>53</v>
      </c>
      <c r="B74" s="3" t="s">
        <v>20</v>
      </c>
      <c r="C74" s="3" t="s">
        <v>68</v>
      </c>
      <c r="D74" s="3" t="s">
        <v>60</v>
      </c>
      <c r="E74" s="3"/>
      <c r="F74" s="3"/>
      <c r="G74" s="3" t="s">
        <v>13</v>
      </c>
      <c r="H74" s="3" t="s">
        <v>70</v>
      </c>
    </row>
    <row r="75" spans="1:8" x14ac:dyDescent="0.35">
      <c r="A75" s="3" t="s">
        <v>53</v>
      </c>
      <c r="B75" s="3" t="s">
        <v>20</v>
      </c>
      <c r="C75" s="3" t="s">
        <v>68</v>
      </c>
      <c r="D75" s="3" t="s">
        <v>71</v>
      </c>
      <c r="E75" s="3"/>
      <c r="F75" s="3"/>
      <c r="G75" s="3" t="s">
        <v>13</v>
      </c>
      <c r="H75" s="3" t="s">
        <v>70</v>
      </c>
    </row>
    <row r="76" spans="1:8" x14ac:dyDescent="0.35">
      <c r="A76" s="3" t="s">
        <v>53</v>
      </c>
      <c r="B76" s="3" t="s">
        <v>20</v>
      </c>
      <c r="C76" s="3" t="s">
        <v>68</v>
      </c>
      <c r="D76" s="3" t="s">
        <v>28</v>
      </c>
      <c r="E76" s="3" t="s">
        <v>33</v>
      </c>
      <c r="F76" s="3" t="s">
        <v>34</v>
      </c>
      <c r="G76" s="3"/>
      <c r="H76" s="3"/>
    </row>
    <row r="77" spans="1:8" x14ac:dyDescent="0.35">
      <c r="A77" s="3" t="s">
        <v>53</v>
      </c>
      <c r="B77" s="3" t="s">
        <v>20</v>
      </c>
      <c r="C77" s="3" t="s">
        <v>68</v>
      </c>
      <c r="D77" s="3" t="s">
        <v>15</v>
      </c>
      <c r="E77" s="3" t="s">
        <v>13</v>
      </c>
      <c r="F77" s="3" t="s">
        <v>72</v>
      </c>
      <c r="G77" s="3" t="s">
        <v>13</v>
      </c>
      <c r="H77" s="3" t="s">
        <v>69</v>
      </c>
    </row>
    <row r="78" spans="1:8" x14ac:dyDescent="0.35">
      <c r="A78" s="3" t="s">
        <v>53</v>
      </c>
      <c r="B78" s="3" t="s">
        <v>20</v>
      </c>
      <c r="C78" s="3" t="s">
        <v>68</v>
      </c>
      <c r="D78" s="3" t="s">
        <v>56</v>
      </c>
      <c r="E78" s="3"/>
      <c r="F78" s="3"/>
      <c r="G78" s="3" t="s">
        <v>13</v>
      </c>
      <c r="H78" s="3" t="s">
        <v>69</v>
      </c>
    </row>
    <row r="79" spans="1:8" x14ac:dyDescent="0.35">
      <c r="A79" s="3" t="s">
        <v>53</v>
      </c>
      <c r="B79" s="3" t="s">
        <v>20</v>
      </c>
      <c r="C79" s="3" t="s">
        <v>68</v>
      </c>
      <c r="D79" s="3" t="s">
        <v>37</v>
      </c>
      <c r="E79" s="3"/>
      <c r="F79" s="3"/>
      <c r="G79" s="3" t="s">
        <v>13</v>
      </c>
      <c r="H79" s="3" t="s">
        <v>69</v>
      </c>
    </row>
    <row r="80" spans="1:8" x14ac:dyDescent="0.35">
      <c r="A80" s="3" t="s">
        <v>53</v>
      </c>
      <c r="B80" s="3" t="s">
        <v>45</v>
      </c>
      <c r="C80" s="3" t="s">
        <v>2774</v>
      </c>
      <c r="D80" s="3" t="s">
        <v>56</v>
      </c>
      <c r="E80" s="3"/>
      <c r="F80" s="3"/>
      <c r="G80" s="3"/>
      <c r="H80" s="3"/>
    </row>
    <row r="81" spans="1:8" x14ac:dyDescent="0.35">
      <c r="A81" s="3" t="s">
        <v>53</v>
      </c>
      <c r="B81" s="3" t="s">
        <v>45</v>
      </c>
      <c r="C81" s="3" t="s">
        <v>2774</v>
      </c>
      <c r="D81" s="3" t="s">
        <v>24</v>
      </c>
      <c r="E81" s="3"/>
      <c r="F81" s="3"/>
      <c r="G81" s="3"/>
      <c r="H81" s="3"/>
    </row>
    <row r="82" spans="1:8" x14ac:dyDescent="0.35">
      <c r="A82" s="3" t="s">
        <v>53</v>
      </c>
      <c r="B82" s="3" t="s">
        <v>10</v>
      </c>
      <c r="C82" s="3" t="s">
        <v>2997</v>
      </c>
      <c r="D82" s="3" t="s">
        <v>47</v>
      </c>
      <c r="E82" s="3"/>
      <c r="F82" s="3"/>
      <c r="G82" s="3"/>
      <c r="H82" s="3"/>
    </row>
    <row r="83" spans="1:8" x14ac:dyDescent="0.35">
      <c r="A83" s="3" t="s">
        <v>53</v>
      </c>
      <c r="B83" s="3" t="s">
        <v>10</v>
      </c>
      <c r="C83" s="3" t="s">
        <v>2997</v>
      </c>
      <c r="D83" s="3" t="s">
        <v>15</v>
      </c>
      <c r="E83" s="3" t="s">
        <v>16</v>
      </c>
      <c r="F83" s="3" t="s">
        <v>2998</v>
      </c>
      <c r="G83" s="3"/>
      <c r="H83" s="3"/>
    </row>
    <row r="84" spans="1:8" x14ac:dyDescent="0.35">
      <c r="A84" s="3" t="s">
        <v>53</v>
      </c>
      <c r="B84" s="3" t="s">
        <v>10</v>
      </c>
      <c r="C84" s="3" t="s">
        <v>2997</v>
      </c>
      <c r="D84" s="3" t="s">
        <v>57</v>
      </c>
      <c r="E84" s="3"/>
      <c r="F84" s="3"/>
      <c r="G84" s="3"/>
      <c r="H84" s="3"/>
    </row>
    <row r="85" spans="1:8" x14ac:dyDescent="0.35">
      <c r="A85" s="3" t="s">
        <v>53</v>
      </c>
      <c r="B85" s="3" t="s">
        <v>10</v>
      </c>
      <c r="C85" s="3" t="s">
        <v>2997</v>
      </c>
      <c r="D85" s="3" t="s">
        <v>32</v>
      </c>
      <c r="E85" s="3"/>
      <c r="F85" s="3" t="s">
        <v>2999</v>
      </c>
      <c r="G85" s="3"/>
      <c r="H85" s="3"/>
    </row>
    <row r="86" spans="1:8" x14ac:dyDescent="0.35">
      <c r="A86" s="3" t="s">
        <v>53</v>
      </c>
      <c r="B86" s="3" t="s">
        <v>10</v>
      </c>
      <c r="C86" s="3" t="s">
        <v>2997</v>
      </c>
      <c r="D86" s="3" t="s">
        <v>134</v>
      </c>
      <c r="E86" s="3"/>
      <c r="F86" s="3"/>
      <c r="G86" s="3"/>
      <c r="H86" s="3"/>
    </row>
    <row r="87" spans="1:8" x14ac:dyDescent="0.35">
      <c r="A87" s="3" t="s">
        <v>53</v>
      </c>
      <c r="B87" s="3" t="s">
        <v>39</v>
      </c>
      <c r="C87" s="3" t="s">
        <v>73</v>
      </c>
      <c r="D87" s="3" t="s">
        <v>12</v>
      </c>
      <c r="E87" s="3"/>
      <c r="F87" s="3"/>
      <c r="G87" s="3" t="s">
        <v>16</v>
      </c>
      <c r="H87" s="3" t="s">
        <v>74</v>
      </c>
    </row>
    <row r="88" spans="1:8" x14ac:dyDescent="0.35">
      <c r="A88" s="3" t="s">
        <v>53</v>
      </c>
      <c r="B88" s="3" t="s">
        <v>39</v>
      </c>
      <c r="C88" s="3" t="s">
        <v>73</v>
      </c>
      <c r="D88" s="3" t="s">
        <v>27</v>
      </c>
      <c r="E88" s="3" t="s">
        <v>16</v>
      </c>
      <c r="F88" s="3" t="s">
        <v>75</v>
      </c>
      <c r="G88" s="3" t="s">
        <v>16</v>
      </c>
      <c r="H88" s="3" t="s">
        <v>74</v>
      </c>
    </row>
    <row r="89" spans="1:8" x14ac:dyDescent="0.35">
      <c r="A89" s="3" t="s">
        <v>53</v>
      </c>
      <c r="B89" s="3" t="s">
        <v>39</v>
      </c>
      <c r="C89" s="3" t="s">
        <v>73</v>
      </c>
      <c r="D89" s="3" t="s">
        <v>24</v>
      </c>
      <c r="E89" s="3" t="s">
        <v>16</v>
      </c>
      <c r="F89" s="3" t="s">
        <v>75</v>
      </c>
      <c r="G89" s="3" t="s">
        <v>16</v>
      </c>
      <c r="H89" s="3" t="s">
        <v>74</v>
      </c>
    </row>
    <row r="90" spans="1:8" x14ac:dyDescent="0.35">
      <c r="A90" s="3" t="s">
        <v>53</v>
      </c>
      <c r="B90" s="3" t="s">
        <v>10</v>
      </c>
      <c r="C90" s="3" t="s">
        <v>3006</v>
      </c>
      <c r="D90" s="3" t="s">
        <v>12</v>
      </c>
      <c r="E90" s="3"/>
      <c r="F90" s="3"/>
      <c r="G90" s="3"/>
      <c r="H90" s="3"/>
    </row>
    <row r="91" spans="1:8" x14ac:dyDescent="0.35">
      <c r="A91" s="3" t="s">
        <v>53</v>
      </c>
      <c r="B91" s="3" t="s">
        <v>10</v>
      </c>
      <c r="C91" s="3" t="s">
        <v>3006</v>
      </c>
      <c r="D91" s="3" t="s">
        <v>47</v>
      </c>
      <c r="E91" s="3"/>
      <c r="F91" s="3"/>
      <c r="G91" s="3"/>
      <c r="H91" s="3"/>
    </row>
    <row r="92" spans="1:8" x14ac:dyDescent="0.35">
      <c r="A92" s="3" t="s">
        <v>53</v>
      </c>
      <c r="B92" s="3" t="s">
        <v>10</v>
      </c>
      <c r="C92" s="3" t="s">
        <v>3006</v>
      </c>
      <c r="D92" s="3" t="s">
        <v>28</v>
      </c>
      <c r="E92" s="3"/>
      <c r="F92" s="3"/>
      <c r="G92" s="3"/>
      <c r="H92" s="3"/>
    </row>
    <row r="93" spans="1:8" x14ac:dyDescent="0.35">
      <c r="A93" s="3" t="s">
        <v>53</v>
      </c>
      <c r="B93" s="3" t="s">
        <v>10</v>
      </c>
      <c r="C93" s="3" t="s">
        <v>3006</v>
      </c>
      <c r="D93" s="3" t="s">
        <v>32</v>
      </c>
      <c r="E93" s="3"/>
      <c r="F93" s="3"/>
      <c r="G93" s="3"/>
      <c r="H93" s="3"/>
    </row>
    <row r="94" spans="1:8" x14ac:dyDescent="0.35">
      <c r="A94" s="3" t="s">
        <v>53</v>
      </c>
      <c r="B94" s="3" t="s">
        <v>10</v>
      </c>
      <c r="C94" s="3" t="s">
        <v>3006</v>
      </c>
      <c r="D94" s="3" t="s">
        <v>134</v>
      </c>
      <c r="E94" s="3"/>
      <c r="F94" s="3"/>
      <c r="G94" s="3"/>
      <c r="H94" s="3"/>
    </row>
    <row r="95" spans="1:8" x14ac:dyDescent="0.35">
      <c r="A95" s="3" t="s">
        <v>53</v>
      </c>
      <c r="B95" s="3" t="s">
        <v>10</v>
      </c>
      <c r="C95" s="3" t="s">
        <v>3006</v>
      </c>
      <c r="D95" s="3" t="s">
        <v>107</v>
      </c>
      <c r="E95" s="3"/>
      <c r="F95" s="3"/>
      <c r="G95" s="3"/>
      <c r="H95" s="3"/>
    </row>
    <row r="96" spans="1:8" x14ac:dyDescent="0.35">
      <c r="A96" s="3" t="s">
        <v>53</v>
      </c>
      <c r="B96" s="3" t="s">
        <v>45</v>
      </c>
      <c r="C96" s="3" t="s">
        <v>76</v>
      </c>
      <c r="D96" s="3" t="s">
        <v>77</v>
      </c>
      <c r="E96" s="3"/>
      <c r="F96" s="3"/>
      <c r="G96" s="3"/>
      <c r="H96" s="3"/>
    </row>
    <row r="97" spans="1:8" x14ac:dyDescent="0.35">
      <c r="A97" s="3" t="s">
        <v>53</v>
      </c>
      <c r="B97" s="3" t="s">
        <v>42</v>
      </c>
      <c r="C97" s="3" t="s">
        <v>78</v>
      </c>
      <c r="D97" s="3" t="s">
        <v>12</v>
      </c>
      <c r="E97" s="3"/>
      <c r="F97" s="3"/>
      <c r="G97" s="3" t="s">
        <v>13</v>
      </c>
      <c r="H97" s="3" t="s">
        <v>69</v>
      </c>
    </row>
    <row r="98" spans="1:8" x14ac:dyDescent="0.35">
      <c r="A98" s="3" t="s">
        <v>53</v>
      </c>
      <c r="B98" s="3" t="s">
        <v>42</v>
      </c>
      <c r="C98" s="3" t="s">
        <v>78</v>
      </c>
      <c r="D98" s="3" t="s">
        <v>23</v>
      </c>
      <c r="E98" s="3"/>
      <c r="F98" s="3"/>
      <c r="G98" s="3" t="s">
        <v>13</v>
      </c>
      <c r="H98" s="3" t="s">
        <v>69</v>
      </c>
    </row>
    <row r="99" spans="1:8" x14ac:dyDescent="0.35">
      <c r="A99" s="3" t="s">
        <v>53</v>
      </c>
      <c r="B99" s="3" t="s">
        <v>42</v>
      </c>
      <c r="C99" s="3" t="s">
        <v>78</v>
      </c>
      <c r="D99" s="3" t="s">
        <v>25</v>
      </c>
      <c r="E99" s="3"/>
      <c r="F99" s="3"/>
      <c r="G99" s="3" t="s">
        <v>13</v>
      </c>
      <c r="H99" s="3" t="s">
        <v>69</v>
      </c>
    </row>
    <row r="100" spans="1:8" x14ac:dyDescent="0.35">
      <c r="A100" s="3" t="s">
        <v>53</v>
      </c>
      <c r="B100" s="3" t="s">
        <v>42</v>
      </c>
      <c r="C100" s="3" t="s">
        <v>78</v>
      </c>
      <c r="D100" s="3" t="s">
        <v>27</v>
      </c>
      <c r="E100" s="3"/>
      <c r="F100" s="3"/>
      <c r="G100" s="3" t="s">
        <v>13</v>
      </c>
      <c r="H100" s="3" t="s">
        <v>69</v>
      </c>
    </row>
    <row r="101" spans="1:8" x14ac:dyDescent="0.35">
      <c r="A101" s="3" t="s">
        <v>53</v>
      </c>
      <c r="B101" s="3" t="s">
        <v>42</v>
      </c>
      <c r="C101" s="3" t="s">
        <v>78</v>
      </c>
      <c r="D101" s="3" t="s">
        <v>31</v>
      </c>
      <c r="E101" s="3" t="s">
        <v>33</v>
      </c>
      <c r="F101" s="3" t="s">
        <v>81</v>
      </c>
      <c r="G101" s="3" t="s">
        <v>13</v>
      </c>
      <c r="H101" s="3" t="s">
        <v>69</v>
      </c>
    </row>
    <row r="102" spans="1:8" x14ac:dyDescent="0.35">
      <c r="A102" s="3" t="s">
        <v>53</v>
      </c>
      <c r="B102" s="3" t="s">
        <v>42</v>
      </c>
      <c r="C102" s="3" t="s">
        <v>78</v>
      </c>
      <c r="D102" s="3" t="s">
        <v>15</v>
      </c>
      <c r="E102" s="3" t="s">
        <v>13</v>
      </c>
      <c r="F102" s="3" t="s">
        <v>80</v>
      </c>
      <c r="G102" s="3" t="s">
        <v>13</v>
      </c>
      <c r="H102" s="3" t="s">
        <v>69</v>
      </c>
    </row>
    <row r="103" spans="1:8" x14ac:dyDescent="0.35">
      <c r="A103" s="3" t="s">
        <v>53</v>
      </c>
      <c r="B103" s="3" t="s">
        <v>42</v>
      </c>
      <c r="C103" s="3" t="s">
        <v>78</v>
      </c>
      <c r="D103" s="3" t="s">
        <v>56</v>
      </c>
      <c r="E103" s="3" t="s">
        <v>13</v>
      </c>
      <c r="F103" s="3" t="s">
        <v>79</v>
      </c>
      <c r="G103" s="3" t="s">
        <v>13</v>
      </c>
      <c r="H103" s="3" t="s">
        <v>69</v>
      </c>
    </row>
    <row r="104" spans="1:8" x14ac:dyDescent="0.35">
      <c r="A104" s="3" t="s">
        <v>53</v>
      </c>
      <c r="B104" s="3" t="s">
        <v>42</v>
      </c>
      <c r="C104" s="3" t="s">
        <v>78</v>
      </c>
      <c r="D104" s="3" t="s">
        <v>82</v>
      </c>
      <c r="E104" s="3" t="s">
        <v>13</v>
      </c>
      <c r="F104" s="3" t="s">
        <v>83</v>
      </c>
      <c r="G104" s="3" t="s">
        <v>13</v>
      </c>
      <c r="H104" s="3" t="s">
        <v>69</v>
      </c>
    </row>
    <row r="105" spans="1:8" x14ac:dyDescent="0.35">
      <c r="A105" s="3" t="s">
        <v>2495</v>
      </c>
      <c r="B105" s="3" t="s">
        <v>20</v>
      </c>
      <c r="C105" s="3" t="s">
        <v>2496</v>
      </c>
      <c r="D105" s="3" t="s">
        <v>27</v>
      </c>
      <c r="E105" s="3"/>
      <c r="F105" s="3"/>
      <c r="G105" s="3" t="s">
        <v>16</v>
      </c>
      <c r="H105" s="3" t="s">
        <v>2497</v>
      </c>
    </row>
    <row r="106" spans="1:8" x14ac:dyDescent="0.35">
      <c r="A106" s="3" t="s">
        <v>2495</v>
      </c>
      <c r="B106" s="3" t="s">
        <v>20</v>
      </c>
      <c r="C106" s="3" t="s">
        <v>2496</v>
      </c>
      <c r="D106" s="3" t="s">
        <v>15</v>
      </c>
      <c r="E106" s="3"/>
      <c r="F106" s="3"/>
      <c r="G106" s="3" t="s">
        <v>16</v>
      </c>
      <c r="H106" s="3" t="s">
        <v>2497</v>
      </c>
    </row>
    <row r="107" spans="1:8" x14ac:dyDescent="0.35">
      <c r="A107" s="3" t="s">
        <v>2495</v>
      </c>
      <c r="B107" s="3" t="s">
        <v>20</v>
      </c>
      <c r="C107" s="3" t="s">
        <v>2496</v>
      </c>
      <c r="D107" s="3" t="s">
        <v>24</v>
      </c>
      <c r="E107" s="3"/>
      <c r="F107" s="3"/>
      <c r="G107" s="3" t="s">
        <v>16</v>
      </c>
      <c r="H107" s="3" t="s">
        <v>2497</v>
      </c>
    </row>
    <row r="108" spans="1:8" x14ac:dyDescent="0.35">
      <c r="A108" s="3" t="s">
        <v>84</v>
      </c>
      <c r="B108" s="3" t="s">
        <v>20</v>
      </c>
      <c r="C108" s="3" t="s">
        <v>85</v>
      </c>
      <c r="D108" s="3" t="s">
        <v>25</v>
      </c>
      <c r="E108" s="3"/>
      <c r="F108" s="3"/>
      <c r="G108" s="3" t="s">
        <v>16</v>
      </c>
      <c r="H108" s="3" t="s">
        <v>86</v>
      </c>
    </row>
    <row r="109" spans="1:8" x14ac:dyDescent="0.35">
      <c r="A109" s="3" t="s">
        <v>84</v>
      </c>
      <c r="B109" s="3" t="s">
        <v>20</v>
      </c>
      <c r="C109" s="3" t="s">
        <v>85</v>
      </c>
      <c r="D109" s="3" t="s">
        <v>27</v>
      </c>
      <c r="E109" s="3"/>
      <c r="F109" s="3" t="s">
        <v>2403</v>
      </c>
      <c r="G109" s="3" t="s">
        <v>16</v>
      </c>
      <c r="H109" s="3" t="s">
        <v>86</v>
      </c>
    </row>
    <row r="110" spans="1:8" x14ac:dyDescent="0.35">
      <c r="A110" s="3" t="s">
        <v>84</v>
      </c>
      <c r="B110" s="3" t="s">
        <v>20</v>
      </c>
      <c r="C110" s="3" t="s">
        <v>85</v>
      </c>
      <c r="D110" s="3" t="s">
        <v>77</v>
      </c>
      <c r="E110" s="3"/>
      <c r="F110" s="3"/>
      <c r="G110" s="3" t="s">
        <v>16</v>
      </c>
      <c r="H110" s="3" t="s">
        <v>86</v>
      </c>
    </row>
    <row r="111" spans="1:8" x14ac:dyDescent="0.35">
      <c r="A111" s="3" t="s">
        <v>84</v>
      </c>
      <c r="B111" s="3" t="s">
        <v>20</v>
      </c>
      <c r="C111" s="3" t="s">
        <v>85</v>
      </c>
      <c r="D111" s="3" t="s">
        <v>87</v>
      </c>
      <c r="E111" s="3"/>
      <c r="F111" s="3"/>
      <c r="G111" s="3" t="s">
        <v>16</v>
      </c>
      <c r="H111" s="3" t="s">
        <v>86</v>
      </c>
    </row>
    <row r="112" spans="1:8" x14ac:dyDescent="0.35">
      <c r="A112" s="3" t="s">
        <v>84</v>
      </c>
      <c r="B112" s="3" t="s">
        <v>20</v>
      </c>
      <c r="C112" s="3" t="s">
        <v>85</v>
      </c>
      <c r="D112" s="3" t="s">
        <v>15</v>
      </c>
      <c r="E112" s="3" t="s">
        <v>16</v>
      </c>
      <c r="F112" s="3" t="s">
        <v>88</v>
      </c>
      <c r="G112" s="3" t="s">
        <v>16</v>
      </c>
      <c r="H112" s="3" t="s">
        <v>86</v>
      </c>
    </row>
    <row r="113" spans="1:8" x14ac:dyDescent="0.35">
      <c r="A113" s="3" t="s">
        <v>84</v>
      </c>
      <c r="B113" s="3" t="s">
        <v>20</v>
      </c>
      <c r="C113" s="3" t="s">
        <v>85</v>
      </c>
      <c r="D113" s="3" t="s">
        <v>89</v>
      </c>
      <c r="E113" s="3"/>
      <c r="F113" s="3"/>
      <c r="G113" s="3" t="s">
        <v>16</v>
      </c>
      <c r="H113" s="3" t="s">
        <v>86</v>
      </c>
    </row>
    <row r="114" spans="1:8" x14ac:dyDescent="0.35">
      <c r="A114" s="3" t="s">
        <v>84</v>
      </c>
      <c r="B114" s="3" t="s">
        <v>20</v>
      </c>
      <c r="C114" s="3" t="s">
        <v>85</v>
      </c>
      <c r="D114" s="3" t="s">
        <v>24</v>
      </c>
      <c r="E114" s="3"/>
      <c r="F114" s="3" t="s">
        <v>2404</v>
      </c>
      <c r="G114" s="3" t="s">
        <v>16</v>
      </c>
      <c r="H114" s="3" t="s">
        <v>86</v>
      </c>
    </row>
    <row r="115" spans="1:8" x14ac:dyDescent="0.35">
      <c r="A115" s="3" t="s">
        <v>90</v>
      </c>
      <c r="B115" s="3" t="s">
        <v>20</v>
      </c>
      <c r="C115" s="3" t="s">
        <v>91</v>
      </c>
      <c r="D115" s="3" t="s">
        <v>27</v>
      </c>
      <c r="E115" s="3" t="s">
        <v>16</v>
      </c>
      <c r="F115" s="3" t="s">
        <v>93</v>
      </c>
      <c r="G115" s="3" t="s">
        <v>13</v>
      </c>
      <c r="H115" s="3" t="s">
        <v>92</v>
      </c>
    </row>
    <row r="116" spans="1:8" x14ac:dyDescent="0.35">
      <c r="A116" s="3" t="s">
        <v>90</v>
      </c>
      <c r="B116" s="3" t="s">
        <v>20</v>
      </c>
      <c r="C116" s="3" t="s">
        <v>91</v>
      </c>
      <c r="D116" s="3" t="s">
        <v>87</v>
      </c>
      <c r="E116" s="3" t="s">
        <v>16</v>
      </c>
      <c r="F116" s="3" t="s">
        <v>93</v>
      </c>
      <c r="G116" s="3" t="s">
        <v>13</v>
      </c>
      <c r="H116" s="3" t="s">
        <v>92</v>
      </c>
    </row>
    <row r="117" spans="1:8" x14ac:dyDescent="0.35">
      <c r="A117" s="3" t="s">
        <v>90</v>
      </c>
      <c r="B117" s="3" t="s">
        <v>20</v>
      </c>
      <c r="C117" s="3" t="s">
        <v>91</v>
      </c>
      <c r="D117" s="3" t="s">
        <v>15</v>
      </c>
      <c r="E117" s="3"/>
      <c r="F117" s="3"/>
      <c r="G117" s="3" t="s">
        <v>13</v>
      </c>
      <c r="H117" s="3" t="s">
        <v>92</v>
      </c>
    </row>
    <row r="118" spans="1:8" x14ac:dyDescent="0.35">
      <c r="A118" s="3" t="s">
        <v>90</v>
      </c>
      <c r="B118" s="3" t="s">
        <v>20</v>
      </c>
      <c r="C118" s="3" t="s">
        <v>91</v>
      </c>
      <c r="D118" s="3" t="s">
        <v>37</v>
      </c>
      <c r="E118" s="3" t="s">
        <v>16</v>
      </c>
      <c r="F118" s="3" t="s">
        <v>93</v>
      </c>
      <c r="G118" s="3" t="s">
        <v>13</v>
      </c>
      <c r="H118" s="3" t="s">
        <v>92</v>
      </c>
    </row>
    <row r="119" spans="1:8" x14ac:dyDescent="0.35">
      <c r="A119" s="3" t="s">
        <v>94</v>
      </c>
      <c r="B119" s="3" t="s">
        <v>42</v>
      </c>
      <c r="C119" s="3" t="s">
        <v>95</v>
      </c>
      <c r="D119" s="3" t="s">
        <v>12</v>
      </c>
      <c r="E119" s="3"/>
      <c r="F119" s="3"/>
      <c r="G119" s="3"/>
      <c r="H119" s="3"/>
    </row>
    <row r="120" spans="1:8" x14ac:dyDescent="0.35">
      <c r="A120" s="3" t="s">
        <v>94</v>
      </c>
      <c r="B120" s="3" t="s">
        <v>42</v>
      </c>
      <c r="C120" s="3" t="s">
        <v>95</v>
      </c>
      <c r="D120" s="3" t="s">
        <v>77</v>
      </c>
      <c r="E120" s="3"/>
      <c r="F120" s="3" t="s">
        <v>97</v>
      </c>
      <c r="G120" s="3"/>
      <c r="H120" s="3"/>
    </row>
    <row r="121" spans="1:8" x14ac:dyDescent="0.35">
      <c r="A121" s="3" t="s">
        <v>94</v>
      </c>
      <c r="B121" s="3" t="s">
        <v>42</v>
      </c>
      <c r="C121" s="3" t="s">
        <v>95</v>
      </c>
      <c r="D121" s="3" t="s">
        <v>44</v>
      </c>
      <c r="E121" s="3"/>
      <c r="F121" s="3"/>
      <c r="G121" s="3"/>
      <c r="H121" s="3"/>
    </row>
    <row r="122" spans="1:8" x14ac:dyDescent="0.35">
      <c r="A122" s="3" t="s">
        <v>94</v>
      </c>
      <c r="B122" s="3" t="s">
        <v>42</v>
      </c>
      <c r="C122" s="3" t="s">
        <v>95</v>
      </c>
      <c r="D122" s="3" t="s">
        <v>98</v>
      </c>
      <c r="E122" s="3"/>
      <c r="F122" s="3"/>
      <c r="G122" s="3"/>
      <c r="H122" s="3"/>
    </row>
    <row r="123" spans="1:8" x14ac:dyDescent="0.35">
      <c r="A123" s="3" t="s">
        <v>94</v>
      </c>
      <c r="B123" s="3" t="s">
        <v>42</v>
      </c>
      <c r="C123" s="3" t="s">
        <v>95</v>
      </c>
      <c r="D123" s="3" t="s">
        <v>56</v>
      </c>
      <c r="E123" s="3" t="s">
        <v>16</v>
      </c>
      <c r="F123" s="3" t="s">
        <v>96</v>
      </c>
      <c r="G123" s="3"/>
      <c r="H123" s="3"/>
    </row>
    <row r="124" spans="1:8" x14ac:dyDescent="0.35">
      <c r="A124" s="3" t="s">
        <v>94</v>
      </c>
      <c r="B124" s="3" t="s">
        <v>20</v>
      </c>
      <c r="C124" s="3" t="s">
        <v>99</v>
      </c>
      <c r="D124" s="3" t="s">
        <v>23</v>
      </c>
      <c r="E124" s="3"/>
      <c r="F124" s="3"/>
      <c r="G124" s="3" t="s">
        <v>13</v>
      </c>
      <c r="H124" s="3" t="s">
        <v>101</v>
      </c>
    </row>
    <row r="125" spans="1:8" x14ac:dyDescent="0.35">
      <c r="A125" s="3" t="s">
        <v>94</v>
      </c>
      <c r="B125" s="3" t="s">
        <v>20</v>
      </c>
      <c r="C125" s="3" t="s">
        <v>99</v>
      </c>
      <c r="D125" s="3" t="s">
        <v>25</v>
      </c>
      <c r="E125" s="3"/>
      <c r="F125" s="3"/>
      <c r="G125" s="3" t="s">
        <v>13</v>
      </c>
      <c r="H125" s="3" t="s">
        <v>101</v>
      </c>
    </row>
    <row r="126" spans="1:8" x14ac:dyDescent="0.35">
      <c r="A126" s="3" t="s">
        <v>94</v>
      </c>
      <c r="B126" s="3" t="s">
        <v>20</v>
      </c>
      <c r="C126" s="3" t="s">
        <v>99</v>
      </c>
      <c r="D126" s="3" t="s">
        <v>56</v>
      </c>
      <c r="E126" s="3" t="s">
        <v>13</v>
      </c>
      <c r="F126" s="3" t="s">
        <v>100</v>
      </c>
      <c r="G126" s="3" t="s">
        <v>13</v>
      </c>
      <c r="H126" s="3" t="s">
        <v>101</v>
      </c>
    </row>
    <row r="127" spans="1:8" x14ac:dyDescent="0.35">
      <c r="A127" s="3" t="s">
        <v>94</v>
      </c>
      <c r="B127" s="3" t="s">
        <v>45</v>
      </c>
      <c r="C127" s="3" t="s">
        <v>102</v>
      </c>
      <c r="D127" s="3" t="s">
        <v>36</v>
      </c>
      <c r="E127" s="3"/>
      <c r="F127" s="3"/>
      <c r="G127" s="3"/>
      <c r="H127" s="3"/>
    </row>
    <row r="128" spans="1:8" x14ac:dyDescent="0.35">
      <c r="A128" s="3" t="s">
        <v>94</v>
      </c>
      <c r="B128" s="3" t="s">
        <v>45</v>
      </c>
      <c r="C128" s="3" t="s">
        <v>102</v>
      </c>
      <c r="D128" s="3" t="s">
        <v>23</v>
      </c>
      <c r="E128" s="3"/>
      <c r="F128" s="3" t="s">
        <v>103</v>
      </c>
      <c r="G128" s="3"/>
      <c r="H128" s="3"/>
    </row>
    <row r="129" spans="1:8" x14ac:dyDescent="0.35">
      <c r="A129" s="3" t="s">
        <v>94</v>
      </c>
      <c r="B129" s="3" t="s">
        <v>39</v>
      </c>
      <c r="C129" s="3" t="s">
        <v>104</v>
      </c>
      <c r="D129" s="3" t="s">
        <v>12</v>
      </c>
      <c r="E129" s="3"/>
      <c r="F129" s="3"/>
      <c r="G129" s="3" t="s">
        <v>13</v>
      </c>
      <c r="H129" s="3" t="s">
        <v>106</v>
      </c>
    </row>
    <row r="130" spans="1:8" x14ac:dyDescent="0.35">
      <c r="A130" s="3" t="s">
        <v>94</v>
      </c>
      <c r="B130" s="3" t="s">
        <v>39</v>
      </c>
      <c r="C130" s="3" t="s">
        <v>104</v>
      </c>
      <c r="D130" s="3" t="s">
        <v>25</v>
      </c>
      <c r="E130" s="3"/>
      <c r="F130" s="3"/>
      <c r="G130" s="3" t="s">
        <v>13</v>
      </c>
      <c r="H130" s="3" t="s">
        <v>106</v>
      </c>
    </row>
    <row r="131" spans="1:8" x14ac:dyDescent="0.35">
      <c r="A131" s="3" t="s">
        <v>94</v>
      </c>
      <c r="B131" s="3" t="s">
        <v>39</v>
      </c>
      <c r="C131" s="3" t="s">
        <v>104</v>
      </c>
      <c r="D131" s="3" t="s">
        <v>27</v>
      </c>
      <c r="E131" s="3"/>
      <c r="F131" s="3"/>
      <c r="G131" s="3" t="s">
        <v>13</v>
      </c>
      <c r="H131" s="3" t="s">
        <v>106</v>
      </c>
    </row>
    <row r="132" spans="1:8" x14ac:dyDescent="0.35">
      <c r="A132" s="3" t="s">
        <v>94</v>
      </c>
      <c r="B132" s="3" t="s">
        <v>39</v>
      </c>
      <c r="C132" s="3" t="s">
        <v>104</v>
      </c>
      <c r="D132" s="3" t="s">
        <v>56</v>
      </c>
      <c r="E132" s="3" t="s">
        <v>16</v>
      </c>
      <c r="F132" s="3" t="s">
        <v>105</v>
      </c>
      <c r="G132" s="3" t="s">
        <v>13</v>
      </c>
      <c r="H132" s="3" t="s">
        <v>106</v>
      </c>
    </row>
    <row r="133" spans="1:8" x14ac:dyDescent="0.35">
      <c r="A133" s="3" t="s">
        <v>94</v>
      </c>
      <c r="B133" s="3" t="s">
        <v>39</v>
      </c>
      <c r="C133" s="3" t="s">
        <v>104</v>
      </c>
      <c r="D133" s="3" t="s">
        <v>107</v>
      </c>
      <c r="E133" s="3"/>
      <c r="F133" s="3"/>
      <c r="G133" s="3" t="s">
        <v>13</v>
      </c>
      <c r="H133" s="3" t="s">
        <v>106</v>
      </c>
    </row>
    <row r="134" spans="1:8" x14ac:dyDescent="0.35">
      <c r="A134" s="3" t="s">
        <v>94</v>
      </c>
      <c r="B134" s="3" t="s">
        <v>20</v>
      </c>
      <c r="C134" s="3" t="s">
        <v>108</v>
      </c>
      <c r="D134" s="3" t="s">
        <v>23</v>
      </c>
      <c r="E134" s="3"/>
      <c r="F134" s="3"/>
      <c r="G134" s="3" t="s">
        <v>13</v>
      </c>
      <c r="H134" s="3" t="s">
        <v>106</v>
      </c>
    </row>
    <row r="135" spans="1:8" x14ac:dyDescent="0.35">
      <c r="A135" s="3" t="s">
        <v>94</v>
      </c>
      <c r="B135" s="3" t="s">
        <v>20</v>
      </c>
      <c r="C135" s="3" t="s">
        <v>108</v>
      </c>
      <c r="D135" s="3" t="s">
        <v>27</v>
      </c>
      <c r="E135" s="3"/>
      <c r="F135" s="3"/>
      <c r="G135" s="3" t="s">
        <v>13</v>
      </c>
      <c r="H135" s="3" t="s">
        <v>106</v>
      </c>
    </row>
    <row r="136" spans="1:8" x14ac:dyDescent="0.35">
      <c r="A136" s="3" t="s">
        <v>94</v>
      </c>
      <c r="B136" s="3" t="s">
        <v>20</v>
      </c>
      <c r="C136" s="3" t="s">
        <v>108</v>
      </c>
      <c r="D136" s="3" t="s">
        <v>87</v>
      </c>
      <c r="E136" s="3"/>
      <c r="F136" s="3"/>
      <c r="G136" s="3" t="s">
        <v>13</v>
      </c>
      <c r="H136" s="3" t="s">
        <v>106</v>
      </c>
    </row>
    <row r="137" spans="1:8" x14ac:dyDescent="0.35">
      <c r="A137" s="3" t="s">
        <v>109</v>
      </c>
      <c r="B137" s="3" t="s">
        <v>42</v>
      </c>
      <c r="C137" s="3" t="s">
        <v>110</v>
      </c>
      <c r="D137" s="3" t="s">
        <v>25</v>
      </c>
      <c r="E137" s="3"/>
      <c r="F137" s="3"/>
      <c r="G137" s="3" t="s">
        <v>13</v>
      </c>
      <c r="H137" s="3" t="s">
        <v>111</v>
      </c>
    </row>
    <row r="138" spans="1:8" x14ac:dyDescent="0.35">
      <c r="A138" s="3" t="s">
        <v>109</v>
      </c>
      <c r="B138" s="3" t="s">
        <v>42</v>
      </c>
      <c r="C138" s="3" t="s">
        <v>110</v>
      </c>
      <c r="D138" s="3" t="s">
        <v>27</v>
      </c>
      <c r="E138" s="3"/>
      <c r="F138" s="3"/>
      <c r="G138" s="3" t="s">
        <v>13</v>
      </c>
      <c r="H138" s="3" t="s">
        <v>111</v>
      </c>
    </row>
    <row r="139" spans="1:8" x14ac:dyDescent="0.35">
      <c r="A139" s="3" t="s">
        <v>109</v>
      </c>
      <c r="B139" s="3" t="s">
        <v>42</v>
      </c>
      <c r="C139" s="3" t="s">
        <v>110</v>
      </c>
      <c r="D139" s="3" t="s">
        <v>77</v>
      </c>
      <c r="E139" s="3"/>
      <c r="F139" s="3"/>
      <c r="G139" s="3" t="s">
        <v>13</v>
      </c>
      <c r="H139" s="3" t="s">
        <v>111</v>
      </c>
    </row>
    <row r="140" spans="1:8" x14ac:dyDescent="0.35">
      <c r="A140" s="3" t="s">
        <v>109</v>
      </c>
      <c r="B140" s="3" t="s">
        <v>42</v>
      </c>
      <c r="C140" s="3" t="s">
        <v>110</v>
      </c>
      <c r="D140" s="3" t="s">
        <v>44</v>
      </c>
      <c r="E140" s="3"/>
      <c r="F140" s="3"/>
      <c r="G140" s="3" t="s">
        <v>13</v>
      </c>
      <c r="H140" s="3" t="s">
        <v>111</v>
      </c>
    </row>
    <row r="141" spans="1:8" x14ac:dyDescent="0.35">
      <c r="A141" s="3" t="s">
        <v>109</v>
      </c>
      <c r="B141" s="3" t="s">
        <v>42</v>
      </c>
      <c r="C141" s="3" t="s">
        <v>110</v>
      </c>
      <c r="D141" s="3" t="s">
        <v>37</v>
      </c>
      <c r="E141" s="3"/>
      <c r="F141" s="3"/>
      <c r="G141" s="3" t="s">
        <v>13</v>
      </c>
      <c r="H141" s="3" t="s">
        <v>111</v>
      </c>
    </row>
    <row r="142" spans="1:8" x14ac:dyDescent="0.35">
      <c r="A142" s="3" t="s">
        <v>109</v>
      </c>
      <c r="B142" s="3" t="s">
        <v>42</v>
      </c>
      <c r="C142" s="3" t="s">
        <v>110</v>
      </c>
      <c r="D142" s="3" t="s">
        <v>32</v>
      </c>
      <c r="E142" s="3" t="s">
        <v>13</v>
      </c>
      <c r="F142" s="3" t="s">
        <v>112</v>
      </c>
      <c r="G142" s="3" t="s">
        <v>13</v>
      </c>
      <c r="H142" s="3" t="s">
        <v>111</v>
      </c>
    </row>
    <row r="143" spans="1:8" x14ac:dyDescent="0.35">
      <c r="A143" s="3" t="s">
        <v>109</v>
      </c>
      <c r="B143" s="3" t="s">
        <v>42</v>
      </c>
      <c r="C143" s="3" t="s">
        <v>110</v>
      </c>
      <c r="D143" s="3" t="s">
        <v>26</v>
      </c>
      <c r="E143" s="3"/>
      <c r="F143" s="3"/>
      <c r="G143" s="3" t="s">
        <v>13</v>
      </c>
      <c r="H143" s="3" t="s">
        <v>111</v>
      </c>
    </row>
    <row r="144" spans="1:8" x14ac:dyDescent="0.35">
      <c r="A144" s="3" t="s">
        <v>109</v>
      </c>
      <c r="B144" s="3" t="s">
        <v>42</v>
      </c>
      <c r="C144" s="3" t="s">
        <v>110</v>
      </c>
      <c r="D144" s="3" t="s">
        <v>29</v>
      </c>
      <c r="E144" s="3" t="s">
        <v>13</v>
      </c>
      <c r="F144" s="3" t="s">
        <v>113</v>
      </c>
      <c r="G144" s="3" t="s">
        <v>13</v>
      </c>
      <c r="H144" s="3" t="s">
        <v>111</v>
      </c>
    </row>
    <row r="145" spans="1:8" x14ac:dyDescent="0.35">
      <c r="A145" s="3" t="s">
        <v>109</v>
      </c>
      <c r="B145" s="3" t="s">
        <v>20</v>
      </c>
      <c r="C145" s="3" t="s">
        <v>114</v>
      </c>
      <c r="D145" s="3" t="s">
        <v>12</v>
      </c>
      <c r="E145" s="3"/>
      <c r="F145" s="3"/>
      <c r="G145" s="3" t="s">
        <v>13</v>
      </c>
      <c r="H145" s="3" t="s">
        <v>115</v>
      </c>
    </row>
    <row r="146" spans="1:8" x14ac:dyDescent="0.35">
      <c r="A146" s="3" t="s">
        <v>109</v>
      </c>
      <c r="B146" s="3" t="s">
        <v>20</v>
      </c>
      <c r="C146" s="3" t="s">
        <v>114</v>
      </c>
      <c r="D146" s="3" t="s">
        <v>27</v>
      </c>
      <c r="E146" s="3"/>
      <c r="F146" s="3"/>
      <c r="G146" s="3" t="s">
        <v>13</v>
      </c>
      <c r="H146" s="3" t="s">
        <v>115</v>
      </c>
    </row>
    <row r="147" spans="1:8" x14ac:dyDescent="0.35">
      <c r="A147" s="3" t="s">
        <v>109</v>
      </c>
      <c r="B147" s="3" t="s">
        <v>20</v>
      </c>
      <c r="C147" s="3" t="s">
        <v>114</v>
      </c>
      <c r="D147" s="3" t="s">
        <v>77</v>
      </c>
      <c r="E147" s="3"/>
      <c r="F147" s="3"/>
      <c r="G147" s="3" t="s">
        <v>13</v>
      </c>
      <c r="H147" s="3" t="s">
        <v>115</v>
      </c>
    </row>
    <row r="148" spans="1:8" x14ac:dyDescent="0.35">
      <c r="A148" s="3" t="s">
        <v>109</v>
      </c>
      <c r="B148" s="3" t="s">
        <v>20</v>
      </c>
      <c r="C148" s="3" t="s">
        <v>114</v>
      </c>
      <c r="D148" s="3" t="s">
        <v>87</v>
      </c>
      <c r="E148" s="3"/>
      <c r="F148" s="3"/>
      <c r="G148" s="3" t="s">
        <v>13</v>
      </c>
      <c r="H148" s="3" t="s">
        <v>115</v>
      </c>
    </row>
    <row r="149" spans="1:8" x14ac:dyDescent="0.35">
      <c r="A149" s="3" t="s">
        <v>109</v>
      </c>
      <c r="B149" s="3" t="s">
        <v>20</v>
      </c>
      <c r="C149" s="3" t="s">
        <v>114</v>
      </c>
      <c r="D149" s="3" t="s">
        <v>15</v>
      </c>
      <c r="E149" s="3" t="s">
        <v>16</v>
      </c>
      <c r="F149" s="3" t="s">
        <v>116</v>
      </c>
      <c r="G149" s="3" t="s">
        <v>13</v>
      </c>
      <c r="H149" s="3" t="s">
        <v>115</v>
      </c>
    </row>
    <row r="150" spans="1:8" x14ac:dyDescent="0.35">
      <c r="A150" s="3" t="s">
        <v>109</v>
      </c>
      <c r="B150" s="3" t="s">
        <v>20</v>
      </c>
      <c r="C150" s="3" t="s">
        <v>114</v>
      </c>
      <c r="D150" s="3" t="s">
        <v>37</v>
      </c>
      <c r="E150" s="3"/>
      <c r="F150" s="3"/>
      <c r="G150" s="3" t="s">
        <v>13</v>
      </c>
      <c r="H150" s="3" t="s">
        <v>115</v>
      </c>
    </row>
    <row r="151" spans="1:8" x14ac:dyDescent="0.35">
      <c r="A151" s="3" t="s">
        <v>109</v>
      </c>
      <c r="B151" s="3" t="s">
        <v>45</v>
      </c>
      <c r="C151" s="3" t="s">
        <v>117</v>
      </c>
      <c r="D151" s="3" t="s">
        <v>24</v>
      </c>
      <c r="E151" s="3"/>
      <c r="F151" s="3"/>
      <c r="G151" s="3" t="s">
        <v>13</v>
      </c>
      <c r="H151" s="3" t="s">
        <v>111</v>
      </c>
    </row>
    <row r="152" spans="1:8" x14ac:dyDescent="0.35">
      <c r="A152" s="3" t="s">
        <v>118</v>
      </c>
      <c r="B152" s="3" t="s">
        <v>20</v>
      </c>
      <c r="C152" s="3" t="s">
        <v>119</v>
      </c>
      <c r="D152" s="3" t="s">
        <v>25</v>
      </c>
      <c r="E152" s="3"/>
      <c r="F152" s="3"/>
      <c r="G152" s="3" t="s">
        <v>13</v>
      </c>
      <c r="H152" s="3" t="s">
        <v>120</v>
      </c>
    </row>
    <row r="153" spans="1:8" x14ac:dyDescent="0.35">
      <c r="A153" s="3" t="s">
        <v>118</v>
      </c>
      <c r="B153" s="3" t="s">
        <v>20</v>
      </c>
      <c r="C153" s="3" t="s">
        <v>119</v>
      </c>
      <c r="D153" s="3" t="s">
        <v>60</v>
      </c>
      <c r="E153" s="3"/>
      <c r="F153" s="3"/>
      <c r="G153" s="3" t="s">
        <v>13</v>
      </c>
      <c r="H153" s="3" t="s">
        <v>120</v>
      </c>
    </row>
    <row r="154" spans="1:8" x14ac:dyDescent="0.35">
      <c r="A154" s="3" t="s">
        <v>118</v>
      </c>
      <c r="B154" s="3" t="s">
        <v>20</v>
      </c>
      <c r="C154" s="3" t="s">
        <v>119</v>
      </c>
      <c r="D154" s="3" t="s">
        <v>27</v>
      </c>
      <c r="E154" s="3" t="s">
        <v>33</v>
      </c>
      <c r="F154" s="3" t="s">
        <v>2683</v>
      </c>
      <c r="G154" s="3"/>
      <c r="H154" s="3"/>
    </row>
    <row r="155" spans="1:8" x14ac:dyDescent="0.35">
      <c r="A155" s="3" t="s">
        <v>118</v>
      </c>
      <c r="B155" s="3" t="s">
        <v>20</v>
      </c>
      <c r="C155" s="3" t="s">
        <v>119</v>
      </c>
      <c r="D155" s="3" t="s">
        <v>87</v>
      </c>
      <c r="E155" s="3"/>
      <c r="F155" s="3"/>
      <c r="G155" s="3" t="s">
        <v>13</v>
      </c>
      <c r="H155" s="3" t="s">
        <v>120</v>
      </c>
    </row>
    <row r="156" spans="1:8" x14ac:dyDescent="0.35">
      <c r="A156" s="3" t="s">
        <v>118</v>
      </c>
      <c r="B156" s="3" t="s">
        <v>20</v>
      </c>
      <c r="C156" s="3" t="s">
        <v>119</v>
      </c>
      <c r="D156" s="3" t="s">
        <v>15</v>
      </c>
      <c r="E156" s="3"/>
      <c r="F156" s="3"/>
      <c r="G156" s="3" t="s">
        <v>13</v>
      </c>
      <c r="H156" s="3" t="s">
        <v>120</v>
      </c>
    </row>
    <row r="157" spans="1:8" x14ac:dyDescent="0.35">
      <c r="A157" s="3" t="s">
        <v>118</v>
      </c>
      <c r="B157" s="3" t="s">
        <v>20</v>
      </c>
      <c r="C157" s="3" t="s">
        <v>119</v>
      </c>
      <c r="D157" s="3" t="s">
        <v>89</v>
      </c>
      <c r="E157" s="3"/>
      <c r="F157" s="3" t="s">
        <v>2685</v>
      </c>
      <c r="G157" s="3" t="s">
        <v>13</v>
      </c>
      <c r="H157" s="3" t="s">
        <v>120</v>
      </c>
    </row>
    <row r="158" spans="1:8" x14ac:dyDescent="0.35">
      <c r="A158" s="3" t="s">
        <v>118</v>
      </c>
      <c r="B158" s="3" t="s">
        <v>20</v>
      </c>
      <c r="C158" s="3" t="s">
        <v>119</v>
      </c>
      <c r="D158" s="3" t="s">
        <v>32</v>
      </c>
      <c r="E158" s="3" t="s">
        <v>33</v>
      </c>
      <c r="F158" s="3" t="s">
        <v>2684</v>
      </c>
      <c r="G158" s="3"/>
      <c r="H158" s="3"/>
    </row>
    <row r="159" spans="1:8" x14ac:dyDescent="0.35">
      <c r="A159" s="3" t="s">
        <v>118</v>
      </c>
      <c r="B159" s="3" t="s">
        <v>20</v>
      </c>
      <c r="C159" s="3" t="s">
        <v>119</v>
      </c>
      <c r="D159" s="3" t="s">
        <v>26</v>
      </c>
      <c r="E159" s="3" t="s">
        <v>33</v>
      </c>
      <c r="F159" s="3" t="s">
        <v>2683</v>
      </c>
      <c r="G159" s="3"/>
      <c r="H159" s="3"/>
    </row>
    <row r="160" spans="1:8" x14ac:dyDescent="0.35">
      <c r="A160" s="3" t="s">
        <v>118</v>
      </c>
      <c r="B160" s="3" t="s">
        <v>20</v>
      </c>
      <c r="C160" s="3" t="s">
        <v>119</v>
      </c>
      <c r="D160" s="3" t="s">
        <v>29</v>
      </c>
      <c r="E160" s="3" t="s">
        <v>33</v>
      </c>
      <c r="F160" s="3" t="s">
        <v>2683</v>
      </c>
      <c r="G160" s="3"/>
      <c r="H160" s="3"/>
    </row>
    <row r="161" spans="1:8" x14ac:dyDescent="0.35">
      <c r="A161" s="3" t="s">
        <v>118</v>
      </c>
      <c r="B161" s="3" t="s">
        <v>20</v>
      </c>
      <c r="C161" s="3" t="s">
        <v>119</v>
      </c>
      <c r="D161" s="3" t="s">
        <v>24</v>
      </c>
      <c r="E161" s="3" t="s">
        <v>33</v>
      </c>
      <c r="F161" s="3" t="s">
        <v>2683</v>
      </c>
      <c r="G161" s="3"/>
      <c r="H161" s="3"/>
    </row>
    <row r="162" spans="1:8" x14ac:dyDescent="0.35">
      <c r="A162" s="3" t="s">
        <v>118</v>
      </c>
      <c r="B162" s="3" t="s">
        <v>39</v>
      </c>
      <c r="C162" s="3" t="s">
        <v>2531</v>
      </c>
      <c r="D162" s="3" t="s">
        <v>47</v>
      </c>
      <c r="E162" s="3" t="s">
        <v>16</v>
      </c>
      <c r="F162" s="3" t="s">
        <v>2532</v>
      </c>
      <c r="G162" s="3" t="s">
        <v>16</v>
      </c>
      <c r="H162" s="3" t="s">
        <v>120</v>
      </c>
    </row>
    <row r="163" spans="1:8" x14ac:dyDescent="0.35">
      <c r="A163" s="3" t="s">
        <v>118</v>
      </c>
      <c r="B163" s="3" t="s">
        <v>39</v>
      </c>
      <c r="C163" s="3" t="s">
        <v>2531</v>
      </c>
      <c r="D163" s="3" t="s">
        <v>25</v>
      </c>
      <c r="E163" s="3" t="s">
        <v>16</v>
      </c>
      <c r="F163" s="3" t="s">
        <v>2532</v>
      </c>
      <c r="G163" s="3" t="s">
        <v>16</v>
      </c>
      <c r="H163" s="3" t="s">
        <v>120</v>
      </c>
    </row>
    <row r="164" spans="1:8" x14ac:dyDescent="0.35">
      <c r="A164" s="3" t="s">
        <v>118</v>
      </c>
      <c r="B164" s="3" t="s">
        <v>39</v>
      </c>
      <c r="C164" s="3" t="s">
        <v>2531</v>
      </c>
      <c r="D164" s="3" t="s">
        <v>27</v>
      </c>
      <c r="E164" s="3" t="s">
        <v>16</v>
      </c>
      <c r="F164" s="3" t="s">
        <v>2532</v>
      </c>
      <c r="G164" s="3" t="s">
        <v>16</v>
      </c>
      <c r="H164" s="3" t="s">
        <v>120</v>
      </c>
    </row>
    <row r="165" spans="1:8" x14ac:dyDescent="0.35">
      <c r="A165" s="3" t="s">
        <v>118</v>
      </c>
      <c r="B165" s="3" t="s">
        <v>39</v>
      </c>
      <c r="C165" s="3" t="s">
        <v>2531</v>
      </c>
      <c r="D165" s="3" t="s">
        <v>15</v>
      </c>
      <c r="E165" s="3" t="s">
        <v>16</v>
      </c>
      <c r="F165" s="3" t="s">
        <v>2532</v>
      </c>
      <c r="G165" s="3" t="s">
        <v>16</v>
      </c>
      <c r="H165" s="3" t="s">
        <v>120</v>
      </c>
    </row>
    <row r="166" spans="1:8" x14ac:dyDescent="0.35">
      <c r="A166" s="3" t="s">
        <v>118</v>
      </c>
      <c r="B166" s="3" t="s">
        <v>39</v>
      </c>
      <c r="C166" s="3" t="s">
        <v>2531</v>
      </c>
      <c r="D166" s="3" t="s">
        <v>24</v>
      </c>
      <c r="E166" s="3" t="s">
        <v>16</v>
      </c>
      <c r="F166" s="3" t="s">
        <v>2532</v>
      </c>
      <c r="G166" s="3" t="s">
        <v>16</v>
      </c>
      <c r="H166" s="3" t="s">
        <v>120</v>
      </c>
    </row>
    <row r="167" spans="1:8" x14ac:dyDescent="0.35">
      <c r="A167" s="3" t="s">
        <v>118</v>
      </c>
      <c r="B167" s="3" t="s">
        <v>39</v>
      </c>
      <c r="C167" s="3" t="s">
        <v>2531</v>
      </c>
      <c r="D167" s="3" t="s">
        <v>134</v>
      </c>
      <c r="E167" s="3" t="s">
        <v>16</v>
      </c>
      <c r="F167" s="3" t="s">
        <v>2532</v>
      </c>
      <c r="G167" s="3" t="s">
        <v>16</v>
      </c>
      <c r="H167" s="3" t="s">
        <v>120</v>
      </c>
    </row>
    <row r="168" spans="1:8" x14ac:dyDescent="0.35">
      <c r="A168" s="3" t="s">
        <v>118</v>
      </c>
      <c r="B168" s="3" t="s">
        <v>42</v>
      </c>
      <c r="C168" s="3" t="s">
        <v>2623</v>
      </c>
      <c r="D168" s="3" t="s">
        <v>12</v>
      </c>
      <c r="E168" s="3"/>
      <c r="F168" s="3"/>
      <c r="G168" s="3" t="s">
        <v>16</v>
      </c>
      <c r="H168" s="3" t="s">
        <v>120</v>
      </c>
    </row>
    <row r="169" spans="1:8" x14ac:dyDescent="0.35">
      <c r="A169" s="3" t="s">
        <v>118</v>
      </c>
      <c r="B169" s="3" t="s">
        <v>42</v>
      </c>
      <c r="C169" s="3" t="s">
        <v>2623</v>
      </c>
      <c r="D169" s="3" t="s">
        <v>47</v>
      </c>
      <c r="E169" s="3"/>
      <c r="F169" s="3"/>
      <c r="G169" s="3" t="s">
        <v>16</v>
      </c>
      <c r="H169" s="3" t="s">
        <v>120</v>
      </c>
    </row>
    <row r="170" spans="1:8" x14ac:dyDescent="0.35">
      <c r="A170" s="3" t="s">
        <v>118</v>
      </c>
      <c r="B170" s="3" t="s">
        <v>42</v>
      </c>
      <c r="C170" s="3" t="s">
        <v>2623</v>
      </c>
      <c r="D170" s="3" t="s">
        <v>44</v>
      </c>
      <c r="E170" s="3"/>
      <c r="F170" s="3"/>
      <c r="G170" s="3" t="s">
        <v>16</v>
      </c>
      <c r="H170" s="3" t="s">
        <v>120</v>
      </c>
    </row>
    <row r="171" spans="1:8" x14ac:dyDescent="0.35">
      <c r="A171" s="3" t="s">
        <v>118</v>
      </c>
      <c r="B171" s="3" t="s">
        <v>42</v>
      </c>
      <c r="C171" s="3" t="s">
        <v>2623</v>
      </c>
      <c r="D171" s="3" t="s">
        <v>15</v>
      </c>
      <c r="E171" s="3" t="s">
        <v>16</v>
      </c>
      <c r="F171" s="3" t="s">
        <v>2625</v>
      </c>
      <c r="G171" s="3" t="s">
        <v>16</v>
      </c>
      <c r="H171" s="3" t="s">
        <v>120</v>
      </c>
    </row>
    <row r="172" spans="1:8" x14ac:dyDescent="0.35">
      <c r="A172" s="3" t="s">
        <v>118</v>
      </c>
      <c r="B172" s="3" t="s">
        <v>42</v>
      </c>
      <c r="C172" s="3" t="s">
        <v>2623</v>
      </c>
      <c r="D172" s="3" t="s">
        <v>56</v>
      </c>
      <c r="E172" s="3" t="s">
        <v>16</v>
      </c>
      <c r="F172" s="3" t="s">
        <v>2624</v>
      </c>
      <c r="G172" s="3" t="s">
        <v>16</v>
      </c>
      <c r="H172" s="3" t="s">
        <v>120</v>
      </c>
    </row>
    <row r="173" spans="1:8" x14ac:dyDescent="0.35">
      <c r="A173" s="3" t="s">
        <v>118</v>
      </c>
      <c r="B173" s="3" t="s">
        <v>42</v>
      </c>
      <c r="C173" s="3" t="s">
        <v>2623</v>
      </c>
      <c r="D173" s="3" t="s">
        <v>62</v>
      </c>
      <c r="E173" s="3"/>
      <c r="F173" s="3"/>
      <c r="G173" s="3" t="s">
        <v>16</v>
      </c>
      <c r="H173" s="3" t="s">
        <v>120</v>
      </c>
    </row>
    <row r="174" spans="1:8" x14ac:dyDescent="0.35">
      <c r="A174" s="3" t="s">
        <v>118</v>
      </c>
      <c r="B174" s="3" t="s">
        <v>42</v>
      </c>
      <c r="C174" s="3" t="s">
        <v>2623</v>
      </c>
      <c r="D174" s="3" t="s">
        <v>134</v>
      </c>
      <c r="E174" s="3" t="s">
        <v>16</v>
      </c>
      <c r="F174" s="3" t="s">
        <v>2626</v>
      </c>
      <c r="G174" s="3" t="s">
        <v>16</v>
      </c>
      <c r="H174" s="3" t="s">
        <v>120</v>
      </c>
    </row>
    <row r="175" spans="1:8" x14ac:dyDescent="0.35">
      <c r="A175" s="3" t="s">
        <v>118</v>
      </c>
      <c r="B175" s="3" t="s">
        <v>42</v>
      </c>
      <c r="C175" s="3" t="s">
        <v>2623</v>
      </c>
      <c r="D175" s="3" t="s">
        <v>107</v>
      </c>
      <c r="E175" s="3" t="s">
        <v>16</v>
      </c>
      <c r="F175" s="3" t="s">
        <v>2627</v>
      </c>
      <c r="G175" s="3" t="s">
        <v>16</v>
      </c>
      <c r="H175" s="3" t="s">
        <v>120</v>
      </c>
    </row>
    <row r="176" spans="1:8" x14ac:dyDescent="0.35">
      <c r="A176" s="3" t="s">
        <v>118</v>
      </c>
      <c r="B176" s="3" t="s">
        <v>10</v>
      </c>
      <c r="C176" s="3" t="s">
        <v>121</v>
      </c>
      <c r="D176" s="3" t="s">
        <v>47</v>
      </c>
      <c r="E176" s="3"/>
      <c r="F176" s="3"/>
      <c r="G176" s="3"/>
      <c r="H176" s="3"/>
    </row>
    <row r="177" spans="1:8" x14ac:dyDescent="0.35">
      <c r="A177" s="3" t="s">
        <v>118</v>
      </c>
      <c r="B177" s="3" t="s">
        <v>10</v>
      </c>
      <c r="C177" s="3" t="s">
        <v>121</v>
      </c>
      <c r="D177" s="3" t="s">
        <v>15</v>
      </c>
      <c r="E177" s="3"/>
      <c r="F177" s="3"/>
      <c r="G177" s="3"/>
      <c r="H177" s="3"/>
    </row>
    <row r="178" spans="1:8" x14ac:dyDescent="0.35">
      <c r="A178" s="3" t="s">
        <v>118</v>
      </c>
      <c r="B178" s="3" t="s">
        <v>45</v>
      </c>
      <c r="C178" s="3" t="s">
        <v>122</v>
      </c>
      <c r="D178" s="3" t="s">
        <v>77</v>
      </c>
      <c r="E178" s="3"/>
      <c r="F178" s="3"/>
      <c r="G178" s="3"/>
      <c r="H178" s="3"/>
    </row>
    <row r="179" spans="1:8" x14ac:dyDescent="0.35">
      <c r="A179" s="3" t="s">
        <v>123</v>
      </c>
      <c r="B179" s="3" t="s">
        <v>42</v>
      </c>
      <c r="C179" s="3" t="s">
        <v>2749</v>
      </c>
      <c r="D179" s="3" t="s">
        <v>12</v>
      </c>
      <c r="E179" s="3"/>
      <c r="F179" s="3"/>
      <c r="G179" s="3"/>
      <c r="H179" s="3"/>
    </row>
    <row r="180" spans="1:8" x14ac:dyDescent="0.35">
      <c r="A180" s="3" t="s">
        <v>123</v>
      </c>
      <c r="B180" s="3" t="s">
        <v>42</v>
      </c>
      <c r="C180" s="3" t="s">
        <v>2749</v>
      </c>
      <c r="D180" s="3" t="s">
        <v>44</v>
      </c>
      <c r="E180" s="3"/>
      <c r="F180" s="3"/>
      <c r="G180" s="3"/>
      <c r="H180" s="3"/>
    </row>
    <row r="181" spans="1:8" x14ac:dyDescent="0.35">
      <c r="A181" s="3" t="s">
        <v>123</v>
      </c>
      <c r="B181" s="3" t="s">
        <v>42</v>
      </c>
      <c r="C181" s="3" t="s">
        <v>2749</v>
      </c>
      <c r="D181" s="3" t="s">
        <v>15</v>
      </c>
      <c r="E181" s="3" t="s">
        <v>16</v>
      </c>
      <c r="F181" s="3" t="s">
        <v>2750</v>
      </c>
      <c r="G181" s="3"/>
      <c r="H181" s="3"/>
    </row>
    <row r="182" spans="1:8" x14ac:dyDescent="0.35">
      <c r="A182" s="3" t="s">
        <v>123</v>
      </c>
      <c r="B182" s="3" t="s">
        <v>42</v>
      </c>
      <c r="C182" s="3" t="s">
        <v>2749</v>
      </c>
      <c r="D182" s="3" t="s">
        <v>175</v>
      </c>
      <c r="E182" s="5"/>
      <c r="F182" s="3"/>
      <c r="G182" s="3"/>
      <c r="H182" s="3"/>
    </row>
    <row r="183" spans="1:8" x14ac:dyDescent="0.35">
      <c r="A183" s="3" t="s">
        <v>123</v>
      </c>
      <c r="B183" s="3" t="s">
        <v>42</v>
      </c>
      <c r="C183" s="3" t="s">
        <v>2749</v>
      </c>
      <c r="D183" s="3" t="s">
        <v>82</v>
      </c>
      <c r="E183" s="3" t="s">
        <v>16</v>
      </c>
      <c r="F183" s="3" t="s">
        <v>2751</v>
      </c>
      <c r="G183" s="3"/>
      <c r="H183" s="3"/>
    </row>
    <row r="184" spans="1:8" x14ac:dyDescent="0.35">
      <c r="A184" s="3" t="s">
        <v>123</v>
      </c>
      <c r="B184" s="3" t="s">
        <v>20</v>
      </c>
      <c r="C184" s="3" t="s">
        <v>124</v>
      </c>
      <c r="D184" s="3" t="s">
        <v>12</v>
      </c>
      <c r="E184" s="3"/>
      <c r="F184" s="3"/>
      <c r="G184" s="3"/>
      <c r="H184" s="3"/>
    </row>
    <row r="185" spans="1:8" x14ac:dyDescent="0.35">
      <c r="A185" s="3" t="s">
        <v>123</v>
      </c>
      <c r="B185" s="3" t="s">
        <v>20</v>
      </c>
      <c r="C185" s="3" t="s">
        <v>124</v>
      </c>
      <c r="D185" s="3" t="s">
        <v>27</v>
      </c>
      <c r="E185" s="3"/>
      <c r="F185" s="3"/>
      <c r="G185" s="3"/>
      <c r="H185" s="3"/>
    </row>
    <row r="186" spans="1:8" x14ac:dyDescent="0.35">
      <c r="A186" s="3" t="s">
        <v>123</v>
      </c>
      <c r="B186" s="3" t="s">
        <v>20</v>
      </c>
      <c r="C186" s="3" t="s">
        <v>124</v>
      </c>
      <c r="D186" s="3" t="s">
        <v>87</v>
      </c>
      <c r="E186" s="3"/>
      <c r="F186" s="3"/>
      <c r="G186" s="3"/>
      <c r="H186" s="3"/>
    </row>
    <row r="187" spans="1:8" x14ac:dyDescent="0.35">
      <c r="A187" s="3" t="s">
        <v>123</v>
      </c>
      <c r="B187" s="3" t="s">
        <v>20</v>
      </c>
      <c r="C187" s="3" t="s">
        <v>124</v>
      </c>
      <c r="D187" s="3" t="s">
        <v>15</v>
      </c>
      <c r="E187" s="3" t="s">
        <v>16</v>
      </c>
      <c r="F187" s="3" t="s">
        <v>88</v>
      </c>
      <c r="G187" s="3"/>
      <c r="H187" s="3"/>
    </row>
    <row r="188" spans="1:8" x14ac:dyDescent="0.35">
      <c r="A188" s="3" t="s">
        <v>123</v>
      </c>
      <c r="B188" s="3" t="s">
        <v>20</v>
      </c>
      <c r="C188" s="3" t="s">
        <v>124</v>
      </c>
      <c r="D188" s="3" t="s">
        <v>29</v>
      </c>
      <c r="E188" s="3"/>
      <c r="F188" s="3" t="s">
        <v>2332</v>
      </c>
      <c r="G188" s="3"/>
      <c r="H188" s="3"/>
    </row>
    <row r="189" spans="1:8" x14ac:dyDescent="0.35">
      <c r="A189" s="3" t="s">
        <v>123</v>
      </c>
      <c r="B189" s="3" t="s">
        <v>20</v>
      </c>
      <c r="C189" s="3" t="s">
        <v>124</v>
      </c>
      <c r="D189" s="3" t="s">
        <v>24</v>
      </c>
      <c r="E189" s="3" t="s">
        <v>16</v>
      </c>
      <c r="F189" s="3" t="s">
        <v>125</v>
      </c>
      <c r="G189" s="3"/>
      <c r="H189" s="3"/>
    </row>
    <row r="190" spans="1:8" x14ac:dyDescent="0.35">
      <c r="A190" s="3" t="s">
        <v>123</v>
      </c>
      <c r="B190" s="3" t="s">
        <v>45</v>
      </c>
      <c r="C190" s="3" t="s">
        <v>126</v>
      </c>
      <c r="D190" s="3" t="s">
        <v>77</v>
      </c>
      <c r="E190" s="3" t="s">
        <v>33</v>
      </c>
      <c r="F190" s="3" t="s">
        <v>34</v>
      </c>
      <c r="G190" s="3"/>
      <c r="H190" s="3"/>
    </row>
    <row r="191" spans="1:8" x14ac:dyDescent="0.35">
      <c r="A191" s="3" t="s">
        <v>123</v>
      </c>
      <c r="B191" s="3" t="s">
        <v>45</v>
      </c>
      <c r="C191" s="3" t="s">
        <v>126</v>
      </c>
      <c r="D191" s="3" t="s">
        <v>87</v>
      </c>
      <c r="E191" s="3"/>
      <c r="F191" s="3"/>
      <c r="G191" s="3"/>
      <c r="H191" s="3"/>
    </row>
    <row r="192" spans="1:8" x14ac:dyDescent="0.35">
      <c r="A192" s="3" t="s">
        <v>123</v>
      </c>
      <c r="B192" s="3" t="s">
        <v>45</v>
      </c>
      <c r="C192" s="3" t="s">
        <v>126</v>
      </c>
      <c r="D192" s="3" t="s">
        <v>15</v>
      </c>
      <c r="E192" s="3" t="s">
        <v>33</v>
      </c>
      <c r="F192" s="3" t="s">
        <v>34</v>
      </c>
      <c r="G192" s="3"/>
      <c r="H192" s="3"/>
    </row>
    <row r="193" spans="1:8" x14ac:dyDescent="0.35">
      <c r="A193" s="3" t="s">
        <v>123</v>
      </c>
      <c r="B193" s="3" t="s">
        <v>45</v>
      </c>
      <c r="C193" s="3" t="s">
        <v>126</v>
      </c>
      <c r="D193" s="3" t="s">
        <v>24</v>
      </c>
      <c r="E193" s="3"/>
      <c r="F193" s="3"/>
      <c r="G193" s="3"/>
      <c r="H193" s="3"/>
    </row>
    <row r="194" spans="1:8" x14ac:dyDescent="0.35">
      <c r="A194" s="3" t="s">
        <v>128</v>
      </c>
      <c r="B194" s="3" t="s">
        <v>129</v>
      </c>
      <c r="C194" s="3" t="s">
        <v>130</v>
      </c>
      <c r="D194" s="3" t="s">
        <v>12</v>
      </c>
      <c r="E194" s="3"/>
      <c r="F194" s="3"/>
      <c r="G194" s="3"/>
      <c r="H194" s="3"/>
    </row>
    <row r="195" spans="1:8" x14ac:dyDescent="0.35">
      <c r="A195" s="3" t="s">
        <v>128</v>
      </c>
      <c r="B195" s="3" t="s">
        <v>129</v>
      </c>
      <c r="C195" s="3" t="s">
        <v>130</v>
      </c>
      <c r="D195" s="3" t="s">
        <v>25</v>
      </c>
      <c r="E195" s="3" t="s">
        <v>13</v>
      </c>
      <c r="F195" s="3" t="s">
        <v>131</v>
      </c>
      <c r="G195" s="3"/>
      <c r="H195" s="3"/>
    </row>
    <row r="196" spans="1:8" x14ac:dyDescent="0.35">
      <c r="A196" s="3" t="s">
        <v>128</v>
      </c>
      <c r="B196" s="3" t="s">
        <v>129</v>
      </c>
      <c r="C196" s="3" t="s">
        <v>130</v>
      </c>
      <c r="D196" s="3" t="s">
        <v>60</v>
      </c>
      <c r="E196" s="3" t="s">
        <v>13</v>
      </c>
      <c r="F196" s="3" t="s">
        <v>131</v>
      </c>
      <c r="G196" s="3"/>
      <c r="H196" s="3"/>
    </row>
    <row r="197" spans="1:8" x14ac:dyDescent="0.35">
      <c r="A197" s="3" t="s">
        <v>128</v>
      </c>
      <c r="B197" s="3" t="s">
        <v>129</v>
      </c>
      <c r="C197" s="3" t="s">
        <v>130</v>
      </c>
      <c r="D197" s="3" t="s">
        <v>28</v>
      </c>
      <c r="E197" s="3" t="s">
        <v>13</v>
      </c>
      <c r="F197" s="3" t="s">
        <v>131</v>
      </c>
      <c r="G197" s="3"/>
      <c r="H197" s="3"/>
    </row>
    <row r="198" spans="1:8" x14ac:dyDescent="0.35">
      <c r="A198" s="3" t="s">
        <v>128</v>
      </c>
      <c r="B198" s="3" t="s">
        <v>129</v>
      </c>
      <c r="C198" s="3" t="s">
        <v>130</v>
      </c>
      <c r="D198" s="3" t="s">
        <v>87</v>
      </c>
      <c r="E198" s="3" t="s">
        <v>13</v>
      </c>
      <c r="F198" s="3" t="s">
        <v>131</v>
      </c>
      <c r="G198" s="3"/>
      <c r="H198" s="3"/>
    </row>
    <row r="199" spans="1:8" x14ac:dyDescent="0.35">
      <c r="A199" s="3" t="s">
        <v>128</v>
      </c>
      <c r="B199" s="3" t="s">
        <v>129</v>
      </c>
      <c r="C199" s="3" t="s">
        <v>130</v>
      </c>
      <c r="D199" s="3" t="s">
        <v>37</v>
      </c>
      <c r="E199" s="3" t="s">
        <v>13</v>
      </c>
      <c r="F199" s="3" t="s">
        <v>131</v>
      </c>
      <c r="G199" s="3"/>
      <c r="H199" s="3"/>
    </row>
    <row r="200" spans="1:8" x14ac:dyDescent="0.35">
      <c r="A200" s="3" t="s">
        <v>128</v>
      </c>
      <c r="B200" s="3" t="s">
        <v>129</v>
      </c>
      <c r="C200" s="3" t="s">
        <v>130</v>
      </c>
      <c r="D200" s="3" t="s">
        <v>32</v>
      </c>
      <c r="E200" s="3" t="s">
        <v>13</v>
      </c>
      <c r="F200" s="3" t="s">
        <v>131</v>
      </c>
      <c r="G200" s="3"/>
      <c r="H200" s="3"/>
    </row>
    <row r="201" spans="1:8" x14ac:dyDescent="0.35">
      <c r="A201" s="3" t="s">
        <v>128</v>
      </c>
      <c r="B201" s="3" t="s">
        <v>129</v>
      </c>
      <c r="C201" s="3" t="s">
        <v>130</v>
      </c>
      <c r="D201" s="3" t="s">
        <v>62</v>
      </c>
      <c r="E201" s="3" t="s">
        <v>13</v>
      </c>
      <c r="F201" s="3" t="s">
        <v>131</v>
      </c>
      <c r="G201" s="3"/>
      <c r="H201" s="3"/>
    </row>
    <row r="202" spans="1:8" x14ac:dyDescent="0.35">
      <c r="A202" s="3" t="s">
        <v>128</v>
      </c>
      <c r="B202" s="3" t="s">
        <v>129</v>
      </c>
      <c r="C202" s="3" t="s">
        <v>132</v>
      </c>
      <c r="D202" s="3" t="s">
        <v>15</v>
      </c>
      <c r="E202" s="3" t="s">
        <v>13</v>
      </c>
      <c r="F202" s="3" t="s">
        <v>133</v>
      </c>
      <c r="G202" s="3"/>
      <c r="H202" s="3"/>
    </row>
    <row r="203" spans="1:8" x14ac:dyDescent="0.35">
      <c r="A203" s="3" t="s">
        <v>128</v>
      </c>
      <c r="B203" s="3" t="s">
        <v>129</v>
      </c>
      <c r="C203" s="3" t="s">
        <v>132</v>
      </c>
      <c r="D203" s="3" t="s">
        <v>134</v>
      </c>
      <c r="E203" s="3" t="s">
        <v>13</v>
      </c>
      <c r="F203" s="3" t="s">
        <v>133</v>
      </c>
      <c r="G203" s="3"/>
      <c r="H203" s="3"/>
    </row>
    <row r="204" spans="1:8" x14ac:dyDescent="0.35">
      <c r="A204" s="3" t="s">
        <v>128</v>
      </c>
      <c r="B204" s="3" t="s">
        <v>129</v>
      </c>
      <c r="C204" s="3" t="s">
        <v>132</v>
      </c>
      <c r="D204" s="3" t="s">
        <v>107</v>
      </c>
      <c r="E204" s="3" t="s">
        <v>13</v>
      </c>
      <c r="F204" s="3" t="s">
        <v>133</v>
      </c>
      <c r="G204" s="3"/>
      <c r="H204" s="3"/>
    </row>
    <row r="205" spans="1:8" x14ac:dyDescent="0.35">
      <c r="A205" s="3" t="s">
        <v>128</v>
      </c>
      <c r="B205" s="3" t="s">
        <v>129</v>
      </c>
      <c r="C205" s="3" t="s">
        <v>135</v>
      </c>
      <c r="D205" s="3" t="s">
        <v>15</v>
      </c>
      <c r="E205" s="3" t="s">
        <v>13</v>
      </c>
      <c r="F205" s="3" t="s">
        <v>137</v>
      </c>
      <c r="G205" s="3"/>
      <c r="H205" s="3"/>
    </row>
    <row r="206" spans="1:8" x14ac:dyDescent="0.35">
      <c r="A206" s="3" t="s">
        <v>128</v>
      </c>
      <c r="B206" s="3" t="s">
        <v>129</v>
      </c>
      <c r="C206" s="3" t="s">
        <v>135</v>
      </c>
      <c r="D206" s="3" t="s">
        <v>56</v>
      </c>
      <c r="E206" s="3" t="s">
        <v>13</v>
      </c>
      <c r="F206" s="3" t="s">
        <v>136</v>
      </c>
      <c r="G206" s="3"/>
      <c r="H206" s="3"/>
    </row>
    <row r="207" spans="1:8" x14ac:dyDescent="0.35">
      <c r="A207" s="3" t="s">
        <v>128</v>
      </c>
      <c r="B207" s="3" t="s">
        <v>129</v>
      </c>
      <c r="C207" s="3" t="s">
        <v>135</v>
      </c>
      <c r="D207" s="3" t="s">
        <v>26</v>
      </c>
      <c r="E207" s="3"/>
      <c r="F207" s="3"/>
      <c r="G207" s="3"/>
      <c r="H207" s="3"/>
    </row>
    <row r="208" spans="1:8" x14ac:dyDescent="0.35">
      <c r="A208" s="3" t="s">
        <v>128</v>
      </c>
      <c r="B208" s="3" t="s">
        <v>129</v>
      </c>
      <c r="C208" s="3" t="s">
        <v>135</v>
      </c>
      <c r="D208" s="3" t="s">
        <v>29</v>
      </c>
      <c r="E208" s="3" t="s">
        <v>13</v>
      </c>
      <c r="F208" s="3" t="s">
        <v>136</v>
      </c>
      <c r="G208" s="3"/>
      <c r="H208" s="3"/>
    </row>
    <row r="209" spans="1:8" x14ac:dyDescent="0.35">
      <c r="A209" s="3" t="s">
        <v>128</v>
      </c>
      <c r="B209" s="3" t="s">
        <v>129</v>
      </c>
      <c r="C209" s="3" t="s">
        <v>135</v>
      </c>
      <c r="D209" s="3" t="s">
        <v>134</v>
      </c>
      <c r="E209" s="3"/>
      <c r="F209" s="3"/>
      <c r="G209" s="3"/>
      <c r="H209" s="3"/>
    </row>
    <row r="210" spans="1:8" x14ac:dyDescent="0.35">
      <c r="A210" s="3" t="s">
        <v>128</v>
      </c>
      <c r="B210" s="3" t="s">
        <v>10</v>
      </c>
      <c r="C210" s="3" t="s">
        <v>138</v>
      </c>
      <c r="D210" s="3" t="s">
        <v>32</v>
      </c>
      <c r="E210" s="3"/>
      <c r="F210" s="3"/>
      <c r="G210" s="3"/>
      <c r="H210" s="3"/>
    </row>
    <row r="211" spans="1:8" x14ac:dyDescent="0.35">
      <c r="A211" s="3" t="s">
        <v>128</v>
      </c>
      <c r="B211" s="3" t="s">
        <v>10</v>
      </c>
      <c r="C211" s="3" t="s">
        <v>138</v>
      </c>
      <c r="D211" s="3" t="s">
        <v>107</v>
      </c>
      <c r="E211" s="3"/>
      <c r="F211" s="3"/>
      <c r="G211" s="3"/>
      <c r="H211" s="3"/>
    </row>
    <row r="212" spans="1:8" x14ac:dyDescent="0.35">
      <c r="A212" s="3" t="s">
        <v>128</v>
      </c>
      <c r="B212" s="3" t="s">
        <v>10</v>
      </c>
      <c r="C212" s="3" t="s">
        <v>2884</v>
      </c>
      <c r="D212" s="3" t="s">
        <v>12</v>
      </c>
      <c r="E212" s="3"/>
      <c r="F212" s="3"/>
      <c r="G212" s="3"/>
      <c r="H212" s="3"/>
    </row>
    <row r="213" spans="1:8" x14ac:dyDescent="0.35">
      <c r="A213" s="3" t="s">
        <v>128</v>
      </c>
      <c r="B213" s="3" t="s">
        <v>10</v>
      </c>
      <c r="C213" s="3" t="s">
        <v>2884</v>
      </c>
      <c r="D213" s="3" t="s">
        <v>47</v>
      </c>
      <c r="E213" s="3"/>
      <c r="F213" s="3"/>
      <c r="G213" s="3"/>
      <c r="H213" s="3"/>
    </row>
    <row r="214" spans="1:8" x14ac:dyDescent="0.35">
      <c r="A214" s="3" t="s">
        <v>128</v>
      </c>
      <c r="B214" s="3" t="s">
        <v>10</v>
      </c>
      <c r="C214" s="3" t="s">
        <v>2885</v>
      </c>
      <c r="D214" s="3" t="s">
        <v>12</v>
      </c>
      <c r="E214" s="3"/>
      <c r="F214" s="3"/>
      <c r="G214" s="3"/>
      <c r="H214" s="3"/>
    </row>
    <row r="215" spans="1:8" x14ac:dyDescent="0.35">
      <c r="A215" s="3" t="s">
        <v>128</v>
      </c>
      <c r="B215" s="3" t="s">
        <v>10</v>
      </c>
      <c r="C215" s="3" t="s">
        <v>2885</v>
      </c>
      <c r="D215" s="3" t="s">
        <v>47</v>
      </c>
      <c r="E215" s="3"/>
      <c r="F215" s="3"/>
      <c r="G215" s="3"/>
      <c r="H215" s="3"/>
    </row>
    <row r="216" spans="1:8" x14ac:dyDescent="0.35">
      <c r="A216" s="3" t="s">
        <v>128</v>
      </c>
      <c r="B216" s="3" t="s">
        <v>129</v>
      </c>
      <c r="C216" s="3" t="s">
        <v>139</v>
      </c>
      <c r="D216" s="3" t="s">
        <v>12</v>
      </c>
      <c r="E216" s="3"/>
      <c r="F216" s="3"/>
      <c r="G216" s="3"/>
      <c r="H216" s="3"/>
    </row>
    <row r="217" spans="1:8" x14ac:dyDescent="0.35">
      <c r="A217" s="3" t="s">
        <v>128</v>
      </c>
      <c r="B217" s="3" t="s">
        <v>129</v>
      </c>
      <c r="C217" s="3" t="s">
        <v>139</v>
      </c>
      <c r="D217" s="3" t="s">
        <v>47</v>
      </c>
      <c r="E217" s="3"/>
      <c r="F217" s="3" t="s">
        <v>2371</v>
      </c>
      <c r="G217" s="3"/>
      <c r="H217" s="3"/>
    </row>
    <row r="218" spans="1:8" x14ac:dyDescent="0.35">
      <c r="A218" s="3" t="s">
        <v>128</v>
      </c>
      <c r="B218" s="3" t="s">
        <v>129</v>
      </c>
      <c r="C218" s="3" t="s">
        <v>139</v>
      </c>
      <c r="D218" s="3" t="s">
        <v>25</v>
      </c>
      <c r="E218" s="3"/>
      <c r="F218" s="3"/>
      <c r="G218" s="3"/>
      <c r="H218" s="3"/>
    </row>
    <row r="219" spans="1:8" x14ac:dyDescent="0.35">
      <c r="A219" s="3" t="s">
        <v>128</v>
      </c>
      <c r="B219" s="3" t="s">
        <v>129</v>
      </c>
      <c r="C219" s="3" t="s">
        <v>139</v>
      </c>
      <c r="D219" s="3" t="s">
        <v>141</v>
      </c>
      <c r="E219" s="3"/>
      <c r="F219" s="3"/>
      <c r="G219" s="3"/>
      <c r="H219" s="3"/>
    </row>
    <row r="220" spans="1:8" x14ac:dyDescent="0.35">
      <c r="A220" s="3" t="s">
        <v>128</v>
      </c>
      <c r="B220" s="3" t="s">
        <v>129</v>
      </c>
      <c r="C220" s="3" t="s">
        <v>139</v>
      </c>
      <c r="D220" s="3" t="s">
        <v>71</v>
      </c>
      <c r="E220" s="3"/>
      <c r="F220" s="3"/>
      <c r="G220" s="3"/>
      <c r="H220" s="3"/>
    </row>
    <row r="221" spans="1:8" x14ac:dyDescent="0.35">
      <c r="A221" s="3" t="s">
        <v>128</v>
      </c>
      <c r="B221" s="3" t="s">
        <v>129</v>
      </c>
      <c r="C221" s="3" t="s">
        <v>139</v>
      </c>
      <c r="D221" s="3" t="s">
        <v>142</v>
      </c>
      <c r="E221" s="3"/>
      <c r="F221" s="3"/>
      <c r="G221" s="3"/>
      <c r="H221" s="3"/>
    </row>
    <row r="222" spans="1:8" x14ac:dyDescent="0.35">
      <c r="A222" s="3" t="s">
        <v>128</v>
      </c>
      <c r="B222" s="3" t="s">
        <v>129</v>
      </c>
      <c r="C222" s="3" t="s">
        <v>139</v>
      </c>
      <c r="D222" s="3" t="s">
        <v>87</v>
      </c>
      <c r="E222" s="3"/>
      <c r="F222" s="3"/>
      <c r="G222" s="3"/>
      <c r="H222" s="3"/>
    </row>
    <row r="223" spans="1:8" x14ac:dyDescent="0.35">
      <c r="A223" s="3" t="s">
        <v>128</v>
      </c>
      <c r="B223" s="3" t="s">
        <v>129</v>
      </c>
      <c r="C223" s="3" t="s">
        <v>139</v>
      </c>
      <c r="D223" s="3" t="s">
        <v>15</v>
      </c>
      <c r="E223" s="3" t="s">
        <v>13</v>
      </c>
      <c r="F223" s="3" t="s">
        <v>143</v>
      </c>
      <c r="G223" s="3"/>
      <c r="H223" s="3"/>
    </row>
    <row r="224" spans="1:8" x14ac:dyDescent="0.35">
      <c r="A224" s="3" t="s">
        <v>128</v>
      </c>
      <c r="B224" s="3" t="s">
        <v>129</v>
      </c>
      <c r="C224" s="3" t="s">
        <v>139</v>
      </c>
      <c r="D224" s="3" t="s">
        <v>37</v>
      </c>
      <c r="E224" s="3"/>
      <c r="F224" s="3"/>
      <c r="G224" s="3"/>
      <c r="H224" s="3"/>
    </row>
    <row r="225" spans="1:8" x14ac:dyDescent="0.35">
      <c r="A225" s="3" t="s">
        <v>128</v>
      </c>
      <c r="B225" s="3" t="s">
        <v>129</v>
      </c>
      <c r="C225" s="3" t="s">
        <v>139</v>
      </c>
      <c r="D225" s="3" t="s">
        <v>32</v>
      </c>
      <c r="E225" s="3"/>
      <c r="F225" s="3" t="s">
        <v>140</v>
      </c>
      <c r="G225" s="3"/>
      <c r="H225" s="3"/>
    </row>
    <row r="226" spans="1:8" x14ac:dyDescent="0.35">
      <c r="A226" s="3" t="s">
        <v>128</v>
      </c>
      <c r="B226" s="3" t="s">
        <v>129</v>
      </c>
      <c r="C226" s="3" t="s">
        <v>139</v>
      </c>
      <c r="D226" s="3" t="s">
        <v>29</v>
      </c>
      <c r="E226" s="3"/>
      <c r="F226" s="3"/>
      <c r="G226" s="3"/>
      <c r="H226" s="3"/>
    </row>
    <row r="227" spans="1:8" x14ac:dyDescent="0.35">
      <c r="A227" s="3" t="s">
        <v>128</v>
      </c>
      <c r="B227" s="3" t="s">
        <v>129</v>
      </c>
      <c r="C227" s="3" t="s">
        <v>139</v>
      </c>
      <c r="D227" s="3" t="s">
        <v>62</v>
      </c>
      <c r="E227" s="3"/>
      <c r="F227" s="3"/>
      <c r="G227" s="3"/>
      <c r="H227" s="3"/>
    </row>
    <row r="228" spans="1:8" x14ac:dyDescent="0.35">
      <c r="A228" s="3" t="s">
        <v>128</v>
      </c>
      <c r="B228" s="3" t="s">
        <v>129</v>
      </c>
      <c r="C228" s="3" t="s">
        <v>139</v>
      </c>
      <c r="D228" s="3" t="s">
        <v>24</v>
      </c>
      <c r="E228" s="3"/>
      <c r="F228" s="3"/>
      <c r="G228" s="3"/>
      <c r="H228" s="3"/>
    </row>
    <row r="229" spans="1:8" x14ac:dyDescent="0.35">
      <c r="A229" s="3" t="s">
        <v>128</v>
      </c>
      <c r="B229" s="3" t="s">
        <v>129</v>
      </c>
      <c r="C229" s="3" t="s">
        <v>139</v>
      </c>
      <c r="D229" s="3" t="s">
        <v>134</v>
      </c>
      <c r="E229" s="3"/>
      <c r="F229" s="3"/>
      <c r="G229" s="3"/>
      <c r="H229" s="3"/>
    </row>
    <row r="230" spans="1:8" x14ac:dyDescent="0.35">
      <c r="A230" s="3" t="s">
        <v>128</v>
      </c>
      <c r="B230" s="3" t="s">
        <v>129</v>
      </c>
      <c r="C230" s="3" t="s">
        <v>139</v>
      </c>
      <c r="D230" s="3" t="s">
        <v>107</v>
      </c>
      <c r="E230" s="3" t="s">
        <v>13</v>
      </c>
      <c r="F230" s="3" t="s">
        <v>144</v>
      </c>
      <c r="G230" s="3"/>
      <c r="H230" s="3"/>
    </row>
    <row r="231" spans="1:8" x14ac:dyDescent="0.35">
      <c r="A231" s="3" t="s">
        <v>128</v>
      </c>
      <c r="B231" s="3" t="s">
        <v>10</v>
      </c>
      <c r="C231" s="3" t="s">
        <v>145</v>
      </c>
      <c r="D231" s="3" t="s">
        <v>87</v>
      </c>
      <c r="E231" s="3"/>
      <c r="F231" s="3"/>
      <c r="G231" s="3"/>
      <c r="H231" s="3"/>
    </row>
    <row r="232" spans="1:8" x14ac:dyDescent="0.35">
      <c r="A232" s="3" t="s">
        <v>128</v>
      </c>
      <c r="B232" s="3" t="s">
        <v>10</v>
      </c>
      <c r="C232" s="3" t="s">
        <v>145</v>
      </c>
      <c r="D232" s="3" t="s">
        <v>15</v>
      </c>
      <c r="E232" s="3"/>
      <c r="F232" s="3"/>
      <c r="G232" s="3"/>
      <c r="H232" s="3"/>
    </row>
    <row r="233" spans="1:8" x14ac:dyDescent="0.35">
      <c r="A233" s="3" t="s">
        <v>128</v>
      </c>
      <c r="B233" s="3" t="s">
        <v>10</v>
      </c>
      <c r="C233" s="3" t="s">
        <v>145</v>
      </c>
      <c r="D233" s="3" t="s">
        <v>32</v>
      </c>
      <c r="E233" s="3"/>
      <c r="F233" s="3"/>
      <c r="G233" s="3"/>
      <c r="H233" s="3"/>
    </row>
    <row r="234" spans="1:8" x14ac:dyDescent="0.35">
      <c r="A234" s="3" t="s">
        <v>128</v>
      </c>
      <c r="B234" s="3" t="s">
        <v>10</v>
      </c>
      <c r="C234" s="3" t="s">
        <v>145</v>
      </c>
      <c r="D234" s="3" t="s">
        <v>29</v>
      </c>
      <c r="E234" s="3"/>
      <c r="F234" s="3"/>
      <c r="G234" s="3"/>
      <c r="H234" s="3"/>
    </row>
    <row r="235" spans="1:8" x14ac:dyDescent="0.35">
      <c r="A235" s="3" t="s">
        <v>128</v>
      </c>
      <c r="B235" s="3" t="s">
        <v>42</v>
      </c>
      <c r="C235" s="3" t="s">
        <v>146</v>
      </c>
      <c r="D235" s="3" t="s">
        <v>12</v>
      </c>
      <c r="E235" s="3"/>
      <c r="F235" s="3"/>
      <c r="G235" s="3"/>
      <c r="H235" s="3"/>
    </row>
    <row r="236" spans="1:8" x14ac:dyDescent="0.35">
      <c r="A236" s="3" t="s">
        <v>128</v>
      </c>
      <c r="B236" s="3" t="s">
        <v>42</v>
      </c>
      <c r="C236" s="3" t="s">
        <v>146</v>
      </c>
      <c r="D236" s="3" t="s">
        <v>25</v>
      </c>
      <c r="E236" s="3"/>
      <c r="F236" s="3"/>
      <c r="G236" s="3"/>
      <c r="H236" s="3"/>
    </row>
    <row r="237" spans="1:8" x14ac:dyDescent="0.35">
      <c r="A237" s="3" t="s">
        <v>128</v>
      </c>
      <c r="B237" s="3" t="s">
        <v>42</v>
      </c>
      <c r="C237" s="3" t="s">
        <v>146</v>
      </c>
      <c r="D237" s="3" t="s">
        <v>60</v>
      </c>
      <c r="E237" s="3"/>
      <c r="F237" s="3"/>
      <c r="G237" s="3"/>
      <c r="H237" s="3"/>
    </row>
    <row r="238" spans="1:8" x14ac:dyDescent="0.35">
      <c r="A238" s="3" t="s">
        <v>128</v>
      </c>
      <c r="B238" s="3" t="s">
        <v>42</v>
      </c>
      <c r="C238" s="3" t="s">
        <v>146</v>
      </c>
      <c r="D238" s="3" t="s">
        <v>142</v>
      </c>
      <c r="E238" s="3" t="s">
        <v>13</v>
      </c>
      <c r="F238" s="3" t="s">
        <v>144</v>
      </c>
      <c r="G238" s="3"/>
      <c r="H238" s="3"/>
    </row>
    <row r="239" spans="1:8" x14ac:dyDescent="0.35">
      <c r="A239" s="3" t="s">
        <v>128</v>
      </c>
      <c r="B239" s="3" t="s">
        <v>42</v>
      </c>
      <c r="C239" s="3" t="s">
        <v>146</v>
      </c>
      <c r="D239" s="3" t="s">
        <v>87</v>
      </c>
      <c r="E239" s="3" t="s">
        <v>13</v>
      </c>
      <c r="F239" s="3" t="s">
        <v>144</v>
      </c>
      <c r="G239" s="3"/>
      <c r="H239" s="3"/>
    </row>
    <row r="240" spans="1:8" x14ac:dyDescent="0.35">
      <c r="A240" s="3" t="s">
        <v>128</v>
      </c>
      <c r="B240" s="3" t="s">
        <v>42</v>
      </c>
      <c r="C240" s="3" t="s">
        <v>146</v>
      </c>
      <c r="D240" s="3" t="s">
        <v>15</v>
      </c>
      <c r="E240" s="3" t="s">
        <v>13</v>
      </c>
      <c r="F240" s="3" t="s">
        <v>147</v>
      </c>
      <c r="G240" s="3"/>
      <c r="H240" s="3"/>
    </row>
    <row r="241" spans="1:8" x14ac:dyDescent="0.35">
      <c r="A241" s="3" t="s">
        <v>128</v>
      </c>
      <c r="B241" s="3" t="s">
        <v>42</v>
      </c>
      <c r="C241" s="3" t="s">
        <v>146</v>
      </c>
      <c r="D241" s="3" t="s">
        <v>57</v>
      </c>
      <c r="E241" s="3"/>
      <c r="F241" s="3" t="s">
        <v>2311</v>
      </c>
      <c r="G241" s="3"/>
      <c r="H241" s="3"/>
    </row>
    <row r="242" spans="1:8" x14ac:dyDescent="0.35">
      <c r="A242" s="3" t="s">
        <v>128</v>
      </c>
      <c r="B242" s="3" t="s">
        <v>42</v>
      </c>
      <c r="C242" s="3" t="s">
        <v>146</v>
      </c>
      <c r="D242" s="3" t="s">
        <v>37</v>
      </c>
      <c r="E242" s="3" t="s">
        <v>13</v>
      </c>
      <c r="F242" s="3" t="s">
        <v>144</v>
      </c>
      <c r="G242" s="3"/>
      <c r="H242" s="3"/>
    </row>
    <row r="243" spans="1:8" x14ac:dyDescent="0.35">
      <c r="A243" s="3" t="s">
        <v>128</v>
      </c>
      <c r="B243" s="3" t="s">
        <v>42</v>
      </c>
      <c r="C243" s="3" t="s">
        <v>146</v>
      </c>
      <c r="D243" s="3" t="s">
        <v>32</v>
      </c>
      <c r="E243" s="3" t="s">
        <v>13</v>
      </c>
      <c r="F243" s="3" t="s">
        <v>2372</v>
      </c>
      <c r="G243" s="3"/>
      <c r="H243" s="3"/>
    </row>
    <row r="244" spans="1:8" x14ac:dyDescent="0.35">
      <c r="A244" s="3" t="s">
        <v>128</v>
      </c>
      <c r="B244" s="3" t="s">
        <v>42</v>
      </c>
      <c r="C244" s="3" t="s">
        <v>146</v>
      </c>
      <c r="D244" s="3" t="s">
        <v>62</v>
      </c>
      <c r="E244" s="3" t="s">
        <v>16</v>
      </c>
      <c r="F244" s="3" t="s">
        <v>2628</v>
      </c>
      <c r="G244" s="3"/>
      <c r="H244" s="3"/>
    </row>
    <row r="245" spans="1:8" x14ac:dyDescent="0.35">
      <c r="A245" s="3" t="s">
        <v>128</v>
      </c>
      <c r="B245" s="3" t="s">
        <v>42</v>
      </c>
      <c r="C245" s="3" t="s">
        <v>146</v>
      </c>
      <c r="D245" s="3" t="s">
        <v>24</v>
      </c>
      <c r="E245" s="3" t="s">
        <v>13</v>
      </c>
      <c r="F245" s="3" t="s">
        <v>148</v>
      </c>
      <c r="G245" s="3"/>
      <c r="H245" s="3"/>
    </row>
    <row r="246" spans="1:8" x14ac:dyDescent="0.35">
      <c r="A246" s="3" t="s">
        <v>128</v>
      </c>
      <c r="B246" s="3" t="s">
        <v>42</v>
      </c>
      <c r="C246" s="3" t="s">
        <v>146</v>
      </c>
      <c r="D246" s="3" t="s">
        <v>134</v>
      </c>
      <c r="E246" s="3" t="s">
        <v>13</v>
      </c>
      <c r="F246" s="3" t="s">
        <v>149</v>
      </c>
      <c r="G246" s="3"/>
      <c r="H246" s="3"/>
    </row>
    <row r="247" spans="1:8" x14ac:dyDescent="0.35">
      <c r="A247" s="3" t="s">
        <v>128</v>
      </c>
      <c r="B247" s="3" t="s">
        <v>42</v>
      </c>
      <c r="C247" s="3" t="s">
        <v>146</v>
      </c>
      <c r="D247" s="3" t="s">
        <v>107</v>
      </c>
      <c r="E247" s="3" t="s">
        <v>13</v>
      </c>
      <c r="F247" s="3" t="s">
        <v>144</v>
      </c>
      <c r="G247" s="3"/>
      <c r="H247" s="3"/>
    </row>
    <row r="248" spans="1:8" x14ac:dyDescent="0.35">
      <c r="A248" s="3" t="s">
        <v>128</v>
      </c>
      <c r="B248" s="3" t="s">
        <v>129</v>
      </c>
      <c r="C248" s="3" t="s">
        <v>150</v>
      </c>
      <c r="D248" s="3" t="s">
        <v>25</v>
      </c>
      <c r="E248" s="3" t="s">
        <v>13</v>
      </c>
      <c r="F248" s="3" t="s">
        <v>231</v>
      </c>
      <c r="G248" s="3"/>
      <c r="H248" s="3"/>
    </row>
    <row r="249" spans="1:8" x14ac:dyDescent="0.35">
      <c r="A249" s="3" t="s">
        <v>128</v>
      </c>
      <c r="B249" s="3" t="s">
        <v>129</v>
      </c>
      <c r="C249" s="3" t="s">
        <v>150</v>
      </c>
      <c r="D249" s="3" t="s">
        <v>60</v>
      </c>
      <c r="E249" s="3" t="s">
        <v>13</v>
      </c>
      <c r="F249" s="3" t="s">
        <v>136</v>
      </c>
      <c r="G249" s="3"/>
      <c r="H249" s="3"/>
    </row>
    <row r="250" spans="1:8" x14ac:dyDescent="0.35">
      <c r="A250" s="3" t="s">
        <v>128</v>
      </c>
      <c r="B250" s="3" t="s">
        <v>129</v>
      </c>
      <c r="C250" s="3" t="s">
        <v>150</v>
      </c>
      <c r="D250" s="3" t="s">
        <v>71</v>
      </c>
      <c r="E250" s="3" t="s">
        <v>13</v>
      </c>
      <c r="F250" s="3" t="s">
        <v>136</v>
      </c>
      <c r="G250" s="3"/>
      <c r="H250" s="3"/>
    </row>
    <row r="251" spans="1:8" x14ac:dyDescent="0.35">
      <c r="A251" s="3" t="s">
        <v>128</v>
      </c>
      <c r="B251" s="3" t="s">
        <v>129</v>
      </c>
      <c r="C251" s="3" t="s">
        <v>150</v>
      </c>
      <c r="D251" s="3" t="s">
        <v>142</v>
      </c>
      <c r="E251" s="3" t="s">
        <v>13</v>
      </c>
      <c r="F251" s="3" t="s">
        <v>136</v>
      </c>
      <c r="G251" s="3"/>
      <c r="H251" s="3"/>
    </row>
    <row r="252" spans="1:8" x14ac:dyDescent="0.35">
      <c r="A252" s="3" t="s">
        <v>128</v>
      </c>
      <c r="B252" s="3" t="s">
        <v>129</v>
      </c>
      <c r="C252" s="3" t="s">
        <v>150</v>
      </c>
      <c r="D252" s="3" t="s">
        <v>98</v>
      </c>
      <c r="E252" s="3" t="s">
        <v>13</v>
      </c>
      <c r="F252" s="3" t="s">
        <v>136</v>
      </c>
      <c r="G252" s="3"/>
      <c r="H252" s="3"/>
    </row>
    <row r="253" spans="1:8" x14ac:dyDescent="0.35">
      <c r="A253" s="3" t="s">
        <v>128</v>
      </c>
      <c r="B253" s="3" t="s">
        <v>129</v>
      </c>
      <c r="C253" s="3" t="s">
        <v>150</v>
      </c>
      <c r="D253" s="3" t="s">
        <v>31</v>
      </c>
      <c r="E253" s="3" t="s">
        <v>13</v>
      </c>
      <c r="F253" s="3" t="s">
        <v>136</v>
      </c>
      <c r="G253" s="3"/>
      <c r="H253" s="3"/>
    </row>
    <row r="254" spans="1:8" x14ac:dyDescent="0.35">
      <c r="A254" s="3" t="s">
        <v>128</v>
      </c>
      <c r="B254" s="3" t="s">
        <v>129</v>
      </c>
      <c r="C254" s="3" t="s">
        <v>150</v>
      </c>
      <c r="D254" s="3" t="s">
        <v>15</v>
      </c>
      <c r="E254" s="3" t="s">
        <v>13</v>
      </c>
      <c r="F254" s="3" t="s">
        <v>151</v>
      </c>
      <c r="G254" s="3"/>
      <c r="H254" s="3"/>
    </row>
    <row r="255" spans="1:8" x14ac:dyDescent="0.35">
      <c r="A255" s="3" t="s">
        <v>128</v>
      </c>
      <c r="B255" s="3" t="s">
        <v>129</v>
      </c>
      <c r="C255" s="3" t="s">
        <v>150</v>
      </c>
      <c r="D255" s="3" t="s">
        <v>57</v>
      </c>
      <c r="E255" s="3"/>
      <c r="F255" s="3" t="s">
        <v>2373</v>
      </c>
      <c r="G255" s="3"/>
      <c r="H255" s="3"/>
    </row>
    <row r="256" spans="1:8" x14ac:dyDescent="0.35">
      <c r="A256" s="3" t="s">
        <v>128</v>
      </c>
      <c r="B256" s="3" t="s">
        <v>129</v>
      </c>
      <c r="C256" s="3" t="s">
        <v>150</v>
      </c>
      <c r="D256" s="3" t="s">
        <v>56</v>
      </c>
      <c r="E256" s="3" t="s">
        <v>13</v>
      </c>
      <c r="F256" s="3" t="s">
        <v>151</v>
      </c>
      <c r="G256" s="3"/>
      <c r="H256" s="3"/>
    </row>
    <row r="257" spans="1:8" x14ac:dyDescent="0.35">
      <c r="A257" s="3" t="s">
        <v>128</v>
      </c>
      <c r="B257" s="3" t="s">
        <v>129</v>
      </c>
      <c r="C257" s="3" t="s">
        <v>150</v>
      </c>
      <c r="D257" s="3" t="s">
        <v>32</v>
      </c>
      <c r="E257" s="3" t="s">
        <v>13</v>
      </c>
      <c r="F257" s="3" t="s">
        <v>151</v>
      </c>
      <c r="G257" s="3"/>
      <c r="H257" s="3"/>
    </row>
    <row r="258" spans="1:8" x14ac:dyDescent="0.35">
      <c r="A258" s="3" t="s">
        <v>128</v>
      </c>
      <c r="B258" s="3" t="s">
        <v>129</v>
      </c>
      <c r="C258" s="3" t="s">
        <v>150</v>
      </c>
      <c r="D258" s="3" t="s">
        <v>26</v>
      </c>
      <c r="E258" s="3" t="s">
        <v>13</v>
      </c>
      <c r="F258" s="3" t="s">
        <v>136</v>
      </c>
      <c r="G258" s="3"/>
      <c r="H258" s="3"/>
    </row>
    <row r="259" spans="1:8" x14ac:dyDescent="0.35">
      <c r="A259" s="3" t="s">
        <v>128</v>
      </c>
      <c r="B259" s="3" t="s">
        <v>129</v>
      </c>
      <c r="C259" s="3" t="s">
        <v>150</v>
      </c>
      <c r="D259" s="3" t="s">
        <v>29</v>
      </c>
      <c r="E259" s="3" t="s">
        <v>13</v>
      </c>
      <c r="F259" s="3" t="s">
        <v>136</v>
      </c>
      <c r="G259" s="3"/>
      <c r="H259" s="3"/>
    </row>
    <row r="260" spans="1:8" x14ac:dyDescent="0.35">
      <c r="A260" s="3" t="s">
        <v>128</v>
      </c>
      <c r="B260" s="3" t="s">
        <v>129</v>
      </c>
      <c r="C260" s="3" t="s">
        <v>150</v>
      </c>
      <c r="D260" s="3" t="s">
        <v>152</v>
      </c>
      <c r="E260" s="3" t="s">
        <v>13</v>
      </c>
      <c r="F260" s="3" t="s">
        <v>136</v>
      </c>
      <c r="G260" s="3"/>
      <c r="H260" s="3"/>
    </row>
    <row r="261" spans="1:8" x14ac:dyDescent="0.35">
      <c r="A261" s="3" t="s">
        <v>128</v>
      </c>
      <c r="B261" s="3" t="s">
        <v>129</v>
      </c>
      <c r="C261" s="3" t="s">
        <v>150</v>
      </c>
      <c r="D261" s="3" t="s">
        <v>24</v>
      </c>
      <c r="E261" s="3" t="s">
        <v>13</v>
      </c>
      <c r="F261" s="3" t="s">
        <v>136</v>
      </c>
      <c r="G261" s="3"/>
      <c r="H261" s="3"/>
    </row>
    <row r="262" spans="1:8" x14ac:dyDescent="0.35">
      <c r="A262" s="3" t="s">
        <v>128</v>
      </c>
      <c r="B262" s="3" t="s">
        <v>129</v>
      </c>
      <c r="C262" s="3" t="s">
        <v>150</v>
      </c>
      <c r="D262" s="3" t="s">
        <v>134</v>
      </c>
      <c r="E262" s="3" t="s">
        <v>13</v>
      </c>
      <c r="F262" s="3" t="s">
        <v>2374</v>
      </c>
      <c r="G262" s="3"/>
      <c r="H262" s="3"/>
    </row>
    <row r="263" spans="1:8" x14ac:dyDescent="0.35">
      <c r="A263" s="3" t="s">
        <v>128</v>
      </c>
      <c r="B263" s="3" t="s">
        <v>129</v>
      </c>
      <c r="C263" s="3" t="s">
        <v>150</v>
      </c>
      <c r="D263" s="3" t="s">
        <v>107</v>
      </c>
      <c r="E263" s="3" t="s">
        <v>13</v>
      </c>
      <c r="F263" s="3" t="s">
        <v>136</v>
      </c>
      <c r="G263" s="3"/>
      <c r="H263" s="3"/>
    </row>
    <row r="264" spans="1:8" x14ac:dyDescent="0.35">
      <c r="A264" s="3" t="s">
        <v>128</v>
      </c>
      <c r="B264" s="3" t="s">
        <v>10</v>
      </c>
      <c r="C264" s="3" t="s">
        <v>153</v>
      </c>
      <c r="D264" s="3" t="s">
        <v>12</v>
      </c>
      <c r="E264" s="3"/>
      <c r="F264" s="3"/>
      <c r="G264" s="3"/>
      <c r="H264" s="3"/>
    </row>
    <row r="265" spans="1:8" x14ac:dyDescent="0.35">
      <c r="A265" s="3" t="s">
        <v>128</v>
      </c>
      <c r="B265" s="3" t="s">
        <v>10</v>
      </c>
      <c r="C265" s="3" t="s">
        <v>153</v>
      </c>
      <c r="D265" s="3" t="s">
        <v>15</v>
      </c>
      <c r="E265" s="3" t="s">
        <v>16</v>
      </c>
      <c r="F265" s="3" t="s">
        <v>154</v>
      </c>
      <c r="G265" s="3"/>
      <c r="H265" s="3"/>
    </row>
    <row r="266" spans="1:8" x14ac:dyDescent="0.35">
      <c r="A266" s="3" t="s">
        <v>128</v>
      </c>
      <c r="B266" s="3" t="s">
        <v>10</v>
      </c>
      <c r="C266" s="3" t="s">
        <v>153</v>
      </c>
      <c r="D266" s="3" t="s">
        <v>32</v>
      </c>
      <c r="E266" s="3"/>
      <c r="F266" s="3"/>
      <c r="G266" s="3"/>
      <c r="H266" s="3"/>
    </row>
    <row r="267" spans="1:8" x14ac:dyDescent="0.35">
      <c r="A267" s="3" t="s">
        <v>128</v>
      </c>
      <c r="B267" s="3" t="s">
        <v>10</v>
      </c>
      <c r="C267" s="3" t="s">
        <v>155</v>
      </c>
      <c r="D267" s="3" t="s">
        <v>12</v>
      </c>
      <c r="E267" s="3"/>
      <c r="F267" s="3"/>
      <c r="G267" s="3"/>
      <c r="H267" s="3"/>
    </row>
    <row r="268" spans="1:8" x14ac:dyDescent="0.35">
      <c r="A268" s="3" t="s">
        <v>128</v>
      </c>
      <c r="B268" s="3" t="s">
        <v>10</v>
      </c>
      <c r="C268" s="3" t="s">
        <v>155</v>
      </c>
      <c r="D268" s="3" t="s">
        <v>47</v>
      </c>
      <c r="E268" s="3" t="s">
        <v>16</v>
      </c>
      <c r="F268" s="3" t="s">
        <v>2375</v>
      </c>
      <c r="G268" s="3"/>
      <c r="H268" s="3"/>
    </row>
    <row r="269" spans="1:8" x14ac:dyDescent="0.35">
      <c r="A269" s="3" t="s">
        <v>128</v>
      </c>
      <c r="B269" s="3" t="s">
        <v>10</v>
      </c>
      <c r="C269" s="3" t="s">
        <v>155</v>
      </c>
      <c r="D269" s="3" t="s">
        <v>32</v>
      </c>
      <c r="E269" s="3" t="s">
        <v>16</v>
      </c>
      <c r="F269" s="3" t="s">
        <v>2376</v>
      </c>
      <c r="G269" s="3"/>
      <c r="H269" s="3"/>
    </row>
    <row r="270" spans="1:8" x14ac:dyDescent="0.35">
      <c r="A270" s="3" t="s">
        <v>128</v>
      </c>
      <c r="B270" s="3" t="s">
        <v>10</v>
      </c>
      <c r="C270" s="3" t="s">
        <v>155</v>
      </c>
      <c r="D270" s="3" t="s">
        <v>29</v>
      </c>
      <c r="E270" s="3" t="s">
        <v>16</v>
      </c>
      <c r="F270" s="3" t="s">
        <v>2375</v>
      </c>
      <c r="G270" s="3"/>
      <c r="H270" s="3"/>
    </row>
    <row r="271" spans="1:8" x14ac:dyDescent="0.35">
      <c r="A271" s="3" t="s">
        <v>128</v>
      </c>
      <c r="B271" s="3" t="s">
        <v>10</v>
      </c>
      <c r="C271" s="3" t="s">
        <v>156</v>
      </c>
      <c r="D271" s="3" t="s">
        <v>12</v>
      </c>
      <c r="E271" s="3"/>
      <c r="F271" s="3"/>
      <c r="G271" s="3"/>
      <c r="H271" s="3"/>
    </row>
    <row r="272" spans="1:8" x14ac:dyDescent="0.35">
      <c r="A272" s="3" t="s">
        <v>128</v>
      </c>
      <c r="B272" s="3" t="s">
        <v>10</v>
      </c>
      <c r="C272" s="3" t="s">
        <v>156</v>
      </c>
      <c r="D272" s="3" t="s">
        <v>47</v>
      </c>
      <c r="E272" s="3"/>
      <c r="F272" s="3"/>
      <c r="G272" s="3"/>
      <c r="H272" s="3"/>
    </row>
    <row r="273" spans="1:8" x14ac:dyDescent="0.35">
      <c r="A273" s="3" t="s">
        <v>128</v>
      </c>
      <c r="B273" s="3" t="s">
        <v>10</v>
      </c>
      <c r="C273" s="3" t="s">
        <v>156</v>
      </c>
      <c r="D273" s="3" t="s">
        <v>15</v>
      </c>
      <c r="E273" s="3"/>
      <c r="F273" s="3"/>
      <c r="G273" s="3"/>
      <c r="H273" s="3"/>
    </row>
    <row r="274" spans="1:8" x14ac:dyDescent="0.35">
      <c r="A274" s="3" t="s">
        <v>128</v>
      </c>
      <c r="B274" s="3" t="s">
        <v>10</v>
      </c>
      <c r="C274" s="3" t="s">
        <v>156</v>
      </c>
      <c r="D274" s="3" t="s">
        <v>32</v>
      </c>
      <c r="E274" s="3" t="s">
        <v>16</v>
      </c>
      <c r="F274" s="3" t="s">
        <v>157</v>
      </c>
      <c r="G274" s="3"/>
      <c r="H274" s="3"/>
    </row>
    <row r="275" spans="1:8" x14ac:dyDescent="0.35">
      <c r="A275" s="3" t="s">
        <v>128</v>
      </c>
      <c r="B275" s="3" t="s">
        <v>129</v>
      </c>
      <c r="C275" s="3" t="s">
        <v>158</v>
      </c>
      <c r="D275" s="3" t="s">
        <v>47</v>
      </c>
      <c r="E275" s="3"/>
      <c r="F275" s="3" t="s">
        <v>2377</v>
      </c>
      <c r="G275" s="3"/>
      <c r="H275" s="3"/>
    </row>
    <row r="276" spans="1:8" x14ac:dyDescent="0.35">
      <c r="A276" s="3" t="s">
        <v>128</v>
      </c>
      <c r="B276" s="3" t="s">
        <v>129</v>
      </c>
      <c r="C276" s="3" t="s">
        <v>158</v>
      </c>
      <c r="D276" s="3" t="s">
        <v>25</v>
      </c>
      <c r="E276" s="3"/>
      <c r="F276" s="3"/>
      <c r="G276" s="3"/>
      <c r="H276" s="3"/>
    </row>
    <row r="277" spans="1:8" x14ac:dyDescent="0.35">
      <c r="A277" s="3" t="s">
        <v>128</v>
      </c>
      <c r="B277" s="3" t="s">
        <v>129</v>
      </c>
      <c r="C277" s="3" t="s">
        <v>158</v>
      </c>
      <c r="D277" s="3" t="s">
        <v>141</v>
      </c>
      <c r="E277" s="3"/>
      <c r="F277" s="3"/>
      <c r="G277" s="3"/>
      <c r="H277" s="3"/>
    </row>
    <row r="278" spans="1:8" x14ac:dyDescent="0.35">
      <c r="A278" s="3" t="s">
        <v>128</v>
      </c>
      <c r="B278" s="3" t="s">
        <v>129</v>
      </c>
      <c r="C278" s="3" t="s">
        <v>158</v>
      </c>
      <c r="D278" s="3" t="s">
        <v>71</v>
      </c>
      <c r="E278" s="3"/>
      <c r="F278" s="3"/>
      <c r="G278" s="3"/>
      <c r="H278" s="3"/>
    </row>
    <row r="279" spans="1:8" x14ac:dyDescent="0.35">
      <c r="A279" s="3" t="s">
        <v>128</v>
      </c>
      <c r="B279" s="3" t="s">
        <v>129</v>
      </c>
      <c r="C279" s="3" t="s">
        <v>158</v>
      </c>
      <c r="D279" s="3" t="s">
        <v>87</v>
      </c>
      <c r="E279" s="3"/>
      <c r="F279" s="3"/>
      <c r="G279" s="3"/>
      <c r="H279" s="3"/>
    </row>
    <row r="280" spans="1:8" x14ac:dyDescent="0.35">
      <c r="A280" s="3" t="s">
        <v>128</v>
      </c>
      <c r="B280" s="3" t="s">
        <v>129</v>
      </c>
      <c r="C280" s="3" t="s">
        <v>158</v>
      </c>
      <c r="D280" s="3" t="s">
        <v>15</v>
      </c>
      <c r="E280" s="3" t="s">
        <v>13</v>
      </c>
      <c r="F280" s="3" t="s">
        <v>160</v>
      </c>
      <c r="G280" s="3"/>
      <c r="H280" s="3"/>
    </row>
    <row r="281" spans="1:8" x14ac:dyDescent="0.35">
      <c r="A281" s="3" t="s">
        <v>128</v>
      </c>
      <c r="B281" s="3" t="s">
        <v>129</v>
      </c>
      <c r="C281" s="3" t="s">
        <v>158</v>
      </c>
      <c r="D281" s="3" t="s">
        <v>37</v>
      </c>
      <c r="E281" s="3"/>
      <c r="F281" s="3"/>
      <c r="G281" s="3"/>
      <c r="H281" s="3"/>
    </row>
    <row r="282" spans="1:8" x14ac:dyDescent="0.35">
      <c r="A282" s="3" t="s">
        <v>128</v>
      </c>
      <c r="B282" s="3" t="s">
        <v>129</v>
      </c>
      <c r="C282" s="3" t="s">
        <v>158</v>
      </c>
      <c r="D282" s="3" t="s">
        <v>32</v>
      </c>
      <c r="E282" s="3" t="s">
        <v>13</v>
      </c>
      <c r="F282" s="3" t="s">
        <v>159</v>
      </c>
      <c r="G282" s="3"/>
      <c r="H282" s="3"/>
    </row>
    <row r="283" spans="1:8" x14ac:dyDescent="0.35">
      <c r="A283" s="3" t="s">
        <v>128</v>
      </c>
      <c r="B283" s="3" t="s">
        <v>129</v>
      </c>
      <c r="C283" s="3" t="s">
        <v>158</v>
      </c>
      <c r="D283" s="3" t="s">
        <v>24</v>
      </c>
      <c r="E283" s="3"/>
      <c r="F283" s="3"/>
      <c r="G283" s="3"/>
      <c r="H283" s="3"/>
    </row>
    <row r="284" spans="1:8" x14ac:dyDescent="0.35">
      <c r="A284" s="3" t="s">
        <v>128</v>
      </c>
      <c r="B284" s="3" t="s">
        <v>129</v>
      </c>
      <c r="C284" s="3" t="s">
        <v>158</v>
      </c>
      <c r="D284" s="3" t="s">
        <v>134</v>
      </c>
      <c r="E284" s="3" t="s">
        <v>13</v>
      </c>
      <c r="F284" s="3" t="s">
        <v>161</v>
      </c>
      <c r="G284" s="3"/>
      <c r="H284" s="3"/>
    </row>
    <row r="285" spans="1:8" x14ac:dyDescent="0.35">
      <c r="A285" s="3" t="s">
        <v>128</v>
      </c>
      <c r="B285" s="3" t="s">
        <v>129</v>
      </c>
      <c r="C285" s="3" t="s">
        <v>158</v>
      </c>
      <c r="D285" s="3" t="s">
        <v>107</v>
      </c>
      <c r="E285" s="3" t="s">
        <v>13</v>
      </c>
      <c r="F285" s="3" t="s">
        <v>162</v>
      </c>
      <c r="G285" s="3"/>
      <c r="H285" s="3"/>
    </row>
    <row r="286" spans="1:8" x14ac:dyDescent="0.35">
      <c r="A286" s="3" t="s">
        <v>128</v>
      </c>
      <c r="B286" s="3" t="s">
        <v>10</v>
      </c>
      <c r="C286" s="3" t="s">
        <v>2767</v>
      </c>
      <c r="D286" s="3" t="s">
        <v>47</v>
      </c>
      <c r="E286" s="3"/>
      <c r="F286" s="3"/>
      <c r="G286" s="3"/>
      <c r="H286" s="3"/>
    </row>
    <row r="287" spans="1:8" x14ac:dyDescent="0.35">
      <c r="A287" s="3" t="s">
        <v>128</v>
      </c>
      <c r="B287" s="3" t="s">
        <v>10</v>
      </c>
      <c r="C287" s="3" t="s">
        <v>163</v>
      </c>
      <c r="D287" s="3" t="s">
        <v>47</v>
      </c>
      <c r="E287" s="3" t="s">
        <v>33</v>
      </c>
      <c r="F287" s="3" t="s">
        <v>164</v>
      </c>
      <c r="G287" s="3"/>
      <c r="H287" s="3"/>
    </row>
    <row r="288" spans="1:8" x14ac:dyDescent="0.35">
      <c r="A288" s="3" t="s">
        <v>128</v>
      </c>
      <c r="B288" s="3" t="s">
        <v>10</v>
      </c>
      <c r="C288" s="3" t="s">
        <v>163</v>
      </c>
      <c r="D288" s="3" t="s">
        <v>15</v>
      </c>
      <c r="E288" s="3"/>
      <c r="F288" s="3"/>
      <c r="G288" s="3"/>
      <c r="H288" s="3"/>
    </row>
    <row r="289" spans="1:8" x14ac:dyDescent="0.35">
      <c r="A289" s="3" t="s">
        <v>128</v>
      </c>
      <c r="B289" s="3" t="s">
        <v>10</v>
      </c>
      <c r="C289" s="3" t="s">
        <v>163</v>
      </c>
      <c r="D289" s="3" t="s">
        <v>32</v>
      </c>
      <c r="E289" s="3" t="s">
        <v>33</v>
      </c>
      <c r="F289" s="3" t="s">
        <v>164</v>
      </c>
      <c r="G289" s="3"/>
      <c r="H289" s="3"/>
    </row>
    <row r="290" spans="1:8" x14ac:dyDescent="0.35">
      <c r="A290" s="3" t="s">
        <v>128</v>
      </c>
      <c r="B290" s="3" t="s">
        <v>10</v>
      </c>
      <c r="C290" s="3" t="s">
        <v>163</v>
      </c>
      <c r="D290" s="3" t="s">
        <v>134</v>
      </c>
      <c r="E290" s="3" t="s">
        <v>33</v>
      </c>
      <c r="F290" s="3" t="s">
        <v>164</v>
      </c>
      <c r="G290" s="3"/>
      <c r="H290" s="3"/>
    </row>
    <row r="291" spans="1:8" x14ac:dyDescent="0.35">
      <c r="A291" s="3" t="s">
        <v>128</v>
      </c>
      <c r="B291" s="3" t="s">
        <v>129</v>
      </c>
      <c r="C291" s="3" t="s">
        <v>165</v>
      </c>
      <c r="D291" s="3" t="s">
        <v>77</v>
      </c>
      <c r="E291" s="3" t="s">
        <v>16</v>
      </c>
      <c r="F291" s="3" t="s">
        <v>167</v>
      </c>
      <c r="G291" s="3"/>
      <c r="H291" s="3"/>
    </row>
    <row r="292" spans="1:8" x14ac:dyDescent="0.35">
      <c r="A292" s="3" t="s">
        <v>128</v>
      </c>
      <c r="B292" s="3" t="s">
        <v>129</v>
      </c>
      <c r="C292" s="3" t="s">
        <v>165</v>
      </c>
      <c r="D292" s="3" t="s">
        <v>15</v>
      </c>
      <c r="E292" s="3" t="s">
        <v>16</v>
      </c>
      <c r="F292" s="3" t="s">
        <v>168</v>
      </c>
      <c r="G292" s="3"/>
      <c r="H292" s="3"/>
    </row>
    <row r="293" spans="1:8" x14ac:dyDescent="0.35">
      <c r="A293" s="3" t="s">
        <v>128</v>
      </c>
      <c r="B293" s="3" t="s">
        <v>129</v>
      </c>
      <c r="C293" s="3" t="s">
        <v>165</v>
      </c>
      <c r="D293" s="3" t="s">
        <v>37</v>
      </c>
      <c r="E293" s="3" t="s">
        <v>16</v>
      </c>
      <c r="F293" s="3" t="s">
        <v>169</v>
      </c>
      <c r="G293" s="3"/>
      <c r="H293" s="3"/>
    </row>
    <row r="294" spans="1:8" x14ac:dyDescent="0.35">
      <c r="A294" s="3" t="s">
        <v>128</v>
      </c>
      <c r="B294" s="3" t="s">
        <v>129</v>
      </c>
      <c r="C294" s="3" t="s">
        <v>165</v>
      </c>
      <c r="D294" s="3" t="s">
        <v>134</v>
      </c>
      <c r="E294" s="3" t="s">
        <v>16</v>
      </c>
      <c r="F294" s="3" t="s">
        <v>170</v>
      </c>
      <c r="G294" s="3"/>
      <c r="H294" s="3"/>
    </row>
    <row r="295" spans="1:8" x14ac:dyDescent="0.35">
      <c r="A295" s="3" t="s">
        <v>128</v>
      </c>
      <c r="B295" s="3" t="s">
        <v>10</v>
      </c>
      <c r="C295" s="3" t="s">
        <v>171</v>
      </c>
      <c r="D295" s="3" t="s">
        <v>25</v>
      </c>
      <c r="E295" s="3"/>
      <c r="F295" s="3"/>
      <c r="G295" s="3"/>
      <c r="H295" s="3"/>
    </row>
    <row r="296" spans="1:8" x14ac:dyDescent="0.35">
      <c r="A296" s="3" t="s">
        <v>128</v>
      </c>
      <c r="B296" s="3" t="s">
        <v>10</v>
      </c>
      <c r="C296" s="3" t="s">
        <v>171</v>
      </c>
      <c r="D296" s="3" t="s">
        <v>28</v>
      </c>
      <c r="E296" s="3"/>
      <c r="F296" s="3"/>
      <c r="G296" s="3"/>
      <c r="H296" s="3"/>
    </row>
    <row r="297" spans="1:8" x14ac:dyDescent="0.35">
      <c r="A297" s="3" t="s">
        <v>128</v>
      </c>
      <c r="B297" s="3" t="s">
        <v>10</v>
      </c>
      <c r="C297" s="3" t="s">
        <v>171</v>
      </c>
      <c r="D297" s="3" t="s">
        <v>15</v>
      </c>
      <c r="E297" s="3"/>
      <c r="F297" s="3"/>
      <c r="G297" s="3"/>
      <c r="H297" s="3"/>
    </row>
    <row r="298" spans="1:8" x14ac:dyDescent="0.35">
      <c r="A298" s="3" t="s">
        <v>128</v>
      </c>
      <c r="B298" s="3" t="s">
        <v>10</v>
      </c>
      <c r="C298" s="3" t="s">
        <v>171</v>
      </c>
      <c r="D298" s="3" t="s">
        <v>32</v>
      </c>
      <c r="E298" s="3"/>
      <c r="F298" s="3"/>
      <c r="G298" s="3"/>
      <c r="H298" s="3"/>
    </row>
    <row r="299" spans="1:8" x14ac:dyDescent="0.35">
      <c r="A299" s="3" t="s">
        <v>128</v>
      </c>
      <c r="B299" s="3" t="s">
        <v>10</v>
      </c>
      <c r="C299" s="3" t="s">
        <v>171</v>
      </c>
      <c r="D299" s="3" t="s">
        <v>29</v>
      </c>
      <c r="E299" s="3"/>
      <c r="F299" s="3"/>
      <c r="G299" s="3"/>
      <c r="H299" s="3"/>
    </row>
    <row r="300" spans="1:8" x14ac:dyDescent="0.35">
      <c r="A300" s="3" t="s">
        <v>128</v>
      </c>
      <c r="B300" s="3" t="s">
        <v>10</v>
      </c>
      <c r="C300" s="3" t="s">
        <v>171</v>
      </c>
      <c r="D300" s="3" t="s">
        <v>24</v>
      </c>
      <c r="E300" s="3"/>
      <c r="F300" s="3"/>
      <c r="G300" s="3"/>
      <c r="H300" s="3"/>
    </row>
    <row r="301" spans="1:8" x14ac:dyDescent="0.35">
      <c r="A301" s="3" t="s">
        <v>128</v>
      </c>
      <c r="B301" s="3" t="s">
        <v>10</v>
      </c>
      <c r="C301" s="3" t="s">
        <v>171</v>
      </c>
      <c r="D301" s="3" t="s">
        <v>134</v>
      </c>
      <c r="E301" s="3"/>
      <c r="F301" s="3"/>
      <c r="G301" s="3"/>
      <c r="H301" s="3"/>
    </row>
    <row r="302" spans="1:8" x14ac:dyDescent="0.35">
      <c r="A302" s="3" t="s">
        <v>128</v>
      </c>
      <c r="B302" s="3" t="s">
        <v>10</v>
      </c>
      <c r="C302" s="3" t="s">
        <v>2886</v>
      </c>
      <c r="D302" s="3" t="s">
        <v>47</v>
      </c>
      <c r="E302" s="3"/>
      <c r="F302" s="3"/>
      <c r="G302" s="3"/>
      <c r="H302" s="3"/>
    </row>
    <row r="303" spans="1:8" x14ac:dyDescent="0.35">
      <c r="A303" s="3" t="s">
        <v>128</v>
      </c>
      <c r="B303" s="3" t="s">
        <v>10</v>
      </c>
      <c r="C303" s="3" t="s">
        <v>2886</v>
      </c>
      <c r="D303" s="3" t="s">
        <v>57</v>
      </c>
      <c r="E303" s="3"/>
      <c r="F303" s="3" t="s">
        <v>2887</v>
      </c>
      <c r="G303" s="3"/>
      <c r="H303" s="3"/>
    </row>
    <row r="304" spans="1:8" x14ac:dyDescent="0.35">
      <c r="A304" s="3" t="s">
        <v>128</v>
      </c>
      <c r="B304" s="3" t="s">
        <v>129</v>
      </c>
      <c r="C304" s="3" t="s">
        <v>172</v>
      </c>
      <c r="D304" s="3" t="s">
        <v>47</v>
      </c>
      <c r="E304" s="3"/>
      <c r="F304" s="3" t="s">
        <v>2377</v>
      </c>
      <c r="G304" s="3"/>
      <c r="H304" s="3"/>
    </row>
    <row r="305" spans="1:8" x14ac:dyDescent="0.35">
      <c r="A305" s="3" t="s">
        <v>128</v>
      </c>
      <c r="B305" s="3" t="s">
        <v>129</v>
      </c>
      <c r="C305" s="3" t="s">
        <v>172</v>
      </c>
      <c r="D305" s="3" t="s">
        <v>25</v>
      </c>
      <c r="E305" s="3"/>
      <c r="F305" s="3" t="s">
        <v>2378</v>
      </c>
      <c r="G305" s="3"/>
      <c r="H305" s="3"/>
    </row>
    <row r="306" spans="1:8" x14ac:dyDescent="0.35">
      <c r="A306" s="3" t="s">
        <v>128</v>
      </c>
      <c r="B306" s="3" t="s">
        <v>129</v>
      </c>
      <c r="C306" s="3" t="s">
        <v>172</v>
      </c>
      <c r="D306" s="3" t="s">
        <v>141</v>
      </c>
      <c r="E306" s="3"/>
      <c r="F306" s="3"/>
      <c r="G306" s="3"/>
      <c r="H306" s="3"/>
    </row>
    <row r="307" spans="1:8" x14ac:dyDescent="0.35">
      <c r="A307" s="3" t="s">
        <v>128</v>
      </c>
      <c r="B307" s="3" t="s">
        <v>129</v>
      </c>
      <c r="C307" s="3" t="s">
        <v>172</v>
      </c>
      <c r="D307" s="3" t="s">
        <v>71</v>
      </c>
      <c r="E307" s="3"/>
      <c r="F307" s="3"/>
      <c r="G307" s="3"/>
      <c r="H307" s="3"/>
    </row>
    <row r="308" spans="1:8" x14ac:dyDescent="0.35">
      <c r="A308" s="3" t="s">
        <v>128</v>
      </c>
      <c r="B308" s="3" t="s">
        <v>129</v>
      </c>
      <c r="C308" s="3" t="s">
        <v>172</v>
      </c>
      <c r="D308" s="3" t="s">
        <v>142</v>
      </c>
      <c r="E308" s="3"/>
      <c r="F308" s="3"/>
      <c r="G308" s="3"/>
      <c r="H308" s="3"/>
    </row>
    <row r="309" spans="1:8" x14ac:dyDescent="0.35">
      <c r="A309" s="3" t="s">
        <v>128</v>
      </c>
      <c r="B309" s="3" t="s">
        <v>129</v>
      </c>
      <c r="C309" s="3" t="s">
        <v>172</v>
      </c>
      <c r="D309" s="3" t="s">
        <v>87</v>
      </c>
      <c r="E309" s="3"/>
      <c r="F309" s="3"/>
      <c r="G309" s="3"/>
      <c r="H309" s="3"/>
    </row>
    <row r="310" spans="1:8" x14ac:dyDescent="0.35">
      <c r="A310" s="3" t="s">
        <v>128</v>
      </c>
      <c r="B310" s="3" t="s">
        <v>129</v>
      </c>
      <c r="C310" s="3" t="s">
        <v>172</v>
      </c>
      <c r="D310" s="3" t="s">
        <v>15</v>
      </c>
      <c r="E310" s="3" t="s">
        <v>13</v>
      </c>
      <c r="F310" s="3" t="s">
        <v>173</v>
      </c>
      <c r="G310" s="3"/>
      <c r="H310" s="3"/>
    </row>
    <row r="311" spans="1:8" x14ac:dyDescent="0.35">
      <c r="A311" s="3" t="s">
        <v>128</v>
      </c>
      <c r="B311" s="3" t="s">
        <v>129</v>
      </c>
      <c r="C311" s="3" t="s">
        <v>172</v>
      </c>
      <c r="D311" s="3" t="s">
        <v>37</v>
      </c>
      <c r="E311" s="3"/>
      <c r="F311" s="3"/>
      <c r="G311" s="3"/>
      <c r="H311" s="3"/>
    </row>
    <row r="312" spans="1:8" x14ac:dyDescent="0.35">
      <c r="A312" s="3" t="s">
        <v>128</v>
      </c>
      <c r="B312" s="3" t="s">
        <v>129</v>
      </c>
      <c r="C312" s="3" t="s">
        <v>172</v>
      </c>
      <c r="D312" s="3" t="s">
        <v>32</v>
      </c>
      <c r="E312" s="3" t="s">
        <v>13</v>
      </c>
      <c r="F312" s="3" t="s">
        <v>2379</v>
      </c>
      <c r="G312" s="3"/>
      <c r="H312" s="3"/>
    </row>
    <row r="313" spans="1:8" x14ac:dyDescent="0.35">
      <c r="A313" s="3" t="s">
        <v>128</v>
      </c>
      <c r="B313" s="3" t="s">
        <v>129</v>
      </c>
      <c r="C313" s="3" t="s">
        <v>172</v>
      </c>
      <c r="D313" s="3" t="s">
        <v>29</v>
      </c>
      <c r="E313" s="3"/>
      <c r="F313" s="3"/>
      <c r="G313" s="3"/>
      <c r="H313" s="3"/>
    </row>
    <row r="314" spans="1:8" x14ac:dyDescent="0.35">
      <c r="A314" s="3" t="s">
        <v>128</v>
      </c>
      <c r="B314" s="3" t="s">
        <v>129</v>
      </c>
      <c r="C314" s="3" t="s">
        <v>172</v>
      </c>
      <c r="D314" s="3" t="s">
        <v>24</v>
      </c>
      <c r="E314" s="3"/>
      <c r="F314" s="3"/>
      <c r="G314" s="3"/>
      <c r="H314" s="3"/>
    </row>
    <row r="315" spans="1:8" x14ac:dyDescent="0.35">
      <c r="A315" s="3" t="s">
        <v>128</v>
      </c>
      <c r="B315" s="3" t="s">
        <v>129</v>
      </c>
      <c r="C315" s="3" t="s">
        <v>172</v>
      </c>
      <c r="D315" s="3" t="s">
        <v>134</v>
      </c>
      <c r="E315" s="3"/>
      <c r="F315" s="3"/>
      <c r="G315" s="3"/>
      <c r="H315" s="3"/>
    </row>
    <row r="316" spans="1:8" x14ac:dyDescent="0.35">
      <c r="A316" s="3" t="s">
        <v>128</v>
      </c>
      <c r="B316" s="3" t="s">
        <v>129</v>
      </c>
      <c r="C316" s="3" t="s">
        <v>172</v>
      </c>
      <c r="D316" s="3" t="s">
        <v>107</v>
      </c>
      <c r="E316" s="3"/>
      <c r="F316" s="3"/>
      <c r="G316" s="3"/>
      <c r="H316" s="3"/>
    </row>
    <row r="317" spans="1:8" x14ac:dyDescent="0.35">
      <c r="A317" s="3" t="s">
        <v>128</v>
      </c>
      <c r="B317" s="3" t="s">
        <v>10</v>
      </c>
      <c r="C317" s="3" t="s">
        <v>2889</v>
      </c>
      <c r="D317" s="3" t="s">
        <v>47</v>
      </c>
      <c r="E317" s="3"/>
      <c r="F317" s="3"/>
      <c r="G317" s="3"/>
      <c r="H317" s="3"/>
    </row>
    <row r="318" spans="1:8" x14ac:dyDescent="0.35">
      <c r="A318" s="3" t="s">
        <v>128</v>
      </c>
      <c r="B318" s="3" t="s">
        <v>10</v>
      </c>
      <c r="C318" s="3" t="s">
        <v>2889</v>
      </c>
      <c r="D318" s="3" t="s">
        <v>15</v>
      </c>
      <c r="E318" s="3" t="s">
        <v>16</v>
      </c>
      <c r="F318" s="3" t="s">
        <v>2890</v>
      </c>
      <c r="G318" s="3"/>
      <c r="H318" s="3"/>
    </row>
    <row r="319" spans="1:8" x14ac:dyDescent="0.35">
      <c r="A319" s="3" t="s">
        <v>128</v>
      </c>
      <c r="B319" s="3" t="s">
        <v>129</v>
      </c>
      <c r="C319" s="3" t="s">
        <v>174</v>
      </c>
      <c r="D319" s="3" t="s">
        <v>60</v>
      </c>
      <c r="E319" s="3"/>
      <c r="F319" s="3"/>
      <c r="G319" s="3"/>
      <c r="H319" s="3"/>
    </row>
    <row r="320" spans="1:8" x14ac:dyDescent="0.35">
      <c r="A320" s="3" t="s">
        <v>128</v>
      </c>
      <c r="B320" s="3" t="s">
        <v>129</v>
      </c>
      <c r="C320" s="3" t="s">
        <v>174</v>
      </c>
      <c r="D320" s="3" t="s">
        <v>15</v>
      </c>
      <c r="E320" s="3" t="s">
        <v>13</v>
      </c>
      <c r="F320" s="3" t="s">
        <v>176</v>
      </c>
      <c r="G320" s="3"/>
      <c r="H320" s="3"/>
    </row>
    <row r="321" spans="1:8" x14ac:dyDescent="0.35">
      <c r="A321" s="3" t="s">
        <v>128</v>
      </c>
      <c r="B321" s="3" t="s">
        <v>129</v>
      </c>
      <c r="C321" s="3" t="s">
        <v>174</v>
      </c>
      <c r="D321" s="3" t="s">
        <v>175</v>
      </c>
      <c r="E321" s="3"/>
      <c r="F321" s="3"/>
      <c r="G321" s="3"/>
      <c r="H321" s="3"/>
    </row>
    <row r="322" spans="1:8" x14ac:dyDescent="0.35">
      <c r="A322" s="3" t="s">
        <v>128</v>
      </c>
      <c r="B322" s="3" t="s">
        <v>129</v>
      </c>
      <c r="C322" s="3" t="s">
        <v>174</v>
      </c>
      <c r="D322" s="3" t="s">
        <v>32</v>
      </c>
      <c r="E322" s="3"/>
      <c r="F322" s="3"/>
      <c r="G322" s="3"/>
      <c r="H322" s="3"/>
    </row>
    <row r="323" spans="1:8" x14ac:dyDescent="0.35">
      <c r="A323" s="3" t="s">
        <v>128</v>
      </c>
      <c r="B323" s="3" t="s">
        <v>129</v>
      </c>
      <c r="C323" s="3" t="s">
        <v>174</v>
      </c>
      <c r="D323" s="3" t="s">
        <v>29</v>
      </c>
      <c r="E323" s="3" t="s">
        <v>13</v>
      </c>
      <c r="F323" s="3" t="s">
        <v>177</v>
      </c>
      <c r="G323" s="3"/>
      <c r="H323" s="3"/>
    </row>
    <row r="324" spans="1:8" x14ac:dyDescent="0.35">
      <c r="A324" s="3" t="s">
        <v>128</v>
      </c>
      <c r="B324" s="3" t="s">
        <v>129</v>
      </c>
      <c r="C324" s="3" t="s">
        <v>174</v>
      </c>
      <c r="D324" s="3" t="s">
        <v>62</v>
      </c>
      <c r="E324" s="3"/>
      <c r="F324" s="3"/>
      <c r="G324" s="3"/>
      <c r="H324" s="3"/>
    </row>
    <row r="325" spans="1:8" x14ac:dyDescent="0.35">
      <c r="A325" s="3" t="s">
        <v>128</v>
      </c>
      <c r="B325" s="3" t="s">
        <v>129</v>
      </c>
      <c r="C325" s="3" t="s">
        <v>174</v>
      </c>
      <c r="D325" s="3" t="s">
        <v>134</v>
      </c>
      <c r="E325" s="3"/>
      <c r="F325" s="3"/>
      <c r="G325" s="3"/>
      <c r="H325" s="3"/>
    </row>
    <row r="326" spans="1:8" x14ac:dyDescent="0.35">
      <c r="A326" s="3" t="s">
        <v>128</v>
      </c>
      <c r="B326" s="3" t="s">
        <v>10</v>
      </c>
      <c r="C326" s="3" t="s">
        <v>178</v>
      </c>
      <c r="D326" s="3" t="s">
        <v>47</v>
      </c>
      <c r="E326" s="3"/>
      <c r="F326" s="3"/>
      <c r="G326" s="3"/>
      <c r="H326" s="3"/>
    </row>
    <row r="327" spans="1:8" x14ac:dyDescent="0.35">
      <c r="A327" s="3" t="s">
        <v>128</v>
      </c>
      <c r="B327" s="3" t="s">
        <v>10</v>
      </c>
      <c r="C327" s="3" t="s">
        <v>178</v>
      </c>
      <c r="D327" s="3" t="s">
        <v>15</v>
      </c>
      <c r="E327" s="3" t="s">
        <v>13</v>
      </c>
      <c r="F327" s="3" t="s">
        <v>179</v>
      </c>
      <c r="G327" s="3"/>
      <c r="H327" s="3"/>
    </row>
    <row r="328" spans="1:8" x14ac:dyDescent="0.35">
      <c r="A328" s="3" t="s">
        <v>128</v>
      </c>
      <c r="B328" s="3" t="s">
        <v>10</v>
      </c>
      <c r="C328" s="3" t="s">
        <v>178</v>
      </c>
      <c r="D328" s="3" t="s">
        <v>107</v>
      </c>
      <c r="E328" s="3"/>
      <c r="F328" s="3"/>
      <c r="G328" s="3"/>
      <c r="H328" s="3"/>
    </row>
    <row r="329" spans="1:8" x14ac:dyDescent="0.35">
      <c r="A329" s="3" t="s">
        <v>128</v>
      </c>
      <c r="B329" s="3" t="s">
        <v>10</v>
      </c>
      <c r="C329" s="3" t="s">
        <v>180</v>
      </c>
      <c r="D329" s="3" t="s">
        <v>12</v>
      </c>
      <c r="E329" s="3"/>
      <c r="F329" s="3"/>
      <c r="G329" s="3"/>
      <c r="H329" s="3"/>
    </row>
    <row r="330" spans="1:8" x14ac:dyDescent="0.35">
      <c r="A330" s="3" t="s">
        <v>128</v>
      </c>
      <c r="B330" s="3" t="s">
        <v>10</v>
      </c>
      <c r="C330" s="3" t="s">
        <v>180</v>
      </c>
      <c r="D330" s="3" t="s">
        <v>47</v>
      </c>
      <c r="E330" s="3" t="s">
        <v>13</v>
      </c>
      <c r="F330" s="3" t="s">
        <v>181</v>
      </c>
      <c r="G330" s="3"/>
      <c r="H330" s="3"/>
    </row>
    <row r="331" spans="1:8" x14ac:dyDescent="0.35">
      <c r="A331" s="3" t="s">
        <v>128</v>
      </c>
      <c r="B331" s="3" t="s">
        <v>10</v>
      </c>
      <c r="C331" s="3" t="s">
        <v>180</v>
      </c>
      <c r="D331" s="3" t="s">
        <v>15</v>
      </c>
      <c r="E331" s="3" t="s">
        <v>13</v>
      </c>
      <c r="F331" s="3" t="s">
        <v>182</v>
      </c>
      <c r="G331" s="3"/>
      <c r="H331" s="3"/>
    </row>
    <row r="332" spans="1:8" x14ac:dyDescent="0.35">
      <c r="A332" s="3" t="s">
        <v>128</v>
      </c>
      <c r="B332" s="3" t="s">
        <v>10</v>
      </c>
      <c r="C332" s="3" t="s">
        <v>180</v>
      </c>
      <c r="D332" s="3" t="s">
        <v>107</v>
      </c>
      <c r="E332" s="3"/>
      <c r="F332" s="3"/>
      <c r="G332" s="3"/>
      <c r="H332" s="3"/>
    </row>
    <row r="333" spans="1:8" x14ac:dyDescent="0.35">
      <c r="A333" s="3" t="s">
        <v>128</v>
      </c>
      <c r="B333" s="3" t="s">
        <v>129</v>
      </c>
      <c r="C333" s="3" t="s">
        <v>183</v>
      </c>
      <c r="D333" s="3" t="s">
        <v>12</v>
      </c>
      <c r="E333" s="3"/>
      <c r="F333" s="3"/>
      <c r="G333" s="3"/>
      <c r="H333" s="3"/>
    </row>
    <row r="334" spans="1:8" x14ac:dyDescent="0.35">
      <c r="A334" s="3" t="s">
        <v>128</v>
      </c>
      <c r="B334" s="3" t="s">
        <v>129</v>
      </c>
      <c r="C334" s="3" t="s">
        <v>183</v>
      </c>
      <c r="D334" s="3" t="s">
        <v>87</v>
      </c>
      <c r="E334" s="3"/>
      <c r="F334" s="3"/>
      <c r="G334" s="3"/>
      <c r="H334" s="3"/>
    </row>
    <row r="335" spans="1:8" x14ac:dyDescent="0.35">
      <c r="A335" s="3" t="s">
        <v>128</v>
      </c>
      <c r="B335" s="3" t="s">
        <v>129</v>
      </c>
      <c r="C335" s="3" t="s">
        <v>183</v>
      </c>
      <c r="D335" s="3" t="s">
        <v>32</v>
      </c>
      <c r="E335" s="3"/>
      <c r="F335" s="3" t="s">
        <v>2293</v>
      </c>
      <c r="G335" s="3"/>
      <c r="H335" s="3"/>
    </row>
    <row r="336" spans="1:8" x14ac:dyDescent="0.35">
      <c r="A336" s="3" t="s">
        <v>128</v>
      </c>
      <c r="B336" s="3" t="s">
        <v>45</v>
      </c>
      <c r="C336" s="3" t="s">
        <v>184</v>
      </c>
      <c r="D336" s="3" t="s">
        <v>77</v>
      </c>
      <c r="E336" s="3" t="s">
        <v>33</v>
      </c>
      <c r="F336" s="3" t="s">
        <v>186</v>
      </c>
      <c r="G336" s="3"/>
      <c r="H336" s="3"/>
    </row>
    <row r="337" spans="1:8" x14ac:dyDescent="0.35">
      <c r="A337" s="3" t="s">
        <v>128</v>
      </c>
      <c r="B337" s="3" t="s">
        <v>45</v>
      </c>
      <c r="C337" s="3" t="s">
        <v>184</v>
      </c>
      <c r="D337" s="3" t="s">
        <v>185</v>
      </c>
      <c r="E337" s="3" t="s">
        <v>33</v>
      </c>
      <c r="F337" s="3" t="s">
        <v>186</v>
      </c>
      <c r="G337" s="3"/>
      <c r="H337" s="3"/>
    </row>
    <row r="338" spans="1:8" x14ac:dyDescent="0.35">
      <c r="A338" s="3" t="s">
        <v>128</v>
      </c>
      <c r="B338" s="3" t="s">
        <v>45</v>
      </c>
      <c r="C338" s="3" t="s">
        <v>184</v>
      </c>
      <c r="D338" s="3" t="s">
        <v>15</v>
      </c>
      <c r="E338" s="3" t="s">
        <v>33</v>
      </c>
      <c r="F338" s="3" t="s">
        <v>186</v>
      </c>
      <c r="G338" s="3"/>
      <c r="H338" s="3"/>
    </row>
    <row r="339" spans="1:8" x14ac:dyDescent="0.35">
      <c r="A339" s="3" t="s">
        <v>187</v>
      </c>
      <c r="B339" s="3" t="s">
        <v>10</v>
      </c>
      <c r="C339" s="3" t="s">
        <v>2629</v>
      </c>
      <c r="D339" s="3" t="s">
        <v>47</v>
      </c>
      <c r="E339" s="3" t="s">
        <v>16</v>
      </c>
      <c r="F339" s="3" t="s">
        <v>2630</v>
      </c>
      <c r="G339" s="3"/>
      <c r="H339" s="3"/>
    </row>
    <row r="340" spans="1:8" x14ac:dyDescent="0.35">
      <c r="A340" s="3" t="s">
        <v>187</v>
      </c>
      <c r="B340" s="3" t="s">
        <v>10</v>
      </c>
      <c r="C340" s="3" t="s">
        <v>2629</v>
      </c>
      <c r="D340" s="3" t="s">
        <v>15</v>
      </c>
      <c r="E340" s="3" t="s">
        <v>16</v>
      </c>
      <c r="F340" s="3" t="s">
        <v>2631</v>
      </c>
      <c r="G340" s="3" t="s">
        <v>13</v>
      </c>
      <c r="H340" s="3" t="s">
        <v>2632</v>
      </c>
    </row>
    <row r="341" spans="1:8" x14ac:dyDescent="0.35">
      <c r="A341" s="3" t="s">
        <v>187</v>
      </c>
      <c r="B341" s="3" t="s">
        <v>20</v>
      </c>
      <c r="C341" s="3" t="s">
        <v>188</v>
      </c>
      <c r="D341" s="3" t="s">
        <v>15</v>
      </c>
      <c r="E341" s="3" t="s">
        <v>13</v>
      </c>
      <c r="F341" s="3" t="s">
        <v>189</v>
      </c>
      <c r="G341" s="3" t="s">
        <v>13</v>
      </c>
      <c r="H341" s="3" t="s">
        <v>190</v>
      </c>
    </row>
    <row r="342" spans="1:8" x14ac:dyDescent="0.35">
      <c r="A342" s="3" t="s">
        <v>187</v>
      </c>
      <c r="B342" s="3" t="s">
        <v>20</v>
      </c>
      <c r="C342" s="3" t="s">
        <v>188</v>
      </c>
      <c r="D342" s="3" t="s">
        <v>32</v>
      </c>
      <c r="E342" s="3"/>
      <c r="F342" s="3" t="s">
        <v>2405</v>
      </c>
      <c r="G342" s="3" t="s">
        <v>13</v>
      </c>
      <c r="H342" s="3" t="s">
        <v>190</v>
      </c>
    </row>
    <row r="343" spans="1:8" x14ac:dyDescent="0.35">
      <c r="A343" s="3" t="s">
        <v>187</v>
      </c>
      <c r="B343" s="3" t="s">
        <v>20</v>
      </c>
      <c r="C343" s="3" t="s">
        <v>188</v>
      </c>
      <c r="D343" s="3" t="s">
        <v>191</v>
      </c>
      <c r="E343" s="3"/>
      <c r="F343" s="3"/>
      <c r="G343" s="3" t="s">
        <v>13</v>
      </c>
      <c r="H343" s="3" t="s">
        <v>190</v>
      </c>
    </row>
    <row r="344" spans="1:8" x14ac:dyDescent="0.35">
      <c r="A344" s="3" t="s">
        <v>187</v>
      </c>
      <c r="B344" s="3" t="s">
        <v>45</v>
      </c>
      <c r="C344" s="3" t="s">
        <v>192</v>
      </c>
      <c r="D344" s="3" t="s">
        <v>77</v>
      </c>
      <c r="E344" s="3"/>
      <c r="F344" s="3"/>
      <c r="G344" s="3"/>
      <c r="H344" s="3"/>
    </row>
    <row r="345" spans="1:8" x14ac:dyDescent="0.35">
      <c r="A345" s="3" t="s">
        <v>193</v>
      </c>
      <c r="B345" s="3" t="s">
        <v>10</v>
      </c>
      <c r="C345" s="3" t="s">
        <v>194</v>
      </c>
      <c r="D345" s="3" t="s">
        <v>47</v>
      </c>
      <c r="E345" s="3" t="s">
        <v>16</v>
      </c>
      <c r="F345" s="3" t="s">
        <v>195</v>
      </c>
      <c r="G345" s="3" t="s">
        <v>13</v>
      </c>
      <c r="H345" s="3" t="s">
        <v>69</v>
      </c>
    </row>
    <row r="346" spans="1:8" x14ac:dyDescent="0.35">
      <c r="A346" s="3" t="s">
        <v>193</v>
      </c>
      <c r="B346" s="3" t="s">
        <v>10</v>
      </c>
      <c r="C346" s="3" t="s">
        <v>194</v>
      </c>
      <c r="D346" s="3" t="s">
        <v>28</v>
      </c>
      <c r="E346" s="3"/>
      <c r="F346" s="3" t="s">
        <v>2789</v>
      </c>
      <c r="G346" s="3" t="s">
        <v>13</v>
      </c>
      <c r="H346" s="3" t="s">
        <v>69</v>
      </c>
    </row>
    <row r="347" spans="1:8" x14ac:dyDescent="0.35">
      <c r="A347" s="3" t="s">
        <v>193</v>
      </c>
      <c r="B347" s="3" t="s">
        <v>10</v>
      </c>
      <c r="C347" s="3" t="s">
        <v>194</v>
      </c>
      <c r="D347" s="3" t="s">
        <v>15</v>
      </c>
      <c r="E347" s="3"/>
      <c r="F347" s="3"/>
      <c r="G347" s="3" t="s">
        <v>13</v>
      </c>
      <c r="H347" s="3" t="s">
        <v>59</v>
      </c>
    </row>
    <row r="348" spans="1:8" x14ac:dyDescent="0.35">
      <c r="A348" s="3" t="s">
        <v>193</v>
      </c>
      <c r="B348" s="3" t="s">
        <v>10</v>
      </c>
      <c r="C348" s="3" t="s">
        <v>194</v>
      </c>
      <c r="D348" s="3" t="s">
        <v>32</v>
      </c>
      <c r="E348" s="3" t="s">
        <v>33</v>
      </c>
      <c r="F348" s="3" t="s">
        <v>875</v>
      </c>
      <c r="G348" s="3"/>
      <c r="H348" s="3"/>
    </row>
    <row r="349" spans="1:8" x14ac:dyDescent="0.35">
      <c r="A349" s="3" t="s">
        <v>193</v>
      </c>
      <c r="B349" s="3" t="s">
        <v>10</v>
      </c>
      <c r="C349" s="3" t="s">
        <v>196</v>
      </c>
      <c r="D349" s="3" t="s">
        <v>47</v>
      </c>
      <c r="E349" s="3"/>
      <c r="F349" s="3"/>
      <c r="G349" s="3" t="s">
        <v>13</v>
      </c>
      <c r="H349" s="3" t="s">
        <v>59</v>
      </c>
    </row>
    <row r="350" spans="1:8" x14ac:dyDescent="0.35">
      <c r="A350" s="3" t="s">
        <v>193</v>
      </c>
      <c r="B350" s="3" t="s">
        <v>10</v>
      </c>
      <c r="C350" s="3" t="s">
        <v>196</v>
      </c>
      <c r="D350" s="3" t="s">
        <v>28</v>
      </c>
      <c r="E350" s="3" t="s">
        <v>16</v>
      </c>
      <c r="F350" s="3" t="s">
        <v>197</v>
      </c>
      <c r="G350" s="3" t="s">
        <v>13</v>
      </c>
      <c r="H350" s="3" t="s">
        <v>59</v>
      </c>
    </row>
    <row r="351" spans="1:8" x14ac:dyDescent="0.35">
      <c r="A351" s="3" t="s">
        <v>193</v>
      </c>
      <c r="B351" s="3" t="s">
        <v>10</v>
      </c>
      <c r="C351" s="3" t="s">
        <v>196</v>
      </c>
      <c r="D351" s="3" t="s">
        <v>15</v>
      </c>
      <c r="E351" s="3"/>
      <c r="F351" s="3"/>
      <c r="G351" s="3" t="s">
        <v>13</v>
      </c>
      <c r="H351" s="3" t="s">
        <v>59</v>
      </c>
    </row>
    <row r="352" spans="1:8" x14ac:dyDescent="0.35">
      <c r="A352" s="3" t="s">
        <v>193</v>
      </c>
      <c r="B352" s="3" t="s">
        <v>10</v>
      </c>
      <c r="C352" s="3" t="s">
        <v>2826</v>
      </c>
      <c r="D352" s="3" t="s">
        <v>12</v>
      </c>
      <c r="E352" s="3"/>
      <c r="F352" s="3"/>
      <c r="G352" s="3" t="s">
        <v>13</v>
      </c>
      <c r="H352" s="3" t="s">
        <v>59</v>
      </c>
    </row>
    <row r="353" spans="1:8" x14ac:dyDescent="0.35">
      <c r="A353" s="3" t="s">
        <v>193</v>
      </c>
      <c r="B353" s="3" t="s">
        <v>10</v>
      </c>
      <c r="C353" s="3" t="s">
        <v>2826</v>
      </c>
      <c r="D353" s="3" t="s">
        <v>47</v>
      </c>
      <c r="E353" s="3"/>
      <c r="F353" s="3"/>
      <c r="G353" s="3" t="s">
        <v>13</v>
      </c>
      <c r="H353" s="3" t="s">
        <v>59</v>
      </c>
    </row>
    <row r="354" spans="1:8" x14ac:dyDescent="0.35">
      <c r="A354" s="3" t="s">
        <v>193</v>
      </c>
      <c r="B354" s="3" t="s">
        <v>10</v>
      </c>
      <c r="C354" s="3" t="s">
        <v>2826</v>
      </c>
      <c r="D354" s="3" t="s">
        <v>28</v>
      </c>
      <c r="E354" s="3" t="s">
        <v>16</v>
      </c>
      <c r="F354" s="3" t="s">
        <v>2827</v>
      </c>
      <c r="G354" s="3" t="s">
        <v>13</v>
      </c>
      <c r="H354" s="3" t="s">
        <v>59</v>
      </c>
    </row>
    <row r="355" spans="1:8" x14ac:dyDescent="0.35">
      <c r="A355" s="3" t="s">
        <v>193</v>
      </c>
      <c r="B355" s="3" t="s">
        <v>10</v>
      </c>
      <c r="C355" s="3" t="s">
        <v>2826</v>
      </c>
      <c r="D355" s="3" t="s">
        <v>32</v>
      </c>
      <c r="E355" s="3"/>
      <c r="F355" s="3" t="s">
        <v>2796</v>
      </c>
      <c r="G355" s="3" t="s">
        <v>13</v>
      </c>
      <c r="H355" s="3" t="s">
        <v>59</v>
      </c>
    </row>
    <row r="356" spans="1:8" x14ac:dyDescent="0.35">
      <c r="A356" s="3" t="s">
        <v>193</v>
      </c>
      <c r="B356" s="3" t="s">
        <v>10</v>
      </c>
      <c r="C356" s="3" t="s">
        <v>2984</v>
      </c>
      <c r="D356" s="3" t="s">
        <v>15</v>
      </c>
      <c r="E356" s="3" t="s">
        <v>16</v>
      </c>
      <c r="F356" s="3" t="s">
        <v>2985</v>
      </c>
      <c r="G356" s="3" t="s">
        <v>13</v>
      </c>
      <c r="H356" s="3" t="s">
        <v>59</v>
      </c>
    </row>
    <row r="357" spans="1:8" x14ac:dyDescent="0.35">
      <c r="A357" s="3" t="s">
        <v>193</v>
      </c>
      <c r="B357" s="3" t="s">
        <v>45</v>
      </c>
      <c r="C357" s="3" t="s">
        <v>198</v>
      </c>
      <c r="D357" s="3" t="s">
        <v>77</v>
      </c>
      <c r="E357" s="3"/>
      <c r="F357" s="3"/>
      <c r="G357" s="3"/>
      <c r="H357" s="3"/>
    </row>
    <row r="358" spans="1:8" x14ac:dyDescent="0.35">
      <c r="A358" s="3" t="s">
        <v>193</v>
      </c>
      <c r="B358" s="3" t="s">
        <v>20</v>
      </c>
      <c r="C358" s="3" t="s">
        <v>199</v>
      </c>
      <c r="D358" s="3" t="s">
        <v>15</v>
      </c>
      <c r="E358" s="3" t="s">
        <v>33</v>
      </c>
      <c r="F358" s="3" t="s">
        <v>200</v>
      </c>
      <c r="G358" s="3"/>
      <c r="H358" s="3"/>
    </row>
    <row r="359" spans="1:8" x14ac:dyDescent="0.35">
      <c r="A359" s="3" t="s">
        <v>193</v>
      </c>
      <c r="B359" s="3" t="s">
        <v>20</v>
      </c>
      <c r="C359" s="3" t="s">
        <v>201</v>
      </c>
      <c r="D359" s="3" t="s">
        <v>47</v>
      </c>
      <c r="E359" s="3"/>
      <c r="F359" s="3"/>
      <c r="G359" s="3" t="s">
        <v>13</v>
      </c>
      <c r="H359" s="3" t="s">
        <v>69</v>
      </c>
    </row>
    <row r="360" spans="1:8" x14ac:dyDescent="0.35">
      <c r="A360" s="3" t="s">
        <v>193</v>
      </c>
      <c r="B360" s="3" t="s">
        <v>20</v>
      </c>
      <c r="C360" s="3" t="s">
        <v>201</v>
      </c>
      <c r="D360" s="3" t="s">
        <v>60</v>
      </c>
      <c r="E360" s="3"/>
      <c r="F360" s="3"/>
      <c r="G360" s="3" t="s">
        <v>13</v>
      </c>
      <c r="H360" s="3" t="s">
        <v>69</v>
      </c>
    </row>
    <row r="361" spans="1:8" x14ac:dyDescent="0.35">
      <c r="A361" s="3" t="s">
        <v>193</v>
      </c>
      <c r="B361" s="3" t="s">
        <v>20</v>
      </c>
      <c r="C361" s="3" t="s">
        <v>201</v>
      </c>
      <c r="D361" s="3" t="s">
        <v>87</v>
      </c>
      <c r="E361" s="3"/>
      <c r="F361" s="3"/>
      <c r="G361" s="3" t="s">
        <v>13</v>
      </c>
      <c r="H361" s="3" t="s">
        <v>69</v>
      </c>
    </row>
    <row r="362" spans="1:8" x14ac:dyDescent="0.35">
      <c r="A362" s="3" t="s">
        <v>193</v>
      </c>
      <c r="B362" s="3" t="s">
        <v>20</v>
      </c>
      <c r="C362" s="3" t="s">
        <v>201</v>
      </c>
      <c r="D362" s="3" t="s">
        <v>98</v>
      </c>
      <c r="E362" s="3"/>
      <c r="F362" s="3"/>
      <c r="G362" s="3" t="s">
        <v>13</v>
      </c>
      <c r="H362" s="3" t="s">
        <v>69</v>
      </c>
    </row>
    <row r="363" spans="1:8" x14ac:dyDescent="0.35">
      <c r="A363" s="3" t="s">
        <v>193</v>
      </c>
      <c r="B363" s="3" t="s">
        <v>20</v>
      </c>
      <c r="C363" s="3" t="s">
        <v>201</v>
      </c>
      <c r="D363" s="3" t="s">
        <v>15</v>
      </c>
      <c r="E363" s="3" t="s">
        <v>13</v>
      </c>
      <c r="F363" s="3" t="s">
        <v>203</v>
      </c>
      <c r="G363" s="3" t="s">
        <v>13</v>
      </c>
      <c r="H363" s="3" t="s">
        <v>69</v>
      </c>
    </row>
    <row r="364" spans="1:8" x14ac:dyDescent="0.35">
      <c r="A364" s="3" t="s">
        <v>193</v>
      </c>
      <c r="B364" s="3" t="s">
        <v>20</v>
      </c>
      <c r="C364" s="3" t="s">
        <v>201</v>
      </c>
      <c r="D364" s="3" t="s">
        <v>56</v>
      </c>
      <c r="E364" s="3" t="s">
        <v>13</v>
      </c>
      <c r="F364" s="3" t="s">
        <v>202</v>
      </c>
      <c r="G364" s="3" t="s">
        <v>13</v>
      </c>
      <c r="H364" s="3" t="s">
        <v>69</v>
      </c>
    </row>
    <row r="365" spans="1:8" x14ac:dyDescent="0.35">
      <c r="A365" s="3" t="s">
        <v>193</v>
      </c>
      <c r="B365" s="3" t="s">
        <v>20</v>
      </c>
      <c r="C365" s="3" t="s">
        <v>201</v>
      </c>
      <c r="D365" s="3" t="s">
        <v>175</v>
      </c>
      <c r="E365" s="3"/>
      <c r="F365" s="3"/>
      <c r="G365" s="3" t="s">
        <v>13</v>
      </c>
      <c r="H365" s="3" t="s">
        <v>69</v>
      </c>
    </row>
    <row r="366" spans="1:8" x14ac:dyDescent="0.35">
      <c r="A366" s="3" t="s">
        <v>193</v>
      </c>
      <c r="B366" s="3" t="s">
        <v>20</v>
      </c>
      <c r="C366" s="3" t="s">
        <v>201</v>
      </c>
      <c r="D366" s="3" t="s">
        <v>32</v>
      </c>
      <c r="E366" s="3" t="s">
        <v>33</v>
      </c>
      <c r="F366" s="3" t="s">
        <v>2761</v>
      </c>
      <c r="G366" s="3"/>
      <c r="H366" s="3"/>
    </row>
    <row r="367" spans="1:8" x14ac:dyDescent="0.35">
      <c r="A367" s="3" t="s">
        <v>193</v>
      </c>
      <c r="B367" s="3" t="s">
        <v>20</v>
      </c>
      <c r="C367" s="3" t="s">
        <v>201</v>
      </c>
      <c r="D367" s="3" t="s">
        <v>62</v>
      </c>
      <c r="E367" s="3"/>
      <c r="F367" s="3"/>
      <c r="G367" s="3" t="s">
        <v>13</v>
      </c>
      <c r="H367" s="3" t="s">
        <v>69</v>
      </c>
    </row>
    <row r="368" spans="1:8" x14ac:dyDescent="0.35">
      <c r="A368" s="3" t="s">
        <v>193</v>
      </c>
      <c r="B368" s="3" t="s">
        <v>20</v>
      </c>
      <c r="C368" s="3" t="s">
        <v>201</v>
      </c>
      <c r="D368" s="3" t="s">
        <v>24</v>
      </c>
      <c r="E368" s="3"/>
      <c r="F368" s="3"/>
      <c r="G368" s="3" t="s">
        <v>13</v>
      </c>
      <c r="H368" s="3" t="s">
        <v>69</v>
      </c>
    </row>
    <row r="369" spans="1:8" x14ac:dyDescent="0.35">
      <c r="A369" s="3" t="s">
        <v>193</v>
      </c>
      <c r="B369" s="3" t="s">
        <v>20</v>
      </c>
      <c r="C369" s="3" t="s">
        <v>201</v>
      </c>
      <c r="D369" s="3" t="s">
        <v>107</v>
      </c>
      <c r="E369" s="3" t="s">
        <v>13</v>
      </c>
      <c r="F369" s="3" t="s">
        <v>144</v>
      </c>
      <c r="G369" s="3" t="s">
        <v>13</v>
      </c>
      <c r="H369" s="3" t="s">
        <v>69</v>
      </c>
    </row>
    <row r="370" spans="1:8" x14ac:dyDescent="0.35">
      <c r="A370" s="3" t="s">
        <v>193</v>
      </c>
      <c r="B370" s="3" t="s">
        <v>20</v>
      </c>
      <c r="C370" s="3" t="s">
        <v>2585</v>
      </c>
      <c r="D370" s="3" t="s">
        <v>47</v>
      </c>
      <c r="E370" s="3"/>
      <c r="F370" s="3"/>
      <c r="G370" s="3" t="s">
        <v>13</v>
      </c>
      <c r="H370" s="3" t="s">
        <v>69</v>
      </c>
    </row>
    <row r="371" spans="1:8" x14ac:dyDescent="0.35">
      <c r="A371" s="3" t="s">
        <v>193</v>
      </c>
      <c r="B371" s="3" t="s">
        <v>20</v>
      </c>
      <c r="C371" s="3" t="s">
        <v>2585</v>
      </c>
      <c r="D371" s="3" t="s">
        <v>25</v>
      </c>
      <c r="E371" s="3"/>
      <c r="F371" s="3"/>
      <c r="G371" s="3" t="s">
        <v>13</v>
      </c>
      <c r="H371" s="3" t="s">
        <v>69</v>
      </c>
    </row>
    <row r="372" spans="1:8" x14ac:dyDescent="0.35">
      <c r="A372" s="3" t="s">
        <v>193</v>
      </c>
      <c r="B372" s="3" t="s">
        <v>20</v>
      </c>
      <c r="C372" s="3" t="s">
        <v>2585</v>
      </c>
      <c r="D372" s="3" t="s">
        <v>60</v>
      </c>
      <c r="E372" s="3"/>
      <c r="F372" s="3"/>
      <c r="G372" s="3" t="s">
        <v>13</v>
      </c>
      <c r="H372" s="3" t="s">
        <v>69</v>
      </c>
    </row>
    <row r="373" spans="1:8" x14ac:dyDescent="0.35">
      <c r="A373" s="3" t="s">
        <v>193</v>
      </c>
      <c r="B373" s="3" t="s">
        <v>20</v>
      </c>
      <c r="C373" s="3" t="s">
        <v>2585</v>
      </c>
      <c r="D373" s="3" t="s">
        <v>77</v>
      </c>
      <c r="E373" s="3"/>
      <c r="F373" s="3"/>
      <c r="G373" s="3" t="s">
        <v>13</v>
      </c>
      <c r="H373" s="3" t="s">
        <v>69</v>
      </c>
    </row>
    <row r="374" spans="1:8" x14ac:dyDescent="0.35">
      <c r="A374" s="3" t="s">
        <v>193</v>
      </c>
      <c r="B374" s="3" t="s">
        <v>20</v>
      </c>
      <c r="C374" s="3" t="s">
        <v>2585</v>
      </c>
      <c r="D374" s="3" t="s">
        <v>28</v>
      </c>
      <c r="E374" s="3" t="s">
        <v>13</v>
      </c>
      <c r="F374" s="3" t="s">
        <v>205</v>
      </c>
      <c r="G374" s="3" t="s">
        <v>13</v>
      </c>
      <c r="H374" s="3" t="s">
        <v>69</v>
      </c>
    </row>
    <row r="375" spans="1:8" x14ac:dyDescent="0.35">
      <c r="A375" s="3" t="s">
        <v>193</v>
      </c>
      <c r="B375" s="3" t="s">
        <v>20</v>
      </c>
      <c r="C375" s="3" t="s">
        <v>2585</v>
      </c>
      <c r="D375" s="3" t="s">
        <v>98</v>
      </c>
      <c r="E375" s="3"/>
      <c r="F375" s="3"/>
      <c r="G375" s="3" t="s">
        <v>13</v>
      </c>
      <c r="H375" s="3" t="s">
        <v>69</v>
      </c>
    </row>
    <row r="376" spans="1:8" x14ac:dyDescent="0.35">
      <c r="A376" s="3" t="s">
        <v>193</v>
      </c>
      <c r="B376" s="3" t="s">
        <v>20</v>
      </c>
      <c r="C376" s="3" t="s">
        <v>2585</v>
      </c>
      <c r="D376" s="3" t="s">
        <v>15</v>
      </c>
      <c r="E376" s="3" t="s">
        <v>13</v>
      </c>
      <c r="F376" s="3" t="s">
        <v>204</v>
      </c>
      <c r="G376" s="3" t="s">
        <v>13</v>
      </c>
      <c r="H376" s="3" t="s">
        <v>69</v>
      </c>
    </row>
    <row r="377" spans="1:8" x14ac:dyDescent="0.35">
      <c r="A377" s="3" t="s">
        <v>193</v>
      </c>
      <c r="B377" s="3" t="s">
        <v>20</v>
      </c>
      <c r="C377" s="3" t="s">
        <v>2585</v>
      </c>
      <c r="D377" s="3" t="s">
        <v>57</v>
      </c>
      <c r="E377" s="3"/>
      <c r="F377" s="3"/>
      <c r="G377" s="3" t="s">
        <v>13</v>
      </c>
      <c r="H377" s="3" t="s">
        <v>69</v>
      </c>
    </row>
    <row r="378" spans="1:8" x14ac:dyDescent="0.35">
      <c r="A378" s="3" t="s">
        <v>193</v>
      </c>
      <c r="B378" s="3" t="s">
        <v>20</v>
      </c>
      <c r="C378" s="3" t="s">
        <v>2585</v>
      </c>
      <c r="D378" s="3" t="s">
        <v>56</v>
      </c>
      <c r="E378" s="3"/>
      <c r="F378" s="3"/>
      <c r="G378" s="3" t="s">
        <v>13</v>
      </c>
      <c r="H378" s="3" t="s">
        <v>69</v>
      </c>
    </row>
    <row r="379" spans="1:8" x14ac:dyDescent="0.35">
      <c r="A379" s="3" t="s">
        <v>193</v>
      </c>
      <c r="B379" s="3" t="s">
        <v>20</v>
      </c>
      <c r="C379" s="3" t="s">
        <v>2585</v>
      </c>
      <c r="D379" s="3" t="s">
        <v>89</v>
      </c>
      <c r="E379" s="3"/>
      <c r="F379" s="3"/>
      <c r="G379" s="3" t="s">
        <v>13</v>
      </c>
      <c r="H379" s="3" t="s">
        <v>69</v>
      </c>
    </row>
    <row r="380" spans="1:8" x14ac:dyDescent="0.35">
      <c r="A380" s="3" t="s">
        <v>193</v>
      </c>
      <c r="B380" s="3" t="s">
        <v>20</v>
      </c>
      <c r="C380" s="3" t="s">
        <v>2585</v>
      </c>
      <c r="D380" s="3" t="s">
        <v>29</v>
      </c>
      <c r="E380" s="3"/>
      <c r="F380" s="3"/>
      <c r="G380" s="3" t="s">
        <v>13</v>
      </c>
      <c r="H380" s="3" t="s">
        <v>69</v>
      </c>
    </row>
    <row r="381" spans="1:8" x14ac:dyDescent="0.35">
      <c r="A381" s="3" t="s">
        <v>193</v>
      </c>
      <c r="B381" s="3" t="s">
        <v>20</v>
      </c>
      <c r="C381" s="3" t="s">
        <v>2585</v>
      </c>
      <c r="D381" s="3" t="s">
        <v>62</v>
      </c>
      <c r="E381" s="3"/>
      <c r="F381" s="3"/>
      <c r="G381" s="3" t="s">
        <v>13</v>
      </c>
      <c r="H381" s="3" t="s">
        <v>69</v>
      </c>
    </row>
    <row r="382" spans="1:8" x14ac:dyDescent="0.35">
      <c r="A382" s="3" t="s">
        <v>193</v>
      </c>
      <c r="B382" s="3" t="s">
        <v>20</v>
      </c>
      <c r="C382" s="3" t="s">
        <v>2585</v>
      </c>
      <c r="D382" s="3" t="s">
        <v>134</v>
      </c>
      <c r="E382" s="3"/>
      <c r="F382" s="3"/>
      <c r="G382" s="3" t="s">
        <v>13</v>
      </c>
      <c r="H382" s="3" t="s">
        <v>69</v>
      </c>
    </row>
    <row r="383" spans="1:8" x14ac:dyDescent="0.35">
      <c r="A383" s="3" t="s">
        <v>193</v>
      </c>
      <c r="B383" s="3" t="s">
        <v>20</v>
      </c>
      <c r="C383" s="3" t="s">
        <v>2585</v>
      </c>
      <c r="D383" s="3" t="s">
        <v>107</v>
      </c>
      <c r="E383" s="3" t="s">
        <v>13</v>
      </c>
      <c r="F383" s="3" t="s">
        <v>206</v>
      </c>
      <c r="G383" s="3" t="s">
        <v>13</v>
      </c>
      <c r="H383" s="3" t="s">
        <v>69</v>
      </c>
    </row>
    <row r="384" spans="1:8" x14ac:dyDescent="0.35">
      <c r="A384" s="3" t="s">
        <v>193</v>
      </c>
      <c r="B384" s="3" t="s">
        <v>42</v>
      </c>
      <c r="C384" s="3" t="s">
        <v>207</v>
      </c>
      <c r="D384" s="3" t="s">
        <v>12</v>
      </c>
      <c r="E384" s="3"/>
      <c r="F384" s="3"/>
      <c r="G384" s="3" t="s">
        <v>13</v>
      </c>
      <c r="H384" s="3" t="s">
        <v>69</v>
      </c>
    </row>
    <row r="385" spans="1:8" x14ac:dyDescent="0.35">
      <c r="A385" s="3" t="s">
        <v>193</v>
      </c>
      <c r="B385" s="3" t="s">
        <v>42</v>
      </c>
      <c r="C385" s="3" t="s">
        <v>207</v>
      </c>
      <c r="D385" s="3" t="s">
        <v>15</v>
      </c>
      <c r="E385" s="3" t="s">
        <v>16</v>
      </c>
      <c r="F385" s="3" t="s">
        <v>144</v>
      </c>
      <c r="G385" s="3" t="s">
        <v>13</v>
      </c>
      <c r="H385" s="3" t="s">
        <v>69</v>
      </c>
    </row>
    <row r="386" spans="1:8" x14ac:dyDescent="0.35">
      <c r="A386" s="3" t="s">
        <v>193</v>
      </c>
      <c r="B386" s="3" t="s">
        <v>42</v>
      </c>
      <c r="C386" s="3" t="s">
        <v>207</v>
      </c>
      <c r="D386" s="3" t="s">
        <v>57</v>
      </c>
      <c r="E386" s="3"/>
      <c r="F386" s="3" t="s">
        <v>2311</v>
      </c>
      <c r="G386" s="3" t="s">
        <v>13</v>
      </c>
      <c r="H386" s="3" t="s">
        <v>69</v>
      </c>
    </row>
    <row r="387" spans="1:8" x14ac:dyDescent="0.35">
      <c r="A387" s="3" t="s">
        <v>193</v>
      </c>
      <c r="B387" s="3" t="s">
        <v>42</v>
      </c>
      <c r="C387" s="3" t="s">
        <v>207</v>
      </c>
      <c r="D387" s="3" t="s">
        <v>56</v>
      </c>
      <c r="E387" s="3" t="s">
        <v>13</v>
      </c>
      <c r="F387" s="3" t="s">
        <v>208</v>
      </c>
      <c r="G387" s="3" t="s">
        <v>13</v>
      </c>
      <c r="H387" s="3" t="s">
        <v>69</v>
      </c>
    </row>
    <row r="388" spans="1:8" x14ac:dyDescent="0.35">
      <c r="A388" s="3" t="s">
        <v>193</v>
      </c>
      <c r="B388" s="3" t="s">
        <v>42</v>
      </c>
      <c r="C388" s="3" t="s">
        <v>207</v>
      </c>
      <c r="D388" s="3" t="s">
        <v>107</v>
      </c>
      <c r="E388" s="3" t="s">
        <v>13</v>
      </c>
      <c r="F388" s="3" t="s">
        <v>144</v>
      </c>
      <c r="G388" s="3" t="s">
        <v>13</v>
      </c>
      <c r="H388" s="3" t="s">
        <v>69</v>
      </c>
    </row>
    <row r="389" spans="1:8" x14ac:dyDescent="0.35">
      <c r="A389" s="3" t="s">
        <v>193</v>
      </c>
      <c r="B389" s="3" t="s">
        <v>42</v>
      </c>
      <c r="C389" s="3" t="s">
        <v>207</v>
      </c>
      <c r="D389" s="3" t="s">
        <v>82</v>
      </c>
      <c r="E389" s="3" t="s">
        <v>13</v>
      </c>
      <c r="F389" s="3" t="s">
        <v>209</v>
      </c>
      <c r="G389" s="3" t="s">
        <v>13</v>
      </c>
      <c r="H389" s="3" t="s">
        <v>69</v>
      </c>
    </row>
    <row r="390" spans="1:8" x14ac:dyDescent="0.35">
      <c r="A390" s="3" t="s">
        <v>193</v>
      </c>
      <c r="B390" s="3" t="s">
        <v>20</v>
      </c>
      <c r="C390" s="3" t="s">
        <v>210</v>
      </c>
      <c r="D390" s="3" t="s">
        <v>12</v>
      </c>
      <c r="E390" s="3"/>
      <c r="F390" s="3"/>
      <c r="G390" s="3" t="s">
        <v>13</v>
      </c>
      <c r="H390" s="3" t="s">
        <v>59</v>
      </c>
    </row>
    <row r="391" spans="1:8" x14ac:dyDescent="0.35">
      <c r="A391" s="3" t="s">
        <v>193</v>
      </c>
      <c r="B391" s="3" t="s">
        <v>20</v>
      </c>
      <c r="C391" s="3" t="s">
        <v>210</v>
      </c>
      <c r="D391" s="3" t="s">
        <v>56</v>
      </c>
      <c r="E391" s="3"/>
      <c r="F391" s="3"/>
      <c r="G391" s="3" t="s">
        <v>13</v>
      </c>
      <c r="H391" s="3" t="s">
        <v>59</v>
      </c>
    </row>
    <row r="392" spans="1:8" x14ac:dyDescent="0.35">
      <c r="A392" s="3" t="s">
        <v>193</v>
      </c>
      <c r="B392" s="3" t="s">
        <v>20</v>
      </c>
      <c r="C392" s="3" t="s">
        <v>210</v>
      </c>
      <c r="D392" s="3" t="s">
        <v>29</v>
      </c>
      <c r="E392" s="3"/>
      <c r="F392" s="3"/>
      <c r="G392" s="3" t="s">
        <v>13</v>
      </c>
      <c r="H392" s="3" t="s">
        <v>59</v>
      </c>
    </row>
    <row r="393" spans="1:8" x14ac:dyDescent="0.35">
      <c r="A393" s="3" t="s">
        <v>193</v>
      </c>
      <c r="B393" s="3" t="s">
        <v>20</v>
      </c>
      <c r="C393" s="3" t="s">
        <v>211</v>
      </c>
      <c r="D393" s="3" t="s">
        <v>12</v>
      </c>
      <c r="E393" s="3" t="s">
        <v>33</v>
      </c>
      <c r="F393" s="3" t="s">
        <v>200</v>
      </c>
      <c r="G393" s="3"/>
      <c r="H393" s="3"/>
    </row>
    <row r="394" spans="1:8" x14ac:dyDescent="0.35">
      <c r="A394" s="3" t="s">
        <v>193</v>
      </c>
      <c r="B394" s="3" t="s">
        <v>20</v>
      </c>
      <c r="C394" s="3" t="s">
        <v>211</v>
      </c>
      <c r="D394" s="3" t="s">
        <v>28</v>
      </c>
      <c r="E394" s="3" t="s">
        <v>33</v>
      </c>
      <c r="F394" s="3" t="s">
        <v>200</v>
      </c>
      <c r="G394" s="3"/>
      <c r="H394" s="3"/>
    </row>
    <row r="395" spans="1:8" x14ac:dyDescent="0.35">
      <c r="A395" s="3" t="s">
        <v>193</v>
      </c>
      <c r="B395" s="3" t="s">
        <v>20</v>
      </c>
      <c r="C395" s="3" t="s">
        <v>211</v>
      </c>
      <c r="D395" s="3" t="s">
        <v>57</v>
      </c>
      <c r="E395" s="3" t="s">
        <v>33</v>
      </c>
      <c r="F395" s="3" t="s">
        <v>200</v>
      </c>
      <c r="G395" s="3"/>
      <c r="H395" s="3"/>
    </row>
    <row r="396" spans="1:8" x14ac:dyDescent="0.35">
      <c r="A396" s="3" t="s">
        <v>193</v>
      </c>
      <c r="B396" s="3" t="s">
        <v>20</v>
      </c>
      <c r="C396" s="3" t="s">
        <v>211</v>
      </c>
      <c r="D396" s="3" t="s">
        <v>29</v>
      </c>
      <c r="E396" s="3" t="s">
        <v>33</v>
      </c>
      <c r="F396" s="3" t="s">
        <v>200</v>
      </c>
      <c r="G396" s="3"/>
      <c r="H396" s="3"/>
    </row>
    <row r="397" spans="1:8" x14ac:dyDescent="0.35">
      <c r="A397" s="3" t="s">
        <v>193</v>
      </c>
      <c r="B397" s="3" t="s">
        <v>20</v>
      </c>
      <c r="C397" s="3" t="s">
        <v>211</v>
      </c>
      <c r="D397" s="3" t="s">
        <v>107</v>
      </c>
      <c r="E397" s="3" t="s">
        <v>33</v>
      </c>
      <c r="F397" s="3" t="s">
        <v>200</v>
      </c>
      <c r="G397" s="3"/>
      <c r="H397" s="3"/>
    </row>
    <row r="398" spans="1:8" x14ac:dyDescent="0.35">
      <c r="A398" s="3" t="s">
        <v>193</v>
      </c>
      <c r="B398" s="3" t="s">
        <v>45</v>
      </c>
      <c r="C398" s="3" t="s">
        <v>2776</v>
      </c>
      <c r="D398" s="3" t="s">
        <v>77</v>
      </c>
      <c r="E398" s="3" t="s">
        <v>33</v>
      </c>
      <c r="F398" s="3" t="s">
        <v>2762</v>
      </c>
      <c r="G398" s="3"/>
      <c r="H398" s="3"/>
    </row>
    <row r="399" spans="1:8" x14ac:dyDescent="0.35">
      <c r="A399" s="3" t="s">
        <v>193</v>
      </c>
      <c r="B399" s="3" t="s">
        <v>45</v>
      </c>
      <c r="C399" s="3" t="s">
        <v>2776</v>
      </c>
      <c r="D399" s="3" t="s">
        <v>98</v>
      </c>
      <c r="E399" s="3"/>
      <c r="F399" s="3"/>
      <c r="G399" s="3"/>
      <c r="H399" s="3"/>
    </row>
    <row r="400" spans="1:8" x14ac:dyDescent="0.35">
      <c r="A400" s="3" t="s">
        <v>193</v>
      </c>
      <c r="B400" s="3" t="s">
        <v>45</v>
      </c>
      <c r="C400" s="3" t="s">
        <v>2776</v>
      </c>
      <c r="D400" s="3" t="s">
        <v>24</v>
      </c>
      <c r="E400" s="3"/>
      <c r="F400" s="3"/>
      <c r="G400" s="3"/>
      <c r="H400" s="3"/>
    </row>
    <row r="401" spans="1:8" x14ac:dyDescent="0.35">
      <c r="A401" s="3" t="s">
        <v>193</v>
      </c>
      <c r="B401" s="3" t="s">
        <v>10</v>
      </c>
      <c r="C401" s="3" t="s">
        <v>212</v>
      </c>
      <c r="D401" s="3" t="s">
        <v>47</v>
      </c>
      <c r="E401" s="3" t="s">
        <v>16</v>
      </c>
      <c r="F401" s="3" t="s">
        <v>213</v>
      </c>
      <c r="G401" s="3" t="s">
        <v>13</v>
      </c>
      <c r="H401" s="3" t="s">
        <v>59</v>
      </c>
    </row>
    <row r="402" spans="1:8" x14ac:dyDescent="0.35">
      <c r="A402" s="3" t="s">
        <v>193</v>
      </c>
      <c r="B402" s="3" t="s">
        <v>10</v>
      </c>
      <c r="C402" s="3" t="s">
        <v>212</v>
      </c>
      <c r="D402" s="3" t="s">
        <v>15</v>
      </c>
      <c r="E402" s="3" t="s">
        <v>16</v>
      </c>
      <c r="F402" s="3" t="s">
        <v>214</v>
      </c>
      <c r="G402" s="3" t="s">
        <v>13</v>
      </c>
      <c r="H402" s="3" t="s">
        <v>59</v>
      </c>
    </row>
    <row r="403" spans="1:8" x14ac:dyDescent="0.35">
      <c r="A403" s="3" t="s">
        <v>193</v>
      </c>
      <c r="B403" s="3" t="s">
        <v>10</v>
      </c>
      <c r="C403" s="3" t="s">
        <v>212</v>
      </c>
      <c r="D403" s="3" t="s">
        <v>32</v>
      </c>
      <c r="E403" s="3" t="s">
        <v>33</v>
      </c>
      <c r="F403" s="3" t="s">
        <v>2762</v>
      </c>
      <c r="G403" s="3"/>
      <c r="H403" s="3"/>
    </row>
    <row r="404" spans="1:8" x14ac:dyDescent="0.35">
      <c r="A404" s="3" t="s">
        <v>193</v>
      </c>
      <c r="B404" s="3" t="s">
        <v>10</v>
      </c>
      <c r="C404" s="3" t="s">
        <v>212</v>
      </c>
      <c r="D404" s="3" t="s">
        <v>134</v>
      </c>
      <c r="E404" s="3" t="s">
        <v>16</v>
      </c>
      <c r="F404" s="3" t="s">
        <v>215</v>
      </c>
      <c r="G404" s="3" t="s">
        <v>13</v>
      </c>
      <c r="H404" s="3" t="s">
        <v>59</v>
      </c>
    </row>
    <row r="405" spans="1:8" x14ac:dyDescent="0.35">
      <c r="A405" s="3" t="s">
        <v>193</v>
      </c>
      <c r="B405" s="3" t="s">
        <v>10</v>
      </c>
      <c r="C405" s="3" t="s">
        <v>3003</v>
      </c>
      <c r="D405" s="3" t="s">
        <v>28</v>
      </c>
      <c r="E405" s="3" t="s">
        <v>16</v>
      </c>
      <c r="F405" s="3" t="s">
        <v>3004</v>
      </c>
      <c r="G405" s="3" t="s">
        <v>13</v>
      </c>
      <c r="H405" s="3" t="s">
        <v>59</v>
      </c>
    </row>
    <row r="406" spans="1:8" x14ac:dyDescent="0.35">
      <c r="A406" s="3" t="s">
        <v>193</v>
      </c>
      <c r="B406" s="3" t="s">
        <v>10</v>
      </c>
      <c r="C406" s="3" t="s">
        <v>3003</v>
      </c>
      <c r="D406" s="3" t="s">
        <v>15</v>
      </c>
      <c r="E406" s="3" t="s">
        <v>16</v>
      </c>
      <c r="F406" s="3" t="s">
        <v>3005</v>
      </c>
      <c r="G406" s="3" t="s">
        <v>13</v>
      </c>
      <c r="H406" s="3" t="s">
        <v>59</v>
      </c>
    </row>
    <row r="407" spans="1:8" x14ac:dyDescent="0.35">
      <c r="A407" s="3" t="s">
        <v>193</v>
      </c>
      <c r="B407" s="3" t="s">
        <v>45</v>
      </c>
      <c r="C407" s="3" t="s">
        <v>2262</v>
      </c>
      <c r="D407" s="3" t="s">
        <v>77</v>
      </c>
      <c r="E407" s="3"/>
      <c r="F407" s="3"/>
      <c r="G407" s="3"/>
      <c r="H407" s="3"/>
    </row>
    <row r="408" spans="1:8" x14ac:dyDescent="0.35">
      <c r="A408" s="3" t="s">
        <v>193</v>
      </c>
      <c r="B408" s="3" t="s">
        <v>45</v>
      </c>
      <c r="C408" s="3" t="s">
        <v>216</v>
      </c>
      <c r="D408" s="3" t="s">
        <v>166</v>
      </c>
      <c r="E408" s="3"/>
      <c r="F408" s="3"/>
      <c r="G408" s="3"/>
      <c r="H408" s="3"/>
    </row>
    <row r="409" spans="1:8" x14ac:dyDescent="0.35">
      <c r="A409" s="3" t="s">
        <v>193</v>
      </c>
      <c r="B409" s="3" t="s">
        <v>45</v>
      </c>
      <c r="C409" s="3" t="s">
        <v>216</v>
      </c>
      <c r="D409" s="3" t="s">
        <v>217</v>
      </c>
      <c r="E409" s="3"/>
      <c r="F409" s="3"/>
      <c r="G409" s="3"/>
      <c r="H409" s="3"/>
    </row>
    <row r="410" spans="1:8" x14ac:dyDescent="0.35">
      <c r="A410" s="3" t="s">
        <v>193</v>
      </c>
      <c r="B410" s="3" t="s">
        <v>45</v>
      </c>
      <c r="C410" s="3" t="s">
        <v>216</v>
      </c>
      <c r="D410" s="3" t="s">
        <v>220</v>
      </c>
      <c r="E410" s="3"/>
      <c r="F410" s="3"/>
      <c r="G410" s="3"/>
      <c r="H410" s="3"/>
    </row>
    <row r="411" spans="1:8" x14ac:dyDescent="0.35">
      <c r="A411" s="3" t="s">
        <v>193</v>
      </c>
      <c r="B411" s="3" t="s">
        <v>45</v>
      </c>
      <c r="C411" s="3" t="s">
        <v>216</v>
      </c>
      <c r="D411" s="3" t="s">
        <v>225</v>
      </c>
      <c r="E411" s="3"/>
      <c r="F411" s="3"/>
      <c r="G411" s="3"/>
      <c r="H411" s="3"/>
    </row>
    <row r="412" spans="1:8" x14ac:dyDescent="0.35">
      <c r="A412" s="3" t="s">
        <v>193</v>
      </c>
      <c r="B412" s="3" t="s">
        <v>45</v>
      </c>
      <c r="C412" s="3" t="s">
        <v>216</v>
      </c>
      <c r="D412" s="3" t="s">
        <v>77</v>
      </c>
      <c r="E412" s="3"/>
      <c r="F412" s="3"/>
      <c r="G412" s="3"/>
      <c r="H412" s="3"/>
    </row>
    <row r="413" spans="1:8" x14ac:dyDescent="0.35">
      <c r="A413" s="3" t="s">
        <v>193</v>
      </c>
      <c r="B413" s="3" t="s">
        <v>45</v>
      </c>
      <c r="C413" s="3" t="s">
        <v>216</v>
      </c>
      <c r="D413" s="3" t="s">
        <v>221</v>
      </c>
      <c r="E413" s="3"/>
      <c r="F413" s="3"/>
      <c r="G413" s="3"/>
      <c r="H413" s="3"/>
    </row>
    <row r="414" spans="1:8" x14ac:dyDescent="0.35">
      <c r="A414" s="3" t="s">
        <v>193</v>
      </c>
      <c r="B414" s="3" t="s">
        <v>45</v>
      </c>
      <c r="C414" s="3" t="s">
        <v>216</v>
      </c>
      <c r="D414" s="3" t="s">
        <v>222</v>
      </c>
      <c r="E414" s="3"/>
      <c r="F414" s="3"/>
      <c r="G414" s="3"/>
      <c r="H414" s="3"/>
    </row>
    <row r="415" spans="1:8" x14ac:dyDescent="0.35">
      <c r="A415" s="3" t="s">
        <v>193</v>
      </c>
      <c r="B415" s="3" t="s">
        <v>45</v>
      </c>
      <c r="C415" s="3" t="s">
        <v>216</v>
      </c>
      <c r="D415" s="3" t="s">
        <v>223</v>
      </c>
      <c r="E415" s="3"/>
      <c r="F415" s="3"/>
      <c r="G415" s="3"/>
      <c r="H415" s="3"/>
    </row>
    <row r="416" spans="1:8" x14ac:dyDescent="0.35">
      <c r="A416" s="3" t="s">
        <v>193</v>
      </c>
      <c r="B416" s="3" t="s">
        <v>45</v>
      </c>
      <c r="C416" s="3" t="s">
        <v>216</v>
      </c>
      <c r="D416" s="3" t="s">
        <v>226</v>
      </c>
      <c r="E416" s="3"/>
      <c r="F416" s="3"/>
      <c r="G416" s="3"/>
      <c r="H416" s="3"/>
    </row>
    <row r="417" spans="1:8" x14ac:dyDescent="0.35">
      <c r="A417" s="3" t="s">
        <v>193</v>
      </c>
      <c r="B417" s="3" t="s">
        <v>45</v>
      </c>
      <c r="C417" s="3" t="s">
        <v>216</v>
      </c>
      <c r="D417" s="3" t="s">
        <v>227</v>
      </c>
      <c r="E417" s="3"/>
      <c r="F417" s="3"/>
      <c r="G417" s="3"/>
      <c r="H417" s="3"/>
    </row>
    <row r="418" spans="1:8" x14ac:dyDescent="0.35">
      <c r="A418" s="3" t="s">
        <v>193</v>
      </c>
      <c r="B418" s="3" t="s">
        <v>45</v>
      </c>
      <c r="C418" s="3" t="s">
        <v>216</v>
      </c>
      <c r="D418" s="3" t="s">
        <v>228</v>
      </c>
      <c r="E418" s="3"/>
      <c r="F418" s="3"/>
      <c r="G418" s="3"/>
      <c r="H418" s="3"/>
    </row>
    <row r="419" spans="1:8" x14ac:dyDescent="0.35">
      <c r="A419" s="3" t="s">
        <v>193</v>
      </c>
      <c r="B419" s="3" t="s">
        <v>45</v>
      </c>
      <c r="C419" s="3" t="s">
        <v>216</v>
      </c>
      <c r="D419" s="3" t="s">
        <v>229</v>
      </c>
      <c r="E419" s="3"/>
      <c r="F419" s="3"/>
      <c r="G419" s="3"/>
      <c r="H419" s="3"/>
    </row>
    <row r="420" spans="1:8" x14ac:dyDescent="0.35">
      <c r="A420" s="3" t="s">
        <v>193</v>
      </c>
      <c r="B420" s="3" t="s">
        <v>45</v>
      </c>
      <c r="C420" s="3" t="s">
        <v>216</v>
      </c>
      <c r="D420" s="3" t="s">
        <v>230</v>
      </c>
      <c r="E420" s="3"/>
      <c r="F420" s="3"/>
      <c r="G420" s="3"/>
      <c r="H420" s="3"/>
    </row>
    <row r="421" spans="1:8" x14ac:dyDescent="0.35">
      <c r="A421" s="3" t="s">
        <v>193</v>
      </c>
      <c r="B421" s="3" t="s">
        <v>45</v>
      </c>
      <c r="C421" s="3" t="s">
        <v>216</v>
      </c>
      <c r="D421" s="3" t="s">
        <v>219</v>
      </c>
      <c r="E421" s="3"/>
      <c r="F421" s="3"/>
      <c r="G421" s="3"/>
      <c r="H421" s="3"/>
    </row>
    <row r="422" spans="1:8" x14ac:dyDescent="0.35">
      <c r="A422" s="3" t="s">
        <v>193</v>
      </c>
      <c r="B422" s="3" t="s">
        <v>45</v>
      </c>
      <c r="C422" s="3" t="s">
        <v>216</v>
      </c>
      <c r="D422" s="3" t="s">
        <v>218</v>
      </c>
      <c r="E422" s="3"/>
      <c r="F422" s="3"/>
      <c r="G422" s="3"/>
      <c r="H422" s="3"/>
    </row>
    <row r="423" spans="1:8" x14ac:dyDescent="0.35">
      <c r="A423" s="3" t="s">
        <v>193</v>
      </c>
      <c r="B423" s="3" t="s">
        <v>45</v>
      </c>
      <c r="C423" s="3" t="s">
        <v>216</v>
      </c>
      <c r="D423" s="3" t="s">
        <v>224</v>
      </c>
      <c r="E423" s="3"/>
      <c r="F423" s="3"/>
      <c r="G423" s="3"/>
      <c r="H423" s="3"/>
    </row>
    <row r="424" spans="1:8" x14ac:dyDescent="0.35">
      <c r="A424" s="3" t="s">
        <v>193</v>
      </c>
      <c r="B424" s="3" t="s">
        <v>39</v>
      </c>
      <c r="C424" s="3" t="s">
        <v>2588</v>
      </c>
      <c r="D424" s="3" t="s">
        <v>25</v>
      </c>
      <c r="E424" s="3" t="s">
        <v>13</v>
      </c>
      <c r="F424" s="3" t="s">
        <v>231</v>
      </c>
      <c r="G424" s="3" t="s">
        <v>13</v>
      </c>
      <c r="H424" s="3" t="s">
        <v>59</v>
      </c>
    </row>
    <row r="425" spans="1:8" x14ac:dyDescent="0.35">
      <c r="A425" s="3" t="s">
        <v>193</v>
      </c>
      <c r="B425" s="3" t="s">
        <v>39</v>
      </c>
      <c r="C425" s="3" t="s">
        <v>2588</v>
      </c>
      <c r="D425" s="3" t="s">
        <v>27</v>
      </c>
      <c r="E425" s="3" t="s">
        <v>13</v>
      </c>
      <c r="F425" s="3" t="s">
        <v>136</v>
      </c>
      <c r="G425" s="3" t="s">
        <v>13</v>
      </c>
      <c r="H425" s="3" t="s">
        <v>59</v>
      </c>
    </row>
    <row r="426" spans="1:8" x14ac:dyDescent="0.35">
      <c r="A426" s="3" t="s">
        <v>193</v>
      </c>
      <c r="B426" s="3" t="s">
        <v>39</v>
      </c>
      <c r="C426" s="3" t="s">
        <v>2588</v>
      </c>
      <c r="D426" s="3" t="s">
        <v>77</v>
      </c>
      <c r="E426" s="3" t="s">
        <v>13</v>
      </c>
      <c r="F426" s="3" t="s">
        <v>136</v>
      </c>
      <c r="G426" s="3" t="s">
        <v>13</v>
      </c>
      <c r="H426" s="3" t="s">
        <v>59</v>
      </c>
    </row>
    <row r="427" spans="1:8" x14ac:dyDescent="0.35">
      <c r="A427" s="3" t="s">
        <v>193</v>
      </c>
      <c r="B427" s="3" t="s">
        <v>39</v>
      </c>
      <c r="C427" s="3" t="s">
        <v>2588</v>
      </c>
      <c r="D427" s="3" t="s">
        <v>87</v>
      </c>
      <c r="E427" s="3" t="s">
        <v>13</v>
      </c>
      <c r="F427" s="3" t="s">
        <v>136</v>
      </c>
      <c r="G427" s="3" t="s">
        <v>13</v>
      </c>
      <c r="H427" s="3" t="s">
        <v>59</v>
      </c>
    </row>
    <row r="428" spans="1:8" x14ac:dyDescent="0.35">
      <c r="A428" s="3" t="s">
        <v>193</v>
      </c>
      <c r="B428" s="3" t="s">
        <v>39</v>
      </c>
      <c r="C428" s="3" t="s">
        <v>2588</v>
      </c>
      <c r="D428" s="3" t="s">
        <v>15</v>
      </c>
      <c r="E428" s="3" t="s">
        <v>13</v>
      </c>
      <c r="F428" s="3" t="s">
        <v>136</v>
      </c>
      <c r="G428" s="3" t="s">
        <v>13</v>
      </c>
      <c r="H428" s="3" t="s">
        <v>69</v>
      </c>
    </row>
    <row r="429" spans="1:8" x14ac:dyDescent="0.35">
      <c r="A429" s="3" t="s">
        <v>193</v>
      </c>
      <c r="B429" s="3" t="s">
        <v>39</v>
      </c>
      <c r="C429" s="3" t="s">
        <v>2588</v>
      </c>
      <c r="D429" s="3" t="s">
        <v>89</v>
      </c>
      <c r="E429" s="3" t="s">
        <v>13</v>
      </c>
      <c r="F429" s="3" t="s">
        <v>136</v>
      </c>
      <c r="G429" s="3" t="s">
        <v>13</v>
      </c>
      <c r="H429" s="3" t="s">
        <v>59</v>
      </c>
    </row>
    <row r="430" spans="1:8" x14ac:dyDescent="0.35">
      <c r="A430" s="3" t="s">
        <v>193</v>
      </c>
      <c r="B430" s="3" t="s">
        <v>39</v>
      </c>
      <c r="C430" s="3" t="s">
        <v>2588</v>
      </c>
      <c r="D430" s="3" t="s">
        <v>26</v>
      </c>
      <c r="E430" s="3" t="s">
        <v>13</v>
      </c>
      <c r="F430" s="3" t="s">
        <v>136</v>
      </c>
      <c r="G430" s="3" t="s">
        <v>13</v>
      </c>
      <c r="H430" s="3" t="s">
        <v>59</v>
      </c>
    </row>
    <row r="431" spans="1:8" x14ac:dyDescent="0.35">
      <c r="A431" s="3" t="s">
        <v>193</v>
      </c>
      <c r="B431" s="3" t="s">
        <v>39</v>
      </c>
      <c r="C431" s="3" t="s">
        <v>2588</v>
      </c>
      <c r="D431" s="3" t="s">
        <v>134</v>
      </c>
      <c r="E431" s="3" t="s">
        <v>13</v>
      </c>
      <c r="F431" s="3" t="s">
        <v>232</v>
      </c>
      <c r="G431" s="3" t="s">
        <v>13</v>
      </c>
      <c r="H431" s="3" t="s">
        <v>69</v>
      </c>
    </row>
    <row r="432" spans="1:8" x14ac:dyDescent="0.35">
      <c r="A432" s="3" t="s">
        <v>193</v>
      </c>
      <c r="B432" s="3" t="s">
        <v>45</v>
      </c>
      <c r="C432" s="3" t="s">
        <v>233</v>
      </c>
      <c r="D432" s="3" t="s">
        <v>77</v>
      </c>
      <c r="E432" s="3"/>
      <c r="F432" s="3"/>
      <c r="G432" s="3"/>
      <c r="H432" s="3"/>
    </row>
    <row r="433" spans="1:8" x14ac:dyDescent="0.35">
      <c r="A433" s="3" t="s">
        <v>193</v>
      </c>
      <c r="B433" s="3" t="s">
        <v>45</v>
      </c>
      <c r="C433" s="3" t="s">
        <v>234</v>
      </c>
      <c r="D433" s="3" t="s">
        <v>57</v>
      </c>
      <c r="E433" s="3"/>
      <c r="F433" s="3"/>
      <c r="G433" s="3"/>
      <c r="H433" s="3"/>
    </row>
    <row r="434" spans="1:8" x14ac:dyDescent="0.35">
      <c r="A434" s="3" t="s">
        <v>193</v>
      </c>
      <c r="B434" s="3" t="s">
        <v>45</v>
      </c>
      <c r="C434" s="3" t="s">
        <v>234</v>
      </c>
      <c r="D434" s="3" t="s">
        <v>32</v>
      </c>
      <c r="E434" s="3" t="s">
        <v>33</v>
      </c>
      <c r="F434" s="3" t="s">
        <v>34</v>
      </c>
      <c r="G434" s="3"/>
      <c r="H434" s="3"/>
    </row>
    <row r="435" spans="1:8" x14ac:dyDescent="0.35">
      <c r="A435" s="3" t="s">
        <v>193</v>
      </c>
      <c r="B435" s="3" t="s">
        <v>45</v>
      </c>
      <c r="C435" s="3" t="s">
        <v>235</v>
      </c>
      <c r="D435" s="3" t="s">
        <v>77</v>
      </c>
      <c r="E435" s="3"/>
      <c r="F435" s="3"/>
      <c r="G435" s="3"/>
      <c r="H435" s="3"/>
    </row>
    <row r="436" spans="1:8" x14ac:dyDescent="0.35">
      <c r="A436" s="3" t="s">
        <v>236</v>
      </c>
      <c r="B436" s="3" t="s">
        <v>45</v>
      </c>
      <c r="C436" s="3" t="s">
        <v>237</v>
      </c>
      <c r="D436" s="3" t="s">
        <v>77</v>
      </c>
      <c r="E436" s="3"/>
      <c r="F436" s="3"/>
      <c r="G436" s="3"/>
      <c r="H436" s="3"/>
    </row>
    <row r="437" spans="1:8" x14ac:dyDescent="0.35">
      <c r="A437" s="3" t="s">
        <v>236</v>
      </c>
      <c r="B437" s="3" t="s">
        <v>10</v>
      </c>
      <c r="C437" s="3" t="s">
        <v>238</v>
      </c>
      <c r="D437" s="3" t="s">
        <v>47</v>
      </c>
      <c r="E437" s="3"/>
      <c r="F437" s="3"/>
      <c r="G437" s="3" t="s">
        <v>13</v>
      </c>
      <c r="H437" s="3" t="s">
        <v>14</v>
      </c>
    </row>
    <row r="438" spans="1:8" x14ac:dyDescent="0.35">
      <c r="A438" s="3" t="s">
        <v>236</v>
      </c>
      <c r="B438" s="3" t="s">
        <v>10</v>
      </c>
      <c r="C438" s="3" t="s">
        <v>238</v>
      </c>
      <c r="D438" s="3" t="s">
        <v>15</v>
      </c>
      <c r="E438" s="3" t="s">
        <v>16</v>
      </c>
      <c r="F438" s="3" t="s">
        <v>239</v>
      </c>
      <c r="G438" s="3" t="s">
        <v>13</v>
      </c>
      <c r="H438" s="3" t="s">
        <v>14</v>
      </c>
    </row>
    <row r="439" spans="1:8" x14ac:dyDescent="0.35">
      <c r="A439" s="3" t="s">
        <v>236</v>
      </c>
      <c r="B439" s="3" t="s">
        <v>10</v>
      </c>
      <c r="C439" s="3" t="s">
        <v>238</v>
      </c>
      <c r="D439" s="3" t="s">
        <v>107</v>
      </c>
      <c r="E439" s="3" t="s">
        <v>16</v>
      </c>
      <c r="F439" s="3" t="s">
        <v>240</v>
      </c>
      <c r="G439" s="3" t="s">
        <v>13</v>
      </c>
      <c r="H439" s="3" t="s">
        <v>14</v>
      </c>
    </row>
    <row r="440" spans="1:8" x14ac:dyDescent="0.35">
      <c r="A440" s="3" t="s">
        <v>236</v>
      </c>
      <c r="B440" s="3" t="s">
        <v>20</v>
      </c>
      <c r="C440" s="3" t="s">
        <v>241</v>
      </c>
      <c r="D440" s="3" t="s">
        <v>12</v>
      </c>
      <c r="E440" s="3"/>
      <c r="F440" s="3"/>
      <c r="G440" s="3" t="s">
        <v>13</v>
      </c>
      <c r="H440" s="3" t="s">
        <v>22</v>
      </c>
    </row>
    <row r="441" spans="1:8" x14ac:dyDescent="0.35">
      <c r="A441" s="3" t="s">
        <v>236</v>
      </c>
      <c r="B441" s="3" t="s">
        <v>20</v>
      </c>
      <c r="C441" s="3" t="s">
        <v>241</v>
      </c>
      <c r="D441" s="3" t="s">
        <v>23</v>
      </c>
      <c r="E441" s="3"/>
      <c r="F441" s="3"/>
      <c r="G441" s="3" t="s">
        <v>13</v>
      </c>
      <c r="H441" s="3" t="s">
        <v>22</v>
      </c>
    </row>
    <row r="442" spans="1:8" x14ac:dyDescent="0.35">
      <c r="A442" s="3" t="s">
        <v>236</v>
      </c>
      <c r="B442" s="3" t="s">
        <v>20</v>
      </c>
      <c r="C442" s="3" t="s">
        <v>241</v>
      </c>
      <c r="D442" s="3" t="s">
        <v>25</v>
      </c>
      <c r="E442" s="3"/>
      <c r="F442" s="3"/>
      <c r="G442" s="3" t="s">
        <v>13</v>
      </c>
      <c r="H442" s="3" t="s">
        <v>22</v>
      </c>
    </row>
    <row r="443" spans="1:8" x14ac:dyDescent="0.35">
      <c r="A443" s="3" t="s">
        <v>236</v>
      </c>
      <c r="B443" s="3" t="s">
        <v>20</v>
      </c>
      <c r="C443" s="3" t="s">
        <v>241</v>
      </c>
      <c r="D443" s="3" t="s">
        <v>60</v>
      </c>
      <c r="E443" s="3"/>
      <c r="F443" s="3"/>
      <c r="G443" s="3" t="s">
        <v>13</v>
      </c>
      <c r="H443" s="3" t="s">
        <v>22</v>
      </c>
    </row>
    <row r="444" spans="1:8" x14ac:dyDescent="0.35">
      <c r="A444" s="3" t="s">
        <v>236</v>
      </c>
      <c r="B444" s="3" t="s">
        <v>20</v>
      </c>
      <c r="C444" s="3" t="s">
        <v>241</v>
      </c>
      <c r="D444" s="3" t="s">
        <v>87</v>
      </c>
      <c r="E444" s="3"/>
      <c r="F444" s="3"/>
      <c r="G444" s="3" t="s">
        <v>13</v>
      </c>
      <c r="H444" s="3" t="s">
        <v>22</v>
      </c>
    </row>
    <row r="445" spans="1:8" x14ac:dyDescent="0.35">
      <c r="A445" s="3" t="s">
        <v>236</v>
      </c>
      <c r="B445" s="3" t="s">
        <v>20</v>
      </c>
      <c r="C445" s="3" t="s">
        <v>241</v>
      </c>
      <c r="D445" s="3" t="s">
        <v>242</v>
      </c>
      <c r="E445" s="3"/>
      <c r="F445" s="3"/>
      <c r="G445" s="3" t="s">
        <v>13</v>
      </c>
      <c r="H445" s="3" t="s">
        <v>22</v>
      </c>
    </row>
    <row r="446" spans="1:8" x14ac:dyDescent="0.35">
      <c r="A446" s="3" t="s">
        <v>236</v>
      </c>
      <c r="B446" s="3" t="s">
        <v>20</v>
      </c>
      <c r="C446" s="3" t="s">
        <v>241</v>
      </c>
      <c r="D446" s="3" t="s">
        <v>15</v>
      </c>
      <c r="E446" s="3" t="s">
        <v>13</v>
      </c>
      <c r="F446" s="3" t="s">
        <v>243</v>
      </c>
      <c r="G446" s="3" t="s">
        <v>13</v>
      </c>
      <c r="H446" s="3" t="s">
        <v>22</v>
      </c>
    </row>
    <row r="447" spans="1:8" x14ac:dyDescent="0.35">
      <c r="A447" s="3" t="s">
        <v>236</v>
      </c>
      <c r="B447" s="3" t="s">
        <v>20</v>
      </c>
      <c r="C447" s="3" t="s">
        <v>241</v>
      </c>
      <c r="D447" s="3" t="s">
        <v>57</v>
      </c>
      <c r="E447" s="3"/>
      <c r="F447" s="3"/>
      <c r="G447" s="3" t="s">
        <v>13</v>
      </c>
      <c r="H447" s="3" t="s">
        <v>22</v>
      </c>
    </row>
    <row r="448" spans="1:8" x14ac:dyDescent="0.35">
      <c r="A448" s="3" t="s">
        <v>236</v>
      </c>
      <c r="B448" s="3" t="s">
        <v>20</v>
      </c>
      <c r="C448" s="3" t="s">
        <v>241</v>
      </c>
      <c r="D448" s="3" t="s">
        <v>56</v>
      </c>
      <c r="E448" s="3" t="s">
        <v>13</v>
      </c>
      <c r="F448" s="3" t="s">
        <v>2873</v>
      </c>
      <c r="G448" s="3" t="s">
        <v>13</v>
      </c>
      <c r="H448" s="3" t="s">
        <v>22</v>
      </c>
    </row>
    <row r="449" spans="1:8" x14ac:dyDescent="0.35">
      <c r="A449" s="3" t="s">
        <v>236</v>
      </c>
      <c r="B449" s="3" t="s">
        <v>20</v>
      </c>
      <c r="C449" s="3" t="s">
        <v>241</v>
      </c>
      <c r="D449" s="3" t="s">
        <v>89</v>
      </c>
      <c r="E449" s="3"/>
      <c r="F449" s="3"/>
      <c r="G449" s="3" t="s">
        <v>13</v>
      </c>
      <c r="H449" s="3" t="s">
        <v>22</v>
      </c>
    </row>
    <row r="450" spans="1:8" x14ac:dyDescent="0.35">
      <c r="A450" s="3" t="s">
        <v>236</v>
      </c>
      <c r="B450" s="3" t="s">
        <v>20</v>
      </c>
      <c r="C450" s="3" t="s">
        <v>241</v>
      </c>
      <c r="D450" s="3" t="s">
        <v>24</v>
      </c>
      <c r="E450" s="3"/>
      <c r="F450" s="3"/>
      <c r="G450" s="3" t="s">
        <v>13</v>
      </c>
      <c r="H450" s="3" t="s">
        <v>22</v>
      </c>
    </row>
    <row r="451" spans="1:8" x14ac:dyDescent="0.35">
      <c r="A451" s="3" t="s">
        <v>236</v>
      </c>
      <c r="B451" s="3" t="s">
        <v>20</v>
      </c>
      <c r="C451" s="3" t="s">
        <v>241</v>
      </c>
      <c r="D451" s="3" t="s">
        <v>244</v>
      </c>
      <c r="E451" s="3" t="s">
        <v>33</v>
      </c>
      <c r="F451" s="3" t="s">
        <v>164</v>
      </c>
      <c r="G451" s="3" t="s">
        <v>13</v>
      </c>
      <c r="H451" s="3" t="s">
        <v>22</v>
      </c>
    </row>
    <row r="452" spans="1:8" x14ac:dyDescent="0.35">
      <c r="A452" s="3" t="s">
        <v>236</v>
      </c>
      <c r="B452" s="3" t="s">
        <v>20</v>
      </c>
      <c r="C452" s="3" t="s">
        <v>241</v>
      </c>
      <c r="D452" s="3" t="s">
        <v>107</v>
      </c>
      <c r="E452" s="3"/>
      <c r="F452" s="3"/>
      <c r="G452" s="3" t="s">
        <v>13</v>
      </c>
      <c r="H452" s="3" t="s">
        <v>22</v>
      </c>
    </row>
    <row r="453" spans="1:8" x14ac:dyDescent="0.35">
      <c r="A453" s="3" t="s">
        <v>236</v>
      </c>
      <c r="B453" s="3" t="s">
        <v>45</v>
      </c>
      <c r="C453" s="3" t="s">
        <v>245</v>
      </c>
      <c r="D453" s="3" t="s">
        <v>77</v>
      </c>
      <c r="E453" s="3"/>
      <c r="F453" s="3"/>
      <c r="G453" s="3" t="s">
        <v>13</v>
      </c>
      <c r="H453" s="3" t="s">
        <v>14</v>
      </c>
    </row>
    <row r="454" spans="1:8" x14ac:dyDescent="0.35">
      <c r="A454" s="3" t="s">
        <v>236</v>
      </c>
      <c r="B454" s="3" t="s">
        <v>45</v>
      </c>
      <c r="C454" s="3" t="s">
        <v>245</v>
      </c>
      <c r="D454" s="3" t="s">
        <v>15</v>
      </c>
      <c r="E454" s="3" t="s">
        <v>13</v>
      </c>
      <c r="F454" s="3" t="s">
        <v>246</v>
      </c>
      <c r="G454" s="3" t="s">
        <v>13</v>
      </c>
      <c r="H454" s="3" t="s">
        <v>14</v>
      </c>
    </row>
    <row r="455" spans="1:8" x14ac:dyDescent="0.35">
      <c r="A455" s="3" t="s">
        <v>236</v>
      </c>
      <c r="B455" s="3" t="s">
        <v>45</v>
      </c>
      <c r="C455" s="3" t="s">
        <v>247</v>
      </c>
      <c r="D455" s="3" t="s">
        <v>77</v>
      </c>
      <c r="E455" s="3"/>
      <c r="F455" s="3"/>
      <c r="G455" s="3" t="s">
        <v>13</v>
      </c>
      <c r="H455" s="3" t="s">
        <v>14</v>
      </c>
    </row>
    <row r="456" spans="1:8" x14ac:dyDescent="0.35">
      <c r="A456" s="3" t="s">
        <v>236</v>
      </c>
      <c r="B456" s="3" t="s">
        <v>45</v>
      </c>
      <c r="C456" s="3" t="s">
        <v>247</v>
      </c>
      <c r="D456" s="3" t="s">
        <v>15</v>
      </c>
      <c r="E456" s="3" t="s">
        <v>13</v>
      </c>
      <c r="F456" s="3" t="s">
        <v>248</v>
      </c>
      <c r="G456" s="3" t="s">
        <v>13</v>
      </c>
      <c r="H456" s="3" t="s">
        <v>14</v>
      </c>
    </row>
    <row r="457" spans="1:8" x14ac:dyDescent="0.35">
      <c r="A457" s="3" t="s">
        <v>236</v>
      </c>
      <c r="B457" s="3" t="s">
        <v>45</v>
      </c>
      <c r="C457" s="3" t="s">
        <v>249</v>
      </c>
      <c r="D457" s="3" t="s">
        <v>77</v>
      </c>
      <c r="E457" s="3"/>
      <c r="F457" s="3"/>
      <c r="G457" s="3" t="s">
        <v>13</v>
      </c>
      <c r="H457" s="3" t="s">
        <v>14</v>
      </c>
    </row>
    <row r="458" spans="1:8" x14ac:dyDescent="0.35">
      <c r="A458" s="3" t="s">
        <v>236</v>
      </c>
      <c r="B458" s="3" t="s">
        <v>45</v>
      </c>
      <c r="C458" s="3" t="s">
        <v>249</v>
      </c>
      <c r="D458" s="3" t="s">
        <v>15</v>
      </c>
      <c r="E458" s="3" t="s">
        <v>13</v>
      </c>
      <c r="F458" s="3" t="s">
        <v>250</v>
      </c>
      <c r="G458" s="3" t="s">
        <v>13</v>
      </c>
      <c r="H458" s="3" t="s">
        <v>14</v>
      </c>
    </row>
    <row r="459" spans="1:8" x14ac:dyDescent="0.35">
      <c r="A459" s="3" t="s">
        <v>236</v>
      </c>
      <c r="B459" s="3" t="s">
        <v>45</v>
      </c>
      <c r="C459" s="3" t="s">
        <v>251</v>
      </c>
      <c r="D459" s="3" t="s">
        <v>185</v>
      </c>
      <c r="E459" s="3"/>
      <c r="F459" s="3" t="s">
        <v>2345</v>
      </c>
      <c r="G459" s="3"/>
      <c r="H459" s="3"/>
    </row>
    <row r="460" spans="1:8" x14ac:dyDescent="0.35">
      <c r="A460" s="3" t="s">
        <v>236</v>
      </c>
      <c r="B460" s="3" t="s">
        <v>45</v>
      </c>
      <c r="C460" s="3" t="s">
        <v>251</v>
      </c>
      <c r="D460" s="3" t="s">
        <v>15</v>
      </c>
      <c r="E460" s="3" t="s">
        <v>16</v>
      </c>
      <c r="F460" s="3" t="s">
        <v>252</v>
      </c>
      <c r="G460" s="3"/>
      <c r="H460" s="3"/>
    </row>
    <row r="461" spans="1:8" x14ac:dyDescent="0.35">
      <c r="A461" s="3" t="s">
        <v>236</v>
      </c>
      <c r="B461" s="3" t="s">
        <v>45</v>
      </c>
      <c r="C461" s="3" t="s">
        <v>253</v>
      </c>
      <c r="D461" s="3" t="s">
        <v>77</v>
      </c>
      <c r="E461" s="3"/>
      <c r="F461" s="3"/>
      <c r="G461" s="3" t="s">
        <v>13</v>
      </c>
      <c r="H461" s="3" t="s">
        <v>22</v>
      </c>
    </row>
    <row r="462" spans="1:8" x14ac:dyDescent="0.35">
      <c r="A462" s="3" t="s">
        <v>236</v>
      </c>
      <c r="B462" s="3" t="s">
        <v>42</v>
      </c>
      <c r="C462" s="3" t="s">
        <v>254</v>
      </c>
      <c r="D462" s="3" t="s">
        <v>12</v>
      </c>
      <c r="E462" s="3"/>
      <c r="F462" s="3"/>
      <c r="G462" s="3" t="s">
        <v>13</v>
      </c>
      <c r="H462" s="3" t="s">
        <v>22</v>
      </c>
    </row>
    <row r="463" spans="1:8" x14ac:dyDescent="0.35">
      <c r="A463" s="3" t="s">
        <v>236</v>
      </c>
      <c r="B463" s="3" t="s">
        <v>42</v>
      </c>
      <c r="C463" s="3" t="s">
        <v>254</v>
      </c>
      <c r="D463" s="3" t="s">
        <v>23</v>
      </c>
      <c r="E463" s="3" t="s">
        <v>16</v>
      </c>
      <c r="F463" s="3" t="s">
        <v>255</v>
      </c>
      <c r="G463" s="3" t="s">
        <v>13</v>
      </c>
      <c r="H463" s="3" t="s">
        <v>22</v>
      </c>
    </row>
    <row r="464" spans="1:8" x14ac:dyDescent="0.35">
      <c r="A464" s="3" t="s">
        <v>236</v>
      </c>
      <c r="B464" s="3" t="s">
        <v>42</v>
      </c>
      <c r="C464" s="3" t="s">
        <v>254</v>
      </c>
      <c r="D464" s="3" t="s">
        <v>25</v>
      </c>
      <c r="E464" s="3" t="s">
        <v>33</v>
      </c>
      <c r="F464" s="3" t="s">
        <v>97</v>
      </c>
      <c r="G464" s="3" t="s">
        <v>13</v>
      </c>
      <c r="H464" s="3" t="s">
        <v>22</v>
      </c>
    </row>
    <row r="465" spans="1:8" x14ac:dyDescent="0.35">
      <c r="A465" s="3" t="s">
        <v>236</v>
      </c>
      <c r="B465" s="3" t="s">
        <v>42</v>
      </c>
      <c r="C465" s="3" t="s">
        <v>254</v>
      </c>
      <c r="D465" s="3" t="s">
        <v>141</v>
      </c>
      <c r="E465" s="3" t="s">
        <v>13</v>
      </c>
      <c r="F465" s="3" t="s">
        <v>256</v>
      </c>
      <c r="G465" s="3" t="s">
        <v>13</v>
      </c>
      <c r="H465" s="3" t="s">
        <v>22</v>
      </c>
    </row>
    <row r="466" spans="1:8" x14ac:dyDescent="0.35">
      <c r="A466" s="3" t="s">
        <v>236</v>
      </c>
      <c r="B466" s="3" t="s">
        <v>42</v>
      </c>
      <c r="C466" s="3" t="s">
        <v>254</v>
      </c>
      <c r="D466" s="3" t="s">
        <v>87</v>
      </c>
      <c r="E466" s="3"/>
      <c r="F466" s="3"/>
      <c r="G466" s="3" t="s">
        <v>13</v>
      </c>
      <c r="H466" s="3" t="s">
        <v>22</v>
      </c>
    </row>
    <row r="467" spans="1:8" x14ac:dyDescent="0.35">
      <c r="A467" s="3" t="s">
        <v>236</v>
      </c>
      <c r="B467" s="3" t="s">
        <v>42</v>
      </c>
      <c r="C467" s="3" t="s">
        <v>254</v>
      </c>
      <c r="D467" s="3" t="s">
        <v>15</v>
      </c>
      <c r="E467" s="3"/>
      <c r="F467" s="3"/>
      <c r="G467" s="3" t="s">
        <v>13</v>
      </c>
      <c r="H467" s="3" t="s">
        <v>22</v>
      </c>
    </row>
    <row r="468" spans="1:8" x14ac:dyDescent="0.35">
      <c r="A468" s="3" t="s">
        <v>236</v>
      </c>
      <c r="B468" s="3" t="s">
        <v>42</v>
      </c>
      <c r="C468" s="3" t="s">
        <v>254</v>
      </c>
      <c r="D468" s="3" t="s">
        <v>57</v>
      </c>
      <c r="E468" s="3"/>
      <c r="F468" s="3" t="s">
        <v>2311</v>
      </c>
      <c r="G468" s="3" t="s">
        <v>13</v>
      </c>
      <c r="H468" s="3" t="s">
        <v>22</v>
      </c>
    </row>
    <row r="469" spans="1:8" x14ac:dyDescent="0.35">
      <c r="A469" s="3" t="s">
        <v>236</v>
      </c>
      <c r="B469" s="3" t="s">
        <v>42</v>
      </c>
      <c r="C469" s="3" t="s">
        <v>254</v>
      </c>
      <c r="D469" s="3" t="s">
        <v>56</v>
      </c>
      <c r="E469" s="3" t="s">
        <v>13</v>
      </c>
      <c r="F469" s="3" t="s">
        <v>257</v>
      </c>
      <c r="G469" s="3" t="s">
        <v>13</v>
      </c>
      <c r="H469" s="3" t="s">
        <v>22</v>
      </c>
    </row>
    <row r="470" spans="1:8" x14ac:dyDescent="0.35">
      <c r="A470" s="3" t="s">
        <v>236</v>
      </c>
      <c r="B470" s="3" t="s">
        <v>42</v>
      </c>
      <c r="C470" s="3" t="s">
        <v>254</v>
      </c>
      <c r="D470" s="3" t="s">
        <v>37</v>
      </c>
      <c r="E470" s="3"/>
      <c r="F470" s="3"/>
      <c r="G470" s="3" t="s">
        <v>13</v>
      </c>
      <c r="H470" s="3" t="s">
        <v>22</v>
      </c>
    </row>
    <row r="471" spans="1:8" x14ac:dyDescent="0.35">
      <c r="A471" s="3" t="s">
        <v>236</v>
      </c>
      <c r="B471" s="3" t="s">
        <v>42</v>
      </c>
      <c r="C471" s="3" t="s">
        <v>254</v>
      </c>
      <c r="D471" s="3" t="s">
        <v>107</v>
      </c>
      <c r="E471" s="3" t="s">
        <v>13</v>
      </c>
      <c r="F471" s="3" t="s">
        <v>258</v>
      </c>
      <c r="G471" s="3" t="s">
        <v>13</v>
      </c>
      <c r="H471" s="3" t="s">
        <v>22</v>
      </c>
    </row>
    <row r="472" spans="1:8" x14ac:dyDescent="0.35">
      <c r="A472" s="3" t="s">
        <v>236</v>
      </c>
      <c r="B472" s="3" t="s">
        <v>10</v>
      </c>
      <c r="C472" s="3" t="s">
        <v>2992</v>
      </c>
      <c r="D472" s="3" t="s">
        <v>12</v>
      </c>
      <c r="E472" s="3"/>
      <c r="F472" s="3"/>
      <c r="G472" s="3" t="s">
        <v>13</v>
      </c>
      <c r="H472" s="3" t="s">
        <v>14</v>
      </c>
    </row>
    <row r="473" spans="1:8" x14ac:dyDescent="0.35">
      <c r="A473" s="3" t="s">
        <v>236</v>
      </c>
      <c r="B473" s="3" t="s">
        <v>10</v>
      </c>
      <c r="C473" s="3" t="s">
        <v>2992</v>
      </c>
      <c r="D473" s="3" t="s">
        <v>47</v>
      </c>
      <c r="E473" s="3"/>
      <c r="F473" s="3"/>
      <c r="G473" s="3" t="s">
        <v>13</v>
      </c>
      <c r="H473" s="3" t="s">
        <v>14</v>
      </c>
    </row>
    <row r="474" spans="1:8" x14ac:dyDescent="0.35">
      <c r="A474" s="3" t="s">
        <v>236</v>
      </c>
      <c r="B474" s="3" t="s">
        <v>10</v>
      </c>
      <c r="C474" s="3" t="s">
        <v>2992</v>
      </c>
      <c r="D474" s="3" t="s">
        <v>15</v>
      </c>
      <c r="E474" s="3" t="s">
        <v>16</v>
      </c>
      <c r="F474" s="3" t="s">
        <v>2993</v>
      </c>
      <c r="G474" s="3" t="s">
        <v>13</v>
      </c>
      <c r="H474" s="3" t="s">
        <v>14</v>
      </c>
    </row>
    <row r="475" spans="1:8" x14ac:dyDescent="0.35">
      <c r="A475" s="3" t="s">
        <v>236</v>
      </c>
      <c r="B475" s="3" t="s">
        <v>10</v>
      </c>
      <c r="C475" s="3" t="s">
        <v>2992</v>
      </c>
      <c r="D475" s="3" t="s">
        <v>134</v>
      </c>
      <c r="E475" s="3" t="s">
        <v>16</v>
      </c>
      <c r="F475" s="3" t="s">
        <v>2994</v>
      </c>
      <c r="G475" s="3" t="s">
        <v>13</v>
      </c>
      <c r="H475" s="3" t="s">
        <v>14</v>
      </c>
    </row>
    <row r="476" spans="1:8" x14ac:dyDescent="0.35">
      <c r="A476" s="3" t="s">
        <v>236</v>
      </c>
      <c r="B476" s="3" t="s">
        <v>10</v>
      </c>
      <c r="C476" s="3" t="s">
        <v>2995</v>
      </c>
      <c r="D476" s="3" t="s">
        <v>12</v>
      </c>
      <c r="E476" s="3"/>
      <c r="F476" s="3"/>
      <c r="G476" s="3" t="s">
        <v>13</v>
      </c>
      <c r="H476" s="3" t="s">
        <v>14</v>
      </c>
    </row>
    <row r="477" spans="1:8" x14ac:dyDescent="0.35">
      <c r="A477" s="3" t="s">
        <v>236</v>
      </c>
      <c r="B477" s="3" t="s">
        <v>10</v>
      </c>
      <c r="C477" s="3" t="s">
        <v>2995</v>
      </c>
      <c r="D477" s="3" t="s">
        <v>47</v>
      </c>
      <c r="E477" s="3"/>
      <c r="F477" s="3"/>
      <c r="G477" s="3" t="s">
        <v>13</v>
      </c>
      <c r="H477" s="3" t="s">
        <v>14</v>
      </c>
    </row>
    <row r="478" spans="1:8" x14ac:dyDescent="0.35">
      <c r="A478" s="3" t="s">
        <v>236</v>
      </c>
      <c r="B478" s="3" t="s">
        <v>10</v>
      </c>
      <c r="C478" s="3" t="s">
        <v>2995</v>
      </c>
      <c r="D478" s="3" t="s">
        <v>37</v>
      </c>
      <c r="E478" s="3"/>
      <c r="F478" s="3"/>
      <c r="G478" s="3" t="s">
        <v>13</v>
      </c>
      <c r="H478" s="3" t="s">
        <v>14</v>
      </c>
    </row>
    <row r="479" spans="1:8" x14ac:dyDescent="0.35">
      <c r="A479" s="3" t="s">
        <v>236</v>
      </c>
      <c r="B479" s="3" t="s">
        <v>10</v>
      </c>
      <c r="C479" s="3" t="s">
        <v>2995</v>
      </c>
      <c r="D479" s="3" t="s">
        <v>15</v>
      </c>
      <c r="E479" s="3" t="s">
        <v>16</v>
      </c>
      <c r="F479" s="3" t="s">
        <v>2996</v>
      </c>
      <c r="G479" s="3" t="s">
        <v>13</v>
      </c>
      <c r="H479" s="3" t="s">
        <v>14</v>
      </c>
    </row>
    <row r="480" spans="1:8" x14ac:dyDescent="0.35">
      <c r="A480" s="3" t="s">
        <v>236</v>
      </c>
      <c r="B480" s="3" t="s">
        <v>10</v>
      </c>
      <c r="C480" s="3" t="s">
        <v>2995</v>
      </c>
      <c r="D480" s="3" t="s">
        <v>134</v>
      </c>
      <c r="E480" s="3"/>
      <c r="F480" s="3"/>
      <c r="G480" s="3" t="s">
        <v>13</v>
      </c>
      <c r="H480" s="3" t="s">
        <v>14</v>
      </c>
    </row>
    <row r="481" spans="1:8" x14ac:dyDescent="0.35">
      <c r="A481" s="3" t="s">
        <v>236</v>
      </c>
      <c r="B481" s="3" t="s">
        <v>45</v>
      </c>
      <c r="C481" s="3" t="s">
        <v>2712</v>
      </c>
      <c r="D481" s="3" t="s">
        <v>244</v>
      </c>
      <c r="E481" s="3"/>
      <c r="F481" s="3"/>
      <c r="G481" s="3"/>
      <c r="H481" s="3"/>
    </row>
    <row r="482" spans="1:8" x14ac:dyDescent="0.35">
      <c r="A482" s="3" t="s">
        <v>236</v>
      </c>
      <c r="B482" s="3" t="s">
        <v>45</v>
      </c>
      <c r="C482" s="3" t="s">
        <v>259</v>
      </c>
      <c r="D482" s="3" t="s">
        <v>23</v>
      </c>
      <c r="E482" s="3"/>
      <c r="F482" s="3" t="s">
        <v>2713</v>
      </c>
      <c r="G482" s="3"/>
      <c r="H482" s="3"/>
    </row>
    <row r="483" spans="1:8" x14ac:dyDescent="0.35">
      <c r="A483" s="3" t="s">
        <v>236</v>
      </c>
      <c r="B483" s="3" t="s">
        <v>45</v>
      </c>
      <c r="C483" s="3" t="s">
        <v>259</v>
      </c>
      <c r="D483" s="3" t="s">
        <v>56</v>
      </c>
      <c r="E483" s="3" t="s">
        <v>16</v>
      </c>
      <c r="F483" s="3" t="s">
        <v>2714</v>
      </c>
      <c r="G483" s="3"/>
      <c r="H483" s="3"/>
    </row>
    <row r="484" spans="1:8" x14ac:dyDescent="0.35">
      <c r="A484" s="3" t="s">
        <v>236</v>
      </c>
      <c r="B484" s="3" t="s">
        <v>45</v>
      </c>
      <c r="C484" s="3" t="s">
        <v>259</v>
      </c>
      <c r="D484" s="3" t="s">
        <v>244</v>
      </c>
      <c r="E484" s="3"/>
      <c r="F484" s="3"/>
      <c r="G484" s="3" t="s">
        <v>13</v>
      </c>
      <c r="H484" s="3" t="s">
        <v>22</v>
      </c>
    </row>
    <row r="485" spans="1:8" x14ac:dyDescent="0.35">
      <c r="A485" s="3" t="s">
        <v>236</v>
      </c>
      <c r="B485" s="3" t="s">
        <v>45</v>
      </c>
      <c r="C485" s="3" t="s">
        <v>260</v>
      </c>
      <c r="D485" s="3" t="s">
        <v>77</v>
      </c>
      <c r="E485" s="3"/>
      <c r="F485" s="3"/>
      <c r="G485" s="3"/>
      <c r="H485" s="3"/>
    </row>
    <row r="486" spans="1:8" x14ac:dyDescent="0.35">
      <c r="A486" s="3" t="s">
        <v>236</v>
      </c>
      <c r="B486" s="3" t="s">
        <v>45</v>
      </c>
      <c r="C486" s="3" t="s">
        <v>261</v>
      </c>
      <c r="D486" s="3" t="s">
        <v>77</v>
      </c>
      <c r="E486" s="3"/>
      <c r="F486" s="3"/>
      <c r="G486" s="3"/>
      <c r="H486" s="3"/>
    </row>
    <row r="487" spans="1:8" x14ac:dyDescent="0.35">
      <c r="A487" s="3" t="s">
        <v>236</v>
      </c>
      <c r="B487" s="3" t="s">
        <v>45</v>
      </c>
      <c r="C487" s="3" t="s">
        <v>261</v>
      </c>
      <c r="D487" s="3" t="s">
        <v>57</v>
      </c>
      <c r="E487" s="3"/>
      <c r="F487" s="3"/>
      <c r="G487" s="3"/>
      <c r="H487" s="3"/>
    </row>
    <row r="488" spans="1:8" x14ac:dyDescent="0.35">
      <c r="A488" s="3" t="s">
        <v>236</v>
      </c>
      <c r="B488" s="3" t="s">
        <v>39</v>
      </c>
      <c r="C488" s="3" t="s">
        <v>262</v>
      </c>
      <c r="D488" s="3" t="s">
        <v>27</v>
      </c>
      <c r="E488" s="3" t="s">
        <v>13</v>
      </c>
      <c r="F488" s="3" t="s">
        <v>136</v>
      </c>
      <c r="G488" s="3" t="s">
        <v>13</v>
      </c>
      <c r="H488" s="3" t="s">
        <v>14</v>
      </c>
    </row>
    <row r="489" spans="1:8" x14ac:dyDescent="0.35">
      <c r="A489" s="3" t="s">
        <v>236</v>
      </c>
      <c r="B489" s="3" t="s">
        <v>39</v>
      </c>
      <c r="C489" s="3" t="s">
        <v>262</v>
      </c>
      <c r="D489" s="3" t="s">
        <v>15</v>
      </c>
      <c r="E489" s="3" t="s">
        <v>13</v>
      </c>
      <c r="F489" s="3" t="s">
        <v>136</v>
      </c>
      <c r="G489" s="3" t="s">
        <v>13</v>
      </c>
      <c r="H489" s="3" t="s">
        <v>14</v>
      </c>
    </row>
    <row r="490" spans="1:8" x14ac:dyDescent="0.35">
      <c r="A490" s="3" t="s">
        <v>236</v>
      </c>
      <c r="B490" s="3" t="s">
        <v>39</v>
      </c>
      <c r="C490" s="3" t="s">
        <v>262</v>
      </c>
      <c r="D490" s="3" t="s">
        <v>32</v>
      </c>
      <c r="E490" s="3" t="s">
        <v>13</v>
      </c>
      <c r="F490" s="3" t="s">
        <v>263</v>
      </c>
      <c r="G490" s="3" t="s">
        <v>13</v>
      </c>
      <c r="H490" s="3" t="s">
        <v>14</v>
      </c>
    </row>
    <row r="491" spans="1:8" x14ac:dyDescent="0.35">
      <c r="A491" s="3" t="s">
        <v>236</v>
      </c>
      <c r="B491" s="3" t="s">
        <v>39</v>
      </c>
      <c r="C491" s="3" t="s">
        <v>262</v>
      </c>
      <c r="D491" s="3" t="s">
        <v>107</v>
      </c>
      <c r="E491" s="3" t="s">
        <v>13</v>
      </c>
      <c r="F491" s="3" t="s">
        <v>136</v>
      </c>
      <c r="G491" s="3" t="s">
        <v>13</v>
      </c>
      <c r="H491" s="3" t="s">
        <v>14</v>
      </c>
    </row>
    <row r="492" spans="1:8" x14ac:dyDescent="0.35">
      <c r="A492" s="3" t="s">
        <v>236</v>
      </c>
      <c r="B492" s="3" t="s">
        <v>20</v>
      </c>
      <c r="C492" s="3" t="s">
        <v>264</v>
      </c>
      <c r="D492" s="3" t="s">
        <v>47</v>
      </c>
      <c r="E492" s="3"/>
      <c r="F492" s="3"/>
      <c r="G492" s="3" t="s">
        <v>13</v>
      </c>
      <c r="H492" s="3" t="s">
        <v>14</v>
      </c>
    </row>
    <row r="493" spans="1:8" x14ac:dyDescent="0.35">
      <c r="A493" s="3" t="s">
        <v>236</v>
      </c>
      <c r="B493" s="3" t="s">
        <v>20</v>
      </c>
      <c r="C493" s="3" t="s">
        <v>264</v>
      </c>
      <c r="D493" s="3" t="s">
        <v>15</v>
      </c>
      <c r="E493" s="3" t="s">
        <v>16</v>
      </c>
      <c r="F493" s="3" t="s">
        <v>265</v>
      </c>
      <c r="G493" s="3" t="s">
        <v>13</v>
      </c>
      <c r="H493" s="3" t="s">
        <v>14</v>
      </c>
    </row>
    <row r="494" spans="1:8" x14ac:dyDescent="0.35">
      <c r="A494" s="3" t="s">
        <v>236</v>
      </c>
      <c r="B494" s="3" t="s">
        <v>10</v>
      </c>
      <c r="C494" s="3" t="s">
        <v>266</v>
      </c>
      <c r="D494" s="3" t="s">
        <v>12</v>
      </c>
      <c r="E494" s="3"/>
      <c r="F494" s="3"/>
      <c r="G494" s="3" t="s">
        <v>13</v>
      </c>
      <c r="H494" s="3" t="s">
        <v>22</v>
      </c>
    </row>
    <row r="495" spans="1:8" x14ac:dyDescent="0.35">
      <c r="A495" s="3" t="s">
        <v>236</v>
      </c>
      <c r="B495" s="3" t="s">
        <v>10</v>
      </c>
      <c r="C495" s="3" t="s">
        <v>266</v>
      </c>
      <c r="D495" s="3" t="s">
        <v>15</v>
      </c>
      <c r="E495" s="3" t="s">
        <v>13</v>
      </c>
      <c r="F495" s="3" t="s">
        <v>267</v>
      </c>
      <c r="G495" s="3" t="s">
        <v>13</v>
      </c>
      <c r="H495" s="3" t="s">
        <v>22</v>
      </c>
    </row>
    <row r="496" spans="1:8" x14ac:dyDescent="0.35">
      <c r="A496" s="3" t="s">
        <v>236</v>
      </c>
      <c r="B496" s="3" t="s">
        <v>10</v>
      </c>
      <c r="C496" s="3" t="s">
        <v>266</v>
      </c>
      <c r="D496" s="3" t="s">
        <v>29</v>
      </c>
      <c r="E496" s="3"/>
      <c r="F496" s="3"/>
      <c r="G496" s="3" t="s">
        <v>13</v>
      </c>
      <c r="H496" s="3" t="s">
        <v>22</v>
      </c>
    </row>
    <row r="497" spans="1:8" x14ac:dyDescent="0.35">
      <c r="A497" s="3" t="s">
        <v>236</v>
      </c>
      <c r="B497" s="3" t="s">
        <v>10</v>
      </c>
      <c r="C497" s="3" t="s">
        <v>268</v>
      </c>
      <c r="D497" s="3" t="s">
        <v>15</v>
      </c>
      <c r="E497" s="3" t="s">
        <v>16</v>
      </c>
      <c r="F497" s="3" t="s">
        <v>269</v>
      </c>
      <c r="G497" s="3" t="s">
        <v>13</v>
      </c>
      <c r="H497" s="3" t="s">
        <v>22</v>
      </c>
    </row>
    <row r="498" spans="1:8" x14ac:dyDescent="0.35">
      <c r="A498" s="3" t="s">
        <v>236</v>
      </c>
      <c r="B498" s="3" t="s">
        <v>10</v>
      </c>
      <c r="C498" s="3" t="s">
        <v>268</v>
      </c>
      <c r="D498" s="3" t="s">
        <v>37</v>
      </c>
      <c r="E498" s="3"/>
      <c r="F498" s="3"/>
      <c r="G498" s="3" t="s">
        <v>13</v>
      </c>
      <c r="H498" s="3" t="s">
        <v>22</v>
      </c>
    </row>
    <row r="499" spans="1:8" x14ac:dyDescent="0.35">
      <c r="A499" s="3" t="s">
        <v>236</v>
      </c>
      <c r="B499" s="3" t="s">
        <v>10</v>
      </c>
      <c r="C499" s="3" t="s">
        <v>270</v>
      </c>
      <c r="D499" s="3" t="s">
        <v>47</v>
      </c>
      <c r="E499" s="3"/>
      <c r="F499" s="3"/>
      <c r="G499" s="3"/>
      <c r="H499" s="3"/>
    </row>
    <row r="500" spans="1:8" x14ac:dyDescent="0.35">
      <c r="A500" s="3" t="s">
        <v>236</v>
      </c>
      <c r="B500" s="3" t="s">
        <v>10</v>
      </c>
      <c r="C500" s="3" t="s">
        <v>270</v>
      </c>
      <c r="D500" s="3" t="s">
        <v>15</v>
      </c>
      <c r="E500" s="3" t="s">
        <v>16</v>
      </c>
      <c r="F500" s="3" t="s">
        <v>271</v>
      </c>
      <c r="G500" s="3"/>
      <c r="H500" s="3"/>
    </row>
    <row r="501" spans="1:8" x14ac:dyDescent="0.35">
      <c r="A501" s="3" t="s">
        <v>236</v>
      </c>
      <c r="B501" s="3" t="s">
        <v>39</v>
      </c>
      <c r="C501" s="3" t="s">
        <v>272</v>
      </c>
      <c r="D501" s="3" t="s">
        <v>27</v>
      </c>
      <c r="E501" s="3" t="s">
        <v>13</v>
      </c>
      <c r="F501" s="3" t="s">
        <v>136</v>
      </c>
      <c r="G501" s="3" t="s">
        <v>13</v>
      </c>
      <c r="H501" s="3" t="s">
        <v>273</v>
      </c>
    </row>
    <row r="502" spans="1:8" x14ac:dyDescent="0.35">
      <c r="A502" s="3" t="s">
        <v>236</v>
      </c>
      <c r="B502" s="3" t="s">
        <v>39</v>
      </c>
      <c r="C502" s="3" t="s">
        <v>272</v>
      </c>
      <c r="D502" s="3" t="s">
        <v>32</v>
      </c>
      <c r="E502" s="3" t="s">
        <v>13</v>
      </c>
      <c r="F502" s="3" t="s">
        <v>2439</v>
      </c>
      <c r="G502" s="3" t="s">
        <v>13</v>
      </c>
      <c r="H502" s="3" t="s">
        <v>273</v>
      </c>
    </row>
    <row r="503" spans="1:8" x14ac:dyDescent="0.35">
      <c r="A503" s="3" t="s">
        <v>236</v>
      </c>
      <c r="B503" s="3" t="s">
        <v>39</v>
      </c>
      <c r="C503" s="3" t="s">
        <v>272</v>
      </c>
      <c r="D503" s="3" t="s">
        <v>26</v>
      </c>
      <c r="E503" s="3" t="s">
        <v>13</v>
      </c>
      <c r="F503" s="3" t="s">
        <v>136</v>
      </c>
      <c r="G503" s="3" t="s">
        <v>13</v>
      </c>
      <c r="H503" s="3" t="s">
        <v>273</v>
      </c>
    </row>
    <row r="504" spans="1:8" x14ac:dyDescent="0.35">
      <c r="A504" s="3" t="s">
        <v>236</v>
      </c>
      <c r="B504" s="3" t="s">
        <v>39</v>
      </c>
      <c r="C504" s="3" t="s">
        <v>272</v>
      </c>
      <c r="D504" s="3" t="s">
        <v>29</v>
      </c>
      <c r="E504" s="3" t="s">
        <v>13</v>
      </c>
      <c r="F504" s="3" t="s">
        <v>275</v>
      </c>
      <c r="G504" s="3" t="s">
        <v>13</v>
      </c>
      <c r="H504" s="3" t="s">
        <v>273</v>
      </c>
    </row>
    <row r="505" spans="1:8" x14ac:dyDescent="0.35">
      <c r="A505" s="3" t="s">
        <v>236</v>
      </c>
      <c r="B505" s="3" t="s">
        <v>39</v>
      </c>
      <c r="C505" s="3" t="s">
        <v>272</v>
      </c>
      <c r="D505" s="3" t="s">
        <v>24</v>
      </c>
      <c r="E505" s="3" t="s">
        <v>13</v>
      </c>
      <c r="F505" s="3" t="s">
        <v>136</v>
      </c>
      <c r="G505" s="3" t="s">
        <v>13</v>
      </c>
      <c r="H505" s="3" t="s">
        <v>273</v>
      </c>
    </row>
    <row r="506" spans="1:8" x14ac:dyDescent="0.35">
      <c r="A506" s="3" t="s">
        <v>236</v>
      </c>
      <c r="B506" s="3" t="s">
        <v>39</v>
      </c>
      <c r="C506" s="3" t="s">
        <v>272</v>
      </c>
      <c r="D506" s="3" t="s">
        <v>134</v>
      </c>
      <c r="E506" s="3" t="s">
        <v>13</v>
      </c>
      <c r="F506" s="3" t="s">
        <v>274</v>
      </c>
      <c r="G506" s="3" t="s">
        <v>13</v>
      </c>
      <c r="H506" s="3" t="s">
        <v>273</v>
      </c>
    </row>
    <row r="507" spans="1:8" x14ac:dyDescent="0.35">
      <c r="A507" s="3" t="s">
        <v>236</v>
      </c>
      <c r="B507" s="3" t="s">
        <v>45</v>
      </c>
      <c r="C507" s="3" t="s">
        <v>276</v>
      </c>
      <c r="D507" s="3" t="s">
        <v>47</v>
      </c>
      <c r="E507" s="3"/>
      <c r="F507" s="3"/>
      <c r="G507" s="3" t="s">
        <v>13</v>
      </c>
      <c r="H507" s="3" t="s">
        <v>22</v>
      </c>
    </row>
    <row r="508" spans="1:8" x14ac:dyDescent="0.35">
      <c r="A508" s="3" t="s">
        <v>236</v>
      </c>
      <c r="B508" s="3" t="s">
        <v>45</v>
      </c>
      <c r="C508" s="3" t="s">
        <v>276</v>
      </c>
      <c r="D508" s="3" t="s">
        <v>77</v>
      </c>
      <c r="E508" s="3"/>
      <c r="F508" s="3"/>
      <c r="G508" s="3" t="s">
        <v>13</v>
      </c>
      <c r="H508" s="3" t="s">
        <v>22</v>
      </c>
    </row>
    <row r="509" spans="1:8" x14ac:dyDescent="0.35">
      <c r="A509" s="3" t="s">
        <v>236</v>
      </c>
      <c r="B509" s="3" t="s">
        <v>45</v>
      </c>
      <c r="C509" s="3" t="s">
        <v>276</v>
      </c>
      <c r="D509" s="3" t="s">
        <v>15</v>
      </c>
      <c r="E509" s="3" t="s">
        <v>13</v>
      </c>
      <c r="F509" s="3" t="s">
        <v>277</v>
      </c>
      <c r="G509" s="3" t="s">
        <v>13</v>
      </c>
      <c r="H509" s="3" t="s">
        <v>22</v>
      </c>
    </row>
    <row r="510" spans="1:8" x14ac:dyDescent="0.35">
      <c r="A510" s="3" t="s">
        <v>236</v>
      </c>
      <c r="B510" s="3" t="s">
        <v>45</v>
      </c>
      <c r="C510" s="3" t="s">
        <v>278</v>
      </c>
      <c r="D510" s="3" t="s">
        <v>77</v>
      </c>
      <c r="E510" s="3"/>
      <c r="F510" s="3"/>
      <c r="G510" s="3" t="s">
        <v>13</v>
      </c>
      <c r="H510" s="3" t="s">
        <v>14</v>
      </c>
    </row>
    <row r="511" spans="1:8" x14ac:dyDescent="0.35">
      <c r="A511" s="3" t="s">
        <v>236</v>
      </c>
      <c r="B511" s="3" t="s">
        <v>10</v>
      </c>
      <c r="C511" s="3" t="s">
        <v>279</v>
      </c>
      <c r="D511" s="3" t="s">
        <v>36</v>
      </c>
      <c r="E511" s="3"/>
      <c r="F511" s="3"/>
      <c r="G511" s="3" t="s">
        <v>13</v>
      </c>
      <c r="H511" s="3" t="s">
        <v>14</v>
      </c>
    </row>
    <row r="512" spans="1:8" x14ac:dyDescent="0.35">
      <c r="A512" s="3" t="s">
        <v>236</v>
      </c>
      <c r="B512" s="3" t="s">
        <v>10</v>
      </c>
      <c r="C512" s="3" t="s">
        <v>279</v>
      </c>
      <c r="D512" s="3" t="s">
        <v>47</v>
      </c>
      <c r="E512" s="3" t="s">
        <v>16</v>
      </c>
      <c r="F512" s="3" t="s">
        <v>280</v>
      </c>
      <c r="G512" s="3" t="s">
        <v>13</v>
      </c>
      <c r="H512" s="3" t="s">
        <v>14</v>
      </c>
    </row>
    <row r="513" spans="1:8" x14ac:dyDescent="0.35">
      <c r="A513" s="3" t="s">
        <v>236</v>
      </c>
      <c r="B513" s="3" t="s">
        <v>10</v>
      </c>
      <c r="C513" s="3" t="s">
        <v>279</v>
      </c>
      <c r="D513" s="3" t="s">
        <v>15</v>
      </c>
      <c r="E513" s="3" t="s">
        <v>16</v>
      </c>
      <c r="F513" s="3" t="s">
        <v>281</v>
      </c>
      <c r="G513" s="3" t="s">
        <v>13</v>
      </c>
      <c r="H513" s="3" t="s">
        <v>14</v>
      </c>
    </row>
    <row r="514" spans="1:8" x14ac:dyDescent="0.35">
      <c r="A514" s="3" t="s">
        <v>236</v>
      </c>
      <c r="B514" s="3" t="s">
        <v>10</v>
      </c>
      <c r="C514" s="3" t="s">
        <v>279</v>
      </c>
      <c r="D514" s="3" t="s">
        <v>107</v>
      </c>
      <c r="E514" s="3" t="s">
        <v>16</v>
      </c>
      <c r="F514" s="3" t="s">
        <v>281</v>
      </c>
      <c r="G514" s="3" t="s">
        <v>13</v>
      </c>
      <c r="H514" s="3" t="s">
        <v>14</v>
      </c>
    </row>
    <row r="515" spans="1:8" x14ac:dyDescent="0.35">
      <c r="A515" s="3" t="s">
        <v>236</v>
      </c>
      <c r="B515" s="3" t="s">
        <v>45</v>
      </c>
      <c r="C515" s="3" t="s">
        <v>282</v>
      </c>
      <c r="D515" s="3" t="s">
        <v>23</v>
      </c>
      <c r="E515" s="3"/>
      <c r="F515" s="3"/>
      <c r="G515" s="3"/>
      <c r="H515" s="3"/>
    </row>
    <row r="516" spans="1:8" x14ac:dyDescent="0.35">
      <c r="A516" s="3" t="s">
        <v>236</v>
      </c>
      <c r="B516" s="3" t="s">
        <v>45</v>
      </c>
      <c r="C516" s="3" t="s">
        <v>282</v>
      </c>
      <c r="D516" s="3" t="s">
        <v>77</v>
      </c>
      <c r="E516" s="3"/>
      <c r="F516" s="3"/>
      <c r="G516" s="3"/>
      <c r="H516" s="3"/>
    </row>
    <row r="517" spans="1:8" x14ac:dyDescent="0.35">
      <c r="A517" s="3" t="s">
        <v>283</v>
      </c>
      <c r="B517" s="3" t="s">
        <v>20</v>
      </c>
      <c r="C517" s="3" t="s">
        <v>284</v>
      </c>
      <c r="D517" s="3" t="s">
        <v>47</v>
      </c>
      <c r="E517" s="3"/>
      <c r="F517" s="3"/>
      <c r="G517" s="3"/>
      <c r="H517" s="3"/>
    </row>
    <row r="518" spans="1:8" x14ac:dyDescent="0.35">
      <c r="A518" s="3" t="s">
        <v>283</v>
      </c>
      <c r="B518" s="3" t="s">
        <v>20</v>
      </c>
      <c r="C518" s="3" t="s">
        <v>284</v>
      </c>
      <c r="D518" s="3" t="s">
        <v>25</v>
      </c>
      <c r="E518" s="3"/>
      <c r="F518" s="3"/>
      <c r="G518" s="3"/>
      <c r="H518" s="3"/>
    </row>
    <row r="519" spans="1:8" x14ac:dyDescent="0.35">
      <c r="A519" s="3" t="s">
        <v>283</v>
      </c>
      <c r="B519" s="3" t="s">
        <v>20</v>
      </c>
      <c r="C519" s="3" t="s">
        <v>284</v>
      </c>
      <c r="D519" s="3" t="s">
        <v>28</v>
      </c>
      <c r="E519" s="3"/>
      <c r="F519" s="3"/>
      <c r="G519" s="3"/>
      <c r="H519" s="3"/>
    </row>
    <row r="520" spans="1:8" x14ac:dyDescent="0.35">
      <c r="A520" s="3" t="s">
        <v>283</v>
      </c>
      <c r="B520" s="3" t="s">
        <v>20</v>
      </c>
      <c r="C520" s="3" t="s">
        <v>284</v>
      </c>
      <c r="D520" s="3" t="s">
        <v>15</v>
      </c>
      <c r="E520" s="3" t="s">
        <v>13</v>
      </c>
      <c r="F520" s="3" t="s">
        <v>285</v>
      </c>
      <c r="G520" s="3"/>
      <c r="H520" s="3"/>
    </row>
    <row r="521" spans="1:8" x14ac:dyDescent="0.35">
      <c r="A521" s="3" t="s">
        <v>283</v>
      </c>
      <c r="B521" s="3" t="s">
        <v>20</v>
      </c>
      <c r="C521" s="3" t="s">
        <v>284</v>
      </c>
      <c r="D521" s="3" t="s">
        <v>29</v>
      </c>
      <c r="E521" s="3"/>
      <c r="F521" s="3"/>
      <c r="G521" s="3"/>
      <c r="H521" s="3"/>
    </row>
    <row r="522" spans="1:8" x14ac:dyDescent="0.35">
      <c r="A522" s="3" t="s">
        <v>283</v>
      </c>
      <c r="B522" s="3" t="s">
        <v>20</v>
      </c>
      <c r="C522" s="3" t="s">
        <v>284</v>
      </c>
      <c r="D522" s="3" t="s">
        <v>24</v>
      </c>
      <c r="E522" s="3"/>
      <c r="F522" s="3"/>
      <c r="G522" s="3"/>
      <c r="H522" s="3"/>
    </row>
    <row r="523" spans="1:8" x14ac:dyDescent="0.35">
      <c r="A523" s="3" t="s">
        <v>283</v>
      </c>
      <c r="B523" s="3" t="s">
        <v>39</v>
      </c>
      <c r="C523" s="3" t="s">
        <v>286</v>
      </c>
      <c r="D523" s="3" t="s">
        <v>25</v>
      </c>
      <c r="E523" s="3"/>
      <c r="F523" s="3"/>
      <c r="G523" s="3"/>
      <c r="H523" s="3"/>
    </row>
    <row r="524" spans="1:8" x14ac:dyDescent="0.35">
      <c r="A524" s="3" t="s">
        <v>283</v>
      </c>
      <c r="B524" s="3" t="s">
        <v>39</v>
      </c>
      <c r="C524" s="3" t="s">
        <v>286</v>
      </c>
      <c r="D524" s="3" t="s">
        <v>28</v>
      </c>
      <c r="E524" s="3"/>
      <c r="F524" s="3"/>
      <c r="G524" s="3"/>
      <c r="H524" s="3"/>
    </row>
    <row r="525" spans="1:8" x14ac:dyDescent="0.35">
      <c r="A525" s="3" t="s">
        <v>283</v>
      </c>
      <c r="B525" s="3" t="s">
        <v>39</v>
      </c>
      <c r="C525" s="3" t="s">
        <v>286</v>
      </c>
      <c r="D525" s="3" t="s">
        <v>15</v>
      </c>
      <c r="E525" s="3" t="s">
        <v>13</v>
      </c>
      <c r="F525" s="3" t="s">
        <v>287</v>
      </c>
      <c r="G525" s="3"/>
      <c r="H525" s="3"/>
    </row>
    <row r="526" spans="1:8" x14ac:dyDescent="0.35">
      <c r="A526" s="3" t="s">
        <v>288</v>
      </c>
      <c r="B526" s="3" t="s">
        <v>45</v>
      </c>
      <c r="C526" s="3" t="s">
        <v>289</v>
      </c>
      <c r="D526" s="3" t="s">
        <v>57</v>
      </c>
      <c r="E526" s="3"/>
      <c r="F526" s="3"/>
      <c r="G526" s="3" t="s">
        <v>13</v>
      </c>
      <c r="H526" s="3" t="s">
        <v>101</v>
      </c>
    </row>
    <row r="527" spans="1:8" x14ac:dyDescent="0.35">
      <c r="A527" s="3" t="s">
        <v>288</v>
      </c>
      <c r="B527" s="3" t="s">
        <v>45</v>
      </c>
      <c r="C527" s="3" t="s">
        <v>289</v>
      </c>
      <c r="D527" s="3" t="s">
        <v>47</v>
      </c>
      <c r="E527" s="3"/>
      <c r="F527" s="3"/>
      <c r="G527" s="3" t="s">
        <v>13</v>
      </c>
      <c r="H527" s="3" t="s">
        <v>101</v>
      </c>
    </row>
    <row r="528" spans="1:8" x14ac:dyDescent="0.35">
      <c r="A528" s="3" t="s">
        <v>288</v>
      </c>
      <c r="B528" s="3" t="s">
        <v>45</v>
      </c>
      <c r="C528" s="3" t="s">
        <v>289</v>
      </c>
      <c r="D528" s="3" t="s">
        <v>24</v>
      </c>
      <c r="E528" s="3"/>
      <c r="F528" s="3"/>
      <c r="G528" s="3" t="s">
        <v>13</v>
      </c>
      <c r="H528" s="3" t="s">
        <v>101</v>
      </c>
    </row>
    <row r="529" spans="1:8" x14ac:dyDescent="0.35">
      <c r="A529" s="3" t="s">
        <v>288</v>
      </c>
      <c r="B529" s="3" t="s">
        <v>45</v>
      </c>
      <c r="C529" s="3" t="s">
        <v>289</v>
      </c>
      <c r="D529" s="3" t="s">
        <v>290</v>
      </c>
      <c r="E529" s="3"/>
      <c r="F529" s="3"/>
      <c r="G529" s="3" t="s">
        <v>13</v>
      </c>
      <c r="H529" s="3" t="s">
        <v>101</v>
      </c>
    </row>
    <row r="530" spans="1:8" x14ac:dyDescent="0.35">
      <c r="A530" s="3" t="s">
        <v>288</v>
      </c>
      <c r="B530" s="3" t="s">
        <v>42</v>
      </c>
      <c r="C530" s="3" t="s">
        <v>291</v>
      </c>
      <c r="D530" s="3" t="s">
        <v>12</v>
      </c>
      <c r="E530" s="3"/>
      <c r="F530" s="3"/>
      <c r="G530" s="3"/>
      <c r="H530" s="3"/>
    </row>
    <row r="531" spans="1:8" x14ac:dyDescent="0.35">
      <c r="A531" s="3" t="s">
        <v>288</v>
      </c>
      <c r="B531" s="3" t="s">
        <v>42</v>
      </c>
      <c r="C531" s="3" t="s">
        <v>291</v>
      </c>
      <c r="D531" s="3" t="s">
        <v>25</v>
      </c>
      <c r="E531" s="3"/>
      <c r="F531" s="3"/>
      <c r="G531" s="3" t="s">
        <v>13</v>
      </c>
      <c r="H531" s="3" t="s">
        <v>293</v>
      </c>
    </row>
    <row r="532" spans="1:8" x14ac:dyDescent="0.35">
      <c r="A532" s="3" t="s">
        <v>288</v>
      </c>
      <c r="B532" s="3" t="s">
        <v>42</v>
      </c>
      <c r="C532" s="3" t="s">
        <v>291</v>
      </c>
      <c r="D532" s="3" t="s">
        <v>27</v>
      </c>
      <c r="E532" s="3"/>
      <c r="F532" s="3"/>
      <c r="G532" s="3" t="s">
        <v>13</v>
      </c>
      <c r="H532" s="3" t="s">
        <v>106</v>
      </c>
    </row>
    <row r="533" spans="1:8" x14ac:dyDescent="0.35">
      <c r="A533" s="3" t="s">
        <v>288</v>
      </c>
      <c r="B533" s="3" t="s">
        <v>42</v>
      </c>
      <c r="C533" s="3" t="s">
        <v>291</v>
      </c>
      <c r="D533" s="3" t="s">
        <v>56</v>
      </c>
      <c r="E533" s="3" t="s">
        <v>13</v>
      </c>
      <c r="F533" s="3" t="s">
        <v>292</v>
      </c>
      <c r="G533" s="3" t="s">
        <v>13</v>
      </c>
      <c r="H533" s="3" t="s">
        <v>293</v>
      </c>
    </row>
    <row r="534" spans="1:8" x14ac:dyDescent="0.35">
      <c r="A534" s="3" t="s">
        <v>288</v>
      </c>
      <c r="B534" s="3" t="s">
        <v>42</v>
      </c>
      <c r="C534" s="3" t="s">
        <v>291</v>
      </c>
      <c r="D534" s="3" t="s">
        <v>82</v>
      </c>
      <c r="E534" s="3" t="s">
        <v>13</v>
      </c>
      <c r="F534" s="3" t="s">
        <v>177</v>
      </c>
      <c r="G534" s="3" t="s">
        <v>13</v>
      </c>
      <c r="H534" s="3" t="s">
        <v>293</v>
      </c>
    </row>
    <row r="535" spans="1:8" x14ac:dyDescent="0.35">
      <c r="A535" s="3" t="s">
        <v>288</v>
      </c>
      <c r="B535" s="3" t="s">
        <v>45</v>
      </c>
      <c r="C535" s="3" t="s">
        <v>294</v>
      </c>
      <c r="D535" s="3" t="s">
        <v>77</v>
      </c>
      <c r="E535" s="3"/>
      <c r="F535" s="3"/>
      <c r="G535" s="3"/>
      <c r="H535" s="3"/>
    </row>
    <row r="536" spans="1:8" x14ac:dyDescent="0.35">
      <c r="A536" s="3" t="s">
        <v>288</v>
      </c>
      <c r="B536" s="3" t="s">
        <v>20</v>
      </c>
      <c r="C536" s="3" t="s">
        <v>295</v>
      </c>
      <c r="D536" s="3" t="s">
        <v>56</v>
      </c>
      <c r="E536" s="3"/>
      <c r="F536" s="3" t="s">
        <v>296</v>
      </c>
      <c r="G536" s="3" t="s">
        <v>13</v>
      </c>
      <c r="H536" s="3" t="s">
        <v>293</v>
      </c>
    </row>
    <row r="537" spans="1:8" x14ac:dyDescent="0.35">
      <c r="A537" s="3" t="s">
        <v>288</v>
      </c>
      <c r="B537" s="3" t="s">
        <v>20</v>
      </c>
      <c r="C537" s="3" t="s">
        <v>297</v>
      </c>
      <c r="D537" s="3" t="s">
        <v>23</v>
      </c>
      <c r="E537" s="3"/>
      <c r="F537" s="3"/>
      <c r="G537" s="3" t="s">
        <v>13</v>
      </c>
      <c r="H537" s="3" t="s">
        <v>293</v>
      </c>
    </row>
    <row r="538" spans="1:8" x14ac:dyDescent="0.35">
      <c r="A538" s="3" t="s">
        <v>288</v>
      </c>
      <c r="B538" s="3" t="s">
        <v>20</v>
      </c>
      <c r="C538" s="3" t="s">
        <v>297</v>
      </c>
      <c r="D538" s="3" t="s">
        <v>25</v>
      </c>
      <c r="E538" s="3"/>
      <c r="F538" s="3"/>
      <c r="G538" s="3" t="s">
        <v>13</v>
      </c>
      <c r="H538" s="3" t="s">
        <v>293</v>
      </c>
    </row>
    <row r="539" spans="1:8" x14ac:dyDescent="0.35">
      <c r="A539" s="3" t="s">
        <v>288</v>
      </c>
      <c r="B539" s="3" t="s">
        <v>20</v>
      </c>
      <c r="C539" s="3" t="s">
        <v>297</v>
      </c>
      <c r="D539" s="3" t="s">
        <v>60</v>
      </c>
      <c r="E539" s="3"/>
      <c r="F539" s="3"/>
      <c r="G539" s="3" t="s">
        <v>13</v>
      </c>
      <c r="H539" s="3" t="s">
        <v>293</v>
      </c>
    </row>
    <row r="540" spans="1:8" x14ac:dyDescent="0.35">
      <c r="A540" s="3" t="s">
        <v>288</v>
      </c>
      <c r="B540" s="3" t="s">
        <v>20</v>
      </c>
      <c r="C540" s="3" t="s">
        <v>297</v>
      </c>
      <c r="D540" s="3" t="s">
        <v>28</v>
      </c>
      <c r="E540" s="3"/>
      <c r="F540" s="3"/>
      <c r="G540" s="3" t="s">
        <v>13</v>
      </c>
      <c r="H540" s="3" t="s">
        <v>293</v>
      </c>
    </row>
    <row r="541" spans="1:8" x14ac:dyDescent="0.35">
      <c r="A541" s="3" t="s">
        <v>288</v>
      </c>
      <c r="B541" s="3" t="s">
        <v>20</v>
      </c>
      <c r="C541" s="3" t="s">
        <v>297</v>
      </c>
      <c r="D541" s="3" t="s">
        <v>56</v>
      </c>
      <c r="E541" s="3" t="s">
        <v>13</v>
      </c>
      <c r="F541" s="3" t="s">
        <v>298</v>
      </c>
      <c r="G541" s="3" t="s">
        <v>13</v>
      </c>
      <c r="H541" s="3" t="s">
        <v>293</v>
      </c>
    </row>
    <row r="542" spans="1:8" x14ac:dyDescent="0.35">
      <c r="A542" s="3" t="s">
        <v>288</v>
      </c>
      <c r="B542" s="3" t="s">
        <v>39</v>
      </c>
      <c r="C542" s="3" t="s">
        <v>299</v>
      </c>
      <c r="D542" s="3" t="s">
        <v>27</v>
      </c>
      <c r="E542" s="3" t="s">
        <v>16</v>
      </c>
      <c r="F542" s="3" t="s">
        <v>300</v>
      </c>
      <c r="G542" s="3" t="s">
        <v>13</v>
      </c>
      <c r="H542" s="3" t="s">
        <v>293</v>
      </c>
    </row>
    <row r="543" spans="1:8" x14ac:dyDescent="0.35">
      <c r="A543" s="3" t="s">
        <v>288</v>
      </c>
      <c r="B543" s="3" t="s">
        <v>39</v>
      </c>
      <c r="C543" s="3" t="s">
        <v>299</v>
      </c>
      <c r="D543" s="3" t="s">
        <v>77</v>
      </c>
      <c r="E543" s="3" t="s">
        <v>16</v>
      </c>
      <c r="F543" s="3" t="s">
        <v>300</v>
      </c>
      <c r="G543" s="3" t="s">
        <v>13</v>
      </c>
      <c r="H543" s="3" t="s">
        <v>293</v>
      </c>
    </row>
    <row r="544" spans="1:8" x14ac:dyDescent="0.35">
      <c r="A544" s="3" t="s">
        <v>288</v>
      </c>
      <c r="B544" s="3" t="s">
        <v>39</v>
      </c>
      <c r="C544" s="3" t="s">
        <v>299</v>
      </c>
      <c r="D544" s="3" t="s">
        <v>26</v>
      </c>
      <c r="E544" s="3" t="s">
        <v>16</v>
      </c>
      <c r="F544" s="3" t="s">
        <v>300</v>
      </c>
      <c r="G544" s="3" t="s">
        <v>13</v>
      </c>
      <c r="H544" s="3" t="s">
        <v>293</v>
      </c>
    </row>
    <row r="545" spans="1:8" x14ac:dyDescent="0.35">
      <c r="A545" s="3" t="s">
        <v>288</v>
      </c>
      <c r="B545" s="3" t="s">
        <v>39</v>
      </c>
      <c r="C545" s="3" t="s">
        <v>299</v>
      </c>
      <c r="D545" s="3" t="s">
        <v>134</v>
      </c>
      <c r="E545" s="3" t="s">
        <v>16</v>
      </c>
      <c r="F545" s="3" t="s">
        <v>300</v>
      </c>
      <c r="G545" s="3" t="s">
        <v>13</v>
      </c>
      <c r="H545" s="3" t="s">
        <v>293</v>
      </c>
    </row>
    <row r="546" spans="1:8" x14ac:dyDescent="0.35">
      <c r="A546" s="3" t="s">
        <v>288</v>
      </c>
      <c r="B546" s="3" t="s">
        <v>39</v>
      </c>
      <c r="C546" s="3" t="s">
        <v>299</v>
      </c>
      <c r="D546" s="3" t="s">
        <v>107</v>
      </c>
      <c r="E546" s="3" t="s">
        <v>16</v>
      </c>
      <c r="F546" s="3" t="s">
        <v>300</v>
      </c>
      <c r="G546" s="3" t="s">
        <v>13</v>
      </c>
      <c r="H546" s="3" t="s">
        <v>293</v>
      </c>
    </row>
    <row r="547" spans="1:8" x14ac:dyDescent="0.35">
      <c r="A547" s="3" t="s">
        <v>301</v>
      </c>
      <c r="B547" s="3" t="s">
        <v>302</v>
      </c>
      <c r="C547" s="3" t="s">
        <v>303</v>
      </c>
      <c r="D547" s="3" t="s">
        <v>12</v>
      </c>
      <c r="E547" s="3"/>
      <c r="F547" s="3"/>
      <c r="G547" s="3"/>
      <c r="H547" s="3"/>
    </row>
    <row r="548" spans="1:8" x14ac:dyDescent="0.35">
      <c r="A548" s="3" t="s">
        <v>301</v>
      </c>
      <c r="B548" s="3" t="s">
        <v>302</v>
      </c>
      <c r="C548" s="3" t="s">
        <v>303</v>
      </c>
      <c r="D548" s="3" t="s">
        <v>25</v>
      </c>
      <c r="E548" s="3"/>
      <c r="F548" s="3"/>
      <c r="G548" s="3"/>
      <c r="H548" s="3"/>
    </row>
    <row r="549" spans="1:8" x14ac:dyDescent="0.35">
      <c r="A549" s="3" t="s">
        <v>301</v>
      </c>
      <c r="B549" s="3" t="s">
        <v>302</v>
      </c>
      <c r="C549" s="3" t="s">
        <v>303</v>
      </c>
      <c r="D549" s="3" t="s">
        <v>142</v>
      </c>
      <c r="E549" s="3"/>
      <c r="F549" s="3"/>
      <c r="G549" s="3"/>
      <c r="H549" s="3"/>
    </row>
    <row r="550" spans="1:8" x14ac:dyDescent="0.35">
      <c r="A550" s="3" t="s">
        <v>301</v>
      </c>
      <c r="B550" s="3" t="s">
        <v>302</v>
      </c>
      <c r="C550" s="3" t="s">
        <v>303</v>
      </c>
      <c r="D550" s="3" t="s">
        <v>15</v>
      </c>
      <c r="E550" s="3" t="s">
        <v>16</v>
      </c>
      <c r="F550" s="3" t="s">
        <v>304</v>
      </c>
      <c r="G550" s="3"/>
      <c r="H550" s="3"/>
    </row>
    <row r="551" spans="1:8" x14ac:dyDescent="0.35">
      <c r="A551" s="3" t="s">
        <v>305</v>
      </c>
      <c r="B551" s="3" t="s">
        <v>20</v>
      </c>
      <c r="C551" s="3" t="s">
        <v>2633</v>
      </c>
      <c r="D551" s="3" t="s">
        <v>12</v>
      </c>
      <c r="E551" s="3"/>
      <c r="F551" s="3"/>
      <c r="G551" s="3"/>
      <c r="H551" s="3"/>
    </row>
    <row r="552" spans="1:8" x14ac:dyDescent="0.35">
      <c r="A552" s="3" t="s">
        <v>305</v>
      </c>
      <c r="B552" s="3" t="s">
        <v>20</v>
      </c>
      <c r="C552" s="3" t="s">
        <v>2633</v>
      </c>
      <c r="D552" s="3" t="s">
        <v>28</v>
      </c>
      <c r="E552" s="3"/>
      <c r="F552" s="3"/>
      <c r="G552" s="3"/>
      <c r="H552" s="3"/>
    </row>
    <row r="553" spans="1:8" x14ac:dyDescent="0.35">
      <c r="A553" s="3" t="s">
        <v>305</v>
      </c>
      <c r="B553" s="3" t="s">
        <v>20</v>
      </c>
      <c r="C553" s="3" t="s">
        <v>2633</v>
      </c>
      <c r="D553" s="3" t="s">
        <v>31</v>
      </c>
      <c r="E553" s="3" t="s">
        <v>33</v>
      </c>
      <c r="F553" s="3" t="s">
        <v>875</v>
      </c>
      <c r="G553" s="3"/>
      <c r="H553" s="3"/>
    </row>
    <row r="554" spans="1:8" x14ac:dyDescent="0.35">
      <c r="A554" s="3" t="s">
        <v>305</v>
      </c>
      <c r="B554" s="3" t="s">
        <v>20</v>
      </c>
      <c r="C554" s="3" t="s">
        <v>2633</v>
      </c>
      <c r="D554" s="3" t="s">
        <v>56</v>
      </c>
      <c r="E554" s="3" t="s">
        <v>33</v>
      </c>
      <c r="F554" s="3" t="s">
        <v>875</v>
      </c>
      <c r="G554" s="3"/>
      <c r="H554" s="3"/>
    </row>
    <row r="555" spans="1:8" x14ac:dyDescent="0.35">
      <c r="A555" s="3" t="s">
        <v>305</v>
      </c>
      <c r="B555" s="3" t="s">
        <v>20</v>
      </c>
      <c r="C555" s="3" t="s">
        <v>306</v>
      </c>
      <c r="D555" s="3" t="s">
        <v>12</v>
      </c>
      <c r="E555" s="3"/>
      <c r="F555" s="3"/>
      <c r="G555" s="3"/>
      <c r="H555" s="3"/>
    </row>
    <row r="556" spans="1:8" x14ac:dyDescent="0.35">
      <c r="A556" s="3" t="s">
        <v>305</v>
      </c>
      <c r="B556" s="3" t="s">
        <v>20</v>
      </c>
      <c r="C556" s="3" t="s">
        <v>306</v>
      </c>
      <c r="D556" s="3" t="s">
        <v>25</v>
      </c>
      <c r="E556" s="3"/>
      <c r="F556" s="3"/>
      <c r="G556" s="3"/>
      <c r="H556" s="3"/>
    </row>
    <row r="557" spans="1:8" x14ac:dyDescent="0.35">
      <c r="A557" s="3" t="s">
        <v>305</v>
      </c>
      <c r="B557" s="3" t="s">
        <v>20</v>
      </c>
      <c r="C557" s="3" t="s">
        <v>306</v>
      </c>
      <c r="D557" s="3" t="s">
        <v>142</v>
      </c>
      <c r="E557" s="3"/>
      <c r="F557" s="3"/>
      <c r="G557" s="3"/>
      <c r="H557" s="3"/>
    </row>
    <row r="558" spans="1:8" x14ac:dyDescent="0.35">
      <c r="A558" s="3" t="s">
        <v>305</v>
      </c>
      <c r="B558" s="3" t="s">
        <v>20</v>
      </c>
      <c r="C558" s="3" t="s">
        <v>306</v>
      </c>
      <c r="D558" s="3" t="s">
        <v>28</v>
      </c>
      <c r="E558" s="3"/>
      <c r="F558" s="3" t="s">
        <v>2961</v>
      </c>
      <c r="G558" s="3"/>
      <c r="H558" s="3"/>
    </row>
    <row r="559" spans="1:8" x14ac:dyDescent="0.35">
      <c r="A559" s="3" t="s">
        <v>305</v>
      </c>
      <c r="B559" s="3" t="s">
        <v>20</v>
      </c>
      <c r="C559" s="3" t="s">
        <v>306</v>
      </c>
      <c r="D559" s="3" t="s">
        <v>98</v>
      </c>
      <c r="E559" s="3"/>
      <c r="F559" s="3"/>
      <c r="G559" s="3"/>
      <c r="H559" s="3"/>
    </row>
    <row r="560" spans="1:8" x14ac:dyDescent="0.35">
      <c r="A560" s="3" t="s">
        <v>305</v>
      </c>
      <c r="B560" s="3" t="s">
        <v>20</v>
      </c>
      <c r="C560" s="3" t="s">
        <v>306</v>
      </c>
      <c r="D560" s="3" t="s">
        <v>31</v>
      </c>
      <c r="E560" s="3"/>
      <c r="F560" s="3"/>
      <c r="G560" s="3"/>
      <c r="H560" s="3"/>
    </row>
    <row r="561" spans="1:8" x14ac:dyDescent="0.35">
      <c r="A561" s="3" t="s">
        <v>305</v>
      </c>
      <c r="B561" s="3" t="s">
        <v>20</v>
      </c>
      <c r="C561" s="3" t="s">
        <v>306</v>
      </c>
      <c r="D561" s="3" t="s">
        <v>15</v>
      </c>
      <c r="E561" s="3" t="s">
        <v>16</v>
      </c>
      <c r="F561" s="3" t="s">
        <v>2963</v>
      </c>
      <c r="G561" s="3"/>
      <c r="H561" s="3"/>
    </row>
    <row r="562" spans="1:8" x14ac:dyDescent="0.35">
      <c r="A562" s="3" t="s">
        <v>305</v>
      </c>
      <c r="B562" s="3" t="s">
        <v>20</v>
      </c>
      <c r="C562" s="3" t="s">
        <v>306</v>
      </c>
      <c r="D562" s="3" t="s">
        <v>56</v>
      </c>
      <c r="E562" s="3" t="s">
        <v>13</v>
      </c>
      <c r="F562" s="3" t="s">
        <v>307</v>
      </c>
      <c r="G562" s="3"/>
      <c r="H562" s="3"/>
    </row>
    <row r="563" spans="1:8" x14ac:dyDescent="0.35">
      <c r="A563" s="3" t="s">
        <v>305</v>
      </c>
      <c r="B563" s="3" t="s">
        <v>20</v>
      </c>
      <c r="C563" s="3" t="s">
        <v>306</v>
      </c>
      <c r="D563" s="3" t="s">
        <v>24</v>
      </c>
      <c r="E563" s="3"/>
      <c r="F563" s="3" t="s">
        <v>2962</v>
      </c>
      <c r="G563" s="3"/>
      <c r="H563" s="3"/>
    </row>
    <row r="564" spans="1:8" x14ac:dyDescent="0.35">
      <c r="A564" s="3" t="s">
        <v>305</v>
      </c>
      <c r="B564" s="3" t="s">
        <v>20</v>
      </c>
      <c r="C564" s="3" t="s">
        <v>306</v>
      </c>
      <c r="D564" s="3" t="s">
        <v>134</v>
      </c>
      <c r="E564" s="3" t="s">
        <v>13</v>
      </c>
      <c r="F564" s="3" t="s">
        <v>308</v>
      </c>
      <c r="G564" s="3"/>
      <c r="H564" s="3"/>
    </row>
    <row r="565" spans="1:8" x14ac:dyDescent="0.35">
      <c r="A565" s="3" t="s">
        <v>305</v>
      </c>
      <c r="B565" s="3" t="s">
        <v>10</v>
      </c>
      <c r="C565" s="3" t="s">
        <v>309</v>
      </c>
      <c r="D565" s="3" t="s">
        <v>15</v>
      </c>
      <c r="E565" s="3" t="s">
        <v>16</v>
      </c>
      <c r="F565" s="3" t="s">
        <v>127</v>
      </c>
      <c r="G565" s="3"/>
      <c r="H565" s="3"/>
    </row>
    <row r="566" spans="1:8" x14ac:dyDescent="0.35">
      <c r="A566" s="3" t="s">
        <v>310</v>
      </c>
      <c r="B566" s="3" t="s">
        <v>20</v>
      </c>
      <c r="C566" s="3" t="s">
        <v>311</v>
      </c>
      <c r="D566" s="3" t="s">
        <v>12</v>
      </c>
      <c r="E566" s="3"/>
      <c r="F566" s="3"/>
      <c r="G566" s="3" t="s">
        <v>13</v>
      </c>
      <c r="H566" s="3" t="s">
        <v>312</v>
      </c>
    </row>
    <row r="567" spans="1:8" x14ac:dyDescent="0.35">
      <c r="A567" s="3" t="s">
        <v>310</v>
      </c>
      <c r="B567" s="3" t="s">
        <v>20</v>
      </c>
      <c r="C567" s="3" t="s">
        <v>311</v>
      </c>
      <c r="D567" s="3" t="s">
        <v>56</v>
      </c>
      <c r="E567" s="3"/>
      <c r="F567" s="3"/>
      <c r="G567" s="3" t="s">
        <v>13</v>
      </c>
      <c r="H567" s="3" t="s">
        <v>312</v>
      </c>
    </row>
    <row r="568" spans="1:8" x14ac:dyDescent="0.35">
      <c r="A568" s="3" t="s">
        <v>310</v>
      </c>
      <c r="B568" s="3" t="s">
        <v>20</v>
      </c>
      <c r="C568" s="3" t="s">
        <v>313</v>
      </c>
      <c r="D568" s="3" t="s">
        <v>27</v>
      </c>
      <c r="E568" s="3" t="s">
        <v>33</v>
      </c>
      <c r="F568" s="3" t="s">
        <v>314</v>
      </c>
      <c r="G568" s="3"/>
      <c r="H568" s="3"/>
    </row>
    <row r="569" spans="1:8" x14ac:dyDescent="0.35">
      <c r="A569" s="3" t="s">
        <v>310</v>
      </c>
      <c r="B569" s="3" t="s">
        <v>20</v>
      </c>
      <c r="C569" s="3" t="s">
        <v>313</v>
      </c>
      <c r="D569" s="3" t="s">
        <v>77</v>
      </c>
      <c r="E569" s="3" t="s">
        <v>33</v>
      </c>
      <c r="F569" s="3" t="s">
        <v>314</v>
      </c>
      <c r="G569" s="3"/>
      <c r="H569" s="3"/>
    </row>
    <row r="570" spans="1:8" x14ac:dyDescent="0.35">
      <c r="A570" s="3" t="s">
        <v>310</v>
      </c>
      <c r="B570" s="3" t="s">
        <v>20</v>
      </c>
      <c r="C570" s="3" t="s">
        <v>313</v>
      </c>
      <c r="D570" s="3" t="s">
        <v>28</v>
      </c>
      <c r="E570" s="3" t="s">
        <v>33</v>
      </c>
      <c r="F570" s="3" t="s">
        <v>314</v>
      </c>
      <c r="G570" s="3"/>
      <c r="H570" s="3"/>
    </row>
    <row r="571" spans="1:8" x14ac:dyDescent="0.35">
      <c r="A571" s="3" t="s">
        <v>310</v>
      </c>
      <c r="B571" s="3" t="s">
        <v>20</v>
      </c>
      <c r="C571" s="3" t="s">
        <v>313</v>
      </c>
      <c r="D571" s="3" t="s">
        <v>87</v>
      </c>
      <c r="E571" s="3" t="s">
        <v>33</v>
      </c>
      <c r="F571" s="3" t="s">
        <v>314</v>
      </c>
      <c r="G571" s="3"/>
      <c r="H571" s="3"/>
    </row>
    <row r="572" spans="1:8" x14ac:dyDescent="0.35">
      <c r="A572" s="3" t="s">
        <v>310</v>
      </c>
      <c r="B572" s="3" t="s">
        <v>20</v>
      </c>
      <c r="C572" s="3" t="s">
        <v>313</v>
      </c>
      <c r="D572" s="3" t="s">
        <v>15</v>
      </c>
      <c r="E572" s="3" t="s">
        <v>33</v>
      </c>
      <c r="F572" s="3" t="s">
        <v>314</v>
      </c>
      <c r="G572" s="3"/>
      <c r="H572" s="3"/>
    </row>
    <row r="573" spans="1:8" x14ac:dyDescent="0.35">
      <c r="A573" s="3" t="s">
        <v>310</v>
      </c>
      <c r="B573" s="3" t="s">
        <v>20</v>
      </c>
      <c r="C573" s="3" t="s">
        <v>313</v>
      </c>
      <c r="D573" s="3" t="s">
        <v>62</v>
      </c>
      <c r="E573" s="3" t="s">
        <v>33</v>
      </c>
      <c r="F573" s="3" t="s">
        <v>314</v>
      </c>
      <c r="G573" s="3"/>
      <c r="H573" s="3"/>
    </row>
    <row r="574" spans="1:8" x14ac:dyDescent="0.35">
      <c r="A574" s="3" t="s">
        <v>310</v>
      </c>
      <c r="B574" s="3" t="s">
        <v>20</v>
      </c>
      <c r="C574" s="3" t="s">
        <v>313</v>
      </c>
      <c r="D574" s="3" t="s">
        <v>24</v>
      </c>
      <c r="E574" s="3" t="s">
        <v>33</v>
      </c>
      <c r="F574" s="3" t="s">
        <v>314</v>
      </c>
      <c r="G574" s="3"/>
      <c r="H574" s="3"/>
    </row>
    <row r="575" spans="1:8" x14ac:dyDescent="0.35">
      <c r="A575" s="3" t="s">
        <v>310</v>
      </c>
      <c r="B575" s="3" t="s">
        <v>20</v>
      </c>
      <c r="C575" s="3" t="s">
        <v>313</v>
      </c>
      <c r="D575" s="3" t="s">
        <v>134</v>
      </c>
      <c r="E575" s="3" t="s">
        <v>33</v>
      </c>
      <c r="F575" s="3" t="s">
        <v>314</v>
      </c>
      <c r="G575" s="3"/>
      <c r="H575" s="3"/>
    </row>
    <row r="576" spans="1:8" x14ac:dyDescent="0.35">
      <c r="A576" s="3" t="s">
        <v>310</v>
      </c>
      <c r="B576" s="3" t="s">
        <v>42</v>
      </c>
      <c r="C576" s="3" t="s">
        <v>315</v>
      </c>
      <c r="D576" s="3" t="s">
        <v>36</v>
      </c>
      <c r="E576" s="3" t="s">
        <v>33</v>
      </c>
      <c r="F576" s="3" t="s">
        <v>314</v>
      </c>
      <c r="G576" s="3" t="s">
        <v>13</v>
      </c>
      <c r="H576" s="3" t="s">
        <v>316</v>
      </c>
    </row>
    <row r="577" spans="1:8" x14ac:dyDescent="0.35">
      <c r="A577" s="3" t="s">
        <v>310</v>
      </c>
      <c r="B577" s="3" t="s">
        <v>42</v>
      </c>
      <c r="C577" s="3" t="s">
        <v>315</v>
      </c>
      <c r="D577" s="3" t="s">
        <v>27</v>
      </c>
      <c r="E577" s="3"/>
      <c r="F577" s="3"/>
      <c r="G577" s="3" t="s">
        <v>13</v>
      </c>
      <c r="H577" s="3" t="s">
        <v>316</v>
      </c>
    </row>
    <row r="578" spans="1:8" x14ac:dyDescent="0.35">
      <c r="A578" s="3" t="s">
        <v>310</v>
      </c>
      <c r="B578" s="3" t="s">
        <v>42</v>
      </c>
      <c r="C578" s="3" t="s">
        <v>315</v>
      </c>
      <c r="D578" s="3" t="s">
        <v>77</v>
      </c>
      <c r="E578" s="3"/>
      <c r="F578" s="3"/>
      <c r="G578" s="3" t="s">
        <v>13</v>
      </c>
      <c r="H578" s="3" t="s">
        <v>316</v>
      </c>
    </row>
    <row r="579" spans="1:8" x14ac:dyDescent="0.35">
      <c r="A579" s="3" t="s">
        <v>310</v>
      </c>
      <c r="B579" s="3" t="s">
        <v>42</v>
      </c>
      <c r="C579" s="3" t="s">
        <v>315</v>
      </c>
      <c r="D579" s="3" t="s">
        <v>44</v>
      </c>
      <c r="E579" s="3"/>
      <c r="F579" s="3"/>
      <c r="G579" s="3" t="s">
        <v>13</v>
      </c>
      <c r="H579" s="3" t="s">
        <v>316</v>
      </c>
    </row>
    <row r="580" spans="1:8" x14ac:dyDescent="0.35">
      <c r="A580" s="3" t="s">
        <v>310</v>
      </c>
      <c r="B580" s="3" t="s">
        <v>42</v>
      </c>
      <c r="C580" s="3" t="s">
        <v>315</v>
      </c>
      <c r="D580" s="3" t="s">
        <v>87</v>
      </c>
      <c r="E580" s="3"/>
      <c r="F580" s="3"/>
      <c r="G580" s="3" t="s">
        <v>13</v>
      </c>
      <c r="H580" s="3" t="s">
        <v>316</v>
      </c>
    </row>
    <row r="581" spans="1:8" x14ac:dyDescent="0.35">
      <c r="A581" s="3" t="s">
        <v>310</v>
      </c>
      <c r="B581" s="3" t="s">
        <v>42</v>
      </c>
      <c r="C581" s="3" t="s">
        <v>315</v>
      </c>
      <c r="D581" s="3" t="s">
        <v>15</v>
      </c>
      <c r="E581" s="3" t="s">
        <v>13</v>
      </c>
      <c r="F581" s="3" t="s">
        <v>317</v>
      </c>
      <c r="G581" s="3" t="s">
        <v>13</v>
      </c>
      <c r="H581" s="3" t="s">
        <v>316</v>
      </c>
    </row>
    <row r="582" spans="1:8" x14ac:dyDescent="0.35">
      <c r="A582" s="3" t="s">
        <v>310</v>
      </c>
      <c r="B582" s="3" t="s">
        <v>42</v>
      </c>
      <c r="C582" s="3" t="s">
        <v>315</v>
      </c>
      <c r="D582" s="3" t="s">
        <v>37</v>
      </c>
      <c r="E582" s="3"/>
      <c r="F582" s="3" t="s">
        <v>2448</v>
      </c>
      <c r="G582" s="3" t="s">
        <v>13</v>
      </c>
      <c r="H582" s="3" t="s">
        <v>316</v>
      </c>
    </row>
    <row r="583" spans="1:8" x14ac:dyDescent="0.35">
      <c r="A583" s="3" t="s">
        <v>310</v>
      </c>
      <c r="B583" s="3" t="s">
        <v>42</v>
      </c>
      <c r="C583" s="3" t="s">
        <v>315</v>
      </c>
      <c r="D583" s="3" t="s">
        <v>29</v>
      </c>
      <c r="E583" s="3" t="s">
        <v>13</v>
      </c>
      <c r="F583" s="3" t="s">
        <v>2449</v>
      </c>
      <c r="G583" s="3" t="s">
        <v>13</v>
      </c>
      <c r="H583" s="3" t="s">
        <v>316</v>
      </c>
    </row>
    <row r="584" spans="1:8" x14ac:dyDescent="0.35">
      <c r="A584" s="3" t="s">
        <v>310</v>
      </c>
      <c r="B584" s="3" t="s">
        <v>42</v>
      </c>
      <c r="C584" s="3" t="s">
        <v>315</v>
      </c>
      <c r="D584" s="3" t="s">
        <v>134</v>
      </c>
      <c r="E584" s="3" t="s">
        <v>13</v>
      </c>
      <c r="F584" s="3" t="s">
        <v>318</v>
      </c>
      <c r="G584" s="3" t="s">
        <v>13</v>
      </c>
      <c r="H584" s="3" t="s">
        <v>316</v>
      </c>
    </row>
    <row r="585" spans="1:8" x14ac:dyDescent="0.35">
      <c r="A585" s="3" t="s">
        <v>319</v>
      </c>
      <c r="B585" s="3" t="s">
        <v>42</v>
      </c>
      <c r="C585" s="3" t="s">
        <v>320</v>
      </c>
      <c r="D585" s="3" t="s">
        <v>12</v>
      </c>
      <c r="E585" s="3"/>
      <c r="F585" s="3"/>
      <c r="G585" s="3"/>
      <c r="H585" s="3"/>
    </row>
    <row r="586" spans="1:8" x14ac:dyDescent="0.35">
      <c r="A586" s="3" t="s">
        <v>319</v>
      </c>
      <c r="B586" s="3" t="s">
        <v>42</v>
      </c>
      <c r="C586" s="3" t="s">
        <v>320</v>
      </c>
      <c r="D586" s="3" t="s">
        <v>36</v>
      </c>
      <c r="E586" s="3" t="s">
        <v>33</v>
      </c>
      <c r="F586" s="3" t="s">
        <v>314</v>
      </c>
      <c r="G586" s="3"/>
      <c r="H586" s="3"/>
    </row>
    <row r="587" spans="1:8" x14ac:dyDescent="0.35">
      <c r="A587" s="3" t="s">
        <v>319</v>
      </c>
      <c r="B587" s="3" t="s">
        <v>42</v>
      </c>
      <c r="C587" s="3" t="s">
        <v>320</v>
      </c>
      <c r="D587" s="3" t="s">
        <v>15</v>
      </c>
      <c r="E587" s="3" t="s">
        <v>13</v>
      </c>
      <c r="F587" s="3" t="s">
        <v>321</v>
      </c>
      <c r="G587" s="3"/>
      <c r="H587" s="3"/>
    </row>
    <row r="588" spans="1:8" x14ac:dyDescent="0.35">
      <c r="A588" s="3" t="s">
        <v>319</v>
      </c>
      <c r="B588" s="3" t="s">
        <v>42</v>
      </c>
      <c r="C588" s="3" t="s">
        <v>320</v>
      </c>
      <c r="D588" s="3" t="s">
        <v>24</v>
      </c>
      <c r="E588" s="3"/>
      <c r="F588" s="3"/>
      <c r="G588" s="3"/>
      <c r="H588" s="3"/>
    </row>
    <row r="589" spans="1:8" x14ac:dyDescent="0.35">
      <c r="A589" s="3" t="s">
        <v>319</v>
      </c>
      <c r="B589" s="3" t="s">
        <v>42</v>
      </c>
      <c r="C589" s="3" t="s">
        <v>320</v>
      </c>
      <c r="D589" s="3" t="s">
        <v>107</v>
      </c>
      <c r="E589" s="3" t="s">
        <v>16</v>
      </c>
      <c r="F589" s="3" t="s">
        <v>2830</v>
      </c>
      <c r="G589" s="3"/>
      <c r="H589" s="3"/>
    </row>
    <row r="590" spans="1:8" x14ac:dyDescent="0.35">
      <c r="A590" s="3" t="s">
        <v>319</v>
      </c>
      <c r="B590" s="3" t="s">
        <v>20</v>
      </c>
      <c r="C590" s="3" t="s">
        <v>322</v>
      </c>
      <c r="D590" s="3" t="s">
        <v>12</v>
      </c>
      <c r="E590" s="3"/>
      <c r="F590" s="3"/>
      <c r="G590" s="3"/>
      <c r="H590" s="3"/>
    </row>
    <row r="591" spans="1:8" x14ac:dyDescent="0.35">
      <c r="A591" s="3" t="s">
        <v>319</v>
      </c>
      <c r="B591" s="3" t="s">
        <v>20</v>
      </c>
      <c r="C591" s="3" t="s">
        <v>322</v>
      </c>
      <c r="D591" s="3" t="s">
        <v>60</v>
      </c>
      <c r="E591" s="3"/>
      <c r="F591" s="3"/>
      <c r="G591" s="3"/>
      <c r="H591" s="3"/>
    </row>
    <row r="592" spans="1:8" x14ac:dyDescent="0.35">
      <c r="A592" s="3" t="s">
        <v>319</v>
      </c>
      <c r="B592" s="3" t="s">
        <v>20</v>
      </c>
      <c r="C592" s="3" t="s">
        <v>322</v>
      </c>
      <c r="D592" s="3" t="s">
        <v>27</v>
      </c>
      <c r="E592" s="3"/>
      <c r="F592" s="3"/>
      <c r="G592" s="3"/>
      <c r="H592" s="3"/>
    </row>
    <row r="593" spans="1:8" x14ac:dyDescent="0.35">
      <c r="A593" s="3" t="s">
        <v>319</v>
      </c>
      <c r="B593" s="3" t="s">
        <v>20</v>
      </c>
      <c r="C593" s="3" t="s">
        <v>322</v>
      </c>
      <c r="D593" s="3" t="s">
        <v>77</v>
      </c>
      <c r="E593" s="3"/>
      <c r="F593" s="3"/>
      <c r="G593" s="3"/>
      <c r="H593" s="3"/>
    </row>
    <row r="594" spans="1:8" x14ac:dyDescent="0.35">
      <c r="A594" s="3" t="s">
        <v>319</v>
      </c>
      <c r="B594" s="3" t="s">
        <v>20</v>
      </c>
      <c r="C594" s="3" t="s">
        <v>322</v>
      </c>
      <c r="D594" s="3" t="s">
        <v>87</v>
      </c>
      <c r="E594" s="3"/>
      <c r="F594" s="3"/>
      <c r="G594" s="3"/>
      <c r="H594" s="3"/>
    </row>
    <row r="595" spans="1:8" x14ac:dyDescent="0.35">
      <c r="A595" s="3" t="s">
        <v>319</v>
      </c>
      <c r="B595" s="3" t="s">
        <v>20</v>
      </c>
      <c r="C595" s="3" t="s">
        <v>322</v>
      </c>
      <c r="D595" s="3" t="s">
        <v>15</v>
      </c>
      <c r="E595" s="3"/>
      <c r="F595" s="3"/>
      <c r="G595" s="3"/>
      <c r="H595" s="3"/>
    </row>
    <row r="596" spans="1:8" x14ac:dyDescent="0.35">
      <c r="A596" s="3" t="s">
        <v>319</v>
      </c>
      <c r="B596" s="3" t="s">
        <v>20</v>
      </c>
      <c r="C596" s="3" t="s">
        <v>322</v>
      </c>
      <c r="D596" s="3" t="s">
        <v>134</v>
      </c>
      <c r="E596" s="3"/>
      <c r="F596" s="3"/>
      <c r="G596" s="3"/>
      <c r="H596" s="3"/>
    </row>
    <row r="597" spans="1:8" x14ac:dyDescent="0.35">
      <c r="A597" s="3" t="s">
        <v>323</v>
      </c>
      <c r="B597" s="3" t="s">
        <v>42</v>
      </c>
      <c r="C597" s="3" t="s">
        <v>324</v>
      </c>
      <c r="D597" s="3" t="s">
        <v>12</v>
      </c>
      <c r="E597" s="3"/>
      <c r="F597" s="3"/>
      <c r="G597" s="3"/>
      <c r="H597" s="3"/>
    </row>
    <row r="598" spans="1:8" x14ac:dyDescent="0.35">
      <c r="A598" s="3" t="s">
        <v>323</v>
      </c>
      <c r="B598" s="3" t="s">
        <v>42</v>
      </c>
      <c r="C598" s="3" t="s">
        <v>324</v>
      </c>
      <c r="D598" s="3" t="s">
        <v>25</v>
      </c>
      <c r="E598" s="3"/>
      <c r="F598" s="3"/>
      <c r="G598" s="3"/>
      <c r="H598" s="3"/>
    </row>
    <row r="599" spans="1:8" x14ac:dyDescent="0.35">
      <c r="A599" s="3" t="s">
        <v>323</v>
      </c>
      <c r="B599" s="3" t="s">
        <v>42</v>
      </c>
      <c r="C599" s="3" t="s">
        <v>324</v>
      </c>
      <c r="D599" s="3" t="s">
        <v>141</v>
      </c>
      <c r="E599" s="3" t="s">
        <v>13</v>
      </c>
      <c r="F599" s="3" t="s">
        <v>325</v>
      </c>
      <c r="G599" s="3"/>
      <c r="H599" s="3"/>
    </row>
    <row r="600" spans="1:8" x14ac:dyDescent="0.35">
      <c r="A600" s="3" t="s">
        <v>323</v>
      </c>
      <c r="B600" s="3" t="s">
        <v>42</v>
      </c>
      <c r="C600" s="3" t="s">
        <v>324</v>
      </c>
      <c r="D600" s="3" t="s">
        <v>142</v>
      </c>
      <c r="E600" s="3"/>
      <c r="F600" s="3"/>
      <c r="G600" s="3"/>
      <c r="H600" s="3"/>
    </row>
    <row r="601" spans="1:8" x14ac:dyDescent="0.35">
      <c r="A601" s="3" t="s">
        <v>323</v>
      </c>
      <c r="B601" s="3" t="s">
        <v>42</v>
      </c>
      <c r="C601" s="3" t="s">
        <v>324</v>
      </c>
      <c r="D601" s="3" t="s">
        <v>28</v>
      </c>
      <c r="E601" s="3"/>
      <c r="F601" s="3" t="s">
        <v>2331</v>
      </c>
      <c r="G601" s="3"/>
      <c r="H601" s="3"/>
    </row>
    <row r="602" spans="1:8" x14ac:dyDescent="0.35">
      <c r="A602" s="3" t="s">
        <v>323</v>
      </c>
      <c r="B602" s="3" t="s">
        <v>42</v>
      </c>
      <c r="C602" s="3" t="s">
        <v>324</v>
      </c>
      <c r="D602" s="3" t="s">
        <v>87</v>
      </c>
      <c r="E602" s="3"/>
      <c r="F602" s="3"/>
      <c r="G602" s="3"/>
      <c r="H602" s="3"/>
    </row>
    <row r="603" spans="1:8" x14ac:dyDescent="0.35">
      <c r="A603" s="3" t="s">
        <v>323</v>
      </c>
      <c r="B603" s="3" t="s">
        <v>42</v>
      </c>
      <c r="C603" s="3" t="s">
        <v>324</v>
      </c>
      <c r="D603" s="3" t="s">
        <v>15</v>
      </c>
      <c r="E603" s="3" t="s">
        <v>13</v>
      </c>
      <c r="F603" s="3" t="s">
        <v>326</v>
      </c>
      <c r="G603" s="3"/>
      <c r="H603" s="3"/>
    </row>
    <row r="604" spans="1:8" x14ac:dyDescent="0.35">
      <c r="A604" s="3" t="s">
        <v>323</v>
      </c>
      <c r="B604" s="3" t="s">
        <v>42</v>
      </c>
      <c r="C604" s="3" t="s">
        <v>324</v>
      </c>
      <c r="D604" s="3" t="s">
        <v>57</v>
      </c>
      <c r="E604" s="3"/>
      <c r="F604" s="3"/>
      <c r="G604" s="3"/>
      <c r="H604" s="3"/>
    </row>
    <row r="605" spans="1:8" x14ac:dyDescent="0.35">
      <c r="A605" s="3" t="s">
        <v>323</v>
      </c>
      <c r="B605" s="3" t="s">
        <v>42</v>
      </c>
      <c r="C605" s="3" t="s">
        <v>324</v>
      </c>
      <c r="D605" s="3" t="s">
        <v>89</v>
      </c>
      <c r="E605" s="3"/>
      <c r="F605" s="3" t="s">
        <v>2328</v>
      </c>
      <c r="G605" s="3"/>
      <c r="H605" s="3"/>
    </row>
    <row r="606" spans="1:8" x14ac:dyDescent="0.35">
      <c r="A606" s="3" t="s">
        <v>323</v>
      </c>
      <c r="B606" s="3" t="s">
        <v>42</v>
      </c>
      <c r="C606" s="3" t="s">
        <v>324</v>
      </c>
      <c r="D606" s="3" t="s">
        <v>32</v>
      </c>
      <c r="E606" s="3"/>
      <c r="F606" s="3" t="s">
        <v>2329</v>
      </c>
      <c r="G606" s="3"/>
      <c r="H606" s="3"/>
    </row>
    <row r="607" spans="1:8" x14ac:dyDescent="0.35">
      <c r="A607" s="3" t="s">
        <v>323</v>
      </c>
      <c r="B607" s="3" t="s">
        <v>42</v>
      </c>
      <c r="C607" s="3" t="s">
        <v>324</v>
      </c>
      <c r="D607" s="3" t="s">
        <v>29</v>
      </c>
      <c r="E607" s="3"/>
      <c r="F607" s="3"/>
      <c r="G607" s="3"/>
      <c r="H607" s="3"/>
    </row>
    <row r="608" spans="1:8" x14ac:dyDescent="0.35">
      <c r="A608" s="3" t="s">
        <v>323</v>
      </c>
      <c r="B608" s="3" t="s">
        <v>42</v>
      </c>
      <c r="C608" s="3" t="s">
        <v>324</v>
      </c>
      <c r="D608" s="3" t="s">
        <v>134</v>
      </c>
      <c r="E608" s="3"/>
      <c r="F608" s="3"/>
      <c r="G608" s="3"/>
      <c r="H608" s="3"/>
    </row>
    <row r="609" spans="1:8" x14ac:dyDescent="0.35">
      <c r="A609" s="3" t="s">
        <v>323</v>
      </c>
      <c r="B609" s="3" t="s">
        <v>42</v>
      </c>
      <c r="C609" s="3" t="s">
        <v>324</v>
      </c>
      <c r="D609" s="3" t="s">
        <v>327</v>
      </c>
      <c r="E609" s="3"/>
      <c r="F609" s="3"/>
      <c r="G609" s="3"/>
      <c r="H609" s="3"/>
    </row>
    <row r="610" spans="1:8" x14ac:dyDescent="0.35">
      <c r="A610" s="3" t="s">
        <v>323</v>
      </c>
      <c r="B610" s="3" t="s">
        <v>42</v>
      </c>
      <c r="C610" s="3" t="s">
        <v>324</v>
      </c>
      <c r="D610" s="3" t="s">
        <v>107</v>
      </c>
      <c r="E610" s="3" t="s">
        <v>13</v>
      </c>
      <c r="F610" s="3" t="s">
        <v>2330</v>
      </c>
      <c r="G610" s="3"/>
      <c r="H610" s="3"/>
    </row>
    <row r="611" spans="1:8" x14ac:dyDescent="0.35">
      <c r="A611" s="3" t="s">
        <v>323</v>
      </c>
      <c r="B611" s="3" t="s">
        <v>39</v>
      </c>
      <c r="C611" s="3" t="s">
        <v>328</v>
      </c>
      <c r="D611" s="3" t="s">
        <v>57</v>
      </c>
      <c r="E611" s="3"/>
      <c r="F611" s="3"/>
      <c r="G611" s="3"/>
      <c r="H611" s="3"/>
    </row>
    <row r="612" spans="1:8" x14ac:dyDescent="0.35">
      <c r="A612" s="3" t="s">
        <v>323</v>
      </c>
      <c r="B612" s="3" t="s">
        <v>20</v>
      </c>
      <c r="C612" s="3" t="s">
        <v>329</v>
      </c>
      <c r="D612" s="3" t="s">
        <v>25</v>
      </c>
      <c r="E612" s="3"/>
      <c r="F612" s="3"/>
      <c r="G612" s="3"/>
      <c r="H612" s="3"/>
    </row>
    <row r="613" spans="1:8" x14ac:dyDescent="0.35">
      <c r="A613" s="3" t="s">
        <v>323</v>
      </c>
      <c r="B613" s="3" t="s">
        <v>20</v>
      </c>
      <c r="C613" s="3" t="s">
        <v>329</v>
      </c>
      <c r="D613" s="3" t="s">
        <v>15</v>
      </c>
      <c r="E613" s="3" t="s">
        <v>13</v>
      </c>
      <c r="F613" s="3" t="s">
        <v>330</v>
      </c>
      <c r="G613" s="3"/>
      <c r="H613" s="3"/>
    </row>
    <row r="614" spans="1:8" x14ac:dyDescent="0.35">
      <c r="A614" s="3" t="s">
        <v>323</v>
      </c>
      <c r="B614" s="3" t="s">
        <v>39</v>
      </c>
      <c r="C614" s="3" t="s">
        <v>331</v>
      </c>
      <c r="D614" s="3" t="s">
        <v>47</v>
      </c>
      <c r="E614" s="3"/>
      <c r="F614" s="3"/>
      <c r="G614" s="3"/>
      <c r="H614" s="3"/>
    </row>
    <row r="615" spans="1:8" x14ac:dyDescent="0.35">
      <c r="A615" s="3" t="s">
        <v>323</v>
      </c>
      <c r="B615" s="3" t="s">
        <v>39</v>
      </c>
      <c r="C615" s="3" t="s">
        <v>331</v>
      </c>
      <c r="D615" s="3" t="s">
        <v>25</v>
      </c>
      <c r="E615" s="3"/>
      <c r="F615" s="3"/>
      <c r="G615" s="3"/>
      <c r="H615" s="3"/>
    </row>
    <row r="616" spans="1:8" x14ac:dyDescent="0.35">
      <c r="A616" s="3" t="s">
        <v>323</v>
      </c>
      <c r="B616" s="3" t="s">
        <v>39</v>
      </c>
      <c r="C616" s="3" t="s">
        <v>331</v>
      </c>
      <c r="D616" s="3" t="s">
        <v>77</v>
      </c>
      <c r="E616" s="3"/>
      <c r="F616" s="3"/>
      <c r="G616" s="3"/>
      <c r="H616" s="3"/>
    </row>
    <row r="617" spans="1:8" x14ac:dyDescent="0.35">
      <c r="A617" s="3" t="s">
        <v>323</v>
      </c>
      <c r="B617" s="3" t="s">
        <v>39</v>
      </c>
      <c r="C617" s="3" t="s">
        <v>331</v>
      </c>
      <c r="D617" s="3" t="s">
        <v>87</v>
      </c>
      <c r="E617" s="3"/>
      <c r="F617" s="3"/>
      <c r="G617" s="3"/>
      <c r="H617" s="3"/>
    </row>
    <row r="618" spans="1:8" x14ac:dyDescent="0.35">
      <c r="A618" s="3" t="s">
        <v>323</v>
      </c>
      <c r="B618" s="3" t="s">
        <v>39</v>
      </c>
      <c r="C618" s="3" t="s">
        <v>331</v>
      </c>
      <c r="D618" s="3" t="s">
        <v>15</v>
      </c>
      <c r="E618" s="3" t="s">
        <v>16</v>
      </c>
      <c r="F618" s="3" t="s">
        <v>2957</v>
      </c>
      <c r="G618" s="3"/>
      <c r="H618" s="3"/>
    </row>
    <row r="619" spans="1:8" x14ac:dyDescent="0.35">
      <c r="A619" s="3" t="s">
        <v>323</v>
      </c>
      <c r="B619" s="3" t="s">
        <v>39</v>
      </c>
      <c r="C619" s="3" t="s">
        <v>331</v>
      </c>
      <c r="D619" s="3" t="s">
        <v>32</v>
      </c>
      <c r="E619" s="3" t="s">
        <v>16</v>
      </c>
      <c r="F619" s="3" t="s">
        <v>2958</v>
      </c>
      <c r="G619" s="3"/>
      <c r="H619" s="3"/>
    </row>
    <row r="620" spans="1:8" x14ac:dyDescent="0.35">
      <c r="A620" s="3" t="s">
        <v>323</v>
      </c>
      <c r="B620" s="3" t="s">
        <v>39</v>
      </c>
      <c r="C620" s="3" t="s">
        <v>331</v>
      </c>
      <c r="D620" s="3" t="s">
        <v>134</v>
      </c>
      <c r="E620" s="3" t="s">
        <v>13</v>
      </c>
      <c r="F620" s="3" t="s">
        <v>332</v>
      </c>
      <c r="G620" s="3"/>
      <c r="H620" s="3"/>
    </row>
    <row r="621" spans="1:8" x14ac:dyDescent="0.35">
      <c r="A621" s="3" t="s">
        <v>323</v>
      </c>
      <c r="B621" s="3" t="s">
        <v>45</v>
      </c>
      <c r="C621" s="3" t="s">
        <v>333</v>
      </c>
      <c r="D621" s="3" t="s">
        <v>77</v>
      </c>
      <c r="E621" s="3"/>
      <c r="F621" s="3"/>
      <c r="G621" s="3"/>
      <c r="H621" s="3"/>
    </row>
    <row r="622" spans="1:8" x14ac:dyDescent="0.35">
      <c r="A622" s="3" t="s">
        <v>323</v>
      </c>
      <c r="B622" s="3" t="s">
        <v>45</v>
      </c>
      <c r="C622" s="3" t="s">
        <v>2765</v>
      </c>
      <c r="D622" s="3" t="s">
        <v>24</v>
      </c>
      <c r="E622" s="3"/>
      <c r="F622" s="3"/>
      <c r="G622" s="3"/>
      <c r="H622" s="3"/>
    </row>
    <row r="623" spans="1:8" x14ac:dyDescent="0.35">
      <c r="A623" s="3" t="s">
        <v>323</v>
      </c>
      <c r="B623" s="3" t="s">
        <v>20</v>
      </c>
      <c r="C623" s="3" t="s">
        <v>334</v>
      </c>
      <c r="D623" s="3" t="s">
        <v>12</v>
      </c>
      <c r="E623" s="3" t="s">
        <v>33</v>
      </c>
      <c r="F623" s="3" t="s">
        <v>335</v>
      </c>
      <c r="G623" s="3"/>
      <c r="H623" s="3"/>
    </row>
    <row r="624" spans="1:8" x14ac:dyDescent="0.35">
      <c r="A624" s="3" t="s">
        <v>323</v>
      </c>
      <c r="B624" s="3" t="s">
        <v>20</v>
      </c>
      <c r="C624" s="3" t="s">
        <v>334</v>
      </c>
      <c r="D624" s="3" t="s">
        <v>25</v>
      </c>
      <c r="E624" s="3" t="s">
        <v>33</v>
      </c>
      <c r="F624" s="3" t="s">
        <v>335</v>
      </c>
      <c r="G624" s="3"/>
      <c r="H624" s="3"/>
    </row>
    <row r="625" spans="1:8" x14ac:dyDescent="0.35">
      <c r="A625" s="3" t="s">
        <v>323</v>
      </c>
      <c r="B625" s="3" t="s">
        <v>20</v>
      </c>
      <c r="C625" s="3" t="s">
        <v>334</v>
      </c>
      <c r="D625" s="3" t="s">
        <v>28</v>
      </c>
      <c r="E625" s="3" t="s">
        <v>33</v>
      </c>
      <c r="F625" s="3" t="s">
        <v>335</v>
      </c>
      <c r="G625" s="3"/>
      <c r="H625" s="3"/>
    </row>
    <row r="626" spans="1:8" x14ac:dyDescent="0.35">
      <c r="A626" s="3" t="s">
        <v>323</v>
      </c>
      <c r="B626" s="3" t="s">
        <v>20</v>
      </c>
      <c r="C626" s="3" t="s">
        <v>334</v>
      </c>
      <c r="D626" s="3" t="s">
        <v>57</v>
      </c>
      <c r="E626" s="3" t="s">
        <v>33</v>
      </c>
      <c r="F626" s="3" t="s">
        <v>335</v>
      </c>
      <c r="G626" s="3"/>
      <c r="H626" s="3"/>
    </row>
    <row r="627" spans="1:8" x14ac:dyDescent="0.35">
      <c r="A627" s="3" t="s">
        <v>323</v>
      </c>
      <c r="B627" s="3" t="s">
        <v>20</v>
      </c>
      <c r="C627" s="3" t="s">
        <v>334</v>
      </c>
      <c r="D627" s="3" t="s">
        <v>89</v>
      </c>
      <c r="E627" s="3" t="s">
        <v>33</v>
      </c>
      <c r="F627" s="3" t="s">
        <v>335</v>
      </c>
      <c r="G627" s="3"/>
      <c r="H627" s="3"/>
    </row>
    <row r="628" spans="1:8" x14ac:dyDescent="0.35">
      <c r="A628" s="3" t="s">
        <v>323</v>
      </c>
      <c r="B628" s="3" t="s">
        <v>20</v>
      </c>
      <c r="C628" s="3" t="s">
        <v>334</v>
      </c>
      <c r="D628" s="3" t="s">
        <v>32</v>
      </c>
      <c r="E628" s="3" t="s">
        <v>33</v>
      </c>
      <c r="F628" s="3" t="s">
        <v>335</v>
      </c>
      <c r="G628" s="3"/>
      <c r="H628" s="3"/>
    </row>
    <row r="629" spans="1:8" x14ac:dyDescent="0.35">
      <c r="A629" s="3" t="s">
        <v>323</v>
      </c>
      <c r="B629" s="3" t="s">
        <v>20</v>
      </c>
      <c r="C629" s="3" t="s">
        <v>334</v>
      </c>
      <c r="D629" s="3" t="s">
        <v>134</v>
      </c>
      <c r="E629" s="3" t="s">
        <v>33</v>
      </c>
      <c r="F629" s="3" t="s">
        <v>335</v>
      </c>
      <c r="G629" s="3"/>
      <c r="H629" s="3"/>
    </row>
    <row r="630" spans="1:8" x14ac:dyDescent="0.35">
      <c r="A630" s="3" t="s">
        <v>323</v>
      </c>
      <c r="B630" s="3" t="s">
        <v>20</v>
      </c>
      <c r="C630" s="3" t="s">
        <v>334</v>
      </c>
      <c r="D630" s="3" t="s">
        <v>327</v>
      </c>
      <c r="E630" s="3" t="s">
        <v>33</v>
      </c>
      <c r="F630" s="3" t="s">
        <v>335</v>
      </c>
      <c r="G630" s="3"/>
      <c r="H630" s="3"/>
    </row>
    <row r="631" spans="1:8" x14ac:dyDescent="0.35">
      <c r="A631" s="3" t="s">
        <v>323</v>
      </c>
      <c r="B631" s="3" t="s">
        <v>20</v>
      </c>
      <c r="C631" s="3" t="s">
        <v>334</v>
      </c>
      <c r="D631" s="3" t="s">
        <v>107</v>
      </c>
      <c r="E631" s="3" t="s">
        <v>33</v>
      </c>
      <c r="F631" s="3" t="s">
        <v>335</v>
      </c>
      <c r="G631" s="3"/>
      <c r="H631" s="3"/>
    </row>
    <row r="632" spans="1:8" x14ac:dyDescent="0.35">
      <c r="A632" s="3" t="s">
        <v>323</v>
      </c>
      <c r="B632" s="3" t="s">
        <v>302</v>
      </c>
      <c r="C632" s="3" t="s">
        <v>336</v>
      </c>
      <c r="D632" s="3" t="s">
        <v>12</v>
      </c>
      <c r="E632" s="3"/>
      <c r="F632" s="3"/>
      <c r="G632" s="3"/>
      <c r="H632" s="3"/>
    </row>
    <row r="633" spans="1:8" x14ac:dyDescent="0.35">
      <c r="A633" s="3" t="s">
        <v>323</v>
      </c>
      <c r="B633" s="3" t="s">
        <v>302</v>
      </c>
      <c r="C633" s="3" t="s">
        <v>336</v>
      </c>
      <c r="D633" s="3" t="s">
        <v>60</v>
      </c>
      <c r="E633" s="3" t="s">
        <v>16</v>
      </c>
      <c r="F633" s="3" t="s">
        <v>2715</v>
      </c>
      <c r="G633" s="3"/>
      <c r="H633" s="3"/>
    </row>
    <row r="634" spans="1:8" x14ac:dyDescent="0.35">
      <c r="A634" s="3" t="s">
        <v>323</v>
      </c>
      <c r="B634" s="3" t="s">
        <v>302</v>
      </c>
      <c r="C634" s="3" t="s">
        <v>336</v>
      </c>
      <c r="D634" s="3" t="s">
        <v>15</v>
      </c>
      <c r="E634" s="3"/>
      <c r="F634" s="3"/>
      <c r="G634" s="3"/>
      <c r="H634" s="3"/>
    </row>
    <row r="635" spans="1:8" x14ac:dyDescent="0.35">
      <c r="A635" s="3" t="s">
        <v>323</v>
      </c>
      <c r="B635" s="3" t="s">
        <v>10</v>
      </c>
      <c r="C635" s="3" t="s">
        <v>2891</v>
      </c>
      <c r="D635" s="3" t="s">
        <v>15</v>
      </c>
      <c r="E635" s="3" t="s">
        <v>16</v>
      </c>
      <c r="F635" s="3" t="s">
        <v>2892</v>
      </c>
      <c r="G635" s="3"/>
      <c r="H635" s="3"/>
    </row>
    <row r="636" spans="1:8" x14ac:dyDescent="0.35">
      <c r="A636" s="3" t="s">
        <v>323</v>
      </c>
      <c r="B636" s="3" t="s">
        <v>10</v>
      </c>
      <c r="C636" s="3" t="s">
        <v>2891</v>
      </c>
      <c r="D636" s="3" t="s">
        <v>134</v>
      </c>
      <c r="E636" s="3" t="s">
        <v>16</v>
      </c>
      <c r="F636" s="3" t="s">
        <v>2893</v>
      </c>
      <c r="G636" s="3"/>
      <c r="H636" s="3"/>
    </row>
    <row r="637" spans="1:8" x14ac:dyDescent="0.35">
      <c r="A637" s="3" t="s">
        <v>323</v>
      </c>
      <c r="B637" s="3" t="s">
        <v>10</v>
      </c>
      <c r="C637" s="3" t="s">
        <v>2769</v>
      </c>
      <c r="D637" s="3" t="s">
        <v>12</v>
      </c>
      <c r="E637" s="3"/>
      <c r="F637" s="3"/>
      <c r="G637" s="3"/>
      <c r="H637" s="3"/>
    </row>
    <row r="638" spans="1:8" x14ac:dyDescent="0.35">
      <c r="A638" s="3" t="s">
        <v>323</v>
      </c>
      <c r="B638" s="3" t="s">
        <v>10</v>
      </c>
      <c r="C638" s="3" t="s">
        <v>2769</v>
      </c>
      <c r="D638" s="3" t="s">
        <v>47</v>
      </c>
      <c r="E638" s="3"/>
      <c r="F638" s="3"/>
      <c r="G638" s="3"/>
      <c r="H638" s="3"/>
    </row>
    <row r="639" spans="1:8" x14ac:dyDescent="0.35">
      <c r="A639" s="3" t="s">
        <v>323</v>
      </c>
      <c r="B639" s="3" t="s">
        <v>10</v>
      </c>
      <c r="C639" s="3" t="s">
        <v>2769</v>
      </c>
      <c r="D639" s="3" t="s">
        <v>28</v>
      </c>
      <c r="E639" s="3"/>
      <c r="F639" s="3"/>
      <c r="G639" s="3"/>
      <c r="H639" s="3"/>
    </row>
    <row r="640" spans="1:8" x14ac:dyDescent="0.35">
      <c r="A640" s="3" t="s">
        <v>323</v>
      </c>
      <c r="B640" s="3" t="s">
        <v>10</v>
      </c>
      <c r="C640" s="3" t="s">
        <v>2769</v>
      </c>
      <c r="D640" s="3" t="s">
        <v>15</v>
      </c>
      <c r="E640" s="3" t="s">
        <v>16</v>
      </c>
      <c r="F640" s="3" t="s">
        <v>2770</v>
      </c>
      <c r="G640" s="3"/>
      <c r="H640" s="3"/>
    </row>
    <row r="641" spans="1:8" x14ac:dyDescent="0.35">
      <c r="A641" s="3" t="s">
        <v>323</v>
      </c>
      <c r="B641" s="3" t="s">
        <v>10</v>
      </c>
      <c r="C641" s="3" t="s">
        <v>2769</v>
      </c>
      <c r="D641" s="3" t="s">
        <v>57</v>
      </c>
      <c r="E641" s="3"/>
      <c r="F641" s="3"/>
      <c r="G641" s="3"/>
      <c r="H641" s="3"/>
    </row>
    <row r="642" spans="1:8" x14ac:dyDescent="0.35">
      <c r="A642" s="3" t="s">
        <v>323</v>
      </c>
      <c r="B642" s="3" t="s">
        <v>45</v>
      </c>
      <c r="C642" s="3" t="s">
        <v>337</v>
      </c>
      <c r="D642" s="3" t="s">
        <v>47</v>
      </c>
      <c r="E642" s="3" t="s">
        <v>33</v>
      </c>
      <c r="F642" s="3" t="s">
        <v>2771</v>
      </c>
      <c r="G642" s="3"/>
      <c r="H642" s="3"/>
    </row>
    <row r="643" spans="1:8" x14ac:dyDescent="0.35">
      <c r="A643" s="3" t="s">
        <v>323</v>
      </c>
      <c r="B643" s="3" t="s">
        <v>45</v>
      </c>
      <c r="C643" s="3" t="s">
        <v>337</v>
      </c>
      <c r="D643" s="3" t="s">
        <v>25</v>
      </c>
      <c r="E643" s="3" t="s">
        <v>33</v>
      </c>
      <c r="F643" s="3" t="s">
        <v>2771</v>
      </c>
      <c r="G643" s="3"/>
      <c r="H643" s="3"/>
    </row>
    <row r="644" spans="1:8" x14ac:dyDescent="0.35">
      <c r="A644" s="3" t="s">
        <v>323</v>
      </c>
      <c r="B644" s="3" t="s">
        <v>45</v>
      </c>
      <c r="C644" s="3" t="s">
        <v>337</v>
      </c>
      <c r="D644" s="3" t="s">
        <v>60</v>
      </c>
      <c r="E644" s="3" t="s">
        <v>33</v>
      </c>
      <c r="F644" s="3" t="s">
        <v>2771</v>
      </c>
      <c r="G644" s="3"/>
      <c r="H644" s="3"/>
    </row>
    <row r="645" spans="1:8" x14ac:dyDescent="0.35">
      <c r="A645" s="3" t="s">
        <v>323</v>
      </c>
      <c r="B645" s="3" t="s">
        <v>45</v>
      </c>
      <c r="C645" s="3" t="s">
        <v>337</v>
      </c>
      <c r="D645" s="3" t="s">
        <v>242</v>
      </c>
      <c r="E645" s="3" t="s">
        <v>33</v>
      </c>
      <c r="F645" s="3" t="s">
        <v>2771</v>
      </c>
      <c r="G645" s="3"/>
      <c r="H645" s="3"/>
    </row>
    <row r="646" spans="1:8" x14ac:dyDescent="0.35">
      <c r="A646" s="3" t="s">
        <v>323</v>
      </c>
      <c r="B646" s="3" t="s">
        <v>45</v>
      </c>
      <c r="C646" s="3" t="s">
        <v>337</v>
      </c>
      <c r="D646" s="3" t="s">
        <v>15</v>
      </c>
      <c r="E646" s="3" t="s">
        <v>33</v>
      </c>
      <c r="F646" s="3" t="s">
        <v>2771</v>
      </c>
      <c r="G646" s="3"/>
      <c r="H646" s="3"/>
    </row>
    <row r="647" spans="1:8" x14ac:dyDescent="0.35">
      <c r="A647" s="3" t="s">
        <v>323</v>
      </c>
      <c r="B647" s="3" t="s">
        <v>45</v>
      </c>
      <c r="C647" s="3" t="s">
        <v>337</v>
      </c>
      <c r="D647" s="3" t="s">
        <v>56</v>
      </c>
      <c r="E647" s="3" t="s">
        <v>33</v>
      </c>
      <c r="F647" s="3" t="s">
        <v>2771</v>
      </c>
      <c r="G647" s="3"/>
      <c r="H647" s="3"/>
    </row>
    <row r="648" spans="1:8" x14ac:dyDescent="0.35">
      <c r="A648" s="3" t="s">
        <v>323</v>
      </c>
      <c r="B648" s="3" t="s">
        <v>45</v>
      </c>
      <c r="C648" s="3" t="s">
        <v>338</v>
      </c>
      <c r="D648" s="3" t="s">
        <v>87</v>
      </c>
      <c r="E648" s="3"/>
      <c r="F648" s="3"/>
      <c r="G648" s="3"/>
      <c r="H648" s="3"/>
    </row>
    <row r="649" spans="1:8" x14ac:dyDescent="0.35">
      <c r="A649" s="3" t="s">
        <v>323</v>
      </c>
      <c r="B649" s="3" t="s">
        <v>45</v>
      </c>
      <c r="C649" s="3" t="s">
        <v>339</v>
      </c>
      <c r="D649" s="3" t="s">
        <v>77</v>
      </c>
      <c r="E649" s="3"/>
      <c r="F649" s="3"/>
      <c r="G649" s="3"/>
      <c r="H649" s="3"/>
    </row>
    <row r="650" spans="1:8" x14ac:dyDescent="0.35">
      <c r="A650" s="3" t="s">
        <v>323</v>
      </c>
      <c r="B650" s="3" t="s">
        <v>45</v>
      </c>
      <c r="C650" s="3" t="s">
        <v>339</v>
      </c>
      <c r="D650" s="3" t="s">
        <v>28</v>
      </c>
      <c r="E650" s="3"/>
      <c r="F650" s="3"/>
      <c r="G650" s="3"/>
      <c r="H650" s="3"/>
    </row>
    <row r="651" spans="1:8" x14ac:dyDescent="0.35">
      <c r="A651" s="3" t="s">
        <v>323</v>
      </c>
      <c r="B651" s="3" t="s">
        <v>45</v>
      </c>
      <c r="C651" s="3" t="s">
        <v>339</v>
      </c>
      <c r="D651" s="3" t="s">
        <v>185</v>
      </c>
      <c r="E651" s="3"/>
      <c r="F651" s="3"/>
      <c r="G651" s="3"/>
      <c r="H651" s="3"/>
    </row>
    <row r="652" spans="1:8" x14ac:dyDescent="0.35">
      <c r="A652" s="3" t="s">
        <v>340</v>
      </c>
      <c r="B652" s="3" t="s">
        <v>39</v>
      </c>
      <c r="C652" s="3" t="s">
        <v>341</v>
      </c>
      <c r="D652" s="3" t="s">
        <v>25</v>
      </c>
      <c r="E652" s="3"/>
      <c r="F652" s="3"/>
      <c r="G652" s="3"/>
      <c r="H652" s="3"/>
    </row>
    <row r="653" spans="1:8" x14ac:dyDescent="0.35">
      <c r="A653" s="3" t="s">
        <v>340</v>
      </c>
      <c r="B653" s="3" t="s">
        <v>39</v>
      </c>
      <c r="C653" s="3" t="s">
        <v>341</v>
      </c>
      <c r="D653" s="3" t="s">
        <v>15</v>
      </c>
      <c r="E653" s="3" t="s">
        <v>13</v>
      </c>
      <c r="F653" s="3" t="s">
        <v>342</v>
      </c>
      <c r="G653" s="3"/>
      <c r="H653" s="3"/>
    </row>
    <row r="654" spans="1:8" x14ac:dyDescent="0.35">
      <c r="A654" s="3" t="s">
        <v>340</v>
      </c>
      <c r="B654" s="3" t="s">
        <v>39</v>
      </c>
      <c r="C654" s="3" t="s">
        <v>343</v>
      </c>
      <c r="D654" s="3" t="s">
        <v>25</v>
      </c>
      <c r="E654" s="3" t="s">
        <v>13</v>
      </c>
      <c r="F654" s="3" t="s">
        <v>344</v>
      </c>
      <c r="G654" s="3"/>
      <c r="H654" s="3"/>
    </row>
    <row r="655" spans="1:8" x14ac:dyDescent="0.35">
      <c r="A655" s="3" t="s">
        <v>340</v>
      </c>
      <c r="B655" s="3" t="s">
        <v>39</v>
      </c>
      <c r="C655" s="3" t="s">
        <v>343</v>
      </c>
      <c r="D655" s="3" t="s">
        <v>142</v>
      </c>
      <c r="E655" s="3" t="s">
        <v>13</v>
      </c>
      <c r="F655" s="3" t="s">
        <v>344</v>
      </c>
      <c r="G655" s="3"/>
      <c r="H655" s="3"/>
    </row>
    <row r="656" spans="1:8" x14ac:dyDescent="0.35">
      <c r="A656" s="3" t="s">
        <v>340</v>
      </c>
      <c r="B656" s="3" t="s">
        <v>20</v>
      </c>
      <c r="C656" s="3" t="s">
        <v>345</v>
      </c>
      <c r="D656" s="3" t="s">
        <v>25</v>
      </c>
      <c r="E656" s="3" t="s">
        <v>33</v>
      </c>
      <c r="F656" s="3" t="s">
        <v>346</v>
      </c>
      <c r="G656" s="3"/>
      <c r="H656" s="3"/>
    </row>
    <row r="657" spans="1:8" x14ac:dyDescent="0.35">
      <c r="A657" s="3" t="s">
        <v>340</v>
      </c>
      <c r="B657" s="3" t="s">
        <v>20</v>
      </c>
      <c r="C657" s="3" t="s">
        <v>345</v>
      </c>
      <c r="D657" s="3" t="s">
        <v>28</v>
      </c>
      <c r="E657" s="3" t="s">
        <v>33</v>
      </c>
      <c r="F657" s="3" t="s">
        <v>346</v>
      </c>
      <c r="G657" s="3"/>
      <c r="H657" s="3"/>
    </row>
    <row r="658" spans="1:8" x14ac:dyDescent="0.35">
      <c r="A658" s="3" t="s">
        <v>340</v>
      </c>
      <c r="B658" s="3" t="s">
        <v>20</v>
      </c>
      <c r="C658" s="3" t="s">
        <v>345</v>
      </c>
      <c r="D658" s="3" t="s">
        <v>31</v>
      </c>
      <c r="E658" s="3" t="s">
        <v>33</v>
      </c>
      <c r="F658" s="3" t="s">
        <v>346</v>
      </c>
      <c r="G658" s="3"/>
      <c r="H658" s="3"/>
    </row>
    <row r="659" spans="1:8" x14ac:dyDescent="0.35">
      <c r="A659" s="3" t="s">
        <v>340</v>
      </c>
      <c r="B659" s="3" t="s">
        <v>20</v>
      </c>
      <c r="C659" s="3" t="s">
        <v>347</v>
      </c>
      <c r="D659" s="3" t="s">
        <v>47</v>
      </c>
      <c r="E659" s="3"/>
      <c r="F659" s="3"/>
      <c r="G659" s="3"/>
      <c r="H659" s="3"/>
    </row>
    <row r="660" spans="1:8" x14ac:dyDescent="0.35">
      <c r="A660" s="3" t="s">
        <v>340</v>
      </c>
      <c r="B660" s="3" t="s">
        <v>20</v>
      </c>
      <c r="C660" s="3" t="s">
        <v>347</v>
      </c>
      <c r="D660" s="3" t="s">
        <v>25</v>
      </c>
      <c r="E660" s="3"/>
      <c r="F660" s="3"/>
      <c r="G660" s="3"/>
      <c r="H660" s="3"/>
    </row>
    <row r="661" spans="1:8" x14ac:dyDescent="0.35">
      <c r="A661" s="3" t="s">
        <v>340</v>
      </c>
      <c r="B661" s="3" t="s">
        <v>20</v>
      </c>
      <c r="C661" s="3" t="s">
        <v>347</v>
      </c>
      <c r="D661" s="3" t="s">
        <v>28</v>
      </c>
      <c r="E661" s="3"/>
      <c r="F661" s="3"/>
      <c r="G661" s="3"/>
      <c r="H661" s="3"/>
    </row>
    <row r="662" spans="1:8" x14ac:dyDescent="0.35">
      <c r="A662" s="3" t="s">
        <v>340</v>
      </c>
      <c r="B662" s="3" t="s">
        <v>20</v>
      </c>
      <c r="C662" s="3" t="s">
        <v>347</v>
      </c>
      <c r="D662" s="3" t="s">
        <v>31</v>
      </c>
      <c r="E662" s="3"/>
      <c r="F662" s="3"/>
      <c r="G662" s="3"/>
      <c r="H662" s="3"/>
    </row>
    <row r="663" spans="1:8" x14ac:dyDescent="0.35">
      <c r="A663" s="3" t="s">
        <v>340</v>
      </c>
      <c r="B663" s="3" t="s">
        <v>20</v>
      </c>
      <c r="C663" s="3" t="s">
        <v>347</v>
      </c>
      <c r="D663" s="3" t="s">
        <v>185</v>
      </c>
      <c r="E663" s="3"/>
      <c r="F663" s="3" t="s">
        <v>2345</v>
      </c>
      <c r="G663" s="3"/>
      <c r="H663" s="3"/>
    </row>
    <row r="664" spans="1:8" x14ac:dyDescent="0.35">
      <c r="A664" s="3" t="s">
        <v>340</v>
      </c>
      <c r="B664" s="3" t="s">
        <v>20</v>
      </c>
      <c r="C664" s="3" t="s">
        <v>347</v>
      </c>
      <c r="D664" s="3" t="s">
        <v>15</v>
      </c>
      <c r="E664" s="3"/>
      <c r="F664" s="3"/>
      <c r="G664" s="3"/>
      <c r="H664" s="3"/>
    </row>
    <row r="665" spans="1:8" x14ac:dyDescent="0.35">
      <c r="A665" s="3" t="s">
        <v>340</v>
      </c>
      <c r="B665" s="3" t="s">
        <v>20</v>
      </c>
      <c r="C665" s="3" t="s">
        <v>347</v>
      </c>
      <c r="D665" s="3" t="s">
        <v>57</v>
      </c>
      <c r="E665" s="3"/>
      <c r="F665" s="3"/>
      <c r="G665" s="3"/>
      <c r="H665" s="3"/>
    </row>
    <row r="666" spans="1:8" x14ac:dyDescent="0.35">
      <c r="A666" s="3" t="s">
        <v>340</v>
      </c>
      <c r="B666" s="3" t="s">
        <v>20</v>
      </c>
      <c r="C666" s="3" t="s">
        <v>347</v>
      </c>
      <c r="D666" s="3" t="s">
        <v>29</v>
      </c>
      <c r="E666" s="3"/>
      <c r="F666" s="3"/>
      <c r="G666" s="3"/>
      <c r="H666" s="3"/>
    </row>
    <row r="667" spans="1:8" x14ac:dyDescent="0.35">
      <c r="A667" s="3" t="s">
        <v>340</v>
      </c>
      <c r="B667" s="3" t="s">
        <v>20</v>
      </c>
      <c r="C667" s="3" t="s">
        <v>348</v>
      </c>
      <c r="D667" s="3" t="s">
        <v>47</v>
      </c>
      <c r="E667" s="3" t="s">
        <v>33</v>
      </c>
      <c r="F667" s="3" t="s">
        <v>346</v>
      </c>
      <c r="G667" s="3"/>
      <c r="H667" s="3"/>
    </row>
    <row r="668" spans="1:8" x14ac:dyDescent="0.35">
      <c r="A668" s="3" t="s">
        <v>340</v>
      </c>
      <c r="B668" s="3" t="s">
        <v>20</v>
      </c>
      <c r="C668" s="3" t="s">
        <v>348</v>
      </c>
      <c r="D668" s="3" t="s">
        <v>25</v>
      </c>
      <c r="E668" s="3" t="s">
        <v>33</v>
      </c>
      <c r="F668" s="3" t="s">
        <v>346</v>
      </c>
      <c r="G668" s="3"/>
      <c r="H668" s="3"/>
    </row>
    <row r="669" spans="1:8" x14ac:dyDescent="0.35">
      <c r="A669" s="3" t="s">
        <v>340</v>
      </c>
      <c r="B669" s="3" t="s">
        <v>20</v>
      </c>
      <c r="C669" s="3" t="s">
        <v>348</v>
      </c>
      <c r="D669" s="3" t="s">
        <v>77</v>
      </c>
      <c r="E669" s="3" t="s">
        <v>33</v>
      </c>
      <c r="F669" s="3" t="s">
        <v>346</v>
      </c>
      <c r="G669" s="3"/>
      <c r="H669" s="3"/>
    </row>
    <row r="670" spans="1:8" x14ac:dyDescent="0.35">
      <c r="A670" s="3" t="s">
        <v>340</v>
      </c>
      <c r="B670" s="3" t="s">
        <v>20</v>
      </c>
      <c r="C670" s="3" t="s">
        <v>348</v>
      </c>
      <c r="D670" s="3" t="s">
        <v>28</v>
      </c>
      <c r="E670" s="3" t="s">
        <v>33</v>
      </c>
      <c r="F670" s="3" t="s">
        <v>346</v>
      </c>
      <c r="G670" s="3"/>
      <c r="H670" s="3"/>
    </row>
    <row r="671" spans="1:8" x14ac:dyDescent="0.35">
      <c r="A671" s="3" t="s">
        <v>340</v>
      </c>
      <c r="B671" s="3" t="s">
        <v>20</v>
      </c>
      <c r="C671" s="3" t="s">
        <v>348</v>
      </c>
      <c r="D671" s="3" t="s">
        <v>31</v>
      </c>
      <c r="E671" s="3" t="s">
        <v>33</v>
      </c>
      <c r="F671" s="3" t="s">
        <v>346</v>
      </c>
      <c r="G671" s="3"/>
      <c r="H671" s="3"/>
    </row>
    <row r="672" spans="1:8" x14ac:dyDescent="0.35">
      <c r="A672" s="3" t="s">
        <v>340</v>
      </c>
      <c r="B672" s="3" t="s">
        <v>20</v>
      </c>
      <c r="C672" s="3" t="s">
        <v>348</v>
      </c>
      <c r="D672" s="3" t="s">
        <v>185</v>
      </c>
      <c r="E672" s="3" t="s">
        <v>33</v>
      </c>
      <c r="F672" s="3" t="s">
        <v>346</v>
      </c>
      <c r="G672" s="3"/>
      <c r="H672" s="3"/>
    </row>
    <row r="673" spans="1:8" x14ac:dyDescent="0.35">
      <c r="A673" s="3" t="s">
        <v>340</v>
      </c>
      <c r="B673" s="3" t="s">
        <v>20</v>
      </c>
      <c r="C673" s="3" t="s">
        <v>348</v>
      </c>
      <c r="D673" s="3" t="s">
        <v>57</v>
      </c>
      <c r="E673" s="3" t="s">
        <v>33</v>
      </c>
      <c r="F673" s="3" t="s">
        <v>346</v>
      </c>
      <c r="G673" s="3"/>
      <c r="H673" s="3"/>
    </row>
    <row r="674" spans="1:8" x14ac:dyDescent="0.35">
      <c r="A674" s="3" t="s">
        <v>340</v>
      </c>
      <c r="B674" s="3" t="s">
        <v>20</v>
      </c>
      <c r="C674" s="3" t="s">
        <v>348</v>
      </c>
      <c r="D674" s="3" t="s">
        <v>32</v>
      </c>
      <c r="E674" s="3" t="s">
        <v>33</v>
      </c>
      <c r="F674" s="3" t="s">
        <v>346</v>
      </c>
      <c r="G674" s="3"/>
      <c r="H674" s="3"/>
    </row>
    <row r="675" spans="1:8" x14ac:dyDescent="0.35">
      <c r="A675" s="3" t="s">
        <v>340</v>
      </c>
      <c r="B675" s="3" t="s">
        <v>20</v>
      </c>
      <c r="C675" s="3" t="s">
        <v>348</v>
      </c>
      <c r="D675" s="3" t="s">
        <v>29</v>
      </c>
      <c r="E675" s="3" t="s">
        <v>33</v>
      </c>
      <c r="F675" s="3" t="s">
        <v>346</v>
      </c>
      <c r="G675" s="3"/>
      <c r="H675" s="3"/>
    </row>
    <row r="676" spans="1:8" x14ac:dyDescent="0.35">
      <c r="A676" s="3" t="s">
        <v>340</v>
      </c>
      <c r="B676" s="3" t="s">
        <v>20</v>
      </c>
      <c r="C676" s="3" t="s">
        <v>348</v>
      </c>
      <c r="D676" s="3" t="s">
        <v>152</v>
      </c>
      <c r="E676" s="3" t="s">
        <v>33</v>
      </c>
      <c r="F676" s="3" t="s">
        <v>346</v>
      </c>
      <c r="G676" s="3"/>
      <c r="H676" s="3"/>
    </row>
    <row r="677" spans="1:8" x14ac:dyDescent="0.35">
      <c r="A677" s="3" t="s">
        <v>340</v>
      </c>
      <c r="B677" s="3" t="s">
        <v>39</v>
      </c>
      <c r="C677" s="3" t="s">
        <v>349</v>
      </c>
      <c r="D677" s="3" t="s">
        <v>25</v>
      </c>
      <c r="E677" s="3"/>
      <c r="F677" s="3"/>
      <c r="G677" s="3"/>
      <c r="H677" s="3"/>
    </row>
    <row r="678" spans="1:8" x14ac:dyDescent="0.35">
      <c r="A678" s="3" t="s">
        <v>340</v>
      </c>
      <c r="B678" s="3" t="s">
        <v>39</v>
      </c>
      <c r="C678" s="3" t="s">
        <v>349</v>
      </c>
      <c r="D678" s="3" t="s">
        <v>56</v>
      </c>
      <c r="E678" s="3"/>
      <c r="F678" s="3"/>
      <c r="G678" s="3"/>
      <c r="H678" s="3"/>
    </row>
    <row r="679" spans="1:8" x14ac:dyDescent="0.35">
      <c r="A679" s="3" t="s">
        <v>340</v>
      </c>
      <c r="B679" s="3" t="s">
        <v>39</v>
      </c>
      <c r="C679" s="3" t="s">
        <v>350</v>
      </c>
      <c r="D679" s="3" t="s">
        <v>28</v>
      </c>
      <c r="E679" s="3"/>
      <c r="F679" s="3"/>
      <c r="G679" s="3"/>
      <c r="H679" s="3"/>
    </row>
    <row r="680" spans="1:8" x14ac:dyDescent="0.35">
      <c r="A680" s="3" t="s">
        <v>340</v>
      </c>
      <c r="B680" s="3" t="s">
        <v>39</v>
      </c>
      <c r="C680" s="3" t="s">
        <v>350</v>
      </c>
      <c r="D680" s="3" t="s">
        <v>29</v>
      </c>
      <c r="E680" s="3"/>
      <c r="F680" s="3"/>
      <c r="G680" s="3"/>
      <c r="H680" s="3"/>
    </row>
    <row r="681" spans="1:8" x14ac:dyDescent="0.35">
      <c r="A681" s="3" t="s">
        <v>340</v>
      </c>
      <c r="B681" s="3" t="s">
        <v>39</v>
      </c>
      <c r="C681" s="3" t="s">
        <v>351</v>
      </c>
      <c r="D681" s="3" t="s">
        <v>28</v>
      </c>
      <c r="E681" s="3"/>
      <c r="F681" s="3"/>
      <c r="G681" s="3"/>
      <c r="H681" s="3"/>
    </row>
    <row r="682" spans="1:8" x14ac:dyDescent="0.35">
      <c r="A682" s="3" t="s">
        <v>340</v>
      </c>
      <c r="B682" s="3" t="s">
        <v>39</v>
      </c>
      <c r="C682" s="3" t="s">
        <v>351</v>
      </c>
      <c r="D682" s="3" t="s">
        <v>31</v>
      </c>
      <c r="E682" s="3"/>
      <c r="F682" s="3"/>
      <c r="G682" s="3"/>
      <c r="H682" s="3"/>
    </row>
    <row r="683" spans="1:8" x14ac:dyDescent="0.35">
      <c r="A683" s="3" t="s">
        <v>340</v>
      </c>
      <c r="B683" s="3" t="s">
        <v>39</v>
      </c>
      <c r="C683" s="3" t="s">
        <v>351</v>
      </c>
      <c r="D683" s="3" t="s">
        <v>15</v>
      </c>
      <c r="E683" s="3" t="s">
        <v>13</v>
      </c>
      <c r="F683" s="3" t="s">
        <v>352</v>
      </c>
      <c r="G683" s="3"/>
      <c r="H683" s="3"/>
    </row>
    <row r="684" spans="1:8" x14ac:dyDescent="0.35">
      <c r="A684" s="3" t="s">
        <v>353</v>
      </c>
      <c r="B684" s="3" t="s">
        <v>10</v>
      </c>
      <c r="C684" s="3" t="s">
        <v>356</v>
      </c>
      <c r="D684" s="3" t="s">
        <v>23</v>
      </c>
      <c r="E684" s="3"/>
      <c r="F684" s="3"/>
      <c r="G684" s="3" t="s">
        <v>16</v>
      </c>
      <c r="H684" s="3" t="s">
        <v>357</v>
      </c>
    </row>
    <row r="685" spans="1:8" x14ac:dyDescent="0.35">
      <c r="A685" s="3" t="s">
        <v>353</v>
      </c>
      <c r="B685" s="3" t="s">
        <v>10</v>
      </c>
      <c r="C685" s="3" t="s">
        <v>356</v>
      </c>
      <c r="D685" s="3" t="s">
        <v>47</v>
      </c>
      <c r="E685" s="3"/>
      <c r="F685" s="3"/>
      <c r="G685" s="3" t="s">
        <v>16</v>
      </c>
      <c r="H685" s="3" t="s">
        <v>357</v>
      </c>
    </row>
    <row r="686" spans="1:8" x14ac:dyDescent="0.35">
      <c r="A686" s="3" t="s">
        <v>353</v>
      </c>
      <c r="B686" s="3" t="s">
        <v>10</v>
      </c>
      <c r="C686" s="3" t="s">
        <v>356</v>
      </c>
      <c r="D686" s="3" t="s">
        <v>87</v>
      </c>
      <c r="E686" s="3"/>
      <c r="F686" s="3"/>
      <c r="G686" s="3" t="s">
        <v>16</v>
      </c>
      <c r="H686" s="3" t="s">
        <v>357</v>
      </c>
    </row>
    <row r="687" spans="1:8" x14ac:dyDescent="0.35">
      <c r="A687" s="3" t="s">
        <v>353</v>
      </c>
      <c r="B687" s="3" t="s">
        <v>10</v>
      </c>
      <c r="C687" s="3" t="s">
        <v>356</v>
      </c>
      <c r="D687" s="3" t="s">
        <v>15</v>
      </c>
      <c r="E687" s="3" t="s">
        <v>16</v>
      </c>
      <c r="F687" s="3" t="s">
        <v>359</v>
      </c>
      <c r="G687" s="3" t="s">
        <v>16</v>
      </c>
      <c r="H687" s="3" t="s">
        <v>357</v>
      </c>
    </row>
    <row r="688" spans="1:8" x14ac:dyDescent="0.35">
      <c r="A688" s="3" t="s">
        <v>353</v>
      </c>
      <c r="B688" s="3" t="s">
        <v>10</v>
      </c>
      <c r="C688" s="3" t="s">
        <v>356</v>
      </c>
      <c r="D688" s="3" t="s">
        <v>57</v>
      </c>
      <c r="E688" s="3" t="s">
        <v>16</v>
      </c>
      <c r="F688" s="3" t="s">
        <v>358</v>
      </c>
      <c r="G688" s="3" t="s">
        <v>16</v>
      </c>
      <c r="H688" s="3" t="s">
        <v>355</v>
      </c>
    </row>
    <row r="689" spans="1:8" x14ac:dyDescent="0.35">
      <c r="A689" s="3" t="s">
        <v>353</v>
      </c>
      <c r="B689" s="3" t="s">
        <v>10</v>
      </c>
      <c r="C689" s="3" t="s">
        <v>356</v>
      </c>
      <c r="D689" s="3" t="s">
        <v>107</v>
      </c>
      <c r="E689" s="3" t="s">
        <v>16</v>
      </c>
      <c r="F689" s="3" t="s">
        <v>360</v>
      </c>
      <c r="G689" s="3" t="s">
        <v>16</v>
      </c>
      <c r="H689" s="3" t="s">
        <v>355</v>
      </c>
    </row>
    <row r="690" spans="1:8" x14ac:dyDescent="0.35">
      <c r="A690" s="3" t="s">
        <v>353</v>
      </c>
      <c r="B690" s="3" t="s">
        <v>10</v>
      </c>
      <c r="C690" s="3" t="s">
        <v>354</v>
      </c>
      <c r="D690" s="3" t="s">
        <v>142</v>
      </c>
      <c r="E690" s="3"/>
      <c r="F690" s="3"/>
      <c r="G690" s="3" t="s">
        <v>16</v>
      </c>
      <c r="H690" s="3" t="s">
        <v>355</v>
      </c>
    </row>
    <row r="691" spans="1:8" x14ac:dyDescent="0.35">
      <c r="A691" s="3" t="s">
        <v>353</v>
      </c>
      <c r="B691" s="3" t="s">
        <v>10</v>
      </c>
      <c r="C691" s="3" t="s">
        <v>361</v>
      </c>
      <c r="D691" s="3" t="s">
        <v>142</v>
      </c>
      <c r="E691" s="3"/>
      <c r="F691" s="3"/>
      <c r="G691" s="3" t="s">
        <v>16</v>
      </c>
      <c r="H691" s="3" t="s">
        <v>355</v>
      </c>
    </row>
    <row r="692" spans="1:8" x14ac:dyDescent="0.35">
      <c r="A692" s="3" t="s">
        <v>353</v>
      </c>
      <c r="B692" s="3" t="s">
        <v>10</v>
      </c>
      <c r="C692" s="3" t="s">
        <v>2986</v>
      </c>
      <c r="D692" s="3" t="s">
        <v>47</v>
      </c>
      <c r="E692" s="3" t="s">
        <v>16</v>
      </c>
      <c r="F692" s="3" t="s">
        <v>2987</v>
      </c>
      <c r="G692" s="3" t="s">
        <v>16</v>
      </c>
      <c r="H692" s="3" t="s">
        <v>355</v>
      </c>
    </row>
    <row r="693" spans="1:8" x14ac:dyDescent="0.35">
      <c r="A693" s="3" t="s">
        <v>353</v>
      </c>
      <c r="B693" s="3" t="s">
        <v>10</v>
      </c>
      <c r="C693" s="3" t="s">
        <v>362</v>
      </c>
      <c r="D693" s="3" t="s">
        <v>15</v>
      </c>
      <c r="E693" s="3" t="s">
        <v>16</v>
      </c>
      <c r="F693" s="3" t="s">
        <v>363</v>
      </c>
      <c r="G693" s="3" t="s">
        <v>16</v>
      </c>
      <c r="H693" s="3" t="s">
        <v>355</v>
      </c>
    </row>
    <row r="694" spans="1:8" x14ac:dyDescent="0.35">
      <c r="A694" s="3" t="s">
        <v>353</v>
      </c>
      <c r="B694" s="3" t="s">
        <v>10</v>
      </c>
      <c r="C694" s="3" t="s">
        <v>2614</v>
      </c>
      <c r="D694" s="3" t="s">
        <v>12</v>
      </c>
      <c r="E694" s="3"/>
      <c r="F694" s="3"/>
      <c r="G694" s="3" t="s">
        <v>16</v>
      </c>
      <c r="H694" s="3" t="s">
        <v>355</v>
      </c>
    </row>
    <row r="695" spans="1:8" x14ac:dyDescent="0.35">
      <c r="A695" s="3" t="s">
        <v>353</v>
      </c>
      <c r="B695" s="3" t="s">
        <v>10</v>
      </c>
      <c r="C695" s="3" t="s">
        <v>2614</v>
      </c>
      <c r="D695" s="3" t="s">
        <v>47</v>
      </c>
      <c r="E695" s="3" t="s">
        <v>16</v>
      </c>
      <c r="F695" s="3" t="s">
        <v>2615</v>
      </c>
      <c r="G695" s="3" t="s">
        <v>16</v>
      </c>
      <c r="H695" s="3" t="s">
        <v>355</v>
      </c>
    </row>
    <row r="696" spans="1:8" x14ac:dyDescent="0.35">
      <c r="A696" s="3" t="s">
        <v>353</v>
      </c>
      <c r="B696" s="3" t="s">
        <v>10</v>
      </c>
      <c r="C696" s="3" t="s">
        <v>2614</v>
      </c>
      <c r="D696" s="3" t="s">
        <v>107</v>
      </c>
      <c r="E696" s="3" t="s">
        <v>16</v>
      </c>
      <c r="F696" s="3" t="s">
        <v>2616</v>
      </c>
      <c r="G696" s="3" t="s">
        <v>16</v>
      </c>
      <c r="H696" s="3" t="s">
        <v>355</v>
      </c>
    </row>
    <row r="697" spans="1:8" x14ac:dyDescent="0.35">
      <c r="A697" s="3" t="s">
        <v>353</v>
      </c>
      <c r="B697" s="3" t="s">
        <v>20</v>
      </c>
      <c r="C697" s="3" t="s">
        <v>364</v>
      </c>
      <c r="D697" s="3" t="s">
        <v>12</v>
      </c>
      <c r="E697" s="3"/>
      <c r="F697" s="3"/>
      <c r="G697" s="3" t="s">
        <v>13</v>
      </c>
      <c r="H697" s="3" t="s">
        <v>355</v>
      </c>
    </row>
    <row r="698" spans="1:8" x14ac:dyDescent="0.35">
      <c r="A698" s="3" t="s">
        <v>353</v>
      </c>
      <c r="B698" s="3" t="s">
        <v>20</v>
      </c>
      <c r="C698" s="3" t="s">
        <v>364</v>
      </c>
      <c r="D698" s="3" t="s">
        <v>36</v>
      </c>
      <c r="E698" s="3"/>
      <c r="F698" s="3"/>
      <c r="G698" s="3" t="s">
        <v>13</v>
      </c>
      <c r="H698" s="3" t="s">
        <v>355</v>
      </c>
    </row>
    <row r="699" spans="1:8" x14ac:dyDescent="0.35">
      <c r="A699" s="3" t="s">
        <v>353</v>
      </c>
      <c r="B699" s="3" t="s">
        <v>20</v>
      </c>
      <c r="C699" s="3" t="s">
        <v>364</v>
      </c>
      <c r="D699" s="3" t="s">
        <v>25</v>
      </c>
      <c r="E699" s="3" t="s">
        <v>13</v>
      </c>
      <c r="F699" s="3" t="s">
        <v>365</v>
      </c>
      <c r="G699" s="3" t="s">
        <v>13</v>
      </c>
      <c r="H699" s="3" t="s">
        <v>355</v>
      </c>
    </row>
    <row r="700" spans="1:8" x14ac:dyDescent="0.35">
      <c r="A700" s="3" t="s">
        <v>353</v>
      </c>
      <c r="B700" s="3" t="s">
        <v>20</v>
      </c>
      <c r="C700" s="3" t="s">
        <v>364</v>
      </c>
      <c r="D700" s="3" t="s">
        <v>15</v>
      </c>
      <c r="E700" s="3" t="s">
        <v>13</v>
      </c>
      <c r="F700" s="3" t="s">
        <v>365</v>
      </c>
      <c r="G700" s="3" t="s">
        <v>13</v>
      </c>
      <c r="H700" s="3" t="s">
        <v>355</v>
      </c>
    </row>
    <row r="701" spans="1:8" x14ac:dyDescent="0.35">
      <c r="A701" s="3" t="s">
        <v>353</v>
      </c>
      <c r="B701" s="3" t="s">
        <v>20</v>
      </c>
      <c r="C701" s="3" t="s">
        <v>364</v>
      </c>
      <c r="D701" s="3" t="s">
        <v>290</v>
      </c>
      <c r="E701" s="3" t="s">
        <v>13</v>
      </c>
      <c r="F701" s="3" t="s">
        <v>365</v>
      </c>
      <c r="G701" s="3" t="s">
        <v>13</v>
      </c>
      <c r="H701" s="3" t="s">
        <v>355</v>
      </c>
    </row>
    <row r="702" spans="1:8" x14ac:dyDescent="0.35">
      <c r="A702" s="3" t="s">
        <v>353</v>
      </c>
      <c r="B702" s="3" t="s">
        <v>20</v>
      </c>
      <c r="C702" s="3" t="s">
        <v>364</v>
      </c>
      <c r="D702" s="3" t="s">
        <v>107</v>
      </c>
      <c r="E702" s="3"/>
      <c r="F702" s="3"/>
      <c r="G702" s="3" t="s">
        <v>13</v>
      </c>
      <c r="H702" s="3" t="s">
        <v>355</v>
      </c>
    </row>
    <row r="703" spans="1:8" x14ac:dyDescent="0.35">
      <c r="A703" s="3" t="s">
        <v>353</v>
      </c>
      <c r="B703" s="3" t="s">
        <v>42</v>
      </c>
      <c r="C703" s="3" t="s">
        <v>366</v>
      </c>
      <c r="D703" s="3" t="s">
        <v>12</v>
      </c>
      <c r="E703" s="3"/>
      <c r="F703" s="3"/>
      <c r="G703" s="3" t="s">
        <v>13</v>
      </c>
      <c r="H703" s="3" t="s">
        <v>367</v>
      </c>
    </row>
    <row r="704" spans="1:8" x14ac:dyDescent="0.35">
      <c r="A704" s="3" t="s">
        <v>353</v>
      </c>
      <c r="B704" s="3" t="s">
        <v>42</v>
      </c>
      <c r="C704" s="3" t="s">
        <v>366</v>
      </c>
      <c r="D704" s="3" t="s">
        <v>36</v>
      </c>
      <c r="E704" s="3"/>
      <c r="F704" s="3"/>
      <c r="G704" s="3" t="s">
        <v>13</v>
      </c>
      <c r="H704" s="3" t="s">
        <v>367</v>
      </c>
    </row>
    <row r="705" spans="1:8" x14ac:dyDescent="0.35">
      <c r="A705" s="3" t="s">
        <v>353</v>
      </c>
      <c r="B705" s="3" t="s">
        <v>42</v>
      </c>
      <c r="C705" s="3" t="s">
        <v>366</v>
      </c>
      <c r="D705" s="3" t="s">
        <v>23</v>
      </c>
      <c r="E705" s="3"/>
      <c r="F705" s="3"/>
      <c r="G705" s="3" t="s">
        <v>13</v>
      </c>
      <c r="H705" s="3" t="s">
        <v>367</v>
      </c>
    </row>
    <row r="706" spans="1:8" x14ac:dyDescent="0.35">
      <c r="A706" s="3" t="s">
        <v>353</v>
      </c>
      <c r="B706" s="3" t="s">
        <v>42</v>
      </c>
      <c r="C706" s="3" t="s">
        <v>366</v>
      </c>
      <c r="D706" s="3" t="s">
        <v>25</v>
      </c>
      <c r="E706" s="3"/>
      <c r="F706" s="3"/>
      <c r="G706" s="3" t="s">
        <v>13</v>
      </c>
      <c r="H706" s="3" t="s">
        <v>367</v>
      </c>
    </row>
    <row r="707" spans="1:8" x14ac:dyDescent="0.35">
      <c r="A707" s="3" t="s">
        <v>353</v>
      </c>
      <c r="B707" s="3" t="s">
        <v>42</v>
      </c>
      <c r="C707" s="3" t="s">
        <v>366</v>
      </c>
      <c r="D707" s="3" t="s">
        <v>142</v>
      </c>
      <c r="E707" s="3"/>
      <c r="F707" s="3"/>
      <c r="G707" s="3" t="s">
        <v>13</v>
      </c>
      <c r="H707" s="3" t="s">
        <v>367</v>
      </c>
    </row>
    <row r="708" spans="1:8" x14ac:dyDescent="0.35">
      <c r="A708" s="3" t="s">
        <v>353</v>
      </c>
      <c r="B708" s="3" t="s">
        <v>42</v>
      </c>
      <c r="C708" s="3" t="s">
        <v>366</v>
      </c>
      <c r="D708" s="3" t="s">
        <v>44</v>
      </c>
      <c r="E708" s="3"/>
      <c r="F708" s="3"/>
      <c r="G708" s="3" t="s">
        <v>13</v>
      </c>
      <c r="H708" s="3" t="s">
        <v>367</v>
      </c>
    </row>
    <row r="709" spans="1:8" x14ac:dyDescent="0.35">
      <c r="A709" s="3" t="s">
        <v>353</v>
      </c>
      <c r="B709" s="3" t="s">
        <v>42</v>
      </c>
      <c r="C709" s="3" t="s">
        <v>366</v>
      </c>
      <c r="D709" s="3" t="s">
        <v>28</v>
      </c>
      <c r="E709" s="3"/>
      <c r="F709" s="3"/>
      <c r="G709" s="3" t="s">
        <v>13</v>
      </c>
      <c r="H709" s="3" t="s">
        <v>367</v>
      </c>
    </row>
    <row r="710" spans="1:8" x14ac:dyDescent="0.35">
      <c r="A710" s="3" t="s">
        <v>353</v>
      </c>
      <c r="B710" s="3" t="s">
        <v>42</v>
      </c>
      <c r="C710" s="3" t="s">
        <v>366</v>
      </c>
      <c r="D710" s="3" t="s">
        <v>57</v>
      </c>
      <c r="E710" s="3"/>
      <c r="F710" s="3"/>
      <c r="G710" s="3" t="s">
        <v>13</v>
      </c>
      <c r="H710" s="3" t="s">
        <v>367</v>
      </c>
    </row>
    <row r="711" spans="1:8" x14ac:dyDescent="0.35">
      <c r="A711" s="3" t="s">
        <v>353</v>
      </c>
      <c r="B711" s="3" t="s">
        <v>42</v>
      </c>
      <c r="C711" s="3" t="s">
        <v>366</v>
      </c>
      <c r="D711" s="3" t="s">
        <v>56</v>
      </c>
      <c r="E711" s="3" t="s">
        <v>13</v>
      </c>
      <c r="F711" s="3" t="s">
        <v>368</v>
      </c>
      <c r="G711" s="3" t="s">
        <v>13</v>
      </c>
      <c r="H711" s="3" t="s">
        <v>367</v>
      </c>
    </row>
    <row r="712" spans="1:8" x14ac:dyDescent="0.35">
      <c r="A712" s="3" t="s">
        <v>353</v>
      </c>
      <c r="B712" s="3" t="s">
        <v>42</v>
      </c>
      <c r="C712" s="3" t="s">
        <v>366</v>
      </c>
      <c r="D712" s="3" t="s">
        <v>175</v>
      </c>
      <c r="E712" s="3" t="s">
        <v>13</v>
      </c>
      <c r="F712" s="3" t="s">
        <v>325</v>
      </c>
      <c r="G712" s="3" t="s">
        <v>13</v>
      </c>
      <c r="H712" s="3" t="s">
        <v>367</v>
      </c>
    </row>
    <row r="713" spans="1:8" x14ac:dyDescent="0.35">
      <c r="A713" s="3" t="s">
        <v>353</v>
      </c>
      <c r="B713" s="3" t="s">
        <v>42</v>
      </c>
      <c r="C713" s="3" t="s">
        <v>366</v>
      </c>
      <c r="D713" s="3" t="s">
        <v>89</v>
      </c>
      <c r="E713" s="3" t="s">
        <v>13</v>
      </c>
      <c r="F713" s="3" t="s">
        <v>369</v>
      </c>
      <c r="G713" s="3" t="s">
        <v>13</v>
      </c>
      <c r="H713" s="3" t="s">
        <v>367</v>
      </c>
    </row>
    <row r="714" spans="1:8" x14ac:dyDescent="0.35">
      <c r="A714" s="3" t="s">
        <v>353</v>
      </c>
      <c r="B714" s="3" t="s">
        <v>42</v>
      </c>
      <c r="C714" s="3" t="s">
        <v>366</v>
      </c>
      <c r="D714" s="3" t="s">
        <v>29</v>
      </c>
      <c r="E714" s="3" t="s">
        <v>13</v>
      </c>
      <c r="F714" s="3" t="s">
        <v>325</v>
      </c>
      <c r="G714" s="3" t="s">
        <v>13</v>
      </c>
      <c r="H714" s="3" t="s">
        <v>367</v>
      </c>
    </row>
    <row r="715" spans="1:8" x14ac:dyDescent="0.35">
      <c r="A715" s="3" t="s">
        <v>353</v>
      </c>
      <c r="B715" s="3" t="s">
        <v>42</v>
      </c>
      <c r="C715" s="3" t="s">
        <v>366</v>
      </c>
      <c r="D715" s="3" t="s">
        <v>24</v>
      </c>
      <c r="E715" s="3"/>
      <c r="F715" s="3"/>
      <c r="G715" s="3" t="s">
        <v>13</v>
      </c>
      <c r="H715" s="3" t="s">
        <v>367</v>
      </c>
    </row>
    <row r="716" spans="1:8" x14ac:dyDescent="0.35">
      <c r="A716" s="3" t="s">
        <v>353</v>
      </c>
      <c r="B716" s="3" t="s">
        <v>42</v>
      </c>
      <c r="C716" s="3" t="s">
        <v>366</v>
      </c>
      <c r="D716" s="3" t="s">
        <v>107</v>
      </c>
      <c r="E716" s="3" t="s">
        <v>13</v>
      </c>
      <c r="F716" s="3" t="s">
        <v>325</v>
      </c>
      <c r="G716" s="3" t="s">
        <v>13</v>
      </c>
      <c r="H716" s="3" t="s">
        <v>367</v>
      </c>
    </row>
    <row r="717" spans="1:8" x14ac:dyDescent="0.35">
      <c r="A717" s="3" t="s">
        <v>353</v>
      </c>
      <c r="B717" s="3" t="s">
        <v>45</v>
      </c>
      <c r="C717" s="3" t="s">
        <v>370</v>
      </c>
      <c r="D717" s="3" t="s">
        <v>77</v>
      </c>
      <c r="E717" s="3"/>
      <c r="F717" s="3"/>
      <c r="G717" s="3" t="s">
        <v>13</v>
      </c>
      <c r="H717" s="3" t="s">
        <v>367</v>
      </c>
    </row>
    <row r="718" spans="1:8" x14ac:dyDescent="0.35">
      <c r="A718" s="3" t="s">
        <v>353</v>
      </c>
      <c r="B718" s="3" t="s">
        <v>45</v>
      </c>
      <c r="C718" s="3" t="s">
        <v>371</v>
      </c>
      <c r="D718" s="3" t="s">
        <v>47</v>
      </c>
      <c r="E718" s="3" t="s">
        <v>33</v>
      </c>
      <c r="F718" s="3" t="s">
        <v>2762</v>
      </c>
      <c r="G718" s="3"/>
      <c r="H718" s="3"/>
    </row>
    <row r="719" spans="1:8" x14ac:dyDescent="0.35">
      <c r="A719" s="3" t="s">
        <v>353</v>
      </c>
      <c r="B719" s="3" t="s">
        <v>45</v>
      </c>
      <c r="C719" s="3" t="s">
        <v>371</v>
      </c>
      <c r="D719" s="3" t="s">
        <v>28</v>
      </c>
      <c r="E719" s="3"/>
      <c r="F719" s="3"/>
      <c r="G719" s="3" t="s">
        <v>13</v>
      </c>
      <c r="H719" s="3" t="s">
        <v>367</v>
      </c>
    </row>
    <row r="720" spans="1:8" x14ac:dyDescent="0.35">
      <c r="A720" s="3" t="s">
        <v>353</v>
      </c>
      <c r="B720" s="3" t="s">
        <v>45</v>
      </c>
      <c r="C720" s="3" t="s">
        <v>371</v>
      </c>
      <c r="D720" s="3" t="s">
        <v>56</v>
      </c>
      <c r="E720" s="3" t="s">
        <v>13</v>
      </c>
      <c r="F720" s="3" t="s">
        <v>373</v>
      </c>
      <c r="G720" s="3" t="s">
        <v>13</v>
      </c>
      <c r="H720" s="3" t="s">
        <v>367</v>
      </c>
    </row>
    <row r="721" spans="1:8" x14ac:dyDescent="0.35">
      <c r="A721" s="3" t="s">
        <v>353</v>
      </c>
      <c r="B721" s="3" t="s">
        <v>45</v>
      </c>
      <c r="C721" s="3" t="s">
        <v>371</v>
      </c>
      <c r="D721" s="3" t="s">
        <v>24</v>
      </c>
      <c r="E721" s="3"/>
      <c r="F721" s="3"/>
      <c r="G721" s="3" t="s">
        <v>13</v>
      </c>
      <c r="H721" s="3" t="s">
        <v>367</v>
      </c>
    </row>
    <row r="722" spans="1:8" x14ac:dyDescent="0.35">
      <c r="A722" s="3" t="s">
        <v>353</v>
      </c>
      <c r="B722" s="3" t="s">
        <v>45</v>
      </c>
      <c r="C722" s="3" t="s">
        <v>371</v>
      </c>
      <c r="D722" s="3" t="s">
        <v>244</v>
      </c>
      <c r="E722" s="3"/>
      <c r="F722" s="3"/>
      <c r="G722" s="3" t="s">
        <v>13</v>
      </c>
      <c r="H722" s="3" t="s">
        <v>367</v>
      </c>
    </row>
    <row r="723" spans="1:8" x14ac:dyDescent="0.35">
      <c r="A723" s="3" t="s">
        <v>353</v>
      </c>
      <c r="B723" s="3" t="s">
        <v>45</v>
      </c>
      <c r="C723" s="3" t="s">
        <v>371</v>
      </c>
      <c r="D723" s="3" t="s">
        <v>372</v>
      </c>
      <c r="E723" s="3" t="s">
        <v>33</v>
      </c>
      <c r="F723" s="3" t="s">
        <v>2763</v>
      </c>
      <c r="G723" s="3"/>
      <c r="H723" s="3"/>
    </row>
    <row r="724" spans="1:8" x14ac:dyDescent="0.35">
      <c r="A724" s="3" t="s">
        <v>353</v>
      </c>
      <c r="B724" s="3" t="s">
        <v>20</v>
      </c>
      <c r="C724" s="3" t="s">
        <v>374</v>
      </c>
      <c r="D724" s="3" t="s">
        <v>12</v>
      </c>
      <c r="E724" s="3"/>
      <c r="F724" s="3"/>
      <c r="G724" s="3" t="s">
        <v>13</v>
      </c>
      <c r="H724" s="3" t="s">
        <v>355</v>
      </c>
    </row>
    <row r="725" spans="1:8" x14ac:dyDescent="0.35">
      <c r="A725" s="3" t="s">
        <v>353</v>
      </c>
      <c r="B725" s="3" t="s">
        <v>20</v>
      </c>
      <c r="C725" s="3" t="s">
        <v>374</v>
      </c>
      <c r="D725" s="3" t="s">
        <v>36</v>
      </c>
      <c r="E725" s="3"/>
      <c r="F725" s="3"/>
      <c r="G725" s="3" t="s">
        <v>13</v>
      </c>
      <c r="H725" s="3" t="s">
        <v>355</v>
      </c>
    </row>
    <row r="726" spans="1:8" x14ac:dyDescent="0.35">
      <c r="A726" s="3" t="s">
        <v>353</v>
      </c>
      <c r="B726" s="3" t="s">
        <v>20</v>
      </c>
      <c r="C726" s="3" t="s">
        <v>374</v>
      </c>
      <c r="D726" s="3" t="s">
        <v>23</v>
      </c>
      <c r="E726" s="3"/>
      <c r="F726" s="3"/>
      <c r="G726" s="3" t="s">
        <v>13</v>
      </c>
      <c r="H726" s="3" t="s">
        <v>355</v>
      </c>
    </row>
    <row r="727" spans="1:8" x14ac:dyDescent="0.35">
      <c r="A727" s="3" t="s">
        <v>353</v>
      </c>
      <c r="B727" s="3" t="s">
        <v>20</v>
      </c>
      <c r="C727" s="3" t="s">
        <v>374</v>
      </c>
      <c r="D727" s="3" t="s">
        <v>25</v>
      </c>
      <c r="E727" s="3"/>
      <c r="F727" s="3"/>
      <c r="G727" s="3" t="s">
        <v>13</v>
      </c>
      <c r="H727" s="3" t="s">
        <v>355</v>
      </c>
    </row>
    <row r="728" spans="1:8" x14ac:dyDescent="0.35">
      <c r="A728" s="3" t="s">
        <v>353</v>
      </c>
      <c r="B728" s="3" t="s">
        <v>20</v>
      </c>
      <c r="C728" s="3" t="s">
        <v>374</v>
      </c>
      <c r="D728" s="3" t="s">
        <v>27</v>
      </c>
      <c r="E728" s="3"/>
      <c r="F728" s="3"/>
      <c r="G728" s="3" t="s">
        <v>13</v>
      </c>
      <c r="H728" s="3" t="s">
        <v>355</v>
      </c>
    </row>
    <row r="729" spans="1:8" x14ac:dyDescent="0.35">
      <c r="A729" s="3" t="s">
        <v>353</v>
      </c>
      <c r="B729" s="3" t="s">
        <v>20</v>
      </c>
      <c r="C729" s="3" t="s">
        <v>374</v>
      </c>
      <c r="D729" s="3" t="s">
        <v>87</v>
      </c>
      <c r="E729" s="3"/>
      <c r="F729" s="3"/>
      <c r="G729" s="3" t="s">
        <v>13</v>
      </c>
      <c r="H729" s="3" t="s">
        <v>355</v>
      </c>
    </row>
    <row r="730" spans="1:8" x14ac:dyDescent="0.35">
      <c r="A730" s="3" t="s">
        <v>353</v>
      </c>
      <c r="B730" s="3" t="s">
        <v>20</v>
      </c>
      <c r="C730" s="3" t="s">
        <v>374</v>
      </c>
      <c r="D730" s="3" t="s">
        <v>15</v>
      </c>
      <c r="E730" s="3" t="s">
        <v>16</v>
      </c>
      <c r="F730" s="3" t="s">
        <v>375</v>
      </c>
      <c r="G730" s="3" t="s">
        <v>13</v>
      </c>
      <c r="H730" s="3" t="s">
        <v>355</v>
      </c>
    </row>
    <row r="731" spans="1:8" x14ac:dyDescent="0.35">
      <c r="A731" s="3" t="s">
        <v>353</v>
      </c>
      <c r="B731" s="3" t="s">
        <v>20</v>
      </c>
      <c r="C731" s="3" t="s">
        <v>374</v>
      </c>
      <c r="D731" s="3" t="s">
        <v>89</v>
      </c>
      <c r="E731" s="3"/>
      <c r="F731" s="3"/>
      <c r="G731" s="3" t="s">
        <v>13</v>
      </c>
      <c r="H731" s="3" t="s">
        <v>355</v>
      </c>
    </row>
    <row r="732" spans="1:8" x14ac:dyDescent="0.35">
      <c r="A732" s="3" t="s">
        <v>353</v>
      </c>
      <c r="B732" s="3" t="s">
        <v>20</v>
      </c>
      <c r="C732" s="3" t="s">
        <v>374</v>
      </c>
      <c r="D732" s="3" t="s">
        <v>107</v>
      </c>
      <c r="E732" s="3"/>
      <c r="F732" s="3"/>
      <c r="G732" s="3" t="s">
        <v>13</v>
      </c>
      <c r="H732" s="3" t="s">
        <v>355</v>
      </c>
    </row>
    <row r="733" spans="1:8" x14ac:dyDescent="0.35">
      <c r="A733" s="3" t="s">
        <v>353</v>
      </c>
      <c r="B733" s="3" t="s">
        <v>39</v>
      </c>
      <c r="C733" s="3" t="s">
        <v>376</v>
      </c>
      <c r="D733" s="3" t="s">
        <v>12</v>
      </c>
      <c r="E733" s="3"/>
      <c r="F733" s="3"/>
      <c r="G733" s="3" t="s">
        <v>13</v>
      </c>
      <c r="H733" s="3" t="s">
        <v>367</v>
      </c>
    </row>
    <row r="734" spans="1:8" x14ac:dyDescent="0.35">
      <c r="A734" s="3" t="s">
        <v>353</v>
      </c>
      <c r="B734" s="3" t="s">
        <v>39</v>
      </c>
      <c r="C734" s="3" t="s">
        <v>376</v>
      </c>
      <c r="D734" s="3" t="s">
        <v>25</v>
      </c>
      <c r="E734" s="3"/>
      <c r="F734" s="3"/>
      <c r="G734" s="3" t="s">
        <v>13</v>
      </c>
      <c r="H734" s="3" t="s">
        <v>367</v>
      </c>
    </row>
    <row r="735" spans="1:8" x14ac:dyDescent="0.35">
      <c r="A735" s="3" t="s">
        <v>353</v>
      </c>
      <c r="B735" s="3" t="s">
        <v>39</v>
      </c>
      <c r="C735" s="3" t="s">
        <v>376</v>
      </c>
      <c r="D735" s="3" t="s">
        <v>142</v>
      </c>
      <c r="E735" s="3"/>
      <c r="F735" s="3"/>
      <c r="G735" s="3" t="s">
        <v>13</v>
      </c>
      <c r="H735" s="3" t="s">
        <v>367</v>
      </c>
    </row>
    <row r="736" spans="1:8" x14ac:dyDescent="0.35">
      <c r="A736" s="3" t="s">
        <v>353</v>
      </c>
      <c r="B736" s="3" t="s">
        <v>39</v>
      </c>
      <c r="C736" s="3" t="s">
        <v>376</v>
      </c>
      <c r="D736" s="3" t="s">
        <v>77</v>
      </c>
      <c r="E736" s="3"/>
      <c r="F736" s="3" t="s">
        <v>2344</v>
      </c>
      <c r="G736" s="3" t="s">
        <v>13</v>
      </c>
      <c r="H736" s="3" t="s">
        <v>355</v>
      </c>
    </row>
    <row r="737" spans="1:8" x14ac:dyDescent="0.35">
      <c r="A737" s="3" t="s">
        <v>353</v>
      </c>
      <c r="B737" s="3" t="s">
        <v>39</v>
      </c>
      <c r="C737" s="3" t="s">
        <v>376</v>
      </c>
      <c r="D737" s="3" t="s">
        <v>15</v>
      </c>
      <c r="E737" s="3" t="s">
        <v>13</v>
      </c>
      <c r="F737" s="3" t="s">
        <v>378</v>
      </c>
      <c r="G737" s="3" t="s">
        <v>13</v>
      </c>
      <c r="H737" s="3" t="s">
        <v>367</v>
      </c>
    </row>
    <row r="738" spans="1:8" x14ac:dyDescent="0.35">
      <c r="A738" s="3" t="s">
        <v>353</v>
      </c>
      <c r="B738" s="3" t="s">
        <v>39</v>
      </c>
      <c r="C738" s="3" t="s">
        <v>376</v>
      </c>
      <c r="D738" s="3" t="s">
        <v>57</v>
      </c>
      <c r="E738" s="3"/>
      <c r="F738" s="3"/>
      <c r="G738" s="3"/>
      <c r="H738" s="3"/>
    </row>
    <row r="739" spans="1:8" x14ac:dyDescent="0.35">
      <c r="A739" s="3" t="s">
        <v>353</v>
      </c>
      <c r="B739" s="3" t="s">
        <v>39</v>
      </c>
      <c r="C739" s="3" t="s">
        <v>376</v>
      </c>
      <c r="D739" s="3" t="s">
        <v>56</v>
      </c>
      <c r="E739" s="3" t="s">
        <v>13</v>
      </c>
      <c r="F739" s="3" t="s">
        <v>377</v>
      </c>
      <c r="G739" s="3" t="s">
        <v>13</v>
      </c>
      <c r="H739" s="3" t="s">
        <v>367</v>
      </c>
    </row>
    <row r="740" spans="1:8" x14ac:dyDescent="0.35">
      <c r="A740" s="3" t="s">
        <v>353</v>
      </c>
      <c r="B740" s="3" t="s">
        <v>39</v>
      </c>
      <c r="C740" s="3" t="s">
        <v>376</v>
      </c>
      <c r="D740" s="3" t="s">
        <v>32</v>
      </c>
      <c r="E740" s="3" t="s">
        <v>13</v>
      </c>
      <c r="F740" s="3" t="s">
        <v>378</v>
      </c>
      <c r="G740" s="3" t="s">
        <v>13</v>
      </c>
      <c r="H740" s="3" t="s">
        <v>367</v>
      </c>
    </row>
    <row r="741" spans="1:8" x14ac:dyDescent="0.35">
      <c r="A741" s="3" t="s">
        <v>353</v>
      </c>
      <c r="B741" s="3" t="s">
        <v>39</v>
      </c>
      <c r="C741" s="3" t="s">
        <v>376</v>
      </c>
      <c r="D741" s="3" t="s">
        <v>24</v>
      </c>
      <c r="E741" s="3"/>
      <c r="F741" s="3"/>
      <c r="G741" s="3" t="s">
        <v>13</v>
      </c>
      <c r="H741" s="3" t="s">
        <v>355</v>
      </c>
    </row>
    <row r="742" spans="1:8" x14ac:dyDescent="0.35">
      <c r="A742" s="3" t="s">
        <v>353</v>
      </c>
      <c r="B742" s="3" t="s">
        <v>39</v>
      </c>
      <c r="C742" s="3" t="s">
        <v>376</v>
      </c>
      <c r="D742" s="3" t="s">
        <v>134</v>
      </c>
      <c r="E742" s="3"/>
      <c r="F742" s="3"/>
      <c r="G742" s="3" t="s">
        <v>13</v>
      </c>
      <c r="H742" s="3" t="s">
        <v>367</v>
      </c>
    </row>
    <row r="743" spans="1:8" x14ac:dyDescent="0.35">
      <c r="A743" s="3" t="s">
        <v>353</v>
      </c>
      <c r="B743" s="3" t="s">
        <v>39</v>
      </c>
      <c r="C743" s="3" t="s">
        <v>376</v>
      </c>
      <c r="D743" s="3" t="s">
        <v>290</v>
      </c>
      <c r="E743" s="3"/>
      <c r="F743" s="3"/>
      <c r="G743" s="3" t="s">
        <v>13</v>
      </c>
      <c r="H743" s="3" t="s">
        <v>355</v>
      </c>
    </row>
    <row r="744" spans="1:8" x14ac:dyDescent="0.35">
      <c r="A744" s="3" t="s">
        <v>353</v>
      </c>
      <c r="B744" s="3" t="s">
        <v>39</v>
      </c>
      <c r="C744" s="3" t="s">
        <v>376</v>
      </c>
      <c r="D744" s="3" t="s">
        <v>107</v>
      </c>
      <c r="E744" s="3"/>
      <c r="F744" s="3"/>
      <c r="G744" s="3" t="s">
        <v>13</v>
      </c>
      <c r="H744" s="3" t="s">
        <v>367</v>
      </c>
    </row>
    <row r="745" spans="1:8" x14ac:dyDescent="0.35">
      <c r="A745" s="3" t="s">
        <v>353</v>
      </c>
      <c r="B745" s="3" t="s">
        <v>45</v>
      </c>
      <c r="C745" s="3" t="s">
        <v>379</v>
      </c>
      <c r="D745" s="3" t="s">
        <v>77</v>
      </c>
      <c r="E745" s="3" t="s">
        <v>33</v>
      </c>
      <c r="F745" s="3" t="s">
        <v>2559</v>
      </c>
      <c r="G745" s="3" t="s">
        <v>16</v>
      </c>
      <c r="H745" s="3" t="s">
        <v>355</v>
      </c>
    </row>
    <row r="746" spans="1:8" x14ac:dyDescent="0.35">
      <c r="A746" s="3" t="s">
        <v>353</v>
      </c>
      <c r="B746" s="3" t="s">
        <v>20</v>
      </c>
      <c r="C746" s="3" t="s">
        <v>380</v>
      </c>
      <c r="D746" s="3" t="s">
        <v>12</v>
      </c>
      <c r="E746" s="3"/>
      <c r="F746" s="3"/>
      <c r="G746" s="3" t="s">
        <v>13</v>
      </c>
      <c r="H746" s="3" t="s">
        <v>355</v>
      </c>
    </row>
    <row r="747" spans="1:8" x14ac:dyDescent="0.35">
      <c r="A747" s="3" t="s">
        <v>353</v>
      </c>
      <c r="B747" s="3" t="s">
        <v>20</v>
      </c>
      <c r="C747" s="3" t="s">
        <v>380</v>
      </c>
      <c r="D747" s="3" t="s">
        <v>77</v>
      </c>
      <c r="E747" s="3" t="s">
        <v>13</v>
      </c>
      <c r="F747" s="3" t="s">
        <v>2406</v>
      </c>
      <c r="G747" s="3" t="s">
        <v>13</v>
      </c>
      <c r="H747" s="3" t="s">
        <v>355</v>
      </c>
    </row>
    <row r="748" spans="1:8" x14ac:dyDescent="0.35">
      <c r="A748" s="3" t="s">
        <v>353</v>
      </c>
      <c r="B748" s="3" t="s">
        <v>20</v>
      </c>
      <c r="C748" s="3" t="s">
        <v>380</v>
      </c>
      <c r="D748" s="3" t="s">
        <v>87</v>
      </c>
      <c r="E748" s="3" t="s">
        <v>13</v>
      </c>
      <c r="F748" s="3" t="s">
        <v>381</v>
      </c>
      <c r="G748" s="3" t="s">
        <v>13</v>
      </c>
      <c r="H748" s="3" t="s">
        <v>355</v>
      </c>
    </row>
    <row r="749" spans="1:8" x14ac:dyDescent="0.35">
      <c r="A749" s="3" t="s">
        <v>353</v>
      </c>
      <c r="B749" s="3" t="s">
        <v>20</v>
      </c>
      <c r="C749" s="3" t="s">
        <v>380</v>
      </c>
      <c r="D749" s="3" t="s">
        <v>15</v>
      </c>
      <c r="E749" s="3" t="s">
        <v>13</v>
      </c>
      <c r="F749" s="3" t="s">
        <v>382</v>
      </c>
      <c r="G749" s="3" t="s">
        <v>13</v>
      </c>
      <c r="H749" s="3" t="s">
        <v>355</v>
      </c>
    </row>
    <row r="750" spans="1:8" x14ac:dyDescent="0.35">
      <c r="A750" s="3" t="s">
        <v>353</v>
      </c>
      <c r="B750" s="3" t="s">
        <v>20</v>
      </c>
      <c r="C750" s="3" t="s">
        <v>380</v>
      </c>
      <c r="D750" s="3" t="s">
        <v>37</v>
      </c>
      <c r="E750" s="3" t="s">
        <v>13</v>
      </c>
      <c r="F750" s="3" t="s">
        <v>381</v>
      </c>
      <c r="G750" s="3" t="s">
        <v>13</v>
      </c>
      <c r="H750" s="3" t="s">
        <v>355</v>
      </c>
    </row>
    <row r="751" spans="1:8" x14ac:dyDescent="0.35">
      <c r="A751" s="3" t="s">
        <v>353</v>
      </c>
      <c r="B751" s="3" t="s">
        <v>20</v>
      </c>
      <c r="C751" s="3" t="s">
        <v>380</v>
      </c>
      <c r="D751" s="3" t="s">
        <v>89</v>
      </c>
      <c r="E751" s="3" t="s">
        <v>13</v>
      </c>
      <c r="F751" s="3" t="s">
        <v>381</v>
      </c>
      <c r="G751" s="3" t="s">
        <v>13</v>
      </c>
      <c r="H751" s="3" t="s">
        <v>355</v>
      </c>
    </row>
    <row r="752" spans="1:8" x14ac:dyDescent="0.35">
      <c r="A752" s="3" t="s">
        <v>353</v>
      </c>
      <c r="B752" s="3" t="s">
        <v>20</v>
      </c>
      <c r="C752" s="3" t="s">
        <v>380</v>
      </c>
      <c r="D752" s="3" t="s">
        <v>24</v>
      </c>
      <c r="E752" s="3" t="s">
        <v>13</v>
      </c>
      <c r="F752" s="3" t="s">
        <v>383</v>
      </c>
      <c r="G752" s="3" t="s">
        <v>13</v>
      </c>
      <c r="H752" s="3" t="s">
        <v>355</v>
      </c>
    </row>
    <row r="753" spans="1:8" x14ac:dyDescent="0.35">
      <c r="A753" s="3" t="s">
        <v>353</v>
      </c>
      <c r="B753" s="3" t="s">
        <v>20</v>
      </c>
      <c r="C753" s="3" t="s">
        <v>384</v>
      </c>
      <c r="D753" s="3" t="s">
        <v>23</v>
      </c>
      <c r="E753" s="3"/>
      <c r="F753" s="3"/>
      <c r="G753" s="3" t="s">
        <v>13</v>
      </c>
      <c r="H753" s="3" t="s">
        <v>355</v>
      </c>
    </row>
    <row r="754" spans="1:8" x14ac:dyDescent="0.35">
      <c r="A754" s="3" t="s">
        <v>353</v>
      </c>
      <c r="B754" s="3" t="s">
        <v>20</v>
      </c>
      <c r="C754" s="3" t="s">
        <v>384</v>
      </c>
      <c r="D754" s="3" t="s">
        <v>25</v>
      </c>
      <c r="E754" s="3"/>
      <c r="F754" s="3"/>
      <c r="G754" s="3" t="s">
        <v>13</v>
      </c>
      <c r="H754" s="3" t="s">
        <v>355</v>
      </c>
    </row>
    <row r="755" spans="1:8" x14ac:dyDescent="0.35">
      <c r="A755" s="3" t="s">
        <v>353</v>
      </c>
      <c r="B755" s="3" t="s">
        <v>20</v>
      </c>
      <c r="C755" s="3" t="s">
        <v>384</v>
      </c>
      <c r="D755" s="3" t="s">
        <v>56</v>
      </c>
      <c r="E755" s="3" t="s">
        <v>13</v>
      </c>
      <c r="F755" s="3" t="s">
        <v>385</v>
      </c>
      <c r="G755" s="3" t="s">
        <v>13</v>
      </c>
      <c r="H755" s="3" t="s">
        <v>355</v>
      </c>
    </row>
    <row r="756" spans="1:8" x14ac:dyDescent="0.35">
      <c r="A756" s="3" t="s">
        <v>353</v>
      </c>
      <c r="B756" s="3" t="s">
        <v>20</v>
      </c>
      <c r="C756" s="3" t="s">
        <v>384</v>
      </c>
      <c r="D756" s="3" t="s">
        <v>32</v>
      </c>
      <c r="E756" s="3"/>
      <c r="F756" s="3" t="s">
        <v>2427</v>
      </c>
      <c r="G756" s="3" t="s">
        <v>13</v>
      </c>
      <c r="H756" s="3" t="s">
        <v>355</v>
      </c>
    </row>
    <row r="757" spans="1:8" x14ac:dyDescent="0.35">
      <c r="A757" s="3" t="s">
        <v>353</v>
      </c>
      <c r="B757" s="3" t="s">
        <v>20</v>
      </c>
      <c r="C757" s="3" t="s">
        <v>384</v>
      </c>
      <c r="D757" s="3" t="s">
        <v>24</v>
      </c>
      <c r="E757" s="3"/>
      <c r="F757" s="3"/>
      <c r="G757" s="3" t="s">
        <v>13</v>
      </c>
      <c r="H757" s="3" t="s">
        <v>355</v>
      </c>
    </row>
    <row r="758" spans="1:8" x14ac:dyDescent="0.35">
      <c r="A758" s="3" t="s">
        <v>353</v>
      </c>
      <c r="B758" s="3" t="s">
        <v>20</v>
      </c>
      <c r="C758" s="3" t="s">
        <v>386</v>
      </c>
      <c r="D758" s="3" t="s">
        <v>23</v>
      </c>
      <c r="E758" s="3"/>
      <c r="F758" s="3"/>
      <c r="G758" s="3" t="s">
        <v>13</v>
      </c>
      <c r="H758" s="3" t="s">
        <v>355</v>
      </c>
    </row>
    <row r="759" spans="1:8" x14ac:dyDescent="0.35">
      <c r="A759" s="3" t="s">
        <v>353</v>
      </c>
      <c r="B759" s="3" t="s">
        <v>20</v>
      </c>
      <c r="C759" s="3" t="s">
        <v>386</v>
      </c>
      <c r="D759" s="3" t="s">
        <v>25</v>
      </c>
      <c r="E759" s="3"/>
      <c r="F759" s="3"/>
      <c r="G759" s="3" t="s">
        <v>13</v>
      </c>
      <c r="H759" s="3" t="s">
        <v>355</v>
      </c>
    </row>
    <row r="760" spans="1:8" x14ac:dyDescent="0.35">
      <c r="A760" s="3" t="s">
        <v>353</v>
      </c>
      <c r="B760" s="3" t="s">
        <v>20</v>
      </c>
      <c r="C760" s="3" t="s">
        <v>386</v>
      </c>
      <c r="D760" s="3" t="s">
        <v>142</v>
      </c>
      <c r="E760" s="3"/>
      <c r="F760" s="3"/>
      <c r="G760" s="3" t="s">
        <v>13</v>
      </c>
      <c r="H760" s="3" t="s">
        <v>355</v>
      </c>
    </row>
    <row r="761" spans="1:8" x14ac:dyDescent="0.35">
      <c r="A761" s="3" t="s">
        <v>353</v>
      </c>
      <c r="B761" s="3" t="s">
        <v>39</v>
      </c>
      <c r="C761" s="3" t="s">
        <v>387</v>
      </c>
      <c r="D761" s="3" t="s">
        <v>23</v>
      </c>
      <c r="E761" s="3" t="s">
        <v>13</v>
      </c>
      <c r="F761" s="3" t="s">
        <v>388</v>
      </c>
      <c r="G761" s="3" t="s">
        <v>13</v>
      </c>
      <c r="H761" s="3" t="s">
        <v>355</v>
      </c>
    </row>
    <row r="762" spans="1:8" x14ac:dyDescent="0.35">
      <c r="A762" s="3" t="s">
        <v>353</v>
      </c>
      <c r="B762" s="3" t="s">
        <v>39</v>
      </c>
      <c r="C762" s="3" t="s">
        <v>387</v>
      </c>
      <c r="D762" s="3" t="s">
        <v>47</v>
      </c>
      <c r="E762" s="3" t="s">
        <v>13</v>
      </c>
      <c r="F762" s="3" t="s">
        <v>389</v>
      </c>
      <c r="G762" s="3" t="s">
        <v>13</v>
      </c>
      <c r="H762" s="3" t="s">
        <v>355</v>
      </c>
    </row>
    <row r="763" spans="1:8" x14ac:dyDescent="0.35">
      <c r="A763" s="3" t="s">
        <v>353</v>
      </c>
      <c r="B763" s="3" t="s">
        <v>39</v>
      </c>
      <c r="C763" s="3" t="s">
        <v>387</v>
      </c>
      <c r="D763" s="3" t="s">
        <v>25</v>
      </c>
      <c r="E763" s="3"/>
      <c r="F763" s="3"/>
      <c r="G763" s="3" t="s">
        <v>13</v>
      </c>
      <c r="H763" s="3" t="s">
        <v>355</v>
      </c>
    </row>
    <row r="764" spans="1:8" x14ac:dyDescent="0.35">
      <c r="A764" s="3" t="s">
        <v>353</v>
      </c>
      <c r="B764" s="3" t="s">
        <v>39</v>
      </c>
      <c r="C764" s="3" t="s">
        <v>387</v>
      </c>
      <c r="D764" s="3" t="s">
        <v>56</v>
      </c>
      <c r="E764" s="3" t="s">
        <v>16</v>
      </c>
      <c r="F764" s="3" t="s">
        <v>388</v>
      </c>
      <c r="G764" s="3"/>
      <c r="H764" s="3"/>
    </row>
    <row r="765" spans="1:8" x14ac:dyDescent="0.35">
      <c r="A765" s="3" t="s">
        <v>353</v>
      </c>
      <c r="B765" s="3" t="s">
        <v>39</v>
      </c>
      <c r="C765" s="3" t="s">
        <v>387</v>
      </c>
      <c r="D765" s="3" t="s">
        <v>32</v>
      </c>
      <c r="E765" s="3" t="s">
        <v>33</v>
      </c>
      <c r="F765" s="3" t="s">
        <v>2918</v>
      </c>
      <c r="G765" s="3" t="s">
        <v>13</v>
      </c>
      <c r="H765" s="3" t="s">
        <v>355</v>
      </c>
    </row>
    <row r="766" spans="1:8" x14ac:dyDescent="0.35">
      <c r="A766" s="3" t="s">
        <v>353</v>
      </c>
      <c r="B766" s="3" t="s">
        <v>39</v>
      </c>
      <c r="C766" s="3" t="s">
        <v>387</v>
      </c>
      <c r="D766" s="3" t="s">
        <v>26</v>
      </c>
      <c r="E766" s="3" t="s">
        <v>33</v>
      </c>
      <c r="F766" s="3" t="s">
        <v>34</v>
      </c>
      <c r="G766" s="3" t="s">
        <v>16</v>
      </c>
      <c r="H766" s="3" t="s">
        <v>355</v>
      </c>
    </row>
    <row r="767" spans="1:8" x14ac:dyDescent="0.35">
      <c r="A767" s="3" t="s">
        <v>353</v>
      </c>
      <c r="B767" s="3" t="s">
        <v>39</v>
      </c>
      <c r="C767" s="3" t="s">
        <v>387</v>
      </c>
      <c r="D767" s="3" t="s">
        <v>24</v>
      </c>
      <c r="E767" s="3" t="s">
        <v>13</v>
      </c>
      <c r="F767" s="3" t="s">
        <v>389</v>
      </c>
      <c r="G767" s="3" t="s">
        <v>13</v>
      </c>
      <c r="H767" s="3" t="s">
        <v>355</v>
      </c>
    </row>
    <row r="768" spans="1:8" x14ac:dyDescent="0.35">
      <c r="A768" s="3" t="s">
        <v>353</v>
      </c>
      <c r="B768" s="3" t="s">
        <v>39</v>
      </c>
      <c r="C768" s="3" t="s">
        <v>387</v>
      </c>
      <c r="D768" s="3" t="s">
        <v>82</v>
      </c>
      <c r="E768" s="3" t="s">
        <v>13</v>
      </c>
      <c r="F768" s="3" t="s">
        <v>148</v>
      </c>
      <c r="G768" s="3" t="s">
        <v>13</v>
      </c>
      <c r="H768" s="3" t="s">
        <v>355</v>
      </c>
    </row>
    <row r="769" spans="1:8" x14ac:dyDescent="0.35">
      <c r="A769" s="3" t="s">
        <v>353</v>
      </c>
      <c r="B769" s="3" t="s">
        <v>45</v>
      </c>
      <c r="C769" s="3" t="s">
        <v>390</v>
      </c>
      <c r="D769" s="3" t="s">
        <v>77</v>
      </c>
      <c r="E769" s="3"/>
      <c r="F769" s="3"/>
      <c r="G769" s="3"/>
      <c r="H769" s="3"/>
    </row>
    <row r="770" spans="1:8" x14ac:dyDescent="0.35">
      <c r="A770" s="3" t="s">
        <v>353</v>
      </c>
      <c r="B770" s="3" t="s">
        <v>20</v>
      </c>
      <c r="C770" s="3" t="s">
        <v>391</v>
      </c>
      <c r="D770" s="3" t="s">
        <v>12</v>
      </c>
      <c r="E770" s="3"/>
      <c r="F770" s="3"/>
      <c r="G770" s="3" t="s">
        <v>13</v>
      </c>
      <c r="H770" s="3" t="s">
        <v>355</v>
      </c>
    </row>
    <row r="771" spans="1:8" x14ac:dyDescent="0.35">
      <c r="A771" s="3" t="s">
        <v>353</v>
      </c>
      <c r="B771" s="3" t="s">
        <v>20</v>
      </c>
      <c r="C771" s="3" t="s">
        <v>391</v>
      </c>
      <c r="D771" s="3" t="s">
        <v>15</v>
      </c>
      <c r="E771" s="3" t="s">
        <v>16</v>
      </c>
      <c r="F771" s="3" t="s">
        <v>392</v>
      </c>
      <c r="G771" s="3" t="s">
        <v>13</v>
      </c>
      <c r="H771" s="3" t="s">
        <v>355</v>
      </c>
    </row>
    <row r="772" spans="1:8" x14ac:dyDescent="0.35">
      <c r="A772" s="3" t="s">
        <v>353</v>
      </c>
      <c r="B772" s="3" t="s">
        <v>20</v>
      </c>
      <c r="C772" s="3" t="s">
        <v>391</v>
      </c>
      <c r="D772" s="3" t="s">
        <v>57</v>
      </c>
      <c r="E772" s="3"/>
      <c r="F772" s="3"/>
      <c r="G772" s="3" t="s">
        <v>13</v>
      </c>
      <c r="H772" s="3" t="s">
        <v>355</v>
      </c>
    </row>
    <row r="773" spans="1:8" x14ac:dyDescent="0.35">
      <c r="A773" s="3" t="s">
        <v>353</v>
      </c>
      <c r="B773" s="3" t="s">
        <v>20</v>
      </c>
      <c r="C773" s="3" t="s">
        <v>391</v>
      </c>
      <c r="D773" s="3" t="s">
        <v>56</v>
      </c>
      <c r="E773" s="3"/>
      <c r="F773" s="3" t="s">
        <v>2796</v>
      </c>
      <c r="G773" s="3" t="s">
        <v>13</v>
      </c>
      <c r="H773" s="3" t="s">
        <v>355</v>
      </c>
    </row>
    <row r="774" spans="1:8" x14ac:dyDescent="0.35">
      <c r="A774" s="3" t="s">
        <v>353</v>
      </c>
      <c r="B774" s="3" t="s">
        <v>20</v>
      </c>
      <c r="C774" s="3" t="s">
        <v>391</v>
      </c>
      <c r="D774" s="3" t="s">
        <v>32</v>
      </c>
      <c r="E774" s="3" t="s">
        <v>33</v>
      </c>
      <c r="F774" s="3" t="s">
        <v>34</v>
      </c>
      <c r="G774" s="3"/>
      <c r="H774" s="3"/>
    </row>
    <row r="775" spans="1:8" x14ac:dyDescent="0.35">
      <c r="A775" s="3" t="s">
        <v>353</v>
      </c>
      <c r="B775" s="3" t="s">
        <v>20</v>
      </c>
      <c r="C775" s="3" t="s">
        <v>391</v>
      </c>
      <c r="D775" s="3" t="s">
        <v>24</v>
      </c>
      <c r="E775" s="3"/>
      <c r="F775" s="3"/>
      <c r="G775" s="3" t="s">
        <v>13</v>
      </c>
      <c r="H775" s="3" t="s">
        <v>355</v>
      </c>
    </row>
    <row r="776" spans="1:8" x14ac:dyDescent="0.35">
      <c r="A776" s="3" t="s">
        <v>353</v>
      </c>
      <c r="B776" s="3" t="s">
        <v>20</v>
      </c>
      <c r="C776" s="3" t="s">
        <v>391</v>
      </c>
      <c r="D776" s="3" t="s">
        <v>82</v>
      </c>
      <c r="E776" s="3" t="s">
        <v>16</v>
      </c>
      <c r="F776" s="3" t="s">
        <v>393</v>
      </c>
      <c r="G776" s="3" t="s">
        <v>13</v>
      </c>
      <c r="H776" s="3" t="s">
        <v>355</v>
      </c>
    </row>
    <row r="777" spans="1:8" x14ac:dyDescent="0.35">
      <c r="A777" s="3" t="s">
        <v>394</v>
      </c>
      <c r="B777" s="3" t="s">
        <v>10</v>
      </c>
      <c r="C777" s="3" t="s">
        <v>395</v>
      </c>
      <c r="D777" s="3" t="s">
        <v>15</v>
      </c>
      <c r="E777" s="3" t="s">
        <v>16</v>
      </c>
      <c r="F777" s="3" t="s">
        <v>396</v>
      </c>
      <c r="G777" s="3"/>
      <c r="H777" s="3"/>
    </row>
    <row r="778" spans="1:8" x14ac:dyDescent="0.35">
      <c r="A778" s="3" t="s">
        <v>394</v>
      </c>
      <c r="B778" s="3" t="s">
        <v>20</v>
      </c>
      <c r="C778" s="3" t="s">
        <v>397</v>
      </c>
      <c r="D778" s="3" t="s">
        <v>47</v>
      </c>
      <c r="E778" s="3" t="s">
        <v>33</v>
      </c>
      <c r="F778" s="3" t="s">
        <v>897</v>
      </c>
      <c r="G778" s="3"/>
      <c r="H778" s="3"/>
    </row>
    <row r="779" spans="1:8" x14ac:dyDescent="0.35">
      <c r="A779" s="3" t="s">
        <v>394</v>
      </c>
      <c r="B779" s="3" t="s">
        <v>20</v>
      </c>
      <c r="C779" s="3" t="s">
        <v>397</v>
      </c>
      <c r="D779" s="3" t="s">
        <v>25</v>
      </c>
      <c r="E779" s="3"/>
      <c r="F779" s="3"/>
      <c r="G779" s="3"/>
      <c r="H779" s="3"/>
    </row>
    <row r="780" spans="1:8" x14ac:dyDescent="0.35">
      <c r="A780" s="3" t="s">
        <v>394</v>
      </c>
      <c r="B780" s="3" t="s">
        <v>20</v>
      </c>
      <c r="C780" s="3" t="s">
        <v>397</v>
      </c>
      <c r="D780" s="3" t="s">
        <v>142</v>
      </c>
      <c r="E780" s="3"/>
      <c r="F780" s="3"/>
      <c r="G780" s="3"/>
      <c r="H780" s="3"/>
    </row>
    <row r="781" spans="1:8" x14ac:dyDescent="0.35">
      <c r="A781" s="3" t="s">
        <v>394</v>
      </c>
      <c r="B781" s="3" t="s">
        <v>20</v>
      </c>
      <c r="C781" s="3" t="s">
        <v>397</v>
      </c>
      <c r="D781" s="3" t="s">
        <v>28</v>
      </c>
      <c r="E781" s="3"/>
      <c r="F781" s="3"/>
      <c r="G781" s="3"/>
      <c r="H781" s="3"/>
    </row>
    <row r="782" spans="1:8" x14ac:dyDescent="0.35">
      <c r="A782" s="3" t="s">
        <v>394</v>
      </c>
      <c r="B782" s="3" t="s">
        <v>20</v>
      </c>
      <c r="C782" s="3" t="s">
        <v>397</v>
      </c>
      <c r="D782" s="3" t="s">
        <v>185</v>
      </c>
      <c r="E782" s="3"/>
      <c r="F782" s="3" t="s">
        <v>2562</v>
      </c>
      <c r="G782" s="3"/>
      <c r="H782" s="3"/>
    </row>
    <row r="783" spans="1:8" x14ac:dyDescent="0.35">
      <c r="A783" s="3" t="s">
        <v>394</v>
      </c>
      <c r="B783" s="3" t="s">
        <v>20</v>
      </c>
      <c r="C783" s="3" t="s">
        <v>397</v>
      </c>
      <c r="D783" s="3" t="s">
        <v>15</v>
      </c>
      <c r="E783" s="3"/>
      <c r="F783" s="3" t="s">
        <v>2563</v>
      </c>
      <c r="G783" s="3"/>
      <c r="H783" s="3"/>
    </row>
    <row r="784" spans="1:8" x14ac:dyDescent="0.35">
      <c r="A784" s="3" t="s">
        <v>394</v>
      </c>
      <c r="B784" s="3" t="s">
        <v>20</v>
      </c>
      <c r="C784" s="3" t="s">
        <v>397</v>
      </c>
      <c r="D784" s="3" t="s">
        <v>57</v>
      </c>
      <c r="E784" s="3" t="s">
        <v>33</v>
      </c>
      <c r="F784" s="3" t="s">
        <v>897</v>
      </c>
      <c r="G784" s="3"/>
      <c r="H784" s="3"/>
    </row>
    <row r="785" spans="1:8" x14ac:dyDescent="0.35">
      <c r="A785" s="3" t="s">
        <v>394</v>
      </c>
      <c r="B785" s="3" t="s">
        <v>20</v>
      </c>
      <c r="C785" s="3" t="s">
        <v>397</v>
      </c>
      <c r="D785" s="3" t="s">
        <v>32</v>
      </c>
      <c r="E785" s="3"/>
      <c r="F785" s="3" t="s">
        <v>2313</v>
      </c>
      <c r="G785" s="3"/>
      <c r="H785" s="3"/>
    </row>
    <row r="786" spans="1:8" x14ac:dyDescent="0.35">
      <c r="A786" s="3" t="s">
        <v>394</v>
      </c>
      <c r="B786" s="3" t="s">
        <v>20</v>
      </c>
      <c r="C786" s="3" t="s">
        <v>397</v>
      </c>
      <c r="D786" s="3" t="s">
        <v>29</v>
      </c>
      <c r="E786" s="3"/>
      <c r="F786" s="3"/>
      <c r="G786" s="3"/>
      <c r="H786" s="3"/>
    </row>
    <row r="787" spans="1:8" x14ac:dyDescent="0.35">
      <c r="A787" s="3" t="s">
        <v>394</v>
      </c>
      <c r="B787" s="3" t="s">
        <v>20</v>
      </c>
      <c r="C787" s="3" t="s">
        <v>397</v>
      </c>
      <c r="D787" s="3" t="s">
        <v>134</v>
      </c>
      <c r="E787" s="3" t="s">
        <v>13</v>
      </c>
      <c r="F787" s="3" t="s">
        <v>2564</v>
      </c>
      <c r="G787" s="3"/>
      <c r="H787" s="3"/>
    </row>
    <row r="788" spans="1:8" x14ac:dyDescent="0.35">
      <c r="A788" s="3" t="s">
        <v>394</v>
      </c>
      <c r="B788" s="3" t="s">
        <v>20</v>
      </c>
      <c r="C788" s="3" t="s">
        <v>397</v>
      </c>
      <c r="D788" s="3" t="s">
        <v>107</v>
      </c>
      <c r="E788" s="3" t="s">
        <v>13</v>
      </c>
      <c r="F788" s="3" t="s">
        <v>2428</v>
      </c>
      <c r="G788" s="3"/>
      <c r="H788" s="3"/>
    </row>
    <row r="789" spans="1:8" x14ac:dyDescent="0.35">
      <c r="A789" s="3" t="s">
        <v>394</v>
      </c>
      <c r="B789" s="3" t="s">
        <v>10</v>
      </c>
      <c r="C789" s="3" t="s">
        <v>398</v>
      </c>
      <c r="D789" s="3" t="s">
        <v>15</v>
      </c>
      <c r="E789" s="3" t="s">
        <v>16</v>
      </c>
      <c r="F789" s="3" t="s">
        <v>396</v>
      </c>
      <c r="G789" s="3"/>
      <c r="H789" s="3"/>
    </row>
    <row r="790" spans="1:8" x14ac:dyDescent="0.35">
      <c r="A790" s="3" t="s">
        <v>394</v>
      </c>
      <c r="B790" s="3" t="s">
        <v>39</v>
      </c>
      <c r="C790" s="3" t="s">
        <v>2662</v>
      </c>
      <c r="D790" s="3" t="s">
        <v>25</v>
      </c>
      <c r="E790" s="3" t="s">
        <v>16</v>
      </c>
      <c r="F790" s="3" t="s">
        <v>2663</v>
      </c>
      <c r="G790" s="3"/>
      <c r="H790" s="3"/>
    </row>
    <row r="791" spans="1:8" x14ac:dyDescent="0.35">
      <c r="A791" s="3" t="s">
        <v>394</v>
      </c>
      <c r="B791" s="3" t="s">
        <v>39</v>
      </c>
      <c r="C791" s="3" t="s">
        <v>2662</v>
      </c>
      <c r="D791" s="3" t="s">
        <v>56</v>
      </c>
      <c r="E791" s="3" t="s">
        <v>16</v>
      </c>
      <c r="F791" s="3" t="s">
        <v>2663</v>
      </c>
      <c r="G791" s="3"/>
      <c r="H791" s="3"/>
    </row>
    <row r="792" spans="1:8" x14ac:dyDescent="0.35">
      <c r="A792" s="3" t="s">
        <v>2620</v>
      </c>
      <c r="B792" s="3" t="s">
        <v>42</v>
      </c>
      <c r="C792" s="3" t="s">
        <v>2621</v>
      </c>
      <c r="D792" s="3" t="s">
        <v>12</v>
      </c>
      <c r="E792" s="3"/>
      <c r="F792" s="3"/>
      <c r="G792" s="3"/>
      <c r="H792" s="3"/>
    </row>
    <row r="793" spans="1:8" x14ac:dyDescent="0.35">
      <c r="A793" s="3" t="s">
        <v>2620</v>
      </c>
      <c r="B793" s="3" t="s">
        <v>42</v>
      </c>
      <c r="C793" s="3" t="s">
        <v>2621</v>
      </c>
      <c r="D793" s="3" t="s">
        <v>27</v>
      </c>
      <c r="E793" s="3"/>
      <c r="F793" s="3"/>
      <c r="G793" s="3"/>
      <c r="H793" s="3"/>
    </row>
    <row r="794" spans="1:8" x14ac:dyDescent="0.35">
      <c r="A794" s="3" t="s">
        <v>2620</v>
      </c>
      <c r="B794" s="3" t="s">
        <v>42</v>
      </c>
      <c r="C794" s="3" t="s">
        <v>2621</v>
      </c>
      <c r="D794" s="3" t="s">
        <v>44</v>
      </c>
      <c r="E794" s="3"/>
      <c r="F794" s="3"/>
      <c r="G794" s="3"/>
      <c r="H794" s="3"/>
    </row>
    <row r="795" spans="1:8" x14ac:dyDescent="0.35">
      <c r="A795" s="3" t="s">
        <v>2620</v>
      </c>
      <c r="B795" s="3" t="s">
        <v>42</v>
      </c>
      <c r="C795" s="3" t="s">
        <v>2621</v>
      </c>
      <c r="D795" s="3" t="s">
        <v>15</v>
      </c>
      <c r="E795" s="3" t="s">
        <v>16</v>
      </c>
      <c r="F795" s="3" t="s">
        <v>2622</v>
      </c>
      <c r="G795" s="3"/>
      <c r="H795" s="3"/>
    </row>
    <row r="796" spans="1:8" x14ac:dyDescent="0.35">
      <c r="A796" s="3" t="s">
        <v>2620</v>
      </c>
      <c r="B796" s="3" t="s">
        <v>42</v>
      </c>
      <c r="C796" s="3" t="s">
        <v>2621</v>
      </c>
      <c r="D796" s="3" t="s">
        <v>24</v>
      </c>
      <c r="E796" s="3"/>
      <c r="F796" s="3"/>
      <c r="G796" s="3"/>
      <c r="H796" s="3"/>
    </row>
    <row r="797" spans="1:8" x14ac:dyDescent="0.35">
      <c r="A797" s="3" t="s">
        <v>399</v>
      </c>
      <c r="B797" s="3" t="s">
        <v>20</v>
      </c>
      <c r="C797" s="3" t="s">
        <v>400</v>
      </c>
      <c r="D797" s="3" t="s">
        <v>27</v>
      </c>
      <c r="E797" s="3"/>
      <c r="F797" s="3"/>
      <c r="G797" s="3"/>
      <c r="H797" s="3"/>
    </row>
    <row r="798" spans="1:8" x14ac:dyDescent="0.35">
      <c r="A798" s="3" t="s">
        <v>399</v>
      </c>
      <c r="B798" s="3" t="s">
        <v>20</v>
      </c>
      <c r="C798" s="3" t="s">
        <v>400</v>
      </c>
      <c r="D798" s="3" t="s">
        <v>87</v>
      </c>
      <c r="E798" s="3"/>
      <c r="F798" s="3"/>
      <c r="G798" s="3"/>
      <c r="H798" s="3"/>
    </row>
    <row r="799" spans="1:8" x14ac:dyDescent="0.35">
      <c r="A799" s="3" t="s">
        <v>399</v>
      </c>
      <c r="B799" s="3" t="s">
        <v>20</v>
      </c>
      <c r="C799" s="3" t="s">
        <v>400</v>
      </c>
      <c r="D799" s="3" t="s">
        <v>15</v>
      </c>
      <c r="E799" s="5"/>
      <c r="F799" s="3"/>
      <c r="G799" s="3"/>
      <c r="H799" s="3"/>
    </row>
    <row r="800" spans="1:8" x14ac:dyDescent="0.35">
      <c r="A800" s="3" t="s">
        <v>399</v>
      </c>
      <c r="B800" s="3" t="s">
        <v>20</v>
      </c>
      <c r="C800" s="3" t="s">
        <v>400</v>
      </c>
      <c r="D800" s="3" t="s">
        <v>62</v>
      </c>
      <c r="E800" s="5"/>
      <c r="F800" s="3"/>
      <c r="G800" s="3"/>
      <c r="H800" s="3"/>
    </row>
    <row r="801" spans="1:8" x14ac:dyDescent="0.35">
      <c r="A801" s="3" t="s">
        <v>399</v>
      </c>
      <c r="B801" s="3" t="s">
        <v>20</v>
      </c>
      <c r="C801" s="3" t="s">
        <v>400</v>
      </c>
      <c r="D801" s="3" t="s">
        <v>24</v>
      </c>
      <c r="E801" s="5"/>
      <c r="F801" s="3"/>
      <c r="G801" s="3"/>
      <c r="H801" s="3"/>
    </row>
    <row r="802" spans="1:8" x14ac:dyDescent="0.35">
      <c r="A802" s="3" t="s">
        <v>399</v>
      </c>
      <c r="B802" s="3" t="s">
        <v>45</v>
      </c>
      <c r="C802" s="3" t="s">
        <v>2833</v>
      </c>
      <c r="D802" s="3" t="s">
        <v>87</v>
      </c>
      <c r="E802" s="5"/>
      <c r="F802" s="3"/>
      <c r="G802" s="3"/>
      <c r="H802" s="3"/>
    </row>
    <row r="803" spans="1:8" x14ac:dyDescent="0.35">
      <c r="A803" s="3" t="s">
        <v>399</v>
      </c>
      <c r="B803" s="3" t="s">
        <v>45</v>
      </c>
      <c r="C803" s="3" t="s">
        <v>2833</v>
      </c>
      <c r="D803" s="3" t="s">
        <v>24</v>
      </c>
      <c r="E803" s="5"/>
      <c r="F803" s="3"/>
      <c r="G803" s="3"/>
      <c r="H803" s="3"/>
    </row>
    <row r="804" spans="1:8" x14ac:dyDescent="0.35">
      <c r="A804" s="3" t="s">
        <v>401</v>
      </c>
      <c r="B804" s="3" t="s">
        <v>20</v>
      </c>
      <c r="C804" s="3" t="s">
        <v>402</v>
      </c>
      <c r="D804" s="3" t="s">
        <v>12</v>
      </c>
      <c r="E804" s="3"/>
      <c r="F804" s="3"/>
      <c r="G804" s="3" t="s">
        <v>13</v>
      </c>
      <c r="H804" s="3" t="s">
        <v>22</v>
      </c>
    </row>
    <row r="805" spans="1:8" x14ac:dyDescent="0.35">
      <c r="A805" s="3" t="s">
        <v>401</v>
      </c>
      <c r="B805" s="3" t="s">
        <v>20</v>
      </c>
      <c r="C805" s="3" t="s">
        <v>402</v>
      </c>
      <c r="D805" s="3" t="s">
        <v>27</v>
      </c>
      <c r="E805" s="3"/>
      <c r="F805" s="3"/>
      <c r="G805" s="3" t="s">
        <v>13</v>
      </c>
      <c r="H805" s="3" t="s">
        <v>14</v>
      </c>
    </row>
    <row r="806" spans="1:8" x14ac:dyDescent="0.35">
      <c r="A806" s="3" t="s">
        <v>401</v>
      </c>
      <c r="B806" s="3" t="s">
        <v>20</v>
      </c>
      <c r="C806" s="3" t="s">
        <v>402</v>
      </c>
      <c r="D806" s="3" t="s">
        <v>28</v>
      </c>
      <c r="E806" s="3"/>
      <c r="F806" s="3"/>
      <c r="G806" s="3" t="s">
        <v>13</v>
      </c>
      <c r="H806" s="3" t="s">
        <v>14</v>
      </c>
    </row>
    <row r="807" spans="1:8" x14ac:dyDescent="0.35">
      <c r="A807" s="3" t="s">
        <v>401</v>
      </c>
      <c r="B807" s="3" t="s">
        <v>20</v>
      </c>
      <c r="C807" s="3" t="s">
        <v>402</v>
      </c>
      <c r="D807" s="3" t="s">
        <v>15</v>
      </c>
      <c r="E807" s="3" t="s">
        <v>13</v>
      </c>
      <c r="F807" s="3" t="s">
        <v>403</v>
      </c>
      <c r="G807" s="3" t="s">
        <v>13</v>
      </c>
      <c r="H807" s="3" t="s">
        <v>22</v>
      </c>
    </row>
    <row r="808" spans="1:8" x14ac:dyDescent="0.35">
      <c r="A808" s="3" t="s">
        <v>401</v>
      </c>
      <c r="B808" s="3" t="s">
        <v>20</v>
      </c>
      <c r="C808" s="3" t="s">
        <v>402</v>
      </c>
      <c r="D808" s="3" t="s">
        <v>56</v>
      </c>
      <c r="E808" s="3" t="s">
        <v>13</v>
      </c>
      <c r="F808" s="3" t="s">
        <v>403</v>
      </c>
      <c r="G808" s="3" t="s">
        <v>13</v>
      </c>
      <c r="H808" s="3" t="s">
        <v>22</v>
      </c>
    </row>
    <row r="809" spans="1:8" x14ac:dyDescent="0.35">
      <c r="A809" s="3" t="s">
        <v>401</v>
      </c>
      <c r="B809" s="3" t="s">
        <v>20</v>
      </c>
      <c r="C809" s="3" t="s">
        <v>402</v>
      </c>
      <c r="D809" s="3" t="s">
        <v>107</v>
      </c>
      <c r="E809" s="3" t="s">
        <v>13</v>
      </c>
      <c r="F809" s="3" t="s">
        <v>206</v>
      </c>
      <c r="G809" s="3" t="s">
        <v>13</v>
      </c>
      <c r="H809" s="3" t="s">
        <v>22</v>
      </c>
    </row>
    <row r="810" spans="1:8" x14ac:dyDescent="0.35">
      <c r="A810" s="3" t="s">
        <v>404</v>
      </c>
      <c r="B810" s="3" t="s">
        <v>42</v>
      </c>
      <c r="C810" s="3" t="s">
        <v>405</v>
      </c>
      <c r="D810" s="3" t="s">
        <v>25</v>
      </c>
      <c r="E810" s="3"/>
      <c r="F810" s="3"/>
      <c r="G810" s="3"/>
      <c r="H810" s="3"/>
    </row>
    <row r="811" spans="1:8" x14ac:dyDescent="0.35">
      <c r="A811" s="3" t="s">
        <v>404</v>
      </c>
      <c r="B811" s="3" t="s">
        <v>42</v>
      </c>
      <c r="C811" s="3" t="s">
        <v>405</v>
      </c>
      <c r="D811" s="3" t="s">
        <v>27</v>
      </c>
      <c r="E811" s="3"/>
      <c r="F811" s="3"/>
      <c r="G811" s="3"/>
      <c r="H811" s="3"/>
    </row>
    <row r="812" spans="1:8" x14ac:dyDescent="0.35">
      <c r="A812" s="3" t="s">
        <v>404</v>
      </c>
      <c r="B812" s="3" t="s">
        <v>42</v>
      </c>
      <c r="C812" s="3" t="s">
        <v>405</v>
      </c>
      <c r="D812" s="3" t="s">
        <v>87</v>
      </c>
      <c r="E812" s="3"/>
      <c r="F812" s="3"/>
      <c r="G812" s="3"/>
      <c r="H812" s="3"/>
    </row>
    <row r="813" spans="1:8" x14ac:dyDescent="0.35">
      <c r="A813" s="3" t="s">
        <v>404</v>
      </c>
      <c r="B813" s="3" t="s">
        <v>42</v>
      </c>
      <c r="C813" s="3" t="s">
        <v>405</v>
      </c>
      <c r="D813" s="3" t="s">
        <v>15</v>
      </c>
      <c r="E813" s="3"/>
      <c r="F813" s="3"/>
      <c r="G813" s="3"/>
      <c r="H813" s="3"/>
    </row>
    <row r="814" spans="1:8" x14ac:dyDescent="0.35">
      <c r="A814" s="3" t="s">
        <v>404</v>
      </c>
      <c r="B814" s="3" t="s">
        <v>42</v>
      </c>
      <c r="C814" s="3" t="s">
        <v>405</v>
      </c>
      <c r="D814" s="3" t="s">
        <v>29</v>
      </c>
      <c r="E814" s="3"/>
      <c r="F814" s="3"/>
      <c r="G814" s="3"/>
      <c r="H814" s="3"/>
    </row>
    <row r="815" spans="1:8" x14ac:dyDescent="0.35">
      <c r="A815" s="3" t="s">
        <v>404</v>
      </c>
      <c r="B815" s="3" t="s">
        <v>42</v>
      </c>
      <c r="C815" s="3" t="s">
        <v>405</v>
      </c>
      <c r="D815" s="3" t="s">
        <v>134</v>
      </c>
      <c r="E815" s="3"/>
      <c r="F815" s="3"/>
      <c r="G815" s="3"/>
      <c r="H815" s="3"/>
    </row>
    <row r="816" spans="1:8" x14ac:dyDescent="0.35">
      <c r="A816" s="3" t="s">
        <v>404</v>
      </c>
      <c r="B816" s="3" t="s">
        <v>45</v>
      </c>
      <c r="C816" s="3" t="s">
        <v>2834</v>
      </c>
      <c r="D816" s="3" t="s">
        <v>87</v>
      </c>
      <c r="E816" s="5"/>
      <c r="F816" s="3"/>
      <c r="G816" s="3"/>
      <c r="H816" s="3"/>
    </row>
    <row r="817" spans="1:8" x14ac:dyDescent="0.35">
      <c r="A817" s="3" t="s">
        <v>404</v>
      </c>
      <c r="B817" s="3" t="s">
        <v>45</v>
      </c>
      <c r="C817" s="3" t="s">
        <v>2834</v>
      </c>
      <c r="D817" s="3" t="s">
        <v>24</v>
      </c>
      <c r="E817" s="5"/>
      <c r="F817" s="3"/>
      <c r="G817" s="3"/>
      <c r="H817" s="3"/>
    </row>
    <row r="818" spans="1:8" x14ac:dyDescent="0.35">
      <c r="A818" s="3" t="s">
        <v>406</v>
      </c>
      <c r="B818" s="3" t="s">
        <v>39</v>
      </c>
      <c r="C818" s="3" t="s">
        <v>407</v>
      </c>
      <c r="D818" s="3" t="s">
        <v>23</v>
      </c>
      <c r="E818" s="3" t="s">
        <v>16</v>
      </c>
      <c r="F818" s="3" t="s">
        <v>408</v>
      </c>
      <c r="G818" s="3" t="s">
        <v>13</v>
      </c>
      <c r="H818" s="3" t="s">
        <v>409</v>
      </c>
    </row>
    <row r="819" spans="1:8" x14ac:dyDescent="0.35">
      <c r="A819" s="3" t="s">
        <v>406</v>
      </c>
      <c r="B819" s="3" t="s">
        <v>39</v>
      </c>
      <c r="C819" s="3" t="s">
        <v>407</v>
      </c>
      <c r="D819" s="3" t="s">
        <v>27</v>
      </c>
      <c r="E819" s="3" t="s">
        <v>16</v>
      </c>
      <c r="F819" s="3" t="s">
        <v>408</v>
      </c>
      <c r="G819" s="3" t="s">
        <v>13</v>
      </c>
      <c r="H819" s="3" t="s">
        <v>409</v>
      </c>
    </row>
    <row r="820" spans="1:8" x14ac:dyDescent="0.35">
      <c r="A820" s="3" t="s">
        <v>406</v>
      </c>
      <c r="B820" s="3" t="s">
        <v>39</v>
      </c>
      <c r="C820" s="3" t="s">
        <v>407</v>
      </c>
      <c r="D820" s="3" t="s">
        <v>57</v>
      </c>
      <c r="E820" s="3" t="s">
        <v>16</v>
      </c>
      <c r="F820" s="3" t="s">
        <v>408</v>
      </c>
      <c r="G820" s="3" t="s">
        <v>13</v>
      </c>
      <c r="H820" s="3" t="s">
        <v>409</v>
      </c>
    </row>
    <row r="821" spans="1:8" x14ac:dyDescent="0.35">
      <c r="A821" s="3" t="s">
        <v>406</v>
      </c>
      <c r="B821" s="3" t="s">
        <v>10</v>
      </c>
      <c r="C821" s="3" t="s">
        <v>410</v>
      </c>
      <c r="D821" s="3" t="s">
        <v>15</v>
      </c>
      <c r="E821" s="3" t="s">
        <v>13</v>
      </c>
      <c r="F821" s="3" t="s">
        <v>411</v>
      </c>
      <c r="G821" s="3" t="s">
        <v>13</v>
      </c>
      <c r="H821" s="3" t="s">
        <v>69</v>
      </c>
    </row>
    <row r="822" spans="1:8" x14ac:dyDescent="0.35">
      <c r="A822" s="3" t="s">
        <v>406</v>
      </c>
      <c r="B822" s="3" t="s">
        <v>10</v>
      </c>
      <c r="C822" s="3" t="s">
        <v>410</v>
      </c>
      <c r="D822" s="3" t="s">
        <v>57</v>
      </c>
      <c r="E822" s="3"/>
      <c r="F822" s="3"/>
      <c r="G822" s="3"/>
      <c r="H822" s="3"/>
    </row>
    <row r="823" spans="1:8" x14ac:dyDescent="0.35">
      <c r="A823" s="3" t="s">
        <v>406</v>
      </c>
      <c r="B823" s="3" t="s">
        <v>10</v>
      </c>
      <c r="C823" s="3" t="s">
        <v>412</v>
      </c>
      <c r="D823" s="3" t="s">
        <v>36</v>
      </c>
      <c r="E823" s="3"/>
      <c r="F823" s="3"/>
      <c r="G823" s="3" t="s">
        <v>13</v>
      </c>
      <c r="H823" s="3" t="s">
        <v>59</v>
      </c>
    </row>
    <row r="824" spans="1:8" x14ac:dyDescent="0.35">
      <c r="A824" s="3" t="s">
        <v>406</v>
      </c>
      <c r="B824" s="3" t="s">
        <v>10</v>
      </c>
      <c r="C824" s="3" t="s">
        <v>412</v>
      </c>
      <c r="D824" s="3" t="s">
        <v>15</v>
      </c>
      <c r="E824" s="3"/>
      <c r="F824" s="3" t="s">
        <v>413</v>
      </c>
      <c r="G824" s="3" t="s">
        <v>13</v>
      </c>
      <c r="H824" s="3" t="s">
        <v>59</v>
      </c>
    </row>
    <row r="825" spans="1:8" x14ac:dyDescent="0.35">
      <c r="A825" s="3" t="s">
        <v>406</v>
      </c>
      <c r="B825" s="3" t="s">
        <v>10</v>
      </c>
      <c r="C825" s="3" t="s">
        <v>2669</v>
      </c>
      <c r="D825" s="3" t="s">
        <v>12</v>
      </c>
      <c r="E825" s="3"/>
      <c r="F825" s="3"/>
      <c r="G825" s="3" t="s">
        <v>13</v>
      </c>
      <c r="H825" s="3" t="s">
        <v>69</v>
      </c>
    </row>
    <row r="826" spans="1:8" x14ac:dyDescent="0.35">
      <c r="A826" s="3" t="s">
        <v>406</v>
      </c>
      <c r="B826" s="3" t="s">
        <v>10</v>
      </c>
      <c r="C826" s="3" t="s">
        <v>2669</v>
      </c>
      <c r="D826" s="3" t="s">
        <v>87</v>
      </c>
      <c r="E826" s="3" t="s">
        <v>13</v>
      </c>
      <c r="F826" s="3" t="s">
        <v>414</v>
      </c>
      <c r="G826" s="3" t="s">
        <v>13</v>
      </c>
      <c r="H826" s="3" t="s">
        <v>69</v>
      </c>
    </row>
    <row r="827" spans="1:8" x14ac:dyDescent="0.35">
      <c r="A827" s="3" t="s">
        <v>406</v>
      </c>
      <c r="B827" s="3" t="s">
        <v>10</v>
      </c>
      <c r="C827" s="3" t="s">
        <v>2669</v>
      </c>
      <c r="D827" s="3" t="s">
        <v>15</v>
      </c>
      <c r="E827" s="3"/>
      <c r="F827" s="3"/>
      <c r="G827" s="3" t="s">
        <v>13</v>
      </c>
      <c r="H827" s="3" t="s">
        <v>69</v>
      </c>
    </row>
    <row r="828" spans="1:8" x14ac:dyDescent="0.35">
      <c r="A828" s="3" t="s">
        <v>406</v>
      </c>
      <c r="B828" s="3" t="s">
        <v>10</v>
      </c>
      <c r="C828" s="3" t="s">
        <v>2669</v>
      </c>
      <c r="D828" s="3" t="s">
        <v>32</v>
      </c>
      <c r="E828" s="3"/>
      <c r="F828" s="3"/>
      <c r="G828" s="3" t="s">
        <v>13</v>
      </c>
      <c r="H828" s="3" t="s">
        <v>69</v>
      </c>
    </row>
    <row r="829" spans="1:8" x14ac:dyDescent="0.35">
      <c r="A829" s="3" t="s">
        <v>406</v>
      </c>
      <c r="B829" s="3" t="s">
        <v>10</v>
      </c>
      <c r="C829" s="3" t="s">
        <v>2669</v>
      </c>
      <c r="D829" s="3" t="s">
        <v>29</v>
      </c>
      <c r="E829" s="3"/>
      <c r="F829" s="3"/>
      <c r="G829" s="3" t="s">
        <v>13</v>
      </c>
      <c r="H829" s="3" t="s">
        <v>69</v>
      </c>
    </row>
    <row r="830" spans="1:8" x14ac:dyDescent="0.35">
      <c r="A830" s="3" t="s">
        <v>406</v>
      </c>
      <c r="B830" s="3" t="s">
        <v>20</v>
      </c>
      <c r="C830" s="3" t="s">
        <v>415</v>
      </c>
      <c r="D830" s="3" t="s">
        <v>23</v>
      </c>
      <c r="E830" s="3"/>
      <c r="F830" s="3"/>
      <c r="G830" s="3" t="s">
        <v>13</v>
      </c>
      <c r="H830" s="3" t="s">
        <v>59</v>
      </c>
    </row>
    <row r="831" spans="1:8" x14ac:dyDescent="0.35">
      <c r="A831" s="3" t="s">
        <v>406</v>
      </c>
      <c r="B831" s="3" t="s">
        <v>20</v>
      </c>
      <c r="C831" s="3" t="s">
        <v>415</v>
      </c>
      <c r="D831" s="3" t="s">
        <v>32</v>
      </c>
      <c r="E831" s="3"/>
      <c r="F831" s="3"/>
      <c r="G831" s="3" t="s">
        <v>13</v>
      </c>
      <c r="H831" s="3" t="s">
        <v>59</v>
      </c>
    </row>
    <row r="832" spans="1:8" x14ac:dyDescent="0.35">
      <c r="A832" s="3" t="s">
        <v>406</v>
      </c>
      <c r="B832" s="3" t="s">
        <v>42</v>
      </c>
      <c r="C832" s="3" t="s">
        <v>416</v>
      </c>
      <c r="D832" s="3" t="s">
        <v>12</v>
      </c>
      <c r="E832" s="3"/>
      <c r="F832" s="3"/>
      <c r="G832" s="3" t="s">
        <v>13</v>
      </c>
      <c r="H832" s="3" t="s">
        <v>69</v>
      </c>
    </row>
    <row r="833" spans="1:8" x14ac:dyDescent="0.35">
      <c r="A833" s="3" t="s">
        <v>406</v>
      </c>
      <c r="B833" s="3" t="s">
        <v>42</v>
      </c>
      <c r="C833" s="3" t="s">
        <v>416</v>
      </c>
      <c r="D833" s="3" t="s">
        <v>23</v>
      </c>
      <c r="E833" s="3"/>
      <c r="F833" s="3"/>
      <c r="G833" s="3" t="s">
        <v>13</v>
      </c>
      <c r="H833" s="3" t="s">
        <v>69</v>
      </c>
    </row>
    <row r="834" spans="1:8" x14ac:dyDescent="0.35">
      <c r="A834" s="3" t="s">
        <v>406</v>
      </c>
      <c r="B834" s="3" t="s">
        <v>42</v>
      </c>
      <c r="C834" s="3" t="s">
        <v>416</v>
      </c>
      <c r="D834" s="3" t="s">
        <v>27</v>
      </c>
      <c r="E834" s="3"/>
      <c r="F834" s="3"/>
      <c r="G834" s="3" t="s">
        <v>13</v>
      </c>
      <c r="H834" s="3" t="s">
        <v>69</v>
      </c>
    </row>
    <row r="835" spans="1:8" x14ac:dyDescent="0.35">
      <c r="A835" s="3" t="s">
        <v>406</v>
      </c>
      <c r="B835" s="3" t="s">
        <v>42</v>
      </c>
      <c r="C835" s="3" t="s">
        <v>416</v>
      </c>
      <c r="D835" s="3" t="s">
        <v>44</v>
      </c>
      <c r="E835" s="3"/>
      <c r="F835" s="3"/>
      <c r="G835" s="3" t="s">
        <v>13</v>
      </c>
      <c r="H835" s="3" t="s">
        <v>69</v>
      </c>
    </row>
    <row r="836" spans="1:8" x14ac:dyDescent="0.35">
      <c r="A836" s="3" t="s">
        <v>406</v>
      </c>
      <c r="B836" s="3" t="s">
        <v>42</v>
      </c>
      <c r="C836" s="3" t="s">
        <v>416</v>
      </c>
      <c r="D836" s="3" t="s">
        <v>28</v>
      </c>
      <c r="E836" s="3"/>
      <c r="F836" s="3"/>
      <c r="G836" s="3" t="s">
        <v>13</v>
      </c>
      <c r="H836" s="3" t="s">
        <v>69</v>
      </c>
    </row>
    <row r="837" spans="1:8" x14ac:dyDescent="0.35">
      <c r="A837" s="3" t="s">
        <v>406</v>
      </c>
      <c r="B837" s="3" t="s">
        <v>42</v>
      </c>
      <c r="C837" s="3" t="s">
        <v>416</v>
      </c>
      <c r="D837" s="3" t="s">
        <v>15</v>
      </c>
      <c r="E837" s="3" t="s">
        <v>13</v>
      </c>
      <c r="F837" s="3" t="s">
        <v>417</v>
      </c>
      <c r="G837" s="3" t="s">
        <v>13</v>
      </c>
      <c r="H837" s="3" t="s">
        <v>69</v>
      </c>
    </row>
    <row r="838" spans="1:8" x14ac:dyDescent="0.35">
      <c r="A838" s="3" t="s">
        <v>406</v>
      </c>
      <c r="B838" s="3" t="s">
        <v>42</v>
      </c>
      <c r="C838" s="3" t="s">
        <v>416</v>
      </c>
      <c r="D838" s="3" t="s">
        <v>24</v>
      </c>
      <c r="E838" s="3"/>
      <c r="F838" s="3"/>
      <c r="G838" s="3" t="s">
        <v>13</v>
      </c>
      <c r="H838" s="3" t="s">
        <v>69</v>
      </c>
    </row>
    <row r="839" spans="1:8" x14ac:dyDescent="0.35">
      <c r="A839" s="3" t="s">
        <v>406</v>
      </c>
      <c r="B839" s="3" t="s">
        <v>42</v>
      </c>
      <c r="C839" s="3" t="s">
        <v>416</v>
      </c>
      <c r="D839" s="3" t="s">
        <v>82</v>
      </c>
      <c r="E839" s="3"/>
      <c r="F839" s="3"/>
      <c r="G839" s="3" t="s">
        <v>13</v>
      </c>
      <c r="H839" s="3" t="s">
        <v>69</v>
      </c>
    </row>
    <row r="840" spans="1:8" x14ac:dyDescent="0.35">
      <c r="A840" s="3" t="s">
        <v>406</v>
      </c>
      <c r="B840" s="3" t="s">
        <v>20</v>
      </c>
      <c r="C840" s="3" t="s">
        <v>418</v>
      </c>
      <c r="D840" s="3" t="s">
        <v>12</v>
      </c>
      <c r="E840" s="3"/>
      <c r="F840" s="3"/>
      <c r="G840" s="3" t="s">
        <v>13</v>
      </c>
      <c r="H840" s="3" t="s">
        <v>59</v>
      </c>
    </row>
    <row r="841" spans="1:8" x14ac:dyDescent="0.35">
      <c r="A841" s="3" t="s">
        <v>406</v>
      </c>
      <c r="B841" s="3" t="s">
        <v>20</v>
      </c>
      <c r="C841" s="3" t="s">
        <v>418</v>
      </c>
      <c r="D841" s="3" t="s">
        <v>23</v>
      </c>
      <c r="E841" s="3"/>
      <c r="F841" s="3"/>
      <c r="G841" s="3" t="s">
        <v>13</v>
      </c>
      <c r="H841" s="3" t="s">
        <v>59</v>
      </c>
    </row>
    <row r="842" spans="1:8" x14ac:dyDescent="0.35">
      <c r="A842" s="3" t="s">
        <v>406</v>
      </c>
      <c r="B842" s="3" t="s">
        <v>20</v>
      </c>
      <c r="C842" s="3" t="s">
        <v>418</v>
      </c>
      <c r="D842" s="3" t="s">
        <v>27</v>
      </c>
      <c r="E842" s="3"/>
      <c r="F842" s="3"/>
      <c r="G842" s="3" t="s">
        <v>13</v>
      </c>
      <c r="H842" s="3" t="s">
        <v>59</v>
      </c>
    </row>
    <row r="843" spans="1:8" x14ac:dyDescent="0.35">
      <c r="A843" s="3" t="s">
        <v>406</v>
      </c>
      <c r="B843" s="3" t="s">
        <v>20</v>
      </c>
      <c r="C843" s="3" t="s">
        <v>418</v>
      </c>
      <c r="D843" s="3" t="s">
        <v>28</v>
      </c>
      <c r="E843" s="3"/>
      <c r="F843" s="3"/>
      <c r="G843" s="3" t="s">
        <v>13</v>
      </c>
      <c r="H843" s="3" t="s">
        <v>59</v>
      </c>
    </row>
    <row r="844" spans="1:8" x14ac:dyDescent="0.35">
      <c r="A844" s="3" t="s">
        <v>406</v>
      </c>
      <c r="B844" s="3" t="s">
        <v>20</v>
      </c>
      <c r="C844" s="3" t="s">
        <v>418</v>
      </c>
      <c r="D844" s="3" t="s">
        <v>31</v>
      </c>
      <c r="E844" s="3"/>
      <c r="F844" s="3"/>
      <c r="G844" s="3" t="s">
        <v>13</v>
      </c>
      <c r="H844" s="3" t="s">
        <v>59</v>
      </c>
    </row>
    <row r="845" spans="1:8" x14ac:dyDescent="0.35">
      <c r="A845" s="3" t="s">
        <v>406</v>
      </c>
      <c r="B845" s="3" t="s">
        <v>20</v>
      </c>
      <c r="C845" s="3" t="s">
        <v>418</v>
      </c>
      <c r="D845" s="3" t="s">
        <v>24</v>
      </c>
      <c r="E845" s="3"/>
      <c r="F845" s="3"/>
      <c r="G845" s="3" t="s">
        <v>13</v>
      </c>
      <c r="H845" s="3" t="s">
        <v>59</v>
      </c>
    </row>
    <row r="846" spans="1:8" x14ac:dyDescent="0.35">
      <c r="A846" s="3" t="s">
        <v>406</v>
      </c>
      <c r="B846" s="3" t="s">
        <v>20</v>
      </c>
      <c r="C846" s="3" t="s">
        <v>419</v>
      </c>
      <c r="D846" s="3" t="s">
        <v>12</v>
      </c>
      <c r="E846" s="3"/>
      <c r="F846" s="3"/>
      <c r="G846" s="3" t="s">
        <v>13</v>
      </c>
      <c r="H846" s="3" t="s">
        <v>69</v>
      </c>
    </row>
    <row r="847" spans="1:8" x14ac:dyDescent="0.35">
      <c r="A847" s="3" t="s">
        <v>406</v>
      </c>
      <c r="B847" s="3" t="s">
        <v>20</v>
      </c>
      <c r="C847" s="3" t="s">
        <v>419</v>
      </c>
      <c r="D847" s="3" t="s">
        <v>23</v>
      </c>
      <c r="E847" s="3"/>
      <c r="F847" s="3"/>
      <c r="G847" s="3" t="s">
        <v>13</v>
      </c>
      <c r="H847" s="3" t="s">
        <v>69</v>
      </c>
    </row>
    <row r="848" spans="1:8" x14ac:dyDescent="0.35">
      <c r="A848" s="3" t="s">
        <v>406</v>
      </c>
      <c r="B848" s="3" t="s">
        <v>20</v>
      </c>
      <c r="C848" s="3" t="s">
        <v>419</v>
      </c>
      <c r="D848" s="3" t="s">
        <v>27</v>
      </c>
      <c r="E848" s="3"/>
      <c r="F848" s="3"/>
      <c r="G848" s="3" t="s">
        <v>13</v>
      </c>
      <c r="H848" s="3" t="s">
        <v>409</v>
      </c>
    </row>
    <row r="849" spans="1:8" x14ac:dyDescent="0.35">
      <c r="A849" s="3" t="s">
        <v>406</v>
      </c>
      <c r="B849" s="3" t="s">
        <v>20</v>
      </c>
      <c r="C849" s="3" t="s">
        <v>419</v>
      </c>
      <c r="D849" s="3" t="s">
        <v>71</v>
      </c>
      <c r="E849" s="3"/>
      <c r="F849" s="3"/>
      <c r="G849" s="3" t="s">
        <v>13</v>
      </c>
      <c r="H849" s="3" t="s">
        <v>69</v>
      </c>
    </row>
    <row r="850" spans="1:8" x14ac:dyDescent="0.35">
      <c r="A850" s="3" t="s">
        <v>406</v>
      </c>
      <c r="B850" s="3" t="s">
        <v>20</v>
      </c>
      <c r="C850" s="3" t="s">
        <v>419</v>
      </c>
      <c r="D850" s="3" t="s">
        <v>31</v>
      </c>
      <c r="E850" s="3"/>
      <c r="F850" s="3"/>
      <c r="G850" s="3" t="s">
        <v>13</v>
      </c>
      <c r="H850" s="3" t="s">
        <v>409</v>
      </c>
    </row>
    <row r="851" spans="1:8" x14ac:dyDescent="0.35">
      <c r="A851" s="3" t="s">
        <v>406</v>
      </c>
      <c r="B851" s="3" t="s">
        <v>20</v>
      </c>
      <c r="C851" s="3" t="s">
        <v>419</v>
      </c>
      <c r="D851" s="3" t="s">
        <v>15</v>
      </c>
      <c r="E851" s="3" t="s">
        <v>16</v>
      </c>
      <c r="F851" s="3" t="s">
        <v>2916</v>
      </c>
      <c r="G851" s="3" t="s">
        <v>13</v>
      </c>
      <c r="H851" s="3" t="s">
        <v>69</v>
      </c>
    </row>
    <row r="852" spans="1:8" x14ac:dyDescent="0.35">
      <c r="A852" s="3" t="s">
        <v>406</v>
      </c>
      <c r="B852" s="3" t="s">
        <v>20</v>
      </c>
      <c r="C852" s="3" t="s">
        <v>419</v>
      </c>
      <c r="D852" s="3" t="s">
        <v>57</v>
      </c>
      <c r="E852" s="3"/>
      <c r="F852" s="3"/>
      <c r="G852" s="3" t="s">
        <v>13</v>
      </c>
      <c r="H852" s="3" t="s">
        <v>69</v>
      </c>
    </row>
    <row r="853" spans="1:8" x14ac:dyDescent="0.35">
      <c r="A853" s="3" t="s">
        <v>406</v>
      </c>
      <c r="B853" s="3" t="s">
        <v>20</v>
      </c>
      <c r="C853" s="3" t="s">
        <v>419</v>
      </c>
      <c r="D853" s="3" t="s">
        <v>56</v>
      </c>
      <c r="E853" s="3" t="s">
        <v>13</v>
      </c>
      <c r="F853" s="3" t="s">
        <v>420</v>
      </c>
      <c r="G853" s="3" t="s">
        <v>13</v>
      </c>
      <c r="H853" s="3" t="s">
        <v>69</v>
      </c>
    </row>
    <row r="854" spans="1:8" x14ac:dyDescent="0.35">
      <c r="A854" s="3" t="s">
        <v>406</v>
      </c>
      <c r="B854" s="3" t="s">
        <v>20</v>
      </c>
      <c r="C854" s="3" t="s">
        <v>419</v>
      </c>
      <c r="D854" s="3" t="s">
        <v>32</v>
      </c>
      <c r="E854" s="3" t="s">
        <v>33</v>
      </c>
      <c r="F854" s="3" t="s">
        <v>34</v>
      </c>
      <c r="G854" s="3" t="s">
        <v>13</v>
      </c>
      <c r="H854" s="3" t="s">
        <v>69</v>
      </c>
    </row>
    <row r="855" spans="1:8" x14ac:dyDescent="0.35">
      <c r="A855" s="3" t="s">
        <v>406</v>
      </c>
      <c r="B855" s="3" t="s">
        <v>20</v>
      </c>
      <c r="C855" s="3" t="s">
        <v>419</v>
      </c>
      <c r="D855" s="3" t="s">
        <v>24</v>
      </c>
      <c r="E855" s="3"/>
      <c r="F855" s="3"/>
      <c r="G855" s="3" t="s">
        <v>13</v>
      </c>
      <c r="H855" s="3" t="s">
        <v>69</v>
      </c>
    </row>
    <row r="856" spans="1:8" x14ac:dyDescent="0.35">
      <c r="A856" s="3" t="s">
        <v>406</v>
      </c>
      <c r="B856" s="3" t="s">
        <v>20</v>
      </c>
      <c r="C856" s="3" t="s">
        <v>419</v>
      </c>
      <c r="D856" s="3" t="s">
        <v>134</v>
      </c>
      <c r="E856" s="3"/>
      <c r="F856" s="3"/>
      <c r="G856" s="3" t="s">
        <v>13</v>
      </c>
      <c r="H856" s="3" t="s">
        <v>69</v>
      </c>
    </row>
    <row r="857" spans="1:8" x14ac:dyDescent="0.35">
      <c r="A857" s="3" t="s">
        <v>406</v>
      </c>
      <c r="B857" s="3" t="s">
        <v>10</v>
      </c>
      <c r="C857" s="3" t="s">
        <v>421</v>
      </c>
      <c r="D857" s="3" t="s">
        <v>15</v>
      </c>
      <c r="E857" s="3" t="s">
        <v>13</v>
      </c>
      <c r="F857" s="3" t="s">
        <v>422</v>
      </c>
      <c r="G857" s="3"/>
      <c r="H857" s="3"/>
    </row>
    <row r="858" spans="1:8" x14ac:dyDescent="0.35">
      <c r="A858" s="3" t="s">
        <v>406</v>
      </c>
      <c r="B858" s="3" t="s">
        <v>45</v>
      </c>
      <c r="C858" s="3" t="s">
        <v>423</v>
      </c>
      <c r="D858" s="3" t="s">
        <v>15</v>
      </c>
      <c r="E858" s="3" t="s">
        <v>13</v>
      </c>
      <c r="F858" s="3" t="s">
        <v>424</v>
      </c>
      <c r="G858" s="3"/>
      <c r="H858" s="3"/>
    </row>
    <row r="859" spans="1:8" x14ac:dyDescent="0.35">
      <c r="A859" s="3" t="s">
        <v>406</v>
      </c>
      <c r="B859" s="3" t="s">
        <v>45</v>
      </c>
      <c r="C859" s="3" t="s">
        <v>423</v>
      </c>
      <c r="D859" s="3" t="s">
        <v>32</v>
      </c>
      <c r="E859" s="3" t="s">
        <v>13</v>
      </c>
      <c r="F859" s="3" t="s">
        <v>425</v>
      </c>
      <c r="G859" s="3"/>
      <c r="H859" s="3"/>
    </row>
    <row r="860" spans="1:8" x14ac:dyDescent="0.35">
      <c r="A860" s="3" t="s">
        <v>406</v>
      </c>
      <c r="B860" s="3" t="s">
        <v>39</v>
      </c>
      <c r="C860" s="3" t="s">
        <v>426</v>
      </c>
      <c r="D860" s="3" t="s">
        <v>27</v>
      </c>
      <c r="E860" s="3" t="s">
        <v>16</v>
      </c>
      <c r="F860" s="3" t="s">
        <v>427</v>
      </c>
      <c r="G860" s="3" t="s">
        <v>13</v>
      </c>
      <c r="H860" s="3" t="s">
        <v>59</v>
      </c>
    </row>
    <row r="861" spans="1:8" x14ac:dyDescent="0.35">
      <c r="A861" s="3" t="s">
        <v>406</v>
      </c>
      <c r="B861" s="3" t="s">
        <v>39</v>
      </c>
      <c r="C861" s="3" t="s">
        <v>426</v>
      </c>
      <c r="D861" s="3" t="s">
        <v>31</v>
      </c>
      <c r="E861" s="3"/>
      <c r="F861" s="3"/>
      <c r="G861" s="3" t="s">
        <v>13</v>
      </c>
      <c r="H861" s="3" t="s">
        <v>59</v>
      </c>
    </row>
    <row r="862" spans="1:8" x14ac:dyDescent="0.35">
      <c r="A862" s="3" t="s">
        <v>406</v>
      </c>
      <c r="B862" s="3" t="s">
        <v>39</v>
      </c>
      <c r="C862" s="3" t="s">
        <v>426</v>
      </c>
      <c r="D862" s="3" t="s">
        <v>15</v>
      </c>
      <c r="E862" s="3" t="s">
        <v>13</v>
      </c>
      <c r="F862" s="3" t="s">
        <v>428</v>
      </c>
      <c r="G862" s="3" t="s">
        <v>13</v>
      </c>
      <c r="H862" s="3" t="s">
        <v>59</v>
      </c>
    </row>
    <row r="863" spans="1:8" x14ac:dyDescent="0.35">
      <c r="A863" s="3" t="s">
        <v>406</v>
      </c>
      <c r="B863" s="3" t="s">
        <v>39</v>
      </c>
      <c r="C863" s="3" t="s">
        <v>426</v>
      </c>
      <c r="D863" s="3" t="s">
        <v>32</v>
      </c>
      <c r="E863" s="3" t="s">
        <v>13</v>
      </c>
      <c r="F863" s="3" t="s">
        <v>429</v>
      </c>
      <c r="G863" s="3" t="s">
        <v>13</v>
      </c>
      <c r="H863" s="3" t="s">
        <v>59</v>
      </c>
    </row>
    <row r="864" spans="1:8" x14ac:dyDescent="0.35">
      <c r="A864" s="3" t="s">
        <v>430</v>
      </c>
      <c r="B864" s="3" t="s">
        <v>42</v>
      </c>
      <c r="C864" s="3" t="s">
        <v>431</v>
      </c>
      <c r="D864" s="3" t="s">
        <v>12</v>
      </c>
      <c r="E864" s="3"/>
      <c r="F864" s="3"/>
      <c r="G864" s="3"/>
      <c r="H864" s="3"/>
    </row>
    <row r="865" spans="1:8" x14ac:dyDescent="0.35">
      <c r="A865" s="3" t="s">
        <v>430</v>
      </c>
      <c r="B865" s="3" t="s">
        <v>42</v>
      </c>
      <c r="C865" s="3" t="s">
        <v>431</v>
      </c>
      <c r="D865" s="3" t="s">
        <v>36</v>
      </c>
      <c r="E865" s="3"/>
      <c r="F865" s="3"/>
      <c r="G865" s="3"/>
      <c r="H865" s="3"/>
    </row>
    <row r="866" spans="1:8" x14ac:dyDescent="0.35">
      <c r="A866" s="3" t="s">
        <v>430</v>
      </c>
      <c r="B866" s="3" t="s">
        <v>42</v>
      </c>
      <c r="C866" s="3" t="s">
        <v>431</v>
      </c>
      <c r="D866" s="3" t="s">
        <v>25</v>
      </c>
      <c r="E866" s="3"/>
      <c r="F866" s="3"/>
      <c r="G866" s="3"/>
      <c r="H866" s="3"/>
    </row>
    <row r="867" spans="1:8" x14ac:dyDescent="0.35">
      <c r="A867" s="3" t="s">
        <v>430</v>
      </c>
      <c r="B867" s="3" t="s">
        <v>42</v>
      </c>
      <c r="C867" s="3" t="s">
        <v>431</v>
      </c>
      <c r="D867" s="3" t="s">
        <v>142</v>
      </c>
      <c r="E867" s="3"/>
      <c r="F867" s="3"/>
      <c r="G867" s="3"/>
      <c r="H867" s="3"/>
    </row>
    <row r="868" spans="1:8" x14ac:dyDescent="0.35">
      <c r="A868" s="3" t="s">
        <v>430</v>
      </c>
      <c r="B868" s="3" t="s">
        <v>42</v>
      </c>
      <c r="C868" s="3" t="s">
        <v>431</v>
      </c>
      <c r="D868" s="3" t="s">
        <v>44</v>
      </c>
      <c r="E868" s="3"/>
      <c r="F868" s="3"/>
      <c r="G868" s="3"/>
      <c r="H868" s="3"/>
    </row>
    <row r="869" spans="1:8" x14ac:dyDescent="0.35">
      <c r="A869" s="3" t="s">
        <v>430</v>
      </c>
      <c r="B869" s="3" t="s">
        <v>42</v>
      </c>
      <c r="C869" s="3" t="s">
        <v>431</v>
      </c>
      <c r="D869" s="3" t="s">
        <v>98</v>
      </c>
      <c r="E869" s="3"/>
      <c r="F869" s="3"/>
      <c r="G869" s="3"/>
      <c r="H869" s="3"/>
    </row>
    <row r="870" spans="1:8" x14ac:dyDescent="0.35">
      <c r="A870" s="3" t="s">
        <v>430</v>
      </c>
      <c r="B870" s="3" t="s">
        <v>42</v>
      </c>
      <c r="C870" s="3" t="s">
        <v>431</v>
      </c>
      <c r="D870" s="3" t="s">
        <v>15</v>
      </c>
      <c r="E870" s="3" t="s">
        <v>16</v>
      </c>
      <c r="F870" s="3" t="s">
        <v>2764</v>
      </c>
      <c r="G870" s="3"/>
      <c r="H870" s="3"/>
    </row>
    <row r="871" spans="1:8" x14ac:dyDescent="0.35">
      <c r="A871" s="3" t="s">
        <v>430</v>
      </c>
      <c r="B871" s="3" t="s">
        <v>42</v>
      </c>
      <c r="C871" s="3" t="s">
        <v>431</v>
      </c>
      <c r="D871" s="3" t="s">
        <v>57</v>
      </c>
      <c r="E871" s="3"/>
      <c r="F871" s="3" t="s">
        <v>2308</v>
      </c>
      <c r="G871" s="3"/>
      <c r="H871" s="3"/>
    </row>
    <row r="872" spans="1:8" x14ac:dyDescent="0.35">
      <c r="A872" s="3" t="s">
        <v>430</v>
      </c>
      <c r="B872" s="3" t="s">
        <v>42</v>
      </c>
      <c r="C872" s="3" t="s">
        <v>431</v>
      </c>
      <c r="D872" s="3" t="s">
        <v>32</v>
      </c>
      <c r="E872" s="3"/>
      <c r="F872" s="3"/>
      <c r="G872" s="3"/>
      <c r="H872" s="3"/>
    </row>
    <row r="873" spans="1:8" x14ac:dyDescent="0.35">
      <c r="A873" s="3" t="s">
        <v>430</v>
      </c>
      <c r="B873" s="3" t="s">
        <v>42</v>
      </c>
      <c r="C873" s="3" t="s">
        <v>431</v>
      </c>
      <c r="D873" s="3" t="s">
        <v>82</v>
      </c>
      <c r="E873" s="3"/>
      <c r="F873" s="3"/>
      <c r="G873" s="3"/>
      <c r="H873" s="3"/>
    </row>
    <row r="874" spans="1:8" x14ac:dyDescent="0.35">
      <c r="A874" s="3" t="s">
        <v>430</v>
      </c>
      <c r="B874" s="3" t="s">
        <v>20</v>
      </c>
      <c r="C874" s="3" t="s">
        <v>432</v>
      </c>
      <c r="D874" s="3" t="s">
        <v>12</v>
      </c>
      <c r="E874" s="3"/>
      <c r="F874" s="3"/>
      <c r="G874" s="3"/>
      <c r="H874" s="3"/>
    </row>
    <row r="875" spans="1:8" x14ac:dyDescent="0.35">
      <c r="A875" s="3" t="s">
        <v>430</v>
      </c>
      <c r="B875" s="3" t="s">
        <v>20</v>
      </c>
      <c r="C875" s="3" t="s">
        <v>432</v>
      </c>
      <c r="D875" s="3" t="s">
        <v>60</v>
      </c>
      <c r="E875" s="3"/>
      <c r="F875" s="3"/>
      <c r="G875" s="3"/>
      <c r="H875" s="3"/>
    </row>
    <row r="876" spans="1:8" x14ac:dyDescent="0.35">
      <c r="A876" s="3" t="s">
        <v>430</v>
      </c>
      <c r="B876" s="3" t="s">
        <v>20</v>
      </c>
      <c r="C876" s="3" t="s">
        <v>432</v>
      </c>
      <c r="D876" s="3" t="s">
        <v>56</v>
      </c>
      <c r="E876" s="3" t="s">
        <v>13</v>
      </c>
      <c r="F876" s="3" t="s">
        <v>433</v>
      </c>
      <c r="G876" s="3"/>
      <c r="H876" s="3"/>
    </row>
    <row r="877" spans="1:8" x14ac:dyDescent="0.35">
      <c r="A877" s="3" t="s">
        <v>430</v>
      </c>
      <c r="B877" s="3" t="s">
        <v>39</v>
      </c>
      <c r="C877" s="3" t="s">
        <v>434</v>
      </c>
      <c r="D877" s="3" t="s">
        <v>28</v>
      </c>
      <c r="E877" s="3"/>
      <c r="F877" s="3"/>
      <c r="G877" s="3"/>
      <c r="H877" s="3"/>
    </row>
    <row r="878" spans="1:8" x14ac:dyDescent="0.35">
      <c r="A878" s="3" t="s">
        <v>430</v>
      </c>
      <c r="B878" s="3" t="s">
        <v>39</v>
      </c>
      <c r="C878" s="3" t="s">
        <v>434</v>
      </c>
      <c r="D878" s="3" t="s">
        <v>87</v>
      </c>
      <c r="E878" s="3"/>
      <c r="F878" s="3"/>
      <c r="G878" s="3"/>
      <c r="H878" s="3"/>
    </row>
    <row r="879" spans="1:8" x14ac:dyDescent="0.35">
      <c r="A879" s="3" t="s">
        <v>430</v>
      </c>
      <c r="B879" s="3" t="s">
        <v>39</v>
      </c>
      <c r="C879" s="3" t="s">
        <v>434</v>
      </c>
      <c r="D879" s="3" t="s">
        <v>15</v>
      </c>
      <c r="E879" s="3" t="s">
        <v>13</v>
      </c>
      <c r="F879" s="3" t="s">
        <v>435</v>
      </c>
      <c r="G879" s="3"/>
      <c r="H879" s="3"/>
    </row>
    <row r="880" spans="1:8" x14ac:dyDescent="0.35">
      <c r="A880" s="3" t="s">
        <v>430</v>
      </c>
      <c r="B880" s="3" t="s">
        <v>10</v>
      </c>
      <c r="C880" s="3" t="s">
        <v>436</v>
      </c>
      <c r="D880" s="3" t="s">
        <v>15</v>
      </c>
      <c r="E880" s="3" t="s">
        <v>16</v>
      </c>
      <c r="F880" s="3" t="s">
        <v>437</v>
      </c>
      <c r="G880" s="3"/>
      <c r="H880" s="3"/>
    </row>
    <row r="881" spans="1:8" x14ac:dyDescent="0.35">
      <c r="A881" s="3" t="s">
        <v>430</v>
      </c>
      <c r="B881" s="3" t="s">
        <v>10</v>
      </c>
      <c r="C881" s="3" t="s">
        <v>436</v>
      </c>
      <c r="D881" s="3" t="s">
        <v>32</v>
      </c>
      <c r="E881" s="3"/>
      <c r="F881" s="3"/>
      <c r="G881" s="3"/>
      <c r="H881" s="3"/>
    </row>
    <row r="882" spans="1:8" x14ac:dyDescent="0.35">
      <c r="A882" s="3" t="s">
        <v>430</v>
      </c>
      <c r="B882" s="3" t="s">
        <v>20</v>
      </c>
      <c r="C882" s="3" t="s">
        <v>438</v>
      </c>
      <c r="D882" s="3" t="s">
        <v>23</v>
      </c>
      <c r="E882" s="3"/>
      <c r="F882" s="3"/>
      <c r="G882" s="3"/>
      <c r="H882" s="3"/>
    </row>
    <row r="883" spans="1:8" x14ac:dyDescent="0.35">
      <c r="A883" s="3" t="s">
        <v>430</v>
      </c>
      <c r="B883" s="3" t="s">
        <v>20</v>
      </c>
      <c r="C883" s="3" t="s">
        <v>438</v>
      </c>
      <c r="D883" s="3" t="s">
        <v>25</v>
      </c>
      <c r="E883" s="3"/>
      <c r="F883" s="3"/>
      <c r="G883" s="3"/>
      <c r="H883" s="3"/>
    </row>
    <row r="884" spans="1:8" x14ac:dyDescent="0.35">
      <c r="A884" s="3" t="s">
        <v>430</v>
      </c>
      <c r="B884" s="3" t="s">
        <v>20</v>
      </c>
      <c r="C884" s="3" t="s">
        <v>438</v>
      </c>
      <c r="D884" s="3" t="s">
        <v>142</v>
      </c>
      <c r="E884" s="3"/>
      <c r="F884" s="3"/>
      <c r="G884" s="3"/>
      <c r="H884" s="3"/>
    </row>
    <row r="885" spans="1:8" x14ac:dyDescent="0.35">
      <c r="A885" s="3" t="s">
        <v>430</v>
      </c>
      <c r="B885" s="3" t="s">
        <v>20</v>
      </c>
      <c r="C885" s="3" t="s">
        <v>438</v>
      </c>
      <c r="D885" s="3" t="s">
        <v>28</v>
      </c>
      <c r="E885" s="3"/>
      <c r="F885" s="3"/>
      <c r="G885" s="3"/>
      <c r="H885" s="3"/>
    </row>
    <row r="886" spans="1:8" x14ac:dyDescent="0.35">
      <c r="A886" s="3" t="s">
        <v>430</v>
      </c>
      <c r="B886" s="3" t="s">
        <v>20</v>
      </c>
      <c r="C886" s="3" t="s">
        <v>438</v>
      </c>
      <c r="D886" s="3" t="s">
        <v>56</v>
      </c>
      <c r="E886" s="3" t="s">
        <v>13</v>
      </c>
      <c r="F886" s="3" t="s">
        <v>439</v>
      </c>
      <c r="G886" s="3"/>
      <c r="H886" s="3"/>
    </row>
    <row r="887" spans="1:8" x14ac:dyDescent="0.35">
      <c r="A887" s="3" t="s">
        <v>430</v>
      </c>
      <c r="B887" s="3" t="s">
        <v>20</v>
      </c>
      <c r="C887" s="3" t="s">
        <v>438</v>
      </c>
      <c r="D887" s="3" t="s">
        <v>89</v>
      </c>
      <c r="E887" s="3"/>
      <c r="F887" s="3"/>
      <c r="G887" s="3"/>
      <c r="H887" s="3"/>
    </row>
    <row r="888" spans="1:8" x14ac:dyDescent="0.35">
      <c r="A888" s="3" t="s">
        <v>430</v>
      </c>
      <c r="B888" s="3" t="s">
        <v>20</v>
      </c>
      <c r="C888" s="3" t="s">
        <v>438</v>
      </c>
      <c r="D888" s="3" t="s">
        <v>29</v>
      </c>
      <c r="E888" s="3"/>
      <c r="F888" s="3"/>
      <c r="G888" s="3"/>
      <c r="H888" s="3"/>
    </row>
    <row r="889" spans="1:8" x14ac:dyDescent="0.35">
      <c r="A889" s="3" t="s">
        <v>430</v>
      </c>
      <c r="B889" s="3" t="s">
        <v>20</v>
      </c>
      <c r="C889" s="3" t="s">
        <v>440</v>
      </c>
      <c r="D889" s="3" t="s">
        <v>25</v>
      </c>
      <c r="E889" s="3"/>
      <c r="F889" s="3"/>
      <c r="G889" s="3"/>
      <c r="H889" s="3"/>
    </row>
    <row r="890" spans="1:8" x14ac:dyDescent="0.35">
      <c r="A890" s="3" t="s">
        <v>430</v>
      </c>
      <c r="B890" s="3" t="s">
        <v>20</v>
      </c>
      <c r="C890" s="3" t="s">
        <v>440</v>
      </c>
      <c r="D890" s="3" t="s">
        <v>15</v>
      </c>
      <c r="E890" s="3" t="s">
        <v>13</v>
      </c>
      <c r="F890" s="3" t="s">
        <v>365</v>
      </c>
      <c r="G890" s="3"/>
      <c r="H890" s="3"/>
    </row>
    <row r="891" spans="1:8" x14ac:dyDescent="0.35">
      <c r="A891" s="3" t="s">
        <v>430</v>
      </c>
      <c r="B891" s="3" t="s">
        <v>20</v>
      </c>
      <c r="C891" s="3" t="s">
        <v>441</v>
      </c>
      <c r="D891" s="3" t="s">
        <v>60</v>
      </c>
      <c r="E891" s="3"/>
      <c r="F891" s="3"/>
      <c r="G891" s="3"/>
      <c r="H891" s="3"/>
    </row>
    <row r="892" spans="1:8" x14ac:dyDescent="0.35">
      <c r="A892" s="3" t="s">
        <v>2501</v>
      </c>
      <c r="B892" s="3" t="s">
        <v>42</v>
      </c>
      <c r="C892" s="3" t="s">
        <v>2502</v>
      </c>
      <c r="D892" s="3" t="s">
        <v>12</v>
      </c>
      <c r="E892" s="3"/>
      <c r="F892" s="3"/>
      <c r="G892" s="3" t="s">
        <v>16</v>
      </c>
      <c r="H892" s="3" t="s">
        <v>1459</v>
      </c>
    </row>
    <row r="893" spans="1:8" x14ac:dyDescent="0.35">
      <c r="A893" s="3" t="s">
        <v>2501</v>
      </c>
      <c r="B893" s="3" t="s">
        <v>42</v>
      </c>
      <c r="C893" s="3" t="s">
        <v>2502</v>
      </c>
      <c r="D893" s="3" t="s">
        <v>27</v>
      </c>
      <c r="E893" s="3" t="s">
        <v>16</v>
      </c>
      <c r="F893" s="3" t="s">
        <v>2503</v>
      </c>
      <c r="G893" s="3" t="s">
        <v>16</v>
      </c>
      <c r="H893" s="3" t="s">
        <v>1459</v>
      </c>
    </row>
    <row r="894" spans="1:8" x14ac:dyDescent="0.35">
      <c r="A894" s="3" t="s">
        <v>2501</v>
      </c>
      <c r="B894" s="3" t="s">
        <v>42</v>
      </c>
      <c r="C894" s="3" t="s">
        <v>2502</v>
      </c>
      <c r="D894" s="3" t="s">
        <v>98</v>
      </c>
      <c r="E894" s="3"/>
      <c r="F894" s="3"/>
      <c r="G894" s="3" t="s">
        <v>16</v>
      </c>
      <c r="H894" s="3" t="s">
        <v>1459</v>
      </c>
    </row>
    <row r="895" spans="1:8" x14ac:dyDescent="0.35">
      <c r="A895" s="3" t="s">
        <v>2501</v>
      </c>
      <c r="B895" s="3" t="s">
        <v>42</v>
      </c>
      <c r="C895" s="3" t="s">
        <v>2502</v>
      </c>
      <c r="D895" s="3" t="s">
        <v>62</v>
      </c>
      <c r="E895" s="3"/>
      <c r="F895" s="3"/>
      <c r="G895" s="3" t="s">
        <v>16</v>
      </c>
      <c r="H895" s="3" t="s">
        <v>1459</v>
      </c>
    </row>
    <row r="896" spans="1:8" x14ac:dyDescent="0.35">
      <c r="A896" s="3" t="s">
        <v>2501</v>
      </c>
      <c r="B896" s="3" t="s">
        <v>42</v>
      </c>
      <c r="C896" s="3" t="s">
        <v>2502</v>
      </c>
      <c r="D896" s="3" t="s">
        <v>24</v>
      </c>
      <c r="E896" s="3"/>
      <c r="F896" s="3"/>
      <c r="G896" s="3" t="s">
        <v>16</v>
      </c>
      <c r="H896" s="3" t="s">
        <v>1459</v>
      </c>
    </row>
    <row r="897" spans="1:8" x14ac:dyDescent="0.35">
      <c r="A897" s="3" t="s">
        <v>2501</v>
      </c>
      <c r="B897" s="3" t="s">
        <v>42</v>
      </c>
      <c r="C897" s="3" t="s">
        <v>2502</v>
      </c>
      <c r="D897" s="3" t="s">
        <v>134</v>
      </c>
      <c r="E897" s="3"/>
      <c r="F897" s="3"/>
      <c r="G897" s="3" t="s">
        <v>16</v>
      </c>
      <c r="H897" s="3" t="s">
        <v>1459</v>
      </c>
    </row>
    <row r="898" spans="1:8" x14ac:dyDescent="0.35">
      <c r="A898" s="3" t="s">
        <v>442</v>
      </c>
      <c r="B898" s="3" t="s">
        <v>10</v>
      </c>
      <c r="C898" s="3" t="s">
        <v>443</v>
      </c>
      <c r="D898" s="3" t="s">
        <v>12</v>
      </c>
      <c r="E898" s="3"/>
      <c r="F898" s="3"/>
      <c r="G898" s="3" t="s">
        <v>13</v>
      </c>
      <c r="H898" s="3" t="s">
        <v>69</v>
      </c>
    </row>
    <row r="899" spans="1:8" x14ac:dyDescent="0.35">
      <c r="A899" s="3" t="s">
        <v>442</v>
      </c>
      <c r="B899" s="3" t="s">
        <v>10</v>
      </c>
      <c r="C899" s="3" t="s">
        <v>443</v>
      </c>
      <c r="D899" s="3" t="s">
        <v>15</v>
      </c>
      <c r="E899" s="3" t="s">
        <v>13</v>
      </c>
      <c r="F899" s="3" t="s">
        <v>444</v>
      </c>
      <c r="G899" s="3" t="s">
        <v>13</v>
      </c>
      <c r="H899" s="3" t="s">
        <v>69</v>
      </c>
    </row>
    <row r="900" spans="1:8" x14ac:dyDescent="0.35">
      <c r="A900" s="3" t="s">
        <v>442</v>
      </c>
      <c r="B900" s="3" t="s">
        <v>10</v>
      </c>
      <c r="C900" s="3" t="s">
        <v>443</v>
      </c>
      <c r="D900" s="3" t="s">
        <v>32</v>
      </c>
      <c r="E900" s="3" t="s">
        <v>13</v>
      </c>
      <c r="F900" s="3" t="s">
        <v>425</v>
      </c>
      <c r="G900" s="3" t="s">
        <v>13</v>
      </c>
      <c r="H900" s="3" t="s">
        <v>69</v>
      </c>
    </row>
    <row r="901" spans="1:8" x14ac:dyDescent="0.35">
      <c r="A901" s="3" t="s">
        <v>442</v>
      </c>
      <c r="B901" s="3" t="s">
        <v>10</v>
      </c>
      <c r="C901" s="3" t="s">
        <v>445</v>
      </c>
      <c r="D901" s="3" t="s">
        <v>77</v>
      </c>
      <c r="E901" s="3"/>
      <c r="F901" s="3"/>
      <c r="G901" s="3" t="s">
        <v>13</v>
      </c>
      <c r="H901" s="3" t="s">
        <v>59</v>
      </c>
    </row>
    <row r="902" spans="1:8" x14ac:dyDescent="0.35">
      <c r="A902" s="3" t="s">
        <v>442</v>
      </c>
      <c r="B902" s="3" t="s">
        <v>10</v>
      </c>
      <c r="C902" s="3" t="s">
        <v>445</v>
      </c>
      <c r="D902" s="3" t="s">
        <v>15</v>
      </c>
      <c r="E902" s="3" t="s">
        <v>33</v>
      </c>
      <c r="F902" s="3" t="s">
        <v>314</v>
      </c>
      <c r="G902" s="3" t="s">
        <v>13</v>
      </c>
      <c r="H902" s="3" t="s">
        <v>59</v>
      </c>
    </row>
    <row r="903" spans="1:8" x14ac:dyDescent="0.35">
      <c r="A903" s="3" t="s">
        <v>442</v>
      </c>
      <c r="B903" s="3" t="s">
        <v>10</v>
      </c>
      <c r="C903" s="3" t="s">
        <v>445</v>
      </c>
      <c r="D903" s="3" t="s">
        <v>89</v>
      </c>
      <c r="E903" s="3"/>
      <c r="F903" s="3"/>
      <c r="G903" s="3" t="s">
        <v>13</v>
      </c>
      <c r="H903" s="3" t="s">
        <v>59</v>
      </c>
    </row>
    <row r="904" spans="1:8" x14ac:dyDescent="0.35">
      <c r="A904" s="3" t="s">
        <v>2617</v>
      </c>
      <c r="B904" s="3" t="s">
        <v>42</v>
      </c>
      <c r="C904" s="3" t="s">
        <v>2618</v>
      </c>
      <c r="D904" s="3" t="s">
        <v>12</v>
      </c>
      <c r="E904" s="3"/>
      <c r="F904" s="3"/>
      <c r="G904" s="3"/>
      <c r="H904" s="3"/>
    </row>
    <row r="905" spans="1:8" x14ac:dyDescent="0.35">
      <c r="A905" s="3" t="s">
        <v>2617</v>
      </c>
      <c r="B905" s="3" t="s">
        <v>42</v>
      </c>
      <c r="C905" s="3" t="s">
        <v>2618</v>
      </c>
      <c r="D905" s="3" t="s">
        <v>27</v>
      </c>
      <c r="E905" s="3"/>
      <c r="F905" s="3"/>
      <c r="G905" s="3"/>
      <c r="H905" s="3"/>
    </row>
    <row r="906" spans="1:8" x14ac:dyDescent="0.35">
      <c r="A906" s="3" t="s">
        <v>2617</v>
      </c>
      <c r="B906" s="3" t="s">
        <v>42</v>
      </c>
      <c r="C906" s="3" t="s">
        <v>2618</v>
      </c>
      <c r="D906" s="3" t="s">
        <v>56</v>
      </c>
      <c r="E906" s="3" t="s">
        <v>16</v>
      </c>
      <c r="F906" s="3" t="s">
        <v>2619</v>
      </c>
      <c r="G906" s="3"/>
      <c r="H906" s="3"/>
    </row>
    <row r="907" spans="1:8" x14ac:dyDescent="0.35">
      <c r="A907" s="3" t="s">
        <v>446</v>
      </c>
      <c r="B907" s="3" t="s">
        <v>42</v>
      </c>
      <c r="C907" s="3" t="s">
        <v>447</v>
      </c>
      <c r="D907" s="3" t="s">
        <v>12</v>
      </c>
      <c r="E907" s="3"/>
      <c r="F907" s="3"/>
      <c r="G907" s="3" t="s">
        <v>13</v>
      </c>
      <c r="H907" s="3" t="s">
        <v>448</v>
      </c>
    </row>
    <row r="908" spans="1:8" x14ac:dyDescent="0.35">
      <c r="A908" s="3" t="s">
        <v>446</v>
      </c>
      <c r="B908" s="3" t="s">
        <v>42</v>
      </c>
      <c r="C908" s="3" t="s">
        <v>447</v>
      </c>
      <c r="D908" s="3" t="s">
        <v>36</v>
      </c>
      <c r="E908" s="3"/>
      <c r="F908" s="3"/>
      <c r="G908" s="3" t="s">
        <v>13</v>
      </c>
      <c r="H908" s="3" t="s">
        <v>448</v>
      </c>
    </row>
    <row r="909" spans="1:8" x14ac:dyDescent="0.35">
      <c r="A909" s="3" t="s">
        <v>446</v>
      </c>
      <c r="B909" s="3" t="s">
        <v>42</v>
      </c>
      <c r="C909" s="3" t="s">
        <v>447</v>
      </c>
      <c r="D909" s="3" t="s">
        <v>25</v>
      </c>
      <c r="E909" s="3"/>
      <c r="F909" s="3"/>
      <c r="G909" s="3" t="s">
        <v>13</v>
      </c>
      <c r="H909" s="3" t="s">
        <v>448</v>
      </c>
    </row>
    <row r="910" spans="1:8" x14ac:dyDescent="0.35">
      <c r="A910" s="3" t="s">
        <v>446</v>
      </c>
      <c r="B910" s="3" t="s">
        <v>42</v>
      </c>
      <c r="C910" s="3" t="s">
        <v>447</v>
      </c>
      <c r="D910" s="3" t="s">
        <v>71</v>
      </c>
      <c r="E910" s="3"/>
      <c r="F910" s="3"/>
      <c r="G910" s="3" t="s">
        <v>13</v>
      </c>
      <c r="H910" s="3" t="s">
        <v>448</v>
      </c>
    </row>
    <row r="911" spans="1:8" x14ac:dyDescent="0.35">
      <c r="A911" s="3" t="s">
        <v>446</v>
      </c>
      <c r="B911" s="3" t="s">
        <v>42</v>
      </c>
      <c r="C911" s="3" t="s">
        <v>447</v>
      </c>
      <c r="D911" s="3" t="s">
        <v>44</v>
      </c>
      <c r="E911" s="3"/>
      <c r="F911" s="3"/>
      <c r="G911" s="3" t="s">
        <v>13</v>
      </c>
      <c r="H911" s="3" t="s">
        <v>448</v>
      </c>
    </row>
    <row r="912" spans="1:8" x14ac:dyDescent="0.35">
      <c r="A912" s="3" t="s">
        <v>446</v>
      </c>
      <c r="B912" s="3" t="s">
        <v>42</v>
      </c>
      <c r="C912" s="3" t="s">
        <v>447</v>
      </c>
      <c r="D912" s="3" t="s">
        <v>28</v>
      </c>
      <c r="E912" s="3"/>
      <c r="F912" s="3" t="s">
        <v>2361</v>
      </c>
      <c r="G912" s="3" t="s">
        <v>13</v>
      </c>
      <c r="H912" s="3" t="s">
        <v>448</v>
      </c>
    </row>
    <row r="913" spans="1:8" x14ac:dyDescent="0.35">
      <c r="A913" s="3" t="s">
        <v>446</v>
      </c>
      <c r="B913" s="3" t="s">
        <v>42</v>
      </c>
      <c r="C913" s="3" t="s">
        <v>447</v>
      </c>
      <c r="D913" s="3" t="s">
        <v>15</v>
      </c>
      <c r="E913" s="3"/>
      <c r="F913" s="3" t="s">
        <v>2790</v>
      </c>
      <c r="G913" s="3" t="s">
        <v>13</v>
      </c>
      <c r="H913" s="3" t="s">
        <v>448</v>
      </c>
    </row>
    <row r="914" spans="1:8" x14ac:dyDescent="0.35">
      <c r="A914" s="3" t="s">
        <v>446</v>
      </c>
      <c r="B914" s="3" t="s">
        <v>42</v>
      </c>
      <c r="C914" s="3" t="s">
        <v>447</v>
      </c>
      <c r="D914" s="3" t="s">
        <v>57</v>
      </c>
      <c r="E914" s="3"/>
      <c r="F914" s="3"/>
      <c r="G914" s="3" t="s">
        <v>13</v>
      </c>
      <c r="H914" s="3" t="s">
        <v>448</v>
      </c>
    </row>
    <row r="915" spans="1:8" x14ac:dyDescent="0.35">
      <c r="A915" s="3" t="s">
        <v>446</v>
      </c>
      <c r="B915" s="3" t="s">
        <v>42</v>
      </c>
      <c r="C915" s="3" t="s">
        <v>447</v>
      </c>
      <c r="D915" s="3" t="s">
        <v>175</v>
      </c>
      <c r="E915" s="3"/>
      <c r="F915" s="3"/>
      <c r="G915" s="3" t="s">
        <v>13</v>
      </c>
      <c r="H915" s="3" t="s">
        <v>448</v>
      </c>
    </row>
    <row r="916" spans="1:8" x14ac:dyDescent="0.35">
      <c r="A916" s="3" t="s">
        <v>446</v>
      </c>
      <c r="B916" s="3" t="s">
        <v>42</v>
      </c>
      <c r="C916" s="3" t="s">
        <v>447</v>
      </c>
      <c r="D916" s="3" t="s">
        <v>89</v>
      </c>
      <c r="E916" s="3"/>
      <c r="F916" s="3"/>
      <c r="G916" s="3" t="s">
        <v>13</v>
      </c>
      <c r="H916" s="3" t="s">
        <v>448</v>
      </c>
    </row>
    <row r="917" spans="1:8" x14ac:dyDescent="0.35">
      <c r="A917" s="3" t="s">
        <v>446</v>
      </c>
      <c r="B917" s="3" t="s">
        <v>42</v>
      </c>
      <c r="C917" s="3" t="s">
        <v>447</v>
      </c>
      <c r="D917" s="3" t="s">
        <v>32</v>
      </c>
      <c r="E917" s="3" t="s">
        <v>13</v>
      </c>
      <c r="F917" s="3" t="s">
        <v>449</v>
      </c>
      <c r="G917" s="3" t="s">
        <v>13</v>
      </c>
      <c r="H917" s="3" t="s">
        <v>448</v>
      </c>
    </row>
    <row r="918" spans="1:8" x14ac:dyDescent="0.35">
      <c r="A918" s="3" t="s">
        <v>446</v>
      </c>
      <c r="B918" s="3" t="s">
        <v>42</v>
      </c>
      <c r="C918" s="3" t="s">
        <v>447</v>
      </c>
      <c r="D918" s="3" t="s">
        <v>107</v>
      </c>
      <c r="E918" s="3" t="s">
        <v>13</v>
      </c>
      <c r="F918" s="3" t="s">
        <v>325</v>
      </c>
      <c r="G918" s="3" t="s">
        <v>13</v>
      </c>
      <c r="H918" s="3" t="s">
        <v>448</v>
      </c>
    </row>
    <row r="919" spans="1:8" x14ac:dyDescent="0.35">
      <c r="A919" s="3" t="s">
        <v>446</v>
      </c>
      <c r="B919" s="3" t="s">
        <v>42</v>
      </c>
      <c r="C919" s="3" t="s">
        <v>447</v>
      </c>
      <c r="D919" s="3" t="s">
        <v>82</v>
      </c>
      <c r="E919" s="3" t="s">
        <v>13</v>
      </c>
      <c r="F919" s="3" t="s">
        <v>325</v>
      </c>
      <c r="G919" s="3" t="s">
        <v>13</v>
      </c>
      <c r="H919" s="3" t="s">
        <v>448</v>
      </c>
    </row>
    <row r="920" spans="1:8" x14ac:dyDescent="0.35">
      <c r="A920" s="3" t="s">
        <v>446</v>
      </c>
      <c r="B920" s="3" t="s">
        <v>10</v>
      </c>
      <c r="C920" s="3" t="s">
        <v>450</v>
      </c>
      <c r="D920" s="3" t="s">
        <v>28</v>
      </c>
      <c r="E920" s="3"/>
      <c r="F920" s="3"/>
      <c r="G920" s="3" t="s">
        <v>13</v>
      </c>
      <c r="H920" s="3" t="s">
        <v>451</v>
      </c>
    </row>
    <row r="921" spans="1:8" x14ac:dyDescent="0.35">
      <c r="A921" s="3" t="s">
        <v>446</v>
      </c>
      <c r="B921" s="3" t="s">
        <v>10</v>
      </c>
      <c r="C921" s="3" t="s">
        <v>450</v>
      </c>
      <c r="D921" s="3" t="s">
        <v>15</v>
      </c>
      <c r="E921" s="3" t="s">
        <v>13</v>
      </c>
      <c r="F921" s="3" t="s">
        <v>452</v>
      </c>
      <c r="G921" s="3" t="s">
        <v>13</v>
      </c>
      <c r="H921" s="3" t="s">
        <v>451</v>
      </c>
    </row>
    <row r="922" spans="1:8" x14ac:dyDescent="0.35">
      <c r="A922" s="3" t="s">
        <v>446</v>
      </c>
      <c r="B922" s="3" t="s">
        <v>10</v>
      </c>
      <c r="C922" s="3" t="s">
        <v>450</v>
      </c>
      <c r="D922" s="3" t="s">
        <v>32</v>
      </c>
      <c r="E922" s="3" t="s">
        <v>13</v>
      </c>
      <c r="F922" s="3" t="s">
        <v>453</v>
      </c>
      <c r="G922" s="3" t="s">
        <v>13</v>
      </c>
      <c r="H922" s="3" t="s">
        <v>451</v>
      </c>
    </row>
    <row r="923" spans="1:8" x14ac:dyDescent="0.35">
      <c r="A923" s="3" t="s">
        <v>446</v>
      </c>
      <c r="B923" s="3" t="s">
        <v>10</v>
      </c>
      <c r="C923" s="3" t="s">
        <v>454</v>
      </c>
      <c r="D923" s="3" t="s">
        <v>47</v>
      </c>
      <c r="E923" s="3"/>
      <c r="F923" s="3"/>
      <c r="G923" s="3" t="s">
        <v>13</v>
      </c>
      <c r="H923" s="3" t="s">
        <v>448</v>
      </c>
    </row>
    <row r="924" spans="1:8" x14ac:dyDescent="0.35">
      <c r="A924" s="3" t="s">
        <v>446</v>
      </c>
      <c r="B924" s="3" t="s">
        <v>10</v>
      </c>
      <c r="C924" s="3" t="s">
        <v>454</v>
      </c>
      <c r="D924" s="3" t="s">
        <v>15</v>
      </c>
      <c r="E924" s="3" t="s">
        <v>13</v>
      </c>
      <c r="F924" s="3" t="s">
        <v>455</v>
      </c>
      <c r="G924" s="3" t="s">
        <v>13</v>
      </c>
      <c r="H924" s="3" t="s">
        <v>448</v>
      </c>
    </row>
    <row r="925" spans="1:8" x14ac:dyDescent="0.35">
      <c r="A925" s="3" t="s">
        <v>446</v>
      </c>
      <c r="B925" s="3" t="s">
        <v>10</v>
      </c>
      <c r="C925" s="3" t="s">
        <v>454</v>
      </c>
      <c r="D925" s="3" t="s">
        <v>37</v>
      </c>
      <c r="E925" s="3"/>
      <c r="F925" s="3"/>
      <c r="G925" s="3" t="s">
        <v>13</v>
      </c>
      <c r="H925" s="3" t="s">
        <v>448</v>
      </c>
    </row>
    <row r="926" spans="1:8" x14ac:dyDescent="0.35">
      <c r="A926" s="3" t="s">
        <v>446</v>
      </c>
      <c r="B926" s="3" t="s">
        <v>10</v>
      </c>
      <c r="C926" s="3" t="s">
        <v>454</v>
      </c>
      <c r="D926" s="3" t="s">
        <v>134</v>
      </c>
      <c r="E926" s="3"/>
      <c r="F926" s="3"/>
      <c r="G926" s="3" t="s">
        <v>13</v>
      </c>
      <c r="H926" s="3" t="s">
        <v>448</v>
      </c>
    </row>
    <row r="927" spans="1:8" x14ac:dyDescent="0.35">
      <c r="A927" s="3" t="s">
        <v>446</v>
      </c>
      <c r="B927" s="3" t="s">
        <v>20</v>
      </c>
      <c r="C927" s="3" t="s">
        <v>456</v>
      </c>
      <c r="D927" s="3" t="s">
        <v>12</v>
      </c>
      <c r="E927" s="3" t="s">
        <v>13</v>
      </c>
      <c r="F927" s="3" t="s">
        <v>365</v>
      </c>
      <c r="G927" s="3" t="s">
        <v>13</v>
      </c>
      <c r="H927" s="3" t="s">
        <v>457</v>
      </c>
    </row>
    <row r="928" spans="1:8" x14ac:dyDescent="0.35">
      <c r="A928" s="3" t="s">
        <v>446</v>
      </c>
      <c r="B928" s="3" t="s">
        <v>20</v>
      </c>
      <c r="C928" s="3" t="s">
        <v>456</v>
      </c>
      <c r="D928" s="3" t="s">
        <v>15</v>
      </c>
      <c r="E928" s="3" t="s">
        <v>13</v>
      </c>
      <c r="F928" s="3" t="s">
        <v>365</v>
      </c>
      <c r="G928" s="3" t="s">
        <v>13</v>
      </c>
      <c r="H928" s="3" t="s">
        <v>457</v>
      </c>
    </row>
    <row r="929" spans="1:8" x14ac:dyDescent="0.35">
      <c r="A929" s="3" t="s">
        <v>446</v>
      </c>
      <c r="B929" s="3" t="s">
        <v>20</v>
      </c>
      <c r="C929" s="3" t="s">
        <v>456</v>
      </c>
      <c r="D929" s="3" t="s">
        <v>37</v>
      </c>
      <c r="E929" s="3" t="s">
        <v>13</v>
      </c>
      <c r="F929" s="3" t="s">
        <v>365</v>
      </c>
      <c r="G929" s="3" t="s">
        <v>13</v>
      </c>
      <c r="H929" s="3" t="s">
        <v>457</v>
      </c>
    </row>
    <row r="930" spans="1:8" x14ac:dyDescent="0.35">
      <c r="A930" s="3" t="s">
        <v>446</v>
      </c>
      <c r="B930" s="3" t="s">
        <v>20</v>
      </c>
      <c r="C930" s="3" t="s">
        <v>456</v>
      </c>
      <c r="D930" s="3" t="s">
        <v>134</v>
      </c>
      <c r="E930" s="3"/>
      <c r="F930" s="3"/>
      <c r="G930" s="3" t="s">
        <v>13</v>
      </c>
      <c r="H930" s="3" t="s">
        <v>457</v>
      </c>
    </row>
    <row r="931" spans="1:8" x14ac:dyDescent="0.35">
      <c r="A931" s="3" t="s">
        <v>446</v>
      </c>
      <c r="B931" s="3" t="s">
        <v>10</v>
      </c>
      <c r="C931" s="3" t="s">
        <v>2498</v>
      </c>
      <c r="D931" s="3" t="s">
        <v>12</v>
      </c>
      <c r="E931" s="3"/>
      <c r="F931" s="3"/>
      <c r="G931" s="3" t="s">
        <v>13</v>
      </c>
      <c r="H931" s="3" t="s">
        <v>457</v>
      </c>
    </row>
    <row r="932" spans="1:8" x14ac:dyDescent="0.35">
      <c r="A932" s="3" t="s">
        <v>446</v>
      </c>
      <c r="B932" s="3" t="s">
        <v>10</v>
      </c>
      <c r="C932" s="3" t="s">
        <v>2498</v>
      </c>
      <c r="D932" s="3" t="s">
        <v>15</v>
      </c>
      <c r="E932" s="3" t="s">
        <v>16</v>
      </c>
      <c r="F932" s="3" t="s">
        <v>2499</v>
      </c>
      <c r="G932" s="3" t="s">
        <v>13</v>
      </c>
      <c r="H932" s="3" t="s">
        <v>457</v>
      </c>
    </row>
    <row r="933" spans="1:8" x14ac:dyDescent="0.35">
      <c r="A933" s="3" t="s">
        <v>446</v>
      </c>
      <c r="B933" s="3" t="s">
        <v>10</v>
      </c>
      <c r="C933" s="3" t="s">
        <v>2498</v>
      </c>
      <c r="D933" s="3" t="s">
        <v>57</v>
      </c>
      <c r="E933" s="3"/>
      <c r="F933" s="3"/>
      <c r="G933" s="3" t="s">
        <v>13</v>
      </c>
      <c r="H933" s="3" t="s">
        <v>457</v>
      </c>
    </row>
    <row r="934" spans="1:8" x14ac:dyDescent="0.35">
      <c r="A934" s="3" t="s">
        <v>446</v>
      </c>
      <c r="B934" s="3" t="s">
        <v>10</v>
      </c>
      <c r="C934" s="3" t="s">
        <v>2498</v>
      </c>
      <c r="D934" s="3" t="s">
        <v>32</v>
      </c>
      <c r="E934" s="3" t="s">
        <v>16</v>
      </c>
      <c r="F934" s="3" t="s">
        <v>2500</v>
      </c>
      <c r="G934" s="3" t="s">
        <v>13</v>
      </c>
      <c r="H934" s="3" t="s">
        <v>457</v>
      </c>
    </row>
    <row r="935" spans="1:8" x14ac:dyDescent="0.35">
      <c r="A935" s="3" t="s">
        <v>446</v>
      </c>
      <c r="B935" s="3" t="s">
        <v>45</v>
      </c>
      <c r="C935" s="3" t="s">
        <v>458</v>
      </c>
      <c r="D935" s="3" t="s">
        <v>77</v>
      </c>
      <c r="E935" s="3"/>
      <c r="F935" s="3"/>
      <c r="G935" s="3"/>
      <c r="H935" s="3"/>
    </row>
    <row r="936" spans="1:8" x14ac:dyDescent="0.35">
      <c r="A936" s="3" t="s">
        <v>446</v>
      </c>
      <c r="B936" s="3" t="s">
        <v>10</v>
      </c>
      <c r="C936" s="3" t="s">
        <v>2261</v>
      </c>
      <c r="D936" s="3" t="s">
        <v>47</v>
      </c>
      <c r="E936" s="3"/>
      <c r="F936" s="3"/>
      <c r="G936" s="3"/>
      <c r="H936" s="3"/>
    </row>
    <row r="937" spans="1:8" x14ac:dyDescent="0.35">
      <c r="A937" s="3" t="s">
        <v>446</v>
      </c>
      <c r="B937" s="3" t="s">
        <v>10</v>
      </c>
      <c r="C937" s="3" t="s">
        <v>2261</v>
      </c>
      <c r="D937" s="3" t="s">
        <v>15</v>
      </c>
      <c r="E937" s="3" t="s">
        <v>16</v>
      </c>
      <c r="F937" s="3" t="s">
        <v>2284</v>
      </c>
      <c r="G937" s="3"/>
      <c r="H937" s="3"/>
    </row>
    <row r="938" spans="1:8" x14ac:dyDescent="0.35">
      <c r="A938" s="3" t="s">
        <v>446</v>
      </c>
      <c r="B938" s="3" t="s">
        <v>10</v>
      </c>
      <c r="C938" s="3" t="s">
        <v>2261</v>
      </c>
      <c r="D938" s="3" t="s">
        <v>57</v>
      </c>
      <c r="E938" s="3"/>
      <c r="F938" s="3"/>
      <c r="G938" s="3" t="s">
        <v>16</v>
      </c>
      <c r="H938" s="3" t="s">
        <v>451</v>
      </c>
    </row>
    <row r="939" spans="1:8" x14ac:dyDescent="0.35">
      <c r="A939" s="3" t="s">
        <v>446</v>
      </c>
      <c r="B939" s="3" t="s">
        <v>10</v>
      </c>
      <c r="C939" s="3" t="s">
        <v>2261</v>
      </c>
      <c r="D939" s="3" t="s">
        <v>32</v>
      </c>
      <c r="E939" s="3"/>
      <c r="F939" s="3"/>
      <c r="G939" s="3"/>
      <c r="H939" s="3"/>
    </row>
    <row r="940" spans="1:8" x14ac:dyDescent="0.35">
      <c r="A940" s="3" t="s">
        <v>446</v>
      </c>
      <c r="B940" s="3" t="s">
        <v>10</v>
      </c>
      <c r="C940" s="3" t="s">
        <v>2261</v>
      </c>
      <c r="D940" s="3" t="s">
        <v>24</v>
      </c>
      <c r="E940" s="3"/>
      <c r="F940" s="3"/>
      <c r="G940" s="3"/>
      <c r="H940" s="3"/>
    </row>
    <row r="941" spans="1:8" x14ac:dyDescent="0.35">
      <c r="A941" s="3" t="s">
        <v>446</v>
      </c>
      <c r="B941" s="3" t="s">
        <v>45</v>
      </c>
      <c r="C941" s="3" t="s">
        <v>2773</v>
      </c>
      <c r="D941" s="3" t="s">
        <v>56</v>
      </c>
      <c r="E941" s="3"/>
      <c r="F941" s="3"/>
      <c r="G941" s="3"/>
      <c r="H941" s="3"/>
    </row>
    <row r="942" spans="1:8" x14ac:dyDescent="0.35">
      <c r="A942" s="3" t="s">
        <v>446</v>
      </c>
      <c r="B942" s="3" t="s">
        <v>45</v>
      </c>
      <c r="C942" s="3" t="s">
        <v>2773</v>
      </c>
      <c r="D942" s="3" t="s">
        <v>24</v>
      </c>
      <c r="E942" s="3"/>
      <c r="F942" s="3"/>
      <c r="G942" s="3"/>
      <c r="H942" s="3"/>
    </row>
    <row r="943" spans="1:8" x14ac:dyDescent="0.35">
      <c r="A943" s="3" t="s">
        <v>446</v>
      </c>
      <c r="B943" s="3" t="s">
        <v>20</v>
      </c>
      <c r="C943" s="3" t="s">
        <v>459</v>
      </c>
      <c r="D943" s="3" t="s">
        <v>12</v>
      </c>
      <c r="E943" s="3"/>
      <c r="F943" s="3"/>
      <c r="G943" s="3" t="s">
        <v>16</v>
      </c>
      <c r="H943" s="3" t="s">
        <v>448</v>
      </c>
    </row>
    <row r="944" spans="1:8" x14ac:dyDescent="0.35">
      <c r="A944" s="3" t="s">
        <v>446</v>
      </c>
      <c r="B944" s="3" t="s">
        <v>20</v>
      </c>
      <c r="C944" s="3" t="s">
        <v>459</v>
      </c>
      <c r="D944" s="3" t="s">
        <v>71</v>
      </c>
      <c r="E944" s="3"/>
      <c r="F944" s="3"/>
      <c r="G944" s="3" t="s">
        <v>16</v>
      </c>
      <c r="H944" s="3" t="s">
        <v>457</v>
      </c>
    </row>
    <row r="945" spans="1:8" x14ac:dyDescent="0.35">
      <c r="A945" s="3" t="s">
        <v>446</v>
      </c>
      <c r="B945" s="3" t="s">
        <v>20</v>
      </c>
      <c r="C945" s="3" t="s">
        <v>459</v>
      </c>
      <c r="D945" s="3" t="s">
        <v>15</v>
      </c>
      <c r="E945" s="3" t="s">
        <v>16</v>
      </c>
      <c r="F945" s="3" t="s">
        <v>460</v>
      </c>
      <c r="G945" s="3" t="s">
        <v>16</v>
      </c>
      <c r="H945" s="3" t="s">
        <v>457</v>
      </c>
    </row>
    <row r="946" spans="1:8" x14ac:dyDescent="0.35">
      <c r="A946" s="3" t="s">
        <v>446</v>
      </c>
      <c r="B946" s="3" t="s">
        <v>45</v>
      </c>
      <c r="C946" s="3" t="s">
        <v>461</v>
      </c>
      <c r="D946" s="3" t="s">
        <v>77</v>
      </c>
      <c r="E946" s="3"/>
      <c r="F946" s="3"/>
      <c r="G946" s="3"/>
      <c r="H946" s="3"/>
    </row>
    <row r="947" spans="1:8" x14ac:dyDescent="0.35">
      <c r="A947" s="3" t="s">
        <v>446</v>
      </c>
      <c r="B947" s="3" t="s">
        <v>45</v>
      </c>
      <c r="C947" s="3" t="s">
        <v>461</v>
      </c>
      <c r="D947" s="3" t="s">
        <v>56</v>
      </c>
      <c r="E947" s="3" t="s">
        <v>13</v>
      </c>
      <c r="F947" s="3" t="s">
        <v>462</v>
      </c>
      <c r="G947" s="3"/>
      <c r="H947" s="3"/>
    </row>
    <row r="948" spans="1:8" x14ac:dyDescent="0.35">
      <c r="A948" s="3" t="s">
        <v>446</v>
      </c>
      <c r="B948" s="3" t="s">
        <v>45</v>
      </c>
      <c r="C948" s="3" t="s">
        <v>463</v>
      </c>
      <c r="D948" s="3" t="s">
        <v>77</v>
      </c>
      <c r="E948" s="3"/>
      <c r="F948" s="3"/>
      <c r="G948" s="3"/>
      <c r="H948" s="3"/>
    </row>
    <row r="949" spans="1:8" x14ac:dyDescent="0.35">
      <c r="A949" s="3" t="s">
        <v>446</v>
      </c>
      <c r="B949" s="3" t="s">
        <v>39</v>
      </c>
      <c r="C949" s="3" t="s">
        <v>464</v>
      </c>
      <c r="D949" s="3" t="s">
        <v>25</v>
      </c>
      <c r="E949" s="3" t="s">
        <v>16</v>
      </c>
      <c r="F949" s="3" t="s">
        <v>2264</v>
      </c>
      <c r="G949" s="3" t="s">
        <v>16</v>
      </c>
      <c r="H949" s="3" t="s">
        <v>457</v>
      </c>
    </row>
    <row r="950" spans="1:8" x14ac:dyDescent="0.35">
      <c r="A950" s="3" t="s">
        <v>446</v>
      </c>
      <c r="B950" s="3" t="s">
        <v>39</v>
      </c>
      <c r="C950" s="3" t="s">
        <v>464</v>
      </c>
      <c r="D950" s="3" t="s">
        <v>15</v>
      </c>
      <c r="E950" s="3" t="s">
        <v>16</v>
      </c>
      <c r="F950" s="3" t="s">
        <v>466</v>
      </c>
      <c r="G950" s="3" t="s">
        <v>16</v>
      </c>
      <c r="H950" s="3" t="s">
        <v>457</v>
      </c>
    </row>
    <row r="951" spans="1:8" x14ac:dyDescent="0.35">
      <c r="A951" s="3" t="s">
        <v>446</v>
      </c>
      <c r="B951" s="3" t="s">
        <v>39</v>
      </c>
      <c r="C951" s="3" t="s">
        <v>464</v>
      </c>
      <c r="D951" s="3" t="s">
        <v>32</v>
      </c>
      <c r="E951" s="3" t="s">
        <v>16</v>
      </c>
      <c r="F951" s="3" t="s">
        <v>465</v>
      </c>
      <c r="G951" s="3" t="s">
        <v>16</v>
      </c>
      <c r="H951" s="3" t="s">
        <v>457</v>
      </c>
    </row>
    <row r="952" spans="1:8" x14ac:dyDescent="0.35">
      <c r="A952" s="3" t="s">
        <v>446</v>
      </c>
      <c r="B952" s="3" t="s">
        <v>20</v>
      </c>
      <c r="C952" s="3" t="s">
        <v>467</v>
      </c>
      <c r="D952" s="3" t="s">
        <v>12</v>
      </c>
      <c r="E952" s="3"/>
      <c r="F952" s="3"/>
      <c r="G952" s="3" t="s">
        <v>13</v>
      </c>
      <c r="H952" s="3" t="s">
        <v>457</v>
      </c>
    </row>
    <row r="953" spans="1:8" x14ac:dyDescent="0.35">
      <c r="A953" s="3" t="s">
        <v>446</v>
      </c>
      <c r="B953" s="3" t="s">
        <v>20</v>
      </c>
      <c r="C953" s="3" t="s">
        <v>467</v>
      </c>
      <c r="D953" s="3" t="s">
        <v>25</v>
      </c>
      <c r="E953" s="3" t="s">
        <v>13</v>
      </c>
      <c r="F953" s="3" t="s">
        <v>365</v>
      </c>
      <c r="G953" s="3" t="s">
        <v>13</v>
      </c>
      <c r="H953" s="3" t="s">
        <v>457</v>
      </c>
    </row>
    <row r="954" spans="1:8" x14ac:dyDescent="0.35">
      <c r="A954" s="3" t="s">
        <v>446</v>
      </c>
      <c r="B954" s="3" t="s">
        <v>20</v>
      </c>
      <c r="C954" s="3" t="s">
        <v>467</v>
      </c>
      <c r="D954" s="3" t="s">
        <v>60</v>
      </c>
      <c r="E954" s="3" t="s">
        <v>13</v>
      </c>
      <c r="F954" s="3" t="s">
        <v>365</v>
      </c>
      <c r="G954" s="3" t="s">
        <v>13</v>
      </c>
      <c r="H954" s="3" t="s">
        <v>457</v>
      </c>
    </row>
    <row r="955" spans="1:8" x14ac:dyDescent="0.35">
      <c r="A955" s="3" t="s">
        <v>446</v>
      </c>
      <c r="B955" s="3" t="s">
        <v>20</v>
      </c>
      <c r="C955" s="3" t="s">
        <v>467</v>
      </c>
      <c r="D955" s="3" t="s">
        <v>77</v>
      </c>
      <c r="E955" s="3" t="s">
        <v>13</v>
      </c>
      <c r="F955" s="3" t="s">
        <v>365</v>
      </c>
      <c r="G955" s="3" t="s">
        <v>13</v>
      </c>
      <c r="H955" s="3" t="s">
        <v>457</v>
      </c>
    </row>
    <row r="956" spans="1:8" x14ac:dyDescent="0.35">
      <c r="A956" s="3" t="s">
        <v>446</v>
      </c>
      <c r="B956" s="3" t="s">
        <v>20</v>
      </c>
      <c r="C956" s="3" t="s">
        <v>467</v>
      </c>
      <c r="D956" s="3" t="s">
        <v>15</v>
      </c>
      <c r="E956" s="3" t="s">
        <v>13</v>
      </c>
      <c r="F956" s="3" t="s">
        <v>365</v>
      </c>
      <c r="G956" s="3" t="s">
        <v>13</v>
      </c>
      <c r="H956" s="3" t="s">
        <v>457</v>
      </c>
    </row>
    <row r="957" spans="1:8" x14ac:dyDescent="0.35">
      <c r="A957" s="3" t="s">
        <v>446</v>
      </c>
      <c r="B957" s="3" t="s">
        <v>20</v>
      </c>
      <c r="C957" s="3" t="s">
        <v>468</v>
      </c>
      <c r="D957" s="3" t="s">
        <v>12</v>
      </c>
      <c r="E957" s="3"/>
      <c r="F957" s="3"/>
      <c r="G957" s="3" t="s">
        <v>13</v>
      </c>
      <c r="H957" s="3" t="s">
        <v>448</v>
      </c>
    </row>
    <row r="958" spans="1:8" x14ac:dyDescent="0.35">
      <c r="A958" s="3" t="s">
        <v>446</v>
      </c>
      <c r="B958" s="3" t="s">
        <v>20</v>
      </c>
      <c r="C958" s="3" t="s">
        <v>468</v>
      </c>
      <c r="D958" s="3" t="s">
        <v>47</v>
      </c>
      <c r="E958" s="3"/>
      <c r="F958" s="3"/>
      <c r="G958" s="3" t="s">
        <v>13</v>
      </c>
      <c r="H958" s="3" t="s">
        <v>448</v>
      </c>
    </row>
    <row r="959" spans="1:8" x14ac:dyDescent="0.35">
      <c r="A959" s="3" t="s">
        <v>446</v>
      </c>
      <c r="B959" s="3" t="s">
        <v>20</v>
      </c>
      <c r="C959" s="3" t="s">
        <v>468</v>
      </c>
      <c r="D959" s="3" t="s">
        <v>25</v>
      </c>
      <c r="E959" s="3"/>
      <c r="F959" s="3"/>
      <c r="G959" s="3" t="s">
        <v>13</v>
      </c>
      <c r="H959" s="3" t="s">
        <v>448</v>
      </c>
    </row>
    <row r="960" spans="1:8" x14ac:dyDescent="0.35">
      <c r="A960" s="3" t="s">
        <v>446</v>
      </c>
      <c r="B960" s="3" t="s">
        <v>20</v>
      </c>
      <c r="C960" s="3" t="s">
        <v>468</v>
      </c>
      <c r="D960" s="3" t="s">
        <v>87</v>
      </c>
      <c r="E960" s="3"/>
      <c r="F960" s="3"/>
      <c r="G960" s="3" t="s">
        <v>13</v>
      </c>
      <c r="H960" s="3" t="s">
        <v>448</v>
      </c>
    </row>
    <row r="961" spans="1:8" x14ac:dyDescent="0.35">
      <c r="A961" s="3" t="s">
        <v>446</v>
      </c>
      <c r="B961" s="3" t="s">
        <v>20</v>
      </c>
      <c r="C961" s="3" t="s">
        <v>468</v>
      </c>
      <c r="D961" s="3" t="s">
        <v>242</v>
      </c>
      <c r="E961" s="3" t="s">
        <v>33</v>
      </c>
      <c r="F961" s="3" t="s">
        <v>875</v>
      </c>
      <c r="G961" s="3"/>
      <c r="H961" s="3"/>
    </row>
    <row r="962" spans="1:8" x14ac:dyDescent="0.35">
      <c r="A962" s="3" t="s">
        <v>446</v>
      </c>
      <c r="B962" s="3" t="s">
        <v>20</v>
      </c>
      <c r="C962" s="3" t="s">
        <v>468</v>
      </c>
      <c r="D962" s="3" t="s">
        <v>15</v>
      </c>
      <c r="E962" s="3" t="s">
        <v>13</v>
      </c>
      <c r="F962" s="3" t="s">
        <v>469</v>
      </c>
      <c r="G962" s="3" t="s">
        <v>13</v>
      </c>
      <c r="H962" s="3" t="s">
        <v>448</v>
      </c>
    </row>
    <row r="963" spans="1:8" x14ac:dyDescent="0.35">
      <c r="A963" s="3" t="s">
        <v>446</v>
      </c>
      <c r="B963" s="3" t="s">
        <v>20</v>
      </c>
      <c r="C963" s="3" t="s">
        <v>468</v>
      </c>
      <c r="D963" s="3" t="s">
        <v>57</v>
      </c>
      <c r="E963" s="3"/>
      <c r="F963" s="3" t="s">
        <v>2794</v>
      </c>
      <c r="G963" s="3" t="s">
        <v>13</v>
      </c>
      <c r="H963" s="3" t="s">
        <v>448</v>
      </c>
    </row>
    <row r="964" spans="1:8" x14ac:dyDescent="0.35">
      <c r="A964" s="3" t="s">
        <v>446</v>
      </c>
      <c r="B964" s="3" t="s">
        <v>20</v>
      </c>
      <c r="C964" s="3" t="s">
        <v>468</v>
      </c>
      <c r="D964" s="3" t="s">
        <v>89</v>
      </c>
      <c r="E964" s="3"/>
      <c r="F964" s="3"/>
      <c r="G964" s="3" t="s">
        <v>13</v>
      </c>
      <c r="H964" s="3" t="s">
        <v>448</v>
      </c>
    </row>
    <row r="965" spans="1:8" x14ac:dyDescent="0.35">
      <c r="A965" s="3" t="s">
        <v>446</v>
      </c>
      <c r="B965" s="3" t="s">
        <v>20</v>
      </c>
      <c r="C965" s="3" t="s">
        <v>468</v>
      </c>
      <c r="D965" s="3" t="s">
        <v>32</v>
      </c>
      <c r="E965" s="3" t="s">
        <v>13</v>
      </c>
      <c r="F965" s="3" t="s">
        <v>470</v>
      </c>
      <c r="G965" s="3" t="s">
        <v>13</v>
      </c>
      <c r="H965" s="3" t="s">
        <v>448</v>
      </c>
    </row>
    <row r="966" spans="1:8" x14ac:dyDescent="0.35">
      <c r="A966" s="3" t="s">
        <v>446</v>
      </c>
      <c r="B966" s="3" t="s">
        <v>20</v>
      </c>
      <c r="C966" s="3" t="s">
        <v>468</v>
      </c>
      <c r="D966" s="3" t="s">
        <v>29</v>
      </c>
      <c r="E966" s="3"/>
      <c r="F966" s="3" t="s">
        <v>2332</v>
      </c>
      <c r="G966" s="3" t="s">
        <v>13</v>
      </c>
      <c r="H966" s="3" t="s">
        <v>448</v>
      </c>
    </row>
    <row r="967" spans="1:8" x14ac:dyDescent="0.35">
      <c r="A967" s="3" t="s">
        <v>446</v>
      </c>
      <c r="B967" s="3" t="s">
        <v>20</v>
      </c>
      <c r="C967" s="3" t="s">
        <v>468</v>
      </c>
      <c r="D967" s="3" t="s">
        <v>107</v>
      </c>
      <c r="E967" s="3" t="s">
        <v>33</v>
      </c>
      <c r="F967" s="3" t="s">
        <v>875</v>
      </c>
      <c r="G967" s="3"/>
      <c r="H967" s="3"/>
    </row>
    <row r="968" spans="1:8" x14ac:dyDescent="0.35">
      <c r="A968" s="3" t="s">
        <v>446</v>
      </c>
      <c r="B968" s="3" t="s">
        <v>302</v>
      </c>
      <c r="C968" s="3" t="s">
        <v>471</v>
      </c>
      <c r="D968" s="3" t="s">
        <v>12</v>
      </c>
      <c r="E968" s="3"/>
      <c r="F968" s="3"/>
      <c r="G968" s="3" t="s">
        <v>13</v>
      </c>
      <c r="H968" s="3" t="s">
        <v>457</v>
      </c>
    </row>
    <row r="969" spans="1:8" x14ac:dyDescent="0.35">
      <c r="A969" s="3" t="s">
        <v>446</v>
      </c>
      <c r="B969" s="3" t="s">
        <v>302</v>
      </c>
      <c r="C969" s="3" t="s">
        <v>471</v>
      </c>
      <c r="D969" s="3" t="s">
        <v>29</v>
      </c>
      <c r="E969" s="3"/>
      <c r="F969" s="11"/>
      <c r="G969" s="3" t="s">
        <v>13</v>
      </c>
      <c r="H969" s="3" t="s">
        <v>457</v>
      </c>
    </row>
    <row r="970" spans="1:8" x14ac:dyDescent="0.35">
      <c r="A970" s="3" t="s">
        <v>446</v>
      </c>
      <c r="B970" s="3" t="s">
        <v>45</v>
      </c>
      <c r="C970" s="3" t="s">
        <v>472</v>
      </c>
      <c r="D970" s="3" t="s">
        <v>77</v>
      </c>
      <c r="E970" s="3"/>
      <c r="F970" s="3"/>
      <c r="G970" s="3"/>
      <c r="H970" s="3"/>
    </row>
    <row r="971" spans="1:8" x14ac:dyDescent="0.35">
      <c r="A971" s="3" t="s">
        <v>2504</v>
      </c>
      <c r="B971" s="3" t="s">
        <v>42</v>
      </c>
      <c r="C971" s="3" t="s">
        <v>2505</v>
      </c>
      <c r="D971" s="3" t="s">
        <v>23</v>
      </c>
      <c r="E971" s="3"/>
      <c r="F971" s="3"/>
      <c r="G971" s="3" t="s">
        <v>16</v>
      </c>
      <c r="H971" s="3" t="s">
        <v>2506</v>
      </c>
    </row>
    <row r="972" spans="1:8" x14ac:dyDescent="0.35">
      <c r="A972" s="3" t="s">
        <v>2504</v>
      </c>
      <c r="B972" s="3" t="s">
        <v>42</v>
      </c>
      <c r="C972" s="3" t="s">
        <v>2505</v>
      </c>
      <c r="D972" s="3" t="s">
        <v>27</v>
      </c>
      <c r="E972" s="3"/>
      <c r="F972" s="3"/>
      <c r="G972" s="3" t="s">
        <v>16</v>
      </c>
      <c r="H972" s="3" t="s">
        <v>2506</v>
      </c>
    </row>
    <row r="973" spans="1:8" x14ac:dyDescent="0.35">
      <c r="A973" s="3" t="s">
        <v>2504</v>
      </c>
      <c r="B973" s="3" t="s">
        <v>42</v>
      </c>
      <c r="C973" s="3" t="s">
        <v>2505</v>
      </c>
      <c r="D973" s="3" t="s">
        <v>44</v>
      </c>
      <c r="E973" s="3"/>
      <c r="F973" s="3"/>
      <c r="G973" s="3" t="s">
        <v>16</v>
      </c>
      <c r="H973" s="3" t="s">
        <v>2506</v>
      </c>
    </row>
    <row r="974" spans="1:8" x14ac:dyDescent="0.35">
      <c r="A974" s="3" t="s">
        <v>2504</v>
      </c>
      <c r="B974" s="3" t="s">
        <v>42</v>
      </c>
      <c r="C974" s="3" t="s">
        <v>2505</v>
      </c>
      <c r="D974" s="3" t="s">
        <v>24</v>
      </c>
      <c r="E974" s="3"/>
      <c r="F974" s="3"/>
      <c r="G974" s="3" t="s">
        <v>16</v>
      </c>
      <c r="H974" s="3" t="s">
        <v>2506</v>
      </c>
    </row>
    <row r="975" spans="1:8" x14ac:dyDescent="0.35">
      <c r="A975" s="3" t="s">
        <v>473</v>
      </c>
      <c r="B975" s="3" t="s">
        <v>45</v>
      </c>
      <c r="C975" s="3" t="s">
        <v>2766</v>
      </c>
      <c r="D975" s="3" t="s">
        <v>56</v>
      </c>
      <c r="E975" s="3"/>
      <c r="F975" s="3"/>
      <c r="G975" s="3"/>
      <c r="H975" s="3"/>
    </row>
    <row r="976" spans="1:8" x14ac:dyDescent="0.35">
      <c r="A976" s="3" t="s">
        <v>473</v>
      </c>
      <c r="B976" s="3" t="s">
        <v>45</v>
      </c>
      <c r="C976" s="3" t="s">
        <v>2766</v>
      </c>
      <c r="D976" s="3" t="s">
        <v>24</v>
      </c>
      <c r="E976" s="3"/>
      <c r="F976" s="3"/>
      <c r="G976" s="3"/>
      <c r="H976" s="3"/>
    </row>
    <row r="977" spans="1:8" x14ac:dyDescent="0.35">
      <c r="A977" s="3" t="s">
        <v>473</v>
      </c>
      <c r="B977" s="3" t="s">
        <v>45</v>
      </c>
      <c r="C977" s="3" t="s">
        <v>2831</v>
      </c>
      <c r="D977" s="3" t="s">
        <v>77</v>
      </c>
      <c r="E977" s="3"/>
      <c r="F977" s="3"/>
      <c r="G977" s="3"/>
      <c r="H977" s="3"/>
    </row>
    <row r="978" spans="1:8" x14ac:dyDescent="0.35">
      <c r="A978" s="3" t="s">
        <v>473</v>
      </c>
      <c r="B978" s="3" t="s">
        <v>45</v>
      </c>
      <c r="C978" s="3" t="s">
        <v>2831</v>
      </c>
      <c r="D978" s="3" t="s">
        <v>56</v>
      </c>
      <c r="E978" s="3" t="s">
        <v>13</v>
      </c>
      <c r="F978" s="3" t="s">
        <v>474</v>
      </c>
      <c r="G978" s="3"/>
      <c r="H978" s="3"/>
    </row>
    <row r="979" spans="1:8" x14ac:dyDescent="0.35">
      <c r="A979" s="3" t="s">
        <v>473</v>
      </c>
      <c r="B979" s="3" t="s">
        <v>45</v>
      </c>
      <c r="C979" s="3" t="s">
        <v>2831</v>
      </c>
      <c r="D979" s="3" t="s">
        <v>89</v>
      </c>
      <c r="E979" s="3"/>
      <c r="F979" s="3"/>
      <c r="G979" s="3"/>
      <c r="H979" s="3"/>
    </row>
    <row r="980" spans="1:8" x14ac:dyDescent="0.35">
      <c r="A980" s="3" t="s">
        <v>473</v>
      </c>
      <c r="B980" s="3" t="s">
        <v>45</v>
      </c>
      <c r="C980" s="3" t="s">
        <v>2831</v>
      </c>
      <c r="D980" s="3" t="s">
        <v>475</v>
      </c>
      <c r="E980" s="3"/>
      <c r="F980" s="3"/>
      <c r="G980" s="3"/>
      <c r="H980" s="3"/>
    </row>
    <row r="981" spans="1:8" x14ac:dyDescent="0.35">
      <c r="A981" s="3" t="s">
        <v>473</v>
      </c>
      <c r="B981" s="3" t="s">
        <v>45</v>
      </c>
      <c r="C981" s="3" t="s">
        <v>2266</v>
      </c>
      <c r="D981" s="3" t="s">
        <v>77</v>
      </c>
      <c r="E981" s="3"/>
      <c r="F981" s="3"/>
      <c r="G981" s="3" t="s">
        <v>13</v>
      </c>
      <c r="H981" s="3" t="s">
        <v>2640</v>
      </c>
    </row>
    <row r="982" spans="1:8" x14ac:dyDescent="0.35">
      <c r="A982" s="3" t="s">
        <v>473</v>
      </c>
      <c r="B982" s="3" t="s">
        <v>42</v>
      </c>
      <c r="C982" s="3" t="s">
        <v>2635</v>
      </c>
      <c r="D982" s="3" t="s">
        <v>23</v>
      </c>
      <c r="E982" s="3" t="s">
        <v>16</v>
      </c>
      <c r="F982" s="3" t="s">
        <v>2636</v>
      </c>
      <c r="G982" s="3" t="s">
        <v>13</v>
      </c>
      <c r="H982" s="3" t="s">
        <v>2640</v>
      </c>
    </row>
    <row r="983" spans="1:8" x14ac:dyDescent="0.35">
      <c r="A983" s="3" t="s">
        <v>473</v>
      </c>
      <c r="B983" s="3" t="s">
        <v>42</v>
      </c>
      <c r="C983" s="3" t="s">
        <v>2635</v>
      </c>
      <c r="D983" s="3" t="s">
        <v>47</v>
      </c>
      <c r="E983" s="3" t="s">
        <v>16</v>
      </c>
      <c r="F983" s="3" t="s">
        <v>2637</v>
      </c>
      <c r="G983" s="3"/>
      <c r="H983" s="3"/>
    </row>
    <row r="984" spans="1:8" x14ac:dyDescent="0.35">
      <c r="A984" s="3" t="s">
        <v>473</v>
      </c>
      <c r="B984" s="3" t="s">
        <v>42</v>
      </c>
      <c r="C984" s="3" t="s">
        <v>2635</v>
      </c>
      <c r="D984" s="3" t="s">
        <v>44</v>
      </c>
      <c r="E984" s="3"/>
      <c r="F984" s="3"/>
      <c r="G984" s="3"/>
      <c r="H984" s="3"/>
    </row>
    <row r="985" spans="1:8" x14ac:dyDescent="0.35">
      <c r="A985" s="3" t="s">
        <v>473</v>
      </c>
      <c r="B985" s="3" t="s">
        <v>42</v>
      </c>
      <c r="C985" s="3" t="s">
        <v>2635</v>
      </c>
      <c r="D985" s="3" t="s">
        <v>15</v>
      </c>
      <c r="E985" s="3" t="s">
        <v>16</v>
      </c>
      <c r="F985" s="3" t="s">
        <v>2638</v>
      </c>
      <c r="G985" s="3" t="s">
        <v>13</v>
      </c>
      <c r="H985" s="3" t="s">
        <v>477</v>
      </c>
    </row>
    <row r="986" spans="1:8" x14ac:dyDescent="0.35">
      <c r="A986" s="3" t="s">
        <v>473</v>
      </c>
      <c r="B986" s="3" t="s">
        <v>42</v>
      </c>
      <c r="C986" s="3" t="s">
        <v>2635</v>
      </c>
      <c r="D986" s="3" t="s">
        <v>134</v>
      </c>
      <c r="E986" s="3"/>
      <c r="F986" s="3"/>
      <c r="G986" s="3"/>
      <c r="H986" s="3"/>
    </row>
    <row r="987" spans="1:8" x14ac:dyDescent="0.35">
      <c r="A987" s="3" t="s">
        <v>473</v>
      </c>
      <c r="B987" s="3" t="s">
        <v>42</v>
      </c>
      <c r="C987" s="3" t="s">
        <v>2635</v>
      </c>
      <c r="D987" s="3" t="s">
        <v>107</v>
      </c>
      <c r="E987" s="3" t="s">
        <v>16</v>
      </c>
      <c r="F987" s="3" t="s">
        <v>2639</v>
      </c>
      <c r="G987" s="3"/>
      <c r="H987" s="3"/>
    </row>
    <row r="988" spans="1:8" x14ac:dyDescent="0.35">
      <c r="A988" s="3" t="s">
        <v>473</v>
      </c>
      <c r="B988" s="3" t="s">
        <v>20</v>
      </c>
      <c r="C988" s="3" t="s">
        <v>476</v>
      </c>
      <c r="D988" s="3" t="s">
        <v>23</v>
      </c>
      <c r="E988" s="3"/>
      <c r="F988" s="3"/>
      <c r="G988" s="3" t="s">
        <v>13</v>
      </c>
      <c r="H988" s="3" t="s">
        <v>477</v>
      </c>
    </row>
    <row r="989" spans="1:8" x14ac:dyDescent="0.35">
      <c r="A989" s="3" t="s">
        <v>473</v>
      </c>
      <c r="B989" s="3" t="s">
        <v>20</v>
      </c>
      <c r="C989" s="3" t="s">
        <v>476</v>
      </c>
      <c r="D989" s="3" t="s">
        <v>25</v>
      </c>
      <c r="E989" s="3"/>
      <c r="F989" s="3"/>
      <c r="G989" s="3" t="s">
        <v>13</v>
      </c>
      <c r="H989" s="3" t="s">
        <v>477</v>
      </c>
    </row>
    <row r="990" spans="1:8" x14ac:dyDescent="0.35">
      <c r="A990" s="3" t="s">
        <v>473</v>
      </c>
      <c r="B990" s="3" t="s">
        <v>20</v>
      </c>
      <c r="C990" s="3" t="s">
        <v>476</v>
      </c>
      <c r="D990" s="3" t="s">
        <v>32</v>
      </c>
      <c r="E990" s="3" t="s">
        <v>13</v>
      </c>
      <c r="F990" s="3" t="s">
        <v>2456</v>
      </c>
      <c r="G990" s="3" t="s">
        <v>13</v>
      </c>
      <c r="H990" s="3" t="s">
        <v>477</v>
      </c>
    </row>
    <row r="991" spans="1:8" x14ac:dyDescent="0.35">
      <c r="A991" s="3" t="s">
        <v>473</v>
      </c>
      <c r="B991" s="3" t="s">
        <v>39</v>
      </c>
      <c r="C991" s="3" t="s">
        <v>478</v>
      </c>
      <c r="D991" s="3" t="s">
        <v>24</v>
      </c>
      <c r="E991" s="3"/>
      <c r="F991" s="3"/>
      <c r="G991" s="3"/>
      <c r="H991" s="3"/>
    </row>
    <row r="992" spans="1:8" x14ac:dyDescent="0.35">
      <c r="A992" s="3" t="s">
        <v>473</v>
      </c>
      <c r="B992" s="3" t="s">
        <v>45</v>
      </c>
      <c r="C992" s="3" t="s">
        <v>479</v>
      </c>
      <c r="D992" s="3" t="s">
        <v>77</v>
      </c>
      <c r="E992" s="3"/>
      <c r="F992" s="3"/>
      <c r="G992" s="3"/>
      <c r="H992" s="3"/>
    </row>
    <row r="993" spans="1:8" x14ac:dyDescent="0.35">
      <c r="A993" s="3" t="s">
        <v>473</v>
      </c>
      <c r="B993" s="3" t="s">
        <v>45</v>
      </c>
      <c r="C993" s="3" t="s">
        <v>479</v>
      </c>
      <c r="D993" s="3" t="s">
        <v>56</v>
      </c>
      <c r="E993" s="3" t="s">
        <v>13</v>
      </c>
      <c r="F993" s="3" t="s">
        <v>480</v>
      </c>
      <c r="G993" s="3"/>
      <c r="H993" s="3"/>
    </row>
    <row r="994" spans="1:8" x14ac:dyDescent="0.35">
      <c r="A994" s="3" t="s">
        <v>473</v>
      </c>
      <c r="B994" s="3" t="s">
        <v>45</v>
      </c>
      <c r="C994" s="3" t="s">
        <v>481</v>
      </c>
      <c r="D994" s="3" t="s">
        <v>23</v>
      </c>
      <c r="E994" s="3" t="s">
        <v>33</v>
      </c>
      <c r="F994" s="3" t="s">
        <v>723</v>
      </c>
      <c r="G994" s="3"/>
      <c r="H994" s="3"/>
    </row>
    <row r="995" spans="1:8" x14ac:dyDescent="0.35">
      <c r="A995" s="3" t="s">
        <v>473</v>
      </c>
      <c r="B995" s="3" t="s">
        <v>45</v>
      </c>
      <c r="C995" s="3" t="s">
        <v>481</v>
      </c>
      <c r="D995" s="3" t="s">
        <v>25</v>
      </c>
      <c r="E995" s="3"/>
      <c r="F995" s="3"/>
      <c r="G995" s="3"/>
      <c r="H995" s="3"/>
    </row>
    <row r="996" spans="1:8" x14ac:dyDescent="0.35">
      <c r="A996" s="3" t="s">
        <v>473</v>
      </c>
      <c r="B996" s="3" t="s">
        <v>45</v>
      </c>
      <c r="C996" s="3" t="s">
        <v>481</v>
      </c>
      <c r="D996" s="3" t="s">
        <v>15</v>
      </c>
      <c r="E996" s="3" t="s">
        <v>33</v>
      </c>
      <c r="F996" s="3" t="s">
        <v>34</v>
      </c>
      <c r="G996" s="3"/>
      <c r="H996" s="3"/>
    </row>
    <row r="997" spans="1:8" x14ac:dyDescent="0.35">
      <c r="A997" s="3" t="s">
        <v>473</v>
      </c>
      <c r="B997" s="3" t="s">
        <v>45</v>
      </c>
      <c r="C997" s="3" t="s">
        <v>481</v>
      </c>
      <c r="D997" s="3" t="s">
        <v>56</v>
      </c>
      <c r="E997" s="3"/>
      <c r="F997" s="3"/>
      <c r="G997" s="3"/>
      <c r="H997" s="3"/>
    </row>
    <row r="998" spans="1:8" x14ac:dyDescent="0.35">
      <c r="A998" s="3" t="s">
        <v>473</v>
      </c>
      <c r="B998" s="3" t="s">
        <v>45</v>
      </c>
      <c r="C998" s="3" t="s">
        <v>481</v>
      </c>
      <c r="D998" s="3" t="s">
        <v>24</v>
      </c>
      <c r="E998" s="3"/>
      <c r="F998" s="3"/>
      <c r="G998" s="3"/>
      <c r="H998" s="3"/>
    </row>
    <row r="999" spans="1:8" x14ac:dyDescent="0.35">
      <c r="A999" s="3" t="s">
        <v>482</v>
      </c>
      <c r="B999" s="3" t="s">
        <v>45</v>
      </c>
      <c r="C999" s="3" t="s">
        <v>483</v>
      </c>
      <c r="D999" s="3" t="s">
        <v>12</v>
      </c>
      <c r="E999" s="3"/>
      <c r="F999" s="3"/>
      <c r="G999" s="3" t="s">
        <v>16</v>
      </c>
      <c r="H999" s="3" t="s">
        <v>484</v>
      </c>
    </row>
    <row r="1000" spans="1:8" x14ac:dyDescent="0.35">
      <c r="A1000" s="3" t="s">
        <v>482</v>
      </c>
      <c r="B1000" s="3" t="s">
        <v>45</v>
      </c>
      <c r="C1000" s="3" t="s">
        <v>483</v>
      </c>
      <c r="D1000" s="3" t="s">
        <v>15</v>
      </c>
      <c r="E1000" s="3" t="s">
        <v>16</v>
      </c>
      <c r="F1000" s="3" t="s">
        <v>485</v>
      </c>
      <c r="G1000" s="3" t="s">
        <v>16</v>
      </c>
      <c r="H1000" s="3" t="s">
        <v>484</v>
      </c>
    </row>
    <row r="1001" spans="1:8" x14ac:dyDescent="0.35">
      <c r="A1001" s="3" t="s">
        <v>482</v>
      </c>
      <c r="B1001" s="3" t="s">
        <v>45</v>
      </c>
      <c r="C1001" s="3" t="s">
        <v>483</v>
      </c>
      <c r="D1001" s="3" t="s">
        <v>24</v>
      </c>
      <c r="E1001" s="3"/>
      <c r="F1001" s="3"/>
      <c r="G1001" s="3" t="s">
        <v>16</v>
      </c>
      <c r="H1001" s="3" t="s">
        <v>484</v>
      </c>
    </row>
    <row r="1002" spans="1:8" x14ac:dyDescent="0.35">
      <c r="A1002" s="3" t="s">
        <v>482</v>
      </c>
      <c r="B1002" s="3" t="s">
        <v>39</v>
      </c>
      <c r="C1002" s="3" t="s">
        <v>2586</v>
      </c>
      <c r="D1002" s="3" t="s">
        <v>12</v>
      </c>
      <c r="E1002" s="3"/>
      <c r="F1002" s="3"/>
      <c r="G1002" s="3" t="s">
        <v>16</v>
      </c>
      <c r="H1002" s="3" t="s">
        <v>484</v>
      </c>
    </row>
    <row r="1003" spans="1:8" x14ac:dyDescent="0.35">
      <c r="A1003" s="3" t="s">
        <v>482</v>
      </c>
      <c r="B1003" s="3" t="s">
        <v>39</v>
      </c>
      <c r="C1003" s="3" t="s">
        <v>2586</v>
      </c>
      <c r="D1003" s="3" t="s">
        <v>60</v>
      </c>
      <c r="E1003" s="3"/>
      <c r="F1003" s="3"/>
      <c r="G1003" s="3" t="s">
        <v>16</v>
      </c>
      <c r="H1003" s="3" t="s">
        <v>484</v>
      </c>
    </row>
    <row r="1004" spans="1:8" x14ac:dyDescent="0.35">
      <c r="A1004" s="3" t="s">
        <v>482</v>
      </c>
      <c r="B1004" s="3" t="s">
        <v>39</v>
      </c>
      <c r="C1004" s="3" t="s">
        <v>2586</v>
      </c>
      <c r="D1004" s="3" t="s">
        <v>56</v>
      </c>
      <c r="E1004" s="3"/>
      <c r="F1004" s="3"/>
      <c r="G1004" s="3" t="s">
        <v>16</v>
      </c>
      <c r="H1004" s="3" t="s">
        <v>484</v>
      </c>
    </row>
    <row r="1005" spans="1:8" x14ac:dyDescent="0.35">
      <c r="A1005" s="3" t="s">
        <v>482</v>
      </c>
      <c r="B1005" s="3" t="s">
        <v>39</v>
      </c>
      <c r="C1005" s="3" t="s">
        <v>2586</v>
      </c>
      <c r="D1005" s="3" t="s">
        <v>24</v>
      </c>
      <c r="E1005" s="3"/>
      <c r="F1005" s="3"/>
      <c r="G1005" s="3" t="s">
        <v>16</v>
      </c>
      <c r="H1005" s="3" t="s">
        <v>484</v>
      </c>
    </row>
    <row r="1006" spans="1:8" x14ac:dyDescent="0.35">
      <c r="A1006" s="3" t="s">
        <v>482</v>
      </c>
      <c r="B1006" s="3" t="s">
        <v>20</v>
      </c>
      <c r="C1006" s="3" t="s">
        <v>486</v>
      </c>
      <c r="D1006" s="3" t="s">
        <v>60</v>
      </c>
      <c r="E1006" s="3" t="s">
        <v>33</v>
      </c>
      <c r="F1006" s="3" t="s">
        <v>487</v>
      </c>
      <c r="G1006" s="3"/>
      <c r="H1006" s="3"/>
    </row>
    <row r="1007" spans="1:8" x14ac:dyDescent="0.35">
      <c r="A1007" s="3" t="s">
        <v>482</v>
      </c>
      <c r="B1007" s="3" t="s">
        <v>20</v>
      </c>
      <c r="C1007" s="3" t="s">
        <v>486</v>
      </c>
      <c r="D1007" s="3" t="s">
        <v>28</v>
      </c>
      <c r="E1007" s="3" t="s">
        <v>33</v>
      </c>
      <c r="F1007" s="3" t="s">
        <v>487</v>
      </c>
      <c r="G1007" s="3"/>
      <c r="H1007" s="3"/>
    </row>
    <row r="1008" spans="1:8" x14ac:dyDescent="0.35">
      <c r="A1008" s="3" t="s">
        <v>482</v>
      </c>
      <c r="B1008" s="3" t="s">
        <v>20</v>
      </c>
      <c r="C1008" s="3" t="s">
        <v>486</v>
      </c>
      <c r="D1008" s="3" t="s">
        <v>56</v>
      </c>
      <c r="E1008" s="3" t="s">
        <v>33</v>
      </c>
      <c r="F1008" s="3" t="s">
        <v>487</v>
      </c>
      <c r="G1008" s="3"/>
      <c r="H1008" s="3"/>
    </row>
    <row r="1009" spans="1:8" x14ac:dyDescent="0.35">
      <c r="A1009" s="3" t="s">
        <v>482</v>
      </c>
      <c r="B1009" s="3" t="s">
        <v>39</v>
      </c>
      <c r="C1009" s="3" t="s">
        <v>488</v>
      </c>
      <c r="D1009" s="3" t="s">
        <v>12</v>
      </c>
      <c r="E1009" s="3"/>
      <c r="F1009" s="3"/>
      <c r="G1009" s="3" t="s">
        <v>13</v>
      </c>
      <c r="H1009" s="3" t="s">
        <v>484</v>
      </c>
    </row>
    <row r="1010" spans="1:8" x14ac:dyDescent="0.35">
      <c r="A1010" s="3" t="s">
        <v>482</v>
      </c>
      <c r="B1010" s="3" t="s">
        <v>39</v>
      </c>
      <c r="C1010" s="3" t="s">
        <v>488</v>
      </c>
      <c r="D1010" s="3" t="s">
        <v>27</v>
      </c>
      <c r="E1010" s="3" t="s">
        <v>13</v>
      </c>
      <c r="F1010" s="3" t="s">
        <v>136</v>
      </c>
      <c r="G1010" s="3" t="s">
        <v>13</v>
      </c>
      <c r="H1010" s="3" t="s">
        <v>484</v>
      </c>
    </row>
    <row r="1011" spans="1:8" x14ac:dyDescent="0.35">
      <c r="A1011" s="3" t="s">
        <v>482</v>
      </c>
      <c r="B1011" s="3" t="s">
        <v>39</v>
      </c>
      <c r="C1011" s="3" t="s">
        <v>488</v>
      </c>
      <c r="D1011" s="3" t="s">
        <v>56</v>
      </c>
      <c r="E1011" s="3" t="s">
        <v>13</v>
      </c>
      <c r="F1011" s="3" t="s">
        <v>489</v>
      </c>
      <c r="G1011" s="3" t="s">
        <v>13</v>
      </c>
      <c r="H1011" s="3" t="s">
        <v>484</v>
      </c>
    </row>
    <row r="1012" spans="1:8" x14ac:dyDescent="0.35">
      <c r="A1012" s="3" t="s">
        <v>482</v>
      </c>
      <c r="B1012" s="3" t="s">
        <v>39</v>
      </c>
      <c r="C1012" s="3" t="s">
        <v>488</v>
      </c>
      <c r="D1012" s="3" t="s">
        <v>26</v>
      </c>
      <c r="E1012" s="3" t="s">
        <v>13</v>
      </c>
      <c r="F1012" s="3" t="s">
        <v>136</v>
      </c>
      <c r="G1012" s="3" t="s">
        <v>13</v>
      </c>
      <c r="H1012" s="3" t="s">
        <v>484</v>
      </c>
    </row>
    <row r="1013" spans="1:8" x14ac:dyDescent="0.35">
      <c r="A1013" s="3" t="s">
        <v>482</v>
      </c>
      <c r="B1013" s="3" t="s">
        <v>39</v>
      </c>
      <c r="C1013" s="3" t="s">
        <v>488</v>
      </c>
      <c r="D1013" s="3" t="s">
        <v>29</v>
      </c>
      <c r="E1013" s="3"/>
      <c r="F1013" s="3" t="s">
        <v>2332</v>
      </c>
      <c r="G1013" s="3" t="s">
        <v>13</v>
      </c>
      <c r="H1013" s="3" t="s">
        <v>484</v>
      </c>
    </row>
    <row r="1014" spans="1:8" x14ac:dyDescent="0.35">
      <c r="A1014" s="3" t="s">
        <v>482</v>
      </c>
      <c r="B1014" s="3" t="s">
        <v>42</v>
      </c>
      <c r="C1014" s="3" t="s">
        <v>490</v>
      </c>
      <c r="D1014" s="3" t="s">
        <v>44</v>
      </c>
      <c r="E1014" s="3"/>
      <c r="F1014" s="3"/>
      <c r="G1014" s="3" t="s">
        <v>13</v>
      </c>
      <c r="H1014" s="3" t="s">
        <v>484</v>
      </c>
    </row>
    <row r="1015" spans="1:8" x14ac:dyDescent="0.35">
      <c r="A1015" s="3" t="s">
        <v>482</v>
      </c>
      <c r="B1015" s="3" t="s">
        <v>42</v>
      </c>
      <c r="C1015" s="3" t="s">
        <v>490</v>
      </c>
      <c r="D1015" s="3" t="s">
        <v>56</v>
      </c>
      <c r="E1015" s="3" t="s">
        <v>13</v>
      </c>
      <c r="F1015" s="3" t="s">
        <v>491</v>
      </c>
      <c r="G1015" s="3" t="s">
        <v>13</v>
      </c>
      <c r="H1015" s="3" t="s">
        <v>484</v>
      </c>
    </row>
    <row r="1016" spans="1:8" x14ac:dyDescent="0.35">
      <c r="A1016" s="3" t="s">
        <v>482</v>
      </c>
      <c r="B1016" s="3" t="s">
        <v>42</v>
      </c>
      <c r="C1016" s="3" t="s">
        <v>490</v>
      </c>
      <c r="D1016" s="3" t="s">
        <v>134</v>
      </c>
      <c r="E1016" s="3" t="s">
        <v>13</v>
      </c>
      <c r="F1016" s="3" t="s">
        <v>492</v>
      </c>
      <c r="G1016" s="3" t="s">
        <v>13</v>
      </c>
      <c r="H1016" s="3" t="s">
        <v>484</v>
      </c>
    </row>
    <row r="1017" spans="1:8" x14ac:dyDescent="0.35">
      <c r="A1017" s="3" t="s">
        <v>482</v>
      </c>
      <c r="B1017" s="3" t="s">
        <v>42</v>
      </c>
      <c r="C1017" s="3" t="s">
        <v>490</v>
      </c>
      <c r="D1017" s="3" t="s">
        <v>82</v>
      </c>
      <c r="E1017" s="3" t="s">
        <v>13</v>
      </c>
      <c r="F1017" s="3" t="s">
        <v>325</v>
      </c>
      <c r="G1017" s="3" t="s">
        <v>13</v>
      </c>
      <c r="H1017" s="3" t="s">
        <v>484</v>
      </c>
    </row>
    <row r="1018" spans="1:8" x14ac:dyDescent="0.35">
      <c r="A1018" s="3" t="s">
        <v>482</v>
      </c>
      <c r="B1018" s="3" t="s">
        <v>39</v>
      </c>
      <c r="C1018" s="3" t="s">
        <v>493</v>
      </c>
      <c r="D1018" s="3" t="s">
        <v>15</v>
      </c>
      <c r="E1018" s="3" t="s">
        <v>13</v>
      </c>
      <c r="F1018" s="3" t="s">
        <v>365</v>
      </c>
      <c r="G1018" s="3"/>
      <c r="H1018" s="3"/>
    </row>
    <row r="1019" spans="1:8" x14ac:dyDescent="0.35">
      <c r="A1019" s="3" t="s">
        <v>482</v>
      </c>
      <c r="B1019" s="3" t="s">
        <v>10</v>
      </c>
      <c r="C1019" s="3" t="s">
        <v>2537</v>
      </c>
      <c r="D1019" s="3" t="s">
        <v>27</v>
      </c>
      <c r="E1019" s="3"/>
      <c r="F1019" s="3"/>
      <c r="G1019" s="3" t="s">
        <v>13</v>
      </c>
      <c r="H1019" s="3" t="s">
        <v>484</v>
      </c>
    </row>
    <row r="1020" spans="1:8" x14ac:dyDescent="0.35">
      <c r="A1020" s="3" t="s">
        <v>482</v>
      </c>
      <c r="B1020" s="3" t="s">
        <v>10</v>
      </c>
      <c r="C1020" s="3" t="s">
        <v>2537</v>
      </c>
      <c r="D1020" s="3" t="s">
        <v>87</v>
      </c>
      <c r="E1020" s="3"/>
      <c r="F1020" s="3" t="s">
        <v>2538</v>
      </c>
      <c r="G1020" s="3" t="s">
        <v>13</v>
      </c>
      <c r="H1020" s="3" t="s">
        <v>484</v>
      </c>
    </row>
    <row r="1021" spans="1:8" x14ac:dyDescent="0.35">
      <c r="A1021" s="3" t="s">
        <v>482</v>
      </c>
      <c r="B1021" s="3" t="s">
        <v>10</v>
      </c>
      <c r="C1021" s="3" t="s">
        <v>2537</v>
      </c>
      <c r="D1021" s="3" t="s">
        <v>15</v>
      </c>
      <c r="E1021" s="3" t="s">
        <v>16</v>
      </c>
      <c r="F1021" s="3" t="s">
        <v>2536</v>
      </c>
      <c r="G1021" s="3" t="s">
        <v>13</v>
      </c>
      <c r="H1021" s="3" t="s">
        <v>484</v>
      </c>
    </row>
    <row r="1022" spans="1:8" x14ac:dyDescent="0.35">
      <c r="A1022" s="3" t="s">
        <v>482</v>
      </c>
      <c r="B1022" s="3" t="s">
        <v>10</v>
      </c>
      <c r="C1022" s="3" t="s">
        <v>2537</v>
      </c>
      <c r="D1022" s="3" t="s">
        <v>24</v>
      </c>
      <c r="E1022" s="3"/>
      <c r="F1022" s="3"/>
      <c r="G1022" s="3" t="s">
        <v>13</v>
      </c>
      <c r="H1022" s="3" t="s">
        <v>484</v>
      </c>
    </row>
    <row r="1023" spans="1:8" x14ac:dyDescent="0.35">
      <c r="A1023" s="3" t="s">
        <v>482</v>
      </c>
      <c r="B1023" s="3" t="s">
        <v>10</v>
      </c>
      <c r="C1023" s="3" t="s">
        <v>494</v>
      </c>
      <c r="D1023" s="3" t="s">
        <v>12</v>
      </c>
      <c r="E1023" s="3"/>
      <c r="F1023" s="3"/>
      <c r="G1023" s="3" t="s">
        <v>13</v>
      </c>
      <c r="H1023" s="3" t="s">
        <v>484</v>
      </c>
    </row>
    <row r="1024" spans="1:8" x14ac:dyDescent="0.35">
      <c r="A1024" s="3" t="s">
        <v>482</v>
      </c>
      <c r="B1024" s="3" t="s">
        <v>10</v>
      </c>
      <c r="C1024" s="3" t="s">
        <v>494</v>
      </c>
      <c r="D1024" s="3" t="s">
        <v>15</v>
      </c>
      <c r="E1024" s="3"/>
      <c r="F1024" s="3"/>
      <c r="G1024" s="3" t="s">
        <v>13</v>
      </c>
      <c r="H1024" s="3" t="s">
        <v>484</v>
      </c>
    </row>
    <row r="1025" spans="1:8" x14ac:dyDescent="0.35">
      <c r="A1025" s="3" t="s">
        <v>482</v>
      </c>
      <c r="B1025" s="3" t="s">
        <v>10</v>
      </c>
      <c r="C1025" s="3" t="s">
        <v>494</v>
      </c>
      <c r="D1025" s="3" t="s">
        <v>134</v>
      </c>
      <c r="E1025" s="3"/>
      <c r="F1025" s="3"/>
      <c r="G1025" s="3" t="s">
        <v>13</v>
      </c>
      <c r="H1025" s="3" t="s">
        <v>484</v>
      </c>
    </row>
    <row r="1026" spans="1:8" x14ac:dyDescent="0.35">
      <c r="A1026" s="3" t="s">
        <v>482</v>
      </c>
      <c r="B1026" s="3" t="s">
        <v>302</v>
      </c>
      <c r="C1026" s="3" t="s">
        <v>2535</v>
      </c>
      <c r="D1026" s="3" t="s">
        <v>15</v>
      </c>
      <c r="E1026" s="3" t="s">
        <v>16</v>
      </c>
      <c r="F1026" s="3" t="s">
        <v>2536</v>
      </c>
      <c r="G1026" s="3" t="s">
        <v>13</v>
      </c>
      <c r="H1026" s="3" t="s">
        <v>484</v>
      </c>
    </row>
    <row r="1027" spans="1:8" x14ac:dyDescent="0.35">
      <c r="A1027" s="3" t="s">
        <v>482</v>
      </c>
      <c r="B1027" s="3" t="s">
        <v>302</v>
      </c>
      <c r="C1027" s="3" t="s">
        <v>2535</v>
      </c>
      <c r="D1027" s="3" t="s">
        <v>134</v>
      </c>
      <c r="E1027" s="3"/>
      <c r="F1027" s="3"/>
      <c r="G1027" s="3" t="s">
        <v>13</v>
      </c>
      <c r="H1027" s="3" t="s">
        <v>484</v>
      </c>
    </row>
    <row r="1028" spans="1:8" x14ac:dyDescent="0.35">
      <c r="A1028" s="3" t="s">
        <v>482</v>
      </c>
      <c r="B1028" s="3" t="s">
        <v>20</v>
      </c>
      <c r="C1028" s="3" t="s">
        <v>495</v>
      </c>
      <c r="D1028" s="3" t="s">
        <v>25</v>
      </c>
      <c r="E1028" s="3"/>
      <c r="F1028" s="3"/>
      <c r="G1028" s="3" t="s">
        <v>13</v>
      </c>
      <c r="H1028" s="3" t="s">
        <v>484</v>
      </c>
    </row>
    <row r="1029" spans="1:8" x14ac:dyDescent="0.35">
      <c r="A1029" s="3" t="s">
        <v>482</v>
      </c>
      <c r="B1029" s="3" t="s">
        <v>20</v>
      </c>
      <c r="C1029" s="3" t="s">
        <v>495</v>
      </c>
      <c r="D1029" s="3" t="s">
        <v>87</v>
      </c>
      <c r="E1029" s="3"/>
      <c r="F1029" s="3"/>
      <c r="G1029" s="3" t="s">
        <v>13</v>
      </c>
      <c r="H1029" s="3" t="s">
        <v>484</v>
      </c>
    </row>
    <row r="1030" spans="1:8" x14ac:dyDescent="0.35">
      <c r="A1030" s="3" t="s">
        <v>482</v>
      </c>
      <c r="B1030" s="3" t="s">
        <v>20</v>
      </c>
      <c r="C1030" s="3" t="s">
        <v>495</v>
      </c>
      <c r="D1030" s="3" t="s">
        <v>15</v>
      </c>
      <c r="E1030" s="3" t="s">
        <v>13</v>
      </c>
      <c r="F1030" s="3" t="s">
        <v>496</v>
      </c>
      <c r="G1030" s="3" t="s">
        <v>13</v>
      </c>
      <c r="H1030" s="3" t="s">
        <v>484</v>
      </c>
    </row>
    <row r="1031" spans="1:8" x14ac:dyDescent="0.35">
      <c r="A1031" s="3" t="s">
        <v>482</v>
      </c>
      <c r="B1031" s="3" t="s">
        <v>20</v>
      </c>
      <c r="C1031" s="3" t="s">
        <v>495</v>
      </c>
      <c r="D1031" s="3" t="s">
        <v>24</v>
      </c>
      <c r="E1031" s="3"/>
      <c r="F1031" s="3"/>
      <c r="G1031" s="3" t="s">
        <v>13</v>
      </c>
      <c r="H1031" s="3" t="s">
        <v>484</v>
      </c>
    </row>
    <row r="1032" spans="1:8" x14ac:dyDescent="0.35">
      <c r="A1032" s="3" t="s">
        <v>482</v>
      </c>
      <c r="B1032" s="3" t="s">
        <v>20</v>
      </c>
      <c r="C1032" s="3" t="s">
        <v>495</v>
      </c>
      <c r="D1032" s="3" t="s">
        <v>134</v>
      </c>
      <c r="E1032" s="3" t="s">
        <v>13</v>
      </c>
      <c r="F1032" s="3"/>
      <c r="G1032" s="3" t="s">
        <v>13</v>
      </c>
      <c r="H1032" s="3" t="s">
        <v>484</v>
      </c>
    </row>
    <row r="1033" spans="1:8" x14ac:dyDescent="0.35">
      <c r="A1033" s="3" t="s">
        <v>482</v>
      </c>
      <c r="B1033" s="3" t="s">
        <v>45</v>
      </c>
      <c r="C1033" s="3" t="s">
        <v>497</v>
      </c>
      <c r="D1033" s="3" t="s">
        <v>77</v>
      </c>
      <c r="E1033" s="3"/>
      <c r="F1033" s="3"/>
      <c r="G1033" s="3" t="s">
        <v>13</v>
      </c>
      <c r="H1033" s="3" t="s">
        <v>484</v>
      </c>
    </row>
    <row r="1034" spans="1:8" x14ac:dyDescent="0.35">
      <c r="A1034" s="3" t="s">
        <v>482</v>
      </c>
      <c r="B1034" s="3" t="s">
        <v>45</v>
      </c>
      <c r="C1034" s="3" t="s">
        <v>497</v>
      </c>
      <c r="D1034" s="3" t="s">
        <v>15</v>
      </c>
      <c r="E1034" s="3" t="s">
        <v>13</v>
      </c>
      <c r="F1034" s="3" t="s">
        <v>498</v>
      </c>
      <c r="G1034" s="3" t="s">
        <v>13</v>
      </c>
      <c r="H1034" s="3" t="s">
        <v>484</v>
      </c>
    </row>
    <row r="1035" spans="1:8" x14ac:dyDescent="0.35">
      <c r="A1035" s="3" t="s">
        <v>482</v>
      </c>
      <c r="B1035" s="3" t="s">
        <v>45</v>
      </c>
      <c r="C1035" s="3" t="s">
        <v>497</v>
      </c>
      <c r="D1035" s="3" t="s">
        <v>56</v>
      </c>
      <c r="E1035" s="3" t="s">
        <v>13</v>
      </c>
      <c r="F1035" s="3" t="s">
        <v>498</v>
      </c>
      <c r="G1035" s="3" t="s">
        <v>13</v>
      </c>
      <c r="H1035" s="3" t="s">
        <v>484</v>
      </c>
    </row>
    <row r="1036" spans="1:8" x14ac:dyDescent="0.35">
      <c r="A1036" s="3" t="s">
        <v>482</v>
      </c>
      <c r="B1036" s="3" t="s">
        <v>45</v>
      </c>
      <c r="C1036" s="3" t="s">
        <v>497</v>
      </c>
      <c r="D1036" s="3" t="s">
        <v>24</v>
      </c>
      <c r="E1036" s="3"/>
      <c r="F1036" s="3"/>
      <c r="G1036" s="3" t="s">
        <v>13</v>
      </c>
      <c r="H1036" s="3" t="s">
        <v>484</v>
      </c>
    </row>
    <row r="1037" spans="1:8" x14ac:dyDescent="0.35">
      <c r="A1037" s="3" t="s">
        <v>482</v>
      </c>
      <c r="B1037" s="3" t="s">
        <v>45</v>
      </c>
      <c r="C1037" s="3" t="s">
        <v>497</v>
      </c>
      <c r="D1037" s="3" t="s">
        <v>290</v>
      </c>
      <c r="E1037" s="3"/>
      <c r="F1037" s="3"/>
      <c r="G1037" s="3" t="s">
        <v>13</v>
      </c>
      <c r="H1037" s="3" t="s">
        <v>484</v>
      </c>
    </row>
    <row r="1038" spans="1:8" x14ac:dyDescent="0.35">
      <c r="A1038" s="3" t="s">
        <v>482</v>
      </c>
      <c r="B1038" s="3" t="s">
        <v>45</v>
      </c>
      <c r="C1038" s="3" t="s">
        <v>499</v>
      </c>
      <c r="D1038" s="3" t="s">
        <v>77</v>
      </c>
      <c r="E1038" s="3"/>
      <c r="F1038" s="3"/>
      <c r="G1038" s="3"/>
      <c r="H1038" s="3"/>
    </row>
    <row r="1039" spans="1:8" x14ac:dyDescent="0.35">
      <c r="A1039" s="3" t="s">
        <v>482</v>
      </c>
      <c r="B1039" s="3" t="s">
        <v>45</v>
      </c>
      <c r="C1039" s="3" t="s">
        <v>500</v>
      </c>
      <c r="D1039" s="3" t="s">
        <v>15</v>
      </c>
      <c r="E1039" s="3" t="s">
        <v>13</v>
      </c>
      <c r="F1039" s="3" t="s">
        <v>501</v>
      </c>
      <c r="G1039" s="3" t="s">
        <v>13</v>
      </c>
      <c r="H1039" s="3" t="s">
        <v>502</v>
      </c>
    </row>
    <row r="1040" spans="1:8" x14ac:dyDescent="0.35">
      <c r="A1040" s="3" t="s">
        <v>482</v>
      </c>
      <c r="B1040" s="3" t="s">
        <v>45</v>
      </c>
      <c r="C1040" s="3" t="s">
        <v>500</v>
      </c>
      <c r="D1040" s="3" t="s">
        <v>32</v>
      </c>
      <c r="E1040" s="3" t="s">
        <v>13</v>
      </c>
      <c r="F1040" s="3" t="s">
        <v>503</v>
      </c>
      <c r="G1040" s="3" t="s">
        <v>13</v>
      </c>
      <c r="H1040" s="3" t="s">
        <v>484</v>
      </c>
    </row>
    <row r="1041" spans="1:8" x14ac:dyDescent="0.35">
      <c r="A1041" s="3" t="s">
        <v>482</v>
      </c>
      <c r="B1041" s="3" t="s">
        <v>45</v>
      </c>
      <c r="C1041" s="3" t="s">
        <v>500</v>
      </c>
      <c r="D1041" s="3" t="s">
        <v>24</v>
      </c>
      <c r="E1041" s="3"/>
      <c r="F1041" s="3"/>
      <c r="G1041" s="3" t="s">
        <v>13</v>
      </c>
      <c r="H1041" s="3" t="s">
        <v>484</v>
      </c>
    </row>
    <row r="1042" spans="1:8" x14ac:dyDescent="0.35">
      <c r="A1042" s="3" t="s">
        <v>482</v>
      </c>
      <c r="B1042" s="3" t="s">
        <v>45</v>
      </c>
      <c r="C1042" s="3" t="s">
        <v>500</v>
      </c>
      <c r="D1042" s="3" t="s">
        <v>290</v>
      </c>
      <c r="E1042" s="3"/>
      <c r="F1042" s="3"/>
      <c r="G1042" s="3" t="s">
        <v>13</v>
      </c>
      <c r="H1042" s="3" t="s">
        <v>502</v>
      </c>
    </row>
    <row r="1043" spans="1:8" x14ac:dyDescent="0.35">
      <c r="A1043" s="3" t="s">
        <v>504</v>
      </c>
      <c r="B1043" s="3" t="s">
        <v>39</v>
      </c>
      <c r="C1043" s="3" t="s">
        <v>505</v>
      </c>
      <c r="D1043" s="3" t="s">
        <v>23</v>
      </c>
      <c r="E1043" s="3"/>
      <c r="F1043" s="3"/>
      <c r="G1043" s="3" t="s">
        <v>13</v>
      </c>
      <c r="H1043" s="3" t="s">
        <v>506</v>
      </c>
    </row>
    <row r="1044" spans="1:8" x14ac:dyDescent="0.35">
      <c r="A1044" s="3" t="s">
        <v>504</v>
      </c>
      <c r="B1044" s="3" t="s">
        <v>39</v>
      </c>
      <c r="C1044" s="3" t="s">
        <v>505</v>
      </c>
      <c r="D1044" s="3" t="s">
        <v>25</v>
      </c>
      <c r="E1044" s="3"/>
      <c r="F1044" s="3"/>
      <c r="G1044" s="3" t="s">
        <v>13</v>
      </c>
      <c r="H1044" s="3" t="s">
        <v>506</v>
      </c>
    </row>
    <row r="1045" spans="1:8" x14ac:dyDescent="0.35">
      <c r="A1045" s="3" t="s">
        <v>504</v>
      </c>
      <c r="B1045" s="3" t="s">
        <v>39</v>
      </c>
      <c r="C1045" s="3" t="s">
        <v>505</v>
      </c>
      <c r="D1045" s="3" t="s">
        <v>27</v>
      </c>
      <c r="E1045" s="3"/>
      <c r="F1045" s="3"/>
      <c r="G1045" s="3" t="s">
        <v>13</v>
      </c>
      <c r="H1045" s="3" t="s">
        <v>506</v>
      </c>
    </row>
    <row r="1046" spans="1:8" x14ac:dyDescent="0.35">
      <c r="A1046" s="3" t="s">
        <v>504</v>
      </c>
      <c r="B1046" s="3" t="s">
        <v>39</v>
      </c>
      <c r="C1046" s="3" t="s">
        <v>505</v>
      </c>
      <c r="D1046" s="3" t="s">
        <v>32</v>
      </c>
      <c r="E1046" s="3" t="s">
        <v>13</v>
      </c>
      <c r="F1046" s="3" t="s">
        <v>507</v>
      </c>
      <c r="G1046" s="3" t="s">
        <v>13</v>
      </c>
      <c r="H1046" s="3" t="s">
        <v>506</v>
      </c>
    </row>
    <row r="1047" spans="1:8" x14ac:dyDescent="0.35">
      <c r="A1047" s="3" t="s">
        <v>504</v>
      </c>
      <c r="B1047" s="3" t="s">
        <v>42</v>
      </c>
      <c r="C1047" s="3" t="s">
        <v>508</v>
      </c>
      <c r="D1047" s="3" t="s">
        <v>36</v>
      </c>
      <c r="E1047" s="3"/>
      <c r="F1047" s="3"/>
      <c r="G1047" s="3" t="s">
        <v>16</v>
      </c>
      <c r="H1047" s="3" t="s">
        <v>509</v>
      </c>
    </row>
    <row r="1048" spans="1:8" x14ac:dyDescent="0.35">
      <c r="A1048" s="3" t="s">
        <v>504</v>
      </c>
      <c r="B1048" s="3" t="s">
        <v>42</v>
      </c>
      <c r="C1048" s="3" t="s">
        <v>508</v>
      </c>
      <c r="D1048" s="3" t="s">
        <v>23</v>
      </c>
      <c r="E1048" s="3"/>
      <c r="F1048" s="3"/>
      <c r="G1048" s="3" t="s">
        <v>13</v>
      </c>
      <c r="H1048" s="3" t="s">
        <v>509</v>
      </c>
    </row>
    <row r="1049" spans="1:8" x14ac:dyDescent="0.35">
      <c r="A1049" s="3" t="s">
        <v>504</v>
      </c>
      <c r="B1049" s="3" t="s">
        <v>42</v>
      </c>
      <c r="C1049" s="3" t="s">
        <v>508</v>
      </c>
      <c r="D1049" s="3" t="s">
        <v>25</v>
      </c>
      <c r="E1049" s="3"/>
      <c r="F1049" s="3"/>
      <c r="G1049" s="3" t="s">
        <v>13</v>
      </c>
      <c r="H1049" s="3" t="s">
        <v>509</v>
      </c>
    </row>
    <row r="1050" spans="1:8" x14ac:dyDescent="0.35">
      <c r="A1050" s="3" t="s">
        <v>504</v>
      </c>
      <c r="B1050" s="3" t="s">
        <v>42</v>
      </c>
      <c r="C1050" s="3" t="s">
        <v>508</v>
      </c>
      <c r="D1050" s="3" t="s">
        <v>27</v>
      </c>
      <c r="E1050" s="3" t="s">
        <v>33</v>
      </c>
      <c r="F1050" s="3" t="s">
        <v>875</v>
      </c>
      <c r="G1050" s="3"/>
      <c r="H1050" s="3"/>
    </row>
    <row r="1051" spans="1:8" x14ac:dyDescent="0.35">
      <c r="A1051" s="3" t="s">
        <v>504</v>
      </c>
      <c r="B1051" s="3" t="s">
        <v>42</v>
      </c>
      <c r="C1051" s="3" t="s">
        <v>508</v>
      </c>
      <c r="D1051" s="3" t="s">
        <v>142</v>
      </c>
      <c r="E1051" s="3"/>
      <c r="F1051" s="3"/>
      <c r="G1051" s="3" t="s">
        <v>13</v>
      </c>
      <c r="H1051" s="3" t="s">
        <v>509</v>
      </c>
    </row>
    <row r="1052" spans="1:8" x14ac:dyDescent="0.35">
      <c r="A1052" s="3" t="s">
        <v>504</v>
      </c>
      <c r="B1052" s="3" t="s">
        <v>42</v>
      </c>
      <c r="C1052" s="3" t="s">
        <v>508</v>
      </c>
      <c r="D1052" s="3" t="s">
        <v>44</v>
      </c>
      <c r="E1052" s="3"/>
      <c r="F1052" s="3"/>
      <c r="G1052" s="3" t="s">
        <v>13</v>
      </c>
      <c r="H1052" s="3" t="s">
        <v>509</v>
      </c>
    </row>
    <row r="1053" spans="1:8" x14ac:dyDescent="0.35">
      <c r="A1053" s="3" t="s">
        <v>504</v>
      </c>
      <c r="B1053" s="3" t="s">
        <v>42</v>
      </c>
      <c r="C1053" s="3" t="s">
        <v>508</v>
      </c>
      <c r="D1053" s="3" t="s">
        <v>98</v>
      </c>
      <c r="E1053" s="3"/>
      <c r="F1053" s="3"/>
      <c r="G1053" s="3" t="s">
        <v>13</v>
      </c>
      <c r="H1053" s="3" t="s">
        <v>509</v>
      </c>
    </row>
    <row r="1054" spans="1:8" x14ac:dyDescent="0.35">
      <c r="A1054" s="3" t="s">
        <v>504</v>
      </c>
      <c r="B1054" s="3" t="s">
        <v>42</v>
      </c>
      <c r="C1054" s="3" t="s">
        <v>508</v>
      </c>
      <c r="D1054" s="3" t="s">
        <v>15</v>
      </c>
      <c r="E1054" s="3" t="s">
        <v>16</v>
      </c>
      <c r="F1054" s="3" t="s">
        <v>2874</v>
      </c>
      <c r="G1054" s="3" t="s">
        <v>16</v>
      </c>
      <c r="H1054" s="3" t="s">
        <v>509</v>
      </c>
    </row>
    <row r="1055" spans="1:8" x14ac:dyDescent="0.35">
      <c r="A1055" s="3" t="s">
        <v>504</v>
      </c>
      <c r="B1055" s="3" t="s">
        <v>42</v>
      </c>
      <c r="C1055" s="3" t="s">
        <v>508</v>
      </c>
      <c r="D1055" s="3" t="s">
        <v>56</v>
      </c>
      <c r="E1055" s="3" t="s">
        <v>16</v>
      </c>
      <c r="F1055" s="3" t="s">
        <v>2676</v>
      </c>
      <c r="G1055" s="3" t="s">
        <v>16</v>
      </c>
      <c r="H1055" s="3" t="s">
        <v>509</v>
      </c>
    </row>
    <row r="1056" spans="1:8" x14ac:dyDescent="0.35">
      <c r="A1056" s="3" t="s">
        <v>504</v>
      </c>
      <c r="B1056" s="3" t="s">
        <v>42</v>
      </c>
      <c r="C1056" s="3" t="s">
        <v>508</v>
      </c>
      <c r="D1056" s="3" t="s">
        <v>32</v>
      </c>
      <c r="E1056" s="3" t="s">
        <v>33</v>
      </c>
      <c r="F1056" s="3" t="s">
        <v>2677</v>
      </c>
      <c r="G1056" s="3"/>
      <c r="H1056" s="3"/>
    </row>
    <row r="1057" spans="1:8" x14ac:dyDescent="0.35">
      <c r="A1057" s="3" t="s">
        <v>504</v>
      </c>
      <c r="B1057" s="3" t="s">
        <v>42</v>
      </c>
      <c r="C1057" s="3" t="s">
        <v>508</v>
      </c>
      <c r="D1057" s="3" t="s">
        <v>134</v>
      </c>
      <c r="E1057" s="3" t="s">
        <v>13</v>
      </c>
      <c r="F1057" s="3" t="s">
        <v>510</v>
      </c>
      <c r="G1057" s="3" t="s">
        <v>13</v>
      </c>
      <c r="H1057" s="3" t="s">
        <v>509</v>
      </c>
    </row>
    <row r="1058" spans="1:8" x14ac:dyDescent="0.35">
      <c r="A1058" s="3" t="s">
        <v>504</v>
      </c>
      <c r="B1058" s="3" t="s">
        <v>42</v>
      </c>
      <c r="C1058" s="3" t="s">
        <v>508</v>
      </c>
      <c r="D1058" s="3" t="s">
        <v>107</v>
      </c>
      <c r="E1058" s="3" t="s">
        <v>13</v>
      </c>
      <c r="F1058" s="3" t="s">
        <v>511</v>
      </c>
      <c r="G1058" s="3" t="s">
        <v>13</v>
      </c>
      <c r="H1058" s="3" t="s">
        <v>509</v>
      </c>
    </row>
    <row r="1059" spans="1:8" x14ac:dyDescent="0.35">
      <c r="A1059" s="3" t="s">
        <v>504</v>
      </c>
      <c r="B1059" s="3" t="s">
        <v>45</v>
      </c>
      <c r="C1059" s="3" t="s">
        <v>2775</v>
      </c>
      <c r="D1059" s="3" t="s">
        <v>77</v>
      </c>
      <c r="E1059" s="3" t="s">
        <v>33</v>
      </c>
      <c r="F1059" s="3" t="s">
        <v>34</v>
      </c>
      <c r="G1059" s="3"/>
      <c r="H1059" s="3"/>
    </row>
    <row r="1060" spans="1:8" x14ac:dyDescent="0.35">
      <c r="A1060" s="3" t="s">
        <v>504</v>
      </c>
      <c r="B1060" s="3" t="s">
        <v>45</v>
      </c>
      <c r="C1060" s="3" t="s">
        <v>2775</v>
      </c>
      <c r="D1060" s="3" t="s">
        <v>98</v>
      </c>
      <c r="E1060" s="3"/>
      <c r="F1060" s="3"/>
      <c r="G1060" s="3"/>
      <c r="H1060" s="3"/>
    </row>
    <row r="1061" spans="1:8" x14ac:dyDescent="0.35">
      <c r="A1061" s="3" t="s">
        <v>504</v>
      </c>
      <c r="B1061" s="3" t="s">
        <v>45</v>
      </c>
      <c r="C1061" s="3" t="s">
        <v>2775</v>
      </c>
      <c r="D1061" s="3" t="s">
        <v>24</v>
      </c>
      <c r="E1061" s="3"/>
      <c r="F1061" s="3"/>
      <c r="G1061" s="3"/>
      <c r="H1061" s="3"/>
    </row>
    <row r="1062" spans="1:8" x14ac:dyDescent="0.35">
      <c r="A1062" s="3" t="s">
        <v>504</v>
      </c>
      <c r="B1062" s="3" t="s">
        <v>45</v>
      </c>
      <c r="C1062" s="3" t="s">
        <v>512</v>
      </c>
      <c r="D1062" s="3" t="s">
        <v>56</v>
      </c>
      <c r="E1062" s="3" t="s">
        <v>13</v>
      </c>
      <c r="F1062" s="3" t="s">
        <v>2462</v>
      </c>
      <c r="G1062" s="3"/>
      <c r="H1062" s="3"/>
    </row>
    <row r="1063" spans="1:8" x14ac:dyDescent="0.35">
      <c r="A1063" s="3" t="s">
        <v>504</v>
      </c>
      <c r="B1063" s="3" t="s">
        <v>20</v>
      </c>
      <c r="C1063" s="3" t="s">
        <v>513</v>
      </c>
      <c r="D1063" s="3" t="s">
        <v>27</v>
      </c>
      <c r="E1063" s="3" t="s">
        <v>13</v>
      </c>
      <c r="F1063" s="3" t="s">
        <v>365</v>
      </c>
      <c r="G1063" s="3" t="s">
        <v>13</v>
      </c>
      <c r="H1063" s="3" t="s">
        <v>506</v>
      </c>
    </row>
    <row r="1064" spans="1:8" x14ac:dyDescent="0.35">
      <c r="A1064" s="3" t="s">
        <v>504</v>
      </c>
      <c r="B1064" s="3" t="s">
        <v>20</v>
      </c>
      <c r="C1064" s="3" t="s">
        <v>513</v>
      </c>
      <c r="D1064" s="3" t="s">
        <v>87</v>
      </c>
      <c r="E1064" s="3" t="s">
        <v>13</v>
      </c>
      <c r="F1064" s="3" t="s">
        <v>365</v>
      </c>
      <c r="G1064" s="3" t="s">
        <v>13</v>
      </c>
      <c r="H1064" s="3" t="s">
        <v>506</v>
      </c>
    </row>
    <row r="1065" spans="1:8" x14ac:dyDescent="0.35">
      <c r="A1065" s="3" t="s">
        <v>504</v>
      </c>
      <c r="B1065" s="3" t="s">
        <v>20</v>
      </c>
      <c r="C1065" s="3" t="s">
        <v>513</v>
      </c>
      <c r="D1065" s="3" t="s">
        <v>15</v>
      </c>
      <c r="E1065" s="3" t="s">
        <v>13</v>
      </c>
      <c r="F1065" s="3" t="s">
        <v>515</v>
      </c>
      <c r="G1065" s="3" t="s">
        <v>13</v>
      </c>
      <c r="H1065" s="3" t="s">
        <v>506</v>
      </c>
    </row>
    <row r="1066" spans="1:8" x14ac:dyDescent="0.35">
      <c r="A1066" s="3" t="s">
        <v>504</v>
      </c>
      <c r="B1066" s="3" t="s">
        <v>20</v>
      </c>
      <c r="C1066" s="3" t="s">
        <v>513</v>
      </c>
      <c r="D1066" s="3" t="s">
        <v>89</v>
      </c>
      <c r="E1066" s="3" t="s">
        <v>13</v>
      </c>
      <c r="F1066" s="3" t="s">
        <v>514</v>
      </c>
      <c r="G1066" s="3" t="s">
        <v>13</v>
      </c>
      <c r="H1066" s="3" t="s">
        <v>506</v>
      </c>
    </row>
    <row r="1067" spans="1:8" x14ac:dyDescent="0.35">
      <c r="A1067" s="3" t="s">
        <v>504</v>
      </c>
      <c r="B1067" s="3" t="s">
        <v>20</v>
      </c>
      <c r="C1067" s="3" t="s">
        <v>516</v>
      </c>
      <c r="D1067" s="3" t="s">
        <v>12</v>
      </c>
      <c r="E1067" s="3"/>
      <c r="F1067" s="3"/>
      <c r="G1067" s="3" t="s">
        <v>13</v>
      </c>
      <c r="H1067" s="3" t="s">
        <v>509</v>
      </c>
    </row>
    <row r="1068" spans="1:8" x14ac:dyDescent="0.35">
      <c r="A1068" s="3" t="s">
        <v>504</v>
      </c>
      <c r="B1068" s="3" t="s">
        <v>20</v>
      </c>
      <c r="C1068" s="3" t="s">
        <v>516</v>
      </c>
      <c r="D1068" s="3" t="s">
        <v>23</v>
      </c>
      <c r="E1068" s="3"/>
      <c r="F1068" s="3"/>
      <c r="G1068" s="3" t="s">
        <v>13</v>
      </c>
      <c r="H1068" s="3" t="s">
        <v>509</v>
      </c>
    </row>
    <row r="1069" spans="1:8" x14ac:dyDescent="0.35">
      <c r="A1069" s="3" t="s">
        <v>504</v>
      </c>
      <c r="B1069" s="3" t="s">
        <v>20</v>
      </c>
      <c r="C1069" s="3" t="s">
        <v>516</v>
      </c>
      <c r="D1069" s="3" t="s">
        <v>25</v>
      </c>
      <c r="E1069" s="3"/>
      <c r="F1069" s="3"/>
      <c r="G1069" s="3" t="s">
        <v>13</v>
      </c>
      <c r="H1069" s="3" t="s">
        <v>509</v>
      </c>
    </row>
    <row r="1070" spans="1:8" x14ac:dyDescent="0.35">
      <c r="A1070" s="3" t="s">
        <v>504</v>
      </c>
      <c r="B1070" s="3" t="s">
        <v>20</v>
      </c>
      <c r="C1070" s="3" t="s">
        <v>516</v>
      </c>
      <c r="D1070" s="3" t="s">
        <v>60</v>
      </c>
      <c r="E1070" s="3"/>
      <c r="F1070" s="3"/>
      <c r="G1070" s="3" t="s">
        <v>13</v>
      </c>
      <c r="H1070" s="3" t="s">
        <v>506</v>
      </c>
    </row>
    <row r="1071" spans="1:8" x14ac:dyDescent="0.35">
      <c r="A1071" s="3" t="s">
        <v>504</v>
      </c>
      <c r="B1071" s="3" t="s">
        <v>20</v>
      </c>
      <c r="C1071" s="3" t="s">
        <v>516</v>
      </c>
      <c r="D1071" s="3" t="s">
        <v>28</v>
      </c>
      <c r="E1071" s="3"/>
      <c r="F1071" s="3"/>
      <c r="G1071" s="3" t="s">
        <v>13</v>
      </c>
      <c r="H1071" s="3" t="s">
        <v>509</v>
      </c>
    </row>
    <row r="1072" spans="1:8" x14ac:dyDescent="0.35">
      <c r="A1072" s="3" t="s">
        <v>504</v>
      </c>
      <c r="B1072" s="3" t="s">
        <v>20</v>
      </c>
      <c r="C1072" s="3" t="s">
        <v>516</v>
      </c>
      <c r="D1072" s="3" t="s">
        <v>56</v>
      </c>
      <c r="E1072" s="3" t="s">
        <v>13</v>
      </c>
      <c r="F1072" s="3" t="s">
        <v>517</v>
      </c>
      <c r="G1072" s="3" t="s">
        <v>13</v>
      </c>
      <c r="H1072" s="3" t="s">
        <v>509</v>
      </c>
    </row>
    <row r="1073" spans="1:8" x14ac:dyDescent="0.35">
      <c r="A1073" s="3" t="s">
        <v>504</v>
      </c>
      <c r="B1073" s="3" t="s">
        <v>20</v>
      </c>
      <c r="C1073" s="3" t="s">
        <v>516</v>
      </c>
      <c r="D1073" s="3" t="s">
        <v>37</v>
      </c>
      <c r="E1073" s="3"/>
      <c r="F1073" s="3"/>
      <c r="G1073" s="3" t="s">
        <v>13</v>
      </c>
      <c r="H1073" s="3" t="s">
        <v>509</v>
      </c>
    </row>
    <row r="1074" spans="1:8" x14ac:dyDescent="0.35">
      <c r="A1074" s="3" t="s">
        <v>504</v>
      </c>
      <c r="B1074" s="3" t="s">
        <v>20</v>
      </c>
      <c r="C1074" s="3" t="s">
        <v>516</v>
      </c>
      <c r="D1074" s="3" t="s">
        <v>62</v>
      </c>
      <c r="E1074" s="3"/>
      <c r="F1074" s="3"/>
      <c r="G1074" s="3" t="s">
        <v>13</v>
      </c>
      <c r="H1074" s="3" t="s">
        <v>509</v>
      </c>
    </row>
    <row r="1075" spans="1:8" x14ac:dyDescent="0.35">
      <c r="A1075" s="3" t="s">
        <v>504</v>
      </c>
      <c r="B1075" s="3" t="s">
        <v>20</v>
      </c>
      <c r="C1075" s="3" t="s">
        <v>516</v>
      </c>
      <c r="D1075" s="3" t="s">
        <v>24</v>
      </c>
      <c r="E1075" s="3"/>
      <c r="F1075" s="3"/>
      <c r="G1075" s="3" t="s">
        <v>13</v>
      </c>
      <c r="H1075" s="3" t="s">
        <v>509</v>
      </c>
    </row>
    <row r="1076" spans="1:8" x14ac:dyDescent="0.35">
      <c r="A1076" s="3" t="s">
        <v>504</v>
      </c>
      <c r="B1076" s="3" t="s">
        <v>20</v>
      </c>
      <c r="C1076" s="3" t="s">
        <v>516</v>
      </c>
      <c r="D1076" s="3" t="s">
        <v>290</v>
      </c>
      <c r="E1076" s="3"/>
      <c r="F1076" s="3"/>
      <c r="G1076" s="3" t="s">
        <v>13</v>
      </c>
      <c r="H1076" s="3" t="s">
        <v>509</v>
      </c>
    </row>
    <row r="1077" spans="1:8" x14ac:dyDescent="0.35">
      <c r="A1077" s="3" t="s">
        <v>504</v>
      </c>
      <c r="B1077" s="3" t="s">
        <v>20</v>
      </c>
      <c r="C1077" s="3" t="s">
        <v>516</v>
      </c>
      <c r="D1077" s="3" t="s">
        <v>82</v>
      </c>
      <c r="E1077" s="3" t="s">
        <v>13</v>
      </c>
      <c r="F1077" s="3" t="s">
        <v>518</v>
      </c>
      <c r="G1077" s="3" t="s">
        <v>13</v>
      </c>
      <c r="H1077" s="3" t="s">
        <v>509</v>
      </c>
    </row>
    <row r="1078" spans="1:8" x14ac:dyDescent="0.35">
      <c r="A1078" s="3" t="s">
        <v>519</v>
      </c>
      <c r="B1078" s="3" t="s">
        <v>20</v>
      </c>
      <c r="C1078" s="3" t="s">
        <v>520</v>
      </c>
      <c r="D1078" s="3" t="s">
        <v>77</v>
      </c>
      <c r="E1078" s="3" t="s">
        <v>16</v>
      </c>
      <c r="F1078" s="3" t="s">
        <v>521</v>
      </c>
      <c r="G1078" s="3" t="s">
        <v>13</v>
      </c>
      <c r="H1078" s="3" t="s">
        <v>522</v>
      </c>
    </row>
    <row r="1079" spans="1:8" x14ac:dyDescent="0.35">
      <c r="A1079" s="3" t="s">
        <v>519</v>
      </c>
      <c r="B1079" s="3" t="s">
        <v>20</v>
      </c>
      <c r="C1079" s="3" t="s">
        <v>520</v>
      </c>
      <c r="D1079" s="3" t="s">
        <v>15</v>
      </c>
      <c r="E1079" s="3" t="s">
        <v>16</v>
      </c>
      <c r="F1079" s="3" t="s">
        <v>521</v>
      </c>
      <c r="G1079" s="3" t="s">
        <v>13</v>
      </c>
      <c r="H1079" s="3" t="s">
        <v>522</v>
      </c>
    </row>
    <row r="1080" spans="1:8" x14ac:dyDescent="0.35">
      <c r="A1080" s="3" t="s">
        <v>519</v>
      </c>
      <c r="B1080" s="3" t="s">
        <v>20</v>
      </c>
      <c r="C1080" s="3" t="s">
        <v>520</v>
      </c>
      <c r="D1080" s="3" t="s">
        <v>24</v>
      </c>
      <c r="E1080" s="3" t="s">
        <v>16</v>
      </c>
      <c r="F1080" s="3" t="s">
        <v>521</v>
      </c>
      <c r="G1080" s="3" t="s">
        <v>13</v>
      </c>
      <c r="H1080" s="3" t="s">
        <v>522</v>
      </c>
    </row>
    <row r="1081" spans="1:8" x14ac:dyDescent="0.35">
      <c r="A1081" s="3" t="s">
        <v>519</v>
      </c>
      <c r="B1081" s="3" t="s">
        <v>42</v>
      </c>
      <c r="C1081" s="3" t="s">
        <v>2257</v>
      </c>
      <c r="D1081" s="3" t="s">
        <v>12</v>
      </c>
      <c r="E1081" s="3"/>
      <c r="F1081" s="3"/>
      <c r="G1081" s="3" t="s">
        <v>13</v>
      </c>
      <c r="H1081" s="3" t="s">
        <v>522</v>
      </c>
    </row>
    <row r="1082" spans="1:8" x14ac:dyDescent="0.35">
      <c r="A1082" s="3" t="s">
        <v>519</v>
      </c>
      <c r="B1082" s="3" t="s">
        <v>42</v>
      </c>
      <c r="C1082" s="3" t="s">
        <v>2257</v>
      </c>
      <c r="D1082" s="3" t="s">
        <v>15</v>
      </c>
      <c r="E1082" s="3" t="s">
        <v>16</v>
      </c>
      <c r="F1082" s="3" t="s">
        <v>2258</v>
      </c>
      <c r="G1082" s="3" t="s">
        <v>13</v>
      </c>
      <c r="H1082" s="3" t="s">
        <v>522</v>
      </c>
    </row>
    <row r="1083" spans="1:8" x14ac:dyDescent="0.35">
      <c r="A1083" s="3" t="s">
        <v>519</v>
      </c>
      <c r="B1083" s="3" t="s">
        <v>42</v>
      </c>
      <c r="C1083" s="3" t="s">
        <v>2257</v>
      </c>
      <c r="D1083" s="3" t="s">
        <v>24</v>
      </c>
      <c r="E1083" s="3"/>
      <c r="F1083" s="3"/>
      <c r="G1083" s="3" t="s">
        <v>13</v>
      </c>
      <c r="H1083" s="3" t="s">
        <v>522</v>
      </c>
    </row>
    <row r="1084" spans="1:8" x14ac:dyDescent="0.35">
      <c r="A1084" s="3" t="s">
        <v>519</v>
      </c>
      <c r="B1084" s="3" t="s">
        <v>42</v>
      </c>
      <c r="C1084" s="3" t="s">
        <v>2257</v>
      </c>
      <c r="D1084" s="3" t="s">
        <v>134</v>
      </c>
      <c r="E1084" s="3"/>
      <c r="F1084" s="3"/>
      <c r="G1084" s="3" t="s">
        <v>13</v>
      </c>
      <c r="H1084" s="3" t="s">
        <v>522</v>
      </c>
    </row>
    <row r="1085" spans="1:8" x14ac:dyDescent="0.35">
      <c r="A1085" s="3" t="s">
        <v>519</v>
      </c>
      <c r="B1085" s="3" t="s">
        <v>42</v>
      </c>
      <c r="C1085" s="3" t="s">
        <v>2257</v>
      </c>
      <c r="D1085" s="3" t="s">
        <v>107</v>
      </c>
      <c r="E1085" s="3" t="s">
        <v>16</v>
      </c>
      <c r="F1085" s="3" t="s">
        <v>2259</v>
      </c>
      <c r="G1085" s="3" t="s">
        <v>13</v>
      </c>
      <c r="H1085" s="3" t="s">
        <v>522</v>
      </c>
    </row>
    <row r="1086" spans="1:8" x14ac:dyDescent="0.35">
      <c r="A1086" s="3" t="s">
        <v>523</v>
      </c>
      <c r="B1086" s="3" t="s">
        <v>45</v>
      </c>
      <c r="C1086" s="3" t="s">
        <v>524</v>
      </c>
      <c r="D1086" s="3" t="s">
        <v>60</v>
      </c>
      <c r="E1086" s="3"/>
      <c r="F1086" s="3"/>
      <c r="G1086" s="3" t="s">
        <v>13</v>
      </c>
      <c r="H1086" s="3" t="s">
        <v>525</v>
      </c>
    </row>
    <row r="1087" spans="1:8" x14ac:dyDescent="0.35">
      <c r="A1087" s="3" t="s">
        <v>523</v>
      </c>
      <c r="B1087" s="3" t="s">
        <v>45</v>
      </c>
      <c r="C1087" s="3" t="s">
        <v>524</v>
      </c>
      <c r="D1087" s="3" t="s">
        <v>77</v>
      </c>
      <c r="E1087" s="3" t="s">
        <v>13</v>
      </c>
      <c r="F1087" s="3" t="s">
        <v>527</v>
      </c>
      <c r="G1087" s="3" t="s">
        <v>13</v>
      </c>
      <c r="H1087" s="3" t="s">
        <v>525</v>
      </c>
    </row>
    <row r="1088" spans="1:8" x14ac:dyDescent="0.35">
      <c r="A1088" s="3" t="s">
        <v>523</v>
      </c>
      <c r="B1088" s="3" t="s">
        <v>45</v>
      </c>
      <c r="C1088" s="3" t="s">
        <v>524</v>
      </c>
      <c r="D1088" s="3" t="s">
        <v>15</v>
      </c>
      <c r="E1088" s="3" t="s">
        <v>13</v>
      </c>
      <c r="F1088" s="3" t="s">
        <v>526</v>
      </c>
      <c r="G1088" s="3" t="s">
        <v>13</v>
      </c>
      <c r="H1088" s="3" t="s">
        <v>525</v>
      </c>
    </row>
    <row r="1089" spans="1:8" x14ac:dyDescent="0.35">
      <c r="A1089" s="3" t="s">
        <v>523</v>
      </c>
      <c r="B1089" s="3" t="s">
        <v>42</v>
      </c>
      <c r="C1089" s="3" t="s">
        <v>528</v>
      </c>
      <c r="D1089" s="3" t="s">
        <v>12</v>
      </c>
      <c r="E1089" s="3"/>
      <c r="F1089" s="3"/>
      <c r="G1089" s="3" t="s">
        <v>13</v>
      </c>
      <c r="H1089" s="3" t="s">
        <v>531</v>
      </c>
    </row>
    <row r="1090" spans="1:8" x14ac:dyDescent="0.35">
      <c r="A1090" s="3" t="s">
        <v>523</v>
      </c>
      <c r="B1090" s="3" t="s">
        <v>42</v>
      </c>
      <c r="C1090" s="3" t="s">
        <v>528</v>
      </c>
      <c r="D1090" s="3" t="s">
        <v>36</v>
      </c>
      <c r="E1090" s="3"/>
      <c r="F1090" s="3"/>
      <c r="G1090" s="3" t="s">
        <v>13</v>
      </c>
      <c r="H1090" s="3" t="s">
        <v>531</v>
      </c>
    </row>
    <row r="1091" spans="1:8" x14ac:dyDescent="0.35">
      <c r="A1091" s="3" t="s">
        <v>523</v>
      </c>
      <c r="B1091" s="3" t="s">
        <v>42</v>
      </c>
      <c r="C1091" s="3" t="s">
        <v>528</v>
      </c>
      <c r="D1091" s="3" t="s">
        <v>25</v>
      </c>
      <c r="E1091" s="3"/>
      <c r="F1091" s="3"/>
      <c r="G1091" s="3" t="s">
        <v>13</v>
      </c>
      <c r="H1091" s="3" t="s">
        <v>531</v>
      </c>
    </row>
    <row r="1092" spans="1:8" x14ac:dyDescent="0.35">
      <c r="A1092" s="3" t="s">
        <v>523</v>
      </c>
      <c r="B1092" s="3" t="s">
        <v>42</v>
      </c>
      <c r="C1092" s="3" t="s">
        <v>528</v>
      </c>
      <c r="D1092" s="3" t="s">
        <v>44</v>
      </c>
      <c r="E1092" s="3"/>
      <c r="F1092" s="3"/>
      <c r="G1092" s="3" t="s">
        <v>13</v>
      </c>
      <c r="H1092" s="3" t="s">
        <v>531</v>
      </c>
    </row>
    <row r="1093" spans="1:8" x14ac:dyDescent="0.35">
      <c r="A1093" s="3" t="s">
        <v>523</v>
      </c>
      <c r="B1093" s="3" t="s">
        <v>42</v>
      </c>
      <c r="C1093" s="3" t="s">
        <v>528</v>
      </c>
      <c r="D1093" s="3" t="s">
        <v>87</v>
      </c>
      <c r="E1093" s="3"/>
      <c r="F1093" s="3"/>
      <c r="G1093" s="3" t="s">
        <v>13</v>
      </c>
      <c r="H1093" s="3" t="s">
        <v>531</v>
      </c>
    </row>
    <row r="1094" spans="1:8" x14ac:dyDescent="0.35">
      <c r="A1094" s="3" t="s">
        <v>523</v>
      </c>
      <c r="B1094" s="3" t="s">
        <v>42</v>
      </c>
      <c r="C1094" s="3" t="s">
        <v>528</v>
      </c>
      <c r="D1094" s="3" t="s">
        <v>15</v>
      </c>
      <c r="E1094" s="3" t="s">
        <v>13</v>
      </c>
      <c r="F1094" s="3" t="s">
        <v>530</v>
      </c>
      <c r="G1094" s="3" t="s">
        <v>13</v>
      </c>
      <c r="H1094" s="3" t="s">
        <v>531</v>
      </c>
    </row>
    <row r="1095" spans="1:8" x14ac:dyDescent="0.35">
      <c r="A1095" s="3" t="s">
        <v>523</v>
      </c>
      <c r="B1095" s="3" t="s">
        <v>42</v>
      </c>
      <c r="C1095" s="3" t="s">
        <v>528</v>
      </c>
      <c r="D1095" s="3" t="s">
        <v>32</v>
      </c>
      <c r="E1095" s="3" t="s">
        <v>13</v>
      </c>
      <c r="F1095" s="3" t="s">
        <v>529</v>
      </c>
      <c r="G1095" s="3" t="s">
        <v>13</v>
      </c>
      <c r="H1095" s="3" t="s">
        <v>531</v>
      </c>
    </row>
    <row r="1096" spans="1:8" x14ac:dyDescent="0.35">
      <c r="A1096" s="3" t="s">
        <v>523</v>
      </c>
      <c r="B1096" s="3" t="s">
        <v>42</v>
      </c>
      <c r="C1096" s="3" t="s">
        <v>528</v>
      </c>
      <c r="D1096" s="3" t="s">
        <v>26</v>
      </c>
      <c r="E1096" s="3"/>
      <c r="F1096" s="3"/>
      <c r="G1096" s="3" t="s">
        <v>13</v>
      </c>
      <c r="H1096" s="3" t="s">
        <v>531</v>
      </c>
    </row>
    <row r="1097" spans="1:8" x14ac:dyDescent="0.35">
      <c r="A1097" s="3" t="s">
        <v>523</v>
      </c>
      <c r="B1097" s="3" t="s">
        <v>42</v>
      </c>
      <c r="C1097" s="3" t="s">
        <v>528</v>
      </c>
      <c r="D1097" s="3" t="s">
        <v>24</v>
      </c>
      <c r="E1097" s="3"/>
      <c r="F1097" s="3"/>
      <c r="G1097" s="3" t="s">
        <v>13</v>
      </c>
      <c r="H1097" s="3" t="s">
        <v>531</v>
      </c>
    </row>
    <row r="1098" spans="1:8" x14ac:dyDescent="0.35">
      <c r="A1098" s="3" t="s">
        <v>523</v>
      </c>
      <c r="B1098" s="3" t="s">
        <v>39</v>
      </c>
      <c r="C1098" s="3" t="s">
        <v>532</v>
      </c>
      <c r="D1098" s="3" t="s">
        <v>27</v>
      </c>
      <c r="E1098" s="3"/>
      <c r="F1098" s="3"/>
      <c r="G1098" s="3" t="s">
        <v>13</v>
      </c>
      <c r="H1098" s="3" t="s">
        <v>525</v>
      </c>
    </row>
    <row r="1099" spans="1:8" x14ac:dyDescent="0.35">
      <c r="A1099" s="3" t="s">
        <v>523</v>
      </c>
      <c r="B1099" s="3" t="s">
        <v>39</v>
      </c>
      <c r="C1099" s="3" t="s">
        <v>532</v>
      </c>
      <c r="D1099" s="3" t="s">
        <v>15</v>
      </c>
      <c r="E1099" s="3" t="s">
        <v>13</v>
      </c>
      <c r="F1099" s="3" t="s">
        <v>533</v>
      </c>
      <c r="G1099" s="3" t="s">
        <v>13</v>
      </c>
      <c r="H1099" s="3" t="s">
        <v>525</v>
      </c>
    </row>
    <row r="1100" spans="1:8" x14ac:dyDescent="0.35">
      <c r="A1100" s="3" t="s">
        <v>523</v>
      </c>
      <c r="B1100" s="3" t="s">
        <v>39</v>
      </c>
      <c r="C1100" s="3" t="s">
        <v>532</v>
      </c>
      <c r="D1100" s="3" t="s">
        <v>32</v>
      </c>
      <c r="E1100" s="3" t="s">
        <v>13</v>
      </c>
      <c r="F1100" s="3" t="s">
        <v>2875</v>
      </c>
      <c r="G1100" s="3" t="s">
        <v>13</v>
      </c>
      <c r="H1100" s="3" t="s">
        <v>525</v>
      </c>
    </row>
    <row r="1101" spans="1:8" x14ac:dyDescent="0.35">
      <c r="A1101" s="3" t="s">
        <v>523</v>
      </c>
      <c r="B1101" s="3" t="s">
        <v>39</v>
      </c>
      <c r="C1101" s="3" t="s">
        <v>532</v>
      </c>
      <c r="D1101" s="3" t="s">
        <v>107</v>
      </c>
      <c r="E1101" s="3" t="s">
        <v>33</v>
      </c>
      <c r="F1101" s="3" t="s">
        <v>314</v>
      </c>
      <c r="G1101" s="3" t="s">
        <v>13</v>
      </c>
      <c r="H1101" s="3" t="s">
        <v>525</v>
      </c>
    </row>
    <row r="1102" spans="1:8" x14ac:dyDescent="0.35">
      <c r="A1102" s="3" t="s">
        <v>523</v>
      </c>
      <c r="B1102" s="3" t="s">
        <v>39</v>
      </c>
      <c r="C1102" s="3" t="s">
        <v>2589</v>
      </c>
      <c r="D1102" s="3" t="s">
        <v>15</v>
      </c>
      <c r="E1102" s="3" t="s">
        <v>16</v>
      </c>
      <c r="F1102" s="3" t="s">
        <v>2590</v>
      </c>
      <c r="G1102" s="3" t="s">
        <v>13</v>
      </c>
      <c r="H1102" s="3" t="s">
        <v>525</v>
      </c>
    </row>
    <row r="1103" spans="1:8" x14ac:dyDescent="0.35">
      <c r="A1103" s="3" t="s">
        <v>523</v>
      </c>
      <c r="B1103" s="3" t="s">
        <v>39</v>
      </c>
      <c r="C1103" s="3" t="s">
        <v>534</v>
      </c>
      <c r="D1103" s="3" t="s">
        <v>56</v>
      </c>
      <c r="E1103" s="3" t="s">
        <v>16</v>
      </c>
      <c r="F1103" s="3" t="s">
        <v>535</v>
      </c>
      <c r="G1103" s="3" t="s">
        <v>16</v>
      </c>
      <c r="H1103" s="3" t="s">
        <v>525</v>
      </c>
    </row>
    <row r="1104" spans="1:8" x14ac:dyDescent="0.35">
      <c r="A1104" s="3" t="s">
        <v>523</v>
      </c>
      <c r="B1104" s="3" t="s">
        <v>39</v>
      </c>
      <c r="C1104" s="3" t="s">
        <v>534</v>
      </c>
      <c r="D1104" s="3" t="s">
        <v>89</v>
      </c>
      <c r="E1104" s="3" t="s">
        <v>16</v>
      </c>
      <c r="F1104" s="3" t="s">
        <v>535</v>
      </c>
      <c r="G1104" s="3" t="s">
        <v>16</v>
      </c>
      <c r="H1104" s="3" t="s">
        <v>525</v>
      </c>
    </row>
    <row r="1105" spans="1:8" x14ac:dyDescent="0.35">
      <c r="A1105" s="3" t="s">
        <v>523</v>
      </c>
      <c r="B1105" s="3" t="s">
        <v>39</v>
      </c>
      <c r="C1105" s="3" t="s">
        <v>534</v>
      </c>
      <c r="D1105" s="3" t="s">
        <v>32</v>
      </c>
      <c r="E1105" s="3" t="s">
        <v>16</v>
      </c>
      <c r="F1105" s="3" t="s">
        <v>2441</v>
      </c>
      <c r="G1105" s="3" t="s">
        <v>16</v>
      </c>
      <c r="H1105" s="3" t="s">
        <v>525</v>
      </c>
    </row>
    <row r="1106" spans="1:8" x14ac:dyDescent="0.35">
      <c r="A1106" s="3" t="s">
        <v>523</v>
      </c>
      <c r="B1106" s="3" t="s">
        <v>45</v>
      </c>
      <c r="C1106" s="3" t="s">
        <v>536</v>
      </c>
      <c r="D1106" s="3" t="s">
        <v>77</v>
      </c>
      <c r="E1106" s="3"/>
      <c r="F1106" s="3"/>
      <c r="G1106" s="3" t="s">
        <v>13</v>
      </c>
      <c r="H1106" s="3" t="s">
        <v>525</v>
      </c>
    </row>
    <row r="1107" spans="1:8" x14ac:dyDescent="0.35">
      <c r="A1107" s="3" t="s">
        <v>523</v>
      </c>
      <c r="B1107" s="3" t="s">
        <v>45</v>
      </c>
      <c r="C1107" s="3" t="s">
        <v>536</v>
      </c>
      <c r="D1107" s="3" t="s">
        <v>56</v>
      </c>
      <c r="E1107" s="3" t="s">
        <v>13</v>
      </c>
      <c r="F1107" s="3" t="s">
        <v>535</v>
      </c>
      <c r="G1107" s="3" t="s">
        <v>13</v>
      </c>
      <c r="H1107" s="3" t="s">
        <v>525</v>
      </c>
    </row>
    <row r="1108" spans="1:8" x14ac:dyDescent="0.35">
      <c r="A1108" s="3" t="s">
        <v>523</v>
      </c>
      <c r="B1108" s="3" t="s">
        <v>10</v>
      </c>
      <c r="C1108" s="3" t="s">
        <v>537</v>
      </c>
      <c r="D1108" s="3" t="s">
        <v>87</v>
      </c>
      <c r="E1108" s="3"/>
      <c r="F1108" s="3" t="s">
        <v>2397</v>
      </c>
      <c r="G1108" s="3" t="s">
        <v>13</v>
      </c>
      <c r="H1108" s="3" t="s">
        <v>525</v>
      </c>
    </row>
    <row r="1109" spans="1:8" x14ac:dyDescent="0.35">
      <c r="A1109" s="3" t="s">
        <v>523</v>
      </c>
      <c r="B1109" s="3" t="s">
        <v>10</v>
      </c>
      <c r="C1109" s="3" t="s">
        <v>537</v>
      </c>
      <c r="D1109" s="3" t="s">
        <v>15</v>
      </c>
      <c r="E1109" s="3" t="s">
        <v>13</v>
      </c>
      <c r="F1109" s="3" t="s">
        <v>539</v>
      </c>
      <c r="G1109" s="3" t="s">
        <v>13</v>
      </c>
      <c r="H1109" s="3" t="s">
        <v>525</v>
      </c>
    </row>
    <row r="1110" spans="1:8" x14ac:dyDescent="0.35">
      <c r="A1110" s="3" t="s">
        <v>523</v>
      </c>
      <c r="B1110" s="3" t="s">
        <v>10</v>
      </c>
      <c r="C1110" s="3" t="s">
        <v>537</v>
      </c>
      <c r="D1110" s="3" t="s">
        <v>32</v>
      </c>
      <c r="E1110" s="3" t="s">
        <v>13</v>
      </c>
      <c r="F1110" s="3" t="s">
        <v>538</v>
      </c>
      <c r="G1110" s="3" t="s">
        <v>13</v>
      </c>
      <c r="H1110" s="3" t="s">
        <v>525</v>
      </c>
    </row>
    <row r="1111" spans="1:8" x14ac:dyDescent="0.35">
      <c r="A1111" s="3" t="s">
        <v>2671</v>
      </c>
      <c r="B1111" s="3" t="s">
        <v>42</v>
      </c>
      <c r="C1111" s="3" t="s">
        <v>2670</v>
      </c>
      <c r="D1111" s="3" t="s">
        <v>23</v>
      </c>
      <c r="E1111" s="3" t="s">
        <v>16</v>
      </c>
      <c r="F1111" s="3" t="s">
        <v>2674</v>
      </c>
      <c r="G1111" s="3" t="s">
        <v>16</v>
      </c>
      <c r="H1111" s="3" t="s">
        <v>2675</v>
      </c>
    </row>
    <row r="1112" spans="1:8" x14ac:dyDescent="0.35">
      <c r="A1112" s="3" t="s">
        <v>2671</v>
      </c>
      <c r="B1112" s="3" t="s">
        <v>42</v>
      </c>
      <c r="C1112" s="3" t="s">
        <v>2670</v>
      </c>
      <c r="D1112" s="3" t="s">
        <v>25</v>
      </c>
      <c r="E1112" s="3"/>
      <c r="F1112" s="3"/>
      <c r="G1112" s="3" t="s">
        <v>16</v>
      </c>
      <c r="H1112" s="3" t="s">
        <v>2675</v>
      </c>
    </row>
    <row r="1113" spans="1:8" x14ac:dyDescent="0.35">
      <c r="A1113" s="3" t="s">
        <v>2671</v>
      </c>
      <c r="B1113" s="3" t="s">
        <v>42</v>
      </c>
      <c r="C1113" s="3" t="s">
        <v>2670</v>
      </c>
      <c r="D1113" s="3" t="s">
        <v>27</v>
      </c>
      <c r="E1113" s="3"/>
      <c r="F1113" s="3"/>
      <c r="G1113" s="3" t="s">
        <v>16</v>
      </c>
      <c r="H1113" s="3" t="s">
        <v>2675</v>
      </c>
    </row>
    <row r="1114" spans="1:8" x14ac:dyDescent="0.35">
      <c r="A1114" s="3" t="s">
        <v>2671</v>
      </c>
      <c r="B1114" s="3" t="s">
        <v>42</v>
      </c>
      <c r="C1114" s="3" t="s">
        <v>2670</v>
      </c>
      <c r="D1114" s="3" t="s">
        <v>15</v>
      </c>
      <c r="E1114" s="3" t="s">
        <v>16</v>
      </c>
      <c r="F1114" s="3" t="s">
        <v>2673</v>
      </c>
      <c r="G1114" s="3" t="s">
        <v>16</v>
      </c>
      <c r="H1114" s="3" t="s">
        <v>2675</v>
      </c>
    </row>
    <row r="1115" spans="1:8" x14ac:dyDescent="0.35">
      <c r="A1115" s="3" t="s">
        <v>2671</v>
      </c>
      <c r="B1115" s="3" t="s">
        <v>42</v>
      </c>
      <c r="C1115" s="3" t="s">
        <v>2670</v>
      </c>
      <c r="D1115" s="3" t="s">
        <v>62</v>
      </c>
      <c r="E1115" s="3"/>
      <c r="F1115" s="3"/>
      <c r="G1115" s="3"/>
      <c r="H1115" s="3"/>
    </row>
    <row r="1116" spans="1:8" x14ac:dyDescent="0.35">
      <c r="A1116" s="3" t="s">
        <v>2671</v>
      </c>
      <c r="B1116" s="3" t="s">
        <v>42</v>
      </c>
      <c r="C1116" s="3" t="s">
        <v>2670</v>
      </c>
      <c r="D1116" s="3" t="s">
        <v>24</v>
      </c>
      <c r="E1116" s="3"/>
      <c r="F1116" s="3"/>
      <c r="G1116" s="3" t="s">
        <v>16</v>
      </c>
      <c r="H1116" s="3" t="s">
        <v>2675</v>
      </c>
    </row>
    <row r="1117" spans="1:8" x14ac:dyDescent="0.35">
      <c r="A1117" s="3" t="s">
        <v>2671</v>
      </c>
      <c r="B1117" s="3" t="s">
        <v>42</v>
      </c>
      <c r="C1117" s="3" t="s">
        <v>2670</v>
      </c>
      <c r="D1117" s="3" t="s">
        <v>107</v>
      </c>
      <c r="E1117" s="3" t="s">
        <v>16</v>
      </c>
      <c r="F1117" s="3" t="s">
        <v>2672</v>
      </c>
      <c r="G1117" s="3" t="s">
        <v>16</v>
      </c>
      <c r="H1117" s="3" t="s">
        <v>2675</v>
      </c>
    </row>
    <row r="1118" spans="1:8" x14ac:dyDescent="0.35">
      <c r="A1118" s="3" t="s">
        <v>540</v>
      </c>
      <c r="B1118" s="3" t="s">
        <v>42</v>
      </c>
      <c r="C1118" s="3" t="s">
        <v>541</v>
      </c>
      <c r="D1118" s="3" t="s">
        <v>12</v>
      </c>
      <c r="E1118" s="3"/>
      <c r="F1118" s="3"/>
      <c r="G1118" s="3"/>
      <c r="H1118" s="3"/>
    </row>
    <row r="1119" spans="1:8" x14ac:dyDescent="0.35">
      <c r="A1119" s="3" t="s">
        <v>540</v>
      </c>
      <c r="B1119" s="3" t="s">
        <v>42</v>
      </c>
      <c r="C1119" s="3" t="s">
        <v>541</v>
      </c>
      <c r="D1119" s="3" t="s">
        <v>60</v>
      </c>
      <c r="E1119" s="3"/>
      <c r="F1119" s="3"/>
      <c r="G1119" s="3" t="s">
        <v>13</v>
      </c>
      <c r="H1119" s="3" t="s">
        <v>542</v>
      </c>
    </row>
    <row r="1120" spans="1:8" x14ac:dyDescent="0.35">
      <c r="A1120" s="3" t="s">
        <v>540</v>
      </c>
      <c r="B1120" s="3" t="s">
        <v>42</v>
      </c>
      <c r="C1120" s="3" t="s">
        <v>541</v>
      </c>
      <c r="D1120" s="3" t="s">
        <v>27</v>
      </c>
      <c r="E1120" s="3"/>
      <c r="F1120" s="3"/>
      <c r="G1120" s="3" t="s">
        <v>13</v>
      </c>
      <c r="H1120" s="3" t="s">
        <v>542</v>
      </c>
    </row>
    <row r="1121" spans="1:8" x14ac:dyDescent="0.35">
      <c r="A1121" s="3" t="s">
        <v>540</v>
      </c>
      <c r="B1121" s="3" t="s">
        <v>42</v>
      </c>
      <c r="C1121" s="3" t="s">
        <v>541</v>
      </c>
      <c r="D1121" s="3" t="s">
        <v>77</v>
      </c>
      <c r="E1121" s="3"/>
      <c r="F1121" s="3"/>
      <c r="G1121" s="3" t="s">
        <v>13</v>
      </c>
      <c r="H1121" s="3" t="s">
        <v>542</v>
      </c>
    </row>
    <row r="1122" spans="1:8" x14ac:dyDescent="0.35">
      <c r="A1122" s="3" t="s">
        <v>540</v>
      </c>
      <c r="B1122" s="3" t="s">
        <v>42</v>
      </c>
      <c r="C1122" s="3" t="s">
        <v>541</v>
      </c>
      <c r="D1122" s="3" t="s">
        <v>44</v>
      </c>
      <c r="E1122" s="3"/>
      <c r="F1122" s="3"/>
      <c r="G1122" s="3"/>
      <c r="H1122" s="3"/>
    </row>
    <row r="1123" spans="1:8" x14ac:dyDescent="0.35">
      <c r="A1123" s="3" t="s">
        <v>540</v>
      </c>
      <c r="B1123" s="3" t="s">
        <v>42</v>
      </c>
      <c r="C1123" s="3" t="s">
        <v>541</v>
      </c>
      <c r="D1123" s="3" t="s">
        <v>28</v>
      </c>
      <c r="E1123" s="3"/>
      <c r="F1123" s="3"/>
      <c r="G1123" s="3" t="s">
        <v>13</v>
      </c>
      <c r="H1123" s="3" t="s">
        <v>542</v>
      </c>
    </row>
    <row r="1124" spans="1:8" x14ac:dyDescent="0.35">
      <c r="A1124" s="3" t="s">
        <v>540</v>
      </c>
      <c r="B1124" s="3" t="s">
        <v>42</v>
      </c>
      <c r="C1124" s="3" t="s">
        <v>541</v>
      </c>
      <c r="D1124" s="3" t="s">
        <v>98</v>
      </c>
      <c r="E1124" s="3"/>
      <c r="F1124" s="3"/>
      <c r="G1124" s="3" t="s">
        <v>13</v>
      </c>
      <c r="H1124" s="3" t="s">
        <v>542</v>
      </c>
    </row>
    <row r="1125" spans="1:8" x14ac:dyDescent="0.35">
      <c r="A1125" s="3" t="s">
        <v>540</v>
      </c>
      <c r="B1125" s="3" t="s">
        <v>42</v>
      </c>
      <c r="C1125" s="3" t="s">
        <v>541</v>
      </c>
      <c r="D1125" s="3" t="s">
        <v>62</v>
      </c>
      <c r="E1125" s="3"/>
      <c r="F1125" s="3"/>
      <c r="G1125" s="3" t="s">
        <v>13</v>
      </c>
      <c r="H1125" s="3" t="s">
        <v>542</v>
      </c>
    </row>
    <row r="1126" spans="1:8" x14ac:dyDescent="0.35">
      <c r="A1126" s="3" t="s">
        <v>540</v>
      </c>
      <c r="B1126" s="3" t="s">
        <v>42</v>
      </c>
      <c r="C1126" s="3" t="s">
        <v>541</v>
      </c>
      <c r="D1126" s="3" t="s">
        <v>24</v>
      </c>
      <c r="E1126" s="3"/>
      <c r="F1126" s="3"/>
      <c r="G1126" s="3" t="s">
        <v>13</v>
      </c>
      <c r="H1126" s="3" t="s">
        <v>542</v>
      </c>
    </row>
    <row r="1127" spans="1:8" x14ac:dyDescent="0.35">
      <c r="A1127" s="3" t="s">
        <v>540</v>
      </c>
      <c r="B1127" s="3" t="s">
        <v>42</v>
      </c>
      <c r="C1127" s="3" t="s">
        <v>541</v>
      </c>
      <c r="D1127" s="3" t="s">
        <v>134</v>
      </c>
      <c r="E1127" s="3" t="s">
        <v>13</v>
      </c>
      <c r="F1127" s="3" t="s">
        <v>543</v>
      </c>
      <c r="G1127" s="3" t="s">
        <v>13</v>
      </c>
      <c r="H1127" s="3" t="s">
        <v>542</v>
      </c>
    </row>
    <row r="1128" spans="1:8" x14ac:dyDescent="0.35">
      <c r="A1128" s="3" t="s">
        <v>544</v>
      </c>
      <c r="B1128" s="3" t="s">
        <v>42</v>
      </c>
      <c r="C1128" s="3" t="s">
        <v>545</v>
      </c>
      <c r="D1128" s="3" t="s">
        <v>12</v>
      </c>
      <c r="E1128" s="3"/>
      <c r="F1128" s="3"/>
      <c r="G1128" s="3"/>
      <c r="H1128" s="3"/>
    </row>
    <row r="1129" spans="1:8" x14ac:dyDescent="0.35">
      <c r="A1129" s="3" t="s">
        <v>544</v>
      </c>
      <c r="B1129" s="3" t="s">
        <v>42</v>
      </c>
      <c r="C1129" s="3" t="s">
        <v>545</v>
      </c>
      <c r="D1129" s="3" t="s">
        <v>27</v>
      </c>
      <c r="E1129" s="3" t="s">
        <v>13</v>
      </c>
      <c r="F1129" s="3" t="s">
        <v>546</v>
      </c>
      <c r="G1129" s="3"/>
      <c r="H1129" s="3"/>
    </row>
    <row r="1130" spans="1:8" x14ac:dyDescent="0.35">
      <c r="A1130" s="3" t="s">
        <v>544</v>
      </c>
      <c r="B1130" s="3" t="s">
        <v>42</v>
      </c>
      <c r="C1130" s="3" t="s">
        <v>545</v>
      </c>
      <c r="D1130" s="3" t="s">
        <v>15</v>
      </c>
      <c r="E1130" s="3" t="s">
        <v>13</v>
      </c>
      <c r="F1130" s="3" t="s">
        <v>547</v>
      </c>
      <c r="G1130" s="3"/>
      <c r="H1130" s="3"/>
    </row>
    <row r="1131" spans="1:8" x14ac:dyDescent="0.35">
      <c r="A1131" s="3" t="s">
        <v>544</v>
      </c>
      <c r="B1131" s="3" t="s">
        <v>42</v>
      </c>
      <c r="C1131" s="3" t="s">
        <v>545</v>
      </c>
      <c r="D1131" s="3" t="s">
        <v>57</v>
      </c>
      <c r="E1131" s="3"/>
      <c r="F1131" s="3" t="s">
        <v>2311</v>
      </c>
      <c r="G1131" s="3"/>
      <c r="H1131" s="3"/>
    </row>
    <row r="1132" spans="1:8" x14ac:dyDescent="0.35">
      <c r="A1132" s="3" t="s">
        <v>544</v>
      </c>
      <c r="B1132" s="3" t="s">
        <v>42</v>
      </c>
      <c r="C1132" s="3" t="s">
        <v>545</v>
      </c>
      <c r="D1132" s="3" t="s">
        <v>82</v>
      </c>
      <c r="E1132" s="3"/>
      <c r="F1132" s="3"/>
      <c r="G1132" s="3"/>
      <c r="H1132" s="3"/>
    </row>
    <row r="1133" spans="1:8" x14ac:dyDescent="0.35">
      <c r="A1133" s="3" t="s">
        <v>548</v>
      </c>
      <c r="B1133" s="3" t="s">
        <v>42</v>
      </c>
      <c r="C1133" s="3" t="s">
        <v>2792</v>
      </c>
      <c r="D1133" s="3" t="s">
        <v>27</v>
      </c>
      <c r="E1133" s="3"/>
      <c r="F1133" s="3"/>
      <c r="G1133" s="3"/>
      <c r="H1133" s="3"/>
    </row>
    <row r="1134" spans="1:8" x14ac:dyDescent="0.35">
      <c r="A1134" s="3" t="s">
        <v>548</v>
      </c>
      <c r="B1134" s="3" t="s">
        <v>42</v>
      </c>
      <c r="C1134" s="3" t="s">
        <v>2792</v>
      </c>
      <c r="D1134" s="3" t="s">
        <v>87</v>
      </c>
      <c r="E1134" s="3"/>
      <c r="F1134" s="3"/>
      <c r="G1134" s="3"/>
      <c r="H1134" s="3"/>
    </row>
    <row r="1135" spans="1:8" x14ac:dyDescent="0.35">
      <c r="A1135" s="3" t="s">
        <v>548</v>
      </c>
      <c r="B1135" s="3" t="s">
        <v>42</v>
      </c>
      <c r="C1135" s="3" t="s">
        <v>2792</v>
      </c>
      <c r="D1135" s="3" t="s">
        <v>24</v>
      </c>
      <c r="E1135" s="3"/>
      <c r="F1135" s="3" t="s">
        <v>2793</v>
      </c>
      <c r="G1135" s="3"/>
      <c r="H1135" s="3"/>
    </row>
    <row r="1136" spans="1:8" x14ac:dyDescent="0.35">
      <c r="A1136" s="3" t="s">
        <v>548</v>
      </c>
      <c r="B1136" s="3" t="s">
        <v>20</v>
      </c>
      <c r="C1136" s="3" t="s">
        <v>549</v>
      </c>
      <c r="D1136" s="3" t="s">
        <v>25</v>
      </c>
      <c r="E1136" s="3"/>
      <c r="F1136" s="3"/>
      <c r="G1136" s="3" t="s">
        <v>16</v>
      </c>
      <c r="H1136" s="3" t="s">
        <v>550</v>
      </c>
    </row>
    <row r="1137" spans="1:8" x14ac:dyDescent="0.35">
      <c r="A1137" s="3" t="s">
        <v>548</v>
      </c>
      <c r="B1137" s="3" t="s">
        <v>20</v>
      </c>
      <c r="C1137" s="3" t="s">
        <v>549</v>
      </c>
      <c r="D1137" s="3" t="s">
        <v>27</v>
      </c>
      <c r="E1137" s="3"/>
      <c r="F1137" s="3"/>
      <c r="G1137" s="3" t="s">
        <v>16</v>
      </c>
      <c r="H1137" s="3" t="s">
        <v>550</v>
      </c>
    </row>
    <row r="1138" spans="1:8" x14ac:dyDescent="0.35">
      <c r="A1138" s="3" t="s">
        <v>548</v>
      </c>
      <c r="B1138" s="3" t="s">
        <v>20</v>
      </c>
      <c r="C1138" s="3" t="s">
        <v>549</v>
      </c>
      <c r="D1138" s="3" t="s">
        <v>15</v>
      </c>
      <c r="E1138" s="3" t="s">
        <v>16</v>
      </c>
      <c r="F1138" s="3" t="s">
        <v>551</v>
      </c>
      <c r="G1138" s="3" t="s">
        <v>16</v>
      </c>
      <c r="H1138" s="3" t="s">
        <v>550</v>
      </c>
    </row>
    <row r="1139" spans="1:8" x14ac:dyDescent="0.35">
      <c r="A1139" s="3" t="s">
        <v>548</v>
      </c>
      <c r="B1139" s="3" t="s">
        <v>20</v>
      </c>
      <c r="C1139" s="3" t="s">
        <v>549</v>
      </c>
      <c r="D1139" s="3" t="s">
        <v>37</v>
      </c>
      <c r="E1139" s="3"/>
      <c r="F1139" s="3"/>
      <c r="G1139" s="3" t="s">
        <v>16</v>
      </c>
      <c r="H1139" s="3" t="s">
        <v>550</v>
      </c>
    </row>
    <row r="1140" spans="1:8" x14ac:dyDescent="0.35">
      <c r="A1140" s="3" t="s">
        <v>548</v>
      </c>
      <c r="B1140" s="3" t="s">
        <v>20</v>
      </c>
      <c r="C1140" s="3" t="s">
        <v>549</v>
      </c>
      <c r="D1140" s="3" t="s">
        <v>24</v>
      </c>
      <c r="E1140" s="3"/>
      <c r="F1140" s="3"/>
      <c r="G1140" s="3" t="s">
        <v>16</v>
      </c>
      <c r="H1140" s="3" t="s">
        <v>550</v>
      </c>
    </row>
    <row r="1141" spans="1:8" x14ac:dyDescent="0.35">
      <c r="A1141" s="3" t="s">
        <v>552</v>
      </c>
      <c r="B1141" s="3" t="s">
        <v>10</v>
      </c>
      <c r="C1141" s="3" t="s">
        <v>2982</v>
      </c>
      <c r="D1141" s="3" t="s">
        <v>142</v>
      </c>
      <c r="E1141" s="3"/>
      <c r="F1141" s="3"/>
      <c r="G1141" s="3" t="s">
        <v>13</v>
      </c>
      <c r="H1141" s="3" t="s">
        <v>559</v>
      </c>
    </row>
    <row r="1142" spans="1:8" x14ac:dyDescent="0.35">
      <c r="A1142" s="3" t="s">
        <v>552</v>
      </c>
      <c r="B1142" s="3" t="s">
        <v>10</v>
      </c>
      <c r="C1142" s="3" t="s">
        <v>2982</v>
      </c>
      <c r="D1142" s="3" t="s">
        <v>56</v>
      </c>
      <c r="E1142" s="3" t="s">
        <v>16</v>
      </c>
      <c r="F1142" s="3" t="s">
        <v>2983</v>
      </c>
      <c r="G1142" s="3" t="s">
        <v>13</v>
      </c>
      <c r="H1142" s="3" t="s">
        <v>559</v>
      </c>
    </row>
    <row r="1143" spans="1:8" x14ac:dyDescent="0.35">
      <c r="A1143" s="3" t="s">
        <v>552</v>
      </c>
      <c r="B1143" s="3" t="s">
        <v>42</v>
      </c>
      <c r="C1143" s="3" t="s">
        <v>553</v>
      </c>
      <c r="D1143" s="3" t="s">
        <v>23</v>
      </c>
      <c r="E1143" s="3"/>
      <c r="F1143" s="3"/>
      <c r="G1143" s="3" t="s">
        <v>13</v>
      </c>
      <c r="H1143" s="3" t="s">
        <v>554</v>
      </c>
    </row>
    <row r="1144" spans="1:8" x14ac:dyDescent="0.35">
      <c r="A1144" s="3" t="s">
        <v>552</v>
      </c>
      <c r="B1144" s="3" t="s">
        <v>42</v>
      </c>
      <c r="C1144" s="3" t="s">
        <v>553</v>
      </c>
      <c r="D1144" s="3" t="s">
        <v>25</v>
      </c>
      <c r="E1144" s="3"/>
      <c r="F1144" s="3"/>
      <c r="G1144" s="3" t="s">
        <v>13</v>
      </c>
      <c r="H1144" s="3" t="s">
        <v>554</v>
      </c>
    </row>
    <row r="1145" spans="1:8" x14ac:dyDescent="0.35">
      <c r="A1145" s="3" t="s">
        <v>552</v>
      </c>
      <c r="B1145" s="3" t="s">
        <v>42</v>
      </c>
      <c r="C1145" s="3" t="s">
        <v>553</v>
      </c>
      <c r="D1145" s="3" t="s">
        <v>44</v>
      </c>
      <c r="E1145" s="3"/>
      <c r="F1145" s="3"/>
      <c r="G1145" s="3" t="s">
        <v>13</v>
      </c>
      <c r="H1145" s="3" t="s">
        <v>554</v>
      </c>
    </row>
    <row r="1146" spans="1:8" x14ac:dyDescent="0.35">
      <c r="A1146" s="3" t="s">
        <v>552</v>
      </c>
      <c r="B1146" s="3" t="s">
        <v>42</v>
      </c>
      <c r="C1146" s="3" t="s">
        <v>553</v>
      </c>
      <c r="D1146" s="3" t="s">
        <v>28</v>
      </c>
      <c r="E1146" s="3"/>
      <c r="F1146" s="3"/>
      <c r="G1146" s="3" t="s">
        <v>13</v>
      </c>
      <c r="H1146" s="3" t="s">
        <v>554</v>
      </c>
    </row>
    <row r="1147" spans="1:8" x14ac:dyDescent="0.35">
      <c r="A1147" s="3" t="s">
        <v>552</v>
      </c>
      <c r="B1147" s="3" t="s">
        <v>42</v>
      </c>
      <c r="C1147" s="3" t="s">
        <v>553</v>
      </c>
      <c r="D1147" s="3" t="s">
        <v>15</v>
      </c>
      <c r="E1147" s="3" t="s">
        <v>13</v>
      </c>
      <c r="F1147" s="3" t="s">
        <v>555</v>
      </c>
      <c r="G1147" s="3" t="s">
        <v>13</v>
      </c>
      <c r="H1147" s="3" t="s">
        <v>554</v>
      </c>
    </row>
    <row r="1148" spans="1:8" x14ac:dyDescent="0.35">
      <c r="A1148" s="3" t="s">
        <v>552</v>
      </c>
      <c r="B1148" s="3" t="s">
        <v>42</v>
      </c>
      <c r="C1148" s="3" t="s">
        <v>553</v>
      </c>
      <c r="D1148" s="3" t="s">
        <v>134</v>
      </c>
      <c r="E1148" s="3"/>
      <c r="F1148" s="3"/>
      <c r="G1148" s="3" t="s">
        <v>13</v>
      </c>
      <c r="H1148" s="3" t="s">
        <v>554</v>
      </c>
    </row>
    <row r="1149" spans="1:8" x14ac:dyDescent="0.35">
      <c r="A1149" s="3" t="s">
        <v>552</v>
      </c>
      <c r="B1149" s="3" t="s">
        <v>42</v>
      </c>
      <c r="C1149" s="3" t="s">
        <v>553</v>
      </c>
      <c r="D1149" s="3" t="s">
        <v>107</v>
      </c>
      <c r="E1149" s="3" t="s">
        <v>13</v>
      </c>
      <c r="F1149" s="3" t="s">
        <v>556</v>
      </c>
      <c r="G1149" s="3" t="s">
        <v>13</v>
      </c>
      <c r="H1149" s="3" t="s">
        <v>554</v>
      </c>
    </row>
    <row r="1150" spans="1:8" x14ac:dyDescent="0.35">
      <c r="A1150" s="3" t="s">
        <v>552</v>
      </c>
      <c r="B1150" s="3" t="s">
        <v>45</v>
      </c>
      <c r="C1150" s="3" t="s">
        <v>557</v>
      </c>
      <c r="D1150" s="3" t="s">
        <v>23</v>
      </c>
      <c r="E1150" s="3" t="s">
        <v>13</v>
      </c>
      <c r="F1150" s="3" t="s">
        <v>558</v>
      </c>
      <c r="G1150" s="3" t="s">
        <v>13</v>
      </c>
      <c r="H1150" s="3" t="s">
        <v>559</v>
      </c>
    </row>
    <row r="1151" spans="1:8" x14ac:dyDescent="0.35">
      <c r="A1151" s="3" t="s">
        <v>552</v>
      </c>
      <c r="B1151" s="3" t="s">
        <v>45</v>
      </c>
      <c r="C1151" s="3" t="s">
        <v>557</v>
      </c>
      <c r="D1151" s="3" t="s">
        <v>32</v>
      </c>
      <c r="E1151" s="3" t="s">
        <v>33</v>
      </c>
      <c r="F1151" s="3" t="s">
        <v>34</v>
      </c>
      <c r="G1151" s="3" t="s">
        <v>13</v>
      </c>
      <c r="H1151" s="3" t="s">
        <v>559</v>
      </c>
    </row>
    <row r="1152" spans="1:8" x14ac:dyDescent="0.35">
      <c r="A1152" s="3" t="s">
        <v>552</v>
      </c>
      <c r="B1152" s="3" t="s">
        <v>45</v>
      </c>
      <c r="C1152" s="3" t="s">
        <v>557</v>
      </c>
      <c r="D1152" s="3" t="s">
        <v>24</v>
      </c>
      <c r="E1152" s="3" t="s">
        <v>13</v>
      </c>
      <c r="F1152" s="3" t="s">
        <v>560</v>
      </c>
      <c r="G1152" s="3" t="s">
        <v>13</v>
      </c>
      <c r="H1152" s="3" t="s">
        <v>559</v>
      </c>
    </row>
    <row r="1153" spans="1:8" x14ac:dyDescent="0.35">
      <c r="A1153" s="3" t="s">
        <v>552</v>
      </c>
      <c r="B1153" s="3" t="s">
        <v>45</v>
      </c>
      <c r="C1153" s="3" t="s">
        <v>2260</v>
      </c>
      <c r="D1153" s="3" t="s">
        <v>77</v>
      </c>
      <c r="E1153" s="3"/>
      <c r="F1153" s="3"/>
      <c r="G1153" s="3"/>
      <c r="H1153" s="3"/>
    </row>
    <row r="1154" spans="1:8" x14ac:dyDescent="0.35">
      <c r="A1154" s="3" t="s">
        <v>552</v>
      </c>
      <c r="B1154" s="3" t="s">
        <v>20</v>
      </c>
      <c r="C1154" s="3" t="s">
        <v>561</v>
      </c>
      <c r="D1154" s="3" t="s">
        <v>12</v>
      </c>
      <c r="E1154" s="3"/>
      <c r="F1154" s="3"/>
      <c r="G1154" s="3" t="s">
        <v>13</v>
      </c>
      <c r="H1154" s="3" t="s">
        <v>559</v>
      </c>
    </row>
    <row r="1155" spans="1:8" x14ac:dyDescent="0.35">
      <c r="A1155" s="3" t="s">
        <v>552</v>
      </c>
      <c r="B1155" s="3" t="s">
        <v>20</v>
      </c>
      <c r="C1155" s="3" t="s">
        <v>561</v>
      </c>
      <c r="D1155" s="3" t="s">
        <v>36</v>
      </c>
      <c r="E1155" s="3"/>
      <c r="F1155" s="3"/>
      <c r="G1155" s="3" t="s">
        <v>13</v>
      </c>
      <c r="H1155" s="3" t="s">
        <v>554</v>
      </c>
    </row>
    <row r="1156" spans="1:8" x14ac:dyDescent="0.35">
      <c r="A1156" s="3" t="s">
        <v>552</v>
      </c>
      <c r="B1156" s="3" t="s">
        <v>20</v>
      </c>
      <c r="C1156" s="3" t="s">
        <v>561</v>
      </c>
      <c r="D1156" s="3" t="s">
        <v>23</v>
      </c>
      <c r="E1156" s="3"/>
      <c r="F1156" s="3"/>
      <c r="G1156" s="3" t="s">
        <v>13</v>
      </c>
      <c r="H1156" s="3" t="s">
        <v>559</v>
      </c>
    </row>
    <row r="1157" spans="1:8" x14ac:dyDescent="0.35">
      <c r="A1157" s="3" t="s">
        <v>552</v>
      </c>
      <c r="B1157" s="3" t="s">
        <v>20</v>
      </c>
      <c r="C1157" s="3" t="s">
        <v>561</v>
      </c>
      <c r="D1157" s="3" t="s">
        <v>25</v>
      </c>
      <c r="E1157" s="3"/>
      <c r="F1157" s="3"/>
      <c r="G1157" s="3" t="s">
        <v>13</v>
      </c>
      <c r="H1157" s="3" t="s">
        <v>554</v>
      </c>
    </row>
    <row r="1158" spans="1:8" x14ac:dyDescent="0.35">
      <c r="A1158" s="3" t="s">
        <v>552</v>
      </c>
      <c r="B1158" s="3" t="s">
        <v>20</v>
      </c>
      <c r="C1158" s="3" t="s">
        <v>561</v>
      </c>
      <c r="D1158" s="3" t="s">
        <v>60</v>
      </c>
      <c r="E1158" s="3"/>
      <c r="F1158" s="3" t="s">
        <v>2350</v>
      </c>
      <c r="G1158" s="3" t="s">
        <v>13</v>
      </c>
      <c r="H1158" s="3" t="s">
        <v>559</v>
      </c>
    </row>
    <row r="1159" spans="1:8" x14ac:dyDescent="0.35">
      <c r="A1159" s="3" t="s">
        <v>552</v>
      </c>
      <c r="B1159" s="3" t="s">
        <v>20</v>
      </c>
      <c r="C1159" s="3" t="s">
        <v>561</v>
      </c>
      <c r="D1159" s="3" t="s">
        <v>27</v>
      </c>
      <c r="E1159" s="3"/>
      <c r="F1159" s="3"/>
      <c r="G1159" s="3" t="s">
        <v>13</v>
      </c>
      <c r="H1159" s="3" t="s">
        <v>559</v>
      </c>
    </row>
    <row r="1160" spans="1:8" x14ac:dyDescent="0.35">
      <c r="A1160" s="3" t="s">
        <v>552</v>
      </c>
      <c r="B1160" s="3" t="s">
        <v>20</v>
      </c>
      <c r="C1160" s="3" t="s">
        <v>561</v>
      </c>
      <c r="D1160" s="3" t="s">
        <v>71</v>
      </c>
      <c r="E1160" s="3"/>
      <c r="F1160" s="3"/>
      <c r="G1160" s="3" t="s">
        <v>16</v>
      </c>
      <c r="H1160" s="3" t="s">
        <v>559</v>
      </c>
    </row>
    <row r="1161" spans="1:8" x14ac:dyDescent="0.35">
      <c r="A1161" s="3" t="s">
        <v>552</v>
      </c>
      <c r="B1161" s="3" t="s">
        <v>20</v>
      </c>
      <c r="C1161" s="3" t="s">
        <v>561</v>
      </c>
      <c r="D1161" s="3" t="s">
        <v>77</v>
      </c>
      <c r="E1161" s="3"/>
      <c r="F1161" s="3" t="s">
        <v>2349</v>
      </c>
      <c r="G1161" s="3" t="s">
        <v>13</v>
      </c>
      <c r="H1161" s="3" t="s">
        <v>559</v>
      </c>
    </row>
    <row r="1162" spans="1:8" x14ac:dyDescent="0.35">
      <c r="A1162" s="3" t="s">
        <v>552</v>
      </c>
      <c r="B1162" s="3" t="s">
        <v>20</v>
      </c>
      <c r="C1162" s="3" t="s">
        <v>561</v>
      </c>
      <c r="D1162" s="3" t="s">
        <v>28</v>
      </c>
      <c r="E1162" s="3" t="s">
        <v>16</v>
      </c>
      <c r="F1162" s="3" t="s">
        <v>563</v>
      </c>
      <c r="G1162" s="3" t="s">
        <v>13</v>
      </c>
      <c r="H1162" s="3" t="s">
        <v>559</v>
      </c>
    </row>
    <row r="1163" spans="1:8" x14ac:dyDescent="0.35">
      <c r="A1163" s="3" t="s">
        <v>552</v>
      </c>
      <c r="B1163" s="3" t="s">
        <v>20</v>
      </c>
      <c r="C1163" s="3" t="s">
        <v>561</v>
      </c>
      <c r="D1163" s="3" t="s">
        <v>56</v>
      </c>
      <c r="E1163" s="3" t="s">
        <v>13</v>
      </c>
      <c r="F1163" s="3" t="s">
        <v>562</v>
      </c>
      <c r="G1163" s="3" t="s">
        <v>13</v>
      </c>
      <c r="H1163" s="3" t="s">
        <v>554</v>
      </c>
    </row>
    <row r="1164" spans="1:8" x14ac:dyDescent="0.35">
      <c r="A1164" s="3" t="s">
        <v>552</v>
      </c>
      <c r="B1164" s="3" t="s">
        <v>20</v>
      </c>
      <c r="C1164" s="3" t="s">
        <v>561</v>
      </c>
      <c r="D1164" s="3" t="s">
        <v>32</v>
      </c>
      <c r="E1164" s="3" t="s">
        <v>33</v>
      </c>
      <c r="F1164" s="3" t="s">
        <v>314</v>
      </c>
      <c r="G1164" s="3" t="s">
        <v>13</v>
      </c>
      <c r="H1164" s="3" t="s">
        <v>554</v>
      </c>
    </row>
    <row r="1165" spans="1:8" x14ac:dyDescent="0.35">
      <c r="A1165" s="3" t="s">
        <v>552</v>
      </c>
      <c r="B1165" s="3" t="s">
        <v>20</v>
      </c>
      <c r="C1165" s="3" t="s">
        <v>561</v>
      </c>
      <c r="D1165" s="3" t="s">
        <v>26</v>
      </c>
      <c r="E1165" s="3"/>
      <c r="F1165" s="3"/>
      <c r="G1165" s="3" t="s">
        <v>13</v>
      </c>
      <c r="H1165" s="3" t="s">
        <v>559</v>
      </c>
    </row>
    <row r="1166" spans="1:8" x14ac:dyDescent="0.35">
      <c r="A1166" s="3" t="s">
        <v>552</v>
      </c>
      <c r="B1166" s="3" t="s">
        <v>20</v>
      </c>
      <c r="C1166" s="3" t="s">
        <v>561</v>
      </c>
      <c r="D1166" s="3" t="s">
        <v>290</v>
      </c>
      <c r="E1166" s="3"/>
      <c r="F1166" s="3"/>
      <c r="G1166" s="3" t="s">
        <v>13</v>
      </c>
      <c r="H1166" s="3" t="s">
        <v>559</v>
      </c>
    </row>
    <row r="1167" spans="1:8" x14ac:dyDescent="0.35">
      <c r="A1167" s="3" t="s">
        <v>552</v>
      </c>
      <c r="B1167" s="3" t="s">
        <v>20</v>
      </c>
      <c r="C1167" s="3" t="s">
        <v>561</v>
      </c>
      <c r="D1167" s="3" t="s">
        <v>82</v>
      </c>
      <c r="E1167" s="3" t="s">
        <v>13</v>
      </c>
      <c r="F1167" s="3" t="s">
        <v>157</v>
      </c>
      <c r="G1167" s="3" t="s">
        <v>13</v>
      </c>
      <c r="H1167" s="3" t="s">
        <v>554</v>
      </c>
    </row>
    <row r="1168" spans="1:8" x14ac:dyDescent="0.35">
      <c r="A1168" s="3" t="s">
        <v>552</v>
      </c>
      <c r="B1168" s="3" t="s">
        <v>20</v>
      </c>
      <c r="C1168" s="3" t="s">
        <v>564</v>
      </c>
      <c r="D1168" s="3" t="s">
        <v>27</v>
      </c>
      <c r="E1168" s="3"/>
      <c r="F1168" s="3"/>
      <c r="G1168" s="3" t="s">
        <v>13</v>
      </c>
      <c r="H1168" s="3" t="s">
        <v>559</v>
      </c>
    </row>
    <row r="1169" spans="1:8" x14ac:dyDescent="0.35">
      <c r="A1169" s="3" t="s">
        <v>552</v>
      </c>
      <c r="B1169" s="3" t="s">
        <v>20</v>
      </c>
      <c r="C1169" s="3" t="s">
        <v>564</v>
      </c>
      <c r="D1169" s="3" t="s">
        <v>77</v>
      </c>
      <c r="E1169" s="3"/>
      <c r="F1169" s="3"/>
      <c r="G1169" s="3" t="s">
        <v>13</v>
      </c>
      <c r="H1169" s="3" t="s">
        <v>559</v>
      </c>
    </row>
    <row r="1170" spans="1:8" x14ac:dyDescent="0.35">
      <c r="A1170" s="3" t="s">
        <v>552</v>
      </c>
      <c r="B1170" s="3" t="s">
        <v>20</v>
      </c>
      <c r="C1170" s="3" t="s">
        <v>564</v>
      </c>
      <c r="D1170" s="3" t="s">
        <v>28</v>
      </c>
      <c r="E1170" s="3"/>
      <c r="F1170" s="3"/>
      <c r="G1170" s="3" t="s">
        <v>13</v>
      </c>
      <c r="H1170" s="3" t="s">
        <v>559</v>
      </c>
    </row>
    <row r="1171" spans="1:8" x14ac:dyDescent="0.35">
      <c r="A1171" s="3" t="s">
        <v>552</v>
      </c>
      <c r="B1171" s="3" t="s">
        <v>20</v>
      </c>
      <c r="C1171" s="3" t="s">
        <v>564</v>
      </c>
      <c r="D1171" s="3" t="s">
        <v>26</v>
      </c>
      <c r="E1171" s="3"/>
      <c r="F1171" s="3"/>
      <c r="G1171" s="3" t="s">
        <v>13</v>
      </c>
      <c r="H1171" s="3" t="s">
        <v>559</v>
      </c>
    </row>
    <row r="1172" spans="1:8" x14ac:dyDescent="0.35">
      <c r="A1172" s="3" t="s">
        <v>552</v>
      </c>
      <c r="B1172" s="3" t="s">
        <v>20</v>
      </c>
      <c r="C1172" s="3" t="s">
        <v>564</v>
      </c>
      <c r="D1172" s="3" t="s">
        <v>29</v>
      </c>
      <c r="E1172" s="3"/>
      <c r="F1172" s="3" t="s">
        <v>2291</v>
      </c>
      <c r="G1172" s="3" t="s">
        <v>13</v>
      </c>
      <c r="H1172" s="3" t="s">
        <v>559</v>
      </c>
    </row>
    <row r="1173" spans="1:8" x14ac:dyDescent="0.35">
      <c r="A1173" s="3" t="s">
        <v>552</v>
      </c>
      <c r="B1173" s="3" t="s">
        <v>20</v>
      </c>
      <c r="C1173" s="3" t="s">
        <v>564</v>
      </c>
      <c r="D1173" s="3" t="s">
        <v>134</v>
      </c>
      <c r="E1173" s="3" t="s">
        <v>13</v>
      </c>
      <c r="F1173" s="3" t="s">
        <v>565</v>
      </c>
      <c r="G1173" s="3" t="s">
        <v>13</v>
      </c>
      <c r="H1173" s="3" t="s">
        <v>559</v>
      </c>
    </row>
    <row r="1174" spans="1:8" x14ac:dyDescent="0.35">
      <c r="A1174" s="3" t="s">
        <v>552</v>
      </c>
      <c r="B1174" s="3" t="s">
        <v>20</v>
      </c>
      <c r="C1174" s="3" t="s">
        <v>564</v>
      </c>
      <c r="D1174" s="3" t="s">
        <v>290</v>
      </c>
      <c r="E1174" s="3"/>
      <c r="F1174" s="3"/>
      <c r="G1174" s="3" t="s">
        <v>13</v>
      </c>
      <c r="H1174" s="3" t="s">
        <v>559</v>
      </c>
    </row>
    <row r="1175" spans="1:8" x14ac:dyDescent="0.35">
      <c r="A1175" s="3" t="s">
        <v>552</v>
      </c>
      <c r="B1175" s="3" t="s">
        <v>20</v>
      </c>
      <c r="C1175" s="3" t="s">
        <v>566</v>
      </c>
      <c r="D1175" s="3" t="s">
        <v>23</v>
      </c>
      <c r="E1175" s="3"/>
      <c r="F1175" s="3"/>
      <c r="G1175" s="3"/>
      <c r="H1175" s="3"/>
    </row>
    <row r="1176" spans="1:8" x14ac:dyDescent="0.35">
      <c r="A1176" s="3" t="s">
        <v>552</v>
      </c>
      <c r="B1176" s="3" t="s">
        <v>45</v>
      </c>
      <c r="C1176" s="3" t="s">
        <v>567</v>
      </c>
      <c r="D1176" s="3" t="s">
        <v>23</v>
      </c>
      <c r="E1176" s="3"/>
      <c r="F1176" s="3"/>
      <c r="G1176" s="3" t="s">
        <v>13</v>
      </c>
      <c r="H1176" s="3" t="s">
        <v>554</v>
      </c>
    </row>
    <row r="1177" spans="1:8" x14ac:dyDescent="0.35">
      <c r="A1177" s="3" t="s">
        <v>552</v>
      </c>
      <c r="B1177" s="3" t="s">
        <v>45</v>
      </c>
      <c r="C1177" s="3" t="s">
        <v>567</v>
      </c>
      <c r="D1177" s="3" t="s">
        <v>77</v>
      </c>
      <c r="E1177" s="3"/>
      <c r="F1177" s="3"/>
      <c r="G1177" s="3" t="s">
        <v>13</v>
      </c>
      <c r="H1177" s="3" t="s">
        <v>554</v>
      </c>
    </row>
    <row r="1178" spans="1:8" x14ac:dyDescent="0.35">
      <c r="A1178" s="3" t="s">
        <v>552</v>
      </c>
      <c r="B1178" s="3" t="s">
        <v>45</v>
      </c>
      <c r="C1178" s="3" t="s">
        <v>567</v>
      </c>
      <c r="D1178" s="3" t="s">
        <v>28</v>
      </c>
      <c r="E1178" s="3"/>
      <c r="F1178" s="3"/>
      <c r="G1178" s="3" t="s">
        <v>13</v>
      </c>
      <c r="H1178" s="3" t="s">
        <v>554</v>
      </c>
    </row>
    <row r="1179" spans="1:8" x14ac:dyDescent="0.35">
      <c r="A1179" s="3" t="s">
        <v>552</v>
      </c>
      <c r="B1179" s="3" t="s">
        <v>45</v>
      </c>
      <c r="C1179" s="3" t="s">
        <v>567</v>
      </c>
      <c r="D1179" s="3" t="s">
        <v>98</v>
      </c>
      <c r="E1179" s="3"/>
      <c r="F1179" s="3"/>
      <c r="G1179" s="3" t="s">
        <v>13</v>
      </c>
      <c r="H1179" s="3" t="s">
        <v>554</v>
      </c>
    </row>
    <row r="1180" spans="1:8" x14ac:dyDescent="0.35">
      <c r="A1180" s="3" t="s">
        <v>552</v>
      </c>
      <c r="B1180" s="3" t="s">
        <v>45</v>
      </c>
      <c r="C1180" s="3" t="s">
        <v>567</v>
      </c>
      <c r="D1180" s="3" t="s">
        <v>24</v>
      </c>
      <c r="E1180" s="3"/>
      <c r="F1180" s="3"/>
      <c r="G1180" s="3" t="s">
        <v>13</v>
      </c>
      <c r="H1180" s="3" t="s">
        <v>554</v>
      </c>
    </row>
    <row r="1181" spans="1:8" x14ac:dyDescent="0.35">
      <c r="A1181" s="3" t="s">
        <v>552</v>
      </c>
      <c r="B1181" s="3" t="s">
        <v>39</v>
      </c>
      <c r="C1181" s="3" t="s">
        <v>2263</v>
      </c>
      <c r="D1181" s="3" t="s">
        <v>25</v>
      </c>
      <c r="E1181" s="3" t="s">
        <v>13</v>
      </c>
      <c r="F1181" s="3" t="s">
        <v>568</v>
      </c>
      <c r="G1181" s="3" t="s">
        <v>13</v>
      </c>
      <c r="H1181" s="3" t="s">
        <v>559</v>
      </c>
    </row>
    <row r="1182" spans="1:8" x14ac:dyDescent="0.35">
      <c r="A1182" s="3" t="s">
        <v>552</v>
      </c>
      <c r="B1182" s="3" t="s">
        <v>39</v>
      </c>
      <c r="C1182" s="3" t="s">
        <v>2263</v>
      </c>
      <c r="D1182" s="3" t="s">
        <v>27</v>
      </c>
      <c r="E1182" s="3" t="s">
        <v>13</v>
      </c>
      <c r="F1182" s="3" t="s">
        <v>568</v>
      </c>
      <c r="G1182" s="3" t="s">
        <v>13</v>
      </c>
      <c r="H1182" s="3" t="s">
        <v>559</v>
      </c>
    </row>
    <row r="1183" spans="1:8" x14ac:dyDescent="0.35">
      <c r="A1183" s="3" t="s">
        <v>552</v>
      </c>
      <c r="B1183" s="3" t="s">
        <v>39</v>
      </c>
      <c r="C1183" s="3" t="s">
        <v>2263</v>
      </c>
      <c r="D1183" s="3" t="s">
        <v>77</v>
      </c>
      <c r="E1183" s="3" t="s">
        <v>13</v>
      </c>
      <c r="F1183" s="3" t="s">
        <v>568</v>
      </c>
      <c r="G1183" s="3" t="s">
        <v>13</v>
      </c>
      <c r="H1183" s="3" t="s">
        <v>559</v>
      </c>
    </row>
    <row r="1184" spans="1:8" x14ac:dyDescent="0.35">
      <c r="A1184" s="3" t="s">
        <v>552</v>
      </c>
      <c r="B1184" s="3" t="s">
        <v>39</v>
      </c>
      <c r="C1184" s="3" t="s">
        <v>2263</v>
      </c>
      <c r="D1184" s="3" t="s">
        <v>15</v>
      </c>
      <c r="E1184" s="3" t="s">
        <v>13</v>
      </c>
      <c r="F1184" s="3" t="s">
        <v>569</v>
      </c>
      <c r="G1184" s="3" t="s">
        <v>13</v>
      </c>
      <c r="H1184" s="3" t="s">
        <v>559</v>
      </c>
    </row>
    <row r="1185" spans="1:8" x14ac:dyDescent="0.35">
      <c r="A1185" s="3" t="s">
        <v>552</v>
      </c>
      <c r="B1185" s="3" t="s">
        <v>39</v>
      </c>
      <c r="C1185" s="3" t="s">
        <v>2263</v>
      </c>
      <c r="D1185" s="3" t="s">
        <v>57</v>
      </c>
      <c r="E1185" s="3" t="s">
        <v>13</v>
      </c>
      <c r="F1185" s="3" t="s">
        <v>568</v>
      </c>
      <c r="G1185" s="3" t="s">
        <v>13</v>
      </c>
      <c r="H1185" s="3" t="s">
        <v>559</v>
      </c>
    </row>
    <row r="1186" spans="1:8" x14ac:dyDescent="0.35">
      <c r="A1186" s="3" t="s">
        <v>552</v>
      </c>
      <c r="B1186" s="3" t="s">
        <v>39</v>
      </c>
      <c r="C1186" s="3" t="s">
        <v>2263</v>
      </c>
      <c r="D1186" s="3" t="s">
        <v>89</v>
      </c>
      <c r="E1186" s="3" t="s">
        <v>13</v>
      </c>
      <c r="F1186" s="3" t="s">
        <v>568</v>
      </c>
      <c r="G1186" s="3" t="s">
        <v>13</v>
      </c>
      <c r="H1186" s="3" t="s">
        <v>559</v>
      </c>
    </row>
    <row r="1187" spans="1:8" x14ac:dyDescent="0.35">
      <c r="A1187" s="3" t="s">
        <v>552</v>
      </c>
      <c r="B1187" s="3" t="s">
        <v>39</v>
      </c>
      <c r="C1187" s="3" t="s">
        <v>2263</v>
      </c>
      <c r="D1187" s="3" t="s">
        <v>32</v>
      </c>
      <c r="E1187" s="3"/>
      <c r="F1187" s="3"/>
      <c r="G1187" s="3" t="s">
        <v>13</v>
      </c>
      <c r="H1187" s="3" t="s">
        <v>559</v>
      </c>
    </row>
    <row r="1188" spans="1:8" x14ac:dyDescent="0.35">
      <c r="A1188" s="3" t="s">
        <v>552</v>
      </c>
      <c r="B1188" s="3" t="s">
        <v>39</v>
      </c>
      <c r="C1188" s="3" t="s">
        <v>2263</v>
      </c>
      <c r="D1188" s="3" t="s">
        <v>26</v>
      </c>
      <c r="E1188" s="3" t="s">
        <v>13</v>
      </c>
      <c r="F1188" s="3" t="s">
        <v>568</v>
      </c>
      <c r="G1188" s="3" t="s">
        <v>13</v>
      </c>
      <c r="H1188" s="3" t="s">
        <v>559</v>
      </c>
    </row>
    <row r="1189" spans="1:8" x14ac:dyDescent="0.35">
      <c r="A1189" s="3" t="s">
        <v>552</v>
      </c>
      <c r="B1189" s="3" t="s">
        <v>39</v>
      </c>
      <c r="C1189" s="3" t="s">
        <v>2263</v>
      </c>
      <c r="D1189" s="3" t="s">
        <v>290</v>
      </c>
      <c r="E1189" s="3" t="s">
        <v>13</v>
      </c>
      <c r="F1189" s="3" t="s">
        <v>568</v>
      </c>
      <c r="G1189" s="3" t="s">
        <v>13</v>
      </c>
      <c r="H1189" s="3" t="s">
        <v>559</v>
      </c>
    </row>
    <row r="1190" spans="1:8" x14ac:dyDescent="0.35">
      <c r="A1190" s="3" t="s">
        <v>552</v>
      </c>
      <c r="B1190" s="3" t="s">
        <v>20</v>
      </c>
      <c r="C1190" s="3" t="s">
        <v>570</v>
      </c>
      <c r="D1190" s="3" t="s">
        <v>87</v>
      </c>
      <c r="E1190" s="3" t="s">
        <v>13</v>
      </c>
      <c r="F1190" s="3" t="s">
        <v>571</v>
      </c>
      <c r="G1190" s="3" t="s">
        <v>13</v>
      </c>
      <c r="H1190" s="3" t="s">
        <v>559</v>
      </c>
    </row>
    <row r="1191" spans="1:8" x14ac:dyDescent="0.35">
      <c r="A1191" s="3" t="s">
        <v>552</v>
      </c>
      <c r="B1191" s="3" t="s">
        <v>20</v>
      </c>
      <c r="C1191" s="3" t="s">
        <v>570</v>
      </c>
      <c r="D1191" s="3" t="s">
        <v>134</v>
      </c>
      <c r="E1191" s="3" t="s">
        <v>13</v>
      </c>
      <c r="F1191" s="3" t="s">
        <v>572</v>
      </c>
      <c r="G1191" s="3" t="s">
        <v>13</v>
      </c>
      <c r="H1191" s="3" t="s">
        <v>559</v>
      </c>
    </row>
    <row r="1192" spans="1:8" x14ac:dyDescent="0.35">
      <c r="A1192" s="3" t="s">
        <v>573</v>
      </c>
      <c r="B1192" s="3" t="s">
        <v>42</v>
      </c>
      <c r="C1192" s="3" t="s">
        <v>574</v>
      </c>
      <c r="D1192" s="3" t="s">
        <v>47</v>
      </c>
      <c r="E1192" s="3"/>
      <c r="F1192" s="3"/>
      <c r="G1192" s="3"/>
      <c r="H1192" s="3"/>
    </row>
    <row r="1193" spans="1:8" x14ac:dyDescent="0.35">
      <c r="A1193" s="3" t="s">
        <v>573</v>
      </c>
      <c r="B1193" s="3" t="s">
        <v>42</v>
      </c>
      <c r="C1193" s="3" t="s">
        <v>574</v>
      </c>
      <c r="D1193" s="3" t="s">
        <v>44</v>
      </c>
      <c r="E1193" s="3"/>
      <c r="F1193" s="3"/>
      <c r="G1193" s="3"/>
      <c r="H1193" s="3"/>
    </row>
    <row r="1194" spans="1:8" x14ac:dyDescent="0.35">
      <c r="A1194" s="3" t="s">
        <v>573</v>
      </c>
      <c r="B1194" s="3" t="s">
        <v>42</v>
      </c>
      <c r="C1194" s="3" t="s">
        <v>574</v>
      </c>
      <c r="D1194" s="3" t="s">
        <v>107</v>
      </c>
      <c r="E1194" s="3" t="s">
        <v>13</v>
      </c>
      <c r="F1194" s="3" t="s">
        <v>511</v>
      </c>
      <c r="G1194" s="3"/>
      <c r="H1194" s="3"/>
    </row>
    <row r="1195" spans="1:8" x14ac:dyDescent="0.35">
      <c r="A1195" s="3" t="s">
        <v>573</v>
      </c>
      <c r="B1195" s="3" t="s">
        <v>45</v>
      </c>
      <c r="C1195" s="3" t="s">
        <v>2832</v>
      </c>
      <c r="D1195" s="3" t="s">
        <v>56</v>
      </c>
      <c r="E1195" s="3" t="s">
        <v>13</v>
      </c>
      <c r="F1195" s="3" t="s">
        <v>474</v>
      </c>
      <c r="G1195" s="3"/>
      <c r="H1195" s="3"/>
    </row>
    <row r="1196" spans="1:8" x14ac:dyDescent="0.35">
      <c r="A1196" s="3" t="s">
        <v>573</v>
      </c>
      <c r="B1196" s="3" t="s">
        <v>45</v>
      </c>
      <c r="C1196" s="3" t="s">
        <v>2832</v>
      </c>
      <c r="D1196" s="3" t="s">
        <v>372</v>
      </c>
      <c r="E1196" s="3" t="s">
        <v>33</v>
      </c>
      <c r="F1196" s="3" t="s">
        <v>875</v>
      </c>
      <c r="G1196" s="3"/>
      <c r="H1196" s="3"/>
    </row>
    <row r="1197" spans="1:8" x14ac:dyDescent="0.35">
      <c r="A1197" s="3" t="s">
        <v>573</v>
      </c>
      <c r="B1197" s="3" t="s">
        <v>45</v>
      </c>
      <c r="C1197" s="3" t="s">
        <v>2832</v>
      </c>
      <c r="D1197" s="3" t="s">
        <v>24</v>
      </c>
      <c r="E1197" s="3"/>
      <c r="F1197" s="3" t="s">
        <v>2791</v>
      </c>
      <c r="G1197" s="3"/>
      <c r="H1197" s="3"/>
    </row>
    <row r="1198" spans="1:8" x14ac:dyDescent="0.35">
      <c r="A1198" s="3" t="s">
        <v>573</v>
      </c>
      <c r="B1198" s="3" t="s">
        <v>10</v>
      </c>
      <c r="C1198" s="3" t="s">
        <v>575</v>
      </c>
      <c r="D1198" s="3" t="s">
        <v>47</v>
      </c>
      <c r="E1198" s="3"/>
      <c r="F1198" s="3"/>
      <c r="G1198" s="3" t="s">
        <v>13</v>
      </c>
      <c r="H1198" s="3" t="s">
        <v>576</v>
      </c>
    </row>
    <row r="1199" spans="1:8" x14ac:dyDescent="0.35">
      <c r="A1199" s="3" t="s">
        <v>573</v>
      </c>
      <c r="B1199" s="3" t="s">
        <v>10</v>
      </c>
      <c r="C1199" s="3" t="s">
        <v>575</v>
      </c>
      <c r="D1199" s="3" t="s">
        <v>15</v>
      </c>
      <c r="E1199" s="3" t="s">
        <v>13</v>
      </c>
      <c r="F1199" s="3" t="s">
        <v>577</v>
      </c>
      <c r="G1199" s="3" t="s">
        <v>13</v>
      </c>
      <c r="H1199" s="3" t="s">
        <v>576</v>
      </c>
    </row>
    <row r="1200" spans="1:8" x14ac:dyDescent="0.35">
      <c r="A1200" s="3" t="s">
        <v>573</v>
      </c>
      <c r="B1200" s="3" t="s">
        <v>20</v>
      </c>
      <c r="C1200" s="3" t="s">
        <v>578</v>
      </c>
      <c r="D1200" s="3" t="s">
        <v>47</v>
      </c>
      <c r="E1200" s="3"/>
      <c r="F1200" s="3"/>
      <c r="G1200" s="3" t="s">
        <v>13</v>
      </c>
      <c r="H1200" s="3" t="s">
        <v>576</v>
      </c>
    </row>
    <row r="1201" spans="1:8" x14ac:dyDescent="0.35">
      <c r="A1201" s="3" t="s">
        <v>573</v>
      </c>
      <c r="B1201" s="3" t="s">
        <v>20</v>
      </c>
      <c r="C1201" s="3" t="s">
        <v>578</v>
      </c>
      <c r="D1201" s="3" t="s">
        <v>25</v>
      </c>
      <c r="E1201" s="3"/>
      <c r="F1201" s="3"/>
      <c r="G1201" s="3" t="s">
        <v>13</v>
      </c>
      <c r="H1201" s="3" t="s">
        <v>579</v>
      </c>
    </row>
    <row r="1202" spans="1:8" x14ac:dyDescent="0.35">
      <c r="A1202" s="3" t="s">
        <v>573</v>
      </c>
      <c r="B1202" s="3" t="s">
        <v>20</v>
      </c>
      <c r="C1202" s="3" t="s">
        <v>578</v>
      </c>
      <c r="D1202" s="3" t="s">
        <v>27</v>
      </c>
      <c r="E1202" s="3"/>
      <c r="F1202" s="3"/>
      <c r="G1202" s="3" t="s">
        <v>13</v>
      </c>
      <c r="H1202" s="3" t="s">
        <v>579</v>
      </c>
    </row>
    <row r="1203" spans="1:8" x14ac:dyDescent="0.35">
      <c r="A1203" s="3" t="s">
        <v>573</v>
      </c>
      <c r="B1203" s="3" t="s">
        <v>20</v>
      </c>
      <c r="C1203" s="3" t="s">
        <v>578</v>
      </c>
      <c r="D1203" s="3" t="s">
        <v>28</v>
      </c>
      <c r="E1203" s="3"/>
      <c r="F1203" s="3"/>
      <c r="G1203" s="3" t="s">
        <v>13</v>
      </c>
      <c r="H1203" s="3" t="s">
        <v>579</v>
      </c>
    </row>
    <row r="1204" spans="1:8" x14ac:dyDescent="0.35">
      <c r="A1204" s="3" t="s">
        <v>573</v>
      </c>
      <c r="B1204" s="3" t="s">
        <v>20</v>
      </c>
      <c r="C1204" s="3" t="s">
        <v>578</v>
      </c>
      <c r="D1204" s="3" t="s">
        <v>31</v>
      </c>
      <c r="E1204" s="3"/>
      <c r="F1204" s="3"/>
      <c r="G1204" s="3" t="s">
        <v>13</v>
      </c>
      <c r="H1204" s="3" t="s">
        <v>579</v>
      </c>
    </row>
    <row r="1205" spans="1:8" x14ac:dyDescent="0.35">
      <c r="A1205" s="3" t="s">
        <v>573</v>
      </c>
      <c r="B1205" s="3" t="s">
        <v>20</v>
      </c>
      <c r="C1205" s="3" t="s">
        <v>578</v>
      </c>
      <c r="D1205" s="3" t="s">
        <v>32</v>
      </c>
      <c r="E1205" s="3" t="s">
        <v>13</v>
      </c>
      <c r="F1205" s="3" t="s">
        <v>580</v>
      </c>
      <c r="G1205" s="3" t="s">
        <v>13</v>
      </c>
      <c r="H1205" s="3" t="s">
        <v>576</v>
      </c>
    </row>
    <row r="1206" spans="1:8" x14ac:dyDescent="0.35">
      <c r="A1206" s="3" t="s">
        <v>573</v>
      </c>
      <c r="B1206" s="3" t="s">
        <v>20</v>
      </c>
      <c r="C1206" s="3" t="s">
        <v>578</v>
      </c>
      <c r="D1206" s="3" t="s">
        <v>26</v>
      </c>
      <c r="E1206" s="3"/>
      <c r="F1206" s="3"/>
      <c r="G1206" s="3" t="s">
        <v>13</v>
      </c>
      <c r="H1206" s="3" t="s">
        <v>579</v>
      </c>
    </row>
    <row r="1207" spans="1:8" x14ac:dyDescent="0.35">
      <c r="A1207" s="3" t="s">
        <v>573</v>
      </c>
      <c r="B1207" s="3" t="s">
        <v>20</v>
      </c>
      <c r="C1207" s="3" t="s">
        <v>578</v>
      </c>
      <c r="D1207" s="3" t="s">
        <v>29</v>
      </c>
      <c r="E1207" s="3" t="s">
        <v>13</v>
      </c>
      <c r="F1207" s="3" t="s">
        <v>581</v>
      </c>
      <c r="G1207" s="3" t="s">
        <v>13</v>
      </c>
      <c r="H1207" s="3" t="s">
        <v>576</v>
      </c>
    </row>
    <row r="1208" spans="1:8" x14ac:dyDescent="0.35">
      <c r="A1208" s="3" t="s">
        <v>573</v>
      </c>
      <c r="B1208" s="3" t="s">
        <v>10</v>
      </c>
      <c r="C1208" s="3" t="s">
        <v>3008</v>
      </c>
      <c r="D1208" s="3" t="s">
        <v>47</v>
      </c>
      <c r="E1208" s="3"/>
      <c r="F1208" s="3"/>
      <c r="G1208" s="3" t="s">
        <v>13</v>
      </c>
      <c r="H1208" s="3" t="s">
        <v>579</v>
      </c>
    </row>
    <row r="1209" spans="1:8" x14ac:dyDescent="0.35">
      <c r="A1209" s="3" t="s">
        <v>573</v>
      </c>
      <c r="B1209" s="3" t="s">
        <v>10</v>
      </c>
      <c r="C1209" s="3" t="s">
        <v>3008</v>
      </c>
      <c r="D1209" s="3" t="s">
        <v>15</v>
      </c>
      <c r="E1209" s="3" t="s">
        <v>16</v>
      </c>
      <c r="F1209" s="3" t="s">
        <v>3009</v>
      </c>
      <c r="G1209" s="3" t="s">
        <v>13</v>
      </c>
      <c r="H1209" s="3" t="s">
        <v>579</v>
      </c>
    </row>
    <row r="1210" spans="1:8" x14ac:dyDescent="0.35">
      <c r="A1210" s="3" t="s">
        <v>582</v>
      </c>
      <c r="B1210" s="3" t="s">
        <v>10</v>
      </c>
      <c r="C1210" s="3" t="s">
        <v>2706</v>
      </c>
      <c r="D1210" s="3" t="s">
        <v>12</v>
      </c>
      <c r="E1210" s="3"/>
      <c r="F1210" s="3"/>
      <c r="G1210" s="3" t="s">
        <v>16</v>
      </c>
      <c r="H1210" s="3" t="s">
        <v>2709</v>
      </c>
    </row>
    <row r="1211" spans="1:8" x14ac:dyDescent="0.35">
      <c r="A1211" s="3" t="s">
        <v>582</v>
      </c>
      <c r="B1211" s="3" t="s">
        <v>10</v>
      </c>
      <c r="C1211" s="3" t="s">
        <v>2706</v>
      </c>
      <c r="D1211" s="3" t="s">
        <v>23</v>
      </c>
      <c r="E1211" s="3" t="s">
        <v>16</v>
      </c>
      <c r="F1211" s="3" t="s">
        <v>2707</v>
      </c>
      <c r="G1211" s="3" t="s">
        <v>16</v>
      </c>
      <c r="H1211" s="3" t="s">
        <v>2709</v>
      </c>
    </row>
    <row r="1212" spans="1:8" x14ac:dyDescent="0.35">
      <c r="A1212" s="3" t="s">
        <v>582</v>
      </c>
      <c r="B1212" s="3" t="s">
        <v>10</v>
      </c>
      <c r="C1212" s="3" t="s">
        <v>2706</v>
      </c>
      <c r="D1212" s="3" t="s">
        <v>47</v>
      </c>
      <c r="E1212" s="3"/>
      <c r="F1212" s="3"/>
      <c r="G1212" s="3" t="s">
        <v>16</v>
      </c>
      <c r="H1212" s="3" t="s">
        <v>2709</v>
      </c>
    </row>
    <row r="1213" spans="1:8" x14ac:dyDescent="0.35">
      <c r="A1213" s="3" t="s">
        <v>582</v>
      </c>
      <c r="B1213" s="3" t="s">
        <v>10</v>
      </c>
      <c r="C1213" s="3" t="s">
        <v>2706</v>
      </c>
      <c r="D1213" s="3" t="s">
        <v>71</v>
      </c>
      <c r="E1213" s="3" t="s">
        <v>16</v>
      </c>
      <c r="F1213" s="3" t="s">
        <v>2708</v>
      </c>
      <c r="G1213" s="3" t="s">
        <v>16</v>
      </c>
      <c r="H1213" s="3" t="s">
        <v>2709</v>
      </c>
    </row>
    <row r="1214" spans="1:8" x14ac:dyDescent="0.35">
      <c r="A1214" s="3" t="s">
        <v>582</v>
      </c>
      <c r="B1214" s="3" t="s">
        <v>10</v>
      </c>
      <c r="C1214" s="3" t="s">
        <v>2706</v>
      </c>
      <c r="D1214" s="3" t="s">
        <v>28</v>
      </c>
      <c r="E1214" s="3"/>
      <c r="F1214" s="3" t="s">
        <v>2361</v>
      </c>
      <c r="G1214" s="3" t="s">
        <v>16</v>
      </c>
      <c r="H1214" s="3" t="s">
        <v>2709</v>
      </c>
    </row>
    <row r="1215" spans="1:8" x14ac:dyDescent="0.35">
      <c r="A1215" s="3" t="s">
        <v>582</v>
      </c>
      <c r="B1215" s="3" t="s">
        <v>10</v>
      </c>
      <c r="C1215" s="3" t="s">
        <v>2706</v>
      </c>
      <c r="D1215" s="3" t="s">
        <v>87</v>
      </c>
      <c r="E1215" s="3"/>
      <c r="F1215" s="3"/>
      <c r="G1215" s="3" t="s">
        <v>16</v>
      </c>
      <c r="H1215" s="3" t="s">
        <v>2709</v>
      </c>
    </row>
    <row r="1216" spans="1:8" x14ac:dyDescent="0.35">
      <c r="A1216" s="3" t="s">
        <v>582</v>
      </c>
      <c r="B1216" s="3" t="s">
        <v>10</v>
      </c>
      <c r="C1216" s="3" t="s">
        <v>2706</v>
      </c>
      <c r="D1216" s="3" t="s">
        <v>15</v>
      </c>
      <c r="E1216" s="3" t="s">
        <v>16</v>
      </c>
      <c r="F1216" s="3" t="s">
        <v>2710</v>
      </c>
      <c r="G1216" s="3" t="s">
        <v>16</v>
      </c>
      <c r="H1216" s="3" t="s">
        <v>2709</v>
      </c>
    </row>
    <row r="1217" spans="1:8" x14ac:dyDescent="0.35">
      <c r="A1217" s="3" t="s">
        <v>582</v>
      </c>
      <c r="B1217" s="3" t="s">
        <v>10</v>
      </c>
      <c r="C1217" s="3" t="s">
        <v>2706</v>
      </c>
      <c r="D1217" s="3" t="s">
        <v>57</v>
      </c>
      <c r="E1217" s="3"/>
      <c r="F1217" s="3"/>
      <c r="G1217" s="3" t="s">
        <v>16</v>
      </c>
      <c r="H1217" s="3" t="s">
        <v>2709</v>
      </c>
    </row>
    <row r="1218" spans="1:8" x14ac:dyDescent="0.35">
      <c r="A1218" s="3" t="s">
        <v>582</v>
      </c>
      <c r="B1218" s="3" t="s">
        <v>10</v>
      </c>
      <c r="C1218" s="3" t="s">
        <v>583</v>
      </c>
      <c r="D1218" s="3" t="s">
        <v>12</v>
      </c>
      <c r="E1218" s="3"/>
      <c r="F1218" s="3"/>
      <c r="G1218" s="3"/>
      <c r="H1218" s="3"/>
    </row>
    <row r="1219" spans="1:8" x14ac:dyDescent="0.35">
      <c r="A1219" s="3" t="s">
        <v>582</v>
      </c>
      <c r="B1219" s="3" t="s">
        <v>10</v>
      </c>
      <c r="C1219" s="3" t="s">
        <v>583</v>
      </c>
      <c r="D1219" s="3" t="s">
        <v>47</v>
      </c>
      <c r="E1219" s="3"/>
      <c r="F1219" s="3"/>
      <c r="G1219" s="3"/>
      <c r="H1219" s="3"/>
    </row>
    <row r="1220" spans="1:8" x14ac:dyDescent="0.35">
      <c r="A1220" s="3" t="s">
        <v>582</v>
      </c>
      <c r="B1220" s="3" t="s">
        <v>10</v>
      </c>
      <c r="C1220" s="3" t="s">
        <v>583</v>
      </c>
      <c r="D1220" s="3" t="s">
        <v>15</v>
      </c>
      <c r="E1220" s="3" t="s">
        <v>13</v>
      </c>
      <c r="F1220" s="3" t="s">
        <v>584</v>
      </c>
      <c r="G1220" s="3"/>
      <c r="H1220" s="3"/>
    </row>
    <row r="1221" spans="1:8" x14ac:dyDescent="0.35">
      <c r="A1221" s="3" t="s">
        <v>582</v>
      </c>
      <c r="B1221" s="3" t="s">
        <v>10</v>
      </c>
      <c r="C1221" s="3" t="s">
        <v>583</v>
      </c>
      <c r="D1221" s="3" t="s">
        <v>57</v>
      </c>
      <c r="E1221" s="3"/>
      <c r="F1221" s="3"/>
      <c r="G1221" s="3"/>
      <c r="H1221" s="3"/>
    </row>
    <row r="1222" spans="1:8" x14ac:dyDescent="0.35">
      <c r="A1222" s="3" t="s">
        <v>582</v>
      </c>
      <c r="B1222" s="3" t="s">
        <v>10</v>
      </c>
      <c r="C1222" s="3" t="s">
        <v>583</v>
      </c>
      <c r="D1222" s="3" t="s">
        <v>107</v>
      </c>
      <c r="E1222" s="3" t="s">
        <v>13</v>
      </c>
      <c r="F1222" s="3" t="s">
        <v>511</v>
      </c>
      <c r="G1222" s="3"/>
      <c r="H1222" s="3"/>
    </row>
    <row r="1223" spans="1:8" x14ac:dyDescent="0.35">
      <c r="A1223" s="3" t="s">
        <v>582</v>
      </c>
      <c r="B1223" s="3" t="s">
        <v>10</v>
      </c>
      <c r="C1223" s="3" t="s">
        <v>585</v>
      </c>
      <c r="D1223" s="3" t="s">
        <v>47</v>
      </c>
      <c r="E1223" s="3" t="s">
        <v>16</v>
      </c>
      <c r="F1223" s="3" t="s">
        <v>586</v>
      </c>
      <c r="G1223" s="3" t="s">
        <v>16</v>
      </c>
      <c r="H1223" s="3" t="s">
        <v>587</v>
      </c>
    </row>
    <row r="1224" spans="1:8" x14ac:dyDescent="0.35">
      <c r="A1224" s="3" t="s">
        <v>582</v>
      </c>
      <c r="B1224" s="3" t="s">
        <v>10</v>
      </c>
      <c r="C1224" s="3" t="s">
        <v>585</v>
      </c>
      <c r="D1224" s="3" t="s">
        <v>15</v>
      </c>
      <c r="E1224" s="3" t="s">
        <v>16</v>
      </c>
      <c r="F1224" s="3" t="s">
        <v>588</v>
      </c>
      <c r="G1224" s="3" t="s">
        <v>16</v>
      </c>
      <c r="H1224" s="3" t="s">
        <v>587</v>
      </c>
    </row>
    <row r="1225" spans="1:8" x14ac:dyDescent="0.35">
      <c r="A1225" s="3" t="s">
        <v>582</v>
      </c>
      <c r="B1225" s="3" t="s">
        <v>10</v>
      </c>
      <c r="C1225" s="3" t="s">
        <v>585</v>
      </c>
      <c r="D1225" s="3" t="s">
        <v>32</v>
      </c>
      <c r="E1225" s="3" t="s">
        <v>16</v>
      </c>
      <c r="F1225" s="3" t="s">
        <v>589</v>
      </c>
      <c r="G1225" s="3" t="s">
        <v>16</v>
      </c>
      <c r="H1225" s="3" t="s">
        <v>587</v>
      </c>
    </row>
    <row r="1226" spans="1:8" x14ac:dyDescent="0.35">
      <c r="A1226" s="3" t="s">
        <v>582</v>
      </c>
      <c r="B1226" s="3" t="s">
        <v>10</v>
      </c>
      <c r="C1226" s="3" t="s">
        <v>590</v>
      </c>
      <c r="D1226" s="3" t="s">
        <v>12</v>
      </c>
      <c r="E1226" s="3"/>
      <c r="F1226" s="3"/>
      <c r="G1226" s="3" t="s">
        <v>16</v>
      </c>
      <c r="H1226" s="3" t="s">
        <v>587</v>
      </c>
    </row>
    <row r="1227" spans="1:8" x14ac:dyDescent="0.35">
      <c r="A1227" s="3" t="s">
        <v>582</v>
      </c>
      <c r="B1227" s="3" t="s">
        <v>10</v>
      </c>
      <c r="C1227" s="3" t="s">
        <v>590</v>
      </c>
      <c r="D1227" s="3" t="s">
        <v>47</v>
      </c>
      <c r="E1227" s="3"/>
      <c r="F1227" s="3"/>
      <c r="G1227" s="3" t="s">
        <v>16</v>
      </c>
      <c r="H1227" s="3" t="s">
        <v>587</v>
      </c>
    </row>
    <row r="1228" spans="1:8" x14ac:dyDescent="0.35">
      <c r="A1228" s="3" t="s">
        <v>582</v>
      </c>
      <c r="B1228" s="3" t="s">
        <v>591</v>
      </c>
      <c r="C1228" s="3" t="s">
        <v>592</v>
      </c>
      <c r="D1228" s="3" t="s">
        <v>31</v>
      </c>
      <c r="E1228" s="3"/>
      <c r="F1228" s="3"/>
      <c r="G1228" s="3"/>
      <c r="H1228" s="3"/>
    </row>
    <row r="1229" spans="1:8" x14ac:dyDescent="0.35">
      <c r="A1229" s="3" t="s">
        <v>582</v>
      </c>
      <c r="B1229" s="3" t="s">
        <v>39</v>
      </c>
      <c r="C1229" s="3" t="s">
        <v>593</v>
      </c>
      <c r="D1229" s="3" t="s">
        <v>25</v>
      </c>
      <c r="E1229" s="3" t="s">
        <v>13</v>
      </c>
      <c r="F1229" s="3" t="s">
        <v>511</v>
      </c>
      <c r="G1229" s="3"/>
      <c r="H1229" s="3"/>
    </row>
    <row r="1230" spans="1:8" x14ac:dyDescent="0.35">
      <c r="A1230" s="3" t="s">
        <v>582</v>
      </c>
      <c r="B1230" s="3" t="s">
        <v>39</v>
      </c>
      <c r="C1230" s="3" t="s">
        <v>593</v>
      </c>
      <c r="D1230" s="3" t="s">
        <v>29</v>
      </c>
      <c r="E1230" s="3" t="s">
        <v>13</v>
      </c>
      <c r="F1230" s="3" t="s">
        <v>2380</v>
      </c>
      <c r="G1230" s="3"/>
      <c r="H1230" s="3"/>
    </row>
    <row r="1231" spans="1:8" x14ac:dyDescent="0.35">
      <c r="A1231" s="3" t="s">
        <v>582</v>
      </c>
      <c r="B1231" s="3" t="s">
        <v>20</v>
      </c>
      <c r="C1231" s="3" t="s">
        <v>594</v>
      </c>
      <c r="D1231" s="3" t="s">
        <v>134</v>
      </c>
      <c r="E1231" s="3" t="s">
        <v>16</v>
      </c>
      <c r="F1231" s="3" t="s">
        <v>595</v>
      </c>
      <c r="G1231" s="3" t="s">
        <v>16</v>
      </c>
      <c r="H1231" s="3" t="s">
        <v>587</v>
      </c>
    </row>
    <row r="1232" spans="1:8" x14ac:dyDescent="0.35">
      <c r="A1232" s="3" t="s">
        <v>582</v>
      </c>
      <c r="B1232" s="3" t="s">
        <v>45</v>
      </c>
      <c r="C1232" s="3" t="s">
        <v>596</v>
      </c>
      <c r="D1232" s="3" t="s">
        <v>87</v>
      </c>
      <c r="E1232" s="3"/>
      <c r="F1232" s="3"/>
      <c r="G1232" s="3"/>
      <c r="H1232" s="3"/>
    </row>
    <row r="1233" spans="1:8" x14ac:dyDescent="0.35">
      <c r="A1233" s="3" t="s">
        <v>582</v>
      </c>
      <c r="B1233" s="3" t="s">
        <v>45</v>
      </c>
      <c r="C1233" s="3" t="s">
        <v>596</v>
      </c>
      <c r="D1233" s="3" t="s">
        <v>15</v>
      </c>
      <c r="E1233" s="3" t="s">
        <v>16</v>
      </c>
      <c r="F1233" s="3" t="s">
        <v>2716</v>
      </c>
      <c r="G1233" s="3"/>
      <c r="H1233" s="3"/>
    </row>
    <row r="1234" spans="1:8" x14ac:dyDescent="0.35">
      <c r="A1234" s="3" t="s">
        <v>582</v>
      </c>
      <c r="B1234" s="3" t="s">
        <v>45</v>
      </c>
      <c r="C1234" s="3" t="s">
        <v>596</v>
      </c>
      <c r="D1234" s="3" t="s">
        <v>24</v>
      </c>
      <c r="E1234" s="3"/>
      <c r="F1234" s="3"/>
      <c r="G1234" s="3"/>
      <c r="H1234" s="3"/>
    </row>
    <row r="1235" spans="1:8" x14ac:dyDescent="0.35">
      <c r="A1235" s="3" t="s">
        <v>582</v>
      </c>
      <c r="B1235" s="3" t="s">
        <v>45</v>
      </c>
      <c r="C1235" s="3" t="s">
        <v>597</v>
      </c>
      <c r="D1235" s="3" t="s">
        <v>23</v>
      </c>
      <c r="E1235" s="3"/>
      <c r="F1235" s="3"/>
      <c r="G1235" s="3"/>
      <c r="H1235" s="3"/>
    </row>
    <row r="1236" spans="1:8" x14ac:dyDescent="0.35">
      <c r="A1236" s="3" t="s">
        <v>582</v>
      </c>
      <c r="B1236" s="3" t="s">
        <v>45</v>
      </c>
      <c r="C1236" s="3" t="s">
        <v>597</v>
      </c>
      <c r="D1236" s="3" t="s">
        <v>60</v>
      </c>
      <c r="E1236" s="3"/>
      <c r="F1236" s="3"/>
      <c r="G1236" s="3"/>
      <c r="H1236" s="3"/>
    </row>
    <row r="1237" spans="1:8" x14ac:dyDescent="0.35">
      <c r="A1237" s="3" t="s">
        <v>582</v>
      </c>
      <c r="B1237" s="3" t="s">
        <v>45</v>
      </c>
      <c r="C1237" s="3" t="s">
        <v>597</v>
      </c>
      <c r="D1237" s="3" t="s">
        <v>77</v>
      </c>
      <c r="E1237" s="3"/>
      <c r="F1237" s="3"/>
      <c r="G1237" s="3"/>
      <c r="H1237" s="3"/>
    </row>
    <row r="1238" spans="1:8" x14ac:dyDescent="0.35">
      <c r="A1238" s="3" t="s">
        <v>582</v>
      </c>
      <c r="B1238" s="3" t="s">
        <v>45</v>
      </c>
      <c r="C1238" s="3" t="s">
        <v>597</v>
      </c>
      <c r="D1238" s="3" t="s">
        <v>56</v>
      </c>
      <c r="E1238" s="3" t="s">
        <v>13</v>
      </c>
      <c r="F1238" s="3" t="s">
        <v>598</v>
      </c>
      <c r="G1238" s="3"/>
      <c r="H1238" s="3"/>
    </row>
    <row r="1239" spans="1:8" x14ac:dyDescent="0.35">
      <c r="A1239" s="3" t="s">
        <v>582</v>
      </c>
      <c r="B1239" s="3" t="s">
        <v>45</v>
      </c>
      <c r="C1239" s="3" t="s">
        <v>597</v>
      </c>
      <c r="D1239" s="3" t="s">
        <v>32</v>
      </c>
      <c r="E1239" s="3"/>
      <c r="F1239" s="3" t="s">
        <v>2477</v>
      </c>
      <c r="G1239" s="3"/>
      <c r="H1239" s="3"/>
    </row>
    <row r="1240" spans="1:8" x14ac:dyDescent="0.35">
      <c r="A1240" s="3" t="s">
        <v>582</v>
      </c>
      <c r="B1240" s="3" t="s">
        <v>39</v>
      </c>
      <c r="C1240" s="3" t="s">
        <v>599</v>
      </c>
      <c r="D1240" s="3" t="s">
        <v>31</v>
      </c>
      <c r="E1240" s="3"/>
      <c r="F1240" s="3"/>
      <c r="G1240" s="3"/>
      <c r="H1240" s="3"/>
    </row>
    <row r="1241" spans="1:8" x14ac:dyDescent="0.35">
      <c r="A1241" s="3" t="s">
        <v>582</v>
      </c>
      <c r="B1241" s="3" t="s">
        <v>39</v>
      </c>
      <c r="C1241" s="3" t="s">
        <v>600</v>
      </c>
      <c r="D1241" s="3" t="s">
        <v>15</v>
      </c>
      <c r="E1241" s="3" t="s">
        <v>16</v>
      </c>
      <c r="F1241" s="3" t="s">
        <v>601</v>
      </c>
      <c r="G1241" s="3" t="s">
        <v>16</v>
      </c>
      <c r="H1241" s="3" t="s">
        <v>22</v>
      </c>
    </row>
    <row r="1242" spans="1:8" x14ac:dyDescent="0.35">
      <c r="A1242" s="3" t="s">
        <v>582</v>
      </c>
      <c r="B1242" s="3" t="s">
        <v>39</v>
      </c>
      <c r="C1242" s="3" t="s">
        <v>600</v>
      </c>
      <c r="D1242" s="3" t="s">
        <v>32</v>
      </c>
      <c r="E1242" s="3" t="s">
        <v>16</v>
      </c>
      <c r="F1242" s="3" t="s">
        <v>602</v>
      </c>
      <c r="G1242" s="3" t="s">
        <v>16</v>
      </c>
      <c r="H1242" s="3" t="s">
        <v>22</v>
      </c>
    </row>
    <row r="1243" spans="1:8" x14ac:dyDescent="0.35">
      <c r="A1243" s="3" t="s">
        <v>582</v>
      </c>
      <c r="B1243" s="3" t="s">
        <v>39</v>
      </c>
      <c r="C1243" s="3" t="s">
        <v>600</v>
      </c>
      <c r="D1243" s="3" t="s">
        <v>134</v>
      </c>
      <c r="E1243" s="3"/>
      <c r="F1243" s="3"/>
      <c r="G1243" s="3" t="s">
        <v>16</v>
      </c>
      <c r="H1243" s="3" t="s">
        <v>22</v>
      </c>
    </row>
    <row r="1244" spans="1:8" x14ac:dyDescent="0.35">
      <c r="A1244" s="3" t="s">
        <v>582</v>
      </c>
      <c r="B1244" s="3" t="s">
        <v>39</v>
      </c>
      <c r="C1244" s="3" t="s">
        <v>600</v>
      </c>
      <c r="D1244" s="3" t="s">
        <v>107</v>
      </c>
      <c r="E1244" s="3" t="s">
        <v>16</v>
      </c>
      <c r="F1244" s="3" t="s">
        <v>602</v>
      </c>
      <c r="G1244" s="3" t="s">
        <v>16</v>
      </c>
      <c r="H1244" s="3" t="s">
        <v>22</v>
      </c>
    </row>
    <row r="1245" spans="1:8" x14ac:dyDescent="0.35">
      <c r="A1245" s="3" t="s">
        <v>582</v>
      </c>
      <c r="B1245" s="3" t="s">
        <v>10</v>
      </c>
      <c r="C1245" s="3" t="s">
        <v>603</v>
      </c>
      <c r="D1245" s="3" t="s">
        <v>12</v>
      </c>
      <c r="E1245" s="3"/>
      <c r="F1245" s="3"/>
      <c r="G1245" s="3" t="s">
        <v>13</v>
      </c>
      <c r="H1245" s="3" t="s">
        <v>22</v>
      </c>
    </row>
    <row r="1246" spans="1:8" x14ac:dyDescent="0.35">
      <c r="A1246" s="3" t="s">
        <v>582</v>
      </c>
      <c r="B1246" s="3" t="s">
        <v>10</v>
      </c>
      <c r="C1246" s="3" t="s">
        <v>603</v>
      </c>
      <c r="D1246" s="3" t="s">
        <v>27</v>
      </c>
      <c r="E1246" s="3"/>
      <c r="F1246" s="3"/>
      <c r="G1246" s="3" t="s">
        <v>13</v>
      </c>
      <c r="H1246" s="3" t="s">
        <v>22</v>
      </c>
    </row>
    <row r="1247" spans="1:8" x14ac:dyDescent="0.35">
      <c r="A1247" s="3" t="s">
        <v>582</v>
      </c>
      <c r="B1247" s="3" t="s">
        <v>10</v>
      </c>
      <c r="C1247" s="3" t="s">
        <v>603</v>
      </c>
      <c r="D1247" s="3" t="s">
        <v>77</v>
      </c>
      <c r="E1247" s="3"/>
      <c r="F1247" s="3"/>
      <c r="G1247" s="3" t="s">
        <v>13</v>
      </c>
      <c r="H1247" s="3" t="s">
        <v>22</v>
      </c>
    </row>
    <row r="1248" spans="1:8" x14ac:dyDescent="0.35">
      <c r="A1248" s="3" t="s">
        <v>582</v>
      </c>
      <c r="B1248" s="3" t="s">
        <v>10</v>
      </c>
      <c r="C1248" s="3" t="s">
        <v>603</v>
      </c>
      <c r="D1248" s="3" t="s">
        <v>87</v>
      </c>
      <c r="E1248" s="3"/>
      <c r="F1248" s="3" t="s">
        <v>2487</v>
      </c>
      <c r="G1248" s="3" t="s">
        <v>13</v>
      </c>
      <c r="H1248" s="3" t="s">
        <v>22</v>
      </c>
    </row>
    <row r="1249" spans="1:8" x14ac:dyDescent="0.35">
      <c r="A1249" s="3" t="s">
        <v>582</v>
      </c>
      <c r="B1249" s="3" t="s">
        <v>10</v>
      </c>
      <c r="C1249" s="3" t="s">
        <v>603</v>
      </c>
      <c r="D1249" s="3" t="s">
        <v>32</v>
      </c>
      <c r="E1249" s="3" t="s">
        <v>13</v>
      </c>
      <c r="F1249" s="3" t="s">
        <v>604</v>
      </c>
      <c r="G1249" s="3" t="s">
        <v>13</v>
      </c>
      <c r="H1249" s="3" t="s">
        <v>22</v>
      </c>
    </row>
    <row r="1250" spans="1:8" x14ac:dyDescent="0.35">
      <c r="A1250" s="3" t="s">
        <v>582</v>
      </c>
      <c r="B1250" s="3" t="s">
        <v>10</v>
      </c>
      <c r="C1250" s="3" t="s">
        <v>603</v>
      </c>
      <c r="D1250" s="3" t="s">
        <v>26</v>
      </c>
      <c r="E1250" s="3"/>
      <c r="F1250" s="3"/>
      <c r="G1250" s="3" t="s">
        <v>13</v>
      </c>
      <c r="H1250" s="3" t="s">
        <v>22</v>
      </c>
    </row>
    <row r="1251" spans="1:8" x14ac:dyDescent="0.35">
      <c r="A1251" s="3" t="s">
        <v>582</v>
      </c>
      <c r="B1251" s="3" t="s">
        <v>10</v>
      </c>
      <c r="C1251" s="3" t="s">
        <v>603</v>
      </c>
      <c r="D1251" s="3" t="s">
        <v>29</v>
      </c>
      <c r="E1251" s="3"/>
      <c r="F1251" s="3"/>
      <c r="G1251" s="3" t="s">
        <v>13</v>
      </c>
      <c r="H1251" s="3" t="s">
        <v>22</v>
      </c>
    </row>
    <row r="1252" spans="1:8" x14ac:dyDescent="0.35">
      <c r="A1252" s="3" t="s">
        <v>582</v>
      </c>
      <c r="B1252" s="3" t="s">
        <v>20</v>
      </c>
      <c r="C1252" s="3" t="s">
        <v>605</v>
      </c>
      <c r="D1252" s="3" t="s">
        <v>36</v>
      </c>
      <c r="E1252" s="3" t="s">
        <v>33</v>
      </c>
      <c r="F1252" s="3" t="s">
        <v>606</v>
      </c>
      <c r="G1252" s="3"/>
      <c r="H1252" s="3"/>
    </row>
    <row r="1253" spans="1:8" x14ac:dyDescent="0.35">
      <c r="A1253" s="3" t="s">
        <v>582</v>
      </c>
      <c r="B1253" s="3" t="s">
        <v>20</v>
      </c>
      <c r="C1253" s="3" t="s">
        <v>605</v>
      </c>
      <c r="D1253" s="3" t="s">
        <v>47</v>
      </c>
      <c r="E1253" s="3" t="s">
        <v>33</v>
      </c>
      <c r="F1253" s="3" t="s">
        <v>606</v>
      </c>
      <c r="G1253" s="3"/>
      <c r="H1253" s="3"/>
    </row>
    <row r="1254" spans="1:8" x14ac:dyDescent="0.35">
      <c r="A1254" s="3" t="s">
        <v>582</v>
      </c>
      <c r="B1254" s="3" t="s">
        <v>20</v>
      </c>
      <c r="C1254" s="3" t="s">
        <v>605</v>
      </c>
      <c r="D1254" s="3" t="s">
        <v>25</v>
      </c>
      <c r="E1254" s="3" t="s">
        <v>33</v>
      </c>
      <c r="F1254" s="3" t="s">
        <v>606</v>
      </c>
      <c r="G1254" s="3"/>
      <c r="H1254" s="3"/>
    </row>
    <row r="1255" spans="1:8" x14ac:dyDescent="0.35">
      <c r="A1255" s="3" t="s">
        <v>582</v>
      </c>
      <c r="B1255" s="3" t="s">
        <v>20</v>
      </c>
      <c r="C1255" s="3" t="s">
        <v>605</v>
      </c>
      <c r="D1255" s="3" t="s">
        <v>141</v>
      </c>
      <c r="E1255" s="3" t="s">
        <v>33</v>
      </c>
      <c r="F1255" s="3" t="s">
        <v>606</v>
      </c>
      <c r="G1255" s="3"/>
      <c r="H1255" s="3"/>
    </row>
    <row r="1256" spans="1:8" x14ac:dyDescent="0.35">
      <c r="A1256" s="3" t="s">
        <v>582</v>
      </c>
      <c r="B1256" s="3" t="s">
        <v>20</v>
      </c>
      <c r="C1256" s="3" t="s">
        <v>605</v>
      </c>
      <c r="D1256" s="3" t="s">
        <v>57</v>
      </c>
      <c r="E1256" s="3" t="s">
        <v>33</v>
      </c>
      <c r="F1256" s="3" t="s">
        <v>606</v>
      </c>
      <c r="G1256" s="3"/>
      <c r="H1256" s="3"/>
    </row>
    <row r="1257" spans="1:8" x14ac:dyDescent="0.35">
      <c r="A1257" s="3" t="s">
        <v>582</v>
      </c>
      <c r="B1257" s="3" t="s">
        <v>20</v>
      </c>
      <c r="C1257" s="3" t="s">
        <v>605</v>
      </c>
      <c r="D1257" s="3" t="s">
        <v>107</v>
      </c>
      <c r="E1257" s="3" t="s">
        <v>33</v>
      </c>
      <c r="F1257" s="3" t="s">
        <v>606</v>
      </c>
      <c r="G1257" s="3"/>
      <c r="H1257" s="3"/>
    </row>
    <row r="1258" spans="1:8" x14ac:dyDescent="0.35">
      <c r="A1258" s="3" t="s">
        <v>582</v>
      </c>
      <c r="B1258" s="3" t="s">
        <v>10</v>
      </c>
      <c r="C1258" s="3" t="s">
        <v>607</v>
      </c>
      <c r="D1258" s="3" t="s">
        <v>15</v>
      </c>
      <c r="E1258" s="3" t="s">
        <v>16</v>
      </c>
      <c r="F1258" s="3" t="s">
        <v>608</v>
      </c>
      <c r="G1258" s="3"/>
      <c r="H1258" s="3"/>
    </row>
    <row r="1259" spans="1:8" x14ac:dyDescent="0.35">
      <c r="A1259" s="3" t="s">
        <v>582</v>
      </c>
      <c r="B1259" s="3" t="s">
        <v>10</v>
      </c>
      <c r="C1259" s="3" t="s">
        <v>607</v>
      </c>
      <c r="D1259" s="3" t="s">
        <v>29</v>
      </c>
      <c r="E1259" s="3"/>
      <c r="F1259" s="3"/>
      <c r="G1259" s="3"/>
      <c r="H1259" s="3"/>
    </row>
    <row r="1260" spans="1:8" x14ac:dyDescent="0.35">
      <c r="A1260" s="3" t="s">
        <v>582</v>
      </c>
      <c r="B1260" s="3" t="s">
        <v>20</v>
      </c>
      <c r="C1260" s="3" t="s">
        <v>609</v>
      </c>
      <c r="D1260" s="3" t="s">
        <v>12</v>
      </c>
      <c r="E1260" s="3"/>
      <c r="F1260" s="3"/>
      <c r="G1260" s="3" t="s">
        <v>13</v>
      </c>
      <c r="H1260" s="3" t="s">
        <v>22</v>
      </c>
    </row>
    <row r="1261" spans="1:8" x14ac:dyDescent="0.35">
      <c r="A1261" s="3" t="s">
        <v>582</v>
      </c>
      <c r="B1261" s="3" t="s">
        <v>20</v>
      </c>
      <c r="C1261" s="3" t="s">
        <v>609</v>
      </c>
      <c r="D1261" s="3" t="s">
        <v>36</v>
      </c>
      <c r="E1261" s="3"/>
      <c r="F1261" s="3"/>
      <c r="G1261" s="3" t="s">
        <v>13</v>
      </c>
      <c r="H1261" s="3" t="s">
        <v>22</v>
      </c>
    </row>
    <row r="1262" spans="1:8" x14ac:dyDescent="0.35">
      <c r="A1262" s="3" t="s">
        <v>582</v>
      </c>
      <c r="B1262" s="3" t="s">
        <v>20</v>
      </c>
      <c r="C1262" s="3" t="s">
        <v>609</v>
      </c>
      <c r="D1262" s="3" t="s">
        <v>23</v>
      </c>
      <c r="E1262" s="3"/>
      <c r="F1262" s="3"/>
      <c r="G1262" s="3" t="s">
        <v>13</v>
      </c>
      <c r="H1262" s="3" t="s">
        <v>22</v>
      </c>
    </row>
    <row r="1263" spans="1:8" x14ac:dyDescent="0.35">
      <c r="A1263" s="3" t="s">
        <v>582</v>
      </c>
      <c r="B1263" s="3" t="s">
        <v>20</v>
      </c>
      <c r="C1263" s="3" t="s">
        <v>609</v>
      </c>
      <c r="D1263" s="3" t="s">
        <v>47</v>
      </c>
      <c r="E1263" s="3"/>
      <c r="F1263" s="3"/>
      <c r="G1263" s="3" t="s">
        <v>13</v>
      </c>
      <c r="H1263" s="3" t="s">
        <v>22</v>
      </c>
    </row>
    <row r="1264" spans="1:8" x14ac:dyDescent="0.35">
      <c r="A1264" s="3" t="s">
        <v>582</v>
      </c>
      <c r="B1264" s="3" t="s">
        <v>20</v>
      </c>
      <c r="C1264" s="3" t="s">
        <v>609</v>
      </c>
      <c r="D1264" s="3" t="s">
        <v>25</v>
      </c>
      <c r="E1264" s="3"/>
      <c r="F1264" s="3"/>
      <c r="G1264" s="3" t="s">
        <v>13</v>
      </c>
      <c r="H1264" s="3" t="s">
        <v>22</v>
      </c>
    </row>
    <row r="1265" spans="1:8" x14ac:dyDescent="0.35">
      <c r="A1265" s="3" t="s">
        <v>582</v>
      </c>
      <c r="B1265" s="3" t="s">
        <v>20</v>
      </c>
      <c r="C1265" s="3" t="s">
        <v>609</v>
      </c>
      <c r="D1265" s="3" t="s">
        <v>27</v>
      </c>
      <c r="E1265" s="3"/>
      <c r="F1265" s="3"/>
      <c r="G1265" s="3" t="s">
        <v>13</v>
      </c>
      <c r="H1265" s="3" t="s">
        <v>22</v>
      </c>
    </row>
    <row r="1266" spans="1:8" x14ac:dyDescent="0.35">
      <c r="A1266" s="3" t="s">
        <v>582</v>
      </c>
      <c r="B1266" s="3" t="s">
        <v>20</v>
      </c>
      <c r="C1266" s="3" t="s">
        <v>609</v>
      </c>
      <c r="D1266" s="3" t="s">
        <v>87</v>
      </c>
      <c r="E1266" s="3"/>
      <c r="F1266" s="3"/>
      <c r="G1266" s="3" t="s">
        <v>13</v>
      </c>
      <c r="H1266" s="3" t="s">
        <v>22</v>
      </c>
    </row>
    <row r="1267" spans="1:8" x14ac:dyDescent="0.35">
      <c r="A1267" s="3" t="s">
        <v>582</v>
      </c>
      <c r="B1267" s="3" t="s">
        <v>20</v>
      </c>
      <c r="C1267" s="3" t="s">
        <v>609</v>
      </c>
      <c r="D1267" s="3" t="s">
        <v>15</v>
      </c>
      <c r="E1267" s="3" t="s">
        <v>13</v>
      </c>
      <c r="F1267" s="3" t="s">
        <v>610</v>
      </c>
      <c r="G1267" s="3" t="s">
        <v>13</v>
      </c>
      <c r="H1267" s="3" t="s">
        <v>22</v>
      </c>
    </row>
    <row r="1268" spans="1:8" x14ac:dyDescent="0.35">
      <c r="A1268" s="3" t="s">
        <v>582</v>
      </c>
      <c r="B1268" s="3" t="s">
        <v>20</v>
      </c>
      <c r="C1268" s="3" t="s">
        <v>609</v>
      </c>
      <c r="D1268" s="3" t="s">
        <v>107</v>
      </c>
      <c r="E1268" s="3" t="s">
        <v>13</v>
      </c>
      <c r="F1268" s="3" t="s">
        <v>511</v>
      </c>
      <c r="G1268" s="3" t="s">
        <v>13</v>
      </c>
      <c r="H1268" s="3" t="s">
        <v>22</v>
      </c>
    </row>
    <row r="1269" spans="1:8" x14ac:dyDescent="0.35">
      <c r="A1269" s="3" t="s">
        <v>582</v>
      </c>
      <c r="B1269" s="3" t="s">
        <v>10</v>
      </c>
      <c r="C1269" s="3" t="s">
        <v>611</v>
      </c>
      <c r="D1269" s="3" t="s">
        <v>12</v>
      </c>
      <c r="E1269" s="3" t="s">
        <v>33</v>
      </c>
      <c r="F1269" s="3" t="s">
        <v>2717</v>
      </c>
      <c r="G1269" s="3"/>
      <c r="H1269" s="3"/>
    </row>
    <row r="1270" spans="1:8" x14ac:dyDescent="0.35">
      <c r="A1270" s="3" t="s">
        <v>582</v>
      </c>
      <c r="B1270" s="3" t="s">
        <v>10</v>
      </c>
      <c r="C1270" s="3" t="s">
        <v>611</v>
      </c>
      <c r="D1270" s="3" t="s">
        <v>23</v>
      </c>
      <c r="E1270" s="3" t="s">
        <v>33</v>
      </c>
      <c r="F1270" s="3" t="s">
        <v>2717</v>
      </c>
      <c r="G1270" s="3"/>
      <c r="H1270" s="3"/>
    </row>
    <row r="1271" spans="1:8" x14ac:dyDescent="0.35">
      <c r="A1271" s="3" t="s">
        <v>582</v>
      </c>
      <c r="B1271" s="3" t="s">
        <v>10</v>
      </c>
      <c r="C1271" s="3" t="s">
        <v>611</v>
      </c>
      <c r="D1271" s="3" t="s">
        <v>47</v>
      </c>
      <c r="E1271" s="3" t="s">
        <v>33</v>
      </c>
      <c r="F1271" s="3" t="s">
        <v>2717</v>
      </c>
      <c r="G1271" s="3"/>
      <c r="H1271" s="3"/>
    </row>
    <row r="1272" spans="1:8" x14ac:dyDescent="0.35">
      <c r="A1272" s="3" t="s">
        <v>582</v>
      </c>
      <c r="B1272" s="3" t="s">
        <v>10</v>
      </c>
      <c r="C1272" s="3" t="s">
        <v>611</v>
      </c>
      <c r="D1272" s="3" t="s">
        <v>25</v>
      </c>
      <c r="E1272" s="3" t="s">
        <v>33</v>
      </c>
      <c r="F1272" s="3" t="s">
        <v>2717</v>
      </c>
      <c r="G1272" s="3"/>
      <c r="H1272" s="3"/>
    </row>
    <row r="1273" spans="1:8" x14ac:dyDescent="0.35">
      <c r="A1273" s="3" t="s">
        <v>582</v>
      </c>
      <c r="B1273" s="3" t="s">
        <v>10</v>
      </c>
      <c r="C1273" s="3" t="s">
        <v>611</v>
      </c>
      <c r="D1273" s="3" t="s">
        <v>28</v>
      </c>
      <c r="E1273" s="3" t="s">
        <v>33</v>
      </c>
      <c r="F1273" s="3" t="s">
        <v>2717</v>
      </c>
      <c r="G1273" s="3"/>
      <c r="H1273" s="3"/>
    </row>
    <row r="1274" spans="1:8" x14ac:dyDescent="0.35">
      <c r="A1274" s="3" t="s">
        <v>582</v>
      </c>
      <c r="B1274" s="3" t="s">
        <v>10</v>
      </c>
      <c r="C1274" s="3" t="s">
        <v>611</v>
      </c>
      <c r="D1274" s="3" t="s">
        <v>57</v>
      </c>
      <c r="E1274" s="3" t="s">
        <v>33</v>
      </c>
      <c r="F1274" s="3" t="s">
        <v>2717</v>
      </c>
      <c r="G1274" s="3"/>
      <c r="H1274" s="3"/>
    </row>
    <row r="1275" spans="1:8" x14ac:dyDescent="0.35">
      <c r="A1275" s="3" t="s">
        <v>582</v>
      </c>
      <c r="B1275" s="3" t="s">
        <v>10</v>
      </c>
      <c r="C1275" s="3" t="s">
        <v>611</v>
      </c>
      <c r="D1275" s="3" t="s">
        <v>56</v>
      </c>
      <c r="E1275" s="3" t="s">
        <v>33</v>
      </c>
      <c r="F1275" s="3" t="s">
        <v>2717</v>
      </c>
      <c r="G1275" s="3"/>
      <c r="H1275" s="3"/>
    </row>
    <row r="1276" spans="1:8" x14ac:dyDescent="0.35">
      <c r="A1276" s="3" t="s">
        <v>582</v>
      </c>
      <c r="B1276" s="3" t="s">
        <v>10</v>
      </c>
      <c r="C1276" s="3" t="s">
        <v>611</v>
      </c>
      <c r="D1276" s="3" t="s">
        <v>29</v>
      </c>
      <c r="E1276" s="3" t="s">
        <v>33</v>
      </c>
      <c r="F1276" s="3" t="s">
        <v>2717</v>
      </c>
      <c r="G1276" s="3"/>
      <c r="H1276" s="3"/>
    </row>
    <row r="1277" spans="1:8" x14ac:dyDescent="0.35">
      <c r="A1277" s="3" t="s">
        <v>582</v>
      </c>
      <c r="B1277" s="3" t="s">
        <v>10</v>
      </c>
      <c r="C1277" s="3" t="s">
        <v>611</v>
      </c>
      <c r="D1277" s="3" t="s">
        <v>62</v>
      </c>
      <c r="E1277" s="3" t="s">
        <v>33</v>
      </c>
      <c r="F1277" s="3" t="s">
        <v>2717</v>
      </c>
      <c r="G1277" s="3"/>
      <c r="H1277" s="3"/>
    </row>
    <row r="1278" spans="1:8" x14ac:dyDescent="0.35">
      <c r="A1278" s="3" t="s">
        <v>582</v>
      </c>
      <c r="B1278" s="3" t="s">
        <v>42</v>
      </c>
      <c r="C1278" s="3" t="s">
        <v>612</v>
      </c>
      <c r="D1278" s="3" t="s">
        <v>12</v>
      </c>
      <c r="E1278" s="3"/>
      <c r="F1278" s="3"/>
      <c r="G1278" s="3"/>
      <c r="H1278" s="3"/>
    </row>
    <row r="1279" spans="1:8" x14ac:dyDescent="0.35">
      <c r="A1279" s="3" t="s">
        <v>582</v>
      </c>
      <c r="B1279" s="3" t="s">
        <v>42</v>
      </c>
      <c r="C1279" s="3" t="s">
        <v>612</v>
      </c>
      <c r="D1279" s="3" t="s">
        <v>23</v>
      </c>
      <c r="E1279" s="3" t="s">
        <v>33</v>
      </c>
      <c r="F1279" s="3" t="s">
        <v>723</v>
      </c>
      <c r="G1279" s="3"/>
      <c r="H1279" s="3"/>
    </row>
    <row r="1280" spans="1:8" x14ac:dyDescent="0.35">
      <c r="A1280" s="3" t="s">
        <v>582</v>
      </c>
      <c r="B1280" s="3" t="s">
        <v>42</v>
      </c>
      <c r="C1280" s="3" t="s">
        <v>612</v>
      </c>
      <c r="D1280" s="3" t="s">
        <v>25</v>
      </c>
      <c r="E1280" s="3"/>
      <c r="F1280" s="3"/>
      <c r="G1280" s="3"/>
      <c r="H1280" s="3"/>
    </row>
    <row r="1281" spans="1:8" x14ac:dyDescent="0.35">
      <c r="A1281" s="3" t="s">
        <v>582</v>
      </c>
      <c r="B1281" s="3" t="s">
        <v>42</v>
      </c>
      <c r="C1281" s="3" t="s">
        <v>612</v>
      </c>
      <c r="D1281" s="3" t="s">
        <v>44</v>
      </c>
      <c r="E1281" s="3"/>
      <c r="F1281" s="3"/>
      <c r="G1281" s="3"/>
      <c r="H1281" s="3"/>
    </row>
    <row r="1282" spans="1:8" x14ac:dyDescent="0.35">
      <c r="A1282" s="3" t="s">
        <v>582</v>
      </c>
      <c r="B1282" s="3" t="s">
        <v>42</v>
      </c>
      <c r="C1282" s="3" t="s">
        <v>612</v>
      </c>
      <c r="D1282" s="3" t="s">
        <v>87</v>
      </c>
      <c r="E1282" s="3"/>
      <c r="F1282" s="3"/>
      <c r="G1282" s="3"/>
      <c r="H1282" s="3"/>
    </row>
    <row r="1283" spans="1:8" x14ac:dyDescent="0.35">
      <c r="A1283" s="3" t="s">
        <v>582</v>
      </c>
      <c r="B1283" s="3" t="s">
        <v>42</v>
      </c>
      <c r="C1283" s="3" t="s">
        <v>612</v>
      </c>
      <c r="D1283" s="3" t="s">
        <v>15</v>
      </c>
      <c r="E1283" s="3" t="s">
        <v>13</v>
      </c>
      <c r="F1283" s="3" t="s">
        <v>613</v>
      </c>
      <c r="G1283" s="3"/>
      <c r="H1283" s="3"/>
    </row>
    <row r="1284" spans="1:8" x14ac:dyDescent="0.35">
      <c r="A1284" s="3" t="s">
        <v>582</v>
      </c>
      <c r="B1284" s="3" t="s">
        <v>42</v>
      </c>
      <c r="C1284" s="3" t="s">
        <v>612</v>
      </c>
      <c r="D1284" s="3" t="s">
        <v>107</v>
      </c>
      <c r="E1284" s="3" t="s">
        <v>13</v>
      </c>
      <c r="F1284" s="3" t="s">
        <v>511</v>
      </c>
      <c r="G1284" s="3"/>
      <c r="H1284" s="3"/>
    </row>
    <row r="1285" spans="1:8" x14ac:dyDescent="0.35">
      <c r="A1285" s="3" t="s">
        <v>582</v>
      </c>
      <c r="B1285" s="3" t="s">
        <v>42</v>
      </c>
      <c r="C1285" s="3" t="s">
        <v>612</v>
      </c>
      <c r="D1285" s="3" t="s">
        <v>82</v>
      </c>
      <c r="E1285" s="3" t="s">
        <v>13</v>
      </c>
      <c r="F1285" s="3" t="s">
        <v>511</v>
      </c>
      <c r="G1285" s="3"/>
      <c r="H1285" s="3"/>
    </row>
    <row r="1286" spans="1:8" x14ac:dyDescent="0.35">
      <c r="A1286" s="3" t="s">
        <v>582</v>
      </c>
      <c r="B1286" s="3" t="s">
        <v>10</v>
      </c>
      <c r="C1286" s="3" t="s">
        <v>614</v>
      </c>
      <c r="D1286" s="3" t="s">
        <v>15</v>
      </c>
      <c r="E1286" s="3" t="s">
        <v>13</v>
      </c>
      <c r="F1286" s="3" t="s">
        <v>375</v>
      </c>
      <c r="G1286" s="3" t="s">
        <v>13</v>
      </c>
      <c r="H1286" s="3" t="s">
        <v>615</v>
      </c>
    </row>
    <row r="1287" spans="1:8" x14ac:dyDescent="0.35">
      <c r="A1287" s="3" t="s">
        <v>582</v>
      </c>
      <c r="B1287" s="3" t="s">
        <v>10</v>
      </c>
      <c r="C1287" s="3" t="s">
        <v>614</v>
      </c>
      <c r="D1287" s="3" t="s">
        <v>57</v>
      </c>
      <c r="E1287" s="3"/>
      <c r="F1287" s="3"/>
      <c r="G1287" s="3"/>
      <c r="H1287" s="3"/>
    </row>
    <row r="1288" spans="1:8" x14ac:dyDescent="0.35">
      <c r="A1288" s="3" t="s">
        <v>582</v>
      </c>
      <c r="B1288" s="3" t="s">
        <v>10</v>
      </c>
      <c r="C1288" s="3" t="s">
        <v>614</v>
      </c>
      <c r="D1288" s="3" t="s">
        <v>32</v>
      </c>
      <c r="E1288" s="3"/>
      <c r="F1288" s="3"/>
      <c r="G1288" s="3" t="s">
        <v>13</v>
      </c>
      <c r="H1288" s="3" t="s">
        <v>615</v>
      </c>
    </row>
    <row r="1289" spans="1:8" x14ac:dyDescent="0.35">
      <c r="A1289" s="3" t="s">
        <v>582</v>
      </c>
      <c r="B1289" s="3" t="s">
        <v>10</v>
      </c>
      <c r="C1289" s="3" t="s">
        <v>616</v>
      </c>
      <c r="D1289" s="3" t="s">
        <v>15</v>
      </c>
      <c r="E1289" s="3" t="s">
        <v>16</v>
      </c>
      <c r="F1289" s="3" t="s">
        <v>617</v>
      </c>
      <c r="G1289" s="3"/>
      <c r="H1289" s="3"/>
    </row>
    <row r="1290" spans="1:8" x14ac:dyDescent="0.35">
      <c r="A1290" s="3" t="s">
        <v>582</v>
      </c>
      <c r="B1290" s="3" t="s">
        <v>10</v>
      </c>
      <c r="C1290" s="3" t="s">
        <v>616</v>
      </c>
      <c r="D1290" s="3" t="s">
        <v>134</v>
      </c>
      <c r="E1290" s="3"/>
      <c r="F1290" s="3"/>
      <c r="G1290" s="3"/>
      <c r="H1290" s="3"/>
    </row>
    <row r="1291" spans="1:8" x14ac:dyDescent="0.35">
      <c r="A1291" s="3" t="s">
        <v>582</v>
      </c>
      <c r="B1291" s="3" t="s">
        <v>20</v>
      </c>
      <c r="C1291" s="3" t="s">
        <v>618</v>
      </c>
      <c r="D1291" s="3" t="s">
        <v>56</v>
      </c>
      <c r="E1291" s="3" t="s">
        <v>13</v>
      </c>
      <c r="F1291" s="3" t="s">
        <v>619</v>
      </c>
      <c r="G1291" s="3"/>
      <c r="H1291" s="3"/>
    </row>
    <row r="1292" spans="1:8" x14ac:dyDescent="0.35">
      <c r="A1292" s="3" t="s">
        <v>582</v>
      </c>
      <c r="B1292" s="3" t="s">
        <v>45</v>
      </c>
      <c r="C1292" s="3" t="s">
        <v>620</v>
      </c>
      <c r="D1292" s="3" t="s">
        <v>57</v>
      </c>
      <c r="E1292" s="3" t="s">
        <v>33</v>
      </c>
      <c r="F1292" s="3" t="s">
        <v>621</v>
      </c>
      <c r="G1292" s="3"/>
      <c r="H1292" s="3"/>
    </row>
    <row r="1293" spans="1:8" x14ac:dyDescent="0.35">
      <c r="A1293" s="3" t="s">
        <v>582</v>
      </c>
      <c r="B1293" s="3" t="s">
        <v>45</v>
      </c>
      <c r="C1293" s="3" t="s">
        <v>620</v>
      </c>
      <c r="D1293" s="3" t="s">
        <v>56</v>
      </c>
      <c r="E1293" s="3" t="s">
        <v>33</v>
      </c>
      <c r="F1293" s="3" t="s">
        <v>621</v>
      </c>
      <c r="G1293" s="3"/>
      <c r="H1293" s="3"/>
    </row>
    <row r="1294" spans="1:8" x14ac:dyDescent="0.35">
      <c r="A1294" s="3" t="s">
        <v>582</v>
      </c>
      <c r="B1294" s="3" t="s">
        <v>45</v>
      </c>
      <c r="C1294" s="3" t="s">
        <v>622</v>
      </c>
      <c r="D1294" s="3" t="s">
        <v>77</v>
      </c>
      <c r="E1294" s="3"/>
      <c r="F1294" s="3"/>
      <c r="G1294" s="3"/>
      <c r="H1294" s="3"/>
    </row>
    <row r="1295" spans="1:8" x14ac:dyDescent="0.35">
      <c r="A1295" s="3" t="s">
        <v>582</v>
      </c>
      <c r="B1295" s="3" t="s">
        <v>45</v>
      </c>
      <c r="C1295" s="3" t="s">
        <v>622</v>
      </c>
      <c r="D1295" s="3" t="s">
        <v>28</v>
      </c>
      <c r="E1295" s="3"/>
      <c r="F1295" s="3"/>
      <c r="G1295" s="3"/>
      <c r="H1295" s="3"/>
    </row>
    <row r="1296" spans="1:8" x14ac:dyDescent="0.35">
      <c r="A1296" s="3" t="s">
        <v>582</v>
      </c>
      <c r="B1296" s="3" t="s">
        <v>45</v>
      </c>
      <c r="C1296" s="3" t="s">
        <v>622</v>
      </c>
      <c r="D1296" s="3" t="s">
        <v>56</v>
      </c>
      <c r="E1296" s="3"/>
      <c r="F1296" s="3"/>
      <c r="G1296" s="3"/>
      <c r="H1296" s="3"/>
    </row>
    <row r="1297" spans="1:8" x14ac:dyDescent="0.35">
      <c r="A1297" s="3" t="s">
        <v>582</v>
      </c>
      <c r="B1297" s="3" t="s">
        <v>45</v>
      </c>
      <c r="C1297" s="3" t="s">
        <v>622</v>
      </c>
      <c r="D1297" s="3" t="s">
        <v>32</v>
      </c>
      <c r="E1297" s="3"/>
      <c r="F1297" s="3"/>
      <c r="G1297" s="3"/>
      <c r="H1297" s="3"/>
    </row>
    <row r="1298" spans="1:8" x14ac:dyDescent="0.35">
      <c r="A1298" s="3" t="s">
        <v>582</v>
      </c>
      <c r="B1298" s="3" t="s">
        <v>10</v>
      </c>
      <c r="C1298" s="3" t="s">
        <v>623</v>
      </c>
      <c r="D1298" s="3" t="s">
        <v>15</v>
      </c>
      <c r="E1298" s="3" t="s">
        <v>13</v>
      </c>
      <c r="F1298" s="3" t="s">
        <v>624</v>
      </c>
      <c r="G1298" s="3" t="s">
        <v>13</v>
      </c>
      <c r="H1298" s="3" t="s">
        <v>14</v>
      </c>
    </row>
    <row r="1299" spans="1:8" x14ac:dyDescent="0.35">
      <c r="A1299" s="3" t="s">
        <v>582</v>
      </c>
      <c r="B1299" s="3" t="s">
        <v>10</v>
      </c>
      <c r="C1299" s="3" t="s">
        <v>623</v>
      </c>
      <c r="D1299" s="3" t="s">
        <v>32</v>
      </c>
      <c r="E1299" s="3" t="s">
        <v>13</v>
      </c>
      <c r="F1299" s="3" t="s">
        <v>625</v>
      </c>
      <c r="G1299" s="3" t="s">
        <v>13</v>
      </c>
      <c r="H1299" s="3" t="s">
        <v>14</v>
      </c>
    </row>
    <row r="1300" spans="1:8" x14ac:dyDescent="0.35">
      <c r="A1300" s="3" t="s">
        <v>626</v>
      </c>
      <c r="B1300" s="3" t="s">
        <v>20</v>
      </c>
      <c r="C1300" s="3" t="s">
        <v>627</v>
      </c>
      <c r="D1300" s="3" t="s">
        <v>27</v>
      </c>
      <c r="E1300" s="3"/>
      <c r="F1300" s="3"/>
      <c r="G1300" s="3" t="s">
        <v>13</v>
      </c>
      <c r="H1300" s="3" t="s">
        <v>628</v>
      </c>
    </row>
    <row r="1301" spans="1:8" x14ac:dyDescent="0.35">
      <c r="A1301" s="3" t="s">
        <v>626</v>
      </c>
      <c r="B1301" s="3" t="s">
        <v>20</v>
      </c>
      <c r="C1301" s="3" t="s">
        <v>627</v>
      </c>
      <c r="D1301" s="3" t="s">
        <v>15</v>
      </c>
      <c r="E1301" s="3" t="s">
        <v>16</v>
      </c>
      <c r="F1301" s="3" t="s">
        <v>2312</v>
      </c>
      <c r="G1301" s="3" t="s">
        <v>13</v>
      </c>
      <c r="H1301" s="3" t="s">
        <v>628</v>
      </c>
    </row>
    <row r="1302" spans="1:8" x14ac:dyDescent="0.35">
      <c r="A1302" s="3" t="s">
        <v>626</v>
      </c>
      <c r="B1302" s="3" t="s">
        <v>20</v>
      </c>
      <c r="C1302" s="3" t="s">
        <v>627</v>
      </c>
      <c r="D1302" s="3" t="s">
        <v>29</v>
      </c>
      <c r="E1302" s="3" t="s">
        <v>33</v>
      </c>
      <c r="F1302" s="3" t="s">
        <v>314</v>
      </c>
      <c r="G1302" s="3" t="s">
        <v>13</v>
      </c>
      <c r="H1302" s="3" t="s">
        <v>628</v>
      </c>
    </row>
    <row r="1303" spans="1:8" x14ac:dyDescent="0.35">
      <c r="A1303" s="3" t="s">
        <v>626</v>
      </c>
      <c r="B1303" s="3" t="s">
        <v>20</v>
      </c>
      <c r="C1303" s="3" t="s">
        <v>627</v>
      </c>
      <c r="D1303" s="3" t="s">
        <v>24</v>
      </c>
      <c r="E1303" s="3"/>
      <c r="F1303" s="3"/>
      <c r="G1303" s="3" t="s">
        <v>13</v>
      </c>
      <c r="H1303" s="3" t="s">
        <v>628</v>
      </c>
    </row>
    <row r="1304" spans="1:8" x14ac:dyDescent="0.35">
      <c r="A1304" s="3" t="s">
        <v>626</v>
      </c>
      <c r="B1304" s="3" t="s">
        <v>20</v>
      </c>
      <c r="C1304" s="3" t="s">
        <v>627</v>
      </c>
      <c r="D1304" s="3" t="s">
        <v>134</v>
      </c>
      <c r="E1304" s="3" t="s">
        <v>16</v>
      </c>
      <c r="F1304" s="3" t="s">
        <v>629</v>
      </c>
      <c r="G1304" s="3" t="s">
        <v>13</v>
      </c>
      <c r="H1304" s="3" t="s">
        <v>628</v>
      </c>
    </row>
    <row r="1305" spans="1:8" x14ac:dyDescent="0.35">
      <c r="A1305" s="3" t="s">
        <v>626</v>
      </c>
      <c r="B1305" s="3" t="s">
        <v>20</v>
      </c>
      <c r="C1305" s="3" t="s">
        <v>631</v>
      </c>
      <c r="D1305" s="3" t="s">
        <v>12</v>
      </c>
      <c r="E1305" s="3"/>
      <c r="F1305" s="3"/>
      <c r="G1305" s="3" t="s">
        <v>13</v>
      </c>
      <c r="H1305" s="3" t="s">
        <v>628</v>
      </c>
    </row>
    <row r="1306" spans="1:8" x14ac:dyDescent="0.35">
      <c r="A1306" s="3" t="s">
        <v>626</v>
      </c>
      <c r="B1306" s="3" t="s">
        <v>20</v>
      </c>
      <c r="C1306" s="3" t="s">
        <v>631</v>
      </c>
      <c r="D1306" s="3" t="s">
        <v>36</v>
      </c>
      <c r="E1306" s="3"/>
      <c r="F1306" s="3"/>
      <c r="G1306" s="3" t="s">
        <v>13</v>
      </c>
      <c r="H1306" s="3" t="s">
        <v>628</v>
      </c>
    </row>
    <row r="1307" spans="1:8" x14ac:dyDescent="0.35">
      <c r="A1307" s="3" t="s">
        <v>626</v>
      </c>
      <c r="B1307" s="3" t="s">
        <v>20</v>
      </c>
      <c r="C1307" s="3" t="s">
        <v>631</v>
      </c>
      <c r="D1307" s="3" t="s">
        <v>27</v>
      </c>
      <c r="E1307" s="3"/>
      <c r="F1307" s="3"/>
      <c r="G1307" s="3" t="s">
        <v>13</v>
      </c>
      <c r="H1307" s="3" t="s">
        <v>628</v>
      </c>
    </row>
    <row r="1308" spans="1:8" x14ac:dyDescent="0.35">
      <c r="A1308" s="3" t="s">
        <v>626</v>
      </c>
      <c r="B1308" s="3" t="s">
        <v>20</v>
      </c>
      <c r="C1308" s="3" t="s">
        <v>631</v>
      </c>
      <c r="D1308" s="3" t="s">
        <v>15</v>
      </c>
      <c r="E1308" s="3" t="s">
        <v>16</v>
      </c>
      <c r="F1308" s="3" t="s">
        <v>632</v>
      </c>
      <c r="G1308" s="3" t="s">
        <v>13</v>
      </c>
      <c r="H1308" s="3" t="s">
        <v>628</v>
      </c>
    </row>
    <row r="1309" spans="1:8" x14ac:dyDescent="0.35">
      <c r="A1309" s="3" t="s">
        <v>626</v>
      </c>
      <c r="B1309" s="3" t="s">
        <v>20</v>
      </c>
      <c r="C1309" s="3" t="s">
        <v>631</v>
      </c>
      <c r="D1309" s="3" t="s">
        <v>57</v>
      </c>
      <c r="E1309" s="3"/>
      <c r="F1309" s="3" t="s">
        <v>2311</v>
      </c>
      <c r="G1309" s="3" t="s">
        <v>13</v>
      </c>
      <c r="H1309" s="3" t="s">
        <v>628</v>
      </c>
    </row>
    <row r="1310" spans="1:8" x14ac:dyDescent="0.35">
      <c r="A1310" s="3" t="s">
        <v>626</v>
      </c>
      <c r="B1310" s="3" t="s">
        <v>20</v>
      </c>
      <c r="C1310" s="3" t="s">
        <v>631</v>
      </c>
      <c r="D1310" s="3" t="s">
        <v>911</v>
      </c>
      <c r="E1310" s="3" t="s">
        <v>16</v>
      </c>
      <c r="F1310" s="3" t="s">
        <v>633</v>
      </c>
      <c r="G1310" s="3" t="s">
        <v>13</v>
      </c>
      <c r="H1310" s="3" t="s">
        <v>628</v>
      </c>
    </row>
    <row r="1311" spans="1:8" x14ac:dyDescent="0.35">
      <c r="A1311" s="3" t="s">
        <v>626</v>
      </c>
      <c r="B1311" s="3" t="s">
        <v>42</v>
      </c>
      <c r="C1311" s="3" t="s">
        <v>634</v>
      </c>
      <c r="D1311" s="3" t="s">
        <v>12</v>
      </c>
      <c r="E1311" s="3"/>
      <c r="F1311" s="3"/>
      <c r="G1311" s="3" t="s">
        <v>13</v>
      </c>
      <c r="H1311" s="3" t="s">
        <v>628</v>
      </c>
    </row>
    <row r="1312" spans="1:8" x14ac:dyDescent="0.35">
      <c r="A1312" s="3" t="s">
        <v>626</v>
      </c>
      <c r="B1312" s="3" t="s">
        <v>42</v>
      </c>
      <c r="C1312" s="3" t="s">
        <v>634</v>
      </c>
      <c r="D1312" s="3" t="s">
        <v>36</v>
      </c>
      <c r="E1312" s="3"/>
      <c r="F1312" s="3"/>
      <c r="G1312" s="3" t="s">
        <v>13</v>
      </c>
      <c r="H1312" s="3" t="s">
        <v>628</v>
      </c>
    </row>
    <row r="1313" spans="1:8" x14ac:dyDescent="0.35">
      <c r="A1313" s="3" t="s">
        <v>626</v>
      </c>
      <c r="B1313" s="3" t="s">
        <v>42</v>
      </c>
      <c r="C1313" s="3" t="s">
        <v>634</v>
      </c>
      <c r="D1313" s="3" t="s">
        <v>15</v>
      </c>
      <c r="E1313" s="3"/>
      <c r="F1313" s="3"/>
      <c r="G1313" s="3" t="s">
        <v>13</v>
      </c>
      <c r="H1313" s="3" t="s">
        <v>628</v>
      </c>
    </row>
    <row r="1314" spans="1:8" x14ac:dyDescent="0.35">
      <c r="A1314" s="3" t="s">
        <v>626</v>
      </c>
      <c r="B1314" s="3" t="s">
        <v>42</v>
      </c>
      <c r="C1314" s="3" t="s">
        <v>634</v>
      </c>
      <c r="D1314" s="3" t="s">
        <v>57</v>
      </c>
      <c r="E1314" s="3"/>
      <c r="F1314" s="3" t="s">
        <v>2311</v>
      </c>
      <c r="G1314" s="3" t="s">
        <v>13</v>
      </c>
      <c r="H1314" s="3" t="s">
        <v>628</v>
      </c>
    </row>
    <row r="1315" spans="1:8" x14ac:dyDescent="0.35">
      <c r="A1315" s="3" t="s">
        <v>626</v>
      </c>
      <c r="B1315" s="3" t="s">
        <v>42</v>
      </c>
      <c r="C1315" s="3" t="s">
        <v>634</v>
      </c>
      <c r="D1315" s="3" t="s">
        <v>630</v>
      </c>
      <c r="E1315" s="3"/>
      <c r="F1315" s="3"/>
      <c r="G1315" s="3" t="s">
        <v>13</v>
      </c>
      <c r="H1315" s="3" t="s">
        <v>628</v>
      </c>
    </row>
    <row r="1316" spans="1:8" x14ac:dyDescent="0.35">
      <c r="A1316" s="3" t="s">
        <v>626</v>
      </c>
      <c r="B1316" s="3" t="s">
        <v>45</v>
      </c>
      <c r="C1316" s="3" t="s">
        <v>635</v>
      </c>
      <c r="D1316" s="3" t="s">
        <v>27</v>
      </c>
      <c r="E1316" s="3"/>
      <c r="F1316" s="3"/>
      <c r="G1316" s="3" t="s">
        <v>13</v>
      </c>
      <c r="H1316" s="3" t="s">
        <v>628</v>
      </c>
    </row>
    <row r="1317" spans="1:8" x14ac:dyDescent="0.35">
      <c r="A1317" s="3" t="s">
        <v>626</v>
      </c>
      <c r="B1317" s="3" t="s">
        <v>45</v>
      </c>
      <c r="C1317" s="3" t="s">
        <v>635</v>
      </c>
      <c r="D1317" s="3" t="s">
        <v>28</v>
      </c>
      <c r="E1317" s="3"/>
      <c r="F1317" s="3"/>
      <c r="G1317" s="3" t="s">
        <v>13</v>
      </c>
      <c r="H1317" s="3" t="s">
        <v>628</v>
      </c>
    </row>
    <row r="1318" spans="1:8" x14ac:dyDescent="0.35">
      <c r="A1318" s="3" t="s">
        <v>626</v>
      </c>
      <c r="B1318" s="3" t="s">
        <v>45</v>
      </c>
      <c r="C1318" s="3" t="s">
        <v>635</v>
      </c>
      <c r="D1318" s="3" t="s">
        <v>56</v>
      </c>
      <c r="E1318" s="3" t="s">
        <v>13</v>
      </c>
      <c r="F1318" s="3" t="s">
        <v>636</v>
      </c>
      <c r="G1318" s="3" t="s">
        <v>13</v>
      </c>
      <c r="H1318" s="3" t="s">
        <v>628</v>
      </c>
    </row>
    <row r="1319" spans="1:8" x14ac:dyDescent="0.35">
      <c r="A1319" s="3" t="s">
        <v>626</v>
      </c>
      <c r="B1319" s="3" t="s">
        <v>45</v>
      </c>
      <c r="C1319" s="3" t="s">
        <v>635</v>
      </c>
      <c r="D1319" s="3" t="s">
        <v>32</v>
      </c>
      <c r="E1319" s="3" t="s">
        <v>33</v>
      </c>
      <c r="F1319" s="3" t="s">
        <v>81</v>
      </c>
      <c r="G1319" s="3" t="s">
        <v>13</v>
      </c>
      <c r="H1319" s="3" t="s">
        <v>628</v>
      </c>
    </row>
    <row r="1320" spans="1:8" x14ac:dyDescent="0.35">
      <c r="A1320" s="3" t="s">
        <v>626</v>
      </c>
      <c r="B1320" s="3" t="s">
        <v>45</v>
      </c>
      <c r="C1320" s="3" t="s">
        <v>635</v>
      </c>
      <c r="D1320" s="3" t="s">
        <v>24</v>
      </c>
      <c r="E1320" s="3"/>
      <c r="F1320" s="3"/>
      <c r="G1320" s="3" t="s">
        <v>13</v>
      </c>
      <c r="H1320" s="3" t="s">
        <v>628</v>
      </c>
    </row>
    <row r="1321" spans="1:8" x14ac:dyDescent="0.35">
      <c r="A1321" s="3" t="s">
        <v>626</v>
      </c>
      <c r="B1321" s="3" t="s">
        <v>45</v>
      </c>
      <c r="C1321" s="3" t="s">
        <v>635</v>
      </c>
      <c r="D1321" s="3" t="s">
        <v>134</v>
      </c>
      <c r="E1321" s="3"/>
      <c r="F1321" s="3"/>
      <c r="G1321" s="3" t="s">
        <v>13</v>
      </c>
      <c r="H1321" s="3" t="s">
        <v>628</v>
      </c>
    </row>
    <row r="1322" spans="1:8" x14ac:dyDescent="0.35">
      <c r="A1322" s="3" t="s">
        <v>626</v>
      </c>
      <c r="B1322" s="3" t="s">
        <v>39</v>
      </c>
      <c r="C1322" s="3" t="s">
        <v>637</v>
      </c>
      <c r="D1322" s="3" t="s">
        <v>27</v>
      </c>
      <c r="E1322" s="3"/>
      <c r="F1322" s="3"/>
      <c r="G1322" s="3" t="s">
        <v>13</v>
      </c>
      <c r="H1322" s="3" t="s">
        <v>628</v>
      </c>
    </row>
    <row r="1323" spans="1:8" x14ac:dyDescent="0.35">
      <c r="A1323" s="3" t="s">
        <v>626</v>
      </c>
      <c r="B1323" s="3" t="s">
        <v>39</v>
      </c>
      <c r="C1323" s="3" t="s">
        <v>637</v>
      </c>
      <c r="D1323" s="3" t="s">
        <v>29</v>
      </c>
      <c r="E1323" s="3"/>
      <c r="F1323" s="3" t="s">
        <v>2332</v>
      </c>
      <c r="G1323" s="3" t="s">
        <v>13</v>
      </c>
      <c r="H1323" s="3" t="s">
        <v>628</v>
      </c>
    </row>
    <row r="1324" spans="1:8" x14ac:dyDescent="0.35">
      <c r="A1324" s="3" t="s">
        <v>626</v>
      </c>
      <c r="B1324" s="3" t="s">
        <v>39</v>
      </c>
      <c r="C1324" s="3" t="s">
        <v>637</v>
      </c>
      <c r="D1324" s="3" t="s">
        <v>24</v>
      </c>
      <c r="E1324" s="3"/>
      <c r="F1324" s="3"/>
      <c r="G1324" s="3" t="s">
        <v>13</v>
      </c>
      <c r="H1324" s="3" t="s">
        <v>628</v>
      </c>
    </row>
    <row r="1325" spans="1:8" x14ac:dyDescent="0.35">
      <c r="A1325" s="3" t="s">
        <v>626</v>
      </c>
      <c r="B1325" s="3" t="s">
        <v>45</v>
      </c>
      <c r="C1325" s="3" t="s">
        <v>638</v>
      </c>
      <c r="D1325" s="3" t="s">
        <v>56</v>
      </c>
      <c r="E1325" s="3" t="s">
        <v>16</v>
      </c>
      <c r="F1325" s="3" t="s">
        <v>639</v>
      </c>
      <c r="G1325" s="3" t="s">
        <v>13</v>
      </c>
      <c r="H1325" s="3" t="s">
        <v>628</v>
      </c>
    </row>
    <row r="1326" spans="1:8" x14ac:dyDescent="0.35">
      <c r="A1326" s="3" t="s">
        <v>626</v>
      </c>
      <c r="B1326" s="3" t="s">
        <v>45</v>
      </c>
      <c r="C1326" s="3" t="s">
        <v>640</v>
      </c>
      <c r="D1326" s="3" t="s">
        <v>23</v>
      </c>
      <c r="E1326" s="3"/>
      <c r="F1326" s="3"/>
      <c r="G1326" s="3" t="s">
        <v>13</v>
      </c>
      <c r="H1326" s="3" t="s">
        <v>628</v>
      </c>
    </row>
    <row r="1327" spans="1:8" x14ac:dyDescent="0.35">
      <c r="A1327" s="3" t="s">
        <v>626</v>
      </c>
      <c r="B1327" s="3" t="s">
        <v>45</v>
      </c>
      <c r="C1327" s="3" t="s">
        <v>640</v>
      </c>
      <c r="D1327" s="3" t="s">
        <v>77</v>
      </c>
      <c r="E1327" s="3" t="s">
        <v>33</v>
      </c>
      <c r="F1327" s="3" t="s">
        <v>81</v>
      </c>
      <c r="G1327" s="3" t="s">
        <v>13</v>
      </c>
      <c r="H1327" s="3" t="s">
        <v>628</v>
      </c>
    </row>
    <row r="1328" spans="1:8" x14ac:dyDescent="0.35">
      <c r="A1328" s="3" t="s">
        <v>626</v>
      </c>
      <c r="B1328" s="3" t="s">
        <v>45</v>
      </c>
      <c r="C1328" s="3" t="s">
        <v>640</v>
      </c>
      <c r="D1328" s="3" t="s">
        <v>15</v>
      </c>
      <c r="E1328" s="3" t="s">
        <v>16</v>
      </c>
      <c r="F1328" s="3" t="s">
        <v>641</v>
      </c>
      <c r="G1328" s="3" t="s">
        <v>13</v>
      </c>
      <c r="H1328" s="3" t="s">
        <v>628</v>
      </c>
    </row>
    <row r="1329" spans="1:8" x14ac:dyDescent="0.35">
      <c r="A1329" s="3" t="s">
        <v>626</v>
      </c>
      <c r="B1329" s="3" t="s">
        <v>45</v>
      </c>
      <c r="C1329" s="3" t="s">
        <v>640</v>
      </c>
      <c r="D1329" s="3" t="s">
        <v>24</v>
      </c>
      <c r="E1329" s="3"/>
      <c r="F1329" s="3"/>
      <c r="G1329" s="3" t="s">
        <v>13</v>
      </c>
      <c r="H1329" s="3" t="s">
        <v>628</v>
      </c>
    </row>
    <row r="1330" spans="1:8" x14ac:dyDescent="0.35">
      <c r="A1330" s="3" t="s">
        <v>626</v>
      </c>
      <c r="B1330" s="3" t="s">
        <v>39</v>
      </c>
      <c r="C1330" s="3" t="s">
        <v>642</v>
      </c>
      <c r="D1330" s="3" t="s">
        <v>27</v>
      </c>
      <c r="E1330" s="3"/>
      <c r="F1330" s="3"/>
      <c r="G1330" s="3" t="s">
        <v>13</v>
      </c>
      <c r="H1330" s="3" t="s">
        <v>628</v>
      </c>
    </row>
    <row r="1331" spans="1:8" x14ac:dyDescent="0.35">
      <c r="A1331" s="3" t="s">
        <v>626</v>
      </c>
      <c r="B1331" s="3" t="s">
        <v>39</v>
      </c>
      <c r="C1331" s="3" t="s">
        <v>642</v>
      </c>
      <c r="D1331" s="3" t="s">
        <v>15</v>
      </c>
      <c r="E1331" s="3"/>
      <c r="F1331" s="3"/>
      <c r="G1331" s="3" t="s">
        <v>13</v>
      </c>
      <c r="H1331" s="3" t="s">
        <v>628</v>
      </c>
    </row>
    <row r="1332" spans="1:8" x14ac:dyDescent="0.35">
      <c r="A1332" s="3" t="s">
        <v>626</v>
      </c>
      <c r="B1332" s="3" t="s">
        <v>39</v>
      </c>
      <c r="C1332" s="3" t="s">
        <v>642</v>
      </c>
      <c r="D1332" s="3" t="s">
        <v>32</v>
      </c>
      <c r="E1332" s="3"/>
      <c r="F1332" s="3"/>
      <c r="G1332" s="3" t="s">
        <v>13</v>
      </c>
      <c r="H1332" s="3" t="s">
        <v>628</v>
      </c>
    </row>
    <row r="1333" spans="1:8" x14ac:dyDescent="0.35">
      <c r="A1333" s="3" t="s">
        <v>626</v>
      </c>
      <c r="B1333" s="3" t="s">
        <v>39</v>
      </c>
      <c r="C1333" s="3" t="s">
        <v>642</v>
      </c>
      <c r="D1333" s="3" t="s">
        <v>630</v>
      </c>
      <c r="E1333" s="3"/>
      <c r="F1333" s="3"/>
      <c r="G1333" s="3" t="s">
        <v>13</v>
      </c>
      <c r="H1333" s="3" t="s">
        <v>628</v>
      </c>
    </row>
    <row r="1334" spans="1:8" x14ac:dyDescent="0.35">
      <c r="A1334" s="3" t="s">
        <v>626</v>
      </c>
      <c r="B1334" s="3" t="s">
        <v>10</v>
      </c>
      <c r="C1334" s="3" t="s">
        <v>643</v>
      </c>
      <c r="D1334" s="3" t="s">
        <v>27</v>
      </c>
      <c r="E1334" s="3"/>
      <c r="F1334" s="3"/>
      <c r="G1334" s="3" t="s">
        <v>13</v>
      </c>
      <c r="H1334" s="3" t="s">
        <v>628</v>
      </c>
    </row>
    <row r="1335" spans="1:8" x14ac:dyDescent="0.35">
      <c r="A1335" s="3" t="s">
        <v>626</v>
      </c>
      <c r="B1335" s="3" t="s">
        <v>10</v>
      </c>
      <c r="C1335" s="3" t="s">
        <v>643</v>
      </c>
      <c r="D1335" s="3" t="s">
        <v>28</v>
      </c>
      <c r="E1335" s="3"/>
      <c r="F1335" s="3" t="s">
        <v>2321</v>
      </c>
      <c r="G1335" s="3" t="s">
        <v>13</v>
      </c>
      <c r="H1335" s="3" t="s">
        <v>628</v>
      </c>
    </row>
    <row r="1336" spans="1:8" x14ac:dyDescent="0.35">
      <c r="A1336" s="3" t="s">
        <v>626</v>
      </c>
      <c r="B1336" s="3" t="s">
        <v>10</v>
      </c>
      <c r="C1336" s="3" t="s">
        <v>643</v>
      </c>
      <c r="D1336" s="3" t="s">
        <v>56</v>
      </c>
      <c r="E1336" s="3" t="s">
        <v>16</v>
      </c>
      <c r="F1336" s="3" t="s">
        <v>644</v>
      </c>
      <c r="G1336" s="3" t="s">
        <v>13</v>
      </c>
      <c r="H1336" s="3" t="s">
        <v>628</v>
      </c>
    </row>
    <row r="1337" spans="1:8" x14ac:dyDescent="0.35">
      <c r="A1337" s="3" t="s">
        <v>626</v>
      </c>
      <c r="B1337" s="3" t="s">
        <v>45</v>
      </c>
      <c r="C1337" s="3" t="s">
        <v>645</v>
      </c>
      <c r="D1337" s="3" t="s">
        <v>23</v>
      </c>
      <c r="E1337" s="3" t="s">
        <v>33</v>
      </c>
      <c r="F1337" s="3" t="s">
        <v>646</v>
      </c>
      <c r="G1337" s="3"/>
      <c r="H1337" s="3"/>
    </row>
    <row r="1338" spans="1:8" x14ac:dyDescent="0.35">
      <c r="A1338" s="3" t="s">
        <v>626</v>
      </c>
      <c r="B1338" s="3" t="s">
        <v>45</v>
      </c>
      <c r="C1338" s="3" t="s">
        <v>645</v>
      </c>
      <c r="D1338" s="3" t="s">
        <v>15</v>
      </c>
      <c r="E1338" s="3" t="s">
        <v>33</v>
      </c>
      <c r="F1338" s="3" t="s">
        <v>646</v>
      </c>
      <c r="G1338" s="3"/>
      <c r="H1338" s="3"/>
    </row>
    <row r="1339" spans="1:8" x14ac:dyDescent="0.35">
      <c r="A1339" s="3" t="s">
        <v>626</v>
      </c>
      <c r="B1339" s="3" t="s">
        <v>45</v>
      </c>
      <c r="C1339" s="3" t="s">
        <v>645</v>
      </c>
      <c r="D1339" s="3" t="s">
        <v>56</v>
      </c>
      <c r="E1339" s="3" t="s">
        <v>33</v>
      </c>
      <c r="F1339" s="3" t="s">
        <v>646</v>
      </c>
      <c r="G1339" s="3"/>
      <c r="H1339" s="3"/>
    </row>
    <row r="1340" spans="1:8" x14ac:dyDescent="0.35">
      <c r="A1340" s="3" t="s">
        <v>626</v>
      </c>
      <c r="B1340" s="3" t="s">
        <v>45</v>
      </c>
      <c r="C1340" s="3" t="s">
        <v>645</v>
      </c>
      <c r="D1340" s="3" t="s">
        <v>29</v>
      </c>
      <c r="E1340" s="3" t="s">
        <v>33</v>
      </c>
      <c r="F1340" s="3" t="s">
        <v>646</v>
      </c>
      <c r="G1340" s="3"/>
      <c r="H1340" s="3"/>
    </row>
    <row r="1341" spans="1:8" x14ac:dyDescent="0.35">
      <c r="A1341" s="3" t="s">
        <v>626</v>
      </c>
      <c r="B1341" s="3" t="s">
        <v>45</v>
      </c>
      <c r="C1341" s="3" t="s">
        <v>645</v>
      </c>
      <c r="D1341" s="3" t="s">
        <v>24</v>
      </c>
      <c r="E1341" s="3" t="s">
        <v>33</v>
      </c>
      <c r="F1341" s="3" t="s">
        <v>646</v>
      </c>
      <c r="G1341" s="3"/>
      <c r="H1341" s="3"/>
    </row>
    <row r="1342" spans="1:8" x14ac:dyDescent="0.35">
      <c r="A1342" s="3" t="s">
        <v>626</v>
      </c>
      <c r="B1342" s="3" t="s">
        <v>10</v>
      </c>
      <c r="C1342" s="3" t="s">
        <v>647</v>
      </c>
      <c r="D1342" s="3" t="s">
        <v>23</v>
      </c>
      <c r="E1342" s="3"/>
      <c r="F1342" s="3"/>
      <c r="G1342" s="3"/>
      <c r="H1342" s="3"/>
    </row>
    <row r="1343" spans="1:8" x14ac:dyDescent="0.35">
      <c r="A1343" s="3" t="s">
        <v>626</v>
      </c>
      <c r="B1343" s="3" t="s">
        <v>10</v>
      </c>
      <c r="C1343" s="3" t="s">
        <v>647</v>
      </c>
      <c r="D1343" s="3" t="s">
        <v>27</v>
      </c>
      <c r="E1343" s="3"/>
      <c r="F1343" s="3"/>
      <c r="G1343" s="3"/>
      <c r="H1343" s="3"/>
    </row>
    <row r="1344" spans="1:8" x14ac:dyDescent="0.35">
      <c r="A1344" s="3" t="s">
        <v>626</v>
      </c>
      <c r="B1344" s="3" t="s">
        <v>10</v>
      </c>
      <c r="C1344" s="3" t="s">
        <v>647</v>
      </c>
      <c r="D1344" s="3" t="s">
        <v>87</v>
      </c>
      <c r="E1344" s="3"/>
      <c r="F1344" s="3"/>
      <c r="G1344" s="3"/>
      <c r="H1344" s="3"/>
    </row>
    <row r="1345" spans="1:8" x14ac:dyDescent="0.35">
      <c r="A1345" s="3" t="s">
        <v>626</v>
      </c>
      <c r="B1345" s="3" t="s">
        <v>10</v>
      </c>
      <c r="C1345" s="3" t="s">
        <v>647</v>
      </c>
      <c r="D1345" s="3" t="s">
        <v>15</v>
      </c>
      <c r="E1345" s="3" t="s">
        <v>16</v>
      </c>
      <c r="F1345" s="3" t="s">
        <v>648</v>
      </c>
      <c r="G1345" s="3"/>
      <c r="H1345" s="3"/>
    </row>
    <row r="1346" spans="1:8" x14ac:dyDescent="0.35">
      <c r="A1346" s="3" t="s">
        <v>626</v>
      </c>
      <c r="B1346" s="3" t="s">
        <v>10</v>
      </c>
      <c r="C1346" s="3" t="s">
        <v>647</v>
      </c>
      <c r="D1346" s="3" t="s">
        <v>32</v>
      </c>
      <c r="E1346" s="3" t="s">
        <v>16</v>
      </c>
      <c r="F1346" s="3" t="s">
        <v>2493</v>
      </c>
      <c r="G1346" s="3"/>
      <c r="H1346" s="3"/>
    </row>
    <row r="1347" spans="1:8" x14ac:dyDescent="0.35">
      <c r="A1347" s="3" t="s">
        <v>626</v>
      </c>
      <c r="B1347" s="3" t="s">
        <v>10</v>
      </c>
      <c r="C1347" s="3" t="s">
        <v>647</v>
      </c>
      <c r="D1347" s="3" t="s">
        <v>630</v>
      </c>
      <c r="E1347" s="3" t="s">
        <v>16</v>
      </c>
      <c r="F1347" s="3" t="s">
        <v>649</v>
      </c>
      <c r="G1347" s="3"/>
      <c r="H1347" s="3"/>
    </row>
    <row r="1348" spans="1:8" x14ac:dyDescent="0.35">
      <c r="A1348" s="3" t="s">
        <v>626</v>
      </c>
      <c r="B1348" s="3" t="s">
        <v>10</v>
      </c>
      <c r="C1348" s="3" t="s">
        <v>2268</v>
      </c>
      <c r="D1348" s="3" t="s">
        <v>12</v>
      </c>
      <c r="E1348" s="3"/>
      <c r="F1348" s="3"/>
      <c r="G1348" s="3" t="s">
        <v>13</v>
      </c>
      <c r="H1348" s="3" t="s">
        <v>628</v>
      </c>
    </row>
    <row r="1349" spans="1:8" x14ac:dyDescent="0.35">
      <c r="A1349" s="3" t="s">
        <v>626</v>
      </c>
      <c r="B1349" s="3" t="s">
        <v>10</v>
      </c>
      <c r="C1349" s="3" t="s">
        <v>2268</v>
      </c>
      <c r="D1349" s="3" t="s">
        <v>23</v>
      </c>
      <c r="E1349" s="3" t="s">
        <v>16</v>
      </c>
      <c r="F1349" s="3" t="s">
        <v>2269</v>
      </c>
      <c r="G1349" s="3" t="s">
        <v>13</v>
      </c>
      <c r="H1349" s="3" t="s">
        <v>628</v>
      </c>
    </row>
    <row r="1350" spans="1:8" x14ac:dyDescent="0.35">
      <c r="A1350" s="3" t="s">
        <v>626</v>
      </c>
      <c r="B1350" s="3" t="s">
        <v>10</v>
      </c>
      <c r="C1350" s="3" t="s">
        <v>2268</v>
      </c>
      <c r="D1350" s="3" t="s">
        <v>27</v>
      </c>
      <c r="E1350" s="3"/>
      <c r="F1350" s="3"/>
      <c r="G1350" s="3" t="s">
        <v>13</v>
      </c>
      <c r="H1350" s="3" t="s">
        <v>628</v>
      </c>
    </row>
    <row r="1351" spans="1:8" x14ac:dyDescent="0.35">
      <c r="A1351" s="3" t="s">
        <v>626</v>
      </c>
      <c r="B1351" s="3" t="s">
        <v>10</v>
      </c>
      <c r="C1351" s="3" t="s">
        <v>2268</v>
      </c>
      <c r="D1351" s="3" t="s">
        <v>15</v>
      </c>
      <c r="E1351" s="3" t="s">
        <v>16</v>
      </c>
      <c r="F1351" s="3" t="s">
        <v>2258</v>
      </c>
      <c r="G1351" s="3" t="s">
        <v>13</v>
      </c>
      <c r="H1351" s="3" t="s">
        <v>628</v>
      </c>
    </row>
    <row r="1352" spans="1:8" x14ac:dyDescent="0.35">
      <c r="A1352" s="3" t="s">
        <v>626</v>
      </c>
      <c r="B1352" s="3" t="s">
        <v>10</v>
      </c>
      <c r="C1352" s="3" t="s">
        <v>2268</v>
      </c>
      <c r="D1352" s="3" t="s">
        <v>24</v>
      </c>
      <c r="E1352" s="3"/>
      <c r="F1352" s="3"/>
      <c r="G1352" s="3" t="s">
        <v>13</v>
      </c>
      <c r="H1352" s="3" t="s">
        <v>628</v>
      </c>
    </row>
    <row r="1353" spans="1:8" x14ac:dyDescent="0.35">
      <c r="A1353" s="3" t="s">
        <v>650</v>
      </c>
      <c r="B1353" s="3" t="s">
        <v>20</v>
      </c>
      <c r="C1353" s="3" t="s">
        <v>651</v>
      </c>
      <c r="D1353" s="3" t="s">
        <v>60</v>
      </c>
      <c r="E1353" s="3"/>
      <c r="F1353" s="3"/>
      <c r="G1353" s="3" t="s">
        <v>13</v>
      </c>
      <c r="H1353" s="3" t="s">
        <v>652</v>
      </c>
    </row>
    <row r="1354" spans="1:8" x14ac:dyDescent="0.35">
      <c r="A1354" s="3" t="s">
        <v>650</v>
      </c>
      <c r="B1354" s="3" t="s">
        <v>20</v>
      </c>
      <c r="C1354" s="3" t="s">
        <v>651</v>
      </c>
      <c r="D1354" s="3" t="s">
        <v>27</v>
      </c>
      <c r="E1354" s="3"/>
      <c r="F1354" s="3"/>
      <c r="G1354" s="3" t="s">
        <v>13</v>
      </c>
      <c r="H1354" s="3" t="s">
        <v>652</v>
      </c>
    </row>
    <row r="1355" spans="1:8" x14ac:dyDescent="0.35">
      <c r="A1355" s="3" t="s">
        <v>650</v>
      </c>
      <c r="B1355" s="3" t="s">
        <v>20</v>
      </c>
      <c r="C1355" s="3" t="s">
        <v>651</v>
      </c>
      <c r="D1355" s="3" t="s">
        <v>15</v>
      </c>
      <c r="E1355" s="3" t="s">
        <v>16</v>
      </c>
      <c r="F1355" s="3" t="s">
        <v>653</v>
      </c>
      <c r="G1355" s="3" t="s">
        <v>13</v>
      </c>
      <c r="H1355" s="3" t="s">
        <v>652</v>
      </c>
    </row>
    <row r="1356" spans="1:8" x14ac:dyDescent="0.35">
      <c r="A1356" s="3" t="s">
        <v>650</v>
      </c>
      <c r="B1356" s="3" t="s">
        <v>20</v>
      </c>
      <c r="C1356" s="3" t="s">
        <v>651</v>
      </c>
      <c r="D1356" s="3" t="s">
        <v>26</v>
      </c>
      <c r="E1356" s="3"/>
      <c r="F1356" s="3"/>
      <c r="G1356" s="3" t="s">
        <v>13</v>
      </c>
      <c r="H1356" s="3" t="s">
        <v>652</v>
      </c>
    </row>
    <row r="1357" spans="1:8" x14ac:dyDescent="0.35">
      <c r="A1357" s="3" t="s">
        <v>650</v>
      </c>
      <c r="B1357" s="3" t="s">
        <v>39</v>
      </c>
      <c r="C1357" s="3" t="s">
        <v>654</v>
      </c>
      <c r="D1357" s="3" t="s">
        <v>15</v>
      </c>
      <c r="E1357" s="3" t="s">
        <v>16</v>
      </c>
      <c r="F1357" s="3" t="s">
        <v>655</v>
      </c>
      <c r="G1357" s="3" t="s">
        <v>13</v>
      </c>
      <c r="H1357" s="3" t="s">
        <v>656</v>
      </c>
    </row>
    <row r="1358" spans="1:8" x14ac:dyDescent="0.35">
      <c r="A1358" s="3" t="s">
        <v>650</v>
      </c>
      <c r="B1358" s="3" t="s">
        <v>42</v>
      </c>
      <c r="C1358" s="3" t="s">
        <v>657</v>
      </c>
      <c r="D1358" s="3" t="s">
        <v>12</v>
      </c>
      <c r="E1358" s="3"/>
      <c r="F1358" s="3"/>
      <c r="G1358" s="3" t="s">
        <v>13</v>
      </c>
      <c r="H1358" s="3" t="s">
        <v>656</v>
      </c>
    </row>
    <row r="1359" spans="1:8" x14ac:dyDescent="0.35">
      <c r="A1359" s="3" t="s">
        <v>650</v>
      </c>
      <c r="B1359" s="3" t="s">
        <v>42</v>
      </c>
      <c r="C1359" s="3" t="s">
        <v>657</v>
      </c>
      <c r="D1359" s="3" t="s">
        <v>27</v>
      </c>
      <c r="E1359" s="3"/>
      <c r="F1359" s="3"/>
      <c r="G1359" s="3" t="s">
        <v>13</v>
      </c>
      <c r="H1359" s="3" t="s">
        <v>656</v>
      </c>
    </row>
    <row r="1360" spans="1:8" x14ac:dyDescent="0.35">
      <c r="A1360" s="3" t="s">
        <v>650</v>
      </c>
      <c r="B1360" s="3" t="s">
        <v>42</v>
      </c>
      <c r="C1360" s="3" t="s">
        <v>657</v>
      </c>
      <c r="D1360" s="3" t="s">
        <v>71</v>
      </c>
      <c r="E1360" s="3"/>
      <c r="F1360" s="3"/>
      <c r="G1360" s="3" t="s">
        <v>13</v>
      </c>
      <c r="H1360" s="3" t="s">
        <v>656</v>
      </c>
    </row>
    <row r="1361" spans="1:8" x14ac:dyDescent="0.35">
      <c r="A1361" s="3" t="s">
        <v>650</v>
      </c>
      <c r="B1361" s="3" t="s">
        <v>42</v>
      </c>
      <c r="C1361" s="3" t="s">
        <v>657</v>
      </c>
      <c r="D1361" s="3" t="s">
        <v>44</v>
      </c>
      <c r="E1361" s="3"/>
      <c r="F1361" s="3"/>
      <c r="G1361" s="3" t="s">
        <v>13</v>
      </c>
      <c r="H1361" s="3" t="s">
        <v>656</v>
      </c>
    </row>
    <row r="1362" spans="1:8" x14ac:dyDescent="0.35">
      <c r="A1362" s="3" t="s">
        <v>650</v>
      </c>
      <c r="B1362" s="3" t="s">
        <v>42</v>
      </c>
      <c r="C1362" s="3" t="s">
        <v>657</v>
      </c>
      <c r="D1362" s="3" t="s">
        <v>87</v>
      </c>
      <c r="E1362" s="3"/>
      <c r="F1362" s="3"/>
      <c r="G1362" s="3" t="s">
        <v>13</v>
      </c>
      <c r="H1362" s="3" t="s">
        <v>656</v>
      </c>
    </row>
    <row r="1363" spans="1:8" x14ac:dyDescent="0.35">
      <c r="A1363" s="3" t="s">
        <v>650</v>
      </c>
      <c r="B1363" s="3" t="s">
        <v>42</v>
      </c>
      <c r="C1363" s="3" t="s">
        <v>657</v>
      </c>
      <c r="D1363" s="3" t="s">
        <v>15</v>
      </c>
      <c r="E1363" s="3" t="s">
        <v>13</v>
      </c>
      <c r="F1363" s="3" t="s">
        <v>658</v>
      </c>
      <c r="G1363" s="3" t="s">
        <v>13</v>
      </c>
      <c r="H1363" s="3" t="s">
        <v>656</v>
      </c>
    </row>
    <row r="1364" spans="1:8" x14ac:dyDescent="0.35">
      <c r="A1364" s="3" t="s">
        <v>650</v>
      </c>
      <c r="B1364" s="3" t="s">
        <v>42</v>
      </c>
      <c r="C1364" s="3" t="s">
        <v>657</v>
      </c>
      <c r="D1364" s="3" t="s">
        <v>29</v>
      </c>
      <c r="E1364" s="3"/>
      <c r="F1364" s="3"/>
      <c r="G1364" s="3" t="s">
        <v>13</v>
      </c>
      <c r="H1364" s="3" t="s">
        <v>656</v>
      </c>
    </row>
    <row r="1365" spans="1:8" x14ac:dyDescent="0.35">
      <c r="A1365" s="3" t="s">
        <v>650</v>
      </c>
      <c r="B1365" s="3" t="s">
        <v>42</v>
      </c>
      <c r="C1365" s="3" t="s">
        <v>657</v>
      </c>
      <c r="D1365" s="3" t="s">
        <v>107</v>
      </c>
      <c r="E1365" s="3" t="s">
        <v>13</v>
      </c>
      <c r="F1365" s="3" t="s">
        <v>511</v>
      </c>
      <c r="G1365" s="3" t="s">
        <v>13</v>
      </c>
      <c r="H1365" s="3" t="s">
        <v>656</v>
      </c>
    </row>
    <row r="1366" spans="1:8" x14ac:dyDescent="0.35">
      <c r="A1366" s="3" t="s">
        <v>650</v>
      </c>
      <c r="B1366" s="3" t="s">
        <v>20</v>
      </c>
      <c r="C1366" s="3" t="s">
        <v>659</v>
      </c>
      <c r="D1366" s="3" t="s">
        <v>12</v>
      </c>
      <c r="E1366" s="3"/>
      <c r="F1366" s="3"/>
      <c r="G1366" s="3" t="s">
        <v>13</v>
      </c>
      <c r="H1366" s="3" t="s">
        <v>652</v>
      </c>
    </row>
    <row r="1367" spans="1:8" x14ac:dyDescent="0.35">
      <c r="A1367" s="3" t="s">
        <v>650</v>
      </c>
      <c r="B1367" s="3" t="s">
        <v>20</v>
      </c>
      <c r="C1367" s="3" t="s">
        <v>659</v>
      </c>
      <c r="D1367" s="3" t="s">
        <v>47</v>
      </c>
      <c r="E1367" s="3"/>
      <c r="F1367" s="3"/>
      <c r="G1367" s="3" t="s">
        <v>13</v>
      </c>
      <c r="H1367" s="3" t="s">
        <v>652</v>
      </c>
    </row>
    <row r="1368" spans="1:8" x14ac:dyDescent="0.35">
      <c r="A1368" s="3" t="s">
        <v>650</v>
      </c>
      <c r="B1368" s="3" t="s">
        <v>20</v>
      </c>
      <c r="C1368" s="3" t="s">
        <v>659</v>
      </c>
      <c r="D1368" s="3" t="s">
        <v>15</v>
      </c>
      <c r="E1368" s="3" t="s">
        <v>16</v>
      </c>
      <c r="F1368" s="3" t="s">
        <v>2876</v>
      </c>
      <c r="G1368" s="3" t="s">
        <v>13</v>
      </c>
      <c r="H1368" s="3" t="s">
        <v>652</v>
      </c>
    </row>
    <row r="1369" spans="1:8" x14ac:dyDescent="0.35">
      <c r="A1369" s="3" t="s">
        <v>650</v>
      </c>
      <c r="B1369" s="3" t="s">
        <v>20</v>
      </c>
      <c r="C1369" s="3" t="s">
        <v>659</v>
      </c>
      <c r="D1369" s="3" t="s">
        <v>32</v>
      </c>
      <c r="E1369" s="3" t="s">
        <v>13</v>
      </c>
      <c r="F1369" s="3" t="s">
        <v>660</v>
      </c>
      <c r="G1369" s="3" t="s">
        <v>13</v>
      </c>
      <c r="H1369" s="3" t="s">
        <v>652</v>
      </c>
    </row>
    <row r="1370" spans="1:8" x14ac:dyDescent="0.35">
      <c r="A1370" s="3" t="s">
        <v>650</v>
      </c>
      <c r="B1370" s="3" t="s">
        <v>20</v>
      </c>
      <c r="C1370" s="3" t="s">
        <v>659</v>
      </c>
      <c r="D1370" s="3" t="s">
        <v>26</v>
      </c>
      <c r="E1370" s="3"/>
      <c r="F1370" s="3"/>
      <c r="G1370" s="3" t="s">
        <v>13</v>
      </c>
      <c r="H1370" s="3" t="s">
        <v>652</v>
      </c>
    </row>
    <row r="1371" spans="1:8" x14ac:dyDescent="0.35">
      <c r="A1371" s="3" t="s">
        <v>650</v>
      </c>
      <c r="B1371" s="3" t="s">
        <v>20</v>
      </c>
      <c r="C1371" s="3" t="s">
        <v>659</v>
      </c>
      <c r="D1371" s="3" t="s">
        <v>134</v>
      </c>
      <c r="E1371" s="3" t="s">
        <v>13</v>
      </c>
      <c r="F1371" s="3" t="s">
        <v>660</v>
      </c>
      <c r="G1371" s="3" t="s">
        <v>13</v>
      </c>
      <c r="H1371" s="3" t="s">
        <v>652</v>
      </c>
    </row>
    <row r="1372" spans="1:8" x14ac:dyDescent="0.35">
      <c r="A1372" s="3" t="s">
        <v>650</v>
      </c>
      <c r="B1372" s="3" t="s">
        <v>39</v>
      </c>
      <c r="C1372" s="3" t="s">
        <v>661</v>
      </c>
      <c r="D1372" s="3" t="s">
        <v>60</v>
      </c>
      <c r="E1372" s="3"/>
      <c r="F1372" s="3"/>
      <c r="G1372" s="3" t="s">
        <v>13</v>
      </c>
      <c r="H1372" s="3" t="s">
        <v>652</v>
      </c>
    </row>
    <row r="1373" spans="1:8" x14ac:dyDescent="0.35">
      <c r="A1373" s="3" t="s">
        <v>650</v>
      </c>
      <c r="B1373" s="3" t="s">
        <v>39</v>
      </c>
      <c r="C1373" s="3" t="s">
        <v>661</v>
      </c>
      <c r="D1373" s="3" t="s">
        <v>87</v>
      </c>
      <c r="E1373" s="3" t="s">
        <v>13</v>
      </c>
      <c r="F1373" s="3" t="s">
        <v>662</v>
      </c>
      <c r="G1373" s="3" t="s">
        <v>13</v>
      </c>
      <c r="H1373" s="3" t="s">
        <v>652</v>
      </c>
    </row>
    <row r="1374" spans="1:8" x14ac:dyDescent="0.35">
      <c r="A1374" s="3" t="s">
        <v>650</v>
      </c>
      <c r="B1374" s="3" t="s">
        <v>39</v>
      </c>
      <c r="C1374" s="3" t="s">
        <v>661</v>
      </c>
      <c r="D1374" s="3" t="s">
        <v>15</v>
      </c>
      <c r="E1374" s="3" t="s">
        <v>13</v>
      </c>
      <c r="F1374" s="3" t="s">
        <v>535</v>
      </c>
      <c r="G1374" s="3" t="s">
        <v>13</v>
      </c>
      <c r="H1374" s="3" t="s">
        <v>652</v>
      </c>
    </row>
    <row r="1375" spans="1:8" x14ac:dyDescent="0.35">
      <c r="A1375" s="3" t="s">
        <v>650</v>
      </c>
      <c r="B1375" s="3" t="s">
        <v>39</v>
      </c>
      <c r="C1375" s="3" t="s">
        <v>663</v>
      </c>
      <c r="D1375" s="3" t="s">
        <v>27</v>
      </c>
      <c r="E1375" s="3" t="s">
        <v>16</v>
      </c>
      <c r="F1375" s="3" t="s">
        <v>664</v>
      </c>
      <c r="G1375" s="3" t="s">
        <v>13</v>
      </c>
      <c r="H1375" s="3" t="s">
        <v>652</v>
      </c>
    </row>
    <row r="1376" spans="1:8" x14ac:dyDescent="0.35">
      <c r="A1376" s="3" t="s">
        <v>650</v>
      </c>
      <c r="B1376" s="3" t="s">
        <v>39</v>
      </c>
      <c r="C1376" s="3" t="s">
        <v>663</v>
      </c>
      <c r="D1376" s="3" t="s">
        <v>15</v>
      </c>
      <c r="E1376" s="3" t="s">
        <v>16</v>
      </c>
      <c r="F1376" s="3" t="s">
        <v>664</v>
      </c>
      <c r="G1376" s="3" t="s">
        <v>13</v>
      </c>
      <c r="H1376" s="3" t="s">
        <v>652</v>
      </c>
    </row>
    <row r="1377" spans="1:8" x14ac:dyDescent="0.35">
      <c r="A1377" s="3" t="s">
        <v>650</v>
      </c>
      <c r="B1377" s="3" t="s">
        <v>39</v>
      </c>
      <c r="C1377" s="3" t="s">
        <v>663</v>
      </c>
      <c r="D1377" s="3" t="s">
        <v>89</v>
      </c>
      <c r="E1377" s="3" t="s">
        <v>16</v>
      </c>
      <c r="F1377" s="3" t="s">
        <v>664</v>
      </c>
      <c r="G1377" s="3" t="s">
        <v>13</v>
      </c>
      <c r="H1377" s="3" t="s">
        <v>652</v>
      </c>
    </row>
    <row r="1378" spans="1:8" x14ac:dyDescent="0.35">
      <c r="A1378" s="3" t="s">
        <v>650</v>
      </c>
      <c r="B1378" s="3" t="s">
        <v>39</v>
      </c>
      <c r="C1378" s="3" t="s">
        <v>663</v>
      </c>
      <c r="D1378" s="3" t="s">
        <v>32</v>
      </c>
      <c r="E1378" s="3" t="s">
        <v>16</v>
      </c>
      <c r="F1378" s="3" t="s">
        <v>2479</v>
      </c>
      <c r="G1378" s="3" t="s">
        <v>13</v>
      </c>
      <c r="H1378" s="3" t="s">
        <v>652</v>
      </c>
    </row>
    <row r="1379" spans="1:8" x14ac:dyDescent="0.35">
      <c r="A1379" s="3" t="s">
        <v>665</v>
      </c>
      <c r="B1379" s="3" t="s">
        <v>45</v>
      </c>
      <c r="C1379" s="3" t="s">
        <v>666</v>
      </c>
      <c r="D1379" s="3" t="s">
        <v>15</v>
      </c>
      <c r="E1379" s="3" t="s">
        <v>16</v>
      </c>
      <c r="F1379" s="3" t="s">
        <v>668</v>
      </c>
      <c r="G1379" s="3"/>
      <c r="H1379" s="3"/>
    </row>
    <row r="1380" spans="1:8" x14ac:dyDescent="0.35">
      <c r="A1380" s="3" t="s">
        <v>665</v>
      </c>
      <c r="B1380" s="3" t="s">
        <v>45</v>
      </c>
      <c r="C1380" s="3" t="s">
        <v>666</v>
      </c>
      <c r="D1380" s="3" t="s">
        <v>56</v>
      </c>
      <c r="E1380" s="3"/>
      <c r="F1380" s="3" t="s">
        <v>667</v>
      </c>
      <c r="G1380" s="3"/>
      <c r="H1380" s="3"/>
    </row>
    <row r="1381" spans="1:8" x14ac:dyDescent="0.35">
      <c r="A1381" s="3" t="s">
        <v>665</v>
      </c>
      <c r="B1381" s="3" t="s">
        <v>45</v>
      </c>
      <c r="C1381" s="3" t="s">
        <v>2534</v>
      </c>
      <c r="D1381" s="3" t="s">
        <v>25</v>
      </c>
      <c r="E1381" s="3"/>
      <c r="F1381" s="3"/>
      <c r="G1381" s="3"/>
      <c r="H1381" s="3"/>
    </row>
    <row r="1382" spans="1:8" x14ac:dyDescent="0.35">
      <c r="A1382" s="3" t="s">
        <v>665</v>
      </c>
      <c r="B1382" s="3" t="s">
        <v>45</v>
      </c>
      <c r="C1382" s="3" t="s">
        <v>2534</v>
      </c>
      <c r="D1382" s="3" t="s">
        <v>56</v>
      </c>
      <c r="E1382" s="3" t="s">
        <v>13</v>
      </c>
      <c r="F1382" s="3" t="s">
        <v>769</v>
      </c>
      <c r="G1382" s="3"/>
      <c r="H1382" s="3"/>
    </row>
    <row r="1383" spans="1:8" x14ac:dyDescent="0.35">
      <c r="A1383" s="3" t="s">
        <v>665</v>
      </c>
      <c r="B1383" s="3" t="s">
        <v>45</v>
      </c>
      <c r="C1383" s="3" t="s">
        <v>2534</v>
      </c>
      <c r="D1383" s="3" t="s">
        <v>24</v>
      </c>
      <c r="E1383" s="3"/>
      <c r="F1383" s="3"/>
      <c r="G1383" s="3"/>
      <c r="H1383" s="3"/>
    </row>
    <row r="1384" spans="1:8" x14ac:dyDescent="0.35">
      <c r="A1384" s="3" t="s">
        <v>665</v>
      </c>
      <c r="B1384" s="3" t="s">
        <v>45</v>
      </c>
      <c r="C1384" s="3" t="s">
        <v>669</v>
      </c>
      <c r="D1384" s="3" t="s">
        <v>77</v>
      </c>
      <c r="E1384" s="3"/>
      <c r="F1384" s="3"/>
      <c r="G1384" s="3"/>
      <c r="H1384" s="3"/>
    </row>
    <row r="1385" spans="1:8" x14ac:dyDescent="0.35">
      <c r="A1385" s="3" t="s">
        <v>665</v>
      </c>
      <c r="B1385" s="3" t="s">
        <v>10</v>
      </c>
      <c r="C1385" s="3" t="s">
        <v>670</v>
      </c>
      <c r="D1385" s="3" t="s">
        <v>47</v>
      </c>
      <c r="E1385" s="3"/>
      <c r="F1385" s="3"/>
      <c r="G1385" s="3"/>
      <c r="H1385" s="3"/>
    </row>
    <row r="1386" spans="1:8" x14ac:dyDescent="0.35">
      <c r="A1386" s="3" t="s">
        <v>665</v>
      </c>
      <c r="B1386" s="3" t="s">
        <v>10</v>
      </c>
      <c r="C1386" s="3" t="s">
        <v>670</v>
      </c>
      <c r="D1386" s="3" t="s">
        <v>185</v>
      </c>
      <c r="E1386" s="3"/>
      <c r="F1386" s="3"/>
      <c r="G1386" s="3"/>
      <c r="H1386" s="3"/>
    </row>
    <row r="1387" spans="1:8" x14ac:dyDescent="0.35">
      <c r="A1387" s="3" t="s">
        <v>665</v>
      </c>
      <c r="B1387" s="3" t="s">
        <v>10</v>
      </c>
      <c r="C1387" s="3" t="s">
        <v>670</v>
      </c>
      <c r="D1387" s="3" t="s">
        <v>15</v>
      </c>
      <c r="E1387" s="3" t="s">
        <v>13</v>
      </c>
      <c r="F1387" s="3" t="s">
        <v>671</v>
      </c>
      <c r="G1387" s="3"/>
      <c r="H1387" s="3"/>
    </row>
    <row r="1388" spans="1:8" x14ac:dyDescent="0.35">
      <c r="A1388" s="3" t="s">
        <v>665</v>
      </c>
      <c r="B1388" s="3" t="s">
        <v>10</v>
      </c>
      <c r="C1388" s="3" t="s">
        <v>670</v>
      </c>
      <c r="D1388" s="3" t="s">
        <v>29</v>
      </c>
      <c r="E1388" s="3" t="s">
        <v>13</v>
      </c>
      <c r="F1388" s="3" t="s">
        <v>2292</v>
      </c>
      <c r="G1388" s="3"/>
      <c r="H1388" s="3"/>
    </row>
    <row r="1389" spans="1:8" x14ac:dyDescent="0.35">
      <c r="A1389" s="3" t="s">
        <v>665</v>
      </c>
      <c r="B1389" s="3" t="s">
        <v>10</v>
      </c>
      <c r="C1389" s="3" t="s">
        <v>672</v>
      </c>
      <c r="D1389" s="3" t="s">
        <v>28</v>
      </c>
      <c r="E1389" s="3"/>
      <c r="F1389" s="3"/>
      <c r="G1389" s="3"/>
      <c r="H1389" s="3"/>
    </row>
    <row r="1390" spans="1:8" x14ac:dyDescent="0.35">
      <c r="A1390" s="3" t="s">
        <v>665</v>
      </c>
      <c r="B1390" s="3" t="s">
        <v>10</v>
      </c>
      <c r="C1390" s="3" t="s">
        <v>672</v>
      </c>
      <c r="D1390" s="3" t="s">
        <v>15</v>
      </c>
      <c r="E1390" s="3" t="s">
        <v>13</v>
      </c>
      <c r="F1390" s="3" t="s">
        <v>673</v>
      </c>
      <c r="G1390" s="3"/>
      <c r="H1390" s="3"/>
    </row>
    <row r="1391" spans="1:8" x14ac:dyDescent="0.35">
      <c r="A1391" s="3" t="s">
        <v>665</v>
      </c>
      <c r="B1391" s="3" t="s">
        <v>10</v>
      </c>
      <c r="C1391" s="3" t="s">
        <v>672</v>
      </c>
      <c r="D1391" s="3" t="s">
        <v>29</v>
      </c>
      <c r="E1391" s="3"/>
      <c r="F1391" s="3" t="s">
        <v>2294</v>
      </c>
      <c r="G1391" s="3"/>
      <c r="H1391" s="3"/>
    </row>
    <row r="1392" spans="1:8" x14ac:dyDescent="0.35">
      <c r="A1392" s="3" t="s">
        <v>665</v>
      </c>
      <c r="B1392" s="3" t="s">
        <v>10</v>
      </c>
      <c r="C1392" s="3" t="s">
        <v>672</v>
      </c>
      <c r="D1392" s="3" t="s">
        <v>134</v>
      </c>
      <c r="E1392" s="3" t="s">
        <v>13</v>
      </c>
      <c r="F1392" s="3" t="s">
        <v>674</v>
      </c>
      <c r="G1392" s="3"/>
      <c r="H1392" s="3"/>
    </row>
    <row r="1393" spans="1:8" x14ac:dyDescent="0.35">
      <c r="A1393" s="3" t="s">
        <v>665</v>
      </c>
      <c r="B1393" s="3" t="s">
        <v>10</v>
      </c>
      <c r="C1393" s="3" t="s">
        <v>672</v>
      </c>
      <c r="D1393" s="3" t="s">
        <v>107</v>
      </c>
      <c r="E1393" s="3" t="s">
        <v>13</v>
      </c>
      <c r="F1393" s="3" t="s">
        <v>675</v>
      </c>
      <c r="G1393" s="3"/>
      <c r="H1393" s="3"/>
    </row>
    <row r="1394" spans="1:8" x14ac:dyDescent="0.35">
      <c r="A1394" s="3" t="s">
        <v>665</v>
      </c>
      <c r="B1394" s="3" t="s">
        <v>42</v>
      </c>
      <c r="C1394" s="3" t="s">
        <v>676</v>
      </c>
      <c r="D1394" s="3" t="s">
        <v>12</v>
      </c>
      <c r="E1394" s="3"/>
      <c r="F1394" s="3"/>
      <c r="G1394" s="3"/>
      <c r="H1394" s="3"/>
    </row>
    <row r="1395" spans="1:8" x14ac:dyDescent="0.35">
      <c r="A1395" s="3" t="s">
        <v>665</v>
      </c>
      <c r="B1395" s="3" t="s">
        <v>42</v>
      </c>
      <c r="C1395" s="3" t="s">
        <v>676</v>
      </c>
      <c r="D1395" s="3" t="s">
        <v>36</v>
      </c>
      <c r="E1395" s="3"/>
      <c r="F1395" s="3"/>
      <c r="G1395" s="3"/>
      <c r="H1395" s="3"/>
    </row>
    <row r="1396" spans="1:8" x14ac:dyDescent="0.35">
      <c r="A1396" s="3" t="s">
        <v>665</v>
      </c>
      <c r="B1396" s="3" t="s">
        <v>42</v>
      </c>
      <c r="C1396" s="3" t="s">
        <v>676</v>
      </c>
      <c r="D1396" s="3" t="s">
        <v>25</v>
      </c>
      <c r="E1396" s="3"/>
      <c r="F1396" s="3"/>
      <c r="G1396" s="3"/>
      <c r="H1396" s="3"/>
    </row>
    <row r="1397" spans="1:8" x14ac:dyDescent="0.35">
      <c r="A1397" s="3" t="s">
        <v>665</v>
      </c>
      <c r="B1397" s="3" t="s">
        <v>42</v>
      </c>
      <c r="C1397" s="3" t="s">
        <v>676</v>
      </c>
      <c r="D1397" s="3" t="s">
        <v>141</v>
      </c>
      <c r="E1397" s="3"/>
      <c r="F1397" s="3"/>
      <c r="G1397" s="3"/>
      <c r="H1397" s="3"/>
    </row>
    <row r="1398" spans="1:8" x14ac:dyDescent="0.35">
      <c r="A1398" s="3" t="s">
        <v>665</v>
      </c>
      <c r="B1398" s="3" t="s">
        <v>42</v>
      </c>
      <c r="C1398" s="3" t="s">
        <v>676</v>
      </c>
      <c r="D1398" s="3" t="s">
        <v>142</v>
      </c>
      <c r="E1398" s="3"/>
      <c r="F1398" s="3"/>
      <c r="G1398" s="3"/>
      <c r="H1398" s="3"/>
    </row>
    <row r="1399" spans="1:8" x14ac:dyDescent="0.35">
      <c r="A1399" s="3" t="s">
        <v>665</v>
      </c>
      <c r="B1399" s="3" t="s">
        <v>42</v>
      </c>
      <c r="C1399" s="3" t="s">
        <v>676</v>
      </c>
      <c r="D1399" s="3" t="s">
        <v>44</v>
      </c>
      <c r="E1399" s="3"/>
      <c r="F1399" s="3"/>
      <c r="G1399" s="3"/>
      <c r="H1399" s="3"/>
    </row>
    <row r="1400" spans="1:8" x14ac:dyDescent="0.35">
      <c r="A1400" s="3" t="s">
        <v>665</v>
      </c>
      <c r="B1400" s="3" t="s">
        <v>42</v>
      </c>
      <c r="C1400" s="3" t="s">
        <v>676</v>
      </c>
      <c r="D1400" s="3" t="s">
        <v>31</v>
      </c>
      <c r="E1400" s="3"/>
      <c r="F1400" s="3"/>
      <c r="G1400" s="3"/>
      <c r="H1400" s="3"/>
    </row>
    <row r="1401" spans="1:8" x14ac:dyDescent="0.35">
      <c r="A1401" s="3" t="s">
        <v>665</v>
      </c>
      <c r="B1401" s="3" t="s">
        <v>42</v>
      </c>
      <c r="C1401" s="3" t="s">
        <v>676</v>
      </c>
      <c r="D1401" s="3" t="s">
        <v>15</v>
      </c>
      <c r="E1401" s="3" t="s">
        <v>13</v>
      </c>
      <c r="F1401" s="3" t="s">
        <v>677</v>
      </c>
      <c r="G1401" s="3"/>
      <c r="H1401" s="3"/>
    </row>
    <row r="1402" spans="1:8" x14ac:dyDescent="0.35">
      <c r="A1402" s="3" t="s">
        <v>665</v>
      </c>
      <c r="B1402" s="3" t="s">
        <v>42</v>
      </c>
      <c r="C1402" s="3" t="s">
        <v>676</v>
      </c>
      <c r="D1402" s="3" t="s">
        <v>56</v>
      </c>
      <c r="E1402" s="3" t="s">
        <v>16</v>
      </c>
      <c r="F1402" s="3" t="s">
        <v>678</v>
      </c>
      <c r="G1402" s="3"/>
      <c r="H1402" s="3"/>
    </row>
    <row r="1403" spans="1:8" x14ac:dyDescent="0.35">
      <c r="A1403" s="3" t="s">
        <v>665</v>
      </c>
      <c r="B1403" s="3" t="s">
        <v>42</v>
      </c>
      <c r="C1403" s="3" t="s">
        <v>676</v>
      </c>
      <c r="D1403" s="3" t="s">
        <v>32</v>
      </c>
      <c r="E1403" s="3"/>
      <c r="F1403" s="3" t="s">
        <v>2293</v>
      </c>
      <c r="G1403" s="3"/>
      <c r="H1403" s="3"/>
    </row>
    <row r="1404" spans="1:8" x14ac:dyDescent="0.35">
      <c r="A1404" s="3" t="s">
        <v>665</v>
      </c>
      <c r="B1404" s="3" t="s">
        <v>42</v>
      </c>
      <c r="C1404" s="3" t="s">
        <v>676</v>
      </c>
      <c r="D1404" s="3" t="s">
        <v>29</v>
      </c>
      <c r="E1404" s="3" t="s">
        <v>13</v>
      </c>
      <c r="F1404" s="3" t="s">
        <v>148</v>
      </c>
      <c r="G1404" s="3"/>
      <c r="H1404" s="3"/>
    </row>
    <row r="1405" spans="1:8" x14ac:dyDescent="0.35">
      <c r="A1405" s="3" t="s">
        <v>665</v>
      </c>
      <c r="B1405" s="3" t="s">
        <v>42</v>
      </c>
      <c r="C1405" s="3" t="s">
        <v>676</v>
      </c>
      <c r="D1405" s="3" t="s">
        <v>24</v>
      </c>
      <c r="E1405" s="3"/>
      <c r="F1405" s="3"/>
      <c r="G1405" s="3"/>
      <c r="H1405" s="3"/>
    </row>
    <row r="1406" spans="1:8" x14ac:dyDescent="0.35">
      <c r="A1406" s="3" t="s">
        <v>665</v>
      </c>
      <c r="B1406" s="3" t="s">
        <v>42</v>
      </c>
      <c r="C1406" s="3" t="s">
        <v>676</v>
      </c>
      <c r="D1406" s="3" t="s">
        <v>134</v>
      </c>
      <c r="E1406" s="3" t="s">
        <v>13</v>
      </c>
      <c r="F1406" s="3" t="s">
        <v>679</v>
      </c>
      <c r="G1406" s="3"/>
      <c r="H1406" s="3"/>
    </row>
    <row r="1407" spans="1:8" x14ac:dyDescent="0.35">
      <c r="A1407" s="3" t="s">
        <v>665</v>
      </c>
      <c r="B1407" s="3" t="s">
        <v>42</v>
      </c>
      <c r="C1407" s="3" t="s">
        <v>676</v>
      </c>
      <c r="D1407" s="3" t="s">
        <v>107</v>
      </c>
      <c r="E1407" s="3" t="s">
        <v>13</v>
      </c>
      <c r="F1407" s="3" t="s">
        <v>511</v>
      </c>
      <c r="G1407" s="3"/>
      <c r="H1407" s="3"/>
    </row>
    <row r="1408" spans="1:8" x14ac:dyDescent="0.35">
      <c r="A1408" s="3" t="s">
        <v>665</v>
      </c>
      <c r="B1408" s="3" t="s">
        <v>10</v>
      </c>
      <c r="C1408" s="3" t="s">
        <v>681</v>
      </c>
      <c r="D1408" s="3" t="s">
        <v>25</v>
      </c>
      <c r="E1408" s="3"/>
      <c r="F1408" s="3"/>
      <c r="G1408" s="3"/>
      <c r="H1408" s="3"/>
    </row>
    <row r="1409" spans="1:8" x14ac:dyDescent="0.35">
      <c r="A1409" s="3" t="s">
        <v>665</v>
      </c>
      <c r="B1409" s="3" t="s">
        <v>10</v>
      </c>
      <c r="C1409" s="3" t="s">
        <v>681</v>
      </c>
      <c r="D1409" s="3" t="s">
        <v>142</v>
      </c>
      <c r="E1409" s="3"/>
      <c r="F1409" s="3"/>
      <c r="G1409" s="3"/>
      <c r="H1409" s="3"/>
    </row>
    <row r="1410" spans="1:8" x14ac:dyDescent="0.35">
      <c r="A1410" s="3" t="s">
        <v>665</v>
      </c>
      <c r="B1410" s="3" t="s">
        <v>10</v>
      </c>
      <c r="C1410" s="3" t="s">
        <v>681</v>
      </c>
      <c r="D1410" s="3" t="s">
        <v>62</v>
      </c>
      <c r="E1410" s="3"/>
      <c r="F1410" s="3"/>
      <c r="G1410" s="3"/>
      <c r="H1410" s="3"/>
    </row>
    <row r="1411" spans="1:8" x14ac:dyDescent="0.35">
      <c r="A1411" s="3" t="s">
        <v>665</v>
      </c>
      <c r="B1411" s="3" t="s">
        <v>45</v>
      </c>
      <c r="C1411" s="3" t="s">
        <v>682</v>
      </c>
      <c r="D1411" s="3" t="s">
        <v>77</v>
      </c>
      <c r="E1411" s="3"/>
      <c r="F1411" s="3"/>
      <c r="G1411" s="3"/>
      <c r="H1411" s="3"/>
    </row>
    <row r="1412" spans="1:8" x14ac:dyDescent="0.35">
      <c r="A1412" s="3" t="s">
        <v>665</v>
      </c>
      <c r="B1412" s="3" t="s">
        <v>45</v>
      </c>
      <c r="C1412" s="3" t="s">
        <v>683</v>
      </c>
      <c r="D1412" s="3" t="s">
        <v>77</v>
      </c>
      <c r="E1412" s="3"/>
      <c r="F1412" s="3"/>
      <c r="G1412" s="3"/>
      <c r="H1412" s="3"/>
    </row>
    <row r="1413" spans="1:8" x14ac:dyDescent="0.35">
      <c r="A1413" s="3" t="s">
        <v>665</v>
      </c>
      <c r="B1413" s="3" t="s">
        <v>45</v>
      </c>
      <c r="C1413" s="3" t="s">
        <v>684</v>
      </c>
      <c r="D1413" s="3" t="s">
        <v>77</v>
      </c>
      <c r="E1413" s="3"/>
      <c r="F1413" s="3"/>
      <c r="G1413" s="3"/>
      <c r="H1413" s="3"/>
    </row>
    <row r="1414" spans="1:8" x14ac:dyDescent="0.35">
      <c r="A1414" s="3" t="s">
        <v>665</v>
      </c>
      <c r="B1414" s="3" t="s">
        <v>10</v>
      </c>
      <c r="C1414" s="3" t="s">
        <v>685</v>
      </c>
      <c r="D1414" s="3" t="s">
        <v>47</v>
      </c>
      <c r="E1414" s="3" t="s">
        <v>33</v>
      </c>
      <c r="F1414" s="3" t="s">
        <v>686</v>
      </c>
      <c r="G1414" s="3"/>
      <c r="H1414" s="3"/>
    </row>
    <row r="1415" spans="1:8" x14ac:dyDescent="0.35">
      <c r="A1415" s="3" t="s">
        <v>665</v>
      </c>
      <c r="B1415" s="3" t="s">
        <v>10</v>
      </c>
      <c r="C1415" s="3" t="s">
        <v>685</v>
      </c>
      <c r="D1415" s="3" t="s">
        <v>15</v>
      </c>
      <c r="E1415" s="3" t="s">
        <v>33</v>
      </c>
      <c r="F1415" s="3" t="s">
        <v>686</v>
      </c>
      <c r="G1415" s="3"/>
      <c r="H1415" s="3"/>
    </row>
    <row r="1416" spans="1:8" x14ac:dyDescent="0.35">
      <c r="A1416" s="3" t="s">
        <v>665</v>
      </c>
      <c r="B1416" s="3" t="s">
        <v>10</v>
      </c>
      <c r="C1416" s="3" t="s">
        <v>685</v>
      </c>
      <c r="D1416" s="3" t="s">
        <v>29</v>
      </c>
      <c r="E1416" s="3" t="s">
        <v>33</v>
      </c>
      <c r="F1416" s="3" t="s">
        <v>686</v>
      </c>
      <c r="G1416" s="3"/>
      <c r="H1416" s="3"/>
    </row>
    <row r="1417" spans="1:8" x14ac:dyDescent="0.35">
      <c r="A1417" s="3" t="s">
        <v>665</v>
      </c>
      <c r="B1417" s="3" t="s">
        <v>10</v>
      </c>
      <c r="C1417" s="3" t="s">
        <v>687</v>
      </c>
      <c r="D1417" s="3" t="s">
        <v>47</v>
      </c>
      <c r="E1417" s="3"/>
      <c r="F1417" s="3"/>
      <c r="G1417" s="3"/>
      <c r="H1417" s="3"/>
    </row>
    <row r="1418" spans="1:8" x14ac:dyDescent="0.35">
      <c r="A1418" s="3" t="s">
        <v>665</v>
      </c>
      <c r="B1418" s="3" t="s">
        <v>10</v>
      </c>
      <c r="C1418" s="3" t="s">
        <v>687</v>
      </c>
      <c r="D1418" s="3" t="s">
        <v>28</v>
      </c>
      <c r="E1418" s="3"/>
      <c r="F1418" s="3" t="s">
        <v>2678</v>
      </c>
      <c r="G1418" s="3"/>
      <c r="H1418" s="3"/>
    </row>
    <row r="1419" spans="1:8" x14ac:dyDescent="0.35">
      <c r="A1419" s="3" t="s">
        <v>665</v>
      </c>
      <c r="B1419" s="3" t="s">
        <v>10</v>
      </c>
      <c r="C1419" s="3" t="s">
        <v>687</v>
      </c>
      <c r="D1419" s="3" t="s">
        <v>15</v>
      </c>
      <c r="E1419" s="3" t="s">
        <v>13</v>
      </c>
      <c r="F1419" s="3" t="s">
        <v>688</v>
      </c>
      <c r="G1419" s="3"/>
      <c r="H1419" s="3"/>
    </row>
    <row r="1420" spans="1:8" x14ac:dyDescent="0.35">
      <c r="A1420" s="3" t="s">
        <v>665</v>
      </c>
      <c r="B1420" s="3" t="s">
        <v>45</v>
      </c>
      <c r="C1420" s="3" t="s">
        <v>689</v>
      </c>
      <c r="D1420" s="3" t="s">
        <v>77</v>
      </c>
      <c r="E1420" s="3"/>
      <c r="F1420" s="3"/>
      <c r="G1420" s="3"/>
      <c r="H1420" s="3"/>
    </row>
    <row r="1421" spans="1:8" x14ac:dyDescent="0.35">
      <c r="A1421" s="3" t="s">
        <v>665</v>
      </c>
      <c r="B1421" s="3" t="s">
        <v>10</v>
      </c>
      <c r="C1421" s="3" t="s">
        <v>690</v>
      </c>
      <c r="D1421" s="3" t="s">
        <v>47</v>
      </c>
      <c r="E1421" s="3"/>
      <c r="F1421" s="3"/>
      <c r="G1421" s="3"/>
      <c r="H1421" s="3"/>
    </row>
    <row r="1422" spans="1:8" x14ac:dyDescent="0.35">
      <c r="A1422" s="3" t="s">
        <v>665</v>
      </c>
      <c r="B1422" s="3" t="s">
        <v>10</v>
      </c>
      <c r="C1422" s="3" t="s">
        <v>690</v>
      </c>
      <c r="D1422" s="3" t="s">
        <v>15</v>
      </c>
      <c r="E1422" s="3" t="s">
        <v>13</v>
      </c>
      <c r="F1422" s="3" t="s">
        <v>691</v>
      </c>
      <c r="G1422" s="3"/>
      <c r="H1422" s="3"/>
    </row>
    <row r="1423" spans="1:8" x14ac:dyDescent="0.35">
      <c r="A1423" s="3" t="s">
        <v>665</v>
      </c>
      <c r="B1423" s="3" t="s">
        <v>10</v>
      </c>
      <c r="C1423" s="3" t="s">
        <v>690</v>
      </c>
      <c r="D1423" s="3" t="s">
        <v>107</v>
      </c>
      <c r="E1423" s="3" t="s">
        <v>13</v>
      </c>
      <c r="F1423" s="3" t="s">
        <v>511</v>
      </c>
      <c r="G1423" s="3"/>
      <c r="H1423" s="3"/>
    </row>
    <row r="1424" spans="1:8" x14ac:dyDescent="0.35">
      <c r="A1424" s="3" t="s">
        <v>665</v>
      </c>
      <c r="B1424" s="3" t="s">
        <v>45</v>
      </c>
      <c r="C1424" s="3" t="s">
        <v>2882</v>
      </c>
      <c r="D1424" s="3" t="s">
        <v>87</v>
      </c>
      <c r="E1424" s="3"/>
      <c r="F1424" s="3"/>
      <c r="G1424" s="3"/>
      <c r="H1424" s="3"/>
    </row>
    <row r="1425" spans="1:8" x14ac:dyDescent="0.35">
      <c r="A1425" s="3" t="s">
        <v>665</v>
      </c>
      <c r="B1425" s="3" t="s">
        <v>45</v>
      </c>
      <c r="C1425" s="3" t="s">
        <v>2882</v>
      </c>
      <c r="D1425" s="3" t="s">
        <v>56</v>
      </c>
      <c r="E1425" s="3" t="s">
        <v>16</v>
      </c>
      <c r="F1425" s="3" t="s">
        <v>2883</v>
      </c>
      <c r="G1425" s="3"/>
      <c r="H1425" s="3"/>
    </row>
    <row r="1426" spans="1:8" x14ac:dyDescent="0.35">
      <c r="A1426" s="3" t="s">
        <v>665</v>
      </c>
      <c r="B1426" s="3" t="s">
        <v>10</v>
      </c>
      <c r="C1426" s="3" t="s">
        <v>692</v>
      </c>
      <c r="D1426" s="3" t="s">
        <v>15</v>
      </c>
      <c r="E1426" s="3" t="s">
        <v>13</v>
      </c>
      <c r="F1426" s="3" t="s">
        <v>693</v>
      </c>
      <c r="G1426" s="3"/>
      <c r="H1426" s="3"/>
    </row>
    <row r="1427" spans="1:8" x14ac:dyDescent="0.35">
      <c r="A1427" s="3" t="s">
        <v>665</v>
      </c>
      <c r="B1427" s="3" t="s">
        <v>10</v>
      </c>
      <c r="C1427" s="3" t="s">
        <v>694</v>
      </c>
      <c r="D1427" s="3" t="s">
        <v>47</v>
      </c>
      <c r="E1427" s="3"/>
      <c r="F1427" s="3"/>
      <c r="G1427" s="3"/>
      <c r="H1427" s="3"/>
    </row>
    <row r="1428" spans="1:8" x14ac:dyDescent="0.35">
      <c r="A1428" s="3" t="s">
        <v>665</v>
      </c>
      <c r="B1428" s="3" t="s">
        <v>10</v>
      </c>
      <c r="C1428" s="3" t="s">
        <v>694</v>
      </c>
      <c r="D1428" s="3" t="s">
        <v>15</v>
      </c>
      <c r="E1428" s="3" t="s">
        <v>13</v>
      </c>
      <c r="F1428" s="3" t="s">
        <v>695</v>
      </c>
      <c r="G1428" s="3"/>
      <c r="H1428" s="3"/>
    </row>
    <row r="1429" spans="1:8" x14ac:dyDescent="0.35">
      <c r="A1429" s="3" t="s">
        <v>665</v>
      </c>
      <c r="B1429" s="3" t="s">
        <v>45</v>
      </c>
      <c r="C1429" s="3" t="s">
        <v>696</v>
      </c>
      <c r="D1429" s="3" t="s">
        <v>56</v>
      </c>
      <c r="E1429" s="3" t="s">
        <v>33</v>
      </c>
      <c r="F1429" s="3" t="s">
        <v>34</v>
      </c>
      <c r="G1429" s="3"/>
      <c r="H1429" s="3"/>
    </row>
    <row r="1430" spans="1:8" x14ac:dyDescent="0.35">
      <c r="A1430" s="3" t="s">
        <v>665</v>
      </c>
      <c r="B1430" s="3" t="s">
        <v>45</v>
      </c>
      <c r="C1430" s="3" t="s">
        <v>697</v>
      </c>
      <c r="D1430" s="3" t="s">
        <v>217</v>
      </c>
      <c r="E1430" s="3" t="s">
        <v>33</v>
      </c>
      <c r="F1430" s="3" t="s">
        <v>2661</v>
      </c>
      <c r="G1430" s="3"/>
      <c r="H1430" s="3"/>
    </row>
    <row r="1431" spans="1:8" x14ac:dyDescent="0.35">
      <c r="A1431" s="3" t="s">
        <v>665</v>
      </c>
      <c r="B1431" s="3" t="s">
        <v>45</v>
      </c>
      <c r="C1431" s="3" t="s">
        <v>697</v>
      </c>
      <c r="D1431" s="3" t="s">
        <v>77</v>
      </c>
      <c r="E1431" s="3" t="s">
        <v>33</v>
      </c>
      <c r="F1431" s="3" t="s">
        <v>2661</v>
      </c>
      <c r="G1431" s="3"/>
      <c r="H1431" s="3"/>
    </row>
    <row r="1432" spans="1:8" x14ac:dyDescent="0.35">
      <c r="A1432" s="3" t="s">
        <v>665</v>
      </c>
      <c r="B1432" s="3" t="s">
        <v>45</v>
      </c>
      <c r="C1432" s="3" t="s">
        <v>697</v>
      </c>
      <c r="D1432" s="3" t="s">
        <v>28</v>
      </c>
      <c r="E1432" s="3" t="s">
        <v>33</v>
      </c>
      <c r="F1432" s="3" t="s">
        <v>2661</v>
      </c>
      <c r="G1432" s="3"/>
      <c r="H1432" s="3"/>
    </row>
    <row r="1433" spans="1:8" x14ac:dyDescent="0.35">
      <c r="A1433" s="3" t="s">
        <v>665</v>
      </c>
      <c r="B1433" s="3" t="s">
        <v>45</v>
      </c>
      <c r="C1433" s="3" t="s">
        <v>697</v>
      </c>
      <c r="D1433" s="3" t="s">
        <v>56</v>
      </c>
      <c r="E1433" s="3" t="s">
        <v>33</v>
      </c>
      <c r="F1433" s="3" t="s">
        <v>2661</v>
      </c>
      <c r="G1433" s="3"/>
      <c r="H1433" s="3"/>
    </row>
    <row r="1434" spans="1:8" x14ac:dyDescent="0.35">
      <c r="A1434" s="3" t="s">
        <v>665</v>
      </c>
      <c r="B1434" s="3" t="s">
        <v>39</v>
      </c>
      <c r="C1434" s="3" t="s">
        <v>698</v>
      </c>
      <c r="D1434" s="3" t="s">
        <v>12</v>
      </c>
      <c r="E1434" s="3"/>
      <c r="F1434" s="3" t="s">
        <v>2357</v>
      </c>
      <c r="G1434" s="3"/>
      <c r="H1434" s="3"/>
    </row>
    <row r="1435" spans="1:8" x14ac:dyDescent="0.35">
      <c r="A1435" s="3" t="s">
        <v>665</v>
      </c>
      <c r="B1435" s="3" t="s">
        <v>39</v>
      </c>
      <c r="C1435" s="3" t="s">
        <v>698</v>
      </c>
      <c r="D1435" s="3" t="s">
        <v>47</v>
      </c>
      <c r="E1435" s="3" t="s">
        <v>13</v>
      </c>
      <c r="F1435" s="3" t="s">
        <v>365</v>
      </c>
      <c r="G1435" s="3"/>
      <c r="H1435" s="3"/>
    </row>
    <row r="1436" spans="1:8" x14ac:dyDescent="0.35">
      <c r="A1436" s="3" t="s">
        <v>665</v>
      </c>
      <c r="B1436" s="3" t="s">
        <v>39</v>
      </c>
      <c r="C1436" s="3" t="s">
        <v>698</v>
      </c>
      <c r="D1436" s="3" t="s">
        <v>25</v>
      </c>
      <c r="E1436" s="3" t="s">
        <v>13</v>
      </c>
      <c r="F1436" s="3" t="s">
        <v>365</v>
      </c>
      <c r="G1436" s="3"/>
      <c r="H1436" s="3"/>
    </row>
    <row r="1437" spans="1:8" x14ac:dyDescent="0.35">
      <c r="A1437" s="3" t="s">
        <v>665</v>
      </c>
      <c r="B1437" s="3" t="s">
        <v>39</v>
      </c>
      <c r="C1437" s="3" t="s">
        <v>698</v>
      </c>
      <c r="D1437" s="3" t="s">
        <v>28</v>
      </c>
      <c r="E1437" s="3" t="s">
        <v>13</v>
      </c>
      <c r="F1437" s="3" t="s">
        <v>365</v>
      </c>
      <c r="G1437" s="3"/>
      <c r="H1437" s="3"/>
    </row>
    <row r="1438" spans="1:8" x14ac:dyDescent="0.35">
      <c r="A1438" s="3" t="s">
        <v>665</v>
      </c>
      <c r="B1438" s="3" t="s">
        <v>39</v>
      </c>
      <c r="C1438" s="3" t="s">
        <v>698</v>
      </c>
      <c r="D1438" s="3" t="s">
        <v>56</v>
      </c>
      <c r="E1438" s="3" t="s">
        <v>13</v>
      </c>
      <c r="F1438" s="3" t="s">
        <v>699</v>
      </c>
      <c r="G1438" s="3"/>
      <c r="H1438" s="3"/>
    </row>
    <row r="1439" spans="1:8" x14ac:dyDescent="0.35">
      <c r="A1439" s="3" t="s">
        <v>665</v>
      </c>
      <c r="B1439" s="3" t="s">
        <v>39</v>
      </c>
      <c r="C1439" s="3" t="s">
        <v>698</v>
      </c>
      <c r="D1439" s="3" t="s">
        <v>32</v>
      </c>
      <c r="E1439" s="3" t="s">
        <v>13</v>
      </c>
      <c r="F1439" s="3" t="s">
        <v>365</v>
      </c>
      <c r="G1439" s="3"/>
      <c r="H1439" s="3"/>
    </row>
    <row r="1440" spans="1:8" x14ac:dyDescent="0.35">
      <c r="A1440" s="3" t="s">
        <v>665</v>
      </c>
      <c r="B1440" s="3" t="s">
        <v>39</v>
      </c>
      <c r="C1440" s="3" t="s">
        <v>698</v>
      </c>
      <c r="D1440" s="3" t="s">
        <v>29</v>
      </c>
      <c r="E1440" s="3" t="s">
        <v>13</v>
      </c>
      <c r="F1440" s="3" t="s">
        <v>365</v>
      </c>
      <c r="G1440" s="3"/>
      <c r="H1440" s="3"/>
    </row>
    <row r="1441" spans="1:8" x14ac:dyDescent="0.35">
      <c r="A1441" s="3" t="s">
        <v>665</v>
      </c>
      <c r="B1441" s="3" t="s">
        <v>39</v>
      </c>
      <c r="C1441" s="3" t="s">
        <v>698</v>
      </c>
      <c r="D1441" s="3" t="s">
        <v>134</v>
      </c>
      <c r="E1441" s="3" t="s">
        <v>13</v>
      </c>
      <c r="F1441" s="3" t="s">
        <v>365</v>
      </c>
      <c r="G1441" s="3"/>
      <c r="H1441" s="3"/>
    </row>
    <row r="1442" spans="1:8" x14ac:dyDescent="0.35">
      <c r="A1442" s="3" t="s">
        <v>665</v>
      </c>
      <c r="B1442" s="3" t="s">
        <v>39</v>
      </c>
      <c r="C1442" s="3" t="s">
        <v>698</v>
      </c>
      <c r="D1442" s="3" t="s">
        <v>107</v>
      </c>
      <c r="E1442" s="3" t="s">
        <v>13</v>
      </c>
      <c r="F1442" s="3" t="s">
        <v>365</v>
      </c>
      <c r="G1442" s="3"/>
      <c r="H1442" s="3"/>
    </row>
    <row r="1443" spans="1:8" x14ac:dyDescent="0.35">
      <c r="A1443" s="3" t="s">
        <v>665</v>
      </c>
      <c r="B1443" s="3" t="s">
        <v>39</v>
      </c>
      <c r="C1443" s="3" t="s">
        <v>698</v>
      </c>
      <c r="D1443" s="3" t="s">
        <v>82</v>
      </c>
      <c r="E1443" s="3" t="s">
        <v>13</v>
      </c>
      <c r="F1443" s="3" t="s">
        <v>365</v>
      </c>
      <c r="G1443" s="3"/>
      <c r="H1443" s="3"/>
    </row>
    <row r="1444" spans="1:8" x14ac:dyDescent="0.35">
      <c r="A1444" s="3" t="s">
        <v>665</v>
      </c>
      <c r="B1444" s="3" t="s">
        <v>20</v>
      </c>
      <c r="C1444" s="3" t="s">
        <v>700</v>
      </c>
      <c r="D1444" s="3" t="s">
        <v>25</v>
      </c>
      <c r="E1444" s="3" t="s">
        <v>33</v>
      </c>
      <c r="F1444" s="3" t="s">
        <v>701</v>
      </c>
      <c r="G1444" s="3"/>
      <c r="H1444" s="3"/>
    </row>
    <row r="1445" spans="1:8" x14ac:dyDescent="0.35">
      <c r="A1445" s="3" t="s">
        <v>665</v>
      </c>
      <c r="B1445" s="3" t="s">
        <v>20</v>
      </c>
      <c r="C1445" s="3" t="s">
        <v>700</v>
      </c>
      <c r="D1445" s="3" t="s">
        <v>142</v>
      </c>
      <c r="E1445" s="3" t="s">
        <v>33</v>
      </c>
      <c r="F1445" s="3" t="s">
        <v>701</v>
      </c>
      <c r="G1445" s="3"/>
      <c r="H1445" s="3"/>
    </row>
    <row r="1446" spans="1:8" x14ac:dyDescent="0.35">
      <c r="A1446" s="3" t="s">
        <v>665</v>
      </c>
      <c r="B1446" s="3" t="s">
        <v>20</v>
      </c>
      <c r="C1446" s="3" t="s">
        <v>700</v>
      </c>
      <c r="D1446" s="3" t="s">
        <v>28</v>
      </c>
      <c r="E1446" s="3" t="s">
        <v>33</v>
      </c>
      <c r="F1446" s="3" t="s">
        <v>701</v>
      </c>
      <c r="G1446" s="3"/>
      <c r="H1446" s="3"/>
    </row>
    <row r="1447" spans="1:8" x14ac:dyDescent="0.35">
      <c r="A1447" s="3" t="s">
        <v>665</v>
      </c>
      <c r="B1447" s="3" t="s">
        <v>20</v>
      </c>
      <c r="C1447" s="3" t="s">
        <v>700</v>
      </c>
      <c r="D1447" s="3" t="s">
        <v>56</v>
      </c>
      <c r="E1447" s="3" t="s">
        <v>33</v>
      </c>
      <c r="F1447" s="3" t="s">
        <v>701</v>
      </c>
      <c r="G1447" s="3"/>
      <c r="H1447" s="3"/>
    </row>
    <row r="1448" spans="1:8" x14ac:dyDescent="0.35">
      <c r="A1448" s="3" t="s">
        <v>665</v>
      </c>
      <c r="B1448" s="3" t="s">
        <v>20</v>
      </c>
      <c r="C1448" s="3" t="s">
        <v>700</v>
      </c>
      <c r="D1448" s="3" t="s">
        <v>29</v>
      </c>
      <c r="E1448" s="3" t="s">
        <v>33</v>
      </c>
      <c r="F1448" s="3" t="s">
        <v>701</v>
      </c>
      <c r="G1448" s="3"/>
      <c r="H1448" s="3"/>
    </row>
    <row r="1449" spans="1:8" x14ac:dyDescent="0.35">
      <c r="A1449" s="3" t="s">
        <v>665</v>
      </c>
      <c r="B1449" s="3" t="s">
        <v>20</v>
      </c>
      <c r="C1449" s="3" t="s">
        <v>700</v>
      </c>
      <c r="D1449" s="3" t="s">
        <v>134</v>
      </c>
      <c r="E1449" s="3" t="s">
        <v>33</v>
      </c>
      <c r="F1449" s="3" t="s">
        <v>701</v>
      </c>
      <c r="G1449" s="3"/>
      <c r="H1449" s="3"/>
    </row>
    <row r="1450" spans="1:8" x14ac:dyDescent="0.35">
      <c r="A1450" s="3" t="s">
        <v>665</v>
      </c>
      <c r="B1450" s="3" t="s">
        <v>20</v>
      </c>
      <c r="C1450" s="3" t="s">
        <v>700</v>
      </c>
      <c r="D1450" s="3" t="s">
        <v>107</v>
      </c>
      <c r="E1450" s="3" t="s">
        <v>33</v>
      </c>
      <c r="F1450" s="3" t="s">
        <v>701</v>
      </c>
      <c r="G1450" s="3"/>
      <c r="H1450" s="3"/>
    </row>
    <row r="1451" spans="1:8" x14ac:dyDescent="0.35">
      <c r="A1451" s="3" t="s">
        <v>665</v>
      </c>
      <c r="B1451" s="3" t="s">
        <v>10</v>
      </c>
      <c r="C1451" s="3" t="s">
        <v>702</v>
      </c>
      <c r="D1451" s="3" t="s">
        <v>12</v>
      </c>
      <c r="E1451" s="3" t="s">
        <v>33</v>
      </c>
      <c r="F1451" s="3" t="s">
        <v>686</v>
      </c>
      <c r="G1451" s="3"/>
      <c r="H1451" s="3"/>
    </row>
    <row r="1452" spans="1:8" x14ac:dyDescent="0.35">
      <c r="A1452" s="3" t="s">
        <v>665</v>
      </c>
      <c r="B1452" s="3" t="s">
        <v>10</v>
      </c>
      <c r="C1452" s="3" t="s">
        <v>702</v>
      </c>
      <c r="D1452" s="3" t="s">
        <v>23</v>
      </c>
      <c r="E1452" s="3" t="s">
        <v>33</v>
      </c>
      <c r="F1452" s="3" t="s">
        <v>686</v>
      </c>
      <c r="G1452" s="3"/>
      <c r="H1452" s="3"/>
    </row>
    <row r="1453" spans="1:8" x14ac:dyDescent="0.35">
      <c r="A1453" s="3" t="s">
        <v>665</v>
      </c>
      <c r="B1453" s="3" t="s">
        <v>10</v>
      </c>
      <c r="C1453" s="3" t="s">
        <v>702</v>
      </c>
      <c r="D1453" s="3" t="s">
        <v>47</v>
      </c>
      <c r="E1453" s="3" t="s">
        <v>33</v>
      </c>
      <c r="F1453" s="3" t="s">
        <v>686</v>
      </c>
      <c r="G1453" s="3"/>
      <c r="H1453" s="3"/>
    </row>
    <row r="1454" spans="1:8" x14ac:dyDescent="0.35">
      <c r="A1454" s="3" t="s">
        <v>665</v>
      </c>
      <c r="B1454" s="3" t="s">
        <v>10</v>
      </c>
      <c r="C1454" s="3" t="s">
        <v>702</v>
      </c>
      <c r="D1454" s="3" t="s">
        <v>77</v>
      </c>
      <c r="E1454" s="3" t="s">
        <v>33</v>
      </c>
      <c r="F1454" s="3" t="s">
        <v>686</v>
      </c>
      <c r="G1454" s="3"/>
      <c r="H1454" s="3"/>
    </row>
    <row r="1455" spans="1:8" x14ac:dyDescent="0.35">
      <c r="A1455" s="3" t="s">
        <v>665</v>
      </c>
      <c r="B1455" s="3" t="s">
        <v>10</v>
      </c>
      <c r="C1455" s="3" t="s">
        <v>702</v>
      </c>
      <c r="D1455" s="3" t="s">
        <v>28</v>
      </c>
      <c r="E1455" s="3" t="s">
        <v>33</v>
      </c>
      <c r="F1455" s="3" t="s">
        <v>686</v>
      </c>
      <c r="G1455" s="3"/>
      <c r="H1455" s="3"/>
    </row>
    <row r="1456" spans="1:8" x14ac:dyDescent="0.35">
      <c r="A1456" s="3" t="s">
        <v>665</v>
      </c>
      <c r="B1456" s="3" t="s">
        <v>10</v>
      </c>
      <c r="C1456" s="3" t="s">
        <v>702</v>
      </c>
      <c r="D1456" s="3" t="s">
        <v>57</v>
      </c>
      <c r="E1456" s="3" t="s">
        <v>33</v>
      </c>
      <c r="F1456" s="3" t="s">
        <v>686</v>
      </c>
      <c r="G1456" s="3"/>
      <c r="H1456" s="3"/>
    </row>
    <row r="1457" spans="1:8" x14ac:dyDescent="0.35">
      <c r="A1457" s="3" t="s">
        <v>665</v>
      </c>
      <c r="B1457" s="3" t="s">
        <v>10</v>
      </c>
      <c r="C1457" s="3" t="s">
        <v>702</v>
      </c>
      <c r="D1457" s="3" t="s">
        <v>29</v>
      </c>
      <c r="E1457" s="3" t="s">
        <v>33</v>
      </c>
      <c r="F1457" s="3" t="s">
        <v>686</v>
      </c>
      <c r="G1457" s="3"/>
      <c r="H1457" s="3"/>
    </row>
    <row r="1458" spans="1:8" x14ac:dyDescent="0.35">
      <c r="A1458" s="3" t="s">
        <v>665</v>
      </c>
      <c r="B1458" s="3" t="s">
        <v>10</v>
      </c>
      <c r="C1458" s="3" t="s">
        <v>702</v>
      </c>
      <c r="D1458" s="3" t="s">
        <v>107</v>
      </c>
      <c r="E1458" s="3" t="s">
        <v>33</v>
      </c>
      <c r="F1458" s="3" t="s">
        <v>686</v>
      </c>
      <c r="G1458" s="3"/>
      <c r="H1458" s="3"/>
    </row>
    <row r="1459" spans="1:8" x14ac:dyDescent="0.35">
      <c r="A1459" s="3" t="s">
        <v>665</v>
      </c>
      <c r="B1459" s="3" t="s">
        <v>45</v>
      </c>
      <c r="C1459" s="3" t="s">
        <v>703</v>
      </c>
      <c r="D1459" s="3" t="s">
        <v>77</v>
      </c>
      <c r="E1459" s="3"/>
      <c r="F1459" s="3"/>
      <c r="G1459" s="3"/>
      <c r="H1459" s="3"/>
    </row>
    <row r="1460" spans="1:8" x14ac:dyDescent="0.35">
      <c r="A1460" s="3" t="s">
        <v>665</v>
      </c>
      <c r="B1460" s="3" t="s">
        <v>45</v>
      </c>
      <c r="C1460" s="3" t="s">
        <v>704</v>
      </c>
      <c r="D1460" s="3" t="s">
        <v>77</v>
      </c>
      <c r="E1460" s="3"/>
      <c r="F1460" s="3"/>
      <c r="G1460" s="3"/>
      <c r="H1460" s="3"/>
    </row>
    <row r="1461" spans="1:8" x14ac:dyDescent="0.35">
      <c r="A1461" s="3" t="s">
        <v>665</v>
      </c>
      <c r="B1461" s="3" t="s">
        <v>45</v>
      </c>
      <c r="C1461" s="3" t="s">
        <v>705</v>
      </c>
      <c r="D1461" s="3" t="s">
        <v>77</v>
      </c>
      <c r="E1461" s="3"/>
      <c r="F1461" s="3"/>
      <c r="G1461" s="3"/>
      <c r="H1461" s="3"/>
    </row>
    <row r="1462" spans="1:8" x14ac:dyDescent="0.35">
      <c r="A1462" s="3" t="s">
        <v>665</v>
      </c>
      <c r="B1462" s="3" t="s">
        <v>39</v>
      </c>
      <c r="C1462" s="3" t="s">
        <v>706</v>
      </c>
      <c r="D1462" s="3" t="s">
        <v>47</v>
      </c>
      <c r="E1462" s="3" t="s">
        <v>13</v>
      </c>
      <c r="F1462" s="3" t="s">
        <v>136</v>
      </c>
      <c r="G1462" s="3"/>
      <c r="H1462" s="3"/>
    </row>
    <row r="1463" spans="1:8" x14ac:dyDescent="0.35">
      <c r="A1463" s="3" t="s">
        <v>665</v>
      </c>
      <c r="B1463" s="3" t="s">
        <v>39</v>
      </c>
      <c r="C1463" s="3" t="s">
        <v>706</v>
      </c>
      <c r="D1463" s="3" t="s">
        <v>25</v>
      </c>
      <c r="E1463" s="3" t="s">
        <v>13</v>
      </c>
      <c r="F1463" s="3" t="s">
        <v>136</v>
      </c>
      <c r="G1463" s="3"/>
      <c r="H1463" s="3"/>
    </row>
    <row r="1464" spans="1:8" x14ac:dyDescent="0.35">
      <c r="A1464" s="3" t="s">
        <v>665</v>
      </c>
      <c r="B1464" s="3" t="s">
        <v>39</v>
      </c>
      <c r="C1464" s="3" t="s">
        <v>706</v>
      </c>
      <c r="D1464" s="3" t="s">
        <v>141</v>
      </c>
      <c r="E1464" s="3" t="s">
        <v>13</v>
      </c>
      <c r="F1464" s="3" t="s">
        <v>136</v>
      </c>
      <c r="G1464" s="3"/>
      <c r="H1464" s="3"/>
    </row>
    <row r="1465" spans="1:8" x14ac:dyDescent="0.35">
      <c r="A1465" s="3" t="s">
        <v>665</v>
      </c>
      <c r="B1465" s="3" t="s">
        <v>39</v>
      </c>
      <c r="C1465" s="3" t="s">
        <v>706</v>
      </c>
      <c r="D1465" s="3" t="s">
        <v>28</v>
      </c>
      <c r="E1465" s="3" t="s">
        <v>13</v>
      </c>
      <c r="F1465" s="3" t="s">
        <v>136</v>
      </c>
      <c r="G1465" s="3"/>
      <c r="H1465" s="3"/>
    </row>
    <row r="1466" spans="1:8" x14ac:dyDescent="0.35">
      <c r="A1466" s="3" t="s">
        <v>665</v>
      </c>
      <c r="B1466" s="3" t="s">
        <v>39</v>
      </c>
      <c r="C1466" s="3" t="s">
        <v>706</v>
      </c>
      <c r="D1466" s="3" t="s">
        <v>32</v>
      </c>
      <c r="E1466" s="3" t="s">
        <v>13</v>
      </c>
      <c r="F1466" s="3" t="s">
        <v>136</v>
      </c>
      <c r="G1466" s="3"/>
      <c r="H1466" s="3"/>
    </row>
    <row r="1467" spans="1:8" x14ac:dyDescent="0.35">
      <c r="A1467" s="3" t="s">
        <v>665</v>
      </c>
      <c r="B1467" s="3" t="s">
        <v>39</v>
      </c>
      <c r="C1467" s="3" t="s">
        <v>706</v>
      </c>
      <c r="D1467" s="3" t="s">
        <v>134</v>
      </c>
      <c r="E1467" s="3" t="s">
        <v>13</v>
      </c>
      <c r="F1467" s="3" t="s">
        <v>136</v>
      </c>
      <c r="G1467" s="3"/>
      <c r="H1467" s="3"/>
    </row>
    <row r="1468" spans="1:8" x14ac:dyDescent="0.35">
      <c r="A1468" s="3" t="s">
        <v>665</v>
      </c>
      <c r="B1468" s="3" t="s">
        <v>39</v>
      </c>
      <c r="C1468" s="3" t="s">
        <v>707</v>
      </c>
      <c r="D1468" s="3" t="s">
        <v>47</v>
      </c>
      <c r="E1468" s="3"/>
      <c r="F1468" s="3"/>
      <c r="G1468" s="3"/>
      <c r="H1468" s="3"/>
    </row>
    <row r="1469" spans="1:8" x14ac:dyDescent="0.35">
      <c r="A1469" s="3" t="s">
        <v>665</v>
      </c>
      <c r="B1469" s="3" t="s">
        <v>39</v>
      </c>
      <c r="C1469" s="3" t="s">
        <v>707</v>
      </c>
      <c r="D1469" s="3" t="s">
        <v>25</v>
      </c>
      <c r="E1469" s="3"/>
      <c r="F1469" s="3"/>
      <c r="G1469" s="3"/>
      <c r="H1469" s="3"/>
    </row>
    <row r="1470" spans="1:8" x14ac:dyDescent="0.35">
      <c r="A1470" s="3" t="s">
        <v>665</v>
      </c>
      <c r="B1470" s="3" t="s">
        <v>39</v>
      </c>
      <c r="C1470" s="3" t="s">
        <v>707</v>
      </c>
      <c r="D1470" s="3" t="s">
        <v>15</v>
      </c>
      <c r="E1470" s="3" t="s">
        <v>16</v>
      </c>
      <c r="F1470" s="3" t="s">
        <v>2991</v>
      </c>
      <c r="G1470" s="3"/>
      <c r="H1470" s="3"/>
    </row>
    <row r="1471" spans="1:8" x14ac:dyDescent="0.35">
      <c r="A1471" s="3" t="s">
        <v>665</v>
      </c>
      <c r="B1471" s="3" t="s">
        <v>39</v>
      </c>
      <c r="C1471" s="3" t="s">
        <v>707</v>
      </c>
      <c r="D1471" s="3" t="s">
        <v>152</v>
      </c>
      <c r="E1471" s="3"/>
      <c r="F1471" s="3" t="s">
        <v>2362</v>
      </c>
      <c r="G1471" s="3"/>
      <c r="H1471" s="3"/>
    </row>
    <row r="1472" spans="1:8" x14ac:dyDescent="0.35">
      <c r="A1472" s="3" t="s">
        <v>665</v>
      </c>
      <c r="B1472" s="3" t="s">
        <v>39</v>
      </c>
      <c r="C1472" s="3" t="s">
        <v>707</v>
      </c>
      <c r="D1472" s="3" t="s">
        <v>107</v>
      </c>
      <c r="E1472" s="3" t="s">
        <v>16</v>
      </c>
      <c r="F1472" s="3" t="s">
        <v>2991</v>
      </c>
      <c r="G1472" s="3"/>
      <c r="H1472" s="3"/>
    </row>
    <row r="1473" spans="1:8" x14ac:dyDescent="0.35">
      <c r="A1473" s="3" t="s">
        <v>665</v>
      </c>
      <c r="B1473" s="3" t="s">
        <v>45</v>
      </c>
      <c r="C1473" s="3" t="s">
        <v>708</v>
      </c>
      <c r="D1473" s="3" t="s">
        <v>77</v>
      </c>
      <c r="E1473" s="3"/>
      <c r="F1473" s="3"/>
      <c r="G1473" s="3"/>
      <c r="H1473" s="3"/>
    </row>
    <row r="1474" spans="1:8" x14ac:dyDescent="0.35">
      <c r="A1474" s="3" t="s">
        <v>665</v>
      </c>
      <c r="B1474" s="3" t="s">
        <v>45</v>
      </c>
      <c r="C1474" s="3" t="s">
        <v>2711</v>
      </c>
      <c r="D1474" s="3" t="s">
        <v>77</v>
      </c>
      <c r="E1474" s="3"/>
      <c r="F1474" s="3"/>
      <c r="G1474" s="3"/>
      <c r="H1474" s="3"/>
    </row>
    <row r="1475" spans="1:8" x14ac:dyDescent="0.35">
      <c r="A1475" s="3" t="s">
        <v>665</v>
      </c>
      <c r="B1475" s="3" t="s">
        <v>45</v>
      </c>
      <c r="C1475" s="3" t="s">
        <v>709</v>
      </c>
      <c r="D1475" s="3" t="s">
        <v>244</v>
      </c>
      <c r="E1475" s="3" t="s">
        <v>33</v>
      </c>
      <c r="F1475" s="3" t="s">
        <v>487</v>
      </c>
      <c r="G1475" s="3"/>
      <c r="H1475" s="3"/>
    </row>
    <row r="1476" spans="1:8" x14ac:dyDescent="0.35">
      <c r="A1476" s="3" t="s">
        <v>665</v>
      </c>
      <c r="B1476" s="3" t="s">
        <v>45</v>
      </c>
      <c r="C1476" s="3" t="s">
        <v>709</v>
      </c>
      <c r="D1476" s="3" t="s">
        <v>372</v>
      </c>
      <c r="E1476" s="3" t="s">
        <v>33</v>
      </c>
      <c r="F1476" s="3" t="s">
        <v>487</v>
      </c>
      <c r="G1476" s="3"/>
      <c r="H1476" s="3"/>
    </row>
    <row r="1477" spans="1:8" x14ac:dyDescent="0.35">
      <c r="A1477" s="3" t="s">
        <v>665</v>
      </c>
      <c r="B1477" s="3" t="s">
        <v>45</v>
      </c>
      <c r="C1477" s="3" t="s">
        <v>710</v>
      </c>
      <c r="D1477" s="3" t="s">
        <v>77</v>
      </c>
      <c r="E1477" s="3"/>
      <c r="F1477" s="3"/>
      <c r="G1477" s="3"/>
      <c r="H1477" s="3"/>
    </row>
    <row r="1478" spans="1:8" x14ac:dyDescent="0.35">
      <c r="A1478" s="3" t="s">
        <v>665</v>
      </c>
      <c r="B1478" s="3" t="s">
        <v>45</v>
      </c>
      <c r="C1478" s="3" t="s">
        <v>2772</v>
      </c>
      <c r="D1478" s="3" t="s">
        <v>56</v>
      </c>
      <c r="E1478" s="3" t="s">
        <v>13</v>
      </c>
      <c r="F1478" s="3" t="s">
        <v>771</v>
      </c>
      <c r="G1478" s="3"/>
      <c r="H1478" s="3"/>
    </row>
    <row r="1479" spans="1:8" x14ac:dyDescent="0.35">
      <c r="A1479" s="3" t="s">
        <v>665</v>
      </c>
      <c r="B1479" s="3" t="s">
        <v>45</v>
      </c>
      <c r="C1479" s="3" t="s">
        <v>2772</v>
      </c>
      <c r="D1479" s="3" t="s">
        <v>24</v>
      </c>
      <c r="E1479" s="3"/>
      <c r="F1479" s="3"/>
      <c r="G1479" s="3"/>
      <c r="H1479" s="3"/>
    </row>
    <row r="1480" spans="1:8" x14ac:dyDescent="0.35">
      <c r="A1480" s="3" t="s">
        <v>665</v>
      </c>
      <c r="B1480" s="3" t="s">
        <v>45</v>
      </c>
      <c r="C1480" s="3" t="s">
        <v>2772</v>
      </c>
      <c r="D1480" s="3" t="s">
        <v>244</v>
      </c>
      <c r="E1480" s="3"/>
      <c r="F1480" s="3"/>
      <c r="G1480" s="3"/>
      <c r="H1480" s="3"/>
    </row>
    <row r="1481" spans="1:8" x14ac:dyDescent="0.35">
      <c r="A1481" s="3" t="s">
        <v>665</v>
      </c>
      <c r="B1481" s="3" t="s">
        <v>45</v>
      </c>
      <c r="C1481" s="3" t="s">
        <v>2772</v>
      </c>
      <c r="D1481" s="3" t="s">
        <v>372</v>
      </c>
      <c r="E1481" s="3" t="s">
        <v>33</v>
      </c>
      <c r="F1481" s="3" t="s">
        <v>2762</v>
      </c>
      <c r="G1481" s="3"/>
      <c r="H1481" s="3"/>
    </row>
    <row r="1482" spans="1:8" x14ac:dyDescent="0.35">
      <c r="A1482" s="3" t="s">
        <v>665</v>
      </c>
      <c r="B1482" s="3" t="s">
        <v>20</v>
      </c>
      <c r="C1482" s="3" t="s">
        <v>711</v>
      </c>
      <c r="D1482" s="3" t="s">
        <v>12</v>
      </c>
      <c r="E1482" s="3"/>
      <c r="F1482" s="3"/>
      <c r="G1482" s="3"/>
      <c r="H1482" s="3"/>
    </row>
    <row r="1483" spans="1:8" x14ac:dyDescent="0.35">
      <c r="A1483" s="3" t="s">
        <v>665</v>
      </c>
      <c r="B1483" s="3" t="s">
        <v>20</v>
      </c>
      <c r="C1483" s="3" t="s">
        <v>711</v>
      </c>
      <c r="D1483" s="3" t="s">
        <v>47</v>
      </c>
      <c r="E1483" s="3"/>
      <c r="F1483" s="3"/>
      <c r="G1483" s="3"/>
      <c r="H1483" s="3"/>
    </row>
    <row r="1484" spans="1:8" x14ac:dyDescent="0.35">
      <c r="A1484" s="3" t="s">
        <v>665</v>
      </c>
      <c r="B1484" s="3" t="s">
        <v>20</v>
      </c>
      <c r="C1484" s="3" t="s">
        <v>711</v>
      </c>
      <c r="D1484" s="3" t="s">
        <v>32</v>
      </c>
      <c r="E1484" s="3"/>
      <c r="F1484" s="3"/>
      <c r="G1484" s="3"/>
      <c r="H1484" s="3"/>
    </row>
    <row r="1485" spans="1:8" x14ac:dyDescent="0.35">
      <c r="A1485" s="3" t="s">
        <v>665</v>
      </c>
      <c r="B1485" s="3" t="s">
        <v>10</v>
      </c>
      <c r="C1485" s="3" t="s">
        <v>712</v>
      </c>
      <c r="D1485" s="3" t="s">
        <v>15</v>
      </c>
      <c r="E1485" s="3" t="s">
        <v>13</v>
      </c>
      <c r="F1485" s="3" t="s">
        <v>713</v>
      </c>
      <c r="G1485" s="3"/>
      <c r="H1485" s="3"/>
    </row>
    <row r="1486" spans="1:8" x14ac:dyDescent="0.35">
      <c r="A1486" s="3" t="s">
        <v>665</v>
      </c>
      <c r="B1486" s="3" t="s">
        <v>10</v>
      </c>
      <c r="C1486" s="3" t="s">
        <v>712</v>
      </c>
      <c r="D1486" s="3" t="s">
        <v>32</v>
      </c>
      <c r="E1486" s="3"/>
      <c r="F1486" s="3"/>
      <c r="G1486" s="3"/>
      <c r="H1486" s="3"/>
    </row>
    <row r="1487" spans="1:8" x14ac:dyDescent="0.35">
      <c r="A1487" s="3" t="s">
        <v>665</v>
      </c>
      <c r="B1487" s="3" t="s">
        <v>20</v>
      </c>
      <c r="C1487" s="3" t="s">
        <v>714</v>
      </c>
      <c r="D1487" s="3" t="s">
        <v>12</v>
      </c>
      <c r="E1487" s="3"/>
      <c r="F1487" s="3"/>
      <c r="G1487" s="3"/>
      <c r="H1487" s="3"/>
    </row>
    <row r="1488" spans="1:8" x14ac:dyDescent="0.35">
      <c r="A1488" s="3" t="s">
        <v>665</v>
      </c>
      <c r="B1488" s="3" t="s">
        <v>20</v>
      </c>
      <c r="C1488" s="3" t="s">
        <v>714</v>
      </c>
      <c r="D1488" s="3" t="s">
        <v>25</v>
      </c>
      <c r="E1488" s="3"/>
      <c r="F1488" s="3" t="s">
        <v>2378</v>
      </c>
      <c r="G1488" s="3"/>
      <c r="H1488" s="3"/>
    </row>
    <row r="1489" spans="1:8" x14ac:dyDescent="0.35">
      <c r="A1489" s="3" t="s">
        <v>665</v>
      </c>
      <c r="B1489" s="3" t="s">
        <v>20</v>
      </c>
      <c r="C1489" s="3" t="s">
        <v>714</v>
      </c>
      <c r="D1489" s="3" t="s">
        <v>60</v>
      </c>
      <c r="E1489" s="3"/>
      <c r="F1489" s="3"/>
      <c r="G1489" s="3"/>
      <c r="H1489" s="3"/>
    </row>
    <row r="1490" spans="1:8" x14ac:dyDescent="0.35">
      <c r="A1490" s="3" t="s">
        <v>665</v>
      </c>
      <c r="B1490" s="3" t="s">
        <v>20</v>
      </c>
      <c r="C1490" s="3" t="s">
        <v>714</v>
      </c>
      <c r="D1490" s="3" t="s">
        <v>141</v>
      </c>
      <c r="E1490" s="3"/>
      <c r="F1490" s="3"/>
      <c r="G1490" s="3"/>
      <c r="H1490" s="3"/>
    </row>
    <row r="1491" spans="1:8" x14ac:dyDescent="0.35">
      <c r="A1491" s="3" t="s">
        <v>665</v>
      </c>
      <c r="B1491" s="3" t="s">
        <v>20</v>
      </c>
      <c r="C1491" s="3" t="s">
        <v>714</v>
      </c>
      <c r="D1491" s="3" t="s">
        <v>142</v>
      </c>
      <c r="E1491" s="3"/>
      <c r="F1491" s="3"/>
      <c r="G1491" s="3"/>
      <c r="H1491" s="3"/>
    </row>
    <row r="1492" spans="1:8" x14ac:dyDescent="0.35">
      <c r="A1492" s="3" t="s">
        <v>665</v>
      </c>
      <c r="B1492" s="3" t="s">
        <v>20</v>
      </c>
      <c r="C1492" s="3" t="s">
        <v>714</v>
      </c>
      <c r="D1492" s="3" t="s">
        <v>28</v>
      </c>
      <c r="E1492" s="3"/>
      <c r="F1492" s="3" t="s">
        <v>2392</v>
      </c>
      <c r="G1492" s="3"/>
      <c r="H1492" s="3"/>
    </row>
    <row r="1493" spans="1:8" x14ac:dyDescent="0.35">
      <c r="A1493" s="3" t="s">
        <v>665</v>
      </c>
      <c r="B1493" s="3" t="s">
        <v>20</v>
      </c>
      <c r="C1493" s="3" t="s">
        <v>714</v>
      </c>
      <c r="D1493" s="3" t="s">
        <v>715</v>
      </c>
      <c r="E1493" s="3"/>
      <c r="F1493" s="3"/>
      <c r="G1493" s="3"/>
      <c r="H1493" s="3"/>
    </row>
    <row r="1494" spans="1:8" x14ac:dyDescent="0.35">
      <c r="A1494" s="3" t="s">
        <v>665</v>
      </c>
      <c r="B1494" s="3" t="s">
        <v>20</v>
      </c>
      <c r="C1494" s="3" t="s">
        <v>714</v>
      </c>
      <c r="D1494" s="3" t="s">
        <v>242</v>
      </c>
      <c r="E1494" s="3"/>
      <c r="F1494" s="3"/>
      <c r="G1494" s="3"/>
      <c r="H1494" s="3"/>
    </row>
    <row r="1495" spans="1:8" x14ac:dyDescent="0.35">
      <c r="A1495" s="3" t="s">
        <v>665</v>
      </c>
      <c r="B1495" s="3" t="s">
        <v>20</v>
      </c>
      <c r="C1495" s="3" t="s">
        <v>714</v>
      </c>
      <c r="D1495" s="3" t="s">
        <v>716</v>
      </c>
      <c r="E1495" s="3"/>
      <c r="F1495" s="3"/>
      <c r="G1495" s="3"/>
      <c r="H1495" s="3"/>
    </row>
    <row r="1496" spans="1:8" x14ac:dyDescent="0.35">
      <c r="A1496" s="3" t="s">
        <v>665</v>
      </c>
      <c r="B1496" s="3" t="s">
        <v>20</v>
      </c>
      <c r="C1496" s="3" t="s">
        <v>714</v>
      </c>
      <c r="D1496" s="3" t="s">
        <v>15</v>
      </c>
      <c r="E1496" s="3"/>
      <c r="F1496" s="3"/>
      <c r="G1496" s="3"/>
      <c r="H1496" s="3"/>
    </row>
    <row r="1497" spans="1:8" x14ac:dyDescent="0.35">
      <c r="A1497" s="3" t="s">
        <v>665</v>
      </c>
      <c r="B1497" s="3" t="s">
        <v>20</v>
      </c>
      <c r="C1497" s="3" t="s">
        <v>714</v>
      </c>
      <c r="D1497" s="3" t="s">
        <v>57</v>
      </c>
      <c r="E1497" s="3"/>
      <c r="F1497" s="3" t="s">
        <v>2386</v>
      </c>
      <c r="G1497" s="3"/>
      <c r="H1497" s="3"/>
    </row>
    <row r="1498" spans="1:8" x14ac:dyDescent="0.35">
      <c r="A1498" s="3" t="s">
        <v>665</v>
      </c>
      <c r="B1498" s="3" t="s">
        <v>20</v>
      </c>
      <c r="C1498" s="3" t="s">
        <v>714</v>
      </c>
      <c r="D1498" s="3" t="s">
        <v>56</v>
      </c>
      <c r="E1498" s="3"/>
      <c r="F1498" s="3" t="s">
        <v>2387</v>
      </c>
      <c r="G1498" s="3"/>
      <c r="H1498" s="3"/>
    </row>
    <row r="1499" spans="1:8" x14ac:dyDescent="0.35">
      <c r="A1499" s="3" t="s">
        <v>665</v>
      </c>
      <c r="B1499" s="3" t="s">
        <v>20</v>
      </c>
      <c r="C1499" s="3" t="s">
        <v>714</v>
      </c>
      <c r="D1499" s="3" t="s">
        <v>175</v>
      </c>
      <c r="E1499" s="3"/>
      <c r="F1499" s="3"/>
      <c r="G1499" s="3"/>
      <c r="H1499" s="3"/>
    </row>
    <row r="1500" spans="1:8" x14ac:dyDescent="0.35">
      <c r="A1500" s="3" t="s">
        <v>665</v>
      </c>
      <c r="B1500" s="3" t="s">
        <v>20</v>
      </c>
      <c r="C1500" s="3" t="s">
        <v>714</v>
      </c>
      <c r="D1500" s="3" t="s">
        <v>89</v>
      </c>
      <c r="E1500" s="3"/>
      <c r="F1500" s="3" t="s">
        <v>2390</v>
      </c>
      <c r="G1500" s="3"/>
      <c r="H1500" s="3"/>
    </row>
    <row r="1501" spans="1:8" x14ac:dyDescent="0.35">
      <c r="A1501" s="3" t="s">
        <v>665</v>
      </c>
      <c r="B1501" s="3" t="s">
        <v>20</v>
      </c>
      <c r="C1501" s="3" t="s">
        <v>714</v>
      </c>
      <c r="D1501" s="3" t="s">
        <v>32</v>
      </c>
      <c r="E1501" s="3"/>
      <c r="F1501" s="3" t="s">
        <v>2313</v>
      </c>
      <c r="G1501" s="3"/>
      <c r="H1501" s="3"/>
    </row>
    <row r="1502" spans="1:8" x14ac:dyDescent="0.35">
      <c r="A1502" s="3" t="s">
        <v>665</v>
      </c>
      <c r="B1502" s="3" t="s">
        <v>20</v>
      </c>
      <c r="C1502" s="3" t="s">
        <v>714</v>
      </c>
      <c r="D1502" s="3" t="s">
        <v>29</v>
      </c>
      <c r="E1502" s="3"/>
      <c r="F1502" s="3" t="s">
        <v>2391</v>
      </c>
      <c r="G1502" s="3"/>
      <c r="H1502" s="3"/>
    </row>
    <row r="1503" spans="1:8" x14ac:dyDescent="0.35">
      <c r="A1503" s="3" t="s">
        <v>665</v>
      </c>
      <c r="B1503" s="3" t="s">
        <v>20</v>
      </c>
      <c r="C1503" s="3" t="s">
        <v>714</v>
      </c>
      <c r="D1503" s="3" t="s">
        <v>152</v>
      </c>
      <c r="E1503" s="3" t="s">
        <v>13</v>
      </c>
      <c r="F1503" s="3" t="s">
        <v>2388</v>
      </c>
      <c r="G1503" s="3"/>
      <c r="H1503" s="3"/>
    </row>
    <row r="1504" spans="1:8" x14ac:dyDescent="0.35">
      <c r="A1504" s="3" t="s">
        <v>665</v>
      </c>
      <c r="B1504" s="3" t="s">
        <v>20</v>
      </c>
      <c r="C1504" s="3" t="s">
        <v>714</v>
      </c>
      <c r="D1504" s="3" t="s">
        <v>134</v>
      </c>
      <c r="E1504" s="3"/>
      <c r="F1504" s="3" t="s">
        <v>2389</v>
      </c>
      <c r="G1504" s="3"/>
      <c r="H1504" s="3"/>
    </row>
    <row r="1505" spans="1:8" x14ac:dyDescent="0.35">
      <c r="A1505" s="3" t="s">
        <v>665</v>
      </c>
      <c r="B1505" s="3" t="s">
        <v>20</v>
      </c>
      <c r="C1505" s="3" t="s">
        <v>714</v>
      </c>
      <c r="D1505" s="3" t="s">
        <v>107</v>
      </c>
      <c r="E1505" s="3"/>
      <c r="F1505" s="3"/>
      <c r="G1505" s="3"/>
      <c r="H1505" s="3"/>
    </row>
    <row r="1506" spans="1:8" x14ac:dyDescent="0.35">
      <c r="A1506" s="3" t="s">
        <v>665</v>
      </c>
      <c r="B1506" s="3" t="s">
        <v>20</v>
      </c>
      <c r="C1506" s="3" t="s">
        <v>717</v>
      </c>
      <c r="D1506" s="3" t="s">
        <v>12</v>
      </c>
      <c r="E1506" s="3"/>
      <c r="F1506" s="3" t="s">
        <v>2395</v>
      </c>
      <c r="G1506" s="3"/>
      <c r="H1506" s="3"/>
    </row>
    <row r="1507" spans="1:8" x14ac:dyDescent="0.35">
      <c r="A1507" s="3" t="s">
        <v>665</v>
      </c>
      <c r="B1507" s="3" t="s">
        <v>20</v>
      </c>
      <c r="C1507" s="3" t="s">
        <v>717</v>
      </c>
      <c r="D1507" s="3" t="s">
        <v>25</v>
      </c>
      <c r="E1507" s="3"/>
      <c r="F1507" s="3"/>
      <c r="G1507" s="3"/>
      <c r="H1507" s="3"/>
    </row>
    <row r="1508" spans="1:8" x14ac:dyDescent="0.35">
      <c r="A1508" s="3" t="s">
        <v>665</v>
      </c>
      <c r="B1508" s="3" t="s">
        <v>20</v>
      </c>
      <c r="C1508" s="3" t="s">
        <v>717</v>
      </c>
      <c r="D1508" s="3" t="s">
        <v>142</v>
      </c>
      <c r="E1508" s="3"/>
      <c r="F1508" s="3"/>
      <c r="G1508" s="3"/>
      <c r="H1508" s="3"/>
    </row>
    <row r="1509" spans="1:8" x14ac:dyDescent="0.35">
      <c r="A1509" s="3" t="s">
        <v>665</v>
      </c>
      <c r="B1509" s="3" t="s">
        <v>20</v>
      </c>
      <c r="C1509" s="3" t="s">
        <v>717</v>
      </c>
      <c r="D1509" s="3" t="s">
        <v>57</v>
      </c>
      <c r="E1509" s="3"/>
      <c r="F1509" s="3"/>
      <c r="G1509" s="3"/>
      <c r="H1509" s="3"/>
    </row>
    <row r="1510" spans="1:8" x14ac:dyDescent="0.35">
      <c r="A1510" s="3" t="s">
        <v>665</v>
      </c>
      <c r="B1510" s="3" t="s">
        <v>20</v>
      </c>
      <c r="C1510" s="3" t="s">
        <v>717</v>
      </c>
      <c r="D1510" s="3" t="s">
        <v>32</v>
      </c>
      <c r="E1510" s="3" t="s">
        <v>13</v>
      </c>
      <c r="F1510" s="3" t="s">
        <v>718</v>
      </c>
      <c r="G1510" s="3"/>
      <c r="H1510" s="3"/>
    </row>
    <row r="1511" spans="1:8" x14ac:dyDescent="0.35">
      <c r="A1511" s="3" t="s">
        <v>665</v>
      </c>
      <c r="B1511" s="3" t="s">
        <v>20</v>
      </c>
      <c r="C1511" s="3" t="s">
        <v>717</v>
      </c>
      <c r="D1511" s="3" t="s">
        <v>29</v>
      </c>
      <c r="E1511" s="3"/>
      <c r="F1511" s="3"/>
      <c r="G1511" s="3"/>
      <c r="H1511" s="3"/>
    </row>
    <row r="1512" spans="1:8" x14ac:dyDescent="0.35">
      <c r="A1512" s="3" t="s">
        <v>665</v>
      </c>
      <c r="B1512" s="3" t="s">
        <v>20</v>
      </c>
      <c r="C1512" s="3" t="s">
        <v>719</v>
      </c>
      <c r="D1512" s="3" t="s">
        <v>12</v>
      </c>
      <c r="E1512" s="3"/>
      <c r="F1512" s="3"/>
      <c r="G1512" s="3"/>
      <c r="H1512" s="3"/>
    </row>
    <row r="1513" spans="1:8" x14ac:dyDescent="0.35">
      <c r="A1513" s="3" t="s">
        <v>665</v>
      </c>
      <c r="B1513" s="3" t="s">
        <v>20</v>
      </c>
      <c r="C1513" s="3" t="s">
        <v>719</v>
      </c>
      <c r="D1513" s="3" t="s">
        <v>47</v>
      </c>
      <c r="E1513" s="3"/>
      <c r="F1513" s="3"/>
      <c r="G1513" s="3"/>
      <c r="H1513" s="3"/>
    </row>
    <row r="1514" spans="1:8" x14ac:dyDescent="0.35">
      <c r="A1514" s="3" t="s">
        <v>665</v>
      </c>
      <c r="B1514" s="3" t="s">
        <v>20</v>
      </c>
      <c r="C1514" s="3" t="s">
        <v>719</v>
      </c>
      <c r="D1514" s="3" t="s">
        <v>25</v>
      </c>
      <c r="E1514" s="3"/>
      <c r="F1514" s="3" t="s">
        <v>2396</v>
      </c>
      <c r="G1514" s="3"/>
      <c r="H1514" s="3"/>
    </row>
    <row r="1515" spans="1:8" x14ac:dyDescent="0.35">
      <c r="A1515" s="3" t="s">
        <v>665</v>
      </c>
      <c r="B1515" s="3" t="s">
        <v>20</v>
      </c>
      <c r="C1515" s="3" t="s">
        <v>719</v>
      </c>
      <c r="D1515" s="3" t="s">
        <v>141</v>
      </c>
      <c r="E1515" s="3"/>
      <c r="F1515" s="3"/>
      <c r="G1515" s="3"/>
      <c r="H1515" s="3"/>
    </row>
    <row r="1516" spans="1:8" x14ac:dyDescent="0.35">
      <c r="A1516" s="3" t="s">
        <v>665</v>
      </c>
      <c r="B1516" s="3" t="s">
        <v>20</v>
      </c>
      <c r="C1516" s="3" t="s">
        <v>719</v>
      </c>
      <c r="D1516" s="3" t="s">
        <v>142</v>
      </c>
      <c r="E1516" s="3"/>
      <c r="F1516" s="3"/>
      <c r="G1516" s="3"/>
      <c r="H1516" s="3"/>
    </row>
    <row r="1517" spans="1:8" x14ac:dyDescent="0.35">
      <c r="A1517" s="3" t="s">
        <v>665</v>
      </c>
      <c r="B1517" s="3" t="s">
        <v>20</v>
      </c>
      <c r="C1517" s="3" t="s">
        <v>719</v>
      </c>
      <c r="D1517" s="3" t="s">
        <v>28</v>
      </c>
      <c r="E1517" s="3"/>
      <c r="F1517" s="3"/>
      <c r="G1517" s="3"/>
      <c r="H1517" s="3"/>
    </row>
    <row r="1518" spans="1:8" x14ac:dyDescent="0.35">
      <c r="A1518" s="3" t="s">
        <v>665</v>
      </c>
      <c r="B1518" s="3" t="s">
        <v>20</v>
      </c>
      <c r="C1518" s="3" t="s">
        <v>719</v>
      </c>
      <c r="D1518" s="3" t="s">
        <v>15</v>
      </c>
      <c r="E1518" s="3" t="s">
        <v>16</v>
      </c>
      <c r="F1518" s="3" t="s">
        <v>2533</v>
      </c>
      <c r="G1518" s="3"/>
      <c r="H1518" s="3"/>
    </row>
    <row r="1519" spans="1:8" x14ac:dyDescent="0.35">
      <c r="A1519" s="3" t="s">
        <v>665</v>
      </c>
      <c r="B1519" s="3" t="s">
        <v>20</v>
      </c>
      <c r="C1519" s="3" t="s">
        <v>719</v>
      </c>
      <c r="D1519" s="3" t="s">
        <v>32</v>
      </c>
      <c r="E1519" s="3"/>
      <c r="F1519" s="3"/>
      <c r="G1519" s="3"/>
      <c r="H1519" s="3"/>
    </row>
    <row r="1520" spans="1:8" x14ac:dyDescent="0.35">
      <c r="A1520" s="3" t="s">
        <v>665</v>
      </c>
      <c r="B1520" s="3" t="s">
        <v>20</v>
      </c>
      <c r="C1520" s="3" t="s">
        <v>720</v>
      </c>
      <c r="D1520" s="3" t="s">
        <v>12</v>
      </c>
      <c r="E1520" s="3" t="s">
        <v>33</v>
      </c>
      <c r="F1520" s="3" t="s">
        <v>487</v>
      </c>
      <c r="G1520" s="3"/>
      <c r="H1520" s="3"/>
    </row>
    <row r="1521" spans="1:8" x14ac:dyDescent="0.35">
      <c r="A1521" s="3" t="s">
        <v>665</v>
      </c>
      <c r="B1521" s="3" t="s">
        <v>20</v>
      </c>
      <c r="C1521" s="3" t="s">
        <v>720</v>
      </c>
      <c r="D1521" s="3" t="s">
        <v>25</v>
      </c>
      <c r="E1521" s="3" t="s">
        <v>33</v>
      </c>
      <c r="F1521" s="3" t="s">
        <v>487</v>
      </c>
      <c r="G1521" s="3"/>
      <c r="H1521" s="3"/>
    </row>
    <row r="1522" spans="1:8" x14ac:dyDescent="0.35">
      <c r="A1522" s="3" t="s">
        <v>665</v>
      </c>
      <c r="B1522" s="3" t="s">
        <v>20</v>
      </c>
      <c r="C1522" s="3" t="s">
        <v>720</v>
      </c>
      <c r="D1522" s="3" t="s">
        <v>60</v>
      </c>
      <c r="E1522" s="3" t="s">
        <v>33</v>
      </c>
      <c r="F1522" s="3" t="s">
        <v>487</v>
      </c>
      <c r="G1522" s="3"/>
      <c r="H1522" s="3"/>
    </row>
    <row r="1523" spans="1:8" x14ac:dyDescent="0.35">
      <c r="A1523" s="3" t="s">
        <v>665</v>
      </c>
      <c r="B1523" s="3" t="s">
        <v>20</v>
      </c>
      <c r="C1523" s="3" t="s">
        <v>720</v>
      </c>
      <c r="D1523" s="3" t="s">
        <v>141</v>
      </c>
      <c r="E1523" s="3" t="s">
        <v>33</v>
      </c>
      <c r="F1523" s="3" t="s">
        <v>487</v>
      </c>
      <c r="G1523" s="3"/>
      <c r="H1523" s="3"/>
    </row>
    <row r="1524" spans="1:8" x14ac:dyDescent="0.35">
      <c r="A1524" s="3" t="s">
        <v>665</v>
      </c>
      <c r="B1524" s="3" t="s">
        <v>20</v>
      </c>
      <c r="C1524" s="3" t="s">
        <v>720</v>
      </c>
      <c r="D1524" s="3" t="s">
        <v>142</v>
      </c>
      <c r="E1524" s="3" t="s">
        <v>33</v>
      </c>
      <c r="F1524" s="3" t="s">
        <v>487</v>
      </c>
      <c r="G1524" s="3"/>
      <c r="H1524" s="3"/>
    </row>
    <row r="1525" spans="1:8" x14ac:dyDescent="0.35">
      <c r="A1525" s="3" t="s">
        <v>665</v>
      </c>
      <c r="B1525" s="3" t="s">
        <v>20</v>
      </c>
      <c r="C1525" s="3" t="s">
        <v>720</v>
      </c>
      <c r="D1525" s="3" t="s">
        <v>77</v>
      </c>
      <c r="E1525" s="3" t="s">
        <v>33</v>
      </c>
      <c r="F1525" s="3" t="s">
        <v>487</v>
      </c>
      <c r="G1525" s="3"/>
      <c r="H1525" s="3"/>
    </row>
    <row r="1526" spans="1:8" x14ac:dyDescent="0.35">
      <c r="A1526" s="3" t="s">
        <v>665</v>
      </c>
      <c r="B1526" s="3" t="s">
        <v>20</v>
      </c>
      <c r="C1526" s="3" t="s">
        <v>720</v>
      </c>
      <c r="D1526" s="3" t="s">
        <v>28</v>
      </c>
      <c r="E1526" s="3" t="s">
        <v>33</v>
      </c>
      <c r="F1526" s="3" t="s">
        <v>487</v>
      </c>
      <c r="G1526" s="3"/>
      <c r="H1526" s="3"/>
    </row>
    <row r="1527" spans="1:8" x14ac:dyDescent="0.35">
      <c r="A1527" s="3" t="s">
        <v>665</v>
      </c>
      <c r="B1527" s="3" t="s">
        <v>20</v>
      </c>
      <c r="C1527" s="3" t="s">
        <v>720</v>
      </c>
      <c r="D1527" s="3" t="s">
        <v>715</v>
      </c>
      <c r="E1527" s="3" t="s">
        <v>33</v>
      </c>
      <c r="F1527" s="3" t="s">
        <v>487</v>
      </c>
      <c r="G1527" s="3"/>
      <c r="H1527" s="3"/>
    </row>
    <row r="1528" spans="1:8" x14ac:dyDescent="0.35">
      <c r="A1528" s="3" t="s">
        <v>665</v>
      </c>
      <c r="B1528" s="3" t="s">
        <v>20</v>
      </c>
      <c r="C1528" s="3" t="s">
        <v>720</v>
      </c>
      <c r="D1528" s="3" t="s">
        <v>716</v>
      </c>
      <c r="E1528" s="3" t="s">
        <v>33</v>
      </c>
      <c r="F1528" s="3" t="s">
        <v>487</v>
      </c>
      <c r="G1528" s="3"/>
      <c r="H1528" s="3"/>
    </row>
    <row r="1529" spans="1:8" x14ac:dyDescent="0.35">
      <c r="A1529" s="3" t="s">
        <v>665</v>
      </c>
      <c r="B1529" s="3" t="s">
        <v>20</v>
      </c>
      <c r="C1529" s="3" t="s">
        <v>720</v>
      </c>
      <c r="D1529" s="3" t="s">
        <v>57</v>
      </c>
      <c r="E1529" s="3" t="s">
        <v>33</v>
      </c>
      <c r="F1529" s="3" t="s">
        <v>487</v>
      </c>
      <c r="G1529" s="3"/>
      <c r="H1529" s="3"/>
    </row>
    <row r="1530" spans="1:8" x14ac:dyDescent="0.35">
      <c r="A1530" s="3" t="s">
        <v>665</v>
      </c>
      <c r="B1530" s="3" t="s">
        <v>20</v>
      </c>
      <c r="C1530" s="3" t="s">
        <v>720</v>
      </c>
      <c r="D1530" s="3" t="s">
        <v>175</v>
      </c>
      <c r="E1530" s="3" t="s">
        <v>33</v>
      </c>
      <c r="F1530" s="3" t="s">
        <v>487</v>
      </c>
      <c r="G1530" s="3"/>
      <c r="H1530" s="3"/>
    </row>
    <row r="1531" spans="1:8" x14ac:dyDescent="0.35">
      <c r="A1531" s="3" t="s">
        <v>665</v>
      </c>
      <c r="B1531" s="3" t="s">
        <v>20</v>
      </c>
      <c r="C1531" s="3" t="s">
        <v>720</v>
      </c>
      <c r="D1531" s="3" t="s">
        <v>32</v>
      </c>
      <c r="E1531" s="3" t="s">
        <v>33</v>
      </c>
      <c r="F1531" s="3" t="s">
        <v>487</v>
      </c>
      <c r="G1531" s="3"/>
      <c r="H1531" s="3"/>
    </row>
    <row r="1532" spans="1:8" x14ac:dyDescent="0.35">
      <c r="A1532" s="3" t="s">
        <v>665</v>
      </c>
      <c r="B1532" s="3" t="s">
        <v>20</v>
      </c>
      <c r="C1532" s="3" t="s">
        <v>720</v>
      </c>
      <c r="D1532" s="3" t="s">
        <v>29</v>
      </c>
      <c r="E1532" s="3" t="s">
        <v>33</v>
      </c>
      <c r="F1532" s="3" t="s">
        <v>487</v>
      </c>
      <c r="G1532" s="3"/>
      <c r="H1532" s="3"/>
    </row>
    <row r="1533" spans="1:8" x14ac:dyDescent="0.35">
      <c r="A1533" s="3" t="s">
        <v>665</v>
      </c>
      <c r="B1533" s="3" t="s">
        <v>20</v>
      </c>
      <c r="C1533" s="3" t="s">
        <v>720</v>
      </c>
      <c r="D1533" s="3" t="s">
        <v>107</v>
      </c>
      <c r="E1533" s="3" t="s">
        <v>33</v>
      </c>
      <c r="F1533" s="3" t="s">
        <v>487</v>
      </c>
      <c r="G1533" s="3"/>
      <c r="H1533" s="3"/>
    </row>
    <row r="1534" spans="1:8" x14ac:dyDescent="0.35">
      <c r="A1534" s="3" t="s">
        <v>665</v>
      </c>
      <c r="B1534" s="3" t="s">
        <v>20</v>
      </c>
      <c r="C1534" s="3" t="s">
        <v>721</v>
      </c>
      <c r="D1534" s="3" t="s">
        <v>12</v>
      </c>
      <c r="E1534" s="3"/>
      <c r="F1534" s="3"/>
      <c r="G1534" s="3"/>
      <c r="H1534" s="3"/>
    </row>
    <row r="1535" spans="1:8" x14ac:dyDescent="0.35">
      <c r="A1535" s="3" t="s">
        <v>665</v>
      </c>
      <c r="B1535" s="3" t="s">
        <v>20</v>
      </c>
      <c r="C1535" s="3" t="s">
        <v>721</v>
      </c>
      <c r="D1535" s="3" t="s">
        <v>15</v>
      </c>
      <c r="E1535" s="3" t="s">
        <v>13</v>
      </c>
      <c r="F1535" s="3" t="s">
        <v>722</v>
      </c>
      <c r="G1535" s="3"/>
      <c r="H1535" s="3"/>
    </row>
    <row r="1536" spans="1:8" x14ac:dyDescent="0.35">
      <c r="A1536" s="3" t="s">
        <v>665</v>
      </c>
      <c r="B1536" s="3" t="s">
        <v>20</v>
      </c>
      <c r="C1536" s="3" t="s">
        <v>721</v>
      </c>
      <c r="D1536" s="3" t="s">
        <v>57</v>
      </c>
      <c r="E1536" s="3"/>
      <c r="F1536" s="3"/>
      <c r="G1536" s="3"/>
      <c r="H1536" s="3"/>
    </row>
    <row r="1537" spans="1:8" x14ac:dyDescent="0.35">
      <c r="A1537" s="3" t="s">
        <v>665</v>
      </c>
      <c r="B1537" s="3" t="s">
        <v>20</v>
      </c>
      <c r="C1537" s="3" t="s">
        <v>721</v>
      </c>
      <c r="D1537" s="3" t="s">
        <v>29</v>
      </c>
      <c r="E1537" s="3" t="s">
        <v>33</v>
      </c>
      <c r="F1537" s="3" t="s">
        <v>723</v>
      </c>
      <c r="G1537" s="3"/>
      <c r="H1537" s="3"/>
    </row>
    <row r="1538" spans="1:8" x14ac:dyDescent="0.35">
      <c r="A1538" s="3" t="s">
        <v>665</v>
      </c>
      <c r="B1538" s="3" t="s">
        <v>20</v>
      </c>
      <c r="C1538" s="3" t="s">
        <v>724</v>
      </c>
      <c r="D1538" s="3" t="s">
        <v>12</v>
      </c>
      <c r="E1538" s="3"/>
      <c r="F1538" s="3"/>
      <c r="G1538" s="3"/>
      <c r="H1538" s="3"/>
    </row>
    <row r="1539" spans="1:8" x14ac:dyDescent="0.35">
      <c r="A1539" s="3" t="s">
        <v>665</v>
      </c>
      <c r="B1539" s="3" t="s">
        <v>20</v>
      </c>
      <c r="C1539" s="3" t="s">
        <v>724</v>
      </c>
      <c r="D1539" s="3" t="s">
        <v>47</v>
      </c>
      <c r="E1539" s="3"/>
      <c r="F1539" s="3"/>
      <c r="G1539" s="3"/>
      <c r="H1539" s="3"/>
    </row>
    <row r="1540" spans="1:8" x14ac:dyDescent="0.35">
      <c r="A1540" s="3" t="s">
        <v>665</v>
      </c>
      <c r="B1540" s="3" t="s">
        <v>20</v>
      </c>
      <c r="C1540" s="3" t="s">
        <v>724</v>
      </c>
      <c r="D1540" s="3" t="s">
        <v>28</v>
      </c>
      <c r="E1540" s="3"/>
      <c r="F1540" s="3" t="s">
        <v>2321</v>
      </c>
      <c r="G1540" s="3"/>
      <c r="H1540" s="3"/>
    </row>
    <row r="1541" spans="1:8" x14ac:dyDescent="0.35">
      <c r="A1541" s="3" t="s">
        <v>665</v>
      </c>
      <c r="B1541" s="3" t="s">
        <v>20</v>
      </c>
      <c r="C1541" s="3" t="s">
        <v>724</v>
      </c>
      <c r="D1541" s="3" t="s">
        <v>32</v>
      </c>
      <c r="E1541" s="3"/>
      <c r="F1541" s="3"/>
      <c r="G1541" s="3"/>
      <c r="H1541" s="3"/>
    </row>
    <row r="1542" spans="1:8" x14ac:dyDescent="0.35">
      <c r="A1542" s="3" t="s">
        <v>665</v>
      </c>
      <c r="B1542" s="3" t="s">
        <v>10</v>
      </c>
      <c r="C1542" s="3" t="s">
        <v>2828</v>
      </c>
      <c r="D1542" s="3" t="s">
        <v>12</v>
      </c>
      <c r="E1542" s="3"/>
      <c r="F1542" s="3"/>
      <c r="G1542" s="3"/>
      <c r="H1542" s="3"/>
    </row>
    <row r="1543" spans="1:8" x14ac:dyDescent="0.35">
      <c r="A1543" s="3" t="s">
        <v>665</v>
      </c>
      <c r="B1543" s="3" t="s">
        <v>10</v>
      </c>
      <c r="C1543" s="3" t="s">
        <v>2828</v>
      </c>
      <c r="D1543" s="3" t="s">
        <v>15</v>
      </c>
      <c r="E1543" s="3" t="s">
        <v>13</v>
      </c>
      <c r="F1543" s="3" t="s">
        <v>680</v>
      </c>
      <c r="G1543" s="3"/>
      <c r="H1543" s="3"/>
    </row>
    <row r="1544" spans="1:8" x14ac:dyDescent="0.35">
      <c r="A1544" s="3" t="s">
        <v>665</v>
      </c>
      <c r="B1544" s="3" t="s">
        <v>10</v>
      </c>
      <c r="C1544" s="3" t="s">
        <v>2828</v>
      </c>
      <c r="D1544" s="3" t="s">
        <v>134</v>
      </c>
      <c r="E1544" s="3"/>
      <c r="F1544" s="3"/>
      <c r="G1544" s="3"/>
      <c r="H1544" s="3"/>
    </row>
    <row r="1545" spans="1:8" x14ac:dyDescent="0.35">
      <c r="A1545" s="3" t="s">
        <v>665</v>
      </c>
      <c r="B1545" s="3" t="s">
        <v>45</v>
      </c>
      <c r="C1545" s="3" t="s">
        <v>725</v>
      </c>
      <c r="D1545" s="3" t="s">
        <v>77</v>
      </c>
      <c r="E1545" s="3"/>
      <c r="F1545" s="3"/>
      <c r="G1545" s="3"/>
      <c r="H1545" s="3"/>
    </row>
    <row r="1546" spans="1:8" x14ac:dyDescent="0.35">
      <c r="A1546" s="3" t="s">
        <v>665</v>
      </c>
      <c r="B1546" s="3" t="s">
        <v>45</v>
      </c>
      <c r="C1546" s="3" t="s">
        <v>726</v>
      </c>
      <c r="D1546" s="3" t="s">
        <v>77</v>
      </c>
      <c r="E1546" s="3"/>
      <c r="F1546" s="3"/>
      <c r="G1546" s="3"/>
      <c r="H1546" s="3"/>
    </row>
    <row r="1547" spans="1:8" x14ac:dyDescent="0.35">
      <c r="A1547" s="3" t="s">
        <v>665</v>
      </c>
      <c r="B1547" s="3" t="s">
        <v>45</v>
      </c>
      <c r="C1547" s="3" t="s">
        <v>727</v>
      </c>
      <c r="D1547" s="3" t="s">
        <v>77</v>
      </c>
      <c r="E1547" s="3"/>
      <c r="F1547" s="3"/>
      <c r="G1547" s="3"/>
      <c r="H1547" s="3"/>
    </row>
    <row r="1548" spans="1:8" x14ac:dyDescent="0.35">
      <c r="A1548" s="3" t="s">
        <v>665</v>
      </c>
      <c r="B1548" s="3" t="s">
        <v>39</v>
      </c>
      <c r="C1548" s="3" t="s">
        <v>728</v>
      </c>
      <c r="D1548" s="3" t="s">
        <v>47</v>
      </c>
      <c r="E1548" s="3" t="s">
        <v>13</v>
      </c>
      <c r="F1548" s="3" t="s">
        <v>729</v>
      </c>
      <c r="G1548" s="3"/>
      <c r="H1548" s="3"/>
    </row>
    <row r="1549" spans="1:8" x14ac:dyDescent="0.35">
      <c r="A1549" s="3" t="s">
        <v>665</v>
      </c>
      <c r="B1549" s="3" t="s">
        <v>39</v>
      </c>
      <c r="C1549" s="3" t="s">
        <v>728</v>
      </c>
      <c r="D1549" s="3" t="s">
        <v>25</v>
      </c>
      <c r="E1549" s="3" t="s">
        <v>13</v>
      </c>
      <c r="F1549" s="3" t="s">
        <v>729</v>
      </c>
      <c r="G1549" s="3"/>
      <c r="H1549" s="3"/>
    </row>
    <row r="1550" spans="1:8" x14ac:dyDescent="0.35">
      <c r="A1550" s="3" t="s">
        <v>665</v>
      </c>
      <c r="B1550" s="3" t="s">
        <v>39</v>
      </c>
      <c r="C1550" s="3" t="s">
        <v>728</v>
      </c>
      <c r="D1550" s="3" t="s">
        <v>27</v>
      </c>
      <c r="E1550" s="3" t="s">
        <v>13</v>
      </c>
      <c r="F1550" s="3" t="s">
        <v>729</v>
      </c>
      <c r="G1550" s="3"/>
      <c r="H1550" s="3"/>
    </row>
    <row r="1551" spans="1:8" x14ac:dyDescent="0.35">
      <c r="A1551" s="3" t="s">
        <v>665</v>
      </c>
      <c r="B1551" s="3" t="s">
        <v>39</v>
      </c>
      <c r="C1551" s="3" t="s">
        <v>728</v>
      </c>
      <c r="D1551" s="3" t="s">
        <v>28</v>
      </c>
      <c r="E1551" s="3" t="s">
        <v>13</v>
      </c>
      <c r="F1551" s="3" t="s">
        <v>730</v>
      </c>
      <c r="G1551" s="3"/>
      <c r="H1551" s="3"/>
    </row>
    <row r="1552" spans="1:8" x14ac:dyDescent="0.35">
      <c r="A1552" s="3" t="s">
        <v>665</v>
      </c>
      <c r="B1552" s="3" t="s">
        <v>39</v>
      </c>
      <c r="C1552" s="3" t="s">
        <v>728</v>
      </c>
      <c r="D1552" s="3" t="s">
        <v>57</v>
      </c>
      <c r="E1552" s="3" t="s">
        <v>13</v>
      </c>
      <c r="F1552" s="3" t="s">
        <v>731</v>
      </c>
      <c r="G1552" s="3"/>
      <c r="H1552" s="3"/>
    </row>
    <row r="1553" spans="1:8" x14ac:dyDescent="0.35">
      <c r="A1553" s="3" t="s">
        <v>665</v>
      </c>
      <c r="B1553" s="3" t="s">
        <v>39</v>
      </c>
      <c r="C1553" s="3" t="s">
        <v>732</v>
      </c>
      <c r="D1553" s="3" t="s">
        <v>47</v>
      </c>
      <c r="E1553" s="3" t="s">
        <v>13</v>
      </c>
      <c r="F1553" s="3" t="s">
        <v>733</v>
      </c>
      <c r="G1553" s="3"/>
      <c r="H1553" s="3"/>
    </row>
    <row r="1554" spans="1:8" x14ac:dyDescent="0.35">
      <c r="A1554" s="3" t="s">
        <v>665</v>
      </c>
      <c r="B1554" s="3" t="s">
        <v>39</v>
      </c>
      <c r="C1554" s="3" t="s">
        <v>732</v>
      </c>
      <c r="D1554" s="3" t="s">
        <v>25</v>
      </c>
      <c r="E1554" s="3" t="s">
        <v>13</v>
      </c>
      <c r="F1554" s="3" t="s">
        <v>733</v>
      </c>
      <c r="G1554" s="3"/>
      <c r="H1554" s="3"/>
    </row>
    <row r="1555" spans="1:8" x14ac:dyDescent="0.35">
      <c r="A1555" s="3" t="s">
        <v>665</v>
      </c>
      <c r="B1555" s="3" t="s">
        <v>39</v>
      </c>
      <c r="C1555" s="3" t="s">
        <v>732</v>
      </c>
      <c r="D1555" s="3" t="s">
        <v>141</v>
      </c>
      <c r="E1555" s="3" t="s">
        <v>13</v>
      </c>
      <c r="F1555" s="3" t="s">
        <v>733</v>
      </c>
      <c r="G1555" s="3"/>
      <c r="H1555" s="3"/>
    </row>
    <row r="1556" spans="1:8" x14ac:dyDescent="0.35">
      <c r="A1556" s="3" t="s">
        <v>665</v>
      </c>
      <c r="B1556" s="3" t="s">
        <v>39</v>
      </c>
      <c r="C1556" s="3" t="s">
        <v>732</v>
      </c>
      <c r="D1556" s="3" t="s">
        <v>28</v>
      </c>
      <c r="E1556" s="3" t="s">
        <v>13</v>
      </c>
      <c r="F1556" s="3" t="s">
        <v>734</v>
      </c>
      <c r="G1556" s="3"/>
      <c r="H1556" s="3"/>
    </row>
    <row r="1557" spans="1:8" x14ac:dyDescent="0.35">
      <c r="A1557" s="3" t="s">
        <v>665</v>
      </c>
      <c r="B1557" s="3" t="s">
        <v>39</v>
      </c>
      <c r="C1557" s="3" t="s">
        <v>732</v>
      </c>
      <c r="D1557" s="3" t="s">
        <v>31</v>
      </c>
      <c r="E1557" s="3" t="s">
        <v>13</v>
      </c>
      <c r="F1557" s="3" t="s">
        <v>733</v>
      </c>
      <c r="G1557" s="3"/>
      <c r="H1557" s="3"/>
    </row>
    <row r="1558" spans="1:8" x14ac:dyDescent="0.35">
      <c r="A1558" s="3" t="s">
        <v>665</v>
      </c>
      <c r="B1558" s="3" t="s">
        <v>39</v>
      </c>
      <c r="C1558" s="3" t="s">
        <v>732</v>
      </c>
      <c r="D1558" s="3" t="s">
        <v>15</v>
      </c>
      <c r="E1558" s="3" t="s">
        <v>13</v>
      </c>
      <c r="F1558" s="3" t="s">
        <v>733</v>
      </c>
      <c r="G1558" s="3"/>
      <c r="H1558" s="3"/>
    </row>
    <row r="1559" spans="1:8" x14ac:dyDescent="0.35">
      <c r="A1559" s="3" t="s">
        <v>665</v>
      </c>
      <c r="B1559" s="3" t="s">
        <v>39</v>
      </c>
      <c r="C1559" s="3" t="s">
        <v>732</v>
      </c>
      <c r="D1559" s="3" t="s">
        <v>32</v>
      </c>
      <c r="E1559" s="3" t="s">
        <v>13</v>
      </c>
      <c r="F1559" s="3" t="s">
        <v>2407</v>
      </c>
      <c r="G1559" s="3"/>
      <c r="H1559" s="3"/>
    </row>
    <row r="1560" spans="1:8" x14ac:dyDescent="0.35">
      <c r="A1560" s="3" t="s">
        <v>665</v>
      </c>
      <c r="B1560" s="3" t="s">
        <v>39</v>
      </c>
      <c r="C1560" s="3" t="s">
        <v>732</v>
      </c>
      <c r="D1560" s="3" t="s">
        <v>26</v>
      </c>
      <c r="E1560" s="3" t="s">
        <v>13</v>
      </c>
      <c r="F1560" s="3" t="s">
        <v>733</v>
      </c>
      <c r="G1560" s="3"/>
      <c r="H1560" s="3"/>
    </row>
    <row r="1561" spans="1:8" x14ac:dyDescent="0.35">
      <c r="A1561" s="3" t="s">
        <v>665</v>
      </c>
      <c r="B1561" s="3" t="s">
        <v>39</v>
      </c>
      <c r="C1561" s="3" t="s">
        <v>732</v>
      </c>
      <c r="D1561" s="3" t="s">
        <v>29</v>
      </c>
      <c r="E1561" s="3" t="s">
        <v>13</v>
      </c>
      <c r="F1561" s="3" t="s">
        <v>733</v>
      </c>
      <c r="G1561" s="3"/>
      <c r="H1561" s="3"/>
    </row>
    <row r="1562" spans="1:8" x14ac:dyDescent="0.35">
      <c r="A1562" s="3" t="s">
        <v>665</v>
      </c>
      <c r="B1562" s="3" t="s">
        <v>39</v>
      </c>
      <c r="C1562" s="3" t="s">
        <v>732</v>
      </c>
      <c r="D1562" s="3" t="s">
        <v>152</v>
      </c>
      <c r="E1562" s="3" t="s">
        <v>13</v>
      </c>
      <c r="F1562" s="3" t="s">
        <v>2408</v>
      </c>
      <c r="G1562" s="3"/>
      <c r="H1562" s="3"/>
    </row>
    <row r="1563" spans="1:8" x14ac:dyDescent="0.35">
      <c r="A1563" s="3" t="s">
        <v>665</v>
      </c>
      <c r="B1563" s="3" t="s">
        <v>39</v>
      </c>
      <c r="C1563" s="3" t="s">
        <v>732</v>
      </c>
      <c r="D1563" s="3" t="s">
        <v>134</v>
      </c>
      <c r="E1563" s="3" t="s">
        <v>13</v>
      </c>
      <c r="F1563" s="3" t="s">
        <v>733</v>
      </c>
      <c r="G1563" s="3"/>
      <c r="H1563" s="3"/>
    </row>
    <row r="1564" spans="1:8" x14ac:dyDescent="0.35">
      <c r="A1564" s="3" t="s">
        <v>665</v>
      </c>
      <c r="B1564" s="3" t="s">
        <v>39</v>
      </c>
      <c r="C1564" s="3" t="s">
        <v>732</v>
      </c>
      <c r="D1564" s="3" t="s">
        <v>107</v>
      </c>
      <c r="E1564" s="3" t="s">
        <v>13</v>
      </c>
      <c r="F1564" s="3" t="s">
        <v>733</v>
      </c>
      <c r="G1564" s="3"/>
      <c r="H1564" s="3"/>
    </row>
    <row r="1565" spans="1:8" x14ac:dyDescent="0.35">
      <c r="A1565" s="3" t="s">
        <v>665</v>
      </c>
      <c r="B1565" s="3" t="s">
        <v>45</v>
      </c>
      <c r="C1565" s="3" t="s">
        <v>735</v>
      </c>
      <c r="D1565" s="3" t="s">
        <v>77</v>
      </c>
      <c r="E1565" s="3"/>
      <c r="F1565" s="3"/>
      <c r="G1565" s="3"/>
      <c r="H1565" s="3"/>
    </row>
    <row r="1566" spans="1:8" x14ac:dyDescent="0.35">
      <c r="A1566" s="3" t="s">
        <v>665</v>
      </c>
      <c r="B1566" s="3" t="s">
        <v>45</v>
      </c>
      <c r="C1566" s="3" t="s">
        <v>736</v>
      </c>
      <c r="D1566" s="3" t="s">
        <v>77</v>
      </c>
      <c r="E1566" s="3"/>
      <c r="F1566" s="3"/>
      <c r="G1566" s="3"/>
      <c r="H1566" s="3"/>
    </row>
    <row r="1567" spans="1:8" x14ac:dyDescent="0.35">
      <c r="A1567" s="3" t="s">
        <v>665</v>
      </c>
      <c r="B1567" s="3" t="s">
        <v>45</v>
      </c>
      <c r="C1567" s="3" t="s">
        <v>737</v>
      </c>
      <c r="D1567" s="3" t="s">
        <v>25</v>
      </c>
      <c r="E1567" s="3"/>
      <c r="F1567" s="3"/>
      <c r="G1567" s="3"/>
      <c r="H1567" s="3"/>
    </row>
    <row r="1568" spans="1:8" x14ac:dyDescent="0.35">
      <c r="A1568" s="3" t="s">
        <v>665</v>
      </c>
      <c r="B1568" s="3" t="s">
        <v>45</v>
      </c>
      <c r="C1568" s="3" t="s">
        <v>737</v>
      </c>
      <c r="D1568" s="3" t="s">
        <v>142</v>
      </c>
      <c r="E1568" s="3"/>
      <c r="F1568" s="3"/>
      <c r="G1568" s="3"/>
      <c r="H1568" s="3"/>
    </row>
    <row r="1569" spans="1:8" x14ac:dyDescent="0.35">
      <c r="A1569" s="3" t="s">
        <v>665</v>
      </c>
      <c r="B1569" s="3" t="s">
        <v>45</v>
      </c>
      <c r="C1569" s="3" t="s">
        <v>737</v>
      </c>
      <c r="D1569" s="3" t="s">
        <v>32</v>
      </c>
      <c r="E1569" s="3"/>
      <c r="F1569" s="3"/>
      <c r="G1569" s="3"/>
      <c r="H1569" s="3"/>
    </row>
    <row r="1570" spans="1:8" x14ac:dyDescent="0.35">
      <c r="A1570" s="3" t="s">
        <v>665</v>
      </c>
      <c r="B1570" s="3" t="s">
        <v>45</v>
      </c>
      <c r="C1570" s="3" t="s">
        <v>737</v>
      </c>
      <c r="D1570" s="3" t="s">
        <v>29</v>
      </c>
      <c r="E1570" s="3"/>
      <c r="F1570" s="3" t="s">
        <v>2315</v>
      </c>
      <c r="G1570" s="3"/>
      <c r="H1570" s="3"/>
    </row>
    <row r="1571" spans="1:8" x14ac:dyDescent="0.35">
      <c r="A1571" s="3" t="s">
        <v>665</v>
      </c>
      <c r="B1571" s="3" t="s">
        <v>45</v>
      </c>
      <c r="C1571" s="3" t="s">
        <v>738</v>
      </c>
      <c r="D1571" s="3" t="s">
        <v>166</v>
      </c>
      <c r="E1571" s="3"/>
      <c r="F1571" s="3"/>
      <c r="G1571" s="3"/>
      <c r="H1571" s="3"/>
    </row>
    <row r="1572" spans="1:8" x14ac:dyDescent="0.35">
      <c r="A1572" s="3" t="s">
        <v>665</v>
      </c>
      <c r="B1572" s="3" t="s">
        <v>45</v>
      </c>
      <c r="C1572" s="3" t="s">
        <v>738</v>
      </c>
      <c r="D1572" s="3" t="s">
        <v>217</v>
      </c>
      <c r="E1572" s="3"/>
      <c r="F1572" s="3"/>
      <c r="G1572" s="3"/>
      <c r="H1572" s="3"/>
    </row>
    <row r="1573" spans="1:8" x14ac:dyDescent="0.35">
      <c r="A1573" s="3" t="s">
        <v>665</v>
      </c>
      <c r="B1573" s="3" t="s">
        <v>45</v>
      </c>
      <c r="C1573" s="3" t="s">
        <v>738</v>
      </c>
      <c r="D1573" s="3" t="s">
        <v>23</v>
      </c>
      <c r="E1573" s="3" t="s">
        <v>13</v>
      </c>
      <c r="F1573" s="3" t="s">
        <v>739</v>
      </c>
      <c r="G1573" s="3"/>
      <c r="H1573" s="3"/>
    </row>
    <row r="1574" spans="1:8" x14ac:dyDescent="0.35">
      <c r="A1574" s="3" t="s">
        <v>665</v>
      </c>
      <c r="B1574" s="3" t="s">
        <v>45</v>
      </c>
      <c r="C1574" s="3" t="s">
        <v>738</v>
      </c>
      <c r="D1574" s="3" t="s">
        <v>220</v>
      </c>
      <c r="E1574" s="3"/>
      <c r="F1574" s="3"/>
      <c r="G1574" s="3"/>
      <c r="H1574" s="3"/>
    </row>
    <row r="1575" spans="1:8" x14ac:dyDescent="0.35">
      <c r="A1575" s="3" t="s">
        <v>665</v>
      </c>
      <c r="B1575" s="3" t="s">
        <v>45</v>
      </c>
      <c r="C1575" s="3" t="s">
        <v>738</v>
      </c>
      <c r="D1575" s="3" t="s">
        <v>225</v>
      </c>
      <c r="E1575" s="3"/>
      <c r="F1575" s="3"/>
      <c r="G1575" s="3"/>
      <c r="H1575" s="3"/>
    </row>
    <row r="1576" spans="1:8" x14ac:dyDescent="0.35">
      <c r="A1576" s="3" t="s">
        <v>665</v>
      </c>
      <c r="B1576" s="3" t="s">
        <v>45</v>
      </c>
      <c r="C1576" s="3" t="s">
        <v>738</v>
      </c>
      <c r="D1576" s="3" t="s">
        <v>77</v>
      </c>
      <c r="E1576" s="3"/>
      <c r="F1576" s="3"/>
      <c r="G1576" s="3"/>
      <c r="H1576" s="3"/>
    </row>
    <row r="1577" spans="1:8" x14ac:dyDescent="0.35">
      <c r="A1577" s="3" t="s">
        <v>665</v>
      </c>
      <c r="B1577" s="3" t="s">
        <v>45</v>
      </c>
      <c r="C1577" s="3" t="s">
        <v>738</v>
      </c>
      <c r="D1577" s="3" t="s">
        <v>221</v>
      </c>
      <c r="E1577" s="3"/>
      <c r="F1577" s="3"/>
      <c r="G1577" s="3"/>
      <c r="H1577" s="3"/>
    </row>
    <row r="1578" spans="1:8" x14ac:dyDescent="0.35">
      <c r="A1578" s="3" t="s">
        <v>665</v>
      </c>
      <c r="B1578" s="3" t="s">
        <v>45</v>
      </c>
      <c r="C1578" s="3" t="s">
        <v>738</v>
      </c>
      <c r="D1578" s="3" t="s">
        <v>222</v>
      </c>
      <c r="E1578" s="3"/>
      <c r="F1578" s="3"/>
      <c r="G1578" s="3"/>
      <c r="H1578" s="3"/>
    </row>
    <row r="1579" spans="1:8" x14ac:dyDescent="0.35">
      <c r="A1579" s="3" t="s">
        <v>665</v>
      </c>
      <c r="B1579" s="3" t="s">
        <v>45</v>
      </c>
      <c r="C1579" s="3" t="s">
        <v>738</v>
      </c>
      <c r="D1579" s="3" t="s">
        <v>223</v>
      </c>
      <c r="E1579" s="3"/>
      <c r="F1579" s="3"/>
      <c r="G1579" s="3"/>
      <c r="H1579" s="3"/>
    </row>
    <row r="1580" spans="1:8" x14ac:dyDescent="0.35">
      <c r="A1580" s="3" t="s">
        <v>665</v>
      </c>
      <c r="B1580" s="3" t="s">
        <v>45</v>
      </c>
      <c r="C1580" s="3" t="s">
        <v>738</v>
      </c>
      <c r="D1580" s="3" t="s">
        <v>226</v>
      </c>
      <c r="E1580" s="3"/>
      <c r="F1580" s="3"/>
      <c r="G1580" s="3"/>
      <c r="H1580" s="3"/>
    </row>
    <row r="1581" spans="1:8" x14ac:dyDescent="0.35">
      <c r="A1581" s="3" t="s">
        <v>665</v>
      </c>
      <c r="B1581" s="3" t="s">
        <v>45</v>
      </c>
      <c r="C1581" s="3" t="s">
        <v>738</v>
      </c>
      <c r="D1581" s="3" t="s">
        <v>227</v>
      </c>
      <c r="E1581" s="3"/>
      <c r="F1581" s="3"/>
      <c r="G1581" s="3"/>
      <c r="H1581" s="3"/>
    </row>
    <row r="1582" spans="1:8" x14ac:dyDescent="0.35">
      <c r="A1582" s="3" t="s">
        <v>665</v>
      </c>
      <c r="B1582" s="3" t="s">
        <v>45</v>
      </c>
      <c r="C1582" s="3" t="s">
        <v>738</v>
      </c>
      <c r="D1582" s="3" t="s">
        <v>228</v>
      </c>
      <c r="E1582" s="3"/>
      <c r="F1582" s="3"/>
      <c r="G1582" s="3"/>
      <c r="H1582" s="3"/>
    </row>
    <row r="1583" spans="1:8" x14ac:dyDescent="0.35">
      <c r="A1583" s="3" t="s">
        <v>665</v>
      </c>
      <c r="B1583" s="3" t="s">
        <v>45</v>
      </c>
      <c r="C1583" s="3" t="s">
        <v>738</v>
      </c>
      <c r="D1583" s="3" t="s">
        <v>229</v>
      </c>
      <c r="E1583" s="3"/>
      <c r="F1583" s="3"/>
      <c r="G1583" s="3"/>
      <c r="H1583" s="3"/>
    </row>
    <row r="1584" spans="1:8" x14ac:dyDescent="0.35">
      <c r="A1584" s="3" t="s">
        <v>665</v>
      </c>
      <c r="B1584" s="3" t="s">
        <v>45</v>
      </c>
      <c r="C1584" s="3" t="s">
        <v>738</v>
      </c>
      <c r="D1584" s="3" t="s">
        <v>230</v>
      </c>
      <c r="E1584" s="3"/>
      <c r="F1584" s="3"/>
      <c r="G1584" s="3"/>
      <c r="H1584" s="3"/>
    </row>
    <row r="1585" spans="1:8" x14ac:dyDescent="0.35">
      <c r="A1585" s="3" t="s">
        <v>665</v>
      </c>
      <c r="B1585" s="3" t="s">
        <v>45</v>
      </c>
      <c r="C1585" s="3" t="s">
        <v>738</v>
      </c>
      <c r="D1585" s="3" t="s">
        <v>32</v>
      </c>
      <c r="E1585" s="3" t="s">
        <v>33</v>
      </c>
      <c r="F1585" s="3" t="s">
        <v>314</v>
      </c>
      <c r="G1585" s="3"/>
      <c r="H1585" s="3"/>
    </row>
    <row r="1586" spans="1:8" x14ac:dyDescent="0.35">
      <c r="A1586" s="3" t="s">
        <v>665</v>
      </c>
      <c r="B1586" s="3" t="s">
        <v>45</v>
      </c>
      <c r="C1586" s="3" t="s">
        <v>738</v>
      </c>
      <c r="D1586" s="3" t="s">
        <v>24</v>
      </c>
      <c r="E1586" s="3"/>
      <c r="F1586" s="3" t="s">
        <v>2411</v>
      </c>
      <c r="G1586" s="3"/>
      <c r="H1586" s="3"/>
    </row>
    <row r="1587" spans="1:8" x14ac:dyDescent="0.35">
      <c r="A1587" s="3" t="s">
        <v>665</v>
      </c>
      <c r="B1587" s="3" t="s">
        <v>45</v>
      </c>
      <c r="C1587" s="3" t="s">
        <v>738</v>
      </c>
      <c r="D1587" s="3" t="s">
        <v>219</v>
      </c>
      <c r="E1587" s="3"/>
      <c r="F1587" s="3"/>
      <c r="G1587" s="3"/>
      <c r="H1587" s="3"/>
    </row>
    <row r="1588" spans="1:8" x14ac:dyDescent="0.35">
      <c r="A1588" s="3" t="s">
        <v>665</v>
      </c>
      <c r="B1588" s="3" t="s">
        <v>45</v>
      </c>
      <c r="C1588" s="3" t="s">
        <v>738</v>
      </c>
      <c r="D1588" s="3" t="s">
        <v>218</v>
      </c>
      <c r="E1588" s="3"/>
      <c r="F1588" s="3"/>
      <c r="G1588" s="3"/>
      <c r="H1588" s="3"/>
    </row>
    <row r="1589" spans="1:8" x14ac:dyDescent="0.35">
      <c r="A1589" s="3" t="s">
        <v>665</v>
      </c>
      <c r="B1589" s="3" t="s">
        <v>45</v>
      </c>
      <c r="C1589" s="3" t="s">
        <v>738</v>
      </c>
      <c r="D1589" s="3" t="s">
        <v>224</v>
      </c>
      <c r="E1589" s="3"/>
      <c r="F1589" s="3"/>
      <c r="G1589" s="3"/>
      <c r="H1589" s="3"/>
    </row>
    <row r="1590" spans="1:8" x14ac:dyDescent="0.35">
      <c r="A1590" s="3" t="s">
        <v>665</v>
      </c>
      <c r="B1590" s="3" t="s">
        <v>45</v>
      </c>
      <c r="C1590" s="3" t="s">
        <v>740</v>
      </c>
      <c r="D1590" s="3" t="s">
        <v>28</v>
      </c>
      <c r="E1590" s="3"/>
      <c r="F1590" s="3"/>
      <c r="G1590" s="3"/>
      <c r="H1590" s="3"/>
    </row>
    <row r="1591" spans="1:8" x14ac:dyDescent="0.35">
      <c r="A1591" s="3" t="s">
        <v>665</v>
      </c>
      <c r="B1591" s="3" t="s">
        <v>45</v>
      </c>
      <c r="C1591" s="3" t="s">
        <v>741</v>
      </c>
      <c r="D1591" s="3" t="s">
        <v>25</v>
      </c>
      <c r="E1591" s="3"/>
      <c r="F1591" s="3"/>
      <c r="G1591" s="3"/>
      <c r="H1591" s="3"/>
    </row>
    <row r="1592" spans="1:8" x14ac:dyDescent="0.35">
      <c r="A1592" s="3" t="s">
        <v>665</v>
      </c>
      <c r="B1592" s="3" t="s">
        <v>45</v>
      </c>
      <c r="C1592" s="3" t="s">
        <v>741</v>
      </c>
      <c r="D1592" s="3" t="s">
        <v>142</v>
      </c>
      <c r="E1592" s="3"/>
      <c r="F1592" s="3"/>
      <c r="G1592" s="3"/>
      <c r="H1592" s="3"/>
    </row>
    <row r="1593" spans="1:8" x14ac:dyDescent="0.35">
      <c r="A1593" s="3" t="s">
        <v>665</v>
      </c>
      <c r="B1593" s="3" t="s">
        <v>45</v>
      </c>
      <c r="C1593" s="3" t="s">
        <v>741</v>
      </c>
      <c r="D1593" s="3" t="s">
        <v>32</v>
      </c>
      <c r="E1593" s="3"/>
      <c r="F1593" s="3"/>
      <c r="G1593" s="3"/>
      <c r="H1593" s="3"/>
    </row>
    <row r="1594" spans="1:8" x14ac:dyDescent="0.35">
      <c r="A1594" s="3" t="s">
        <v>665</v>
      </c>
      <c r="B1594" s="3" t="s">
        <v>20</v>
      </c>
      <c r="C1594" s="3" t="s">
        <v>742</v>
      </c>
      <c r="D1594" s="3" t="s">
        <v>47</v>
      </c>
      <c r="E1594" s="3" t="s">
        <v>33</v>
      </c>
      <c r="F1594" s="3" t="s">
        <v>743</v>
      </c>
      <c r="G1594" s="3"/>
      <c r="H1594" s="3"/>
    </row>
    <row r="1595" spans="1:8" x14ac:dyDescent="0.35">
      <c r="A1595" s="3" t="s">
        <v>665</v>
      </c>
      <c r="B1595" s="3" t="s">
        <v>20</v>
      </c>
      <c r="C1595" s="3" t="s">
        <v>742</v>
      </c>
      <c r="D1595" s="3" t="s">
        <v>25</v>
      </c>
      <c r="E1595" s="3" t="s">
        <v>33</v>
      </c>
      <c r="F1595" s="3" t="s">
        <v>743</v>
      </c>
      <c r="G1595" s="3"/>
      <c r="H1595" s="3"/>
    </row>
    <row r="1596" spans="1:8" x14ac:dyDescent="0.35">
      <c r="A1596" s="3" t="s">
        <v>665</v>
      </c>
      <c r="B1596" s="3" t="s">
        <v>20</v>
      </c>
      <c r="C1596" s="3" t="s">
        <v>742</v>
      </c>
      <c r="D1596" s="3" t="s">
        <v>134</v>
      </c>
      <c r="E1596" s="3" t="s">
        <v>33</v>
      </c>
      <c r="F1596" s="3" t="s">
        <v>743</v>
      </c>
      <c r="G1596" s="3"/>
      <c r="H1596" s="3"/>
    </row>
    <row r="1597" spans="1:8" x14ac:dyDescent="0.35">
      <c r="A1597" s="3" t="s">
        <v>665</v>
      </c>
      <c r="B1597" s="3" t="s">
        <v>20</v>
      </c>
      <c r="C1597" s="3" t="s">
        <v>742</v>
      </c>
      <c r="D1597" s="3" t="s">
        <v>107</v>
      </c>
      <c r="E1597" s="3" t="s">
        <v>33</v>
      </c>
      <c r="F1597" s="3" t="s">
        <v>743</v>
      </c>
      <c r="G1597" s="3"/>
      <c r="H1597" s="3"/>
    </row>
    <row r="1598" spans="1:8" x14ac:dyDescent="0.35">
      <c r="A1598" s="3" t="s">
        <v>665</v>
      </c>
      <c r="B1598" s="3" t="s">
        <v>20</v>
      </c>
      <c r="C1598" s="3" t="s">
        <v>744</v>
      </c>
      <c r="D1598" s="3" t="s">
        <v>25</v>
      </c>
      <c r="E1598" s="3" t="s">
        <v>13</v>
      </c>
      <c r="F1598" s="3" t="s">
        <v>733</v>
      </c>
      <c r="G1598" s="3"/>
      <c r="H1598" s="3"/>
    </row>
    <row r="1599" spans="1:8" x14ac:dyDescent="0.35">
      <c r="A1599" s="3" t="s">
        <v>665</v>
      </c>
      <c r="B1599" s="3" t="s">
        <v>20</v>
      </c>
      <c r="C1599" s="3" t="s">
        <v>744</v>
      </c>
      <c r="D1599" s="3" t="s">
        <v>60</v>
      </c>
      <c r="E1599" s="3" t="s">
        <v>13</v>
      </c>
      <c r="F1599" s="3" t="s">
        <v>733</v>
      </c>
      <c r="G1599" s="3"/>
      <c r="H1599" s="3"/>
    </row>
    <row r="1600" spans="1:8" x14ac:dyDescent="0.35">
      <c r="A1600" s="3" t="s">
        <v>665</v>
      </c>
      <c r="B1600" s="3" t="s">
        <v>20</v>
      </c>
      <c r="C1600" s="3" t="s">
        <v>744</v>
      </c>
      <c r="D1600" s="3" t="s">
        <v>28</v>
      </c>
      <c r="E1600" s="3" t="s">
        <v>13</v>
      </c>
      <c r="F1600" s="3" t="s">
        <v>733</v>
      </c>
      <c r="G1600" s="3"/>
      <c r="H1600" s="3"/>
    </row>
    <row r="1601" spans="1:8" x14ac:dyDescent="0.35">
      <c r="A1601" s="3" t="s">
        <v>665</v>
      </c>
      <c r="B1601" s="3" t="s">
        <v>20</v>
      </c>
      <c r="C1601" s="3" t="s">
        <v>744</v>
      </c>
      <c r="D1601" s="3" t="s">
        <v>15</v>
      </c>
      <c r="E1601" s="3" t="s">
        <v>13</v>
      </c>
      <c r="F1601" s="3" t="s">
        <v>733</v>
      </c>
      <c r="G1601" s="3"/>
      <c r="H1601" s="3"/>
    </row>
    <row r="1602" spans="1:8" x14ac:dyDescent="0.35">
      <c r="A1602" s="3" t="s">
        <v>665</v>
      </c>
      <c r="B1602" s="3" t="s">
        <v>20</v>
      </c>
      <c r="C1602" s="3" t="s">
        <v>744</v>
      </c>
      <c r="D1602" s="3" t="s">
        <v>134</v>
      </c>
      <c r="E1602" s="3" t="s">
        <v>13</v>
      </c>
      <c r="F1602" s="3" t="s">
        <v>2413</v>
      </c>
      <c r="G1602" s="3"/>
      <c r="H1602" s="3"/>
    </row>
    <row r="1603" spans="1:8" x14ac:dyDescent="0.35">
      <c r="A1603" s="3" t="s">
        <v>665</v>
      </c>
      <c r="B1603" s="3" t="s">
        <v>45</v>
      </c>
      <c r="C1603" s="3" t="s">
        <v>745</v>
      </c>
      <c r="D1603" s="3" t="s">
        <v>77</v>
      </c>
      <c r="E1603" s="3"/>
      <c r="F1603" s="3"/>
      <c r="G1603" s="3"/>
      <c r="H1603" s="3"/>
    </row>
    <row r="1604" spans="1:8" x14ac:dyDescent="0.35">
      <c r="A1604" s="3" t="s">
        <v>665</v>
      </c>
      <c r="B1604" s="3" t="s">
        <v>129</v>
      </c>
      <c r="C1604" s="3" t="s">
        <v>746</v>
      </c>
      <c r="D1604" s="3" t="s">
        <v>15</v>
      </c>
      <c r="E1604" s="3" t="s">
        <v>13</v>
      </c>
      <c r="F1604" s="3" t="s">
        <v>747</v>
      </c>
      <c r="G1604" s="3"/>
      <c r="H1604" s="3"/>
    </row>
    <row r="1605" spans="1:8" x14ac:dyDescent="0.35">
      <c r="A1605" s="3" t="s">
        <v>665</v>
      </c>
      <c r="B1605" s="3" t="s">
        <v>129</v>
      </c>
      <c r="C1605" s="3" t="s">
        <v>746</v>
      </c>
      <c r="D1605" s="3" t="s">
        <v>57</v>
      </c>
      <c r="E1605" s="3"/>
      <c r="F1605" s="3"/>
      <c r="G1605" s="3"/>
      <c r="H1605" s="3"/>
    </row>
    <row r="1606" spans="1:8" x14ac:dyDescent="0.35">
      <c r="A1606" s="3" t="s">
        <v>665</v>
      </c>
      <c r="B1606" s="3" t="s">
        <v>129</v>
      </c>
      <c r="C1606" s="3" t="s">
        <v>746</v>
      </c>
      <c r="D1606" s="3" t="s">
        <v>32</v>
      </c>
      <c r="E1606" s="3" t="s">
        <v>13</v>
      </c>
      <c r="F1606" s="3" t="s">
        <v>748</v>
      </c>
      <c r="G1606" s="3"/>
      <c r="H1606" s="3"/>
    </row>
    <row r="1607" spans="1:8" x14ac:dyDescent="0.35">
      <c r="A1607" s="3" t="s">
        <v>665</v>
      </c>
      <c r="B1607" s="3" t="s">
        <v>129</v>
      </c>
      <c r="C1607" s="3" t="s">
        <v>746</v>
      </c>
      <c r="D1607" s="3" t="s">
        <v>134</v>
      </c>
      <c r="E1607" s="3" t="s">
        <v>13</v>
      </c>
      <c r="F1607" s="3" t="s">
        <v>2634</v>
      </c>
      <c r="G1607" s="3"/>
      <c r="H1607" s="3"/>
    </row>
    <row r="1608" spans="1:8" x14ac:dyDescent="0.35">
      <c r="A1608" s="3" t="s">
        <v>665</v>
      </c>
      <c r="B1608" s="3" t="s">
        <v>10</v>
      </c>
      <c r="C1608" s="3" t="s">
        <v>2587</v>
      </c>
      <c r="D1608" s="3" t="s">
        <v>36</v>
      </c>
      <c r="E1608" s="3"/>
      <c r="F1608" s="3"/>
      <c r="G1608" s="3"/>
      <c r="H1608" s="3"/>
    </row>
    <row r="1609" spans="1:8" x14ac:dyDescent="0.35">
      <c r="A1609" s="3" t="s">
        <v>665</v>
      </c>
      <c r="B1609" s="3" t="s">
        <v>10</v>
      </c>
      <c r="C1609" s="3" t="s">
        <v>2587</v>
      </c>
      <c r="D1609" s="3" t="s">
        <v>47</v>
      </c>
      <c r="E1609" s="3"/>
      <c r="F1609" s="3"/>
      <c r="G1609" s="3"/>
      <c r="H1609" s="3"/>
    </row>
    <row r="1610" spans="1:8" x14ac:dyDescent="0.35">
      <c r="A1610" s="3" t="s">
        <v>665</v>
      </c>
      <c r="B1610" s="3" t="s">
        <v>10</v>
      </c>
      <c r="C1610" s="3" t="s">
        <v>749</v>
      </c>
      <c r="D1610" s="3" t="s">
        <v>47</v>
      </c>
      <c r="E1610" s="3"/>
      <c r="F1610" s="3"/>
      <c r="G1610" s="3"/>
      <c r="H1610" s="3"/>
    </row>
    <row r="1611" spans="1:8" x14ac:dyDescent="0.35">
      <c r="A1611" s="3" t="s">
        <v>665</v>
      </c>
      <c r="B1611" s="3" t="s">
        <v>10</v>
      </c>
      <c r="C1611" s="3" t="s">
        <v>749</v>
      </c>
      <c r="D1611" s="3" t="s">
        <v>28</v>
      </c>
      <c r="E1611" s="3"/>
      <c r="F1611" s="3"/>
      <c r="G1611" s="3"/>
      <c r="H1611" s="3"/>
    </row>
    <row r="1612" spans="1:8" x14ac:dyDescent="0.35">
      <c r="A1612" s="3" t="s">
        <v>665</v>
      </c>
      <c r="B1612" s="3" t="s">
        <v>10</v>
      </c>
      <c r="C1612" s="3" t="s">
        <v>749</v>
      </c>
      <c r="D1612" s="3" t="s">
        <v>15</v>
      </c>
      <c r="E1612" s="3" t="s">
        <v>13</v>
      </c>
      <c r="F1612" s="3" t="s">
        <v>750</v>
      </c>
      <c r="G1612" s="3"/>
      <c r="H1612" s="3"/>
    </row>
    <row r="1613" spans="1:8" x14ac:dyDescent="0.35">
      <c r="A1613" s="3" t="s">
        <v>665</v>
      </c>
      <c r="B1613" s="3" t="s">
        <v>10</v>
      </c>
      <c r="C1613" s="3" t="s">
        <v>749</v>
      </c>
      <c r="D1613" s="3" t="s">
        <v>134</v>
      </c>
      <c r="E1613" s="3"/>
      <c r="F1613" s="3"/>
      <c r="G1613" s="3"/>
      <c r="H1613" s="3"/>
    </row>
    <row r="1614" spans="1:8" x14ac:dyDescent="0.35">
      <c r="A1614" s="3" t="s">
        <v>665</v>
      </c>
      <c r="B1614" s="3" t="s">
        <v>20</v>
      </c>
      <c r="C1614" s="3" t="s">
        <v>751</v>
      </c>
      <c r="D1614" s="3" t="s">
        <v>25</v>
      </c>
      <c r="E1614" s="3"/>
      <c r="F1614" s="3"/>
      <c r="G1614" s="3"/>
      <c r="H1614" s="3"/>
    </row>
    <row r="1615" spans="1:8" x14ac:dyDescent="0.35">
      <c r="A1615" s="3" t="s">
        <v>665</v>
      </c>
      <c r="B1615" s="3" t="s">
        <v>20</v>
      </c>
      <c r="C1615" s="3" t="s">
        <v>751</v>
      </c>
      <c r="D1615" s="3" t="s">
        <v>28</v>
      </c>
      <c r="E1615" s="3"/>
      <c r="F1615" s="3"/>
      <c r="G1615" s="3"/>
      <c r="H1615" s="3"/>
    </row>
    <row r="1616" spans="1:8" x14ac:dyDescent="0.35">
      <c r="A1616" s="3" t="s">
        <v>665</v>
      </c>
      <c r="B1616" s="3" t="s">
        <v>20</v>
      </c>
      <c r="C1616" s="3" t="s">
        <v>751</v>
      </c>
      <c r="D1616" s="3" t="s">
        <v>15</v>
      </c>
      <c r="E1616" s="3" t="s">
        <v>13</v>
      </c>
      <c r="F1616" s="3" t="s">
        <v>2686</v>
      </c>
      <c r="G1616" s="3"/>
      <c r="H1616" s="3"/>
    </row>
    <row r="1617" spans="1:8" x14ac:dyDescent="0.35">
      <c r="A1617" s="3" t="s">
        <v>665</v>
      </c>
      <c r="B1617" s="3" t="s">
        <v>45</v>
      </c>
      <c r="C1617" s="3" t="s">
        <v>752</v>
      </c>
      <c r="D1617" s="3" t="s">
        <v>77</v>
      </c>
      <c r="E1617" s="3"/>
      <c r="F1617" s="3"/>
      <c r="G1617" s="3"/>
      <c r="H1617" s="3"/>
    </row>
    <row r="1618" spans="1:8" x14ac:dyDescent="0.35">
      <c r="A1618" s="3" t="s">
        <v>665</v>
      </c>
      <c r="B1618" s="3" t="s">
        <v>45</v>
      </c>
      <c r="C1618" s="3" t="s">
        <v>753</v>
      </c>
      <c r="D1618" s="3" t="s">
        <v>166</v>
      </c>
      <c r="E1618" s="3"/>
      <c r="F1618" s="3"/>
      <c r="G1618" s="3"/>
      <c r="H1618" s="3"/>
    </row>
    <row r="1619" spans="1:8" x14ac:dyDescent="0.35">
      <c r="A1619" s="3" t="s">
        <v>665</v>
      </c>
      <c r="B1619" s="3" t="s">
        <v>45</v>
      </c>
      <c r="C1619" s="3" t="s">
        <v>753</v>
      </c>
      <c r="D1619" s="3" t="s">
        <v>217</v>
      </c>
      <c r="E1619" s="3"/>
      <c r="F1619" s="3"/>
      <c r="G1619" s="3"/>
      <c r="H1619" s="3"/>
    </row>
    <row r="1620" spans="1:8" x14ac:dyDescent="0.35">
      <c r="A1620" s="3" t="s">
        <v>665</v>
      </c>
      <c r="B1620" s="3" t="s">
        <v>45</v>
      </c>
      <c r="C1620" s="3" t="s">
        <v>753</v>
      </c>
      <c r="D1620" s="3" t="s">
        <v>220</v>
      </c>
      <c r="E1620" s="3"/>
      <c r="F1620" s="3"/>
      <c r="G1620" s="3"/>
      <c r="H1620" s="3"/>
    </row>
    <row r="1621" spans="1:8" x14ac:dyDescent="0.35">
      <c r="A1621" s="3" t="s">
        <v>665</v>
      </c>
      <c r="B1621" s="3" t="s">
        <v>45</v>
      </c>
      <c r="C1621" s="3" t="s">
        <v>753</v>
      </c>
      <c r="D1621" s="3" t="s">
        <v>225</v>
      </c>
      <c r="E1621" s="3"/>
      <c r="F1621" s="3"/>
      <c r="G1621" s="3"/>
      <c r="H1621" s="3"/>
    </row>
    <row r="1622" spans="1:8" x14ac:dyDescent="0.35">
      <c r="A1622" s="3" t="s">
        <v>665</v>
      </c>
      <c r="B1622" s="3" t="s">
        <v>45</v>
      </c>
      <c r="C1622" s="3" t="s">
        <v>753</v>
      </c>
      <c r="D1622" s="3" t="s">
        <v>77</v>
      </c>
      <c r="E1622" s="3"/>
      <c r="F1622" s="3"/>
      <c r="G1622" s="3"/>
      <c r="H1622" s="3"/>
    </row>
    <row r="1623" spans="1:8" x14ac:dyDescent="0.35">
      <c r="A1623" s="3" t="s">
        <v>665</v>
      </c>
      <c r="B1623" s="3" t="s">
        <v>45</v>
      </c>
      <c r="C1623" s="3" t="s">
        <v>753</v>
      </c>
      <c r="D1623" s="3" t="s">
        <v>221</v>
      </c>
      <c r="E1623" s="3"/>
      <c r="F1623" s="3"/>
      <c r="G1623" s="3"/>
      <c r="H1623" s="3"/>
    </row>
    <row r="1624" spans="1:8" x14ac:dyDescent="0.35">
      <c r="A1624" s="3" t="s">
        <v>665</v>
      </c>
      <c r="B1624" s="3" t="s">
        <v>45</v>
      </c>
      <c r="C1624" s="3" t="s">
        <v>753</v>
      </c>
      <c r="D1624" s="3" t="s">
        <v>222</v>
      </c>
      <c r="E1624" s="3"/>
      <c r="F1624" s="3"/>
      <c r="G1624" s="3"/>
      <c r="H1624" s="3"/>
    </row>
    <row r="1625" spans="1:8" x14ac:dyDescent="0.35">
      <c r="A1625" s="3" t="s">
        <v>665</v>
      </c>
      <c r="B1625" s="3" t="s">
        <v>45</v>
      </c>
      <c r="C1625" s="3" t="s">
        <v>753</v>
      </c>
      <c r="D1625" s="3" t="s">
        <v>223</v>
      </c>
      <c r="E1625" s="3"/>
      <c r="F1625" s="3"/>
      <c r="G1625" s="3"/>
      <c r="H1625" s="3"/>
    </row>
    <row r="1626" spans="1:8" x14ac:dyDescent="0.35">
      <c r="A1626" s="3" t="s">
        <v>665</v>
      </c>
      <c r="B1626" s="3" t="s">
        <v>45</v>
      </c>
      <c r="C1626" s="3" t="s">
        <v>753</v>
      </c>
      <c r="D1626" s="3" t="s">
        <v>226</v>
      </c>
      <c r="E1626" s="3"/>
      <c r="F1626" s="3"/>
      <c r="G1626" s="3"/>
      <c r="H1626" s="3"/>
    </row>
    <row r="1627" spans="1:8" x14ac:dyDescent="0.35">
      <c r="A1627" s="3" t="s">
        <v>665</v>
      </c>
      <c r="B1627" s="3" t="s">
        <v>45</v>
      </c>
      <c r="C1627" s="3" t="s">
        <v>753</v>
      </c>
      <c r="D1627" s="3" t="s">
        <v>227</v>
      </c>
      <c r="E1627" s="3"/>
      <c r="F1627" s="3"/>
      <c r="G1627" s="3"/>
      <c r="H1627" s="3"/>
    </row>
    <row r="1628" spans="1:8" x14ac:dyDescent="0.35">
      <c r="A1628" s="3" t="s">
        <v>665</v>
      </c>
      <c r="B1628" s="3" t="s">
        <v>45</v>
      </c>
      <c r="C1628" s="3" t="s">
        <v>753</v>
      </c>
      <c r="D1628" s="3" t="s">
        <v>228</v>
      </c>
      <c r="E1628" s="3"/>
      <c r="F1628" s="3"/>
      <c r="G1628" s="3"/>
      <c r="H1628" s="3"/>
    </row>
    <row r="1629" spans="1:8" x14ac:dyDescent="0.35">
      <c r="A1629" s="3" t="s">
        <v>665</v>
      </c>
      <c r="B1629" s="3" t="s">
        <v>45</v>
      </c>
      <c r="C1629" s="3" t="s">
        <v>753</v>
      </c>
      <c r="D1629" s="3" t="s">
        <v>229</v>
      </c>
      <c r="E1629" s="3"/>
      <c r="F1629" s="3"/>
      <c r="G1629" s="3"/>
      <c r="H1629" s="3"/>
    </row>
    <row r="1630" spans="1:8" x14ac:dyDescent="0.35">
      <c r="A1630" s="3" t="s">
        <v>665</v>
      </c>
      <c r="B1630" s="3" t="s">
        <v>45</v>
      </c>
      <c r="C1630" s="3" t="s">
        <v>753</v>
      </c>
      <c r="D1630" s="3" t="s">
        <v>230</v>
      </c>
      <c r="E1630" s="3"/>
      <c r="F1630" s="3"/>
      <c r="G1630" s="3"/>
      <c r="H1630" s="3"/>
    </row>
    <row r="1631" spans="1:8" x14ac:dyDescent="0.35">
      <c r="A1631" s="3" t="s">
        <v>665</v>
      </c>
      <c r="B1631" s="3" t="s">
        <v>45</v>
      </c>
      <c r="C1631" s="3" t="s">
        <v>753</v>
      </c>
      <c r="D1631" s="3" t="s">
        <v>24</v>
      </c>
      <c r="E1631" s="3"/>
      <c r="F1631" s="3" t="s">
        <v>2411</v>
      </c>
      <c r="G1631" s="3"/>
      <c r="H1631" s="3"/>
    </row>
    <row r="1632" spans="1:8" x14ac:dyDescent="0.35">
      <c r="A1632" s="3" t="s">
        <v>665</v>
      </c>
      <c r="B1632" s="3" t="s">
        <v>45</v>
      </c>
      <c r="C1632" s="3" t="s">
        <v>753</v>
      </c>
      <c r="D1632" s="3" t="s">
        <v>219</v>
      </c>
      <c r="E1632" s="3"/>
      <c r="F1632" s="3"/>
      <c r="G1632" s="3"/>
      <c r="H1632" s="3"/>
    </row>
    <row r="1633" spans="1:8" x14ac:dyDescent="0.35">
      <c r="A1633" s="3" t="s">
        <v>665</v>
      </c>
      <c r="B1633" s="3" t="s">
        <v>45</v>
      </c>
      <c r="C1633" s="3" t="s">
        <v>753</v>
      </c>
      <c r="D1633" s="3" t="s">
        <v>218</v>
      </c>
      <c r="E1633" s="3"/>
      <c r="F1633" s="3"/>
      <c r="G1633" s="3"/>
      <c r="H1633" s="3"/>
    </row>
    <row r="1634" spans="1:8" x14ac:dyDescent="0.35">
      <c r="A1634" s="3" t="s">
        <v>665</v>
      </c>
      <c r="B1634" s="3" t="s">
        <v>45</v>
      </c>
      <c r="C1634" s="3" t="s">
        <v>753</v>
      </c>
      <c r="D1634" s="3" t="s">
        <v>224</v>
      </c>
      <c r="E1634" s="3"/>
      <c r="F1634" s="3"/>
      <c r="G1634" s="3"/>
      <c r="H1634" s="3"/>
    </row>
    <row r="1635" spans="1:8" x14ac:dyDescent="0.35">
      <c r="A1635" s="3" t="s">
        <v>665</v>
      </c>
      <c r="B1635" s="3" t="s">
        <v>10</v>
      </c>
      <c r="C1635" s="3" t="s">
        <v>754</v>
      </c>
      <c r="D1635" s="3" t="s">
        <v>12</v>
      </c>
      <c r="E1635" s="3"/>
      <c r="F1635" s="3"/>
      <c r="G1635" s="3"/>
      <c r="H1635" s="3"/>
    </row>
    <row r="1636" spans="1:8" x14ac:dyDescent="0.35">
      <c r="A1636" s="3" t="s">
        <v>665</v>
      </c>
      <c r="B1636" s="3" t="s">
        <v>10</v>
      </c>
      <c r="C1636" s="3" t="s">
        <v>754</v>
      </c>
      <c r="D1636" s="3" t="s">
        <v>36</v>
      </c>
      <c r="E1636" s="3" t="s">
        <v>33</v>
      </c>
      <c r="F1636" s="3" t="s">
        <v>723</v>
      </c>
      <c r="G1636" s="3"/>
      <c r="H1636" s="3"/>
    </row>
    <row r="1637" spans="1:8" x14ac:dyDescent="0.35">
      <c r="A1637" s="3" t="s">
        <v>665</v>
      </c>
      <c r="B1637" s="3" t="s">
        <v>10</v>
      </c>
      <c r="C1637" s="3" t="s">
        <v>754</v>
      </c>
      <c r="D1637" s="3" t="s">
        <v>87</v>
      </c>
      <c r="E1637" s="3"/>
      <c r="F1637" s="3" t="s">
        <v>2397</v>
      </c>
      <c r="G1637" s="3"/>
      <c r="H1637" s="3"/>
    </row>
    <row r="1638" spans="1:8" x14ac:dyDescent="0.35">
      <c r="A1638" s="3" t="s">
        <v>665</v>
      </c>
      <c r="B1638" s="3" t="s">
        <v>10</v>
      </c>
      <c r="C1638" s="3" t="s">
        <v>754</v>
      </c>
      <c r="D1638" s="3" t="s">
        <v>15</v>
      </c>
      <c r="E1638" s="3"/>
      <c r="F1638" s="3"/>
      <c r="G1638" s="3"/>
      <c r="H1638" s="3"/>
    </row>
    <row r="1639" spans="1:8" x14ac:dyDescent="0.35">
      <c r="A1639" s="3" t="s">
        <v>665</v>
      </c>
      <c r="B1639" s="3" t="s">
        <v>10</v>
      </c>
      <c r="C1639" s="3" t="s">
        <v>754</v>
      </c>
      <c r="D1639" s="3" t="s">
        <v>29</v>
      </c>
      <c r="E1639" s="3" t="s">
        <v>33</v>
      </c>
      <c r="F1639" s="3" t="s">
        <v>723</v>
      </c>
      <c r="G1639" s="3"/>
      <c r="H1639" s="3"/>
    </row>
    <row r="1640" spans="1:8" x14ac:dyDescent="0.35">
      <c r="A1640" s="3" t="s">
        <v>665</v>
      </c>
      <c r="B1640" s="3" t="s">
        <v>45</v>
      </c>
      <c r="C1640" s="3" t="s">
        <v>755</v>
      </c>
      <c r="D1640" s="3" t="s">
        <v>12</v>
      </c>
      <c r="E1640" s="3"/>
      <c r="F1640" s="3"/>
      <c r="G1640" s="3"/>
      <c r="H1640" s="3"/>
    </row>
    <row r="1641" spans="1:8" x14ac:dyDescent="0.35">
      <c r="A1641" s="3" t="s">
        <v>665</v>
      </c>
      <c r="B1641" s="3" t="s">
        <v>45</v>
      </c>
      <c r="C1641" s="3" t="s">
        <v>755</v>
      </c>
      <c r="D1641" s="3" t="s">
        <v>36</v>
      </c>
      <c r="E1641" s="3"/>
      <c r="F1641" s="3"/>
      <c r="G1641" s="3"/>
      <c r="H1641" s="3"/>
    </row>
    <row r="1642" spans="1:8" x14ac:dyDescent="0.35">
      <c r="A1642" s="3" t="s">
        <v>665</v>
      </c>
      <c r="B1642" s="3" t="s">
        <v>45</v>
      </c>
      <c r="C1642" s="3" t="s">
        <v>755</v>
      </c>
      <c r="D1642" s="3" t="s">
        <v>47</v>
      </c>
      <c r="E1642" s="3" t="s">
        <v>33</v>
      </c>
      <c r="F1642" s="3" t="s">
        <v>723</v>
      </c>
      <c r="G1642" s="3"/>
      <c r="H1642" s="3"/>
    </row>
    <row r="1643" spans="1:8" x14ac:dyDescent="0.35">
      <c r="A1643" s="3" t="s">
        <v>665</v>
      </c>
      <c r="B1643" s="3" t="s">
        <v>45</v>
      </c>
      <c r="C1643" s="3" t="s">
        <v>755</v>
      </c>
      <c r="D1643" s="3" t="s">
        <v>27</v>
      </c>
      <c r="E1643" s="3"/>
      <c r="F1643" s="3"/>
      <c r="G1643" s="3"/>
      <c r="H1643" s="3"/>
    </row>
    <row r="1644" spans="1:8" x14ac:dyDescent="0.35">
      <c r="A1644" s="3" t="s">
        <v>665</v>
      </c>
      <c r="B1644" s="3" t="s">
        <v>45</v>
      </c>
      <c r="C1644" s="3" t="s">
        <v>755</v>
      </c>
      <c r="D1644" s="3" t="s">
        <v>28</v>
      </c>
      <c r="E1644" s="3"/>
      <c r="F1644" s="3"/>
      <c r="G1644" s="3"/>
      <c r="H1644" s="3"/>
    </row>
    <row r="1645" spans="1:8" x14ac:dyDescent="0.35">
      <c r="A1645" s="3" t="s">
        <v>665</v>
      </c>
      <c r="B1645" s="3" t="s">
        <v>45</v>
      </c>
      <c r="C1645" s="3" t="s">
        <v>755</v>
      </c>
      <c r="D1645" s="3" t="s">
        <v>15</v>
      </c>
      <c r="E1645" s="3" t="s">
        <v>16</v>
      </c>
      <c r="F1645" s="3" t="s">
        <v>2917</v>
      </c>
      <c r="G1645" s="3"/>
      <c r="H1645" s="3"/>
    </row>
    <row r="1646" spans="1:8" x14ac:dyDescent="0.35">
      <c r="A1646" s="3" t="s">
        <v>665</v>
      </c>
      <c r="B1646" s="3" t="s">
        <v>45</v>
      </c>
      <c r="C1646" s="3" t="s">
        <v>755</v>
      </c>
      <c r="D1646" s="3" t="s">
        <v>56</v>
      </c>
      <c r="E1646" s="3"/>
      <c r="F1646" s="3" t="s">
        <v>2432</v>
      </c>
      <c r="G1646" s="3"/>
      <c r="H1646" s="3"/>
    </row>
    <row r="1647" spans="1:8" x14ac:dyDescent="0.35">
      <c r="A1647" s="3" t="s">
        <v>665</v>
      </c>
      <c r="B1647" s="3" t="s">
        <v>45</v>
      </c>
      <c r="C1647" s="3" t="s">
        <v>755</v>
      </c>
      <c r="D1647" s="3" t="s">
        <v>134</v>
      </c>
      <c r="E1647" s="3"/>
      <c r="F1647" s="3"/>
      <c r="G1647" s="3"/>
      <c r="H1647" s="3"/>
    </row>
    <row r="1648" spans="1:8" x14ac:dyDescent="0.35">
      <c r="A1648" s="3" t="s">
        <v>665</v>
      </c>
      <c r="B1648" s="3" t="s">
        <v>45</v>
      </c>
      <c r="C1648" s="3" t="s">
        <v>755</v>
      </c>
      <c r="D1648" s="3" t="s">
        <v>107</v>
      </c>
      <c r="E1648" s="3" t="s">
        <v>33</v>
      </c>
      <c r="F1648" s="3" t="s">
        <v>723</v>
      </c>
      <c r="G1648" s="3"/>
      <c r="H1648" s="3"/>
    </row>
    <row r="1649" spans="1:8" x14ac:dyDescent="0.35">
      <c r="A1649" s="3" t="s">
        <v>665</v>
      </c>
      <c r="B1649" s="3" t="s">
        <v>45</v>
      </c>
      <c r="C1649" s="3" t="s">
        <v>756</v>
      </c>
      <c r="D1649" s="3" t="s">
        <v>77</v>
      </c>
      <c r="E1649" s="3"/>
      <c r="F1649" s="3"/>
      <c r="G1649" s="3"/>
      <c r="H1649" s="3"/>
    </row>
    <row r="1650" spans="1:8" x14ac:dyDescent="0.35">
      <c r="A1650" s="3" t="s">
        <v>665</v>
      </c>
      <c r="B1650" s="3" t="s">
        <v>45</v>
      </c>
      <c r="C1650" s="3" t="s">
        <v>2752</v>
      </c>
      <c r="D1650" s="3" t="s">
        <v>23</v>
      </c>
      <c r="E1650" s="3"/>
      <c r="F1650" s="3"/>
      <c r="G1650" s="3"/>
      <c r="H1650" s="3"/>
    </row>
    <row r="1651" spans="1:8" x14ac:dyDescent="0.35">
      <c r="A1651" s="3" t="s">
        <v>665</v>
      </c>
      <c r="B1651" s="3" t="s">
        <v>45</v>
      </c>
      <c r="C1651" s="3" t="s">
        <v>2752</v>
      </c>
      <c r="D1651" s="3" t="s">
        <v>77</v>
      </c>
      <c r="E1651" s="5"/>
      <c r="F1651" s="3"/>
      <c r="G1651" s="3"/>
      <c r="H1651" s="3"/>
    </row>
    <row r="1652" spans="1:8" x14ac:dyDescent="0.35">
      <c r="A1652" s="3" t="s">
        <v>665</v>
      </c>
      <c r="B1652" s="3" t="s">
        <v>45</v>
      </c>
      <c r="C1652" s="3" t="s">
        <v>2752</v>
      </c>
      <c r="D1652" s="3" t="s">
        <v>15</v>
      </c>
      <c r="E1652" s="3" t="s">
        <v>16</v>
      </c>
      <c r="F1652" s="3" t="s">
        <v>990</v>
      </c>
      <c r="G1652" s="3"/>
      <c r="H1652" s="3"/>
    </row>
    <row r="1653" spans="1:8" x14ac:dyDescent="0.35">
      <c r="A1653" s="3" t="s">
        <v>665</v>
      </c>
      <c r="B1653" s="3" t="s">
        <v>45</v>
      </c>
      <c r="C1653" s="3" t="s">
        <v>757</v>
      </c>
      <c r="D1653" s="3" t="s">
        <v>25</v>
      </c>
      <c r="E1653" s="3"/>
      <c r="F1653" s="3"/>
      <c r="G1653" s="3"/>
      <c r="H1653" s="3"/>
    </row>
    <row r="1654" spans="1:8" x14ac:dyDescent="0.35">
      <c r="A1654" s="3" t="s">
        <v>665</v>
      </c>
      <c r="B1654" s="3" t="s">
        <v>45</v>
      </c>
      <c r="C1654" s="3" t="s">
        <v>757</v>
      </c>
      <c r="D1654" s="3" t="s">
        <v>60</v>
      </c>
      <c r="E1654" s="3"/>
      <c r="F1654" s="3" t="s">
        <v>2433</v>
      </c>
      <c r="G1654" s="3"/>
      <c r="H1654" s="3"/>
    </row>
    <row r="1655" spans="1:8" x14ac:dyDescent="0.35">
      <c r="A1655" s="3" t="s">
        <v>665</v>
      </c>
      <c r="B1655" s="3" t="s">
        <v>45</v>
      </c>
      <c r="C1655" s="3" t="s">
        <v>757</v>
      </c>
      <c r="D1655" s="3" t="s">
        <v>56</v>
      </c>
      <c r="E1655" s="3" t="s">
        <v>13</v>
      </c>
      <c r="F1655" s="3" t="s">
        <v>758</v>
      </c>
      <c r="G1655" s="3"/>
      <c r="H1655" s="3"/>
    </row>
    <row r="1656" spans="1:8" x14ac:dyDescent="0.35">
      <c r="A1656" s="3" t="s">
        <v>665</v>
      </c>
      <c r="B1656" s="3" t="s">
        <v>45</v>
      </c>
      <c r="C1656" s="3" t="s">
        <v>757</v>
      </c>
      <c r="D1656" s="3" t="s">
        <v>32</v>
      </c>
      <c r="E1656" s="3"/>
      <c r="F1656" s="3" t="s">
        <v>2434</v>
      </c>
      <c r="G1656" s="3"/>
      <c r="H1656" s="3"/>
    </row>
    <row r="1657" spans="1:8" x14ac:dyDescent="0.35">
      <c r="A1657" s="3" t="s">
        <v>665</v>
      </c>
      <c r="B1657" s="3" t="s">
        <v>45</v>
      </c>
      <c r="C1657" s="3" t="s">
        <v>757</v>
      </c>
      <c r="D1657" s="3" t="s">
        <v>244</v>
      </c>
      <c r="E1657" s="3"/>
      <c r="F1657" s="3" t="s">
        <v>2435</v>
      </c>
      <c r="G1657" s="3"/>
      <c r="H1657" s="3"/>
    </row>
    <row r="1658" spans="1:8" x14ac:dyDescent="0.35">
      <c r="A1658" s="3" t="s">
        <v>665</v>
      </c>
      <c r="B1658" s="3" t="s">
        <v>45</v>
      </c>
      <c r="C1658" s="3" t="s">
        <v>759</v>
      </c>
      <c r="D1658" s="3" t="s">
        <v>25</v>
      </c>
      <c r="E1658" s="3"/>
      <c r="F1658" s="3"/>
      <c r="G1658" s="3"/>
      <c r="H1658" s="3"/>
    </row>
    <row r="1659" spans="1:8" x14ac:dyDescent="0.35">
      <c r="A1659" s="3" t="s">
        <v>665</v>
      </c>
      <c r="B1659" s="3" t="s">
        <v>45</v>
      </c>
      <c r="C1659" s="3" t="s">
        <v>759</v>
      </c>
      <c r="D1659" s="3" t="s">
        <v>77</v>
      </c>
      <c r="E1659" s="3"/>
      <c r="F1659" s="3"/>
      <c r="G1659" s="3"/>
      <c r="H1659" s="3"/>
    </row>
    <row r="1660" spans="1:8" x14ac:dyDescent="0.35">
      <c r="A1660" s="3" t="s">
        <v>665</v>
      </c>
      <c r="B1660" s="3" t="s">
        <v>45</v>
      </c>
      <c r="C1660" s="3" t="s">
        <v>759</v>
      </c>
      <c r="D1660" s="3" t="s">
        <v>57</v>
      </c>
      <c r="E1660" s="3"/>
      <c r="F1660" s="3" t="s">
        <v>2436</v>
      </c>
      <c r="G1660" s="3"/>
      <c r="H1660" s="3"/>
    </row>
    <row r="1661" spans="1:8" x14ac:dyDescent="0.35">
      <c r="A1661" s="3" t="s">
        <v>665</v>
      </c>
      <c r="B1661" s="3" t="s">
        <v>45</v>
      </c>
      <c r="C1661" s="3" t="s">
        <v>759</v>
      </c>
      <c r="D1661" s="3" t="s">
        <v>56</v>
      </c>
      <c r="E1661" s="3"/>
      <c r="F1661" s="3"/>
      <c r="G1661" s="3"/>
      <c r="H1661" s="3"/>
    </row>
    <row r="1662" spans="1:8" x14ac:dyDescent="0.35">
      <c r="A1662" s="3" t="s">
        <v>665</v>
      </c>
      <c r="B1662" s="3" t="s">
        <v>45</v>
      </c>
      <c r="C1662" s="3" t="s">
        <v>759</v>
      </c>
      <c r="D1662" s="3" t="s">
        <v>89</v>
      </c>
      <c r="E1662" s="3"/>
      <c r="F1662" s="3"/>
      <c r="G1662" s="3"/>
      <c r="H1662" s="3"/>
    </row>
    <row r="1663" spans="1:8" x14ac:dyDescent="0.35">
      <c r="A1663" s="3" t="s">
        <v>665</v>
      </c>
      <c r="B1663" s="3" t="s">
        <v>45</v>
      </c>
      <c r="C1663" s="3" t="s">
        <v>759</v>
      </c>
      <c r="D1663" s="3" t="s">
        <v>24</v>
      </c>
      <c r="E1663" s="3"/>
      <c r="F1663" s="3"/>
      <c r="G1663" s="3"/>
      <c r="H1663" s="3"/>
    </row>
    <row r="1664" spans="1:8" x14ac:dyDescent="0.35">
      <c r="A1664" s="3" t="s">
        <v>665</v>
      </c>
      <c r="B1664" s="3" t="s">
        <v>45</v>
      </c>
      <c r="C1664" s="3" t="s">
        <v>760</v>
      </c>
      <c r="D1664" s="3" t="s">
        <v>77</v>
      </c>
      <c r="E1664" s="3"/>
      <c r="F1664" s="3"/>
      <c r="G1664" s="3"/>
      <c r="H1664" s="3"/>
    </row>
    <row r="1665" spans="1:8" x14ac:dyDescent="0.35">
      <c r="A1665" s="3" t="s">
        <v>665</v>
      </c>
      <c r="B1665" s="3" t="s">
        <v>45</v>
      </c>
      <c r="C1665" s="3" t="s">
        <v>761</v>
      </c>
      <c r="D1665" s="3" t="s">
        <v>77</v>
      </c>
      <c r="E1665" s="3"/>
      <c r="F1665" s="3"/>
      <c r="G1665" s="3"/>
      <c r="H1665" s="3"/>
    </row>
    <row r="1666" spans="1:8" x14ac:dyDescent="0.35">
      <c r="A1666" s="3" t="s">
        <v>665</v>
      </c>
      <c r="B1666" s="3" t="s">
        <v>45</v>
      </c>
      <c r="C1666" s="3" t="s">
        <v>762</v>
      </c>
      <c r="D1666" s="3" t="s">
        <v>77</v>
      </c>
      <c r="E1666" s="3"/>
      <c r="F1666" s="3"/>
      <c r="G1666" s="3"/>
      <c r="H1666" s="3"/>
    </row>
    <row r="1667" spans="1:8" x14ac:dyDescent="0.35">
      <c r="A1667" s="3" t="s">
        <v>665</v>
      </c>
      <c r="B1667" s="3" t="s">
        <v>39</v>
      </c>
      <c r="C1667" s="3" t="s">
        <v>763</v>
      </c>
      <c r="D1667" s="3" t="s">
        <v>47</v>
      </c>
      <c r="E1667" s="3" t="s">
        <v>13</v>
      </c>
      <c r="F1667" s="3" t="s">
        <v>136</v>
      </c>
      <c r="G1667" s="3"/>
      <c r="H1667" s="3"/>
    </row>
    <row r="1668" spans="1:8" x14ac:dyDescent="0.35">
      <c r="A1668" s="3" t="s">
        <v>665</v>
      </c>
      <c r="B1668" s="3" t="s">
        <v>39</v>
      </c>
      <c r="C1668" s="3" t="s">
        <v>763</v>
      </c>
      <c r="D1668" s="3" t="s">
        <v>25</v>
      </c>
      <c r="E1668" s="3" t="s">
        <v>13</v>
      </c>
      <c r="F1668" s="3" t="s">
        <v>136</v>
      </c>
      <c r="G1668" s="3"/>
      <c r="H1668" s="3"/>
    </row>
    <row r="1669" spans="1:8" x14ac:dyDescent="0.35">
      <c r="A1669" s="3" t="s">
        <v>665</v>
      </c>
      <c r="B1669" s="3" t="s">
        <v>39</v>
      </c>
      <c r="C1669" s="3" t="s">
        <v>763</v>
      </c>
      <c r="D1669" s="3" t="s">
        <v>28</v>
      </c>
      <c r="E1669" s="3" t="s">
        <v>13</v>
      </c>
      <c r="F1669" s="3" t="s">
        <v>136</v>
      </c>
      <c r="G1669" s="3"/>
      <c r="H1669" s="3"/>
    </row>
    <row r="1670" spans="1:8" x14ac:dyDescent="0.35">
      <c r="A1670" s="3" t="s">
        <v>665</v>
      </c>
      <c r="B1670" s="3" t="s">
        <v>39</v>
      </c>
      <c r="C1670" s="3" t="s">
        <v>763</v>
      </c>
      <c r="D1670" s="3" t="s">
        <v>57</v>
      </c>
      <c r="E1670" s="3" t="s">
        <v>13</v>
      </c>
      <c r="F1670" s="3" t="s">
        <v>136</v>
      </c>
      <c r="G1670" s="3"/>
      <c r="H1670" s="3"/>
    </row>
    <row r="1671" spans="1:8" x14ac:dyDescent="0.35">
      <c r="A1671" s="3" t="s">
        <v>665</v>
      </c>
      <c r="B1671" s="3" t="s">
        <v>39</v>
      </c>
      <c r="C1671" s="3" t="s">
        <v>763</v>
      </c>
      <c r="D1671" s="3" t="s">
        <v>32</v>
      </c>
      <c r="E1671" s="3" t="s">
        <v>13</v>
      </c>
      <c r="F1671" s="3" t="s">
        <v>136</v>
      </c>
      <c r="G1671" s="3"/>
      <c r="H1671" s="3"/>
    </row>
    <row r="1672" spans="1:8" x14ac:dyDescent="0.35">
      <c r="A1672" s="3" t="s">
        <v>665</v>
      </c>
      <c r="B1672" s="3" t="s">
        <v>39</v>
      </c>
      <c r="C1672" s="3" t="s">
        <v>763</v>
      </c>
      <c r="D1672" s="3" t="s">
        <v>134</v>
      </c>
      <c r="E1672" s="3" t="s">
        <v>13</v>
      </c>
      <c r="F1672" s="3" t="s">
        <v>136</v>
      </c>
      <c r="G1672" s="3"/>
      <c r="H1672" s="3"/>
    </row>
    <row r="1673" spans="1:8" x14ac:dyDescent="0.35">
      <c r="A1673" s="3" t="s">
        <v>665</v>
      </c>
      <c r="B1673" s="3" t="s">
        <v>45</v>
      </c>
      <c r="C1673" s="3" t="s">
        <v>764</v>
      </c>
      <c r="D1673" s="3" t="s">
        <v>47</v>
      </c>
      <c r="E1673" s="3"/>
      <c r="F1673" s="3"/>
      <c r="G1673" s="3"/>
      <c r="H1673" s="3"/>
    </row>
    <row r="1674" spans="1:8" x14ac:dyDescent="0.35">
      <c r="A1674" s="3" t="s">
        <v>665</v>
      </c>
      <c r="B1674" s="3" t="s">
        <v>45</v>
      </c>
      <c r="C1674" s="3" t="s">
        <v>764</v>
      </c>
      <c r="D1674" s="3" t="s">
        <v>134</v>
      </c>
      <c r="E1674" s="3"/>
      <c r="F1674" s="3"/>
      <c r="G1674" s="3"/>
      <c r="H1674" s="3"/>
    </row>
    <row r="1675" spans="1:8" x14ac:dyDescent="0.35">
      <c r="A1675" s="3" t="s">
        <v>665</v>
      </c>
      <c r="B1675" s="3" t="s">
        <v>45</v>
      </c>
      <c r="C1675" s="3" t="s">
        <v>765</v>
      </c>
      <c r="D1675" s="3" t="s">
        <v>77</v>
      </c>
      <c r="E1675" s="3"/>
      <c r="F1675" s="3"/>
      <c r="G1675" s="3"/>
      <c r="H1675" s="3"/>
    </row>
    <row r="1676" spans="1:8" x14ac:dyDescent="0.35">
      <c r="A1676" s="3" t="s">
        <v>665</v>
      </c>
      <c r="B1676" s="3" t="s">
        <v>39</v>
      </c>
      <c r="C1676" s="3" t="s">
        <v>766</v>
      </c>
      <c r="D1676" s="3" t="s">
        <v>12</v>
      </c>
      <c r="E1676" s="3"/>
      <c r="F1676" s="3"/>
      <c r="G1676" s="3"/>
      <c r="H1676" s="3"/>
    </row>
    <row r="1677" spans="1:8" x14ac:dyDescent="0.35">
      <c r="A1677" s="3" t="s">
        <v>665</v>
      </c>
      <c r="B1677" s="3" t="s">
        <v>39</v>
      </c>
      <c r="C1677" s="3" t="s">
        <v>766</v>
      </c>
      <c r="D1677" s="3" t="s">
        <v>28</v>
      </c>
      <c r="E1677" s="3" t="s">
        <v>13</v>
      </c>
      <c r="F1677" s="3" t="s">
        <v>767</v>
      </c>
      <c r="G1677" s="3"/>
      <c r="H1677" s="3"/>
    </row>
    <row r="1678" spans="1:8" x14ac:dyDescent="0.35">
      <c r="A1678" s="3" t="s">
        <v>665</v>
      </c>
      <c r="B1678" s="3" t="s">
        <v>39</v>
      </c>
      <c r="C1678" s="3" t="s">
        <v>766</v>
      </c>
      <c r="D1678" s="3" t="s">
        <v>15</v>
      </c>
      <c r="E1678" s="3" t="s">
        <v>16</v>
      </c>
      <c r="F1678" s="3" t="s">
        <v>768</v>
      </c>
      <c r="G1678" s="3"/>
      <c r="H1678" s="3"/>
    </row>
    <row r="1679" spans="1:8" x14ac:dyDescent="0.35">
      <c r="A1679" s="3" t="s">
        <v>665</v>
      </c>
      <c r="B1679" s="3" t="s">
        <v>45</v>
      </c>
      <c r="C1679" s="3" t="s">
        <v>770</v>
      </c>
      <c r="D1679" s="3" t="s">
        <v>217</v>
      </c>
      <c r="E1679" s="3"/>
      <c r="F1679" s="3" t="s">
        <v>2286</v>
      </c>
      <c r="G1679" s="3"/>
      <c r="H1679" s="3"/>
    </row>
    <row r="1680" spans="1:8" x14ac:dyDescent="0.35">
      <c r="A1680" s="3" t="s">
        <v>665</v>
      </c>
      <c r="B1680" s="3" t="s">
        <v>45</v>
      </c>
      <c r="C1680" s="3" t="s">
        <v>770</v>
      </c>
      <c r="D1680" s="3" t="s">
        <v>56</v>
      </c>
      <c r="E1680" s="3"/>
      <c r="F1680" s="3" t="s">
        <v>2430</v>
      </c>
      <c r="G1680" s="3"/>
      <c r="H1680" s="3"/>
    </row>
    <row r="1681" spans="1:8" x14ac:dyDescent="0.35">
      <c r="A1681" s="3" t="s">
        <v>665</v>
      </c>
      <c r="B1681" s="3" t="s">
        <v>39</v>
      </c>
      <c r="C1681" s="3" t="s">
        <v>772</v>
      </c>
      <c r="D1681" s="3" t="s">
        <v>25</v>
      </c>
      <c r="E1681" s="3" t="s">
        <v>33</v>
      </c>
      <c r="F1681" s="3" t="s">
        <v>487</v>
      </c>
      <c r="G1681" s="3"/>
      <c r="H1681" s="3"/>
    </row>
    <row r="1682" spans="1:8" x14ac:dyDescent="0.35">
      <c r="A1682" s="3" t="s">
        <v>665</v>
      </c>
      <c r="B1682" s="3" t="s">
        <v>39</v>
      </c>
      <c r="C1682" s="3" t="s">
        <v>772</v>
      </c>
      <c r="D1682" s="3" t="s">
        <v>142</v>
      </c>
      <c r="E1682" s="3" t="s">
        <v>33</v>
      </c>
      <c r="F1682" s="3" t="s">
        <v>487</v>
      </c>
      <c r="G1682" s="3"/>
      <c r="H1682" s="3"/>
    </row>
    <row r="1683" spans="1:8" x14ac:dyDescent="0.35">
      <c r="A1683" s="3" t="s">
        <v>665</v>
      </c>
      <c r="B1683" s="3" t="s">
        <v>39</v>
      </c>
      <c r="C1683" s="3" t="s">
        <v>772</v>
      </c>
      <c r="D1683" s="3" t="s">
        <v>28</v>
      </c>
      <c r="E1683" s="3" t="s">
        <v>33</v>
      </c>
      <c r="F1683" s="3" t="s">
        <v>487</v>
      </c>
      <c r="G1683" s="3"/>
      <c r="H1683" s="3"/>
    </row>
    <row r="1684" spans="1:8" x14ac:dyDescent="0.35">
      <c r="A1684" s="3" t="s">
        <v>665</v>
      </c>
      <c r="B1684" s="3" t="s">
        <v>39</v>
      </c>
      <c r="C1684" s="3" t="s">
        <v>772</v>
      </c>
      <c r="D1684" s="3" t="s">
        <v>32</v>
      </c>
      <c r="E1684" s="3" t="s">
        <v>33</v>
      </c>
      <c r="F1684" s="3" t="s">
        <v>487</v>
      </c>
      <c r="G1684" s="3"/>
      <c r="H1684" s="3"/>
    </row>
    <row r="1685" spans="1:8" x14ac:dyDescent="0.35">
      <c r="A1685" s="3" t="s">
        <v>665</v>
      </c>
      <c r="B1685" s="3" t="s">
        <v>39</v>
      </c>
      <c r="C1685" s="3" t="s">
        <v>772</v>
      </c>
      <c r="D1685" s="3" t="s">
        <v>134</v>
      </c>
      <c r="E1685" s="3" t="s">
        <v>33</v>
      </c>
      <c r="F1685" s="3" t="s">
        <v>487</v>
      </c>
      <c r="G1685" s="3"/>
      <c r="H1685" s="3"/>
    </row>
    <row r="1686" spans="1:8" x14ac:dyDescent="0.35">
      <c r="A1686" s="3" t="s">
        <v>665</v>
      </c>
      <c r="B1686" s="3" t="s">
        <v>20</v>
      </c>
      <c r="C1686" s="3" t="s">
        <v>773</v>
      </c>
      <c r="D1686" s="3" t="s">
        <v>28</v>
      </c>
      <c r="E1686" s="3"/>
      <c r="F1686" s="3"/>
      <c r="G1686" s="3"/>
      <c r="H1686" s="3"/>
    </row>
    <row r="1687" spans="1:8" x14ac:dyDescent="0.35">
      <c r="A1687" s="3" t="s">
        <v>665</v>
      </c>
      <c r="B1687" s="3" t="s">
        <v>20</v>
      </c>
      <c r="C1687" s="3" t="s">
        <v>773</v>
      </c>
      <c r="D1687" s="3" t="s">
        <v>31</v>
      </c>
      <c r="E1687" s="3"/>
      <c r="F1687" s="3"/>
      <c r="G1687" s="3"/>
      <c r="H1687" s="3"/>
    </row>
    <row r="1688" spans="1:8" x14ac:dyDescent="0.35">
      <c r="A1688" s="3" t="s">
        <v>665</v>
      </c>
      <c r="B1688" s="3" t="s">
        <v>20</v>
      </c>
      <c r="C1688" s="3" t="s">
        <v>773</v>
      </c>
      <c r="D1688" s="3" t="s">
        <v>134</v>
      </c>
      <c r="E1688" s="3"/>
      <c r="F1688" s="3"/>
      <c r="G1688" s="3"/>
      <c r="H1688" s="3"/>
    </row>
    <row r="1689" spans="1:8" x14ac:dyDescent="0.35">
      <c r="A1689" s="3" t="s">
        <v>665</v>
      </c>
      <c r="B1689" s="3" t="s">
        <v>20</v>
      </c>
      <c r="C1689" s="3" t="s">
        <v>774</v>
      </c>
      <c r="D1689" s="3" t="s">
        <v>12</v>
      </c>
      <c r="E1689" s="3"/>
      <c r="F1689" s="3"/>
      <c r="G1689" s="3"/>
      <c r="H1689" s="3"/>
    </row>
    <row r="1690" spans="1:8" x14ac:dyDescent="0.35">
      <c r="A1690" s="3" t="s">
        <v>665</v>
      </c>
      <c r="B1690" s="3" t="s">
        <v>20</v>
      </c>
      <c r="C1690" s="3" t="s">
        <v>774</v>
      </c>
      <c r="D1690" s="3" t="s">
        <v>25</v>
      </c>
      <c r="E1690" s="3"/>
      <c r="F1690" s="3"/>
      <c r="G1690" s="3"/>
      <c r="H1690" s="3"/>
    </row>
    <row r="1691" spans="1:8" x14ac:dyDescent="0.35">
      <c r="A1691" s="3" t="s">
        <v>665</v>
      </c>
      <c r="B1691" s="3" t="s">
        <v>20</v>
      </c>
      <c r="C1691" s="3" t="s">
        <v>774</v>
      </c>
      <c r="D1691" s="3" t="s">
        <v>28</v>
      </c>
      <c r="E1691" s="3"/>
      <c r="F1691" s="3"/>
      <c r="G1691" s="3"/>
      <c r="H1691" s="3"/>
    </row>
    <row r="1692" spans="1:8" x14ac:dyDescent="0.35">
      <c r="A1692" s="3" t="s">
        <v>665</v>
      </c>
      <c r="B1692" s="3" t="s">
        <v>20</v>
      </c>
      <c r="C1692" s="3" t="s">
        <v>774</v>
      </c>
      <c r="D1692" s="3" t="s">
        <v>715</v>
      </c>
      <c r="E1692" s="3"/>
      <c r="F1692" s="3"/>
      <c r="G1692" s="3"/>
      <c r="H1692" s="3"/>
    </row>
    <row r="1693" spans="1:8" x14ac:dyDescent="0.35">
      <c r="A1693" s="3" t="s">
        <v>665</v>
      </c>
      <c r="B1693" s="3" t="s">
        <v>20</v>
      </c>
      <c r="C1693" s="3" t="s">
        <v>774</v>
      </c>
      <c r="D1693" s="3" t="s">
        <v>775</v>
      </c>
      <c r="E1693" s="3"/>
      <c r="F1693" s="3"/>
      <c r="G1693" s="3"/>
      <c r="H1693" s="3"/>
    </row>
    <row r="1694" spans="1:8" x14ac:dyDescent="0.35">
      <c r="A1694" s="3" t="s">
        <v>665</v>
      </c>
      <c r="B1694" s="3" t="s">
        <v>20</v>
      </c>
      <c r="C1694" s="3" t="s">
        <v>774</v>
      </c>
      <c r="D1694" s="3" t="s">
        <v>15</v>
      </c>
      <c r="E1694" s="3" t="s">
        <v>13</v>
      </c>
      <c r="F1694" s="3" t="s">
        <v>776</v>
      </c>
      <c r="G1694" s="3"/>
      <c r="H1694" s="3"/>
    </row>
    <row r="1695" spans="1:8" x14ac:dyDescent="0.35">
      <c r="A1695" s="3" t="s">
        <v>665</v>
      </c>
      <c r="B1695" s="3" t="s">
        <v>20</v>
      </c>
      <c r="C1695" s="3" t="s">
        <v>774</v>
      </c>
      <c r="D1695" s="3" t="s">
        <v>32</v>
      </c>
      <c r="E1695" s="3"/>
      <c r="F1695" s="3"/>
      <c r="G1695" s="3"/>
      <c r="H1695" s="3"/>
    </row>
    <row r="1696" spans="1:8" x14ac:dyDescent="0.35">
      <c r="A1696" s="3" t="s">
        <v>665</v>
      </c>
      <c r="B1696" s="3" t="s">
        <v>20</v>
      </c>
      <c r="C1696" s="3" t="s">
        <v>774</v>
      </c>
      <c r="D1696" s="3" t="s">
        <v>29</v>
      </c>
      <c r="E1696" s="3"/>
      <c r="F1696" s="3"/>
      <c r="G1696" s="3"/>
      <c r="H1696" s="3"/>
    </row>
    <row r="1697" spans="1:8" x14ac:dyDescent="0.35">
      <c r="A1697" s="3" t="s">
        <v>665</v>
      </c>
      <c r="B1697" s="3" t="s">
        <v>20</v>
      </c>
      <c r="C1697" s="3" t="s">
        <v>774</v>
      </c>
      <c r="D1697" s="3" t="s">
        <v>134</v>
      </c>
      <c r="E1697" s="3"/>
      <c r="F1697" s="3"/>
      <c r="G1697" s="3"/>
      <c r="H1697" s="3"/>
    </row>
    <row r="1698" spans="1:8" x14ac:dyDescent="0.35">
      <c r="A1698" s="3" t="s">
        <v>665</v>
      </c>
      <c r="B1698" s="3" t="s">
        <v>20</v>
      </c>
      <c r="C1698" s="3" t="s">
        <v>774</v>
      </c>
      <c r="D1698" s="3" t="s">
        <v>107</v>
      </c>
      <c r="E1698" s="3"/>
      <c r="F1698" s="3"/>
      <c r="G1698" s="3"/>
      <c r="H1698" s="3"/>
    </row>
    <row r="1699" spans="1:8" x14ac:dyDescent="0.35">
      <c r="A1699" s="3" t="s">
        <v>665</v>
      </c>
      <c r="B1699" s="3" t="s">
        <v>10</v>
      </c>
      <c r="C1699" s="3" t="s">
        <v>777</v>
      </c>
      <c r="D1699" s="3" t="s">
        <v>12</v>
      </c>
      <c r="E1699" s="3" t="s">
        <v>33</v>
      </c>
      <c r="F1699" s="3" t="s">
        <v>686</v>
      </c>
      <c r="G1699" s="3"/>
      <c r="H1699" s="3"/>
    </row>
    <row r="1700" spans="1:8" x14ac:dyDescent="0.35">
      <c r="A1700" s="3" t="s">
        <v>665</v>
      </c>
      <c r="B1700" s="3" t="s">
        <v>10</v>
      </c>
      <c r="C1700" s="3" t="s">
        <v>777</v>
      </c>
      <c r="D1700" s="3" t="s">
        <v>47</v>
      </c>
      <c r="E1700" s="3" t="s">
        <v>33</v>
      </c>
      <c r="F1700" s="3" t="s">
        <v>686</v>
      </c>
      <c r="G1700" s="3"/>
      <c r="H1700" s="3"/>
    </row>
    <row r="1701" spans="1:8" x14ac:dyDescent="0.35">
      <c r="A1701" s="3" t="s">
        <v>665</v>
      </c>
      <c r="B1701" s="3" t="s">
        <v>10</v>
      </c>
      <c r="C1701" s="3" t="s">
        <v>777</v>
      </c>
      <c r="D1701" s="3" t="s">
        <v>25</v>
      </c>
      <c r="E1701" s="3" t="s">
        <v>33</v>
      </c>
      <c r="F1701" s="3" t="s">
        <v>686</v>
      </c>
      <c r="G1701" s="3"/>
      <c r="H1701" s="3"/>
    </row>
    <row r="1702" spans="1:8" x14ac:dyDescent="0.35">
      <c r="A1702" s="3" t="s">
        <v>665</v>
      </c>
      <c r="B1702" s="3" t="s">
        <v>10</v>
      </c>
      <c r="C1702" s="3" t="s">
        <v>777</v>
      </c>
      <c r="D1702" s="3" t="s">
        <v>87</v>
      </c>
      <c r="E1702" s="3" t="s">
        <v>33</v>
      </c>
      <c r="F1702" s="3" t="s">
        <v>686</v>
      </c>
      <c r="G1702" s="3"/>
      <c r="H1702" s="3"/>
    </row>
    <row r="1703" spans="1:8" x14ac:dyDescent="0.35">
      <c r="A1703" s="3" t="s">
        <v>665</v>
      </c>
      <c r="B1703" s="3" t="s">
        <v>10</v>
      </c>
      <c r="C1703" s="3" t="s">
        <v>777</v>
      </c>
      <c r="D1703" s="3" t="s">
        <v>29</v>
      </c>
      <c r="E1703" s="3" t="s">
        <v>33</v>
      </c>
      <c r="F1703" s="3" t="s">
        <v>686</v>
      </c>
      <c r="G1703" s="3"/>
      <c r="H1703" s="3"/>
    </row>
    <row r="1704" spans="1:8" x14ac:dyDescent="0.35">
      <c r="A1704" s="3" t="s">
        <v>665</v>
      </c>
      <c r="B1704" s="3" t="s">
        <v>10</v>
      </c>
      <c r="C1704" s="3" t="s">
        <v>777</v>
      </c>
      <c r="D1704" s="3" t="s">
        <v>134</v>
      </c>
      <c r="E1704" s="3" t="s">
        <v>33</v>
      </c>
      <c r="F1704" s="3" t="s">
        <v>686</v>
      </c>
      <c r="G1704" s="3"/>
      <c r="H1704" s="3"/>
    </row>
    <row r="1705" spans="1:8" x14ac:dyDescent="0.35">
      <c r="A1705" s="3" t="s">
        <v>665</v>
      </c>
      <c r="B1705" s="3" t="s">
        <v>20</v>
      </c>
      <c r="C1705" s="3" t="s">
        <v>778</v>
      </c>
      <c r="D1705" s="3" t="s">
        <v>142</v>
      </c>
      <c r="E1705" s="3"/>
      <c r="F1705" s="3"/>
      <c r="G1705" s="3"/>
      <c r="H1705" s="3"/>
    </row>
    <row r="1706" spans="1:8" x14ac:dyDescent="0.35">
      <c r="A1706" s="3" t="s">
        <v>665</v>
      </c>
      <c r="B1706" s="3" t="s">
        <v>20</v>
      </c>
      <c r="C1706" s="3" t="s">
        <v>778</v>
      </c>
      <c r="D1706" s="3" t="s">
        <v>15</v>
      </c>
      <c r="E1706" s="3" t="s">
        <v>16</v>
      </c>
      <c r="F1706" s="3" t="s">
        <v>779</v>
      </c>
      <c r="G1706" s="3"/>
      <c r="H1706" s="3"/>
    </row>
    <row r="1707" spans="1:8" x14ac:dyDescent="0.35">
      <c r="A1707" s="3" t="s">
        <v>665</v>
      </c>
      <c r="B1707" s="3" t="s">
        <v>20</v>
      </c>
      <c r="C1707" s="3" t="s">
        <v>778</v>
      </c>
      <c r="D1707" s="3" t="s">
        <v>57</v>
      </c>
      <c r="E1707" s="3"/>
      <c r="F1707" s="3"/>
      <c r="G1707" s="3"/>
      <c r="H1707" s="3"/>
    </row>
    <row r="1708" spans="1:8" x14ac:dyDescent="0.35">
      <c r="A1708" s="3" t="s">
        <v>665</v>
      </c>
      <c r="B1708" s="3" t="s">
        <v>10</v>
      </c>
      <c r="C1708" s="3" t="s">
        <v>780</v>
      </c>
      <c r="D1708" s="3" t="s">
        <v>47</v>
      </c>
      <c r="E1708" s="3"/>
      <c r="F1708" s="3"/>
      <c r="G1708" s="3"/>
      <c r="H1708" s="3"/>
    </row>
    <row r="1709" spans="1:8" x14ac:dyDescent="0.35">
      <c r="A1709" s="3" t="s">
        <v>665</v>
      </c>
      <c r="B1709" s="3" t="s">
        <v>10</v>
      </c>
      <c r="C1709" s="3" t="s">
        <v>780</v>
      </c>
      <c r="D1709" s="3" t="s">
        <v>15</v>
      </c>
      <c r="E1709" s="3" t="s">
        <v>13</v>
      </c>
      <c r="F1709" s="3" t="s">
        <v>781</v>
      </c>
      <c r="G1709" s="3"/>
      <c r="H1709" s="3"/>
    </row>
    <row r="1710" spans="1:8" x14ac:dyDescent="0.35">
      <c r="A1710" s="3" t="s">
        <v>665</v>
      </c>
      <c r="B1710" s="3" t="s">
        <v>10</v>
      </c>
      <c r="C1710" s="3" t="s">
        <v>780</v>
      </c>
      <c r="D1710" s="3" t="s">
        <v>29</v>
      </c>
      <c r="E1710" s="3"/>
      <c r="F1710" s="3"/>
      <c r="G1710" s="3"/>
      <c r="H1710" s="3"/>
    </row>
    <row r="1711" spans="1:8" x14ac:dyDescent="0.35">
      <c r="A1711" s="3" t="s">
        <v>665</v>
      </c>
      <c r="B1711" s="3" t="s">
        <v>10</v>
      </c>
      <c r="C1711" s="3" t="s">
        <v>2795</v>
      </c>
      <c r="D1711" s="3" t="s">
        <v>15</v>
      </c>
      <c r="E1711" s="3"/>
      <c r="F1711" s="3"/>
      <c r="G1711" s="3"/>
      <c r="H1711" s="3"/>
    </row>
    <row r="1712" spans="1:8" x14ac:dyDescent="0.35">
      <c r="A1712" s="3" t="s">
        <v>665</v>
      </c>
      <c r="B1712" s="3" t="s">
        <v>10</v>
      </c>
      <c r="C1712" s="3" t="s">
        <v>2795</v>
      </c>
      <c r="D1712" s="3" t="s">
        <v>134</v>
      </c>
      <c r="E1712" s="3"/>
      <c r="F1712" s="3"/>
      <c r="G1712" s="3"/>
      <c r="H1712" s="3"/>
    </row>
    <row r="1713" spans="1:8" x14ac:dyDescent="0.35">
      <c r="A1713" s="3" t="s">
        <v>665</v>
      </c>
      <c r="B1713" s="3" t="s">
        <v>10</v>
      </c>
      <c r="C1713" s="3" t="s">
        <v>782</v>
      </c>
      <c r="D1713" s="3" t="s">
        <v>47</v>
      </c>
      <c r="E1713" s="3"/>
      <c r="F1713" s="3"/>
      <c r="G1713" s="3"/>
      <c r="H1713" s="3"/>
    </row>
    <row r="1714" spans="1:8" x14ac:dyDescent="0.35">
      <c r="A1714" s="3" t="s">
        <v>665</v>
      </c>
      <c r="B1714" s="3" t="s">
        <v>10</v>
      </c>
      <c r="C1714" s="3" t="s">
        <v>782</v>
      </c>
      <c r="D1714" s="3" t="s">
        <v>15</v>
      </c>
      <c r="E1714" s="3" t="s">
        <v>13</v>
      </c>
      <c r="F1714" s="3" t="s">
        <v>783</v>
      </c>
      <c r="G1714" s="3"/>
      <c r="H1714" s="3"/>
    </row>
    <row r="1715" spans="1:8" x14ac:dyDescent="0.35">
      <c r="A1715" s="3" t="s">
        <v>665</v>
      </c>
      <c r="B1715" s="3" t="s">
        <v>10</v>
      </c>
      <c r="C1715" s="3" t="s">
        <v>782</v>
      </c>
      <c r="D1715" s="3" t="s">
        <v>175</v>
      </c>
      <c r="E1715" s="3"/>
      <c r="F1715" s="3"/>
      <c r="G1715" s="3"/>
      <c r="H1715" s="3"/>
    </row>
    <row r="1716" spans="1:8" x14ac:dyDescent="0.35">
      <c r="A1716" s="3" t="s">
        <v>665</v>
      </c>
      <c r="B1716" s="3" t="s">
        <v>10</v>
      </c>
      <c r="C1716" s="3" t="s">
        <v>782</v>
      </c>
      <c r="D1716" s="3" t="s">
        <v>32</v>
      </c>
      <c r="E1716" s="3"/>
      <c r="F1716" s="3" t="s">
        <v>2293</v>
      </c>
      <c r="G1716" s="3"/>
      <c r="H1716" s="3"/>
    </row>
    <row r="1717" spans="1:8" x14ac:dyDescent="0.35">
      <c r="A1717" s="3" t="s">
        <v>665</v>
      </c>
      <c r="B1717" s="3" t="s">
        <v>20</v>
      </c>
      <c r="C1717" s="3" t="s">
        <v>784</v>
      </c>
      <c r="D1717" s="3" t="s">
        <v>12</v>
      </c>
      <c r="E1717" s="3"/>
      <c r="F1717" s="3"/>
      <c r="G1717" s="3"/>
      <c r="H1717" s="3"/>
    </row>
    <row r="1718" spans="1:8" x14ac:dyDescent="0.35">
      <c r="A1718" s="3" t="s">
        <v>665</v>
      </c>
      <c r="B1718" s="3" t="s">
        <v>20</v>
      </c>
      <c r="C1718" s="3" t="s">
        <v>784</v>
      </c>
      <c r="D1718" s="3" t="s">
        <v>25</v>
      </c>
      <c r="E1718" s="3"/>
      <c r="F1718" s="3"/>
      <c r="G1718" s="3"/>
      <c r="H1718" s="3"/>
    </row>
    <row r="1719" spans="1:8" x14ac:dyDescent="0.35">
      <c r="A1719" s="3" t="s">
        <v>665</v>
      </c>
      <c r="B1719" s="3" t="s">
        <v>20</v>
      </c>
      <c r="C1719" s="3" t="s">
        <v>784</v>
      </c>
      <c r="D1719" s="3" t="s">
        <v>60</v>
      </c>
      <c r="E1719" s="3"/>
      <c r="F1719" s="3"/>
      <c r="G1719" s="3"/>
      <c r="H1719" s="3"/>
    </row>
    <row r="1720" spans="1:8" x14ac:dyDescent="0.35">
      <c r="A1720" s="3" t="s">
        <v>665</v>
      </c>
      <c r="B1720" s="3" t="s">
        <v>20</v>
      </c>
      <c r="C1720" s="3" t="s">
        <v>784</v>
      </c>
      <c r="D1720" s="3" t="s">
        <v>141</v>
      </c>
      <c r="E1720" s="3"/>
      <c r="F1720" s="3"/>
      <c r="G1720" s="3"/>
      <c r="H1720" s="3"/>
    </row>
    <row r="1721" spans="1:8" x14ac:dyDescent="0.35">
      <c r="A1721" s="3" t="s">
        <v>665</v>
      </c>
      <c r="B1721" s="3" t="s">
        <v>20</v>
      </c>
      <c r="C1721" s="3" t="s">
        <v>784</v>
      </c>
      <c r="D1721" s="3" t="s">
        <v>242</v>
      </c>
      <c r="E1721" s="3"/>
      <c r="F1721" s="3"/>
      <c r="G1721" s="3"/>
      <c r="H1721" s="3"/>
    </row>
    <row r="1722" spans="1:8" x14ac:dyDescent="0.35">
      <c r="A1722" s="3" t="s">
        <v>665</v>
      </c>
      <c r="B1722" s="3" t="s">
        <v>20</v>
      </c>
      <c r="C1722" s="3" t="s">
        <v>784</v>
      </c>
      <c r="D1722" s="3" t="s">
        <v>775</v>
      </c>
      <c r="E1722" s="3"/>
      <c r="F1722" s="3"/>
      <c r="G1722" s="3"/>
      <c r="H1722" s="3"/>
    </row>
    <row r="1723" spans="1:8" x14ac:dyDescent="0.35">
      <c r="A1723" s="3" t="s">
        <v>665</v>
      </c>
      <c r="B1723" s="3" t="s">
        <v>20</v>
      </c>
      <c r="C1723" s="3" t="s">
        <v>784</v>
      </c>
      <c r="D1723" s="3" t="s">
        <v>57</v>
      </c>
      <c r="E1723" s="3"/>
      <c r="F1723" s="3"/>
      <c r="G1723" s="3"/>
      <c r="H1723" s="3"/>
    </row>
    <row r="1724" spans="1:8" x14ac:dyDescent="0.35">
      <c r="A1724" s="3" t="s">
        <v>665</v>
      </c>
      <c r="B1724" s="3" t="s">
        <v>20</v>
      </c>
      <c r="C1724" s="3" t="s">
        <v>784</v>
      </c>
      <c r="D1724" s="3" t="s">
        <v>32</v>
      </c>
      <c r="E1724" s="3" t="s">
        <v>13</v>
      </c>
      <c r="F1724" s="3" t="s">
        <v>2464</v>
      </c>
      <c r="G1724" s="3"/>
      <c r="H1724" s="3"/>
    </row>
    <row r="1725" spans="1:8" x14ac:dyDescent="0.35">
      <c r="A1725" s="3" t="s">
        <v>665</v>
      </c>
      <c r="B1725" s="3" t="s">
        <v>20</v>
      </c>
      <c r="C1725" s="3" t="s">
        <v>784</v>
      </c>
      <c r="D1725" s="3" t="s">
        <v>29</v>
      </c>
      <c r="E1725" s="3"/>
      <c r="F1725" s="3" t="s">
        <v>2465</v>
      </c>
      <c r="G1725" s="3"/>
      <c r="H1725" s="3"/>
    </row>
    <row r="1726" spans="1:8" x14ac:dyDescent="0.35">
      <c r="A1726" s="3" t="s">
        <v>665</v>
      </c>
      <c r="B1726" s="3" t="s">
        <v>20</v>
      </c>
      <c r="C1726" s="3" t="s">
        <v>784</v>
      </c>
      <c r="D1726" s="3" t="s">
        <v>134</v>
      </c>
      <c r="E1726" s="3"/>
      <c r="F1726" s="3"/>
      <c r="G1726" s="3"/>
      <c r="H1726" s="3"/>
    </row>
    <row r="1727" spans="1:8" x14ac:dyDescent="0.35">
      <c r="A1727" s="3" t="s">
        <v>665</v>
      </c>
      <c r="B1727" s="3" t="s">
        <v>20</v>
      </c>
      <c r="C1727" s="3" t="s">
        <v>784</v>
      </c>
      <c r="D1727" s="3" t="s">
        <v>107</v>
      </c>
      <c r="E1727" s="3"/>
      <c r="F1727" s="3"/>
      <c r="G1727" s="3"/>
      <c r="H1727" s="3"/>
    </row>
    <row r="1728" spans="1:8" x14ac:dyDescent="0.35">
      <c r="A1728" s="3" t="s">
        <v>665</v>
      </c>
      <c r="B1728" s="3" t="s">
        <v>45</v>
      </c>
      <c r="C1728" s="3" t="s">
        <v>785</v>
      </c>
      <c r="D1728" s="3" t="s">
        <v>77</v>
      </c>
      <c r="E1728" s="3"/>
      <c r="F1728" s="3"/>
      <c r="G1728" s="3"/>
      <c r="H1728" s="3"/>
    </row>
    <row r="1729" spans="1:8" x14ac:dyDescent="0.35">
      <c r="A1729" s="3" t="s">
        <v>665</v>
      </c>
      <c r="B1729" s="3" t="s">
        <v>45</v>
      </c>
      <c r="C1729" s="3" t="s">
        <v>786</v>
      </c>
      <c r="D1729" s="3" t="s">
        <v>77</v>
      </c>
      <c r="E1729" s="3"/>
      <c r="F1729" s="3"/>
      <c r="G1729" s="3"/>
      <c r="H1729" s="3"/>
    </row>
    <row r="1730" spans="1:8" x14ac:dyDescent="0.35">
      <c r="A1730" s="3" t="s">
        <v>665</v>
      </c>
      <c r="B1730" s="3" t="s">
        <v>45</v>
      </c>
      <c r="C1730" s="3" t="s">
        <v>787</v>
      </c>
      <c r="D1730" s="3" t="s">
        <v>77</v>
      </c>
      <c r="E1730" s="3"/>
      <c r="F1730" s="3"/>
      <c r="G1730" s="3"/>
      <c r="H1730" s="3"/>
    </row>
    <row r="1731" spans="1:8" x14ac:dyDescent="0.35">
      <c r="A1731" s="3" t="s">
        <v>665</v>
      </c>
      <c r="B1731" s="3" t="s">
        <v>45</v>
      </c>
      <c r="C1731" s="3" t="s">
        <v>788</v>
      </c>
      <c r="D1731" s="3" t="s">
        <v>77</v>
      </c>
      <c r="E1731" s="3" t="s">
        <v>33</v>
      </c>
      <c r="F1731" s="3" t="s">
        <v>487</v>
      </c>
      <c r="G1731" s="3"/>
      <c r="H1731" s="3"/>
    </row>
    <row r="1732" spans="1:8" x14ac:dyDescent="0.35">
      <c r="A1732" s="3" t="s">
        <v>665</v>
      </c>
      <c r="B1732" s="3" t="s">
        <v>45</v>
      </c>
      <c r="C1732" s="3" t="s">
        <v>788</v>
      </c>
      <c r="D1732" s="3" t="s">
        <v>56</v>
      </c>
      <c r="E1732" s="3" t="s">
        <v>33</v>
      </c>
      <c r="F1732" s="3" t="s">
        <v>487</v>
      </c>
      <c r="G1732" s="3"/>
      <c r="H1732" s="3"/>
    </row>
    <row r="1733" spans="1:8" x14ac:dyDescent="0.35">
      <c r="A1733" s="3" t="s">
        <v>665</v>
      </c>
      <c r="B1733" s="3" t="s">
        <v>20</v>
      </c>
      <c r="C1733" s="3" t="s">
        <v>789</v>
      </c>
      <c r="D1733" s="3" t="s">
        <v>12</v>
      </c>
      <c r="E1733" s="3"/>
      <c r="F1733" s="3"/>
      <c r="G1733" s="3"/>
      <c r="H1733" s="3"/>
    </row>
    <row r="1734" spans="1:8" x14ac:dyDescent="0.35">
      <c r="A1734" s="3" t="s">
        <v>665</v>
      </c>
      <c r="B1734" s="3" t="s">
        <v>20</v>
      </c>
      <c r="C1734" s="3" t="s">
        <v>789</v>
      </c>
      <c r="D1734" s="3" t="s">
        <v>47</v>
      </c>
      <c r="E1734" s="3"/>
      <c r="F1734" s="3"/>
      <c r="G1734" s="3"/>
      <c r="H1734" s="3"/>
    </row>
    <row r="1735" spans="1:8" x14ac:dyDescent="0.35">
      <c r="A1735" s="3" t="s">
        <v>665</v>
      </c>
      <c r="B1735" s="3" t="s">
        <v>20</v>
      </c>
      <c r="C1735" s="3" t="s">
        <v>789</v>
      </c>
      <c r="D1735" s="3" t="s">
        <v>25</v>
      </c>
      <c r="E1735" s="3"/>
      <c r="F1735" s="3"/>
      <c r="G1735" s="3"/>
      <c r="H1735" s="3"/>
    </row>
    <row r="1736" spans="1:8" x14ac:dyDescent="0.35">
      <c r="A1736" s="3" t="s">
        <v>665</v>
      </c>
      <c r="B1736" s="3" t="s">
        <v>20</v>
      </c>
      <c r="C1736" s="3" t="s">
        <v>789</v>
      </c>
      <c r="D1736" s="3" t="s">
        <v>142</v>
      </c>
      <c r="E1736" s="3"/>
      <c r="F1736" s="3"/>
      <c r="G1736" s="3"/>
      <c r="H1736" s="3"/>
    </row>
    <row r="1737" spans="1:8" x14ac:dyDescent="0.35">
      <c r="A1737" s="3" t="s">
        <v>665</v>
      </c>
      <c r="B1737" s="3" t="s">
        <v>20</v>
      </c>
      <c r="C1737" s="3" t="s">
        <v>789</v>
      </c>
      <c r="D1737" s="3" t="s">
        <v>28</v>
      </c>
      <c r="E1737" s="3"/>
      <c r="F1737" s="3"/>
      <c r="G1737" s="3"/>
      <c r="H1737" s="3"/>
    </row>
    <row r="1738" spans="1:8" x14ac:dyDescent="0.35">
      <c r="A1738" s="3" t="s">
        <v>665</v>
      </c>
      <c r="B1738" s="3" t="s">
        <v>20</v>
      </c>
      <c r="C1738" s="3" t="s">
        <v>789</v>
      </c>
      <c r="D1738" s="3" t="s">
        <v>57</v>
      </c>
      <c r="E1738" s="3"/>
      <c r="F1738" s="3"/>
      <c r="G1738" s="3"/>
      <c r="H1738" s="3"/>
    </row>
    <row r="1739" spans="1:8" x14ac:dyDescent="0.35">
      <c r="A1739" s="3" t="s">
        <v>665</v>
      </c>
      <c r="B1739" s="3" t="s">
        <v>20</v>
      </c>
      <c r="C1739" s="3" t="s">
        <v>789</v>
      </c>
      <c r="D1739" s="3" t="s">
        <v>32</v>
      </c>
      <c r="E1739" s="3"/>
      <c r="F1739" s="3"/>
      <c r="G1739" s="3"/>
      <c r="H1739" s="3"/>
    </row>
    <row r="1740" spans="1:8" x14ac:dyDescent="0.35">
      <c r="A1740" s="3" t="s">
        <v>665</v>
      </c>
      <c r="B1740" s="3" t="s">
        <v>45</v>
      </c>
      <c r="C1740" s="3" t="s">
        <v>790</v>
      </c>
      <c r="D1740" s="3" t="s">
        <v>77</v>
      </c>
      <c r="E1740" s="3"/>
      <c r="F1740" s="3"/>
      <c r="G1740" s="3"/>
      <c r="H1740" s="3"/>
    </row>
    <row r="1741" spans="1:8" x14ac:dyDescent="0.35">
      <c r="A1741" s="3" t="s">
        <v>665</v>
      </c>
      <c r="B1741" s="3" t="s">
        <v>10</v>
      </c>
      <c r="C1741" s="3" t="s">
        <v>2641</v>
      </c>
      <c r="D1741" s="3" t="s">
        <v>47</v>
      </c>
      <c r="E1741" s="3"/>
      <c r="F1741" s="3"/>
      <c r="G1741" s="3"/>
      <c r="H1741" s="3"/>
    </row>
    <row r="1742" spans="1:8" x14ac:dyDescent="0.35">
      <c r="A1742" s="3" t="s">
        <v>665</v>
      </c>
      <c r="B1742" s="3" t="s">
        <v>10</v>
      </c>
      <c r="C1742" s="3" t="s">
        <v>2641</v>
      </c>
      <c r="D1742" s="3" t="s">
        <v>15</v>
      </c>
      <c r="E1742" s="3" t="s">
        <v>16</v>
      </c>
      <c r="F1742" s="3" t="s">
        <v>2642</v>
      </c>
      <c r="G1742" s="3"/>
      <c r="H1742" s="3"/>
    </row>
    <row r="1743" spans="1:8" x14ac:dyDescent="0.35">
      <c r="A1743" s="3" t="s">
        <v>665</v>
      </c>
      <c r="B1743" s="3" t="s">
        <v>20</v>
      </c>
      <c r="C1743" s="3" t="s">
        <v>791</v>
      </c>
      <c r="D1743" s="3" t="s">
        <v>47</v>
      </c>
      <c r="E1743" s="3" t="s">
        <v>13</v>
      </c>
      <c r="F1743" s="3" t="s">
        <v>792</v>
      </c>
      <c r="G1743" s="3"/>
      <c r="H1743" s="3"/>
    </row>
    <row r="1744" spans="1:8" x14ac:dyDescent="0.35">
      <c r="A1744" s="3" t="s">
        <v>665</v>
      </c>
      <c r="B1744" s="3" t="s">
        <v>20</v>
      </c>
      <c r="C1744" s="3" t="s">
        <v>791</v>
      </c>
      <c r="D1744" s="3" t="s">
        <v>25</v>
      </c>
      <c r="E1744" s="3" t="s">
        <v>13</v>
      </c>
      <c r="F1744" s="3" t="s">
        <v>792</v>
      </c>
      <c r="G1744" s="3"/>
      <c r="H1744" s="3"/>
    </row>
    <row r="1745" spans="1:8" x14ac:dyDescent="0.35">
      <c r="A1745" s="3" t="s">
        <v>665</v>
      </c>
      <c r="B1745" s="3" t="s">
        <v>20</v>
      </c>
      <c r="C1745" s="3" t="s">
        <v>791</v>
      </c>
      <c r="D1745" s="3" t="s">
        <v>28</v>
      </c>
      <c r="E1745" s="3" t="s">
        <v>13</v>
      </c>
      <c r="F1745" s="3" t="s">
        <v>2488</v>
      </c>
      <c r="G1745" s="3"/>
      <c r="H1745" s="3"/>
    </row>
    <row r="1746" spans="1:8" x14ac:dyDescent="0.35">
      <c r="A1746" s="3" t="s">
        <v>665</v>
      </c>
      <c r="B1746" s="3" t="s">
        <v>20</v>
      </c>
      <c r="C1746" s="3" t="s">
        <v>791</v>
      </c>
      <c r="D1746" s="3" t="s">
        <v>15</v>
      </c>
      <c r="E1746" s="3" t="s">
        <v>13</v>
      </c>
      <c r="F1746" s="3" t="s">
        <v>792</v>
      </c>
      <c r="G1746" s="3"/>
      <c r="H1746" s="3"/>
    </row>
    <row r="1747" spans="1:8" x14ac:dyDescent="0.35">
      <c r="A1747" s="3" t="s">
        <v>665</v>
      </c>
      <c r="B1747" s="3" t="s">
        <v>20</v>
      </c>
      <c r="C1747" s="3" t="s">
        <v>791</v>
      </c>
      <c r="D1747" s="3" t="s">
        <v>32</v>
      </c>
      <c r="E1747" s="3" t="s">
        <v>13</v>
      </c>
      <c r="F1747" s="3" t="s">
        <v>792</v>
      </c>
      <c r="G1747" s="3"/>
      <c r="H1747" s="3"/>
    </row>
    <row r="1748" spans="1:8" x14ac:dyDescent="0.35">
      <c r="A1748" s="3" t="s">
        <v>665</v>
      </c>
      <c r="B1748" s="3" t="s">
        <v>20</v>
      </c>
      <c r="C1748" s="3" t="s">
        <v>793</v>
      </c>
      <c r="D1748" s="3" t="s">
        <v>12</v>
      </c>
      <c r="E1748" s="3"/>
      <c r="F1748" s="3" t="s">
        <v>2395</v>
      </c>
      <c r="G1748" s="3"/>
      <c r="H1748" s="3"/>
    </row>
    <row r="1749" spans="1:8" x14ac:dyDescent="0.35">
      <c r="A1749" s="3" t="s">
        <v>665</v>
      </c>
      <c r="B1749" s="3" t="s">
        <v>20</v>
      </c>
      <c r="C1749" s="3" t="s">
        <v>793</v>
      </c>
      <c r="D1749" s="3" t="s">
        <v>25</v>
      </c>
      <c r="E1749" s="3"/>
      <c r="F1749" s="3"/>
      <c r="G1749" s="3"/>
      <c r="H1749" s="3"/>
    </row>
    <row r="1750" spans="1:8" x14ac:dyDescent="0.35">
      <c r="A1750" s="3" t="s">
        <v>665</v>
      </c>
      <c r="B1750" s="3" t="s">
        <v>20</v>
      </c>
      <c r="C1750" s="3" t="s">
        <v>793</v>
      </c>
      <c r="D1750" s="3" t="s">
        <v>141</v>
      </c>
      <c r="E1750" s="3"/>
      <c r="F1750" s="3"/>
      <c r="G1750" s="3"/>
      <c r="H1750" s="3"/>
    </row>
    <row r="1751" spans="1:8" x14ac:dyDescent="0.35">
      <c r="A1751" s="3" t="s">
        <v>665</v>
      </c>
      <c r="B1751" s="3" t="s">
        <v>20</v>
      </c>
      <c r="C1751" s="3" t="s">
        <v>793</v>
      </c>
      <c r="D1751" s="3" t="s">
        <v>142</v>
      </c>
      <c r="E1751" s="3"/>
      <c r="F1751" s="3"/>
      <c r="G1751" s="3"/>
      <c r="H1751" s="3"/>
    </row>
    <row r="1752" spans="1:8" x14ac:dyDescent="0.35">
      <c r="A1752" s="3" t="s">
        <v>665</v>
      </c>
      <c r="B1752" s="3" t="s">
        <v>20</v>
      </c>
      <c r="C1752" s="3" t="s">
        <v>793</v>
      </c>
      <c r="D1752" s="3" t="s">
        <v>28</v>
      </c>
      <c r="E1752" s="3"/>
      <c r="F1752" s="3"/>
      <c r="G1752" s="3"/>
      <c r="H1752" s="3"/>
    </row>
    <row r="1753" spans="1:8" x14ac:dyDescent="0.35">
      <c r="A1753" s="3" t="s">
        <v>665</v>
      </c>
      <c r="B1753" s="3" t="s">
        <v>20</v>
      </c>
      <c r="C1753" s="3" t="s">
        <v>793</v>
      </c>
      <c r="D1753" s="3" t="s">
        <v>15</v>
      </c>
      <c r="E1753" s="3"/>
      <c r="F1753" s="3"/>
      <c r="G1753" s="3"/>
      <c r="H1753" s="3"/>
    </row>
    <row r="1754" spans="1:8" x14ac:dyDescent="0.35">
      <c r="A1754" s="3" t="s">
        <v>665</v>
      </c>
      <c r="B1754" s="3" t="s">
        <v>20</v>
      </c>
      <c r="C1754" s="3" t="s">
        <v>793</v>
      </c>
      <c r="D1754" s="3" t="s">
        <v>56</v>
      </c>
      <c r="E1754" s="3"/>
      <c r="F1754" s="3" t="s">
        <v>3010</v>
      </c>
      <c r="G1754" s="3"/>
      <c r="H1754" s="3"/>
    </row>
    <row r="1755" spans="1:8" x14ac:dyDescent="0.35">
      <c r="A1755" s="3" t="s">
        <v>665</v>
      </c>
      <c r="B1755" s="3" t="s">
        <v>20</v>
      </c>
      <c r="C1755" s="3" t="s">
        <v>793</v>
      </c>
      <c r="D1755" s="3" t="s">
        <v>89</v>
      </c>
      <c r="E1755" s="3"/>
      <c r="F1755" s="3"/>
      <c r="G1755" s="3"/>
      <c r="H1755" s="3"/>
    </row>
    <row r="1756" spans="1:8" x14ac:dyDescent="0.35">
      <c r="A1756" s="3" t="s">
        <v>665</v>
      </c>
      <c r="B1756" s="3" t="s">
        <v>20</v>
      </c>
      <c r="C1756" s="3" t="s">
        <v>793</v>
      </c>
      <c r="D1756" s="3" t="s">
        <v>29</v>
      </c>
      <c r="E1756" s="3" t="s">
        <v>13</v>
      </c>
      <c r="F1756" s="3" t="s">
        <v>2489</v>
      </c>
      <c r="G1756" s="3"/>
      <c r="H1756" s="3"/>
    </row>
    <row r="1757" spans="1:8" x14ac:dyDescent="0.35">
      <c r="A1757" s="3" t="s">
        <v>665</v>
      </c>
      <c r="B1757" s="3" t="s">
        <v>20</v>
      </c>
      <c r="C1757" s="3" t="s">
        <v>793</v>
      </c>
      <c r="D1757" s="3" t="s">
        <v>134</v>
      </c>
      <c r="E1757" s="3"/>
      <c r="F1757" s="3"/>
      <c r="G1757" s="3"/>
      <c r="H1757" s="3"/>
    </row>
    <row r="1758" spans="1:8" x14ac:dyDescent="0.35">
      <c r="A1758" s="3" t="s">
        <v>665</v>
      </c>
      <c r="B1758" s="3" t="s">
        <v>20</v>
      </c>
      <c r="C1758" s="3" t="s">
        <v>794</v>
      </c>
      <c r="D1758" s="3" t="s">
        <v>47</v>
      </c>
      <c r="E1758" s="3"/>
      <c r="F1758" s="3"/>
      <c r="G1758" s="3"/>
      <c r="H1758" s="3"/>
    </row>
    <row r="1759" spans="1:8" x14ac:dyDescent="0.35">
      <c r="A1759" s="3" t="s">
        <v>665</v>
      </c>
      <c r="B1759" s="3" t="s">
        <v>20</v>
      </c>
      <c r="C1759" s="3" t="s">
        <v>794</v>
      </c>
      <c r="D1759" s="3" t="s">
        <v>25</v>
      </c>
      <c r="E1759" s="3"/>
      <c r="F1759" s="3"/>
      <c r="G1759" s="3"/>
      <c r="H1759" s="3"/>
    </row>
    <row r="1760" spans="1:8" x14ac:dyDescent="0.35">
      <c r="A1760" s="3" t="s">
        <v>665</v>
      </c>
      <c r="B1760" s="3" t="s">
        <v>20</v>
      </c>
      <c r="C1760" s="3" t="s">
        <v>794</v>
      </c>
      <c r="D1760" s="3" t="s">
        <v>29</v>
      </c>
      <c r="E1760" s="3" t="s">
        <v>13</v>
      </c>
      <c r="F1760" s="3" t="s">
        <v>2490</v>
      </c>
      <c r="G1760" s="3"/>
      <c r="H1760" s="3"/>
    </row>
    <row r="1761" spans="1:8" x14ac:dyDescent="0.35">
      <c r="A1761" s="3" t="s">
        <v>665</v>
      </c>
      <c r="B1761" s="3" t="s">
        <v>10</v>
      </c>
      <c r="C1761" s="3" t="s">
        <v>795</v>
      </c>
      <c r="D1761" s="3" t="s">
        <v>12</v>
      </c>
      <c r="E1761" s="3" t="s">
        <v>33</v>
      </c>
      <c r="F1761" s="3" t="s">
        <v>686</v>
      </c>
      <c r="G1761" s="3"/>
      <c r="H1761" s="3"/>
    </row>
    <row r="1762" spans="1:8" x14ac:dyDescent="0.35">
      <c r="A1762" s="3" t="s">
        <v>665</v>
      </c>
      <c r="B1762" s="3" t="s">
        <v>10</v>
      </c>
      <c r="C1762" s="3" t="s">
        <v>795</v>
      </c>
      <c r="D1762" s="3" t="s">
        <v>47</v>
      </c>
      <c r="E1762" s="3" t="s">
        <v>33</v>
      </c>
      <c r="F1762" s="3" t="s">
        <v>686</v>
      </c>
      <c r="G1762" s="3"/>
      <c r="H1762" s="3"/>
    </row>
    <row r="1763" spans="1:8" x14ac:dyDescent="0.35">
      <c r="A1763" s="3" t="s">
        <v>665</v>
      </c>
      <c r="B1763" s="3" t="s">
        <v>10</v>
      </c>
      <c r="C1763" s="3" t="s">
        <v>795</v>
      </c>
      <c r="D1763" s="3" t="s">
        <v>87</v>
      </c>
      <c r="E1763" s="3" t="s">
        <v>33</v>
      </c>
      <c r="F1763" s="3" t="s">
        <v>686</v>
      </c>
      <c r="G1763" s="3"/>
      <c r="H1763" s="3"/>
    </row>
    <row r="1764" spans="1:8" x14ac:dyDescent="0.35">
      <c r="A1764" s="3" t="s">
        <v>665</v>
      </c>
      <c r="B1764" s="3" t="s">
        <v>10</v>
      </c>
      <c r="C1764" s="3" t="s">
        <v>795</v>
      </c>
      <c r="D1764" s="3" t="s">
        <v>134</v>
      </c>
      <c r="E1764" s="3" t="s">
        <v>33</v>
      </c>
      <c r="F1764" s="3" t="s">
        <v>686</v>
      </c>
      <c r="G1764" s="3"/>
      <c r="H1764" s="3"/>
    </row>
    <row r="1765" spans="1:8" x14ac:dyDescent="0.35">
      <c r="A1765" s="3" t="s">
        <v>665</v>
      </c>
      <c r="B1765" s="3" t="s">
        <v>45</v>
      </c>
      <c r="C1765" s="3" t="s">
        <v>796</v>
      </c>
      <c r="D1765" s="3" t="s">
        <v>77</v>
      </c>
      <c r="E1765" s="3"/>
      <c r="F1765" s="3"/>
      <c r="G1765" s="3"/>
      <c r="H1765" s="3"/>
    </row>
    <row r="1766" spans="1:8" x14ac:dyDescent="0.35">
      <c r="A1766" s="3" t="s">
        <v>665</v>
      </c>
      <c r="B1766" s="3" t="s">
        <v>45</v>
      </c>
      <c r="C1766" s="3" t="s">
        <v>797</v>
      </c>
      <c r="D1766" s="3" t="s">
        <v>77</v>
      </c>
      <c r="E1766" s="3"/>
      <c r="F1766" s="3"/>
      <c r="G1766" s="3"/>
      <c r="H1766" s="3"/>
    </row>
    <row r="1767" spans="1:8" x14ac:dyDescent="0.35">
      <c r="A1767" s="3" t="s">
        <v>665</v>
      </c>
      <c r="B1767" s="3" t="s">
        <v>45</v>
      </c>
      <c r="C1767" s="3" t="s">
        <v>798</v>
      </c>
      <c r="D1767" s="3" t="s">
        <v>77</v>
      </c>
      <c r="E1767" s="3"/>
      <c r="F1767" s="3"/>
      <c r="G1767" s="3"/>
      <c r="H1767" s="3"/>
    </row>
    <row r="1768" spans="1:8" x14ac:dyDescent="0.35">
      <c r="A1768" s="3" t="s">
        <v>665</v>
      </c>
      <c r="B1768" s="3" t="s">
        <v>45</v>
      </c>
      <c r="C1768" s="3" t="s">
        <v>799</v>
      </c>
      <c r="D1768" s="3" t="s">
        <v>77</v>
      </c>
      <c r="E1768" s="3"/>
      <c r="F1768" s="3"/>
      <c r="G1768" s="3"/>
      <c r="H1768" s="3"/>
    </row>
    <row r="1769" spans="1:8" x14ac:dyDescent="0.35">
      <c r="A1769" s="3" t="s">
        <v>665</v>
      </c>
      <c r="B1769" s="3" t="s">
        <v>45</v>
      </c>
      <c r="C1769" s="3" t="s">
        <v>800</v>
      </c>
      <c r="D1769" s="3" t="s">
        <v>77</v>
      </c>
      <c r="E1769" s="3"/>
      <c r="F1769" s="3"/>
      <c r="G1769" s="3"/>
      <c r="H1769" s="3"/>
    </row>
    <row r="1770" spans="1:8" x14ac:dyDescent="0.35">
      <c r="A1770" s="3" t="s">
        <v>665</v>
      </c>
      <c r="B1770" s="3" t="s">
        <v>45</v>
      </c>
      <c r="C1770" s="3" t="s">
        <v>801</v>
      </c>
      <c r="D1770" s="3" t="s">
        <v>77</v>
      </c>
      <c r="E1770" s="3"/>
      <c r="F1770" s="3"/>
      <c r="G1770" s="3"/>
      <c r="H1770" s="3"/>
    </row>
    <row r="1771" spans="1:8" x14ac:dyDescent="0.35">
      <c r="A1771" s="3" t="s">
        <v>665</v>
      </c>
      <c r="B1771" s="3" t="s">
        <v>45</v>
      </c>
      <c r="C1771" s="3" t="s">
        <v>802</v>
      </c>
      <c r="D1771" s="3" t="s">
        <v>77</v>
      </c>
      <c r="E1771" s="3"/>
      <c r="F1771" s="3"/>
      <c r="G1771" s="3"/>
      <c r="H1771" s="3"/>
    </row>
    <row r="1772" spans="1:8" x14ac:dyDescent="0.35">
      <c r="A1772" s="3" t="s">
        <v>665</v>
      </c>
      <c r="B1772" s="3" t="s">
        <v>45</v>
      </c>
      <c r="C1772" s="3" t="s">
        <v>803</v>
      </c>
      <c r="D1772" s="3" t="s">
        <v>56</v>
      </c>
      <c r="E1772" s="3" t="s">
        <v>13</v>
      </c>
      <c r="F1772" s="3" t="s">
        <v>804</v>
      </c>
      <c r="G1772" s="3"/>
      <c r="H1772" s="3"/>
    </row>
    <row r="1773" spans="1:8" x14ac:dyDescent="0.35">
      <c r="A1773" s="3" t="s">
        <v>665</v>
      </c>
      <c r="B1773" s="3" t="s">
        <v>10</v>
      </c>
      <c r="C1773" s="3" t="s">
        <v>805</v>
      </c>
      <c r="D1773" s="3" t="s">
        <v>47</v>
      </c>
      <c r="E1773" s="3"/>
      <c r="F1773" s="3"/>
      <c r="G1773" s="3"/>
      <c r="H1773" s="3"/>
    </row>
    <row r="1774" spans="1:8" x14ac:dyDescent="0.35">
      <c r="A1774" s="3" t="s">
        <v>665</v>
      </c>
      <c r="B1774" s="3" t="s">
        <v>10</v>
      </c>
      <c r="C1774" s="3" t="s">
        <v>805</v>
      </c>
      <c r="D1774" s="3" t="s">
        <v>15</v>
      </c>
      <c r="E1774" s="3" t="s">
        <v>13</v>
      </c>
      <c r="F1774" s="3" t="s">
        <v>806</v>
      </c>
      <c r="G1774" s="3"/>
      <c r="H1774" s="3"/>
    </row>
    <row r="1775" spans="1:8" x14ac:dyDescent="0.35">
      <c r="A1775" s="3" t="s">
        <v>665</v>
      </c>
      <c r="B1775" s="3" t="s">
        <v>10</v>
      </c>
      <c r="C1775" s="3" t="s">
        <v>805</v>
      </c>
      <c r="D1775" s="3" t="s">
        <v>134</v>
      </c>
      <c r="E1775" s="3" t="s">
        <v>16</v>
      </c>
      <c r="F1775" s="3" t="s">
        <v>2507</v>
      </c>
      <c r="G1775" s="3"/>
      <c r="H1775" s="3"/>
    </row>
    <row r="1776" spans="1:8" x14ac:dyDescent="0.35">
      <c r="A1776" s="3" t="s">
        <v>665</v>
      </c>
      <c r="B1776" s="3" t="s">
        <v>20</v>
      </c>
      <c r="C1776" s="3" t="s">
        <v>807</v>
      </c>
      <c r="D1776" s="3" t="s">
        <v>15</v>
      </c>
      <c r="E1776" s="3" t="s">
        <v>13</v>
      </c>
      <c r="F1776" s="3" t="s">
        <v>535</v>
      </c>
      <c r="G1776" s="3"/>
      <c r="H1776" s="3"/>
    </row>
    <row r="1777" spans="1:8" x14ac:dyDescent="0.35">
      <c r="A1777" s="3" t="s">
        <v>665</v>
      </c>
      <c r="B1777" s="3" t="s">
        <v>20</v>
      </c>
      <c r="C1777" s="3" t="s">
        <v>807</v>
      </c>
      <c r="D1777" s="3" t="s">
        <v>107</v>
      </c>
      <c r="E1777" s="3"/>
      <c r="F1777" s="3"/>
      <c r="G1777" s="3"/>
      <c r="H1777" s="3"/>
    </row>
    <row r="1778" spans="1:8" x14ac:dyDescent="0.35">
      <c r="A1778" s="3" t="s">
        <v>665</v>
      </c>
      <c r="B1778" s="3" t="s">
        <v>10</v>
      </c>
      <c r="C1778" s="3" t="s">
        <v>3011</v>
      </c>
      <c r="D1778" s="3" t="s">
        <v>47</v>
      </c>
      <c r="E1778" s="3"/>
      <c r="F1778" s="3"/>
      <c r="G1778" s="3"/>
      <c r="H1778" s="3"/>
    </row>
    <row r="1779" spans="1:8" x14ac:dyDescent="0.35">
      <c r="A1779" s="3" t="s">
        <v>665</v>
      </c>
      <c r="B1779" s="3" t="s">
        <v>302</v>
      </c>
      <c r="C1779" s="3" t="s">
        <v>808</v>
      </c>
      <c r="D1779" s="3" t="s">
        <v>60</v>
      </c>
      <c r="E1779" s="3" t="s">
        <v>13</v>
      </c>
      <c r="F1779" s="3" t="s">
        <v>809</v>
      </c>
      <c r="G1779" s="3"/>
      <c r="H1779" s="3"/>
    </row>
  </sheetData>
  <autoFilter ref="A1:H1444" xr:uid="{00000000-0009-0000-0000-000001000000}"/>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219"/>
  <sheetViews>
    <sheetView workbookViewId="0">
      <selection activeCell="A2" sqref="A2"/>
    </sheetView>
  </sheetViews>
  <sheetFormatPr defaultRowHeight="14.5" x14ac:dyDescent="0.35"/>
  <cols>
    <col min="1" max="1" width="16.453125" customWidth="1"/>
    <col min="2" max="2" width="21.453125" customWidth="1"/>
    <col min="3" max="3" width="54.81640625" customWidth="1"/>
    <col min="4" max="4" width="31.453125" customWidth="1"/>
    <col min="5" max="5" width="12.54296875" customWidth="1"/>
    <col min="6" max="6" width="34.54296875" customWidth="1"/>
    <col min="7" max="8" width="14.26953125" customWidth="1"/>
  </cols>
  <sheetData>
    <row r="1" spans="1:8" ht="34.5" customHeight="1" x14ac:dyDescent="0.35">
      <c r="A1" s="1" t="s">
        <v>1</v>
      </c>
      <c r="B1" s="1" t="s">
        <v>2</v>
      </c>
      <c r="C1" s="1" t="s">
        <v>3</v>
      </c>
      <c r="D1" s="1" t="s">
        <v>4</v>
      </c>
      <c r="E1" s="1" t="s">
        <v>5</v>
      </c>
      <c r="F1" s="1" t="s">
        <v>2296</v>
      </c>
      <c r="G1" s="1" t="s">
        <v>6</v>
      </c>
      <c r="H1" s="1" t="s">
        <v>7</v>
      </c>
    </row>
    <row r="2" spans="1:8" x14ac:dyDescent="0.35">
      <c r="A2" s="3" t="s">
        <v>811</v>
      </c>
      <c r="B2" s="3" t="s">
        <v>42</v>
      </c>
      <c r="C2" s="3" t="s">
        <v>812</v>
      </c>
      <c r="D2" s="3" t="s">
        <v>12</v>
      </c>
      <c r="E2" s="3"/>
      <c r="F2" s="3"/>
      <c r="G2" s="3"/>
      <c r="H2" s="3"/>
    </row>
    <row r="3" spans="1:8" x14ac:dyDescent="0.35">
      <c r="A3" s="3" t="s">
        <v>811</v>
      </c>
      <c r="B3" s="3" t="s">
        <v>42</v>
      </c>
      <c r="C3" s="3" t="s">
        <v>812</v>
      </c>
      <c r="D3" s="3" t="s">
        <v>23</v>
      </c>
      <c r="E3" s="3"/>
      <c r="F3" s="3"/>
      <c r="G3" s="3"/>
      <c r="H3" s="3"/>
    </row>
    <row r="4" spans="1:8" x14ac:dyDescent="0.35">
      <c r="A4" s="3" t="s">
        <v>811</v>
      </c>
      <c r="B4" s="3" t="s">
        <v>42</v>
      </c>
      <c r="C4" s="3" t="s">
        <v>812</v>
      </c>
      <c r="D4" s="3" t="s">
        <v>25</v>
      </c>
      <c r="E4" s="3"/>
      <c r="F4" s="3"/>
      <c r="G4" s="3"/>
      <c r="H4" s="3"/>
    </row>
    <row r="5" spans="1:8" x14ac:dyDescent="0.35">
      <c r="A5" s="3" t="s">
        <v>811</v>
      </c>
      <c r="B5" s="3" t="s">
        <v>42</v>
      </c>
      <c r="C5" s="3" t="s">
        <v>812</v>
      </c>
      <c r="D5" s="3" t="s">
        <v>142</v>
      </c>
      <c r="E5" s="3"/>
      <c r="F5" s="3"/>
      <c r="G5" s="3"/>
      <c r="H5" s="3"/>
    </row>
    <row r="6" spans="1:8" x14ac:dyDescent="0.35">
      <c r="A6" s="3" t="s">
        <v>811</v>
      </c>
      <c r="B6" s="3" t="s">
        <v>42</v>
      </c>
      <c r="C6" s="3" t="s">
        <v>812</v>
      </c>
      <c r="D6" s="3" t="s">
        <v>57</v>
      </c>
      <c r="E6" s="3"/>
      <c r="F6" s="3"/>
      <c r="G6" s="3"/>
      <c r="H6" s="3"/>
    </row>
    <row r="7" spans="1:8" x14ac:dyDescent="0.35">
      <c r="A7" s="3" t="s">
        <v>811</v>
      </c>
      <c r="B7" s="3" t="s">
        <v>42</v>
      </c>
      <c r="C7" s="3" t="s">
        <v>812</v>
      </c>
      <c r="D7" s="3" t="s">
        <v>32</v>
      </c>
      <c r="E7" s="3" t="s">
        <v>16</v>
      </c>
      <c r="F7" s="3" t="s">
        <v>2324</v>
      </c>
      <c r="G7" s="3" t="s">
        <v>13</v>
      </c>
      <c r="H7" s="3" t="s">
        <v>813</v>
      </c>
    </row>
    <row r="8" spans="1:8" x14ac:dyDescent="0.35">
      <c r="A8" s="3" t="s">
        <v>811</v>
      </c>
      <c r="B8" s="3" t="s">
        <v>42</v>
      </c>
      <c r="C8" s="3" t="s">
        <v>812</v>
      </c>
      <c r="D8" s="3" t="s">
        <v>244</v>
      </c>
      <c r="E8" s="3"/>
      <c r="F8" s="3" t="s">
        <v>2325</v>
      </c>
      <c r="G8" s="3"/>
      <c r="H8" s="3"/>
    </row>
    <row r="9" spans="1:8" x14ac:dyDescent="0.35">
      <c r="A9" s="3" t="s">
        <v>811</v>
      </c>
      <c r="B9" s="3" t="s">
        <v>42</v>
      </c>
      <c r="C9" s="3" t="s">
        <v>812</v>
      </c>
      <c r="D9" s="3" t="s">
        <v>107</v>
      </c>
      <c r="E9" s="3"/>
      <c r="F9" s="3"/>
      <c r="G9" s="3" t="s">
        <v>13</v>
      </c>
      <c r="H9" s="3" t="s">
        <v>813</v>
      </c>
    </row>
    <row r="10" spans="1:8" x14ac:dyDescent="0.35">
      <c r="A10" s="3" t="s">
        <v>811</v>
      </c>
      <c r="B10" s="3" t="s">
        <v>20</v>
      </c>
      <c r="C10" s="3" t="s">
        <v>2591</v>
      </c>
      <c r="D10" s="3" t="s">
        <v>24</v>
      </c>
      <c r="E10" s="3"/>
      <c r="F10" s="3"/>
      <c r="G10" s="3"/>
      <c r="H10" s="3"/>
    </row>
    <row r="11" spans="1:8" x14ac:dyDescent="0.35">
      <c r="A11" s="3" t="s">
        <v>811</v>
      </c>
      <c r="B11" s="3" t="s">
        <v>20</v>
      </c>
      <c r="C11" s="3" t="s">
        <v>2591</v>
      </c>
      <c r="D11" s="3" t="s">
        <v>134</v>
      </c>
      <c r="E11" s="3"/>
      <c r="F11" s="3"/>
      <c r="G11" s="3"/>
      <c r="H11" s="3"/>
    </row>
    <row r="12" spans="1:8" x14ac:dyDescent="0.35">
      <c r="A12" s="3" t="s">
        <v>814</v>
      </c>
      <c r="B12" s="3" t="s">
        <v>20</v>
      </c>
      <c r="C12" s="3" t="s">
        <v>815</v>
      </c>
      <c r="D12" s="3" t="s">
        <v>27</v>
      </c>
      <c r="E12" s="3"/>
      <c r="F12" s="3"/>
      <c r="G12" s="3" t="s">
        <v>13</v>
      </c>
      <c r="H12" s="3" t="s">
        <v>816</v>
      </c>
    </row>
    <row r="13" spans="1:8" x14ac:dyDescent="0.35">
      <c r="A13" s="3" t="s">
        <v>814</v>
      </c>
      <c r="B13" s="3" t="s">
        <v>20</v>
      </c>
      <c r="C13" s="3" t="s">
        <v>815</v>
      </c>
      <c r="D13" s="3" t="s">
        <v>98</v>
      </c>
      <c r="E13" s="3"/>
      <c r="F13" s="3"/>
      <c r="G13" s="3" t="s">
        <v>13</v>
      </c>
      <c r="H13" s="3" t="s">
        <v>816</v>
      </c>
    </row>
    <row r="14" spans="1:8" x14ac:dyDescent="0.35">
      <c r="A14" s="3" t="s">
        <v>817</v>
      </c>
      <c r="B14" s="3" t="s">
        <v>20</v>
      </c>
      <c r="C14" s="3" t="s">
        <v>818</v>
      </c>
      <c r="D14" s="3" t="s">
        <v>27</v>
      </c>
      <c r="E14" s="3"/>
      <c r="F14" s="3"/>
      <c r="G14" s="3"/>
      <c r="H14" s="3"/>
    </row>
    <row r="15" spans="1:8" x14ac:dyDescent="0.35">
      <c r="A15" s="3" t="s">
        <v>817</v>
      </c>
      <c r="B15" s="3" t="s">
        <v>20</v>
      </c>
      <c r="C15" s="3" t="s">
        <v>818</v>
      </c>
      <c r="D15" s="3" t="s">
        <v>15</v>
      </c>
      <c r="E15" s="3"/>
      <c r="F15" s="3"/>
      <c r="G15" s="3"/>
      <c r="H15" s="3"/>
    </row>
    <row r="16" spans="1:8" x14ac:dyDescent="0.35">
      <c r="A16" s="3" t="s">
        <v>817</v>
      </c>
      <c r="B16" s="3" t="s">
        <v>20</v>
      </c>
      <c r="C16" s="3" t="s">
        <v>818</v>
      </c>
      <c r="D16" s="3" t="s">
        <v>24</v>
      </c>
      <c r="E16" s="3" t="s">
        <v>16</v>
      </c>
      <c r="F16" s="3" t="s">
        <v>819</v>
      </c>
      <c r="G16" s="3"/>
      <c r="H16" s="3"/>
    </row>
    <row r="17" spans="1:8" x14ac:dyDescent="0.35">
      <c r="A17" s="3" t="s">
        <v>820</v>
      </c>
      <c r="B17" s="3" t="s">
        <v>42</v>
      </c>
      <c r="C17" s="3" t="s">
        <v>821</v>
      </c>
      <c r="D17" s="3" t="s">
        <v>12</v>
      </c>
      <c r="E17" s="3"/>
      <c r="F17" s="3"/>
      <c r="G17" s="3"/>
      <c r="H17" s="3"/>
    </row>
    <row r="18" spans="1:8" x14ac:dyDescent="0.35">
      <c r="A18" s="3" t="s">
        <v>820</v>
      </c>
      <c r="B18" s="3" t="s">
        <v>42</v>
      </c>
      <c r="C18" s="3" t="s">
        <v>821</v>
      </c>
      <c r="D18" s="3" t="s">
        <v>23</v>
      </c>
      <c r="E18" s="3"/>
      <c r="F18" s="3"/>
      <c r="G18" s="3"/>
      <c r="H18" s="3"/>
    </row>
    <row r="19" spans="1:8" x14ac:dyDescent="0.35">
      <c r="A19" s="3" t="s">
        <v>820</v>
      </c>
      <c r="B19" s="3" t="s">
        <v>42</v>
      </c>
      <c r="C19" s="3" t="s">
        <v>821</v>
      </c>
      <c r="D19" s="3" t="s">
        <v>31</v>
      </c>
      <c r="E19" s="3"/>
      <c r="F19" s="3"/>
      <c r="G19" s="3"/>
      <c r="H19" s="3"/>
    </row>
    <row r="20" spans="1:8" x14ac:dyDescent="0.35">
      <c r="A20" s="3" t="s">
        <v>820</v>
      </c>
      <c r="B20" s="3" t="s">
        <v>42</v>
      </c>
      <c r="C20" s="3" t="s">
        <v>821</v>
      </c>
      <c r="D20" s="3" t="s">
        <v>15</v>
      </c>
      <c r="E20" s="3" t="s">
        <v>16</v>
      </c>
      <c r="F20" s="3" t="s">
        <v>822</v>
      </c>
      <c r="G20" s="3"/>
      <c r="H20" s="3"/>
    </row>
    <row r="21" spans="1:8" x14ac:dyDescent="0.35">
      <c r="A21" s="3" t="s">
        <v>820</v>
      </c>
      <c r="B21" s="3" t="s">
        <v>42</v>
      </c>
      <c r="C21" s="3" t="s">
        <v>821</v>
      </c>
      <c r="D21" s="3" t="s">
        <v>32</v>
      </c>
      <c r="E21" s="3"/>
      <c r="F21" s="3" t="s">
        <v>2293</v>
      </c>
      <c r="G21" s="3"/>
      <c r="H21" s="3"/>
    </row>
    <row r="22" spans="1:8" x14ac:dyDescent="0.35">
      <c r="A22" s="3" t="s">
        <v>820</v>
      </c>
      <c r="B22" s="3" t="s">
        <v>42</v>
      </c>
      <c r="C22" s="3" t="s">
        <v>821</v>
      </c>
      <c r="D22" s="3" t="s">
        <v>26</v>
      </c>
      <c r="E22" s="3"/>
      <c r="F22" s="3"/>
      <c r="G22" s="3"/>
      <c r="H22" s="3"/>
    </row>
    <row r="23" spans="1:8" x14ac:dyDescent="0.35">
      <c r="A23" s="3" t="s">
        <v>820</v>
      </c>
      <c r="B23" s="3" t="s">
        <v>42</v>
      </c>
      <c r="C23" s="3" t="s">
        <v>821</v>
      </c>
      <c r="D23" s="3" t="s">
        <v>107</v>
      </c>
      <c r="E23" s="3" t="s">
        <v>16</v>
      </c>
      <c r="F23" s="3" t="s">
        <v>823</v>
      </c>
      <c r="G23" s="3"/>
      <c r="H23" s="3"/>
    </row>
    <row r="24" spans="1:8" x14ac:dyDescent="0.35">
      <c r="A24" s="3" t="s">
        <v>820</v>
      </c>
      <c r="B24" s="3" t="s">
        <v>20</v>
      </c>
      <c r="C24" s="3" t="s">
        <v>824</v>
      </c>
      <c r="D24" s="3" t="s">
        <v>23</v>
      </c>
      <c r="E24" s="3"/>
      <c r="F24" s="3"/>
      <c r="G24" s="3" t="s">
        <v>13</v>
      </c>
      <c r="H24" s="3" t="s">
        <v>825</v>
      </c>
    </row>
    <row r="25" spans="1:8" x14ac:dyDescent="0.35">
      <c r="A25" s="3" t="s">
        <v>820</v>
      </c>
      <c r="B25" s="3" t="s">
        <v>20</v>
      </c>
      <c r="C25" s="3" t="s">
        <v>824</v>
      </c>
      <c r="D25" s="3" t="s">
        <v>47</v>
      </c>
      <c r="E25" s="3"/>
      <c r="F25" s="3"/>
      <c r="G25" s="3" t="s">
        <v>13</v>
      </c>
      <c r="H25" s="3" t="s">
        <v>825</v>
      </c>
    </row>
    <row r="26" spans="1:8" x14ac:dyDescent="0.35">
      <c r="A26" s="3" t="s">
        <v>820</v>
      </c>
      <c r="B26" s="3" t="s">
        <v>20</v>
      </c>
      <c r="C26" s="3" t="s">
        <v>824</v>
      </c>
      <c r="D26" s="3" t="s">
        <v>60</v>
      </c>
      <c r="E26" s="3"/>
      <c r="F26" s="3"/>
      <c r="G26" s="3" t="s">
        <v>13</v>
      </c>
      <c r="H26" s="3" t="s">
        <v>825</v>
      </c>
    </row>
    <row r="27" spans="1:8" x14ac:dyDescent="0.35">
      <c r="A27" s="3" t="s">
        <v>820</v>
      </c>
      <c r="B27" s="3" t="s">
        <v>20</v>
      </c>
      <c r="C27" s="3" t="s">
        <v>824</v>
      </c>
      <c r="D27" s="3" t="s">
        <v>27</v>
      </c>
      <c r="E27" s="3"/>
      <c r="F27" s="3"/>
      <c r="G27" s="3" t="s">
        <v>13</v>
      </c>
      <c r="H27" s="3" t="s">
        <v>825</v>
      </c>
    </row>
    <row r="28" spans="1:8" x14ac:dyDescent="0.35">
      <c r="A28" s="3" t="s">
        <v>820</v>
      </c>
      <c r="B28" s="3" t="s">
        <v>20</v>
      </c>
      <c r="C28" s="3" t="s">
        <v>824</v>
      </c>
      <c r="D28" s="3" t="s">
        <v>15</v>
      </c>
      <c r="E28" s="3" t="s">
        <v>16</v>
      </c>
      <c r="F28" s="3" t="s">
        <v>826</v>
      </c>
      <c r="G28" s="3" t="s">
        <v>13</v>
      </c>
      <c r="H28" s="3" t="s">
        <v>825</v>
      </c>
    </row>
    <row r="29" spans="1:8" x14ac:dyDescent="0.35">
      <c r="A29" s="3" t="s">
        <v>820</v>
      </c>
      <c r="B29" s="3" t="s">
        <v>20</v>
      </c>
      <c r="C29" s="3" t="s">
        <v>824</v>
      </c>
      <c r="D29" s="3" t="s">
        <v>32</v>
      </c>
      <c r="E29" s="3"/>
      <c r="F29" s="3"/>
      <c r="G29" s="3" t="s">
        <v>13</v>
      </c>
      <c r="H29" s="3" t="s">
        <v>825</v>
      </c>
    </row>
    <row r="30" spans="1:8" x14ac:dyDescent="0.35">
      <c r="A30" s="3" t="s">
        <v>820</v>
      </c>
      <c r="B30" s="3" t="s">
        <v>20</v>
      </c>
      <c r="C30" s="3" t="s">
        <v>824</v>
      </c>
      <c r="D30" s="3" t="s">
        <v>24</v>
      </c>
      <c r="E30" s="3"/>
      <c r="F30" s="3"/>
      <c r="G30" s="3" t="s">
        <v>13</v>
      </c>
      <c r="H30" s="3" t="s">
        <v>825</v>
      </c>
    </row>
    <row r="31" spans="1:8" x14ac:dyDescent="0.35">
      <c r="A31" s="3" t="s">
        <v>820</v>
      </c>
      <c r="B31" s="3" t="s">
        <v>39</v>
      </c>
      <c r="C31" s="3" t="s">
        <v>827</v>
      </c>
      <c r="D31" s="3" t="s">
        <v>12</v>
      </c>
      <c r="E31" s="3"/>
      <c r="F31" s="3"/>
      <c r="G31" s="3" t="s">
        <v>13</v>
      </c>
      <c r="H31" s="3" t="s">
        <v>825</v>
      </c>
    </row>
    <row r="32" spans="1:8" x14ac:dyDescent="0.35">
      <c r="A32" s="3" t="s">
        <v>820</v>
      </c>
      <c r="B32" s="3" t="s">
        <v>39</v>
      </c>
      <c r="C32" s="3" t="s">
        <v>827</v>
      </c>
      <c r="D32" s="3" t="s">
        <v>60</v>
      </c>
      <c r="E32" s="3"/>
      <c r="F32" s="3"/>
      <c r="G32" s="3" t="s">
        <v>13</v>
      </c>
      <c r="H32" s="3" t="s">
        <v>825</v>
      </c>
    </row>
    <row r="33" spans="1:8" x14ac:dyDescent="0.35">
      <c r="A33" s="3" t="s">
        <v>820</v>
      </c>
      <c r="B33" s="3" t="s">
        <v>39</v>
      </c>
      <c r="C33" s="3" t="s">
        <v>827</v>
      </c>
      <c r="D33" s="3" t="s">
        <v>27</v>
      </c>
      <c r="E33" s="3"/>
      <c r="F33" s="3"/>
      <c r="G33" s="3" t="s">
        <v>13</v>
      </c>
      <c r="H33" s="3" t="s">
        <v>825</v>
      </c>
    </row>
    <row r="34" spans="1:8" x14ac:dyDescent="0.35">
      <c r="A34" s="3" t="s">
        <v>820</v>
      </c>
      <c r="B34" s="3" t="s">
        <v>39</v>
      </c>
      <c r="C34" s="3" t="s">
        <v>827</v>
      </c>
      <c r="D34" s="3" t="s">
        <v>15</v>
      </c>
      <c r="E34" s="3"/>
      <c r="F34" s="3"/>
      <c r="G34" s="3" t="s">
        <v>13</v>
      </c>
      <c r="H34" s="3" t="s">
        <v>825</v>
      </c>
    </row>
    <row r="35" spans="1:8" x14ac:dyDescent="0.35">
      <c r="A35" s="3" t="s">
        <v>820</v>
      </c>
      <c r="B35" s="3" t="s">
        <v>39</v>
      </c>
      <c r="C35" s="3" t="s">
        <v>827</v>
      </c>
      <c r="D35" s="3" t="s">
        <v>32</v>
      </c>
      <c r="E35" s="3"/>
      <c r="F35" s="3"/>
      <c r="G35" s="3" t="s">
        <v>13</v>
      </c>
      <c r="H35" s="3" t="s">
        <v>825</v>
      </c>
    </row>
    <row r="36" spans="1:8" x14ac:dyDescent="0.35">
      <c r="A36" s="3" t="s">
        <v>820</v>
      </c>
      <c r="B36" s="3" t="s">
        <v>39</v>
      </c>
      <c r="C36" s="3" t="s">
        <v>828</v>
      </c>
      <c r="D36" s="3" t="s">
        <v>12</v>
      </c>
      <c r="E36" s="3"/>
      <c r="F36" s="3"/>
      <c r="G36" s="3" t="s">
        <v>13</v>
      </c>
      <c r="H36" s="3" t="s">
        <v>825</v>
      </c>
    </row>
    <row r="37" spans="1:8" x14ac:dyDescent="0.35">
      <c r="A37" s="3" t="s">
        <v>820</v>
      </c>
      <c r="B37" s="3" t="s">
        <v>39</v>
      </c>
      <c r="C37" s="3" t="s">
        <v>828</v>
      </c>
      <c r="D37" s="3" t="s">
        <v>27</v>
      </c>
      <c r="E37" s="3"/>
      <c r="F37" s="3"/>
      <c r="G37" s="3" t="s">
        <v>13</v>
      </c>
      <c r="H37" s="3" t="s">
        <v>825</v>
      </c>
    </row>
    <row r="38" spans="1:8" x14ac:dyDescent="0.35">
      <c r="A38" s="3" t="s">
        <v>820</v>
      </c>
      <c r="B38" s="3" t="s">
        <v>39</v>
      </c>
      <c r="C38" s="3" t="s">
        <v>828</v>
      </c>
      <c r="D38" s="3" t="s">
        <v>15</v>
      </c>
      <c r="E38" s="3"/>
      <c r="F38" s="3"/>
      <c r="G38" s="3" t="s">
        <v>13</v>
      </c>
      <c r="H38" s="3" t="s">
        <v>825</v>
      </c>
    </row>
    <row r="39" spans="1:8" x14ac:dyDescent="0.35">
      <c r="A39" s="3" t="s">
        <v>820</v>
      </c>
      <c r="B39" s="3" t="s">
        <v>39</v>
      </c>
      <c r="C39" s="3" t="s">
        <v>828</v>
      </c>
      <c r="D39" s="3" t="s">
        <v>89</v>
      </c>
      <c r="E39" s="3"/>
      <c r="F39" s="3"/>
      <c r="G39" s="3" t="s">
        <v>13</v>
      </c>
      <c r="H39" s="3" t="s">
        <v>825</v>
      </c>
    </row>
    <row r="40" spans="1:8" x14ac:dyDescent="0.35">
      <c r="A40" s="3" t="s">
        <v>820</v>
      </c>
      <c r="B40" s="3" t="s">
        <v>39</v>
      </c>
      <c r="C40" s="3" t="s">
        <v>828</v>
      </c>
      <c r="D40" s="3" t="s">
        <v>26</v>
      </c>
      <c r="E40" s="3"/>
      <c r="F40" s="3"/>
      <c r="G40" s="3" t="s">
        <v>13</v>
      </c>
      <c r="H40" s="3" t="s">
        <v>825</v>
      </c>
    </row>
    <row r="41" spans="1:8" x14ac:dyDescent="0.35">
      <c r="A41" s="3" t="s">
        <v>820</v>
      </c>
      <c r="B41" s="3" t="s">
        <v>39</v>
      </c>
      <c r="C41" s="3" t="s">
        <v>828</v>
      </c>
      <c r="D41" s="3" t="s">
        <v>134</v>
      </c>
      <c r="E41" s="3"/>
      <c r="F41" s="3"/>
      <c r="G41" s="3" t="s">
        <v>13</v>
      </c>
      <c r="H41" s="3" t="s">
        <v>825</v>
      </c>
    </row>
    <row r="42" spans="1:8" x14ac:dyDescent="0.35">
      <c r="A42" s="3" t="s">
        <v>820</v>
      </c>
      <c r="B42" s="3" t="s">
        <v>39</v>
      </c>
      <c r="C42" s="3" t="s">
        <v>828</v>
      </c>
      <c r="D42" s="3" t="s">
        <v>107</v>
      </c>
      <c r="E42" s="3"/>
      <c r="F42" s="3"/>
      <c r="G42" s="3" t="s">
        <v>13</v>
      </c>
      <c r="H42" s="3" t="s">
        <v>825</v>
      </c>
    </row>
    <row r="43" spans="1:8" x14ac:dyDescent="0.35">
      <c r="A43" s="3" t="s">
        <v>820</v>
      </c>
      <c r="B43" s="3" t="s">
        <v>45</v>
      </c>
      <c r="C43" s="3" t="s">
        <v>829</v>
      </c>
      <c r="D43" s="3" t="s">
        <v>12</v>
      </c>
      <c r="E43" s="3"/>
      <c r="F43" s="3"/>
      <c r="G43" s="3"/>
      <c r="H43" s="3"/>
    </row>
    <row r="44" spans="1:8" x14ac:dyDescent="0.35">
      <c r="A44" s="3" t="s">
        <v>820</v>
      </c>
      <c r="B44" s="3" t="s">
        <v>45</v>
      </c>
      <c r="C44" s="3" t="s">
        <v>829</v>
      </c>
      <c r="D44" s="3" t="s">
        <v>77</v>
      </c>
      <c r="E44" s="3"/>
      <c r="F44" s="3"/>
      <c r="G44" s="3" t="s">
        <v>13</v>
      </c>
      <c r="H44" s="3" t="s">
        <v>813</v>
      </c>
    </row>
    <row r="45" spans="1:8" x14ac:dyDescent="0.35">
      <c r="A45" s="3" t="s">
        <v>820</v>
      </c>
      <c r="B45" s="3" t="s">
        <v>45</v>
      </c>
      <c r="C45" s="3" t="s">
        <v>829</v>
      </c>
      <c r="D45" s="3" t="s">
        <v>28</v>
      </c>
      <c r="E45" s="3" t="s">
        <v>33</v>
      </c>
      <c r="F45" s="3" t="s">
        <v>34</v>
      </c>
      <c r="G45" s="3"/>
      <c r="H45" s="3"/>
    </row>
    <row r="46" spans="1:8" x14ac:dyDescent="0.35">
      <c r="A46" s="3" t="s">
        <v>830</v>
      </c>
      <c r="B46" s="3" t="s">
        <v>45</v>
      </c>
      <c r="C46" s="3" t="s">
        <v>831</v>
      </c>
      <c r="D46" s="3" t="s">
        <v>23</v>
      </c>
      <c r="E46" s="3"/>
      <c r="F46" s="3"/>
      <c r="G46" s="3" t="s">
        <v>13</v>
      </c>
      <c r="H46" s="3" t="s">
        <v>813</v>
      </c>
    </row>
    <row r="47" spans="1:8" x14ac:dyDescent="0.35">
      <c r="A47" s="3" t="s">
        <v>830</v>
      </c>
      <c r="B47" s="3" t="s">
        <v>45</v>
      </c>
      <c r="C47" s="3" t="s">
        <v>831</v>
      </c>
      <c r="D47" s="3" t="s">
        <v>15</v>
      </c>
      <c r="E47" s="3" t="s">
        <v>16</v>
      </c>
      <c r="F47" s="3" t="s">
        <v>832</v>
      </c>
      <c r="G47" s="3" t="s">
        <v>13</v>
      </c>
      <c r="H47" s="3" t="s">
        <v>813</v>
      </c>
    </row>
    <row r="48" spans="1:8" x14ac:dyDescent="0.35">
      <c r="A48" s="3" t="s">
        <v>830</v>
      </c>
      <c r="B48" s="3" t="s">
        <v>45</v>
      </c>
      <c r="C48" s="3" t="s">
        <v>831</v>
      </c>
      <c r="D48" s="3" t="s">
        <v>24</v>
      </c>
      <c r="E48" s="3"/>
      <c r="F48" s="3"/>
      <c r="G48" s="3" t="s">
        <v>13</v>
      </c>
      <c r="H48" s="3" t="s">
        <v>813</v>
      </c>
    </row>
    <row r="49" spans="1:8" x14ac:dyDescent="0.35">
      <c r="A49" s="3" t="s">
        <v>830</v>
      </c>
      <c r="B49" s="3" t="s">
        <v>42</v>
      </c>
      <c r="C49" s="3" t="s">
        <v>833</v>
      </c>
      <c r="D49" s="3" t="s">
        <v>23</v>
      </c>
      <c r="E49" s="3" t="s">
        <v>16</v>
      </c>
      <c r="F49" s="3" t="s">
        <v>834</v>
      </c>
      <c r="G49" s="3" t="s">
        <v>13</v>
      </c>
      <c r="H49" s="3" t="s">
        <v>835</v>
      </c>
    </row>
    <row r="50" spans="1:8" x14ac:dyDescent="0.35">
      <c r="A50" s="3" t="s">
        <v>830</v>
      </c>
      <c r="B50" s="3" t="s">
        <v>42</v>
      </c>
      <c r="C50" s="3" t="s">
        <v>833</v>
      </c>
      <c r="D50" s="3" t="s">
        <v>44</v>
      </c>
      <c r="E50" s="3"/>
      <c r="F50" s="3"/>
      <c r="G50" s="3" t="s">
        <v>13</v>
      </c>
      <c r="H50" s="3" t="s">
        <v>835</v>
      </c>
    </row>
    <row r="51" spans="1:8" x14ac:dyDescent="0.35">
      <c r="A51" s="3" t="s">
        <v>830</v>
      </c>
      <c r="B51" s="3" t="s">
        <v>42</v>
      </c>
      <c r="C51" s="3" t="s">
        <v>833</v>
      </c>
      <c r="D51" s="3" t="s">
        <v>29</v>
      </c>
      <c r="E51" s="3"/>
      <c r="F51" s="3" t="s">
        <v>2332</v>
      </c>
      <c r="G51" s="3" t="s">
        <v>13</v>
      </c>
      <c r="H51" s="3" t="s">
        <v>835</v>
      </c>
    </row>
    <row r="52" spans="1:8" x14ac:dyDescent="0.35">
      <c r="A52" s="3" t="s">
        <v>830</v>
      </c>
      <c r="B52" s="3" t="s">
        <v>42</v>
      </c>
      <c r="C52" s="3" t="s">
        <v>833</v>
      </c>
      <c r="D52" s="3" t="s">
        <v>134</v>
      </c>
      <c r="E52" s="3" t="s">
        <v>16</v>
      </c>
      <c r="F52" s="3" t="s">
        <v>836</v>
      </c>
      <c r="G52" s="3" t="s">
        <v>13</v>
      </c>
      <c r="H52" s="3" t="s">
        <v>835</v>
      </c>
    </row>
    <row r="53" spans="1:8" x14ac:dyDescent="0.35">
      <c r="A53" s="3" t="s">
        <v>830</v>
      </c>
      <c r="B53" s="3" t="s">
        <v>39</v>
      </c>
      <c r="C53" s="3" t="s">
        <v>837</v>
      </c>
      <c r="D53" s="3" t="s">
        <v>12</v>
      </c>
      <c r="E53" s="3"/>
      <c r="F53" s="3"/>
      <c r="G53" s="3" t="s">
        <v>13</v>
      </c>
      <c r="H53" s="3" t="s">
        <v>835</v>
      </c>
    </row>
    <row r="54" spans="1:8" x14ac:dyDescent="0.35">
      <c r="A54" s="3" t="s">
        <v>830</v>
      </c>
      <c r="B54" s="3" t="s">
        <v>39</v>
      </c>
      <c r="C54" s="3" t="s">
        <v>837</v>
      </c>
      <c r="D54" s="3" t="s">
        <v>23</v>
      </c>
      <c r="E54" s="3"/>
      <c r="F54" s="3"/>
      <c r="G54" s="3" t="s">
        <v>13</v>
      </c>
      <c r="H54" s="3" t="s">
        <v>835</v>
      </c>
    </row>
    <row r="55" spans="1:8" x14ac:dyDescent="0.35">
      <c r="A55" s="3" t="s">
        <v>830</v>
      </c>
      <c r="B55" s="3" t="s">
        <v>39</v>
      </c>
      <c r="C55" s="3" t="s">
        <v>837</v>
      </c>
      <c r="D55" s="3" t="s">
        <v>27</v>
      </c>
      <c r="E55" s="3"/>
      <c r="F55" s="3"/>
      <c r="G55" s="3" t="s">
        <v>13</v>
      </c>
      <c r="H55" s="3" t="s">
        <v>835</v>
      </c>
    </row>
    <row r="56" spans="1:8" x14ac:dyDescent="0.35">
      <c r="A56" s="3" t="s">
        <v>830</v>
      </c>
      <c r="B56" s="3" t="s">
        <v>39</v>
      </c>
      <c r="C56" s="3" t="s">
        <v>837</v>
      </c>
      <c r="D56" s="3" t="s">
        <v>15</v>
      </c>
      <c r="E56" s="3" t="s">
        <v>16</v>
      </c>
      <c r="F56" s="3" t="s">
        <v>838</v>
      </c>
      <c r="G56" s="3" t="s">
        <v>13</v>
      </c>
      <c r="H56" s="3" t="s">
        <v>835</v>
      </c>
    </row>
    <row r="57" spans="1:8" x14ac:dyDescent="0.35">
      <c r="A57" s="3" t="s">
        <v>839</v>
      </c>
      <c r="B57" s="3" t="s">
        <v>45</v>
      </c>
      <c r="C57" s="3" t="s">
        <v>2923</v>
      </c>
      <c r="D57" s="3" t="s">
        <v>77</v>
      </c>
      <c r="E57" s="3"/>
      <c r="F57" s="3"/>
      <c r="G57" s="3" t="s">
        <v>13</v>
      </c>
      <c r="H57" s="3" t="s">
        <v>835</v>
      </c>
    </row>
    <row r="58" spans="1:8" x14ac:dyDescent="0.35">
      <c r="A58" s="3" t="s">
        <v>839</v>
      </c>
      <c r="B58" s="3" t="s">
        <v>45</v>
      </c>
      <c r="C58" s="3" t="s">
        <v>2923</v>
      </c>
      <c r="D58" s="3" t="s">
        <v>15</v>
      </c>
      <c r="E58" s="3" t="s">
        <v>16</v>
      </c>
      <c r="F58" s="3" t="s">
        <v>2924</v>
      </c>
      <c r="G58" s="3" t="s">
        <v>13</v>
      </c>
      <c r="H58" s="3" t="s">
        <v>835</v>
      </c>
    </row>
    <row r="59" spans="1:8" x14ac:dyDescent="0.35">
      <c r="A59" s="3" t="s">
        <v>839</v>
      </c>
      <c r="B59" s="3" t="s">
        <v>42</v>
      </c>
      <c r="C59" s="3" t="s">
        <v>840</v>
      </c>
      <c r="D59" s="3" t="s">
        <v>12</v>
      </c>
      <c r="E59" s="3"/>
      <c r="F59" s="3" t="s">
        <v>2327</v>
      </c>
      <c r="G59" s="3"/>
      <c r="H59" s="3"/>
    </row>
    <row r="60" spans="1:8" x14ac:dyDescent="0.35">
      <c r="A60" s="3" t="s">
        <v>839</v>
      </c>
      <c r="B60" s="3" t="s">
        <v>42</v>
      </c>
      <c r="C60" s="3" t="s">
        <v>840</v>
      </c>
      <c r="D60" s="3" t="s">
        <v>44</v>
      </c>
      <c r="E60" s="3"/>
      <c r="F60" s="3"/>
      <c r="G60" s="3"/>
      <c r="H60" s="3"/>
    </row>
    <row r="61" spans="1:8" x14ac:dyDescent="0.35">
      <c r="A61" s="3" t="s">
        <v>839</v>
      </c>
      <c r="B61" s="3" t="s">
        <v>42</v>
      </c>
      <c r="C61" s="3" t="s">
        <v>840</v>
      </c>
      <c r="D61" s="3" t="s">
        <v>98</v>
      </c>
      <c r="E61" s="3"/>
      <c r="F61" s="3"/>
      <c r="G61" s="3"/>
      <c r="H61" s="3"/>
    </row>
    <row r="62" spans="1:8" x14ac:dyDescent="0.35">
      <c r="A62" s="3" t="s">
        <v>839</v>
      </c>
      <c r="B62" s="3" t="s">
        <v>42</v>
      </c>
      <c r="C62" s="3" t="s">
        <v>840</v>
      </c>
      <c r="D62" s="3" t="s">
        <v>15</v>
      </c>
      <c r="E62" s="3" t="s">
        <v>16</v>
      </c>
      <c r="F62" s="3" t="s">
        <v>841</v>
      </c>
      <c r="G62" s="3"/>
      <c r="H62" s="3"/>
    </row>
    <row r="63" spans="1:8" x14ac:dyDescent="0.35">
      <c r="A63" s="3" t="s">
        <v>839</v>
      </c>
      <c r="B63" s="3" t="s">
        <v>42</v>
      </c>
      <c r="C63" s="3" t="s">
        <v>840</v>
      </c>
      <c r="D63" s="3" t="s">
        <v>107</v>
      </c>
      <c r="E63" s="3"/>
      <c r="F63" s="3"/>
      <c r="G63" s="3"/>
      <c r="H63" s="3"/>
    </row>
    <row r="64" spans="1:8" x14ac:dyDescent="0.35">
      <c r="A64" s="3" t="s">
        <v>842</v>
      </c>
      <c r="B64" s="3" t="s">
        <v>20</v>
      </c>
      <c r="C64" s="3" t="s">
        <v>843</v>
      </c>
      <c r="D64" s="3" t="s">
        <v>23</v>
      </c>
      <c r="E64" s="3" t="s">
        <v>16</v>
      </c>
      <c r="F64" s="3" t="s">
        <v>844</v>
      </c>
      <c r="G64" s="3" t="s">
        <v>13</v>
      </c>
      <c r="H64" s="3" t="s">
        <v>835</v>
      </c>
    </row>
    <row r="65" spans="1:8" x14ac:dyDescent="0.35">
      <c r="A65" s="3" t="s">
        <v>842</v>
      </c>
      <c r="B65" s="3" t="s">
        <v>20</v>
      </c>
      <c r="C65" s="3" t="s">
        <v>843</v>
      </c>
      <c r="D65" s="3" t="s">
        <v>32</v>
      </c>
      <c r="E65" s="3" t="s">
        <v>16</v>
      </c>
      <c r="F65" s="3" t="s">
        <v>845</v>
      </c>
      <c r="G65" s="3" t="s">
        <v>13</v>
      </c>
      <c r="H65" s="3" t="s">
        <v>835</v>
      </c>
    </row>
    <row r="66" spans="1:8" x14ac:dyDescent="0.35">
      <c r="A66" s="3" t="s">
        <v>842</v>
      </c>
      <c r="B66" s="3" t="s">
        <v>20</v>
      </c>
      <c r="C66" s="3" t="s">
        <v>846</v>
      </c>
      <c r="D66" s="3" t="s">
        <v>23</v>
      </c>
      <c r="E66" s="3"/>
      <c r="F66" s="3"/>
      <c r="G66" s="3" t="s">
        <v>13</v>
      </c>
      <c r="H66" s="3" t="s">
        <v>835</v>
      </c>
    </row>
    <row r="67" spans="1:8" x14ac:dyDescent="0.35">
      <c r="A67" s="3" t="s">
        <v>842</v>
      </c>
      <c r="B67" s="3" t="s">
        <v>20</v>
      </c>
      <c r="C67" s="3" t="s">
        <v>846</v>
      </c>
      <c r="D67" s="3" t="s">
        <v>27</v>
      </c>
      <c r="E67" s="3"/>
      <c r="F67" s="3"/>
      <c r="G67" s="3" t="s">
        <v>13</v>
      </c>
      <c r="H67" s="3" t="s">
        <v>835</v>
      </c>
    </row>
    <row r="68" spans="1:8" x14ac:dyDescent="0.35">
      <c r="A68" s="3" t="s">
        <v>842</v>
      </c>
      <c r="B68" s="3" t="s">
        <v>20</v>
      </c>
      <c r="C68" s="3" t="s">
        <v>846</v>
      </c>
      <c r="D68" s="3" t="s">
        <v>56</v>
      </c>
      <c r="E68" s="3" t="s">
        <v>16</v>
      </c>
      <c r="F68" s="3" t="s">
        <v>847</v>
      </c>
      <c r="G68" s="3" t="s">
        <v>13</v>
      </c>
      <c r="H68" s="3" t="s">
        <v>835</v>
      </c>
    </row>
    <row r="69" spans="1:8" x14ac:dyDescent="0.35">
      <c r="A69" s="3" t="s">
        <v>842</v>
      </c>
      <c r="B69" s="3" t="s">
        <v>45</v>
      </c>
      <c r="C69" s="3" t="s">
        <v>848</v>
      </c>
      <c r="D69" s="3" t="s">
        <v>23</v>
      </c>
      <c r="E69" s="3" t="s">
        <v>16</v>
      </c>
      <c r="F69" s="3" t="s">
        <v>849</v>
      </c>
      <c r="G69" s="3" t="s">
        <v>13</v>
      </c>
      <c r="H69" s="3" t="s">
        <v>835</v>
      </c>
    </row>
    <row r="70" spans="1:8" x14ac:dyDescent="0.35">
      <c r="A70" s="3" t="s">
        <v>842</v>
      </c>
      <c r="B70" s="3" t="s">
        <v>45</v>
      </c>
      <c r="C70" s="3" t="s">
        <v>848</v>
      </c>
      <c r="D70" s="3" t="s">
        <v>27</v>
      </c>
      <c r="E70" s="3"/>
      <c r="F70" s="3"/>
      <c r="G70" s="3" t="s">
        <v>13</v>
      </c>
      <c r="H70" s="3" t="s">
        <v>835</v>
      </c>
    </row>
    <row r="71" spans="1:8" x14ac:dyDescent="0.35">
      <c r="A71" s="3" t="s">
        <v>842</v>
      </c>
      <c r="B71" s="3" t="s">
        <v>20</v>
      </c>
      <c r="C71" s="3" t="s">
        <v>850</v>
      </c>
      <c r="D71" s="3" t="s">
        <v>12</v>
      </c>
      <c r="E71" s="3"/>
      <c r="F71" s="3"/>
      <c r="G71" s="3" t="s">
        <v>16</v>
      </c>
      <c r="H71" s="3" t="s">
        <v>813</v>
      </c>
    </row>
    <row r="72" spans="1:8" x14ac:dyDescent="0.35">
      <c r="A72" s="3" t="s">
        <v>842</v>
      </c>
      <c r="B72" s="3" t="s">
        <v>20</v>
      </c>
      <c r="C72" s="3" t="s">
        <v>850</v>
      </c>
      <c r="D72" s="3" t="s">
        <v>60</v>
      </c>
      <c r="E72" s="3"/>
      <c r="F72" s="3"/>
      <c r="G72" s="3"/>
      <c r="H72" s="3"/>
    </row>
    <row r="73" spans="1:8" x14ac:dyDescent="0.35">
      <c r="A73" s="3" t="s">
        <v>842</v>
      </c>
      <c r="B73" s="3" t="s">
        <v>20</v>
      </c>
      <c r="C73" s="3" t="s">
        <v>850</v>
      </c>
      <c r="D73" s="3" t="s">
        <v>27</v>
      </c>
      <c r="E73" s="3"/>
      <c r="F73" s="3"/>
      <c r="G73" s="3"/>
      <c r="H73" s="3"/>
    </row>
    <row r="74" spans="1:8" x14ac:dyDescent="0.35">
      <c r="A74" s="3" t="s">
        <v>842</v>
      </c>
      <c r="B74" s="3" t="s">
        <v>20</v>
      </c>
      <c r="C74" s="3" t="s">
        <v>850</v>
      </c>
      <c r="D74" s="3" t="s">
        <v>15</v>
      </c>
      <c r="E74" s="3" t="s">
        <v>16</v>
      </c>
      <c r="F74" s="3" t="s">
        <v>826</v>
      </c>
      <c r="G74" s="3" t="s">
        <v>16</v>
      </c>
      <c r="H74" s="3" t="s">
        <v>813</v>
      </c>
    </row>
    <row r="75" spans="1:8" x14ac:dyDescent="0.35">
      <c r="A75" s="3" t="s">
        <v>842</v>
      </c>
      <c r="B75" s="3" t="s">
        <v>20</v>
      </c>
      <c r="C75" s="3" t="s">
        <v>850</v>
      </c>
      <c r="D75" s="3" t="s">
        <v>57</v>
      </c>
      <c r="E75" s="3"/>
      <c r="F75" s="3"/>
      <c r="G75" s="3"/>
      <c r="H75" s="3"/>
    </row>
    <row r="76" spans="1:8" x14ac:dyDescent="0.35">
      <c r="A76" s="3" t="s">
        <v>842</v>
      </c>
      <c r="B76" s="3" t="s">
        <v>20</v>
      </c>
      <c r="C76" s="3" t="s">
        <v>850</v>
      </c>
      <c r="D76" s="3" t="s">
        <v>56</v>
      </c>
      <c r="E76" s="3" t="s">
        <v>16</v>
      </c>
      <c r="F76" s="3" t="s">
        <v>851</v>
      </c>
      <c r="G76" s="3"/>
      <c r="H76" s="3"/>
    </row>
    <row r="77" spans="1:8" x14ac:dyDescent="0.35">
      <c r="A77" s="3" t="s">
        <v>842</v>
      </c>
      <c r="B77" s="3" t="s">
        <v>20</v>
      </c>
      <c r="C77" s="3" t="s">
        <v>850</v>
      </c>
      <c r="D77" s="3" t="s">
        <v>24</v>
      </c>
      <c r="E77" s="3"/>
      <c r="F77" s="3"/>
      <c r="G77" s="3"/>
      <c r="H77" s="3"/>
    </row>
    <row r="78" spans="1:8" x14ac:dyDescent="0.35">
      <c r="A78" s="3" t="s">
        <v>842</v>
      </c>
      <c r="B78" s="3" t="s">
        <v>20</v>
      </c>
      <c r="C78" s="3" t="s">
        <v>2841</v>
      </c>
      <c r="D78" s="3" t="s">
        <v>23</v>
      </c>
      <c r="E78" s="3"/>
      <c r="F78" s="3"/>
      <c r="G78" s="3" t="s">
        <v>16</v>
      </c>
      <c r="H78" s="3" t="s">
        <v>813</v>
      </c>
    </row>
    <row r="79" spans="1:8" x14ac:dyDescent="0.35">
      <c r="A79" s="3" t="s">
        <v>842</v>
      </c>
      <c r="B79" s="3" t="s">
        <v>20</v>
      </c>
      <c r="C79" s="3" t="s">
        <v>2841</v>
      </c>
      <c r="D79" s="3" t="s">
        <v>60</v>
      </c>
      <c r="E79" s="3"/>
      <c r="F79" s="3"/>
      <c r="G79" s="3" t="s">
        <v>16</v>
      </c>
      <c r="H79" s="3" t="s">
        <v>813</v>
      </c>
    </row>
    <row r="80" spans="1:8" x14ac:dyDescent="0.35">
      <c r="A80" s="3" t="s">
        <v>842</v>
      </c>
      <c r="B80" s="3" t="s">
        <v>20</v>
      </c>
      <c r="C80" s="3" t="s">
        <v>2841</v>
      </c>
      <c r="D80" s="3" t="s">
        <v>56</v>
      </c>
      <c r="E80" s="3"/>
      <c r="F80" s="5"/>
      <c r="G80" s="3" t="s">
        <v>16</v>
      </c>
      <c r="H80" s="3" t="s">
        <v>813</v>
      </c>
    </row>
    <row r="81" spans="1:8" x14ac:dyDescent="0.35">
      <c r="A81" s="3" t="s">
        <v>842</v>
      </c>
      <c r="B81" s="3" t="s">
        <v>20</v>
      </c>
      <c r="C81" s="3" t="s">
        <v>2841</v>
      </c>
      <c r="D81" s="3" t="s">
        <v>71</v>
      </c>
      <c r="E81" s="3"/>
      <c r="F81" s="3"/>
      <c r="G81" s="3" t="s">
        <v>16</v>
      </c>
      <c r="H81" s="3" t="s">
        <v>813</v>
      </c>
    </row>
    <row r="82" spans="1:8" x14ac:dyDescent="0.35">
      <c r="A82" s="3" t="s">
        <v>842</v>
      </c>
      <c r="B82" s="3" t="s">
        <v>20</v>
      </c>
      <c r="C82" s="3" t="s">
        <v>2841</v>
      </c>
      <c r="D82" s="3" t="s">
        <v>15</v>
      </c>
      <c r="E82" s="3"/>
      <c r="F82" s="3"/>
      <c r="G82" s="3" t="s">
        <v>16</v>
      </c>
      <c r="H82" s="3" t="s">
        <v>813</v>
      </c>
    </row>
    <row r="83" spans="1:8" x14ac:dyDescent="0.35">
      <c r="A83" s="3" t="s">
        <v>842</v>
      </c>
      <c r="B83" s="3" t="s">
        <v>20</v>
      </c>
      <c r="C83" s="3" t="s">
        <v>2841</v>
      </c>
      <c r="D83" s="3" t="s">
        <v>134</v>
      </c>
      <c r="E83" s="3"/>
      <c r="F83" s="3"/>
      <c r="G83" s="3" t="s">
        <v>16</v>
      </c>
      <c r="H83" s="3" t="s">
        <v>813</v>
      </c>
    </row>
    <row r="84" spans="1:8" x14ac:dyDescent="0.35">
      <c r="A84" s="3" t="s">
        <v>852</v>
      </c>
      <c r="B84" s="3" t="s">
        <v>20</v>
      </c>
      <c r="C84" s="3" t="s">
        <v>853</v>
      </c>
      <c r="D84" s="3" t="s">
        <v>12</v>
      </c>
      <c r="E84" s="3"/>
      <c r="F84" s="3"/>
      <c r="G84" s="3" t="s">
        <v>13</v>
      </c>
      <c r="H84" s="3" t="s">
        <v>813</v>
      </c>
    </row>
    <row r="85" spans="1:8" x14ac:dyDescent="0.35">
      <c r="A85" s="3" t="s">
        <v>852</v>
      </c>
      <c r="B85" s="3" t="s">
        <v>20</v>
      </c>
      <c r="C85" s="3" t="s">
        <v>853</v>
      </c>
      <c r="D85" s="3" t="s">
        <v>36</v>
      </c>
      <c r="E85" s="3"/>
      <c r="F85" s="3"/>
      <c r="G85" s="3" t="s">
        <v>13</v>
      </c>
      <c r="H85" s="3" t="s">
        <v>813</v>
      </c>
    </row>
    <row r="86" spans="1:8" x14ac:dyDescent="0.35">
      <c r="A86" s="3" t="s">
        <v>852</v>
      </c>
      <c r="B86" s="3" t="s">
        <v>20</v>
      </c>
      <c r="C86" s="3" t="s">
        <v>853</v>
      </c>
      <c r="D86" s="3" t="s">
        <v>23</v>
      </c>
      <c r="E86" s="3" t="s">
        <v>16</v>
      </c>
      <c r="F86" s="3" t="s">
        <v>854</v>
      </c>
      <c r="G86" s="3" t="s">
        <v>13</v>
      </c>
      <c r="H86" s="3" t="s">
        <v>813</v>
      </c>
    </row>
    <row r="87" spans="1:8" x14ac:dyDescent="0.35">
      <c r="A87" s="3" t="s">
        <v>852</v>
      </c>
      <c r="B87" s="3" t="s">
        <v>20</v>
      </c>
      <c r="C87" s="3" t="s">
        <v>853</v>
      </c>
      <c r="D87" s="3" t="s">
        <v>60</v>
      </c>
      <c r="E87" s="3" t="s">
        <v>16</v>
      </c>
      <c r="F87" s="3" t="s">
        <v>855</v>
      </c>
      <c r="G87" s="3" t="s">
        <v>13</v>
      </c>
      <c r="H87" s="3" t="s">
        <v>813</v>
      </c>
    </row>
    <row r="88" spans="1:8" x14ac:dyDescent="0.35">
      <c r="A88" s="3" t="s">
        <v>852</v>
      </c>
      <c r="B88" s="3" t="s">
        <v>20</v>
      </c>
      <c r="C88" s="3" t="s">
        <v>853</v>
      </c>
      <c r="D88" s="3" t="s">
        <v>32</v>
      </c>
      <c r="E88" s="3"/>
      <c r="F88" s="3"/>
      <c r="G88" s="3" t="s">
        <v>13</v>
      </c>
      <c r="H88" s="3" t="s">
        <v>813</v>
      </c>
    </row>
    <row r="89" spans="1:8" x14ac:dyDescent="0.35">
      <c r="A89" s="3" t="s">
        <v>852</v>
      </c>
      <c r="B89" s="3" t="s">
        <v>42</v>
      </c>
      <c r="C89" s="3" t="s">
        <v>856</v>
      </c>
      <c r="D89" s="3" t="s">
        <v>12</v>
      </c>
      <c r="E89" s="3"/>
      <c r="F89" s="3"/>
      <c r="G89" s="3"/>
      <c r="H89" s="3"/>
    </row>
    <row r="90" spans="1:8" x14ac:dyDescent="0.35">
      <c r="A90" s="3" t="s">
        <v>852</v>
      </c>
      <c r="B90" s="3" t="s">
        <v>42</v>
      </c>
      <c r="C90" s="3" t="s">
        <v>856</v>
      </c>
      <c r="D90" s="3" t="s">
        <v>23</v>
      </c>
      <c r="E90" s="3"/>
      <c r="F90" s="3"/>
      <c r="G90" s="3"/>
      <c r="H90" s="3"/>
    </row>
    <row r="91" spans="1:8" x14ac:dyDescent="0.35">
      <c r="A91" s="3" t="s">
        <v>852</v>
      </c>
      <c r="B91" s="3" t="s">
        <v>42</v>
      </c>
      <c r="C91" s="3" t="s">
        <v>856</v>
      </c>
      <c r="D91" s="3" t="s">
        <v>141</v>
      </c>
      <c r="E91" s="3" t="s">
        <v>33</v>
      </c>
      <c r="F91" s="3" t="s">
        <v>723</v>
      </c>
      <c r="G91" s="3"/>
      <c r="H91" s="3"/>
    </row>
    <row r="92" spans="1:8" x14ac:dyDescent="0.35">
      <c r="A92" s="3" t="s">
        <v>852</v>
      </c>
      <c r="B92" s="3" t="s">
        <v>42</v>
      </c>
      <c r="C92" s="3" t="s">
        <v>856</v>
      </c>
      <c r="D92" s="3" t="s">
        <v>44</v>
      </c>
      <c r="E92" s="3"/>
      <c r="F92" s="3"/>
      <c r="G92" s="3"/>
      <c r="H92" s="3"/>
    </row>
    <row r="93" spans="1:8" x14ac:dyDescent="0.35">
      <c r="A93" s="3" t="s">
        <v>852</v>
      </c>
      <c r="B93" s="3" t="s">
        <v>42</v>
      </c>
      <c r="C93" s="3" t="s">
        <v>856</v>
      </c>
      <c r="D93" s="3" t="s">
        <v>15</v>
      </c>
      <c r="E93" s="3"/>
      <c r="F93" s="3"/>
      <c r="G93" s="3"/>
      <c r="H93" s="3"/>
    </row>
    <row r="94" spans="1:8" x14ac:dyDescent="0.35">
      <c r="A94" s="3" t="s">
        <v>852</v>
      </c>
      <c r="B94" s="3" t="s">
        <v>42</v>
      </c>
      <c r="C94" s="3" t="s">
        <v>856</v>
      </c>
      <c r="D94" s="3" t="s">
        <v>175</v>
      </c>
      <c r="E94" s="3"/>
      <c r="F94" s="3"/>
      <c r="G94" s="3"/>
      <c r="H94" s="3"/>
    </row>
    <row r="95" spans="1:8" x14ac:dyDescent="0.35">
      <c r="A95" s="3" t="s">
        <v>852</v>
      </c>
      <c r="B95" s="3" t="s">
        <v>45</v>
      </c>
      <c r="C95" s="3" t="s">
        <v>857</v>
      </c>
      <c r="D95" s="3" t="s">
        <v>60</v>
      </c>
      <c r="E95" s="3"/>
      <c r="F95" s="3"/>
      <c r="G95" s="3"/>
      <c r="H95" s="3"/>
    </row>
    <row r="96" spans="1:8" x14ac:dyDescent="0.35">
      <c r="A96" s="3" t="s">
        <v>2509</v>
      </c>
      <c r="B96" s="3" t="s">
        <v>20</v>
      </c>
      <c r="C96" s="3" t="s">
        <v>2843</v>
      </c>
      <c r="D96" s="3" t="s">
        <v>23</v>
      </c>
      <c r="E96" s="3"/>
      <c r="F96" s="3"/>
      <c r="G96" s="3" t="s">
        <v>16</v>
      </c>
      <c r="H96" s="3" t="s">
        <v>816</v>
      </c>
    </row>
    <row r="97" spans="1:8" x14ac:dyDescent="0.35">
      <c r="A97" s="3" t="s">
        <v>2509</v>
      </c>
      <c r="B97" s="3" t="s">
        <v>20</v>
      </c>
      <c r="C97" s="3" t="s">
        <v>2843</v>
      </c>
      <c r="D97" s="3" t="s">
        <v>27</v>
      </c>
      <c r="E97" s="3"/>
      <c r="F97" s="3"/>
      <c r="G97" s="3" t="s">
        <v>16</v>
      </c>
      <c r="H97" s="3" t="s">
        <v>816</v>
      </c>
    </row>
    <row r="98" spans="1:8" x14ac:dyDescent="0.35">
      <c r="A98" s="3" t="s">
        <v>2509</v>
      </c>
      <c r="B98" s="3" t="s">
        <v>20</v>
      </c>
      <c r="C98" s="3" t="s">
        <v>2843</v>
      </c>
      <c r="D98" s="3" t="s">
        <v>98</v>
      </c>
      <c r="E98" s="3"/>
      <c r="F98" s="3"/>
      <c r="G98" s="3" t="s">
        <v>16</v>
      </c>
      <c r="H98" s="3" t="s">
        <v>816</v>
      </c>
    </row>
    <row r="99" spans="1:8" x14ac:dyDescent="0.35">
      <c r="A99" s="3" t="s">
        <v>2509</v>
      </c>
      <c r="B99" s="3" t="s">
        <v>42</v>
      </c>
      <c r="C99" s="3" t="s">
        <v>2510</v>
      </c>
      <c r="D99" s="3" t="s">
        <v>23</v>
      </c>
      <c r="E99" s="3"/>
      <c r="F99" s="3"/>
      <c r="G99" s="3" t="s">
        <v>16</v>
      </c>
      <c r="H99" s="3" t="s">
        <v>816</v>
      </c>
    </row>
    <row r="100" spans="1:8" x14ac:dyDescent="0.35">
      <c r="A100" s="3" t="s">
        <v>2509</v>
      </c>
      <c r="B100" s="3" t="s">
        <v>42</v>
      </c>
      <c r="C100" s="3" t="s">
        <v>2510</v>
      </c>
      <c r="D100" s="3" t="s">
        <v>27</v>
      </c>
      <c r="E100" s="3"/>
      <c r="F100" s="3" t="s">
        <v>2517</v>
      </c>
      <c r="G100" s="3" t="s">
        <v>16</v>
      </c>
      <c r="H100" s="3" t="s">
        <v>816</v>
      </c>
    </row>
    <row r="101" spans="1:8" x14ac:dyDescent="0.35">
      <c r="A101" s="3" t="s">
        <v>2509</v>
      </c>
      <c r="B101" s="3" t="s">
        <v>42</v>
      </c>
      <c r="C101" s="3" t="s">
        <v>2510</v>
      </c>
      <c r="D101" s="3" t="s">
        <v>98</v>
      </c>
      <c r="E101" s="3"/>
      <c r="F101" s="3"/>
      <c r="G101" s="3" t="s">
        <v>16</v>
      </c>
      <c r="H101" s="3" t="s">
        <v>816</v>
      </c>
    </row>
    <row r="102" spans="1:8" x14ac:dyDescent="0.35">
      <c r="A102" s="3" t="s">
        <v>2509</v>
      </c>
      <c r="B102" s="3" t="s">
        <v>42</v>
      </c>
      <c r="C102" s="3" t="s">
        <v>2510</v>
      </c>
      <c r="D102" s="3" t="s">
        <v>31</v>
      </c>
      <c r="E102" s="3"/>
      <c r="F102" s="3"/>
      <c r="G102" s="3" t="s">
        <v>16</v>
      </c>
      <c r="H102" s="3" t="s">
        <v>816</v>
      </c>
    </row>
    <row r="103" spans="1:8" x14ac:dyDescent="0.35">
      <c r="A103" s="3" t="s">
        <v>2509</v>
      </c>
      <c r="B103" s="3" t="s">
        <v>42</v>
      </c>
      <c r="C103" s="3" t="s">
        <v>2510</v>
      </c>
      <c r="D103" s="3" t="s">
        <v>24</v>
      </c>
      <c r="E103" s="3"/>
      <c r="F103" s="3" t="s">
        <v>2516</v>
      </c>
      <c r="G103" s="3" t="s">
        <v>16</v>
      </c>
      <c r="H103" s="3" t="s">
        <v>816</v>
      </c>
    </row>
    <row r="104" spans="1:8" x14ac:dyDescent="0.35">
      <c r="A104" s="3" t="s">
        <v>858</v>
      </c>
      <c r="B104" s="3" t="s">
        <v>42</v>
      </c>
      <c r="C104" s="3" t="s">
        <v>859</v>
      </c>
      <c r="D104" s="3" t="s">
        <v>23</v>
      </c>
      <c r="E104" s="3" t="s">
        <v>16</v>
      </c>
      <c r="F104" s="3" t="s">
        <v>860</v>
      </c>
      <c r="G104" s="3"/>
      <c r="H104" s="3"/>
    </row>
    <row r="105" spans="1:8" x14ac:dyDescent="0.35">
      <c r="A105" s="3" t="s">
        <v>858</v>
      </c>
      <c r="B105" s="3" t="s">
        <v>42</v>
      </c>
      <c r="C105" s="3" t="s">
        <v>859</v>
      </c>
      <c r="D105" s="3" t="s">
        <v>44</v>
      </c>
      <c r="E105" s="3"/>
      <c r="F105" s="3"/>
      <c r="G105" s="3"/>
      <c r="H105" s="3"/>
    </row>
    <row r="106" spans="1:8" x14ac:dyDescent="0.35">
      <c r="A106" s="3" t="s">
        <v>858</v>
      </c>
      <c r="B106" s="3" t="s">
        <v>42</v>
      </c>
      <c r="C106" s="3" t="s">
        <v>859</v>
      </c>
      <c r="D106" s="3" t="s">
        <v>98</v>
      </c>
      <c r="E106" s="3" t="s">
        <v>16</v>
      </c>
      <c r="F106" s="3" t="s">
        <v>861</v>
      </c>
      <c r="G106" s="3"/>
      <c r="H106" s="3"/>
    </row>
    <row r="107" spans="1:8" x14ac:dyDescent="0.35">
      <c r="A107" s="3" t="s">
        <v>858</v>
      </c>
      <c r="B107" s="3" t="s">
        <v>45</v>
      </c>
      <c r="C107" s="3" t="s">
        <v>862</v>
      </c>
      <c r="D107" s="3" t="s">
        <v>12</v>
      </c>
      <c r="E107" s="3"/>
      <c r="F107" s="3"/>
      <c r="G107" s="3"/>
      <c r="H107" s="3"/>
    </row>
    <row r="108" spans="1:8" x14ac:dyDescent="0.35">
      <c r="A108" s="3" t="s">
        <v>858</v>
      </c>
      <c r="B108" s="3" t="s">
        <v>45</v>
      </c>
      <c r="C108" s="3" t="s">
        <v>862</v>
      </c>
      <c r="D108" s="3" t="s">
        <v>98</v>
      </c>
      <c r="E108" s="3" t="s">
        <v>33</v>
      </c>
      <c r="F108" s="3" t="s">
        <v>723</v>
      </c>
      <c r="G108" s="3"/>
      <c r="H108" s="3"/>
    </row>
    <row r="109" spans="1:8" x14ac:dyDescent="0.35">
      <c r="A109" s="3" t="s">
        <v>858</v>
      </c>
      <c r="B109" s="3" t="s">
        <v>45</v>
      </c>
      <c r="C109" s="3" t="s">
        <v>862</v>
      </c>
      <c r="D109" s="3" t="s">
        <v>15</v>
      </c>
      <c r="E109" s="3"/>
      <c r="F109" s="3"/>
      <c r="G109" s="3"/>
      <c r="H109" s="3"/>
    </row>
    <row r="110" spans="1:8" x14ac:dyDescent="0.35">
      <c r="A110" s="3" t="s">
        <v>858</v>
      </c>
      <c r="B110" s="3" t="s">
        <v>45</v>
      </c>
      <c r="C110" s="3" t="s">
        <v>862</v>
      </c>
      <c r="D110" s="3" t="s">
        <v>56</v>
      </c>
      <c r="E110" s="3"/>
      <c r="F110" s="3"/>
      <c r="G110" s="3"/>
      <c r="H110" s="3"/>
    </row>
    <row r="111" spans="1:8" x14ac:dyDescent="0.35">
      <c r="A111" s="3" t="s">
        <v>858</v>
      </c>
      <c r="B111" s="3" t="s">
        <v>20</v>
      </c>
      <c r="C111" s="3" t="s">
        <v>863</v>
      </c>
      <c r="D111" s="3" t="s">
        <v>25</v>
      </c>
      <c r="E111" s="3"/>
      <c r="F111" s="3"/>
      <c r="G111" s="3"/>
      <c r="H111" s="3"/>
    </row>
    <row r="112" spans="1:8" x14ac:dyDescent="0.35">
      <c r="A112" s="3" t="s">
        <v>858</v>
      </c>
      <c r="B112" s="3" t="s">
        <v>20</v>
      </c>
      <c r="C112" s="3" t="s">
        <v>863</v>
      </c>
      <c r="D112" s="3" t="s">
        <v>77</v>
      </c>
      <c r="E112" s="3"/>
      <c r="F112" s="3"/>
      <c r="G112" s="3"/>
      <c r="H112" s="3"/>
    </row>
    <row r="113" spans="1:8" x14ac:dyDescent="0.35">
      <c r="A113" s="3" t="s">
        <v>858</v>
      </c>
      <c r="B113" s="3" t="s">
        <v>20</v>
      </c>
      <c r="C113" s="3" t="s">
        <v>863</v>
      </c>
      <c r="D113" s="3" t="s">
        <v>242</v>
      </c>
      <c r="E113" s="3"/>
      <c r="F113" s="3"/>
      <c r="G113" s="3"/>
      <c r="H113" s="3"/>
    </row>
    <row r="114" spans="1:8" x14ac:dyDescent="0.35">
      <c r="A114" s="3" t="s">
        <v>858</v>
      </c>
      <c r="B114" s="3" t="s">
        <v>20</v>
      </c>
      <c r="C114" s="3" t="s">
        <v>863</v>
      </c>
      <c r="D114" s="3" t="s">
        <v>56</v>
      </c>
      <c r="E114" s="3" t="s">
        <v>33</v>
      </c>
      <c r="F114" s="3" t="s">
        <v>314</v>
      </c>
      <c r="G114" s="3"/>
      <c r="H114" s="3"/>
    </row>
    <row r="115" spans="1:8" x14ac:dyDescent="0.35">
      <c r="A115" s="3" t="s">
        <v>858</v>
      </c>
      <c r="B115" s="3" t="s">
        <v>20</v>
      </c>
      <c r="C115" s="3" t="s">
        <v>863</v>
      </c>
      <c r="D115" s="3" t="s">
        <v>29</v>
      </c>
      <c r="E115" s="3"/>
      <c r="F115" s="3"/>
      <c r="G115" s="3"/>
      <c r="H115" s="3"/>
    </row>
    <row r="116" spans="1:8" x14ac:dyDescent="0.35">
      <c r="A116" s="3" t="s">
        <v>858</v>
      </c>
      <c r="B116" s="3" t="s">
        <v>20</v>
      </c>
      <c r="C116" s="3" t="s">
        <v>863</v>
      </c>
      <c r="D116" s="3" t="s">
        <v>244</v>
      </c>
      <c r="E116" s="3"/>
      <c r="F116" s="3"/>
      <c r="G116" s="3"/>
      <c r="H116" s="3"/>
    </row>
    <row r="117" spans="1:8" x14ac:dyDescent="0.35">
      <c r="A117" s="3" t="s">
        <v>858</v>
      </c>
      <c r="B117" s="3" t="s">
        <v>20</v>
      </c>
      <c r="C117" s="3" t="s">
        <v>864</v>
      </c>
      <c r="D117" s="3" t="s">
        <v>25</v>
      </c>
      <c r="E117" s="3"/>
      <c r="F117" s="3"/>
      <c r="G117" s="3"/>
      <c r="H117" s="3"/>
    </row>
    <row r="118" spans="1:8" x14ac:dyDescent="0.35">
      <c r="A118" s="3" t="s">
        <v>858</v>
      </c>
      <c r="B118" s="3" t="s">
        <v>20</v>
      </c>
      <c r="C118" s="3" t="s">
        <v>864</v>
      </c>
      <c r="D118" s="3" t="s">
        <v>27</v>
      </c>
      <c r="E118" s="3"/>
      <c r="F118" s="3"/>
      <c r="G118" s="3"/>
      <c r="H118" s="3"/>
    </row>
    <row r="119" spans="1:8" x14ac:dyDescent="0.35">
      <c r="A119" s="3" t="s">
        <v>858</v>
      </c>
      <c r="B119" s="3" t="s">
        <v>20</v>
      </c>
      <c r="C119" s="3" t="s">
        <v>864</v>
      </c>
      <c r="D119" s="3" t="s">
        <v>77</v>
      </c>
      <c r="E119" s="3"/>
      <c r="F119" s="3"/>
      <c r="G119" s="3"/>
      <c r="H119" s="3"/>
    </row>
    <row r="120" spans="1:8" x14ac:dyDescent="0.35">
      <c r="A120" s="3" t="s">
        <v>858</v>
      </c>
      <c r="B120" s="3" t="s">
        <v>20</v>
      </c>
      <c r="C120" s="3" t="s">
        <v>864</v>
      </c>
      <c r="D120" s="3" t="s">
        <v>28</v>
      </c>
      <c r="E120" s="3"/>
      <c r="F120" s="3" t="s">
        <v>3018</v>
      </c>
      <c r="G120" s="3"/>
      <c r="H120" s="3"/>
    </row>
    <row r="121" spans="1:8" x14ac:dyDescent="0.35">
      <c r="A121" s="3" t="s">
        <v>858</v>
      </c>
      <c r="B121" s="3" t="s">
        <v>20</v>
      </c>
      <c r="C121" s="3" t="s">
        <v>864</v>
      </c>
      <c r="D121" s="3" t="s">
        <v>87</v>
      </c>
      <c r="E121" s="3"/>
      <c r="F121" s="3"/>
      <c r="G121" s="3"/>
      <c r="H121" s="3"/>
    </row>
    <row r="122" spans="1:8" x14ac:dyDescent="0.35">
      <c r="A122" s="3" t="s">
        <v>858</v>
      </c>
      <c r="B122" s="3" t="s">
        <v>20</v>
      </c>
      <c r="C122" s="3" t="s">
        <v>864</v>
      </c>
      <c r="D122" s="3" t="s">
        <v>15</v>
      </c>
      <c r="E122" s="3"/>
      <c r="F122" s="3"/>
      <c r="G122" s="3"/>
      <c r="H122" s="3"/>
    </row>
    <row r="123" spans="1:8" x14ac:dyDescent="0.35">
      <c r="A123" s="3" t="s">
        <v>858</v>
      </c>
      <c r="B123" s="3" t="s">
        <v>20</v>
      </c>
      <c r="C123" s="3" t="s">
        <v>864</v>
      </c>
      <c r="D123" s="3" t="s">
        <v>56</v>
      </c>
      <c r="E123" s="3"/>
      <c r="F123" s="3"/>
      <c r="G123" s="3"/>
      <c r="H123" s="3"/>
    </row>
    <row r="124" spans="1:8" x14ac:dyDescent="0.35">
      <c r="A124" s="3" t="s">
        <v>858</v>
      </c>
      <c r="B124" s="3" t="s">
        <v>20</v>
      </c>
      <c r="C124" s="3" t="s">
        <v>864</v>
      </c>
      <c r="D124" s="3" t="s">
        <v>89</v>
      </c>
      <c r="E124" s="3"/>
      <c r="F124" s="3"/>
      <c r="G124" s="3"/>
      <c r="H124" s="3"/>
    </row>
    <row r="125" spans="1:8" x14ac:dyDescent="0.35">
      <c r="A125" s="3" t="s">
        <v>858</v>
      </c>
      <c r="B125" s="3" t="s">
        <v>20</v>
      </c>
      <c r="C125" s="3" t="s">
        <v>864</v>
      </c>
      <c r="D125" s="3" t="s">
        <v>29</v>
      </c>
      <c r="E125" s="3"/>
      <c r="F125" s="3"/>
      <c r="G125" s="3"/>
      <c r="H125" s="3"/>
    </row>
    <row r="126" spans="1:8" x14ac:dyDescent="0.35">
      <c r="A126" s="3" t="s">
        <v>858</v>
      </c>
      <c r="B126" s="3" t="s">
        <v>20</v>
      </c>
      <c r="C126" s="3" t="s">
        <v>864</v>
      </c>
      <c r="D126" s="3" t="s">
        <v>24</v>
      </c>
      <c r="E126" s="3"/>
      <c r="F126" s="3"/>
      <c r="G126" s="3"/>
      <c r="H126" s="3"/>
    </row>
    <row r="127" spans="1:8" x14ac:dyDescent="0.35">
      <c r="A127" s="3" t="s">
        <v>858</v>
      </c>
      <c r="B127" s="3" t="s">
        <v>20</v>
      </c>
      <c r="C127" s="3" t="s">
        <v>864</v>
      </c>
      <c r="D127" s="3" t="s">
        <v>244</v>
      </c>
      <c r="E127" s="3"/>
      <c r="F127" s="3"/>
      <c r="G127" s="3"/>
      <c r="H127" s="3"/>
    </row>
    <row r="128" spans="1:8" x14ac:dyDescent="0.35">
      <c r="A128" s="3" t="s">
        <v>858</v>
      </c>
      <c r="B128" s="3" t="s">
        <v>20</v>
      </c>
      <c r="C128" s="3" t="s">
        <v>865</v>
      </c>
      <c r="D128" s="3" t="s">
        <v>15</v>
      </c>
      <c r="E128" s="3" t="s">
        <v>16</v>
      </c>
      <c r="F128" s="3" t="s">
        <v>866</v>
      </c>
      <c r="G128" s="3" t="s">
        <v>16</v>
      </c>
      <c r="H128" s="3" t="s">
        <v>813</v>
      </c>
    </row>
    <row r="129" spans="1:8" x14ac:dyDescent="0.35">
      <c r="A129" s="3" t="s">
        <v>858</v>
      </c>
      <c r="B129" s="3" t="s">
        <v>20</v>
      </c>
      <c r="C129" s="3" t="s">
        <v>865</v>
      </c>
      <c r="D129" s="3" t="s">
        <v>32</v>
      </c>
      <c r="E129" s="3" t="s">
        <v>16</v>
      </c>
      <c r="F129" s="3" t="s">
        <v>867</v>
      </c>
      <c r="G129" s="3" t="s">
        <v>16</v>
      </c>
      <c r="H129" s="3" t="s">
        <v>816</v>
      </c>
    </row>
    <row r="130" spans="1:8" x14ac:dyDescent="0.35">
      <c r="A130" s="3" t="s">
        <v>858</v>
      </c>
      <c r="B130" s="3" t="s">
        <v>20</v>
      </c>
      <c r="C130" s="3" t="s">
        <v>868</v>
      </c>
      <c r="D130" s="3" t="s">
        <v>12</v>
      </c>
      <c r="E130" s="3"/>
      <c r="F130" s="3"/>
      <c r="G130" s="3"/>
      <c r="H130" s="3"/>
    </row>
    <row r="131" spans="1:8" x14ac:dyDescent="0.35">
      <c r="A131" s="3" t="s">
        <v>858</v>
      </c>
      <c r="B131" s="3" t="s">
        <v>20</v>
      </c>
      <c r="C131" s="3" t="s">
        <v>868</v>
      </c>
      <c r="D131" s="3" t="s">
        <v>24</v>
      </c>
      <c r="E131" s="3"/>
      <c r="F131" s="3" t="s">
        <v>2429</v>
      </c>
      <c r="G131" s="3"/>
      <c r="H131" s="3"/>
    </row>
    <row r="132" spans="1:8" x14ac:dyDescent="0.35">
      <c r="A132" s="3" t="s">
        <v>869</v>
      </c>
      <c r="B132" s="3" t="s">
        <v>20</v>
      </c>
      <c r="C132" s="3" t="s">
        <v>870</v>
      </c>
      <c r="D132" s="3" t="s">
        <v>12</v>
      </c>
      <c r="E132" s="3"/>
      <c r="F132" s="3"/>
      <c r="G132" s="3"/>
      <c r="H132" s="3"/>
    </row>
    <row r="133" spans="1:8" x14ac:dyDescent="0.35">
      <c r="A133" s="3" t="s">
        <v>869</v>
      </c>
      <c r="B133" s="3" t="s">
        <v>20</v>
      </c>
      <c r="C133" s="3" t="s">
        <v>870</v>
      </c>
      <c r="D133" s="3" t="s">
        <v>87</v>
      </c>
      <c r="E133" s="3"/>
      <c r="F133" s="3"/>
      <c r="G133" s="3"/>
      <c r="H133" s="3"/>
    </row>
    <row r="134" spans="1:8" x14ac:dyDescent="0.35">
      <c r="A134" s="3" t="s">
        <v>869</v>
      </c>
      <c r="B134" s="3" t="s">
        <v>20</v>
      </c>
      <c r="C134" s="3" t="s">
        <v>870</v>
      </c>
      <c r="D134" s="3" t="s">
        <v>56</v>
      </c>
      <c r="E134" s="3" t="s">
        <v>16</v>
      </c>
      <c r="F134" s="3" t="s">
        <v>2320</v>
      </c>
      <c r="G134" s="3"/>
      <c r="H134" s="3"/>
    </row>
    <row r="135" spans="1:8" x14ac:dyDescent="0.35">
      <c r="A135" s="3" t="s">
        <v>869</v>
      </c>
      <c r="B135" s="3" t="s">
        <v>20</v>
      </c>
      <c r="C135" s="3" t="s">
        <v>870</v>
      </c>
      <c r="D135" s="3" t="s">
        <v>26</v>
      </c>
      <c r="E135" s="3"/>
      <c r="F135" s="3"/>
      <c r="G135" s="3"/>
      <c r="H135" s="3"/>
    </row>
    <row r="136" spans="1:8" x14ac:dyDescent="0.35">
      <c r="A136" s="3" t="s">
        <v>869</v>
      </c>
      <c r="B136" s="3" t="s">
        <v>39</v>
      </c>
      <c r="C136" s="3" t="s">
        <v>871</v>
      </c>
      <c r="D136" s="3" t="s">
        <v>15</v>
      </c>
      <c r="E136" s="3" t="s">
        <v>13</v>
      </c>
      <c r="F136" s="3" t="s">
        <v>872</v>
      </c>
      <c r="G136" s="3"/>
      <c r="H136" s="3"/>
    </row>
    <row r="137" spans="1:8" x14ac:dyDescent="0.35">
      <c r="A137" s="3" t="s">
        <v>869</v>
      </c>
      <c r="B137" s="3" t="s">
        <v>10</v>
      </c>
      <c r="C137" s="3" t="s">
        <v>873</v>
      </c>
      <c r="D137" s="3" t="s">
        <v>15</v>
      </c>
      <c r="E137" s="3" t="s">
        <v>13</v>
      </c>
      <c r="F137" s="3" t="s">
        <v>872</v>
      </c>
      <c r="G137" s="3" t="s">
        <v>13</v>
      </c>
      <c r="H137" s="3" t="s">
        <v>813</v>
      </c>
    </row>
    <row r="138" spans="1:8" x14ac:dyDescent="0.35">
      <c r="A138" s="3" t="s">
        <v>869</v>
      </c>
      <c r="B138" s="3" t="s">
        <v>20</v>
      </c>
      <c r="C138" s="3" t="s">
        <v>2754</v>
      </c>
      <c r="D138" s="3" t="s">
        <v>12</v>
      </c>
      <c r="E138" s="3"/>
      <c r="F138" s="3"/>
      <c r="G138" s="3"/>
      <c r="H138" s="3"/>
    </row>
    <row r="139" spans="1:8" x14ac:dyDescent="0.35">
      <c r="A139" s="3" t="s">
        <v>869</v>
      </c>
      <c r="B139" s="3" t="s">
        <v>20</v>
      </c>
      <c r="C139" s="3" t="s">
        <v>2754</v>
      </c>
      <c r="D139" s="3" t="s">
        <v>23</v>
      </c>
      <c r="E139" s="3"/>
      <c r="F139" s="3"/>
      <c r="G139" s="3"/>
      <c r="H139" s="3"/>
    </row>
    <row r="140" spans="1:8" x14ac:dyDescent="0.35">
      <c r="A140" s="3" t="s">
        <v>869</v>
      </c>
      <c r="B140" s="3" t="s">
        <v>20</v>
      </c>
      <c r="C140" s="3" t="s">
        <v>2754</v>
      </c>
      <c r="D140" s="3" t="s">
        <v>25</v>
      </c>
      <c r="E140" s="3"/>
      <c r="F140" s="3"/>
      <c r="G140" s="3"/>
      <c r="H140" s="3"/>
    </row>
    <row r="141" spans="1:8" x14ac:dyDescent="0.35">
      <c r="A141" s="3" t="s">
        <v>869</v>
      </c>
      <c r="B141" s="3" t="s">
        <v>20</v>
      </c>
      <c r="C141" s="3" t="s">
        <v>2754</v>
      </c>
      <c r="D141" s="3" t="s">
        <v>27</v>
      </c>
      <c r="E141" s="3"/>
      <c r="F141" s="3"/>
      <c r="G141" s="3"/>
      <c r="H141" s="3"/>
    </row>
    <row r="142" spans="1:8" x14ac:dyDescent="0.35">
      <c r="A142" s="3" t="s">
        <v>869</v>
      </c>
      <c r="B142" s="3" t="s">
        <v>20</v>
      </c>
      <c r="C142" s="3" t="s">
        <v>2754</v>
      </c>
      <c r="D142" s="3" t="s">
        <v>44</v>
      </c>
      <c r="E142" s="3"/>
      <c r="F142" s="3"/>
      <c r="G142" s="3"/>
      <c r="H142" s="3"/>
    </row>
    <row r="143" spans="1:8" x14ac:dyDescent="0.35">
      <c r="A143" s="3" t="s">
        <v>869</v>
      </c>
      <c r="B143" s="3" t="s">
        <v>20</v>
      </c>
      <c r="C143" s="3" t="s">
        <v>2754</v>
      </c>
      <c r="D143" s="3" t="s">
        <v>87</v>
      </c>
      <c r="E143" s="3"/>
      <c r="F143" s="3"/>
      <c r="G143" s="3"/>
      <c r="H143" s="3"/>
    </row>
    <row r="144" spans="1:8" x14ac:dyDescent="0.35">
      <c r="A144" s="3" t="s">
        <v>869</v>
      </c>
      <c r="B144" s="3" t="s">
        <v>20</v>
      </c>
      <c r="C144" s="3" t="s">
        <v>2754</v>
      </c>
      <c r="D144" s="3" t="s">
        <v>15</v>
      </c>
      <c r="E144" s="3" t="s">
        <v>16</v>
      </c>
      <c r="F144" s="3" t="s">
        <v>874</v>
      </c>
      <c r="G144" s="3"/>
      <c r="H144" s="3"/>
    </row>
    <row r="145" spans="1:8" x14ac:dyDescent="0.35">
      <c r="A145" s="3" t="s">
        <v>869</v>
      </c>
      <c r="B145" s="3" t="s">
        <v>20</v>
      </c>
      <c r="C145" s="3" t="s">
        <v>2754</v>
      </c>
      <c r="D145" s="3" t="s">
        <v>32</v>
      </c>
      <c r="E145" s="3" t="s">
        <v>33</v>
      </c>
      <c r="F145" s="3" t="s">
        <v>875</v>
      </c>
      <c r="G145" s="3"/>
      <c r="H145" s="3"/>
    </row>
    <row r="146" spans="1:8" x14ac:dyDescent="0.35">
      <c r="A146" s="3" t="s">
        <v>869</v>
      </c>
      <c r="B146" s="3" t="s">
        <v>20</v>
      </c>
      <c r="C146" s="3" t="s">
        <v>2754</v>
      </c>
      <c r="D146" s="3" t="s">
        <v>24</v>
      </c>
      <c r="E146" s="3"/>
      <c r="F146" s="3"/>
      <c r="G146" s="3"/>
      <c r="H146" s="3"/>
    </row>
    <row r="147" spans="1:8" x14ac:dyDescent="0.35">
      <c r="A147" s="3" t="s">
        <v>869</v>
      </c>
      <c r="B147" s="3" t="s">
        <v>20</v>
      </c>
      <c r="C147" s="3" t="s">
        <v>2754</v>
      </c>
      <c r="D147" s="3" t="s">
        <v>134</v>
      </c>
      <c r="E147" s="3" t="s">
        <v>16</v>
      </c>
      <c r="F147" s="3" t="s">
        <v>876</v>
      </c>
      <c r="G147" s="3"/>
      <c r="H147" s="3"/>
    </row>
    <row r="148" spans="1:8" x14ac:dyDescent="0.35">
      <c r="A148" s="3" t="s">
        <v>869</v>
      </c>
      <c r="B148" s="3" t="s">
        <v>20</v>
      </c>
      <c r="C148" s="3" t="s">
        <v>2754</v>
      </c>
      <c r="D148" s="3" t="s">
        <v>107</v>
      </c>
      <c r="E148" s="3" t="s">
        <v>16</v>
      </c>
      <c r="F148" s="3" t="s">
        <v>877</v>
      </c>
      <c r="G148" s="3"/>
      <c r="H148" s="3"/>
    </row>
    <row r="149" spans="1:8" x14ac:dyDescent="0.35">
      <c r="A149" s="3" t="s">
        <v>869</v>
      </c>
      <c r="B149" s="3" t="s">
        <v>45</v>
      </c>
      <c r="C149" s="3" t="s">
        <v>878</v>
      </c>
      <c r="D149" s="3" t="s">
        <v>12</v>
      </c>
      <c r="E149" s="3"/>
      <c r="F149" s="3"/>
      <c r="G149" s="3" t="s">
        <v>13</v>
      </c>
      <c r="H149" s="3" t="s">
        <v>813</v>
      </c>
    </row>
    <row r="150" spans="1:8" x14ac:dyDescent="0.35">
      <c r="A150" s="3" t="s">
        <v>869</v>
      </c>
      <c r="B150" s="3" t="s">
        <v>45</v>
      </c>
      <c r="C150" s="3" t="s">
        <v>878</v>
      </c>
      <c r="D150" s="3" t="s">
        <v>15</v>
      </c>
      <c r="E150" s="3" t="s">
        <v>16</v>
      </c>
      <c r="F150" s="3" t="s">
        <v>3019</v>
      </c>
      <c r="G150" s="3" t="s">
        <v>13</v>
      </c>
      <c r="H150" s="3" t="s">
        <v>813</v>
      </c>
    </row>
    <row r="151" spans="1:8" x14ac:dyDescent="0.35">
      <c r="A151" s="3" t="s">
        <v>869</v>
      </c>
      <c r="B151" s="3" t="s">
        <v>45</v>
      </c>
      <c r="C151" s="3" t="s">
        <v>878</v>
      </c>
      <c r="D151" s="3" t="s">
        <v>24</v>
      </c>
      <c r="E151" s="3"/>
      <c r="F151" s="3"/>
      <c r="G151" s="3" t="s">
        <v>13</v>
      </c>
      <c r="H151" s="3" t="s">
        <v>813</v>
      </c>
    </row>
    <row r="152" spans="1:8" x14ac:dyDescent="0.35">
      <c r="A152" s="3" t="s">
        <v>869</v>
      </c>
      <c r="B152" s="3" t="s">
        <v>45</v>
      </c>
      <c r="C152" s="3" t="s">
        <v>2645</v>
      </c>
      <c r="D152" s="3" t="s">
        <v>15</v>
      </c>
      <c r="E152" s="3" t="s">
        <v>16</v>
      </c>
      <c r="F152" s="3" t="s">
        <v>2646</v>
      </c>
      <c r="G152" s="3" t="s">
        <v>16</v>
      </c>
      <c r="H152" s="3" t="s">
        <v>816</v>
      </c>
    </row>
    <row r="153" spans="1:8" x14ac:dyDescent="0.35">
      <c r="A153" s="3" t="s">
        <v>869</v>
      </c>
      <c r="B153" s="3" t="s">
        <v>10</v>
      </c>
      <c r="C153" s="3" t="s">
        <v>879</v>
      </c>
      <c r="D153" s="3" t="s">
        <v>15</v>
      </c>
      <c r="E153" s="3"/>
      <c r="F153" s="3"/>
      <c r="G153" s="3"/>
      <c r="H153" s="3"/>
    </row>
    <row r="154" spans="1:8" x14ac:dyDescent="0.35">
      <c r="A154" s="3" t="s">
        <v>869</v>
      </c>
      <c r="B154" s="3" t="s">
        <v>10</v>
      </c>
      <c r="C154" s="3" t="s">
        <v>879</v>
      </c>
      <c r="D154" s="3" t="s">
        <v>57</v>
      </c>
      <c r="E154" s="3"/>
      <c r="F154" s="3"/>
      <c r="G154" s="3"/>
      <c r="H154" s="3"/>
    </row>
    <row r="155" spans="1:8" x14ac:dyDescent="0.35">
      <c r="A155" s="3" t="s">
        <v>880</v>
      </c>
      <c r="B155" s="3" t="s">
        <v>39</v>
      </c>
      <c r="C155" s="3" t="s">
        <v>881</v>
      </c>
      <c r="D155" s="3" t="s">
        <v>23</v>
      </c>
      <c r="E155" s="3" t="s">
        <v>16</v>
      </c>
      <c r="F155" s="3" t="s">
        <v>882</v>
      </c>
      <c r="G155" s="3"/>
      <c r="H155" s="3"/>
    </row>
    <row r="156" spans="1:8" x14ac:dyDescent="0.35">
      <c r="A156" s="3" t="s">
        <v>880</v>
      </c>
      <c r="B156" s="3" t="s">
        <v>39</v>
      </c>
      <c r="C156" s="3" t="s">
        <v>881</v>
      </c>
      <c r="D156" s="3" t="s">
        <v>27</v>
      </c>
      <c r="E156" s="3" t="s">
        <v>16</v>
      </c>
      <c r="F156" s="3" t="s">
        <v>883</v>
      </c>
      <c r="G156" s="3"/>
      <c r="H156" s="3"/>
    </row>
    <row r="157" spans="1:8" x14ac:dyDescent="0.35">
      <c r="A157" s="3" t="s">
        <v>880</v>
      </c>
      <c r="B157" s="3" t="s">
        <v>39</v>
      </c>
      <c r="C157" s="3" t="s">
        <v>881</v>
      </c>
      <c r="D157" s="3" t="s">
        <v>32</v>
      </c>
      <c r="E157" s="3" t="s">
        <v>16</v>
      </c>
      <c r="F157" s="3" t="s">
        <v>884</v>
      </c>
      <c r="G157" s="3"/>
      <c r="H157" s="3"/>
    </row>
    <row r="158" spans="1:8" x14ac:dyDescent="0.35">
      <c r="A158" s="3" t="s">
        <v>880</v>
      </c>
      <c r="B158" s="3" t="s">
        <v>39</v>
      </c>
      <c r="C158" s="3" t="s">
        <v>881</v>
      </c>
      <c r="D158" s="3" t="s">
        <v>24</v>
      </c>
      <c r="E158" s="3" t="s">
        <v>16</v>
      </c>
      <c r="F158" s="3" t="s">
        <v>885</v>
      </c>
      <c r="G158" s="3"/>
      <c r="H158" s="3"/>
    </row>
    <row r="159" spans="1:8" x14ac:dyDescent="0.35">
      <c r="A159" s="3" t="s">
        <v>880</v>
      </c>
      <c r="B159" s="3" t="s">
        <v>20</v>
      </c>
      <c r="C159" s="3" t="s">
        <v>886</v>
      </c>
      <c r="D159" s="3" t="s">
        <v>25</v>
      </c>
      <c r="E159" s="3"/>
      <c r="F159" s="3"/>
      <c r="G159" s="3"/>
      <c r="H159" s="3"/>
    </row>
    <row r="160" spans="1:8" x14ac:dyDescent="0.35">
      <c r="A160" s="3" t="s">
        <v>880</v>
      </c>
      <c r="B160" s="3" t="s">
        <v>20</v>
      </c>
      <c r="C160" s="3" t="s">
        <v>886</v>
      </c>
      <c r="D160" s="3" t="s">
        <v>28</v>
      </c>
      <c r="E160" s="3"/>
      <c r="F160" s="3"/>
      <c r="G160" s="3"/>
      <c r="H160" s="3"/>
    </row>
    <row r="161" spans="1:8" x14ac:dyDescent="0.35">
      <c r="A161" s="3" t="s">
        <v>880</v>
      </c>
      <c r="B161" s="3" t="s">
        <v>20</v>
      </c>
      <c r="C161" s="3" t="s">
        <v>886</v>
      </c>
      <c r="D161" s="3" t="s">
        <v>15</v>
      </c>
      <c r="E161" s="3" t="s">
        <v>16</v>
      </c>
      <c r="F161" s="3" t="s">
        <v>887</v>
      </c>
      <c r="G161" s="3"/>
      <c r="H161" s="3"/>
    </row>
    <row r="162" spans="1:8" x14ac:dyDescent="0.35">
      <c r="A162" s="3" t="s">
        <v>880</v>
      </c>
      <c r="B162" s="3" t="s">
        <v>20</v>
      </c>
      <c r="C162" s="3" t="s">
        <v>886</v>
      </c>
      <c r="D162" s="3" t="s">
        <v>29</v>
      </c>
      <c r="E162" s="3"/>
      <c r="F162" s="3"/>
      <c r="G162" s="3"/>
      <c r="H162" s="3"/>
    </row>
    <row r="163" spans="1:8" x14ac:dyDescent="0.35">
      <c r="A163" s="3" t="s">
        <v>880</v>
      </c>
      <c r="B163" s="3" t="s">
        <v>20</v>
      </c>
      <c r="C163" s="3" t="s">
        <v>886</v>
      </c>
      <c r="D163" s="3" t="s">
        <v>888</v>
      </c>
      <c r="E163" s="3"/>
      <c r="F163" s="3"/>
      <c r="G163" s="3"/>
      <c r="H163" s="3"/>
    </row>
    <row r="164" spans="1:8" x14ac:dyDescent="0.35">
      <c r="A164" s="3" t="s">
        <v>880</v>
      </c>
      <c r="B164" s="3" t="s">
        <v>45</v>
      </c>
      <c r="C164" s="3" t="s">
        <v>889</v>
      </c>
      <c r="D164" s="3" t="s">
        <v>23</v>
      </c>
      <c r="E164" s="3"/>
      <c r="F164" s="3"/>
      <c r="G164" s="3"/>
      <c r="H164" s="3"/>
    </row>
    <row r="165" spans="1:8" x14ac:dyDescent="0.35">
      <c r="A165" s="3" t="s">
        <v>880</v>
      </c>
      <c r="B165" s="3" t="s">
        <v>42</v>
      </c>
      <c r="C165" s="3" t="s">
        <v>890</v>
      </c>
      <c r="D165" s="3" t="s">
        <v>12</v>
      </c>
      <c r="E165" s="3"/>
      <c r="F165" s="3"/>
      <c r="G165" s="3"/>
      <c r="H165" s="3"/>
    </row>
    <row r="166" spans="1:8" x14ac:dyDescent="0.35">
      <c r="A166" s="3" t="s">
        <v>880</v>
      </c>
      <c r="B166" s="3" t="s">
        <v>42</v>
      </c>
      <c r="C166" s="3" t="s">
        <v>890</v>
      </c>
      <c r="D166" s="3" t="s">
        <v>23</v>
      </c>
      <c r="E166" s="3" t="s">
        <v>33</v>
      </c>
      <c r="F166" s="3" t="s">
        <v>97</v>
      </c>
      <c r="G166" s="3"/>
      <c r="H166" s="3"/>
    </row>
    <row r="167" spans="1:8" x14ac:dyDescent="0.35">
      <c r="A167" s="3" t="s">
        <v>880</v>
      </c>
      <c r="B167" s="3" t="s">
        <v>42</v>
      </c>
      <c r="C167" s="3" t="s">
        <v>890</v>
      </c>
      <c r="D167" s="3" t="s">
        <v>87</v>
      </c>
      <c r="E167" s="3"/>
      <c r="F167" s="3"/>
      <c r="G167" s="3"/>
      <c r="H167" s="3"/>
    </row>
    <row r="168" spans="1:8" x14ac:dyDescent="0.35">
      <c r="A168" s="3" t="s">
        <v>880</v>
      </c>
      <c r="B168" s="3" t="s">
        <v>42</v>
      </c>
      <c r="C168" s="3" t="s">
        <v>890</v>
      </c>
      <c r="D168" s="3" t="s">
        <v>15</v>
      </c>
      <c r="E168" s="3" t="s">
        <v>16</v>
      </c>
      <c r="F168" s="3" t="s">
        <v>2267</v>
      </c>
      <c r="G168" s="3"/>
      <c r="H168" s="3"/>
    </row>
    <row r="169" spans="1:8" x14ac:dyDescent="0.35">
      <c r="A169" s="3" t="s">
        <v>880</v>
      </c>
      <c r="B169" s="3" t="s">
        <v>42</v>
      </c>
      <c r="C169" s="3" t="s">
        <v>890</v>
      </c>
      <c r="D169" s="3" t="s">
        <v>888</v>
      </c>
      <c r="E169" s="3"/>
      <c r="F169" s="3"/>
      <c r="G169" s="3"/>
      <c r="H169" s="3"/>
    </row>
    <row r="170" spans="1:8" x14ac:dyDescent="0.35">
      <c r="A170" s="3" t="s">
        <v>880</v>
      </c>
      <c r="B170" s="3" t="s">
        <v>42</v>
      </c>
      <c r="C170" s="3" t="s">
        <v>890</v>
      </c>
      <c r="D170" s="3" t="s">
        <v>134</v>
      </c>
      <c r="E170" s="3"/>
      <c r="F170" s="3"/>
      <c r="G170" s="3"/>
      <c r="H170" s="3"/>
    </row>
    <row r="171" spans="1:8" x14ac:dyDescent="0.35">
      <c r="A171" s="3" t="s">
        <v>880</v>
      </c>
      <c r="B171" s="3" t="s">
        <v>42</v>
      </c>
      <c r="C171" s="3" t="s">
        <v>890</v>
      </c>
      <c r="D171" s="3" t="s">
        <v>107</v>
      </c>
      <c r="E171" s="3" t="s">
        <v>16</v>
      </c>
      <c r="F171" s="3" t="s">
        <v>2340</v>
      </c>
      <c r="G171" s="3"/>
      <c r="H171" s="3"/>
    </row>
    <row r="172" spans="1:8" x14ac:dyDescent="0.35">
      <c r="A172" s="3" t="s">
        <v>880</v>
      </c>
      <c r="B172" s="3" t="s">
        <v>45</v>
      </c>
      <c r="C172" s="3" t="s">
        <v>891</v>
      </c>
      <c r="D172" s="3" t="s">
        <v>12</v>
      </c>
      <c r="E172" s="3"/>
      <c r="F172" s="3"/>
      <c r="G172" s="3"/>
      <c r="H172" s="3"/>
    </row>
    <row r="173" spans="1:8" x14ac:dyDescent="0.35">
      <c r="A173" s="3" t="s">
        <v>880</v>
      </c>
      <c r="B173" s="3" t="s">
        <v>45</v>
      </c>
      <c r="C173" s="3" t="s">
        <v>891</v>
      </c>
      <c r="D173" s="3" t="s">
        <v>36</v>
      </c>
      <c r="E173" s="3" t="s">
        <v>33</v>
      </c>
      <c r="F173" s="3" t="s">
        <v>97</v>
      </c>
      <c r="G173" s="3"/>
      <c r="H173" s="3"/>
    </row>
    <row r="174" spans="1:8" x14ac:dyDescent="0.35">
      <c r="A174" s="3" t="s">
        <v>880</v>
      </c>
      <c r="B174" s="3" t="s">
        <v>45</v>
      </c>
      <c r="C174" s="3" t="s">
        <v>891</v>
      </c>
      <c r="D174" s="3" t="s">
        <v>77</v>
      </c>
      <c r="E174" s="3"/>
      <c r="F174" s="3"/>
      <c r="G174" s="3"/>
      <c r="H174" s="3"/>
    </row>
    <row r="175" spans="1:8" x14ac:dyDescent="0.35">
      <c r="A175" s="3" t="s">
        <v>880</v>
      </c>
      <c r="B175" s="3" t="s">
        <v>45</v>
      </c>
      <c r="C175" s="3" t="s">
        <v>891</v>
      </c>
      <c r="D175" s="3" t="s">
        <v>15</v>
      </c>
      <c r="E175" s="3"/>
      <c r="F175" s="3"/>
      <c r="G175" s="3"/>
      <c r="H175" s="3"/>
    </row>
    <row r="176" spans="1:8" x14ac:dyDescent="0.35">
      <c r="A176" s="3" t="s">
        <v>880</v>
      </c>
      <c r="B176" s="3" t="s">
        <v>20</v>
      </c>
      <c r="C176" s="3" t="s">
        <v>892</v>
      </c>
      <c r="D176" s="3" t="s">
        <v>25</v>
      </c>
      <c r="E176" s="3"/>
      <c r="F176" s="3"/>
      <c r="G176" s="3"/>
      <c r="H176" s="3"/>
    </row>
    <row r="177" spans="1:8" x14ac:dyDescent="0.35">
      <c r="A177" s="3" t="s">
        <v>880</v>
      </c>
      <c r="B177" s="3" t="s">
        <v>20</v>
      </c>
      <c r="C177" s="3" t="s">
        <v>892</v>
      </c>
      <c r="D177" s="3" t="s">
        <v>60</v>
      </c>
      <c r="E177" s="3"/>
      <c r="F177" s="3"/>
      <c r="G177" s="3"/>
      <c r="H177" s="3"/>
    </row>
    <row r="178" spans="1:8" x14ac:dyDescent="0.35">
      <c r="A178" s="3" t="s">
        <v>880</v>
      </c>
      <c r="B178" s="3" t="s">
        <v>20</v>
      </c>
      <c r="C178" s="3" t="s">
        <v>892</v>
      </c>
      <c r="D178" s="3" t="s">
        <v>27</v>
      </c>
      <c r="E178" s="3"/>
      <c r="F178" s="3"/>
      <c r="G178" s="3"/>
      <c r="H178" s="3"/>
    </row>
    <row r="179" spans="1:8" x14ac:dyDescent="0.35">
      <c r="A179" s="3" t="s">
        <v>880</v>
      </c>
      <c r="B179" s="3" t="s">
        <v>20</v>
      </c>
      <c r="C179" s="3" t="s">
        <v>892</v>
      </c>
      <c r="D179" s="3" t="s">
        <v>77</v>
      </c>
      <c r="E179" s="3"/>
      <c r="F179" s="3" t="s">
        <v>2365</v>
      </c>
      <c r="G179" s="3"/>
      <c r="H179" s="3"/>
    </row>
    <row r="180" spans="1:8" x14ac:dyDescent="0.35">
      <c r="A180" s="3" t="s">
        <v>880</v>
      </c>
      <c r="B180" s="3" t="s">
        <v>20</v>
      </c>
      <c r="C180" s="3" t="s">
        <v>892</v>
      </c>
      <c r="D180" s="3" t="s">
        <v>28</v>
      </c>
      <c r="E180" s="3"/>
      <c r="F180" s="3" t="s">
        <v>2366</v>
      </c>
      <c r="G180" s="3"/>
      <c r="H180" s="3"/>
    </row>
    <row r="181" spans="1:8" x14ac:dyDescent="0.35">
      <c r="A181" s="3" t="s">
        <v>880</v>
      </c>
      <c r="B181" s="3" t="s">
        <v>20</v>
      </c>
      <c r="C181" s="3" t="s">
        <v>892</v>
      </c>
      <c r="D181" s="3" t="s">
        <v>31</v>
      </c>
      <c r="E181" s="3"/>
      <c r="F181" s="3"/>
      <c r="G181" s="3"/>
      <c r="H181" s="3"/>
    </row>
    <row r="182" spans="1:8" x14ac:dyDescent="0.35">
      <c r="A182" s="3" t="s">
        <v>880</v>
      </c>
      <c r="B182" s="3" t="s">
        <v>20</v>
      </c>
      <c r="C182" s="3" t="s">
        <v>892</v>
      </c>
      <c r="D182" s="3" t="s">
        <v>56</v>
      </c>
      <c r="E182" s="3"/>
      <c r="F182" s="3"/>
      <c r="G182" s="3"/>
      <c r="H182" s="3"/>
    </row>
    <row r="183" spans="1:8" x14ac:dyDescent="0.35">
      <c r="A183" s="3" t="s">
        <v>880</v>
      </c>
      <c r="B183" s="3" t="s">
        <v>20</v>
      </c>
      <c r="C183" s="3" t="s">
        <v>892</v>
      </c>
      <c r="D183" s="3" t="s">
        <v>89</v>
      </c>
      <c r="E183" s="3"/>
      <c r="F183" s="3"/>
      <c r="G183" s="3"/>
      <c r="H183" s="3"/>
    </row>
    <row r="184" spans="1:8" x14ac:dyDescent="0.35">
      <c r="A184" s="3" t="s">
        <v>880</v>
      </c>
      <c r="B184" s="3" t="s">
        <v>20</v>
      </c>
      <c r="C184" s="3" t="s">
        <v>892</v>
      </c>
      <c r="D184" s="3" t="s">
        <v>32</v>
      </c>
      <c r="E184" s="3"/>
      <c r="F184" s="3" t="s">
        <v>2313</v>
      </c>
      <c r="G184" s="3"/>
      <c r="H184" s="3"/>
    </row>
    <row r="185" spans="1:8" x14ac:dyDescent="0.35">
      <c r="A185" s="3" t="s">
        <v>880</v>
      </c>
      <c r="B185" s="3" t="s">
        <v>20</v>
      </c>
      <c r="C185" s="3" t="s">
        <v>892</v>
      </c>
      <c r="D185" s="3" t="s">
        <v>29</v>
      </c>
      <c r="E185" s="3"/>
      <c r="F185" s="3"/>
      <c r="G185" s="3"/>
      <c r="H185" s="3"/>
    </row>
    <row r="186" spans="1:8" x14ac:dyDescent="0.35">
      <c r="A186" s="3" t="s">
        <v>880</v>
      </c>
      <c r="B186" s="3" t="s">
        <v>20</v>
      </c>
      <c r="C186" s="3" t="s">
        <v>892</v>
      </c>
      <c r="D186" s="3" t="s">
        <v>134</v>
      </c>
      <c r="E186" s="3"/>
      <c r="F186" s="3"/>
      <c r="G186" s="3"/>
      <c r="H186" s="3"/>
    </row>
    <row r="187" spans="1:8" x14ac:dyDescent="0.35">
      <c r="A187" s="3" t="s">
        <v>880</v>
      </c>
      <c r="B187" s="3" t="s">
        <v>20</v>
      </c>
      <c r="C187" s="3" t="s">
        <v>892</v>
      </c>
      <c r="D187" s="3" t="s">
        <v>244</v>
      </c>
      <c r="E187" s="3"/>
      <c r="F187" s="3" t="s">
        <v>2367</v>
      </c>
      <c r="G187" s="3"/>
      <c r="H187" s="3"/>
    </row>
    <row r="188" spans="1:8" x14ac:dyDescent="0.35">
      <c r="A188" s="3" t="s">
        <v>880</v>
      </c>
      <c r="B188" s="3" t="s">
        <v>20</v>
      </c>
      <c r="C188" s="3" t="s">
        <v>892</v>
      </c>
      <c r="D188" s="3" t="s">
        <v>893</v>
      </c>
      <c r="E188" s="3"/>
      <c r="F188" s="3" t="s">
        <v>2368</v>
      </c>
      <c r="G188" s="3"/>
      <c r="H188" s="3"/>
    </row>
    <row r="189" spans="1:8" x14ac:dyDescent="0.35">
      <c r="A189" s="3" t="s">
        <v>880</v>
      </c>
      <c r="B189" s="3" t="s">
        <v>20</v>
      </c>
      <c r="C189" s="3" t="s">
        <v>892</v>
      </c>
      <c r="D189" s="3" t="s">
        <v>107</v>
      </c>
      <c r="E189" s="3"/>
      <c r="F189" s="3"/>
      <c r="G189" s="3"/>
      <c r="H189" s="3"/>
    </row>
    <row r="190" spans="1:8" x14ac:dyDescent="0.35">
      <c r="A190" s="3" t="s">
        <v>880</v>
      </c>
      <c r="B190" s="3" t="s">
        <v>45</v>
      </c>
      <c r="C190" s="3" t="s">
        <v>894</v>
      </c>
      <c r="D190" s="3" t="s">
        <v>77</v>
      </c>
      <c r="E190" s="3"/>
      <c r="F190" s="3"/>
      <c r="G190" s="3"/>
      <c r="H190" s="3"/>
    </row>
    <row r="191" spans="1:8" x14ac:dyDescent="0.35">
      <c r="A191" s="3" t="s">
        <v>880</v>
      </c>
      <c r="B191" s="3" t="s">
        <v>45</v>
      </c>
      <c r="C191" s="3" t="s">
        <v>894</v>
      </c>
      <c r="D191" s="3" t="s">
        <v>372</v>
      </c>
      <c r="E191" s="3"/>
      <c r="F191" s="3"/>
      <c r="G191" s="3"/>
      <c r="H191" s="3"/>
    </row>
    <row r="192" spans="1:8" x14ac:dyDescent="0.35">
      <c r="A192" s="3" t="s">
        <v>880</v>
      </c>
      <c r="B192" s="3" t="s">
        <v>45</v>
      </c>
      <c r="C192" s="3" t="s">
        <v>895</v>
      </c>
      <c r="D192" s="3" t="s">
        <v>25</v>
      </c>
      <c r="E192" s="3"/>
      <c r="F192" s="3"/>
      <c r="G192" s="3"/>
      <c r="H192" s="3"/>
    </row>
    <row r="193" spans="1:8" x14ac:dyDescent="0.35">
      <c r="A193" s="3" t="s">
        <v>880</v>
      </c>
      <c r="B193" s="3" t="s">
        <v>45</v>
      </c>
      <c r="C193" s="3" t="s">
        <v>895</v>
      </c>
      <c r="D193" s="3" t="s">
        <v>242</v>
      </c>
      <c r="E193" s="3" t="s">
        <v>33</v>
      </c>
      <c r="F193" s="3" t="s">
        <v>81</v>
      </c>
      <c r="G193" s="3"/>
      <c r="H193" s="3"/>
    </row>
    <row r="194" spans="1:8" x14ac:dyDescent="0.35">
      <c r="A194" s="3" t="s">
        <v>880</v>
      </c>
      <c r="B194" s="3" t="s">
        <v>45</v>
      </c>
      <c r="C194" s="3" t="s">
        <v>895</v>
      </c>
      <c r="D194" s="3" t="s">
        <v>56</v>
      </c>
      <c r="E194" s="3"/>
      <c r="F194" s="3" t="s">
        <v>2369</v>
      </c>
      <c r="G194" s="3"/>
      <c r="H194" s="3"/>
    </row>
    <row r="195" spans="1:8" x14ac:dyDescent="0.35">
      <c r="A195" s="3" t="s">
        <v>880</v>
      </c>
      <c r="B195" s="3" t="s">
        <v>20</v>
      </c>
      <c r="C195" s="3" t="s">
        <v>896</v>
      </c>
      <c r="D195" s="3" t="s">
        <v>12</v>
      </c>
      <c r="E195" s="3"/>
      <c r="F195" s="3"/>
      <c r="G195" s="3"/>
      <c r="H195" s="3"/>
    </row>
    <row r="196" spans="1:8" x14ac:dyDescent="0.35">
      <c r="A196" s="3" t="s">
        <v>880</v>
      </c>
      <c r="B196" s="3" t="s">
        <v>20</v>
      </c>
      <c r="C196" s="3" t="s">
        <v>896</v>
      </c>
      <c r="D196" s="3" t="s">
        <v>23</v>
      </c>
      <c r="E196" s="3" t="s">
        <v>33</v>
      </c>
      <c r="F196" s="3" t="s">
        <v>897</v>
      </c>
      <c r="G196" s="3"/>
      <c r="H196" s="3"/>
    </row>
    <row r="197" spans="1:8" x14ac:dyDescent="0.35">
      <c r="A197" s="3" t="s">
        <v>880</v>
      </c>
      <c r="B197" s="3" t="s">
        <v>20</v>
      </c>
      <c r="C197" s="3" t="s">
        <v>896</v>
      </c>
      <c r="D197" s="3" t="s">
        <v>60</v>
      </c>
      <c r="E197" s="3" t="s">
        <v>33</v>
      </c>
      <c r="F197" s="3" t="s">
        <v>898</v>
      </c>
      <c r="G197" s="3"/>
      <c r="H197" s="3"/>
    </row>
    <row r="198" spans="1:8" x14ac:dyDescent="0.35">
      <c r="A198" s="3" t="s">
        <v>880</v>
      </c>
      <c r="B198" s="3" t="s">
        <v>20</v>
      </c>
      <c r="C198" s="3" t="s">
        <v>896</v>
      </c>
      <c r="D198" s="3" t="s">
        <v>77</v>
      </c>
      <c r="E198" s="3"/>
      <c r="F198" s="3"/>
      <c r="G198" s="3"/>
      <c r="H198" s="3"/>
    </row>
    <row r="199" spans="1:8" x14ac:dyDescent="0.35">
      <c r="A199" s="3" t="s">
        <v>880</v>
      </c>
      <c r="B199" s="3" t="s">
        <v>20</v>
      </c>
      <c r="C199" s="3" t="s">
        <v>896</v>
      </c>
      <c r="D199" s="3" t="s">
        <v>87</v>
      </c>
      <c r="E199" s="3"/>
      <c r="F199" s="3"/>
      <c r="G199" s="3"/>
      <c r="H199" s="3"/>
    </row>
    <row r="200" spans="1:8" x14ac:dyDescent="0.35">
      <c r="A200" s="3" t="s">
        <v>880</v>
      </c>
      <c r="B200" s="3" t="s">
        <v>20</v>
      </c>
      <c r="C200" s="3" t="s">
        <v>896</v>
      </c>
      <c r="D200" s="3" t="s">
        <v>15</v>
      </c>
      <c r="E200" s="3" t="s">
        <v>16</v>
      </c>
      <c r="F200" s="3" t="s">
        <v>899</v>
      </c>
      <c r="G200" s="3"/>
      <c r="H200" s="3"/>
    </row>
    <row r="201" spans="1:8" x14ac:dyDescent="0.35">
      <c r="A201" s="3" t="s">
        <v>880</v>
      </c>
      <c r="B201" s="3" t="s">
        <v>20</v>
      </c>
      <c r="C201" s="3" t="s">
        <v>896</v>
      </c>
      <c r="D201" s="3" t="s">
        <v>57</v>
      </c>
      <c r="E201" s="3" t="s">
        <v>33</v>
      </c>
      <c r="F201" s="3" t="s">
        <v>897</v>
      </c>
      <c r="G201" s="3"/>
      <c r="H201" s="3"/>
    </row>
    <row r="202" spans="1:8" x14ac:dyDescent="0.35">
      <c r="A202" s="3" t="s">
        <v>880</v>
      </c>
      <c r="B202" s="3" t="s">
        <v>20</v>
      </c>
      <c r="C202" s="3" t="s">
        <v>896</v>
      </c>
      <c r="D202" s="3" t="s">
        <v>152</v>
      </c>
      <c r="E202" s="3"/>
      <c r="F202" s="3"/>
      <c r="G202" s="3"/>
      <c r="H202" s="3"/>
    </row>
    <row r="203" spans="1:8" x14ac:dyDescent="0.35">
      <c r="A203" s="3" t="s">
        <v>880</v>
      </c>
      <c r="B203" s="3" t="s">
        <v>45</v>
      </c>
      <c r="C203" s="3" t="s">
        <v>2809</v>
      </c>
      <c r="D203" s="3" t="s">
        <v>23</v>
      </c>
      <c r="E203" s="3" t="s">
        <v>16</v>
      </c>
      <c r="F203" s="3" t="s">
        <v>2810</v>
      </c>
      <c r="G203" s="3"/>
      <c r="H203" s="3"/>
    </row>
    <row r="204" spans="1:8" x14ac:dyDescent="0.35">
      <c r="A204" s="3" t="s">
        <v>880</v>
      </c>
      <c r="B204" s="3" t="s">
        <v>45</v>
      </c>
      <c r="C204" s="3" t="s">
        <v>2809</v>
      </c>
      <c r="D204" s="3" t="s">
        <v>888</v>
      </c>
      <c r="E204" s="3"/>
      <c r="F204" s="3"/>
      <c r="G204" s="3"/>
      <c r="H204" s="3"/>
    </row>
    <row r="205" spans="1:8" x14ac:dyDescent="0.35">
      <c r="A205" s="3" t="s">
        <v>880</v>
      </c>
      <c r="B205" s="3" t="s">
        <v>20</v>
      </c>
      <c r="C205" s="3" t="s">
        <v>900</v>
      </c>
      <c r="D205" s="3" t="s">
        <v>23</v>
      </c>
      <c r="E205" s="3"/>
      <c r="F205" s="3"/>
      <c r="G205" s="3" t="s">
        <v>13</v>
      </c>
      <c r="H205" s="3" t="s">
        <v>813</v>
      </c>
    </row>
    <row r="206" spans="1:8" x14ac:dyDescent="0.35">
      <c r="A206" s="3" t="s">
        <v>880</v>
      </c>
      <c r="B206" s="3" t="s">
        <v>20</v>
      </c>
      <c r="C206" s="3" t="s">
        <v>900</v>
      </c>
      <c r="D206" s="3" t="s">
        <v>98</v>
      </c>
      <c r="E206" s="3"/>
      <c r="F206" s="3"/>
      <c r="G206" s="3" t="s">
        <v>13</v>
      </c>
      <c r="H206" s="3" t="s">
        <v>813</v>
      </c>
    </row>
    <row r="207" spans="1:8" x14ac:dyDescent="0.35">
      <c r="A207" s="3" t="s">
        <v>880</v>
      </c>
      <c r="B207" s="3" t="s">
        <v>20</v>
      </c>
      <c r="C207" s="3" t="s">
        <v>900</v>
      </c>
      <c r="D207" s="3" t="s">
        <v>15</v>
      </c>
      <c r="E207" s="3" t="s">
        <v>16</v>
      </c>
      <c r="F207" s="3" t="s">
        <v>901</v>
      </c>
      <c r="G207" s="3" t="s">
        <v>13</v>
      </c>
      <c r="H207" s="3" t="s">
        <v>813</v>
      </c>
    </row>
    <row r="208" spans="1:8" x14ac:dyDescent="0.35">
      <c r="A208" s="3" t="s">
        <v>880</v>
      </c>
      <c r="B208" s="3" t="s">
        <v>20</v>
      </c>
      <c r="C208" s="3" t="s">
        <v>900</v>
      </c>
      <c r="D208" s="3" t="s">
        <v>888</v>
      </c>
      <c r="E208" s="3"/>
      <c r="F208" s="3"/>
      <c r="G208" s="3" t="s">
        <v>13</v>
      </c>
      <c r="H208" s="3" t="s">
        <v>813</v>
      </c>
    </row>
    <row r="209" spans="1:8" x14ac:dyDescent="0.35">
      <c r="A209" s="3" t="s">
        <v>880</v>
      </c>
      <c r="B209" s="3" t="s">
        <v>39</v>
      </c>
      <c r="C209" s="3" t="s">
        <v>3016</v>
      </c>
      <c r="D209" s="3" t="s">
        <v>23</v>
      </c>
      <c r="E209" s="3"/>
      <c r="F209" s="3"/>
      <c r="G209" s="3" t="s">
        <v>13</v>
      </c>
      <c r="H209" s="3" t="s">
        <v>813</v>
      </c>
    </row>
    <row r="210" spans="1:8" x14ac:dyDescent="0.35">
      <c r="A210" s="3" t="s">
        <v>880</v>
      </c>
      <c r="B210" s="3" t="s">
        <v>39</v>
      </c>
      <c r="C210" s="3" t="s">
        <v>3016</v>
      </c>
      <c r="D210" s="3" t="s">
        <v>27</v>
      </c>
      <c r="E210" s="3" t="s">
        <v>16</v>
      </c>
      <c r="F210" s="3" t="s">
        <v>3017</v>
      </c>
      <c r="G210" s="3" t="s">
        <v>13</v>
      </c>
      <c r="H210" s="3" t="s">
        <v>813</v>
      </c>
    </row>
    <row r="211" spans="1:8" x14ac:dyDescent="0.35">
      <c r="A211" s="3" t="s">
        <v>880</v>
      </c>
      <c r="B211" s="3" t="s">
        <v>39</v>
      </c>
      <c r="C211" s="3" t="s">
        <v>3016</v>
      </c>
      <c r="D211" s="3" t="s">
        <v>888</v>
      </c>
      <c r="E211" s="3"/>
      <c r="F211" s="3"/>
      <c r="G211" s="3" t="s">
        <v>13</v>
      </c>
      <c r="H211" s="3" t="s">
        <v>813</v>
      </c>
    </row>
    <row r="212" spans="1:8" x14ac:dyDescent="0.35">
      <c r="A212" s="3" t="s">
        <v>880</v>
      </c>
      <c r="B212" s="3" t="s">
        <v>39</v>
      </c>
      <c r="C212" s="3" t="s">
        <v>902</v>
      </c>
      <c r="D212" s="3" t="s">
        <v>60</v>
      </c>
      <c r="E212" s="3" t="s">
        <v>16</v>
      </c>
      <c r="F212" s="3" t="s">
        <v>903</v>
      </c>
      <c r="G212" s="3"/>
      <c r="H212" s="3"/>
    </row>
    <row r="213" spans="1:8" x14ac:dyDescent="0.35">
      <c r="A213" s="3" t="s">
        <v>880</v>
      </c>
      <c r="B213" s="3" t="s">
        <v>39</v>
      </c>
      <c r="C213" s="3" t="s">
        <v>902</v>
      </c>
      <c r="D213" s="3" t="s">
        <v>27</v>
      </c>
      <c r="E213" s="3" t="s">
        <v>16</v>
      </c>
      <c r="F213" s="3" t="s">
        <v>904</v>
      </c>
      <c r="G213" s="3"/>
      <c r="H213" s="3"/>
    </row>
    <row r="214" spans="1:8" x14ac:dyDescent="0.35">
      <c r="A214" s="3" t="s">
        <v>880</v>
      </c>
      <c r="B214" s="3" t="s">
        <v>39</v>
      </c>
      <c r="C214" s="3" t="s">
        <v>902</v>
      </c>
      <c r="D214" s="3" t="s">
        <v>15</v>
      </c>
      <c r="E214" s="3" t="s">
        <v>16</v>
      </c>
      <c r="F214" s="3" t="s">
        <v>905</v>
      </c>
      <c r="G214" s="3"/>
      <c r="H214" s="3"/>
    </row>
    <row r="215" spans="1:8" x14ac:dyDescent="0.35">
      <c r="A215" s="3" t="s">
        <v>880</v>
      </c>
      <c r="B215" s="3" t="s">
        <v>39</v>
      </c>
      <c r="C215" s="3" t="s">
        <v>902</v>
      </c>
      <c r="D215" s="3" t="s">
        <v>290</v>
      </c>
      <c r="E215" s="3" t="s">
        <v>16</v>
      </c>
      <c r="F215" s="3" t="s">
        <v>906</v>
      </c>
      <c r="G215" s="3"/>
      <c r="H215" s="3"/>
    </row>
    <row r="216" spans="1:8" x14ac:dyDescent="0.35">
      <c r="A216" s="3" t="s">
        <v>880</v>
      </c>
      <c r="B216" s="3" t="s">
        <v>45</v>
      </c>
      <c r="C216" s="3" t="s">
        <v>2842</v>
      </c>
      <c r="D216" s="3" t="s">
        <v>23</v>
      </c>
      <c r="E216" s="3"/>
      <c r="F216" s="3"/>
      <c r="G216" s="3"/>
      <c r="H216" s="3"/>
    </row>
    <row r="217" spans="1:8" x14ac:dyDescent="0.35">
      <c r="A217" s="3" t="s">
        <v>880</v>
      </c>
      <c r="B217" s="3" t="s">
        <v>45</v>
      </c>
      <c r="C217" s="3" t="s">
        <v>2842</v>
      </c>
      <c r="D217" s="3" t="s">
        <v>25</v>
      </c>
      <c r="E217" s="3"/>
      <c r="F217" s="3"/>
      <c r="G217" s="3"/>
      <c r="H217" s="3"/>
    </row>
    <row r="218" spans="1:8" x14ac:dyDescent="0.35">
      <c r="A218" s="3" t="s">
        <v>880</v>
      </c>
      <c r="B218" s="3" t="s">
        <v>45</v>
      </c>
      <c r="C218" s="3" t="s">
        <v>2842</v>
      </c>
      <c r="D218" s="3" t="s">
        <v>56</v>
      </c>
      <c r="E218" s="3"/>
      <c r="F218" s="3"/>
      <c r="G218" s="3"/>
      <c r="H218" s="3"/>
    </row>
    <row r="219" spans="1:8" x14ac:dyDescent="0.35">
      <c r="A219" s="3" t="s">
        <v>880</v>
      </c>
      <c r="B219" s="3" t="s">
        <v>45</v>
      </c>
      <c r="C219" s="3" t="s">
        <v>2842</v>
      </c>
      <c r="D219" s="3" t="s">
        <v>888</v>
      </c>
      <c r="E219" s="3"/>
      <c r="F219" s="3"/>
      <c r="G219" s="3"/>
      <c r="H219" s="3"/>
    </row>
  </sheetData>
  <autoFilter ref="A1:H1" xr:uid="{00000000-0009-0000-0000-000002000000}"/>
  <pageMargins left="0.7" right="0.7" top="0.75" bottom="0.75" header="0.3" footer="0.3"/>
  <customProperties>
    <customPr name="Gu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533"/>
  <sheetViews>
    <sheetView workbookViewId="0">
      <selection activeCell="A2" sqref="A2"/>
    </sheetView>
  </sheetViews>
  <sheetFormatPr defaultRowHeight="14.5" x14ac:dyDescent="0.35"/>
  <cols>
    <col min="1" max="1" width="16.453125" customWidth="1"/>
    <col min="2" max="2" width="21.453125" customWidth="1"/>
    <col min="3" max="3" width="54.81640625" customWidth="1"/>
    <col min="4" max="4" width="31.453125" customWidth="1"/>
    <col min="5" max="5" width="12.54296875" customWidth="1"/>
    <col min="6" max="6" width="34.54296875" customWidth="1"/>
    <col min="7" max="8" width="14.26953125" customWidth="1"/>
  </cols>
  <sheetData>
    <row r="1" spans="1:8" ht="34.5" customHeight="1" x14ac:dyDescent="0.35">
      <c r="A1" s="1" t="s">
        <v>1</v>
      </c>
      <c r="B1" s="1" t="s">
        <v>2</v>
      </c>
      <c r="C1" s="1" t="s">
        <v>3</v>
      </c>
      <c r="D1" s="1" t="s">
        <v>4</v>
      </c>
      <c r="E1" s="1" t="s">
        <v>5</v>
      </c>
      <c r="F1" s="1" t="s">
        <v>2296</v>
      </c>
      <c r="G1" s="1" t="s">
        <v>6</v>
      </c>
      <c r="H1" s="1" t="s">
        <v>7</v>
      </c>
    </row>
    <row r="2" spans="1:8" x14ac:dyDescent="0.35">
      <c r="A2" s="3" t="s">
        <v>908</v>
      </c>
      <c r="B2" s="3" t="s">
        <v>39</v>
      </c>
      <c r="C2" s="3" t="s">
        <v>909</v>
      </c>
      <c r="D2" s="3" t="s">
        <v>36</v>
      </c>
      <c r="E2" s="3"/>
      <c r="F2" s="3"/>
      <c r="G2" s="3"/>
      <c r="H2" s="3"/>
    </row>
    <row r="3" spans="1:8" x14ac:dyDescent="0.35">
      <c r="A3" s="3" t="s">
        <v>908</v>
      </c>
      <c r="B3" s="3" t="s">
        <v>39</v>
      </c>
      <c r="C3" s="3" t="s">
        <v>909</v>
      </c>
      <c r="D3" s="3" t="s">
        <v>25</v>
      </c>
      <c r="E3" s="3"/>
      <c r="F3" s="3"/>
      <c r="G3" s="3"/>
      <c r="H3" s="3"/>
    </row>
    <row r="4" spans="1:8" x14ac:dyDescent="0.35">
      <c r="A4" s="3" t="s">
        <v>908</v>
      </c>
      <c r="B4" s="3" t="s">
        <v>39</v>
      </c>
      <c r="C4" s="3" t="s">
        <v>909</v>
      </c>
      <c r="D4" s="3" t="s">
        <v>27</v>
      </c>
      <c r="E4" s="3"/>
      <c r="F4" s="3"/>
      <c r="G4" s="3"/>
      <c r="H4" s="3"/>
    </row>
    <row r="5" spans="1:8" x14ac:dyDescent="0.35">
      <c r="A5" s="3" t="s">
        <v>908</v>
      </c>
      <c r="B5" s="3" t="s">
        <v>39</v>
      </c>
      <c r="C5" s="3" t="s">
        <v>909</v>
      </c>
      <c r="D5" s="3" t="s">
        <v>77</v>
      </c>
      <c r="E5" s="3"/>
      <c r="F5" s="3"/>
      <c r="G5" s="3"/>
      <c r="H5" s="3"/>
    </row>
    <row r="6" spans="1:8" x14ac:dyDescent="0.35">
      <c r="A6" s="3" t="s">
        <v>908</v>
      </c>
      <c r="B6" s="3" t="s">
        <v>39</v>
      </c>
      <c r="C6" s="3" t="s">
        <v>909</v>
      </c>
      <c r="D6" s="3" t="s">
        <v>28</v>
      </c>
      <c r="E6" s="3"/>
      <c r="F6" s="3"/>
      <c r="G6" s="3"/>
      <c r="H6" s="3"/>
    </row>
    <row r="7" spans="1:8" x14ac:dyDescent="0.35">
      <c r="A7" s="3" t="s">
        <v>908</v>
      </c>
      <c r="B7" s="3" t="s">
        <v>39</v>
      </c>
      <c r="C7" s="3" t="s">
        <v>909</v>
      </c>
      <c r="D7" s="3" t="s">
        <v>87</v>
      </c>
      <c r="E7" s="3"/>
      <c r="F7" s="3"/>
      <c r="G7" s="3"/>
      <c r="H7" s="3"/>
    </row>
    <row r="8" spans="1:8" x14ac:dyDescent="0.35">
      <c r="A8" s="3" t="s">
        <v>908</v>
      </c>
      <c r="B8" s="3" t="s">
        <v>39</v>
      </c>
      <c r="C8" s="3" t="s">
        <v>909</v>
      </c>
      <c r="D8" s="3" t="s">
        <v>912</v>
      </c>
      <c r="E8" s="3" t="s">
        <v>16</v>
      </c>
      <c r="F8" s="3" t="s">
        <v>913</v>
      </c>
      <c r="G8" s="3"/>
      <c r="H8" s="3"/>
    </row>
    <row r="9" spans="1:8" x14ac:dyDescent="0.35">
      <c r="A9" s="3" t="s">
        <v>908</v>
      </c>
      <c r="B9" s="3" t="s">
        <v>39</v>
      </c>
      <c r="C9" s="3" t="s">
        <v>909</v>
      </c>
      <c r="D9" s="3" t="s">
        <v>15</v>
      </c>
      <c r="E9" s="3" t="s">
        <v>16</v>
      </c>
      <c r="F9" s="3" t="s">
        <v>910</v>
      </c>
      <c r="G9" s="3"/>
      <c r="H9" s="3"/>
    </row>
    <row r="10" spans="1:8" x14ac:dyDescent="0.35">
      <c r="A10" s="3" t="s">
        <v>908</v>
      </c>
      <c r="B10" s="3" t="s">
        <v>39</v>
      </c>
      <c r="C10" s="3" t="s">
        <v>909</v>
      </c>
      <c r="D10" s="3" t="s">
        <v>56</v>
      </c>
      <c r="E10" s="3" t="s">
        <v>16</v>
      </c>
      <c r="F10" s="3" t="s">
        <v>910</v>
      </c>
      <c r="G10" s="3"/>
      <c r="H10" s="3"/>
    </row>
    <row r="11" spans="1:8" x14ac:dyDescent="0.35">
      <c r="A11" s="3" t="s">
        <v>908</v>
      </c>
      <c r="B11" s="3" t="s">
        <v>39</v>
      </c>
      <c r="C11" s="3" t="s">
        <v>909</v>
      </c>
      <c r="D11" s="3" t="s">
        <v>32</v>
      </c>
      <c r="E11" s="3"/>
      <c r="F11" s="3" t="s">
        <v>2313</v>
      </c>
      <c r="G11" s="3"/>
      <c r="H11" s="3"/>
    </row>
    <row r="12" spans="1:8" x14ac:dyDescent="0.35">
      <c r="A12" s="3" t="s">
        <v>908</v>
      </c>
      <c r="B12" s="3" t="s">
        <v>39</v>
      </c>
      <c r="C12" s="3" t="s">
        <v>909</v>
      </c>
      <c r="D12" s="3" t="s">
        <v>29</v>
      </c>
      <c r="E12" s="3"/>
      <c r="F12" s="3" t="s">
        <v>2314</v>
      </c>
      <c r="G12" s="3"/>
      <c r="H12" s="3"/>
    </row>
    <row r="13" spans="1:8" x14ac:dyDescent="0.35">
      <c r="A13" s="3" t="s">
        <v>908</v>
      </c>
      <c r="B13" s="3" t="s">
        <v>39</v>
      </c>
      <c r="C13" s="3" t="s">
        <v>909</v>
      </c>
      <c r="D13" s="3" t="s">
        <v>24</v>
      </c>
      <c r="E13" s="3"/>
      <c r="F13" s="3"/>
      <c r="G13" s="3"/>
      <c r="H13" s="3"/>
    </row>
    <row r="14" spans="1:8" x14ac:dyDescent="0.35">
      <c r="A14" s="3" t="s">
        <v>914</v>
      </c>
      <c r="B14" s="3" t="s">
        <v>45</v>
      </c>
      <c r="C14" s="3" t="s">
        <v>915</v>
      </c>
      <c r="D14" s="3" t="s">
        <v>56</v>
      </c>
      <c r="E14" s="3"/>
      <c r="F14" s="3"/>
      <c r="G14" s="3"/>
      <c r="H14" s="3"/>
    </row>
    <row r="15" spans="1:8" x14ac:dyDescent="0.35">
      <c r="A15" s="3" t="s">
        <v>914</v>
      </c>
      <c r="B15" s="3" t="s">
        <v>20</v>
      </c>
      <c r="C15" s="3" t="s">
        <v>916</v>
      </c>
      <c r="D15" s="3" t="s">
        <v>36</v>
      </c>
      <c r="E15" s="3" t="s">
        <v>33</v>
      </c>
      <c r="F15" s="3" t="s">
        <v>34</v>
      </c>
      <c r="G15" s="3"/>
      <c r="H15" s="3"/>
    </row>
    <row r="16" spans="1:8" x14ac:dyDescent="0.35">
      <c r="A16" s="3" t="s">
        <v>914</v>
      </c>
      <c r="B16" s="3" t="s">
        <v>20</v>
      </c>
      <c r="C16" s="3" t="s">
        <v>916</v>
      </c>
      <c r="D16" s="3" t="s">
        <v>15</v>
      </c>
      <c r="E16" s="3"/>
      <c r="F16" s="3"/>
      <c r="G16" s="3"/>
      <c r="H16" s="3"/>
    </row>
    <row r="17" spans="1:8" x14ac:dyDescent="0.35">
      <c r="A17" s="3" t="s">
        <v>914</v>
      </c>
      <c r="B17" s="3" t="s">
        <v>20</v>
      </c>
      <c r="C17" s="3" t="s">
        <v>917</v>
      </c>
      <c r="D17" s="3" t="s">
        <v>918</v>
      </c>
      <c r="E17" s="3"/>
      <c r="F17" s="3"/>
      <c r="G17" s="3"/>
      <c r="H17" s="3"/>
    </row>
    <row r="18" spans="1:8" x14ac:dyDescent="0.35">
      <c r="A18" s="3" t="s">
        <v>914</v>
      </c>
      <c r="B18" s="3" t="s">
        <v>20</v>
      </c>
      <c r="C18" s="3" t="s">
        <v>917</v>
      </c>
      <c r="D18" s="3" t="s">
        <v>60</v>
      </c>
      <c r="E18" s="3" t="s">
        <v>16</v>
      </c>
      <c r="F18" s="3" t="s">
        <v>919</v>
      </c>
      <c r="G18" s="3"/>
      <c r="H18" s="3"/>
    </row>
    <row r="19" spans="1:8" x14ac:dyDescent="0.35">
      <c r="A19" s="3" t="s">
        <v>914</v>
      </c>
      <c r="B19" s="3" t="s">
        <v>20</v>
      </c>
      <c r="C19" s="3" t="s">
        <v>917</v>
      </c>
      <c r="D19" s="3" t="s">
        <v>27</v>
      </c>
      <c r="E19" s="3"/>
      <c r="F19" s="3" t="s">
        <v>2287</v>
      </c>
      <c r="G19" s="3"/>
      <c r="H19" s="3"/>
    </row>
    <row r="20" spans="1:8" x14ac:dyDescent="0.35">
      <c r="A20" s="3" t="s">
        <v>914</v>
      </c>
      <c r="B20" s="3" t="s">
        <v>20</v>
      </c>
      <c r="C20" s="3" t="s">
        <v>917</v>
      </c>
      <c r="D20" s="3" t="s">
        <v>77</v>
      </c>
      <c r="E20" s="3"/>
      <c r="F20" s="3"/>
      <c r="G20" s="3"/>
      <c r="H20" s="3"/>
    </row>
    <row r="21" spans="1:8" x14ac:dyDescent="0.35">
      <c r="A21" s="3" t="s">
        <v>914</v>
      </c>
      <c r="B21" s="3" t="s">
        <v>20</v>
      </c>
      <c r="C21" s="3" t="s">
        <v>917</v>
      </c>
      <c r="D21" s="3" t="s">
        <v>28</v>
      </c>
      <c r="E21" s="3"/>
      <c r="F21" s="3" t="s">
        <v>2288</v>
      </c>
      <c r="G21" s="3"/>
      <c r="H21" s="3"/>
    </row>
    <row r="22" spans="1:8" x14ac:dyDescent="0.35">
      <c r="A22" s="3" t="s">
        <v>914</v>
      </c>
      <c r="B22" s="3" t="s">
        <v>20</v>
      </c>
      <c r="C22" s="3" t="s">
        <v>917</v>
      </c>
      <c r="D22" s="3" t="s">
        <v>242</v>
      </c>
      <c r="E22" s="3"/>
      <c r="F22" s="3"/>
      <c r="G22" s="3"/>
      <c r="H22" s="3"/>
    </row>
    <row r="23" spans="1:8" x14ac:dyDescent="0.35">
      <c r="A23" s="3" t="s">
        <v>914</v>
      </c>
      <c r="B23" s="3" t="s">
        <v>20</v>
      </c>
      <c r="C23" s="3" t="s">
        <v>917</v>
      </c>
      <c r="D23" s="3" t="s">
        <v>15</v>
      </c>
      <c r="E23" s="3"/>
      <c r="F23" s="3"/>
      <c r="G23" s="3"/>
      <c r="H23" s="3"/>
    </row>
    <row r="24" spans="1:8" x14ac:dyDescent="0.35">
      <c r="A24" s="3" t="s">
        <v>914</v>
      </c>
      <c r="B24" s="3" t="s">
        <v>20</v>
      </c>
      <c r="C24" s="3" t="s">
        <v>917</v>
      </c>
      <c r="D24" s="3" t="s">
        <v>56</v>
      </c>
      <c r="E24" s="3"/>
      <c r="F24" s="3" t="s">
        <v>2289</v>
      </c>
      <c r="G24" s="3"/>
      <c r="H24" s="3"/>
    </row>
    <row r="25" spans="1:8" x14ac:dyDescent="0.35">
      <c r="A25" s="3" t="s">
        <v>914</v>
      </c>
      <c r="B25" s="3" t="s">
        <v>20</v>
      </c>
      <c r="C25" s="3" t="s">
        <v>917</v>
      </c>
      <c r="D25" s="3" t="s">
        <v>32</v>
      </c>
      <c r="E25" s="3"/>
      <c r="F25" s="3"/>
      <c r="G25" s="3"/>
      <c r="H25" s="3"/>
    </row>
    <row r="26" spans="1:8" x14ac:dyDescent="0.35">
      <c r="A26" s="3" t="s">
        <v>914</v>
      </c>
      <c r="B26" s="3" t="s">
        <v>20</v>
      </c>
      <c r="C26" s="3" t="s">
        <v>917</v>
      </c>
      <c r="D26" s="3" t="s">
        <v>24</v>
      </c>
      <c r="E26" s="3"/>
      <c r="F26" s="3"/>
      <c r="G26" s="3"/>
      <c r="H26" s="3"/>
    </row>
    <row r="27" spans="1:8" x14ac:dyDescent="0.35">
      <c r="A27" s="3" t="s">
        <v>914</v>
      </c>
      <c r="B27" s="3" t="s">
        <v>20</v>
      </c>
      <c r="C27" s="3" t="s">
        <v>917</v>
      </c>
      <c r="D27" s="3" t="s">
        <v>191</v>
      </c>
      <c r="E27" s="3" t="s">
        <v>16</v>
      </c>
      <c r="F27" s="3" t="s">
        <v>920</v>
      </c>
      <c r="G27" s="3"/>
      <c r="H27" s="3"/>
    </row>
    <row r="28" spans="1:8" x14ac:dyDescent="0.35">
      <c r="A28" s="3" t="s">
        <v>914</v>
      </c>
      <c r="B28" s="3" t="s">
        <v>45</v>
      </c>
      <c r="C28" s="3" t="s">
        <v>921</v>
      </c>
      <c r="D28" s="3" t="s">
        <v>56</v>
      </c>
      <c r="E28" s="3"/>
      <c r="F28" s="3"/>
      <c r="G28" s="3"/>
      <c r="H28" s="3"/>
    </row>
    <row r="29" spans="1:8" x14ac:dyDescent="0.35">
      <c r="A29" s="3" t="s">
        <v>914</v>
      </c>
      <c r="B29" s="3" t="s">
        <v>20</v>
      </c>
      <c r="C29" s="3" t="s">
        <v>922</v>
      </c>
      <c r="D29" s="3" t="s">
        <v>918</v>
      </c>
      <c r="E29" s="3"/>
      <c r="F29" s="3"/>
      <c r="G29" s="3"/>
      <c r="H29" s="3"/>
    </row>
    <row r="30" spans="1:8" x14ac:dyDescent="0.35">
      <c r="A30" s="3" t="s">
        <v>914</v>
      </c>
      <c r="B30" s="3" t="s">
        <v>20</v>
      </c>
      <c r="C30" s="3" t="s">
        <v>922</v>
      </c>
      <c r="D30" s="3" t="s">
        <v>25</v>
      </c>
      <c r="E30" s="3"/>
      <c r="F30" s="3"/>
      <c r="G30" s="3" t="s">
        <v>13</v>
      </c>
      <c r="H30" s="3" t="s">
        <v>69</v>
      </c>
    </row>
    <row r="31" spans="1:8" x14ac:dyDescent="0.35">
      <c r="A31" s="3" t="s">
        <v>914</v>
      </c>
      <c r="B31" s="3" t="s">
        <v>20</v>
      </c>
      <c r="C31" s="3" t="s">
        <v>922</v>
      </c>
      <c r="D31" s="3" t="s">
        <v>77</v>
      </c>
      <c r="E31" s="3"/>
      <c r="F31" s="3"/>
      <c r="G31" s="3"/>
      <c r="H31" s="3"/>
    </row>
    <row r="32" spans="1:8" x14ac:dyDescent="0.35">
      <c r="A32" s="3" t="s">
        <v>914</v>
      </c>
      <c r="B32" s="3" t="s">
        <v>20</v>
      </c>
      <c r="C32" s="3" t="s">
        <v>922</v>
      </c>
      <c r="D32" s="3" t="s">
        <v>28</v>
      </c>
      <c r="E32" s="3"/>
      <c r="F32" s="3" t="s">
        <v>2288</v>
      </c>
      <c r="G32" s="3"/>
      <c r="H32" s="3"/>
    </row>
    <row r="33" spans="1:8" x14ac:dyDescent="0.35">
      <c r="A33" s="3" t="s">
        <v>914</v>
      </c>
      <c r="B33" s="3" t="s">
        <v>20</v>
      </c>
      <c r="C33" s="3" t="s">
        <v>922</v>
      </c>
      <c r="D33" s="3" t="s">
        <v>87</v>
      </c>
      <c r="E33" s="3"/>
      <c r="F33" s="3"/>
      <c r="G33" s="3" t="s">
        <v>13</v>
      </c>
      <c r="H33" s="3" t="s">
        <v>69</v>
      </c>
    </row>
    <row r="34" spans="1:8" x14ac:dyDescent="0.35">
      <c r="A34" s="3" t="s">
        <v>914</v>
      </c>
      <c r="B34" s="3" t="s">
        <v>20</v>
      </c>
      <c r="C34" s="3" t="s">
        <v>922</v>
      </c>
      <c r="D34" s="3" t="s">
        <v>15</v>
      </c>
      <c r="E34" s="3"/>
      <c r="F34" s="3"/>
      <c r="G34" s="3"/>
      <c r="H34" s="3"/>
    </row>
    <row r="35" spans="1:8" x14ac:dyDescent="0.35">
      <c r="A35" s="3" t="s">
        <v>914</v>
      </c>
      <c r="B35" s="3" t="s">
        <v>20</v>
      </c>
      <c r="C35" s="3" t="s">
        <v>922</v>
      </c>
      <c r="D35" s="3" t="s">
        <v>56</v>
      </c>
      <c r="E35" s="3"/>
      <c r="F35" s="3"/>
      <c r="G35" s="3"/>
      <c r="H35" s="3"/>
    </row>
    <row r="36" spans="1:8" x14ac:dyDescent="0.35">
      <c r="A36" s="3" t="s">
        <v>914</v>
      </c>
      <c r="B36" s="3" t="s">
        <v>20</v>
      </c>
      <c r="C36" s="3" t="s">
        <v>922</v>
      </c>
      <c r="D36" s="3" t="s">
        <v>191</v>
      </c>
      <c r="E36" s="3"/>
      <c r="F36" s="3"/>
      <c r="G36" s="3" t="s">
        <v>13</v>
      </c>
      <c r="H36" s="3" t="s">
        <v>69</v>
      </c>
    </row>
    <row r="37" spans="1:8" x14ac:dyDescent="0.35">
      <c r="A37" s="3" t="s">
        <v>914</v>
      </c>
      <c r="B37" s="3" t="s">
        <v>42</v>
      </c>
      <c r="C37" s="3" t="s">
        <v>923</v>
      </c>
      <c r="D37" s="3" t="s">
        <v>25</v>
      </c>
      <c r="E37" s="3"/>
      <c r="F37" s="3"/>
      <c r="G37" s="3"/>
      <c r="H37" s="3"/>
    </row>
    <row r="38" spans="1:8" x14ac:dyDescent="0.35">
      <c r="A38" s="3" t="s">
        <v>914</v>
      </c>
      <c r="B38" s="3" t="s">
        <v>42</v>
      </c>
      <c r="C38" s="3" t="s">
        <v>923</v>
      </c>
      <c r="D38" s="3" t="s">
        <v>141</v>
      </c>
      <c r="E38" s="3"/>
      <c r="F38" s="3"/>
      <c r="G38" s="3"/>
      <c r="H38" s="3"/>
    </row>
    <row r="39" spans="1:8" x14ac:dyDescent="0.35">
      <c r="A39" s="3" t="s">
        <v>914</v>
      </c>
      <c r="B39" s="3" t="s">
        <v>42</v>
      </c>
      <c r="C39" s="3" t="s">
        <v>923</v>
      </c>
      <c r="D39" s="3" t="s">
        <v>56</v>
      </c>
      <c r="E39" s="3"/>
      <c r="F39" s="3"/>
      <c r="G39" s="3"/>
      <c r="H39" s="3"/>
    </row>
    <row r="40" spans="1:8" x14ac:dyDescent="0.35">
      <c r="A40" s="3" t="s">
        <v>914</v>
      </c>
      <c r="B40" s="3" t="s">
        <v>42</v>
      </c>
      <c r="C40" s="3" t="s">
        <v>923</v>
      </c>
      <c r="D40" s="3" t="s">
        <v>32</v>
      </c>
      <c r="E40" s="3"/>
      <c r="F40" s="3"/>
      <c r="G40" s="3"/>
      <c r="H40" s="3"/>
    </row>
    <row r="41" spans="1:8" x14ac:dyDescent="0.35">
      <c r="A41" s="3" t="s">
        <v>914</v>
      </c>
      <c r="B41" s="3" t="s">
        <v>42</v>
      </c>
      <c r="C41" s="3" t="s">
        <v>923</v>
      </c>
      <c r="D41" s="3" t="s">
        <v>82</v>
      </c>
      <c r="E41" s="3"/>
      <c r="F41" s="3"/>
      <c r="G41" s="3"/>
      <c r="H41" s="3"/>
    </row>
    <row r="42" spans="1:8" x14ac:dyDescent="0.35">
      <c r="A42" s="3" t="s">
        <v>914</v>
      </c>
      <c r="B42" s="3" t="s">
        <v>20</v>
      </c>
      <c r="C42" s="3" t="s">
        <v>924</v>
      </c>
      <c r="D42" s="3" t="s">
        <v>36</v>
      </c>
      <c r="E42" s="3" t="s">
        <v>33</v>
      </c>
      <c r="F42" s="3" t="s">
        <v>34</v>
      </c>
      <c r="G42" s="3"/>
      <c r="H42" s="3"/>
    </row>
    <row r="43" spans="1:8" x14ac:dyDescent="0.35">
      <c r="A43" s="3" t="s">
        <v>914</v>
      </c>
      <c r="B43" s="3" t="s">
        <v>20</v>
      </c>
      <c r="C43" s="3" t="s">
        <v>924</v>
      </c>
      <c r="D43" s="3" t="s">
        <v>25</v>
      </c>
      <c r="E43" s="3"/>
      <c r="F43" s="3"/>
      <c r="G43" s="3"/>
      <c r="H43" s="3"/>
    </row>
    <row r="44" spans="1:8" x14ac:dyDescent="0.35">
      <c r="A44" s="3" t="s">
        <v>914</v>
      </c>
      <c r="B44" s="3" t="s">
        <v>20</v>
      </c>
      <c r="C44" s="3" t="s">
        <v>924</v>
      </c>
      <c r="D44" s="3" t="s">
        <v>60</v>
      </c>
      <c r="E44" s="3"/>
      <c r="F44" s="3"/>
      <c r="G44" s="3"/>
      <c r="H44" s="3"/>
    </row>
    <row r="45" spans="1:8" x14ac:dyDescent="0.35">
      <c r="A45" s="3" t="s">
        <v>914</v>
      </c>
      <c r="B45" s="3" t="s">
        <v>20</v>
      </c>
      <c r="C45" s="3" t="s">
        <v>924</v>
      </c>
      <c r="D45" s="3" t="s">
        <v>27</v>
      </c>
      <c r="E45" s="3"/>
      <c r="F45" s="3"/>
      <c r="G45" s="3"/>
      <c r="H45" s="3"/>
    </row>
    <row r="46" spans="1:8" x14ac:dyDescent="0.35">
      <c r="A46" s="3" t="s">
        <v>914</v>
      </c>
      <c r="B46" s="3" t="s">
        <v>20</v>
      </c>
      <c r="C46" s="3" t="s">
        <v>924</v>
      </c>
      <c r="D46" s="3" t="s">
        <v>28</v>
      </c>
      <c r="E46" s="3"/>
      <c r="F46" s="3" t="s">
        <v>2414</v>
      </c>
      <c r="G46" s="3"/>
      <c r="H46" s="3"/>
    </row>
    <row r="47" spans="1:8" x14ac:dyDescent="0.35">
      <c r="A47" s="3" t="s">
        <v>914</v>
      </c>
      <c r="B47" s="3" t="s">
        <v>20</v>
      </c>
      <c r="C47" s="3" t="s">
        <v>924</v>
      </c>
      <c r="D47" s="3" t="s">
        <v>87</v>
      </c>
      <c r="E47" s="3"/>
      <c r="F47" s="3"/>
      <c r="G47" s="3"/>
      <c r="H47" s="3"/>
    </row>
    <row r="48" spans="1:8" x14ac:dyDescent="0.35">
      <c r="A48" s="3" t="s">
        <v>914</v>
      </c>
      <c r="B48" s="3" t="s">
        <v>20</v>
      </c>
      <c r="C48" s="3" t="s">
        <v>924</v>
      </c>
      <c r="D48" s="3" t="s">
        <v>15</v>
      </c>
      <c r="E48" s="3"/>
      <c r="F48" s="3"/>
      <c r="G48" s="3"/>
      <c r="H48" s="3"/>
    </row>
    <row r="49" spans="1:8" x14ac:dyDescent="0.35">
      <c r="A49" s="3" t="s">
        <v>914</v>
      </c>
      <c r="B49" s="3" t="s">
        <v>20</v>
      </c>
      <c r="C49" s="3" t="s">
        <v>924</v>
      </c>
      <c r="D49" s="3" t="s">
        <v>56</v>
      </c>
      <c r="E49" s="3"/>
      <c r="F49" s="3"/>
      <c r="G49" s="3"/>
      <c r="H49" s="3"/>
    </row>
    <row r="50" spans="1:8" x14ac:dyDescent="0.35">
      <c r="A50" s="3" t="s">
        <v>914</v>
      </c>
      <c r="B50" s="3" t="s">
        <v>20</v>
      </c>
      <c r="C50" s="3" t="s">
        <v>924</v>
      </c>
      <c r="D50" s="3" t="s">
        <v>32</v>
      </c>
      <c r="E50" s="3"/>
      <c r="F50" s="3" t="s">
        <v>2293</v>
      </c>
      <c r="G50" s="3"/>
      <c r="H50" s="3"/>
    </row>
    <row r="51" spans="1:8" x14ac:dyDescent="0.35">
      <c r="A51" s="3" t="s">
        <v>914</v>
      </c>
      <c r="B51" s="3" t="s">
        <v>20</v>
      </c>
      <c r="C51" s="3" t="s">
        <v>924</v>
      </c>
      <c r="D51" s="3" t="s">
        <v>134</v>
      </c>
      <c r="E51" s="3"/>
      <c r="F51" s="3"/>
      <c r="G51" s="3"/>
      <c r="H51" s="3"/>
    </row>
    <row r="52" spans="1:8" x14ac:dyDescent="0.35">
      <c r="A52" s="3" t="s">
        <v>914</v>
      </c>
      <c r="B52" s="3" t="s">
        <v>20</v>
      </c>
      <c r="C52" s="3" t="s">
        <v>925</v>
      </c>
      <c r="D52" s="3" t="s">
        <v>918</v>
      </c>
      <c r="E52" s="3"/>
      <c r="F52" s="3"/>
      <c r="G52" s="3"/>
      <c r="H52" s="3"/>
    </row>
    <row r="53" spans="1:8" x14ac:dyDescent="0.35">
      <c r="A53" s="3" t="s">
        <v>914</v>
      </c>
      <c r="B53" s="3" t="s">
        <v>20</v>
      </c>
      <c r="C53" s="3" t="s">
        <v>925</v>
      </c>
      <c r="D53" s="3" t="s">
        <v>60</v>
      </c>
      <c r="E53" s="3" t="s">
        <v>16</v>
      </c>
      <c r="F53" s="3" t="s">
        <v>926</v>
      </c>
      <c r="G53" s="3"/>
      <c r="H53" s="3"/>
    </row>
    <row r="54" spans="1:8" x14ac:dyDescent="0.35">
      <c r="A54" s="3" t="s">
        <v>914</v>
      </c>
      <c r="B54" s="3" t="s">
        <v>20</v>
      </c>
      <c r="C54" s="3" t="s">
        <v>925</v>
      </c>
      <c r="D54" s="3" t="s">
        <v>27</v>
      </c>
      <c r="E54" s="3"/>
      <c r="F54" s="3" t="s">
        <v>2287</v>
      </c>
      <c r="G54" s="3"/>
      <c r="H54" s="3"/>
    </row>
    <row r="55" spans="1:8" x14ac:dyDescent="0.35">
      <c r="A55" s="3" t="s">
        <v>914</v>
      </c>
      <c r="B55" s="3" t="s">
        <v>20</v>
      </c>
      <c r="C55" s="3" t="s">
        <v>925</v>
      </c>
      <c r="D55" s="3" t="s">
        <v>77</v>
      </c>
      <c r="E55" s="3"/>
      <c r="F55" s="3"/>
      <c r="G55" s="3"/>
      <c r="H55" s="3"/>
    </row>
    <row r="56" spans="1:8" x14ac:dyDescent="0.35">
      <c r="A56" s="3" t="s">
        <v>914</v>
      </c>
      <c r="B56" s="3" t="s">
        <v>20</v>
      </c>
      <c r="C56" s="3" t="s">
        <v>925</v>
      </c>
      <c r="D56" s="3" t="s">
        <v>28</v>
      </c>
      <c r="E56" s="3"/>
      <c r="F56" s="3" t="s">
        <v>2288</v>
      </c>
      <c r="G56" s="3"/>
      <c r="H56" s="3"/>
    </row>
    <row r="57" spans="1:8" x14ac:dyDescent="0.35">
      <c r="A57" s="3" t="s">
        <v>914</v>
      </c>
      <c r="B57" s="3" t="s">
        <v>20</v>
      </c>
      <c r="C57" s="3" t="s">
        <v>925</v>
      </c>
      <c r="D57" s="3" t="s">
        <v>242</v>
      </c>
      <c r="E57" s="3"/>
      <c r="F57" s="3"/>
      <c r="G57" s="3"/>
      <c r="H57" s="3"/>
    </row>
    <row r="58" spans="1:8" x14ac:dyDescent="0.35">
      <c r="A58" s="3" t="s">
        <v>914</v>
      </c>
      <c r="B58" s="3" t="s">
        <v>20</v>
      </c>
      <c r="C58" s="3" t="s">
        <v>925</v>
      </c>
      <c r="D58" s="3" t="s">
        <v>15</v>
      </c>
      <c r="E58" s="3"/>
      <c r="F58" s="3"/>
      <c r="G58" s="3"/>
      <c r="H58" s="3"/>
    </row>
    <row r="59" spans="1:8" x14ac:dyDescent="0.35">
      <c r="A59" s="3" t="s">
        <v>914</v>
      </c>
      <c r="B59" s="3" t="s">
        <v>20</v>
      </c>
      <c r="C59" s="3" t="s">
        <v>925</v>
      </c>
      <c r="D59" s="3" t="s">
        <v>56</v>
      </c>
      <c r="E59" s="3"/>
      <c r="F59" s="3"/>
      <c r="G59" s="3"/>
      <c r="H59" s="3"/>
    </row>
    <row r="60" spans="1:8" x14ac:dyDescent="0.35">
      <c r="A60" s="3" t="s">
        <v>914</v>
      </c>
      <c r="B60" s="3" t="s">
        <v>20</v>
      </c>
      <c r="C60" s="3" t="s">
        <v>925</v>
      </c>
      <c r="D60" s="3" t="s">
        <v>24</v>
      </c>
      <c r="E60" s="3"/>
      <c r="F60" s="3"/>
      <c r="G60" s="3"/>
      <c r="H60" s="3"/>
    </row>
    <row r="61" spans="1:8" x14ac:dyDescent="0.35">
      <c r="A61" s="3" t="s">
        <v>914</v>
      </c>
      <c r="B61" s="3" t="s">
        <v>20</v>
      </c>
      <c r="C61" s="3" t="s">
        <v>925</v>
      </c>
      <c r="D61" s="3" t="s">
        <v>191</v>
      </c>
      <c r="E61" s="3"/>
      <c r="F61" s="3"/>
      <c r="G61" s="3"/>
      <c r="H61" s="3"/>
    </row>
    <row r="62" spans="1:8" x14ac:dyDescent="0.35">
      <c r="A62" s="3" t="s">
        <v>914</v>
      </c>
      <c r="B62" s="3" t="s">
        <v>45</v>
      </c>
      <c r="C62" s="3" t="s">
        <v>927</v>
      </c>
      <c r="D62" s="3" t="s">
        <v>15</v>
      </c>
      <c r="E62" s="3" t="s">
        <v>33</v>
      </c>
      <c r="F62" s="3" t="s">
        <v>928</v>
      </c>
      <c r="G62" s="3"/>
      <c r="H62" s="3"/>
    </row>
    <row r="63" spans="1:8" x14ac:dyDescent="0.35">
      <c r="A63" s="3" t="s">
        <v>914</v>
      </c>
      <c r="B63" s="3" t="s">
        <v>45</v>
      </c>
      <c r="C63" s="3" t="s">
        <v>927</v>
      </c>
      <c r="D63" s="3" t="s">
        <v>56</v>
      </c>
      <c r="E63" s="3"/>
      <c r="F63" s="3" t="s">
        <v>2318</v>
      </c>
      <c r="G63" s="3"/>
      <c r="H63" s="3"/>
    </row>
    <row r="64" spans="1:8" x14ac:dyDescent="0.35">
      <c r="A64" s="3" t="s">
        <v>914</v>
      </c>
      <c r="B64" s="3" t="s">
        <v>45</v>
      </c>
      <c r="C64" s="3" t="s">
        <v>929</v>
      </c>
      <c r="D64" s="3" t="s">
        <v>15</v>
      </c>
      <c r="E64" s="3"/>
      <c r="F64" s="3"/>
      <c r="G64" s="3"/>
      <c r="H64" s="3"/>
    </row>
    <row r="65" spans="1:8" x14ac:dyDescent="0.35">
      <c r="A65" s="3" t="s">
        <v>914</v>
      </c>
      <c r="B65" s="3" t="s">
        <v>45</v>
      </c>
      <c r="C65" s="3" t="s">
        <v>929</v>
      </c>
      <c r="D65" s="3" t="s">
        <v>56</v>
      </c>
      <c r="E65" s="3"/>
      <c r="F65" s="3" t="s">
        <v>2318</v>
      </c>
      <c r="G65" s="3"/>
      <c r="H65" s="3"/>
    </row>
    <row r="66" spans="1:8" x14ac:dyDescent="0.35">
      <c r="A66" s="3" t="s">
        <v>914</v>
      </c>
      <c r="B66" s="3" t="s">
        <v>20</v>
      </c>
      <c r="C66" s="3" t="s">
        <v>930</v>
      </c>
      <c r="D66" s="3" t="s">
        <v>36</v>
      </c>
      <c r="E66" s="3"/>
      <c r="F66" s="3"/>
      <c r="G66" s="3"/>
      <c r="H66" s="3"/>
    </row>
    <row r="67" spans="1:8" x14ac:dyDescent="0.35">
      <c r="A67" s="3" t="s">
        <v>914</v>
      </c>
      <c r="B67" s="3" t="s">
        <v>20</v>
      </c>
      <c r="C67" s="3" t="s">
        <v>930</v>
      </c>
      <c r="D67" s="3" t="s">
        <v>25</v>
      </c>
      <c r="E67" s="3"/>
      <c r="F67" s="3"/>
      <c r="G67" s="3"/>
      <c r="H67" s="3"/>
    </row>
    <row r="68" spans="1:8" x14ac:dyDescent="0.35">
      <c r="A68" s="3" t="s">
        <v>914</v>
      </c>
      <c r="B68" s="3" t="s">
        <v>20</v>
      </c>
      <c r="C68" s="3" t="s">
        <v>930</v>
      </c>
      <c r="D68" s="3" t="s">
        <v>27</v>
      </c>
      <c r="E68" s="3"/>
      <c r="F68" s="3" t="s">
        <v>2317</v>
      </c>
      <c r="G68" s="3"/>
      <c r="H68" s="3"/>
    </row>
    <row r="69" spans="1:8" x14ac:dyDescent="0.35">
      <c r="A69" s="3" t="s">
        <v>914</v>
      </c>
      <c r="B69" s="3" t="s">
        <v>20</v>
      </c>
      <c r="C69" s="3" t="s">
        <v>930</v>
      </c>
      <c r="D69" s="3" t="s">
        <v>15</v>
      </c>
      <c r="E69" s="3" t="s">
        <v>16</v>
      </c>
      <c r="F69" s="3" t="s">
        <v>2858</v>
      </c>
      <c r="G69" s="3"/>
      <c r="H69" s="3"/>
    </row>
    <row r="70" spans="1:8" x14ac:dyDescent="0.35">
      <c r="A70" s="3" t="s">
        <v>914</v>
      </c>
      <c r="B70" s="3" t="s">
        <v>10</v>
      </c>
      <c r="C70" s="3" t="s">
        <v>2920</v>
      </c>
      <c r="D70" s="3" t="s">
        <v>12</v>
      </c>
      <c r="E70" s="3"/>
      <c r="F70" s="3"/>
      <c r="G70" s="3"/>
      <c r="H70" s="3"/>
    </row>
    <row r="71" spans="1:8" x14ac:dyDescent="0.35">
      <c r="A71" s="3" t="s">
        <v>914</v>
      </c>
      <c r="B71" s="3" t="s">
        <v>10</v>
      </c>
      <c r="C71" s="3" t="s">
        <v>2920</v>
      </c>
      <c r="D71" s="3" t="s">
        <v>141</v>
      </c>
      <c r="E71" s="3"/>
      <c r="F71" s="3"/>
      <c r="G71" s="3"/>
      <c r="H71" s="3"/>
    </row>
    <row r="72" spans="1:8" x14ac:dyDescent="0.35">
      <c r="A72" s="3" t="s">
        <v>914</v>
      </c>
      <c r="B72" s="3" t="s">
        <v>10</v>
      </c>
      <c r="C72" s="3" t="s">
        <v>2920</v>
      </c>
      <c r="D72" s="3" t="s">
        <v>87</v>
      </c>
      <c r="E72" s="3"/>
      <c r="F72" s="3"/>
      <c r="G72" s="3"/>
      <c r="H72" s="3"/>
    </row>
    <row r="73" spans="1:8" x14ac:dyDescent="0.35">
      <c r="A73" s="3" t="s">
        <v>914</v>
      </c>
      <c r="B73" s="3" t="s">
        <v>10</v>
      </c>
      <c r="C73" s="3" t="s">
        <v>2920</v>
      </c>
      <c r="D73" s="3" t="s">
        <v>15</v>
      </c>
      <c r="E73" s="3" t="s">
        <v>16</v>
      </c>
      <c r="F73" s="3" t="s">
        <v>2858</v>
      </c>
      <c r="G73" s="3"/>
      <c r="H73" s="3"/>
    </row>
    <row r="74" spans="1:8" x14ac:dyDescent="0.35">
      <c r="A74" s="3" t="s">
        <v>914</v>
      </c>
      <c r="B74" s="3" t="s">
        <v>10</v>
      </c>
      <c r="C74" s="3" t="s">
        <v>2920</v>
      </c>
      <c r="D74" s="3" t="s">
        <v>29</v>
      </c>
      <c r="E74" s="3"/>
      <c r="F74" s="3"/>
      <c r="G74" s="3"/>
      <c r="H74" s="3"/>
    </row>
    <row r="75" spans="1:8" x14ac:dyDescent="0.35">
      <c r="A75" s="3" t="s">
        <v>914</v>
      </c>
      <c r="B75" s="3" t="s">
        <v>39</v>
      </c>
      <c r="C75" s="3" t="s">
        <v>2778</v>
      </c>
      <c r="D75" s="3" t="s">
        <v>25</v>
      </c>
      <c r="E75" s="3" t="s">
        <v>16</v>
      </c>
      <c r="F75" s="3" t="s">
        <v>2779</v>
      </c>
      <c r="G75" s="3"/>
      <c r="H75" s="3"/>
    </row>
    <row r="76" spans="1:8" x14ac:dyDescent="0.35">
      <c r="A76" s="3" t="s">
        <v>914</v>
      </c>
      <c r="B76" s="3" t="s">
        <v>39</v>
      </c>
      <c r="C76" s="3" t="s">
        <v>2778</v>
      </c>
      <c r="D76" s="3" t="s">
        <v>15</v>
      </c>
      <c r="E76" s="3" t="s">
        <v>16</v>
      </c>
      <c r="F76" s="3" t="s">
        <v>2779</v>
      </c>
      <c r="G76" s="3"/>
      <c r="H76" s="3"/>
    </row>
    <row r="77" spans="1:8" x14ac:dyDescent="0.35">
      <c r="A77" s="3" t="s">
        <v>914</v>
      </c>
      <c r="B77" s="3" t="s">
        <v>39</v>
      </c>
      <c r="C77" s="3" t="s">
        <v>2778</v>
      </c>
      <c r="D77" s="3" t="s">
        <v>56</v>
      </c>
      <c r="E77" s="3" t="s">
        <v>33</v>
      </c>
      <c r="F77" s="3" t="s">
        <v>34</v>
      </c>
      <c r="G77" s="3"/>
      <c r="H77" s="3"/>
    </row>
    <row r="78" spans="1:8" x14ac:dyDescent="0.35">
      <c r="A78" s="3" t="s">
        <v>914</v>
      </c>
      <c r="B78" s="3" t="s">
        <v>10</v>
      </c>
      <c r="C78" s="3" t="s">
        <v>931</v>
      </c>
      <c r="D78" s="3" t="s">
        <v>47</v>
      </c>
      <c r="E78" s="3"/>
      <c r="F78" s="3"/>
      <c r="G78" s="3"/>
      <c r="H78" s="3"/>
    </row>
    <row r="79" spans="1:8" x14ac:dyDescent="0.35">
      <c r="A79" s="3" t="s">
        <v>914</v>
      </c>
      <c r="B79" s="3" t="s">
        <v>10</v>
      </c>
      <c r="C79" s="3" t="s">
        <v>931</v>
      </c>
      <c r="D79" s="3" t="s">
        <v>15</v>
      </c>
      <c r="E79" s="3" t="s">
        <v>16</v>
      </c>
      <c r="F79" s="3" t="s">
        <v>932</v>
      </c>
      <c r="G79" s="3"/>
      <c r="H79" s="3"/>
    </row>
    <row r="80" spans="1:8" x14ac:dyDescent="0.35">
      <c r="A80" s="3" t="s">
        <v>914</v>
      </c>
      <c r="B80" s="3" t="s">
        <v>10</v>
      </c>
      <c r="C80" s="3" t="s">
        <v>931</v>
      </c>
      <c r="D80" s="3" t="s">
        <v>32</v>
      </c>
      <c r="E80" s="3" t="s">
        <v>33</v>
      </c>
      <c r="F80" s="3" t="s">
        <v>34</v>
      </c>
      <c r="G80" s="3"/>
      <c r="H80" s="3"/>
    </row>
    <row r="81" spans="1:8" x14ac:dyDescent="0.35">
      <c r="A81" s="3" t="s">
        <v>914</v>
      </c>
      <c r="B81" s="3" t="s">
        <v>10</v>
      </c>
      <c r="C81" s="3" t="s">
        <v>931</v>
      </c>
      <c r="D81" s="3" t="s">
        <v>134</v>
      </c>
      <c r="E81" s="3"/>
      <c r="F81" s="3"/>
      <c r="G81" s="3"/>
      <c r="H81" s="3"/>
    </row>
    <row r="82" spans="1:8" x14ac:dyDescent="0.35">
      <c r="A82" s="3" t="s">
        <v>914</v>
      </c>
      <c r="B82" s="3" t="s">
        <v>10</v>
      </c>
      <c r="C82" s="3" t="s">
        <v>931</v>
      </c>
      <c r="D82" s="3" t="s">
        <v>107</v>
      </c>
      <c r="E82" s="3"/>
      <c r="F82" s="3"/>
      <c r="G82" s="3"/>
      <c r="H82" s="3"/>
    </row>
    <row r="83" spans="1:8" x14ac:dyDescent="0.35">
      <c r="A83" s="3" t="s">
        <v>914</v>
      </c>
      <c r="B83" s="3" t="s">
        <v>10</v>
      </c>
      <c r="C83" s="3" t="s">
        <v>933</v>
      </c>
      <c r="D83" s="3" t="s">
        <v>47</v>
      </c>
      <c r="E83" s="3"/>
      <c r="F83" s="3"/>
      <c r="G83" s="3"/>
      <c r="H83" s="3"/>
    </row>
    <row r="84" spans="1:8" x14ac:dyDescent="0.35">
      <c r="A84" s="3" t="s">
        <v>914</v>
      </c>
      <c r="B84" s="3" t="s">
        <v>10</v>
      </c>
      <c r="C84" s="3" t="s">
        <v>933</v>
      </c>
      <c r="D84" s="3" t="s">
        <v>15</v>
      </c>
      <c r="E84" s="3"/>
      <c r="F84" s="3"/>
      <c r="G84" s="3"/>
      <c r="H84" s="3"/>
    </row>
    <row r="85" spans="1:8" x14ac:dyDescent="0.35">
      <c r="A85" s="3" t="s">
        <v>914</v>
      </c>
      <c r="B85" s="3" t="s">
        <v>10</v>
      </c>
      <c r="C85" s="3" t="s">
        <v>933</v>
      </c>
      <c r="D85" s="3" t="s">
        <v>32</v>
      </c>
      <c r="E85" s="3"/>
      <c r="F85" s="3" t="s">
        <v>2293</v>
      </c>
      <c r="G85" s="3"/>
      <c r="H85" s="3"/>
    </row>
    <row r="86" spans="1:8" x14ac:dyDescent="0.35">
      <c r="A86" s="3" t="s">
        <v>914</v>
      </c>
      <c r="B86" s="3" t="s">
        <v>10</v>
      </c>
      <c r="C86" s="3" t="s">
        <v>933</v>
      </c>
      <c r="D86" s="3" t="s">
        <v>29</v>
      </c>
      <c r="E86" s="3"/>
      <c r="F86" s="3"/>
      <c r="G86" s="3"/>
      <c r="H86" s="3"/>
    </row>
    <row r="87" spans="1:8" x14ac:dyDescent="0.35">
      <c r="A87" s="3" t="s">
        <v>914</v>
      </c>
      <c r="B87" s="3" t="s">
        <v>10</v>
      </c>
      <c r="C87" s="3" t="s">
        <v>933</v>
      </c>
      <c r="D87" s="3" t="s">
        <v>134</v>
      </c>
      <c r="E87" s="3"/>
      <c r="F87" s="3"/>
      <c r="G87" s="3"/>
      <c r="H87" s="3"/>
    </row>
    <row r="88" spans="1:8" x14ac:dyDescent="0.35">
      <c r="A88" s="3" t="s">
        <v>914</v>
      </c>
      <c r="B88" s="3" t="s">
        <v>10</v>
      </c>
      <c r="C88" s="3" t="s">
        <v>933</v>
      </c>
      <c r="D88" s="3" t="s">
        <v>107</v>
      </c>
      <c r="E88" s="3"/>
      <c r="F88" s="3"/>
      <c r="G88" s="3"/>
      <c r="H88" s="3"/>
    </row>
    <row r="89" spans="1:8" x14ac:dyDescent="0.35">
      <c r="A89" s="3" t="s">
        <v>914</v>
      </c>
      <c r="B89" s="3" t="s">
        <v>45</v>
      </c>
      <c r="C89" s="3" t="s">
        <v>934</v>
      </c>
      <c r="D89" s="3" t="s">
        <v>15</v>
      </c>
      <c r="E89" s="3"/>
      <c r="F89" s="3"/>
      <c r="G89" s="3"/>
      <c r="H89" s="3"/>
    </row>
    <row r="90" spans="1:8" x14ac:dyDescent="0.35">
      <c r="A90" s="3" t="s">
        <v>914</v>
      </c>
      <c r="B90" s="3" t="s">
        <v>45</v>
      </c>
      <c r="C90" s="3" t="s">
        <v>934</v>
      </c>
      <c r="D90" s="3" t="s">
        <v>56</v>
      </c>
      <c r="E90" s="3"/>
      <c r="F90" s="3" t="s">
        <v>2318</v>
      </c>
      <c r="G90" s="3"/>
      <c r="H90" s="3"/>
    </row>
    <row r="91" spans="1:8" x14ac:dyDescent="0.35">
      <c r="A91" s="3" t="s">
        <v>914</v>
      </c>
      <c r="B91" s="3" t="s">
        <v>45</v>
      </c>
      <c r="C91" s="3" t="s">
        <v>935</v>
      </c>
      <c r="D91" s="3" t="s">
        <v>56</v>
      </c>
      <c r="E91" s="3"/>
      <c r="F91" s="3"/>
      <c r="G91" s="3"/>
      <c r="H91" s="3"/>
    </row>
    <row r="92" spans="1:8" x14ac:dyDescent="0.35">
      <c r="A92" s="3" t="s">
        <v>914</v>
      </c>
      <c r="B92" s="3" t="s">
        <v>10</v>
      </c>
      <c r="C92" s="3" t="s">
        <v>936</v>
      </c>
      <c r="D92" s="3" t="s">
        <v>47</v>
      </c>
      <c r="E92" s="3"/>
      <c r="F92" s="3"/>
      <c r="G92" s="3"/>
      <c r="H92" s="3"/>
    </row>
    <row r="93" spans="1:8" x14ac:dyDescent="0.35">
      <c r="A93" s="3" t="s">
        <v>914</v>
      </c>
      <c r="B93" s="3" t="s">
        <v>20</v>
      </c>
      <c r="C93" s="3" t="s">
        <v>937</v>
      </c>
      <c r="D93" s="3" t="s">
        <v>60</v>
      </c>
      <c r="E93" s="3"/>
      <c r="F93" s="3" t="s">
        <v>938</v>
      </c>
      <c r="G93" s="3"/>
      <c r="H93" s="3"/>
    </row>
    <row r="94" spans="1:8" x14ac:dyDescent="0.35">
      <c r="A94" s="3" t="s">
        <v>914</v>
      </c>
      <c r="B94" s="3" t="s">
        <v>20</v>
      </c>
      <c r="C94" s="3" t="s">
        <v>937</v>
      </c>
      <c r="D94" s="3" t="s">
        <v>15</v>
      </c>
      <c r="E94" s="3" t="s">
        <v>16</v>
      </c>
      <c r="F94" s="3" t="s">
        <v>939</v>
      </c>
      <c r="G94" s="3"/>
      <c r="H94" s="3"/>
    </row>
    <row r="95" spans="1:8" x14ac:dyDescent="0.35">
      <c r="A95" s="3" t="s">
        <v>914</v>
      </c>
      <c r="B95" s="3" t="s">
        <v>20</v>
      </c>
      <c r="C95" s="3" t="s">
        <v>940</v>
      </c>
      <c r="D95" s="3" t="s">
        <v>918</v>
      </c>
      <c r="E95" s="3"/>
      <c r="F95" s="3"/>
      <c r="G95" s="3"/>
      <c r="H95" s="3"/>
    </row>
    <row r="96" spans="1:8" x14ac:dyDescent="0.35">
      <c r="A96" s="3" t="s">
        <v>914</v>
      </c>
      <c r="B96" s="3" t="s">
        <v>20</v>
      </c>
      <c r="C96" s="3" t="s">
        <v>940</v>
      </c>
      <c r="D96" s="3" t="s">
        <v>47</v>
      </c>
      <c r="E96" s="3"/>
      <c r="F96" s="3"/>
      <c r="G96" s="3"/>
      <c r="H96" s="3"/>
    </row>
    <row r="97" spans="1:8" x14ac:dyDescent="0.35">
      <c r="A97" s="3" t="s">
        <v>914</v>
      </c>
      <c r="B97" s="3" t="s">
        <v>20</v>
      </c>
      <c r="C97" s="3" t="s">
        <v>940</v>
      </c>
      <c r="D97" s="3" t="s">
        <v>77</v>
      </c>
      <c r="E97" s="3"/>
      <c r="F97" s="3"/>
      <c r="G97" s="3"/>
      <c r="H97" s="3"/>
    </row>
    <row r="98" spans="1:8" x14ac:dyDescent="0.35">
      <c r="A98" s="3" t="s">
        <v>914</v>
      </c>
      <c r="B98" s="3" t="s">
        <v>20</v>
      </c>
      <c r="C98" s="3" t="s">
        <v>940</v>
      </c>
      <c r="D98" s="3" t="s">
        <v>28</v>
      </c>
      <c r="E98" s="3"/>
      <c r="F98" s="3" t="s">
        <v>2288</v>
      </c>
      <c r="G98" s="3"/>
      <c r="H98" s="3"/>
    </row>
    <row r="99" spans="1:8" x14ac:dyDescent="0.35">
      <c r="A99" s="3" t="s">
        <v>914</v>
      </c>
      <c r="B99" s="3" t="s">
        <v>20</v>
      </c>
      <c r="C99" s="3" t="s">
        <v>940</v>
      </c>
      <c r="D99" s="3" t="s">
        <v>15</v>
      </c>
      <c r="E99" s="3"/>
      <c r="F99" s="3"/>
      <c r="G99" s="3"/>
      <c r="H99" s="3"/>
    </row>
    <row r="100" spans="1:8" x14ac:dyDescent="0.35">
      <c r="A100" s="3" t="s">
        <v>914</v>
      </c>
      <c r="B100" s="3" t="s">
        <v>20</v>
      </c>
      <c r="C100" s="3" t="s">
        <v>940</v>
      </c>
      <c r="D100" s="3" t="s">
        <v>56</v>
      </c>
      <c r="E100" s="3"/>
      <c r="F100" s="3"/>
      <c r="G100" s="3"/>
      <c r="H100" s="3"/>
    </row>
    <row r="101" spans="1:8" x14ac:dyDescent="0.35">
      <c r="A101" s="3" t="s">
        <v>914</v>
      </c>
      <c r="B101" s="3" t="s">
        <v>20</v>
      </c>
      <c r="C101" s="3" t="s">
        <v>940</v>
      </c>
      <c r="D101" s="3" t="s">
        <v>191</v>
      </c>
      <c r="E101" s="3"/>
      <c r="F101" s="3"/>
      <c r="G101" s="3"/>
      <c r="H101" s="3"/>
    </row>
    <row r="102" spans="1:8" x14ac:dyDescent="0.35">
      <c r="A102" s="3" t="s">
        <v>914</v>
      </c>
      <c r="B102" s="3" t="s">
        <v>45</v>
      </c>
      <c r="C102" s="3" t="s">
        <v>941</v>
      </c>
      <c r="D102" s="3" t="s">
        <v>36</v>
      </c>
      <c r="E102" s="3"/>
      <c r="F102" s="3" t="s">
        <v>2319</v>
      </c>
      <c r="G102" s="3"/>
      <c r="H102" s="3"/>
    </row>
    <row r="103" spans="1:8" x14ac:dyDescent="0.35">
      <c r="A103" s="3" t="s">
        <v>914</v>
      </c>
      <c r="B103" s="3" t="s">
        <v>45</v>
      </c>
      <c r="C103" s="3" t="s">
        <v>941</v>
      </c>
      <c r="D103" s="3" t="s">
        <v>56</v>
      </c>
      <c r="E103" s="3"/>
      <c r="F103" s="3" t="s">
        <v>2318</v>
      </c>
      <c r="G103" s="3"/>
      <c r="H103" s="3"/>
    </row>
    <row r="104" spans="1:8" x14ac:dyDescent="0.35">
      <c r="A104" s="3" t="s">
        <v>914</v>
      </c>
      <c r="B104" s="3" t="s">
        <v>45</v>
      </c>
      <c r="C104" s="3" t="s">
        <v>941</v>
      </c>
      <c r="D104" s="3" t="s">
        <v>372</v>
      </c>
      <c r="E104" s="3"/>
      <c r="F104" s="3"/>
      <c r="G104" s="3"/>
      <c r="H104" s="3"/>
    </row>
    <row r="105" spans="1:8" x14ac:dyDescent="0.35">
      <c r="A105" s="3" t="s">
        <v>914</v>
      </c>
      <c r="B105" s="3" t="s">
        <v>20</v>
      </c>
      <c r="C105" s="3" t="s">
        <v>942</v>
      </c>
      <c r="D105" s="3" t="s">
        <v>15</v>
      </c>
      <c r="E105" s="3" t="s">
        <v>33</v>
      </c>
      <c r="F105" s="3" t="s">
        <v>487</v>
      </c>
      <c r="G105" s="3"/>
      <c r="H105" s="3"/>
    </row>
    <row r="106" spans="1:8" x14ac:dyDescent="0.35">
      <c r="A106" s="3" t="s">
        <v>914</v>
      </c>
      <c r="B106" s="3" t="s">
        <v>20</v>
      </c>
      <c r="C106" s="3" t="s">
        <v>943</v>
      </c>
      <c r="D106" s="3" t="s">
        <v>15</v>
      </c>
      <c r="E106" s="3"/>
      <c r="F106" s="3"/>
      <c r="G106" s="3"/>
      <c r="H106" s="3"/>
    </row>
    <row r="107" spans="1:8" x14ac:dyDescent="0.35">
      <c r="A107" s="3" t="s">
        <v>914</v>
      </c>
      <c r="B107" s="3" t="s">
        <v>20</v>
      </c>
      <c r="C107" s="3" t="s">
        <v>944</v>
      </c>
      <c r="D107" s="3" t="s">
        <v>15</v>
      </c>
      <c r="E107" s="3"/>
      <c r="F107" s="3"/>
      <c r="G107" s="3"/>
      <c r="H107" s="3"/>
    </row>
    <row r="108" spans="1:8" x14ac:dyDescent="0.35">
      <c r="A108" s="3" t="s">
        <v>914</v>
      </c>
      <c r="B108" s="3" t="s">
        <v>20</v>
      </c>
      <c r="C108" s="3" t="s">
        <v>944</v>
      </c>
      <c r="D108" s="3" t="s">
        <v>32</v>
      </c>
      <c r="E108" s="3"/>
      <c r="F108" s="3"/>
      <c r="G108" s="3"/>
      <c r="H108" s="3"/>
    </row>
    <row r="109" spans="1:8" x14ac:dyDescent="0.35">
      <c r="A109" s="3" t="s">
        <v>914</v>
      </c>
      <c r="B109" s="3" t="s">
        <v>20</v>
      </c>
      <c r="C109" s="3" t="s">
        <v>944</v>
      </c>
      <c r="D109" s="3" t="s">
        <v>26</v>
      </c>
      <c r="E109" s="3"/>
      <c r="F109" s="3"/>
      <c r="G109" s="3"/>
      <c r="H109" s="3"/>
    </row>
    <row r="110" spans="1:8" x14ac:dyDescent="0.35">
      <c r="A110" s="3" t="s">
        <v>914</v>
      </c>
      <c r="B110" s="3" t="s">
        <v>20</v>
      </c>
      <c r="C110" s="3" t="s">
        <v>944</v>
      </c>
      <c r="D110" s="3" t="s">
        <v>152</v>
      </c>
      <c r="E110" s="3"/>
      <c r="F110" s="3"/>
      <c r="G110" s="3"/>
      <c r="H110" s="3"/>
    </row>
    <row r="111" spans="1:8" x14ac:dyDescent="0.35">
      <c r="A111" s="3" t="s">
        <v>914</v>
      </c>
      <c r="B111" s="3" t="s">
        <v>39</v>
      </c>
      <c r="C111" s="3" t="s">
        <v>945</v>
      </c>
      <c r="D111" s="3" t="s">
        <v>25</v>
      </c>
      <c r="E111" s="3" t="s">
        <v>16</v>
      </c>
      <c r="F111" s="3" t="s">
        <v>365</v>
      </c>
      <c r="G111" s="3"/>
      <c r="H111" s="3"/>
    </row>
    <row r="112" spans="1:8" x14ac:dyDescent="0.35">
      <c r="A112" s="3" t="s">
        <v>914</v>
      </c>
      <c r="B112" s="3" t="s">
        <v>39</v>
      </c>
      <c r="C112" s="3" t="s">
        <v>945</v>
      </c>
      <c r="D112" s="3" t="s">
        <v>27</v>
      </c>
      <c r="E112" s="3" t="s">
        <v>16</v>
      </c>
      <c r="F112" s="3" t="s">
        <v>365</v>
      </c>
      <c r="G112" s="3"/>
      <c r="H112" s="3"/>
    </row>
    <row r="113" spans="1:8" x14ac:dyDescent="0.35">
      <c r="A113" s="3" t="s">
        <v>914</v>
      </c>
      <c r="B113" s="3" t="s">
        <v>39</v>
      </c>
      <c r="C113" s="3" t="s">
        <v>945</v>
      </c>
      <c r="D113" s="3" t="s">
        <v>77</v>
      </c>
      <c r="E113" s="3" t="s">
        <v>16</v>
      </c>
      <c r="F113" s="3" t="s">
        <v>365</v>
      </c>
      <c r="G113" s="3"/>
      <c r="H113" s="3"/>
    </row>
    <row r="114" spans="1:8" x14ac:dyDescent="0.35">
      <c r="A114" s="3" t="s">
        <v>914</v>
      </c>
      <c r="B114" s="3" t="s">
        <v>39</v>
      </c>
      <c r="C114" s="3" t="s">
        <v>945</v>
      </c>
      <c r="D114" s="3" t="s">
        <v>15</v>
      </c>
      <c r="E114" s="3" t="s">
        <v>16</v>
      </c>
      <c r="F114" s="3" t="s">
        <v>365</v>
      </c>
      <c r="G114" s="3"/>
      <c r="H114" s="3"/>
    </row>
    <row r="115" spans="1:8" x14ac:dyDescent="0.35">
      <c r="A115" s="3" t="s">
        <v>914</v>
      </c>
      <c r="B115" s="3" t="s">
        <v>39</v>
      </c>
      <c r="C115" s="3" t="s">
        <v>945</v>
      </c>
      <c r="D115" s="3" t="s">
        <v>56</v>
      </c>
      <c r="E115" s="3" t="s">
        <v>16</v>
      </c>
      <c r="F115" s="3" t="s">
        <v>365</v>
      </c>
      <c r="G115" s="3"/>
      <c r="H115" s="3"/>
    </row>
    <row r="116" spans="1:8" x14ac:dyDescent="0.35">
      <c r="A116" s="3" t="s">
        <v>914</v>
      </c>
      <c r="B116" s="3" t="s">
        <v>39</v>
      </c>
      <c r="C116" s="3" t="s">
        <v>945</v>
      </c>
      <c r="D116" s="3" t="s">
        <v>26</v>
      </c>
      <c r="E116" s="3" t="s">
        <v>16</v>
      </c>
      <c r="F116" s="3" t="s">
        <v>365</v>
      </c>
      <c r="G116" s="3"/>
      <c r="H116" s="3"/>
    </row>
    <row r="117" spans="1:8" x14ac:dyDescent="0.35">
      <c r="A117" s="3" t="s">
        <v>914</v>
      </c>
      <c r="B117" s="3" t="s">
        <v>39</v>
      </c>
      <c r="C117" s="3" t="s">
        <v>945</v>
      </c>
      <c r="D117" s="3" t="s">
        <v>152</v>
      </c>
      <c r="E117" s="3" t="s">
        <v>16</v>
      </c>
      <c r="F117" s="3" t="s">
        <v>365</v>
      </c>
      <c r="G117" s="3"/>
      <c r="H117" s="3"/>
    </row>
    <row r="118" spans="1:8" x14ac:dyDescent="0.35">
      <c r="A118" s="3" t="s">
        <v>914</v>
      </c>
      <c r="B118" s="3" t="s">
        <v>39</v>
      </c>
      <c r="C118" s="3" t="s">
        <v>945</v>
      </c>
      <c r="D118" s="3" t="s">
        <v>134</v>
      </c>
      <c r="E118" s="3" t="s">
        <v>16</v>
      </c>
      <c r="F118" s="3" t="s">
        <v>2969</v>
      </c>
      <c r="G118" s="3"/>
      <c r="H118" s="3"/>
    </row>
    <row r="119" spans="1:8" x14ac:dyDescent="0.35">
      <c r="A119" s="3" t="s">
        <v>914</v>
      </c>
      <c r="B119" s="3" t="s">
        <v>20</v>
      </c>
      <c r="C119" s="3" t="s">
        <v>946</v>
      </c>
      <c r="D119" s="3" t="s">
        <v>25</v>
      </c>
      <c r="E119" s="3" t="s">
        <v>33</v>
      </c>
      <c r="F119" s="3" t="s">
        <v>487</v>
      </c>
      <c r="G119" s="3"/>
      <c r="H119" s="3"/>
    </row>
    <row r="120" spans="1:8" x14ac:dyDescent="0.35">
      <c r="A120" s="3" t="s">
        <v>914</v>
      </c>
      <c r="B120" s="3" t="s">
        <v>20</v>
      </c>
      <c r="C120" s="3" t="s">
        <v>946</v>
      </c>
      <c r="D120" s="3" t="s">
        <v>28</v>
      </c>
      <c r="E120" s="3" t="s">
        <v>33</v>
      </c>
      <c r="F120" s="3" t="s">
        <v>487</v>
      </c>
      <c r="G120" s="3"/>
      <c r="H120" s="3"/>
    </row>
    <row r="121" spans="1:8" x14ac:dyDescent="0.35">
      <c r="A121" s="3" t="s">
        <v>914</v>
      </c>
      <c r="B121" s="3" t="s">
        <v>20</v>
      </c>
      <c r="C121" s="3" t="s">
        <v>946</v>
      </c>
      <c r="D121" s="3" t="s">
        <v>56</v>
      </c>
      <c r="E121" s="3" t="s">
        <v>33</v>
      </c>
      <c r="F121" s="3" t="s">
        <v>487</v>
      </c>
      <c r="G121" s="3"/>
      <c r="H121" s="3"/>
    </row>
    <row r="122" spans="1:8" x14ac:dyDescent="0.35">
      <c r="A122" s="3" t="s">
        <v>914</v>
      </c>
      <c r="B122" s="3" t="s">
        <v>20</v>
      </c>
      <c r="C122" s="3" t="s">
        <v>946</v>
      </c>
      <c r="D122" s="3" t="s">
        <v>32</v>
      </c>
      <c r="E122" s="3" t="s">
        <v>33</v>
      </c>
      <c r="F122" s="3" t="s">
        <v>487</v>
      </c>
      <c r="G122" s="3"/>
      <c r="H122" s="3"/>
    </row>
    <row r="123" spans="1:8" x14ac:dyDescent="0.35">
      <c r="A123" s="3" t="s">
        <v>914</v>
      </c>
      <c r="B123" s="3" t="s">
        <v>20</v>
      </c>
      <c r="C123" s="3" t="s">
        <v>947</v>
      </c>
      <c r="D123" s="3" t="s">
        <v>25</v>
      </c>
      <c r="E123" s="3"/>
      <c r="F123" s="3"/>
      <c r="G123" s="3"/>
      <c r="H123" s="3"/>
    </row>
    <row r="124" spans="1:8" x14ac:dyDescent="0.35">
      <c r="A124" s="3" t="s">
        <v>914</v>
      </c>
      <c r="B124" s="3" t="s">
        <v>20</v>
      </c>
      <c r="C124" s="3" t="s">
        <v>947</v>
      </c>
      <c r="D124" s="3" t="s">
        <v>60</v>
      </c>
      <c r="E124" s="3"/>
      <c r="F124" s="3"/>
      <c r="G124" s="3"/>
      <c r="H124" s="3"/>
    </row>
    <row r="125" spans="1:8" x14ac:dyDescent="0.35">
      <c r="A125" s="3" t="s">
        <v>914</v>
      </c>
      <c r="B125" s="3" t="s">
        <v>20</v>
      </c>
      <c r="C125" s="3" t="s">
        <v>947</v>
      </c>
      <c r="D125" s="3" t="s">
        <v>28</v>
      </c>
      <c r="E125" s="3"/>
      <c r="F125" s="3"/>
      <c r="G125" s="3"/>
      <c r="H125" s="3"/>
    </row>
    <row r="126" spans="1:8" x14ac:dyDescent="0.35">
      <c r="A126" s="3" t="s">
        <v>914</v>
      </c>
      <c r="B126" s="3" t="s">
        <v>20</v>
      </c>
      <c r="C126" s="3" t="s">
        <v>947</v>
      </c>
      <c r="D126" s="3" t="s">
        <v>15</v>
      </c>
      <c r="E126" s="3"/>
      <c r="F126" s="3"/>
      <c r="G126" s="3"/>
      <c r="H126" s="3"/>
    </row>
    <row r="127" spans="1:8" x14ac:dyDescent="0.35">
      <c r="A127" s="3" t="s">
        <v>914</v>
      </c>
      <c r="B127" s="3" t="s">
        <v>20</v>
      </c>
      <c r="C127" s="3" t="s">
        <v>948</v>
      </c>
      <c r="D127" s="3" t="s">
        <v>36</v>
      </c>
      <c r="E127" s="3" t="s">
        <v>33</v>
      </c>
      <c r="F127" s="3" t="s">
        <v>487</v>
      </c>
      <c r="G127" s="3"/>
      <c r="H127" s="3"/>
    </row>
    <row r="128" spans="1:8" x14ac:dyDescent="0.35">
      <c r="A128" s="3" t="s">
        <v>914</v>
      </c>
      <c r="B128" s="3" t="s">
        <v>20</v>
      </c>
      <c r="C128" s="3" t="s">
        <v>948</v>
      </c>
      <c r="D128" s="3" t="s">
        <v>25</v>
      </c>
      <c r="E128" s="3" t="s">
        <v>33</v>
      </c>
      <c r="F128" s="3" t="s">
        <v>487</v>
      </c>
      <c r="G128" s="3"/>
      <c r="H128" s="3"/>
    </row>
    <row r="129" spans="1:8" x14ac:dyDescent="0.35">
      <c r="A129" s="3" t="s">
        <v>914</v>
      </c>
      <c r="B129" s="3" t="s">
        <v>20</v>
      </c>
      <c r="C129" s="3" t="s">
        <v>948</v>
      </c>
      <c r="D129" s="3" t="s">
        <v>27</v>
      </c>
      <c r="E129" s="3" t="s">
        <v>33</v>
      </c>
      <c r="F129" s="3" t="s">
        <v>487</v>
      </c>
      <c r="G129" s="3"/>
      <c r="H129" s="3"/>
    </row>
    <row r="130" spans="1:8" x14ac:dyDescent="0.35">
      <c r="A130" s="3" t="s">
        <v>914</v>
      </c>
      <c r="B130" s="3" t="s">
        <v>20</v>
      </c>
      <c r="C130" s="3" t="s">
        <v>948</v>
      </c>
      <c r="D130" s="3" t="s">
        <v>28</v>
      </c>
      <c r="E130" s="3" t="s">
        <v>33</v>
      </c>
      <c r="F130" s="3" t="s">
        <v>487</v>
      </c>
      <c r="G130" s="3"/>
      <c r="H130" s="3"/>
    </row>
    <row r="131" spans="1:8" x14ac:dyDescent="0.35">
      <c r="A131" s="3" t="s">
        <v>914</v>
      </c>
      <c r="B131" s="3" t="s">
        <v>20</v>
      </c>
      <c r="C131" s="3" t="s">
        <v>948</v>
      </c>
      <c r="D131" s="3" t="s">
        <v>15</v>
      </c>
      <c r="E131" s="3" t="s">
        <v>33</v>
      </c>
      <c r="F131" s="3" t="s">
        <v>487</v>
      </c>
      <c r="G131" s="3"/>
      <c r="H131" s="3"/>
    </row>
    <row r="132" spans="1:8" x14ac:dyDescent="0.35">
      <c r="A132" s="3" t="s">
        <v>914</v>
      </c>
      <c r="B132" s="3" t="s">
        <v>20</v>
      </c>
      <c r="C132" s="3" t="s">
        <v>948</v>
      </c>
      <c r="D132" s="3" t="s">
        <v>56</v>
      </c>
      <c r="E132" s="3" t="s">
        <v>33</v>
      </c>
      <c r="F132" s="3" t="s">
        <v>487</v>
      </c>
      <c r="G132" s="3"/>
      <c r="H132" s="3"/>
    </row>
    <row r="133" spans="1:8" x14ac:dyDescent="0.35">
      <c r="A133" s="3" t="s">
        <v>914</v>
      </c>
      <c r="B133" s="3" t="s">
        <v>20</v>
      </c>
      <c r="C133" s="3" t="s">
        <v>948</v>
      </c>
      <c r="D133" s="3" t="s">
        <v>32</v>
      </c>
      <c r="E133" s="3" t="s">
        <v>33</v>
      </c>
      <c r="F133" s="3" t="s">
        <v>487</v>
      </c>
      <c r="G133" s="3"/>
      <c r="H133" s="3"/>
    </row>
    <row r="134" spans="1:8" x14ac:dyDescent="0.35">
      <c r="A134" s="3" t="s">
        <v>914</v>
      </c>
      <c r="B134" s="3" t="s">
        <v>20</v>
      </c>
      <c r="C134" s="3" t="s">
        <v>948</v>
      </c>
      <c r="D134" s="3" t="s">
        <v>29</v>
      </c>
      <c r="E134" s="3" t="s">
        <v>33</v>
      </c>
      <c r="F134" s="3" t="s">
        <v>487</v>
      </c>
      <c r="G134" s="3"/>
      <c r="H134" s="3"/>
    </row>
    <row r="135" spans="1:8" x14ac:dyDescent="0.35">
      <c r="A135" s="3" t="s">
        <v>914</v>
      </c>
      <c r="B135" s="3" t="s">
        <v>20</v>
      </c>
      <c r="C135" s="3" t="s">
        <v>948</v>
      </c>
      <c r="D135" s="3" t="s">
        <v>134</v>
      </c>
      <c r="E135" s="3" t="s">
        <v>33</v>
      </c>
      <c r="F135" s="3" t="s">
        <v>487</v>
      </c>
      <c r="G135" s="3"/>
      <c r="H135" s="3"/>
    </row>
    <row r="136" spans="1:8" x14ac:dyDescent="0.35">
      <c r="A136" s="3" t="s">
        <v>914</v>
      </c>
      <c r="B136" s="3" t="s">
        <v>20</v>
      </c>
      <c r="C136" s="3" t="s">
        <v>949</v>
      </c>
      <c r="D136" s="3" t="s">
        <v>25</v>
      </c>
      <c r="E136" s="3"/>
      <c r="F136" s="3"/>
      <c r="G136" s="3"/>
      <c r="H136" s="3"/>
    </row>
    <row r="137" spans="1:8" x14ac:dyDescent="0.35">
      <c r="A137" s="3" t="s">
        <v>914</v>
      </c>
      <c r="B137" s="3" t="s">
        <v>20</v>
      </c>
      <c r="C137" s="3" t="s">
        <v>949</v>
      </c>
      <c r="D137" s="3" t="s">
        <v>60</v>
      </c>
      <c r="E137" s="3"/>
      <c r="F137" s="3"/>
      <c r="G137" s="3"/>
      <c r="H137" s="3"/>
    </row>
    <row r="138" spans="1:8" x14ac:dyDescent="0.35">
      <c r="A138" s="3" t="s">
        <v>914</v>
      </c>
      <c r="B138" s="3" t="s">
        <v>20</v>
      </c>
      <c r="C138" s="3" t="s">
        <v>949</v>
      </c>
      <c r="D138" s="3" t="s">
        <v>27</v>
      </c>
      <c r="E138" s="3"/>
      <c r="F138" s="3"/>
      <c r="G138" s="3"/>
      <c r="H138" s="3"/>
    </row>
    <row r="139" spans="1:8" x14ac:dyDescent="0.35">
      <c r="A139" s="3" t="s">
        <v>914</v>
      </c>
      <c r="B139" s="3" t="s">
        <v>20</v>
      </c>
      <c r="C139" s="3" t="s">
        <v>949</v>
      </c>
      <c r="D139" s="3" t="s">
        <v>77</v>
      </c>
      <c r="E139" s="3"/>
      <c r="F139" s="3"/>
      <c r="G139" s="3"/>
      <c r="H139" s="3"/>
    </row>
    <row r="140" spans="1:8" x14ac:dyDescent="0.35">
      <c r="A140" s="3" t="s">
        <v>914</v>
      </c>
      <c r="B140" s="3" t="s">
        <v>20</v>
      </c>
      <c r="C140" s="3" t="s">
        <v>949</v>
      </c>
      <c r="D140" s="3" t="s">
        <v>28</v>
      </c>
      <c r="E140" s="3"/>
      <c r="F140" s="3"/>
      <c r="G140" s="3"/>
      <c r="H140" s="3"/>
    </row>
    <row r="141" spans="1:8" x14ac:dyDescent="0.35">
      <c r="A141" s="3" t="s">
        <v>914</v>
      </c>
      <c r="B141" s="3" t="s">
        <v>20</v>
      </c>
      <c r="C141" s="3" t="s">
        <v>949</v>
      </c>
      <c r="D141" s="3" t="s">
        <v>15</v>
      </c>
      <c r="E141" s="3" t="s">
        <v>16</v>
      </c>
      <c r="F141" s="3" t="s">
        <v>950</v>
      </c>
      <c r="G141" s="3"/>
      <c r="H141" s="3"/>
    </row>
    <row r="142" spans="1:8" x14ac:dyDescent="0.35">
      <c r="A142" s="3" t="s">
        <v>914</v>
      </c>
      <c r="B142" s="3" t="s">
        <v>20</v>
      </c>
      <c r="C142" s="3" t="s">
        <v>949</v>
      </c>
      <c r="D142" s="3" t="s">
        <v>56</v>
      </c>
      <c r="E142" s="3" t="s">
        <v>16</v>
      </c>
      <c r="F142" s="3" t="s">
        <v>951</v>
      </c>
      <c r="G142" s="3"/>
      <c r="H142" s="3"/>
    </row>
    <row r="143" spans="1:8" x14ac:dyDescent="0.35">
      <c r="A143" s="3" t="s">
        <v>914</v>
      </c>
      <c r="B143" s="3" t="s">
        <v>20</v>
      </c>
      <c r="C143" s="3" t="s">
        <v>949</v>
      </c>
      <c r="D143" s="3" t="s">
        <v>32</v>
      </c>
      <c r="E143" s="3" t="s">
        <v>16</v>
      </c>
      <c r="F143" s="3" t="s">
        <v>952</v>
      </c>
      <c r="G143" s="3"/>
      <c r="H143" s="3"/>
    </row>
    <row r="144" spans="1:8" x14ac:dyDescent="0.35">
      <c r="A144" s="3" t="s">
        <v>914</v>
      </c>
      <c r="B144" s="3" t="s">
        <v>20</v>
      </c>
      <c r="C144" s="3" t="s">
        <v>949</v>
      </c>
      <c r="D144" s="3" t="s">
        <v>152</v>
      </c>
      <c r="E144" s="3"/>
      <c r="F144" s="3"/>
      <c r="G144" s="3"/>
      <c r="H144" s="3"/>
    </row>
    <row r="145" spans="1:8" x14ac:dyDescent="0.35">
      <c r="A145" s="3" t="s">
        <v>914</v>
      </c>
      <c r="B145" s="3" t="s">
        <v>20</v>
      </c>
      <c r="C145" s="3" t="s">
        <v>953</v>
      </c>
      <c r="D145" s="3" t="s">
        <v>28</v>
      </c>
      <c r="E145" s="3" t="s">
        <v>16</v>
      </c>
      <c r="F145" s="3" t="s">
        <v>954</v>
      </c>
      <c r="G145" s="3"/>
      <c r="H145" s="3"/>
    </row>
    <row r="146" spans="1:8" x14ac:dyDescent="0.35">
      <c r="A146" s="3" t="s">
        <v>914</v>
      </c>
      <c r="B146" s="3" t="s">
        <v>20</v>
      </c>
      <c r="C146" s="3" t="s">
        <v>953</v>
      </c>
      <c r="D146" s="3" t="s">
        <v>87</v>
      </c>
      <c r="E146" s="3"/>
      <c r="F146" s="3"/>
      <c r="G146" s="3"/>
      <c r="H146" s="3"/>
    </row>
    <row r="147" spans="1:8" x14ac:dyDescent="0.35">
      <c r="A147" s="3" t="s">
        <v>914</v>
      </c>
      <c r="B147" s="3" t="s">
        <v>20</v>
      </c>
      <c r="C147" s="3" t="s">
        <v>953</v>
      </c>
      <c r="D147" s="3" t="s">
        <v>242</v>
      </c>
      <c r="E147" s="3"/>
      <c r="F147" s="3"/>
      <c r="G147" s="3"/>
      <c r="H147" s="3"/>
    </row>
    <row r="148" spans="1:8" x14ac:dyDescent="0.35">
      <c r="A148" s="3" t="s">
        <v>914</v>
      </c>
      <c r="B148" s="3" t="s">
        <v>20</v>
      </c>
      <c r="C148" s="3" t="s">
        <v>953</v>
      </c>
      <c r="D148" s="3" t="s">
        <v>15</v>
      </c>
      <c r="E148" s="3" t="s">
        <v>16</v>
      </c>
      <c r="F148" s="3" t="s">
        <v>954</v>
      </c>
      <c r="G148" s="3"/>
      <c r="H148" s="3"/>
    </row>
    <row r="149" spans="1:8" x14ac:dyDescent="0.35">
      <c r="A149" s="3" t="s">
        <v>914</v>
      </c>
      <c r="B149" s="3" t="s">
        <v>20</v>
      </c>
      <c r="C149" s="3" t="s">
        <v>953</v>
      </c>
      <c r="D149" s="3" t="s">
        <v>107</v>
      </c>
      <c r="E149" s="3" t="s">
        <v>16</v>
      </c>
      <c r="F149" s="3" t="s">
        <v>954</v>
      </c>
      <c r="G149" s="3"/>
      <c r="H149" s="3"/>
    </row>
    <row r="150" spans="1:8" x14ac:dyDescent="0.35">
      <c r="A150" s="3" t="s">
        <v>914</v>
      </c>
      <c r="B150" s="3" t="s">
        <v>39</v>
      </c>
      <c r="C150" s="3" t="s">
        <v>955</v>
      </c>
      <c r="D150" s="3" t="s">
        <v>24</v>
      </c>
      <c r="E150" s="3"/>
      <c r="F150" s="3"/>
      <c r="G150" s="3"/>
      <c r="H150" s="3"/>
    </row>
    <row r="151" spans="1:8" x14ac:dyDescent="0.35">
      <c r="A151" s="3" t="s">
        <v>914</v>
      </c>
      <c r="B151" s="3" t="s">
        <v>45</v>
      </c>
      <c r="C151" s="3" t="s">
        <v>956</v>
      </c>
      <c r="D151" s="3" t="s">
        <v>56</v>
      </c>
      <c r="E151" s="3"/>
      <c r="F151" s="3"/>
      <c r="G151" s="3"/>
      <c r="H151" s="3"/>
    </row>
    <row r="152" spans="1:8" x14ac:dyDescent="0.35">
      <c r="A152" s="3" t="s">
        <v>914</v>
      </c>
      <c r="B152" s="3" t="s">
        <v>45</v>
      </c>
      <c r="C152" s="3" t="s">
        <v>956</v>
      </c>
      <c r="D152" s="3" t="s">
        <v>372</v>
      </c>
      <c r="E152" s="3"/>
      <c r="F152" s="3"/>
      <c r="G152" s="3"/>
      <c r="H152" s="3"/>
    </row>
    <row r="153" spans="1:8" x14ac:dyDescent="0.35">
      <c r="A153" s="3" t="s">
        <v>914</v>
      </c>
      <c r="B153" s="3" t="s">
        <v>45</v>
      </c>
      <c r="C153" s="3" t="s">
        <v>957</v>
      </c>
      <c r="D153" s="3" t="s">
        <v>217</v>
      </c>
      <c r="E153" s="3"/>
      <c r="F153" s="3"/>
      <c r="G153" s="3"/>
      <c r="H153" s="3"/>
    </row>
    <row r="154" spans="1:8" x14ac:dyDescent="0.35">
      <c r="A154" s="3" t="s">
        <v>914</v>
      </c>
      <c r="B154" s="3" t="s">
        <v>45</v>
      </c>
      <c r="C154" s="3" t="s">
        <v>957</v>
      </c>
      <c r="D154" s="3" t="s">
        <v>56</v>
      </c>
      <c r="E154" s="3"/>
      <c r="F154" s="3" t="s">
        <v>2412</v>
      </c>
      <c r="G154" s="3"/>
      <c r="H154" s="3"/>
    </row>
    <row r="155" spans="1:8" x14ac:dyDescent="0.35">
      <c r="A155" s="3" t="s">
        <v>914</v>
      </c>
      <c r="B155" s="3" t="s">
        <v>39</v>
      </c>
      <c r="C155" s="3" t="s">
        <v>958</v>
      </c>
      <c r="D155" s="3" t="s">
        <v>27</v>
      </c>
      <c r="E155" s="3" t="s">
        <v>16</v>
      </c>
      <c r="F155" s="3" t="s">
        <v>959</v>
      </c>
      <c r="G155" s="3"/>
      <c r="H155" s="3"/>
    </row>
    <row r="156" spans="1:8" x14ac:dyDescent="0.35">
      <c r="A156" s="3" t="s">
        <v>914</v>
      </c>
      <c r="B156" s="3" t="s">
        <v>39</v>
      </c>
      <c r="C156" s="3" t="s">
        <v>958</v>
      </c>
      <c r="D156" s="3" t="s">
        <v>77</v>
      </c>
      <c r="E156" s="3" t="s">
        <v>16</v>
      </c>
      <c r="F156" s="3" t="s">
        <v>959</v>
      </c>
      <c r="G156" s="3"/>
      <c r="H156" s="3"/>
    </row>
    <row r="157" spans="1:8" x14ac:dyDescent="0.35">
      <c r="A157" s="3" t="s">
        <v>914</v>
      </c>
      <c r="B157" s="3" t="s">
        <v>39</v>
      </c>
      <c r="C157" s="3" t="s">
        <v>958</v>
      </c>
      <c r="D157" s="3" t="s">
        <v>152</v>
      </c>
      <c r="E157" s="3" t="s">
        <v>16</v>
      </c>
      <c r="F157" s="3" t="s">
        <v>959</v>
      </c>
      <c r="G157" s="3"/>
      <c r="H157" s="3"/>
    </row>
    <row r="158" spans="1:8" x14ac:dyDescent="0.35">
      <c r="A158" s="3" t="s">
        <v>914</v>
      </c>
      <c r="B158" s="3" t="s">
        <v>45</v>
      </c>
      <c r="C158" s="3" t="s">
        <v>960</v>
      </c>
      <c r="D158" s="3" t="s">
        <v>56</v>
      </c>
      <c r="E158" s="3"/>
      <c r="F158" s="3" t="s">
        <v>2318</v>
      </c>
      <c r="G158" s="3"/>
      <c r="H158" s="3"/>
    </row>
    <row r="159" spans="1:8" x14ac:dyDescent="0.35">
      <c r="A159" s="3" t="s">
        <v>914</v>
      </c>
      <c r="B159" s="3" t="s">
        <v>10</v>
      </c>
      <c r="C159" s="3" t="s">
        <v>2970</v>
      </c>
      <c r="D159" s="3" t="s">
        <v>36</v>
      </c>
      <c r="E159" s="3"/>
      <c r="F159" s="3"/>
      <c r="G159" s="3"/>
      <c r="H159" s="3"/>
    </row>
    <row r="160" spans="1:8" x14ac:dyDescent="0.35">
      <c r="A160" s="3" t="s">
        <v>914</v>
      </c>
      <c r="B160" s="3" t="s">
        <v>10</v>
      </c>
      <c r="C160" s="3" t="s">
        <v>2970</v>
      </c>
      <c r="D160" s="3" t="s">
        <v>47</v>
      </c>
      <c r="E160" s="3"/>
      <c r="F160" s="3"/>
      <c r="G160" s="3"/>
      <c r="H160" s="3"/>
    </row>
    <row r="161" spans="1:8" x14ac:dyDescent="0.35">
      <c r="A161" s="3" t="s">
        <v>914</v>
      </c>
      <c r="B161" s="3" t="s">
        <v>10</v>
      </c>
      <c r="C161" s="3" t="s">
        <v>2970</v>
      </c>
      <c r="D161" s="3" t="s">
        <v>87</v>
      </c>
      <c r="E161" s="3"/>
      <c r="F161" s="3"/>
      <c r="G161" s="3"/>
      <c r="H161" s="3"/>
    </row>
    <row r="162" spans="1:8" x14ac:dyDescent="0.35">
      <c r="A162" s="3" t="s">
        <v>914</v>
      </c>
      <c r="B162" s="3" t="s">
        <v>10</v>
      </c>
      <c r="C162" s="3" t="s">
        <v>2970</v>
      </c>
      <c r="D162" s="3" t="s">
        <v>32</v>
      </c>
      <c r="E162" s="3"/>
      <c r="F162" s="3"/>
      <c r="G162" s="3"/>
      <c r="H162" s="3"/>
    </row>
    <row r="163" spans="1:8" x14ac:dyDescent="0.35">
      <c r="A163" s="3" t="s">
        <v>914</v>
      </c>
      <c r="B163" s="3" t="s">
        <v>10</v>
      </c>
      <c r="C163" s="3" t="s">
        <v>2970</v>
      </c>
      <c r="D163" s="3" t="s">
        <v>134</v>
      </c>
      <c r="E163" s="3"/>
      <c r="F163" s="3"/>
      <c r="G163" s="3"/>
      <c r="H163" s="3"/>
    </row>
    <row r="164" spans="1:8" x14ac:dyDescent="0.35">
      <c r="A164" s="3" t="s">
        <v>914</v>
      </c>
      <c r="B164" s="3" t="s">
        <v>20</v>
      </c>
      <c r="C164" s="3" t="s">
        <v>961</v>
      </c>
      <c r="D164" s="3" t="s">
        <v>12</v>
      </c>
      <c r="E164" s="3"/>
      <c r="F164" s="3"/>
      <c r="G164" s="3"/>
      <c r="H164" s="3"/>
    </row>
    <row r="165" spans="1:8" x14ac:dyDescent="0.35">
      <c r="A165" s="3" t="s">
        <v>914</v>
      </c>
      <c r="B165" s="3" t="s">
        <v>20</v>
      </c>
      <c r="C165" s="3" t="s">
        <v>961</v>
      </c>
      <c r="D165" s="3" t="s">
        <v>15</v>
      </c>
      <c r="E165" s="3"/>
      <c r="F165" s="3"/>
      <c r="G165" s="3"/>
      <c r="H165" s="3"/>
    </row>
    <row r="166" spans="1:8" x14ac:dyDescent="0.35">
      <c r="A166" s="3" t="s">
        <v>914</v>
      </c>
      <c r="B166" s="3" t="s">
        <v>20</v>
      </c>
      <c r="C166" s="3" t="s">
        <v>961</v>
      </c>
      <c r="D166" s="3" t="s">
        <v>56</v>
      </c>
      <c r="E166" s="3"/>
      <c r="F166" s="3"/>
      <c r="G166" s="3"/>
      <c r="H166" s="3"/>
    </row>
    <row r="167" spans="1:8" x14ac:dyDescent="0.35">
      <c r="A167" s="3" t="s">
        <v>914</v>
      </c>
      <c r="B167" s="3" t="s">
        <v>20</v>
      </c>
      <c r="C167" s="3" t="s">
        <v>962</v>
      </c>
      <c r="D167" s="3" t="s">
        <v>36</v>
      </c>
      <c r="E167" s="3"/>
      <c r="F167" s="3"/>
      <c r="G167" s="3"/>
      <c r="H167" s="3"/>
    </row>
    <row r="168" spans="1:8" x14ac:dyDescent="0.35">
      <c r="A168" s="3" t="s">
        <v>914</v>
      </c>
      <c r="B168" s="3" t="s">
        <v>20</v>
      </c>
      <c r="C168" s="3" t="s">
        <v>962</v>
      </c>
      <c r="D168" s="3" t="s">
        <v>25</v>
      </c>
      <c r="E168" s="3"/>
      <c r="F168" s="3"/>
      <c r="G168" s="3"/>
      <c r="H168" s="3"/>
    </row>
    <row r="169" spans="1:8" x14ac:dyDescent="0.35">
      <c r="A169" s="3" t="s">
        <v>914</v>
      </c>
      <c r="B169" s="3" t="s">
        <v>20</v>
      </c>
      <c r="C169" s="3" t="s">
        <v>962</v>
      </c>
      <c r="D169" s="3" t="s">
        <v>77</v>
      </c>
      <c r="E169" s="3"/>
      <c r="F169" s="3"/>
      <c r="G169" s="3"/>
      <c r="H169" s="3"/>
    </row>
    <row r="170" spans="1:8" x14ac:dyDescent="0.35">
      <c r="A170" s="3" t="s">
        <v>914</v>
      </c>
      <c r="B170" s="3" t="s">
        <v>10</v>
      </c>
      <c r="C170" s="3" t="s">
        <v>963</v>
      </c>
      <c r="D170" s="3" t="s">
        <v>12</v>
      </c>
      <c r="E170" s="3"/>
      <c r="F170" s="3"/>
      <c r="G170" s="3"/>
      <c r="H170" s="3"/>
    </row>
    <row r="171" spans="1:8" x14ac:dyDescent="0.35">
      <c r="A171" s="3" t="s">
        <v>914</v>
      </c>
      <c r="B171" s="3" t="s">
        <v>10</v>
      </c>
      <c r="C171" s="3" t="s">
        <v>963</v>
      </c>
      <c r="D171" s="3" t="s">
        <v>47</v>
      </c>
      <c r="E171" s="3"/>
      <c r="F171" s="3"/>
      <c r="G171" s="3"/>
      <c r="H171" s="3"/>
    </row>
    <row r="172" spans="1:8" x14ac:dyDescent="0.35">
      <c r="A172" s="3" t="s">
        <v>914</v>
      </c>
      <c r="B172" s="3" t="s">
        <v>10</v>
      </c>
      <c r="C172" s="3" t="s">
        <v>963</v>
      </c>
      <c r="D172" s="3" t="s">
        <v>15</v>
      </c>
      <c r="E172" s="3"/>
      <c r="F172" s="3"/>
      <c r="G172" s="3"/>
      <c r="H172" s="3"/>
    </row>
    <row r="173" spans="1:8" x14ac:dyDescent="0.35">
      <c r="A173" s="3" t="s">
        <v>914</v>
      </c>
      <c r="B173" s="3" t="s">
        <v>10</v>
      </c>
      <c r="C173" s="3" t="s">
        <v>963</v>
      </c>
      <c r="D173" s="3" t="s">
        <v>57</v>
      </c>
      <c r="E173" s="3"/>
      <c r="F173" s="3"/>
      <c r="G173" s="3"/>
      <c r="H173" s="3"/>
    </row>
    <row r="174" spans="1:8" x14ac:dyDescent="0.35">
      <c r="A174" s="3" t="s">
        <v>914</v>
      </c>
      <c r="B174" s="3" t="s">
        <v>10</v>
      </c>
      <c r="C174" s="3" t="s">
        <v>963</v>
      </c>
      <c r="D174" s="3" t="s">
        <v>134</v>
      </c>
      <c r="E174" s="3"/>
      <c r="F174" s="3"/>
      <c r="G174" s="3"/>
      <c r="H174" s="3"/>
    </row>
    <row r="175" spans="1:8" x14ac:dyDescent="0.35">
      <c r="A175" s="3" t="s">
        <v>914</v>
      </c>
      <c r="B175" s="3" t="s">
        <v>10</v>
      </c>
      <c r="C175" s="3" t="s">
        <v>964</v>
      </c>
      <c r="D175" s="3" t="s">
        <v>47</v>
      </c>
      <c r="E175" s="3"/>
      <c r="F175" s="3"/>
      <c r="G175" s="3"/>
      <c r="H175" s="3"/>
    </row>
    <row r="176" spans="1:8" x14ac:dyDescent="0.35">
      <c r="A176" s="3" t="s">
        <v>914</v>
      </c>
      <c r="B176" s="3" t="s">
        <v>10</v>
      </c>
      <c r="C176" s="3" t="s">
        <v>964</v>
      </c>
      <c r="D176" s="3" t="s">
        <v>15</v>
      </c>
      <c r="E176" s="3"/>
      <c r="F176" s="3"/>
      <c r="G176" s="3"/>
      <c r="H176" s="3"/>
    </row>
    <row r="177" spans="1:8" x14ac:dyDescent="0.35">
      <c r="A177" s="3" t="s">
        <v>914</v>
      </c>
      <c r="B177" s="3" t="s">
        <v>10</v>
      </c>
      <c r="C177" s="3" t="s">
        <v>964</v>
      </c>
      <c r="D177" s="3" t="s">
        <v>32</v>
      </c>
      <c r="E177" s="3" t="s">
        <v>16</v>
      </c>
      <c r="F177" s="3" t="s">
        <v>2265</v>
      </c>
      <c r="G177" s="3"/>
      <c r="H177" s="3"/>
    </row>
    <row r="178" spans="1:8" x14ac:dyDescent="0.35">
      <c r="A178" s="3" t="s">
        <v>914</v>
      </c>
      <c r="B178" s="3" t="s">
        <v>45</v>
      </c>
      <c r="C178" s="3" t="s">
        <v>965</v>
      </c>
      <c r="D178" s="3" t="s">
        <v>966</v>
      </c>
      <c r="E178" s="3"/>
      <c r="F178" s="3"/>
      <c r="G178" s="3"/>
      <c r="H178" s="3"/>
    </row>
    <row r="179" spans="1:8" x14ac:dyDescent="0.35">
      <c r="A179" s="3" t="s">
        <v>914</v>
      </c>
      <c r="B179" s="3" t="s">
        <v>45</v>
      </c>
      <c r="C179" s="3" t="s">
        <v>965</v>
      </c>
      <c r="D179" s="3" t="s">
        <v>47</v>
      </c>
      <c r="E179" s="3"/>
      <c r="F179" s="3"/>
      <c r="G179" s="3"/>
      <c r="H179" s="3"/>
    </row>
    <row r="180" spans="1:8" x14ac:dyDescent="0.35">
      <c r="A180" s="3" t="s">
        <v>914</v>
      </c>
      <c r="B180" s="3" t="s">
        <v>45</v>
      </c>
      <c r="C180" s="3" t="s">
        <v>965</v>
      </c>
      <c r="D180" s="3" t="s">
        <v>15</v>
      </c>
      <c r="E180" s="3" t="s">
        <v>16</v>
      </c>
      <c r="F180" s="3" t="s">
        <v>967</v>
      </c>
      <c r="G180" s="3"/>
      <c r="H180" s="3"/>
    </row>
    <row r="181" spans="1:8" x14ac:dyDescent="0.35">
      <c r="A181" s="3" t="s">
        <v>914</v>
      </c>
      <c r="B181" s="3" t="s">
        <v>45</v>
      </c>
      <c r="C181" s="3" t="s">
        <v>965</v>
      </c>
      <c r="D181" s="3" t="s">
        <v>56</v>
      </c>
      <c r="E181" s="3"/>
      <c r="F181" s="3" t="s">
        <v>2424</v>
      </c>
      <c r="G181" s="3"/>
      <c r="H181" s="3"/>
    </row>
    <row r="182" spans="1:8" x14ac:dyDescent="0.35">
      <c r="A182" s="3" t="s">
        <v>914</v>
      </c>
      <c r="B182" s="3" t="s">
        <v>45</v>
      </c>
      <c r="C182" s="3" t="s">
        <v>965</v>
      </c>
      <c r="D182" s="3" t="s">
        <v>89</v>
      </c>
      <c r="E182" s="3" t="s">
        <v>16</v>
      </c>
      <c r="F182" s="3" t="s">
        <v>2425</v>
      </c>
      <c r="G182" s="3"/>
      <c r="H182" s="3"/>
    </row>
    <row r="183" spans="1:8" x14ac:dyDescent="0.35">
      <c r="A183" s="3" t="s">
        <v>914</v>
      </c>
      <c r="B183" s="3" t="s">
        <v>45</v>
      </c>
      <c r="C183" s="3" t="s">
        <v>965</v>
      </c>
      <c r="D183" s="3" t="s">
        <v>191</v>
      </c>
      <c r="E183" s="3"/>
      <c r="F183" s="3"/>
      <c r="G183" s="3"/>
      <c r="H183" s="3"/>
    </row>
    <row r="184" spans="1:8" x14ac:dyDescent="0.35">
      <c r="A184" s="3" t="s">
        <v>914</v>
      </c>
      <c r="B184" s="3" t="s">
        <v>45</v>
      </c>
      <c r="C184" s="3" t="s">
        <v>965</v>
      </c>
      <c r="D184" s="3" t="s">
        <v>107</v>
      </c>
      <c r="E184" s="3"/>
      <c r="F184" s="3"/>
      <c r="G184" s="3"/>
      <c r="H184" s="3"/>
    </row>
    <row r="185" spans="1:8" x14ac:dyDescent="0.35">
      <c r="A185" s="3" t="s">
        <v>914</v>
      </c>
      <c r="B185" s="3" t="s">
        <v>45</v>
      </c>
      <c r="C185" s="3" t="s">
        <v>965</v>
      </c>
      <c r="D185" s="3" t="s">
        <v>968</v>
      </c>
      <c r="E185" s="3"/>
      <c r="F185" s="3"/>
      <c r="G185" s="3"/>
      <c r="H185" s="3"/>
    </row>
    <row r="186" spans="1:8" x14ac:dyDescent="0.35">
      <c r="A186" s="3" t="s">
        <v>914</v>
      </c>
      <c r="B186" s="3" t="s">
        <v>45</v>
      </c>
      <c r="C186" s="3" t="s">
        <v>969</v>
      </c>
      <c r="D186" s="3" t="s">
        <v>56</v>
      </c>
      <c r="E186" s="3"/>
      <c r="F186" s="3" t="s">
        <v>2318</v>
      </c>
      <c r="G186" s="3"/>
      <c r="H186" s="3"/>
    </row>
    <row r="187" spans="1:8" x14ac:dyDescent="0.35">
      <c r="A187" s="3" t="s">
        <v>914</v>
      </c>
      <c r="B187" s="3" t="s">
        <v>45</v>
      </c>
      <c r="C187" s="3" t="s">
        <v>970</v>
      </c>
      <c r="D187" s="3" t="s">
        <v>56</v>
      </c>
      <c r="E187" s="3"/>
      <c r="F187" s="3" t="s">
        <v>2318</v>
      </c>
      <c r="G187" s="3"/>
      <c r="H187" s="3"/>
    </row>
    <row r="188" spans="1:8" x14ac:dyDescent="0.35">
      <c r="A188" s="3" t="s">
        <v>914</v>
      </c>
      <c r="B188" s="3" t="s">
        <v>20</v>
      </c>
      <c r="C188" s="3" t="s">
        <v>971</v>
      </c>
      <c r="D188" s="3" t="s">
        <v>918</v>
      </c>
      <c r="E188" s="3"/>
      <c r="F188" s="3"/>
      <c r="G188" s="3"/>
      <c r="H188" s="3"/>
    </row>
    <row r="189" spans="1:8" x14ac:dyDescent="0.35">
      <c r="A189" s="3" t="s">
        <v>914</v>
      </c>
      <c r="B189" s="3" t="s">
        <v>20</v>
      </c>
      <c r="C189" s="3" t="s">
        <v>971</v>
      </c>
      <c r="D189" s="3" t="s">
        <v>77</v>
      </c>
      <c r="E189" s="3"/>
      <c r="F189" s="3"/>
      <c r="G189" s="3"/>
      <c r="H189" s="3"/>
    </row>
    <row r="190" spans="1:8" x14ac:dyDescent="0.35">
      <c r="A190" s="3" t="s">
        <v>914</v>
      </c>
      <c r="B190" s="3" t="s">
        <v>20</v>
      </c>
      <c r="C190" s="3" t="s">
        <v>971</v>
      </c>
      <c r="D190" s="3" t="s">
        <v>28</v>
      </c>
      <c r="E190" s="3"/>
      <c r="F190" s="3" t="s">
        <v>2288</v>
      </c>
      <c r="G190" s="3"/>
      <c r="H190" s="3"/>
    </row>
    <row r="191" spans="1:8" x14ac:dyDescent="0.35">
      <c r="A191" s="3" t="s">
        <v>914</v>
      </c>
      <c r="B191" s="3" t="s">
        <v>20</v>
      </c>
      <c r="C191" s="3" t="s">
        <v>971</v>
      </c>
      <c r="D191" s="3" t="s">
        <v>242</v>
      </c>
      <c r="E191" s="3"/>
      <c r="F191" s="3" t="s">
        <v>2437</v>
      </c>
      <c r="G191" s="3"/>
      <c r="H191" s="3"/>
    </row>
    <row r="192" spans="1:8" x14ac:dyDescent="0.35">
      <c r="A192" s="3" t="s">
        <v>914</v>
      </c>
      <c r="B192" s="3" t="s">
        <v>20</v>
      </c>
      <c r="C192" s="3" t="s">
        <v>971</v>
      </c>
      <c r="D192" s="3" t="s">
        <v>15</v>
      </c>
      <c r="E192" s="3"/>
      <c r="F192" s="3"/>
      <c r="G192" s="3"/>
      <c r="H192" s="3"/>
    </row>
    <row r="193" spans="1:8" x14ac:dyDescent="0.35">
      <c r="A193" s="3" t="s">
        <v>914</v>
      </c>
      <c r="B193" s="3" t="s">
        <v>20</v>
      </c>
      <c r="C193" s="3" t="s">
        <v>971</v>
      </c>
      <c r="D193" s="3" t="s">
        <v>56</v>
      </c>
      <c r="E193" s="3"/>
      <c r="F193" s="3"/>
      <c r="G193" s="3"/>
      <c r="H193" s="3"/>
    </row>
    <row r="194" spans="1:8" x14ac:dyDescent="0.35">
      <c r="A194" s="3" t="s">
        <v>914</v>
      </c>
      <c r="B194" s="3" t="s">
        <v>20</v>
      </c>
      <c r="C194" s="3" t="s">
        <v>971</v>
      </c>
      <c r="D194" s="3" t="s">
        <v>89</v>
      </c>
      <c r="E194" s="3" t="s">
        <v>16</v>
      </c>
      <c r="F194" s="3" t="s">
        <v>919</v>
      </c>
      <c r="G194" s="3"/>
      <c r="H194" s="3"/>
    </row>
    <row r="195" spans="1:8" x14ac:dyDescent="0.35">
      <c r="A195" s="3" t="s">
        <v>914</v>
      </c>
      <c r="B195" s="3" t="s">
        <v>20</v>
      </c>
      <c r="C195" s="3" t="s">
        <v>971</v>
      </c>
      <c r="D195" s="3" t="s">
        <v>191</v>
      </c>
      <c r="E195" s="3"/>
      <c r="F195" s="3"/>
      <c r="G195" s="3"/>
      <c r="H195" s="3"/>
    </row>
    <row r="196" spans="1:8" x14ac:dyDescent="0.35">
      <c r="A196" s="3" t="s">
        <v>914</v>
      </c>
      <c r="B196" s="3" t="s">
        <v>39</v>
      </c>
      <c r="C196" s="3" t="s">
        <v>972</v>
      </c>
      <c r="D196" s="3" t="s">
        <v>12</v>
      </c>
      <c r="E196" s="3"/>
      <c r="F196" s="3"/>
      <c r="G196" s="3"/>
      <c r="H196" s="3"/>
    </row>
    <row r="197" spans="1:8" x14ac:dyDescent="0.35">
      <c r="A197" s="3" t="s">
        <v>914</v>
      </c>
      <c r="B197" s="3" t="s">
        <v>39</v>
      </c>
      <c r="C197" s="3" t="s">
        <v>972</v>
      </c>
      <c r="D197" s="3" t="s">
        <v>15</v>
      </c>
      <c r="E197" s="3" t="s">
        <v>16</v>
      </c>
      <c r="F197" s="3" t="s">
        <v>2692</v>
      </c>
      <c r="G197" s="3"/>
      <c r="H197" s="3"/>
    </row>
    <row r="198" spans="1:8" x14ac:dyDescent="0.35">
      <c r="A198" s="3" t="s">
        <v>914</v>
      </c>
      <c r="B198" s="3" t="s">
        <v>39</v>
      </c>
      <c r="C198" s="3" t="s">
        <v>972</v>
      </c>
      <c r="D198" s="3" t="s">
        <v>32</v>
      </c>
      <c r="E198" s="3" t="s">
        <v>16</v>
      </c>
      <c r="F198" s="3" t="s">
        <v>973</v>
      </c>
      <c r="G198" s="3"/>
      <c r="H198" s="3"/>
    </row>
    <row r="199" spans="1:8" x14ac:dyDescent="0.35">
      <c r="A199" s="3" t="s">
        <v>914</v>
      </c>
      <c r="B199" s="3" t="s">
        <v>45</v>
      </c>
      <c r="C199" s="3" t="s">
        <v>974</v>
      </c>
      <c r="D199" s="3" t="s">
        <v>23</v>
      </c>
      <c r="E199" s="3"/>
      <c r="F199" s="3"/>
      <c r="G199" s="3"/>
      <c r="H199" s="3"/>
    </row>
    <row r="200" spans="1:8" x14ac:dyDescent="0.35">
      <c r="A200" s="3" t="s">
        <v>914</v>
      </c>
      <c r="B200" s="3" t="s">
        <v>45</v>
      </c>
      <c r="C200" s="3" t="s">
        <v>975</v>
      </c>
      <c r="D200" s="3" t="s">
        <v>966</v>
      </c>
      <c r="E200" s="3"/>
      <c r="F200" s="3"/>
      <c r="G200" s="3"/>
      <c r="H200" s="3"/>
    </row>
    <row r="201" spans="1:8" x14ac:dyDescent="0.35">
      <c r="A201" s="3" t="s">
        <v>914</v>
      </c>
      <c r="B201" s="3" t="s">
        <v>45</v>
      </c>
      <c r="C201" s="3" t="s">
        <v>975</v>
      </c>
      <c r="D201" s="3" t="s">
        <v>36</v>
      </c>
      <c r="E201" s="3"/>
      <c r="F201" s="3"/>
      <c r="G201" s="3"/>
      <c r="H201" s="3"/>
    </row>
    <row r="202" spans="1:8" x14ac:dyDescent="0.35">
      <c r="A202" s="3" t="s">
        <v>914</v>
      </c>
      <c r="B202" s="3" t="s">
        <v>45</v>
      </c>
      <c r="C202" s="3" t="s">
        <v>975</v>
      </c>
      <c r="D202" s="3" t="s">
        <v>47</v>
      </c>
      <c r="E202" s="3"/>
      <c r="F202" s="3"/>
      <c r="G202" s="3"/>
      <c r="H202" s="3"/>
    </row>
    <row r="203" spans="1:8" x14ac:dyDescent="0.35">
      <c r="A203" s="3" t="s">
        <v>914</v>
      </c>
      <c r="B203" s="3" t="s">
        <v>45</v>
      </c>
      <c r="C203" s="3" t="s">
        <v>975</v>
      </c>
      <c r="D203" s="3" t="s">
        <v>15</v>
      </c>
      <c r="E203" s="3"/>
      <c r="F203" s="3"/>
      <c r="G203" s="3"/>
      <c r="H203" s="3"/>
    </row>
    <row r="204" spans="1:8" x14ac:dyDescent="0.35">
      <c r="A204" s="3" t="s">
        <v>914</v>
      </c>
      <c r="B204" s="3" t="s">
        <v>45</v>
      </c>
      <c r="C204" s="3" t="s">
        <v>975</v>
      </c>
      <c r="D204" s="3" t="s">
        <v>56</v>
      </c>
      <c r="E204" s="3"/>
      <c r="F204" s="3"/>
      <c r="G204" s="3"/>
      <c r="H204" s="3"/>
    </row>
    <row r="205" spans="1:8" x14ac:dyDescent="0.35">
      <c r="A205" s="3" t="s">
        <v>914</v>
      </c>
      <c r="B205" s="3" t="s">
        <v>45</v>
      </c>
      <c r="C205" s="3" t="s">
        <v>975</v>
      </c>
      <c r="D205" s="3" t="s">
        <v>152</v>
      </c>
      <c r="E205" s="3"/>
      <c r="F205" s="3" t="s">
        <v>2447</v>
      </c>
      <c r="G205" s="3"/>
      <c r="H205" s="3"/>
    </row>
    <row r="206" spans="1:8" x14ac:dyDescent="0.35">
      <c r="A206" s="3" t="s">
        <v>914</v>
      </c>
      <c r="B206" s="3" t="s">
        <v>45</v>
      </c>
      <c r="C206" s="3" t="s">
        <v>975</v>
      </c>
      <c r="D206" s="3" t="s">
        <v>191</v>
      </c>
      <c r="E206" s="3"/>
      <c r="F206" s="3"/>
      <c r="G206" s="3"/>
      <c r="H206" s="3"/>
    </row>
    <row r="207" spans="1:8" x14ac:dyDescent="0.35">
      <c r="A207" s="3" t="s">
        <v>914</v>
      </c>
      <c r="B207" s="3" t="s">
        <v>45</v>
      </c>
      <c r="C207" s="3" t="s">
        <v>975</v>
      </c>
      <c r="D207" s="3" t="s">
        <v>244</v>
      </c>
      <c r="E207" s="3"/>
      <c r="F207" s="3" t="s">
        <v>2446</v>
      </c>
      <c r="G207" s="3"/>
      <c r="H207" s="3"/>
    </row>
    <row r="208" spans="1:8" x14ac:dyDescent="0.35">
      <c r="A208" s="3" t="s">
        <v>914</v>
      </c>
      <c r="B208" s="3" t="s">
        <v>45</v>
      </c>
      <c r="C208" s="3" t="s">
        <v>976</v>
      </c>
      <c r="D208" s="3" t="s">
        <v>15</v>
      </c>
      <c r="E208" s="3"/>
      <c r="F208" s="3"/>
      <c r="G208" s="3"/>
      <c r="H208" s="3"/>
    </row>
    <row r="209" spans="1:8" x14ac:dyDescent="0.35">
      <c r="A209" s="3" t="s">
        <v>914</v>
      </c>
      <c r="B209" s="3" t="s">
        <v>45</v>
      </c>
      <c r="C209" s="3" t="s">
        <v>976</v>
      </c>
      <c r="D209" s="3" t="s">
        <v>56</v>
      </c>
      <c r="E209" s="3"/>
      <c r="F209" s="3" t="s">
        <v>2318</v>
      </c>
      <c r="G209" s="3"/>
      <c r="H209" s="3"/>
    </row>
    <row r="210" spans="1:8" x14ac:dyDescent="0.35">
      <c r="A210" s="3" t="s">
        <v>914</v>
      </c>
      <c r="B210" s="3" t="s">
        <v>20</v>
      </c>
      <c r="C210" s="3" t="s">
        <v>977</v>
      </c>
      <c r="D210" s="3" t="s">
        <v>918</v>
      </c>
      <c r="E210" s="3"/>
      <c r="F210" s="3"/>
      <c r="G210" s="3"/>
      <c r="H210" s="3"/>
    </row>
    <row r="211" spans="1:8" x14ac:dyDescent="0.35">
      <c r="A211" s="3" t="s">
        <v>914</v>
      </c>
      <c r="B211" s="3" t="s">
        <v>20</v>
      </c>
      <c r="C211" s="3" t="s">
        <v>977</v>
      </c>
      <c r="D211" s="3" t="s">
        <v>60</v>
      </c>
      <c r="E211" s="3"/>
      <c r="F211" s="3"/>
      <c r="G211" s="3"/>
      <c r="H211" s="3"/>
    </row>
    <row r="212" spans="1:8" x14ac:dyDescent="0.35">
      <c r="A212" s="3" t="s">
        <v>914</v>
      </c>
      <c r="B212" s="3" t="s">
        <v>20</v>
      </c>
      <c r="C212" s="3" t="s">
        <v>977</v>
      </c>
      <c r="D212" s="3" t="s">
        <v>27</v>
      </c>
      <c r="E212" s="3"/>
      <c r="F212" s="3" t="s">
        <v>2287</v>
      </c>
      <c r="G212" s="3"/>
      <c r="H212" s="3"/>
    </row>
    <row r="213" spans="1:8" x14ac:dyDescent="0.35">
      <c r="A213" s="3" t="s">
        <v>914</v>
      </c>
      <c r="B213" s="3" t="s">
        <v>20</v>
      </c>
      <c r="C213" s="3" t="s">
        <v>977</v>
      </c>
      <c r="D213" s="3" t="s">
        <v>77</v>
      </c>
      <c r="E213" s="3"/>
      <c r="F213" s="3"/>
      <c r="G213" s="3"/>
      <c r="H213" s="3"/>
    </row>
    <row r="214" spans="1:8" x14ac:dyDescent="0.35">
      <c r="A214" s="3" t="s">
        <v>914</v>
      </c>
      <c r="B214" s="3" t="s">
        <v>20</v>
      </c>
      <c r="C214" s="3" t="s">
        <v>977</v>
      </c>
      <c r="D214" s="3" t="s">
        <v>28</v>
      </c>
      <c r="E214" s="3"/>
      <c r="F214" s="3" t="s">
        <v>2288</v>
      </c>
      <c r="G214" s="3"/>
      <c r="H214" s="3"/>
    </row>
    <row r="215" spans="1:8" x14ac:dyDescent="0.35">
      <c r="A215" s="3" t="s">
        <v>914</v>
      </c>
      <c r="B215" s="3" t="s">
        <v>20</v>
      </c>
      <c r="C215" s="3" t="s">
        <v>977</v>
      </c>
      <c r="D215" s="3" t="s">
        <v>15</v>
      </c>
      <c r="E215" s="3"/>
      <c r="F215" s="3"/>
      <c r="G215" s="3"/>
      <c r="H215" s="3"/>
    </row>
    <row r="216" spans="1:8" x14ac:dyDescent="0.35">
      <c r="A216" s="3" t="s">
        <v>914</v>
      </c>
      <c r="B216" s="3" t="s">
        <v>20</v>
      </c>
      <c r="C216" s="3" t="s">
        <v>977</v>
      </c>
      <c r="D216" s="3" t="s">
        <v>56</v>
      </c>
      <c r="E216" s="3"/>
      <c r="F216" s="3"/>
      <c r="G216" s="3"/>
      <c r="H216" s="3"/>
    </row>
    <row r="217" spans="1:8" x14ac:dyDescent="0.35">
      <c r="A217" s="3" t="s">
        <v>914</v>
      </c>
      <c r="B217" s="3" t="s">
        <v>20</v>
      </c>
      <c r="C217" s="3" t="s">
        <v>977</v>
      </c>
      <c r="D217" s="3" t="s">
        <v>89</v>
      </c>
      <c r="E217" s="3"/>
      <c r="F217" s="3"/>
      <c r="G217" s="3"/>
      <c r="H217" s="3"/>
    </row>
    <row r="218" spans="1:8" x14ac:dyDescent="0.35">
      <c r="A218" s="3" t="s">
        <v>914</v>
      </c>
      <c r="B218" s="3" t="s">
        <v>20</v>
      </c>
      <c r="C218" s="3" t="s">
        <v>977</v>
      </c>
      <c r="D218" s="3" t="s">
        <v>191</v>
      </c>
      <c r="E218" s="3"/>
      <c r="F218" s="3"/>
      <c r="G218" s="3"/>
      <c r="H218" s="3"/>
    </row>
    <row r="219" spans="1:8" x14ac:dyDescent="0.35">
      <c r="A219" s="3" t="s">
        <v>914</v>
      </c>
      <c r="B219" s="3" t="s">
        <v>20</v>
      </c>
      <c r="C219" s="3" t="s">
        <v>978</v>
      </c>
      <c r="D219" s="3" t="s">
        <v>36</v>
      </c>
      <c r="E219" s="3"/>
      <c r="F219" s="3"/>
      <c r="G219" s="3"/>
      <c r="H219" s="3"/>
    </row>
    <row r="220" spans="1:8" x14ac:dyDescent="0.35">
      <c r="A220" s="3" t="s">
        <v>914</v>
      </c>
      <c r="B220" s="3" t="s">
        <v>20</v>
      </c>
      <c r="C220" s="3" t="s">
        <v>978</v>
      </c>
      <c r="D220" s="3" t="s">
        <v>87</v>
      </c>
      <c r="E220" s="3"/>
      <c r="F220" s="3"/>
      <c r="G220" s="3"/>
      <c r="H220" s="3"/>
    </row>
    <row r="221" spans="1:8" x14ac:dyDescent="0.35">
      <c r="A221" s="3" t="s">
        <v>914</v>
      </c>
      <c r="B221" s="3" t="s">
        <v>20</v>
      </c>
      <c r="C221" s="3" t="s">
        <v>978</v>
      </c>
      <c r="D221" s="3" t="s">
        <v>98</v>
      </c>
      <c r="E221" s="3"/>
      <c r="F221" s="3"/>
      <c r="G221" s="3"/>
      <c r="H221" s="3"/>
    </row>
    <row r="222" spans="1:8" x14ac:dyDescent="0.35">
      <c r="A222" s="3" t="s">
        <v>914</v>
      </c>
      <c r="B222" s="3" t="s">
        <v>20</v>
      </c>
      <c r="C222" s="3" t="s">
        <v>979</v>
      </c>
      <c r="D222" s="3" t="s">
        <v>918</v>
      </c>
      <c r="E222" s="3"/>
      <c r="F222" s="3"/>
      <c r="G222" s="3"/>
      <c r="H222" s="3"/>
    </row>
    <row r="223" spans="1:8" x14ac:dyDescent="0.35">
      <c r="A223" s="3" t="s">
        <v>914</v>
      </c>
      <c r="B223" s="3" t="s">
        <v>20</v>
      </c>
      <c r="C223" s="3" t="s">
        <v>979</v>
      </c>
      <c r="D223" s="3" t="s">
        <v>60</v>
      </c>
      <c r="E223" s="3"/>
      <c r="F223" s="3"/>
      <c r="G223" s="3"/>
      <c r="H223" s="3"/>
    </row>
    <row r="224" spans="1:8" x14ac:dyDescent="0.35">
      <c r="A224" s="3" t="s">
        <v>914</v>
      </c>
      <c r="B224" s="3" t="s">
        <v>20</v>
      </c>
      <c r="C224" s="3" t="s">
        <v>979</v>
      </c>
      <c r="D224" s="3" t="s">
        <v>27</v>
      </c>
      <c r="E224" s="3"/>
      <c r="F224" s="3" t="s">
        <v>2287</v>
      </c>
      <c r="G224" s="3"/>
      <c r="H224" s="3"/>
    </row>
    <row r="225" spans="1:8" x14ac:dyDescent="0.35">
      <c r="A225" s="3" t="s">
        <v>914</v>
      </c>
      <c r="B225" s="3" t="s">
        <v>20</v>
      </c>
      <c r="C225" s="3" t="s">
        <v>979</v>
      </c>
      <c r="D225" s="3" t="s">
        <v>77</v>
      </c>
      <c r="E225" s="3"/>
      <c r="F225" s="3"/>
      <c r="G225" s="3"/>
      <c r="H225" s="3"/>
    </row>
    <row r="226" spans="1:8" x14ac:dyDescent="0.35">
      <c r="A226" s="3" t="s">
        <v>914</v>
      </c>
      <c r="B226" s="3" t="s">
        <v>20</v>
      </c>
      <c r="C226" s="3" t="s">
        <v>979</v>
      </c>
      <c r="D226" s="3" t="s">
        <v>28</v>
      </c>
      <c r="E226" s="3"/>
      <c r="F226" s="3" t="s">
        <v>2288</v>
      </c>
      <c r="G226" s="3"/>
      <c r="H226" s="3"/>
    </row>
    <row r="227" spans="1:8" x14ac:dyDescent="0.35">
      <c r="A227" s="3" t="s">
        <v>914</v>
      </c>
      <c r="B227" s="3" t="s">
        <v>20</v>
      </c>
      <c r="C227" s="3" t="s">
        <v>979</v>
      </c>
      <c r="D227" s="3" t="s">
        <v>242</v>
      </c>
      <c r="E227" s="3"/>
      <c r="F227" s="3" t="s">
        <v>2457</v>
      </c>
      <c r="G227" s="3"/>
      <c r="H227" s="3"/>
    </row>
    <row r="228" spans="1:8" x14ac:dyDescent="0.35">
      <c r="A228" s="3" t="s">
        <v>914</v>
      </c>
      <c r="B228" s="3" t="s">
        <v>20</v>
      </c>
      <c r="C228" s="3" t="s">
        <v>979</v>
      </c>
      <c r="D228" s="3" t="s">
        <v>15</v>
      </c>
      <c r="E228" s="3"/>
      <c r="F228" s="3"/>
      <c r="G228" s="3"/>
      <c r="H228" s="3"/>
    </row>
    <row r="229" spans="1:8" x14ac:dyDescent="0.35">
      <c r="A229" s="3" t="s">
        <v>914</v>
      </c>
      <c r="B229" s="3" t="s">
        <v>20</v>
      </c>
      <c r="C229" s="3" t="s">
        <v>979</v>
      </c>
      <c r="D229" s="3" t="s">
        <v>56</v>
      </c>
      <c r="E229" s="3"/>
      <c r="F229" s="3"/>
      <c r="G229" s="3"/>
      <c r="H229" s="3"/>
    </row>
    <row r="230" spans="1:8" x14ac:dyDescent="0.35">
      <c r="A230" s="3" t="s">
        <v>914</v>
      </c>
      <c r="B230" s="3" t="s">
        <v>20</v>
      </c>
      <c r="C230" s="3" t="s">
        <v>979</v>
      </c>
      <c r="D230" s="3" t="s">
        <v>89</v>
      </c>
      <c r="E230" s="3"/>
      <c r="F230" s="3"/>
      <c r="G230" s="3"/>
      <c r="H230" s="3"/>
    </row>
    <row r="231" spans="1:8" x14ac:dyDescent="0.35">
      <c r="A231" s="3" t="s">
        <v>914</v>
      </c>
      <c r="B231" s="3" t="s">
        <v>20</v>
      </c>
      <c r="C231" s="3" t="s">
        <v>979</v>
      </c>
      <c r="D231" s="3" t="s">
        <v>29</v>
      </c>
      <c r="E231" s="3" t="s">
        <v>33</v>
      </c>
      <c r="F231" s="3" t="s">
        <v>34</v>
      </c>
      <c r="G231" s="3"/>
      <c r="H231" s="3"/>
    </row>
    <row r="232" spans="1:8" x14ac:dyDescent="0.35">
      <c r="A232" s="3" t="s">
        <v>914</v>
      </c>
      <c r="B232" s="3" t="s">
        <v>20</v>
      </c>
      <c r="C232" s="3" t="s">
        <v>979</v>
      </c>
      <c r="D232" s="3" t="s">
        <v>24</v>
      </c>
      <c r="E232" s="3"/>
      <c r="F232" s="3"/>
      <c r="G232" s="3"/>
      <c r="H232" s="3"/>
    </row>
    <row r="233" spans="1:8" x14ac:dyDescent="0.35">
      <c r="A233" s="3" t="s">
        <v>914</v>
      </c>
      <c r="B233" s="3" t="s">
        <v>20</v>
      </c>
      <c r="C233" s="3" t="s">
        <v>979</v>
      </c>
      <c r="D233" s="3" t="s">
        <v>191</v>
      </c>
      <c r="E233" s="3"/>
      <c r="F233" s="3"/>
      <c r="G233" s="3"/>
      <c r="H233" s="3"/>
    </row>
    <row r="234" spans="1:8" x14ac:dyDescent="0.35">
      <c r="A234" s="3" t="s">
        <v>914</v>
      </c>
      <c r="B234" s="3" t="s">
        <v>20</v>
      </c>
      <c r="C234" s="3" t="s">
        <v>980</v>
      </c>
      <c r="D234" s="3" t="s">
        <v>36</v>
      </c>
      <c r="E234" s="3"/>
      <c r="F234" s="3"/>
      <c r="G234" s="3"/>
      <c r="H234" s="3"/>
    </row>
    <row r="235" spans="1:8" x14ac:dyDescent="0.35">
      <c r="A235" s="3" t="s">
        <v>914</v>
      </c>
      <c r="B235" s="3" t="s">
        <v>20</v>
      </c>
      <c r="C235" s="3" t="s">
        <v>980</v>
      </c>
      <c r="D235" s="3" t="s">
        <v>15</v>
      </c>
      <c r="E235" s="3" t="s">
        <v>16</v>
      </c>
      <c r="F235" s="3" t="s">
        <v>981</v>
      </c>
      <c r="G235" s="3"/>
      <c r="H235" s="3"/>
    </row>
    <row r="236" spans="1:8" x14ac:dyDescent="0.35">
      <c r="A236" s="3" t="s">
        <v>914</v>
      </c>
      <c r="B236" s="3" t="s">
        <v>20</v>
      </c>
      <c r="C236" s="3" t="s">
        <v>982</v>
      </c>
      <c r="D236" s="3" t="s">
        <v>25</v>
      </c>
      <c r="E236" s="3"/>
      <c r="F236" s="3"/>
      <c r="G236" s="3"/>
      <c r="H236" s="3"/>
    </row>
    <row r="237" spans="1:8" x14ac:dyDescent="0.35">
      <c r="A237" s="3" t="s">
        <v>914</v>
      </c>
      <c r="B237" s="3" t="s">
        <v>20</v>
      </c>
      <c r="C237" s="3" t="s">
        <v>982</v>
      </c>
      <c r="D237" s="3" t="s">
        <v>60</v>
      </c>
      <c r="E237" s="3" t="s">
        <v>13</v>
      </c>
      <c r="F237" s="3" t="s">
        <v>365</v>
      </c>
      <c r="G237" s="3"/>
      <c r="H237" s="3"/>
    </row>
    <row r="238" spans="1:8" x14ac:dyDescent="0.35">
      <c r="A238" s="3" t="s">
        <v>914</v>
      </c>
      <c r="B238" s="3" t="s">
        <v>20</v>
      </c>
      <c r="C238" s="3" t="s">
        <v>982</v>
      </c>
      <c r="D238" s="3" t="s">
        <v>87</v>
      </c>
      <c r="E238" s="3" t="s">
        <v>16</v>
      </c>
      <c r="F238" s="3" t="s">
        <v>365</v>
      </c>
      <c r="G238" s="3"/>
      <c r="H238" s="3"/>
    </row>
    <row r="239" spans="1:8" x14ac:dyDescent="0.35">
      <c r="A239" s="3" t="s">
        <v>914</v>
      </c>
      <c r="B239" s="3" t="s">
        <v>20</v>
      </c>
      <c r="C239" s="3" t="s">
        <v>982</v>
      </c>
      <c r="D239" s="3" t="s">
        <v>134</v>
      </c>
      <c r="E239" s="3" t="s">
        <v>16</v>
      </c>
      <c r="F239" s="3" t="s">
        <v>983</v>
      </c>
      <c r="G239" s="3"/>
      <c r="H239" s="3"/>
    </row>
    <row r="240" spans="1:8" x14ac:dyDescent="0.35">
      <c r="A240" s="3" t="s">
        <v>914</v>
      </c>
      <c r="B240" s="3" t="s">
        <v>20</v>
      </c>
      <c r="C240" s="3" t="s">
        <v>982</v>
      </c>
      <c r="D240" s="3" t="s">
        <v>107</v>
      </c>
      <c r="E240" s="3" t="s">
        <v>16</v>
      </c>
      <c r="F240" s="3" t="s">
        <v>365</v>
      </c>
      <c r="G240" s="3"/>
      <c r="H240" s="3"/>
    </row>
    <row r="241" spans="1:8" x14ac:dyDescent="0.35">
      <c r="A241" s="3" t="s">
        <v>914</v>
      </c>
      <c r="B241" s="3" t="s">
        <v>20</v>
      </c>
      <c r="C241" s="3" t="s">
        <v>984</v>
      </c>
      <c r="D241" s="3" t="s">
        <v>25</v>
      </c>
      <c r="E241" s="3"/>
      <c r="F241" s="3"/>
      <c r="G241" s="3"/>
      <c r="H241" s="3"/>
    </row>
    <row r="242" spans="1:8" x14ac:dyDescent="0.35">
      <c r="A242" s="3" t="s">
        <v>914</v>
      </c>
      <c r="B242" s="3" t="s">
        <v>20</v>
      </c>
      <c r="C242" s="3" t="s">
        <v>984</v>
      </c>
      <c r="D242" s="3" t="s">
        <v>87</v>
      </c>
      <c r="E242" s="3"/>
      <c r="F242" s="3" t="s">
        <v>2461</v>
      </c>
      <c r="G242" s="3"/>
      <c r="H242" s="3"/>
    </row>
    <row r="243" spans="1:8" x14ac:dyDescent="0.35">
      <c r="A243" s="3" t="s">
        <v>914</v>
      </c>
      <c r="B243" s="3" t="s">
        <v>20</v>
      </c>
      <c r="C243" s="3" t="s">
        <v>984</v>
      </c>
      <c r="D243" s="3" t="s">
        <v>31</v>
      </c>
      <c r="E243" s="3" t="s">
        <v>33</v>
      </c>
      <c r="F243" s="3" t="s">
        <v>985</v>
      </c>
      <c r="G243" s="3"/>
      <c r="H243" s="3"/>
    </row>
    <row r="244" spans="1:8" x14ac:dyDescent="0.35">
      <c r="A244" s="3" t="s">
        <v>914</v>
      </c>
      <c r="B244" s="3" t="s">
        <v>20</v>
      </c>
      <c r="C244" s="3" t="s">
        <v>984</v>
      </c>
      <c r="D244" s="3" t="s">
        <v>15</v>
      </c>
      <c r="E244" s="3" t="s">
        <v>16</v>
      </c>
      <c r="F244" s="3" t="s">
        <v>2508</v>
      </c>
      <c r="G244" s="3"/>
      <c r="H244" s="3"/>
    </row>
    <row r="245" spans="1:8" x14ac:dyDescent="0.35">
      <c r="A245" s="3" t="s">
        <v>914</v>
      </c>
      <c r="B245" s="3" t="s">
        <v>20</v>
      </c>
      <c r="C245" s="3" t="s">
        <v>984</v>
      </c>
      <c r="D245" s="3" t="s">
        <v>56</v>
      </c>
      <c r="E245" s="3"/>
      <c r="F245" s="3"/>
      <c r="G245" s="3"/>
      <c r="H245" s="3"/>
    </row>
    <row r="246" spans="1:8" x14ac:dyDescent="0.35">
      <c r="A246" s="3" t="s">
        <v>914</v>
      </c>
      <c r="B246" s="3" t="s">
        <v>20</v>
      </c>
      <c r="C246" s="3" t="s">
        <v>984</v>
      </c>
      <c r="D246" s="3" t="s">
        <v>107</v>
      </c>
      <c r="E246" s="3" t="s">
        <v>16</v>
      </c>
      <c r="F246" s="3" t="s">
        <v>365</v>
      </c>
      <c r="G246" s="3"/>
      <c r="H246" s="3"/>
    </row>
    <row r="247" spans="1:8" x14ac:dyDescent="0.35">
      <c r="A247" s="3" t="s">
        <v>914</v>
      </c>
      <c r="B247" s="3" t="s">
        <v>302</v>
      </c>
      <c r="C247" s="3" t="s">
        <v>986</v>
      </c>
      <c r="D247" s="3" t="s">
        <v>25</v>
      </c>
      <c r="E247" s="3"/>
      <c r="F247" s="3"/>
      <c r="G247" s="3"/>
      <c r="H247" s="3"/>
    </row>
    <row r="248" spans="1:8" x14ac:dyDescent="0.35">
      <c r="A248" s="3" t="s">
        <v>914</v>
      </c>
      <c r="B248" s="3" t="s">
        <v>302</v>
      </c>
      <c r="C248" s="3" t="s">
        <v>986</v>
      </c>
      <c r="D248" s="3" t="s">
        <v>15</v>
      </c>
      <c r="E248" s="3"/>
      <c r="F248" s="3"/>
      <c r="G248" s="3"/>
      <c r="H248" s="3"/>
    </row>
    <row r="249" spans="1:8" x14ac:dyDescent="0.35">
      <c r="A249" s="3" t="s">
        <v>914</v>
      </c>
      <c r="B249" s="3" t="s">
        <v>45</v>
      </c>
      <c r="C249" s="3" t="s">
        <v>987</v>
      </c>
      <c r="D249" s="3" t="s">
        <v>15</v>
      </c>
      <c r="E249" s="3"/>
      <c r="F249" s="3"/>
      <c r="G249" s="3"/>
      <c r="H249" s="3"/>
    </row>
    <row r="250" spans="1:8" x14ac:dyDescent="0.35">
      <c r="A250" s="3" t="s">
        <v>914</v>
      </c>
      <c r="B250" s="3" t="s">
        <v>45</v>
      </c>
      <c r="C250" s="3" t="s">
        <v>987</v>
      </c>
      <c r="D250" s="3" t="s">
        <v>56</v>
      </c>
      <c r="E250" s="3"/>
      <c r="F250" s="3" t="s">
        <v>2318</v>
      </c>
      <c r="G250" s="3"/>
      <c r="H250" s="3"/>
    </row>
    <row r="251" spans="1:8" x14ac:dyDescent="0.35">
      <c r="A251" s="3" t="s">
        <v>914</v>
      </c>
      <c r="B251" s="3" t="s">
        <v>20</v>
      </c>
      <c r="C251" s="3" t="s">
        <v>988</v>
      </c>
      <c r="D251" s="3" t="s">
        <v>918</v>
      </c>
      <c r="E251" s="3"/>
      <c r="F251" s="3"/>
      <c r="G251" s="3"/>
      <c r="H251" s="3"/>
    </row>
    <row r="252" spans="1:8" x14ac:dyDescent="0.35">
      <c r="A252" s="3" t="s">
        <v>914</v>
      </c>
      <c r="B252" s="3" t="s">
        <v>20</v>
      </c>
      <c r="C252" s="3" t="s">
        <v>988</v>
      </c>
      <c r="D252" s="3" t="s">
        <v>12</v>
      </c>
      <c r="E252" s="3"/>
      <c r="F252" s="3"/>
      <c r="G252" s="3"/>
      <c r="H252" s="3"/>
    </row>
    <row r="253" spans="1:8" x14ac:dyDescent="0.35">
      <c r="A253" s="3" t="s">
        <v>914</v>
      </c>
      <c r="B253" s="3" t="s">
        <v>20</v>
      </c>
      <c r="C253" s="3" t="s">
        <v>988</v>
      </c>
      <c r="D253" s="3" t="s">
        <v>60</v>
      </c>
      <c r="E253" s="3"/>
      <c r="F253" s="3"/>
      <c r="G253" s="3"/>
      <c r="H253" s="3"/>
    </row>
    <row r="254" spans="1:8" x14ac:dyDescent="0.35">
      <c r="A254" s="3" t="s">
        <v>914</v>
      </c>
      <c r="B254" s="3" t="s">
        <v>20</v>
      </c>
      <c r="C254" s="3" t="s">
        <v>988</v>
      </c>
      <c r="D254" s="3" t="s">
        <v>77</v>
      </c>
      <c r="E254" s="3"/>
      <c r="F254" s="3"/>
      <c r="G254" s="3"/>
      <c r="H254" s="3"/>
    </row>
    <row r="255" spans="1:8" x14ac:dyDescent="0.35">
      <c r="A255" s="3" t="s">
        <v>914</v>
      </c>
      <c r="B255" s="3" t="s">
        <v>20</v>
      </c>
      <c r="C255" s="3" t="s">
        <v>988</v>
      </c>
      <c r="D255" s="3" t="s">
        <v>28</v>
      </c>
      <c r="E255" s="3" t="s">
        <v>33</v>
      </c>
      <c r="F255" s="3" t="s">
        <v>34</v>
      </c>
      <c r="G255" s="3"/>
      <c r="H255" s="3"/>
    </row>
    <row r="256" spans="1:8" x14ac:dyDescent="0.35">
      <c r="A256" s="3" t="s">
        <v>914</v>
      </c>
      <c r="B256" s="3" t="s">
        <v>20</v>
      </c>
      <c r="C256" s="3" t="s">
        <v>988</v>
      </c>
      <c r="D256" s="3" t="s">
        <v>242</v>
      </c>
      <c r="E256" s="3"/>
      <c r="F256" s="3" t="s">
        <v>2445</v>
      </c>
      <c r="G256" s="3"/>
      <c r="H256" s="3"/>
    </row>
    <row r="257" spans="1:8" x14ac:dyDescent="0.35">
      <c r="A257" s="3" t="s">
        <v>914</v>
      </c>
      <c r="B257" s="3" t="s">
        <v>20</v>
      </c>
      <c r="C257" s="3" t="s">
        <v>988</v>
      </c>
      <c r="D257" s="3" t="s">
        <v>989</v>
      </c>
      <c r="E257" s="3"/>
      <c r="F257" s="3"/>
      <c r="G257" s="3"/>
      <c r="H257" s="3"/>
    </row>
    <row r="258" spans="1:8" x14ac:dyDescent="0.35">
      <c r="A258" s="3" t="s">
        <v>914</v>
      </c>
      <c r="B258" s="3" t="s">
        <v>20</v>
      </c>
      <c r="C258" s="3" t="s">
        <v>988</v>
      </c>
      <c r="D258" s="3" t="s">
        <v>15</v>
      </c>
      <c r="E258" s="3" t="s">
        <v>33</v>
      </c>
      <c r="F258" s="3" t="s">
        <v>34</v>
      </c>
      <c r="G258" s="3"/>
      <c r="H258" s="3"/>
    </row>
    <row r="259" spans="1:8" x14ac:dyDescent="0.35">
      <c r="A259" s="3" t="s">
        <v>914</v>
      </c>
      <c r="B259" s="3" t="s">
        <v>20</v>
      </c>
      <c r="C259" s="3" t="s">
        <v>988</v>
      </c>
      <c r="D259" s="3" t="s">
        <v>56</v>
      </c>
      <c r="E259" s="3"/>
      <c r="F259" s="3" t="s">
        <v>2463</v>
      </c>
      <c r="G259" s="3"/>
      <c r="H259" s="3"/>
    </row>
    <row r="260" spans="1:8" x14ac:dyDescent="0.35">
      <c r="A260" s="3" t="s">
        <v>914</v>
      </c>
      <c r="B260" s="3" t="s">
        <v>20</v>
      </c>
      <c r="C260" s="3" t="s">
        <v>988</v>
      </c>
      <c r="D260" s="3" t="s">
        <v>89</v>
      </c>
      <c r="E260" s="3"/>
      <c r="F260" s="3"/>
      <c r="G260" s="3"/>
      <c r="H260" s="3"/>
    </row>
    <row r="261" spans="1:8" x14ac:dyDescent="0.35">
      <c r="A261" s="3" t="s">
        <v>914</v>
      </c>
      <c r="B261" s="3" t="s">
        <v>20</v>
      </c>
      <c r="C261" s="3" t="s">
        <v>988</v>
      </c>
      <c r="D261" s="3" t="s">
        <v>191</v>
      </c>
      <c r="E261" s="3"/>
      <c r="F261" s="3"/>
      <c r="G261" s="3"/>
      <c r="H261" s="3"/>
    </row>
    <row r="262" spans="1:8" x14ac:dyDescent="0.35">
      <c r="A262" s="3" t="s">
        <v>914</v>
      </c>
      <c r="B262" s="3" t="s">
        <v>20</v>
      </c>
      <c r="C262" s="3" t="s">
        <v>988</v>
      </c>
      <c r="D262" s="3" t="s">
        <v>107</v>
      </c>
      <c r="E262" s="3"/>
      <c r="F262" s="3"/>
      <c r="G262" s="3"/>
      <c r="H262" s="3"/>
    </row>
    <row r="263" spans="1:8" x14ac:dyDescent="0.35">
      <c r="A263" s="3" t="s">
        <v>914</v>
      </c>
      <c r="B263" s="3" t="s">
        <v>591</v>
      </c>
      <c r="C263" s="3" t="s">
        <v>991</v>
      </c>
      <c r="D263" s="3" t="s">
        <v>27</v>
      </c>
      <c r="E263" s="3" t="s">
        <v>16</v>
      </c>
      <c r="F263" s="3" t="s">
        <v>992</v>
      </c>
      <c r="G263" s="3"/>
      <c r="H263" s="3"/>
    </row>
    <row r="264" spans="1:8" x14ac:dyDescent="0.35">
      <c r="A264" s="3" t="s">
        <v>914</v>
      </c>
      <c r="B264" s="3" t="s">
        <v>20</v>
      </c>
      <c r="C264" s="3" t="s">
        <v>993</v>
      </c>
      <c r="D264" s="3" t="s">
        <v>15</v>
      </c>
      <c r="E264" s="3" t="s">
        <v>16</v>
      </c>
      <c r="F264" s="3" t="s">
        <v>994</v>
      </c>
      <c r="G264" s="3"/>
      <c r="H264" s="3"/>
    </row>
    <row r="265" spans="1:8" x14ac:dyDescent="0.35">
      <c r="A265" s="3" t="s">
        <v>914</v>
      </c>
      <c r="B265" s="3" t="s">
        <v>45</v>
      </c>
      <c r="C265" s="3" t="s">
        <v>995</v>
      </c>
      <c r="D265" s="3" t="s">
        <v>15</v>
      </c>
      <c r="E265" s="3" t="s">
        <v>33</v>
      </c>
      <c r="F265" s="3" t="s">
        <v>996</v>
      </c>
      <c r="G265" s="3"/>
      <c r="H265" s="3"/>
    </row>
    <row r="266" spans="1:8" x14ac:dyDescent="0.35">
      <c r="A266" s="3" t="s">
        <v>914</v>
      </c>
      <c r="B266" s="3" t="s">
        <v>45</v>
      </c>
      <c r="C266" s="3" t="s">
        <v>995</v>
      </c>
      <c r="D266" s="3" t="s">
        <v>56</v>
      </c>
      <c r="E266" s="3" t="s">
        <v>33</v>
      </c>
      <c r="F266" s="3" t="s">
        <v>996</v>
      </c>
      <c r="G266" s="3"/>
      <c r="H266" s="3"/>
    </row>
    <row r="267" spans="1:8" x14ac:dyDescent="0.35">
      <c r="A267" s="3" t="s">
        <v>914</v>
      </c>
      <c r="B267" s="3" t="s">
        <v>20</v>
      </c>
      <c r="C267" s="3" t="s">
        <v>997</v>
      </c>
      <c r="D267" s="3" t="s">
        <v>918</v>
      </c>
      <c r="E267" s="3"/>
      <c r="F267" s="3"/>
      <c r="G267" s="3"/>
      <c r="H267" s="3"/>
    </row>
    <row r="268" spans="1:8" x14ac:dyDescent="0.35">
      <c r="A268" s="3" t="s">
        <v>914</v>
      </c>
      <c r="B268" s="3" t="s">
        <v>20</v>
      </c>
      <c r="C268" s="3" t="s">
        <v>997</v>
      </c>
      <c r="D268" s="3" t="s">
        <v>25</v>
      </c>
      <c r="E268" s="3"/>
      <c r="F268" s="3"/>
      <c r="G268" s="3"/>
      <c r="H268" s="3"/>
    </row>
    <row r="269" spans="1:8" x14ac:dyDescent="0.35">
      <c r="A269" s="3" t="s">
        <v>914</v>
      </c>
      <c r="B269" s="3" t="s">
        <v>20</v>
      </c>
      <c r="C269" s="3" t="s">
        <v>997</v>
      </c>
      <c r="D269" s="3" t="s">
        <v>27</v>
      </c>
      <c r="E269" s="3"/>
      <c r="F269" s="3" t="s">
        <v>2287</v>
      </c>
      <c r="G269" s="3"/>
      <c r="H269" s="3"/>
    </row>
    <row r="270" spans="1:8" x14ac:dyDescent="0.35">
      <c r="A270" s="3" t="s">
        <v>914</v>
      </c>
      <c r="B270" s="3" t="s">
        <v>20</v>
      </c>
      <c r="C270" s="3" t="s">
        <v>997</v>
      </c>
      <c r="D270" s="3" t="s">
        <v>71</v>
      </c>
      <c r="E270" s="3"/>
      <c r="F270" s="3"/>
      <c r="G270" s="3"/>
      <c r="H270" s="3"/>
    </row>
    <row r="271" spans="1:8" x14ac:dyDescent="0.35">
      <c r="A271" s="3" t="s">
        <v>914</v>
      </c>
      <c r="B271" s="3" t="s">
        <v>20</v>
      </c>
      <c r="C271" s="3" t="s">
        <v>997</v>
      </c>
      <c r="D271" s="3" t="s">
        <v>77</v>
      </c>
      <c r="E271" s="3"/>
      <c r="F271" s="3"/>
      <c r="G271" s="3"/>
      <c r="H271" s="3"/>
    </row>
    <row r="272" spans="1:8" x14ac:dyDescent="0.35">
      <c r="A272" s="3" t="s">
        <v>914</v>
      </c>
      <c r="B272" s="3" t="s">
        <v>20</v>
      </c>
      <c r="C272" s="3" t="s">
        <v>997</v>
      </c>
      <c r="D272" s="3" t="s">
        <v>28</v>
      </c>
      <c r="E272" s="3"/>
      <c r="F272" s="3" t="s">
        <v>2288</v>
      </c>
      <c r="G272" s="3"/>
      <c r="H272" s="3"/>
    </row>
    <row r="273" spans="1:8" x14ac:dyDescent="0.35">
      <c r="A273" s="3" t="s">
        <v>914</v>
      </c>
      <c r="B273" s="3" t="s">
        <v>20</v>
      </c>
      <c r="C273" s="3" t="s">
        <v>997</v>
      </c>
      <c r="D273" s="3" t="s">
        <v>15</v>
      </c>
      <c r="E273" s="3" t="s">
        <v>16</v>
      </c>
      <c r="F273" s="3" t="s">
        <v>2921</v>
      </c>
      <c r="G273" s="3"/>
      <c r="H273" s="3"/>
    </row>
    <row r="274" spans="1:8" x14ac:dyDescent="0.35">
      <c r="A274" s="3" t="s">
        <v>914</v>
      </c>
      <c r="B274" s="3" t="s">
        <v>20</v>
      </c>
      <c r="C274" s="3" t="s">
        <v>997</v>
      </c>
      <c r="D274" s="3" t="s">
        <v>56</v>
      </c>
      <c r="E274" s="3"/>
      <c r="F274" s="3"/>
      <c r="G274" s="3"/>
      <c r="H274" s="3"/>
    </row>
    <row r="275" spans="1:8" x14ac:dyDescent="0.35">
      <c r="A275" s="3" t="s">
        <v>914</v>
      </c>
      <c r="B275" s="3" t="s">
        <v>20</v>
      </c>
      <c r="C275" s="3" t="s">
        <v>997</v>
      </c>
      <c r="D275" s="3" t="s">
        <v>24</v>
      </c>
      <c r="E275" s="3"/>
      <c r="F275" s="3"/>
      <c r="G275" s="3"/>
      <c r="H275" s="3"/>
    </row>
    <row r="276" spans="1:8" x14ac:dyDescent="0.35">
      <c r="A276" s="3" t="s">
        <v>914</v>
      </c>
      <c r="B276" s="3" t="s">
        <v>20</v>
      </c>
      <c r="C276" s="3" t="s">
        <v>997</v>
      </c>
      <c r="D276" s="3" t="s">
        <v>191</v>
      </c>
      <c r="E276" s="3"/>
      <c r="F276" s="3"/>
      <c r="G276" s="3"/>
      <c r="H276" s="3"/>
    </row>
    <row r="277" spans="1:8" x14ac:dyDescent="0.35">
      <c r="A277" s="3" t="s">
        <v>914</v>
      </c>
      <c r="B277" s="3" t="s">
        <v>45</v>
      </c>
      <c r="C277" s="3" t="s">
        <v>998</v>
      </c>
      <c r="D277" s="3" t="s">
        <v>15</v>
      </c>
      <c r="E277" s="3"/>
      <c r="F277" s="3"/>
      <c r="G277" s="3"/>
      <c r="H277" s="3"/>
    </row>
    <row r="278" spans="1:8" x14ac:dyDescent="0.35">
      <c r="A278" s="3" t="s">
        <v>914</v>
      </c>
      <c r="B278" s="3" t="s">
        <v>45</v>
      </c>
      <c r="C278" s="3" t="s">
        <v>998</v>
      </c>
      <c r="D278" s="3" t="s">
        <v>56</v>
      </c>
      <c r="E278" s="3"/>
      <c r="F278" s="3" t="s">
        <v>2318</v>
      </c>
      <c r="G278" s="3"/>
      <c r="H278" s="3"/>
    </row>
    <row r="279" spans="1:8" x14ac:dyDescent="0.35">
      <c r="A279" s="3" t="s">
        <v>914</v>
      </c>
      <c r="B279" s="3" t="s">
        <v>20</v>
      </c>
      <c r="C279" s="3" t="s">
        <v>999</v>
      </c>
      <c r="D279" s="3" t="s">
        <v>918</v>
      </c>
      <c r="E279" s="3"/>
      <c r="F279" s="3"/>
      <c r="G279" s="3"/>
      <c r="H279" s="3"/>
    </row>
    <row r="280" spans="1:8" x14ac:dyDescent="0.35">
      <c r="A280" s="3" t="s">
        <v>914</v>
      </c>
      <c r="B280" s="3" t="s">
        <v>20</v>
      </c>
      <c r="C280" s="3" t="s">
        <v>999</v>
      </c>
      <c r="D280" s="3" t="s">
        <v>77</v>
      </c>
      <c r="E280" s="3"/>
      <c r="F280" s="3"/>
      <c r="G280" s="3"/>
      <c r="H280" s="3"/>
    </row>
    <row r="281" spans="1:8" x14ac:dyDescent="0.35">
      <c r="A281" s="3" t="s">
        <v>914</v>
      </c>
      <c r="B281" s="3" t="s">
        <v>20</v>
      </c>
      <c r="C281" s="3" t="s">
        <v>999</v>
      </c>
      <c r="D281" s="3" t="s">
        <v>28</v>
      </c>
      <c r="E281" s="3"/>
      <c r="F281" s="3" t="s">
        <v>2288</v>
      </c>
      <c r="G281" s="3"/>
      <c r="H281" s="3"/>
    </row>
    <row r="282" spans="1:8" x14ac:dyDescent="0.35">
      <c r="A282" s="3" t="s">
        <v>914</v>
      </c>
      <c r="B282" s="3" t="s">
        <v>20</v>
      </c>
      <c r="C282" s="3" t="s">
        <v>999</v>
      </c>
      <c r="D282" s="3" t="s">
        <v>242</v>
      </c>
      <c r="E282" s="3"/>
      <c r="F282" s="3" t="s">
        <v>2437</v>
      </c>
      <c r="G282" s="3"/>
      <c r="H282" s="3"/>
    </row>
    <row r="283" spans="1:8" x14ac:dyDescent="0.35">
      <c r="A283" s="3" t="s">
        <v>914</v>
      </c>
      <c r="B283" s="3" t="s">
        <v>20</v>
      </c>
      <c r="C283" s="3" t="s">
        <v>999</v>
      </c>
      <c r="D283" s="3" t="s">
        <v>15</v>
      </c>
      <c r="E283" s="3"/>
      <c r="F283" s="3"/>
      <c r="G283" s="3"/>
      <c r="H283" s="3"/>
    </row>
    <row r="284" spans="1:8" x14ac:dyDescent="0.35">
      <c r="A284" s="3" t="s">
        <v>914</v>
      </c>
      <c r="B284" s="3" t="s">
        <v>20</v>
      </c>
      <c r="C284" s="3" t="s">
        <v>999</v>
      </c>
      <c r="D284" s="3" t="s">
        <v>56</v>
      </c>
      <c r="E284" s="3"/>
      <c r="F284" s="3"/>
      <c r="G284" s="3"/>
      <c r="H284" s="3"/>
    </row>
    <row r="285" spans="1:8" x14ac:dyDescent="0.35">
      <c r="A285" s="3" t="s">
        <v>914</v>
      </c>
      <c r="B285" s="3" t="s">
        <v>20</v>
      </c>
      <c r="C285" s="3" t="s">
        <v>999</v>
      </c>
      <c r="D285" s="3" t="s">
        <v>191</v>
      </c>
      <c r="E285" s="3"/>
      <c r="F285" s="3"/>
      <c r="G285" s="3"/>
      <c r="H285" s="3"/>
    </row>
    <row r="286" spans="1:8" x14ac:dyDescent="0.35">
      <c r="A286" s="3" t="s">
        <v>914</v>
      </c>
      <c r="B286" s="3" t="s">
        <v>20</v>
      </c>
      <c r="C286" s="3" t="s">
        <v>1000</v>
      </c>
      <c r="D286" s="3" t="s">
        <v>60</v>
      </c>
      <c r="E286" s="3"/>
      <c r="F286" s="3"/>
      <c r="G286" s="3"/>
      <c r="H286" s="3"/>
    </row>
    <row r="287" spans="1:8" x14ac:dyDescent="0.35">
      <c r="A287" s="3" t="s">
        <v>914</v>
      </c>
      <c r="B287" s="3" t="s">
        <v>20</v>
      </c>
      <c r="C287" s="3" t="s">
        <v>1000</v>
      </c>
      <c r="D287" s="3" t="s">
        <v>27</v>
      </c>
      <c r="E287" s="3"/>
      <c r="F287" s="3" t="s">
        <v>2287</v>
      </c>
      <c r="G287" s="3"/>
      <c r="H287" s="3"/>
    </row>
    <row r="288" spans="1:8" x14ac:dyDescent="0.35">
      <c r="A288" s="3" t="s">
        <v>914</v>
      </c>
      <c r="B288" s="3" t="s">
        <v>20</v>
      </c>
      <c r="C288" s="3" t="s">
        <v>1000</v>
      </c>
      <c r="D288" s="3" t="s">
        <v>77</v>
      </c>
      <c r="E288" s="3"/>
      <c r="F288" s="3" t="s">
        <v>2486</v>
      </c>
      <c r="G288" s="3"/>
      <c r="H288" s="3"/>
    </row>
    <row r="289" spans="1:8" x14ac:dyDescent="0.35">
      <c r="A289" s="3" t="s">
        <v>914</v>
      </c>
      <c r="B289" s="3" t="s">
        <v>20</v>
      </c>
      <c r="C289" s="3" t="s">
        <v>1000</v>
      </c>
      <c r="D289" s="3" t="s">
        <v>28</v>
      </c>
      <c r="E289" s="3"/>
      <c r="F289" s="3" t="s">
        <v>2288</v>
      </c>
      <c r="G289" s="3"/>
      <c r="H289" s="3"/>
    </row>
    <row r="290" spans="1:8" x14ac:dyDescent="0.35">
      <c r="A290" s="3" t="s">
        <v>914</v>
      </c>
      <c r="B290" s="3" t="s">
        <v>20</v>
      </c>
      <c r="C290" s="3" t="s">
        <v>1000</v>
      </c>
      <c r="D290" s="3" t="s">
        <v>242</v>
      </c>
      <c r="E290" s="3"/>
      <c r="F290" s="3" t="s">
        <v>2437</v>
      </c>
      <c r="G290" s="3"/>
      <c r="H290" s="3"/>
    </row>
    <row r="291" spans="1:8" x14ac:dyDescent="0.35">
      <c r="A291" s="3" t="s">
        <v>914</v>
      </c>
      <c r="B291" s="3" t="s">
        <v>20</v>
      </c>
      <c r="C291" s="3" t="s">
        <v>1000</v>
      </c>
      <c r="D291" s="3" t="s">
        <v>15</v>
      </c>
      <c r="E291" s="3"/>
      <c r="F291" s="3"/>
      <c r="G291" s="3"/>
      <c r="H291" s="3"/>
    </row>
    <row r="292" spans="1:8" x14ac:dyDescent="0.35">
      <c r="A292" s="3" t="s">
        <v>914</v>
      </c>
      <c r="B292" s="3" t="s">
        <v>20</v>
      </c>
      <c r="C292" s="3" t="s">
        <v>1000</v>
      </c>
      <c r="D292" s="3" t="s">
        <v>56</v>
      </c>
      <c r="E292" s="3"/>
      <c r="F292" s="3"/>
      <c r="G292" s="3"/>
      <c r="H292" s="3"/>
    </row>
    <row r="293" spans="1:8" x14ac:dyDescent="0.35">
      <c r="A293" s="3" t="s">
        <v>914</v>
      </c>
      <c r="B293" s="3" t="s">
        <v>20</v>
      </c>
      <c r="C293" s="3" t="s">
        <v>1000</v>
      </c>
      <c r="D293" s="3" t="s">
        <v>89</v>
      </c>
      <c r="E293" s="3"/>
      <c r="F293" s="3"/>
      <c r="G293" s="3"/>
      <c r="H293" s="3"/>
    </row>
    <row r="294" spans="1:8" x14ac:dyDescent="0.35">
      <c r="A294" s="3" t="s">
        <v>914</v>
      </c>
      <c r="B294" s="3" t="s">
        <v>20</v>
      </c>
      <c r="C294" s="3" t="s">
        <v>1000</v>
      </c>
      <c r="D294" s="3" t="s">
        <v>24</v>
      </c>
      <c r="E294" s="3"/>
      <c r="F294" s="3"/>
      <c r="G294" s="3"/>
      <c r="H294" s="3"/>
    </row>
    <row r="295" spans="1:8" x14ac:dyDescent="0.35">
      <c r="A295" s="3" t="s">
        <v>914</v>
      </c>
      <c r="B295" s="3" t="s">
        <v>20</v>
      </c>
      <c r="C295" s="3" t="s">
        <v>1000</v>
      </c>
      <c r="D295" s="3" t="s">
        <v>191</v>
      </c>
      <c r="E295" s="3"/>
      <c r="F295" s="3"/>
      <c r="G295" s="3"/>
      <c r="H295" s="3"/>
    </row>
    <row r="296" spans="1:8" x14ac:dyDescent="0.35">
      <c r="A296" s="3" t="s">
        <v>914</v>
      </c>
      <c r="B296" s="3" t="s">
        <v>20</v>
      </c>
      <c r="C296" s="3" t="s">
        <v>1001</v>
      </c>
      <c r="D296" s="3" t="s">
        <v>918</v>
      </c>
      <c r="E296" s="3"/>
      <c r="F296" s="3"/>
      <c r="G296" s="3"/>
      <c r="H296" s="3"/>
    </row>
    <row r="297" spans="1:8" x14ac:dyDescent="0.35">
      <c r="A297" s="3" t="s">
        <v>914</v>
      </c>
      <c r="B297" s="3" t="s">
        <v>20</v>
      </c>
      <c r="C297" s="3" t="s">
        <v>1001</v>
      </c>
      <c r="D297" s="3" t="s">
        <v>60</v>
      </c>
      <c r="E297" s="3"/>
      <c r="F297" s="3"/>
      <c r="G297" s="3"/>
      <c r="H297" s="3"/>
    </row>
    <row r="298" spans="1:8" x14ac:dyDescent="0.35">
      <c r="A298" s="3" t="s">
        <v>914</v>
      </c>
      <c r="B298" s="3" t="s">
        <v>20</v>
      </c>
      <c r="C298" s="3" t="s">
        <v>1001</v>
      </c>
      <c r="D298" s="3" t="s">
        <v>27</v>
      </c>
      <c r="E298" s="3"/>
      <c r="F298" s="3" t="s">
        <v>2287</v>
      </c>
      <c r="G298" s="3"/>
      <c r="H298" s="3"/>
    </row>
    <row r="299" spans="1:8" x14ac:dyDescent="0.35">
      <c r="A299" s="3" t="s">
        <v>914</v>
      </c>
      <c r="B299" s="3" t="s">
        <v>20</v>
      </c>
      <c r="C299" s="3" t="s">
        <v>1001</v>
      </c>
      <c r="D299" s="3" t="s">
        <v>77</v>
      </c>
      <c r="E299" s="3"/>
      <c r="F299" s="3"/>
      <c r="G299" s="3"/>
      <c r="H299" s="3"/>
    </row>
    <row r="300" spans="1:8" x14ac:dyDescent="0.35">
      <c r="A300" s="3" t="s">
        <v>914</v>
      </c>
      <c r="B300" s="3" t="s">
        <v>20</v>
      </c>
      <c r="C300" s="3" t="s">
        <v>1001</v>
      </c>
      <c r="D300" s="3" t="s">
        <v>28</v>
      </c>
      <c r="E300" s="3"/>
      <c r="F300" s="3" t="s">
        <v>2288</v>
      </c>
      <c r="G300" s="3"/>
      <c r="H300" s="3"/>
    </row>
    <row r="301" spans="1:8" x14ac:dyDescent="0.35">
      <c r="A301" s="3" t="s">
        <v>914</v>
      </c>
      <c r="B301" s="3" t="s">
        <v>20</v>
      </c>
      <c r="C301" s="3" t="s">
        <v>1001</v>
      </c>
      <c r="D301" s="3" t="s">
        <v>242</v>
      </c>
      <c r="E301" s="3"/>
      <c r="F301" s="3" t="s">
        <v>2437</v>
      </c>
      <c r="G301" s="3"/>
      <c r="H301" s="3"/>
    </row>
    <row r="302" spans="1:8" x14ac:dyDescent="0.35">
      <c r="A302" s="3" t="s">
        <v>914</v>
      </c>
      <c r="B302" s="3" t="s">
        <v>20</v>
      </c>
      <c r="C302" s="3" t="s">
        <v>1001</v>
      </c>
      <c r="D302" s="3" t="s">
        <v>15</v>
      </c>
      <c r="E302" s="3"/>
      <c r="F302" s="3"/>
      <c r="G302" s="3"/>
      <c r="H302" s="3"/>
    </row>
    <row r="303" spans="1:8" x14ac:dyDescent="0.35">
      <c r="A303" s="3" t="s">
        <v>914</v>
      </c>
      <c r="B303" s="3" t="s">
        <v>20</v>
      </c>
      <c r="C303" s="3" t="s">
        <v>1001</v>
      </c>
      <c r="D303" s="3" t="s">
        <v>89</v>
      </c>
      <c r="E303" s="3"/>
      <c r="F303" s="3"/>
      <c r="G303" s="3"/>
      <c r="H303" s="3"/>
    </row>
    <row r="304" spans="1:8" x14ac:dyDescent="0.35">
      <c r="A304" s="3" t="s">
        <v>914</v>
      </c>
      <c r="B304" s="3" t="s">
        <v>20</v>
      </c>
      <c r="C304" s="3" t="s">
        <v>1001</v>
      </c>
      <c r="D304" s="3" t="s">
        <v>24</v>
      </c>
      <c r="E304" s="3"/>
      <c r="F304" s="3"/>
      <c r="G304" s="3"/>
      <c r="H304" s="3"/>
    </row>
    <row r="305" spans="1:8" x14ac:dyDescent="0.35">
      <c r="A305" s="3" t="s">
        <v>914</v>
      </c>
      <c r="B305" s="3" t="s">
        <v>20</v>
      </c>
      <c r="C305" s="3" t="s">
        <v>1001</v>
      </c>
      <c r="D305" s="3" t="s">
        <v>191</v>
      </c>
      <c r="E305" s="3"/>
      <c r="F305" s="3"/>
      <c r="G305" s="3"/>
      <c r="H305" s="3"/>
    </row>
    <row r="306" spans="1:8" x14ac:dyDescent="0.35">
      <c r="A306" s="3" t="s">
        <v>914</v>
      </c>
      <c r="B306" s="3" t="s">
        <v>20</v>
      </c>
      <c r="C306" s="3" t="s">
        <v>1002</v>
      </c>
      <c r="D306" s="3" t="s">
        <v>918</v>
      </c>
      <c r="E306" s="3"/>
      <c r="F306" s="3"/>
      <c r="G306" s="3"/>
      <c r="H306" s="3"/>
    </row>
    <row r="307" spans="1:8" x14ac:dyDescent="0.35">
      <c r="A307" s="3" t="s">
        <v>914</v>
      </c>
      <c r="B307" s="3" t="s">
        <v>20</v>
      </c>
      <c r="C307" s="3" t="s">
        <v>1002</v>
      </c>
      <c r="D307" s="3" t="s">
        <v>27</v>
      </c>
      <c r="E307" s="3"/>
      <c r="F307" s="3" t="s">
        <v>2287</v>
      </c>
      <c r="G307" s="3"/>
      <c r="H307" s="3"/>
    </row>
    <row r="308" spans="1:8" x14ac:dyDescent="0.35">
      <c r="A308" s="3" t="s">
        <v>914</v>
      </c>
      <c r="B308" s="3" t="s">
        <v>20</v>
      </c>
      <c r="C308" s="3" t="s">
        <v>1002</v>
      </c>
      <c r="D308" s="3" t="s">
        <v>77</v>
      </c>
      <c r="E308" s="3"/>
      <c r="F308" s="3"/>
      <c r="G308" s="3"/>
      <c r="H308" s="3"/>
    </row>
    <row r="309" spans="1:8" x14ac:dyDescent="0.35">
      <c r="A309" s="3" t="s">
        <v>914</v>
      </c>
      <c r="B309" s="3" t="s">
        <v>20</v>
      </c>
      <c r="C309" s="3" t="s">
        <v>1002</v>
      </c>
      <c r="D309" s="3" t="s">
        <v>28</v>
      </c>
      <c r="E309" s="3"/>
      <c r="F309" s="3" t="s">
        <v>2288</v>
      </c>
      <c r="G309" s="3"/>
      <c r="H309" s="3"/>
    </row>
    <row r="310" spans="1:8" x14ac:dyDescent="0.35">
      <c r="A310" s="3" t="s">
        <v>914</v>
      </c>
      <c r="B310" s="3" t="s">
        <v>20</v>
      </c>
      <c r="C310" s="3" t="s">
        <v>1002</v>
      </c>
      <c r="D310" s="3" t="s">
        <v>15</v>
      </c>
      <c r="E310" s="3"/>
      <c r="F310" s="3"/>
      <c r="G310" s="3"/>
      <c r="H310" s="3"/>
    </row>
    <row r="311" spans="1:8" x14ac:dyDescent="0.35">
      <c r="A311" s="3" t="s">
        <v>914</v>
      </c>
      <c r="B311" s="3" t="s">
        <v>20</v>
      </c>
      <c r="C311" s="3" t="s">
        <v>1002</v>
      </c>
      <c r="D311" s="3" t="s">
        <v>56</v>
      </c>
      <c r="E311" s="3"/>
      <c r="F311" s="3"/>
      <c r="G311" s="3"/>
      <c r="H311" s="3"/>
    </row>
    <row r="312" spans="1:8" x14ac:dyDescent="0.35">
      <c r="A312" s="3" t="s">
        <v>914</v>
      </c>
      <c r="B312" s="3" t="s">
        <v>20</v>
      </c>
      <c r="C312" s="3" t="s">
        <v>1002</v>
      </c>
      <c r="D312" s="3" t="s">
        <v>24</v>
      </c>
      <c r="E312" s="3"/>
      <c r="F312" s="3"/>
      <c r="G312" s="3"/>
      <c r="H312" s="3"/>
    </row>
    <row r="313" spans="1:8" x14ac:dyDescent="0.35">
      <c r="A313" s="3" t="s">
        <v>914</v>
      </c>
      <c r="B313" s="3" t="s">
        <v>20</v>
      </c>
      <c r="C313" s="3" t="s">
        <v>1002</v>
      </c>
      <c r="D313" s="3" t="s">
        <v>191</v>
      </c>
      <c r="E313" s="3"/>
      <c r="F313" s="3"/>
      <c r="G313" s="3"/>
      <c r="H313" s="3"/>
    </row>
    <row r="314" spans="1:8" x14ac:dyDescent="0.35">
      <c r="A314" s="3" t="s">
        <v>914</v>
      </c>
      <c r="B314" s="3" t="s">
        <v>20</v>
      </c>
      <c r="C314" s="3" t="s">
        <v>1003</v>
      </c>
      <c r="D314" s="3" t="s">
        <v>918</v>
      </c>
      <c r="E314" s="3"/>
      <c r="F314" s="3"/>
      <c r="G314" s="3"/>
      <c r="H314" s="3"/>
    </row>
    <row r="315" spans="1:8" x14ac:dyDescent="0.35">
      <c r="A315" s="3" t="s">
        <v>914</v>
      </c>
      <c r="B315" s="3" t="s">
        <v>20</v>
      </c>
      <c r="C315" s="3" t="s">
        <v>1003</v>
      </c>
      <c r="D315" s="3" t="s">
        <v>27</v>
      </c>
      <c r="E315" s="3"/>
      <c r="F315" s="3" t="s">
        <v>2287</v>
      </c>
      <c r="G315" s="3"/>
      <c r="H315" s="3"/>
    </row>
    <row r="316" spans="1:8" x14ac:dyDescent="0.35">
      <c r="A316" s="3" t="s">
        <v>914</v>
      </c>
      <c r="B316" s="3" t="s">
        <v>20</v>
      </c>
      <c r="C316" s="3" t="s">
        <v>1003</v>
      </c>
      <c r="D316" s="3" t="s">
        <v>77</v>
      </c>
      <c r="E316" s="3"/>
      <c r="F316" s="3" t="s">
        <v>2486</v>
      </c>
      <c r="G316" s="3"/>
      <c r="H316" s="3"/>
    </row>
    <row r="317" spans="1:8" x14ac:dyDescent="0.35">
      <c r="A317" s="3" t="s">
        <v>914</v>
      </c>
      <c r="B317" s="3" t="s">
        <v>20</v>
      </c>
      <c r="C317" s="3" t="s">
        <v>1003</v>
      </c>
      <c r="D317" s="3" t="s">
        <v>28</v>
      </c>
      <c r="E317" s="3"/>
      <c r="F317" s="3" t="s">
        <v>2288</v>
      </c>
      <c r="G317" s="3"/>
      <c r="H317" s="3"/>
    </row>
    <row r="318" spans="1:8" x14ac:dyDescent="0.35">
      <c r="A318" s="3" t="s">
        <v>914</v>
      </c>
      <c r="B318" s="3" t="s">
        <v>20</v>
      </c>
      <c r="C318" s="3" t="s">
        <v>1003</v>
      </c>
      <c r="D318" s="3" t="s">
        <v>242</v>
      </c>
      <c r="E318" s="3"/>
      <c r="F318" s="3" t="s">
        <v>2437</v>
      </c>
      <c r="G318" s="3"/>
      <c r="H318" s="3"/>
    </row>
    <row r="319" spans="1:8" x14ac:dyDescent="0.35">
      <c r="A319" s="3" t="s">
        <v>914</v>
      </c>
      <c r="B319" s="3" t="s">
        <v>20</v>
      </c>
      <c r="C319" s="3" t="s">
        <v>1003</v>
      </c>
      <c r="D319" s="3" t="s">
        <v>15</v>
      </c>
      <c r="E319" s="3"/>
      <c r="F319" s="3"/>
      <c r="G319" s="3"/>
      <c r="H319" s="3"/>
    </row>
    <row r="320" spans="1:8" x14ac:dyDescent="0.35">
      <c r="A320" s="3" t="s">
        <v>914</v>
      </c>
      <c r="B320" s="3" t="s">
        <v>20</v>
      </c>
      <c r="C320" s="3" t="s">
        <v>1003</v>
      </c>
      <c r="D320" s="3" t="s">
        <v>56</v>
      </c>
      <c r="E320" s="3"/>
      <c r="F320" s="3"/>
      <c r="G320" s="3"/>
      <c r="H320" s="3"/>
    </row>
    <row r="321" spans="1:8" x14ac:dyDescent="0.35">
      <c r="A321" s="3" t="s">
        <v>914</v>
      </c>
      <c r="B321" s="3" t="s">
        <v>20</v>
      </c>
      <c r="C321" s="3" t="s">
        <v>1003</v>
      </c>
      <c r="D321" s="3" t="s">
        <v>89</v>
      </c>
      <c r="E321" s="3"/>
      <c r="F321" s="3"/>
      <c r="G321" s="3"/>
      <c r="H321" s="3"/>
    </row>
    <row r="322" spans="1:8" x14ac:dyDescent="0.35">
      <c r="A322" s="3" t="s">
        <v>914</v>
      </c>
      <c r="B322" s="3" t="s">
        <v>20</v>
      </c>
      <c r="C322" s="3" t="s">
        <v>1003</v>
      </c>
      <c r="D322" s="3" t="s">
        <v>24</v>
      </c>
      <c r="E322" s="3"/>
      <c r="F322" s="3"/>
      <c r="G322" s="3"/>
      <c r="H322" s="3"/>
    </row>
    <row r="323" spans="1:8" x14ac:dyDescent="0.35">
      <c r="A323" s="3" t="s">
        <v>914</v>
      </c>
      <c r="B323" s="3" t="s">
        <v>20</v>
      </c>
      <c r="C323" s="3" t="s">
        <v>1003</v>
      </c>
      <c r="D323" s="3" t="s">
        <v>191</v>
      </c>
      <c r="E323" s="3"/>
      <c r="F323" s="3"/>
      <c r="G323" s="3"/>
      <c r="H323" s="3"/>
    </row>
    <row r="324" spans="1:8" x14ac:dyDescent="0.35">
      <c r="A324" s="3" t="s">
        <v>914</v>
      </c>
      <c r="B324" s="3" t="s">
        <v>45</v>
      </c>
      <c r="C324" s="3" t="s">
        <v>1004</v>
      </c>
      <c r="D324" s="3" t="s">
        <v>372</v>
      </c>
      <c r="E324" s="3" t="s">
        <v>16</v>
      </c>
      <c r="F324" s="3" t="s">
        <v>1005</v>
      </c>
      <c r="G324" s="3"/>
      <c r="H324" s="3"/>
    </row>
    <row r="325" spans="1:8" x14ac:dyDescent="0.35">
      <c r="A325" s="3" t="s">
        <v>914</v>
      </c>
      <c r="B325" s="3" t="s">
        <v>45</v>
      </c>
      <c r="C325" s="3" t="s">
        <v>1006</v>
      </c>
      <c r="D325" s="3" t="s">
        <v>56</v>
      </c>
      <c r="E325" s="3"/>
      <c r="F325" s="3" t="s">
        <v>2318</v>
      </c>
      <c r="G325" s="3"/>
      <c r="H325" s="3"/>
    </row>
    <row r="326" spans="1:8" x14ac:dyDescent="0.35">
      <c r="A326" s="3" t="s">
        <v>914</v>
      </c>
      <c r="B326" s="3" t="s">
        <v>45</v>
      </c>
      <c r="C326" s="3" t="s">
        <v>1007</v>
      </c>
      <c r="D326" s="3" t="s">
        <v>77</v>
      </c>
      <c r="E326" s="3"/>
      <c r="F326" s="3"/>
      <c r="G326" s="3"/>
      <c r="H326" s="3"/>
    </row>
    <row r="327" spans="1:8" x14ac:dyDescent="0.35">
      <c r="A327" s="3" t="s">
        <v>914</v>
      </c>
      <c r="B327" s="3" t="s">
        <v>45</v>
      </c>
      <c r="C327" s="3" t="s">
        <v>1007</v>
      </c>
      <c r="D327" s="3" t="s">
        <v>56</v>
      </c>
      <c r="E327" s="3"/>
      <c r="F327" s="3" t="s">
        <v>2643</v>
      </c>
      <c r="G327" s="3"/>
      <c r="H327" s="3"/>
    </row>
    <row r="328" spans="1:8" x14ac:dyDescent="0.35">
      <c r="A328" s="3" t="s">
        <v>914</v>
      </c>
      <c r="B328" s="3" t="s">
        <v>45</v>
      </c>
      <c r="C328" s="3" t="s">
        <v>1007</v>
      </c>
      <c r="D328" s="3" t="s">
        <v>152</v>
      </c>
      <c r="E328" s="3"/>
      <c r="F328" s="3"/>
      <c r="G328" s="3"/>
      <c r="H328" s="3"/>
    </row>
    <row r="329" spans="1:8" x14ac:dyDescent="0.35">
      <c r="A329" s="3" t="s">
        <v>914</v>
      </c>
      <c r="B329" s="3" t="s">
        <v>45</v>
      </c>
      <c r="C329" s="3" t="s">
        <v>1008</v>
      </c>
      <c r="D329" s="3" t="s">
        <v>966</v>
      </c>
      <c r="E329" s="3" t="s">
        <v>33</v>
      </c>
      <c r="F329" s="3" t="s">
        <v>2644</v>
      </c>
      <c r="G329" s="3"/>
      <c r="H329" s="3"/>
    </row>
    <row r="330" spans="1:8" x14ac:dyDescent="0.35">
      <c r="A330" s="3" t="s">
        <v>914</v>
      </c>
      <c r="B330" s="3" t="s">
        <v>45</v>
      </c>
      <c r="C330" s="3" t="s">
        <v>1008</v>
      </c>
      <c r="D330" s="3" t="s">
        <v>77</v>
      </c>
      <c r="E330" s="3"/>
      <c r="F330" s="3"/>
      <c r="G330" s="3"/>
      <c r="H330" s="3"/>
    </row>
    <row r="331" spans="1:8" x14ac:dyDescent="0.35">
      <c r="A331" s="3" t="s">
        <v>914</v>
      </c>
      <c r="B331" s="3" t="s">
        <v>45</v>
      </c>
      <c r="C331" s="3" t="s">
        <v>1008</v>
      </c>
      <c r="D331" s="3" t="s">
        <v>56</v>
      </c>
      <c r="E331" s="3"/>
      <c r="F331" s="3" t="s">
        <v>2643</v>
      </c>
      <c r="G331" s="3"/>
      <c r="H331" s="3"/>
    </row>
    <row r="332" spans="1:8" x14ac:dyDescent="0.35">
      <c r="A332" s="3" t="s">
        <v>914</v>
      </c>
      <c r="B332" s="3" t="s">
        <v>45</v>
      </c>
      <c r="C332" s="3" t="s">
        <v>1008</v>
      </c>
      <c r="D332" s="3" t="s">
        <v>152</v>
      </c>
      <c r="E332" s="3"/>
      <c r="F332" s="3"/>
      <c r="G332" s="3"/>
      <c r="H332" s="3"/>
    </row>
    <row r="333" spans="1:8" x14ac:dyDescent="0.35">
      <c r="A333" s="3" t="s">
        <v>914</v>
      </c>
      <c r="B333" s="3" t="s">
        <v>45</v>
      </c>
      <c r="C333" s="3" t="s">
        <v>1008</v>
      </c>
      <c r="D333" s="3" t="s">
        <v>191</v>
      </c>
      <c r="E333" s="3"/>
      <c r="F333" s="3"/>
      <c r="G333" s="3"/>
      <c r="H333" s="3"/>
    </row>
    <row r="334" spans="1:8" x14ac:dyDescent="0.35">
      <c r="A334" s="3" t="s">
        <v>914</v>
      </c>
      <c r="B334" s="3" t="s">
        <v>45</v>
      </c>
      <c r="C334" s="3" t="s">
        <v>1009</v>
      </c>
      <c r="D334" s="3" t="s">
        <v>966</v>
      </c>
      <c r="E334" s="3" t="s">
        <v>33</v>
      </c>
      <c r="F334" s="3" t="s">
        <v>2644</v>
      </c>
      <c r="G334" s="3"/>
      <c r="H334" s="3"/>
    </row>
    <row r="335" spans="1:8" x14ac:dyDescent="0.35">
      <c r="A335" s="3" t="s">
        <v>914</v>
      </c>
      <c r="B335" s="3" t="s">
        <v>45</v>
      </c>
      <c r="C335" s="3" t="s">
        <v>1009</v>
      </c>
      <c r="D335" s="3" t="s">
        <v>47</v>
      </c>
      <c r="E335" s="3"/>
      <c r="F335" s="3"/>
      <c r="G335" s="3"/>
      <c r="H335" s="3"/>
    </row>
    <row r="336" spans="1:8" x14ac:dyDescent="0.35">
      <c r="A336" s="3" t="s">
        <v>914</v>
      </c>
      <c r="B336" s="3" t="s">
        <v>45</v>
      </c>
      <c r="C336" s="3" t="s">
        <v>1009</v>
      </c>
      <c r="D336" s="3" t="s">
        <v>77</v>
      </c>
      <c r="E336" s="3"/>
      <c r="F336" s="3"/>
      <c r="G336" s="3"/>
      <c r="H336" s="3"/>
    </row>
    <row r="337" spans="1:8" x14ac:dyDescent="0.35">
      <c r="A337" s="3" t="s">
        <v>914</v>
      </c>
      <c r="B337" s="3" t="s">
        <v>45</v>
      </c>
      <c r="C337" s="3" t="s">
        <v>1009</v>
      </c>
      <c r="D337" s="3" t="s">
        <v>56</v>
      </c>
      <c r="E337" s="3"/>
      <c r="F337" s="3" t="s">
        <v>2643</v>
      </c>
      <c r="G337" s="3"/>
      <c r="H337" s="3"/>
    </row>
    <row r="338" spans="1:8" x14ac:dyDescent="0.35">
      <c r="A338" s="3" t="s">
        <v>914</v>
      </c>
      <c r="B338" s="3" t="s">
        <v>45</v>
      </c>
      <c r="C338" s="3" t="s">
        <v>1009</v>
      </c>
      <c r="D338" s="3" t="s">
        <v>152</v>
      </c>
      <c r="E338" s="3"/>
      <c r="F338" s="3"/>
      <c r="G338" s="3"/>
      <c r="H338" s="3"/>
    </row>
    <row r="339" spans="1:8" x14ac:dyDescent="0.35">
      <c r="A339" s="3" t="s">
        <v>914</v>
      </c>
      <c r="B339" s="3" t="s">
        <v>45</v>
      </c>
      <c r="C339" s="3" t="s">
        <v>1009</v>
      </c>
      <c r="D339" s="3" t="s">
        <v>191</v>
      </c>
      <c r="E339" s="3"/>
      <c r="F339" s="3"/>
      <c r="G339" s="3"/>
      <c r="H339" s="3"/>
    </row>
    <row r="340" spans="1:8" x14ac:dyDescent="0.35">
      <c r="A340" s="3" t="s">
        <v>1010</v>
      </c>
      <c r="B340" s="3" t="s">
        <v>45</v>
      </c>
      <c r="C340" s="3" t="s">
        <v>1011</v>
      </c>
      <c r="D340" s="3" t="s">
        <v>217</v>
      </c>
      <c r="E340" s="3"/>
      <c r="F340" s="3" t="s">
        <v>2286</v>
      </c>
      <c r="G340" s="3"/>
      <c r="H340" s="3"/>
    </row>
    <row r="341" spans="1:8" x14ac:dyDescent="0.35">
      <c r="A341" s="3" t="s">
        <v>1010</v>
      </c>
      <c r="B341" s="3" t="s">
        <v>45</v>
      </c>
      <c r="C341" s="3" t="s">
        <v>1011</v>
      </c>
      <c r="D341" s="3" t="s">
        <v>224</v>
      </c>
      <c r="E341" s="3"/>
      <c r="F341" s="3"/>
      <c r="G341" s="3"/>
      <c r="H341" s="3"/>
    </row>
    <row r="342" spans="1:8" x14ac:dyDescent="0.35">
      <c r="A342" s="3" t="s">
        <v>1010</v>
      </c>
      <c r="B342" s="3" t="s">
        <v>10</v>
      </c>
      <c r="C342" s="3" t="s">
        <v>2687</v>
      </c>
      <c r="D342" s="3" t="s">
        <v>47</v>
      </c>
      <c r="E342" s="3"/>
      <c r="F342" s="3"/>
      <c r="G342" s="3"/>
      <c r="H342" s="3"/>
    </row>
    <row r="343" spans="1:8" x14ac:dyDescent="0.35">
      <c r="A343" s="3" t="s">
        <v>1010</v>
      </c>
      <c r="B343" s="3" t="s">
        <v>10</v>
      </c>
      <c r="C343" s="3" t="s">
        <v>2687</v>
      </c>
      <c r="D343" s="3" t="s">
        <v>25</v>
      </c>
      <c r="E343" s="3"/>
      <c r="F343" s="3"/>
      <c r="G343" s="3"/>
      <c r="H343" s="3"/>
    </row>
    <row r="344" spans="1:8" x14ac:dyDescent="0.35">
      <c r="A344" s="3" t="s">
        <v>1010</v>
      </c>
      <c r="B344" s="3" t="s">
        <v>10</v>
      </c>
      <c r="C344" s="3" t="s">
        <v>2687</v>
      </c>
      <c r="D344" s="3" t="s">
        <v>71</v>
      </c>
      <c r="E344" s="3"/>
      <c r="F344" s="3"/>
      <c r="G344" s="3"/>
      <c r="H344" s="3"/>
    </row>
    <row r="345" spans="1:8" x14ac:dyDescent="0.35">
      <c r="A345" s="3" t="s">
        <v>1010</v>
      </c>
      <c r="B345" s="3" t="s">
        <v>10</v>
      </c>
      <c r="C345" s="3" t="s">
        <v>2687</v>
      </c>
      <c r="D345" s="3" t="s">
        <v>28</v>
      </c>
      <c r="E345" s="3"/>
      <c r="F345" s="3"/>
      <c r="G345" s="3"/>
      <c r="H345" s="3"/>
    </row>
    <row r="346" spans="1:8" x14ac:dyDescent="0.35">
      <c r="A346" s="3" t="s">
        <v>1010</v>
      </c>
      <c r="B346" s="3" t="s">
        <v>10</v>
      </c>
      <c r="C346" s="3" t="s">
        <v>2687</v>
      </c>
      <c r="D346" s="3" t="s">
        <v>15</v>
      </c>
      <c r="E346" s="3" t="s">
        <v>16</v>
      </c>
      <c r="F346" s="3" t="s">
        <v>2688</v>
      </c>
      <c r="G346" s="3"/>
      <c r="H346" s="3"/>
    </row>
    <row r="347" spans="1:8" x14ac:dyDescent="0.35">
      <c r="A347" s="3" t="s">
        <v>1010</v>
      </c>
      <c r="B347" s="3" t="s">
        <v>10</v>
      </c>
      <c r="C347" s="3" t="s">
        <v>2687</v>
      </c>
      <c r="D347" s="3" t="s">
        <v>32</v>
      </c>
      <c r="E347" s="3"/>
      <c r="F347" s="3"/>
      <c r="G347" s="3"/>
      <c r="H347" s="3"/>
    </row>
    <row r="348" spans="1:8" x14ac:dyDescent="0.35">
      <c r="A348" s="3" t="s">
        <v>1010</v>
      </c>
      <c r="B348" s="3" t="s">
        <v>10</v>
      </c>
      <c r="C348" s="3" t="s">
        <v>2687</v>
      </c>
      <c r="D348" s="3" t="s">
        <v>62</v>
      </c>
      <c r="E348" s="3"/>
      <c r="F348" s="3"/>
      <c r="G348" s="3"/>
      <c r="H348" s="3"/>
    </row>
    <row r="349" spans="1:8" x14ac:dyDescent="0.35">
      <c r="A349" s="3" t="s">
        <v>1010</v>
      </c>
      <c r="B349" s="3" t="s">
        <v>10</v>
      </c>
      <c r="C349" s="3" t="s">
        <v>1012</v>
      </c>
      <c r="D349" s="3" t="s">
        <v>47</v>
      </c>
      <c r="E349" s="3"/>
      <c r="F349" s="3"/>
      <c r="G349" s="3"/>
      <c r="H349" s="3"/>
    </row>
    <row r="350" spans="1:8" x14ac:dyDescent="0.35">
      <c r="A350" s="3" t="s">
        <v>1010</v>
      </c>
      <c r="B350" s="3" t="s">
        <v>10</v>
      </c>
      <c r="C350" s="3" t="s">
        <v>1012</v>
      </c>
      <c r="D350" s="3" t="s">
        <v>134</v>
      </c>
      <c r="E350" s="3" t="s">
        <v>33</v>
      </c>
      <c r="F350" s="3" t="s">
        <v>1013</v>
      </c>
      <c r="G350" s="3"/>
      <c r="H350" s="3"/>
    </row>
    <row r="351" spans="1:8" x14ac:dyDescent="0.35">
      <c r="A351" s="3" t="s">
        <v>1010</v>
      </c>
      <c r="B351" s="3" t="s">
        <v>10</v>
      </c>
      <c r="C351" s="3" t="s">
        <v>2777</v>
      </c>
      <c r="D351" s="3" t="s">
        <v>47</v>
      </c>
      <c r="E351" s="3"/>
      <c r="F351" s="3"/>
      <c r="G351" s="3"/>
      <c r="H351" s="3"/>
    </row>
    <row r="352" spans="1:8" x14ac:dyDescent="0.35">
      <c r="A352" s="3" t="s">
        <v>1010</v>
      </c>
      <c r="B352" s="3" t="s">
        <v>45</v>
      </c>
      <c r="C352" s="3" t="s">
        <v>1014</v>
      </c>
      <c r="D352" s="3" t="s">
        <v>166</v>
      </c>
      <c r="E352" s="3" t="s">
        <v>33</v>
      </c>
      <c r="F352" s="3" t="s">
        <v>1015</v>
      </c>
      <c r="G352" s="3"/>
      <c r="H352" s="3"/>
    </row>
    <row r="353" spans="1:8" x14ac:dyDescent="0.35">
      <c r="A353" s="3" t="s">
        <v>1010</v>
      </c>
      <c r="B353" s="3" t="s">
        <v>45</v>
      </c>
      <c r="C353" s="3" t="s">
        <v>1014</v>
      </c>
      <c r="D353" s="3" t="s">
        <v>1016</v>
      </c>
      <c r="E353" s="3" t="s">
        <v>33</v>
      </c>
      <c r="F353" s="3" t="s">
        <v>1015</v>
      </c>
      <c r="G353" s="3"/>
      <c r="H353" s="3"/>
    </row>
    <row r="354" spans="1:8" x14ac:dyDescent="0.35">
      <c r="A354" s="3" t="s">
        <v>1010</v>
      </c>
      <c r="B354" s="3" t="s">
        <v>45</v>
      </c>
      <c r="C354" s="3" t="s">
        <v>1014</v>
      </c>
      <c r="D354" s="3" t="s">
        <v>225</v>
      </c>
      <c r="E354" s="3" t="s">
        <v>33</v>
      </c>
      <c r="F354" s="3" t="s">
        <v>1015</v>
      </c>
      <c r="G354" s="3"/>
      <c r="H354" s="3"/>
    </row>
    <row r="355" spans="1:8" x14ac:dyDescent="0.35">
      <c r="A355" s="3" t="s">
        <v>1010</v>
      </c>
      <c r="B355" s="3" t="s">
        <v>45</v>
      </c>
      <c r="C355" s="3" t="s">
        <v>1014</v>
      </c>
      <c r="D355" s="3" t="s">
        <v>221</v>
      </c>
      <c r="E355" s="3" t="s">
        <v>33</v>
      </c>
      <c r="F355" s="3" t="s">
        <v>1015</v>
      </c>
      <c r="G355" s="3"/>
      <c r="H355" s="3"/>
    </row>
    <row r="356" spans="1:8" x14ac:dyDescent="0.35">
      <c r="A356" s="3" t="s">
        <v>1010</v>
      </c>
      <c r="B356" s="3" t="s">
        <v>45</v>
      </c>
      <c r="C356" s="3" t="s">
        <v>1014</v>
      </c>
      <c r="D356" s="3" t="s">
        <v>222</v>
      </c>
      <c r="E356" s="3" t="s">
        <v>33</v>
      </c>
      <c r="F356" s="3" t="s">
        <v>1015</v>
      </c>
      <c r="G356" s="3"/>
      <c r="H356" s="3"/>
    </row>
    <row r="357" spans="1:8" x14ac:dyDescent="0.35">
      <c r="A357" s="3" t="s">
        <v>1010</v>
      </c>
      <c r="B357" s="3" t="s">
        <v>45</v>
      </c>
      <c r="C357" s="3" t="s">
        <v>1014</v>
      </c>
      <c r="D357" s="3" t="s">
        <v>223</v>
      </c>
      <c r="E357" s="3" t="s">
        <v>33</v>
      </c>
      <c r="F357" s="3" t="s">
        <v>1015</v>
      </c>
      <c r="G357" s="3"/>
      <c r="H357" s="3"/>
    </row>
    <row r="358" spans="1:8" x14ac:dyDescent="0.35">
      <c r="A358" s="3" t="s">
        <v>1010</v>
      </c>
      <c r="B358" s="3" t="s">
        <v>45</v>
      </c>
      <c r="C358" s="3" t="s">
        <v>1014</v>
      </c>
      <c r="D358" s="3" t="s">
        <v>226</v>
      </c>
      <c r="E358" s="3" t="s">
        <v>33</v>
      </c>
      <c r="F358" s="3" t="s">
        <v>1015</v>
      </c>
      <c r="G358" s="3"/>
      <c r="H358" s="3"/>
    </row>
    <row r="359" spans="1:8" x14ac:dyDescent="0.35">
      <c r="A359" s="3" t="s">
        <v>1010</v>
      </c>
      <c r="B359" s="3" t="s">
        <v>45</v>
      </c>
      <c r="C359" s="3" t="s">
        <v>1014</v>
      </c>
      <c r="D359" s="3" t="s">
        <v>227</v>
      </c>
      <c r="E359" s="3" t="s">
        <v>33</v>
      </c>
      <c r="F359" s="3" t="s">
        <v>1015</v>
      </c>
      <c r="G359" s="3"/>
      <c r="H359" s="3"/>
    </row>
    <row r="360" spans="1:8" x14ac:dyDescent="0.35">
      <c r="A360" s="3" t="s">
        <v>1010</v>
      </c>
      <c r="B360" s="3" t="s">
        <v>45</v>
      </c>
      <c r="C360" s="3" t="s">
        <v>1014</v>
      </c>
      <c r="D360" s="3" t="s">
        <v>228</v>
      </c>
      <c r="E360" s="3" t="s">
        <v>33</v>
      </c>
      <c r="F360" s="3" t="s">
        <v>1015</v>
      </c>
      <c r="G360" s="3"/>
      <c r="H360" s="3"/>
    </row>
    <row r="361" spans="1:8" x14ac:dyDescent="0.35">
      <c r="A361" s="3" t="s">
        <v>1010</v>
      </c>
      <c r="B361" s="3" t="s">
        <v>45</v>
      </c>
      <c r="C361" s="3" t="s">
        <v>1014</v>
      </c>
      <c r="D361" s="3" t="s">
        <v>229</v>
      </c>
      <c r="E361" s="3" t="s">
        <v>33</v>
      </c>
      <c r="F361" s="3" t="s">
        <v>1015</v>
      </c>
      <c r="G361" s="3"/>
      <c r="H361" s="3"/>
    </row>
    <row r="362" spans="1:8" x14ac:dyDescent="0.35">
      <c r="A362" s="3" t="s">
        <v>1010</v>
      </c>
      <c r="B362" s="3" t="s">
        <v>45</v>
      </c>
      <c r="C362" s="3" t="s">
        <v>1014</v>
      </c>
      <c r="D362" s="3" t="s">
        <v>230</v>
      </c>
      <c r="E362" s="3" t="s">
        <v>33</v>
      </c>
      <c r="F362" s="3" t="s">
        <v>1015</v>
      </c>
      <c r="G362" s="3"/>
      <c r="H362" s="3"/>
    </row>
    <row r="363" spans="1:8" x14ac:dyDescent="0.35">
      <c r="A363" s="3" t="s">
        <v>1010</v>
      </c>
      <c r="B363" s="3" t="s">
        <v>45</v>
      </c>
      <c r="C363" s="3" t="s">
        <v>1014</v>
      </c>
      <c r="D363" s="3" t="s">
        <v>218</v>
      </c>
      <c r="E363" s="3" t="s">
        <v>33</v>
      </c>
      <c r="F363" s="3" t="s">
        <v>1015</v>
      </c>
      <c r="G363" s="3"/>
      <c r="H363" s="3"/>
    </row>
    <row r="364" spans="1:8" x14ac:dyDescent="0.35">
      <c r="A364" s="3" t="s">
        <v>1010</v>
      </c>
      <c r="B364" s="3" t="s">
        <v>45</v>
      </c>
      <c r="C364" s="3" t="s">
        <v>1014</v>
      </c>
      <c r="D364" s="3" t="s">
        <v>224</v>
      </c>
      <c r="E364" s="3" t="s">
        <v>33</v>
      </c>
      <c r="F364" s="3" t="s">
        <v>1015</v>
      </c>
      <c r="G364" s="3"/>
      <c r="H364" s="3"/>
    </row>
    <row r="365" spans="1:8" x14ac:dyDescent="0.35">
      <c r="A365" s="3" t="s">
        <v>1010</v>
      </c>
      <c r="B365" s="3" t="s">
        <v>20</v>
      </c>
      <c r="C365" s="3" t="s">
        <v>1017</v>
      </c>
      <c r="D365" s="3" t="s">
        <v>918</v>
      </c>
      <c r="E365" s="3" t="s">
        <v>33</v>
      </c>
      <c r="F365" s="3" t="s">
        <v>34</v>
      </c>
      <c r="G365" s="3"/>
      <c r="H365" s="3"/>
    </row>
    <row r="366" spans="1:8" x14ac:dyDescent="0.35">
      <c r="A366" s="3" t="s">
        <v>1010</v>
      </c>
      <c r="B366" s="3" t="s">
        <v>20</v>
      </c>
      <c r="C366" s="3" t="s">
        <v>1017</v>
      </c>
      <c r="D366" s="3" t="s">
        <v>1018</v>
      </c>
      <c r="E366" s="3" t="s">
        <v>33</v>
      </c>
      <c r="F366" s="3" t="s">
        <v>34</v>
      </c>
      <c r="G366" s="3"/>
      <c r="H366" s="3"/>
    </row>
    <row r="367" spans="1:8" x14ac:dyDescent="0.35">
      <c r="A367" s="3" t="s">
        <v>1010</v>
      </c>
      <c r="B367" s="3" t="s">
        <v>20</v>
      </c>
      <c r="C367" s="3" t="s">
        <v>1017</v>
      </c>
      <c r="D367" s="3" t="s">
        <v>27</v>
      </c>
      <c r="E367" s="3" t="s">
        <v>33</v>
      </c>
      <c r="F367" s="3" t="s">
        <v>34</v>
      </c>
      <c r="G367" s="3"/>
      <c r="H367" s="3"/>
    </row>
    <row r="368" spans="1:8" x14ac:dyDescent="0.35">
      <c r="A368" s="3" t="s">
        <v>1010</v>
      </c>
      <c r="B368" s="3" t="s">
        <v>20</v>
      </c>
      <c r="C368" s="3" t="s">
        <v>1017</v>
      </c>
      <c r="D368" s="3" t="s">
        <v>77</v>
      </c>
      <c r="E368" s="3"/>
      <c r="F368" s="3"/>
      <c r="G368" s="3"/>
      <c r="H368" s="3"/>
    </row>
    <row r="369" spans="1:8" x14ac:dyDescent="0.35">
      <c r="A369" s="3" t="s">
        <v>1010</v>
      </c>
      <c r="B369" s="3" t="s">
        <v>20</v>
      </c>
      <c r="C369" s="3" t="s">
        <v>1017</v>
      </c>
      <c r="D369" s="3" t="s">
        <v>31</v>
      </c>
      <c r="E369" s="3" t="s">
        <v>33</v>
      </c>
      <c r="F369" s="3" t="s">
        <v>34</v>
      </c>
      <c r="G369" s="3"/>
      <c r="H369" s="3"/>
    </row>
    <row r="370" spans="1:8" x14ac:dyDescent="0.35">
      <c r="A370" s="3" t="s">
        <v>1010</v>
      </c>
      <c r="B370" s="3" t="s">
        <v>20</v>
      </c>
      <c r="C370" s="3" t="s">
        <v>1017</v>
      </c>
      <c r="D370" s="3" t="s">
        <v>15</v>
      </c>
      <c r="E370" s="3"/>
      <c r="F370" s="3" t="s">
        <v>3012</v>
      </c>
      <c r="G370" s="3"/>
      <c r="H370" s="3"/>
    </row>
    <row r="371" spans="1:8" x14ac:dyDescent="0.35">
      <c r="A371" s="3" t="s">
        <v>1010</v>
      </c>
      <c r="B371" s="3" t="s">
        <v>20</v>
      </c>
      <c r="C371" s="3" t="s">
        <v>1017</v>
      </c>
      <c r="D371" s="3" t="s">
        <v>152</v>
      </c>
      <c r="E371" s="3"/>
      <c r="F371" s="3"/>
      <c r="G371" s="3"/>
      <c r="H371" s="3"/>
    </row>
    <row r="372" spans="1:8" x14ac:dyDescent="0.35">
      <c r="A372" s="3" t="s">
        <v>1010</v>
      </c>
      <c r="B372" s="3" t="s">
        <v>20</v>
      </c>
      <c r="C372" s="3" t="s">
        <v>1017</v>
      </c>
      <c r="D372" s="3" t="s">
        <v>968</v>
      </c>
      <c r="E372" s="3" t="s">
        <v>33</v>
      </c>
      <c r="F372" s="3" t="s">
        <v>34</v>
      </c>
      <c r="G372" s="3"/>
      <c r="H372" s="3"/>
    </row>
    <row r="373" spans="1:8" x14ac:dyDescent="0.35">
      <c r="A373" s="3" t="s">
        <v>1010</v>
      </c>
      <c r="B373" s="3" t="s">
        <v>591</v>
      </c>
      <c r="C373" s="3" t="s">
        <v>1019</v>
      </c>
      <c r="D373" s="3" t="s">
        <v>27</v>
      </c>
      <c r="E373" s="3" t="s">
        <v>33</v>
      </c>
      <c r="F373" s="3" t="s">
        <v>34</v>
      </c>
      <c r="G373" s="3"/>
      <c r="H373" s="3"/>
    </row>
    <row r="374" spans="1:8" x14ac:dyDescent="0.35">
      <c r="A374" s="3" t="s">
        <v>1010</v>
      </c>
      <c r="B374" s="3" t="s">
        <v>10</v>
      </c>
      <c r="C374" s="3" t="s">
        <v>1020</v>
      </c>
      <c r="D374" s="3" t="s">
        <v>47</v>
      </c>
      <c r="E374" s="3"/>
      <c r="F374" s="3"/>
      <c r="G374" s="3"/>
      <c r="H374" s="3"/>
    </row>
    <row r="375" spans="1:8" x14ac:dyDescent="0.35">
      <c r="A375" s="3" t="s">
        <v>1010</v>
      </c>
      <c r="B375" s="3" t="s">
        <v>10</v>
      </c>
      <c r="C375" s="3" t="s">
        <v>1020</v>
      </c>
      <c r="D375" s="3" t="s">
        <v>1021</v>
      </c>
      <c r="E375" s="3"/>
      <c r="F375" s="3"/>
      <c r="G375" s="3"/>
      <c r="H375" s="3"/>
    </row>
    <row r="376" spans="1:8" x14ac:dyDescent="0.35">
      <c r="A376" s="3" t="s">
        <v>1010</v>
      </c>
      <c r="B376" s="3" t="s">
        <v>10</v>
      </c>
      <c r="C376" s="3" t="s">
        <v>1020</v>
      </c>
      <c r="D376" s="3" t="s">
        <v>134</v>
      </c>
      <c r="E376" s="3"/>
      <c r="F376" s="3"/>
      <c r="G376" s="3"/>
      <c r="H376" s="3"/>
    </row>
    <row r="377" spans="1:8" x14ac:dyDescent="0.35">
      <c r="A377" s="3" t="s">
        <v>1010</v>
      </c>
      <c r="B377" s="3" t="s">
        <v>10</v>
      </c>
      <c r="C377" s="3" t="s">
        <v>1022</v>
      </c>
      <c r="D377" s="3" t="s">
        <v>47</v>
      </c>
      <c r="E377" s="3"/>
      <c r="F377" s="3"/>
      <c r="G377" s="3"/>
      <c r="H377" s="3"/>
    </row>
    <row r="378" spans="1:8" x14ac:dyDescent="0.35">
      <c r="A378" s="3" t="s">
        <v>1010</v>
      </c>
      <c r="B378" s="3" t="s">
        <v>10</v>
      </c>
      <c r="C378" s="3" t="s">
        <v>1022</v>
      </c>
      <c r="D378" s="3" t="s">
        <v>15</v>
      </c>
      <c r="E378" s="3" t="s">
        <v>16</v>
      </c>
      <c r="F378" s="3" t="s">
        <v>1023</v>
      </c>
      <c r="G378" s="3"/>
      <c r="H378" s="3"/>
    </row>
    <row r="379" spans="1:8" x14ac:dyDescent="0.35">
      <c r="A379" s="3" t="s">
        <v>1010</v>
      </c>
      <c r="B379" s="3" t="s">
        <v>10</v>
      </c>
      <c r="C379" s="3" t="s">
        <v>1022</v>
      </c>
      <c r="D379" s="3" t="s">
        <v>57</v>
      </c>
      <c r="E379" s="3"/>
      <c r="F379" s="3"/>
      <c r="G379" s="3"/>
      <c r="H379" s="3"/>
    </row>
    <row r="380" spans="1:8" x14ac:dyDescent="0.35">
      <c r="A380" s="3" t="s">
        <v>1010</v>
      </c>
      <c r="B380" s="3" t="s">
        <v>10</v>
      </c>
      <c r="C380" s="3" t="s">
        <v>1022</v>
      </c>
      <c r="D380" s="3" t="s">
        <v>134</v>
      </c>
      <c r="E380" s="3"/>
      <c r="F380" s="3"/>
      <c r="G380" s="3"/>
      <c r="H380" s="3"/>
    </row>
    <row r="381" spans="1:8" x14ac:dyDescent="0.35">
      <c r="A381" s="3" t="s">
        <v>1010</v>
      </c>
      <c r="B381" s="3" t="s">
        <v>45</v>
      </c>
      <c r="C381" s="3" t="s">
        <v>1024</v>
      </c>
      <c r="D381" s="3" t="s">
        <v>217</v>
      </c>
      <c r="E381" s="3"/>
      <c r="F381" s="3" t="s">
        <v>2286</v>
      </c>
      <c r="G381" s="3"/>
      <c r="H381" s="3"/>
    </row>
    <row r="382" spans="1:8" x14ac:dyDescent="0.35">
      <c r="A382" s="3" t="s">
        <v>1010</v>
      </c>
      <c r="B382" s="3" t="s">
        <v>45</v>
      </c>
      <c r="C382" s="3" t="s">
        <v>1024</v>
      </c>
      <c r="D382" s="3" t="s">
        <v>56</v>
      </c>
      <c r="E382" s="3"/>
      <c r="F382" s="3"/>
      <c r="G382" s="3"/>
      <c r="H382" s="3"/>
    </row>
    <row r="383" spans="1:8" x14ac:dyDescent="0.35">
      <c r="A383" s="3" t="s">
        <v>1010</v>
      </c>
      <c r="B383" s="3" t="s">
        <v>45</v>
      </c>
      <c r="C383" s="3" t="s">
        <v>1024</v>
      </c>
      <c r="D383" s="3" t="s">
        <v>224</v>
      </c>
      <c r="E383" s="3"/>
      <c r="F383" s="3"/>
      <c r="G383" s="3"/>
      <c r="H383" s="3"/>
    </row>
    <row r="384" spans="1:8" x14ac:dyDescent="0.35">
      <c r="A384" s="3" t="s">
        <v>1010</v>
      </c>
      <c r="B384" s="3" t="s">
        <v>45</v>
      </c>
      <c r="C384" s="3" t="s">
        <v>2895</v>
      </c>
      <c r="D384" s="3" t="s">
        <v>217</v>
      </c>
      <c r="E384" s="3"/>
      <c r="F384" s="3"/>
      <c r="G384" s="3"/>
      <c r="H384" s="3"/>
    </row>
    <row r="385" spans="1:8" x14ac:dyDescent="0.35">
      <c r="A385" s="3" t="s">
        <v>1010</v>
      </c>
      <c r="B385" s="3" t="s">
        <v>45</v>
      </c>
      <c r="C385" s="3" t="s">
        <v>1025</v>
      </c>
      <c r="D385" s="3" t="s">
        <v>217</v>
      </c>
      <c r="E385" s="3"/>
      <c r="F385" s="3" t="s">
        <v>2286</v>
      </c>
      <c r="G385" s="3"/>
      <c r="H385" s="3"/>
    </row>
    <row r="386" spans="1:8" x14ac:dyDescent="0.35">
      <c r="A386" s="3" t="s">
        <v>1010</v>
      </c>
      <c r="B386" s="3" t="s">
        <v>45</v>
      </c>
      <c r="C386" s="3" t="s">
        <v>1025</v>
      </c>
      <c r="D386" s="3" t="s">
        <v>56</v>
      </c>
      <c r="E386" s="3"/>
      <c r="F386" s="3"/>
      <c r="G386" s="3"/>
      <c r="H386" s="3"/>
    </row>
    <row r="387" spans="1:8" x14ac:dyDescent="0.35">
      <c r="A387" s="3" t="s">
        <v>1010</v>
      </c>
      <c r="B387" s="3" t="s">
        <v>45</v>
      </c>
      <c r="C387" s="3" t="s">
        <v>1025</v>
      </c>
      <c r="D387" s="3" t="s">
        <v>224</v>
      </c>
      <c r="E387" s="3"/>
      <c r="F387" s="3"/>
      <c r="G387" s="3"/>
      <c r="H387" s="3"/>
    </row>
    <row r="388" spans="1:8" x14ac:dyDescent="0.35">
      <c r="A388" s="3" t="s">
        <v>1010</v>
      </c>
      <c r="B388" s="3" t="s">
        <v>45</v>
      </c>
      <c r="C388" s="3" t="s">
        <v>1026</v>
      </c>
      <c r="D388" s="3" t="s">
        <v>166</v>
      </c>
      <c r="E388" s="3"/>
      <c r="F388" s="3"/>
      <c r="G388" s="3"/>
      <c r="H388" s="3"/>
    </row>
    <row r="389" spans="1:8" x14ac:dyDescent="0.35">
      <c r="A389" s="3" t="s">
        <v>1010</v>
      </c>
      <c r="B389" s="3" t="s">
        <v>45</v>
      </c>
      <c r="C389" s="3" t="s">
        <v>1026</v>
      </c>
      <c r="D389" s="3" t="s">
        <v>217</v>
      </c>
      <c r="E389" s="3"/>
      <c r="F389" s="3"/>
      <c r="G389" s="3"/>
      <c r="H389" s="3"/>
    </row>
    <row r="390" spans="1:8" x14ac:dyDescent="0.35">
      <c r="A390" s="3" t="s">
        <v>1010</v>
      </c>
      <c r="B390" s="3" t="s">
        <v>45</v>
      </c>
      <c r="C390" s="3" t="s">
        <v>1026</v>
      </c>
      <c r="D390" s="3" t="s">
        <v>220</v>
      </c>
      <c r="E390" s="3"/>
      <c r="F390" s="3"/>
      <c r="G390" s="3"/>
      <c r="H390" s="3"/>
    </row>
    <row r="391" spans="1:8" x14ac:dyDescent="0.35">
      <c r="A391" s="3" t="s">
        <v>1010</v>
      </c>
      <c r="B391" s="3" t="s">
        <v>45</v>
      </c>
      <c r="C391" s="3" t="s">
        <v>1026</v>
      </c>
      <c r="D391" s="3" t="s">
        <v>225</v>
      </c>
      <c r="E391" s="3"/>
      <c r="F391" s="3"/>
      <c r="G391" s="3"/>
      <c r="H391" s="3"/>
    </row>
    <row r="392" spans="1:8" x14ac:dyDescent="0.35">
      <c r="A392" s="3" t="s">
        <v>1010</v>
      </c>
      <c r="B392" s="3" t="s">
        <v>45</v>
      </c>
      <c r="C392" s="3" t="s">
        <v>1026</v>
      </c>
      <c r="D392" s="3" t="s">
        <v>221</v>
      </c>
      <c r="E392" s="3"/>
      <c r="F392" s="3"/>
      <c r="G392" s="3"/>
      <c r="H392" s="3"/>
    </row>
    <row r="393" spans="1:8" x14ac:dyDescent="0.35">
      <c r="A393" s="3" t="s">
        <v>1010</v>
      </c>
      <c r="B393" s="3" t="s">
        <v>45</v>
      </c>
      <c r="C393" s="3" t="s">
        <v>1026</v>
      </c>
      <c r="D393" s="3" t="s">
        <v>222</v>
      </c>
      <c r="E393" s="3"/>
      <c r="F393" s="3"/>
      <c r="G393" s="3"/>
      <c r="H393" s="3"/>
    </row>
    <row r="394" spans="1:8" x14ac:dyDescent="0.35">
      <c r="A394" s="3" t="s">
        <v>1010</v>
      </c>
      <c r="B394" s="3" t="s">
        <v>45</v>
      </c>
      <c r="C394" s="3" t="s">
        <v>1026</v>
      </c>
      <c r="D394" s="3" t="s">
        <v>223</v>
      </c>
      <c r="E394" s="3"/>
      <c r="F394" s="3"/>
      <c r="G394" s="3"/>
      <c r="H394" s="3"/>
    </row>
    <row r="395" spans="1:8" x14ac:dyDescent="0.35">
      <c r="A395" s="3" t="s">
        <v>1010</v>
      </c>
      <c r="B395" s="3" t="s">
        <v>45</v>
      </c>
      <c r="C395" s="3" t="s">
        <v>1026</v>
      </c>
      <c r="D395" s="3" t="s">
        <v>226</v>
      </c>
      <c r="E395" s="3"/>
      <c r="F395" s="3"/>
      <c r="G395" s="3"/>
      <c r="H395" s="3"/>
    </row>
    <row r="396" spans="1:8" x14ac:dyDescent="0.35">
      <c r="A396" s="3" t="s">
        <v>1010</v>
      </c>
      <c r="B396" s="3" t="s">
        <v>45</v>
      </c>
      <c r="C396" s="3" t="s">
        <v>1026</v>
      </c>
      <c r="D396" s="3" t="s">
        <v>227</v>
      </c>
      <c r="E396" s="3"/>
      <c r="F396" s="3"/>
      <c r="G396" s="3"/>
      <c r="H396" s="3"/>
    </row>
    <row r="397" spans="1:8" x14ac:dyDescent="0.35">
      <c r="A397" s="3" t="s">
        <v>1010</v>
      </c>
      <c r="B397" s="3" t="s">
        <v>45</v>
      </c>
      <c r="C397" s="3" t="s">
        <v>1026</v>
      </c>
      <c r="D397" s="3" t="s">
        <v>228</v>
      </c>
      <c r="E397" s="3"/>
      <c r="F397" s="3"/>
      <c r="G397" s="3"/>
      <c r="H397" s="3"/>
    </row>
    <row r="398" spans="1:8" x14ac:dyDescent="0.35">
      <c r="A398" s="3" t="s">
        <v>1010</v>
      </c>
      <c r="B398" s="3" t="s">
        <v>45</v>
      </c>
      <c r="C398" s="3" t="s">
        <v>1026</v>
      </c>
      <c r="D398" s="3" t="s">
        <v>56</v>
      </c>
      <c r="E398" s="3"/>
      <c r="F398" s="3"/>
      <c r="G398" s="3"/>
      <c r="H398" s="3"/>
    </row>
    <row r="399" spans="1:8" x14ac:dyDescent="0.35">
      <c r="A399" s="3" t="s">
        <v>1010</v>
      </c>
      <c r="B399" s="3" t="s">
        <v>45</v>
      </c>
      <c r="C399" s="3" t="s">
        <v>1026</v>
      </c>
      <c r="D399" s="3" t="s">
        <v>229</v>
      </c>
      <c r="E399" s="3"/>
      <c r="F399" s="3"/>
      <c r="G399" s="3"/>
      <c r="H399" s="3"/>
    </row>
    <row r="400" spans="1:8" x14ac:dyDescent="0.35">
      <c r="A400" s="3" t="s">
        <v>1010</v>
      </c>
      <c r="B400" s="3" t="s">
        <v>45</v>
      </c>
      <c r="C400" s="3" t="s">
        <v>1026</v>
      </c>
      <c r="D400" s="3" t="s">
        <v>230</v>
      </c>
      <c r="E400" s="3"/>
      <c r="F400" s="3"/>
      <c r="G400" s="3"/>
      <c r="H400" s="3"/>
    </row>
    <row r="401" spans="1:8" x14ac:dyDescent="0.35">
      <c r="A401" s="3" t="s">
        <v>1010</v>
      </c>
      <c r="B401" s="3" t="s">
        <v>45</v>
      </c>
      <c r="C401" s="3" t="s">
        <v>1026</v>
      </c>
      <c r="D401" s="3" t="s">
        <v>219</v>
      </c>
      <c r="E401" s="3"/>
      <c r="F401" s="3"/>
      <c r="G401" s="3"/>
      <c r="H401" s="3"/>
    </row>
    <row r="402" spans="1:8" x14ac:dyDescent="0.35">
      <c r="A402" s="3" t="s">
        <v>1010</v>
      </c>
      <c r="B402" s="3" t="s">
        <v>45</v>
      </c>
      <c r="C402" s="3" t="s">
        <v>1026</v>
      </c>
      <c r="D402" s="3" t="s">
        <v>218</v>
      </c>
      <c r="E402" s="3"/>
      <c r="F402" s="3"/>
      <c r="G402" s="3"/>
      <c r="H402" s="3"/>
    </row>
    <row r="403" spans="1:8" x14ac:dyDescent="0.35">
      <c r="A403" s="3" t="s">
        <v>1010</v>
      </c>
      <c r="B403" s="3" t="s">
        <v>45</v>
      </c>
      <c r="C403" s="3" t="s">
        <v>1026</v>
      </c>
      <c r="D403" s="3" t="s">
        <v>224</v>
      </c>
      <c r="E403" s="3"/>
      <c r="F403" s="3"/>
      <c r="G403" s="3"/>
      <c r="H403" s="3"/>
    </row>
    <row r="404" spans="1:8" x14ac:dyDescent="0.35">
      <c r="A404" s="3" t="s">
        <v>1010</v>
      </c>
      <c r="B404" s="3" t="s">
        <v>45</v>
      </c>
      <c r="C404" s="3" t="s">
        <v>1027</v>
      </c>
      <c r="D404" s="3" t="s">
        <v>166</v>
      </c>
      <c r="E404" s="3"/>
      <c r="F404" s="3"/>
      <c r="G404" s="3"/>
      <c r="H404" s="3"/>
    </row>
    <row r="405" spans="1:8" x14ac:dyDescent="0.35">
      <c r="A405" s="3" t="s">
        <v>1010</v>
      </c>
      <c r="B405" s="3" t="s">
        <v>45</v>
      </c>
      <c r="C405" s="3" t="s">
        <v>1027</v>
      </c>
      <c r="D405" s="3" t="s">
        <v>47</v>
      </c>
      <c r="E405" s="3"/>
      <c r="F405" s="3"/>
      <c r="G405" s="3"/>
      <c r="H405" s="3"/>
    </row>
    <row r="406" spans="1:8" x14ac:dyDescent="0.35">
      <c r="A406" s="3" t="s">
        <v>1010</v>
      </c>
      <c r="B406" s="3" t="s">
        <v>45</v>
      </c>
      <c r="C406" s="3" t="s">
        <v>1027</v>
      </c>
      <c r="D406" s="3" t="s">
        <v>220</v>
      </c>
      <c r="E406" s="3"/>
      <c r="F406" s="3"/>
      <c r="G406" s="3"/>
      <c r="H406" s="3"/>
    </row>
    <row r="407" spans="1:8" x14ac:dyDescent="0.35">
      <c r="A407" s="3" t="s">
        <v>1010</v>
      </c>
      <c r="B407" s="3" t="s">
        <v>45</v>
      </c>
      <c r="C407" s="3" t="s">
        <v>1027</v>
      </c>
      <c r="D407" s="3" t="s">
        <v>225</v>
      </c>
      <c r="E407" s="3"/>
      <c r="F407" s="3"/>
      <c r="G407" s="3"/>
      <c r="H407" s="3"/>
    </row>
    <row r="408" spans="1:8" x14ac:dyDescent="0.35">
      <c r="A408" s="3" t="s">
        <v>1010</v>
      </c>
      <c r="B408" s="3" t="s">
        <v>45</v>
      </c>
      <c r="C408" s="3" t="s">
        <v>1027</v>
      </c>
      <c r="D408" s="3" t="s">
        <v>221</v>
      </c>
      <c r="E408" s="3"/>
      <c r="F408" s="3"/>
      <c r="G408" s="3"/>
      <c r="H408" s="3"/>
    </row>
    <row r="409" spans="1:8" x14ac:dyDescent="0.35">
      <c r="A409" s="3" t="s">
        <v>1010</v>
      </c>
      <c r="B409" s="3" t="s">
        <v>45</v>
      </c>
      <c r="C409" s="3" t="s">
        <v>1027</v>
      </c>
      <c r="D409" s="3" t="s">
        <v>222</v>
      </c>
      <c r="E409" s="3"/>
      <c r="F409" s="3"/>
      <c r="G409" s="3"/>
      <c r="H409" s="3"/>
    </row>
    <row r="410" spans="1:8" x14ac:dyDescent="0.35">
      <c r="A410" s="3" t="s">
        <v>1010</v>
      </c>
      <c r="B410" s="3" t="s">
        <v>45</v>
      </c>
      <c r="C410" s="3" t="s">
        <v>1027</v>
      </c>
      <c r="D410" s="3" t="s">
        <v>223</v>
      </c>
      <c r="E410" s="3"/>
      <c r="F410" s="3"/>
      <c r="G410" s="3"/>
      <c r="H410" s="3"/>
    </row>
    <row r="411" spans="1:8" x14ac:dyDescent="0.35">
      <c r="A411" s="3" t="s">
        <v>1010</v>
      </c>
      <c r="B411" s="3" t="s">
        <v>45</v>
      </c>
      <c r="C411" s="3" t="s">
        <v>1027</v>
      </c>
      <c r="D411" s="3" t="s">
        <v>226</v>
      </c>
      <c r="E411" s="3"/>
      <c r="F411" s="3"/>
      <c r="G411" s="3"/>
      <c r="H411" s="3"/>
    </row>
    <row r="412" spans="1:8" x14ac:dyDescent="0.35">
      <c r="A412" s="3" t="s">
        <v>1010</v>
      </c>
      <c r="B412" s="3" t="s">
        <v>45</v>
      </c>
      <c r="C412" s="3" t="s">
        <v>1027</v>
      </c>
      <c r="D412" s="3" t="s">
        <v>227</v>
      </c>
      <c r="E412" s="3"/>
      <c r="F412" s="3"/>
      <c r="G412" s="3"/>
      <c r="H412" s="3"/>
    </row>
    <row r="413" spans="1:8" x14ac:dyDescent="0.35">
      <c r="A413" s="3" t="s">
        <v>1010</v>
      </c>
      <c r="B413" s="3" t="s">
        <v>45</v>
      </c>
      <c r="C413" s="3" t="s">
        <v>1027</v>
      </c>
      <c r="D413" s="3" t="s">
        <v>228</v>
      </c>
      <c r="E413" s="3"/>
      <c r="F413" s="3"/>
      <c r="G413" s="3"/>
      <c r="H413" s="3"/>
    </row>
    <row r="414" spans="1:8" x14ac:dyDescent="0.35">
      <c r="A414" s="3" t="s">
        <v>1010</v>
      </c>
      <c r="B414" s="3" t="s">
        <v>45</v>
      </c>
      <c r="C414" s="3" t="s">
        <v>1027</v>
      </c>
      <c r="D414" s="3" t="s">
        <v>229</v>
      </c>
      <c r="E414" s="3"/>
      <c r="F414" s="3"/>
      <c r="G414" s="3"/>
      <c r="H414" s="3"/>
    </row>
    <row r="415" spans="1:8" x14ac:dyDescent="0.35">
      <c r="A415" s="3" t="s">
        <v>1010</v>
      </c>
      <c r="B415" s="3" t="s">
        <v>45</v>
      </c>
      <c r="C415" s="3" t="s">
        <v>1027</v>
      </c>
      <c r="D415" s="3" t="s">
        <v>230</v>
      </c>
      <c r="E415" s="3"/>
      <c r="F415" s="3"/>
      <c r="G415" s="3"/>
      <c r="H415" s="3"/>
    </row>
    <row r="416" spans="1:8" x14ac:dyDescent="0.35">
      <c r="A416" s="3" t="s">
        <v>1010</v>
      </c>
      <c r="B416" s="3" t="s">
        <v>45</v>
      </c>
      <c r="C416" s="3" t="s">
        <v>1027</v>
      </c>
      <c r="D416" s="3" t="s">
        <v>219</v>
      </c>
      <c r="E416" s="3"/>
      <c r="F416" s="3"/>
      <c r="G416" s="3"/>
      <c r="H416" s="3"/>
    </row>
    <row r="417" spans="1:8" x14ac:dyDescent="0.35">
      <c r="A417" s="3" t="s">
        <v>1010</v>
      </c>
      <c r="B417" s="3" t="s">
        <v>45</v>
      </c>
      <c r="C417" s="3" t="s">
        <v>1027</v>
      </c>
      <c r="D417" s="3" t="s">
        <v>372</v>
      </c>
      <c r="E417" s="3"/>
      <c r="F417" s="3"/>
      <c r="G417" s="3"/>
      <c r="H417" s="3"/>
    </row>
    <row r="418" spans="1:8" x14ac:dyDescent="0.35">
      <c r="A418" s="3" t="s">
        <v>1010</v>
      </c>
      <c r="B418" s="3" t="s">
        <v>45</v>
      </c>
      <c r="C418" s="3" t="s">
        <v>1027</v>
      </c>
      <c r="D418" s="3" t="s">
        <v>218</v>
      </c>
      <c r="E418" s="3"/>
      <c r="F418" s="3"/>
      <c r="G418" s="3"/>
      <c r="H418" s="3"/>
    </row>
    <row r="419" spans="1:8" x14ac:dyDescent="0.35">
      <c r="A419" s="3" t="s">
        <v>1010</v>
      </c>
      <c r="B419" s="3" t="s">
        <v>45</v>
      </c>
      <c r="C419" s="3" t="s">
        <v>1027</v>
      </c>
      <c r="D419" s="3" t="s">
        <v>224</v>
      </c>
      <c r="E419" s="3"/>
      <c r="F419" s="3"/>
      <c r="G419" s="3"/>
      <c r="H419" s="3"/>
    </row>
    <row r="420" spans="1:8" x14ac:dyDescent="0.35">
      <c r="A420" s="3" t="s">
        <v>1010</v>
      </c>
      <c r="B420" s="3" t="s">
        <v>45</v>
      </c>
      <c r="C420" s="3" t="s">
        <v>1028</v>
      </c>
      <c r="D420" s="3" t="s">
        <v>166</v>
      </c>
      <c r="E420" s="3" t="s">
        <v>33</v>
      </c>
      <c r="F420" s="3" t="s">
        <v>2835</v>
      </c>
      <c r="G420" s="3"/>
      <c r="H420" s="3"/>
    </row>
    <row r="421" spans="1:8" x14ac:dyDescent="0.35">
      <c r="A421" s="3" t="s">
        <v>1010</v>
      </c>
      <c r="B421" s="3" t="s">
        <v>45</v>
      </c>
      <c r="C421" s="3" t="s">
        <v>1028</v>
      </c>
      <c r="D421" s="3" t="s">
        <v>220</v>
      </c>
      <c r="E421" s="3" t="s">
        <v>33</v>
      </c>
      <c r="F421" s="3" t="s">
        <v>2835</v>
      </c>
      <c r="G421" s="3"/>
      <c r="H421" s="3"/>
    </row>
    <row r="422" spans="1:8" x14ac:dyDescent="0.35">
      <c r="A422" s="3" t="s">
        <v>1010</v>
      </c>
      <c r="B422" s="3" t="s">
        <v>45</v>
      </c>
      <c r="C422" s="3" t="s">
        <v>1028</v>
      </c>
      <c r="D422" s="3" t="s">
        <v>225</v>
      </c>
      <c r="E422" s="3" t="s">
        <v>33</v>
      </c>
      <c r="F422" s="3" t="s">
        <v>2835</v>
      </c>
      <c r="G422" s="3"/>
      <c r="H422" s="3"/>
    </row>
    <row r="423" spans="1:8" x14ac:dyDescent="0.35">
      <c r="A423" s="3" t="s">
        <v>1010</v>
      </c>
      <c r="B423" s="3" t="s">
        <v>45</v>
      </c>
      <c r="C423" s="3" t="s">
        <v>1028</v>
      </c>
      <c r="D423" s="3" t="s">
        <v>221</v>
      </c>
      <c r="E423" s="3" t="s">
        <v>33</v>
      </c>
      <c r="F423" s="3" t="s">
        <v>2835</v>
      </c>
      <c r="G423" s="3"/>
      <c r="H423" s="3"/>
    </row>
    <row r="424" spans="1:8" x14ac:dyDescent="0.35">
      <c r="A424" s="3" t="s">
        <v>1010</v>
      </c>
      <c r="B424" s="3" t="s">
        <v>45</v>
      </c>
      <c r="C424" s="3" t="s">
        <v>1028</v>
      </c>
      <c r="D424" s="3" t="s">
        <v>222</v>
      </c>
      <c r="E424" s="3" t="s">
        <v>33</v>
      </c>
      <c r="F424" s="3" t="s">
        <v>2835</v>
      </c>
      <c r="G424" s="3"/>
      <c r="H424" s="3"/>
    </row>
    <row r="425" spans="1:8" x14ac:dyDescent="0.35">
      <c r="A425" s="3" t="s">
        <v>1010</v>
      </c>
      <c r="B425" s="3" t="s">
        <v>45</v>
      </c>
      <c r="C425" s="3" t="s">
        <v>1028</v>
      </c>
      <c r="D425" s="3" t="s">
        <v>223</v>
      </c>
      <c r="E425" s="3" t="s">
        <v>33</v>
      </c>
      <c r="F425" s="3" t="s">
        <v>2835</v>
      </c>
      <c r="G425" s="3"/>
      <c r="H425" s="3"/>
    </row>
    <row r="426" spans="1:8" x14ac:dyDescent="0.35">
      <c r="A426" s="3" t="s">
        <v>1010</v>
      </c>
      <c r="B426" s="3" t="s">
        <v>45</v>
      </c>
      <c r="C426" s="3" t="s">
        <v>1028</v>
      </c>
      <c r="D426" s="3" t="s">
        <v>226</v>
      </c>
      <c r="E426" s="3" t="s">
        <v>33</v>
      </c>
      <c r="F426" s="3" t="s">
        <v>2835</v>
      </c>
      <c r="G426" s="3"/>
      <c r="H426" s="3"/>
    </row>
    <row r="427" spans="1:8" x14ac:dyDescent="0.35">
      <c r="A427" s="3" t="s">
        <v>1010</v>
      </c>
      <c r="B427" s="3" t="s">
        <v>45</v>
      </c>
      <c r="C427" s="3" t="s">
        <v>1028</v>
      </c>
      <c r="D427" s="3" t="s">
        <v>227</v>
      </c>
      <c r="E427" s="3" t="s">
        <v>33</v>
      </c>
      <c r="F427" s="3" t="s">
        <v>2835</v>
      </c>
      <c r="G427" s="3"/>
      <c r="H427" s="3"/>
    </row>
    <row r="428" spans="1:8" x14ac:dyDescent="0.35">
      <c r="A428" s="3" t="s">
        <v>1010</v>
      </c>
      <c r="B428" s="3" t="s">
        <v>45</v>
      </c>
      <c r="C428" s="3" t="s">
        <v>1028</v>
      </c>
      <c r="D428" s="3" t="s">
        <v>228</v>
      </c>
      <c r="E428" s="3" t="s">
        <v>33</v>
      </c>
      <c r="F428" s="3" t="s">
        <v>2835</v>
      </c>
      <c r="G428" s="3"/>
      <c r="H428" s="3"/>
    </row>
    <row r="429" spans="1:8" x14ac:dyDescent="0.35">
      <c r="A429" s="3" t="s">
        <v>1010</v>
      </c>
      <c r="B429" s="3" t="s">
        <v>45</v>
      </c>
      <c r="C429" s="3" t="s">
        <v>1028</v>
      </c>
      <c r="D429" s="3" t="s">
        <v>229</v>
      </c>
      <c r="E429" s="3" t="s">
        <v>33</v>
      </c>
      <c r="F429" s="3" t="s">
        <v>2835</v>
      </c>
      <c r="G429" s="3"/>
      <c r="H429" s="3"/>
    </row>
    <row r="430" spans="1:8" x14ac:dyDescent="0.35">
      <c r="A430" s="3" t="s">
        <v>1010</v>
      </c>
      <c r="B430" s="3" t="s">
        <v>45</v>
      </c>
      <c r="C430" s="3" t="s">
        <v>1028</v>
      </c>
      <c r="D430" s="3" t="s">
        <v>230</v>
      </c>
      <c r="E430" s="3" t="s">
        <v>33</v>
      </c>
      <c r="F430" s="3" t="s">
        <v>2835</v>
      </c>
      <c r="G430" s="3"/>
      <c r="H430" s="3"/>
    </row>
    <row r="431" spans="1:8" x14ac:dyDescent="0.35">
      <c r="A431" s="3" t="s">
        <v>1010</v>
      </c>
      <c r="B431" s="3" t="s">
        <v>45</v>
      </c>
      <c r="C431" s="3" t="s">
        <v>1028</v>
      </c>
      <c r="D431" s="3" t="s">
        <v>372</v>
      </c>
      <c r="E431" s="3" t="s">
        <v>33</v>
      </c>
      <c r="F431" s="3" t="s">
        <v>2835</v>
      </c>
      <c r="G431" s="3"/>
      <c r="H431" s="3"/>
    </row>
    <row r="432" spans="1:8" x14ac:dyDescent="0.35">
      <c r="A432" s="3" t="s">
        <v>1010</v>
      </c>
      <c r="B432" s="3" t="s">
        <v>45</v>
      </c>
      <c r="C432" s="3" t="s">
        <v>1028</v>
      </c>
      <c r="D432" s="3" t="s">
        <v>218</v>
      </c>
      <c r="E432" s="3" t="s">
        <v>33</v>
      </c>
      <c r="F432" s="3" t="s">
        <v>2835</v>
      </c>
      <c r="G432" s="3"/>
      <c r="H432" s="3"/>
    </row>
    <row r="433" spans="1:8" x14ac:dyDescent="0.35">
      <c r="A433" s="3" t="s">
        <v>1010</v>
      </c>
      <c r="B433" s="3" t="s">
        <v>45</v>
      </c>
      <c r="C433" s="3" t="s">
        <v>1028</v>
      </c>
      <c r="D433" s="3" t="s">
        <v>224</v>
      </c>
      <c r="E433" s="3" t="s">
        <v>33</v>
      </c>
      <c r="F433" s="3" t="s">
        <v>2835</v>
      </c>
      <c r="G433" s="3"/>
      <c r="H433" s="3"/>
    </row>
    <row r="434" spans="1:8" x14ac:dyDescent="0.35">
      <c r="A434" s="3" t="s">
        <v>1010</v>
      </c>
      <c r="B434" s="3" t="s">
        <v>45</v>
      </c>
      <c r="C434" s="3" t="s">
        <v>1029</v>
      </c>
      <c r="D434" s="3" t="s">
        <v>166</v>
      </c>
      <c r="E434" s="3"/>
      <c r="F434" s="3"/>
      <c r="G434" s="3"/>
      <c r="H434" s="3"/>
    </row>
    <row r="435" spans="1:8" x14ac:dyDescent="0.35">
      <c r="A435" s="3" t="s">
        <v>1010</v>
      </c>
      <c r="B435" s="3" t="s">
        <v>45</v>
      </c>
      <c r="C435" s="3" t="s">
        <v>1029</v>
      </c>
      <c r="D435" s="3" t="s">
        <v>220</v>
      </c>
      <c r="E435" s="3"/>
      <c r="F435" s="3"/>
      <c r="G435" s="3"/>
      <c r="H435" s="3"/>
    </row>
    <row r="436" spans="1:8" x14ac:dyDescent="0.35">
      <c r="A436" s="3" t="s">
        <v>1010</v>
      </c>
      <c r="B436" s="3" t="s">
        <v>45</v>
      </c>
      <c r="C436" s="3" t="s">
        <v>1029</v>
      </c>
      <c r="D436" s="3" t="s">
        <v>225</v>
      </c>
      <c r="E436" s="3"/>
      <c r="F436" s="3"/>
      <c r="G436" s="3"/>
      <c r="H436" s="3"/>
    </row>
    <row r="437" spans="1:8" x14ac:dyDescent="0.35">
      <c r="A437" s="3" t="s">
        <v>1010</v>
      </c>
      <c r="B437" s="3" t="s">
        <v>45</v>
      </c>
      <c r="C437" s="3" t="s">
        <v>1029</v>
      </c>
      <c r="D437" s="3" t="s">
        <v>221</v>
      </c>
      <c r="E437" s="3"/>
      <c r="F437" s="3"/>
      <c r="G437" s="3"/>
      <c r="H437" s="3"/>
    </row>
    <row r="438" spans="1:8" x14ac:dyDescent="0.35">
      <c r="A438" s="3" t="s">
        <v>1010</v>
      </c>
      <c r="B438" s="3" t="s">
        <v>45</v>
      </c>
      <c r="C438" s="3" t="s">
        <v>1029</v>
      </c>
      <c r="D438" s="3" t="s">
        <v>222</v>
      </c>
      <c r="E438" s="3"/>
      <c r="F438" s="3"/>
      <c r="G438" s="3"/>
      <c r="H438" s="3"/>
    </row>
    <row r="439" spans="1:8" x14ac:dyDescent="0.35">
      <c r="A439" s="3" t="s">
        <v>1010</v>
      </c>
      <c r="B439" s="3" t="s">
        <v>45</v>
      </c>
      <c r="C439" s="3" t="s">
        <v>1029</v>
      </c>
      <c r="D439" s="3" t="s">
        <v>223</v>
      </c>
      <c r="E439" s="3"/>
      <c r="F439" s="3"/>
      <c r="G439" s="3"/>
      <c r="H439" s="3"/>
    </row>
    <row r="440" spans="1:8" x14ac:dyDescent="0.35">
      <c r="A440" s="3" t="s">
        <v>1010</v>
      </c>
      <c r="B440" s="3" t="s">
        <v>45</v>
      </c>
      <c r="C440" s="3" t="s">
        <v>1029</v>
      </c>
      <c r="D440" s="3" t="s">
        <v>226</v>
      </c>
      <c r="E440" s="3"/>
      <c r="F440" s="3"/>
      <c r="G440" s="3"/>
      <c r="H440" s="3"/>
    </row>
    <row r="441" spans="1:8" x14ac:dyDescent="0.35">
      <c r="A441" s="3" t="s">
        <v>1010</v>
      </c>
      <c r="B441" s="3" t="s">
        <v>45</v>
      </c>
      <c r="C441" s="3" t="s">
        <v>1029</v>
      </c>
      <c r="D441" s="3" t="s">
        <v>227</v>
      </c>
      <c r="E441" s="3"/>
      <c r="F441" s="3"/>
      <c r="G441" s="3"/>
      <c r="H441" s="3"/>
    </row>
    <row r="442" spans="1:8" x14ac:dyDescent="0.35">
      <c r="A442" s="3" t="s">
        <v>1010</v>
      </c>
      <c r="B442" s="3" t="s">
        <v>45</v>
      </c>
      <c r="C442" s="3" t="s">
        <v>1029</v>
      </c>
      <c r="D442" s="3" t="s">
        <v>228</v>
      </c>
      <c r="E442" s="3"/>
      <c r="F442" s="3"/>
      <c r="G442" s="3"/>
      <c r="H442" s="3"/>
    </row>
    <row r="443" spans="1:8" x14ac:dyDescent="0.35">
      <c r="A443" s="3" t="s">
        <v>1010</v>
      </c>
      <c r="B443" s="3" t="s">
        <v>45</v>
      </c>
      <c r="C443" s="3" t="s">
        <v>1029</v>
      </c>
      <c r="D443" s="3" t="s">
        <v>229</v>
      </c>
      <c r="E443" s="3"/>
      <c r="F443" s="3"/>
      <c r="G443" s="3"/>
      <c r="H443" s="3"/>
    </row>
    <row r="444" spans="1:8" x14ac:dyDescent="0.35">
      <c r="A444" s="3" t="s">
        <v>1010</v>
      </c>
      <c r="B444" s="3" t="s">
        <v>45</v>
      </c>
      <c r="C444" s="3" t="s">
        <v>1029</v>
      </c>
      <c r="D444" s="3" t="s">
        <v>230</v>
      </c>
      <c r="E444" s="3"/>
      <c r="F444" s="3"/>
      <c r="G444" s="3"/>
      <c r="H444" s="3"/>
    </row>
    <row r="445" spans="1:8" x14ac:dyDescent="0.35">
      <c r="A445" s="3" t="s">
        <v>1010</v>
      </c>
      <c r="B445" s="3" t="s">
        <v>45</v>
      </c>
      <c r="C445" s="3" t="s">
        <v>1029</v>
      </c>
      <c r="D445" s="3" t="s">
        <v>219</v>
      </c>
      <c r="E445" s="3"/>
      <c r="F445" s="3"/>
      <c r="G445" s="3"/>
      <c r="H445" s="3"/>
    </row>
    <row r="446" spans="1:8" x14ac:dyDescent="0.35">
      <c r="A446" s="3" t="s">
        <v>1010</v>
      </c>
      <c r="B446" s="3" t="s">
        <v>45</v>
      </c>
      <c r="C446" s="3" t="s">
        <v>1029</v>
      </c>
      <c r="D446" s="3" t="s">
        <v>218</v>
      </c>
      <c r="E446" s="3"/>
      <c r="F446" s="3"/>
      <c r="G446" s="3"/>
      <c r="H446" s="3"/>
    </row>
    <row r="447" spans="1:8" x14ac:dyDescent="0.35">
      <c r="A447" s="3" t="s">
        <v>1010</v>
      </c>
      <c r="B447" s="3" t="s">
        <v>45</v>
      </c>
      <c r="C447" s="3" t="s">
        <v>1029</v>
      </c>
      <c r="D447" s="3" t="s">
        <v>224</v>
      </c>
      <c r="E447" s="3"/>
      <c r="F447" s="3"/>
      <c r="G447" s="3"/>
      <c r="H447" s="3"/>
    </row>
    <row r="448" spans="1:8" x14ac:dyDescent="0.35">
      <c r="A448" s="3" t="s">
        <v>1010</v>
      </c>
      <c r="B448" s="3" t="s">
        <v>10</v>
      </c>
      <c r="C448" s="3" t="s">
        <v>1030</v>
      </c>
      <c r="D448" s="3" t="s">
        <v>71</v>
      </c>
      <c r="E448" s="3"/>
      <c r="F448" s="3"/>
      <c r="G448" s="3"/>
      <c r="H448" s="3"/>
    </row>
    <row r="449" spans="1:8" x14ac:dyDescent="0.35">
      <c r="A449" s="3" t="s">
        <v>1010</v>
      </c>
      <c r="B449" s="3" t="s">
        <v>10</v>
      </c>
      <c r="C449" s="3" t="s">
        <v>1030</v>
      </c>
      <c r="D449" s="3" t="s">
        <v>56</v>
      </c>
      <c r="E449" s="3" t="s">
        <v>16</v>
      </c>
      <c r="F449" s="3" t="s">
        <v>1031</v>
      </c>
      <c r="G449" s="3"/>
      <c r="H449" s="3"/>
    </row>
    <row r="450" spans="1:8" x14ac:dyDescent="0.35">
      <c r="A450" s="3" t="s">
        <v>1010</v>
      </c>
      <c r="B450" s="3" t="s">
        <v>45</v>
      </c>
      <c r="C450" s="3" t="s">
        <v>1032</v>
      </c>
      <c r="D450" s="3" t="s">
        <v>166</v>
      </c>
      <c r="E450" s="3"/>
      <c r="F450" s="3"/>
      <c r="G450" s="3"/>
      <c r="H450" s="3"/>
    </row>
    <row r="451" spans="1:8" x14ac:dyDescent="0.35">
      <c r="A451" s="3" t="s">
        <v>1010</v>
      </c>
      <c r="B451" s="3" t="s">
        <v>45</v>
      </c>
      <c r="C451" s="3" t="s">
        <v>1032</v>
      </c>
      <c r="D451" s="3" t="s">
        <v>220</v>
      </c>
      <c r="E451" s="3"/>
      <c r="F451" s="3"/>
      <c r="G451" s="3"/>
      <c r="H451" s="3"/>
    </row>
    <row r="452" spans="1:8" x14ac:dyDescent="0.35">
      <c r="A452" s="3" t="s">
        <v>1010</v>
      </c>
      <c r="B452" s="3" t="s">
        <v>45</v>
      </c>
      <c r="C452" s="3" t="s">
        <v>1032</v>
      </c>
      <c r="D452" s="3" t="s">
        <v>225</v>
      </c>
      <c r="E452" s="3"/>
      <c r="F452" s="3"/>
      <c r="G452" s="3"/>
      <c r="H452" s="3"/>
    </row>
    <row r="453" spans="1:8" x14ac:dyDescent="0.35">
      <c r="A453" s="3" t="s">
        <v>1010</v>
      </c>
      <c r="B453" s="3" t="s">
        <v>45</v>
      </c>
      <c r="C453" s="3" t="s">
        <v>1032</v>
      </c>
      <c r="D453" s="3" t="s">
        <v>221</v>
      </c>
      <c r="E453" s="3"/>
      <c r="F453" s="3"/>
      <c r="G453" s="3"/>
      <c r="H453" s="3"/>
    </row>
    <row r="454" spans="1:8" x14ac:dyDescent="0.35">
      <c r="A454" s="3" t="s">
        <v>1010</v>
      </c>
      <c r="B454" s="3" t="s">
        <v>45</v>
      </c>
      <c r="C454" s="3" t="s">
        <v>1032</v>
      </c>
      <c r="D454" s="3" t="s">
        <v>222</v>
      </c>
      <c r="E454" s="3"/>
      <c r="F454" s="3"/>
      <c r="G454" s="3"/>
      <c r="H454" s="3"/>
    </row>
    <row r="455" spans="1:8" x14ac:dyDescent="0.35">
      <c r="A455" s="3" t="s">
        <v>1010</v>
      </c>
      <c r="B455" s="3" t="s">
        <v>45</v>
      </c>
      <c r="C455" s="3" t="s">
        <v>1032</v>
      </c>
      <c r="D455" s="3" t="s">
        <v>223</v>
      </c>
      <c r="E455" s="3"/>
      <c r="F455" s="3"/>
      <c r="G455" s="3"/>
      <c r="H455" s="3"/>
    </row>
    <row r="456" spans="1:8" x14ac:dyDescent="0.35">
      <c r="A456" s="3" t="s">
        <v>1010</v>
      </c>
      <c r="B456" s="3" t="s">
        <v>45</v>
      </c>
      <c r="C456" s="3" t="s">
        <v>1032</v>
      </c>
      <c r="D456" s="3" t="s">
        <v>226</v>
      </c>
      <c r="E456" s="3"/>
      <c r="F456" s="3"/>
      <c r="G456" s="3"/>
      <c r="H456" s="3"/>
    </row>
    <row r="457" spans="1:8" x14ac:dyDescent="0.35">
      <c r="A457" s="3" t="s">
        <v>1010</v>
      </c>
      <c r="B457" s="3" t="s">
        <v>45</v>
      </c>
      <c r="C457" s="3" t="s">
        <v>1032</v>
      </c>
      <c r="D457" s="3" t="s">
        <v>227</v>
      </c>
      <c r="E457" s="3"/>
      <c r="F457" s="3"/>
      <c r="G457" s="3"/>
      <c r="H457" s="3"/>
    </row>
    <row r="458" spans="1:8" x14ac:dyDescent="0.35">
      <c r="A458" s="3" t="s">
        <v>1010</v>
      </c>
      <c r="B458" s="3" t="s">
        <v>45</v>
      </c>
      <c r="C458" s="3" t="s">
        <v>1032</v>
      </c>
      <c r="D458" s="3" t="s">
        <v>228</v>
      </c>
      <c r="E458" s="3"/>
      <c r="F458" s="3"/>
      <c r="G458" s="3"/>
      <c r="H458" s="3"/>
    </row>
    <row r="459" spans="1:8" x14ac:dyDescent="0.35">
      <c r="A459" s="3" t="s">
        <v>1010</v>
      </c>
      <c r="B459" s="3" t="s">
        <v>45</v>
      </c>
      <c r="C459" s="3" t="s">
        <v>1032</v>
      </c>
      <c r="D459" s="3" t="s">
        <v>229</v>
      </c>
      <c r="E459" s="3"/>
      <c r="F459" s="3"/>
      <c r="G459" s="3"/>
      <c r="H459" s="3"/>
    </row>
    <row r="460" spans="1:8" x14ac:dyDescent="0.35">
      <c r="A460" s="3" t="s">
        <v>1010</v>
      </c>
      <c r="B460" s="3" t="s">
        <v>45</v>
      </c>
      <c r="C460" s="3" t="s">
        <v>1032</v>
      </c>
      <c r="D460" s="3" t="s">
        <v>230</v>
      </c>
      <c r="E460" s="3"/>
      <c r="F460" s="3"/>
      <c r="G460" s="3"/>
      <c r="H460" s="3"/>
    </row>
    <row r="461" spans="1:8" x14ac:dyDescent="0.35">
      <c r="A461" s="3" t="s">
        <v>1010</v>
      </c>
      <c r="B461" s="3" t="s">
        <v>45</v>
      </c>
      <c r="C461" s="3" t="s">
        <v>1032</v>
      </c>
      <c r="D461" s="3" t="s">
        <v>219</v>
      </c>
      <c r="E461" s="3"/>
      <c r="F461" s="3"/>
      <c r="G461" s="3"/>
      <c r="H461" s="3"/>
    </row>
    <row r="462" spans="1:8" x14ac:dyDescent="0.35">
      <c r="A462" s="3" t="s">
        <v>1010</v>
      </c>
      <c r="B462" s="3" t="s">
        <v>45</v>
      </c>
      <c r="C462" s="3" t="s">
        <v>1032</v>
      </c>
      <c r="D462" s="3" t="s">
        <v>372</v>
      </c>
      <c r="E462" s="3"/>
      <c r="F462" s="3"/>
      <c r="G462" s="3"/>
      <c r="H462" s="3"/>
    </row>
    <row r="463" spans="1:8" x14ac:dyDescent="0.35">
      <c r="A463" s="3" t="s">
        <v>1010</v>
      </c>
      <c r="B463" s="3" t="s">
        <v>45</v>
      </c>
      <c r="C463" s="3" t="s">
        <v>1032</v>
      </c>
      <c r="D463" s="3" t="s">
        <v>218</v>
      </c>
      <c r="E463" s="3"/>
      <c r="F463" s="3"/>
      <c r="G463" s="3"/>
      <c r="H463" s="3"/>
    </row>
    <row r="464" spans="1:8" x14ac:dyDescent="0.35">
      <c r="A464" s="3" t="s">
        <v>1010</v>
      </c>
      <c r="B464" s="3" t="s">
        <v>45</v>
      </c>
      <c r="C464" s="3" t="s">
        <v>1032</v>
      </c>
      <c r="D464" s="3" t="s">
        <v>224</v>
      </c>
      <c r="E464" s="3"/>
      <c r="F464" s="3"/>
      <c r="G464" s="3"/>
      <c r="H464" s="3"/>
    </row>
    <row r="465" spans="1:8" x14ac:dyDescent="0.35">
      <c r="A465" s="3" t="s">
        <v>1010</v>
      </c>
      <c r="B465" s="3" t="s">
        <v>45</v>
      </c>
      <c r="C465" s="3" t="s">
        <v>1033</v>
      </c>
      <c r="D465" s="3" t="s">
        <v>166</v>
      </c>
      <c r="E465" s="3"/>
      <c r="F465" s="3"/>
      <c r="G465" s="3"/>
      <c r="H465" s="3"/>
    </row>
    <row r="466" spans="1:8" x14ac:dyDescent="0.35">
      <c r="A466" s="3" t="s">
        <v>1010</v>
      </c>
      <c r="B466" s="3" t="s">
        <v>45</v>
      </c>
      <c r="C466" s="3" t="s">
        <v>1033</v>
      </c>
      <c r="D466" s="3" t="s">
        <v>60</v>
      </c>
      <c r="E466" s="3"/>
      <c r="F466" s="3"/>
      <c r="G466" s="3"/>
      <c r="H466" s="3"/>
    </row>
    <row r="467" spans="1:8" x14ac:dyDescent="0.35">
      <c r="A467" s="3" t="s">
        <v>1010</v>
      </c>
      <c r="B467" s="3" t="s">
        <v>45</v>
      </c>
      <c r="C467" s="3" t="s">
        <v>1033</v>
      </c>
      <c r="D467" s="3" t="s">
        <v>1016</v>
      </c>
      <c r="E467" s="3"/>
      <c r="F467" s="3"/>
      <c r="G467" s="3"/>
      <c r="H467" s="3"/>
    </row>
    <row r="468" spans="1:8" x14ac:dyDescent="0.35">
      <c r="A468" s="3" t="s">
        <v>1010</v>
      </c>
      <c r="B468" s="3" t="s">
        <v>45</v>
      </c>
      <c r="C468" s="3" t="s">
        <v>1033</v>
      </c>
      <c r="D468" s="3" t="s">
        <v>225</v>
      </c>
      <c r="E468" s="3"/>
      <c r="F468" s="3"/>
      <c r="G468" s="3"/>
      <c r="H468" s="3"/>
    </row>
    <row r="469" spans="1:8" x14ac:dyDescent="0.35">
      <c r="A469" s="3" t="s">
        <v>1010</v>
      </c>
      <c r="B469" s="3" t="s">
        <v>45</v>
      </c>
      <c r="C469" s="3" t="s">
        <v>1033</v>
      </c>
      <c r="D469" s="3" t="s">
        <v>221</v>
      </c>
      <c r="E469" s="3"/>
      <c r="F469" s="3"/>
      <c r="G469" s="3"/>
      <c r="H469" s="3"/>
    </row>
    <row r="470" spans="1:8" x14ac:dyDescent="0.35">
      <c r="A470" s="3" t="s">
        <v>1010</v>
      </c>
      <c r="B470" s="3" t="s">
        <v>45</v>
      </c>
      <c r="C470" s="3" t="s">
        <v>1033</v>
      </c>
      <c r="D470" s="3" t="s">
        <v>222</v>
      </c>
      <c r="E470" s="3"/>
      <c r="F470" s="3"/>
      <c r="G470" s="3"/>
      <c r="H470" s="3"/>
    </row>
    <row r="471" spans="1:8" x14ac:dyDescent="0.35">
      <c r="A471" s="3" t="s">
        <v>1010</v>
      </c>
      <c r="B471" s="3" t="s">
        <v>45</v>
      </c>
      <c r="C471" s="3" t="s">
        <v>1033</v>
      </c>
      <c r="D471" s="3" t="s">
        <v>223</v>
      </c>
      <c r="E471" s="3"/>
      <c r="F471" s="3"/>
      <c r="G471" s="3"/>
      <c r="H471" s="3"/>
    </row>
    <row r="472" spans="1:8" x14ac:dyDescent="0.35">
      <c r="A472" s="3" t="s">
        <v>1010</v>
      </c>
      <c r="B472" s="3" t="s">
        <v>45</v>
      </c>
      <c r="C472" s="3" t="s">
        <v>1033</v>
      </c>
      <c r="D472" s="3" t="s">
        <v>226</v>
      </c>
      <c r="E472" s="3"/>
      <c r="F472" s="3"/>
      <c r="G472" s="3"/>
      <c r="H472" s="3"/>
    </row>
    <row r="473" spans="1:8" x14ac:dyDescent="0.35">
      <c r="A473" s="3" t="s">
        <v>1010</v>
      </c>
      <c r="B473" s="3" t="s">
        <v>45</v>
      </c>
      <c r="C473" s="3" t="s">
        <v>1033</v>
      </c>
      <c r="D473" s="3" t="s">
        <v>227</v>
      </c>
      <c r="E473" s="3"/>
      <c r="F473" s="3"/>
      <c r="G473" s="3"/>
      <c r="H473" s="3"/>
    </row>
    <row r="474" spans="1:8" x14ac:dyDescent="0.35">
      <c r="A474" s="3" t="s">
        <v>1010</v>
      </c>
      <c r="B474" s="3" t="s">
        <v>45</v>
      </c>
      <c r="C474" s="3" t="s">
        <v>1033</v>
      </c>
      <c r="D474" s="3" t="s">
        <v>228</v>
      </c>
      <c r="E474" s="3"/>
      <c r="F474" s="3"/>
      <c r="G474" s="3"/>
      <c r="H474" s="3"/>
    </row>
    <row r="475" spans="1:8" x14ac:dyDescent="0.35">
      <c r="A475" s="3" t="s">
        <v>1010</v>
      </c>
      <c r="B475" s="3" t="s">
        <v>45</v>
      </c>
      <c r="C475" s="3" t="s">
        <v>1033</v>
      </c>
      <c r="D475" s="3" t="s">
        <v>229</v>
      </c>
      <c r="E475" s="3"/>
      <c r="F475" s="3"/>
      <c r="G475" s="3"/>
      <c r="H475" s="3"/>
    </row>
    <row r="476" spans="1:8" x14ac:dyDescent="0.35">
      <c r="A476" s="3" t="s">
        <v>1010</v>
      </c>
      <c r="B476" s="3" t="s">
        <v>45</v>
      </c>
      <c r="C476" s="3" t="s">
        <v>1033</v>
      </c>
      <c r="D476" s="3" t="s">
        <v>230</v>
      </c>
      <c r="E476" s="3"/>
      <c r="F476" s="3"/>
      <c r="G476" s="3"/>
      <c r="H476" s="3"/>
    </row>
    <row r="477" spans="1:8" x14ac:dyDescent="0.35">
      <c r="A477" s="3" t="s">
        <v>1010</v>
      </c>
      <c r="B477" s="3" t="s">
        <v>45</v>
      </c>
      <c r="C477" s="3" t="s">
        <v>1033</v>
      </c>
      <c r="D477" s="3" t="s">
        <v>219</v>
      </c>
      <c r="E477" s="3"/>
      <c r="F477" s="3"/>
      <c r="G477" s="3"/>
      <c r="H477" s="3"/>
    </row>
    <row r="478" spans="1:8" x14ac:dyDescent="0.35">
      <c r="A478" s="3" t="s">
        <v>1010</v>
      </c>
      <c r="B478" s="3" t="s">
        <v>45</v>
      </c>
      <c r="C478" s="3" t="s">
        <v>1033</v>
      </c>
      <c r="D478" s="3" t="s">
        <v>372</v>
      </c>
      <c r="E478" s="3"/>
      <c r="F478" s="3"/>
      <c r="G478" s="3"/>
      <c r="H478" s="3"/>
    </row>
    <row r="479" spans="1:8" x14ac:dyDescent="0.35">
      <c r="A479" s="3" t="s">
        <v>1010</v>
      </c>
      <c r="B479" s="3" t="s">
        <v>45</v>
      </c>
      <c r="C479" s="3" t="s">
        <v>1033</v>
      </c>
      <c r="D479" s="3" t="s">
        <v>218</v>
      </c>
      <c r="E479" s="3"/>
      <c r="F479" s="3"/>
      <c r="G479" s="3"/>
      <c r="H479" s="3"/>
    </row>
    <row r="480" spans="1:8" x14ac:dyDescent="0.35">
      <c r="A480" s="3" t="s">
        <v>1010</v>
      </c>
      <c r="B480" s="3" t="s">
        <v>45</v>
      </c>
      <c r="C480" s="3" t="s">
        <v>1033</v>
      </c>
      <c r="D480" s="3" t="s">
        <v>224</v>
      </c>
      <c r="E480" s="3"/>
      <c r="F480" s="3"/>
      <c r="G480" s="3"/>
      <c r="H480" s="3"/>
    </row>
    <row r="481" spans="1:8" x14ac:dyDescent="0.35">
      <c r="A481" s="3" t="s">
        <v>1010</v>
      </c>
      <c r="B481" s="3" t="s">
        <v>45</v>
      </c>
      <c r="C481" s="3" t="s">
        <v>1034</v>
      </c>
      <c r="D481" s="3" t="s">
        <v>166</v>
      </c>
      <c r="E481" s="3"/>
      <c r="F481" s="3"/>
      <c r="G481" s="3"/>
      <c r="H481" s="3"/>
    </row>
    <row r="482" spans="1:8" x14ac:dyDescent="0.35">
      <c r="A482" s="3" t="s">
        <v>1010</v>
      </c>
      <c r="B482" s="3" t="s">
        <v>45</v>
      </c>
      <c r="C482" s="3" t="s">
        <v>1034</v>
      </c>
      <c r="D482" s="3" t="s">
        <v>60</v>
      </c>
      <c r="E482" s="3"/>
      <c r="F482" s="3"/>
      <c r="G482" s="3"/>
      <c r="H482" s="3"/>
    </row>
    <row r="483" spans="1:8" x14ac:dyDescent="0.35">
      <c r="A483" s="3" t="s">
        <v>1010</v>
      </c>
      <c r="B483" s="3" t="s">
        <v>45</v>
      </c>
      <c r="C483" s="3" t="s">
        <v>1034</v>
      </c>
      <c r="D483" s="3" t="s">
        <v>220</v>
      </c>
      <c r="E483" s="3"/>
      <c r="F483" s="3"/>
      <c r="G483" s="3"/>
      <c r="H483" s="3"/>
    </row>
    <row r="484" spans="1:8" x14ac:dyDescent="0.35">
      <c r="A484" s="3" t="s">
        <v>1010</v>
      </c>
      <c r="B484" s="3" t="s">
        <v>45</v>
      </c>
      <c r="C484" s="3" t="s">
        <v>1034</v>
      </c>
      <c r="D484" s="3" t="s">
        <v>225</v>
      </c>
      <c r="E484" s="3"/>
      <c r="F484" s="3"/>
      <c r="G484" s="3"/>
      <c r="H484" s="3"/>
    </row>
    <row r="485" spans="1:8" x14ac:dyDescent="0.35">
      <c r="A485" s="3" t="s">
        <v>1010</v>
      </c>
      <c r="B485" s="3" t="s">
        <v>45</v>
      </c>
      <c r="C485" s="3" t="s">
        <v>1034</v>
      </c>
      <c r="D485" s="3" t="s">
        <v>221</v>
      </c>
      <c r="E485" s="3"/>
      <c r="F485" s="3"/>
      <c r="G485" s="3"/>
      <c r="H485" s="3"/>
    </row>
    <row r="486" spans="1:8" x14ac:dyDescent="0.35">
      <c r="A486" s="3" t="s">
        <v>1010</v>
      </c>
      <c r="B486" s="3" t="s">
        <v>45</v>
      </c>
      <c r="C486" s="3" t="s">
        <v>1034</v>
      </c>
      <c r="D486" s="3" t="s">
        <v>222</v>
      </c>
      <c r="E486" s="3"/>
      <c r="F486" s="3"/>
      <c r="G486" s="3"/>
      <c r="H486" s="3"/>
    </row>
    <row r="487" spans="1:8" x14ac:dyDescent="0.35">
      <c r="A487" s="3" t="s">
        <v>1010</v>
      </c>
      <c r="B487" s="3" t="s">
        <v>45</v>
      </c>
      <c r="C487" s="3" t="s">
        <v>1034</v>
      </c>
      <c r="D487" s="3" t="s">
        <v>223</v>
      </c>
      <c r="E487" s="3"/>
      <c r="F487" s="3"/>
      <c r="G487" s="3"/>
      <c r="H487" s="3"/>
    </row>
    <row r="488" spans="1:8" x14ac:dyDescent="0.35">
      <c r="A488" s="3" t="s">
        <v>1010</v>
      </c>
      <c r="B488" s="3" t="s">
        <v>45</v>
      </c>
      <c r="C488" s="3" t="s">
        <v>1034</v>
      </c>
      <c r="D488" s="3" t="s">
        <v>226</v>
      </c>
      <c r="E488" s="3"/>
      <c r="F488" s="3"/>
      <c r="G488" s="3"/>
      <c r="H488" s="3"/>
    </row>
    <row r="489" spans="1:8" x14ac:dyDescent="0.35">
      <c r="A489" s="3" t="s">
        <v>1010</v>
      </c>
      <c r="B489" s="3" t="s">
        <v>45</v>
      </c>
      <c r="C489" s="3" t="s">
        <v>1034</v>
      </c>
      <c r="D489" s="3" t="s">
        <v>227</v>
      </c>
      <c r="E489" s="3"/>
      <c r="F489" s="3"/>
      <c r="G489" s="3"/>
      <c r="H489" s="3"/>
    </row>
    <row r="490" spans="1:8" x14ac:dyDescent="0.35">
      <c r="A490" s="3" t="s">
        <v>1010</v>
      </c>
      <c r="B490" s="3" t="s">
        <v>45</v>
      </c>
      <c r="C490" s="3" t="s">
        <v>1034</v>
      </c>
      <c r="D490" s="3" t="s">
        <v>228</v>
      </c>
      <c r="E490" s="3"/>
      <c r="F490" s="3"/>
      <c r="G490" s="3"/>
      <c r="H490" s="3"/>
    </row>
    <row r="491" spans="1:8" x14ac:dyDescent="0.35">
      <c r="A491" s="3" t="s">
        <v>1010</v>
      </c>
      <c r="B491" s="3" t="s">
        <v>45</v>
      </c>
      <c r="C491" s="3" t="s">
        <v>1034</v>
      </c>
      <c r="D491" s="3" t="s">
        <v>229</v>
      </c>
      <c r="E491" s="3"/>
      <c r="F491" s="3"/>
      <c r="G491" s="3"/>
      <c r="H491" s="3"/>
    </row>
    <row r="492" spans="1:8" x14ac:dyDescent="0.35">
      <c r="A492" s="3" t="s">
        <v>1010</v>
      </c>
      <c r="B492" s="3" t="s">
        <v>45</v>
      </c>
      <c r="C492" s="3" t="s">
        <v>1034</v>
      </c>
      <c r="D492" s="3" t="s">
        <v>230</v>
      </c>
      <c r="E492" s="3"/>
      <c r="F492" s="3"/>
      <c r="G492" s="3"/>
      <c r="H492" s="3"/>
    </row>
    <row r="493" spans="1:8" x14ac:dyDescent="0.35">
      <c r="A493" s="3" t="s">
        <v>1010</v>
      </c>
      <c r="B493" s="3" t="s">
        <v>45</v>
      </c>
      <c r="C493" s="3" t="s">
        <v>1034</v>
      </c>
      <c r="D493" s="3" t="s">
        <v>219</v>
      </c>
      <c r="E493" s="3"/>
      <c r="F493" s="3"/>
      <c r="G493" s="3"/>
      <c r="H493" s="3"/>
    </row>
    <row r="494" spans="1:8" x14ac:dyDescent="0.35">
      <c r="A494" s="3" t="s">
        <v>1010</v>
      </c>
      <c r="B494" s="3" t="s">
        <v>45</v>
      </c>
      <c r="C494" s="3" t="s">
        <v>1034</v>
      </c>
      <c r="D494" s="3" t="s">
        <v>372</v>
      </c>
      <c r="E494" s="3"/>
      <c r="F494" s="3"/>
      <c r="G494" s="3"/>
      <c r="H494" s="3"/>
    </row>
    <row r="495" spans="1:8" x14ac:dyDescent="0.35">
      <c r="A495" s="3" t="s">
        <v>1010</v>
      </c>
      <c r="B495" s="3" t="s">
        <v>45</v>
      </c>
      <c r="C495" s="3" t="s">
        <v>1034</v>
      </c>
      <c r="D495" s="3" t="s">
        <v>218</v>
      </c>
      <c r="E495" s="3"/>
      <c r="F495" s="3"/>
      <c r="G495" s="3"/>
      <c r="H495" s="3"/>
    </row>
    <row r="496" spans="1:8" x14ac:dyDescent="0.35">
      <c r="A496" s="3" t="s">
        <v>1010</v>
      </c>
      <c r="B496" s="3" t="s">
        <v>45</v>
      </c>
      <c r="C496" s="3" t="s">
        <v>1034</v>
      </c>
      <c r="D496" s="3" t="s">
        <v>224</v>
      </c>
      <c r="E496" s="3"/>
      <c r="F496" s="3"/>
      <c r="G496" s="3"/>
      <c r="H496" s="3"/>
    </row>
    <row r="497" spans="1:8" x14ac:dyDescent="0.35">
      <c r="A497" s="3" t="s">
        <v>1010</v>
      </c>
      <c r="B497" s="3" t="s">
        <v>45</v>
      </c>
      <c r="C497" s="3" t="s">
        <v>1035</v>
      </c>
      <c r="D497" s="3" t="s">
        <v>166</v>
      </c>
      <c r="E497" s="3"/>
      <c r="F497" s="3"/>
      <c r="G497" s="3"/>
      <c r="H497" s="3"/>
    </row>
    <row r="498" spans="1:8" x14ac:dyDescent="0.35">
      <c r="A498" s="3" t="s">
        <v>1010</v>
      </c>
      <c r="B498" s="3" t="s">
        <v>45</v>
      </c>
      <c r="C498" s="3" t="s">
        <v>1035</v>
      </c>
      <c r="D498" s="3" t="s">
        <v>1016</v>
      </c>
      <c r="E498" s="3"/>
      <c r="F498" s="3"/>
      <c r="G498" s="3"/>
      <c r="H498" s="3"/>
    </row>
    <row r="499" spans="1:8" x14ac:dyDescent="0.35">
      <c r="A499" s="3" t="s">
        <v>1010</v>
      </c>
      <c r="B499" s="3" t="s">
        <v>45</v>
      </c>
      <c r="C499" s="3" t="s">
        <v>1035</v>
      </c>
      <c r="D499" s="3" t="s">
        <v>225</v>
      </c>
      <c r="E499" s="3"/>
      <c r="F499" s="3"/>
      <c r="G499" s="3"/>
      <c r="H499" s="3"/>
    </row>
    <row r="500" spans="1:8" x14ac:dyDescent="0.35">
      <c r="A500" s="3" t="s">
        <v>1010</v>
      </c>
      <c r="B500" s="3" t="s">
        <v>45</v>
      </c>
      <c r="C500" s="3" t="s">
        <v>1035</v>
      </c>
      <c r="D500" s="3" t="s">
        <v>221</v>
      </c>
      <c r="E500" s="3"/>
      <c r="F500" s="3"/>
      <c r="G500" s="3"/>
      <c r="H500" s="3"/>
    </row>
    <row r="501" spans="1:8" x14ac:dyDescent="0.35">
      <c r="A501" s="3" t="s">
        <v>1010</v>
      </c>
      <c r="B501" s="3" t="s">
        <v>45</v>
      </c>
      <c r="C501" s="3" t="s">
        <v>1035</v>
      </c>
      <c r="D501" s="3" t="s">
        <v>222</v>
      </c>
      <c r="E501" s="3"/>
      <c r="F501" s="3"/>
      <c r="G501" s="3"/>
      <c r="H501" s="3"/>
    </row>
    <row r="502" spans="1:8" x14ac:dyDescent="0.35">
      <c r="A502" s="3" t="s">
        <v>1010</v>
      </c>
      <c r="B502" s="3" t="s">
        <v>45</v>
      </c>
      <c r="C502" s="3" t="s">
        <v>1035</v>
      </c>
      <c r="D502" s="3" t="s">
        <v>223</v>
      </c>
      <c r="E502" s="3"/>
      <c r="F502" s="3"/>
      <c r="G502" s="3"/>
      <c r="H502" s="3"/>
    </row>
    <row r="503" spans="1:8" x14ac:dyDescent="0.35">
      <c r="A503" s="3" t="s">
        <v>1010</v>
      </c>
      <c r="B503" s="3" t="s">
        <v>45</v>
      </c>
      <c r="C503" s="3" t="s">
        <v>1035</v>
      </c>
      <c r="D503" s="3" t="s">
        <v>226</v>
      </c>
      <c r="E503" s="3"/>
      <c r="F503" s="3"/>
      <c r="G503" s="3"/>
      <c r="H503" s="3"/>
    </row>
    <row r="504" spans="1:8" x14ac:dyDescent="0.35">
      <c r="A504" s="3" t="s">
        <v>1010</v>
      </c>
      <c r="B504" s="3" t="s">
        <v>45</v>
      </c>
      <c r="C504" s="3" t="s">
        <v>1035</v>
      </c>
      <c r="D504" s="3" t="s">
        <v>227</v>
      </c>
      <c r="E504" s="3"/>
      <c r="F504" s="3"/>
      <c r="G504" s="3"/>
      <c r="H504" s="3"/>
    </row>
    <row r="505" spans="1:8" x14ac:dyDescent="0.35">
      <c r="A505" s="3" t="s">
        <v>1010</v>
      </c>
      <c r="B505" s="3" t="s">
        <v>45</v>
      </c>
      <c r="C505" s="3" t="s">
        <v>1035</v>
      </c>
      <c r="D505" s="3" t="s">
        <v>228</v>
      </c>
      <c r="E505" s="3"/>
      <c r="F505" s="3"/>
      <c r="G505" s="3"/>
      <c r="H505" s="3"/>
    </row>
    <row r="506" spans="1:8" x14ac:dyDescent="0.35">
      <c r="A506" s="3" t="s">
        <v>1010</v>
      </c>
      <c r="B506" s="3" t="s">
        <v>45</v>
      </c>
      <c r="C506" s="3" t="s">
        <v>1035</v>
      </c>
      <c r="D506" s="3" t="s">
        <v>229</v>
      </c>
      <c r="E506" s="3"/>
      <c r="F506" s="3"/>
      <c r="G506" s="3"/>
      <c r="H506" s="3"/>
    </row>
    <row r="507" spans="1:8" x14ac:dyDescent="0.35">
      <c r="A507" s="3" t="s">
        <v>1010</v>
      </c>
      <c r="B507" s="3" t="s">
        <v>45</v>
      </c>
      <c r="C507" s="3" t="s">
        <v>1035</v>
      </c>
      <c r="D507" s="3" t="s">
        <v>230</v>
      </c>
      <c r="E507" s="3"/>
      <c r="F507" s="3"/>
      <c r="G507" s="3"/>
      <c r="H507" s="3"/>
    </row>
    <row r="508" spans="1:8" x14ac:dyDescent="0.35">
      <c r="A508" s="3" t="s">
        <v>1010</v>
      </c>
      <c r="B508" s="3" t="s">
        <v>45</v>
      </c>
      <c r="C508" s="3" t="s">
        <v>1035</v>
      </c>
      <c r="D508" s="3" t="s">
        <v>219</v>
      </c>
      <c r="E508" s="3"/>
      <c r="F508" s="3"/>
      <c r="G508" s="3"/>
      <c r="H508" s="3"/>
    </row>
    <row r="509" spans="1:8" x14ac:dyDescent="0.35">
      <c r="A509" s="3" t="s">
        <v>1010</v>
      </c>
      <c r="B509" s="3" t="s">
        <v>45</v>
      </c>
      <c r="C509" s="3" t="s">
        <v>1035</v>
      </c>
      <c r="D509" s="3" t="s">
        <v>372</v>
      </c>
      <c r="E509" s="3"/>
      <c r="F509" s="3"/>
      <c r="G509" s="3"/>
      <c r="H509" s="3"/>
    </row>
    <row r="510" spans="1:8" x14ac:dyDescent="0.35">
      <c r="A510" s="3" t="s">
        <v>1010</v>
      </c>
      <c r="B510" s="3" t="s">
        <v>45</v>
      </c>
      <c r="C510" s="3" t="s">
        <v>1035</v>
      </c>
      <c r="D510" s="3" t="s">
        <v>218</v>
      </c>
      <c r="E510" s="3"/>
      <c r="F510" s="3"/>
      <c r="G510" s="3"/>
      <c r="H510" s="3"/>
    </row>
    <row r="511" spans="1:8" x14ac:dyDescent="0.35">
      <c r="A511" s="3" t="s">
        <v>1010</v>
      </c>
      <c r="B511" s="3" t="s">
        <v>45</v>
      </c>
      <c r="C511" s="3" t="s">
        <v>1035</v>
      </c>
      <c r="D511" s="3" t="s">
        <v>224</v>
      </c>
      <c r="E511" s="3"/>
      <c r="F511" s="3"/>
      <c r="G511" s="3"/>
      <c r="H511" s="3"/>
    </row>
    <row r="512" spans="1:8" x14ac:dyDescent="0.35">
      <c r="A512" s="3" t="s">
        <v>1010</v>
      </c>
      <c r="B512" s="3" t="s">
        <v>45</v>
      </c>
      <c r="C512" s="3" t="s">
        <v>1036</v>
      </c>
      <c r="D512" s="3" t="s">
        <v>166</v>
      </c>
      <c r="E512" s="3"/>
      <c r="F512" s="3"/>
      <c r="G512" s="3"/>
      <c r="H512" s="3"/>
    </row>
    <row r="513" spans="1:8" x14ac:dyDescent="0.35">
      <c r="A513" s="3" t="s">
        <v>1010</v>
      </c>
      <c r="B513" s="3" t="s">
        <v>45</v>
      </c>
      <c r="C513" s="3" t="s">
        <v>1036</v>
      </c>
      <c r="D513" s="3" t="s">
        <v>1016</v>
      </c>
      <c r="E513" s="3"/>
      <c r="F513" s="3"/>
      <c r="G513" s="3"/>
      <c r="H513" s="3"/>
    </row>
    <row r="514" spans="1:8" x14ac:dyDescent="0.35">
      <c r="A514" s="3" t="s">
        <v>1010</v>
      </c>
      <c r="B514" s="3" t="s">
        <v>45</v>
      </c>
      <c r="C514" s="3" t="s">
        <v>1036</v>
      </c>
      <c r="D514" s="3" t="s">
        <v>225</v>
      </c>
      <c r="E514" s="3"/>
      <c r="F514" s="3"/>
      <c r="G514" s="3"/>
      <c r="H514" s="3"/>
    </row>
    <row r="515" spans="1:8" x14ac:dyDescent="0.35">
      <c r="A515" s="3" t="s">
        <v>1010</v>
      </c>
      <c r="B515" s="3" t="s">
        <v>45</v>
      </c>
      <c r="C515" s="3" t="s">
        <v>1036</v>
      </c>
      <c r="D515" s="3" t="s">
        <v>221</v>
      </c>
      <c r="E515" s="3"/>
      <c r="F515" s="3"/>
      <c r="G515" s="3"/>
      <c r="H515" s="3"/>
    </row>
    <row r="516" spans="1:8" x14ac:dyDescent="0.35">
      <c r="A516" s="3" t="s">
        <v>1010</v>
      </c>
      <c r="B516" s="3" t="s">
        <v>45</v>
      </c>
      <c r="C516" s="3" t="s">
        <v>1036</v>
      </c>
      <c r="D516" s="3" t="s">
        <v>222</v>
      </c>
      <c r="E516" s="3"/>
      <c r="F516" s="3"/>
      <c r="G516" s="3"/>
      <c r="H516" s="3"/>
    </row>
    <row r="517" spans="1:8" x14ac:dyDescent="0.35">
      <c r="A517" s="3" t="s">
        <v>1010</v>
      </c>
      <c r="B517" s="3" t="s">
        <v>45</v>
      </c>
      <c r="C517" s="3" t="s">
        <v>1036</v>
      </c>
      <c r="D517" s="3" t="s">
        <v>223</v>
      </c>
      <c r="E517" s="3"/>
      <c r="F517" s="3"/>
      <c r="G517" s="3"/>
      <c r="H517" s="3"/>
    </row>
    <row r="518" spans="1:8" x14ac:dyDescent="0.35">
      <c r="A518" s="3" t="s">
        <v>1010</v>
      </c>
      <c r="B518" s="3" t="s">
        <v>45</v>
      </c>
      <c r="C518" s="3" t="s">
        <v>1036</v>
      </c>
      <c r="D518" s="3" t="s">
        <v>226</v>
      </c>
      <c r="E518" s="3"/>
      <c r="F518" s="3"/>
      <c r="G518" s="3"/>
      <c r="H518" s="3"/>
    </row>
    <row r="519" spans="1:8" x14ac:dyDescent="0.35">
      <c r="A519" s="3" t="s">
        <v>1010</v>
      </c>
      <c r="B519" s="3" t="s">
        <v>45</v>
      </c>
      <c r="C519" s="3" t="s">
        <v>1036</v>
      </c>
      <c r="D519" s="3" t="s">
        <v>227</v>
      </c>
      <c r="E519" s="3"/>
      <c r="F519" s="3"/>
      <c r="G519" s="3"/>
      <c r="H519" s="3"/>
    </row>
    <row r="520" spans="1:8" x14ac:dyDescent="0.35">
      <c r="A520" s="3" t="s">
        <v>1010</v>
      </c>
      <c r="B520" s="3" t="s">
        <v>45</v>
      </c>
      <c r="C520" s="3" t="s">
        <v>1036</v>
      </c>
      <c r="D520" s="3" t="s">
        <v>228</v>
      </c>
      <c r="E520" s="3"/>
      <c r="F520" s="3"/>
      <c r="G520" s="3"/>
      <c r="H520" s="3"/>
    </row>
    <row r="521" spans="1:8" x14ac:dyDescent="0.35">
      <c r="A521" s="3" t="s">
        <v>1010</v>
      </c>
      <c r="B521" s="3" t="s">
        <v>45</v>
      </c>
      <c r="C521" s="3" t="s">
        <v>1036</v>
      </c>
      <c r="D521" s="3" t="s">
        <v>229</v>
      </c>
      <c r="E521" s="3"/>
      <c r="F521" s="3"/>
      <c r="G521" s="3"/>
      <c r="H521" s="3"/>
    </row>
    <row r="522" spans="1:8" x14ac:dyDescent="0.35">
      <c r="A522" s="3" t="s">
        <v>1010</v>
      </c>
      <c r="B522" s="3" t="s">
        <v>45</v>
      </c>
      <c r="C522" s="3" t="s">
        <v>1036</v>
      </c>
      <c r="D522" s="3" t="s">
        <v>230</v>
      </c>
      <c r="E522" s="3"/>
      <c r="F522" s="3"/>
      <c r="G522" s="3"/>
      <c r="H522" s="3"/>
    </row>
    <row r="523" spans="1:8" x14ac:dyDescent="0.35">
      <c r="A523" s="3" t="s">
        <v>1010</v>
      </c>
      <c r="B523" s="3" t="s">
        <v>45</v>
      </c>
      <c r="C523" s="3" t="s">
        <v>1036</v>
      </c>
      <c r="D523" s="3" t="s">
        <v>219</v>
      </c>
      <c r="E523" s="3"/>
      <c r="F523" s="3"/>
      <c r="G523" s="3"/>
      <c r="H523" s="3"/>
    </row>
    <row r="524" spans="1:8" x14ac:dyDescent="0.35">
      <c r="A524" s="3" t="s">
        <v>1010</v>
      </c>
      <c r="B524" s="3" t="s">
        <v>45</v>
      </c>
      <c r="C524" s="3" t="s">
        <v>1036</v>
      </c>
      <c r="D524" s="3" t="s">
        <v>372</v>
      </c>
      <c r="E524" s="3"/>
      <c r="F524" s="3"/>
      <c r="G524" s="3"/>
      <c r="H524" s="3"/>
    </row>
    <row r="525" spans="1:8" x14ac:dyDescent="0.35">
      <c r="A525" s="3" t="s">
        <v>1010</v>
      </c>
      <c r="B525" s="3" t="s">
        <v>45</v>
      </c>
      <c r="C525" s="3" t="s">
        <v>1036</v>
      </c>
      <c r="D525" s="3" t="s">
        <v>218</v>
      </c>
      <c r="E525" s="3"/>
      <c r="F525" s="3"/>
      <c r="G525" s="3"/>
      <c r="H525" s="3"/>
    </row>
    <row r="526" spans="1:8" x14ac:dyDescent="0.35">
      <c r="A526" s="3" t="s">
        <v>1010</v>
      </c>
      <c r="B526" s="3" t="s">
        <v>45</v>
      </c>
      <c r="C526" s="3" t="s">
        <v>1036</v>
      </c>
      <c r="D526" s="3" t="s">
        <v>224</v>
      </c>
      <c r="E526" s="3"/>
      <c r="F526" s="3"/>
      <c r="G526" s="3"/>
      <c r="H526" s="3"/>
    </row>
    <row r="527" spans="1:8" x14ac:dyDescent="0.35">
      <c r="A527" s="3" t="s">
        <v>1010</v>
      </c>
      <c r="B527" s="3" t="s">
        <v>45</v>
      </c>
      <c r="C527" s="3" t="s">
        <v>1037</v>
      </c>
      <c r="D527" s="3" t="s">
        <v>166</v>
      </c>
      <c r="E527" s="3"/>
      <c r="F527" s="3"/>
      <c r="G527" s="3"/>
      <c r="H527" s="3"/>
    </row>
    <row r="528" spans="1:8" x14ac:dyDescent="0.35">
      <c r="A528" s="3" t="s">
        <v>1010</v>
      </c>
      <c r="B528" s="3" t="s">
        <v>45</v>
      </c>
      <c r="C528" s="3" t="s">
        <v>1037</v>
      </c>
      <c r="D528" s="3" t="s">
        <v>217</v>
      </c>
      <c r="E528" s="3"/>
      <c r="F528" s="3"/>
      <c r="G528" s="3"/>
      <c r="H528" s="3"/>
    </row>
    <row r="529" spans="1:8" x14ac:dyDescent="0.35">
      <c r="A529" s="3" t="s">
        <v>1010</v>
      </c>
      <c r="B529" s="3" t="s">
        <v>45</v>
      </c>
      <c r="C529" s="3" t="s">
        <v>1037</v>
      </c>
      <c r="D529" s="3" t="s">
        <v>220</v>
      </c>
      <c r="E529" s="3"/>
      <c r="F529" s="3"/>
      <c r="G529" s="3"/>
      <c r="H529" s="3"/>
    </row>
    <row r="530" spans="1:8" x14ac:dyDescent="0.35">
      <c r="A530" s="3" t="s">
        <v>1010</v>
      </c>
      <c r="B530" s="3" t="s">
        <v>45</v>
      </c>
      <c r="C530" s="3" t="s">
        <v>1037</v>
      </c>
      <c r="D530" s="3" t="s">
        <v>225</v>
      </c>
      <c r="E530" s="3"/>
      <c r="F530" s="3"/>
      <c r="G530" s="3"/>
      <c r="H530" s="3"/>
    </row>
    <row r="531" spans="1:8" x14ac:dyDescent="0.35">
      <c r="A531" s="3" t="s">
        <v>1010</v>
      </c>
      <c r="B531" s="3" t="s">
        <v>45</v>
      </c>
      <c r="C531" s="3" t="s">
        <v>1037</v>
      </c>
      <c r="D531" s="3" t="s">
        <v>221</v>
      </c>
      <c r="E531" s="3"/>
      <c r="F531" s="3"/>
      <c r="G531" s="3"/>
      <c r="H531" s="3"/>
    </row>
    <row r="532" spans="1:8" x14ac:dyDescent="0.35">
      <c r="A532" s="3" t="s">
        <v>1010</v>
      </c>
      <c r="B532" s="3" t="s">
        <v>45</v>
      </c>
      <c r="C532" s="3" t="s">
        <v>1037</v>
      </c>
      <c r="D532" s="3" t="s">
        <v>222</v>
      </c>
      <c r="E532" s="3"/>
      <c r="F532" s="3"/>
      <c r="G532" s="3"/>
      <c r="H532" s="3"/>
    </row>
    <row r="533" spans="1:8" x14ac:dyDescent="0.35">
      <c r="A533" s="3" t="s">
        <v>1010</v>
      </c>
      <c r="B533" s="3" t="s">
        <v>45</v>
      </c>
      <c r="C533" s="3" t="s">
        <v>1037</v>
      </c>
      <c r="D533" s="3" t="s">
        <v>223</v>
      </c>
      <c r="E533" s="3"/>
      <c r="F533" s="3"/>
      <c r="G533" s="3"/>
      <c r="H533" s="3"/>
    </row>
    <row r="534" spans="1:8" x14ac:dyDescent="0.35">
      <c r="A534" s="3" t="s">
        <v>1010</v>
      </c>
      <c r="B534" s="3" t="s">
        <v>45</v>
      </c>
      <c r="C534" s="3" t="s">
        <v>1037</v>
      </c>
      <c r="D534" s="3" t="s">
        <v>226</v>
      </c>
      <c r="E534" s="3"/>
      <c r="F534" s="3"/>
      <c r="G534" s="3"/>
      <c r="H534" s="3"/>
    </row>
    <row r="535" spans="1:8" x14ac:dyDescent="0.35">
      <c r="A535" s="3" t="s">
        <v>1010</v>
      </c>
      <c r="B535" s="3" t="s">
        <v>45</v>
      </c>
      <c r="C535" s="3" t="s">
        <v>1037</v>
      </c>
      <c r="D535" s="3" t="s">
        <v>227</v>
      </c>
      <c r="E535" s="3"/>
      <c r="F535" s="3"/>
      <c r="G535" s="3"/>
      <c r="H535" s="3"/>
    </row>
    <row r="536" spans="1:8" x14ac:dyDescent="0.35">
      <c r="A536" s="3" t="s">
        <v>1010</v>
      </c>
      <c r="B536" s="3" t="s">
        <v>45</v>
      </c>
      <c r="C536" s="3" t="s">
        <v>1037</v>
      </c>
      <c r="D536" s="3" t="s">
        <v>228</v>
      </c>
      <c r="E536" s="3"/>
      <c r="F536" s="3"/>
      <c r="G536" s="3"/>
      <c r="H536" s="3"/>
    </row>
    <row r="537" spans="1:8" x14ac:dyDescent="0.35">
      <c r="A537" s="3" t="s">
        <v>1010</v>
      </c>
      <c r="B537" s="3" t="s">
        <v>45</v>
      </c>
      <c r="C537" s="3" t="s">
        <v>1037</v>
      </c>
      <c r="D537" s="3" t="s">
        <v>229</v>
      </c>
      <c r="E537" s="3"/>
      <c r="F537" s="3"/>
      <c r="G537" s="3"/>
      <c r="H537" s="3"/>
    </row>
    <row r="538" spans="1:8" x14ac:dyDescent="0.35">
      <c r="A538" s="3" t="s">
        <v>1010</v>
      </c>
      <c r="B538" s="3" t="s">
        <v>45</v>
      </c>
      <c r="C538" s="3" t="s">
        <v>1037</v>
      </c>
      <c r="D538" s="3" t="s">
        <v>230</v>
      </c>
      <c r="E538" s="3"/>
      <c r="F538" s="3"/>
      <c r="G538" s="3"/>
      <c r="H538" s="3"/>
    </row>
    <row r="539" spans="1:8" x14ac:dyDescent="0.35">
      <c r="A539" s="3" t="s">
        <v>1010</v>
      </c>
      <c r="B539" s="3" t="s">
        <v>45</v>
      </c>
      <c r="C539" s="3" t="s">
        <v>1037</v>
      </c>
      <c r="D539" s="3" t="s">
        <v>219</v>
      </c>
      <c r="E539" s="3"/>
      <c r="F539" s="3"/>
      <c r="G539" s="3"/>
      <c r="H539" s="3"/>
    </row>
    <row r="540" spans="1:8" x14ac:dyDescent="0.35">
      <c r="A540" s="3" t="s">
        <v>1010</v>
      </c>
      <c r="B540" s="3" t="s">
        <v>45</v>
      </c>
      <c r="C540" s="3" t="s">
        <v>1037</v>
      </c>
      <c r="D540" s="3" t="s">
        <v>372</v>
      </c>
      <c r="E540" s="3"/>
      <c r="F540" s="3"/>
      <c r="G540" s="3"/>
      <c r="H540" s="3"/>
    </row>
    <row r="541" spans="1:8" x14ac:dyDescent="0.35">
      <c r="A541" s="3" t="s">
        <v>1010</v>
      </c>
      <c r="B541" s="3" t="s">
        <v>45</v>
      </c>
      <c r="C541" s="3" t="s">
        <v>1037</v>
      </c>
      <c r="D541" s="3" t="s">
        <v>218</v>
      </c>
      <c r="E541" s="3"/>
      <c r="F541" s="3"/>
      <c r="G541" s="3"/>
      <c r="H541" s="3"/>
    </row>
    <row r="542" spans="1:8" x14ac:dyDescent="0.35">
      <c r="A542" s="3" t="s">
        <v>1010</v>
      </c>
      <c r="B542" s="3" t="s">
        <v>45</v>
      </c>
      <c r="C542" s="3" t="s">
        <v>1037</v>
      </c>
      <c r="D542" s="3" t="s">
        <v>224</v>
      </c>
      <c r="E542" s="3"/>
      <c r="F542" s="3"/>
      <c r="G542" s="3"/>
      <c r="H542" s="3"/>
    </row>
    <row r="543" spans="1:8" x14ac:dyDescent="0.35">
      <c r="A543" s="3" t="s">
        <v>1010</v>
      </c>
      <c r="B543" s="3" t="s">
        <v>45</v>
      </c>
      <c r="C543" s="3" t="s">
        <v>1038</v>
      </c>
      <c r="D543" s="3" t="s">
        <v>166</v>
      </c>
      <c r="E543" s="3"/>
      <c r="F543" s="3"/>
      <c r="G543" s="3"/>
      <c r="H543" s="3"/>
    </row>
    <row r="544" spans="1:8" x14ac:dyDescent="0.35">
      <c r="A544" s="3" t="s">
        <v>1010</v>
      </c>
      <c r="B544" s="3" t="s">
        <v>45</v>
      </c>
      <c r="C544" s="3" t="s">
        <v>1038</v>
      </c>
      <c r="D544" s="3" t="s">
        <v>220</v>
      </c>
      <c r="E544" s="3"/>
      <c r="F544" s="3"/>
      <c r="G544" s="3"/>
      <c r="H544" s="3"/>
    </row>
    <row r="545" spans="1:8" x14ac:dyDescent="0.35">
      <c r="A545" s="3" t="s">
        <v>1010</v>
      </c>
      <c r="B545" s="3" t="s">
        <v>45</v>
      </c>
      <c r="C545" s="3" t="s">
        <v>1038</v>
      </c>
      <c r="D545" s="3" t="s">
        <v>225</v>
      </c>
      <c r="E545" s="3"/>
      <c r="F545" s="3"/>
      <c r="G545" s="3"/>
      <c r="H545" s="3"/>
    </row>
    <row r="546" spans="1:8" x14ac:dyDescent="0.35">
      <c r="A546" s="3" t="s">
        <v>1010</v>
      </c>
      <c r="B546" s="3" t="s">
        <v>45</v>
      </c>
      <c r="C546" s="3" t="s">
        <v>1038</v>
      </c>
      <c r="D546" s="3" t="s">
        <v>221</v>
      </c>
      <c r="E546" s="3"/>
      <c r="F546" s="3"/>
      <c r="G546" s="3"/>
      <c r="H546" s="3"/>
    </row>
    <row r="547" spans="1:8" x14ac:dyDescent="0.35">
      <c r="A547" s="3" t="s">
        <v>1010</v>
      </c>
      <c r="B547" s="3" t="s">
        <v>45</v>
      </c>
      <c r="C547" s="3" t="s">
        <v>1038</v>
      </c>
      <c r="D547" s="3" t="s">
        <v>222</v>
      </c>
      <c r="E547" s="3"/>
      <c r="F547" s="3"/>
      <c r="G547" s="3"/>
      <c r="H547" s="3"/>
    </row>
    <row r="548" spans="1:8" x14ac:dyDescent="0.35">
      <c r="A548" s="3" t="s">
        <v>1010</v>
      </c>
      <c r="B548" s="3" t="s">
        <v>45</v>
      </c>
      <c r="C548" s="3" t="s">
        <v>1038</v>
      </c>
      <c r="D548" s="3" t="s">
        <v>223</v>
      </c>
      <c r="E548" s="3"/>
      <c r="F548" s="3"/>
      <c r="G548" s="3"/>
      <c r="H548" s="3"/>
    </row>
    <row r="549" spans="1:8" x14ac:dyDescent="0.35">
      <c r="A549" s="3" t="s">
        <v>1010</v>
      </c>
      <c r="B549" s="3" t="s">
        <v>45</v>
      </c>
      <c r="C549" s="3" t="s">
        <v>1038</v>
      </c>
      <c r="D549" s="3" t="s">
        <v>15</v>
      </c>
      <c r="E549" s="3" t="s">
        <v>16</v>
      </c>
      <c r="F549" s="3" t="s">
        <v>1039</v>
      </c>
      <c r="G549" s="3"/>
      <c r="H549" s="3"/>
    </row>
    <row r="550" spans="1:8" x14ac:dyDescent="0.35">
      <c r="A550" s="3" t="s">
        <v>1010</v>
      </c>
      <c r="B550" s="3" t="s">
        <v>45</v>
      </c>
      <c r="C550" s="3" t="s">
        <v>1038</v>
      </c>
      <c r="D550" s="3" t="s">
        <v>226</v>
      </c>
      <c r="E550" s="3"/>
      <c r="F550" s="3"/>
      <c r="G550" s="3"/>
      <c r="H550" s="3"/>
    </row>
    <row r="551" spans="1:8" x14ac:dyDescent="0.35">
      <c r="A551" s="3" t="s">
        <v>1010</v>
      </c>
      <c r="B551" s="3" t="s">
        <v>45</v>
      </c>
      <c r="C551" s="3" t="s">
        <v>1038</v>
      </c>
      <c r="D551" s="3" t="s">
        <v>227</v>
      </c>
      <c r="E551" s="3"/>
      <c r="F551" s="3"/>
      <c r="G551" s="3"/>
      <c r="H551" s="3"/>
    </row>
    <row r="552" spans="1:8" x14ac:dyDescent="0.35">
      <c r="A552" s="3" t="s">
        <v>1010</v>
      </c>
      <c r="B552" s="3" t="s">
        <v>45</v>
      </c>
      <c r="C552" s="3" t="s">
        <v>1038</v>
      </c>
      <c r="D552" s="3" t="s">
        <v>228</v>
      </c>
      <c r="E552" s="3"/>
      <c r="F552" s="3"/>
      <c r="G552" s="3"/>
      <c r="H552" s="3"/>
    </row>
    <row r="553" spans="1:8" x14ac:dyDescent="0.35">
      <c r="A553" s="3" t="s">
        <v>1010</v>
      </c>
      <c r="B553" s="3" t="s">
        <v>45</v>
      </c>
      <c r="C553" s="3" t="s">
        <v>1038</v>
      </c>
      <c r="D553" s="3" t="s">
        <v>229</v>
      </c>
      <c r="E553" s="3"/>
      <c r="F553" s="3"/>
      <c r="G553" s="3"/>
      <c r="H553" s="3"/>
    </row>
    <row r="554" spans="1:8" x14ac:dyDescent="0.35">
      <c r="A554" s="3" t="s">
        <v>1010</v>
      </c>
      <c r="B554" s="3" t="s">
        <v>45</v>
      </c>
      <c r="C554" s="3" t="s">
        <v>1038</v>
      </c>
      <c r="D554" s="3" t="s">
        <v>230</v>
      </c>
      <c r="E554" s="3"/>
      <c r="F554" s="3"/>
      <c r="G554" s="3"/>
      <c r="H554" s="3"/>
    </row>
    <row r="555" spans="1:8" x14ac:dyDescent="0.35">
      <c r="A555" s="3" t="s">
        <v>1010</v>
      </c>
      <c r="B555" s="3" t="s">
        <v>45</v>
      </c>
      <c r="C555" s="3" t="s">
        <v>1038</v>
      </c>
      <c r="D555" s="3" t="s">
        <v>219</v>
      </c>
      <c r="E555" s="3"/>
      <c r="F555" s="3"/>
      <c r="G555" s="3"/>
      <c r="H555" s="3"/>
    </row>
    <row r="556" spans="1:8" x14ac:dyDescent="0.35">
      <c r="A556" s="3" t="s">
        <v>1010</v>
      </c>
      <c r="B556" s="3" t="s">
        <v>45</v>
      </c>
      <c r="C556" s="3" t="s">
        <v>1038</v>
      </c>
      <c r="D556" s="3" t="s">
        <v>372</v>
      </c>
      <c r="E556" s="3" t="s">
        <v>16</v>
      </c>
      <c r="F556" s="3" t="s">
        <v>1040</v>
      </c>
      <c r="G556" s="3"/>
      <c r="H556" s="3"/>
    </row>
    <row r="557" spans="1:8" x14ac:dyDescent="0.35">
      <c r="A557" s="3" t="s">
        <v>1010</v>
      </c>
      <c r="B557" s="3" t="s">
        <v>45</v>
      </c>
      <c r="C557" s="3" t="s">
        <v>1038</v>
      </c>
      <c r="D557" s="3" t="s">
        <v>218</v>
      </c>
      <c r="E557" s="3"/>
      <c r="F557" s="3"/>
      <c r="G557" s="3"/>
      <c r="H557" s="3"/>
    </row>
    <row r="558" spans="1:8" x14ac:dyDescent="0.35">
      <c r="A558" s="3" t="s">
        <v>1010</v>
      </c>
      <c r="B558" s="3" t="s">
        <v>45</v>
      </c>
      <c r="C558" s="3" t="s">
        <v>1038</v>
      </c>
      <c r="D558" s="3" t="s">
        <v>224</v>
      </c>
      <c r="E558" s="3"/>
      <c r="F558" s="3"/>
      <c r="G558" s="3"/>
      <c r="H558" s="3"/>
    </row>
    <row r="559" spans="1:8" x14ac:dyDescent="0.35">
      <c r="A559" s="3" t="s">
        <v>1010</v>
      </c>
      <c r="B559" s="3" t="s">
        <v>45</v>
      </c>
      <c r="C559" s="3" t="s">
        <v>1041</v>
      </c>
      <c r="D559" s="3" t="s">
        <v>217</v>
      </c>
      <c r="E559" s="3"/>
      <c r="F559" s="3" t="s">
        <v>2286</v>
      </c>
      <c r="G559" s="3"/>
      <c r="H559" s="3"/>
    </row>
    <row r="560" spans="1:8" x14ac:dyDescent="0.35">
      <c r="A560" s="3" t="s">
        <v>1010</v>
      </c>
      <c r="B560" s="3" t="s">
        <v>45</v>
      </c>
      <c r="C560" s="3" t="s">
        <v>1041</v>
      </c>
      <c r="D560" s="3" t="s">
        <v>56</v>
      </c>
      <c r="E560" s="3"/>
      <c r="F560" s="3"/>
      <c r="G560" s="3"/>
      <c r="H560" s="3"/>
    </row>
    <row r="561" spans="1:8" x14ac:dyDescent="0.35">
      <c r="A561" s="3" t="s">
        <v>1010</v>
      </c>
      <c r="B561" s="3" t="s">
        <v>45</v>
      </c>
      <c r="C561" s="3" t="s">
        <v>1041</v>
      </c>
      <c r="D561" s="3" t="s">
        <v>224</v>
      </c>
      <c r="E561" s="3"/>
      <c r="F561" s="3"/>
      <c r="G561" s="3"/>
      <c r="H561" s="3"/>
    </row>
    <row r="562" spans="1:8" x14ac:dyDescent="0.35">
      <c r="A562" s="3" t="s">
        <v>1010</v>
      </c>
      <c r="B562" s="3" t="s">
        <v>45</v>
      </c>
      <c r="C562" s="3" t="s">
        <v>1042</v>
      </c>
      <c r="D562" s="3" t="s">
        <v>166</v>
      </c>
      <c r="E562" s="3"/>
      <c r="F562" s="3"/>
      <c r="G562" s="3"/>
      <c r="H562" s="3"/>
    </row>
    <row r="563" spans="1:8" x14ac:dyDescent="0.35">
      <c r="A563" s="3" t="s">
        <v>1010</v>
      </c>
      <c r="B563" s="3" t="s">
        <v>45</v>
      </c>
      <c r="C563" s="3" t="s">
        <v>1042</v>
      </c>
      <c r="D563" s="3" t="s">
        <v>217</v>
      </c>
      <c r="E563" s="3"/>
      <c r="F563" s="3"/>
      <c r="G563" s="3"/>
      <c r="H563" s="3"/>
    </row>
    <row r="564" spans="1:8" x14ac:dyDescent="0.35">
      <c r="A564" s="3" t="s">
        <v>1010</v>
      </c>
      <c r="B564" s="3" t="s">
        <v>45</v>
      </c>
      <c r="C564" s="3" t="s">
        <v>1042</v>
      </c>
      <c r="D564" s="3" t="s">
        <v>60</v>
      </c>
      <c r="E564" s="3"/>
      <c r="F564" s="3"/>
      <c r="G564" s="3"/>
      <c r="H564" s="3"/>
    </row>
    <row r="565" spans="1:8" x14ac:dyDescent="0.35">
      <c r="A565" s="3" t="s">
        <v>1010</v>
      </c>
      <c r="B565" s="3" t="s">
        <v>45</v>
      </c>
      <c r="C565" s="3" t="s">
        <v>1042</v>
      </c>
      <c r="D565" s="3" t="s">
        <v>220</v>
      </c>
      <c r="E565" s="3"/>
      <c r="F565" s="3"/>
      <c r="G565" s="3"/>
      <c r="H565" s="3"/>
    </row>
    <row r="566" spans="1:8" x14ac:dyDescent="0.35">
      <c r="A566" s="3" t="s">
        <v>1010</v>
      </c>
      <c r="B566" s="3" t="s">
        <v>45</v>
      </c>
      <c r="C566" s="3" t="s">
        <v>1042</v>
      </c>
      <c r="D566" s="3" t="s">
        <v>225</v>
      </c>
      <c r="E566" s="3"/>
      <c r="F566" s="3"/>
      <c r="G566" s="3"/>
      <c r="H566" s="3"/>
    </row>
    <row r="567" spans="1:8" x14ac:dyDescent="0.35">
      <c r="A567" s="3" t="s">
        <v>1010</v>
      </c>
      <c r="B567" s="3" t="s">
        <v>45</v>
      </c>
      <c r="C567" s="3" t="s">
        <v>1042</v>
      </c>
      <c r="D567" s="3" t="s">
        <v>221</v>
      </c>
      <c r="E567" s="3"/>
      <c r="F567" s="3"/>
      <c r="G567" s="3"/>
      <c r="H567" s="3"/>
    </row>
    <row r="568" spans="1:8" x14ac:dyDescent="0.35">
      <c r="A568" s="3" t="s">
        <v>1010</v>
      </c>
      <c r="B568" s="3" t="s">
        <v>45</v>
      </c>
      <c r="C568" s="3" t="s">
        <v>1042</v>
      </c>
      <c r="D568" s="3" t="s">
        <v>222</v>
      </c>
      <c r="E568" s="3"/>
      <c r="F568" s="3"/>
      <c r="G568" s="3"/>
      <c r="H568" s="3"/>
    </row>
    <row r="569" spans="1:8" x14ac:dyDescent="0.35">
      <c r="A569" s="3" t="s">
        <v>1010</v>
      </c>
      <c r="B569" s="3" t="s">
        <v>45</v>
      </c>
      <c r="C569" s="3" t="s">
        <v>1042</v>
      </c>
      <c r="D569" s="3" t="s">
        <v>223</v>
      </c>
      <c r="E569" s="3"/>
      <c r="F569" s="3"/>
      <c r="G569" s="3"/>
      <c r="H569" s="3"/>
    </row>
    <row r="570" spans="1:8" x14ac:dyDescent="0.35">
      <c r="A570" s="3" t="s">
        <v>1010</v>
      </c>
      <c r="B570" s="3" t="s">
        <v>45</v>
      </c>
      <c r="C570" s="3" t="s">
        <v>1042</v>
      </c>
      <c r="D570" s="3" t="s">
        <v>226</v>
      </c>
      <c r="E570" s="3"/>
      <c r="F570" s="3"/>
      <c r="G570" s="3"/>
      <c r="H570" s="3"/>
    </row>
    <row r="571" spans="1:8" x14ac:dyDescent="0.35">
      <c r="A571" s="3" t="s">
        <v>1010</v>
      </c>
      <c r="B571" s="3" t="s">
        <v>45</v>
      </c>
      <c r="C571" s="3" t="s">
        <v>1042</v>
      </c>
      <c r="D571" s="3" t="s">
        <v>227</v>
      </c>
      <c r="E571" s="3"/>
      <c r="F571" s="3"/>
      <c r="G571" s="3"/>
      <c r="H571" s="3"/>
    </row>
    <row r="572" spans="1:8" x14ac:dyDescent="0.35">
      <c r="A572" s="3" t="s">
        <v>1010</v>
      </c>
      <c r="B572" s="3" t="s">
        <v>45</v>
      </c>
      <c r="C572" s="3" t="s">
        <v>1042</v>
      </c>
      <c r="D572" s="3" t="s">
        <v>228</v>
      </c>
      <c r="E572" s="3"/>
      <c r="F572" s="3"/>
      <c r="G572" s="3"/>
      <c r="H572" s="3"/>
    </row>
    <row r="573" spans="1:8" x14ac:dyDescent="0.35">
      <c r="A573" s="3" t="s">
        <v>1010</v>
      </c>
      <c r="B573" s="3" t="s">
        <v>45</v>
      </c>
      <c r="C573" s="3" t="s">
        <v>1042</v>
      </c>
      <c r="D573" s="3" t="s">
        <v>56</v>
      </c>
      <c r="E573" s="3"/>
      <c r="F573" s="3" t="s">
        <v>2346</v>
      </c>
      <c r="G573" s="3"/>
      <c r="H573" s="3"/>
    </row>
    <row r="574" spans="1:8" x14ac:dyDescent="0.35">
      <c r="A574" s="3" t="s">
        <v>1010</v>
      </c>
      <c r="B574" s="3" t="s">
        <v>45</v>
      </c>
      <c r="C574" s="3" t="s">
        <v>1042</v>
      </c>
      <c r="D574" s="3" t="s">
        <v>229</v>
      </c>
      <c r="E574" s="3"/>
      <c r="F574" s="3"/>
      <c r="G574" s="3"/>
      <c r="H574" s="3"/>
    </row>
    <row r="575" spans="1:8" x14ac:dyDescent="0.35">
      <c r="A575" s="3" t="s">
        <v>1010</v>
      </c>
      <c r="B575" s="3" t="s">
        <v>45</v>
      </c>
      <c r="C575" s="3" t="s">
        <v>1042</v>
      </c>
      <c r="D575" s="3" t="s">
        <v>230</v>
      </c>
      <c r="E575" s="3"/>
      <c r="F575" s="3"/>
      <c r="G575" s="3"/>
      <c r="H575" s="3"/>
    </row>
    <row r="576" spans="1:8" x14ac:dyDescent="0.35">
      <c r="A576" s="3" t="s">
        <v>1010</v>
      </c>
      <c r="B576" s="3" t="s">
        <v>45</v>
      </c>
      <c r="C576" s="3" t="s">
        <v>1042</v>
      </c>
      <c r="D576" s="3" t="s">
        <v>219</v>
      </c>
      <c r="E576" s="3"/>
      <c r="F576" s="3"/>
      <c r="G576" s="3"/>
      <c r="H576" s="3"/>
    </row>
    <row r="577" spans="1:8" x14ac:dyDescent="0.35">
      <c r="A577" s="3" t="s">
        <v>1010</v>
      </c>
      <c r="B577" s="3" t="s">
        <v>45</v>
      </c>
      <c r="C577" s="3" t="s">
        <v>1042</v>
      </c>
      <c r="D577" s="3" t="s">
        <v>372</v>
      </c>
      <c r="E577" s="3"/>
      <c r="F577" s="3"/>
      <c r="G577" s="3"/>
      <c r="H577" s="3"/>
    </row>
    <row r="578" spans="1:8" x14ac:dyDescent="0.35">
      <c r="A578" s="3" t="s">
        <v>1010</v>
      </c>
      <c r="B578" s="3" t="s">
        <v>45</v>
      </c>
      <c r="C578" s="3" t="s">
        <v>1042</v>
      </c>
      <c r="D578" s="3" t="s">
        <v>218</v>
      </c>
      <c r="E578" s="3"/>
      <c r="F578" s="3"/>
      <c r="G578" s="3"/>
      <c r="H578" s="3"/>
    </row>
    <row r="579" spans="1:8" x14ac:dyDescent="0.35">
      <c r="A579" s="3" t="s">
        <v>1010</v>
      </c>
      <c r="B579" s="3" t="s">
        <v>45</v>
      </c>
      <c r="C579" s="3" t="s">
        <v>1042</v>
      </c>
      <c r="D579" s="3" t="s">
        <v>224</v>
      </c>
      <c r="E579" s="3"/>
      <c r="F579" s="3"/>
      <c r="G579" s="3"/>
      <c r="H579" s="3"/>
    </row>
    <row r="580" spans="1:8" x14ac:dyDescent="0.35">
      <c r="A580" s="3" t="s">
        <v>1010</v>
      </c>
      <c r="B580" s="3" t="s">
        <v>45</v>
      </c>
      <c r="C580" s="3" t="s">
        <v>1043</v>
      </c>
      <c r="D580" s="3" t="s">
        <v>217</v>
      </c>
      <c r="E580" s="3"/>
      <c r="F580" s="3" t="s">
        <v>2286</v>
      </c>
      <c r="G580" s="3"/>
      <c r="H580" s="3"/>
    </row>
    <row r="581" spans="1:8" x14ac:dyDescent="0.35">
      <c r="A581" s="3" t="s">
        <v>1010</v>
      </c>
      <c r="B581" s="3" t="s">
        <v>45</v>
      </c>
      <c r="C581" s="3" t="s">
        <v>1043</v>
      </c>
      <c r="D581" s="3" t="s">
        <v>224</v>
      </c>
      <c r="E581" s="3"/>
      <c r="F581" s="3"/>
      <c r="G581" s="3"/>
      <c r="H581" s="3"/>
    </row>
    <row r="582" spans="1:8" x14ac:dyDescent="0.35">
      <c r="A582" s="3" t="s">
        <v>1010</v>
      </c>
      <c r="B582" s="3" t="s">
        <v>20</v>
      </c>
      <c r="C582" s="3" t="s">
        <v>2896</v>
      </c>
      <c r="D582" s="3" t="s">
        <v>15</v>
      </c>
      <c r="E582" s="3" t="s">
        <v>16</v>
      </c>
      <c r="F582" s="3" t="s">
        <v>2897</v>
      </c>
      <c r="G582" s="3"/>
      <c r="H582" s="3"/>
    </row>
    <row r="583" spans="1:8" x14ac:dyDescent="0.35">
      <c r="A583" s="3" t="s">
        <v>1010</v>
      </c>
      <c r="B583" s="3" t="s">
        <v>20</v>
      </c>
      <c r="C583" s="3" t="s">
        <v>2896</v>
      </c>
      <c r="D583" s="3" t="s">
        <v>56</v>
      </c>
      <c r="E583" s="3" t="s">
        <v>16</v>
      </c>
      <c r="F583" s="3" t="s">
        <v>2898</v>
      </c>
      <c r="G583" s="3"/>
      <c r="H583" s="3"/>
    </row>
    <row r="584" spans="1:8" x14ac:dyDescent="0.35">
      <c r="A584" s="3" t="s">
        <v>1010</v>
      </c>
      <c r="B584" s="3" t="s">
        <v>20</v>
      </c>
      <c r="C584" s="3" t="s">
        <v>2896</v>
      </c>
      <c r="D584" s="3" t="s">
        <v>191</v>
      </c>
      <c r="E584" s="3" t="s">
        <v>16</v>
      </c>
      <c r="F584" s="3" t="s">
        <v>2899</v>
      </c>
      <c r="G584" s="3"/>
      <c r="H584" s="3"/>
    </row>
    <row r="585" spans="1:8" x14ac:dyDescent="0.35">
      <c r="A585" s="3" t="s">
        <v>1010</v>
      </c>
      <c r="B585" s="3" t="s">
        <v>45</v>
      </c>
      <c r="C585" s="3" t="s">
        <v>1044</v>
      </c>
      <c r="D585" s="3" t="s">
        <v>217</v>
      </c>
      <c r="E585" s="3"/>
      <c r="F585" s="3"/>
      <c r="G585" s="3"/>
      <c r="H585" s="3"/>
    </row>
    <row r="586" spans="1:8" x14ac:dyDescent="0.35">
      <c r="A586" s="3" t="s">
        <v>1010</v>
      </c>
      <c r="B586" s="3" t="s">
        <v>45</v>
      </c>
      <c r="C586" s="3" t="s">
        <v>1044</v>
      </c>
      <c r="D586" s="3" t="s">
        <v>56</v>
      </c>
      <c r="E586" s="3"/>
      <c r="F586" s="3" t="s">
        <v>2347</v>
      </c>
      <c r="G586" s="3"/>
      <c r="H586" s="3"/>
    </row>
    <row r="587" spans="1:8" x14ac:dyDescent="0.35">
      <c r="A587" s="3" t="s">
        <v>1010</v>
      </c>
      <c r="B587" s="3" t="s">
        <v>45</v>
      </c>
      <c r="C587" s="3" t="s">
        <v>1044</v>
      </c>
      <c r="D587" s="3" t="s">
        <v>224</v>
      </c>
      <c r="E587" s="3"/>
      <c r="F587" s="3"/>
      <c r="G587" s="3"/>
      <c r="H587" s="3"/>
    </row>
    <row r="588" spans="1:8" x14ac:dyDescent="0.35">
      <c r="A588" s="3" t="s">
        <v>1010</v>
      </c>
      <c r="B588" s="3" t="s">
        <v>20</v>
      </c>
      <c r="C588" s="3" t="s">
        <v>1045</v>
      </c>
      <c r="D588" s="3" t="s">
        <v>1018</v>
      </c>
      <c r="E588" s="3"/>
      <c r="F588" s="3"/>
      <c r="G588" s="3"/>
      <c r="H588" s="3"/>
    </row>
    <row r="589" spans="1:8" x14ac:dyDescent="0.35">
      <c r="A589" s="3" t="s">
        <v>1010</v>
      </c>
      <c r="B589" s="3" t="s">
        <v>20</v>
      </c>
      <c r="C589" s="3" t="s">
        <v>1045</v>
      </c>
      <c r="D589" s="3" t="s">
        <v>27</v>
      </c>
      <c r="E589" s="3"/>
      <c r="F589" s="3"/>
      <c r="G589" s="3"/>
      <c r="H589" s="3"/>
    </row>
    <row r="590" spans="1:8" x14ac:dyDescent="0.35">
      <c r="A590" s="3" t="s">
        <v>1010</v>
      </c>
      <c r="B590" s="3" t="s">
        <v>20</v>
      </c>
      <c r="C590" s="3" t="s">
        <v>1045</v>
      </c>
      <c r="D590" s="3" t="s">
        <v>77</v>
      </c>
      <c r="E590" s="3"/>
      <c r="F590" s="3"/>
      <c r="G590" s="3"/>
      <c r="H590" s="3"/>
    </row>
    <row r="591" spans="1:8" x14ac:dyDescent="0.35">
      <c r="A591" s="3" t="s">
        <v>1010</v>
      </c>
      <c r="B591" s="3" t="s">
        <v>20</v>
      </c>
      <c r="C591" s="3" t="s">
        <v>1045</v>
      </c>
      <c r="D591" s="3" t="s">
        <v>152</v>
      </c>
      <c r="E591" s="3"/>
      <c r="F591" s="3"/>
      <c r="G591" s="3"/>
      <c r="H591" s="3"/>
    </row>
    <row r="592" spans="1:8" x14ac:dyDescent="0.35">
      <c r="A592" s="3" t="s">
        <v>1010</v>
      </c>
      <c r="B592" s="3" t="s">
        <v>20</v>
      </c>
      <c r="C592" s="3" t="s">
        <v>1045</v>
      </c>
      <c r="D592" s="3" t="s">
        <v>968</v>
      </c>
      <c r="E592" s="3"/>
      <c r="F592" s="3"/>
      <c r="G592" s="3"/>
      <c r="H592" s="3"/>
    </row>
    <row r="593" spans="1:8" x14ac:dyDescent="0.35">
      <c r="A593" s="3" t="s">
        <v>1010</v>
      </c>
      <c r="B593" s="3" t="s">
        <v>20</v>
      </c>
      <c r="C593" s="3" t="s">
        <v>2797</v>
      </c>
      <c r="D593" s="3" t="s">
        <v>77</v>
      </c>
      <c r="E593" s="3"/>
      <c r="F593" s="3"/>
      <c r="G593" s="3"/>
      <c r="H593" s="3"/>
    </row>
    <row r="594" spans="1:8" x14ac:dyDescent="0.35">
      <c r="A594" s="3" t="s">
        <v>1010</v>
      </c>
      <c r="B594" s="3" t="s">
        <v>20</v>
      </c>
      <c r="C594" s="3" t="s">
        <v>2797</v>
      </c>
      <c r="D594" s="3" t="s">
        <v>152</v>
      </c>
      <c r="E594" s="3"/>
      <c r="F594" s="3"/>
      <c r="G594" s="3"/>
      <c r="H594" s="3"/>
    </row>
    <row r="595" spans="1:8" x14ac:dyDescent="0.35">
      <c r="A595" s="3" t="s">
        <v>1010</v>
      </c>
      <c r="B595" s="3" t="s">
        <v>20</v>
      </c>
      <c r="C595" s="3" t="s">
        <v>2797</v>
      </c>
      <c r="D595" s="3" t="s">
        <v>191</v>
      </c>
      <c r="E595" s="3"/>
      <c r="F595" s="3"/>
      <c r="G595" s="3"/>
      <c r="H595" s="3"/>
    </row>
    <row r="596" spans="1:8" x14ac:dyDescent="0.35">
      <c r="A596" s="3" t="s">
        <v>1010</v>
      </c>
      <c r="B596" s="3" t="s">
        <v>20</v>
      </c>
      <c r="C596" s="3" t="s">
        <v>2798</v>
      </c>
      <c r="D596" s="3" t="s">
        <v>56</v>
      </c>
      <c r="E596" s="3"/>
      <c r="F596" s="3" t="s">
        <v>2799</v>
      </c>
      <c r="G596" s="3"/>
      <c r="H596" s="3"/>
    </row>
    <row r="597" spans="1:8" x14ac:dyDescent="0.35">
      <c r="A597" s="3" t="s">
        <v>1010</v>
      </c>
      <c r="B597" s="3" t="s">
        <v>20</v>
      </c>
      <c r="C597" s="3" t="s">
        <v>2798</v>
      </c>
      <c r="D597" s="3" t="s">
        <v>37</v>
      </c>
      <c r="E597" s="3"/>
      <c r="F597" s="3" t="s">
        <v>2800</v>
      </c>
      <c r="G597" s="3"/>
      <c r="H597" s="3"/>
    </row>
    <row r="598" spans="1:8" x14ac:dyDescent="0.35">
      <c r="A598" s="3" t="s">
        <v>1010</v>
      </c>
      <c r="B598" s="3" t="s">
        <v>591</v>
      </c>
      <c r="C598" s="3" t="s">
        <v>1046</v>
      </c>
      <c r="D598" s="3" t="s">
        <v>26</v>
      </c>
      <c r="E598" s="3" t="s">
        <v>16</v>
      </c>
      <c r="F598" s="3" t="s">
        <v>2871</v>
      </c>
      <c r="G598" s="3"/>
      <c r="H598" s="3"/>
    </row>
    <row r="599" spans="1:8" x14ac:dyDescent="0.35">
      <c r="A599" s="3" t="s">
        <v>1010</v>
      </c>
      <c r="B599" s="3" t="s">
        <v>45</v>
      </c>
      <c r="C599" s="3" t="s">
        <v>1047</v>
      </c>
      <c r="D599" s="3" t="s">
        <v>166</v>
      </c>
      <c r="E599" s="3"/>
      <c r="F599" s="3"/>
      <c r="G599" s="3"/>
      <c r="H599" s="3"/>
    </row>
    <row r="600" spans="1:8" x14ac:dyDescent="0.35">
      <c r="A600" s="3" t="s">
        <v>1010</v>
      </c>
      <c r="B600" s="3" t="s">
        <v>45</v>
      </c>
      <c r="C600" s="3" t="s">
        <v>1047</v>
      </c>
      <c r="D600" s="3" t="s">
        <v>217</v>
      </c>
      <c r="E600" s="3"/>
      <c r="F600" s="3"/>
      <c r="G600" s="3"/>
      <c r="H600" s="3"/>
    </row>
    <row r="601" spans="1:8" x14ac:dyDescent="0.35">
      <c r="A601" s="3" t="s">
        <v>1010</v>
      </c>
      <c r="B601" s="3" t="s">
        <v>45</v>
      </c>
      <c r="C601" s="3" t="s">
        <v>1047</v>
      </c>
      <c r="D601" s="3" t="s">
        <v>220</v>
      </c>
      <c r="E601" s="3"/>
      <c r="F601" s="3"/>
      <c r="G601" s="3"/>
      <c r="H601" s="3"/>
    </row>
    <row r="602" spans="1:8" x14ac:dyDescent="0.35">
      <c r="A602" s="3" t="s">
        <v>1010</v>
      </c>
      <c r="B602" s="3" t="s">
        <v>45</v>
      </c>
      <c r="C602" s="3" t="s">
        <v>1047</v>
      </c>
      <c r="D602" s="3" t="s">
        <v>225</v>
      </c>
      <c r="E602" s="3"/>
      <c r="F602" s="3"/>
      <c r="G602" s="3"/>
      <c r="H602" s="3"/>
    </row>
    <row r="603" spans="1:8" x14ac:dyDescent="0.35">
      <c r="A603" s="3" t="s">
        <v>1010</v>
      </c>
      <c r="B603" s="3" t="s">
        <v>45</v>
      </c>
      <c r="C603" s="3" t="s">
        <v>1047</v>
      </c>
      <c r="D603" s="3" t="s">
        <v>221</v>
      </c>
      <c r="E603" s="3"/>
      <c r="F603" s="3"/>
      <c r="G603" s="3"/>
      <c r="H603" s="3"/>
    </row>
    <row r="604" spans="1:8" x14ac:dyDescent="0.35">
      <c r="A604" s="3" t="s">
        <v>1010</v>
      </c>
      <c r="B604" s="3" t="s">
        <v>45</v>
      </c>
      <c r="C604" s="3" t="s">
        <v>1047</v>
      </c>
      <c r="D604" s="3" t="s">
        <v>222</v>
      </c>
      <c r="E604" s="3"/>
      <c r="F604" s="3"/>
      <c r="G604" s="3"/>
      <c r="H604" s="3"/>
    </row>
    <row r="605" spans="1:8" x14ac:dyDescent="0.35">
      <c r="A605" s="3" t="s">
        <v>1010</v>
      </c>
      <c r="B605" s="3" t="s">
        <v>45</v>
      </c>
      <c r="C605" s="3" t="s">
        <v>1047</v>
      </c>
      <c r="D605" s="3" t="s">
        <v>223</v>
      </c>
      <c r="E605" s="3"/>
      <c r="F605" s="3"/>
      <c r="G605" s="3"/>
      <c r="H605" s="3"/>
    </row>
    <row r="606" spans="1:8" x14ac:dyDescent="0.35">
      <c r="A606" s="3" t="s">
        <v>1010</v>
      </c>
      <c r="B606" s="3" t="s">
        <v>45</v>
      </c>
      <c r="C606" s="3" t="s">
        <v>1047</v>
      </c>
      <c r="D606" s="3" t="s">
        <v>226</v>
      </c>
      <c r="E606" s="3"/>
      <c r="F606" s="3"/>
      <c r="G606" s="3"/>
      <c r="H606" s="3"/>
    </row>
    <row r="607" spans="1:8" x14ac:dyDescent="0.35">
      <c r="A607" s="3" t="s">
        <v>1010</v>
      </c>
      <c r="B607" s="3" t="s">
        <v>45</v>
      </c>
      <c r="C607" s="3" t="s">
        <v>1047</v>
      </c>
      <c r="D607" s="3" t="s">
        <v>227</v>
      </c>
      <c r="E607" s="3"/>
      <c r="F607" s="3"/>
      <c r="G607" s="3"/>
      <c r="H607" s="3"/>
    </row>
    <row r="608" spans="1:8" x14ac:dyDescent="0.35">
      <c r="A608" s="3" t="s">
        <v>1010</v>
      </c>
      <c r="B608" s="3" t="s">
        <v>45</v>
      </c>
      <c r="C608" s="3" t="s">
        <v>1047</v>
      </c>
      <c r="D608" s="3" t="s">
        <v>228</v>
      </c>
      <c r="E608" s="3"/>
      <c r="F608" s="3"/>
      <c r="G608" s="3"/>
      <c r="H608" s="3"/>
    </row>
    <row r="609" spans="1:8" x14ac:dyDescent="0.35">
      <c r="A609" s="3" t="s">
        <v>1010</v>
      </c>
      <c r="B609" s="3" t="s">
        <v>45</v>
      </c>
      <c r="C609" s="3" t="s">
        <v>1047</v>
      </c>
      <c r="D609" s="3" t="s">
        <v>56</v>
      </c>
      <c r="E609" s="3"/>
      <c r="F609" s="3" t="s">
        <v>2341</v>
      </c>
      <c r="G609" s="3"/>
      <c r="H609" s="3"/>
    </row>
    <row r="610" spans="1:8" x14ac:dyDescent="0.35">
      <c r="A610" s="3" t="s">
        <v>1010</v>
      </c>
      <c r="B610" s="3" t="s">
        <v>45</v>
      </c>
      <c r="C610" s="3" t="s">
        <v>1047</v>
      </c>
      <c r="D610" s="3" t="s">
        <v>229</v>
      </c>
      <c r="E610" s="3"/>
      <c r="F610" s="3"/>
      <c r="G610" s="3"/>
      <c r="H610" s="3"/>
    </row>
    <row r="611" spans="1:8" x14ac:dyDescent="0.35">
      <c r="A611" s="3" t="s">
        <v>1010</v>
      </c>
      <c r="B611" s="3" t="s">
        <v>45</v>
      </c>
      <c r="C611" s="3" t="s">
        <v>1047</v>
      </c>
      <c r="D611" s="3" t="s">
        <v>230</v>
      </c>
      <c r="E611" s="3"/>
      <c r="F611" s="3"/>
      <c r="G611" s="3"/>
      <c r="H611" s="3"/>
    </row>
    <row r="612" spans="1:8" x14ac:dyDescent="0.35">
      <c r="A612" s="3" t="s">
        <v>1010</v>
      </c>
      <c r="B612" s="3" t="s">
        <v>45</v>
      </c>
      <c r="C612" s="3" t="s">
        <v>1047</v>
      </c>
      <c r="D612" s="3" t="s">
        <v>219</v>
      </c>
      <c r="E612" s="3"/>
      <c r="F612" s="3"/>
      <c r="G612" s="3"/>
      <c r="H612" s="3"/>
    </row>
    <row r="613" spans="1:8" x14ac:dyDescent="0.35">
      <c r="A613" s="3" t="s">
        <v>1010</v>
      </c>
      <c r="B613" s="3" t="s">
        <v>45</v>
      </c>
      <c r="C613" s="3" t="s">
        <v>1047</v>
      </c>
      <c r="D613" s="3" t="s">
        <v>372</v>
      </c>
      <c r="E613" s="3"/>
      <c r="F613" s="3"/>
      <c r="G613" s="3"/>
      <c r="H613" s="3"/>
    </row>
    <row r="614" spans="1:8" x14ac:dyDescent="0.35">
      <c r="A614" s="3" t="s">
        <v>1010</v>
      </c>
      <c r="B614" s="3" t="s">
        <v>45</v>
      </c>
      <c r="C614" s="3" t="s">
        <v>1047</v>
      </c>
      <c r="D614" s="3" t="s">
        <v>218</v>
      </c>
      <c r="E614" s="3"/>
      <c r="F614" s="3"/>
      <c r="G614" s="3"/>
      <c r="H614" s="3"/>
    </row>
    <row r="615" spans="1:8" x14ac:dyDescent="0.35">
      <c r="A615" s="3" t="s">
        <v>1010</v>
      </c>
      <c r="B615" s="3" t="s">
        <v>45</v>
      </c>
      <c r="C615" s="3" t="s">
        <v>1047</v>
      </c>
      <c r="D615" s="3" t="s">
        <v>224</v>
      </c>
      <c r="E615" s="3"/>
      <c r="F615" s="3"/>
      <c r="G615" s="3"/>
      <c r="H615" s="3"/>
    </row>
    <row r="616" spans="1:8" x14ac:dyDescent="0.35">
      <c r="A616" s="3" t="s">
        <v>1010</v>
      </c>
      <c r="B616" s="3" t="s">
        <v>20</v>
      </c>
      <c r="C616" s="3" t="s">
        <v>1048</v>
      </c>
      <c r="D616" s="3" t="s">
        <v>47</v>
      </c>
      <c r="E616" s="3"/>
      <c r="F616" s="3"/>
      <c r="G616" s="3"/>
      <c r="H616" s="3"/>
    </row>
    <row r="617" spans="1:8" x14ac:dyDescent="0.35">
      <c r="A617" s="3" t="s">
        <v>1010</v>
      </c>
      <c r="B617" s="3" t="s">
        <v>20</v>
      </c>
      <c r="C617" s="3" t="s">
        <v>1048</v>
      </c>
      <c r="D617" s="3" t="s">
        <v>60</v>
      </c>
      <c r="E617" s="3"/>
      <c r="F617" s="3" t="s">
        <v>2355</v>
      </c>
      <c r="G617" s="3"/>
      <c r="H617" s="3"/>
    </row>
    <row r="618" spans="1:8" x14ac:dyDescent="0.35">
      <c r="A618" s="3" t="s">
        <v>1010</v>
      </c>
      <c r="B618" s="3" t="s">
        <v>20</v>
      </c>
      <c r="C618" s="3" t="s">
        <v>1048</v>
      </c>
      <c r="D618" s="3" t="s">
        <v>77</v>
      </c>
      <c r="E618" s="3"/>
      <c r="F618" s="3"/>
      <c r="G618" s="3"/>
      <c r="H618" s="3"/>
    </row>
    <row r="619" spans="1:8" x14ac:dyDescent="0.35">
      <c r="A619" s="3" t="s">
        <v>1010</v>
      </c>
      <c r="B619" s="3" t="s">
        <v>20</v>
      </c>
      <c r="C619" s="3" t="s">
        <v>1048</v>
      </c>
      <c r="D619" s="3" t="s">
        <v>28</v>
      </c>
      <c r="E619" s="3"/>
      <c r="F619" s="3"/>
      <c r="G619" s="3"/>
      <c r="H619" s="3"/>
    </row>
    <row r="620" spans="1:8" x14ac:dyDescent="0.35">
      <c r="A620" s="3" t="s">
        <v>1010</v>
      </c>
      <c r="B620" s="3" t="s">
        <v>20</v>
      </c>
      <c r="C620" s="3" t="s">
        <v>1048</v>
      </c>
      <c r="D620" s="3" t="s">
        <v>242</v>
      </c>
      <c r="E620" s="3"/>
      <c r="F620" s="3"/>
      <c r="G620" s="3"/>
      <c r="H620" s="3"/>
    </row>
    <row r="621" spans="1:8" x14ac:dyDescent="0.35">
      <c r="A621" s="3" t="s">
        <v>1010</v>
      </c>
      <c r="B621" s="3" t="s">
        <v>20</v>
      </c>
      <c r="C621" s="3" t="s">
        <v>1048</v>
      </c>
      <c r="D621" s="3" t="s">
        <v>15</v>
      </c>
      <c r="E621" s="3" t="s">
        <v>16</v>
      </c>
      <c r="F621" s="3" t="s">
        <v>990</v>
      </c>
      <c r="G621" s="3"/>
      <c r="H621" s="3"/>
    </row>
    <row r="622" spans="1:8" x14ac:dyDescent="0.35">
      <c r="A622" s="3" t="s">
        <v>1010</v>
      </c>
      <c r="B622" s="3" t="s">
        <v>20</v>
      </c>
      <c r="C622" s="3" t="s">
        <v>1048</v>
      </c>
      <c r="D622" s="3" t="s">
        <v>56</v>
      </c>
      <c r="E622" s="3" t="s">
        <v>16</v>
      </c>
      <c r="F622" s="3" t="s">
        <v>1050</v>
      </c>
      <c r="G622" s="3"/>
      <c r="H622" s="3"/>
    </row>
    <row r="623" spans="1:8" x14ac:dyDescent="0.35">
      <c r="A623" s="3" t="s">
        <v>1010</v>
      </c>
      <c r="B623" s="3" t="s">
        <v>20</v>
      </c>
      <c r="C623" s="3" t="s">
        <v>1048</v>
      </c>
      <c r="D623" s="3" t="s">
        <v>37</v>
      </c>
      <c r="E623" s="3"/>
      <c r="F623" s="3"/>
      <c r="G623" s="3"/>
      <c r="H623" s="3"/>
    </row>
    <row r="624" spans="1:8" x14ac:dyDescent="0.35">
      <c r="A624" s="3" t="s">
        <v>1010</v>
      </c>
      <c r="B624" s="3" t="s">
        <v>20</v>
      </c>
      <c r="C624" s="3" t="s">
        <v>1048</v>
      </c>
      <c r="D624" s="3" t="s">
        <v>89</v>
      </c>
      <c r="E624" s="3"/>
      <c r="F624" s="3"/>
      <c r="G624" s="3"/>
      <c r="H624" s="3"/>
    </row>
    <row r="625" spans="1:8" x14ac:dyDescent="0.35">
      <c r="A625" s="3" t="s">
        <v>1010</v>
      </c>
      <c r="B625" s="3" t="s">
        <v>20</v>
      </c>
      <c r="C625" s="3" t="s">
        <v>1048</v>
      </c>
      <c r="D625" s="3" t="s">
        <v>152</v>
      </c>
      <c r="E625" s="3"/>
      <c r="F625" s="3"/>
      <c r="G625" s="3"/>
      <c r="H625" s="3"/>
    </row>
    <row r="626" spans="1:8" x14ac:dyDescent="0.35">
      <c r="A626" s="3" t="s">
        <v>1010</v>
      </c>
      <c r="B626" s="3" t="s">
        <v>20</v>
      </c>
      <c r="C626" s="3" t="s">
        <v>1048</v>
      </c>
      <c r="D626" s="3" t="s">
        <v>191</v>
      </c>
      <c r="E626" s="3"/>
      <c r="F626" s="3" t="s">
        <v>2354</v>
      </c>
      <c r="G626" s="3"/>
      <c r="H626" s="3"/>
    </row>
    <row r="627" spans="1:8" x14ac:dyDescent="0.35">
      <c r="A627" s="3" t="s">
        <v>1010</v>
      </c>
      <c r="B627" s="3" t="s">
        <v>20</v>
      </c>
      <c r="C627" s="3" t="s">
        <v>1048</v>
      </c>
      <c r="D627" s="3" t="s">
        <v>107</v>
      </c>
      <c r="E627" s="3" t="s">
        <v>16</v>
      </c>
      <c r="F627" s="3" t="s">
        <v>2900</v>
      </c>
      <c r="G627" s="3"/>
      <c r="H627" s="3"/>
    </row>
    <row r="628" spans="1:8" x14ac:dyDescent="0.35">
      <c r="A628" s="3" t="s">
        <v>1010</v>
      </c>
      <c r="B628" s="3" t="s">
        <v>20</v>
      </c>
      <c r="C628" s="3" t="s">
        <v>1048</v>
      </c>
      <c r="D628" s="3" t="s">
        <v>1049</v>
      </c>
      <c r="E628" s="3"/>
      <c r="F628" s="3"/>
      <c r="G628" s="3"/>
      <c r="H628" s="3"/>
    </row>
    <row r="629" spans="1:8" x14ac:dyDescent="0.35">
      <c r="A629" s="3" t="s">
        <v>1010</v>
      </c>
      <c r="B629" s="3" t="s">
        <v>20</v>
      </c>
      <c r="C629" s="3" t="s">
        <v>1048</v>
      </c>
      <c r="D629" s="3" t="s">
        <v>968</v>
      </c>
      <c r="E629" s="3"/>
      <c r="F629" s="3"/>
      <c r="G629" s="3"/>
      <c r="H629" s="3"/>
    </row>
    <row r="630" spans="1:8" x14ac:dyDescent="0.35">
      <c r="A630" s="3" t="s">
        <v>1010</v>
      </c>
      <c r="B630" s="3" t="s">
        <v>20</v>
      </c>
      <c r="C630" s="3" t="s">
        <v>2689</v>
      </c>
      <c r="D630" s="3" t="s">
        <v>56</v>
      </c>
      <c r="E630" s="3" t="s">
        <v>16</v>
      </c>
      <c r="F630" s="3" t="s">
        <v>2690</v>
      </c>
      <c r="G630" s="3"/>
      <c r="H630" s="3"/>
    </row>
    <row r="631" spans="1:8" x14ac:dyDescent="0.35">
      <c r="A631" s="3" t="s">
        <v>1010</v>
      </c>
      <c r="B631" s="3" t="s">
        <v>591</v>
      </c>
      <c r="C631" s="3" t="s">
        <v>2864</v>
      </c>
      <c r="D631" s="3" t="s">
        <v>26</v>
      </c>
      <c r="E631" s="3" t="s">
        <v>16</v>
      </c>
      <c r="F631" s="3" t="s">
        <v>2871</v>
      </c>
      <c r="G631" s="3"/>
      <c r="H631" s="3"/>
    </row>
    <row r="632" spans="1:8" x14ac:dyDescent="0.35">
      <c r="A632" s="3" t="s">
        <v>1010</v>
      </c>
      <c r="B632" s="3" t="s">
        <v>20</v>
      </c>
      <c r="C632" s="3" t="s">
        <v>1051</v>
      </c>
      <c r="D632" s="3" t="s">
        <v>71</v>
      </c>
      <c r="E632" s="3" t="s">
        <v>16</v>
      </c>
      <c r="F632" s="3" t="s">
        <v>2968</v>
      </c>
      <c r="G632" s="3"/>
      <c r="H632" s="3"/>
    </row>
    <row r="633" spans="1:8" x14ac:dyDescent="0.35">
      <c r="A633" s="3" t="s">
        <v>1010</v>
      </c>
      <c r="B633" s="3" t="s">
        <v>20</v>
      </c>
      <c r="C633" s="3" t="s">
        <v>1051</v>
      </c>
      <c r="D633" s="3" t="s">
        <v>77</v>
      </c>
      <c r="E633" s="3"/>
      <c r="F633" s="3"/>
      <c r="G633" s="3"/>
      <c r="H633" s="3"/>
    </row>
    <row r="634" spans="1:8" x14ac:dyDescent="0.35">
      <c r="A634" s="3" t="s">
        <v>1010</v>
      </c>
      <c r="B634" s="3" t="s">
        <v>20</v>
      </c>
      <c r="C634" s="3" t="s">
        <v>1051</v>
      </c>
      <c r="D634" s="3" t="s">
        <v>28</v>
      </c>
      <c r="E634" s="3"/>
      <c r="F634" s="3"/>
      <c r="G634" s="3"/>
      <c r="H634" s="3"/>
    </row>
    <row r="635" spans="1:8" x14ac:dyDescent="0.35">
      <c r="A635" s="3" t="s">
        <v>1010</v>
      </c>
      <c r="B635" s="3" t="s">
        <v>20</v>
      </c>
      <c r="C635" s="3" t="s">
        <v>1051</v>
      </c>
      <c r="D635" s="3" t="s">
        <v>15</v>
      </c>
      <c r="E635" s="3" t="s">
        <v>16</v>
      </c>
      <c r="F635" s="3" t="s">
        <v>1052</v>
      </c>
      <c r="G635" s="3"/>
      <c r="H635" s="3"/>
    </row>
    <row r="636" spans="1:8" x14ac:dyDescent="0.35">
      <c r="A636" s="3" t="s">
        <v>1010</v>
      </c>
      <c r="B636" s="3" t="s">
        <v>20</v>
      </c>
      <c r="C636" s="3" t="s">
        <v>1051</v>
      </c>
      <c r="D636" s="3" t="s">
        <v>56</v>
      </c>
      <c r="E636" s="3"/>
      <c r="F636" s="3"/>
      <c r="G636" s="3"/>
      <c r="H636" s="3"/>
    </row>
    <row r="637" spans="1:8" x14ac:dyDescent="0.35">
      <c r="A637" s="3" t="s">
        <v>1010</v>
      </c>
      <c r="B637" s="3" t="s">
        <v>20</v>
      </c>
      <c r="C637" s="3" t="s">
        <v>1051</v>
      </c>
      <c r="D637" s="3" t="s">
        <v>89</v>
      </c>
      <c r="E637" s="3"/>
      <c r="F637" s="3"/>
      <c r="G637" s="3"/>
      <c r="H637" s="3"/>
    </row>
    <row r="638" spans="1:8" x14ac:dyDescent="0.35">
      <c r="A638" s="3" t="s">
        <v>1010</v>
      </c>
      <c r="B638" s="3" t="s">
        <v>20</v>
      </c>
      <c r="C638" s="3" t="s">
        <v>1051</v>
      </c>
      <c r="D638" s="3" t="s">
        <v>29</v>
      </c>
      <c r="E638" s="3"/>
      <c r="F638" s="3" t="s">
        <v>2358</v>
      </c>
      <c r="G638" s="3"/>
      <c r="H638" s="3"/>
    </row>
    <row r="639" spans="1:8" x14ac:dyDescent="0.35">
      <c r="A639" s="3" t="s">
        <v>1010</v>
      </c>
      <c r="B639" s="3" t="s">
        <v>20</v>
      </c>
      <c r="C639" s="3" t="s">
        <v>1051</v>
      </c>
      <c r="D639" s="3" t="s">
        <v>152</v>
      </c>
      <c r="E639" s="3"/>
      <c r="F639" s="3"/>
      <c r="G639" s="3"/>
      <c r="H639" s="3"/>
    </row>
    <row r="640" spans="1:8" x14ac:dyDescent="0.35">
      <c r="A640" s="3" t="s">
        <v>1010</v>
      </c>
      <c r="B640" s="3" t="s">
        <v>20</v>
      </c>
      <c r="C640" s="3" t="s">
        <v>1051</v>
      </c>
      <c r="D640" s="3" t="s">
        <v>134</v>
      </c>
      <c r="E640" s="3"/>
      <c r="F640" s="3"/>
      <c r="G640" s="3"/>
      <c r="H640" s="3"/>
    </row>
    <row r="641" spans="1:8" x14ac:dyDescent="0.35">
      <c r="A641" s="3" t="s">
        <v>1010</v>
      </c>
      <c r="B641" s="3" t="s">
        <v>20</v>
      </c>
      <c r="C641" s="3" t="s">
        <v>1051</v>
      </c>
      <c r="D641" s="3" t="s">
        <v>191</v>
      </c>
      <c r="E641" s="3"/>
      <c r="F641" s="3" t="s">
        <v>2354</v>
      </c>
      <c r="G641" s="3"/>
      <c r="H641" s="3"/>
    </row>
    <row r="642" spans="1:8" x14ac:dyDescent="0.35">
      <c r="A642" s="3" t="s">
        <v>1010</v>
      </c>
      <c r="B642" s="3" t="s">
        <v>20</v>
      </c>
      <c r="C642" s="3" t="s">
        <v>1051</v>
      </c>
      <c r="D642" s="3" t="s">
        <v>107</v>
      </c>
      <c r="E642" s="3" t="s">
        <v>16</v>
      </c>
      <c r="F642" s="3" t="s">
        <v>1053</v>
      </c>
      <c r="G642" s="3"/>
      <c r="H642" s="3"/>
    </row>
    <row r="643" spans="1:8" x14ac:dyDescent="0.35">
      <c r="A643" s="3" t="s">
        <v>1010</v>
      </c>
      <c r="B643" s="3" t="s">
        <v>20</v>
      </c>
      <c r="C643" s="3" t="s">
        <v>1051</v>
      </c>
      <c r="D643" s="3" t="s">
        <v>1049</v>
      </c>
      <c r="E643" s="3"/>
      <c r="F643" s="3"/>
      <c r="G643" s="3"/>
      <c r="H643" s="3"/>
    </row>
    <row r="644" spans="1:8" x14ac:dyDescent="0.35">
      <c r="A644" s="3" t="s">
        <v>1010</v>
      </c>
      <c r="B644" s="3" t="s">
        <v>45</v>
      </c>
      <c r="C644" s="3" t="s">
        <v>1054</v>
      </c>
      <c r="D644" s="3" t="s">
        <v>217</v>
      </c>
      <c r="E644" s="3"/>
      <c r="F644" s="3" t="s">
        <v>2286</v>
      </c>
      <c r="G644" s="3"/>
      <c r="H644" s="3"/>
    </row>
    <row r="645" spans="1:8" x14ac:dyDescent="0.35">
      <c r="A645" s="3" t="s">
        <v>1010</v>
      </c>
      <c r="B645" s="3" t="s">
        <v>45</v>
      </c>
      <c r="C645" s="3" t="s">
        <v>1054</v>
      </c>
      <c r="D645" s="3" t="s">
        <v>56</v>
      </c>
      <c r="E645" s="3"/>
      <c r="F645" s="3"/>
      <c r="G645" s="3"/>
      <c r="H645" s="3"/>
    </row>
    <row r="646" spans="1:8" x14ac:dyDescent="0.35">
      <c r="A646" s="3" t="s">
        <v>1010</v>
      </c>
      <c r="B646" s="3" t="s">
        <v>45</v>
      </c>
      <c r="C646" s="3" t="s">
        <v>1054</v>
      </c>
      <c r="D646" s="3" t="s">
        <v>224</v>
      </c>
      <c r="E646" s="3"/>
      <c r="F646" s="3"/>
      <c r="G646" s="3"/>
      <c r="H646" s="3"/>
    </row>
    <row r="647" spans="1:8" x14ac:dyDescent="0.35">
      <c r="A647" s="3" t="s">
        <v>1010</v>
      </c>
      <c r="B647" s="3" t="s">
        <v>20</v>
      </c>
      <c r="C647" s="3" t="s">
        <v>1055</v>
      </c>
      <c r="D647" s="3" t="s">
        <v>77</v>
      </c>
      <c r="E647" s="3"/>
      <c r="F647" s="3"/>
      <c r="G647" s="3"/>
      <c r="H647" s="3"/>
    </row>
    <row r="648" spans="1:8" x14ac:dyDescent="0.35">
      <c r="A648" s="3" t="s">
        <v>1010</v>
      </c>
      <c r="B648" s="3" t="s">
        <v>20</v>
      </c>
      <c r="C648" s="3" t="s">
        <v>1055</v>
      </c>
      <c r="D648" s="3" t="s">
        <v>152</v>
      </c>
      <c r="E648" s="3"/>
      <c r="F648" s="3"/>
      <c r="G648" s="3"/>
      <c r="H648" s="3"/>
    </row>
    <row r="649" spans="1:8" x14ac:dyDescent="0.35">
      <c r="A649" s="3" t="s">
        <v>1010</v>
      </c>
      <c r="B649" s="3" t="s">
        <v>20</v>
      </c>
      <c r="C649" s="3" t="s">
        <v>1056</v>
      </c>
      <c r="D649" s="3" t="s">
        <v>12</v>
      </c>
      <c r="E649" s="3"/>
      <c r="F649" s="3"/>
      <c r="G649" s="3"/>
      <c r="H649" s="3"/>
    </row>
    <row r="650" spans="1:8" x14ac:dyDescent="0.35">
      <c r="A650" s="3" t="s">
        <v>1010</v>
      </c>
      <c r="B650" s="3" t="s">
        <v>20</v>
      </c>
      <c r="C650" s="3" t="s">
        <v>1056</v>
      </c>
      <c r="D650" s="3" t="s">
        <v>47</v>
      </c>
      <c r="E650" s="3"/>
      <c r="F650" s="3"/>
      <c r="G650" s="3"/>
      <c r="H650" s="3"/>
    </row>
    <row r="651" spans="1:8" x14ac:dyDescent="0.35">
      <c r="A651" s="3" t="s">
        <v>1010</v>
      </c>
      <c r="B651" s="3" t="s">
        <v>20</v>
      </c>
      <c r="C651" s="3" t="s">
        <v>1056</v>
      </c>
      <c r="D651" s="3" t="s">
        <v>60</v>
      </c>
      <c r="E651" s="3"/>
      <c r="F651" s="3"/>
      <c r="G651" s="3"/>
      <c r="H651" s="3"/>
    </row>
    <row r="652" spans="1:8" x14ac:dyDescent="0.35">
      <c r="A652" s="3" t="s">
        <v>1010</v>
      </c>
      <c r="B652" s="3" t="s">
        <v>20</v>
      </c>
      <c r="C652" s="3" t="s">
        <v>1056</v>
      </c>
      <c r="D652" s="3" t="s">
        <v>1018</v>
      </c>
      <c r="E652" s="3"/>
      <c r="F652" s="3"/>
      <c r="G652" s="3"/>
      <c r="H652" s="3"/>
    </row>
    <row r="653" spans="1:8" x14ac:dyDescent="0.35">
      <c r="A653" s="3" t="s">
        <v>1010</v>
      </c>
      <c r="B653" s="3" t="s">
        <v>20</v>
      </c>
      <c r="C653" s="3" t="s">
        <v>1056</v>
      </c>
      <c r="D653" s="3" t="s">
        <v>27</v>
      </c>
      <c r="E653" s="3"/>
      <c r="F653" s="3"/>
      <c r="G653" s="3"/>
      <c r="H653" s="3"/>
    </row>
    <row r="654" spans="1:8" x14ac:dyDescent="0.35">
      <c r="A654" s="3" t="s">
        <v>1010</v>
      </c>
      <c r="B654" s="3" t="s">
        <v>20</v>
      </c>
      <c r="C654" s="3" t="s">
        <v>1056</v>
      </c>
      <c r="D654" s="3" t="s">
        <v>71</v>
      </c>
      <c r="E654" s="3"/>
      <c r="F654" s="3"/>
      <c r="G654" s="3"/>
      <c r="H654" s="3"/>
    </row>
    <row r="655" spans="1:8" x14ac:dyDescent="0.35">
      <c r="A655" s="3" t="s">
        <v>1010</v>
      </c>
      <c r="B655" s="3" t="s">
        <v>20</v>
      </c>
      <c r="C655" s="3" t="s">
        <v>1056</v>
      </c>
      <c r="D655" s="3" t="s">
        <v>77</v>
      </c>
      <c r="E655" s="3"/>
      <c r="F655" s="3"/>
      <c r="G655" s="3"/>
      <c r="H655" s="3"/>
    </row>
    <row r="656" spans="1:8" x14ac:dyDescent="0.35">
      <c r="A656" s="3" t="s">
        <v>1010</v>
      </c>
      <c r="B656" s="3" t="s">
        <v>20</v>
      </c>
      <c r="C656" s="3" t="s">
        <v>1056</v>
      </c>
      <c r="D656" s="3" t="s">
        <v>28</v>
      </c>
      <c r="E656" s="3" t="s">
        <v>16</v>
      </c>
      <c r="F656" s="3" t="s">
        <v>2801</v>
      </c>
      <c r="G656" s="3"/>
      <c r="H656" s="3"/>
    </row>
    <row r="657" spans="1:8" x14ac:dyDescent="0.35">
      <c r="A657" s="3" t="s">
        <v>1010</v>
      </c>
      <c r="B657" s="3" t="s">
        <v>20</v>
      </c>
      <c r="C657" s="3" t="s">
        <v>1056</v>
      </c>
      <c r="D657" s="3" t="s">
        <v>15</v>
      </c>
      <c r="E657" s="3" t="s">
        <v>16</v>
      </c>
      <c r="F657" s="3" t="s">
        <v>2825</v>
      </c>
      <c r="G657" s="3"/>
      <c r="H657" s="3"/>
    </row>
    <row r="658" spans="1:8" x14ac:dyDescent="0.35">
      <c r="A658" s="3" t="s">
        <v>1010</v>
      </c>
      <c r="B658" s="3" t="s">
        <v>20</v>
      </c>
      <c r="C658" s="3" t="s">
        <v>1056</v>
      </c>
      <c r="D658" s="3" t="s">
        <v>56</v>
      </c>
      <c r="E658" s="3" t="s">
        <v>16</v>
      </c>
      <c r="F658" s="3" t="s">
        <v>2802</v>
      </c>
      <c r="G658" s="3"/>
      <c r="H658" s="3"/>
    </row>
    <row r="659" spans="1:8" x14ac:dyDescent="0.35">
      <c r="A659" s="3" t="s">
        <v>1010</v>
      </c>
      <c r="B659" s="3" t="s">
        <v>20</v>
      </c>
      <c r="C659" s="3" t="s">
        <v>1056</v>
      </c>
      <c r="D659" s="3" t="s">
        <v>32</v>
      </c>
      <c r="E659" s="3"/>
      <c r="F659" s="3" t="s">
        <v>2293</v>
      </c>
      <c r="G659" s="3"/>
      <c r="H659" s="3"/>
    </row>
    <row r="660" spans="1:8" x14ac:dyDescent="0.35">
      <c r="A660" s="3" t="s">
        <v>1010</v>
      </c>
      <c r="B660" s="3" t="s">
        <v>20</v>
      </c>
      <c r="C660" s="3" t="s">
        <v>1056</v>
      </c>
      <c r="D660" s="3" t="s">
        <v>29</v>
      </c>
      <c r="E660" s="3"/>
      <c r="F660" s="3"/>
      <c r="G660" s="3"/>
      <c r="H660" s="3"/>
    </row>
    <row r="661" spans="1:8" x14ac:dyDescent="0.35">
      <c r="A661" s="3" t="s">
        <v>1010</v>
      </c>
      <c r="B661" s="3" t="s">
        <v>20</v>
      </c>
      <c r="C661" s="3" t="s">
        <v>1056</v>
      </c>
      <c r="D661" s="3" t="s">
        <v>152</v>
      </c>
      <c r="E661" s="3"/>
      <c r="F661" s="3"/>
      <c r="G661" s="3"/>
      <c r="H661" s="3"/>
    </row>
    <row r="662" spans="1:8" x14ac:dyDescent="0.35">
      <c r="A662" s="3" t="s">
        <v>1010</v>
      </c>
      <c r="B662" s="3" t="s">
        <v>20</v>
      </c>
      <c r="C662" s="3" t="s">
        <v>1056</v>
      </c>
      <c r="D662" s="3" t="s">
        <v>134</v>
      </c>
      <c r="E662" s="3"/>
      <c r="F662" s="3" t="s">
        <v>2691</v>
      </c>
      <c r="G662" s="3"/>
      <c r="H662" s="3"/>
    </row>
    <row r="663" spans="1:8" x14ac:dyDescent="0.35">
      <c r="A663" s="3" t="s">
        <v>1010</v>
      </c>
      <c r="B663" s="3" t="s">
        <v>39</v>
      </c>
      <c r="C663" s="3" t="s">
        <v>1057</v>
      </c>
      <c r="D663" s="3" t="s">
        <v>15</v>
      </c>
      <c r="E663" s="3" t="s">
        <v>16</v>
      </c>
      <c r="F663" s="3" t="s">
        <v>1058</v>
      </c>
      <c r="G663" s="3"/>
      <c r="H663" s="3"/>
    </row>
    <row r="664" spans="1:8" x14ac:dyDescent="0.35">
      <c r="A664" s="3" t="s">
        <v>1010</v>
      </c>
      <c r="B664" s="3" t="s">
        <v>39</v>
      </c>
      <c r="C664" s="3" t="s">
        <v>1057</v>
      </c>
      <c r="D664" s="3" t="s">
        <v>32</v>
      </c>
      <c r="E664" s="3"/>
      <c r="F664" s="3" t="s">
        <v>2339</v>
      </c>
      <c r="G664" s="3"/>
      <c r="H664" s="3"/>
    </row>
    <row r="665" spans="1:8" x14ac:dyDescent="0.35">
      <c r="A665" s="3" t="s">
        <v>1010</v>
      </c>
      <c r="B665" s="3" t="s">
        <v>39</v>
      </c>
      <c r="C665" s="3" t="s">
        <v>1059</v>
      </c>
      <c r="D665" s="3" t="s">
        <v>77</v>
      </c>
      <c r="E665" s="3" t="s">
        <v>16</v>
      </c>
      <c r="F665" s="3" t="s">
        <v>1060</v>
      </c>
      <c r="G665" s="3"/>
      <c r="H665" s="3"/>
    </row>
    <row r="666" spans="1:8" x14ac:dyDescent="0.35">
      <c r="A666" s="3" t="s">
        <v>1010</v>
      </c>
      <c r="B666" s="3" t="s">
        <v>39</v>
      </c>
      <c r="C666" s="3" t="s">
        <v>1059</v>
      </c>
      <c r="D666" s="3" t="s">
        <v>15</v>
      </c>
      <c r="E666" s="3" t="s">
        <v>16</v>
      </c>
      <c r="F666" s="3" t="s">
        <v>1060</v>
      </c>
      <c r="G666" s="3"/>
      <c r="H666" s="3"/>
    </row>
    <row r="667" spans="1:8" x14ac:dyDescent="0.35">
      <c r="A667" s="3" t="s">
        <v>1010</v>
      </c>
      <c r="B667" s="3" t="s">
        <v>39</v>
      </c>
      <c r="C667" s="3" t="s">
        <v>1059</v>
      </c>
      <c r="D667" s="3" t="s">
        <v>56</v>
      </c>
      <c r="E667" s="3" t="s">
        <v>16</v>
      </c>
      <c r="F667" s="3" t="s">
        <v>1060</v>
      </c>
      <c r="G667" s="3"/>
      <c r="H667" s="3"/>
    </row>
    <row r="668" spans="1:8" x14ac:dyDescent="0.35">
      <c r="A668" s="3" t="s">
        <v>1010</v>
      </c>
      <c r="B668" s="3" t="s">
        <v>39</v>
      </c>
      <c r="C668" s="3" t="s">
        <v>1059</v>
      </c>
      <c r="D668" s="3" t="s">
        <v>152</v>
      </c>
      <c r="E668" s="3" t="s">
        <v>16</v>
      </c>
      <c r="F668" s="3" t="s">
        <v>1060</v>
      </c>
      <c r="G668" s="3"/>
      <c r="H668" s="3"/>
    </row>
    <row r="669" spans="1:8" x14ac:dyDescent="0.35">
      <c r="A669" s="3" t="s">
        <v>1010</v>
      </c>
      <c r="B669" s="3" t="s">
        <v>39</v>
      </c>
      <c r="C669" s="3" t="s">
        <v>1059</v>
      </c>
      <c r="D669" s="3" t="s">
        <v>191</v>
      </c>
      <c r="E669" s="3" t="s">
        <v>16</v>
      </c>
      <c r="F669" s="3" t="s">
        <v>1060</v>
      </c>
      <c r="G669" s="3"/>
      <c r="H669" s="3"/>
    </row>
    <row r="670" spans="1:8" x14ac:dyDescent="0.35">
      <c r="A670" s="3" t="s">
        <v>1010</v>
      </c>
      <c r="B670" s="3" t="s">
        <v>39</v>
      </c>
      <c r="C670" s="3" t="s">
        <v>1061</v>
      </c>
      <c r="D670" s="3" t="s">
        <v>77</v>
      </c>
      <c r="E670" s="3" t="s">
        <v>16</v>
      </c>
      <c r="F670" s="3" t="s">
        <v>1062</v>
      </c>
      <c r="G670" s="3"/>
      <c r="H670" s="3"/>
    </row>
    <row r="671" spans="1:8" x14ac:dyDescent="0.35">
      <c r="A671" s="3" t="s">
        <v>1010</v>
      </c>
      <c r="B671" s="3" t="s">
        <v>39</v>
      </c>
      <c r="C671" s="3" t="s">
        <v>1061</v>
      </c>
      <c r="D671" s="3" t="s">
        <v>87</v>
      </c>
      <c r="E671" s="3" t="s">
        <v>16</v>
      </c>
      <c r="F671" s="3" t="s">
        <v>1063</v>
      </c>
      <c r="G671" s="5"/>
      <c r="H671" s="3"/>
    </row>
    <row r="672" spans="1:8" x14ac:dyDescent="0.35">
      <c r="A672" s="3" t="s">
        <v>1010</v>
      </c>
      <c r="B672" s="3" t="s">
        <v>39</v>
      </c>
      <c r="C672" s="3" t="s">
        <v>1061</v>
      </c>
      <c r="D672" s="3" t="s">
        <v>98</v>
      </c>
      <c r="E672" s="3" t="s">
        <v>16</v>
      </c>
      <c r="F672" s="3" t="s">
        <v>1064</v>
      </c>
      <c r="G672" s="3"/>
      <c r="H672" s="3"/>
    </row>
    <row r="673" spans="1:8" x14ac:dyDescent="0.35">
      <c r="A673" s="3" t="s">
        <v>1010</v>
      </c>
      <c r="B673" s="3" t="s">
        <v>39</v>
      </c>
      <c r="C673" s="3" t="s">
        <v>1061</v>
      </c>
      <c r="D673" s="3" t="s">
        <v>15</v>
      </c>
      <c r="E673" s="3" t="s">
        <v>16</v>
      </c>
      <c r="F673" s="3" t="s">
        <v>1065</v>
      </c>
      <c r="G673" s="3"/>
      <c r="H673" s="3"/>
    </row>
    <row r="674" spans="1:8" x14ac:dyDescent="0.35">
      <c r="A674" s="3" t="s">
        <v>1010</v>
      </c>
      <c r="B674" s="3" t="s">
        <v>39</v>
      </c>
      <c r="C674" s="3" t="s">
        <v>1061</v>
      </c>
      <c r="D674" s="3" t="s">
        <v>152</v>
      </c>
      <c r="E674" s="3" t="s">
        <v>16</v>
      </c>
      <c r="F674" s="3" t="s">
        <v>1062</v>
      </c>
      <c r="G674" s="3"/>
      <c r="H674" s="3"/>
    </row>
    <row r="675" spans="1:8" x14ac:dyDescent="0.35">
      <c r="A675" s="3" t="s">
        <v>1010</v>
      </c>
      <c r="B675" s="3" t="s">
        <v>39</v>
      </c>
      <c r="C675" s="3" t="s">
        <v>1061</v>
      </c>
      <c r="D675" s="3" t="s">
        <v>191</v>
      </c>
      <c r="E675" s="3" t="s">
        <v>16</v>
      </c>
      <c r="F675" s="3" t="s">
        <v>2363</v>
      </c>
      <c r="G675" s="5"/>
      <c r="H675" s="3"/>
    </row>
    <row r="676" spans="1:8" x14ac:dyDescent="0.35">
      <c r="A676" s="3" t="s">
        <v>1010</v>
      </c>
      <c r="B676" s="3" t="s">
        <v>39</v>
      </c>
      <c r="C676" s="3" t="s">
        <v>1061</v>
      </c>
      <c r="D676" s="3" t="s">
        <v>107</v>
      </c>
      <c r="E676" s="3" t="s">
        <v>16</v>
      </c>
      <c r="F676" s="3" t="s">
        <v>1065</v>
      </c>
      <c r="G676" s="3"/>
      <c r="H676" s="3"/>
    </row>
    <row r="677" spans="1:8" x14ac:dyDescent="0.35">
      <c r="A677" s="3" t="s">
        <v>1010</v>
      </c>
      <c r="B677" s="3" t="s">
        <v>39</v>
      </c>
      <c r="C677" s="3" t="s">
        <v>1061</v>
      </c>
      <c r="D677" s="3" t="s">
        <v>1049</v>
      </c>
      <c r="E677" s="3" t="s">
        <v>16</v>
      </c>
      <c r="F677" s="3" t="s">
        <v>1062</v>
      </c>
      <c r="G677" s="3"/>
      <c r="H677" s="3"/>
    </row>
    <row r="678" spans="1:8" x14ac:dyDescent="0.35">
      <c r="A678" s="3" t="s">
        <v>1010</v>
      </c>
      <c r="B678" s="3" t="s">
        <v>45</v>
      </c>
      <c r="C678" s="3" t="s">
        <v>1066</v>
      </c>
      <c r="D678" s="3" t="s">
        <v>166</v>
      </c>
      <c r="E678" s="3"/>
      <c r="F678" s="3"/>
      <c r="G678" s="3"/>
      <c r="H678" s="3"/>
    </row>
    <row r="679" spans="1:8" x14ac:dyDescent="0.35">
      <c r="A679" s="3" t="s">
        <v>1010</v>
      </c>
      <c r="B679" s="3" t="s">
        <v>45</v>
      </c>
      <c r="C679" s="3" t="s">
        <v>1066</v>
      </c>
      <c r="D679" s="3" t="s">
        <v>220</v>
      </c>
      <c r="E679" s="3"/>
      <c r="F679" s="3"/>
      <c r="G679" s="3"/>
      <c r="H679" s="3"/>
    </row>
    <row r="680" spans="1:8" x14ac:dyDescent="0.35">
      <c r="A680" s="3" t="s">
        <v>1010</v>
      </c>
      <c r="B680" s="3" t="s">
        <v>45</v>
      </c>
      <c r="C680" s="3" t="s">
        <v>1066</v>
      </c>
      <c r="D680" s="3" t="s">
        <v>225</v>
      </c>
      <c r="E680" s="3"/>
      <c r="F680" s="3"/>
      <c r="G680" s="3"/>
      <c r="H680" s="3"/>
    </row>
    <row r="681" spans="1:8" x14ac:dyDescent="0.35">
      <c r="A681" s="3" t="s">
        <v>1010</v>
      </c>
      <c r="B681" s="3" t="s">
        <v>45</v>
      </c>
      <c r="C681" s="3" t="s">
        <v>1066</v>
      </c>
      <c r="D681" s="3" t="s">
        <v>77</v>
      </c>
      <c r="E681" s="3"/>
      <c r="F681" s="3"/>
      <c r="G681" s="3"/>
      <c r="H681" s="3"/>
    </row>
    <row r="682" spans="1:8" x14ac:dyDescent="0.35">
      <c r="A682" s="3" t="s">
        <v>1010</v>
      </c>
      <c r="B682" s="3" t="s">
        <v>45</v>
      </c>
      <c r="C682" s="3" t="s">
        <v>1066</v>
      </c>
      <c r="D682" s="3" t="s">
        <v>221</v>
      </c>
      <c r="E682" s="3"/>
      <c r="F682" s="3" t="s">
        <v>2364</v>
      </c>
      <c r="G682" s="3"/>
      <c r="H682" s="3"/>
    </row>
    <row r="683" spans="1:8" x14ac:dyDescent="0.35">
      <c r="A683" s="3" t="s">
        <v>1010</v>
      </c>
      <c r="B683" s="3" t="s">
        <v>45</v>
      </c>
      <c r="C683" s="3" t="s">
        <v>1066</v>
      </c>
      <c r="D683" s="3" t="s">
        <v>222</v>
      </c>
      <c r="E683" s="3"/>
      <c r="F683" s="3"/>
      <c r="G683" s="3"/>
      <c r="H683" s="3"/>
    </row>
    <row r="684" spans="1:8" x14ac:dyDescent="0.35">
      <c r="A684" s="3" t="s">
        <v>1010</v>
      </c>
      <c r="B684" s="3" t="s">
        <v>45</v>
      </c>
      <c r="C684" s="3" t="s">
        <v>1066</v>
      </c>
      <c r="D684" s="3" t="s">
        <v>223</v>
      </c>
      <c r="E684" s="3"/>
      <c r="F684" s="3"/>
      <c r="G684" s="3"/>
      <c r="H684" s="3"/>
    </row>
    <row r="685" spans="1:8" x14ac:dyDescent="0.35">
      <c r="A685" s="3" t="s">
        <v>1010</v>
      </c>
      <c r="B685" s="3" t="s">
        <v>45</v>
      </c>
      <c r="C685" s="3" t="s">
        <v>1066</v>
      </c>
      <c r="D685" s="3" t="s">
        <v>15</v>
      </c>
      <c r="E685" s="3" t="s">
        <v>16</v>
      </c>
      <c r="F685" s="3" t="s">
        <v>1068</v>
      </c>
      <c r="G685" s="3"/>
      <c r="H685" s="3"/>
    </row>
    <row r="686" spans="1:8" x14ac:dyDescent="0.35">
      <c r="A686" s="3" t="s">
        <v>1010</v>
      </c>
      <c r="B686" s="3" t="s">
        <v>45</v>
      </c>
      <c r="C686" s="3" t="s">
        <v>1066</v>
      </c>
      <c r="D686" s="3" t="s">
        <v>226</v>
      </c>
      <c r="E686" s="3"/>
      <c r="F686" s="3"/>
      <c r="G686" s="3"/>
      <c r="H686" s="3"/>
    </row>
    <row r="687" spans="1:8" x14ac:dyDescent="0.35">
      <c r="A687" s="3" t="s">
        <v>1010</v>
      </c>
      <c r="B687" s="3" t="s">
        <v>45</v>
      </c>
      <c r="C687" s="3" t="s">
        <v>1066</v>
      </c>
      <c r="D687" s="3" t="s">
        <v>227</v>
      </c>
      <c r="E687" s="3"/>
      <c r="F687" s="3"/>
      <c r="G687" s="3"/>
      <c r="H687" s="3"/>
    </row>
    <row r="688" spans="1:8" x14ac:dyDescent="0.35">
      <c r="A688" s="3" t="s">
        <v>1010</v>
      </c>
      <c r="B688" s="3" t="s">
        <v>45</v>
      </c>
      <c r="C688" s="3" t="s">
        <v>1066</v>
      </c>
      <c r="D688" s="3" t="s">
        <v>228</v>
      </c>
      <c r="E688" s="3"/>
      <c r="F688" s="3"/>
      <c r="G688" s="3"/>
      <c r="H688" s="3"/>
    </row>
    <row r="689" spans="1:8" x14ac:dyDescent="0.35">
      <c r="A689" s="3" t="s">
        <v>1010</v>
      </c>
      <c r="B689" s="3" t="s">
        <v>45</v>
      </c>
      <c r="C689" s="3" t="s">
        <v>1066</v>
      </c>
      <c r="D689" s="3" t="s">
        <v>56</v>
      </c>
      <c r="E689" s="3"/>
      <c r="F689" s="3"/>
      <c r="G689" s="3"/>
      <c r="H689" s="3"/>
    </row>
    <row r="690" spans="1:8" x14ac:dyDescent="0.35">
      <c r="A690" s="3" t="s">
        <v>1010</v>
      </c>
      <c r="B690" s="3" t="s">
        <v>45</v>
      </c>
      <c r="C690" s="3" t="s">
        <v>1066</v>
      </c>
      <c r="D690" s="3" t="s">
        <v>229</v>
      </c>
      <c r="E690" s="3"/>
      <c r="F690" s="3"/>
      <c r="G690" s="3"/>
      <c r="H690" s="3"/>
    </row>
    <row r="691" spans="1:8" x14ac:dyDescent="0.35">
      <c r="A691" s="3" t="s">
        <v>1010</v>
      </c>
      <c r="B691" s="3" t="s">
        <v>45</v>
      </c>
      <c r="C691" s="3" t="s">
        <v>1066</v>
      </c>
      <c r="D691" s="3" t="s">
        <v>230</v>
      </c>
      <c r="E691" s="3"/>
      <c r="F691" s="3"/>
      <c r="G691" s="3"/>
      <c r="H691" s="3"/>
    </row>
    <row r="692" spans="1:8" x14ac:dyDescent="0.35">
      <c r="A692" s="3" t="s">
        <v>1010</v>
      </c>
      <c r="B692" s="3" t="s">
        <v>45</v>
      </c>
      <c r="C692" s="3" t="s">
        <v>1066</v>
      </c>
      <c r="D692" s="3" t="s">
        <v>29</v>
      </c>
      <c r="E692" s="3"/>
      <c r="F692" s="3"/>
      <c r="G692" s="3"/>
      <c r="H692" s="3"/>
    </row>
    <row r="693" spans="1:8" x14ac:dyDescent="0.35">
      <c r="A693" s="3" t="s">
        <v>1010</v>
      </c>
      <c r="B693" s="3" t="s">
        <v>45</v>
      </c>
      <c r="C693" s="3" t="s">
        <v>1066</v>
      </c>
      <c r="D693" s="3" t="s">
        <v>219</v>
      </c>
      <c r="E693" s="3"/>
      <c r="F693" s="3"/>
      <c r="G693" s="3"/>
      <c r="H693" s="3"/>
    </row>
    <row r="694" spans="1:8" x14ac:dyDescent="0.35">
      <c r="A694" s="3" t="s">
        <v>1010</v>
      </c>
      <c r="B694" s="3" t="s">
        <v>45</v>
      </c>
      <c r="C694" s="3" t="s">
        <v>1066</v>
      </c>
      <c r="D694" s="3" t="s">
        <v>372</v>
      </c>
      <c r="E694" s="3"/>
      <c r="F694" s="3"/>
      <c r="G694" s="3"/>
      <c r="H694" s="3"/>
    </row>
    <row r="695" spans="1:8" x14ac:dyDescent="0.35">
      <c r="A695" s="3" t="s">
        <v>1010</v>
      </c>
      <c r="B695" s="3" t="s">
        <v>45</v>
      </c>
      <c r="C695" s="3" t="s">
        <v>1066</v>
      </c>
      <c r="D695" s="3" t="s">
        <v>218</v>
      </c>
      <c r="E695" s="3"/>
      <c r="F695" s="3"/>
      <c r="G695" s="3"/>
      <c r="H695" s="3"/>
    </row>
    <row r="696" spans="1:8" x14ac:dyDescent="0.35">
      <c r="A696" s="3" t="s">
        <v>1010</v>
      </c>
      <c r="B696" s="3" t="s">
        <v>45</v>
      </c>
      <c r="C696" s="3" t="s">
        <v>1066</v>
      </c>
      <c r="D696" s="3" t="s">
        <v>224</v>
      </c>
      <c r="E696" s="3"/>
      <c r="F696" s="3"/>
      <c r="G696" s="3"/>
      <c r="H696" s="3"/>
    </row>
    <row r="697" spans="1:8" x14ac:dyDescent="0.35">
      <c r="A697" s="3" t="s">
        <v>1010</v>
      </c>
      <c r="B697" s="3" t="s">
        <v>45</v>
      </c>
      <c r="C697" s="3" t="s">
        <v>1069</v>
      </c>
      <c r="D697" s="3" t="s">
        <v>77</v>
      </c>
      <c r="E697" s="3"/>
      <c r="F697" s="3"/>
      <c r="G697" s="3"/>
      <c r="H697" s="3"/>
    </row>
    <row r="698" spans="1:8" x14ac:dyDescent="0.35">
      <c r="A698" s="3" t="s">
        <v>1010</v>
      </c>
      <c r="B698" s="3" t="s">
        <v>45</v>
      </c>
      <c r="C698" s="3" t="s">
        <v>1069</v>
      </c>
      <c r="D698" s="3" t="s">
        <v>15</v>
      </c>
      <c r="E698" s="3" t="s">
        <v>16</v>
      </c>
      <c r="F698" s="3" t="s">
        <v>1068</v>
      </c>
      <c r="G698" s="3"/>
      <c r="H698" s="3"/>
    </row>
    <row r="699" spans="1:8" x14ac:dyDescent="0.35">
      <c r="A699" s="3" t="s">
        <v>1010</v>
      </c>
      <c r="B699" s="3" t="s">
        <v>45</v>
      </c>
      <c r="C699" s="3" t="s">
        <v>1069</v>
      </c>
      <c r="D699" s="3" t="s">
        <v>56</v>
      </c>
      <c r="E699" s="3"/>
      <c r="F699" s="3"/>
      <c r="G699" s="3"/>
      <c r="H699" s="3"/>
    </row>
    <row r="700" spans="1:8" x14ac:dyDescent="0.35">
      <c r="A700" s="3" t="s">
        <v>1010</v>
      </c>
      <c r="B700" s="3" t="s">
        <v>45</v>
      </c>
      <c r="C700" s="3" t="s">
        <v>1069</v>
      </c>
      <c r="D700" s="3" t="s">
        <v>29</v>
      </c>
      <c r="E700" s="3"/>
      <c r="F700" s="3"/>
      <c r="G700" s="3"/>
      <c r="H700" s="3"/>
    </row>
    <row r="701" spans="1:8" x14ac:dyDescent="0.35">
      <c r="A701" s="3" t="s">
        <v>1010</v>
      </c>
      <c r="B701" s="3" t="s">
        <v>45</v>
      </c>
      <c r="C701" s="3" t="s">
        <v>1070</v>
      </c>
      <c r="D701" s="3" t="s">
        <v>77</v>
      </c>
      <c r="E701" s="3"/>
      <c r="F701" s="3"/>
      <c r="G701" s="3"/>
      <c r="H701" s="3"/>
    </row>
    <row r="702" spans="1:8" x14ac:dyDescent="0.35">
      <c r="A702" s="3" t="s">
        <v>1010</v>
      </c>
      <c r="B702" s="3" t="s">
        <v>45</v>
      </c>
      <c r="C702" s="3" t="s">
        <v>1071</v>
      </c>
      <c r="D702" s="3" t="s">
        <v>217</v>
      </c>
      <c r="E702" s="3" t="s">
        <v>33</v>
      </c>
      <c r="F702" s="3" t="s">
        <v>487</v>
      </c>
      <c r="G702" s="3"/>
      <c r="H702" s="3"/>
    </row>
    <row r="703" spans="1:8" x14ac:dyDescent="0.35">
      <c r="A703" s="3" t="s">
        <v>1010</v>
      </c>
      <c r="B703" s="3" t="s">
        <v>45</v>
      </c>
      <c r="C703" s="3" t="s">
        <v>1071</v>
      </c>
      <c r="D703" s="3" t="s">
        <v>15</v>
      </c>
      <c r="E703" s="3" t="s">
        <v>33</v>
      </c>
      <c r="F703" s="3" t="s">
        <v>487</v>
      </c>
      <c r="G703" s="3"/>
      <c r="H703" s="3"/>
    </row>
    <row r="704" spans="1:8" x14ac:dyDescent="0.35">
      <c r="A704" s="3" t="s">
        <v>1010</v>
      </c>
      <c r="B704" s="3" t="s">
        <v>45</v>
      </c>
      <c r="C704" s="3" t="s">
        <v>1071</v>
      </c>
      <c r="D704" s="3" t="s">
        <v>372</v>
      </c>
      <c r="E704" s="3" t="s">
        <v>33</v>
      </c>
      <c r="F704" s="3" t="s">
        <v>487</v>
      </c>
      <c r="G704" s="3"/>
      <c r="H704" s="3"/>
    </row>
    <row r="705" spans="1:8" x14ac:dyDescent="0.35">
      <c r="A705" s="3" t="s">
        <v>1010</v>
      </c>
      <c r="B705" s="3" t="s">
        <v>45</v>
      </c>
      <c r="C705" s="3" t="s">
        <v>1072</v>
      </c>
      <c r="D705" s="3" t="s">
        <v>217</v>
      </c>
      <c r="E705" s="3" t="s">
        <v>33</v>
      </c>
      <c r="F705" s="3" t="s">
        <v>487</v>
      </c>
      <c r="G705" s="3"/>
      <c r="H705" s="3"/>
    </row>
    <row r="706" spans="1:8" x14ac:dyDescent="0.35">
      <c r="A706" s="3" t="s">
        <v>1010</v>
      </c>
      <c r="B706" s="3" t="s">
        <v>45</v>
      </c>
      <c r="C706" s="3" t="s">
        <v>1072</v>
      </c>
      <c r="D706" s="3" t="s">
        <v>372</v>
      </c>
      <c r="E706" s="3" t="s">
        <v>33</v>
      </c>
      <c r="F706" s="3" t="s">
        <v>487</v>
      </c>
      <c r="G706" s="3"/>
      <c r="H706" s="3"/>
    </row>
    <row r="707" spans="1:8" x14ac:dyDescent="0.35">
      <c r="A707" s="3" t="s">
        <v>1010</v>
      </c>
      <c r="B707" s="3" t="s">
        <v>45</v>
      </c>
      <c r="C707" s="3" t="s">
        <v>1072</v>
      </c>
      <c r="D707" s="3" t="s">
        <v>224</v>
      </c>
      <c r="E707" s="3" t="s">
        <v>33</v>
      </c>
      <c r="F707" s="3" t="s">
        <v>487</v>
      </c>
      <c r="G707" s="3"/>
      <c r="H707" s="3"/>
    </row>
    <row r="708" spans="1:8" x14ac:dyDescent="0.35">
      <c r="A708" s="3" t="s">
        <v>1010</v>
      </c>
      <c r="B708" s="3" t="s">
        <v>45</v>
      </c>
      <c r="C708" s="3" t="s">
        <v>1073</v>
      </c>
      <c r="D708" s="3" t="s">
        <v>217</v>
      </c>
      <c r="E708" s="3"/>
      <c r="F708" s="3"/>
      <c r="G708" s="3"/>
      <c r="H708" s="3"/>
    </row>
    <row r="709" spans="1:8" x14ac:dyDescent="0.35">
      <c r="A709" s="3" t="s">
        <v>1010</v>
      </c>
      <c r="B709" s="3" t="s">
        <v>45</v>
      </c>
      <c r="C709" s="3" t="s">
        <v>1073</v>
      </c>
      <c r="D709" s="3" t="s">
        <v>77</v>
      </c>
      <c r="E709" s="3"/>
      <c r="F709" s="3"/>
      <c r="G709" s="3"/>
      <c r="H709" s="3"/>
    </row>
    <row r="710" spans="1:8" x14ac:dyDescent="0.35">
      <c r="A710" s="3" t="s">
        <v>1010</v>
      </c>
      <c r="B710" s="3" t="s">
        <v>45</v>
      </c>
      <c r="C710" s="3" t="s">
        <v>1073</v>
      </c>
      <c r="D710" s="3" t="s">
        <v>372</v>
      </c>
      <c r="E710" s="3" t="s">
        <v>16</v>
      </c>
      <c r="F710" s="3" t="s">
        <v>1074</v>
      </c>
      <c r="G710" s="3"/>
      <c r="H710" s="3"/>
    </row>
    <row r="711" spans="1:8" x14ac:dyDescent="0.35">
      <c r="A711" s="3" t="s">
        <v>1010</v>
      </c>
      <c r="B711" s="3" t="s">
        <v>45</v>
      </c>
      <c r="C711" s="3" t="s">
        <v>2859</v>
      </c>
      <c r="D711" s="3" t="s">
        <v>217</v>
      </c>
      <c r="E711" s="3"/>
      <c r="F711" s="3"/>
      <c r="G711" s="3"/>
      <c r="H711" s="3"/>
    </row>
    <row r="712" spans="1:8" x14ac:dyDescent="0.35">
      <c r="A712" s="3" t="s">
        <v>1010</v>
      </c>
      <c r="B712" s="3" t="s">
        <v>20</v>
      </c>
      <c r="C712" s="3" t="s">
        <v>1075</v>
      </c>
      <c r="D712" s="3" t="s">
        <v>77</v>
      </c>
      <c r="E712" s="3"/>
      <c r="F712" s="3"/>
      <c r="G712" s="3"/>
      <c r="H712" s="3"/>
    </row>
    <row r="713" spans="1:8" x14ac:dyDescent="0.35">
      <c r="A713" s="3" t="s">
        <v>1010</v>
      </c>
      <c r="B713" s="3" t="s">
        <v>20</v>
      </c>
      <c r="C713" s="3" t="s">
        <v>1075</v>
      </c>
      <c r="D713" s="3" t="s">
        <v>15</v>
      </c>
      <c r="E713" s="3" t="s">
        <v>16</v>
      </c>
      <c r="F713" s="3" t="s">
        <v>1076</v>
      </c>
      <c r="G713" s="3"/>
      <c r="H713" s="3"/>
    </row>
    <row r="714" spans="1:8" x14ac:dyDescent="0.35">
      <c r="A714" s="3" t="s">
        <v>1010</v>
      </c>
      <c r="B714" s="3" t="s">
        <v>20</v>
      </c>
      <c r="C714" s="3" t="s">
        <v>1075</v>
      </c>
      <c r="D714" s="3" t="s">
        <v>56</v>
      </c>
      <c r="E714" s="3"/>
      <c r="F714" s="3"/>
      <c r="G714" s="3"/>
      <c r="H714" s="3"/>
    </row>
    <row r="715" spans="1:8" x14ac:dyDescent="0.35">
      <c r="A715" s="3" t="s">
        <v>1010</v>
      </c>
      <c r="B715" s="3" t="s">
        <v>20</v>
      </c>
      <c r="C715" s="3" t="s">
        <v>1075</v>
      </c>
      <c r="D715" s="3" t="s">
        <v>89</v>
      </c>
      <c r="E715" s="3"/>
      <c r="F715" s="3"/>
      <c r="G715" s="3"/>
      <c r="H715" s="3"/>
    </row>
    <row r="716" spans="1:8" x14ac:dyDescent="0.35">
      <c r="A716" s="3" t="s">
        <v>1010</v>
      </c>
      <c r="B716" s="3" t="s">
        <v>20</v>
      </c>
      <c r="C716" s="3" t="s">
        <v>1075</v>
      </c>
      <c r="D716" s="3" t="s">
        <v>32</v>
      </c>
      <c r="E716" s="3" t="s">
        <v>16</v>
      </c>
      <c r="F716" s="3" t="s">
        <v>2381</v>
      </c>
      <c r="G716" s="3"/>
      <c r="H716" s="3"/>
    </row>
    <row r="717" spans="1:8" x14ac:dyDescent="0.35">
      <c r="A717" s="3" t="s">
        <v>1010</v>
      </c>
      <c r="B717" s="3" t="s">
        <v>20</v>
      </c>
      <c r="C717" s="3" t="s">
        <v>1075</v>
      </c>
      <c r="D717" s="3" t="s">
        <v>152</v>
      </c>
      <c r="E717" s="3"/>
      <c r="F717" s="3"/>
      <c r="G717" s="3"/>
      <c r="H717" s="3"/>
    </row>
    <row r="718" spans="1:8" x14ac:dyDescent="0.35">
      <c r="A718" s="3" t="s">
        <v>1010</v>
      </c>
      <c r="B718" s="3" t="s">
        <v>20</v>
      </c>
      <c r="C718" s="3" t="s">
        <v>1075</v>
      </c>
      <c r="D718" s="3" t="s">
        <v>191</v>
      </c>
      <c r="E718" s="3"/>
      <c r="F718" s="3" t="s">
        <v>2382</v>
      </c>
      <c r="G718" s="3"/>
      <c r="H718" s="3"/>
    </row>
    <row r="719" spans="1:8" x14ac:dyDescent="0.35">
      <c r="A719" s="3" t="s">
        <v>1010</v>
      </c>
      <c r="B719" s="3" t="s">
        <v>20</v>
      </c>
      <c r="C719" s="3" t="s">
        <v>1075</v>
      </c>
      <c r="D719" s="3" t="s">
        <v>107</v>
      </c>
      <c r="E719" s="3" t="s">
        <v>16</v>
      </c>
      <c r="F719" s="3" t="s">
        <v>1065</v>
      </c>
      <c r="G719" s="3"/>
      <c r="H719" s="3"/>
    </row>
    <row r="720" spans="1:8" x14ac:dyDescent="0.35">
      <c r="A720" s="3" t="s">
        <v>1010</v>
      </c>
      <c r="B720" s="3" t="s">
        <v>20</v>
      </c>
      <c r="C720" s="3" t="s">
        <v>1075</v>
      </c>
      <c r="D720" s="3" t="s">
        <v>218</v>
      </c>
      <c r="E720" s="3" t="s">
        <v>33</v>
      </c>
      <c r="F720" s="3" t="s">
        <v>34</v>
      </c>
      <c r="G720" s="3"/>
      <c r="H720" s="3"/>
    </row>
    <row r="721" spans="1:8" x14ac:dyDescent="0.35">
      <c r="A721" s="3" t="s">
        <v>1010</v>
      </c>
      <c r="B721" s="3" t="s">
        <v>20</v>
      </c>
      <c r="C721" s="3" t="s">
        <v>1075</v>
      </c>
      <c r="D721" s="3" t="s">
        <v>1049</v>
      </c>
      <c r="E721" s="3"/>
      <c r="F721" s="3"/>
      <c r="G721" s="3"/>
      <c r="H721" s="3"/>
    </row>
    <row r="722" spans="1:8" x14ac:dyDescent="0.35">
      <c r="A722" s="3" t="s">
        <v>1010</v>
      </c>
      <c r="B722" s="3" t="s">
        <v>20</v>
      </c>
      <c r="C722" s="3" t="s">
        <v>1077</v>
      </c>
      <c r="D722" s="3" t="s">
        <v>77</v>
      </c>
      <c r="E722" s="3"/>
      <c r="F722" s="3"/>
      <c r="G722" s="3"/>
      <c r="H722" s="3"/>
    </row>
    <row r="723" spans="1:8" x14ac:dyDescent="0.35">
      <c r="A723" s="3" t="s">
        <v>1010</v>
      </c>
      <c r="B723" s="3" t="s">
        <v>20</v>
      </c>
      <c r="C723" s="3" t="s">
        <v>1077</v>
      </c>
      <c r="D723" s="3" t="s">
        <v>15</v>
      </c>
      <c r="E723" s="3" t="s">
        <v>16</v>
      </c>
      <c r="F723" s="3" t="s">
        <v>1078</v>
      </c>
      <c r="G723" s="3"/>
      <c r="H723" s="3"/>
    </row>
    <row r="724" spans="1:8" x14ac:dyDescent="0.35">
      <c r="A724" s="3" t="s">
        <v>1010</v>
      </c>
      <c r="B724" s="3" t="s">
        <v>20</v>
      </c>
      <c r="C724" s="3" t="s">
        <v>1077</v>
      </c>
      <c r="D724" s="3" t="s">
        <v>89</v>
      </c>
      <c r="E724" s="3"/>
      <c r="F724" s="3"/>
      <c r="G724" s="3"/>
      <c r="H724" s="3"/>
    </row>
    <row r="725" spans="1:8" x14ac:dyDescent="0.35">
      <c r="A725" s="3" t="s">
        <v>1010</v>
      </c>
      <c r="B725" s="3" t="s">
        <v>20</v>
      </c>
      <c r="C725" s="3" t="s">
        <v>1077</v>
      </c>
      <c r="D725" s="3" t="s">
        <v>29</v>
      </c>
      <c r="E725" s="3"/>
      <c r="F725" s="3"/>
      <c r="G725" s="3"/>
      <c r="H725" s="3"/>
    </row>
    <row r="726" spans="1:8" x14ac:dyDescent="0.35">
      <c r="A726" s="3" t="s">
        <v>1010</v>
      </c>
      <c r="B726" s="3" t="s">
        <v>20</v>
      </c>
      <c r="C726" s="3" t="s">
        <v>1077</v>
      </c>
      <c r="D726" s="3" t="s">
        <v>152</v>
      </c>
      <c r="E726" s="3"/>
      <c r="F726" s="3"/>
      <c r="G726" s="3"/>
      <c r="H726" s="3"/>
    </row>
    <row r="727" spans="1:8" x14ac:dyDescent="0.35">
      <c r="A727" s="3" t="s">
        <v>1010</v>
      </c>
      <c r="B727" s="3" t="s">
        <v>20</v>
      </c>
      <c r="C727" s="3" t="s">
        <v>1077</v>
      </c>
      <c r="D727" s="3" t="s">
        <v>134</v>
      </c>
      <c r="E727" s="3"/>
      <c r="F727" s="3"/>
      <c r="G727" s="3"/>
      <c r="H727" s="3"/>
    </row>
    <row r="728" spans="1:8" x14ac:dyDescent="0.35">
      <c r="A728" s="3" t="s">
        <v>1010</v>
      </c>
      <c r="B728" s="3" t="s">
        <v>20</v>
      </c>
      <c r="C728" s="3" t="s">
        <v>1077</v>
      </c>
      <c r="D728" s="3" t="s">
        <v>191</v>
      </c>
      <c r="E728" s="3"/>
      <c r="F728" s="3"/>
      <c r="G728" s="3"/>
      <c r="H728" s="3"/>
    </row>
    <row r="729" spans="1:8" x14ac:dyDescent="0.35">
      <c r="A729" s="3" t="s">
        <v>1010</v>
      </c>
      <c r="B729" s="3" t="s">
        <v>20</v>
      </c>
      <c r="C729" s="3" t="s">
        <v>1077</v>
      </c>
      <c r="D729" s="3" t="s">
        <v>218</v>
      </c>
      <c r="E729" s="3" t="s">
        <v>33</v>
      </c>
      <c r="F729" s="3" t="s">
        <v>34</v>
      </c>
      <c r="G729" s="3"/>
      <c r="H729" s="3"/>
    </row>
    <row r="730" spans="1:8" x14ac:dyDescent="0.35">
      <c r="A730" s="3" t="s">
        <v>1010</v>
      </c>
      <c r="B730" s="3" t="s">
        <v>20</v>
      </c>
      <c r="C730" s="3" t="s">
        <v>1077</v>
      </c>
      <c r="D730" s="3" t="s">
        <v>968</v>
      </c>
      <c r="E730" s="3"/>
      <c r="F730" s="3"/>
      <c r="G730" s="3"/>
      <c r="H730" s="3"/>
    </row>
    <row r="731" spans="1:8" x14ac:dyDescent="0.35">
      <c r="A731" s="3" t="s">
        <v>1010</v>
      </c>
      <c r="B731" s="3" t="s">
        <v>20</v>
      </c>
      <c r="C731" s="3" t="s">
        <v>1079</v>
      </c>
      <c r="D731" s="3" t="s">
        <v>77</v>
      </c>
      <c r="E731" s="3"/>
      <c r="F731" s="3"/>
      <c r="G731" s="3"/>
      <c r="H731" s="3"/>
    </row>
    <row r="732" spans="1:8" x14ac:dyDescent="0.35">
      <c r="A732" s="3" t="s">
        <v>1010</v>
      </c>
      <c r="B732" s="3" t="s">
        <v>20</v>
      </c>
      <c r="C732" s="3" t="s">
        <v>1079</v>
      </c>
      <c r="D732" s="3" t="s">
        <v>15</v>
      </c>
      <c r="E732" s="3"/>
      <c r="F732" s="3"/>
      <c r="G732" s="3"/>
      <c r="H732" s="3"/>
    </row>
    <row r="733" spans="1:8" x14ac:dyDescent="0.35">
      <c r="A733" s="3" t="s">
        <v>1010</v>
      </c>
      <c r="B733" s="3" t="s">
        <v>20</v>
      </c>
      <c r="C733" s="3" t="s">
        <v>1079</v>
      </c>
      <c r="D733" s="3" t="s">
        <v>56</v>
      </c>
      <c r="E733" s="3"/>
      <c r="F733" s="3"/>
      <c r="G733" s="3"/>
      <c r="H733" s="3"/>
    </row>
    <row r="734" spans="1:8" x14ac:dyDescent="0.35">
      <c r="A734" s="3" t="s">
        <v>1010</v>
      </c>
      <c r="B734" s="3" t="s">
        <v>20</v>
      </c>
      <c r="C734" s="3" t="s">
        <v>1079</v>
      </c>
      <c r="D734" s="3" t="s">
        <v>152</v>
      </c>
      <c r="E734" s="3"/>
      <c r="F734" s="3"/>
      <c r="G734" s="3"/>
      <c r="H734" s="3"/>
    </row>
    <row r="735" spans="1:8" x14ac:dyDescent="0.35">
      <c r="A735" s="3" t="s">
        <v>1010</v>
      </c>
      <c r="B735" s="3" t="s">
        <v>20</v>
      </c>
      <c r="C735" s="3" t="s">
        <v>1079</v>
      </c>
      <c r="D735" s="3" t="s">
        <v>191</v>
      </c>
      <c r="E735" s="3"/>
      <c r="F735" s="3"/>
      <c r="G735" s="3"/>
      <c r="H735" s="3"/>
    </row>
    <row r="736" spans="1:8" x14ac:dyDescent="0.35">
      <c r="A736" s="3" t="s">
        <v>1010</v>
      </c>
      <c r="B736" s="3" t="s">
        <v>20</v>
      </c>
      <c r="C736" s="3" t="s">
        <v>1080</v>
      </c>
      <c r="D736" s="3" t="s">
        <v>77</v>
      </c>
      <c r="E736" s="3"/>
      <c r="F736" s="3"/>
      <c r="G736" s="3"/>
      <c r="H736" s="3"/>
    </row>
    <row r="737" spans="1:8" x14ac:dyDescent="0.35">
      <c r="A737" s="3" t="s">
        <v>1010</v>
      </c>
      <c r="B737" s="3" t="s">
        <v>20</v>
      </c>
      <c r="C737" s="3" t="s">
        <v>1080</v>
      </c>
      <c r="D737" s="3" t="s">
        <v>28</v>
      </c>
      <c r="E737" s="3"/>
      <c r="F737" s="3" t="s">
        <v>2383</v>
      </c>
      <c r="G737" s="3"/>
      <c r="H737" s="3"/>
    </row>
    <row r="738" spans="1:8" x14ac:dyDescent="0.35">
      <c r="A738" s="3" t="s">
        <v>1010</v>
      </c>
      <c r="B738" s="3" t="s">
        <v>20</v>
      </c>
      <c r="C738" s="3" t="s">
        <v>1080</v>
      </c>
      <c r="D738" s="3" t="s">
        <v>242</v>
      </c>
      <c r="E738" s="3"/>
      <c r="F738" s="3"/>
      <c r="G738" s="3"/>
      <c r="H738" s="3"/>
    </row>
    <row r="739" spans="1:8" x14ac:dyDescent="0.35">
      <c r="A739" s="3" t="s">
        <v>1010</v>
      </c>
      <c r="B739" s="3" t="s">
        <v>20</v>
      </c>
      <c r="C739" s="3" t="s">
        <v>1080</v>
      </c>
      <c r="D739" s="3" t="s">
        <v>15</v>
      </c>
      <c r="E739" s="3" t="s">
        <v>16</v>
      </c>
      <c r="F739" s="3" t="s">
        <v>2967</v>
      </c>
      <c r="G739" s="3"/>
      <c r="H739" s="3"/>
    </row>
    <row r="740" spans="1:8" x14ac:dyDescent="0.35">
      <c r="A740" s="3" t="s">
        <v>1010</v>
      </c>
      <c r="B740" s="3" t="s">
        <v>20</v>
      </c>
      <c r="C740" s="3" t="s">
        <v>1080</v>
      </c>
      <c r="D740" s="3" t="s">
        <v>56</v>
      </c>
      <c r="E740" s="3"/>
      <c r="F740" s="3"/>
      <c r="G740" s="3"/>
      <c r="H740" s="3"/>
    </row>
    <row r="741" spans="1:8" x14ac:dyDescent="0.35">
      <c r="A741" s="3" t="s">
        <v>1010</v>
      </c>
      <c r="B741" s="3" t="s">
        <v>20</v>
      </c>
      <c r="C741" s="3" t="s">
        <v>1080</v>
      </c>
      <c r="D741" s="3" t="s">
        <v>89</v>
      </c>
      <c r="E741" s="3"/>
      <c r="F741" s="3"/>
      <c r="G741" s="3"/>
      <c r="H741" s="3"/>
    </row>
    <row r="742" spans="1:8" x14ac:dyDescent="0.35">
      <c r="A742" s="3" t="s">
        <v>1010</v>
      </c>
      <c r="B742" s="3" t="s">
        <v>20</v>
      </c>
      <c r="C742" s="3" t="s">
        <v>1080</v>
      </c>
      <c r="D742" s="3" t="s">
        <v>152</v>
      </c>
      <c r="E742" s="3"/>
      <c r="F742" s="3"/>
      <c r="G742" s="3"/>
      <c r="H742" s="3"/>
    </row>
    <row r="743" spans="1:8" x14ac:dyDescent="0.35">
      <c r="A743" s="3" t="s">
        <v>1010</v>
      </c>
      <c r="B743" s="3" t="s">
        <v>42</v>
      </c>
      <c r="C743" s="3" t="s">
        <v>1081</v>
      </c>
      <c r="D743" s="3" t="s">
        <v>23</v>
      </c>
      <c r="E743" s="3"/>
      <c r="F743" s="3"/>
      <c r="G743" s="3"/>
      <c r="H743" s="3"/>
    </row>
    <row r="744" spans="1:8" x14ac:dyDescent="0.35">
      <c r="A744" s="3" t="s">
        <v>1010</v>
      </c>
      <c r="B744" s="3" t="s">
        <v>42</v>
      </c>
      <c r="C744" s="3" t="s">
        <v>1081</v>
      </c>
      <c r="D744" s="3" t="s">
        <v>71</v>
      </c>
      <c r="E744" s="3"/>
      <c r="F744" s="3"/>
      <c r="G744" s="3"/>
      <c r="H744" s="3"/>
    </row>
    <row r="745" spans="1:8" x14ac:dyDescent="0.35">
      <c r="A745" s="3" t="s">
        <v>1010</v>
      </c>
      <c r="B745" s="3" t="s">
        <v>42</v>
      </c>
      <c r="C745" s="3" t="s">
        <v>1081</v>
      </c>
      <c r="D745" s="3" t="s">
        <v>77</v>
      </c>
      <c r="E745" s="3"/>
      <c r="F745" s="3"/>
      <c r="G745" s="3"/>
      <c r="H745" s="3"/>
    </row>
    <row r="746" spans="1:8" x14ac:dyDescent="0.35">
      <c r="A746" s="3" t="s">
        <v>1010</v>
      </c>
      <c r="B746" s="3" t="s">
        <v>42</v>
      </c>
      <c r="C746" s="3" t="s">
        <v>1081</v>
      </c>
      <c r="D746" s="3" t="s">
        <v>87</v>
      </c>
      <c r="E746" s="3" t="s">
        <v>16</v>
      </c>
      <c r="F746" s="3" t="s">
        <v>1082</v>
      </c>
      <c r="G746" s="3"/>
      <c r="H746" s="3"/>
    </row>
    <row r="747" spans="1:8" x14ac:dyDescent="0.35">
      <c r="A747" s="3" t="s">
        <v>1010</v>
      </c>
      <c r="B747" s="3" t="s">
        <v>42</v>
      </c>
      <c r="C747" s="3" t="s">
        <v>1081</v>
      </c>
      <c r="D747" s="3" t="s">
        <v>98</v>
      </c>
      <c r="E747" s="3" t="s">
        <v>16</v>
      </c>
      <c r="F747" s="3" t="s">
        <v>1083</v>
      </c>
      <c r="G747" s="3"/>
      <c r="H747" s="3"/>
    </row>
    <row r="748" spans="1:8" x14ac:dyDescent="0.35">
      <c r="A748" s="3" t="s">
        <v>1010</v>
      </c>
      <c r="B748" s="3" t="s">
        <v>42</v>
      </c>
      <c r="C748" s="3" t="s">
        <v>1081</v>
      </c>
      <c r="D748" s="3" t="s">
        <v>242</v>
      </c>
      <c r="E748" s="3"/>
      <c r="F748" s="3"/>
      <c r="G748" s="3"/>
      <c r="H748" s="3"/>
    </row>
    <row r="749" spans="1:8" x14ac:dyDescent="0.35">
      <c r="A749" s="3" t="s">
        <v>1010</v>
      </c>
      <c r="B749" s="3" t="s">
        <v>42</v>
      </c>
      <c r="C749" s="3" t="s">
        <v>1081</v>
      </c>
      <c r="D749" s="3" t="s">
        <v>185</v>
      </c>
      <c r="E749" s="3"/>
      <c r="F749" s="3"/>
      <c r="G749" s="3"/>
      <c r="H749" s="3"/>
    </row>
    <row r="750" spans="1:8" x14ac:dyDescent="0.35">
      <c r="A750" s="3" t="s">
        <v>1010</v>
      </c>
      <c r="B750" s="3" t="s">
        <v>42</v>
      </c>
      <c r="C750" s="3" t="s">
        <v>1081</v>
      </c>
      <c r="D750" s="3" t="s">
        <v>15</v>
      </c>
      <c r="E750" s="3" t="s">
        <v>16</v>
      </c>
      <c r="F750" s="3" t="s">
        <v>1084</v>
      </c>
      <c r="G750" s="3"/>
      <c r="H750" s="3"/>
    </row>
    <row r="751" spans="1:8" x14ac:dyDescent="0.35">
      <c r="A751" s="3" t="s">
        <v>1010</v>
      </c>
      <c r="B751" s="3" t="s">
        <v>42</v>
      </c>
      <c r="C751" s="3" t="s">
        <v>1081</v>
      </c>
      <c r="D751" s="3" t="s">
        <v>29</v>
      </c>
      <c r="E751" s="3"/>
      <c r="F751" s="3" t="s">
        <v>2384</v>
      </c>
      <c r="G751" s="3"/>
      <c r="H751" s="3"/>
    </row>
    <row r="752" spans="1:8" x14ac:dyDescent="0.35">
      <c r="A752" s="3" t="s">
        <v>1010</v>
      </c>
      <c r="B752" s="3" t="s">
        <v>42</v>
      </c>
      <c r="C752" s="3" t="s">
        <v>1081</v>
      </c>
      <c r="D752" s="3" t="s">
        <v>152</v>
      </c>
      <c r="E752" s="3"/>
      <c r="F752" s="3"/>
      <c r="G752" s="3"/>
      <c r="H752" s="3"/>
    </row>
    <row r="753" spans="1:8" x14ac:dyDescent="0.35">
      <c r="A753" s="3" t="s">
        <v>1010</v>
      </c>
      <c r="B753" s="3" t="s">
        <v>42</v>
      </c>
      <c r="C753" s="3" t="s">
        <v>1081</v>
      </c>
      <c r="D753" s="3" t="s">
        <v>134</v>
      </c>
      <c r="E753" s="3"/>
      <c r="F753" s="3"/>
      <c r="G753" s="3"/>
      <c r="H753" s="3"/>
    </row>
    <row r="754" spans="1:8" x14ac:dyDescent="0.35">
      <c r="A754" s="3" t="s">
        <v>1010</v>
      </c>
      <c r="B754" s="3" t="s">
        <v>42</v>
      </c>
      <c r="C754" s="3" t="s">
        <v>1081</v>
      </c>
      <c r="D754" s="3" t="s">
        <v>191</v>
      </c>
      <c r="E754" s="3"/>
      <c r="F754" s="3" t="s">
        <v>2354</v>
      </c>
      <c r="G754" s="3"/>
      <c r="H754" s="3"/>
    </row>
    <row r="755" spans="1:8" x14ac:dyDescent="0.35">
      <c r="A755" s="3" t="s">
        <v>1010</v>
      </c>
      <c r="B755" s="3" t="s">
        <v>42</v>
      </c>
      <c r="C755" s="3" t="s">
        <v>1081</v>
      </c>
      <c r="D755" s="3" t="s">
        <v>107</v>
      </c>
      <c r="E755" s="3" t="s">
        <v>16</v>
      </c>
      <c r="F755" s="3" t="s">
        <v>2385</v>
      </c>
      <c r="G755" s="3"/>
      <c r="H755" s="3"/>
    </row>
    <row r="756" spans="1:8" x14ac:dyDescent="0.35">
      <c r="A756" s="3" t="s">
        <v>1010</v>
      </c>
      <c r="B756" s="3" t="s">
        <v>42</v>
      </c>
      <c r="C756" s="3" t="s">
        <v>1081</v>
      </c>
      <c r="D756" s="3" t="s">
        <v>218</v>
      </c>
      <c r="E756" s="3" t="s">
        <v>33</v>
      </c>
      <c r="F756" s="3" t="s">
        <v>34</v>
      </c>
      <c r="G756" s="3"/>
      <c r="H756" s="3"/>
    </row>
    <row r="757" spans="1:8" x14ac:dyDescent="0.35">
      <c r="A757" s="3" t="s">
        <v>1010</v>
      </c>
      <c r="B757" s="3" t="s">
        <v>42</v>
      </c>
      <c r="C757" s="3" t="s">
        <v>1081</v>
      </c>
      <c r="D757" s="3" t="s">
        <v>1049</v>
      </c>
      <c r="E757" s="3"/>
      <c r="F757" s="3"/>
      <c r="G757" s="3"/>
      <c r="H757" s="3"/>
    </row>
    <row r="758" spans="1:8" x14ac:dyDescent="0.35">
      <c r="A758" s="3" t="s">
        <v>1010</v>
      </c>
      <c r="B758" s="3" t="s">
        <v>42</v>
      </c>
      <c r="C758" s="3" t="s">
        <v>1086</v>
      </c>
      <c r="D758" s="3" t="s">
        <v>15</v>
      </c>
      <c r="E758" s="3" t="s">
        <v>16</v>
      </c>
      <c r="F758" s="3" t="s">
        <v>1085</v>
      </c>
      <c r="G758" s="3"/>
      <c r="H758" s="3"/>
    </row>
    <row r="759" spans="1:8" x14ac:dyDescent="0.35">
      <c r="A759" s="3" t="s">
        <v>1010</v>
      </c>
      <c r="B759" s="3" t="s">
        <v>42</v>
      </c>
      <c r="C759" s="3" t="s">
        <v>1086</v>
      </c>
      <c r="D759" s="3" t="s">
        <v>107</v>
      </c>
      <c r="E759" s="3" t="s">
        <v>16</v>
      </c>
      <c r="F759" s="3" t="s">
        <v>1085</v>
      </c>
      <c r="G759" s="3"/>
      <c r="H759" s="3"/>
    </row>
    <row r="760" spans="1:8" x14ac:dyDescent="0.35">
      <c r="A760" s="3" t="s">
        <v>1010</v>
      </c>
      <c r="B760" s="3" t="s">
        <v>42</v>
      </c>
      <c r="C760" s="3" t="s">
        <v>1087</v>
      </c>
      <c r="D760" s="3" t="s">
        <v>15</v>
      </c>
      <c r="E760" s="3" t="s">
        <v>16</v>
      </c>
      <c r="F760" s="3" t="s">
        <v>1085</v>
      </c>
      <c r="G760" s="3"/>
      <c r="H760" s="3"/>
    </row>
    <row r="761" spans="1:8" x14ac:dyDescent="0.35">
      <c r="A761" s="3" t="s">
        <v>1010</v>
      </c>
      <c r="B761" s="3" t="s">
        <v>42</v>
      </c>
      <c r="C761" s="3" t="s">
        <v>1087</v>
      </c>
      <c r="D761" s="3" t="s">
        <v>107</v>
      </c>
      <c r="E761" s="3" t="s">
        <v>16</v>
      </c>
      <c r="F761" s="3" t="s">
        <v>1085</v>
      </c>
      <c r="G761" s="3"/>
      <c r="H761" s="3"/>
    </row>
    <row r="762" spans="1:8" x14ac:dyDescent="0.35">
      <c r="A762" s="3" t="s">
        <v>1010</v>
      </c>
      <c r="B762" s="3" t="s">
        <v>42</v>
      </c>
      <c r="C762" s="3" t="s">
        <v>1088</v>
      </c>
      <c r="D762" s="3" t="s">
        <v>15</v>
      </c>
      <c r="E762" s="3" t="s">
        <v>16</v>
      </c>
      <c r="F762" s="3" t="s">
        <v>1085</v>
      </c>
      <c r="G762" s="3"/>
      <c r="H762" s="3"/>
    </row>
    <row r="763" spans="1:8" x14ac:dyDescent="0.35">
      <c r="A763" s="3" t="s">
        <v>1010</v>
      </c>
      <c r="B763" s="3" t="s">
        <v>42</v>
      </c>
      <c r="C763" s="3" t="s">
        <v>1088</v>
      </c>
      <c r="D763" s="3" t="s">
        <v>107</v>
      </c>
      <c r="E763" s="3" t="s">
        <v>16</v>
      </c>
      <c r="F763" s="3" t="s">
        <v>1085</v>
      </c>
      <c r="G763" s="3"/>
      <c r="H763" s="3"/>
    </row>
    <row r="764" spans="1:8" x14ac:dyDescent="0.35">
      <c r="A764" s="3" t="s">
        <v>1010</v>
      </c>
      <c r="B764" s="3" t="s">
        <v>42</v>
      </c>
      <c r="C764" s="3" t="s">
        <v>1089</v>
      </c>
      <c r="D764" s="3" t="s">
        <v>15</v>
      </c>
      <c r="E764" s="3" t="s">
        <v>16</v>
      </c>
      <c r="F764" s="3" t="s">
        <v>1085</v>
      </c>
      <c r="G764" s="3"/>
      <c r="H764" s="3"/>
    </row>
    <row r="765" spans="1:8" x14ac:dyDescent="0.35">
      <c r="A765" s="3" t="s">
        <v>1010</v>
      </c>
      <c r="B765" s="3" t="s">
        <v>42</v>
      </c>
      <c r="C765" s="3" t="s">
        <v>1089</v>
      </c>
      <c r="D765" s="3" t="s">
        <v>107</v>
      </c>
      <c r="E765" s="3" t="s">
        <v>16</v>
      </c>
      <c r="F765" s="3" t="s">
        <v>1085</v>
      </c>
      <c r="G765" s="3"/>
      <c r="H765" s="3"/>
    </row>
    <row r="766" spans="1:8" x14ac:dyDescent="0.35">
      <c r="A766" s="3" t="s">
        <v>1010</v>
      </c>
      <c r="B766" s="3" t="s">
        <v>42</v>
      </c>
      <c r="C766" s="3" t="s">
        <v>1090</v>
      </c>
      <c r="D766" s="3" t="s">
        <v>15</v>
      </c>
      <c r="E766" s="3" t="s">
        <v>16</v>
      </c>
      <c r="F766" s="3" t="s">
        <v>1085</v>
      </c>
      <c r="G766" s="3"/>
      <c r="H766" s="3"/>
    </row>
    <row r="767" spans="1:8" x14ac:dyDescent="0.35">
      <c r="A767" s="3" t="s">
        <v>1010</v>
      </c>
      <c r="B767" s="3" t="s">
        <v>42</v>
      </c>
      <c r="C767" s="3" t="s">
        <v>1090</v>
      </c>
      <c r="D767" s="3" t="s">
        <v>107</v>
      </c>
      <c r="E767" s="3" t="s">
        <v>16</v>
      </c>
      <c r="F767" s="3" t="s">
        <v>1085</v>
      </c>
      <c r="G767" s="3"/>
      <c r="H767" s="3"/>
    </row>
    <row r="768" spans="1:8" x14ac:dyDescent="0.35">
      <c r="A768" s="3" t="s">
        <v>1010</v>
      </c>
      <c r="B768" s="3" t="s">
        <v>42</v>
      </c>
      <c r="C768" s="3" t="s">
        <v>1091</v>
      </c>
      <c r="D768" s="3" t="s">
        <v>15</v>
      </c>
      <c r="E768" s="3" t="s">
        <v>16</v>
      </c>
      <c r="F768" s="3" t="s">
        <v>1085</v>
      </c>
      <c r="G768" s="3"/>
      <c r="H768" s="3"/>
    </row>
    <row r="769" spans="1:8" x14ac:dyDescent="0.35">
      <c r="A769" s="3" t="s">
        <v>1010</v>
      </c>
      <c r="B769" s="3" t="s">
        <v>42</v>
      </c>
      <c r="C769" s="3" t="s">
        <v>1091</v>
      </c>
      <c r="D769" s="3" t="s">
        <v>107</v>
      </c>
      <c r="E769" s="3" t="s">
        <v>16</v>
      </c>
      <c r="F769" s="3" t="s">
        <v>1085</v>
      </c>
      <c r="G769" s="3"/>
      <c r="H769" s="3"/>
    </row>
    <row r="770" spans="1:8" x14ac:dyDescent="0.35">
      <c r="A770" s="3" t="s">
        <v>1010</v>
      </c>
      <c r="B770" s="3" t="s">
        <v>42</v>
      </c>
      <c r="C770" s="3" t="s">
        <v>1092</v>
      </c>
      <c r="D770" s="3" t="s">
        <v>15</v>
      </c>
      <c r="E770" s="3" t="s">
        <v>16</v>
      </c>
      <c r="F770" s="3" t="s">
        <v>1085</v>
      </c>
      <c r="G770" s="3"/>
      <c r="H770" s="3"/>
    </row>
    <row r="771" spans="1:8" x14ac:dyDescent="0.35">
      <c r="A771" s="3" t="s">
        <v>1010</v>
      </c>
      <c r="B771" s="3" t="s">
        <v>42</v>
      </c>
      <c r="C771" s="3" t="s">
        <v>1092</v>
      </c>
      <c r="D771" s="3" t="s">
        <v>107</v>
      </c>
      <c r="E771" s="3" t="s">
        <v>16</v>
      </c>
      <c r="F771" s="3" t="s">
        <v>1085</v>
      </c>
      <c r="G771" s="3"/>
      <c r="H771" s="3"/>
    </row>
    <row r="772" spans="1:8" x14ac:dyDescent="0.35">
      <c r="A772" s="3" t="s">
        <v>1010</v>
      </c>
      <c r="B772" s="3" t="s">
        <v>42</v>
      </c>
      <c r="C772" s="3" t="s">
        <v>1093</v>
      </c>
      <c r="D772" s="3" t="s">
        <v>28</v>
      </c>
      <c r="E772" s="3" t="s">
        <v>16</v>
      </c>
      <c r="F772" s="3" t="s">
        <v>1094</v>
      </c>
      <c r="G772" s="3"/>
      <c r="H772" s="3"/>
    </row>
    <row r="773" spans="1:8" x14ac:dyDescent="0.35">
      <c r="A773" s="3" t="s">
        <v>1010</v>
      </c>
      <c r="B773" s="3" t="s">
        <v>42</v>
      </c>
      <c r="C773" s="3" t="s">
        <v>1093</v>
      </c>
      <c r="D773" s="3" t="s">
        <v>15</v>
      </c>
      <c r="E773" s="3" t="s">
        <v>16</v>
      </c>
      <c r="F773" s="3" t="s">
        <v>1085</v>
      </c>
      <c r="G773" s="3"/>
      <c r="H773" s="3"/>
    </row>
    <row r="774" spans="1:8" x14ac:dyDescent="0.35">
      <c r="A774" s="3" t="s">
        <v>1010</v>
      </c>
      <c r="B774" s="3" t="s">
        <v>42</v>
      </c>
      <c r="C774" s="3" t="s">
        <v>1093</v>
      </c>
      <c r="D774" s="3" t="s">
        <v>29</v>
      </c>
      <c r="E774" s="3"/>
      <c r="F774" s="3"/>
      <c r="G774" s="3"/>
      <c r="H774" s="3"/>
    </row>
    <row r="775" spans="1:8" x14ac:dyDescent="0.35">
      <c r="A775" s="3" t="s">
        <v>1010</v>
      </c>
      <c r="B775" s="3" t="s">
        <v>42</v>
      </c>
      <c r="C775" s="3" t="s">
        <v>1093</v>
      </c>
      <c r="D775" s="3" t="s">
        <v>107</v>
      </c>
      <c r="E775" s="3" t="s">
        <v>16</v>
      </c>
      <c r="F775" s="3" t="s">
        <v>1085</v>
      </c>
      <c r="G775" s="3"/>
      <c r="H775" s="3"/>
    </row>
    <row r="776" spans="1:8" x14ac:dyDescent="0.35">
      <c r="A776" s="3" t="s">
        <v>1010</v>
      </c>
      <c r="B776" s="3" t="s">
        <v>42</v>
      </c>
      <c r="C776" s="3" t="s">
        <v>1095</v>
      </c>
      <c r="D776" s="3" t="s">
        <v>23</v>
      </c>
      <c r="E776" s="3" t="s">
        <v>16</v>
      </c>
      <c r="F776" s="3" t="s">
        <v>1085</v>
      </c>
      <c r="G776" s="3"/>
      <c r="H776" s="3"/>
    </row>
    <row r="777" spans="1:8" x14ac:dyDescent="0.35">
      <c r="A777" s="3" t="s">
        <v>1010</v>
      </c>
      <c r="B777" s="3" t="s">
        <v>42</v>
      </c>
      <c r="C777" s="3" t="s">
        <v>1095</v>
      </c>
      <c r="D777" s="3" t="s">
        <v>15</v>
      </c>
      <c r="E777" s="3" t="s">
        <v>16</v>
      </c>
      <c r="F777" s="3" t="s">
        <v>1085</v>
      </c>
      <c r="G777" s="3"/>
      <c r="H777" s="3"/>
    </row>
    <row r="778" spans="1:8" x14ac:dyDescent="0.35">
      <c r="A778" s="3" t="s">
        <v>1010</v>
      </c>
      <c r="B778" s="3" t="s">
        <v>42</v>
      </c>
      <c r="C778" s="3" t="s">
        <v>1095</v>
      </c>
      <c r="D778" s="3" t="s">
        <v>107</v>
      </c>
      <c r="E778" s="3" t="s">
        <v>16</v>
      </c>
      <c r="F778" s="3" t="s">
        <v>1085</v>
      </c>
      <c r="G778" s="3"/>
      <c r="H778" s="3"/>
    </row>
    <row r="779" spans="1:8" x14ac:dyDescent="0.35">
      <c r="A779" s="3" t="s">
        <v>1010</v>
      </c>
      <c r="B779" s="3" t="s">
        <v>42</v>
      </c>
      <c r="C779" s="3" t="s">
        <v>1096</v>
      </c>
      <c r="D779" s="3" t="s">
        <v>15</v>
      </c>
      <c r="E779" s="3" t="s">
        <v>16</v>
      </c>
      <c r="F779" s="3" t="s">
        <v>1085</v>
      </c>
      <c r="G779" s="3"/>
      <c r="H779" s="3"/>
    </row>
    <row r="780" spans="1:8" x14ac:dyDescent="0.35">
      <c r="A780" s="3" t="s">
        <v>1010</v>
      </c>
      <c r="B780" s="3" t="s">
        <v>42</v>
      </c>
      <c r="C780" s="3" t="s">
        <v>1096</v>
      </c>
      <c r="D780" s="3" t="s">
        <v>107</v>
      </c>
      <c r="E780" s="3" t="s">
        <v>16</v>
      </c>
      <c r="F780" s="3" t="s">
        <v>1085</v>
      </c>
      <c r="G780" s="3"/>
      <c r="H780" s="3"/>
    </row>
    <row r="781" spans="1:8" x14ac:dyDescent="0.35">
      <c r="A781" s="3" t="s">
        <v>1010</v>
      </c>
      <c r="B781" s="3" t="s">
        <v>42</v>
      </c>
      <c r="C781" s="3" t="s">
        <v>1097</v>
      </c>
      <c r="D781" s="3" t="s">
        <v>15</v>
      </c>
      <c r="E781" s="3" t="s">
        <v>16</v>
      </c>
      <c r="F781" s="3" t="s">
        <v>1085</v>
      </c>
      <c r="G781" s="3"/>
      <c r="H781" s="3"/>
    </row>
    <row r="782" spans="1:8" x14ac:dyDescent="0.35">
      <c r="A782" s="3" t="s">
        <v>1010</v>
      </c>
      <c r="B782" s="3" t="s">
        <v>42</v>
      </c>
      <c r="C782" s="3" t="s">
        <v>1097</v>
      </c>
      <c r="D782" s="3" t="s">
        <v>107</v>
      </c>
      <c r="E782" s="3" t="s">
        <v>16</v>
      </c>
      <c r="F782" s="3" t="s">
        <v>1085</v>
      </c>
      <c r="G782" s="3"/>
      <c r="H782" s="3"/>
    </row>
    <row r="783" spans="1:8" x14ac:dyDescent="0.35">
      <c r="A783" s="3" t="s">
        <v>1010</v>
      </c>
      <c r="B783" s="3" t="s">
        <v>42</v>
      </c>
      <c r="C783" s="3" t="s">
        <v>1098</v>
      </c>
      <c r="D783" s="3" t="s">
        <v>15</v>
      </c>
      <c r="E783" s="3" t="s">
        <v>16</v>
      </c>
      <c r="F783" s="3" t="s">
        <v>1085</v>
      </c>
      <c r="G783" s="3"/>
      <c r="H783" s="3"/>
    </row>
    <row r="784" spans="1:8" x14ac:dyDescent="0.35">
      <c r="A784" s="3" t="s">
        <v>1010</v>
      </c>
      <c r="B784" s="3" t="s">
        <v>42</v>
      </c>
      <c r="C784" s="3" t="s">
        <v>1098</v>
      </c>
      <c r="D784" s="3" t="s">
        <v>107</v>
      </c>
      <c r="E784" s="3" t="s">
        <v>16</v>
      </c>
      <c r="F784" s="3" t="s">
        <v>1085</v>
      </c>
      <c r="G784" s="3"/>
      <c r="H784" s="3"/>
    </row>
    <row r="785" spans="1:8" x14ac:dyDescent="0.35">
      <c r="A785" s="3" t="s">
        <v>1010</v>
      </c>
      <c r="B785" s="3" t="s">
        <v>20</v>
      </c>
      <c r="C785" s="3" t="s">
        <v>1099</v>
      </c>
      <c r="D785" s="3" t="s">
        <v>77</v>
      </c>
      <c r="E785" s="3" t="s">
        <v>16</v>
      </c>
      <c r="F785" s="3" t="s">
        <v>1100</v>
      </c>
      <c r="G785" s="3"/>
      <c r="H785" s="3"/>
    </row>
    <row r="786" spans="1:8" x14ac:dyDescent="0.35">
      <c r="A786" s="3" t="s">
        <v>1010</v>
      </c>
      <c r="B786" s="3" t="s">
        <v>20</v>
      </c>
      <c r="C786" s="3" t="s">
        <v>1099</v>
      </c>
      <c r="D786" s="3" t="s">
        <v>15</v>
      </c>
      <c r="E786" s="3" t="s">
        <v>16</v>
      </c>
      <c r="F786" s="3" t="s">
        <v>1101</v>
      </c>
      <c r="G786" s="3"/>
      <c r="H786" s="3"/>
    </row>
    <row r="787" spans="1:8" x14ac:dyDescent="0.35">
      <c r="A787" s="3" t="s">
        <v>1010</v>
      </c>
      <c r="B787" s="3" t="s">
        <v>20</v>
      </c>
      <c r="C787" s="3" t="s">
        <v>1099</v>
      </c>
      <c r="D787" s="3" t="s">
        <v>152</v>
      </c>
      <c r="E787" s="3" t="s">
        <v>16</v>
      </c>
      <c r="F787" s="3" t="s">
        <v>1100</v>
      </c>
      <c r="G787" s="3"/>
      <c r="H787" s="3"/>
    </row>
    <row r="788" spans="1:8" x14ac:dyDescent="0.35">
      <c r="A788" s="3" t="s">
        <v>1010</v>
      </c>
      <c r="B788" s="3" t="s">
        <v>20</v>
      </c>
      <c r="C788" s="3" t="s">
        <v>1099</v>
      </c>
      <c r="D788" s="3" t="s">
        <v>134</v>
      </c>
      <c r="E788" s="3" t="s">
        <v>16</v>
      </c>
      <c r="F788" s="3" t="s">
        <v>1101</v>
      </c>
      <c r="G788" s="3"/>
      <c r="H788" s="3"/>
    </row>
    <row r="789" spans="1:8" x14ac:dyDescent="0.35">
      <c r="A789" s="3" t="s">
        <v>1010</v>
      </c>
      <c r="B789" s="3" t="s">
        <v>20</v>
      </c>
      <c r="C789" s="3" t="s">
        <v>1099</v>
      </c>
      <c r="D789" s="3" t="s">
        <v>191</v>
      </c>
      <c r="E789" s="3"/>
      <c r="F789" s="3" t="s">
        <v>2354</v>
      </c>
      <c r="G789" s="3"/>
      <c r="H789" s="3"/>
    </row>
    <row r="790" spans="1:8" x14ac:dyDescent="0.35">
      <c r="A790" s="3" t="s">
        <v>1010</v>
      </c>
      <c r="B790" s="3" t="s">
        <v>20</v>
      </c>
      <c r="C790" s="3" t="s">
        <v>1102</v>
      </c>
      <c r="D790" s="3" t="s">
        <v>60</v>
      </c>
      <c r="E790" s="3"/>
      <c r="F790" s="3"/>
      <c r="G790" s="3"/>
      <c r="H790" s="3"/>
    </row>
    <row r="791" spans="1:8" x14ac:dyDescent="0.35">
      <c r="A791" s="3" t="s">
        <v>1010</v>
      </c>
      <c r="B791" s="3" t="s">
        <v>20</v>
      </c>
      <c r="C791" s="3" t="s">
        <v>1102</v>
      </c>
      <c r="D791" s="3" t="s">
        <v>77</v>
      </c>
      <c r="E791" s="3"/>
      <c r="F791" s="3"/>
      <c r="G791" s="3"/>
      <c r="H791" s="3"/>
    </row>
    <row r="792" spans="1:8" x14ac:dyDescent="0.35">
      <c r="A792" s="3" t="s">
        <v>1010</v>
      </c>
      <c r="B792" s="3" t="s">
        <v>20</v>
      </c>
      <c r="C792" s="3" t="s">
        <v>1102</v>
      </c>
      <c r="D792" s="3" t="s">
        <v>28</v>
      </c>
      <c r="E792" s="3"/>
      <c r="F792" s="3" t="s">
        <v>2393</v>
      </c>
      <c r="G792" s="3"/>
      <c r="H792" s="12"/>
    </row>
    <row r="793" spans="1:8" x14ac:dyDescent="0.35">
      <c r="A793" s="3" t="s">
        <v>1010</v>
      </c>
      <c r="B793" s="3" t="s">
        <v>20</v>
      </c>
      <c r="C793" s="3" t="s">
        <v>1102</v>
      </c>
      <c r="D793" s="3" t="s">
        <v>242</v>
      </c>
      <c r="E793" s="3"/>
      <c r="F793" s="3" t="s">
        <v>2565</v>
      </c>
      <c r="G793" s="3"/>
      <c r="H793" s="12"/>
    </row>
    <row r="794" spans="1:8" x14ac:dyDescent="0.35">
      <c r="A794" s="3" t="s">
        <v>1010</v>
      </c>
      <c r="B794" s="3" t="s">
        <v>20</v>
      </c>
      <c r="C794" s="3" t="s">
        <v>1102</v>
      </c>
      <c r="D794" s="3" t="s">
        <v>15</v>
      </c>
      <c r="E794" s="3"/>
      <c r="F794" s="3"/>
      <c r="G794" s="3"/>
      <c r="H794" s="3"/>
    </row>
    <row r="795" spans="1:8" x14ac:dyDescent="0.35">
      <c r="A795" s="3" t="s">
        <v>1010</v>
      </c>
      <c r="B795" s="3" t="s">
        <v>20</v>
      </c>
      <c r="C795" s="3" t="s">
        <v>1102</v>
      </c>
      <c r="D795" s="3" t="s">
        <v>56</v>
      </c>
      <c r="E795" s="3"/>
      <c r="F795" s="3"/>
      <c r="G795" s="3"/>
      <c r="H795" s="3"/>
    </row>
    <row r="796" spans="1:8" x14ac:dyDescent="0.35">
      <c r="A796" s="3" t="s">
        <v>1010</v>
      </c>
      <c r="B796" s="3" t="s">
        <v>20</v>
      </c>
      <c r="C796" s="3" t="s">
        <v>1102</v>
      </c>
      <c r="D796" s="3" t="s">
        <v>152</v>
      </c>
      <c r="E796" s="3"/>
      <c r="F796" s="3"/>
      <c r="G796" s="3"/>
      <c r="H796" s="3"/>
    </row>
    <row r="797" spans="1:8" x14ac:dyDescent="0.35">
      <c r="A797" s="3" t="s">
        <v>1010</v>
      </c>
      <c r="B797" s="3" t="s">
        <v>20</v>
      </c>
      <c r="C797" s="3" t="s">
        <v>1102</v>
      </c>
      <c r="D797" s="3" t="s">
        <v>107</v>
      </c>
      <c r="E797" s="3"/>
      <c r="F797" s="3"/>
      <c r="G797" s="3"/>
      <c r="H797" s="3"/>
    </row>
    <row r="798" spans="1:8" x14ac:dyDescent="0.35">
      <c r="A798" s="3" t="s">
        <v>1010</v>
      </c>
      <c r="B798" s="3" t="s">
        <v>20</v>
      </c>
      <c r="C798" s="3" t="s">
        <v>1102</v>
      </c>
      <c r="D798" s="3" t="s">
        <v>968</v>
      </c>
      <c r="E798" s="3"/>
      <c r="F798" s="3"/>
      <c r="G798" s="3"/>
      <c r="H798" s="3"/>
    </row>
    <row r="799" spans="1:8" x14ac:dyDescent="0.35">
      <c r="A799" s="3" t="s">
        <v>1010</v>
      </c>
      <c r="B799" s="3" t="s">
        <v>45</v>
      </c>
      <c r="C799" s="3" t="s">
        <v>1103</v>
      </c>
      <c r="D799" s="3" t="s">
        <v>166</v>
      </c>
      <c r="E799" s="3"/>
      <c r="F799" s="3"/>
      <c r="G799" s="3"/>
      <c r="H799" s="3"/>
    </row>
    <row r="800" spans="1:8" x14ac:dyDescent="0.35">
      <c r="A800" s="3" t="s">
        <v>1010</v>
      </c>
      <c r="B800" s="3" t="s">
        <v>45</v>
      </c>
      <c r="C800" s="3" t="s">
        <v>1103</v>
      </c>
      <c r="D800" s="3" t="s">
        <v>1016</v>
      </c>
      <c r="E800" s="3"/>
      <c r="F800" s="3"/>
      <c r="G800" s="3"/>
      <c r="H800" s="3"/>
    </row>
    <row r="801" spans="1:8" x14ac:dyDescent="0.35">
      <c r="A801" s="3" t="s">
        <v>1010</v>
      </c>
      <c r="B801" s="3" t="s">
        <v>45</v>
      </c>
      <c r="C801" s="3" t="s">
        <v>1103</v>
      </c>
      <c r="D801" s="3" t="s">
        <v>225</v>
      </c>
      <c r="E801" s="3"/>
      <c r="F801" s="3"/>
      <c r="G801" s="3"/>
      <c r="H801" s="3"/>
    </row>
    <row r="802" spans="1:8" x14ac:dyDescent="0.35">
      <c r="A802" s="3" t="s">
        <v>1010</v>
      </c>
      <c r="B802" s="3" t="s">
        <v>45</v>
      </c>
      <c r="C802" s="3" t="s">
        <v>1103</v>
      </c>
      <c r="D802" s="3" t="s">
        <v>71</v>
      </c>
      <c r="E802" s="3"/>
      <c r="F802" s="3"/>
      <c r="G802" s="3"/>
      <c r="H802" s="3"/>
    </row>
    <row r="803" spans="1:8" x14ac:dyDescent="0.35">
      <c r="A803" s="3" t="s">
        <v>1010</v>
      </c>
      <c r="B803" s="3" t="s">
        <v>45</v>
      </c>
      <c r="C803" s="3" t="s">
        <v>1103</v>
      </c>
      <c r="D803" s="3" t="s">
        <v>28</v>
      </c>
      <c r="E803" s="3"/>
      <c r="F803" s="3"/>
      <c r="G803" s="3"/>
      <c r="H803" s="3"/>
    </row>
    <row r="804" spans="1:8" x14ac:dyDescent="0.35">
      <c r="A804" s="3" t="s">
        <v>1010</v>
      </c>
      <c r="B804" s="3" t="s">
        <v>45</v>
      </c>
      <c r="C804" s="3" t="s">
        <v>1103</v>
      </c>
      <c r="D804" s="3" t="s">
        <v>221</v>
      </c>
      <c r="E804" s="3"/>
      <c r="F804" s="3"/>
      <c r="G804" s="3"/>
      <c r="H804" s="3"/>
    </row>
    <row r="805" spans="1:8" x14ac:dyDescent="0.35">
      <c r="A805" s="3" t="s">
        <v>1010</v>
      </c>
      <c r="B805" s="3" t="s">
        <v>45</v>
      </c>
      <c r="C805" s="3" t="s">
        <v>1103</v>
      </c>
      <c r="D805" s="3" t="s">
        <v>222</v>
      </c>
      <c r="E805" s="3"/>
      <c r="F805" s="3"/>
      <c r="G805" s="3"/>
      <c r="H805" s="3"/>
    </row>
    <row r="806" spans="1:8" x14ac:dyDescent="0.35">
      <c r="A806" s="3" t="s">
        <v>1010</v>
      </c>
      <c r="B806" s="3" t="s">
        <v>45</v>
      </c>
      <c r="C806" s="3" t="s">
        <v>1103</v>
      </c>
      <c r="D806" s="3" t="s">
        <v>223</v>
      </c>
      <c r="E806" s="3"/>
      <c r="F806" s="3"/>
      <c r="G806" s="3"/>
      <c r="H806" s="3"/>
    </row>
    <row r="807" spans="1:8" x14ac:dyDescent="0.35">
      <c r="A807" s="3" t="s">
        <v>1010</v>
      </c>
      <c r="B807" s="3" t="s">
        <v>45</v>
      </c>
      <c r="C807" s="3" t="s">
        <v>1103</v>
      </c>
      <c r="D807" s="3" t="s">
        <v>15</v>
      </c>
      <c r="E807" s="3" t="s">
        <v>16</v>
      </c>
      <c r="F807" s="3" t="s">
        <v>990</v>
      </c>
      <c r="G807" s="3"/>
      <c r="H807" s="3"/>
    </row>
    <row r="808" spans="1:8" x14ac:dyDescent="0.35">
      <c r="A808" s="3" t="s">
        <v>1010</v>
      </c>
      <c r="B808" s="3" t="s">
        <v>45</v>
      </c>
      <c r="C808" s="3" t="s">
        <v>1103</v>
      </c>
      <c r="D808" s="3" t="s">
        <v>226</v>
      </c>
      <c r="E808" s="3"/>
      <c r="F808" s="3"/>
      <c r="G808" s="3"/>
      <c r="H808" s="3"/>
    </row>
    <row r="809" spans="1:8" x14ac:dyDescent="0.35">
      <c r="A809" s="3" t="s">
        <v>1010</v>
      </c>
      <c r="B809" s="3" t="s">
        <v>45</v>
      </c>
      <c r="C809" s="3" t="s">
        <v>1103</v>
      </c>
      <c r="D809" s="3" t="s">
        <v>227</v>
      </c>
      <c r="E809" s="3"/>
      <c r="F809" s="3"/>
      <c r="G809" s="3"/>
      <c r="H809" s="3"/>
    </row>
    <row r="810" spans="1:8" x14ac:dyDescent="0.35">
      <c r="A810" s="3" t="s">
        <v>1010</v>
      </c>
      <c r="B810" s="3" t="s">
        <v>45</v>
      </c>
      <c r="C810" s="3" t="s">
        <v>1103</v>
      </c>
      <c r="D810" s="3" t="s">
        <v>228</v>
      </c>
      <c r="E810" s="3"/>
      <c r="F810" s="3"/>
      <c r="G810" s="3"/>
      <c r="H810" s="3"/>
    </row>
    <row r="811" spans="1:8" x14ac:dyDescent="0.35">
      <c r="A811" s="3" t="s">
        <v>1010</v>
      </c>
      <c r="B811" s="3" t="s">
        <v>45</v>
      </c>
      <c r="C811" s="3" t="s">
        <v>1103</v>
      </c>
      <c r="D811" s="3" t="s">
        <v>56</v>
      </c>
      <c r="E811" s="3"/>
      <c r="F811" s="3" t="s">
        <v>2394</v>
      </c>
      <c r="G811" s="3"/>
      <c r="H811" s="3"/>
    </row>
    <row r="812" spans="1:8" x14ac:dyDescent="0.35">
      <c r="A812" s="3" t="s">
        <v>1010</v>
      </c>
      <c r="B812" s="3" t="s">
        <v>45</v>
      </c>
      <c r="C812" s="3" t="s">
        <v>1103</v>
      </c>
      <c r="D812" s="3" t="s">
        <v>229</v>
      </c>
      <c r="E812" s="3"/>
      <c r="F812" s="3"/>
      <c r="G812" s="3"/>
      <c r="H812" s="3"/>
    </row>
    <row r="813" spans="1:8" x14ac:dyDescent="0.35">
      <c r="A813" s="3" t="s">
        <v>1010</v>
      </c>
      <c r="B813" s="3" t="s">
        <v>45</v>
      </c>
      <c r="C813" s="3" t="s">
        <v>1103</v>
      </c>
      <c r="D813" s="3" t="s">
        <v>230</v>
      </c>
      <c r="E813" s="3"/>
      <c r="F813" s="3"/>
      <c r="G813" s="3"/>
      <c r="H813" s="3"/>
    </row>
    <row r="814" spans="1:8" x14ac:dyDescent="0.35">
      <c r="A814" s="3" t="s">
        <v>1010</v>
      </c>
      <c r="B814" s="3" t="s">
        <v>45</v>
      </c>
      <c r="C814" s="3" t="s">
        <v>1103</v>
      </c>
      <c r="D814" s="3" t="s">
        <v>219</v>
      </c>
      <c r="E814" s="3"/>
      <c r="F814" s="3"/>
      <c r="G814" s="3"/>
      <c r="H814" s="3"/>
    </row>
    <row r="815" spans="1:8" x14ac:dyDescent="0.35">
      <c r="A815" s="3" t="s">
        <v>1010</v>
      </c>
      <c r="B815" s="3" t="s">
        <v>45</v>
      </c>
      <c r="C815" s="3" t="s">
        <v>1103</v>
      </c>
      <c r="D815" s="3" t="s">
        <v>134</v>
      </c>
      <c r="E815" s="3"/>
      <c r="F815" s="3"/>
      <c r="G815" s="3"/>
      <c r="H815" s="3"/>
    </row>
    <row r="816" spans="1:8" x14ac:dyDescent="0.35">
      <c r="A816" s="3" t="s">
        <v>1010</v>
      </c>
      <c r="B816" s="3" t="s">
        <v>45</v>
      </c>
      <c r="C816" s="3" t="s">
        <v>1103</v>
      </c>
      <c r="D816" s="3" t="s">
        <v>372</v>
      </c>
      <c r="E816" s="3"/>
      <c r="F816" s="3"/>
      <c r="G816" s="3"/>
      <c r="H816" s="3"/>
    </row>
    <row r="817" spans="1:8" x14ac:dyDescent="0.35">
      <c r="A817" s="3" t="s">
        <v>1010</v>
      </c>
      <c r="B817" s="3" t="s">
        <v>45</v>
      </c>
      <c r="C817" s="3" t="s">
        <v>1103</v>
      </c>
      <c r="D817" s="3" t="s">
        <v>218</v>
      </c>
      <c r="E817" s="3"/>
      <c r="F817" s="3"/>
      <c r="G817" s="3"/>
      <c r="H817" s="3"/>
    </row>
    <row r="818" spans="1:8" x14ac:dyDescent="0.35">
      <c r="A818" s="3" t="s">
        <v>1010</v>
      </c>
      <c r="B818" s="3" t="s">
        <v>45</v>
      </c>
      <c r="C818" s="3" t="s">
        <v>1103</v>
      </c>
      <c r="D818" s="3" t="s">
        <v>224</v>
      </c>
      <c r="E818" s="3"/>
      <c r="F818" s="3"/>
      <c r="G818" s="3"/>
      <c r="H818" s="3"/>
    </row>
    <row r="819" spans="1:8" x14ac:dyDescent="0.35">
      <c r="A819" s="3" t="s">
        <v>1010</v>
      </c>
      <c r="B819" s="3" t="s">
        <v>45</v>
      </c>
      <c r="C819" s="3" t="s">
        <v>1104</v>
      </c>
      <c r="D819" s="3" t="s">
        <v>166</v>
      </c>
      <c r="E819" s="3"/>
      <c r="F819" s="3"/>
      <c r="G819" s="3"/>
      <c r="H819" s="3"/>
    </row>
    <row r="820" spans="1:8" x14ac:dyDescent="0.35">
      <c r="A820" s="3" t="s">
        <v>1010</v>
      </c>
      <c r="B820" s="3" t="s">
        <v>45</v>
      </c>
      <c r="C820" s="3" t="s">
        <v>1104</v>
      </c>
      <c r="D820" s="3" t="s">
        <v>1016</v>
      </c>
      <c r="E820" s="3"/>
      <c r="F820" s="3"/>
      <c r="G820" s="3"/>
      <c r="H820" s="3"/>
    </row>
    <row r="821" spans="1:8" x14ac:dyDescent="0.35">
      <c r="A821" s="3" t="s">
        <v>1010</v>
      </c>
      <c r="B821" s="3" t="s">
        <v>45</v>
      </c>
      <c r="C821" s="3" t="s">
        <v>1104</v>
      </c>
      <c r="D821" s="3" t="s">
        <v>225</v>
      </c>
      <c r="E821" s="3"/>
      <c r="F821" s="3"/>
      <c r="G821" s="3"/>
      <c r="H821" s="3"/>
    </row>
    <row r="822" spans="1:8" x14ac:dyDescent="0.35">
      <c r="A822" s="3" t="s">
        <v>1010</v>
      </c>
      <c r="B822" s="3" t="s">
        <v>45</v>
      </c>
      <c r="C822" s="3" t="s">
        <v>1104</v>
      </c>
      <c r="D822" s="3" t="s">
        <v>77</v>
      </c>
      <c r="E822" s="3"/>
      <c r="F822" s="3"/>
      <c r="G822" s="3"/>
      <c r="H822" s="3"/>
    </row>
    <row r="823" spans="1:8" x14ac:dyDescent="0.35">
      <c r="A823" s="3" t="s">
        <v>1010</v>
      </c>
      <c r="B823" s="3" t="s">
        <v>45</v>
      </c>
      <c r="C823" s="3" t="s">
        <v>1104</v>
      </c>
      <c r="D823" s="3" t="s">
        <v>1067</v>
      </c>
      <c r="E823" s="3"/>
      <c r="F823" s="3" t="s">
        <v>2364</v>
      </c>
      <c r="G823" s="3"/>
      <c r="H823" s="3"/>
    </row>
    <row r="824" spans="1:8" x14ac:dyDescent="0.35">
      <c r="A824" s="3" t="s">
        <v>1010</v>
      </c>
      <c r="B824" s="3" t="s">
        <v>45</v>
      </c>
      <c r="C824" s="3" t="s">
        <v>1104</v>
      </c>
      <c r="D824" s="3" t="s">
        <v>222</v>
      </c>
      <c r="E824" s="3"/>
      <c r="F824" s="3"/>
      <c r="G824" s="3"/>
      <c r="H824" s="3"/>
    </row>
    <row r="825" spans="1:8" x14ac:dyDescent="0.35">
      <c r="A825" s="3" t="s">
        <v>1010</v>
      </c>
      <c r="B825" s="3" t="s">
        <v>45</v>
      </c>
      <c r="C825" s="3" t="s">
        <v>1104</v>
      </c>
      <c r="D825" s="3" t="s">
        <v>223</v>
      </c>
      <c r="E825" s="3"/>
      <c r="F825" s="3"/>
      <c r="G825" s="3"/>
      <c r="H825" s="3"/>
    </row>
    <row r="826" spans="1:8" x14ac:dyDescent="0.35">
      <c r="A826" s="3" t="s">
        <v>1010</v>
      </c>
      <c r="B826" s="3" t="s">
        <v>45</v>
      </c>
      <c r="C826" s="3" t="s">
        <v>1104</v>
      </c>
      <c r="D826" s="3" t="s">
        <v>15</v>
      </c>
      <c r="E826" s="3"/>
      <c r="F826" s="3"/>
      <c r="G826" s="3"/>
      <c r="H826" s="3"/>
    </row>
    <row r="827" spans="1:8" x14ac:dyDescent="0.35">
      <c r="A827" s="3" t="s">
        <v>1010</v>
      </c>
      <c r="B827" s="3" t="s">
        <v>45</v>
      </c>
      <c r="C827" s="3" t="s">
        <v>1104</v>
      </c>
      <c r="D827" s="3" t="s">
        <v>226</v>
      </c>
      <c r="E827" s="3"/>
      <c r="F827" s="3"/>
      <c r="G827" s="3"/>
      <c r="H827" s="3"/>
    </row>
    <row r="828" spans="1:8" x14ac:dyDescent="0.35">
      <c r="A828" s="3" t="s">
        <v>1010</v>
      </c>
      <c r="B828" s="3" t="s">
        <v>45</v>
      </c>
      <c r="C828" s="3" t="s">
        <v>1104</v>
      </c>
      <c r="D828" s="3" t="s">
        <v>227</v>
      </c>
      <c r="E828" s="3"/>
      <c r="F828" s="3"/>
      <c r="G828" s="3"/>
      <c r="H828" s="3"/>
    </row>
    <row r="829" spans="1:8" x14ac:dyDescent="0.35">
      <c r="A829" s="3" t="s">
        <v>1010</v>
      </c>
      <c r="B829" s="3" t="s">
        <v>45</v>
      </c>
      <c r="C829" s="3" t="s">
        <v>1104</v>
      </c>
      <c r="D829" s="3" t="s">
        <v>228</v>
      </c>
      <c r="E829" s="3"/>
      <c r="F829" s="3"/>
      <c r="G829" s="3"/>
      <c r="H829" s="3"/>
    </row>
    <row r="830" spans="1:8" x14ac:dyDescent="0.35">
      <c r="A830" s="3" t="s">
        <v>1010</v>
      </c>
      <c r="B830" s="3" t="s">
        <v>45</v>
      </c>
      <c r="C830" s="3" t="s">
        <v>1104</v>
      </c>
      <c r="D830" s="3" t="s">
        <v>56</v>
      </c>
      <c r="E830" s="3"/>
      <c r="F830" s="3"/>
      <c r="G830" s="3"/>
      <c r="H830" s="3"/>
    </row>
    <row r="831" spans="1:8" x14ac:dyDescent="0.35">
      <c r="A831" s="3" t="s">
        <v>1010</v>
      </c>
      <c r="B831" s="3" t="s">
        <v>45</v>
      </c>
      <c r="C831" s="3" t="s">
        <v>1104</v>
      </c>
      <c r="D831" s="3" t="s">
        <v>229</v>
      </c>
      <c r="E831" s="3"/>
      <c r="F831" s="3"/>
      <c r="G831" s="3"/>
      <c r="H831" s="3"/>
    </row>
    <row r="832" spans="1:8" x14ac:dyDescent="0.35">
      <c r="A832" s="3" t="s">
        <v>1010</v>
      </c>
      <c r="B832" s="3" t="s">
        <v>45</v>
      </c>
      <c r="C832" s="3" t="s">
        <v>1104</v>
      </c>
      <c r="D832" s="3" t="s">
        <v>230</v>
      </c>
      <c r="E832" s="3"/>
      <c r="F832" s="3"/>
      <c r="G832" s="3"/>
      <c r="H832" s="3"/>
    </row>
    <row r="833" spans="1:8" x14ac:dyDescent="0.35">
      <c r="A833" s="3" t="s">
        <v>1010</v>
      </c>
      <c r="B833" s="3" t="s">
        <v>45</v>
      </c>
      <c r="C833" s="3" t="s">
        <v>1104</v>
      </c>
      <c r="D833" s="3" t="s">
        <v>29</v>
      </c>
      <c r="E833" s="3"/>
      <c r="F833" s="3"/>
      <c r="G833" s="3"/>
      <c r="H833" s="3"/>
    </row>
    <row r="834" spans="1:8" x14ac:dyDescent="0.35">
      <c r="A834" s="3" t="s">
        <v>1010</v>
      </c>
      <c r="B834" s="3" t="s">
        <v>45</v>
      </c>
      <c r="C834" s="3" t="s">
        <v>1104</v>
      </c>
      <c r="D834" s="3" t="s">
        <v>219</v>
      </c>
      <c r="E834" s="3"/>
      <c r="F834" s="3"/>
      <c r="G834" s="3"/>
      <c r="H834" s="3"/>
    </row>
    <row r="835" spans="1:8" x14ac:dyDescent="0.35">
      <c r="A835" s="3" t="s">
        <v>1010</v>
      </c>
      <c r="B835" s="3" t="s">
        <v>45</v>
      </c>
      <c r="C835" s="3" t="s">
        <v>1104</v>
      </c>
      <c r="D835" s="3" t="s">
        <v>372</v>
      </c>
      <c r="E835" s="3"/>
      <c r="F835" s="3"/>
      <c r="G835" s="3"/>
      <c r="H835" s="3"/>
    </row>
    <row r="836" spans="1:8" x14ac:dyDescent="0.35">
      <c r="A836" s="3" t="s">
        <v>1010</v>
      </c>
      <c r="B836" s="3" t="s">
        <v>45</v>
      </c>
      <c r="C836" s="3" t="s">
        <v>1104</v>
      </c>
      <c r="D836" s="3" t="s">
        <v>218</v>
      </c>
      <c r="E836" s="3"/>
      <c r="F836" s="3"/>
      <c r="G836" s="3"/>
      <c r="H836" s="3"/>
    </row>
    <row r="837" spans="1:8" x14ac:dyDescent="0.35">
      <c r="A837" s="3" t="s">
        <v>1010</v>
      </c>
      <c r="B837" s="3" t="s">
        <v>45</v>
      </c>
      <c r="C837" s="3" t="s">
        <v>1104</v>
      </c>
      <c r="D837" s="3" t="s">
        <v>224</v>
      </c>
      <c r="E837" s="3"/>
      <c r="F837" s="3"/>
      <c r="G837" s="3"/>
      <c r="H837" s="3"/>
    </row>
    <row r="838" spans="1:8" x14ac:dyDescent="0.35">
      <c r="A838" s="3" t="s">
        <v>1010</v>
      </c>
      <c r="B838" s="3" t="s">
        <v>20</v>
      </c>
      <c r="C838" s="3" t="s">
        <v>2803</v>
      </c>
      <c r="D838" s="3" t="s">
        <v>98</v>
      </c>
      <c r="E838" s="3" t="s">
        <v>16</v>
      </c>
      <c r="F838" s="3" t="s">
        <v>2824</v>
      </c>
      <c r="G838" s="3"/>
      <c r="H838" s="3"/>
    </row>
    <row r="839" spans="1:8" x14ac:dyDescent="0.35">
      <c r="A839" s="3" t="s">
        <v>1010</v>
      </c>
      <c r="B839" s="3" t="s">
        <v>20</v>
      </c>
      <c r="C839" s="3" t="s">
        <v>2803</v>
      </c>
      <c r="D839" s="3" t="s">
        <v>15</v>
      </c>
      <c r="E839" s="3" t="s">
        <v>16</v>
      </c>
      <c r="F839" s="3" t="s">
        <v>2804</v>
      </c>
      <c r="G839" s="3"/>
      <c r="H839" s="3"/>
    </row>
    <row r="840" spans="1:8" x14ac:dyDescent="0.35">
      <c r="A840" s="3" t="s">
        <v>1010</v>
      </c>
      <c r="B840" s="3" t="s">
        <v>20</v>
      </c>
      <c r="C840" s="3" t="s">
        <v>2803</v>
      </c>
      <c r="D840" s="3" t="s">
        <v>57</v>
      </c>
      <c r="E840" s="3" t="s">
        <v>16</v>
      </c>
      <c r="F840" s="3" t="s">
        <v>2804</v>
      </c>
      <c r="G840" s="3"/>
      <c r="H840" s="3"/>
    </row>
    <row r="841" spans="1:8" x14ac:dyDescent="0.35">
      <c r="A841" s="3" t="s">
        <v>1010</v>
      </c>
      <c r="B841" s="3" t="s">
        <v>20</v>
      </c>
      <c r="C841" s="3" t="s">
        <v>2803</v>
      </c>
      <c r="D841" s="3" t="s">
        <v>56</v>
      </c>
      <c r="E841" s="3" t="s">
        <v>16</v>
      </c>
      <c r="F841" s="3" t="s">
        <v>2804</v>
      </c>
      <c r="G841" s="3"/>
      <c r="H841" s="3"/>
    </row>
    <row r="842" spans="1:8" x14ac:dyDescent="0.35">
      <c r="A842" s="3" t="s">
        <v>1010</v>
      </c>
      <c r="B842" s="3" t="s">
        <v>591</v>
      </c>
      <c r="C842" s="3" t="s">
        <v>1105</v>
      </c>
      <c r="D842" s="3" t="s">
        <v>26</v>
      </c>
      <c r="E842" s="3" t="s">
        <v>16</v>
      </c>
      <c r="F842" s="3" t="s">
        <v>2871</v>
      </c>
      <c r="G842" s="3"/>
      <c r="H842" s="3"/>
    </row>
    <row r="843" spans="1:8" x14ac:dyDescent="0.35">
      <c r="A843" s="3" t="s">
        <v>1010</v>
      </c>
      <c r="B843" s="3" t="s">
        <v>20</v>
      </c>
      <c r="C843" s="3" t="s">
        <v>1106</v>
      </c>
      <c r="D843" s="3" t="s">
        <v>1018</v>
      </c>
      <c r="E843" s="3"/>
      <c r="F843" s="3"/>
      <c r="G843" s="3"/>
      <c r="H843" s="3"/>
    </row>
    <row r="844" spans="1:8" x14ac:dyDescent="0.35">
      <c r="A844" s="3" t="s">
        <v>1010</v>
      </c>
      <c r="B844" s="3" t="s">
        <v>20</v>
      </c>
      <c r="C844" s="3" t="s">
        <v>1106</v>
      </c>
      <c r="D844" s="3" t="s">
        <v>27</v>
      </c>
      <c r="E844" s="3"/>
      <c r="F844" s="3"/>
      <c r="G844" s="3"/>
      <c r="H844" s="3"/>
    </row>
    <row r="845" spans="1:8" x14ac:dyDescent="0.35">
      <c r="A845" s="3" t="s">
        <v>1010</v>
      </c>
      <c r="B845" s="3" t="s">
        <v>20</v>
      </c>
      <c r="C845" s="3" t="s">
        <v>1106</v>
      </c>
      <c r="D845" s="3" t="s">
        <v>77</v>
      </c>
      <c r="E845" s="3"/>
      <c r="F845" s="3"/>
      <c r="G845" s="3"/>
      <c r="H845" s="3"/>
    </row>
    <row r="846" spans="1:8" x14ac:dyDescent="0.35">
      <c r="A846" s="3" t="s">
        <v>1010</v>
      </c>
      <c r="B846" s="3" t="s">
        <v>20</v>
      </c>
      <c r="C846" s="3" t="s">
        <v>1106</v>
      </c>
      <c r="D846" s="3" t="s">
        <v>152</v>
      </c>
      <c r="E846" s="3"/>
      <c r="F846" s="3"/>
      <c r="G846" s="3"/>
      <c r="H846" s="3"/>
    </row>
    <row r="847" spans="1:8" x14ac:dyDescent="0.35">
      <c r="A847" s="3" t="s">
        <v>1010</v>
      </c>
      <c r="B847" s="3" t="s">
        <v>20</v>
      </c>
      <c r="C847" s="3" t="s">
        <v>1106</v>
      </c>
      <c r="D847" s="3" t="s">
        <v>968</v>
      </c>
      <c r="E847" s="3"/>
      <c r="F847" s="3"/>
      <c r="G847" s="3"/>
      <c r="H847" s="3"/>
    </row>
    <row r="848" spans="1:8" x14ac:dyDescent="0.35">
      <c r="A848" s="3" t="s">
        <v>1010</v>
      </c>
      <c r="B848" s="3" t="s">
        <v>20</v>
      </c>
      <c r="C848" s="3" t="s">
        <v>2805</v>
      </c>
      <c r="D848" s="3" t="s">
        <v>56</v>
      </c>
      <c r="E848" s="3" t="s">
        <v>16</v>
      </c>
      <c r="F848" s="3" t="s">
        <v>2806</v>
      </c>
      <c r="G848" s="3"/>
      <c r="H848" s="3"/>
    </row>
    <row r="849" spans="1:8" x14ac:dyDescent="0.35">
      <c r="A849" s="3" t="s">
        <v>1010</v>
      </c>
      <c r="B849" s="3" t="s">
        <v>45</v>
      </c>
      <c r="C849" s="3" t="s">
        <v>1107</v>
      </c>
      <c r="D849" s="3" t="s">
        <v>217</v>
      </c>
      <c r="E849" s="3"/>
      <c r="F849" s="3"/>
      <c r="G849" s="3"/>
      <c r="H849" s="3"/>
    </row>
    <row r="850" spans="1:8" x14ac:dyDescent="0.35">
      <c r="A850" s="3" t="s">
        <v>1010</v>
      </c>
      <c r="B850" s="3" t="s">
        <v>45</v>
      </c>
      <c r="C850" s="3" t="s">
        <v>1107</v>
      </c>
      <c r="D850" s="3" t="s">
        <v>77</v>
      </c>
      <c r="E850" s="3"/>
      <c r="F850" s="3"/>
      <c r="G850" s="3"/>
      <c r="H850" s="3"/>
    </row>
    <row r="851" spans="1:8" x14ac:dyDescent="0.35">
      <c r="A851" s="3" t="s">
        <v>1010</v>
      </c>
      <c r="B851" s="3" t="s">
        <v>45</v>
      </c>
      <c r="C851" s="3" t="s">
        <v>1107</v>
      </c>
      <c r="D851" s="3" t="s">
        <v>224</v>
      </c>
      <c r="E851" s="3"/>
      <c r="F851" s="3"/>
      <c r="G851" s="3"/>
      <c r="H851" s="3"/>
    </row>
    <row r="852" spans="1:8" x14ac:dyDescent="0.35">
      <c r="A852" s="3" t="s">
        <v>1010</v>
      </c>
      <c r="B852" s="3" t="s">
        <v>591</v>
      </c>
      <c r="C852" s="3" t="s">
        <v>2865</v>
      </c>
      <c r="D852" s="3" t="s">
        <v>26</v>
      </c>
      <c r="E852" s="3" t="s">
        <v>16</v>
      </c>
      <c r="F852" s="3" t="s">
        <v>2871</v>
      </c>
      <c r="G852" s="3"/>
      <c r="H852" s="3"/>
    </row>
    <row r="853" spans="1:8" x14ac:dyDescent="0.35">
      <c r="A853" s="3" t="s">
        <v>1010</v>
      </c>
      <c r="B853" s="3" t="s">
        <v>45</v>
      </c>
      <c r="C853" s="3" t="s">
        <v>1108</v>
      </c>
      <c r="D853" s="3" t="s">
        <v>217</v>
      </c>
      <c r="E853" s="3"/>
      <c r="F853" s="3" t="s">
        <v>2286</v>
      </c>
      <c r="G853" s="3"/>
      <c r="H853" s="3"/>
    </row>
    <row r="854" spans="1:8" x14ac:dyDescent="0.35">
      <c r="A854" s="3" t="s">
        <v>1010</v>
      </c>
      <c r="B854" s="3" t="s">
        <v>45</v>
      </c>
      <c r="C854" s="3" t="s">
        <v>1108</v>
      </c>
      <c r="D854" s="3" t="s">
        <v>56</v>
      </c>
      <c r="E854" s="3"/>
      <c r="F854" s="3"/>
      <c r="G854" s="3"/>
      <c r="H854" s="3"/>
    </row>
    <row r="855" spans="1:8" x14ac:dyDescent="0.35">
      <c r="A855" s="3" t="s">
        <v>1010</v>
      </c>
      <c r="B855" s="3" t="s">
        <v>45</v>
      </c>
      <c r="C855" s="3" t="s">
        <v>1108</v>
      </c>
      <c r="D855" s="3" t="s">
        <v>224</v>
      </c>
      <c r="E855" s="3"/>
      <c r="F855" s="3"/>
      <c r="G855" s="3"/>
      <c r="H855" s="3"/>
    </row>
    <row r="856" spans="1:8" x14ac:dyDescent="0.35">
      <c r="A856" s="3" t="s">
        <v>1010</v>
      </c>
      <c r="B856" s="3" t="s">
        <v>45</v>
      </c>
      <c r="C856" s="3" t="s">
        <v>1109</v>
      </c>
      <c r="D856" s="3" t="s">
        <v>217</v>
      </c>
      <c r="E856" s="3"/>
      <c r="F856" s="3"/>
      <c r="G856" s="3"/>
      <c r="H856" s="3"/>
    </row>
    <row r="857" spans="1:8" x14ac:dyDescent="0.35">
      <c r="A857" s="3" t="s">
        <v>1010</v>
      </c>
      <c r="B857" s="3" t="s">
        <v>45</v>
      </c>
      <c r="C857" s="3" t="s">
        <v>1109</v>
      </c>
      <c r="D857" s="3" t="s">
        <v>224</v>
      </c>
      <c r="E857" s="3"/>
      <c r="F857" s="3"/>
      <c r="G857" s="3"/>
      <c r="H857" s="3"/>
    </row>
    <row r="858" spans="1:8" x14ac:dyDescent="0.35">
      <c r="A858" s="3" t="s">
        <v>1010</v>
      </c>
      <c r="B858" s="3" t="s">
        <v>45</v>
      </c>
      <c r="C858" s="3" t="s">
        <v>1110</v>
      </c>
      <c r="D858" s="3" t="s">
        <v>77</v>
      </c>
      <c r="E858" s="3" t="s">
        <v>16</v>
      </c>
      <c r="F858" s="3" t="s">
        <v>1111</v>
      </c>
      <c r="G858" s="3"/>
      <c r="H858" s="3"/>
    </row>
    <row r="859" spans="1:8" x14ac:dyDescent="0.35">
      <c r="A859" s="3" t="s">
        <v>1010</v>
      </c>
      <c r="B859" s="3" t="s">
        <v>45</v>
      </c>
      <c r="C859" s="3" t="s">
        <v>1110</v>
      </c>
      <c r="D859" s="3" t="s">
        <v>152</v>
      </c>
      <c r="E859" s="3" t="s">
        <v>16</v>
      </c>
      <c r="F859" s="3" t="s">
        <v>1111</v>
      </c>
      <c r="G859" s="3"/>
      <c r="H859" s="3"/>
    </row>
    <row r="860" spans="1:8" x14ac:dyDescent="0.35">
      <c r="A860" s="3" t="s">
        <v>1010</v>
      </c>
      <c r="B860" s="3" t="s">
        <v>45</v>
      </c>
      <c r="C860" s="3" t="s">
        <v>1112</v>
      </c>
      <c r="D860" s="3" t="s">
        <v>217</v>
      </c>
      <c r="E860" s="3"/>
      <c r="F860" s="3" t="s">
        <v>2286</v>
      </c>
      <c r="G860" s="3"/>
      <c r="H860" s="3"/>
    </row>
    <row r="861" spans="1:8" x14ac:dyDescent="0.35">
      <c r="A861" s="3" t="s">
        <v>1010</v>
      </c>
      <c r="B861" s="3" t="s">
        <v>45</v>
      </c>
      <c r="C861" s="3" t="s">
        <v>1112</v>
      </c>
      <c r="D861" s="3" t="s">
        <v>56</v>
      </c>
      <c r="E861" s="3"/>
      <c r="F861" s="3"/>
      <c r="G861" s="3"/>
      <c r="H861" s="3"/>
    </row>
    <row r="862" spans="1:8" x14ac:dyDescent="0.35">
      <c r="A862" s="3" t="s">
        <v>1010</v>
      </c>
      <c r="B862" s="3" t="s">
        <v>45</v>
      </c>
      <c r="C862" s="3" t="s">
        <v>1112</v>
      </c>
      <c r="D862" s="3" t="s">
        <v>224</v>
      </c>
      <c r="E862" s="3"/>
      <c r="F862" s="3"/>
      <c r="G862" s="3"/>
      <c r="H862" s="3"/>
    </row>
    <row r="863" spans="1:8" x14ac:dyDescent="0.35">
      <c r="A863" s="3" t="s">
        <v>1010</v>
      </c>
      <c r="B863" s="3" t="s">
        <v>45</v>
      </c>
      <c r="C863" s="3" t="s">
        <v>1113</v>
      </c>
      <c r="D863" s="3" t="s">
        <v>166</v>
      </c>
      <c r="E863" s="3"/>
      <c r="F863" s="3"/>
      <c r="G863" s="3"/>
      <c r="H863" s="3"/>
    </row>
    <row r="864" spans="1:8" x14ac:dyDescent="0.35">
      <c r="A864" s="3" t="s">
        <v>1010</v>
      </c>
      <c r="B864" s="3" t="s">
        <v>45</v>
      </c>
      <c r="C864" s="3" t="s">
        <v>1113</v>
      </c>
      <c r="D864" s="3" t="s">
        <v>217</v>
      </c>
      <c r="E864" s="3"/>
      <c r="F864" s="3"/>
      <c r="G864" s="3"/>
      <c r="H864" s="3"/>
    </row>
    <row r="865" spans="1:8" x14ac:dyDescent="0.35">
      <c r="A865" s="3" t="s">
        <v>1010</v>
      </c>
      <c r="B865" s="3" t="s">
        <v>45</v>
      </c>
      <c r="C865" s="3" t="s">
        <v>1113</v>
      </c>
      <c r="D865" s="3" t="s">
        <v>23</v>
      </c>
      <c r="E865" s="3"/>
      <c r="F865" s="3"/>
      <c r="G865" s="3"/>
      <c r="H865" s="3"/>
    </row>
    <row r="866" spans="1:8" x14ac:dyDescent="0.35">
      <c r="A866" s="3" t="s">
        <v>1010</v>
      </c>
      <c r="B866" s="3" t="s">
        <v>45</v>
      </c>
      <c r="C866" s="3" t="s">
        <v>1113</v>
      </c>
      <c r="D866" s="3" t="s">
        <v>1016</v>
      </c>
      <c r="E866" s="3"/>
      <c r="F866" s="3"/>
      <c r="G866" s="3"/>
      <c r="H866" s="3"/>
    </row>
    <row r="867" spans="1:8" x14ac:dyDescent="0.35">
      <c r="A867" s="3" t="s">
        <v>1010</v>
      </c>
      <c r="B867" s="3" t="s">
        <v>45</v>
      </c>
      <c r="C867" s="3" t="s">
        <v>1113</v>
      </c>
      <c r="D867" s="3" t="s">
        <v>225</v>
      </c>
      <c r="E867" s="3"/>
      <c r="F867" s="3"/>
      <c r="G867" s="3"/>
      <c r="H867" s="3"/>
    </row>
    <row r="868" spans="1:8" x14ac:dyDescent="0.35">
      <c r="A868" s="3" t="s">
        <v>1010</v>
      </c>
      <c r="B868" s="3" t="s">
        <v>45</v>
      </c>
      <c r="C868" s="3" t="s">
        <v>1113</v>
      </c>
      <c r="D868" s="3" t="s">
        <v>1114</v>
      </c>
      <c r="E868" s="3"/>
      <c r="F868" s="3"/>
      <c r="G868" s="3"/>
      <c r="H868" s="3"/>
    </row>
    <row r="869" spans="1:8" x14ac:dyDescent="0.35">
      <c r="A869" s="3" t="s">
        <v>1010</v>
      </c>
      <c r="B869" s="3" t="s">
        <v>45</v>
      </c>
      <c r="C869" s="3" t="s">
        <v>1113</v>
      </c>
      <c r="D869" s="3" t="s">
        <v>222</v>
      </c>
      <c r="E869" s="3"/>
      <c r="F869" s="3"/>
      <c r="G869" s="3"/>
      <c r="H869" s="3"/>
    </row>
    <row r="870" spans="1:8" x14ac:dyDescent="0.35">
      <c r="A870" s="3" t="s">
        <v>1010</v>
      </c>
      <c r="B870" s="3" t="s">
        <v>45</v>
      </c>
      <c r="C870" s="3" t="s">
        <v>1113</v>
      </c>
      <c r="D870" s="3" t="s">
        <v>223</v>
      </c>
      <c r="E870" s="3"/>
      <c r="F870" s="3"/>
      <c r="G870" s="3"/>
      <c r="H870" s="3"/>
    </row>
    <row r="871" spans="1:8" x14ac:dyDescent="0.35">
      <c r="A871" s="3" t="s">
        <v>1010</v>
      </c>
      <c r="B871" s="3" t="s">
        <v>45</v>
      </c>
      <c r="C871" s="3" t="s">
        <v>1113</v>
      </c>
      <c r="D871" s="3" t="s">
        <v>226</v>
      </c>
      <c r="E871" s="3"/>
      <c r="F871" s="3"/>
      <c r="G871" s="3"/>
      <c r="H871" s="3"/>
    </row>
    <row r="872" spans="1:8" x14ac:dyDescent="0.35">
      <c r="A872" s="3" t="s">
        <v>1010</v>
      </c>
      <c r="B872" s="3" t="s">
        <v>45</v>
      </c>
      <c r="C872" s="3" t="s">
        <v>1113</v>
      </c>
      <c r="D872" s="3" t="s">
        <v>227</v>
      </c>
      <c r="E872" s="3"/>
      <c r="F872" s="3"/>
      <c r="G872" s="3"/>
      <c r="H872" s="3"/>
    </row>
    <row r="873" spans="1:8" x14ac:dyDescent="0.35">
      <c r="A873" s="3" t="s">
        <v>1010</v>
      </c>
      <c r="B873" s="3" t="s">
        <v>45</v>
      </c>
      <c r="C873" s="3" t="s">
        <v>1113</v>
      </c>
      <c r="D873" s="3" t="s">
        <v>228</v>
      </c>
      <c r="E873" s="3"/>
      <c r="F873" s="3"/>
      <c r="G873" s="3"/>
      <c r="H873" s="3"/>
    </row>
    <row r="874" spans="1:8" x14ac:dyDescent="0.35">
      <c r="A874" s="3" t="s">
        <v>1010</v>
      </c>
      <c r="B874" s="3" t="s">
        <v>45</v>
      </c>
      <c r="C874" s="3" t="s">
        <v>1113</v>
      </c>
      <c r="D874" s="3" t="s">
        <v>229</v>
      </c>
      <c r="E874" s="3"/>
      <c r="F874" s="3"/>
      <c r="G874" s="3"/>
      <c r="H874" s="3"/>
    </row>
    <row r="875" spans="1:8" x14ac:dyDescent="0.35">
      <c r="A875" s="3" t="s">
        <v>1010</v>
      </c>
      <c r="B875" s="3" t="s">
        <v>45</v>
      </c>
      <c r="C875" s="3" t="s">
        <v>1113</v>
      </c>
      <c r="D875" s="3" t="s">
        <v>230</v>
      </c>
      <c r="E875" s="3"/>
      <c r="F875" s="3"/>
      <c r="G875" s="3"/>
      <c r="H875" s="3"/>
    </row>
    <row r="876" spans="1:8" x14ac:dyDescent="0.35">
      <c r="A876" s="3" t="s">
        <v>1010</v>
      </c>
      <c r="B876" s="3" t="s">
        <v>45</v>
      </c>
      <c r="C876" s="3" t="s">
        <v>1113</v>
      </c>
      <c r="D876" s="3" t="s">
        <v>219</v>
      </c>
      <c r="E876" s="3"/>
      <c r="F876" s="3"/>
      <c r="G876" s="3"/>
      <c r="H876" s="3"/>
    </row>
    <row r="877" spans="1:8" x14ac:dyDescent="0.35">
      <c r="A877" s="3" t="s">
        <v>1010</v>
      </c>
      <c r="B877" s="3" t="s">
        <v>45</v>
      </c>
      <c r="C877" s="3" t="s">
        <v>1113</v>
      </c>
      <c r="D877" s="3" t="s">
        <v>218</v>
      </c>
      <c r="E877" s="3"/>
      <c r="F877" s="3"/>
      <c r="G877" s="3"/>
      <c r="H877" s="3"/>
    </row>
    <row r="878" spans="1:8" x14ac:dyDescent="0.35">
      <c r="A878" s="3" t="s">
        <v>1010</v>
      </c>
      <c r="B878" s="3" t="s">
        <v>45</v>
      </c>
      <c r="C878" s="3" t="s">
        <v>1113</v>
      </c>
      <c r="D878" s="3" t="s">
        <v>224</v>
      </c>
      <c r="E878" s="3"/>
      <c r="F878" s="3"/>
      <c r="G878" s="3"/>
      <c r="H878" s="3"/>
    </row>
    <row r="879" spans="1:8" x14ac:dyDescent="0.35">
      <c r="A879" s="3" t="s">
        <v>1010</v>
      </c>
      <c r="B879" s="3" t="s">
        <v>45</v>
      </c>
      <c r="C879" s="3" t="s">
        <v>1115</v>
      </c>
      <c r="D879" s="3" t="s">
        <v>217</v>
      </c>
      <c r="E879" s="3"/>
      <c r="F879" s="3" t="s">
        <v>2286</v>
      </c>
      <c r="G879" s="3"/>
      <c r="H879" s="3"/>
    </row>
    <row r="880" spans="1:8" x14ac:dyDescent="0.35">
      <c r="A880" s="3" t="s">
        <v>1010</v>
      </c>
      <c r="B880" s="3" t="s">
        <v>45</v>
      </c>
      <c r="C880" s="3" t="s">
        <v>1115</v>
      </c>
      <c r="D880" s="3" t="s">
        <v>56</v>
      </c>
      <c r="E880" s="3"/>
      <c r="F880" s="3"/>
      <c r="G880" s="3"/>
      <c r="H880" s="3"/>
    </row>
    <row r="881" spans="1:8" x14ac:dyDescent="0.35">
      <c r="A881" s="3" t="s">
        <v>1010</v>
      </c>
      <c r="B881" s="3" t="s">
        <v>45</v>
      </c>
      <c r="C881" s="3" t="s">
        <v>1115</v>
      </c>
      <c r="D881" s="3" t="s">
        <v>224</v>
      </c>
      <c r="E881" s="3"/>
      <c r="F881" s="3"/>
      <c r="G881" s="3"/>
      <c r="H881" s="3"/>
    </row>
    <row r="882" spans="1:8" x14ac:dyDescent="0.35">
      <c r="A882" s="3" t="s">
        <v>1010</v>
      </c>
      <c r="B882" s="3" t="s">
        <v>45</v>
      </c>
      <c r="C882" s="3" t="s">
        <v>1116</v>
      </c>
      <c r="D882" s="3" t="s">
        <v>56</v>
      </c>
      <c r="E882" s="3"/>
      <c r="F882" s="3"/>
      <c r="G882" s="3"/>
      <c r="H882" s="3"/>
    </row>
    <row r="883" spans="1:8" x14ac:dyDescent="0.35">
      <c r="A883" s="3" t="s">
        <v>1010</v>
      </c>
      <c r="B883" s="3" t="s">
        <v>45</v>
      </c>
      <c r="C883" s="3" t="s">
        <v>1117</v>
      </c>
      <c r="D883" s="3" t="s">
        <v>217</v>
      </c>
      <c r="E883" s="3"/>
      <c r="F883" s="3" t="s">
        <v>2286</v>
      </c>
      <c r="G883" s="3"/>
      <c r="H883" s="3"/>
    </row>
    <row r="884" spans="1:8" x14ac:dyDescent="0.35">
      <c r="A884" s="3" t="s">
        <v>1010</v>
      </c>
      <c r="B884" s="3" t="s">
        <v>45</v>
      </c>
      <c r="C884" s="3" t="s">
        <v>1117</v>
      </c>
      <c r="D884" s="3" t="s">
        <v>56</v>
      </c>
      <c r="E884" s="3"/>
      <c r="F884" s="3"/>
      <c r="G884" s="3"/>
      <c r="H884" s="3"/>
    </row>
    <row r="885" spans="1:8" x14ac:dyDescent="0.35">
      <c r="A885" s="3" t="s">
        <v>1010</v>
      </c>
      <c r="B885" s="3" t="s">
        <v>45</v>
      </c>
      <c r="C885" s="3" t="s">
        <v>1117</v>
      </c>
      <c r="D885" s="3" t="s">
        <v>224</v>
      </c>
      <c r="E885" s="3"/>
      <c r="F885" s="3"/>
      <c r="G885" s="3"/>
      <c r="H885" s="3"/>
    </row>
    <row r="886" spans="1:8" x14ac:dyDescent="0.35">
      <c r="A886" s="3" t="s">
        <v>1010</v>
      </c>
      <c r="B886" s="3" t="s">
        <v>45</v>
      </c>
      <c r="C886" s="3" t="s">
        <v>1118</v>
      </c>
      <c r="D886" s="3" t="s">
        <v>217</v>
      </c>
      <c r="E886" s="3"/>
      <c r="F886" s="3"/>
      <c r="G886" s="3"/>
      <c r="H886" s="3"/>
    </row>
    <row r="887" spans="1:8" x14ac:dyDescent="0.35">
      <c r="A887" s="3" t="s">
        <v>1010</v>
      </c>
      <c r="B887" s="3" t="s">
        <v>45</v>
      </c>
      <c r="C887" s="3" t="s">
        <v>1118</v>
      </c>
      <c r="D887" s="3" t="s">
        <v>221</v>
      </c>
      <c r="E887" s="3"/>
      <c r="F887" s="3"/>
      <c r="G887" s="3"/>
      <c r="H887" s="3"/>
    </row>
    <row r="888" spans="1:8" x14ac:dyDescent="0.35">
      <c r="A888" s="3" t="s">
        <v>1010</v>
      </c>
      <c r="B888" s="3" t="s">
        <v>45</v>
      </c>
      <c r="C888" s="3" t="s">
        <v>1118</v>
      </c>
      <c r="D888" s="3" t="s">
        <v>372</v>
      </c>
      <c r="E888" s="3"/>
      <c r="F888" s="3"/>
      <c r="G888" s="3"/>
      <c r="H888" s="3"/>
    </row>
    <row r="889" spans="1:8" x14ac:dyDescent="0.35">
      <c r="A889" s="3" t="s">
        <v>1010</v>
      </c>
      <c r="B889" s="3" t="s">
        <v>45</v>
      </c>
      <c r="C889" s="3" t="s">
        <v>1118</v>
      </c>
      <c r="D889" s="3" t="s">
        <v>224</v>
      </c>
      <c r="E889" s="3"/>
      <c r="F889" s="3"/>
      <c r="G889" s="3"/>
      <c r="H889" s="3"/>
    </row>
    <row r="890" spans="1:8" x14ac:dyDescent="0.35">
      <c r="A890" s="3" t="s">
        <v>1010</v>
      </c>
      <c r="B890" s="3" t="s">
        <v>20</v>
      </c>
      <c r="C890" s="3" t="s">
        <v>1119</v>
      </c>
      <c r="D890" s="3" t="s">
        <v>71</v>
      </c>
      <c r="E890" s="3" t="s">
        <v>16</v>
      </c>
      <c r="F890" s="3" t="s">
        <v>1120</v>
      </c>
      <c r="G890" s="3"/>
      <c r="H890" s="3"/>
    </row>
    <row r="891" spans="1:8" x14ac:dyDescent="0.35">
      <c r="A891" s="3" t="s">
        <v>1010</v>
      </c>
      <c r="B891" s="3" t="s">
        <v>20</v>
      </c>
      <c r="C891" s="3" t="s">
        <v>1119</v>
      </c>
      <c r="D891" s="3" t="s">
        <v>242</v>
      </c>
      <c r="E891" s="5"/>
      <c r="F891" s="11"/>
      <c r="G891" s="3"/>
      <c r="H891" s="3"/>
    </row>
    <row r="892" spans="1:8" x14ac:dyDescent="0.35">
      <c r="A892" s="3" t="s">
        <v>1010</v>
      </c>
      <c r="B892" s="3" t="s">
        <v>591</v>
      </c>
      <c r="C892" s="3" t="s">
        <v>2866</v>
      </c>
      <c r="D892" s="3" t="s">
        <v>26</v>
      </c>
      <c r="E892" s="3" t="s">
        <v>16</v>
      </c>
      <c r="F892" s="3" t="s">
        <v>2871</v>
      </c>
      <c r="G892" s="3"/>
      <c r="H892" s="3"/>
    </row>
    <row r="893" spans="1:8" x14ac:dyDescent="0.35">
      <c r="A893" s="3" t="s">
        <v>1010</v>
      </c>
      <c r="B893" s="3" t="s">
        <v>10</v>
      </c>
      <c r="C893" s="3" t="s">
        <v>2901</v>
      </c>
      <c r="D893" s="3" t="s">
        <v>47</v>
      </c>
      <c r="E893" s="3" t="s">
        <v>16</v>
      </c>
      <c r="F893" s="3" t="s">
        <v>2902</v>
      </c>
      <c r="G893" s="3"/>
      <c r="H893" s="3"/>
    </row>
    <row r="894" spans="1:8" x14ac:dyDescent="0.35">
      <c r="A894" s="3" t="s">
        <v>1010</v>
      </c>
      <c r="B894" s="3" t="s">
        <v>10</v>
      </c>
      <c r="C894" s="3" t="s">
        <v>2901</v>
      </c>
      <c r="D894" s="3" t="s">
        <v>15</v>
      </c>
      <c r="E894" s="3" t="s">
        <v>16</v>
      </c>
      <c r="F894" s="3" t="s">
        <v>2903</v>
      </c>
      <c r="G894" s="3"/>
      <c r="H894" s="3"/>
    </row>
    <row r="895" spans="1:8" x14ac:dyDescent="0.35">
      <c r="A895" s="3" t="s">
        <v>1010</v>
      </c>
      <c r="B895" s="3" t="s">
        <v>39</v>
      </c>
      <c r="C895" s="3" t="s">
        <v>1121</v>
      </c>
      <c r="D895" s="3" t="s">
        <v>36</v>
      </c>
      <c r="E895" s="3"/>
      <c r="F895" s="3"/>
      <c r="G895" s="3"/>
      <c r="H895" s="3"/>
    </row>
    <row r="896" spans="1:8" x14ac:dyDescent="0.35">
      <c r="A896" s="3" t="s">
        <v>1010</v>
      </c>
      <c r="B896" s="3" t="s">
        <v>39</v>
      </c>
      <c r="C896" s="3" t="s">
        <v>1121</v>
      </c>
      <c r="D896" s="3" t="s">
        <v>77</v>
      </c>
      <c r="E896" s="3"/>
      <c r="F896" s="3"/>
      <c r="G896" s="3"/>
      <c r="H896" s="3"/>
    </row>
    <row r="897" spans="1:8" x14ac:dyDescent="0.35">
      <c r="A897" s="3" t="s">
        <v>1010</v>
      </c>
      <c r="B897" s="3" t="s">
        <v>39</v>
      </c>
      <c r="C897" s="3" t="s">
        <v>1121</v>
      </c>
      <c r="D897" s="3" t="s">
        <v>28</v>
      </c>
      <c r="E897" s="3"/>
      <c r="F897" s="3"/>
      <c r="G897" s="3"/>
      <c r="H897" s="3"/>
    </row>
    <row r="898" spans="1:8" x14ac:dyDescent="0.35">
      <c r="A898" s="3" t="s">
        <v>1010</v>
      </c>
      <c r="B898" s="3" t="s">
        <v>39</v>
      </c>
      <c r="C898" s="3" t="s">
        <v>1121</v>
      </c>
      <c r="D898" s="3" t="s">
        <v>87</v>
      </c>
      <c r="E898" s="3"/>
      <c r="F898" s="3"/>
      <c r="G898" s="3"/>
      <c r="H898" s="3"/>
    </row>
    <row r="899" spans="1:8" x14ac:dyDescent="0.35">
      <c r="A899" s="3" t="s">
        <v>1010</v>
      </c>
      <c r="B899" s="3" t="s">
        <v>39</v>
      </c>
      <c r="C899" s="3" t="s">
        <v>1121</v>
      </c>
      <c r="D899" s="3" t="s">
        <v>15</v>
      </c>
      <c r="E899" s="3" t="s">
        <v>16</v>
      </c>
      <c r="F899" s="3" t="s">
        <v>1122</v>
      </c>
      <c r="G899" s="3"/>
      <c r="H899" s="3"/>
    </row>
    <row r="900" spans="1:8" x14ac:dyDescent="0.35">
      <c r="A900" s="3" t="s">
        <v>1010</v>
      </c>
      <c r="B900" s="3" t="s">
        <v>39</v>
      </c>
      <c r="C900" s="3" t="s">
        <v>1121</v>
      </c>
      <c r="D900" s="3" t="s">
        <v>56</v>
      </c>
      <c r="E900" s="3" t="s">
        <v>16</v>
      </c>
      <c r="F900" s="3" t="s">
        <v>1122</v>
      </c>
      <c r="G900" s="3"/>
      <c r="H900" s="3"/>
    </row>
    <row r="901" spans="1:8" x14ac:dyDescent="0.35">
      <c r="A901" s="3" t="s">
        <v>1010</v>
      </c>
      <c r="B901" s="3" t="s">
        <v>39</v>
      </c>
      <c r="C901" s="3" t="s">
        <v>1121</v>
      </c>
      <c r="D901" s="3" t="s">
        <v>152</v>
      </c>
      <c r="E901" s="3"/>
      <c r="F901" s="3"/>
      <c r="G901" s="3"/>
      <c r="H901" s="3"/>
    </row>
    <row r="902" spans="1:8" x14ac:dyDescent="0.35">
      <c r="A902" s="3" t="s">
        <v>1010</v>
      </c>
      <c r="B902" s="3" t="s">
        <v>10</v>
      </c>
      <c r="C902" s="3" t="s">
        <v>1123</v>
      </c>
      <c r="D902" s="3" t="s">
        <v>12</v>
      </c>
      <c r="E902" s="3"/>
      <c r="F902" s="3"/>
      <c r="G902" s="3"/>
      <c r="H902" s="3"/>
    </row>
    <row r="903" spans="1:8" x14ac:dyDescent="0.35">
      <c r="A903" s="3" t="s">
        <v>1010</v>
      </c>
      <c r="B903" s="3" t="s">
        <v>10</v>
      </c>
      <c r="C903" s="3" t="s">
        <v>1123</v>
      </c>
      <c r="D903" s="3" t="s">
        <v>47</v>
      </c>
      <c r="E903" s="3"/>
      <c r="F903" s="3"/>
      <c r="G903" s="3"/>
      <c r="H903" s="3"/>
    </row>
    <row r="904" spans="1:8" x14ac:dyDescent="0.35">
      <c r="A904" s="3" t="s">
        <v>1010</v>
      </c>
      <c r="B904" s="3" t="s">
        <v>10</v>
      </c>
      <c r="C904" s="3" t="s">
        <v>1123</v>
      </c>
      <c r="D904" s="3" t="s">
        <v>15</v>
      </c>
      <c r="E904" s="3" t="s">
        <v>33</v>
      </c>
      <c r="F904" s="3" t="s">
        <v>2972</v>
      </c>
      <c r="G904" s="3"/>
      <c r="H904" s="3"/>
    </row>
    <row r="905" spans="1:8" x14ac:dyDescent="0.35">
      <c r="A905" s="3" t="s">
        <v>1010</v>
      </c>
      <c r="B905" s="3" t="s">
        <v>45</v>
      </c>
      <c r="C905" s="3" t="s">
        <v>1124</v>
      </c>
      <c r="D905" s="3" t="s">
        <v>166</v>
      </c>
      <c r="E905" s="3"/>
      <c r="F905" s="3"/>
      <c r="G905" s="3"/>
      <c r="H905" s="3"/>
    </row>
    <row r="906" spans="1:8" x14ac:dyDescent="0.35">
      <c r="A906" s="3" t="s">
        <v>1010</v>
      </c>
      <c r="B906" s="3" t="s">
        <v>45</v>
      </c>
      <c r="C906" s="3" t="s">
        <v>1124</v>
      </c>
      <c r="D906" s="3" t="s">
        <v>1016</v>
      </c>
      <c r="E906" s="3"/>
      <c r="F906" s="3"/>
      <c r="G906" s="3"/>
      <c r="H906" s="3"/>
    </row>
    <row r="907" spans="1:8" x14ac:dyDescent="0.35">
      <c r="A907" s="3" t="s">
        <v>1010</v>
      </c>
      <c r="B907" s="3" t="s">
        <v>45</v>
      </c>
      <c r="C907" s="3" t="s">
        <v>1124</v>
      </c>
      <c r="D907" s="3" t="s">
        <v>225</v>
      </c>
      <c r="E907" s="3"/>
      <c r="F907" s="3"/>
      <c r="G907" s="3"/>
      <c r="H907" s="3"/>
    </row>
    <row r="908" spans="1:8" x14ac:dyDescent="0.35">
      <c r="A908" s="3" t="s">
        <v>1010</v>
      </c>
      <c r="B908" s="3" t="s">
        <v>45</v>
      </c>
      <c r="C908" s="3" t="s">
        <v>1124</v>
      </c>
      <c r="D908" s="3" t="s">
        <v>221</v>
      </c>
      <c r="E908" s="3"/>
      <c r="F908" s="3"/>
      <c r="G908" s="3"/>
      <c r="H908" s="3"/>
    </row>
    <row r="909" spans="1:8" x14ac:dyDescent="0.35">
      <c r="A909" s="3" t="s">
        <v>1010</v>
      </c>
      <c r="B909" s="3" t="s">
        <v>45</v>
      </c>
      <c r="C909" s="3" t="s">
        <v>1124</v>
      </c>
      <c r="D909" s="3" t="s">
        <v>222</v>
      </c>
      <c r="E909" s="3"/>
      <c r="F909" s="3"/>
      <c r="G909" s="3"/>
      <c r="H909" s="3"/>
    </row>
    <row r="910" spans="1:8" x14ac:dyDescent="0.35">
      <c r="A910" s="3" t="s">
        <v>1010</v>
      </c>
      <c r="B910" s="3" t="s">
        <v>45</v>
      </c>
      <c r="C910" s="3" t="s">
        <v>1124</v>
      </c>
      <c r="D910" s="3" t="s">
        <v>223</v>
      </c>
      <c r="E910" s="3"/>
      <c r="F910" s="3"/>
      <c r="G910" s="3"/>
      <c r="H910" s="3"/>
    </row>
    <row r="911" spans="1:8" x14ac:dyDescent="0.35">
      <c r="A911" s="3" t="s">
        <v>1010</v>
      </c>
      <c r="B911" s="3" t="s">
        <v>45</v>
      </c>
      <c r="C911" s="3" t="s">
        <v>1124</v>
      </c>
      <c r="D911" s="3" t="s">
        <v>226</v>
      </c>
      <c r="E911" s="3"/>
      <c r="F911" s="3"/>
      <c r="G911" s="3"/>
      <c r="H911" s="3"/>
    </row>
    <row r="912" spans="1:8" x14ac:dyDescent="0.35">
      <c r="A912" s="3" t="s">
        <v>1010</v>
      </c>
      <c r="B912" s="3" t="s">
        <v>45</v>
      </c>
      <c r="C912" s="3" t="s">
        <v>1124</v>
      </c>
      <c r="D912" s="3" t="s">
        <v>227</v>
      </c>
      <c r="E912" s="3"/>
      <c r="F912" s="3"/>
      <c r="G912" s="3"/>
      <c r="H912" s="3"/>
    </row>
    <row r="913" spans="1:8" x14ac:dyDescent="0.35">
      <c r="A913" s="3" t="s">
        <v>1010</v>
      </c>
      <c r="B913" s="3" t="s">
        <v>45</v>
      </c>
      <c r="C913" s="3" t="s">
        <v>1124</v>
      </c>
      <c r="D913" s="3" t="s">
        <v>228</v>
      </c>
      <c r="E913" s="3"/>
      <c r="F913" s="3"/>
      <c r="G913" s="3"/>
      <c r="H913" s="3"/>
    </row>
    <row r="914" spans="1:8" x14ac:dyDescent="0.35">
      <c r="A914" s="3" t="s">
        <v>1010</v>
      </c>
      <c r="B914" s="3" t="s">
        <v>45</v>
      </c>
      <c r="C914" s="3" t="s">
        <v>1124</v>
      </c>
      <c r="D914" s="3" t="s">
        <v>229</v>
      </c>
      <c r="E914" s="3"/>
      <c r="F914" s="3"/>
      <c r="G914" s="3"/>
      <c r="H914" s="3"/>
    </row>
    <row r="915" spans="1:8" x14ac:dyDescent="0.35">
      <c r="A915" s="3" t="s">
        <v>1010</v>
      </c>
      <c r="B915" s="3" t="s">
        <v>45</v>
      </c>
      <c r="C915" s="3" t="s">
        <v>1124</v>
      </c>
      <c r="D915" s="3" t="s">
        <v>230</v>
      </c>
      <c r="E915" s="3"/>
      <c r="F915" s="3"/>
      <c r="G915" s="3"/>
      <c r="H915" s="3"/>
    </row>
    <row r="916" spans="1:8" x14ac:dyDescent="0.35">
      <c r="A916" s="3" t="s">
        <v>1010</v>
      </c>
      <c r="B916" s="3" t="s">
        <v>45</v>
      </c>
      <c r="C916" s="3" t="s">
        <v>1124</v>
      </c>
      <c r="D916" s="3" t="s">
        <v>219</v>
      </c>
      <c r="E916" s="3"/>
      <c r="F916" s="3"/>
      <c r="G916" s="3"/>
      <c r="H916" s="3"/>
    </row>
    <row r="917" spans="1:8" x14ac:dyDescent="0.35">
      <c r="A917" s="3" t="s">
        <v>1010</v>
      </c>
      <c r="B917" s="3" t="s">
        <v>45</v>
      </c>
      <c r="C917" s="3" t="s">
        <v>1124</v>
      </c>
      <c r="D917" s="3" t="s">
        <v>372</v>
      </c>
      <c r="E917" s="3"/>
      <c r="F917" s="3"/>
      <c r="G917" s="3"/>
      <c r="H917" s="3"/>
    </row>
    <row r="918" spans="1:8" x14ac:dyDescent="0.35">
      <c r="A918" s="3" t="s">
        <v>1010</v>
      </c>
      <c r="B918" s="3" t="s">
        <v>45</v>
      </c>
      <c r="C918" s="3" t="s">
        <v>1124</v>
      </c>
      <c r="D918" s="3" t="s">
        <v>218</v>
      </c>
      <c r="E918" s="3"/>
      <c r="F918" s="3"/>
      <c r="G918" s="3"/>
      <c r="H918" s="3"/>
    </row>
    <row r="919" spans="1:8" x14ac:dyDescent="0.35">
      <c r="A919" s="3" t="s">
        <v>1010</v>
      </c>
      <c r="B919" s="3" t="s">
        <v>45</v>
      </c>
      <c r="C919" s="3" t="s">
        <v>1124</v>
      </c>
      <c r="D919" s="3" t="s">
        <v>224</v>
      </c>
      <c r="E919" s="3"/>
      <c r="F919" s="3"/>
      <c r="G919" s="3"/>
      <c r="H919" s="3"/>
    </row>
    <row r="920" spans="1:8" x14ac:dyDescent="0.35">
      <c r="A920" s="3" t="s">
        <v>1010</v>
      </c>
      <c r="B920" s="3" t="s">
        <v>10</v>
      </c>
      <c r="C920" s="3" t="s">
        <v>1125</v>
      </c>
      <c r="D920" s="3" t="s">
        <v>12</v>
      </c>
      <c r="E920" s="3"/>
      <c r="F920" s="3"/>
      <c r="G920" s="3"/>
      <c r="H920" s="3"/>
    </row>
    <row r="921" spans="1:8" x14ac:dyDescent="0.35">
      <c r="A921" s="3" t="s">
        <v>1010</v>
      </c>
      <c r="B921" s="3" t="s">
        <v>10</v>
      </c>
      <c r="C921" s="3" t="s">
        <v>1125</v>
      </c>
      <c r="D921" s="3" t="s">
        <v>47</v>
      </c>
      <c r="E921" s="3"/>
      <c r="F921" s="3"/>
      <c r="G921" s="3"/>
      <c r="H921" s="3"/>
    </row>
    <row r="922" spans="1:8" x14ac:dyDescent="0.35">
      <c r="A922" s="3" t="s">
        <v>1010</v>
      </c>
      <c r="B922" s="3" t="s">
        <v>10</v>
      </c>
      <c r="C922" s="3" t="s">
        <v>1125</v>
      </c>
      <c r="D922" s="3" t="s">
        <v>71</v>
      </c>
      <c r="E922" s="3"/>
      <c r="F922" s="3"/>
      <c r="G922" s="3"/>
      <c r="H922" s="3"/>
    </row>
    <row r="923" spans="1:8" x14ac:dyDescent="0.35">
      <c r="A923" s="3" t="s">
        <v>1010</v>
      </c>
      <c r="B923" s="3" t="s">
        <v>10</v>
      </c>
      <c r="C923" s="3" t="s">
        <v>1125</v>
      </c>
      <c r="D923" s="3" t="s">
        <v>15</v>
      </c>
      <c r="E923" s="3" t="s">
        <v>16</v>
      </c>
      <c r="F923" s="3" t="s">
        <v>1126</v>
      </c>
      <c r="G923" s="3"/>
      <c r="H923" s="3"/>
    </row>
    <row r="924" spans="1:8" x14ac:dyDescent="0.35">
      <c r="A924" s="3" t="s">
        <v>1010</v>
      </c>
      <c r="B924" s="3" t="s">
        <v>10</v>
      </c>
      <c r="C924" s="3" t="s">
        <v>1125</v>
      </c>
      <c r="D924" s="3" t="s">
        <v>37</v>
      </c>
      <c r="E924" s="3"/>
      <c r="F924" s="3"/>
      <c r="G924" s="3"/>
      <c r="H924" s="3"/>
    </row>
    <row r="925" spans="1:8" x14ac:dyDescent="0.35">
      <c r="A925" s="3" t="s">
        <v>1010</v>
      </c>
      <c r="B925" s="3" t="s">
        <v>10</v>
      </c>
      <c r="C925" s="3" t="s">
        <v>1125</v>
      </c>
      <c r="D925" s="3" t="s">
        <v>134</v>
      </c>
      <c r="E925" s="3"/>
      <c r="F925" s="3" t="s">
        <v>2423</v>
      </c>
      <c r="G925" s="3"/>
      <c r="H925" s="3"/>
    </row>
    <row r="926" spans="1:8" x14ac:dyDescent="0.35">
      <c r="A926" s="3" t="s">
        <v>1010</v>
      </c>
      <c r="B926" s="3" t="s">
        <v>10</v>
      </c>
      <c r="C926" s="3" t="s">
        <v>1125</v>
      </c>
      <c r="D926" s="3" t="s">
        <v>107</v>
      </c>
      <c r="E926" s="3"/>
      <c r="F926" s="3"/>
      <c r="G926" s="3"/>
      <c r="H926" s="3"/>
    </row>
    <row r="927" spans="1:8" x14ac:dyDescent="0.35">
      <c r="A927" s="3" t="s">
        <v>1010</v>
      </c>
      <c r="B927" s="3" t="s">
        <v>10</v>
      </c>
      <c r="C927" s="3" t="s">
        <v>1127</v>
      </c>
      <c r="D927" s="3" t="s">
        <v>36</v>
      </c>
      <c r="E927" s="3"/>
      <c r="F927" s="3"/>
      <c r="G927" s="3"/>
      <c r="H927" s="3"/>
    </row>
    <row r="928" spans="1:8" x14ac:dyDescent="0.35">
      <c r="A928" s="3" t="s">
        <v>1010</v>
      </c>
      <c r="B928" s="3" t="s">
        <v>45</v>
      </c>
      <c r="C928" s="3" t="s">
        <v>1128</v>
      </c>
      <c r="D928" s="3" t="s">
        <v>217</v>
      </c>
      <c r="E928" s="3"/>
      <c r="F928" s="3"/>
      <c r="G928" s="3"/>
      <c r="H928" s="3"/>
    </row>
    <row r="929" spans="1:8" x14ac:dyDescent="0.35">
      <c r="A929" s="3" t="s">
        <v>1010</v>
      </c>
      <c r="B929" s="3" t="s">
        <v>45</v>
      </c>
      <c r="C929" s="3" t="s">
        <v>1128</v>
      </c>
      <c r="D929" s="3" t="s">
        <v>221</v>
      </c>
      <c r="E929" s="3"/>
      <c r="F929" s="3"/>
      <c r="G929" s="3"/>
      <c r="H929" s="3"/>
    </row>
    <row r="930" spans="1:8" x14ac:dyDescent="0.35">
      <c r="A930" s="3" t="s">
        <v>1010</v>
      </c>
      <c r="B930" s="3" t="s">
        <v>45</v>
      </c>
      <c r="C930" s="3" t="s">
        <v>1128</v>
      </c>
      <c r="D930" s="3" t="s">
        <v>56</v>
      </c>
      <c r="E930" s="3"/>
      <c r="F930" s="3" t="s">
        <v>2430</v>
      </c>
      <c r="G930" s="3"/>
      <c r="H930" s="3"/>
    </row>
    <row r="931" spans="1:8" x14ac:dyDescent="0.35">
      <c r="A931" s="3" t="s">
        <v>1010</v>
      </c>
      <c r="B931" s="3" t="s">
        <v>45</v>
      </c>
      <c r="C931" s="3" t="s">
        <v>1128</v>
      </c>
      <c r="D931" s="3" t="s">
        <v>230</v>
      </c>
      <c r="E931" s="3"/>
      <c r="F931" s="3"/>
      <c r="G931" s="3"/>
      <c r="H931" s="3"/>
    </row>
    <row r="932" spans="1:8" x14ac:dyDescent="0.35">
      <c r="A932" s="3" t="s">
        <v>1010</v>
      </c>
      <c r="B932" s="3" t="s">
        <v>45</v>
      </c>
      <c r="C932" s="3" t="s">
        <v>1128</v>
      </c>
      <c r="D932" s="3" t="s">
        <v>224</v>
      </c>
      <c r="E932" s="3"/>
      <c r="F932" s="3"/>
      <c r="G932" s="3"/>
      <c r="H932" s="3"/>
    </row>
    <row r="933" spans="1:8" x14ac:dyDescent="0.35">
      <c r="A933" s="3" t="s">
        <v>1010</v>
      </c>
      <c r="B933" s="3" t="s">
        <v>45</v>
      </c>
      <c r="C933" s="3" t="s">
        <v>1129</v>
      </c>
      <c r="D933" s="3" t="s">
        <v>217</v>
      </c>
      <c r="E933" s="3"/>
      <c r="F933" s="3" t="s">
        <v>2286</v>
      </c>
      <c r="G933" s="3"/>
      <c r="H933" s="3"/>
    </row>
    <row r="934" spans="1:8" x14ac:dyDescent="0.35">
      <c r="A934" s="3" t="s">
        <v>1010</v>
      </c>
      <c r="B934" s="3" t="s">
        <v>45</v>
      </c>
      <c r="C934" s="3" t="s">
        <v>1129</v>
      </c>
      <c r="D934" s="3" t="s">
        <v>56</v>
      </c>
      <c r="E934" s="3"/>
      <c r="F934" s="3"/>
      <c r="G934" s="3"/>
      <c r="H934" s="3"/>
    </row>
    <row r="935" spans="1:8" x14ac:dyDescent="0.35">
      <c r="A935" s="3" t="s">
        <v>1010</v>
      </c>
      <c r="B935" s="3" t="s">
        <v>45</v>
      </c>
      <c r="C935" s="3" t="s">
        <v>1129</v>
      </c>
      <c r="D935" s="3" t="s">
        <v>224</v>
      </c>
      <c r="E935" s="3"/>
      <c r="F935" s="3"/>
      <c r="G935" s="3"/>
      <c r="H935" s="3"/>
    </row>
    <row r="936" spans="1:8" x14ac:dyDescent="0.35">
      <c r="A936" s="3" t="s">
        <v>1010</v>
      </c>
      <c r="B936" s="3" t="s">
        <v>45</v>
      </c>
      <c r="C936" s="3" t="s">
        <v>1130</v>
      </c>
      <c r="D936" s="3" t="s">
        <v>15</v>
      </c>
      <c r="E936" s="3" t="s">
        <v>16</v>
      </c>
      <c r="F936" s="3" t="s">
        <v>1131</v>
      </c>
      <c r="G936" s="3"/>
      <c r="H936" s="3"/>
    </row>
    <row r="937" spans="1:8" x14ac:dyDescent="0.35">
      <c r="A937" s="3" t="s">
        <v>1010</v>
      </c>
      <c r="B937" s="3" t="s">
        <v>45</v>
      </c>
      <c r="C937" s="3" t="s">
        <v>1132</v>
      </c>
      <c r="D937" s="3" t="s">
        <v>166</v>
      </c>
      <c r="E937" s="3"/>
      <c r="F937" s="3"/>
      <c r="G937" s="3"/>
      <c r="H937" s="3"/>
    </row>
    <row r="938" spans="1:8" x14ac:dyDescent="0.35">
      <c r="A938" s="3" t="s">
        <v>1010</v>
      </c>
      <c r="B938" s="3" t="s">
        <v>45</v>
      </c>
      <c r="C938" s="3" t="s">
        <v>1132</v>
      </c>
      <c r="D938" s="3" t="s">
        <v>1016</v>
      </c>
      <c r="E938" s="3"/>
      <c r="F938" s="3"/>
      <c r="G938" s="3"/>
      <c r="H938" s="3"/>
    </row>
    <row r="939" spans="1:8" x14ac:dyDescent="0.35">
      <c r="A939" s="3" t="s">
        <v>1010</v>
      </c>
      <c r="B939" s="3" t="s">
        <v>45</v>
      </c>
      <c r="C939" s="3" t="s">
        <v>1132</v>
      </c>
      <c r="D939" s="3" t="s">
        <v>225</v>
      </c>
      <c r="E939" s="3"/>
      <c r="F939" s="3"/>
      <c r="G939" s="3"/>
      <c r="H939" s="3"/>
    </row>
    <row r="940" spans="1:8" x14ac:dyDescent="0.35">
      <c r="A940" s="3" t="s">
        <v>1010</v>
      </c>
      <c r="B940" s="3" t="s">
        <v>45</v>
      </c>
      <c r="C940" s="3" t="s">
        <v>1132</v>
      </c>
      <c r="D940" s="3" t="s">
        <v>221</v>
      </c>
      <c r="E940" s="3"/>
      <c r="F940" s="3"/>
      <c r="G940" s="3"/>
      <c r="H940" s="3"/>
    </row>
    <row r="941" spans="1:8" x14ac:dyDescent="0.35">
      <c r="A941" s="3" t="s">
        <v>1010</v>
      </c>
      <c r="B941" s="3" t="s">
        <v>45</v>
      </c>
      <c r="C941" s="3" t="s">
        <v>1132</v>
      </c>
      <c r="D941" s="3" t="s">
        <v>222</v>
      </c>
      <c r="E941" s="3"/>
      <c r="F941" s="3"/>
      <c r="G941" s="3"/>
      <c r="H941" s="3"/>
    </row>
    <row r="942" spans="1:8" x14ac:dyDescent="0.35">
      <c r="A942" s="3" t="s">
        <v>1010</v>
      </c>
      <c r="B942" s="3" t="s">
        <v>45</v>
      </c>
      <c r="C942" s="3" t="s">
        <v>1132</v>
      </c>
      <c r="D942" s="3" t="s">
        <v>223</v>
      </c>
      <c r="E942" s="3"/>
      <c r="F942" s="3"/>
      <c r="G942" s="3"/>
      <c r="H942" s="3"/>
    </row>
    <row r="943" spans="1:8" x14ac:dyDescent="0.35">
      <c r="A943" s="3" t="s">
        <v>1010</v>
      </c>
      <c r="B943" s="3" t="s">
        <v>45</v>
      </c>
      <c r="C943" s="3" t="s">
        <v>1132</v>
      </c>
      <c r="D943" s="3" t="s">
        <v>226</v>
      </c>
      <c r="E943" s="3"/>
      <c r="F943" s="3"/>
      <c r="G943" s="3"/>
      <c r="H943" s="3"/>
    </row>
    <row r="944" spans="1:8" x14ac:dyDescent="0.35">
      <c r="A944" s="3" t="s">
        <v>1010</v>
      </c>
      <c r="B944" s="3" t="s">
        <v>45</v>
      </c>
      <c r="C944" s="3" t="s">
        <v>1132</v>
      </c>
      <c r="D944" s="3" t="s">
        <v>227</v>
      </c>
      <c r="E944" s="3"/>
      <c r="F944" s="3"/>
      <c r="G944" s="3"/>
      <c r="H944" s="3"/>
    </row>
    <row r="945" spans="1:8" x14ac:dyDescent="0.35">
      <c r="A945" s="3" t="s">
        <v>1010</v>
      </c>
      <c r="B945" s="3" t="s">
        <v>45</v>
      </c>
      <c r="C945" s="3" t="s">
        <v>1132</v>
      </c>
      <c r="D945" s="3" t="s">
        <v>228</v>
      </c>
      <c r="E945" s="3"/>
      <c r="F945" s="3"/>
      <c r="G945" s="3"/>
      <c r="H945" s="3"/>
    </row>
    <row r="946" spans="1:8" x14ac:dyDescent="0.35">
      <c r="A946" s="3" t="s">
        <v>1010</v>
      </c>
      <c r="B946" s="3" t="s">
        <v>45</v>
      </c>
      <c r="C946" s="3" t="s">
        <v>1132</v>
      </c>
      <c r="D946" s="3" t="s">
        <v>229</v>
      </c>
      <c r="E946" s="3"/>
      <c r="F946" s="3"/>
      <c r="G946" s="3"/>
      <c r="H946" s="3"/>
    </row>
    <row r="947" spans="1:8" x14ac:dyDescent="0.35">
      <c r="A947" s="3" t="s">
        <v>1010</v>
      </c>
      <c r="B947" s="3" t="s">
        <v>45</v>
      </c>
      <c r="C947" s="3" t="s">
        <v>1132</v>
      </c>
      <c r="D947" s="3" t="s">
        <v>230</v>
      </c>
      <c r="E947" s="3"/>
      <c r="F947" s="3"/>
      <c r="G947" s="3"/>
      <c r="H947" s="3"/>
    </row>
    <row r="948" spans="1:8" x14ac:dyDescent="0.35">
      <c r="A948" s="3" t="s">
        <v>1010</v>
      </c>
      <c r="B948" s="3" t="s">
        <v>45</v>
      </c>
      <c r="C948" s="3" t="s">
        <v>1132</v>
      </c>
      <c r="D948" s="3" t="s">
        <v>219</v>
      </c>
      <c r="E948" s="3"/>
      <c r="F948" s="3"/>
      <c r="G948" s="3"/>
      <c r="H948" s="3"/>
    </row>
    <row r="949" spans="1:8" x14ac:dyDescent="0.35">
      <c r="A949" s="3" t="s">
        <v>1010</v>
      </c>
      <c r="B949" s="3" t="s">
        <v>45</v>
      </c>
      <c r="C949" s="3" t="s">
        <v>1132</v>
      </c>
      <c r="D949" s="3" t="s">
        <v>372</v>
      </c>
      <c r="E949" s="3"/>
      <c r="F949" s="3"/>
      <c r="G949" s="3"/>
      <c r="H949" s="3"/>
    </row>
    <row r="950" spans="1:8" x14ac:dyDescent="0.35">
      <c r="A950" s="3" t="s">
        <v>1010</v>
      </c>
      <c r="B950" s="3" t="s">
        <v>45</v>
      </c>
      <c r="C950" s="3" t="s">
        <v>1132</v>
      </c>
      <c r="D950" s="3" t="s">
        <v>218</v>
      </c>
      <c r="E950" s="3"/>
      <c r="F950" s="3"/>
      <c r="G950" s="3"/>
      <c r="H950" s="3"/>
    </row>
    <row r="951" spans="1:8" x14ac:dyDescent="0.35">
      <c r="A951" s="3" t="s">
        <v>1010</v>
      </c>
      <c r="B951" s="3" t="s">
        <v>45</v>
      </c>
      <c r="C951" s="3" t="s">
        <v>1132</v>
      </c>
      <c r="D951" s="3" t="s">
        <v>224</v>
      </c>
      <c r="E951" s="3"/>
      <c r="F951" s="3"/>
      <c r="G951" s="3"/>
      <c r="H951" s="3"/>
    </row>
    <row r="952" spans="1:8" x14ac:dyDescent="0.35">
      <c r="A952" s="3" t="s">
        <v>1010</v>
      </c>
      <c r="B952" s="3" t="s">
        <v>45</v>
      </c>
      <c r="C952" s="3" t="s">
        <v>1133</v>
      </c>
      <c r="D952" s="3" t="s">
        <v>166</v>
      </c>
      <c r="E952" s="3"/>
      <c r="F952" s="3"/>
      <c r="G952" s="3"/>
      <c r="H952" s="3"/>
    </row>
    <row r="953" spans="1:8" x14ac:dyDescent="0.35">
      <c r="A953" s="3" t="s">
        <v>1010</v>
      </c>
      <c r="B953" s="3" t="s">
        <v>45</v>
      </c>
      <c r="C953" s="3" t="s">
        <v>1133</v>
      </c>
      <c r="D953" s="3" t="s">
        <v>1016</v>
      </c>
      <c r="E953" s="3"/>
      <c r="F953" s="3"/>
      <c r="G953" s="3"/>
      <c r="H953" s="3"/>
    </row>
    <row r="954" spans="1:8" x14ac:dyDescent="0.35">
      <c r="A954" s="3" t="s">
        <v>1010</v>
      </c>
      <c r="B954" s="3" t="s">
        <v>45</v>
      </c>
      <c r="C954" s="3" t="s">
        <v>1133</v>
      </c>
      <c r="D954" s="3" t="s">
        <v>225</v>
      </c>
      <c r="E954" s="3"/>
      <c r="F954" s="3"/>
      <c r="G954" s="3"/>
      <c r="H954" s="3"/>
    </row>
    <row r="955" spans="1:8" x14ac:dyDescent="0.35">
      <c r="A955" s="3" t="s">
        <v>1010</v>
      </c>
      <c r="B955" s="3" t="s">
        <v>45</v>
      </c>
      <c r="C955" s="3" t="s">
        <v>1133</v>
      </c>
      <c r="D955" s="3" t="s">
        <v>221</v>
      </c>
      <c r="E955" s="3"/>
      <c r="F955" s="3"/>
      <c r="G955" s="3"/>
      <c r="H955" s="3"/>
    </row>
    <row r="956" spans="1:8" x14ac:dyDescent="0.35">
      <c r="A956" s="3" t="s">
        <v>1010</v>
      </c>
      <c r="B956" s="3" t="s">
        <v>45</v>
      </c>
      <c r="C956" s="3" t="s">
        <v>1133</v>
      </c>
      <c r="D956" s="3" t="s">
        <v>222</v>
      </c>
      <c r="E956" s="3"/>
      <c r="F956" s="3"/>
      <c r="G956" s="3"/>
      <c r="H956" s="3"/>
    </row>
    <row r="957" spans="1:8" x14ac:dyDescent="0.35">
      <c r="A957" s="3" t="s">
        <v>1010</v>
      </c>
      <c r="B957" s="3" t="s">
        <v>45</v>
      </c>
      <c r="C957" s="3" t="s">
        <v>1133</v>
      </c>
      <c r="D957" s="3" t="s">
        <v>223</v>
      </c>
      <c r="E957" s="3"/>
      <c r="F957" s="3"/>
      <c r="G957" s="3"/>
      <c r="H957" s="3"/>
    </row>
    <row r="958" spans="1:8" x14ac:dyDescent="0.35">
      <c r="A958" s="3" t="s">
        <v>1010</v>
      </c>
      <c r="B958" s="3" t="s">
        <v>45</v>
      </c>
      <c r="C958" s="3" t="s">
        <v>1133</v>
      </c>
      <c r="D958" s="3" t="s">
        <v>226</v>
      </c>
      <c r="E958" s="3"/>
      <c r="F958" s="3"/>
      <c r="G958" s="3"/>
      <c r="H958" s="3"/>
    </row>
    <row r="959" spans="1:8" x14ac:dyDescent="0.35">
      <c r="A959" s="3" t="s">
        <v>1010</v>
      </c>
      <c r="B959" s="3" t="s">
        <v>45</v>
      </c>
      <c r="C959" s="3" t="s">
        <v>1133</v>
      </c>
      <c r="D959" s="3" t="s">
        <v>227</v>
      </c>
      <c r="E959" s="3"/>
      <c r="F959" s="3"/>
      <c r="G959" s="3"/>
      <c r="H959" s="3"/>
    </row>
    <row r="960" spans="1:8" x14ac:dyDescent="0.35">
      <c r="A960" s="3" t="s">
        <v>1010</v>
      </c>
      <c r="B960" s="3" t="s">
        <v>45</v>
      </c>
      <c r="C960" s="3" t="s">
        <v>1133</v>
      </c>
      <c r="D960" s="3" t="s">
        <v>228</v>
      </c>
      <c r="E960" s="3"/>
      <c r="F960" s="3"/>
      <c r="G960" s="3"/>
      <c r="H960" s="3"/>
    </row>
    <row r="961" spans="1:8" x14ac:dyDescent="0.35">
      <c r="A961" s="3" t="s">
        <v>1010</v>
      </c>
      <c r="B961" s="3" t="s">
        <v>45</v>
      </c>
      <c r="C961" s="3" t="s">
        <v>1133</v>
      </c>
      <c r="D961" s="3" t="s">
        <v>229</v>
      </c>
      <c r="E961" s="3"/>
      <c r="F961" s="3"/>
      <c r="G961" s="3"/>
      <c r="H961" s="3"/>
    </row>
    <row r="962" spans="1:8" x14ac:dyDescent="0.35">
      <c r="A962" s="3" t="s">
        <v>1010</v>
      </c>
      <c r="B962" s="3" t="s">
        <v>45</v>
      </c>
      <c r="C962" s="3" t="s">
        <v>1133</v>
      </c>
      <c r="D962" s="3" t="s">
        <v>230</v>
      </c>
      <c r="E962" s="3"/>
      <c r="F962" s="3"/>
      <c r="G962" s="3"/>
      <c r="H962" s="3"/>
    </row>
    <row r="963" spans="1:8" x14ac:dyDescent="0.35">
      <c r="A963" s="3" t="s">
        <v>1010</v>
      </c>
      <c r="B963" s="3" t="s">
        <v>45</v>
      </c>
      <c r="C963" s="3" t="s">
        <v>1133</v>
      </c>
      <c r="D963" s="3" t="s">
        <v>219</v>
      </c>
      <c r="E963" s="3"/>
      <c r="F963" s="3"/>
      <c r="G963" s="3"/>
      <c r="H963" s="3"/>
    </row>
    <row r="964" spans="1:8" x14ac:dyDescent="0.35">
      <c r="A964" s="3" t="s">
        <v>1010</v>
      </c>
      <c r="B964" s="3" t="s">
        <v>45</v>
      </c>
      <c r="C964" s="3" t="s">
        <v>1133</v>
      </c>
      <c r="D964" s="3" t="s">
        <v>372</v>
      </c>
      <c r="E964" s="3"/>
      <c r="F964" s="3"/>
      <c r="G964" s="3"/>
      <c r="H964" s="3"/>
    </row>
    <row r="965" spans="1:8" x14ac:dyDescent="0.35">
      <c r="A965" s="3" t="s">
        <v>1010</v>
      </c>
      <c r="B965" s="3" t="s">
        <v>45</v>
      </c>
      <c r="C965" s="3" t="s">
        <v>1133</v>
      </c>
      <c r="D965" s="3" t="s">
        <v>218</v>
      </c>
      <c r="E965" s="3"/>
      <c r="F965" s="3"/>
      <c r="G965" s="3"/>
      <c r="H965" s="3"/>
    </row>
    <row r="966" spans="1:8" x14ac:dyDescent="0.35">
      <c r="A966" s="3" t="s">
        <v>1010</v>
      </c>
      <c r="B966" s="3" t="s">
        <v>45</v>
      </c>
      <c r="C966" s="3" t="s">
        <v>1133</v>
      </c>
      <c r="D966" s="3" t="s">
        <v>224</v>
      </c>
      <c r="E966" s="3"/>
      <c r="F966" s="3"/>
      <c r="G966" s="3"/>
      <c r="H966" s="3"/>
    </row>
    <row r="967" spans="1:8" x14ac:dyDescent="0.35">
      <c r="A967" s="3" t="s">
        <v>1010</v>
      </c>
      <c r="B967" s="3" t="s">
        <v>45</v>
      </c>
      <c r="C967" s="3" t="s">
        <v>1134</v>
      </c>
      <c r="D967" s="3" t="s">
        <v>166</v>
      </c>
      <c r="E967" s="3"/>
      <c r="F967" s="3"/>
      <c r="G967" s="3"/>
      <c r="H967" s="3"/>
    </row>
    <row r="968" spans="1:8" x14ac:dyDescent="0.35">
      <c r="A968" s="3" t="s">
        <v>1010</v>
      </c>
      <c r="B968" s="3" t="s">
        <v>45</v>
      </c>
      <c r="C968" s="3" t="s">
        <v>1134</v>
      </c>
      <c r="D968" s="3" t="s">
        <v>1016</v>
      </c>
      <c r="E968" s="3"/>
      <c r="F968" s="3"/>
      <c r="G968" s="3"/>
      <c r="H968" s="3"/>
    </row>
    <row r="969" spans="1:8" x14ac:dyDescent="0.35">
      <c r="A969" s="3" t="s">
        <v>1010</v>
      </c>
      <c r="B969" s="3" t="s">
        <v>45</v>
      </c>
      <c r="C969" s="3" t="s">
        <v>1134</v>
      </c>
      <c r="D969" s="3" t="s">
        <v>225</v>
      </c>
      <c r="E969" s="3"/>
      <c r="F969" s="3"/>
      <c r="G969" s="3"/>
      <c r="H969" s="3"/>
    </row>
    <row r="970" spans="1:8" x14ac:dyDescent="0.35">
      <c r="A970" s="3" t="s">
        <v>1010</v>
      </c>
      <c r="B970" s="3" t="s">
        <v>45</v>
      </c>
      <c r="C970" s="3" t="s">
        <v>1134</v>
      </c>
      <c r="D970" s="3" t="s">
        <v>221</v>
      </c>
      <c r="E970" s="3"/>
      <c r="F970" s="3"/>
      <c r="G970" s="3"/>
      <c r="H970" s="3"/>
    </row>
    <row r="971" spans="1:8" x14ac:dyDescent="0.35">
      <c r="A971" s="3" t="s">
        <v>1010</v>
      </c>
      <c r="B971" s="3" t="s">
        <v>45</v>
      </c>
      <c r="C971" s="3" t="s">
        <v>1134</v>
      </c>
      <c r="D971" s="3" t="s">
        <v>222</v>
      </c>
      <c r="E971" s="3"/>
      <c r="F971" s="3"/>
      <c r="G971" s="3"/>
      <c r="H971" s="3"/>
    </row>
    <row r="972" spans="1:8" x14ac:dyDescent="0.35">
      <c r="A972" s="3" t="s">
        <v>1010</v>
      </c>
      <c r="B972" s="3" t="s">
        <v>45</v>
      </c>
      <c r="C972" s="3" t="s">
        <v>1134</v>
      </c>
      <c r="D972" s="3" t="s">
        <v>223</v>
      </c>
      <c r="E972" s="3"/>
      <c r="F972" s="3"/>
      <c r="G972" s="3"/>
      <c r="H972" s="3"/>
    </row>
    <row r="973" spans="1:8" x14ac:dyDescent="0.35">
      <c r="A973" s="3" t="s">
        <v>1010</v>
      </c>
      <c r="B973" s="3" t="s">
        <v>45</v>
      </c>
      <c r="C973" s="3" t="s">
        <v>1134</v>
      </c>
      <c r="D973" s="3" t="s">
        <v>226</v>
      </c>
      <c r="E973" s="3"/>
      <c r="F973" s="3"/>
      <c r="G973" s="3"/>
      <c r="H973" s="3"/>
    </row>
    <row r="974" spans="1:8" x14ac:dyDescent="0.35">
      <c r="A974" s="3" t="s">
        <v>1010</v>
      </c>
      <c r="B974" s="3" t="s">
        <v>45</v>
      </c>
      <c r="C974" s="3" t="s">
        <v>1134</v>
      </c>
      <c r="D974" s="3" t="s">
        <v>227</v>
      </c>
      <c r="E974" s="3"/>
      <c r="F974" s="3"/>
      <c r="G974" s="3"/>
      <c r="H974" s="3"/>
    </row>
    <row r="975" spans="1:8" x14ac:dyDescent="0.35">
      <c r="A975" s="3" t="s">
        <v>1010</v>
      </c>
      <c r="B975" s="3" t="s">
        <v>45</v>
      </c>
      <c r="C975" s="3" t="s">
        <v>1134</v>
      </c>
      <c r="D975" s="3" t="s">
        <v>228</v>
      </c>
      <c r="E975" s="3"/>
      <c r="F975" s="3"/>
      <c r="G975" s="3"/>
      <c r="H975" s="3"/>
    </row>
    <row r="976" spans="1:8" x14ac:dyDescent="0.35">
      <c r="A976" s="3" t="s">
        <v>1010</v>
      </c>
      <c r="B976" s="3" t="s">
        <v>45</v>
      </c>
      <c r="C976" s="3" t="s">
        <v>1134</v>
      </c>
      <c r="D976" s="3" t="s">
        <v>229</v>
      </c>
      <c r="E976" s="3"/>
      <c r="F976" s="3"/>
      <c r="G976" s="3"/>
      <c r="H976" s="3"/>
    </row>
    <row r="977" spans="1:8" x14ac:dyDescent="0.35">
      <c r="A977" s="3" t="s">
        <v>1010</v>
      </c>
      <c r="B977" s="3" t="s">
        <v>45</v>
      </c>
      <c r="C977" s="3" t="s">
        <v>1134</v>
      </c>
      <c r="D977" s="3" t="s">
        <v>230</v>
      </c>
      <c r="E977" s="3"/>
      <c r="F977" s="3"/>
      <c r="G977" s="3"/>
      <c r="H977" s="3"/>
    </row>
    <row r="978" spans="1:8" x14ac:dyDescent="0.35">
      <c r="A978" s="3" t="s">
        <v>1010</v>
      </c>
      <c r="B978" s="3" t="s">
        <v>45</v>
      </c>
      <c r="C978" s="3" t="s">
        <v>1134</v>
      </c>
      <c r="D978" s="3" t="s">
        <v>219</v>
      </c>
      <c r="E978" s="3"/>
      <c r="F978" s="3"/>
      <c r="G978" s="3"/>
      <c r="H978" s="3"/>
    </row>
    <row r="979" spans="1:8" x14ac:dyDescent="0.35">
      <c r="A979" s="3" t="s">
        <v>1010</v>
      </c>
      <c r="B979" s="3" t="s">
        <v>45</v>
      </c>
      <c r="C979" s="3" t="s">
        <v>1134</v>
      </c>
      <c r="D979" s="3" t="s">
        <v>372</v>
      </c>
      <c r="E979" s="3"/>
      <c r="F979" s="3"/>
      <c r="G979" s="3"/>
      <c r="H979" s="3"/>
    </row>
    <row r="980" spans="1:8" x14ac:dyDescent="0.35">
      <c r="A980" s="3" t="s">
        <v>1010</v>
      </c>
      <c r="B980" s="3" t="s">
        <v>45</v>
      </c>
      <c r="C980" s="3" t="s">
        <v>1134</v>
      </c>
      <c r="D980" s="3" t="s">
        <v>218</v>
      </c>
      <c r="E980" s="3"/>
      <c r="F980" s="3"/>
      <c r="G980" s="3"/>
      <c r="H980" s="3"/>
    </row>
    <row r="981" spans="1:8" x14ac:dyDescent="0.35">
      <c r="A981" s="3" t="s">
        <v>1010</v>
      </c>
      <c r="B981" s="3" t="s">
        <v>45</v>
      </c>
      <c r="C981" s="3" t="s">
        <v>1134</v>
      </c>
      <c r="D981" s="3" t="s">
        <v>224</v>
      </c>
      <c r="E981" s="3"/>
      <c r="F981" s="3"/>
      <c r="G981" s="3"/>
      <c r="H981" s="3"/>
    </row>
    <row r="982" spans="1:8" x14ac:dyDescent="0.35">
      <c r="A982" s="3" t="s">
        <v>1010</v>
      </c>
      <c r="B982" s="3" t="s">
        <v>45</v>
      </c>
      <c r="C982" s="3" t="s">
        <v>1135</v>
      </c>
      <c r="D982" s="3" t="s">
        <v>166</v>
      </c>
      <c r="E982" s="3"/>
      <c r="F982" s="3"/>
      <c r="G982" s="3"/>
      <c r="H982" s="3"/>
    </row>
    <row r="983" spans="1:8" x14ac:dyDescent="0.35">
      <c r="A983" s="3" t="s">
        <v>1010</v>
      </c>
      <c r="B983" s="3" t="s">
        <v>45</v>
      </c>
      <c r="C983" s="3" t="s">
        <v>1135</v>
      </c>
      <c r="D983" s="3" t="s">
        <v>1016</v>
      </c>
      <c r="E983" s="3"/>
      <c r="F983" s="3"/>
      <c r="G983" s="3"/>
      <c r="H983" s="3"/>
    </row>
    <row r="984" spans="1:8" x14ac:dyDescent="0.35">
      <c r="A984" s="3" t="s">
        <v>1010</v>
      </c>
      <c r="B984" s="3" t="s">
        <v>45</v>
      </c>
      <c r="C984" s="3" t="s">
        <v>1135</v>
      </c>
      <c r="D984" s="3" t="s">
        <v>225</v>
      </c>
      <c r="E984" s="3"/>
      <c r="F984" s="3"/>
      <c r="G984" s="3"/>
      <c r="H984" s="3"/>
    </row>
    <row r="985" spans="1:8" x14ac:dyDescent="0.35">
      <c r="A985" s="3" t="s">
        <v>1010</v>
      </c>
      <c r="B985" s="3" t="s">
        <v>45</v>
      </c>
      <c r="C985" s="3" t="s">
        <v>1135</v>
      </c>
      <c r="D985" s="3" t="s">
        <v>221</v>
      </c>
      <c r="E985" s="3"/>
      <c r="F985" s="3"/>
      <c r="G985" s="3"/>
      <c r="H985" s="3"/>
    </row>
    <row r="986" spans="1:8" x14ac:dyDescent="0.35">
      <c r="A986" s="3" t="s">
        <v>1010</v>
      </c>
      <c r="B986" s="3" t="s">
        <v>45</v>
      </c>
      <c r="C986" s="3" t="s">
        <v>1135</v>
      </c>
      <c r="D986" s="3" t="s">
        <v>222</v>
      </c>
      <c r="E986" s="3"/>
      <c r="F986" s="3"/>
      <c r="G986" s="3"/>
      <c r="H986" s="3"/>
    </row>
    <row r="987" spans="1:8" x14ac:dyDescent="0.35">
      <c r="A987" s="3" t="s">
        <v>1010</v>
      </c>
      <c r="B987" s="3" t="s">
        <v>45</v>
      </c>
      <c r="C987" s="3" t="s">
        <v>1135</v>
      </c>
      <c r="D987" s="3" t="s">
        <v>223</v>
      </c>
      <c r="E987" s="3"/>
      <c r="F987" s="3"/>
      <c r="G987" s="3"/>
      <c r="H987" s="3"/>
    </row>
    <row r="988" spans="1:8" x14ac:dyDescent="0.35">
      <c r="A988" s="3" t="s">
        <v>1010</v>
      </c>
      <c r="B988" s="3" t="s">
        <v>45</v>
      </c>
      <c r="C988" s="3" t="s">
        <v>1135</v>
      </c>
      <c r="D988" s="3" t="s">
        <v>226</v>
      </c>
      <c r="E988" s="3"/>
      <c r="F988" s="3"/>
      <c r="G988" s="3"/>
      <c r="H988" s="3"/>
    </row>
    <row r="989" spans="1:8" x14ac:dyDescent="0.35">
      <c r="A989" s="3" t="s">
        <v>1010</v>
      </c>
      <c r="B989" s="3" t="s">
        <v>45</v>
      </c>
      <c r="C989" s="3" t="s">
        <v>1135</v>
      </c>
      <c r="D989" s="3" t="s">
        <v>227</v>
      </c>
      <c r="E989" s="3"/>
      <c r="F989" s="3"/>
      <c r="G989" s="3"/>
      <c r="H989" s="3"/>
    </row>
    <row r="990" spans="1:8" x14ac:dyDescent="0.35">
      <c r="A990" s="3" t="s">
        <v>1010</v>
      </c>
      <c r="B990" s="3" t="s">
        <v>45</v>
      </c>
      <c r="C990" s="3" t="s">
        <v>1135</v>
      </c>
      <c r="D990" s="3" t="s">
        <v>228</v>
      </c>
      <c r="E990" s="3"/>
      <c r="F990" s="3"/>
      <c r="G990" s="3"/>
      <c r="H990" s="3"/>
    </row>
    <row r="991" spans="1:8" x14ac:dyDescent="0.35">
      <c r="A991" s="3" t="s">
        <v>1010</v>
      </c>
      <c r="B991" s="3" t="s">
        <v>45</v>
      </c>
      <c r="C991" s="3" t="s">
        <v>1135</v>
      </c>
      <c r="D991" s="3" t="s">
        <v>229</v>
      </c>
      <c r="E991" s="3"/>
      <c r="F991" s="3"/>
      <c r="G991" s="3"/>
      <c r="H991" s="3"/>
    </row>
    <row r="992" spans="1:8" x14ac:dyDescent="0.35">
      <c r="A992" s="3" t="s">
        <v>1010</v>
      </c>
      <c r="B992" s="3" t="s">
        <v>45</v>
      </c>
      <c r="C992" s="3" t="s">
        <v>1135</v>
      </c>
      <c r="D992" s="3" t="s">
        <v>230</v>
      </c>
      <c r="E992" s="3"/>
      <c r="F992" s="3"/>
      <c r="G992" s="3"/>
      <c r="H992" s="3"/>
    </row>
    <row r="993" spans="1:8" x14ac:dyDescent="0.35">
      <c r="A993" s="3" t="s">
        <v>1010</v>
      </c>
      <c r="B993" s="3" t="s">
        <v>45</v>
      </c>
      <c r="C993" s="3" t="s">
        <v>1135</v>
      </c>
      <c r="D993" s="3" t="s">
        <v>219</v>
      </c>
      <c r="E993" s="3"/>
      <c r="F993" s="3"/>
      <c r="G993" s="3"/>
      <c r="H993" s="3"/>
    </row>
    <row r="994" spans="1:8" x14ac:dyDescent="0.35">
      <c r="A994" s="3" t="s">
        <v>1010</v>
      </c>
      <c r="B994" s="3" t="s">
        <v>45</v>
      </c>
      <c r="C994" s="3" t="s">
        <v>1135</v>
      </c>
      <c r="D994" s="3" t="s">
        <v>372</v>
      </c>
      <c r="E994" s="3"/>
      <c r="F994" s="3"/>
      <c r="G994" s="3"/>
      <c r="H994" s="3"/>
    </row>
    <row r="995" spans="1:8" x14ac:dyDescent="0.35">
      <c r="A995" s="3" t="s">
        <v>1010</v>
      </c>
      <c r="B995" s="3" t="s">
        <v>45</v>
      </c>
      <c r="C995" s="3" t="s">
        <v>1135</v>
      </c>
      <c r="D995" s="3" t="s">
        <v>218</v>
      </c>
      <c r="E995" s="3"/>
      <c r="F995" s="3"/>
      <c r="G995" s="3"/>
      <c r="H995" s="3"/>
    </row>
    <row r="996" spans="1:8" x14ac:dyDescent="0.35">
      <c r="A996" s="3" t="s">
        <v>1010</v>
      </c>
      <c r="B996" s="3" t="s">
        <v>45</v>
      </c>
      <c r="C996" s="3" t="s">
        <v>1135</v>
      </c>
      <c r="D996" s="3" t="s">
        <v>224</v>
      </c>
      <c r="E996" s="3"/>
      <c r="F996" s="3"/>
      <c r="G996" s="3"/>
      <c r="H996" s="3"/>
    </row>
    <row r="997" spans="1:8" x14ac:dyDescent="0.35">
      <c r="A997" s="3" t="s">
        <v>1010</v>
      </c>
      <c r="B997" s="3" t="s">
        <v>45</v>
      </c>
      <c r="C997" s="3" t="s">
        <v>1136</v>
      </c>
      <c r="D997" s="3" t="s">
        <v>15</v>
      </c>
      <c r="E997" s="3" t="s">
        <v>16</v>
      </c>
      <c r="F997" s="3" t="s">
        <v>1137</v>
      </c>
      <c r="G997" s="3"/>
      <c r="H997" s="3"/>
    </row>
    <row r="998" spans="1:8" x14ac:dyDescent="0.35">
      <c r="A998" s="3" t="s">
        <v>1010</v>
      </c>
      <c r="B998" s="3" t="s">
        <v>45</v>
      </c>
      <c r="C998" s="3" t="s">
        <v>1136</v>
      </c>
      <c r="D998" s="3" t="s">
        <v>56</v>
      </c>
      <c r="E998" s="3"/>
      <c r="F998" s="3" t="s">
        <v>2318</v>
      </c>
      <c r="G998" s="3"/>
      <c r="H998" s="3"/>
    </row>
    <row r="999" spans="1:8" x14ac:dyDescent="0.35">
      <c r="A999" s="3" t="s">
        <v>1010</v>
      </c>
      <c r="B999" s="3" t="s">
        <v>45</v>
      </c>
      <c r="C999" s="3" t="s">
        <v>1138</v>
      </c>
      <c r="D999" s="3" t="s">
        <v>217</v>
      </c>
      <c r="E999" s="3"/>
      <c r="F999" s="3" t="s">
        <v>2286</v>
      </c>
      <c r="G999" s="3"/>
      <c r="H999" s="3"/>
    </row>
    <row r="1000" spans="1:8" x14ac:dyDescent="0.35">
      <c r="A1000" s="3" t="s">
        <v>1010</v>
      </c>
      <c r="B1000" s="3" t="s">
        <v>45</v>
      </c>
      <c r="C1000" s="3" t="s">
        <v>1138</v>
      </c>
      <c r="D1000" s="3" t="s">
        <v>56</v>
      </c>
      <c r="E1000" s="3"/>
      <c r="F1000" s="3"/>
      <c r="G1000" s="3"/>
      <c r="H1000" s="3"/>
    </row>
    <row r="1001" spans="1:8" x14ac:dyDescent="0.35">
      <c r="A1001" s="3" t="s">
        <v>1010</v>
      </c>
      <c r="B1001" s="3" t="s">
        <v>45</v>
      </c>
      <c r="C1001" s="3" t="s">
        <v>1138</v>
      </c>
      <c r="D1001" s="3" t="s">
        <v>224</v>
      </c>
      <c r="E1001" s="3"/>
      <c r="F1001" s="3"/>
      <c r="G1001" s="3"/>
      <c r="H1001" s="3"/>
    </row>
    <row r="1002" spans="1:8" x14ac:dyDescent="0.35">
      <c r="A1002" s="3" t="s">
        <v>1010</v>
      </c>
      <c r="B1002" s="3" t="s">
        <v>20</v>
      </c>
      <c r="C1002" s="3" t="s">
        <v>2904</v>
      </c>
      <c r="D1002" s="3" t="s">
        <v>56</v>
      </c>
      <c r="E1002" s="3" t="s">
        <v>16</v>
      </c>
      <c r="F1002" s="3" t="s">
        <v>2905</v>
      </c>
      <c r="G1002" s="3"/>
      <c r="H1002" s="3"/>
    </row>
    <row r="1003" spans="1:8" x14ac:dyDescent="0.35">
      <c r="A1003" s="3" t="s">
        <v>1010</v>
      </c>
      <c r="B1003" s="3" t="s">
        <v>591</v>
      </c>
      <c r="C1003" s="3" t="s">
        <v>2867</v>
      </c>
      <c r="D1003" s="3" t="s">
        <v>26</v>
      </c>
      <c r="E1003" s="3" t="s">
        <v>16</v>
      </c>
      <c r="F1003" s="3" t="s">
        <v>2871</v>
      </c>
      <c r="G1003" s="3"/>
      <c r="H1003" s="3"/>
    </row>
    <row r="1004" spans="1:8" x14ac:dyDescent="0.35">
      <c r="A1004" s="3" t="s">
        <v>1010</v>
      </c>
      <c r="B1004" s="3" t="s">
        <v>20</v>
      </c>
      <c r="C1004" s="3" t="s">
        <v>1139</v>
      </c>
      <c r="D1004" s="3" t="s">
        <v>1018</v>
      </c>
      <c r="E1004" s="3"/>
      <c r="F1004" s="3"/>
      <c r="G1004" s="3"/>
      <c r="H1004" s="3"/>
    </row>
    <row r="1005" spans="1:8" x14ac:dyDescent="0.35">
      <c r="A1005" s="3" t="s">
        <v>1010</v>
      </c>
      <c r="B1005" s="3" t="s">
        <v>20</v>
      </c>
      <c r="C1005" s="3" t="s">
        <v>1139</v>
      </c>
      <c r="D1005" s="3" t="s">
        <v>27</v>
      </c>
      <c r="E1005" s="3"/>
      <c r="F1005" s="3"/>
      <c r="G1005" s="3"/>
      <c r="H1005" s="3"/>
    </row>
    <row r="1006" spans="1:8" x14ac:dyDescent="0.35">
      <c r="A1006" s="3" t="s">
        <v>1010</v>
      </c>
      <c r="B1006" s="3" t="s">
        <v>20</v>
      </c>
      <c r="C1006" s="3" t="s">
        <v>1139</v>
      </c>
      <c r="D1006" s="3" t="s">
        <v>77</v>
      </c>
      <c r="E1006" s="3"/>
      <c r="F1006" s="3"/>
      <c r="G1006" s="3"/>
      <c r="H1006" s="3"/>
    </row>
    <row r="1007" spans="1:8" x14ac:dyDescent="0.35">
      <c r="A1007" s="3" t="s">
        <v>1010</v>
      </c>
      <c r="B1007" s="3" t="s">
        <v>20</v>
      </c>
      <c r="C1007" s="3" t="s">
        <v>1139</v>
      </c>
      <c r="D1007" s="3" t="s">
        <v>152</v>
      </c>
      <c r="E1007" s="3"/>
      <c r="F1007" s="3"/>
      <c r="G1007" s="3"/>
      <c r="H1007" s="3"/>
    </row>
    <row r="1008" spans="1:8" x14ac:dyDescent="0.35">
      <c r="A1008" s="3" t="s">
        <v>1010</v>
      </c>
      <c r="B1008" s="3" t="s">
        <v>20</v>
      </c>
      <c r="C1008" s="3" t="s">
        <v>1139</v>
      </c>
      <c r="D1008" s="3" t="s">
        <v>968</v>
      </c>
      <c r="E1008" s="3"/>
      <c r="F1008" s="3"/>
      <c r="G1008" s="3"/>
      <c r="H1008" s="3"/>
    </row>
    <row r="1009" spans="1:8" x14ac:dyDescent="0.35">
      <c r="A1009" s="3" t="s">
        <v>1010</v>
      </c>
      <c r="B1009" s="3" t="s">
        <v>45</v>
      </c>
      <c r="C1009" s="3" t="s">
        <v>2566</v>
      </c>
      <c r="D1009" s="3" t="s">
        <v>166</v>
      </c>
      <c r="E1009" s="3"/>
      <c r="F1009" s="3"/>
      <c r="G1009" s="3"/>
      <c r="H1009" s="3"/>
    </row>
    <row r="1010" spans="1:8" x14ac:dyDescent="0.35">
      <c r="A1010" s="3" t="s">
        <v>1010</v>
      </c>
      <c r="B1010" s="3" t="s">
        <v>45</v>
      </c>
      <c r="C1010" s="3" t="s">
        <v>2566</v>
      </c>
      <c r="D1010" s="3" t="s">
        <v>1016</v>
      </c>
      <c r="E1010" s="3"/>
      <c r="F1010" s="3"/>
      <c r="G1010" s="3"/>
      <c r="H1010" s="3"/>
    </row>
    <row r="1011" spans="1:8" x14ac:dyDescent="0.35">
      <c r="A1011" s="3" t="s">
        <v>1010</v>
      </c>
      <c r="B1011" s="3" t="s">
        <v>45</v>
      </c>
      <c r="C1011" s="3" t="s">
        <v>2566</v>
      </c>
      <c r="D1011" s="3" t="s">
        <v>225</v>
      </c>
      <c r="E1011" s="3"/>
      <c r="F1011" s="3"/>
      <c r="G1011" s="3"/>
      <c r="H1011" s="3"/>
    </row>
    <row r="1012" spans="1:8" x14ac:dyDescent="0.35">
      <c r="A1012" s="3" t="s">
        <v>1010</v>
      </c>
      <c r="B1012" s="3" t="s">
        <v>45</v>
      </c>
      <c r="C1012" s="3" t="s">
        <v>2566</v>
      </c>
      <c r="D1012" s="3" t="s">
        <v>221</v>
      </c>
      <c r="E1012" s="3"/>
      <c r="F1012" s="3"/>
      <c r="G1012" s="3"/>
      <c r="H1012" s="3"/>
    </row>
    <row r="1013" spans="1:8" x14ac:dyDescent="0.35">
      <c r="A1013" s="3" t="s">
        <v>1010</v>
      </c>
      <c r="B1013" s="3" t="s">
        <v>45</v>
      </c>
      <c r="C1013" s="3" t="s">
        <v>2566</v>
      </c>
      <c r="D1013" s="3" t="s">
        <v>222</v>
      </c>
      <c r="E1013" s="3"/>
      <c r="F1013" s="3"/>
      <c r="G1013" s="3"/>
      <c r="H1013" s="3"/>
    </row>
    <row r="1014" spans="1:8" x14ac:dyDescent="0.35">
      <c r="A1014" s="3" t="s">
        <v>1010</v>
      </c>
      <c r="B1014" s="3" t="s">
        <v>45</v>
      </c>
      <c r="C1014" s="3" t="s">
        <v>2566</v>
      </c>
      <c r="D1014" s="3" t="s">
        <v>223</v>
      </c>
      <c r="E1014" s="3"/>
      <c r="F1014" s="3"/>
      <c r="G1014" s="3"/>
      <c r="H1014" s="3"/>
    </row>
    <row r="1015" spans="1:8" x14ac:dyDescent="0.35">
      <c r="A1015" s="3" t="s">
        <v>1010</v>
      </c>
      <c r="B1015" s="3" t="s">
        <v>45</v>
      </c>
      <c r="C1015" s="3" t="s">
        <v>2566</v>
      </c>
      <c r="D1015" s="3" t="s">
        <v>226</v>
      </c>
      <c r="E1015" s="3"/>
      <c r="F1015" s="3"/>
      <c r="G1015" s="3"/>
      <c r="H1015" s="3"/>
    </row>
    <row r="1016" spans="1:8" x14ac:dyDescent="0.35">
      <c r="A1016" s="3" t="s">
        <v>1010</v>
      </c>
      <c r="B1016" s="3" t="s">
        <v>45</v>
      </c>
      <c r="C1016" s="3" t="s">
        <v>2566</v>
      </c>
      <c r="D1016" s="3" t="s">
        <v>227</v>
      </c>
      <c r="E1016" s="3"/>
      <c r="F1016" s="3"/>
      <c r="G1016" s="3"/>
      <c r="H1016" s="3"/>
    </row>
    <row r="1017" spans="1:8" x14ac:dyDescent="0.35">
      <c r="A1017" s="3" t="s">
        <v>1010</v>
      </c>
      <c r="B1017" s="3" t="s">
        <v>45</v>
      </c>
      <c r="C1017" s="3" t="s">
        <v>2566</v>
      </c>
      <c r="D1017" s="3" t="s">
        <v>228</v>
      </c>
      <c r="E1017" s="3"/>
      <c r="F1017" s="3"/>
      <c r="G1017" s="3"/>
      <c r="H1017" s="3"/>
    </row>
    <row r="1018" spans="1:8" x14ac:dyDescent="0.35">
      <c r="A1018" s="3" t="s">
        <v>1010</v>
      </c>
      <c r="B1018" s="3" t="s">
        <v>45</v>
      </c>
      <c r="C1018" s="3" t="s">
        <v>2566</v>
      </c>
      <c r="D1018" s="3" t="s">
        <v>229</v>
      </c>
      <c r="E1018" s="3"/>
      <c r="F1018" s="3"/>
      <c r="G1018" s="3"/>
      <c r="H1018" s="3"/>
    </row>
    <row r="1019" spans="1:8" x14ac:dyDescent="0.35">
      <c r="A1019" s="3" t="s">
        <v>1010</v>
      </c>
      <c r="B1019" s="3" t="s">
        <v>45</v>
      </c>
      <c r="C1019" s="3" t="s">
        <v>2566</v>
      </c>
      <c r="D1019" s="3" t="s">
        <v>230</v>
      </c>
      <c r="E1019" s="3"/>
      <c r="F1019" s="3"/>
      <c r="G1019" s="3"/>
      <c r="H1019" s="3"/>
    </row>
    <row r="1020" spans="1:8" x14ac:dyDescent="0.35">
      <c r="A1020" s="3" t="s">
        <v>1010</v>
      </c>
      <c r="B1020" s="3" t="s">
        <v>45</v>
      </c>
      <c r="C1020" s="3" t="s">
        <v>2566</v>
      </c>
      <c r="D1020" s="3" t="s">
        <v>219</v>
      </c>
      <c r="E1020" s="3"/>
      <c r="F1020" s="3"/>
      <c r="G1020" s="3"/>
      <c r="H1020" s="3"/>
    </row>
    <row r="1021" spans="1:8" x14ac:dyDescent="0.35">
      <c r="A1021" s="3" t="s">
        <v>1010</v>
      </c>
      <c r="B1021" s="3" t="s">
        <v>45</v>
      </c>
      <c r="C1021" s="3" t="s">
        <v>2566</v>
      </c>
      <c r="D1021" s="3" t="s">
        <v>372</v>
      </c>
      <c r="E1021" s="3"/>
      <c r="F1021" s="3"/>
      <c r="G1021" s="3"/>
      <c r="H1021" s="3"/>
    </row>
    <row r="1022" spans="1:8" x14ac:dyDescent="0.35">
      <c r="A1022" s="3" t="s">
        <v>1010</v>
      </c>
      <c r="B1022" s="3" t="s">
        <v>45</v>
      </c>
      <c r="C1022" s="3" t="s">
        <v>2566</v>
      </c>
      <c r="D1022" s="3" t="s">
        <v>218</v>
      </c>
      <c r="E1022" s="3"/>
      <c r="F1022" s="3"/>
      <c r="G1022" s="3"/>
      <c r="H1022" s="3"/>
    </row>
    <row r="1023" spans="1:8" x14ac:dyDescent="0.35">
      <c r="A1023" s="3" t="s">
        <v>1010</v>
      </c>
      <c r="B1023" s="3" t="s">
        <v>45</v>
      </c>
      <c r="C1023" s="3" t="s">
        <v>2566</v>
      </c>
      <c r="D1023" s="3" t="s">
        <v>224</v>
      </c>
      <c r="E1023" s="3"/>
      <c r="F1023" s="3"/>
      <c r="G1023" s="3"/>
      <c r="H1023" s="3"/>
    </row>
    <row r="1024" spans="1:8" x14ac:dyDescent="0.35">
      <c r="A1024" s="3" t="s">
        <v>1010</v>
      </c>
      <c r="B1024" s="3" t="s">
        <v>45</v>
      </c>
      <c r="C1024" s="3" t="s">
        <v>1140</v>
      </c>
      <c r="D1024" s="3" t="s">
        <v>217</v>
      </c>
      <c r="E1024" s="3"/>
      <c r="F1024" s="3"/>
      <c r="G1024" s="3"/>
      <c r="H1024" s="3"/>
    </row>
    <row r="1025" spans="1:8" x14ac:dyDescent="0.35">
      <c r="A1025" s="3" t="s">
        <v>1010</v>
      </c>
      <c r="B1025" s="3" t="s">
        <v>45</v>
      </c>
      <c r="C1025" s="3" t="s">
        <v>1140</v>
      </c>
      <c r="D1025" s="3" t="s">
        <v>71</v>
      </c>
      <c r="E1025" s="3"/>
      <c r="F1025" s="3"/>
      <c r="G1025" s="3"/>
      <c r="H1025" s="3"/>
    </row>
    <row r="1026" spans="1:8" x14ac:dyDescent="0.35">
      <c r="A1026" s="3" t="s">
        <v>1010</v>
      </c>
      <c r="B1026" s="3" t="s">
        <v>45</v>
      </c>
      <c r="C1026" s="3" t="s">
        <v>1140</v>
      </c>
      <c r="D1026" s="3" t="s">
        <v>221</v>
      </c>
      <c r="E1026" s="3"/>
      <c r="F1026" s="3"/>
      <c r="G1026" s="3"/>
      <c r="H1026" s="3"/>
    </row>
    <row r="1027" spans="1:8" x14ac:dyDescent="0.35">
      <c r="A1027" s="3" t="s">
        <v>1010</v>
      </c>
      <c r="B1027" s="3" t="s">
        <v>45</v>
      </c>
      <c r="C1027" s="3" t="s">
        <v>1140</v>
      </c>
      <c r="D1027" s="3" t="s">
        <v>230</v>
      </c>
      <c r="E1027" s="3"/>
      <c r="F1027" s="3"/>
      <c r="G1027" s="3"/>
      <c r="H1027" s="3"/>
    </row>
    <row r="1028" spans="1:8" x14ac:dyDescent="0.35">
      <c r="A1028" s="3" t="s">
        <v>1010</v>
      </c>
      <c r="B1028" s="3" t="s">
        <v>45</v>
      </c>
      <c r="C1028" s="3" t="s">
        <v>1140</v>
      </c>
      <c r="D1028" s="3" t="s">
        <v>1141</v>
      </c>
      <c r="E1028" s="3"/>
      <c r="F1028" s="3"/>
      <c r="G1028" s="3"/>
      <c r="H1028" s="3"/>
    </row>
    <row r="1029" spans="1:8" x14ac:dyDescent="0.35">
      <c r="A1029" s="3" t="s">
        <v>1010</v>
      </c>
      <c r="B1029" s="3" t="s">
        <v>45</v>
      </c>
      <c r="C1029" s="3" t="s">
        <v>1140</v>
      </c>
      <c r="D1029" s="3" t="s">
        <v>224</v>
      </c>
      <c r="E1029" s="3"/>
      <c r="F1029" s="3"/>
      <c r="G1029" s="3"/>
      <c r="H1029" s="3"/>
    </row>
    <row r="1030" spans="1:8" x14ac:dyDescent="0.35">
      <c r="A1030" s="3" t="s">
        <v>1010</v>
      </c>
      <c r="B1030" s="3" t="s">
        <v>45</v>
      </c>
      <c r="C1030" s="3" t="s">
        <v>1142</v>
      </c>
      <c r="D1030" s="3" t="s">
        <v>77</v>
      </c>
      <c r="E1030" s="3"/>
      <c r="F1030" s="3"/>
      <c r="G1030" s="3"/>
      <c r="H1030" s="3"/>
    </row>
    <row r="1031" spans="1:8" x14ac:dyDescent="0.35">
      <c r="A1031" s="3" t="s">
        <v>1010</v>
      </c>
      <c r="B1031" s="3" t="s">
        <v>45</v>
      </c>
      <c r="C1031" s="3" t="s">
        <v>1143</v>
      </c>
      <c r="D1031" s="3" t="s">
        <v>166</v>
      </c>
      <c r="E1031" s="3"/>
      <c r="F1031" s="3"/>
      <c r="G1031" s="3"/>
      <c r="H1031" s="3"/>
    </row>
    <row r="1032" spans="1:8" x14ac:dyDescent="0.35">
      <c r="A1032" s="3" t="s">
        <v>1010</v>
      </c>
      <c r="B1032" s="3" t="s">
        <v>45</v>
      </c>
      <c r="C1032" s="3" t="s">
        <v>1143</v>
      </c>
      <c r="D1032" s="3" t="s">
        <v>47</v>
      </c>
      <c r="E1032" s="3" t="s">
        <v>16</v>
      </c>
      <c r="F1032" s="3" t="s">
        <v>2568</v>
      </c>
      <c r="G1032" s="3"/>
      <c r="H1032" s="3"/>
    </row>
    <row r="1033" spans="1:8" x14ac:dyDescent="0.35">
      <c r="A1033" s="3" t="s">
        <v>1010</v>
      </c>
      <c r="B1033" s="3" t="s">
        <v>45</v>
      </c>
      <c r="C1033" s="3" t="s">
        <v>1143</v>
      </c>
      <c r="D1033" s="3" t="s">
        <v>1016</v>
      </c>
      <c r="E1033" s="3"/>
      <c r="F1033" s="3"/>
      <c r="G1033" s="3"/>
      <c r="H1033" s="3"/>
    </row>
    <row r="1034" spans="1:8" x14ac:dyDescent="0.35">
      <c r="A1034" s="3" t="s">
        <v>1010</v>
      </c>
      <c r="B1034" s="3" t="s">
        <v>45</v>
      </c>
      <c r="C1034" s="3" t="s">
        <v>1143</v>
      </c>
      <c r="D1034" s="3" t="s">
        <v>225</v>
      </c>
      <c r="E1034" s="3"/>
      <c r="F1034" s="3"/>
      <c r="G1034" s="3"/>
      <c r="H1034" s="3"/>
    </row>
    <row r="1035" spans="1:8" x14ac:dyDescent="0.35">
      <c r="A1035" s="3" t="s">
        <v>1010</v>
      </c>
      <c r="B1035" s="3" t="s">
        <v>45</v>
      </c>
      <c r="C1035" s="3" t="s">
        <v>1143</v>
      </c>
      <c r="D1035" s="3" t="s">
        <v>221</v>
      </c>
      <c r="E1035" s="3"/>
      <c r="F1035" s="3"/>
      <c r="G1035" s="3"/>
      <c r="H1035" s="3"/>
    </row>
    <row r="1036" spans="1:8" x14ac:dyDescent="0.35">
      <c r="A1036" s="3" t="s">
        <v>1010</v>
      </c>
      <c r="B1036" s="3" t="s">
        <v>45</v>
      </c>
      <c r="C1036" s="3" t="s">
        <v>1143</v>
      </c>
      <c r="D1036" s="3" t="s">
        <v>222</v>
      </c>
      <c r="E1036" s="3"/>
      <c r="F1036" s="3"/>
      <c r="G1036" s="3"/>
      <c r="H1036" s="3"/>
    </row>
    <row r="1037" spans="1:8" x14ac:dyDescent="0.35">
      <c r="A1037" s="3" t="s">
        <v>1010</v>
      </c>
      <c r="B1037" s="3" t="s">
        <v>45</v>
      </c>
      <c r="C1037" s="3" t="s">
        <v>1143</v>
      </c>
      <c r="D1037" s="3" t="s">
        <v>223</v>
      </c>
      <c r="E1037" s="3"/>
      <c r="F1037" s="3"/>
      <c r="G1037" s="3"/>
      <c r="H1037" s="3"/>
    </row>
    <row r="1038" spans="1:8" x14ac:dyDescent="0.35">
      <c r="A1038" s="3" t="s">
        <v>1010</v>
      </c>
      <c r="B1038" s="3" t="s">
        <v>45</v>
      </c>
      <c r="C1038" s="3" t="s">
        <v>1143</v>
      </c>
      <c r="D1038" s="3" t="s">
        <v>242</v>
      </c>
      <c r="E1038" s="3"/>
      <c r="F1038" s="3"/>
      <c r="G1038" s="3"/>
      <c r="H1038" s="3"/>
    </row>
    <row r="1039" spans="1:8" x14ac:dyDescent="0.35">
      <c r="A1039" s="3" t="s">
        <v>1010</v>
      </c>
      <c r="B1039" s="3" t="s">
        <v>45</v>
      </c>
      <c r="C1039" s="3" t="s">
        <v>1143</v>
      </c>
      <c r="D1039" s="3" t="s">
        <v>15</v>
      </c>
      <c r="E1039" s="3" t="s">
        <v>16</v>
      </c>
      <c r="F1039" s="3" t="s">
        <v>990</v>
      </c>
      <c r="G1039" s="3"/>
      <c r="H1039" s="3"/>
    </row>
    <row r="1040" spans="1:8" x14ac:dyDescent="0.35">
      <c r="A1040" s="3" t="s">
        <v>1010</v>
      </c>
      <c r="B1040" s="3" t="s">
        <v>45</v>
      </c>
      <c r="C1040" s="3" t="s">
        <v>1143</v>
      </c>
      <c r="D1040" s="3" t="s">
        <v>57</v>
      </c>
      <c r="E1040" s="3"/>
      <c r="F1040" s="3"/>
      <c r="G1040" s="3"/>
      <c r="H1040" s="3"/>
    </row>
    <row r="1041" spans="1:8" x14ac:dyDescent="0.35">
      <c r="A1041" s="3" t="s">
        <v>1010</v>
      </c>
      <c r="B1041" s="3" t="s">
        <v>45</v>
      </c>
      <c r="C1041" s="3" t="s">
        <v>1143</v>
      </c>
      <c r="D1041" s="3" t="s">
        <v>226</v>
      </c>
      <c r="E1041" s="3"/>
      <c r="F1041" s="3"/>
      <c r="G1041" s="3"/>
      <c r="H1041" s="3"/>
    </row>
    <row r="1042" spans="1:8" x14ac:dyDescent="0.35">
      <c r="A1042" s="3" t="s">
        <v>1010</v>
      </c>
      <c r="B1042" s="3" t="s">
        <v>45</v>
      </c>
      <c r="C1042" s="3" t="s">
        <v>1143</v>
      </c>
      <c r="D1042" s="3" t="s">
        <v>227</v>
      </c>
      <c r="E1042" s="3"/>
      <c r="F1042" s="3"/>
      <c r="G1042" s="3"/>
      <c r="H1042" s="3"/>
    </row>
    <row r="1043" spans="1:8" x14ac:dyDescent="0.35">
      <c r="A1043" s="3" t="s">
        <v>1010</v>
      </c>
      <c r="B1043" s="3" t="s">
        <v>45</v>
      </c>
      <c r="C1043" s="3" t="s">
        <v>1143</v>
      </c>
      <c r="D1043" s="3" t="s">
        <v>228</v>
      </c>
      <c r="E1043" s="3"/>
      <c r="F1043" s="3"/>
      <c r="G1043" s="3"/>
      <c r="H1043" s="3"/>
    </row>
    <row r="1044" spans="1:8" x14ac:dyDescent="0.35">
      <c r="A1044" s="3" t="s">
        <v>1010</v>
      </c>
      <c r="B1044" s="3" t="s">
        <v>45</v>
      </c>
      <c r="C1044" s="3" t="s">
        <v>1143</v>
      </c>
      <c r="D1044" s="3" t="s">
        <v>229</v>
      </c>
      <c r="E1044" s="3"/>
      <c r="F1044" s="3"/>
      <c r="G1044" s="3"/>
      <c r="H1044" s="3"/>
    </row>
    <row r="1045" spans="1:8" x14ac:dyDescent="0.35">
      <c r="A1045" s="3" t="s">
        <v>1010</v>
      </c>
      <c r="B1045" s="3" t="s">
        <v>45</v>
      </c>
      <c r="C1045" s="3" t="s">
        <v>1143</v>
      </c>
      <c r="D1045" s="3" t="s">
        <v>230</v>
      </c>
      <c r="E1045" s="3"/>
      <c r="F1045" s="3"/>
      <c r="G1045" s="3"/>
      <c r="H1045" s="3"/>
    </row>
    <row r="1046" spans="1:8" x14ac:dyDescent="0.35">
      <c r="A1046" s="3" t="s">
        <v>1010</v>
      </c>
      <c r="B1046" s="3" t="s">
        <v>45</v>
      </c>
      <c r="C1046" s="3" t="s">
        <v>1143</v>
      </c>
      <c r="D1046" s="3" t="s">
        <v>219</v>
      </c>
      <c r="E1046" s="3"/>
      <c r="F1046" s="3"/>
      <c r="G1046" s="3"/>
      <c r="H1046" s="3"/>
    </row>
    <row r="1047" spans="1:8" x14ac:dyDescent="0.35">
      <c r="A1047" s="3" t="s">
        <v>1010</v>
      </c>
      <c r="B1047" s="3" t="s">
        <v>45</v>
      </c>
      <c r="C1047" s="3" t="s">
        <v>1143</v>
      </c>
      <c r="D1047" s="3" t="s">
        <v>134</v>
      </c>
      <c r="E1047" s="3" t="s">
        <v>16</v>
      </c>
      <c r="F1047" s="3" t="s">
        <v>2567</v>
      </c>
      <c r="G1047" s="3"/>
      <c r="H1047" s="3"/>
    </row>
    <row r="1048" spans="1:8" x14ac:dyDescent="0.35">
      <c r="A1048" s="3" t="s">
        <v>1010</v>
      </c>
      <c r="B1048" s="3" t="s">
        <v>45</v>
      </c>
      <c r="C1048" s="3" t="s">
        <v>1143</v>
      </c>
      <c r="D1048" s="3" t="s">
        <v>107</v>
      </c>
      <c r="E1048" s="3"/>
      <c r="F1048" s="3"/>
      <c r="G1048" s="3"/>
      <c r="H1048" s="3"/>
    </row>
    <row r="1049" spans="1:8" x14ac:dyDescent="0.35">
      <c r="A1049" s="3" t="s">
        <v>1010</v>
      </c>
      <c r="B1049" s="3" t="s">
        <v>45</v>
      </c>
      <c r="C1049" s="3" t="s">
        <v>1143</v>
      </c>
      <c r="D1049" s="3" t="s">
        <v>372</v>
      </c>
      <c r="E1049" s="3"/>
      <c r="F1049" s="3"/>
      <c r="G1049" s="3"/>
      <c r="H1049" s="3"/>
    </row>
    <row r="1050" spans="1:8" x14ac:dyDescent="0.35">
      <c r="A1050" s="3" t="s">
        <v>1010</v>
      </c>
      <c r="B1050" s="3" t="s">
        <v>45</v>
      </c>
      <c r="C1050" s="3" t="s">
        <v>1143</v>
      </c>
      <c r="D1050" s="3" t="s">
        <v>218</v>
      </c>
      <c r="E1050" s="3"/>
      <c r="F1050" s="3"/>
      <c r="G1050" s="3"/>
      <c r="H1050" s="3"/>
    </row>
    <row r="1051" spans="1:8" x14ac:dyDescent="0.35">
      <c r="A1051" s="3" t="s">
        <v>1010</v>
      </c>
      <c r="B1051" s="3" t="s">
        <v>45</v>
      </c>
      <c r="C1051" s="3" t="s">
        <v>1143</v>
      </c>
      <c r="D1051" s="3" t="s">
        <v>224</v>
      </c>
      <c r="E1051" s="3"/>
      <c r="F1051" s="3"/>
      <c r="G1051" s="3"/>
      <c r="H1051" s="3"/>
    </row>
    <row r="1052" spans="1:8" x14ac:dyDescent="0.35">
      <c r="A1052" s="3" t="s">
        <v>1010</v>
      </c>
      <c r="B1052" s="3" t="s">
        <v>45</v>
      </c>
      <c r="C1052" s="3" t="s">
        <v>1144</v>
      </c>
      <c r="D1052" s="3" t="s">
        <v>166</v>
      </c>
      <c r="E1052" s="3" t="s">
        <v>33</v>
      </c>
      <c r="F1052" s="3" t="s">
        <v>1015</v>
      </c>
      <c r="G1052" s="3"/>
      <c r="H1052" s="3"/>
    </row>
    <row r="1053" spans="1:8" x14ac:dyDescent="0.35">
      <c r="A1053" s="3" t="s">
        <v>1010</v>
      </c>
      <c r="B1053" s="3" t="s">
        <v>45</v>
      </c>
      <c r="C1053" s="3" t="s">
        <v>1144</v>
      </c>
      <c r="D1053" s="3" t="s">
        <v>1016</v>
      </c>
      <c r="E1053" s="3" t="s">
        <v>33</v>
      </c>
      <c r="F1053" s="3" t="s">
        <v>1015</v>
      </c>
      <c r="G1053" s="3"/>
      <c r="H1053" s="3"/>
    </row>
    <row r="1054" spans="1:8" x14ac:dyDescent="0.35">
      <c r="A1054" s="3" t="s">
        <v>1010</v>
      </c>
      <c r="B1054" s="3" t="s">
        <v>45</v>
      </c>
      <c r="C1054" s="3" t="s">
        <v>1144</v>
      </c>
      <c r="D1054" s="3" t="s">
        <v>225</v>
      </c>
      <c r="E1054" s="3" t="s">
        <v>33</v>
      </c>
      <c r="F1054" s="3" t="s">
        <v>1015</v>
      </c>
      <c r="G1054" s="3"/>
      <c r="H1054" s="3"/>
    </row>
    <row r="1055" spans="1:8" x14ac:dyDescent="0.35">
      <c r="A1055" s="3" t="s">
        <v>1010</v>
      </c>
      <c r="B1055" s="3" t="s">
        <v>45</v>
      </c>
      <c r="C1055" s="3" t="s">
        <v>1144</v>
      </c>
      <c r="D1055" s="3" t="s">
        <v>221</v>
      </c>
      <c r="E1055" s="3" t="s">
        <v>33</v>
      </c>
      <c r="F1055" s="3" t="s">
        <v>1015</v>
      </c>
      <c r="G1055" s="3"/>
      <c r="H1055" s="3"/>
    </row>
    <row r="1056" spans="1:8" x14ac:dyDescent="0.35">
      <c r="A1056" s="3" t="s">
        <v>1010</v>
      </c>
      <c r="B1056" s="3" t="s">
        <v>45</v>
      </c>
      <c r="C1056" s="3" t="s">
        <v>1144</v>
      </c>
      <c r="D1056" s="3" t="s">
        <v>222</v>
      </c>
      <c r="E1056" s="3" t="s">
        <v>33</v>
      </c>
      <c r="F1056" s="3" t="s">
        <v>1015</v>
      </c>
      <c r="G1056" s="3"/>
      <c r="H1056" s="3"/>
    </row>
    <row r="1057" spans="1:8" x14ac:dyDescent="0.35">
      <c r="A1057" s="3" t="s">
        <v>1010</v>
      </c>
      <c r="B1057" s="3" t="s">
        <v>45</v>
      </c>
      <c r="C1057" s="3" t="s">
        <v>1144</v>
      </c>
      <c r="D1057" s="3" t="s">
        <v>223</v>
      </c>
      <c r="E1057" s="3" t="s">
        <v>33</v>
      </c>
      <c r="F1057" s="3" t="s">
        <v>1015</v>
      </c>
      <c r="G1057" s="3"/>
      <c r="H1057" s="3"/>
    </row>
    <row r="1058" spans="1:8" x14ac:dyDescent="0.35">
      <c r="A1058" s="3" t="s">
        <v>1010</v>
      </c>
      <c r="B1058" s="3" t="s">
        <v>45</v>
      </c>
      <c r="C1058" s="3" t="s">
        <v>1144</v>
      </c>
      <c r="D1058" s="3" t="s">
        <v>226</v>
      </c>
      <c r="E1058" s="3" t="s">
        <v>33</v>
      </c>
      <c r="F1058" s="3" t="s">
        <v>1015</v>
      </c>
      <c r="G1058" s="3"/>
      <c r="H1058" s="3"/>
    </row>
    <row r="1059" spans="1:8" x14ac:dyDescent="0.35">
      <c r="A1059" s="3" t="s">
        <v>1010</v>
      </c>
      <c r="B1059" s="3" t="s">
        <v>45</v>
      </c>
      <c r="C1059" s="3" t="s">
        <v>1144</v>
      </c>
      <c r="D1059" s="3" t="s">
        <v>227</v>
      </c>
      <c r="E1059" s="3" t="s">
        <v>33</v>
      </c>
      <c r="F1059" s="3" t="s">
        <v>1015</v>
      </c>
      <c r="G1059" s="3"/>
      <c r="H1059" s="3"/>
    </row>
    <row r="1060" spans="1:8" x14ac:dyDescent="0.35">
      <c r="A1060" s="3" t="s">
        <v>1010</v>
      </c>
      <c r="B1060" s="3" t="s">
        <v>45</v>
      </c>
      <c r="C1060" s="3" t="s">
        <v>1144</v>
      </c>
      <c r="D1060" s="3" t="s">
        <v>228</v>
      </c>
      <c r="E1060" s="3" t="s">
        <v>33</v>
      </c>
      <c r="F1060" s="3" t="s">
        <v>1015</v>
      </c>
      <c r="G1060" s="3"/>
      <c r="H1060" s="3"/>
    </row>
    <row r="1061" spans="1:8" x14ac:dyDescent="0.35">
      <c r="A1061" s="3" t="s">
        <v>1010</v>
      </c>
      <c r="B1061" s="3" t="s">
        <v>45</v>
      </c>
      <c r="C1061" s="3" t="s">
        <v>1144</v>
      </c>
      <c r="D1061" s="3" t="s">
        <v>229</v>
      </c>
      <c r="E1061" s="3" t="s">
        <v>33</v>
      </c>
      <c r="F1061" s="3" t="s">
        <v>1015</v>
      </c>
      <c r="G1061" s="3"/>
      <c r="H1061" s="3"/>
    </row>
    <row r="1062" spans="1:8" x14ac:dyDescent="0.35">
      <c r="A1062" s="3" t="s">
        <v>1010</v>
      </c>
      <c r="B1062" s="3" t="s">
        <v>45</v>
      </c>
      <c r="C1062" s="3" t="s">
        <v>1144</v>
      </c>
      <c r="D1062" s="3" t="s">
        <v>230</v>
      </c>
      <c r="E1062" s="3" t="s">
        <v>33</v>
      </c>
      <c r="F1062" s="3" t="s">
        <v>1015</v>
      </c>
      <c r="G1062" s="3"/>
      <c r="H1062" s="3"/>
    </row>
    <row r="1063" spans="1:8" x14ac:dyDescent="0.35">
      <c r="A1063" s="3" t="s">
        <v>1010</v>
      </c>
      <c r="B1063" s="3" t="s">
        <v>45</v>
      </c>
      <c r="C1063" s="3" t="s">
        <v>1144</v>
      </c>
      <c r="D1063" s="3" t="s">
        <v>372</v>
      </c>
      <c r="E1063" s="3" t="s">
        <v>33</v>
      </c>
      <c r="F1063" s="3" t="s">
        <v>1015</v>
      </c>
      <c r="G1063" s="3"/>
      <c r="H1063" s="3"/>
    </row>
    <row r="1064" spans="1:8" x14ac:dyDescent="0.35">
      <c r="A1064" s="3" t="s">
        <v>1010</v>
      </c>
      <c r="B1064" s="3" t="s">
        <v>45</v>
      </c>
      <c r="C1064" s="3" t="s">
        <v>1144</v>
      </c>
      <c r="D1064" s="3" t="s">
        <v>218</v>
      </c>
      <c r="E1064" s="3" t="s">
        <v>33</v>
      </c>
      <c r="F1064" s="3" t="s">
        <v>1015</v>
      </c>
      <c r="G1064" s="3"/>
      <c r="H1064" s="3"/>
    </row>
    <row r="1065" spans="1:8" x14ac:dyDescent="0.35">
      <c r="A1065" s="3" t="s">
        <v>1010</v>
      </c>
      <c r="B1065" s="3" t="s">
        <v>45</v>
      </c>
      <c r="C1065" s="3" t="s">
        <v>1144</v>
      </c>
      <c r="D1065" s="3" t="s">
        <v>224</v>
      </c>
      <c r="E1065" s="3" t="s">
        <v>33</v>
      </c>
      <c r="F1065" s="3" t="s">
        <v>1015</v>
      </c>
      <c r="G1065" s="3"/>
      <c r="H1065" s="3"/>
    </row>
    <row r="1066" spans="1:8" x14ac:dyDescent="0.35">
      <c r="A1066" s="3" t="s">
        <v>1010</v>
      </c>
      <c r="B1066" s="3" t="s">
        <v>45</v>
      </c>
      <c r="C1066" s="3" t="s">
        <v>2836</v>
      </c>
      <c r="D1066" s="3" t="s">
        <v>166</v>
      </c>
      <c r="E1066" s="3"/>
      <c r="F1066" s="3"/>
      <c r="G1066" s="3"/>
      <c r="H1066" s="3"/>
    </row>
    <row r="1067" spans="1:8" x14ac:dyDescent="0.35">
      <c r="A1067" s="3" t="s">
        <v>1010</v>
      </c>
      <c r="B1067" s="3" t="s">
        <v>45</v>
      </c>
      <c r="C1067" s="3" t="s">
        <v>2836</v>
      </c>
      <c r="D1067" s="3" t="s">
        <v>1016</v>
      </c>
      <c r="E1067" s="3"/>
      <c r="F1067" s="3"/>
      <c r="G1067" s="3"/>
      <c r="H1067" s="3"/>
    </row>
    <row r="1068" spans="1:8" x14ac:dyDescent="0.35">
      <c r="A1068" s="3" t="s">
        <v>1010</v>
      </c>
      <c r="B1068" s="3" t="s">
        <v>45</v>
      </c>
      <c r="C1068" s="3" t="s">
        <v>2836</v>
      </c>
      <c r="D1068" s="3" t="s">
        <v>225</v>
      </c>
      <c r="E1068" s="3"/>
      <c r="F1068" s="3"/>
      <c r="G1068" s="3"/>
      <c r="H1068" s="3"/>
    </row>
    <row r="1069" spans="1:8" x14ac:dyDescent="0.35">
      <c r="A1069" s="3" t="s">
        <v>1010</v>
      </c>
      <c r="B1069" s="3" t="s">
        <v>45</v>
      </c>
      <c r="C1069" s="3" t="s">
        <v>2836</v>
      </c>
      <c r="D1069" s="3" t="s">
        <v>221</v>
      </c>
      <c r="E1069" s="3"/>
      <c r="F1069" s="3"/>
      <c r="G1069" s="3"/>
      <c r="H1069" s="3"/>
    </row>
    <row r="1070" spans="1:8" x14ac:dyDescent="0.35">
      <c r="A1070" s="3" t="s">
        <v>1010</v>
      </c>
      <c r="B1070" s="3" t="s">
        <v>45</v>
      </c>
      <c r="C1070" s="3" t="s">
        <v>2836</v>
      </c>
      <c r="D1070" s="3" t="s">
        <v>222</v>
      </c>
      <c r="E1070" s="3"/>
      <c r="F1070" s="3"/>
      <c r="G1070" s="3"/>
      <c r="H1070" s="3"/>
    </row>
    <row r="1071" spans="1:8" x14ac:dyDescent="0.35">
      <c r="A1071" s="3" t="s">
        <v>1010</v>
      </c>
      <c r="B1071" s="3" t="s">
        <v>45</v>
      </c>
      <c r="C1071" s="3" t="s">
        <v>2836</v>
      </c>
      <c r="D1071" s="3" t="s">
        <v>223</v>
      </c>
      <c r="E1071" s="3"/>
      <c r="F1071" s="3"/>
      <c r="G1071" s="3"/>
      <c r="H1071" s="3"/>
    </row>
    <row r="1072" spans="1:8" x14ac:dyDescent="0.35">
      <c r="A1072" s="3" t="s">
        <v>1010</v>
      </c>
      <c r="B1072" s="3" t="s">
        <v>45</v>
      </c>
      <c r="C1072" s="3" t="s">
        <v>2836</v>
      </c>
      <c r="D1072" s="3" t="s">
        <v>226</v>
      </c>
      <c r="E1072" s="3"/>
      <c r="F1072" s="3"/>
      <c r="G1072" s="3"/>
      <c r="H1072" s="3"/>
    </row>
    <row r="1073" spans="1:8" x14ac:dyDescent="0.35">
      <c r="A1073" s="3" t="s">
        <v>1010</v>
      </c>
      <c r="B1073" s="3" t="s">
        <v>45</v>
      </c>
      <c r="C1073" s="3" t="s">
        <v>2836</v>
      </c>
      <c r="D1073" s="3" t="s">
        <v>227</v>
      </c>
      <c r="E1073" s="3"/>
      <c r="F1073" s="3"/>
      <c r="G1073" s="3"/>
      <c r="H1073" s="3"/>
    </row>
    <row r="1074" spans="1:8" x14ac:dyDescent="0.35">
      <c r="A1074" s="3" t="s">
        <v>1010</v>
      </c>
      <c r="B1074" s="3" t="s">
        <v>45</v>
      </c>
      <c r="C1074" s="3" t="s">
        <v>2836</v>
      </c>
      <c r="D1074" s="3" t="s">
        <v>228</v>
      </c>
      <c r="E1074" s="3"/>
      <c r="F1074" s="3"/>
      <c r="G1074" s="3"/>
      <c r="H1074" s="3"/>
    </row>
    <row r="1075" spans="1:8" x14ac:dyDescent="0.35">
      <c r="A1075" s="3" t="s">
        <v>1010</v>
      </c>
      <c r="B1075" s="3" t="s">
        <v>45</v>
      </c>
      <c r="C1075" s="3" t="s">
        <v>2836</v>
      </c>
      <c r="D1075" s="3" t="s">
        <v>229</v>
      </c>
      <c r="E1075" s="3"/>
      <c r="F1075" s="3"/>
      <c r="G1075" s="3"/>
      <c r="H1075" s="3"/>
    </row>
    <row r="1076" spans="1:8" x14ac:dyDescent="0.35">
      <c r="A1076" s="3" t="s">
        <v>1010</v>
      </c>
      <c r="B1076" s="3" t="s">
        <v>45</v>
      </c>
      <c r="C1076" s="3" t="s">
        <v>2836</v>
      </c>
      <c r="D1076" s="3" t="s">
        <v>230</v>
      </c>
      <c r="E1076" s="3"/>
      <c r="F1076" s="3"/>
      <c r="G1076" s="3"/>
      <c r="H1076" s="3"/>
    </row>
    <row r="1077" spans="1:8" x14ac:dyDescent="0.35">
      <c r="A1077" s="3" t="s">
        <v>1010</v>
      </c>
      <c r="B1077" s="3" t="s">
        <v>45</v>
      </c>
      <c r="C1077" s="3" t="s">
        <v>2836</v>
      </c>
      <c r="D1077" s="3" t="s">
        <v>219</v>
      </c>
      <c r="E1077" s="3"/>
      <c r="F1077" s="3"/>
      <c r="G1077" s="3"/>
      <c r="H1077" s="3"/>
    </row>
    <row r="1078" spans="1:8" x14ac:dyDescent="0.35">
      <c r="A1078" s="3" t="s">
        <v>1010</v>
      </c>
      <c r="B1078" s="3" t="s">
        <v>45</v>
      </c>
      <c r="C1078" s="3" t="s">
        <v>2836</v>
      </c>
      <c r="D1078" s="3" t="s">
        <v>372</v>
      </c>
      <c r="E1078" s="3"/>
      <c r="F1078" s="3"/>
      <c r="G1078" s="3"/>
      <c r="H1078" s="3"/>
    </row>
    <row r="1079" spans="1:8" x14ac:dyDescent="0.35">
      <c r="A1079" s="3" t="s">
        <v>1010</v>
      </c>
      <c r="B1079" s="3" t="s">
        <v>45</v>
      </c>
      <c r="C1079" s="3" t="s">
        <v>2836</v>
      </c>
      <c r="D1079" s="3" t="s">
        <v>218</v>
      </c>
      <c r="E1079" s="3"/>
      <c r="F1079" s="3"/>
      <c r="G1079" s="3"/>
      <c r="H1079" s="3"/>
    </row>
    <row r="1080" spans="1:8" x14ac:dyDescent="0.35">
      <c r="A1080" s="3" t="s">
        <v>1010</v>
      </c>
      <c r="B1080" s="3" t="s">
        <v>45</v>
      </c>
      <c r="C1080" s="3" t="s">
        <v>2836</v>
      </c>
      <c r="D1080" s="3" t="s">
        <v>224</v>
      </c>
      <c r="E1080" s="3"/>
      <c r="F1080" s="3"/>
      <c r="G1080" s="3"/>
      <c r="H1080" s="3"/>
    </row>
    <row r="1081" spans="1:8" x14ac:dyDescent="0.35">
      <c r="A1081" s="3" t="s">
        <v>1010</v>
      </c>
      <c r="B1081" s="3" t="s">
        <v>45</v>
      </c>
      <c r="C1081" s="3" t="s">
        <v>2852</v>
      </c>
      <c r="D1081" s="3" t="s">
        <v>217</v>
      </c>
      <c r="E1081" s="3" t="s">
        <v>33</v>
      </c>
      <c r="F1081" s="3" t="s">
        <v>2661</v>
      </c>
      <c r="G1081" s="3"/>
      <c r="H1081" s="3"/>
    </row>
    <row r="1082" spans="1:8" x14ac:dyDescent="0.35">
      <c r="A1082" s="3" t="s">
        <v>1010</v>
      </c>
      <c r="B1082" s="3" t="s">
        <v>45</v>
      </c>
      <c r="C1082" s="3" t="s">
        <v>2852</v>
      </c>
      <c r="D1082" s="3" t="s">
        <v>372</v>
      </c>
      <c r="E1082" s="3" t="s">
        <v>33</v>
      </c>
      <c r="F1082" s="3" t="s">
        <v>2661</v>
      </c>
      <c r="G1082" s="3"/>
      <c r="H1082" s="3"/>
    </row>
    <row r="1083" spans="1:8" x14ac:dyDescent="0.35">
      <c r="A1083" s="3" t="s">
        <v>1010</v>
      </c>
      <c r="B1083" s="3" t="s">
        <v>45</v>
      </c>
      <c r="C1083" s="3" t="s">
        <v>2852</v>
      </c>
      <c r="D1083" s="3" t="s">
        <v>224</v>
      </c>
      <c r="E1083" s="3" t="s">
        <v>33</v>
      </c>
      <c r="F1083" s="3" t="s">
        <v>2661</v>
      </c>
      <c r="G1083" s="3"/>
      <c r="H1083" s="3"/>
    </row>
    <row r="1084" spans="1:8" s="4" customFormat="1" x14ac:dyDescent="0.35">
      <c r="A1084" s="3" t="s">
        <v>1010</v>
      </c>
      <c r="B1084" s="3" t="s">
        <v>45</v>
      </c>
      <c r="C1084" s="3" t="s">
        <v>1145</v>
      </c>
      <c r="D1084" s="3" t="s">
        <v>166</v>
      </c>
      <c r="E1084" s="3"/>
      <c r="F1084" s="3"/>
      <c r="G1084" s="3"/>
      <c r="H1084" s="3"/>
    </row>
    <row r="1085" spans="1:8" x14ac:dyDescent="0.35">
      <c r="A1085" s="3" t="s">
        <v>1010</v>
      </c>
      <c r="B1085" s="3" t="s">
        <v>45</v>
      </c>
      <c r="C1085" s="3" t="s">
        <v>1145</v>
      </c>
      <c r="D1085" s="3" t="s">
        <v>1016</v>
      </c>
      <c r="E1085" s="3"/>
      <c r="F1085" s="3"/>
      <c r="G1085" s="3"/>
      <c r="H1085" s="3"/>
    </row>
    <row r="1086" spans="1:8" x14ac:dyDescent="0.35">
      <c r="A1086" s="3" t="s">
        <v>1010</v>
      </c>
      <c r="B1086" s="3" t="s">
        <v>45</v>
      </c>
      <c r="C1086" s="3" t="s">
        <v>1145</v>
      </c>
      <c r="D1086" s="3" t="s">
        <v>225</v>
      </c>
      <c r="E1086" s="3"/>
      <c r="F1086" s="3"/>
      <c r="G1086" s="3"/>
      <c r="H1086" s="3"/>
    </row>
    <row r="1087" spans="1:8" x14ac:dyDescent="0.35">
      <c r="A1087" s="3" t="s">
        <v>1010</v>
      </c>
      <c r="B1087" s="3" t="s">
        <v>45</v>
      </c>
      <c r="C1087" s="3" t="s">
        <v>1145</v>
      </c>
      <c r="D1087" s="3" t="s">
        <v>221</v>
      </c>
      <c r="E1087" s="3"/>
      <c r="F1087" s="3"/>
      <c r="G1087" s="3"/>
      <c r="H1087" s="3"/>
    </row>
    <row r="1088" spans="1:8" x14ac:dyDescent="0.35">
      <c r="A1088" s="3" t="s">
        <v>1010</v>
      </c>
      <c r="B1088" s="3" t="s">
        <v>45</v>
      </c>
      <c r="C1088" s="3" t="s">
        <v>1145</v>
      </c>
      <c r="D1088" s="3" t="s">
        <v>222</v>
      </c>
      <c r="E1088" s="3"/>
      <c r="F1088" s="3"/>
      <c r="G1088" s="3"/>
      <c r="H1088" s="3"/>
    </row>
    <row r="1089" spans="1:8" x14ac:dyDescent="0.35">
      <c r="A1089" s="3" t="s">
        <v>1010</v>
      </c>
      <c r="B1089" s="3" t="s">
        <v>45</v>
      </c>
      <c r="C1089" s="3" t="s">
        <v>1145</v>
      </c>
      <c r="D1089" s="3" t="s">
        <v>223</v>
      </c>
      <c r="E1089" s="3"/>
      <c r="F1089" s="3"/>
      <c r="G1089" s="3"/>
      <c r="H1089" s="3"/>
    </row>
    <row r="1090" spans="1:8" x14ac:dyDescent="0.35">
      <c r="A1090" s="3" t="s">
        <v>1010</v>
      </c>
      <c r="B1090" s="3" t="s">
        <v>45</v>
      </c>
      <c r="C1090" s="3" t="s">
        <v>1145</v>
      </c>
      <c r="D1090" s="3" t="s">
        <v>226</v>
      </c>
      <c r="E1090" s="3"/>
      <c r="F1090" s="3"/>
      <c r="G1090" s="3"/>
      <c r="H1090" s="3"/>
    </row>
    <row r="1091" spans="1:8" x14ac:dyDescent="0.35">
      <c r="A1091" s="3" t="s">
        <v>1010</v>
      </c>
      <c r="B1091" s="3" t="s">
        <v>45</v>
      </c>
      <c r="C1091" s="3" t="s">
        <v>1145</v>
      </c>
      <c r="D1091" s="3" t="s">
        <v>227</v>
      </c>
      <c r="E1091" s="3"/>
      <c r="F1091" s="3"/>
      <c r="G1091" s="3"/>
      <c r="H1091" s="3"/>
    </row>
    <row r="1092" spans="1:8" x14ac:dyDescent="0.35">
      <c r="A1092" s="3" t="s">
        <v>1010</v>
      </c>
      <c r="B1092" s="3" t="s">
        <v>45</v>
      </c>
      <c r="C1092" s="3" t="s">
        <v>1145</v>
      </c>
      <c r="D1092" s="3" t="s">
        <v>228</v>
      </c>
      <c r="E1092" s="3"/>
      <c r="F1092" s="3"/>
      <c r="G1092" s="3"/>
      <c r="H1092" s="3"/>
    </row>
    <row r="1093" spans="1:8" x14ac:dyDescent="0.35">
      <c r="A1093" s="3" t="s">
        <v>1010</v>
      </c>
      <c r="B1093" s="3" t="s">
        <v>45</v>
      </c>
      <c r="C1093" s="3" t="s">
        <v>1145</v>
      </c>
      <c r="D1093" s="3" t="s">
        <v>229</v>
      </c>
      <c r="E1093" s="3"/>
      <c r="F1093" s="3"/>
      <c r="G1093" s="3"/>
      <c r="H1093" s="3"/>
    </row>
    <row r="1094" spans="1:8" x14ac:dyDescent="0.35">
      <c r="A1094" s="3" t="s">
        <v>1010</v>
      </c>
      <c r="B1094" s="3" t="s">
        <v>45</v>
      </c>
      <c r="C1094" s="3" t="s">
        <v>1145</v>
      </c>
      <c r="D1094" s="3" t="s">
        <v>230</v>
      </c>
      <c r="E1094" s="3"/>
      <c r="F1094" s="3"/>
      <c r="G1094" s="3"/>
      <c r="H1094" s="3"/>
    </row>
    <row r="1095" spans="1:8" x14ac:dyDescent="0.35">
      <c r="A1095" s="3" t="s">
        <v>1010</v>
      </c>
      <c r="B1095" s="3" t="s">
        <v>45</v>
      </c>
      <c r="C1095" s="3" t="s">
        <v>1145</v>
      </c>
      <c r="D1095" s="3" t="s">
        <v>219</v>
      </c>
      <c r="E1095" s="3"/>
      <c r="F1095" s="3"/>
      <c r="G1095" s="3"/>
      <c r="H1095" s="3"/>
    </row>
    <row r="1096" spans="1:8" x14ac:dyDescent="0.35">
      <c r="A1096" s="3" t="s">
        <v>1010</v>
      </c>
      <c r="B1096" s="3" t="s">
        <v>45</v>
      </c>
      <c r="C1096" s="3" t="s">
        <v>1145</v>
      </c>
      <c r="D1096" s="3" t="s">
        <v>372</v>
      </c>
      <c r="E1096" s="3"/>
      <c r="F1096" s="3"/>
      <c r="G1096" s="3"/>
      <c r="H1096" s="3"/>
    </row>
    <row r="1097" spans="1:8" x14ac:dyDescent="0.35">
      <c r="A1097" s="3" t="s">
        <v>1010</v>
      </c>
      <c r="B1097" s="3" t="s">
        <v>45</v>
      </c>
      <c r="C1097" s="3" t="s">
        <v>1145</v>
      </c>
      <c r="D1097" s="3" t="s">
        <v>218</v>
      </c>
      <c r="E1097" s="3"/>
      <c r="F1097" s="3"/>
      <c r="G1097" s="3"/>
      <c r="H1097" s="3"/>
    </row>
    <row r="1098" spans="1:8" x14ac:dyDescent="0.35">
      <c r="A1098" s="3" t="s">
        <v>1010</v>
      </c>
      <c r="B1098" s="3" t="s">
        <v>45</v>
      </c>
      <c r="C1098" s="3" t="s">
        <v>1145</v>
      </c>
      <c r="D1098" s="3" t="s">
        <v>224</v>
      </c>
      <c r="E1098" s="3"/>
      <c r="F1098" s="3"/>
      <c r="G1098" s="3"/>
      <c r="H1098" s="3"/>
    </row>
    <row r="1099" spans="1:8" x14ac:dyDescent="0.35">
      <c r="A1099" s="3" t="s">
        <v>1010</v>
      </c>
      <c r="B1099" s="3" t="s">
        <v>45</v>
      </c>
      <c r="C1099" s="3" t="s">
        <v>1146</v>
      </c>
      <c r="D1099" s="3" t="s">
        <v>166</v>
      </c>
      <c r="E1099" s="3"/>
      <c r="F1099" s="3"/>
      <c r="G1099" s="3"/>
      <c r="H1099" s="3"/>
    </row>
    <row r="1100" spans="1:8" x14ac:dyDescent="0.35">
      <c r="A1100" s="3" t="s">
        <v>1010</v>
      </c>
      <c r="B1100" s="3" t="s">
        <v>45</v>
      </c>
      <c r="C1100" s="3" t="s">
        <v>1146</v>
      </c>
      <c r="D1100" s="3" t="s">
        <v>1016</v>
      </c>
      <c r="E1100" s="3"/>
      <c r="F1100" s="3"/>
      <c r="G1100" s="3"/>
      <c r="H1100" s="3"/>
    </row>
    <row r="1101" spans="1:8" x14ac:dyDescent="0.35">
      <c r="A1101" s="3" t="s">
        <v>1010</v>
      </c>
      <c r="B1101" s="3" t="s">
        <v>45</v>
      </c>
      <c r="C1101" s="3" t="s">
        <v>1146</v>
      </c>
      <c r="D1101" s="3" t="s">
        <v>225</v>
      </c>
      <c r="E1101" s="3"/>
      <c r="F1101" s="3"/>
      <c r="G1101" s="3"/>
      <c r="H1101" s="3"/>
    </row>
    <row r="1102" spans="1:8" x14ac:dyDescent="0.35">
      <c r="A1102" s="3" t="s">
        <v>1010</v>
      </c>
      <c r="B1102" s="3" t="s">
        <v>45</v>
      </c>
      <c r="C1102" s="3" t="s">
        <v>1146</v>
      </c>
      <c r="D1102" s="3" t="s">
        <v>221</v>
      </c>
      <c r="E1102" s="3"/>
      <c r="F1102" s="3"/>
      <c r="G1102" s="3"/>
      <c r="H1102" s="3"/>
    </row>
    <row r="1103" spans="1:8" x14ac:dyDescent="0.35">
      <c r="A1103" s="3" t="s">
        <v>1010</v>
      </c>
      <c r="B1103" s="3" t="s">
        <v>45</v>
      </c>
      <c r="C1103" s="3" t="s">
        <v>1146</v>
      </c>
      <c r="D1103" s="3" t="s">
        <v>222</v>
      </c>
      <c r="E1103" s="3"/>
      <c r="F1103" s="3"/>
      <c r="G1103" s="3"/>
      <c r="H1103" s="3"/>
    </row>
    <row r="1104" spans="1:8" x14ac:dyDescent="0.35">
      <c r="A1104" s="3" t="s">
        <v>1010</v>
      </c>
      <c r="B1104" s="3" t="s">
        <v>45</v>
      </c>
      <c r="C1104" s="3" t="s">
        <v>1146</v>
      </c>
      <c r="D1104" s="3" t="s">
        <v>223</v>
      </c>
      <c r="E1104" s="3"/>
      <c r="F1104" s="3"/>
      <c r="G1104" s="3"/>
      <c r="H1104" s="3"/>
    </row>
    <row r="1105" spans="1:8" x14ac:dyDescent="0.35">
      <c r="A1105" s="3" t="s">
        <v>1010</v>
      </c>
      <c r="B1105" s="3" t="s">
        <v>45</v>
      </c>
      <c r="C1105" s="3" t="s">
        <v>1146</v>
      </c>
      <c r="D1105" s="3" t="s">
        <v>226</v>
      </c>
      <c r="E1105" s="3"/>
      <c r="F1105" s="3"/>
      <c r="G1105" s="3"/>
      <c r="H1105" s="3"/>
    </row>
    <row r="1106" spans="1:8" x14ac:dyDescent="0.35">
      <c r="A1106" s="3" t="s">
        <v>1010</v>
      </c>
      <c r="B1106" s="3" t="s">
        <v>45</v>
      </c>
      <c r="C1106" s="3" t="s">
        <v>1146</v>
      </c>
      <c r="D1106" s="3" t="s">
        <v>227</v>
      </c>
      <c r="E1106" s="3"/>
      <c r="F1106" s="3"/>
      <c r="G1106" s="3"/>
      <c r="H1106" s="3"/>
    </row>
    <row r="1107" spans="1:8" x14ac:dyDescent="0.35">
      <c r="A1107" s="3" t="s">
        <v>1010</v>
      </c>
      <c r="B1107" s="3" t="s">
        <v>45</v>
      </c>
      <c r="C1107" s="3" t="s">
        <v>1146</v>
      </c>
      <c r="D1107" s="3" t="s">
        <v>228</v>
      </c>
      <c r="E1107" s="3"/>
      <c r="F1107" s="3"/>
      <c r="G1107" s="3"/>
      <c r="H1107" s="3"/>
    </row>
    <row r="1108" spans="1:8" x14ac:dyDescent="0.35">
      <c r="A1108" s="3" t="s">
        <v>1010</v>
      </c>
      <c r="B1108" s="3" t="s">
        <v>45</v>
      </c>
      <c r="C1108" s="3" t="s">
        <v>1146</v>
      </c>
      <c r="D1108" s="3" t="s">
        <v>229</v>
      </c>
      <c r="E1108" s="3"/>
      <c r="F1108" s="3"/>
      <c r="G1108" s="3"/>
      <c r="H1108" s="3"/>
    </row>
    <row r="1109" spans="1:8" x14ac:dyDescent="0.35">
      <c r="A1109" s="3" t="s">
        <v>1010</v>
      </c>
      <c r="B1109" s="3" t="s">
        <v>45</v>
      </c>
      <c r="C1109" s="3" t="s">
        <v>1146</v>
      </c>
      <c r="D1109" s="3" t="s">
        <v>230</v>
      </c>
      <c r="E1109" s="3"/>
      <c r="F1109" s="3"/>
      <c r="G1109" s="3"/>
      <c r="H1109" s="3"/>
    </row>
    <row r="1110" spans="1:8" x14ac:dyDescent="0.35">
      <c r="A1110" s="3" t="s">
        <v>1010</v>
      </c>
      <c r="B1110" s="3" t="s">
        <v>45</v>
      </c>
      <c r="C1110" s="3" t="s">
        <v>1146</v>
      </c>
      <c r="D1110" s="3" t="s">
        <v>219</v>
      </c>
      <c r="E1110" s="3"/>
      <c r="F1110" s="3"/>
      <c r="G1110" s="3"/>
      <c r="H1110" s="3"/>
    </row>
    <row r="1111" spans="1:8" x14ac:dyDescent="0.35">
      <c r="A1111" s="3" t="s">
        <v>1010</v>
      </c>
      <c r="B1111" s="3" t="s">
        <v>45</v>
      </c>
      <c r="C1111" s="3" t="s">
        <v>1146</v>
      </c>
      <c r="D1111" s="3" t="s">
        <v>372</v>
      </c>
      <c r="E1111" s="3"/>
      <c r="F1111" s="3"/>
      <c r="G1111" s="3"/>
      <c r="H1111" s="3"/>
    </row>
    <row r="1112" spans="1:8" x14ac:dyDescent="0.35">
      <c r="A1112" s="3" t="s">
        <v>1010</v>
      </c>
      <c r="B1112" s="3" t="s">
        <v>45</v>
      </c>
      <c r="C1112" s="3" t="s">
        <v>1146</v>
      </c>
      <c r="D1112" s="3" t="s">
        <v>218</v>
      </c>
      <c r="E1112" s="3"/>
      <c r="F1112" s="3"/>
      <c r="G1112" s="3"/>
      <c r="H1112" s="3"/>
    </row>
    <row r="1113" spans="1:8" x14ac:dyDescent="0.35">
      <c r="A1113" s="3" t="s">
        <v>1010</v>
      </c>
      <c r="B1113" s="3" t="s">
        <v>45</v>
      </c>
      <c r="C1113" s="3" t="s">
        <v>1146</v>
      </c>
      <c r="D1113" s="3" t="s">
        <v>224</v>
      </c>
      <c r="E1113" s="3"/>
      <c r="F1113" s="3"/>
      <c r="G1113" s="3"/>
      <c r="H1113" s="3"/>
    </row>
    <row r="1114" spans="1:8" x14ac:dyDescent="0.35">
      <c r="A1114" s="3" t="s">
        <v>1010</v>
      </c>
      <c r="B1114" s="3" t="s">
        <v>45</v>
      </c>
      <c r="C1114" s="3" t="s">
        <v>1147</v>
      </c>
      <c r="D1114" s="3" t="s">
        <v>166</v>
      </c>
      <c r="E1114" s="3"/>
      <c r="F1114" s="3"/>
      <c r="G1114" s="3"/>
      <c r="H1114" s="3"/>
    </row>
    <row r="1115" spans="1:8" x14ac:dyDescent="0.35">
      <c r="A1115" s="3" t="s">
        <v>1010</v>
      </c>
      <c r="B1115" s="3" t="s">
        <v>45</v>
      </c>
      <c r="C1115" s="3" t="s">
        <v>1147</v>
      </c>
      <c r="D1115" s="3" t="s">
        <v>1016</v>
      </c>
      <c r="E1115" s="3"/>
      <c r="F1115" s="3"/>
      <c r="G1115" s="3"/>
      <c r="H1115" s="3"/>
    </row>
    <row r="1116" spans="1:8" x14ac:dyDescent="0.35">
      <c r="A1116" s="3" t="s">
        <v>1010</v>
      </c>
      <c r="B1116" s="3" t="s">
        <v>45</v>
      </c>
      <c r="C1116" s="3" t="s">
        <v>1147</v>
      </c>
      <c r="D1116" s="3" t="s">
        <v>225</v>
      </c>
      <c r="E1116" s="3"/>
      <c r="F1116" s="3"/>
      <c r="G1116" s="3"/>
      <c r="H1116" s="3"/>
    </row>
    <row r="1117" spans="1:8" x14ac:dyDescent="0.35">
      <c r="A1117" s="3" t="s">
        <v>1010</v>
      </c>
      <c r="B1117" s="3" t="s">
        <v>45</v>
      </c>
      <c r="C1117" s="3" t="s">
        <v>1147</v>
      </c>
      <c r="D1117" s="3" t="s">
        <v>221</v>
      </c>
      <c r="E1117" s="3"/>
      <c r="F1117" s="3"/>
      <c r="G1117" s="3"/>
      <c r="H1117" s="3"/>
    </row>
    <row r="1118" spans="1:8" x14ac:dyDescent="0.35">
      <c r="A1118" s="3" t="s">
        <v>1010</v>
      </c>
      <c r="B1118" s="3" t="s">
        <v>45</v>
      </c>
      <c r="C1118" s="3" t="s">
        <v>1147</v>
      </c>
      <c r="D1118" s="3" t="s">
        <v>222</v>
      </c>
      <c r="E1118" s="3"/>
      <c r="F1118" s="3"/>
      <c r="G1118" s="3"/>
      <c r="H1118" s="3"/>
    </row>
    <row r="1119" spans="1:8" x14ac:dyDescent="0.35">
      <c r="A1119" s="3" t="s">
        <v>1010</v>
      </c>
      <c r="B1119" s="3" t="s">
        <v>45</v>
      </c>
      <c r="C1119" s="3" t="s">
        <v>1147</v>
      </c>
      <c r="D1119" s="3" t="s">
        <v>223</v>
      </c>
      <c r="E1119" s="3"/>
      <c r="F1119" s="3"/>
      <c r="G1119" s="3"/>
      <c r="H1119" s="3"/>
    </row>
    <row r="1120" spans="1:8" x14ac:dyDescent="0.35">
      <c r="A1120" s="3" t="s">
        <v>1010</v>
      </c>
      <c r="B1120" s="3" t="s">
        <v>45</v>
      </c>
      <c r="C1120" s="3" t="s">
        <v>1147</v>
      </c>
      <c r="D1120" s="3" t="s">
        <v>226</v>
      </c>
      <c r="E1120" s="3"/>
      <c r="F1120" s="3"/>
      <c r="G1120" s="3"/>
      <c r="H1120" s="3"/>
    </row>
    <row r="1121" spans="1:8" x14ac:dyDescent="0.35">
      <c r="A1121" s="3" t="s">
        <v>1010</v>
      </c>
      <c r="B1121" s="3" t="s">
        <v>45</v>
      </c>
      <c r="C1121" s="3" t="s">
        <v>1147</v>
      </c>
      <c r="D1121" s="3" t="s">
        <v>227</v>
      </c>
      <c r="E1121" s="3"/>
      <c r="F1121" s="3"/>
      <c r="G1121" s="3"/>
      <c r="H1121" s="3"/>
    </row>
    <row r="1122" spans="1:8" x14ac:dyDescent="0.35">
      <c r="A1122" s="3" t="s">
        <v>1010</v>
      </c>
      <c r="B1122" s="3" t="s">
        <v>45</v>
      </c>
      <c r="C1122" s="3" t="s">
        <v>1147</v>
      </c>
      <c r="D1122" s="3" t="s">
        <v>228</v>
      </c>
      <c r="E1122" s="3"/>
      <c r="F1122" s="3"/>
      <c r="G1122" s="3"/>
      <c r="H1122" s="3"/>
    </row>
    <row r="1123" spans="1:8" x14ac:dyDescent="0.35">
      <c r="A1123" s="3" t="s">
        <v>1010</v>
      </c>
      <c r="B1123" s="3" t="s">
        <v>45</v>
      </c>
      <c r="C1123" s="3" t="s">
        <v>1147</v>
      </c>
      <c r="D1123" s="3" t="s">
        <v>229</v>
      </c>
      <c r="E1123" s="3"/>
      <c r="F1123" s="3"/>
      <c r="G1123" s="3"/>
      <c r="H1123" s="3"/>
    </row>
    <row r="1124" spans="1:8" x14ac:dyDescent="0.35">
      <c r="A1124" s="3" t="s">
        <v>1010</v>
      </c>
      <c r="B1124" s="3" t="s">
        <v>45</v>
      </c>
      <c r="C1124" s="3" t="s">
        <v>1147</v>
      </c>
      <c r="D1124" s="3" t="s">
        <v>230</v>
      </c>
      <c r="E1124" s="3"/>
      <c r="F1124" s="3"/>
      <c r="G1124" s="3"/>
      <c r="H1124" s="3"/>
    </row>
    <row r="1125" spans="1:8" x14ac:dyDescent="0.35">
      <c r="A1125" s="3" t="s">
        <v>1010</v>
      </c>
      <c r="B1125" s="3" t="s">
        <v>45</v>
      </c>
      <c r="C1125" s="3" t="s">
        <v>1147</v>
      </c>
      <c r="D1125" s="3" t="s">
        <v>219</v>
      </c>
      <c r="E1125" s="3"/>
      <c r="F1125" s="3"/>
      <c r="G1125" s="3"/>
      <c r="H1125" s="3"/>
    </row>
    <row r="1126" spans="1:8" x14ac:dyDescent="0.35">
      <c r="A1126" s="3" t="s">
        <v>1010</v>
      </c>
      <c r="B1126" s="3" t="s">
        <v>45</v>
      </c>
      <c r="C1126" s="3" t="s">
        <v>1147</v>
      </c>
      <c r="D1126" s="3" t="s">
        <v>372</v>
      </c>
      <c r="E1126" s="3"/>
      <c r="F1126" s="3"/>
      <c r="G1126" s="3"/>
      <c r="H1126" s="3"/>
    </row>
    <row r="1127" spans="1:8" x14ac:dyDescent="0.35">
      <c r="A1127" s="3" t="s">
        <v>1010</v>
      </c>
      <c r="B1127" s="3" t="s">
        <v>45</v>
      </c>
      <c r="C1127" s="3" t="s">
        <v>1147</v>
      </c>
      <c r="D1127" s="3" t="s">
        <v>218</v>
      </c>
      <c r="E1127" s="3"/>
      <c r="F1127" s="3"/>
      <c r="G1127" s="3"/>
      <c r="H1127" s="3"/>
    </row>
    <row r="1128" spans="1:8" x14ac:dyDescent="0.35">
      <c r="A1128" s="3" t="s">
        <v>1010</v>
      </c>
      <c r="B1128" s="3" t="s">
        <v>45</v>
      </c>
      <c r="C1128" s="3" t="s">
        <v>1147</v>
      </c>
      <c r="D1128" s="3" t="s">
        <v>224</v>
      </c>
      <c r="E1128" s="3"/>
      <c r="F1128" s="3"/>
      <c r="G1128" s="3"/>
      <c r="H1128" s="3"/>
    </row>
    <row r="1129" spans="1:8" x14ac:dyDescent="0.35">
      <c r="A1129" s="3" t="s">
        <v>1010</v>
      </c>
      <c r="B1129" s="3" t="s">
        <v>45</v>
      </c>
      <c r="C1129" s="3" t="s">
        <v>2837</v>
      </c>
      <c r="D1129" s="3" t="s">
        <v>166</v>
      </c>
      <c r="E1129" s="3"/>
      <c r="F1129" s="3"/>
      <c r="G1129" s="3"/>
      <c r="H1129" s="3"/>
    </row>
    <row r="1130" spans="1:8" x14ac:dyDescent="0.35">
      <c r="A1130" s="3" t="s">
        <v>1010</v>
      </c>
      <c r="B1130" s="3" t="s">
        <v>45</v>
      </c>
      <c r="C1130" s="3" t="s">
        <v>2837</v>
      </c>
      <c r="D1130" s="3" t="s">
        <v>1016</v>
      </c>
      <c r="E1130" s="3"/>
      <c r="F1130" s="3"/>
      <c r="G1130" s="3"/>
      <c r="H1130" s="3"/>
    </row>
    <row r="1131" spans="1:8" x14ac:dyDescent="0.35">
      <c r="A1131" s="3" t="s">
        <v>1010</v>
      </c>
      <c r="B1131" s="3" t="s">
        <v>45</v>
      </c>
      <c r="C1131" s="3" t="s">
        <v>2837</v>
      </c>
      <c r="D1131" s="3" t="s">
        <v>225</v>
      </c>
      <c r="E1131" s="3"/>
      <c r="F1131" s="3"/>
      <c r="G1131" s="3"/>
      <c r="H1131" s="3"/>
    </row>
    <row r="1132" spans="1:8" x14ac:dyDescent="0.35">
      <c r="A1132" s="3" t="s">
        <v>1010</v>
      </c>
      <c r="B1132" s="3" t="s">
        <v>45</v>
      </c>
      <c r="C1132" s="3" t="s">
        <v>2837</v>
      </c>
      <c r="D1132" s="3" t="s">
        <v>221</v>
      </c>
      <c r="E1132" s="3"/>
      <c r="F1132" s="3"/>
      <c r="G1132" s="3"/>
      <c r="H1132" s="3"/>
    </row>
    <row r="1133" spans="1:8" x14ac:dyDescent="0.35">
      <c r="A1133" s="3" t="s">
        <v>1010</v>
      </c>
      <c r="B1133" s="3" t="s">
        <v>45</v>
      </c>
      <c r="C1133" s="3" t="s">
        <v>2837</v>
      </c>
      <c r="D1133" s="3" t="s">
        <v>222</v>
      </c>
      <c r="E1133" s="3"/>
      <c r="F1133" s="3"/>
      <c r="G1133" s="3"/>
      <c r="H1133" s="3"/>
    </row>
    <row r="1134" spans="1:8" x14ac:dyDescent="0.35">
      <c r="A1134" s="3" t="s">
        <v>1010</v>
      </c>
      <c r="B1134" s="3" t="s">
        <v>45</v>
      </c>
      <c r="C1134" s="3" t="s">
        <v>2837</v>
      </c>
      <c r="D1134" s="3" t="s">
        <v>223</v>
      </c>
      <c r="E1134" s="3"/>
      <c r="F1134" s="3"/>
      <c r="G1134" s="3"/>
      <c r="H1134" s="3"/>
    </row>
    <row r="1135" spans="1:8" x14ac:dyDescent="0.35">
      <c r="A1135" s="3" t="s">
        <v>1010</v>
      </c>
      <c r="B1135" s="3" t="s">
        <v>45</v>
      </c>
      <c r="C1135" s="3" t="s">
        <v>2837</v>
      </c>
      <c r="D1135" s="3" t="s">
        <v>226</v>
      </c>
      <c r="E1135" s="3"/>
      <c r="F1135" s="3"/>
      <c r="G1135" s="3"/>
      <c r="H1135" s="3"/>
    </row>
    <row r="1136" spans="1:8" x14ac:dyDescent="0.35">
      <c r="A1136" s="3" t="s">
        <v>1010</v>
      </c>
      <c r="B1136" s="3" t="s">
        <v>45</v>
      </c>
      <c r="C1136" s="3" t="s">
        <v>2837</v>
      </c>
      <c r="D1136" s="3" t="s">
        <v>227</v>
      </c>
      <c r="E1136" s="3"/>
      <c r="F1136" s="3"/>
      <c r="G1136" s="3"/>
      <c r="H1136" s="3"/>
    </row>
    <row r="1137" spans="1:8" x14ac:dyDescent="0.35">
      <c r="A1137" s="3" t="s">
        <v>1010</v>
      </c>
      <c r="B1137" s="3" t="s">
        <v>45</v>
      </c>
      <c r="C1137" s="3" t="s">
        <v>2837</v>
      </c>
      <c r="D1137" s="3" t="s">
        <v>228</v>
      </c>
      <c r="E1137" s="3"/>
      <c r="F1137" s="3"/>
      <c r="G1137" s="3"/>
      <c r="H1137" s="3"/>
    </row>
    <row r="1138" spans="1:8" x14ac:dyDescent="0.35">
      <c r="A1138" s="3" t="s">
        <v>1010</v>
      </c>
      <c r="B1138" s="3" t="s">
        <v>45</v>
      </c>
      <c r="C1138" s="3" t="s">
        <v>2837</v>
      </c>
      <c r="D1138" s="3" t="s">
        <v>229</v>
      </c>
      <c r="E1138" s="3"/>
      <c r="F1138" s="3"/>
      <c r="G1138" s="3"/>
      <c r="H1138" s="3"/>
    </row>
    <row r="1139" spans="1:8" x14ac:dyDescent="0.35">
      <c r="A1139" s="3" t="s">
        <v>1010</v>
      </c>
      <c r="B1139" s="3" t="s">
        <v>45</v>
      </c>
      <c r="C1139" s="3" t="s">
        <v>2837</v>
      </c>
      <c r="D1139" s="3" t="s">
        <v>230</v>
      </c>
      <c r="E1139" s="3"/>
      <c r="F1139" s="3"/>
      <c r="G1139" s="3"/>
      <c r="H1139" s="3"/>
    </row>
    <row r="1140" spans="1:8" x14ac:dyDescent="0.35">
      <c r="A1140" s="3" t="s">
        <v>1010</v>
      </c>
      <c r="B1140" s="3" t="s">
        <v>45</v>
      </c>
      <c r="C1140" s="3" t="s">
        <v>2837</v>
      </c>
      <c r="D1140" s="3" t="s">
        <v>219</v>
      </c>
      <c r="E1140" s="3"/>
      <c r="F1140" s="3"/>
      <c r="G1140" s="3"/>
      <c r="H1140" s="3"/>
    </row>
    <row r="1141" spans="1:8" x14ac:dyDescent="0.35">
      <c r="A1141" s="3" t="s">
        <v>1010</v>
      </c>
      <c r="B1141" s="3" t="s">
        <v>45</v>
      </c>
      <c r="C1141" s="3" t="s">
        <v>2837</v>
      </c>
      <c r="D1141" s="3" t="s">
        <v>372</v>
      </c>
      <c r="E1141" s="3"/>
      <c r="F1141" s="3"/>
      <c r="G1141" s="3"/>
      <c r="H1141" s="3"/>
    </row>
    <row r="1142" spans="1:8" x14ac:dyDescent="0.35">
      <c r="A1142" s="3" t="s">
        <v>1010</v>
      </c>
      <c r="B1142" s="3" t="s">
        <v>45</v>
      </c>
      <c r="C1142" s="3" t="s">
        <v>2837</v>
      </c>
      <c r="D1142" s="3" t="s">
        <v>218</v>
      </c>
      <c r="E1142" s="3"/>
      <c r="F1142" s="3"/>
      <c r="G1142" s="3"/>
      <c r="H1142" s="3"/>
    </row>
    <row r="1143" spans="1:8" x14ac:dyDescent="0.35">
      <c r="A1143" s="3" t="s">
        <v>1010</v>
      </c>
      <c r="B1143" s="3" t="s">
        <v>45</v>
      </c>
      <c r="C1143" s="3" t="s">
        <v>2837</v>
      </c>
      <c r="D1143" s="3" t="s">
        <v>224</v>
      </c>
      <c r="E1143" s="3"/>
      <c r="F1143" s="3"/>
      <c r="G1143" s="3"/>
      <c r="H1143" s="3"/>
    </row>
    <row r="1144" spans="1:8" x14ac:dyDescent="0.35">
      <c r="A1144" s="3" t="s">
        <v>1010</v>
      </c>
      <c r="B1144" s="3" t="s">
        <v>45</v>
      </c>
      <c r="C1144" s="3" t="s">
        <v>2838</v>
      </c>
      <c r="D1144" s="3" t="s">
        <v>166</v>
      </c>
      <c r="E1144" s="3"/>
      <c r="F1144" s="3"/>
      <c r="G1144" s="3"/>
      <c r="H1144" s="3"/>
    </row>
    <row r="1145" spans="1:8" x14ac:dyDescent="0.35">
      <c r="A1145" s="3" t="s">
        <v>1010</v>
      </c>
      <c r="B1145" s="3" t="s">
        <v>45</v>
      </c>
      <c r="C1145" s="3" t="s">
        <v>2838</v>
      </c>
      <c r="D1145" s="3" t="s">
        <v>1016</v>
      </c>
      <c r="E1145" s="3"/>
      <c r="F1145" s="3"/>
      <c r="G1145" s="3"/>
      <c r="H1145" s="3"/>
    </row>
    <row r="1146" spans="1:8" x14ac:dyDescent="0.35">
      <c r="A1146" s="3" t="s">
        <v>1010</v>
      </c>
      <c r="B1146" s="3" t="s">
        <v>45</v>
      </c>
      <c r="C1146" s="3" t="s">
        <v>2838</v>
      </c>
      <c r="D1146" s="3" t="s">
        <v>225</v>
      </c>
      <c r="E1146" s="3"/>
      <c r="F1146" s="3"/>
      <c r="G1146" s="3"/>
      <c r="H1146" s="3"/>
    </row>
    <row r="1147" spans="1:8" x14ac:dyDescent="0.35">
      <c r="A1147" s="3" t="s">
        <v>1010</v>
      </c>
      <c r="B1147" s="3" t="s">
        <v>45</v>
      </c>
      <c r="C1147" s="3" t="s">
        <v>2838</v>
      </c>
      <c r="D1147" s="3" t="s">
        <v>221</v>
      </c>
      <c r="E1147" s="3"/>
      <c r="F1147" s="3"/>
      <c r="G1147" s="3"/>
      <c r="H1147" s="3"/>
    </row>
    <row r="1148" spans="1:8" x14ac:dyDescent="0.35">
      <c r="A1148" s="3" t="s">
        <v>1010</v>
      </c>
      <c r="B1148" s="3" t="s">
        <v>45</v>
      </c>
      <c r="C1148" s="3" t="s">
        <v>2838</v>
      </c>
      <c r="D1148" s="3" t="s">
        <v>222</v>
      </c>
      <c r="E1148" s="3"/>
      <c r="F1148" s="3"/>
      <c r="G1148" s="3"/>
      <c r="H1148" s="3"/>
    </row>
    <row r="1149" spans="1:8" x14ac:dyDescent="0.35">
      <c r="A1149" s="3" t="s">
        <v>1010</v>
      </c>
      <c r="B1149" s="3" t="s">
        <v>45</v>
      </c>
      <c r="C1149" s="3" t="s">
        <v>2838</v>
      </c>
      <c r="D1149" s="3" t="s">
        <v>223</v>
      </c>
      <c r="E1149" s="3"/>
      <c r="F1149" s="3"/>
      <c r="G1149" s="3"/>
      <c r="H1149" s="3"/>
    </row>
    <row r="1150" spans="1:8" x14ac:dyDescent="0.35">
      <c r="A1150" s="3" t="s">
        <v>1010</v>
      </c>
      <c r="B1150" s="3" t="s">
        <v>45</v>
      </c>
      <c r="C1150" s="3" t="s">
        <v>2838</v>
      </c>
      <c r="D1150" s="3" t="s">
        <v>226</v>
      </c>
      <c r="E1150" s="3"/>
      <c r="F1150" s="3"/>
      <c r="G1150" s="3"/>
      <c r="H1150" s="3"/>
    </row>
    <row r="1151" spans="1:8" x14ac:dyDescent="0.35">
      <c r="A1151" s="3" t="s">
        <v>1010</v>
      </c>
      <c r="B1151" s="3" t="s">
        <v>45</v>
      </c>
      <c r="C1151" s="3" t="s">
        <v>2838</v>
      </c>
      <c r="D1151" s="3" t="s">
        <v>227</v>
      </c>
      <c r="E1151" s="3"/>
      <c r="F1151" s="3"/>
      <c r="G1151" s="3"/>
      <c r="H1151" s="3"/>
    </row>
    <row r="1152" spans="1:8" x14ac:dyDescent="0.35">
      <c r="A1152" s="3" t="s">
        <v>1010</v>
      </c>
      <c r="B1152" s="3" t="s">
        <v>45</v>
      </c>
      <c r="C1152" s="3" t="s">
        <v>2838</v>
      </c>
      <c r="D1152" s="3" t="s">
        <v>228</v>
      </c>
      <c r="E1152" s="3"/>
      <c r="F1152" s="3"/>
      <c r="G1152" s="3"/>
      <c r="H1152" s="3"/>
    </row>
    <row r="1153" spans="1:8" x14ac:dyDescent="0.35">
      <c r="A1153" s="3" t="s">
        <v>1010</v>
      </c>
      <c r="B1153" s="3" t="s">
        <v>45</v>
      </c>
      <c r="C1153" s="3" t="s">
        <v>2838</v>
      </c>
      <c r="D1153" s="3" t="s">
        <v>229</v>
      </c>
      <c r="E1153" s="3"/>
      <c r="F1153" s="3"/>
      <c r="G1153" s="3"/>
      <c r="H1153" s="3"/>
    </row>
    <row r="1154" spans="1:8" x14ac:dyDescent="0.35">
      <c r="A1154" s="3" t="s">
        <v>1010</v>
      </c>
      <c r="B1154" s="3" t="s">
        <v>45</v>
      </c>
      <c r="C1154" s="3" t="s">
        <v>2838</v>
      </c>
      <c r="D1154" s="3" t="s">
        <v>230</v>
      </c>
      <c r="E1154" s="3"/>
      <c r="F1154" s="3"/>
      <c r="G1154" s="3"/>
      <c r="H1154" s="3"/>
    </row>
    <row r="1155" spans="1:8" x14ac:dyDescent="0.35">
      <c r="A1155" s="3" t="s">
        <v>1010</v>
      </c>
      <c r="B1155" s="3" t="s">
        <v>45</v>
      </c>
      <c r="C1155" s="3" t="s">
        <v>2838</v>
      </c>
      <c r="D1155" s="3" t="s">
        <v>219</v>
      </c>
      <c r="E1155" s="3"/>
      <c r="F1155" s="3"/>
      <c r="G1155" s="3"/>
      <c r="H1155" s="3"/>
    </row>
    <row r="1156" spans="1:8" x14ac:dyDescent="0.35">
      <c r="A1156" s="3" t="s">
        <v>1010</v>
      </c>
      <c r="B1156" s="3" t="s">
        <v>45</v>
      </c>
      <c r="C1156" s="3" t="s">
        <v>2838</v>
      </c>
      <c r="D1156" s="3" t="s">
        <v>372</v>
      </c>
      <c r="E1156" s="3"/>
      <c r="F1156" s="3"/>
      <c r="G1156" s="3"/>
      <c r="H1156" s="3"/>
    </row>
    <row r="1157" spans="1:8" x14ac:dyDescent="0.35">
      <c r="A1157" s="3" t="s">
        <v>1010</v>
      </c>
      <c r="B1157" s="3" t="s">
        <v>45</v>
      </c>
      <c r="C1157" s="3" t="s">
        <v>2838</v>
      </c>
      <c r="D1157" s="3" t="s">
        <v>218</v>
      </c>
      <c r="E1157" s="3"/>
      <c r="F1157" s="3"/>
      <c r="G1157" s="3"/>
      <c r="H1157" s="3"/>
    </row>
    <row r="1158" spans="1:8" x14ac:dyDescent="0.35">
      <c r="A1158" s="3" t="s">
        <v>1010</v>
      </c>
      <c r="B1158" s="3" t="s">
        <v>45</v>
      </c>
      <c r="C1158" s="3" t="s">
        <v>2838</v>
      </c>
      <c r="D1158" s="3" t="s">
        <v>224</v>
      </c>
      <c r="E1158" s="3"/>
      <c r="F1158" s="3"/>
      <c r="G1158" s="3"/>
      <c r="H1158" s="3"/>
    </row>
    <row r="1159" spans="1:8" x14ac:dyDescent="0.35">
      <c r="A1159" s="3" t="s">
        <v>1010</v>
      </c>
      <c r="B1159" s="3" t="s">
        <v>45</v>
      </c>
      <c r="C1159" s="3" t="s">
        <v>1148</v>
      </c>
      <c r="D1159" s="3" t="s">
        <v>166</v>
      </c>
      <c r="E1159" s="3"/>
      <c r="F1159" s="3"/>
      <c r="G1159" s="3"/>
      <c r="H1159" s="3"/>
    </row>
    <row r="1160" spans="1:8" x14ac:dyDescent="0.35">
      <c r="A1160" s="3" t="s">
        <v>1010</v>
      </c>
      <c r="B1160" s="3" t="s">
        <v>45</v>
      </c>
      <c r="C1160" s="3" t="s">
        <v>1148</v>
      </c>
      <c r="D1160" s="3" t="s">
        <v>1016</v>
      </c>
      <c r="E1160" s="3"/>
      <c r="F1160" s="3" t="s">
        <v>2453</v>
      </c>
      <c r="G1160" s="3"/>
      <c r="H1160" s="3"/>
    </row>
    <row r="1161" spans="1:8" x14ac:dyDescent="0.35">
      <c r="A1161" s="3" t="s">
        <v>1010</v>
      </c>
      <c r="B1161" s="3" t="s">
        <v>45</v>
      </c>
      <c r="C1161" s="3" t="s">
        <v>1148</v>
      </c>
      <c r="D1161" s="3" t="s">
        <v>225</v>
      </c>
      <c r="E1161" s="3"/>
      <c r="F1161" s="3"/>
      <c r="G1161" s="3"/>
      <c r="H1161" s="3"/>
    </row>
    <row r="1162" spans="1:8" x14ac:dyDescent="0.35">
      <c r="A1162" s="3" t="s">
        <v>1010</v>
      </c>
      <c r="B1162" s="3" t="s">
        <v>45</v>
      </c>
      <c r="C1162" s="3" t="s">
        <v>1148</v>
      </c>
      <c r="D1162" s="3" t="s">
        <v>221</v>
      </c>
      <c r="E1162" s="3"/>
      <c r="F1162" s="3"/>
      <c r="G1162" s="3"/>
      <c r="H1162" s="3"/>
    </row>
    <row r="1163" spans="1:8" x14ac:dyDescent="0.35">
      <c r="A1163" s="3" t="s">
        <v>1010</v>
      </c>
      <c r="B1163" s="3" t="s">
        <v>45</v>
      </c>
      <c r="C1163" s="3" t="s">
        <v>1148</v>
      </c>
      <c r="D1163" s="3" t="s">
        <v>222</v>
      </c>
      <c r="E1163" s="3"/>
      <c r="F1163" s="3"/>
      <c r="G1163" s="3"/>
      <c r="H1163" s="3"/>
    </row>
    <row r="1164" spans="1:8" x14ac:dyDescent="0.35">
      <c r="A1164" s="3" t="s">
        <v>1010</v>
      </c>
      <c r="B1164" s="3" t="s">
        <v>45</v>
      </c>
      <c r="C1164" s="3" t="s">
        <v>1148</v>
      </c>
      <c r="D1164" s="3" t="s">
        <v>223</v>
      </c>
      <c r="E1164" s="3"/>
      <c r="F1164" s="3"/>
      <c r="G1164" s="3"/>
      <c r="H1164" s="3"/>
    </row>
    <row r="1165" spans="1:8" x14ac:dyDescent="0.35">
      <c r="A1165" s="3" t="s">
        <v>1010</v>
      </c>
      <c r="B1165" s="3" t="s">
        <v>45</v>
      </c>
      <c r="C1165" s="3" t="s">
        <v>1148</v>
      </c>
      <c r="D1165" s="3" t="s">
        <v>226</v>
      </c>
      <c r="E1165" s="3"/>
      <c r="F1165" s="3"/>
      <c r="G1165" s="3"/>
      <c r="H1165" s="3"/>
    </row>
    <row r="1166" spans="1:8" x14ac:dyDescent="0.35">
      <c r="A1166" s="3" t="s">
        <v>1010</v>
      </c>
      <c r="B1166" s="3" t="s">
        <v>45</v>
      </c>
      <c r="C1166" s="3" t="s">
        <v>1148</v>
      </c>
      <c r="D1166" s="3" t="s">
        <v>227</v>
      </c>
      <c r="E1166" s="3"/>
      <c r="F1166" s="3"/>
      <c r="G1166" s="3"/>
      <c r="H1166" s="3"/>
    </row>
    <row r="1167" spans="1:8" x14ac:dyDescent="0.35">
      <c r="A1167" s="3" t="s">
        <v>1010</v>
      </c>
      <c r="B1167" s="3" t="s">
        <v>45</v>
      </c>
      <c r="C1167" s="3" t="s">
        <v>1148</v>
      </c>
      <c r="D1167" s="3" t="s">
        <v>228</v>
      </c>
      <c r="E1167" s="3"/>
      <c r="F1167" s="3"/>
      <c r="G1167" s="3"/>
      <c r="H1167" s="3"/>
    </row>
    <row r="1168" spans="1:8" x14ac:dyDescent="0.35">
      <c r="A1168" s="3" t="s">
        <v>1010</v>
      </c>
      <c r="B1168" s="3" t="s">
        <v>45</v>
      </c>
      <c r="C1168" s="3" t="s">
        <v>1148</v>
      </c>
      <c r="D1168" s="3" t="s">
        <v>229</v>
      </c>
      <c r="E1168" s="3"/>
      <c r="F1168" s="3"/>
      <c r="G1168" s="3"/>
      <c r="H1168" s="3"/>
    </row>
    <row r="1169" spans="1:8" x14ac:dyDescent="0.35">
      <c r="A1169" s="3" t="s">
        <v>1010</v>
      </c>
      <c r="B1169" s="3" t="s">
        <v>45</v>
      </c>
      <c r="C1169" s="3" t="s">
        <v>1148</v>
      </c>
      <c r="D1169" s="3" t="s">
        <v>230</v>
      </c>
      <c r="E1169" s="3"/>
      <c r="F1169" s="3"/>
      <c r="G1169" s="3"/>
      <c r="H1169" s="3"/>
    </row>
    <row r="1170" spans="1:8" x14ac:dyDescent="0.35">
      <c r="A1170" s="3" t="s">
        <v>1010</v>
      </c>
      <c r="B1170" s="3" t="s">
        <v>45</v>
      </c>
      <c r="C1170" s="3" t="s">
        <v>1148</v>
      </c>
      <c r="D1170" s="3" t="s">
        <v>219</v>
      </c>
      <c r="E1170" s="3"/>
      <c r="F1170" s="3"/>
      <c r="G1170" s="3"/>
      <c r="H1170" s="3"/>
    </row>
    <row r="1171" spans="1:8" x14ac:dyDescent="0.35">
      <c r="A1171" s="3" t="s">
        <v>1010</v>
      </c>
      <c r="B1171" s="3" t="s">
        <v>45</v>
      </c>
      <c r="C1171" s="3" t="s">
        <v>1148</v>
      </c>
      <c r="D1171" s="3" t="s">
        <v>372</v>
      </c>
      <c r="E1171" s="3"/>
      <c r="F1171" s="3"/>
      <c r="G1171" s="3"/>
      <c r="H1171" s="3"/>
    </row>
    <row r="1172" spans="1:8" x14ac:dyDescent="0.35">
      <c r="A1172" s="3" t="s">
        <v>1010</v>
      </c>
      <c r="B1172" s="3" t="s">
        <v>45</v>
      </c>
      <c r="C1172" s="3" t="s">
        <v>1148</v>
      </c>
      <c r="D1172" s="3" t="s">
        <v>218</v>
      </c>
      <c r="E1172" s="3"/>
      <c r="F1172" s="3"/>
      <c r="G1172" s="3"/>
      <c r="H1172" s="3"/>
    </row>
    <row r="1173" spans="1:8" x14ac:dyDescent="0.35">
      <c r="A1173" s="3" t="s">
        <v>1010</v>
      </c>
      <c r="B1173" s="3" t="s">
        <v>45</v>
      </c>
      <c r="C1173" s="3" t="s">
        <v>1148</v>
      </c>
      <c r="D1173" s="3" t="s">
        <v>224</v>
      </c>
      <c r="E1173" s="3"/>
      <c r="F1173" s="3"/>
      <c r="G1173" s="3"/>
      <c r="H1173" s="3"/>
    </row>
    <row r="1174" spans="1:8" x14ac:dyDescent="0.35">
      <c r="A1174" s="3" t="s">
        <v>1010</v>
      </c>
      <c r="B1174" s="3" t="s">
        <v>45</v>
      </c>
      <c r="C1174" s="3" t="s">
        <v>1149</v>
      </c>
      <c r="D1174" s="3" t="s">
        <v>166</v>
      </c>
      <c r="E1174" s="3"/>
      <c r="F1174" s="3"/>
      <c r="G1174" s="3"/>
      <c r="H1174" s="3"/>
    </row>
    <row r="1175" spans="1:8" x14ac:dyDescent="0.35">
      <c r="A1175" s="3" t="s">
        <v>1010</v>
      </c>
      <c r="B1175" s="3" t="s">
        <v>45</v>
      </c>
      <c r="C1175" s="3" t="s">
        <v>1149</v>
      </c>
      <c r="D1175" s="3" t="s">
        <v>1016</v>
      </c>
      <c r="E1175" s="3"/>
      <c r="F1175" s="3"/>
      <c r="G1175" s="3"/>
      <c r="H1175" s="3"/>
    </row>
    <row r="1176" spans="1:8" x14ac:dyDescent="0.35">
      <c r="A1176" s="3" t="s">
        <v>1010</v>
      </c>
      <c r="B1176" s="3" t="s">
        <v>45</v>
      </c>
      <c r="C1176" s="3" t="s">
        <v>1149</v>
      </c>
      <c r="D1176" s="3" t="s">
        <v>225</v>
      </c>
      <c r="E1176" s="3"/>
      <c r="F1176" s="3"/>
      <c r="G1176" s="3"/>
      <c r="H1176" s="3"/>
    </row>
    <row r="1177" spans="1:8" x14ac:dyDescent="0.35">
      <c r="A1177" s="3" t="s">
        <v>1010</v>
      </c>
      <c r="B1177" s="3" t="s">
        <v>45</v>
      </c>
      <c r="C1177" s="3" t="s">
        <v>1149</v>
      </c>
      <c r="D1177" s="3" t="s">
        <v>221</v>
      </c>
      <c r="E1177" s="3"/>
      <c r="F1177" s="3"/>
      <c r="G1177" s="3"/>
      <c r="H1177" s="3"/>
    </row>
    <row r="1178" spans="1:8" x14ac:dyDescent="0.35">
      <c r="A1178" s="3" t="s">
        <v>1010</v>
      </c>
      <c r="B1178" s="3" t="s">
        <v>45</v>
      </c>
      <c r="C1178" s="3" t="s">
        <v>1149</v>
      </c>
      <c r="D1178" s="3" t="s">
        <v>222</v>
      </c>
      <c r="E1178" s="3"/>
      <c r="F1178" s="3"/>
      <c r="G1178" s="3"/>
      <c r="H1178" s="3"/>
    </row>
    <row r="1179" spans="1:8" x14ac:dyDescent="0.35">
      <c r="A1179" s="3" t="s">
        <v>1010</v>
      </c>
      <c r="B1179" s="3" t="s">
        <v>45</v>
      </c>
      <c r="C1179" s="3" t="s">
        <v>1149</v>
      </c>
      <c r="D1179" s="3" t="s">
        <v>223</v>
      </c>
      <c r="E1179" s="3"/>
      <c r="F1179" s="3"/>
      <c r="G1179" s="3"/>
      <c r="H1179" s="3"/>
    </row>
    <row r="1180" spans="1:8" x14ac:dyDescent="0.35">
      <c r="A1180" s="3" t="s">
        <v>1010</v>
      </c>
      <c r="B1180" s="3" t="s">
        <v>45</v>
      </c>
      <c r="C1180" s="3" t="s">
        <v>1149</v>
      </c>
      <c r="D1180" s="3" t="s">
        <v>226</v>
      </c>
      <c r="E1180" s="3"/>
      <c r="F1180" s="3"/>
      <c r="G1180" s="3"/>
      <c r="H1180" s="3"/>
    </row>
    <row r="1181" spans="1:8" x14ac:dyDescent="0.35">
      <c r="A1181" s="3" t="s">
        <v>1010</v>
      </c>
      <c r="B1181" s="3" t="s">
        <v>45</v>
      </c>
      <c r="C1181" s="3" t="s">
        <v>1149</v>
      </c>
      <c r="D1181" s="3" t="s">
        <v>227</v>
      </c>
      <c r="E1181" s="3"/>
      <c r="F1181" s="3"/>
      <c r="G1181" s="3"/>
      <c r="H1181" s="3"/>
    </row>
    <row r="1182" spans="1:8" x14ac:dyDescent="0.35">
      <c r="A1182" s="3" t="s">
        <v>1010</v>
      </c>
      <c r="B1182" s="3" t="s">
        <v>45</v>
      </c>
      <c r="C1182" s="3" t="s">
        <v>1149</v>
      </c>
      <c r="D1182" s="3" t="s">
        <v>228</v>
      </c>
      <c r="E1182" s="3"/>
      <c r="F1182" s="3"/>
      <c r="G1182" s="3"/>
      <c r="H1182" s="3"/>
    </row>
    <row r="1183" spans="1:8" x14ac:dyDescent="0.35">
      <c r="A1183" s="3" t="s">
        <v>1010</v>
      </c>
      <c r="B1183" s="3" t="s">
        <v>45</v>
      </c>
      <c r="C1183" s="3" t="s">
        <v>1149</v>
      </c>
      <c r="D1183" s="3" t="s">
        <v>229</v>
      </c>
      <c r="E1183" s="3"/>
      <c r="F1183" s="3"/>
      <c r="G1183" s="3"/>
      <c r="H1183" s="3"/>
    </row>
    <row r="1184" spans="1:8" x14ac:dyDescent="0.35">
      <c r="A1184" s="3" t="s">
        <v>1010</v>
      </c>
      <c r="B1184" s="3" t="s">
        <v>45</v>
      </c>
      <c r="C1184" s="3" t="s">
        <v>1149</v>
      </c>
      <c r="D1184" s="3" t="s">
        <v>230</v>
      </c>
      <c r="E1184" s="3"/>
      <c r="F1184" s="3"/>
      <c r="G1184" s="3"/>
      <c r="H1184" s="3"/>
    </row>
    <row r="1185" spans="1:8" x14ac:dyDescent="0.35">
      <c r="A1185" s="3" t="s">
        <v>1010</v>
      </c>
      <c r="B1185" s="3" t="s">
        <v>45</v>
      </c>
      <c r="C1185" s="3" t="s">
        <v>1149</v>
      </c>
      <c r="D1185" s="3" t="s">
        <v>219</v>
      </c>
      <c r="E1185" s="3"/>
      <c r="F1185" s="3"/>
      <c r="G1185" s="3"/>
      <c r="H1185" s="3"/>
    </row>
    <row r="1186" spans="1:8" x14ac:dyDescent="0.35">
      <c r="A1186" s="3" t="s">
        <v>1010</v>
      </c>
      <c r="B1186" s="3" t="s">
        <v>45</v>
      </c>
      <c r="C1186" s="3" t="s">
        <v>1149</v>
      </c>
      <c r="D1186" s="3" t="s">
        <v>372</v>
      </c>
      <c r="E1186" s="3"/>
      <c r="F1186" s="3"/>
      <c r="G1186" s="3"/>
      <c r="H1186" s="3"/>
    </row>
    <row r="1187" spans="1:8" x14ac:dyDescent="0.35">
      <c r="A1187" s="3" t="s">
        <v>1010</v>
      </c>
      <c r="B1187" s="3" t="s">
        <v>45</v>
      </c>
      <c r="C1187" s="3" t="s">
        <v>1149</v>
      </c>
      <c r="D1187" s="3" t="s">
        <v>218</v>
      </c>
      <c r="E1187" s="3"/>
      <c r="F1187" s="3"/>
      <c r="G1187" s="3"/>
      <c r="H1187" s="3"/>
    </row>
    <row r="1188" spans="1:8" x14ac:dyDescent="0.35">
      <c r="A1188" s="3" t="s">
        <v>1010</v>
      </c>
      <c r="B1188" s="3" t="s">
        <v>45</v>
      </c>
      <c r="C1188" s="3" t="s">
        <v>1149</v>
      </c>
      <c r="D1188" s="3" t="s">
        <v>224</v>
      </c>
      <c r="E1188" s="3"/>
      <c r="F1188" s="3"/>
      <c r="G1188" s="3"/>
      <c r="H1188" s="3"/>
    </row>
    <row r="1189" spans="1:8" x14ac:dyDescent="0.35">
      <c r="A1189" s="3" t="s">
        <v>1010</v>
      </c>
      <c r="B1189" s="3" t="s">
        <v>45</v>
      </c>
      <c r="C1189" s="3" t="s">
        <v>1150</v>
      </c>
      <c r="D1189" s="3" t="s">
        <v>166</v>
      </c>
      <c r="E1189" s="3"/>
      <c r="F1189" s="3"/>
      <c r="G1189" s="3"/>
      <c r="H1189" s="3"/>
    </row>
    <row r="1190" spans="1:8" x14ac:dyDescent="0.35">
      <c r="A1190" s="3" t="s">
        <v>1010</v>
      </c>
      <c r="B1190" s="3" t="s">
        <v>45</v>
      </c>
      <c r="C1190" s="3" t="s">
        <v>1150</v>
      </c>
      <c r="D1190" s="3" t="s">
        <v>23</v>
      </c>
      <c r="E1190" s="3"/>
      <c r="F1190" s="3"/>
      <c r="G1190" s="3"/>
      <c r="H1190" s="3"/>
    </row>
    <row r="1191" spans="1:8" x14ac:dyDescent="0.35">
      <c r="A1191" s="3" t="s">
        <v>1010</v>
      </c>
      <c r="B1191" s="3" t="s">
        <v>45</v>
      </c>
      <c r="C1191" s="3" t="s">
        <v>1150</v>
      </c>
      <c r="D1191" s="3" t="s">
        <v>220</v>
      </c>
      <c r="E1191" s="3"/>
      <c r="F1191" s="3"/>
      <c r="G1191" s="3"/>
      <c r="H1191" s="3"/>
    </row>
    <row r="1192" spans="1:8" x14ac:dyDescent="0.35">
      <c r="A1192" s="3" t="s">
        <v>1010</v>
      </c>
      <c r="B1192" s="3" t="s">
        <v>45</v>
      </c>
      <c r="C1192" s="3" t="s">
        <v>1150</v>
      </c>
      <c r="D1192" s="3" t="s">
        <v>225</v>
      </c>
      <c r="E1192" s="3"/>
      <c r="F1192" s="3"/>
      <c r="G1192" s="3"/>
      <c r="H1192" s="3"/>
    </row>
    <row r="1193" spans="1:8" x14ac:dyDescent="0.35">
      <c r="A1193" s="3" t="s">
        <v>1010</v>
      </c>
      <c r="B1193" s="3" t="s">
        <v>45</v>
      </c>
      <c r="C1193" s="3" t="s">
        <v>1150</v>
      </c>
      <c r="D1193" s="3" t="s">
        <v>221</v>
      </c>
      <c r="E1193" s="3"/>
      <c r="F1193" s="3"/>
      <c r="G1193" s="3"/>
      <c r="H1193" s="3"/>
    </row>
    <row r="1194" spans="1:8" x14ac:dyDescent="0.35">
      <c r="A1194" s="3" t="s">
        <v>1010</v>
      </c>
      <c r="B1194" s="3" t="s">
        <v>45</v>
      </c>
      <c r="C1194" s="3" t="s">
        <v>1150</v>
      </c>
      <c r="D1194" s="3" t="s">
        <v>222</v>
      </c>
      <c r="E1194" s="3"/>
      <c r="F1194" s="3"/>
      <c r="G1194" s="3"/>
      <c r="H1194" s="3"/>
    </row>
    <row r="1195" spans="1:8" x14ac:dyDescent="0.35">
      <c r="A1195" s="3" t="s">
        <v>1010</v>
      </c>
      <c r="B1195" s="3" t="s">
        <v>45</v>
      </c>
      <c r="C1195" s="3" t="s">
        <v>1150</v>
      </c>
      <c r="D1195" s="3" t="s">
        <v>223</v>
      </c>
      <c r="E1195" s="3"/>
      <c r="F1195" s="3"/>
      <c r="G1195" s="3"/>
      <c r="H1195" s="3"/>
    </row>
    <row r="1196" spans="1:8" x14ac:dyDescent="0.35">
      <c r="A1196" s="3" t="s">
        <v>1010</v>
      </c>
      <c r="B1196" s="3" t="s">
        <v>45</v>
      </c>
      <c r="C1196" s="3" t="s">
        <v>1150</v>
      </c>
      <c r="D1196" s="3" t="s">
        <v>226</v>
      </c>
      <c r="E1196" s="3"/>
      <c r="F1196" s="3"/>
      <c r="G1196" s="3"/>
      <c r="H1196" s="3"/>
    </row>
    <row r="1197" spans="1:8" x14ac:dyDescent="0.35">
      <c r="A1197" s="3" t="s">
        <v>1010</v>
      </c>
      <c r="B1197" s="3" t="s">
        <v>45</v>
      </c>
      <c r="C1197" s="3" t="s">
        <v>1150</v>
      </c>
      <c r="D1197" s="3" t="s">
        <v>227</v>
      </c>
      <c r="E1197" s="3"/>
      <c r="F1197" s="3"/>
      <c r="G1197" s="3"/>
      <c r="H1197" s="3"/>
    </row>
    <row r="1198" spans="1:8" x14ac:dyDescent="0.35">
      <c r="A1198" s="3" t="s">
        <v>1010</v>
      </c>
      <c r="B1198" s="3" t="s">
        <v>45</v>
      </c>
      <c r="C1198" s="3" t="s">
        <v>1150</v>
      </c>
      <c r="D1198" s="3" t="s">
        <v>228</v>
      </c>
      <c r="E1198" s="3"/>
      <c r="F1198" s="3"/>
      <c r="G1198" s="3"/>
      <c r="H1198" s="3"/>
    </row>
    <row r="1199" spans="1:8" x14ac:dyDescent="0.35">
      <c r="A1199" s="3" t="s">
        <v>1010</v>
      </c>
      <c r="B1199" s="3" t="s">
        <v>45</v>
      </c>
      <c r="C1199" s="3" t="s">
        <v>1150</v>
      </c>
      <c r="D1199" s="3" t="s">
        <v>56</v>
      </c>
      <c r="E1199" s="3"/>
      <c r="F1199" s="3"/>
      <c r="G1199" s="3"/>
      <c r="H1199" s="3"/>
    </row>
    <row r="1200" spans="1:8" x14ac:dyDescent="0.35">
      <c r="A1200" s="3" t="s">
        <v>1010</v>
      </c>
      <c r="B1200" s="3" t="s">
        <v>45</v>
      </c>
      <c r="C1200" s="3" t="s">
        <v>1150</v>
      </c>
      <c r="D1200" s="3" t="s">
        <v>229</v>
      </c>
      <c r="E1200" s="3"/>
      <c r="F1200" s="3"/>
      <c r="G1200" s="3"/>
      <c r="H1200" s="3"/>
    </row>
    <row r="1201" spans="1:8" x14ac:dyDescent="0.35">
      <c r="A1201" s="3" t="s">
        <v>1010</v>
      </c>
      <c r="B1201" s="3" t="s">
        <v>45</v>
      </c>
      <c r="C1201" s="3" t="s">
        <v>1150</v>
      </c>
      <c r="D1201" s="3" t="s">
        <v>230</v>
      </c>
      <c r="E1201" s="3"/>
      <c r="F1201" s="3"/>
      <c r="G1201" s="3"/>
      <c r="H1201" s="3"/>
    </row>
    <row r="1202" spans="1:8" x14ac:dyDescent="0.35">
      <c r="A1202" s="3" t="s">
        <v>1010</v>
      </c>
      <c r="B1202" s="3" t="s">
        <v>45</v>
      </c>
      <c r="C1202" s="3" t="s">
        <v>1150</v>
      </c>
      <c r="D1202" s="3" t="s">
        <v>219</v>
      </c>
      <c r="E1202" s="3"/>
      <c r="F1202" s="3"/>
      <c r="G1202" s="3"/>
      <c r="H1202" s="3"/>
    </row>
    <row r="1203" spans="1:8" x14ac:dyDescent="0.35">
      <c r="A1203" s="3" t="s">
        <v>1010</v>
      </c>
      <c r="B1203" s="3" t="s">
        <v>45</v>
      </c>
      <c r="C1203" s="3" t="s">
        <v>1150</v>
      </c>
      <c r="D1203" s="3" t="s">
        <v>372</v>
      </c>
      <c r="E1203" s="3"/>
      <c r="F1203" s="3"/>
      <c r="G1203" s="3"/>
      <c r="H1203" s="3"/>
    </row>
    <row r="1204" spans="1:8" x14ac:dyDescent="0.35">
      <c r="A1204" s="3" t="s">
        <v>1010</v>
      </c>
      <c r="B1204" s="3" t="s">
        <v>45</v>
      </c>
      <c r="C1204" s="3" t="s">
        <v>1150</v>
      </c>
      <c r="D1204" s="3" t="s">
        <v>218</v>
      </c>
      <c r="E1204" s="3"/>
      <c r="F1204" s="3"/>
      <c r="G1204" s="3"/>
      <c r="H1204" s="3"/>
    </row>
    <row r="1205" spans="1:8" x14ac:dyDescent="0.35">
      <c r="A1205" s="3" t="s">
        <v>1010</v>
      </c>
      <c r="B1205" s="3" t="s">
        <v>45</v>
      </c>
      <c r="C1205" s="3" t="s">
        <v>1150</v>
      </c>
      <c r="D1205" s="3" t="s">
        <v>224</v>
      </c>
      <c r="E1205" s="3"/>
      <c r="F1205" s="3"/>
      <c r="G1205" s="3"/>
      <c r="H1205" s="3"/>
    </row>
    <row r="1206" spans="1:8" x14ac:dyDescent="0.35">
      <c r="A1206" s="3" t="s">
        <v>1010</v>
      </c>
      <c r="B1206" s="3" t="s">
        <v>45</v>
      </c>
      <c r="C1206" s="3" t="s">
        <v>1151</v>
      </c>
      <c r="D1206" s="3" t="s">
        <v>166</v>
      </c>
      <c r="E1206" s="3"/>
      <c r="F1206" s="3"/>
      <c r="G1206" s="3"/>
      <c r="H1206" s="3"/>
    </row>
    <row r="1207" spans="1:8" x14ac:dyDescent="0.35">
      <c r="A1207" s="3" t="s">
        <v>1010</v>
      </c>
      <c r="B1207" s="3" t="s">
        <v>45</v>
      </c>
      <c r="C1207" s="3" t="s">
        <v>1151</v>
      </c>
      <c r="D1207" s="3" t="s">
        <v>1016</v>
      </c>
      <c r="E1207" s="3"/>
      <c r="F1207" s="3"/>
      <c r="G1207" s="3"/>
      <c r="H1207" s="3"/>
    </row>
    <row r="1208" spans="1:8" x14ac:dyDescent="0.35">
      <c r="A1208" s="3" t="s">
        <v>1010</v>
      </c>
      <c r="B1208" s="3" t="s">
        <v>45</v>
      </c>
      <c r="C1208" s="3" t="s">
        <v>1151</v>
      </c>
      <c r="D1208" s="3" t="s">
        <v>225</v>
      </c>
      <c r="E1208" s="3"/>
      <c r="F1208" s="3"/>
      <c r="G1208" s="3"/>
      <c r="H1208" s="3"/>
    </row>
    <row r="1209" spans="1:8" x14ac:dyDescent="0.35">
      <c r="A1209" s="3" t="s">
        <v>1010</v>
      </c>
      <c r="B1209" s="3" t="s">
        <v>45</v>
      </c>
      <c r="C1209" s="3" t="s">
        <v>1151</v>
      </c>
      <c r="D1209" s="3" t="s">
        <v>221</v>
      </c>
      <c r="E1209" s="3"/>
      <c r="F1209" s="3"/>
      <c r="G1209" s="3"/>
      <c r="H1209" s="3"/>
    </row>
    <row r="1210" spans="1:8" x14ac:dyDescent="0.35">
      <c r="A1210" s="3" t="s">
        <v>1010</v>
      </c>
      <c r="B1210" s="3" t="s">
        <v>45</v>
      </c>
      <c r="C1210" s="3" t="s">
        <v>1151</v>
      </c>
      <c r="D1210" s="3" t="s">
        <v>222</v>
      </c>
      <c r="E1210" s="3"/>
      <c r="F1210" s="3"/>
      <c r="G1210" s="3"/>
      <c r="H1210" s="3"/>
    </row>
    <row r="1211" spans="1:8" x14ac:dyDescent="0.35">
      <c r="A1211" s="3" t="s">
        <v>1010</v>
      </c>
      <c r="B1211" s="3" t="s">
        <v>45</v>
      </c>
      <c r="C1211" s="3" t="s">
        <v>1151</v>
      </c>
      <c r="D1211" s="3" t="s">
        <v>223</v>
      </c>
      <c r="E1211" s="3"/>
      <c r="F1211" s="3"/>
      <c r="G1211" s="3"/>
      <c r="H1211" s="3"/>
    </row>
    <row r="1212" spans="1:8" x14ac:dyDescent="0.35">
      <c r="A1212" s="3" t="s">
        <v>1010</v>
      </c>
      <c r="B1212" s="3" t="s">
        <v>45</v>
      </c>
      <c r="C1212" s="3" t="s">
        <v>1151</v>
      </c>
      <c r="D1212" s="3" t="s">
        <v>226</v>
      </c>
      <c r="E1212" s="3"/>
      <c r="F1212" s="3"/>
      <c r="G1212" s="3"/>
      <c r="H1212" s="3"/>
    </row>
    <row r="1213" spans="1:8" x14ac:dyDescent="0.35">
      <c r="A1213" s="3" t="s">
        <v>1010</v>
      </c>
      <c r="B1213" s="3" t="s">
        <v>45</v>
      </c>
      <c r="C1213" s="3" t="s">
        <v>1151</v>
      </c>
      <c r="D1213" s="3" t="s">
        <v>227</v>
      </c>
      <c r="E1213" s="3"/>
      <c r="F1213" s="3"/>
      <c r="G1213" s="3"/>
      <c r="H1213" s="3"/>
    </row>
    <row r="1214" spans="1:8" x14ac:dyDescent="0.35">
      <c r="A1214" s="3" t="s">
        <v>1010</v>
      </c>
      <c r="B1214" s="3" t="s">
        <v>45</v>
      </c>
      <c r="C1214" s="3" t="s">
        <v>1151</v>
      </c>
      <c r="D1214" s="3" t="s">
        <v>228</v>
      </c>
      <c r="E1214" s="3"/>
      <c r="F1214" s="3"/>
      <c r="G1214" s="3"/>
      <c r="H1214" s="3"/>
    </row>
    <row r="1215" spans="1:8" x14ac:dyDescent="0.35">
      <c r="A1215" s="3" t="s">
        <v>1010</v>
      </c>
      <c r="B1215" s="3" t="s">
        <v>45</v>
      </c>
      <c r="C1215" s="3" t="s">
        <v>1151</v>
      </c>
      <c r="D1215" s="3" t="s">
        <v>229</v>
      </c>
      <c r="E1215" s="3"/>
      <c r="F1215" s="3"/>
      <c r="G1215" s="3"/>
      <c r="H1215" s="3"/>
    </row>
    <row r="1216" spans="1:8" x14ac:dyDescent="0.35">
      <c r="A1216" s="3" t="s">
        <v>1010</v>
      </c>
      <c r="B1216" s="3" t="s">
        <v>45</v>
      </c>
      <c r="C1216" s="3" t="s">
        <v>1151</v>
      </c>
      <c r="D1216" s="3" t="s">
        <v>230</v>
      </c>
      <c r="E1216" s="3"/>
      <c r="F1216" s="3"/>
      <c r="G1216" s="3"/>
      <c r="H1216" s="3"/>
    </row>
    <row r="1217" spans="1:8" x14ac:dyDescent="0.35">
      <c r="A1217" s="3" t="s">
        <v>1010</v>
      </c>
      <c r="B1217" s="3" t="s">
        <v>45</v>
      </c>
      <c r="C1217" s="3" t="s">
        <v>1151</v>
      </c>
      <c r="D1217" s="3" t="s">
        <v>219</v>
      </c>
      <c r="E1217" s="3"/>
      <c r="F1217" s="3"/>
      <c r="G1217" s="3"/>
      <c r="H1217" s="3"/>
    </row>
    <row r="1218" spans="1:8" x14ac:dyDescent="0.35">
      <c r="A1218" s="3" t="s">
        <v>1010</v>
      </c>
      <c r="B1218" s="3" t="s">
        <v>45</v>
      </c>
      <c r="C1218" s="3" t="s">
        <v>1151</v>
      </c>
      <c r="D1218" s="3" t="s">
        <v>372</v>
      </c>
      <c r="E1218" s="3"/>
      <c r="F1218" s="3"/>
      <c r="G1218" s="3"/>
      <c r="H1218" s="3"/>
    </row>
    <row r="1219" spans="1:8" x14ac:dyDescent="0.35">
      <c r="A1219" s="3" t="s">
        <v>1010</v>
      </c>
      <c r="B1219" s="3" t="s">
        <v>45</v>
      </c>
      <c r="C1219" s="3" t="s">
        <v>1151</v>
      </c>
      <c r="D1219" s="3" t="s">
        <v>218</v>
      </c>
      <c r="E1219" s="3"/>
      <c r="F1219" s="3"/>
      <c r="G1219" s="3"/>
      <c r="H1219" s="3"/>
    </row>
    <row r="1220" spans="1:8" x14ac:dyDescent="0.35">
      <c r="A1220" s="3" t="s">
        <v>1010</v>
      </c>
      <c r="B1220" s="3" t="s">
        <v>45</v>
      </c>
      <c r="C1220" s="3" t="s">
        <v>1151</v>
      </c>
      <c r="D1220" s="3" t="s">
        <v>224</v>
      </c>
      <c r="E1220" s="3"/>
      <c r="F1220" s="3"/>
      <c r="G1220" s="3"/>
      <c r="H1220" s="3"/>
    </row>
    <row r="1221" spans="1:8" x14ac:dyDescent="0.35">
      <c r="A1221" s="3" t="s">
        <v>1010</v>
      </c>
      <c r="B1221" s="3" t="s">
        <v>10</v>
      </c>
      <c r="C1221" s="3" t="s">
        <v>2780</v>
      </c>
      <c r="D1221" s="3" t="s">
        <v>47</v>
      </c>
      <c r="E1221" s="3" t="s">
        <v>16</v>
      </c>
      <c r="F1221" s="3" t="s">
        <v>2731</v>
      </c>
      <c r="G1221" s="3"/>
      <c r="H1221" s="3"/>
    </row>
    <row r="1222" spans="1:8" x14ac:dyDescent="0.35">
      <c r="A1222" s="3" t="s">
        <v>1010</v>
      </c>
      <c r="B1222" s="3" t="s">
        <v>10</v>
      </c>
      <c r="C1222" s="3" t="s">
        <v>2780</v>
      </c>
      <c r="D1222" s="3" t="s">
        <v>15</v>
      </c>
      <c r="E1222" s="3" t="s">
        <v>16</v>
      </c>
      <c r="F1222" s="3" t="s">
        <v>2731</v>
      </c>
      <c r="G1222" s="3"/>
      <c r="H1222" s="3"/>
    </row>
    <row r="1223" spans="1:8" x14ac:dyDescent="0.35">
      <c r="A1223" s="3" t="s">
        <v>1010</v>
      </c>
      <c r="B1223" s="3" t="s">
        <v>10</v>
      </c>
      <c r="C1223" s="3" t="s">
        <v>2780</v>
      </c>
      <c r="D1223" s="3" t="s">
        <v>107</v>
      </c>
      <c r="E1223" s="3" t="s">
        <v>16</v>
      </c>
      <c r="F1223" s="3" t="s">
        <v>2731</v>
      </c>
      <c r="G1223" s="3"/>
      <c r="H1223" s="3"/>
    </row>
    <row r="1224" spans="1:8" x14ac:dyDescent="0.35">
      <c r="A1224" s="3" t="s">
        <v>1010</v>
      </c>
      <c r="B1224" s="3" t="s">
        <v>45</v>
      </c>
      <c r="C1224" s="3" t="s">
        <v>1152</v>
      </c>
      <c r="D1224" s="3" t="s">
        <v>36</v>
      </c>
      <c r="E1224" s="3"/>
      <c r="F1224" s="3"/>
      <c r="G1224" s="3"/>
      <c r="H1224" s="3"/>
    </row>
    <row r="1225" spans="1:8" x14ac:dyDescent="0.35">
      <c r="A1225" s="3" t="s">
        <v>1010</v>
      </c>
      <c r="B1225" s="3" t="s">
        <v>45</v>
      </c>
      <c r="C1225" s="3" t="s">
        <v>1152</v>
      </c>
      <c r="D1225" s="3" t="s">
        <v>77</v>
      </c>
      <c r="E1225" s="3"/>
      <c r="F1225" s="3"/>
      <c r="G1225" s="3"/>
      <c r="H1225" s="3"/>
    </row>
    <row r="1226" spans="1:8" x14ac:dyDescent="0.35">
      <c r="A1226" s="3" t="s">
        <v>1010</v>
      </c>
      <c r="B1226" s="3" t="s">
        <v>45</v>
      </c>
      <c r="C1226" s="3" t="s">
        <v>1152</v>
      </c>
      <c r="D1226" s="3" t="s">
        <v>15</v>
      </c>
      <c r="E1226" s="3" t="s">
        <v>16</v>
      </c>
      <c r="F1226" s="3" t="s">
        <v>990</v>
      </c>
      <c r="G1226" s="3"/>
      <c r="H1226" s="3"/>
    </row>
    <row r="1227" spans="1:8" x14ac:dyDescent="0.35">
      <c r="A1227" s="3" t="s">
        <v>1010</v>
      </c>
      <c r="B1227" s="3" t="s">
        <v>20</v>
      </c>
      <c r="C1227" s="3" t="s">
        <v>1153</v>
      </c>
      <c r="D1227" s="3" t="s">
        <v>36</v>
      </c>
      <c r="E1227" s="3"/>
      <c r="F1227" s="3"/>
      <c r="G1227" s="3"/>
      <c r="H1227" s="3"/>
    </row>
    <row r="1228" spans="1:8" x14ac:dyDescent="0.35">
      <c r="A1228" s="3" t="s">
        <v>1010</v>
      </c>
      <c r="B1228" s="3" t="s">
        <v>20</v>
      </c>
      <c r="C1228" s="3" t="s">
        <v>1153</v>
      </c>
      <c r="D1228" s="3" t="s">
        <v>77</v>
      </c>
      <c r="E1228" s="3"/>
      <c r="F1228" s="3"/>
      <c r="G1228" s="3"/>
      <c r="H1228" s="3"/>
    </row>
    <row r="1229" spans="1:8" x14ac:dyDescent="0.35">
      <c r="A1229" s="3" t="s">
        <v>1010</v>
      </c>
      <c r="B1229" s="3" t="s">
        <v>20</v>
      </c>
      <c r="C1229" s="3" t="s">
        <v>1153</v>
      </c>
      <c r="D1229" s="3" t="s">
        <v>28</v>
      </c>
      <c r="E1229" s="3"/>
      <c r="F1229" s="3"/>
      <c r="G1229" s="3"/>
      <c r="H1229" s="3"/>
    </row>
    <row r="1230" spans="1:8" x14ac:dyDescent="0.35">
      <c r="A1230" s="3" t="s">
        <v>1010</v>
      </c>
      <c r="B1230" s="3" t="s">
        <v>20</v>
      </c>
      <c r="C1230" s="3" t="s">
        <v>1153</v>
      </c>
      <c r="D1230" s="3" t="s">
        <v>56</v>
      </c>
      <c r="E1230" s="3"/>
      <c r="F1230" s="3" t="s">
        <v>2387</v>
      </c>
      <c r="G1230" s="3"/>
      <c r="H1230" s="3"/>
    </row>
    <row r="1231" spans="1:8" x14ac:dyDescent="0.35">
      <c r="A1231" s="3" t="s">
        <v>1010</v>
      </c>
      <c r="B1231" s="3" t="s">
        <v>20</v>
      </c>
      <c r="C1231" s="3" t="s">
        <v>1153</v>
      </c>
      <c r="D1231" s="3" t="s">
        <v>37</v>
      </c>
      <c r="E1231" s="3"/>
      <c r="F1231" s="3" t="s">
        <v>2448</v>
      </c>
      <c r="G1231" s="3"/>
      <c r="H1231" s="3"/>
    </row>
    <row r="1232" spans="1:8" x14ac:dyDescent="0.35">
      <c r="A1232" s="3" t="s">
        <v>1010</v>
      </c>
      <c r="B1232" s="3" t="s">
        <v>20</v>
      </c>
      <c r="C1232" s="3" t="s">
        <v>1153</v>
      </c>
      <c r="D1232" s="3" t="s">
        <v>32</v>
      </c>
      <c r="E1232" s="3"/>
      <c r="F1232" s="3" t="s">
        <v>2293</v>
      </c>
      <c r="G1232" s="3"/>
      <c r="H1232" s="3"/>
    </row>
    <row r="1233" spans="1:8" x14ac:dyDescent="0.35">
      <c r="A1233" s="3" t="s">
        <v>1010</v>
      </c>
      <c r="B1233" s="3" t="s">
        <v>20</v>
      </c>
      <c r="C1233" s="3" t="s">
        <v>1153</v>
      </c>
      <c r="D1233" s="3" t="s">
        <v>29</v>
      </c>
      <c r="E1233" s="3"/>
      <c r="F1233" s="3"/>
      <c r="G1233" s="3"/>
      <c r="H1233" s="3"/>
    </row>
    <row r="1234" spans="1:8" x14ac:dyDescent="0.35">
      <c r="A1234" s="3" t="s">
        <v>1010</v>
      </c>
      <c r="B1234" s="3" t="s">
        <v>20</v>
      </c>
      <c r="C1234" s="3" t="s">
        <v>1153</v>
      </c>
      <c r="D1234" s="3" t="s">
        <v>152</v>
      </c>
      <c r="E1234" s="3"/>
      <c r="F1234" s="3"/>
      <c r="G1234" s="3"/>
      <c r="H1234" s="3"/>
    </row>
    <row r="1235" spans="1:8" x14ac:dyDescent="0.35">
      <c r="A1235" s="3" t="s">
        <v>1010</v>
      </c>
      <c r="B1235" s="3" t="s">
        <v>45</v>
      </c>
      <c r="C1235" s="3" t="s">
        <v>1154</v>
      </c>
      <c r="D1235" s="3" t="s">
        <v>166</v>
      </c>
      <c r="E1235" s="3"/>
      <c r="F1235" s="3"/>
      <c r="G1235" s="3"/>
      <c r="H1235" s="3"/>
    </row>
    <row r="1236" spans="1:8" x14ac:dyDescent="0.35">
      <c r="A1236" s="3" t="s">
        <v>1010</v>
      </c>
      <c r="B1236" s="3" t="s">
        <v>45</v>
      </c>
      <c r="C1236" s="3" t="s">
        <v>1154</v>
      </c>
      <c r="D1236" s="3" t="s">
        <v>217</v>
      </c>
      <c r="E1236" s="3"/>
      <c r="F1236" s="3"/>
      <c r="G1236" s="3"/>
      <c r="H1236" s="3"/>
    </row>
    <row r="1237" spans="1:8" x14ac:dyDescent="0.35">
      <c r="A1237" s="3" t="s">
        <v>1010</v>
      </c>
      <c r="B1237" s="3" t="s">
        <v>45</v>
      </c>
      <c r="C1237" s="3" t="s">
        <v>1154</v>
      </c>
      <c r="D1237" s="3" t="s">
        <v>47</v>
      </c>
      <c r="E1237" s="3"/>
      <c r="F1237" s="3"/>
      <c r="G1237" s="3"/>
      <c r="H1237" s="3"/>
    </row>
    <row r="1238" spans="1:8" x14ac:dyDescent="0.35">
      <c r="A1238" s="3" t="s">
        <v>1010</v>
      </c>
      <c r="B1238" s="3" t="s">
        <v>45</v>
      </c>
      <c r="C1238" s="3" t="s">
        <v>1154</v>
      </c>
      <c r="D1238" s="3" t="s">
        <v>60</v>
      </c>
      <c r="E1238" s="3"/>
      <c r="F1238" s="3"/>
      <c r="G1238" s="3"/>
      <c r="H1238" s="3"/>
    </row>
    <row r="1239" spans="1:8" x14ac:dyDescent="0.35">
      <c r="A1239" s="3" t="s">
        <v>1010</v>
      </c>
      <c r="B1239" s="3" t="s">
        <v>45</v>
      </c>
      <c r="C1239" s="3" t="s">
        <v>1154</v>
      </c>
      <c r="D1239" s="3" t="s">
        <v>1016</v>
      </c>
      <c r="E1239" s="3"/>
      <c r="F1239" s="3"/>
      <c r="G1239" s="3"/>
      <c r="H1239" s="3"/>
    </row>
    <row r="1240" spans="1:8" x14ac:dyDescent="0.35">
      <c r="A1240" s="3" t="s">
        <v>1010</v>
      </c>
      <c r="B1240" s="3" t="s">
        <v>45</v>
      </c>
      <c r="C1240" s="3" t="s">
        <v>1154</v>
      </c>
      <c r="D1240" s="3" t="s">
        <v>225</v>
      </c>
      <c r="E1240" s="3"/>
      <c r="F1240" s="3"/>
      <c r="G1240" s="3"/>
      <c r="H1240" s="3"/>
    </row>
    <row r="1241" spans="1:8" x14ac:dyDescent="0.35">
      <c r="A1241" s="3" t="s">
        <v>1010</v>
      </c>
      <c r="B1241" s="3" t="s">
        <v>45</v>
      </c>
      <c r="C1241" s="3" t="s">
        <v>1154</v>
      </c>
      <c r="D1241" s="3" t="s">
        <v>77</v>
      </c>
      <c r="E1241" s="3"/>
      <c r="F1241" s="3"/>
      <c r="G1241" s="3"/>
      <c r="H1241" s="3"/>
    </row>
    <row r="1242" spans="1:8" x14ac:dyDescent="0.35">
      <c r="A1242" s="3" t="s">
        <v>1010</v>
      </c>
      <c r="B1242" s="3" t="s">
        <v>45</v>
      </c>
      <c r="C1242" s="3" t="s">
        <v>1154</v>
      </c>
      <c r="D1242" s="3" t="s">
        <v>221</v>
      </c>
      <c r="E1242" s="3"/>
      <c r="F1242" s="3"/>
      <c r="G1242" s="3"/>
      <c r="H1242" s="3"/>
    </row>
    <row r="1243" spans="1:8" x14ac:dyDescent="0.35">
      <c r="A1243" s="3" t="s">
        <v>1010</v>
      </c>
      <c r="B1243" s="3" t="s">
        <v>45</v>
      </c>
      <c r="C1243" s="3" t="s">
        <v>1154</v>
      </c>
      <c r="D1243" s="3" t="s">
        <v>222</v>
      </c>
      <c r="E1243" s="3"/>
      <c r="F1243" s="3"/>
      <c r="G1243" s="3"/>
      <c r="H1243" s="3"/>
    </row>
    <row r="1244" spans="1:8" x14ac:dyDescent="0.35">
      <c r="A1244" s="3" t="s">
        <v>1010</v>
      </c>
      <c r="B1244" s="3" t="s">
        <v>45</v>
      </c>
      <c r="C1244" s="3" t="s">
        <v>1154</v>
      </c>
      <c r="D1244" s="3" t="s">
        <v>223</v>
      </c>
      <c r="E1244" s="3"/>
      <c r="F1244" s="3"/>
      <c r="G1244" s="3"/>
      <c r="H1244" s="3"/>
    </row>
    <row r="1245" spans="1:8" x14ac:dyDescent="0.35">
      <c r="A1245" s="3" t="s">
        <v>1010</v>
      </c>
      <c r="B1245" s="3" t="s">
        <v>45</v>
      </c>
      <c r="C1245" s="3" t="s">
        <v>1154</v>
      </c>
      <c r="D1245" s="3" t="s">
        <v>242</v>
      </c>
      <c r="E1245" s="3"/>
      <c r="F1245" s="3"/>
      <c r="G1245" s="3"/>
      <c r="H1245" s="3"/>
    </row>
    <row r="1246" spans="1:8" x14ac:dyDescent="0.35">
      <c r="A1246" s="3" t="s">
        <v>1010</v>
      </c>
      <c r="B1246" s="3" t="s">
        <v>45</v>
      </c>
      <c r="C1246" s="3" t="s">
        <v>1154</v>
      </c>
      <c r="D1246" s="3" t="s">
        <v>15</v>
      </c>
      <c r="E1246" s="3" t="s">
        <v>16</v>
      </c>
      <c r="F1246" s="3" t="s">
        <v>990</v>
      </c>
      <c r="G1246" s="3"/>
      <c r="H1246" s="3"/>
    </row>
    <row r="1247" spans="1:8" x14ac:dyDescent="0.35">
      <c r="A1247" s="3" t="s">
        <v>1010</v>
      </c>
      <c r="B1247" s="3" t="s">
        <v>45</v>
      </c>
      <c r="C1247" s="3" t="s">
        <v>1154</v>
      </c>
      <c r="D1247" s="3" t="s">
        <v>226</v>
      </c>
      <c r="E1247" s="3"/>
      <c r="F1247" s="3"/>
      <c r="G1247" s="3"/>
      <c r="H1247" s="3"/>
    </row>
    <row r="1248" spans="1:8" x14ac:dyDescent="0.35">
      <c r="A1248" s="3" t="s">
        <v>1010</v>
      </c>
      <c r="B1248" s="3" t="s">
        <v>45</v>
      </c>
      <c r="C1248" s="3" t="s">
        <v>1154</v>
      </c>
      <c r="D1248" s="3" t="s">
        <v>227</v>
      </c>
      <c r="E1248" s="3"/>
      <c r="F1248" s="3"/>
      <c r="G1248" s="3"/>
      <c r="H1248" s="3"/>
    </row>
    <row r="1249" spans="1:8" x14ac:dyDescent="0.35">
      <c r="A1249" s="3" t="s">
        <v>1010</v>
      </c>
      <c r="B1249" s="3" t="s">
        <v>45</v>
      </c>
      <c r="C1249" s="3" t="s">
        <v>1154</v>
      </c>
      <c r="D1249" s="3" t="s">
        <v>228</v>
      </c>
      <c r="E1249" s="3"/>
      <c r="F1249" s="3"/>
      <c r="G1249" s="3"/>
      <c r="H1249" s="3"/>
    </row>
    <row r="1250" spans="1:8" x14ac:dyDescent="0.35">
      <c r="A1250" s="3" t="s">
        <v>1010</v>
      </c>
      <c r="B1250" s="3" t="s">
        <v>45</v>
      </c>
      <c r="C1250" s="3" t="s">
        <v>1154</v>
      </c>
      <c r="D1250" s="3" t="s">
        <v>229</v>
      </c>
      <c r="E1250" s="3"/>
      <c r="F1250" s="3"/>
      <c r="G1250" s="3"/>
      <c r="H1250" s="3"/>
    </row>
    <row r="1251" spans="1:8" x14ac:dyDescent="0.35">
      <c r="A1251" s="3" t="s">
        <v>1010</v>
      </c>
      <c r="B1251" s="3" t="s">
        <v>45</v>
      </c>
      <c r="C1251" s="3" t="s">
        <v>1154</v>
      </c>
      <c r="D1251" s="3" t="s">
        <v>230</v>
      </c>
      <c r="E1251" s="3"/>
      <c r="F1251" s="3"/>
      <c r="G1251" s="3"/>
      <c r="H1251" s="3"/>
    </row>
    <row r="1252" spans="1:8" x14ac:dyDescent="0.35">
      <c r="A1252" s="3" t="s">
        <v>1010</v>
      </c>
      <c r="B1252" s="3" t="s">
        <v>45</v>
      </c>
      <c r="C1252" s="3" t="s">
        <v>1154</v>
      </c>
      <c r="D1252" s="3" t="s">
        <v>32</v>
      </c>
      <c r="E1252" s="3"/>
      <c r="F1252" s="3"/>
      <c r="G1252" s="3"/>
      <c r="H1252" s="3"/>
    </row>
    <row r="1253" spans="1:8" x14ac:dyDescent="0.35">
      <c r="A1253" s="3" t="s">
        <v>1010</v>
      </c>
      <c r="B1253" s="3" t="s">
        <v>45</v>
      </c>
      <c r="C1253" s="3" t="s">
        <v>1154</v>
      </c>
      <c r="D1253" s="3" t="s">
        <v>152</v>
      </c>
      <c r="E1253" s="3"/>
      <c r="F1253" s="3" t="s">
        <v>2451</v>
      </c>
      <c r="G1253" s="3"/>
      <c r="H1253" s="3"/>
    </row>
    <row r="1254" spans="1:8" x14ac:dyDescent="0.35">
      <c r="A1254" s="3" t="s">
        <v>1010</v>
      </c>
      <c r="B1254" s="3" t="s">
        <v>45</v>
      </c>
      <c r="C1254" s="3" t="s">
        <v>1154</v>
      </c>
      <c r="D1254" s="3" t="s">
        <v>219</v>
      </c>
      <c r="E1254" s="3"/>
      <c r="F1254" s="3"/>
      <c r="G1254" s="3"/>
      <c r="H1254" s="3"/>
    </row>
    <row r="1255" spans="1:8" x14ac:dyDescent="0.35">
      <c r="A1255" s="3" t="s">
        <v>1010</v>
      </c>
      <c r="B1255" s="3" t="s">
        <v>45</v>
      </c>
      <c r="C1255" s="3" t="s">
        <v>1154</v>
      </c>
      <c r="D1255" s="3" t="s">
        <v>107</v>
      </c>
      <c r="E1255" s="3"/>
      <c r="F1255" s="3"/>
      <c r="G1255" s="3"/>
      <c r="H1255" s="3"/>
    </row>
    <row r="1256" spans="1:8" x14ac:dyDescent="0.35">
      <c r="A1256" s="3" t="s">
        <v>1010</v>
      </c>
      <c r="B1256" s="3" t="s">
        <v>45</v>
      </c>
      <c r="C1256" s="3" t="s">
        <v>1154</v>
      </c>
      <c r="D1256" s="3" t="s">
        <v>372</v>
      </c>
      <c r="E1256" s="3"/>
      <c r="F1256" s="3"/>
      <c r="G1256" s="3"/>
      <c r="H1256" s="3"/>
    </row>
    <row r="1257" spans="1:8" x14ac:dyDescent="0.35">
      <c r="A1257" s="3" t="s">
        <v>1010</v>
      </c>
      <c r="B1257" s="3" t="s">
        <v>45</v>
      </c>
      <c r="C1257" s="3" t="s">
        <v>1154</v>
      </c>
      <c r="D1257" s="3" t="s">
        <v>218</v>
      </c>
      <c r="E1257" s="3"/>
      <c r="F1257" s="3"/>
      <c r="G1257" s="3"/>
      <c r="H1257" s="3"/>
    </row>
    <row r="1258" spans="1:8" x14ac:dyDescent="0.35">
      <c r="A1258" s="3" t="s">
        <v>1010</v>
      </c>
      <c r="B1258" s="3" t="s">
        <v>45</v>
      </c>
      <c r="C1258" s="3" t="s">
        <v>1154</v>
      </c>
      <c r="D1258" s="3" t="s">
        <v>224</v>
      </c>
      <c r="E1258" s="3"/>
      <c r="F1258" s="3"/>
      <c r="G1258" s="3"/>
      <c r="H1258" s="3"/>
    </row>
    <row r="1259" spans="1:8" x14ac:dyDescent="0.35">
      <c r="A1259" s="3" t="s">
        <v>1010</v>
      </c>
      <c r="B1259" s="3" t="s">
        <v>45</v>
      </c>
      <c r="C1259" s="3" t="s">
        <v>1155</v>
      </c>
      <c r="D1259" s="3" t="s">
        <v>166</v>
      </c>
      <c r="E1259" s="3"/>
      <c r="F1259" s="3"/>
      <c r="G1259" s="3"/>
      <c r="H1259" s="3"/>
    </row>
    <row r="1260" spans="1:8" x14ac:dyDescent="0.35">
      <c r="A1260" s="3" t="s">
        <v>1010</v>
      </c>
      <c r="B1260" s="3" t="s">
        <v>45</v>
      </c>
      <c r="C1260" s="3" t="s">
        <v>1155</v>
      </c>
      <c r="D1260" s="3" t="s">
        <v>1016</v>
      </c>
      <c r="E1260" s="3"/>
      <c r="F1260" s="3"/>
      <c r="G1260" s="3"/>
      <c r="H1260" s="3"/>
    </row>
    <row r="1261" spans="1:8" x14ac:dyDescent="0.35">
      <c r="A1261" s="3" t="s">
        <v>1010</v>
      </c>
      <c r="B1261" s="3" t="s">
        <v>45</v>
      </c>
      <c r="C1261" s="3" t="s">
        <v>1155</v>
      </c>
      <c r="D1261" s="3" t="s">
        <v>225</v>
      </c>
      <c r="E1261" s="3"/>
      <c r="F1261" s="3"/>
      <c r="G1261" s="3"/>
      <c r="H1261" s="3"/>
    </row>
    <row r="1262" spans="1:8" x14ac:dyDescent="0.35">
      <c r="A1262" s="3" t="s">
        <v>1010</v>
      </c>
      <c r="B1262" s="3" t="s">
        <v>45</v>
      </c>
      <c r="C1262" s="3" t="s">
        <v>1155</v>
      </c>
      <c r="D1262" s="3" t="s">
        <v>77</v>
      </c>
      <c r="E1262" s="3"/>
      <c r="F1262" s="3"/>
      <c r="G1262" s="3"/>
      <c r="H1262" s="3"/>
    </row>
    <row r="1263" spans="1:8" x14ac:dyDescent="0.35">
      <c r="A1263" s="3" t="s">
        <v>1010</v>
      </c>
      <c r="B1263" s="3" t="s">
        <v>45</v>
      </c>
      <c r="C1263" s="3" t="s">
        <v>1155</v>
      </c>
      <c r="D1263" s="3" t="s">
        <v>1067</v>
      </c>
      <c r="E1263" s="3"/>
      <c r="F1263" s="3" t="s">
        <v>2364</v>
      </c>
      <c r="G1263" s="3"/>
      <c r="H1263" s="3"/>
    </row>
    <row r="1264" spans="1:8" x14ac:dyDescent="0.35">
      <c r="A1264" s="3" t="s">
        <v>1010</v>
      </c>
      <c r="B1264" s="3" t="s">
        <v>45</v>
      </c>
      <c r="C1264" s="3" t="s">
        <v>1155</v>
      </c>
      <c r="D1264" s="3" t="s">
        <v>222</v>
      </c>
      <c r="E1264" s="3"/>
      <c r="F1264" s="3"/>
      <c r="G1264" s="3"/>
      <c r="H1264" s="3"/>
    </row>
    <row r="1265" spans="1:8" x14ac:dyDescent="0.35">
      <c r="A1265" s="3" t="s">
        <v>1010</v>
      </c>
      <c r="B1265" s="3" t="s">
        <v>45</v>
      </c>
      <c r="C1265" s="3" t="s">
        <v>1155</v>
      </c>
      <c r="D1265" s="3" t="s">
        <v>223</v>
      </c>
      <c r="E1265" s="3"/>
      <c r="F1265" s="3"/>
      <c r="G1265" s="3"/>
      <c r="H1265" s="3"/>
    </row>
    <row r="1266" spans="1:8" x14ac:dyDescent="0.35">
      <c r="A1266" s="3" t="s">
        <v>1010</v>
      </c>
      <c r="B1266" s="3" t="s">
        <v>45</v>
      </c>
      <c r="C1266" s="3" t="s">
        <v>1155</v>
      </c>
      <c r="D1266" s="3" t="s">
        <v>15</v>
      </c>
      <c r="E1266" s="3"/>
      <c r="F1266" s="3"/>
      <c r="G1266" s="3"/>
      <c r="H1266" s="3"/>
    </row>
    <row r="1267" spans="1:8" x14ac:dyDescent="0.35">
      <c r="A1267" s="3" t="s">
        <v>1010</v>
      </c>
      <c r="B1267" s="3" t="s">
        <v>45</v>
      </c>
      <c r="C1267" s="3" t="s">
        <v>1155</v>
      </c>
      <c r="D1267" s="3" t="s">
        <v>226</v>
      </c>
      <c r="E1267" s="3"/>
      <c r="F1267" s="3"/>
      <c r="G1267" s="3"/>
      <c r="H1267" s="3"/>
    </row>
    <row r="1268" spans="1:8" x14ac:dyDescent="0.35">
      <c r="A1268" s="3" t="s">
        <v>1010</v>
      </c>
      <c r="B1268" s="3" t="s">
        <v>45</v>
      </c>
      <c r="C1268" s="3" t="s">
        <v>1155</v>
      </c>
      <c r="D1268" s="3" t="s">
        <v>227</v>
      </c>
      <c r="E1268" s="3"/>
      <c r="F1268" s="3"/>
      <c r="G1268" s="3"/>
      <c r="H1268" s="3"/>
    </row>
    <row r="1269" spans="1:8" x14ac:dyDescent="0.35">
      <c r="A1269" s="3" t="s">
        <v>1010</v>
      </c>
      <c r="B1269" s="3" t="s">
        <v>45</v>
      </c>
      <c r="C1269" s="3" t="s">
        <v>1155</v>
      </c>
      <c r="D1269" s="3" t="s">
        <v>228</v>
      </c>
      <c r="E1269" s="3"/>
      <c r="F1269" s="3"/>
      <c r="G1269" s="3"/>
      <c r="H1269" s="3"/>
    </row>
    <row r="1270" spans="1:8" x14ac:dyDescent="0.35">
      <c r="A1270" s="3" t="s">
        <v>1010</v>
      </c>
      <c r="B1270" s="3" t="s">
        <v>45</v>
      </c>
      <c r="C1270" s="3" t="s">
        <v>1155</v>
      </c>
      <c r="D1270" s="3" t="s">
        <v>56</v>
      </c>
      <c r="E1270" s="3"/>
      <c r="F1270" s="3"/>
      <c r="G1270" s="3"/>
      <c r="H1270" s="3"/>
    </row>
    <row r="1271" spans="1:8" x14ac:dyDescent="0.35">
      <c r="A1271" s="3" t="s">
        <v>1010</v>
      </c>
      <c r="B1271" s="3" t="s">
        <v>45</v>
      </c>
      <c r="C1271" s="3" t="s">
        <v>1155</v>
      </c>
      <c r="D1271" s="3" t="s">
        <v>229</v>
      </c>
      <c r="E1271" s="3"/>
      <c r="F1271" s="3"/>
      <c r="G1271" s="3"/>
      <c r="H1271" s="3"/>
    </row>
    <row r="1272" spans="1:8" x14ac:dyDescent="0.35">
      <c r="A1272" s="3" t="s">
        <v>1010</v>
      </c>
      <c r="B1272" s="3" t="s">
        <v>45</v>
      </c>
      <c r="C1272" s="3" t="s">
        <v>1155</v>
      </c>
      <c r="D1272" s="3" t="s">
        <v>230</v>
      </c>
      <c r="E1272" s="3"/>
      <c r="F1272" s="3"/>
      <c r="G1272" s="3"/>
      <c r="H1272" s="3"/>
    </row>
    <row r="1273" spans="1:8" x14ac:dyDescent="0.35">
      <c r="A1273" s="3" t="s">
        <v>1010</v>
      </c>
      <c r="B1273" s="3" t="s">
        <v>45</v>
      </c>
      <c r="C1273" s="3" t="s">
        <v>1155</v>
      </c>
      <c r="D1273" s="3" t="s">
        <v>29</v>
      </c>
      <c r="E1273" s="3"/>
      <c r="F1273" s="3"/>
      <c r="G1273" s="3"/>
      <c r="H1273" s="3"/>
    </row>
    <row r="1274" spans="1:8" x14ac:dyDescent="0.35">
      <c r="A1274" s="3" t="s">
        <v>1010</v>
      </c>
      <c r="B1274" s="3" t="s">
        <v>45</v>
      </c>
      <c r="C1274" s="3" t="s">
        <v>1155</v>
      </c>
      <c r="D1274" s="3" t="s">
        <v>219</v>
      </c>
      <c r="E1274" s="3"/>
      <c r="F1274" s="3"/>
      <c r="G1274" s="3"/>
      <c r="H1274" s="3"/>
    </row>
    <row r="1275" spans="1:8" x14ac:dyDescent="0.35">
      <c r="A1275" s="3" t="s">
        <v>1010</v>
      </c>
      <c r="B1275" s="3" t="s">
        <v>45</v>
      </c>
      <c r="C1275" s="3" t="s">
        <v>1155</v>
      </c>
      <c r="D1275" s="3" t="s">
        <v>218</v>
      </c>
      <c r="E1275" s="3"/>
      <c r="F1275" s="3"/>
      <c r="G1275" s="3"/>
      <c r="H1275" s="3"/>
    </row>
    <row r="1276" spans="1:8" x14ac:dyDescent="0.35">
      <c r="A1276" s="3" t="s">
        <v>1010</v>
      </c>
      <c r="B1276" s="3" t="s">
        <v>45</v>
      </c>
      <c r="C1276" s="3" t="s">
        <v>1155</v>
      </c>
      <c r="D1276" s="3" t="s">
        <v>224</v>
      </c>
      <c r="E1276" s="3"/>
      <c r="F1276" s="3"/>
      <c r="G1276" s="3"/>
      <c r="H1276" s="3"/>
    </row>
    <row r="1277" spans="1:8" x14ac:dyDescent="0.35">
      <c r="A1277" s="3" t="s">
        <v>1010</v>
      </c>
      <c r="B1277" s="3" t="s">
        <v>591</v>
      </c>
      <c r="C1277" s="3" t="s">
        <v>2868</v>
      </c>
      <c r="D1277" s="3" t="s">
        <v>26</v>
      </c>
      <c r="E1277" s="3" t="s">
        <v>16</v>
      </c>
      <c r="F1277" s="3" t="s">
        <v>2871</v>
      </c>
      <c r="G1277" s="3"/>
      <c r="H1277" s="3"/>
    </row>
    <row r="1278" spans="1:8" x14ac:dyDescent="0.35">
      <c r="A1278" s="3" t="s">
        <v>1010</v>
      </c>
      <c r="B1278" s="3" t="s">
        <v>591</v>
      </c>
      <c r="C1278" s="3" t="s">
        <v>3014</v>
      </c>
      <c r="D1278" s="3" t="s">
        <v>26</v>
      </c>
      <c r="E1278" s="3" t="s">
        <v>16</v>
      </c>
      <c r="F1278" s="3" t="s">
        <v>2871</v>
      </c>
      <c r="G1278" s="3"/>
      <c r="H1278" s="3"/>
    </row>
    <row r="1279" spans="1:8" x14ac:dyDescent="0.35">
      <c r="A1279" s="3" t="s">
        <v>1010</v>
      </c>
      <c r="B1279" s="3" t="s">
        <v>591</v>
      </c>
      <c r="C1279" s="3" t="s">
        <v>2869</v>
      </c>
      <c r="D1279" s="3" t="s">
        <v>26</v>
      </c>
      <c r="E1279" s="3" t="s">
        <v>16</v>
      </c>
      <c r="F1279" s="3" t="s">
        <v>2871</v>
      </c>
      <c r="G1279" s="3"/>
      <c r="H1279" s="3"/>
    </row>
    <row r="1280" spans="1:8" x14ac:dyDescent="0.35">
      <c r="A1280" s="3" t="s">
        <v>1010</v>
      </c>
      <c r="B1280" s="3" t="s">
        <v>45</v>
      </c>
      <c r="C1280" s="3" t="s">
        <v>1156</v>
      </c>
      <c r="D1280" s="3" t="s">
        <v>217</v>
      </c>
      <c r="E1280" s="3"/>
      <c r="F1280" s="3"/>
      <c r="G1280" s="3"/>
      <c r="H1280" s="3"/>
    </row>
    <row r="1281" spans="1:8" x14ac:dyDescent="0.35">
      <c r="A1281" s="3" t="s">
        <v>1010</v>
      </c>
      <c r="B1281" s="3" t="s">
        <v>45</v>
      </c>
      <c r="C1281" s="3" t="s">
        <v>1156</v>
      </c>
      <c r="D1281" s="3" t="s">
        <v>221</v>
      </c>
      <c r="E1281" s="3"/>
      <c r="F1281" s="3"/>
      <c r="G1281" s="3"/>
      <c r="H1281" s="3"/>
    </row>
    <row r="1282" spans="1:8" x14ac:dyDescent="0.35">
      <c r="A1282" s="3" t="s">
        <v>1010</v>
      </c>
      <c r="B1282" s="3" t="s">
        <v>45</v>
      </c>
      <c r="C1282" s="3" t="s">
        <v>1156</v>
      </c>
      <c r="D1282" s="3" t="s">
        <v>56</v>
      </c>
      <c r="E1282" s="3"/>
      <c r="F1282" s="3" t="s">
        <v>2430</v>
      </c>
      <c r="G1282" s="3"/>
      <c r="H1282" s="3"/>
    </row>
    <row r="1283" spans="1:8" x14ac:dyDescent="0.35">
      <c r="A1283" s="3" t="s">
        <v>1010</v>
      </c>
      <c r="B1283" s="3" t="s">
        <v>45</v>
      </c>
      <c r="C1283" s="3" t="s">
        <v>1156</v>
      </c>
      <c r="D1283" s="3" t="s">
        <v>230</v>
      </c>
      <c r="E1283" s="3"/>
      <c r="F1283" s="3"/>
      <c r="G1283" s="3"/>
      <c r="H1283" s="3"/>
    </row>
    <row r="1284" spans="1:8" x14ac:dyDescent="0.35">
      <c r="A1284" s="3" t="s">
        <v>1010</v>
      </c>
      <c r="B1284" s="3" t="s">
        <v>45</v>
      </c>
      <c r="C1284" s="3" t="s">
        <v>1156</v>
      </c>
      <c r="D1284" s="3" t="s">
        <v>372</v>
      </c>
      <c r="E1284" s="3"/>
      <c r="F1284" s="3"/>
      <c r="G1284" s="3"/>
      <c r="H1284" s="3"/>
    </row>
    <row r="1285" spans="1:8" x14ac:dyDescent="0.35">
      <c r="A1285" s="3" t="s">
        <v>1010</v>
      </c>
      <c r="B1285" s="3" t="s">
        <v>45</v>
      </c>
      <c r="C1285" s="3" t="s">
        <v>1156</v>
      </c>
      <c r="D1285" s="3" t="s">
        <v>224</v>
      </c>
      <c r="E1285" s="3"/>
      <c r="F1285" s="3"/>
      <c r="G1285" s="3"/>
      <c r="H1285" s="3"/>
    </row>
    <row r="1286" spans="1:8" x14ac:dyDescent="0.35">
      <c r="A1286" s="3" t="s">
        <v>1010</v>
      </c>
      <c r="B1286" s="3" t="s">
        <v>20</v>
      </c>
      <c r="C1286" s="3" t="s">
        <v>1157</v>
      </c>
      <c r="D1286" s="3" t="s">
        <v>15</v>
      </c>
      <c r="E1286" s="3" t="s">
        <v>16</v>
      </c>
      <c r="F1286" s="3" t="s">
        <v>1158</v>
      </c>
      <c r="G1286" s="3"/>
      <c r="H1286" s="3"/>
    </row>
    <row r="1287" spans="1:8" x14ac:dyDescent="0.35">
      <c r="A1287" s="3" t="s">
        <v>1010</v>
      </c>
      <c r="B1287" s="3" t="s">
        <v>45</v>
      </c>
      <c r="C1287" s="3" t="s">
        <v>1159</v>
      </c>
      <c r="D1287" s="3" t="s">
        <v>166</v>
      </c>
      <c r="E1287" s="3"/>
      <c r="F1287" s="3"/>
      <c r="G1287" s="3"/>
      <c r="H1287" s="3"/>
    </row>
    <row r="1288" spans="1:8" x14ac:dyDescent="0.35">
      <c r="A1288" s="3" t="s">
        <v>1010</v>
      </c>
      <c r="B1288" s="3" t="s">
        <v>45</v>
      </c>
      <c r="C1288" s="3" t="s">
        <v>1159</v>
      </c>
      <c r="D1288" s="3" t="s">
        <v>60</v>
      </c>
      <c r="E1288" s="3"/>
      <c r="F1288" s="3"/>
      <c r="G1288" s="3"/>
      <c r="H1288" s="3"/>
    </row>
    <row r="1289" spans="1:8" x14ac:dyDescent="0.35">
      <c r="A1289" s="3" t="s">
        <v>1010</v>
      </c>
      <c r="B1289" s="3" t="s">
        <v>45</v>
      </c>
      <c r="C1289" s="3" t="s">
        <v>1159</v>
      </c>
      <c r="D1289" s="3" t="s">
        <v>1016</v>
      </c>
      <c r="E1289" s="3"/>
      <c r="F1289" s="3" t="s">
        <v>2453</v>
      </c>
      <c r="G1289" s="3"/>
      <c r="H1289" s="3"/>
    </row>
    <row r="1290" spans="1:8" x14ac:dyDescent="0.35">
      <c r="A1290" s="3" t="s">
        <v>1010</v>
      </c>
      <c r="B1290" s="3" t="s">
        <v>45</v>
      </c>
      <c r="C1290" s="3" t="s">
        <v>1159</v>
      </c>
      <c r="D1290" s="3" t="s">
        <v>225</v>
      </c>
      <c r="E1290" s="3"/>
      <c r="F1290" s="3"/>
      <c r="G1290" s="3"/>
      <c r="H1290" s="3"/>
    </row>
    <row r="1291" spans="1:8" x14ac:dyDescent="0.35">
      <c r="A1291" s="3" t="s">
        <v>1010</v>
      </c>
      <c r="B1291" s="3" t="s">
        <v>45</v>
      </c>
      <c r="C1291" s="3" t="s">
        <v>1159</v>
      </c>
      <c r="D1291" s="3" t="s">
        <v>221</v>
      </c>
      <c r="E1291" s="3"/>
      <c r="F1291" s="3"/>
      <c r="G1291" s="3"/>
      <c r="H1291" s="3"/>
    </row>
    <row r="1292" spans="1:8" x14ac:dyDescent="0.35">
      <c r="A1292" s="3" t="s">
        <v>1010</v>
      </c>
      <c r="B1292" s="3" t="s">
        <v>45</v>
      </c>
      <c r="C1292" s="3" t="s">
        <v>1159</v>
      </c>
      <c r="D1292" s="3" t="s">
        <v>222</v>
      </c>
      <c r="E1292" s="3"/>
      <c r="F1292" s="3"/>
      <c r="G1292" s="3"/>
      <c r="H1292" s="3"/>
    </row>
    <row r="1293" spans="1:8" x14ac:dyDescent="0.35">
      <c r="A1293" s="3" t="s">
        <v>1010</v>
      </c>
      <c r="B1293" s="3" t="s">
        <v>45</v>
      </c>
      <c r="C1293" s="3" t="s">
        <v>1159</v>
      </c>
      <c r="D1293" s="3" t="s">
        <v>223</v>
      </c>
      <c r="E1293" s="3"/>
      <c r="F1293" s="3"/>
      <c r="G1293" s="3"/>
      <c r="H1293" s="3"/>
    </row>
    <row r="1294" spans="1:8" x14ac:dyDescent="0.35">
      <c r="A1294" s="3" t="s">
        <v>1010</v>
      </c>
      <c r="B1294" s="3" t="s">
        <v>45</v>
      </c>
      <c r="C1294" s="3" t="s">
        <v>1159</v>
      </c>
      <c r="D1294" s="3" t="s">
        <v>226</v>
      </c>
      <c r="E1294" s="3"/>
      <c r="F1294" s="3"/>
      <c r="G1294" s="3"/>
      <c r="H1294" s="3"/>
    </row>
    <row r="1295" spans="1:8" x14ac:dyDescent="0.35">
      <c r="A1295" s="3" t="s">
        <v>1010</v>
      </c>
      <c r="B1295" s="3" t="s">
        <v>45</v>
      </c>
      <c r="C1295" s="3" t="s">
        <v>1159</v>
      </c>
      <c r="D1295" s="3" t="s">
        <v>227</v>
      </c>
      <c r="E1295" s="3"/>
      <c r="F1295" s="3"/>
      <c r="G1295" s="3"/>
      <c r="H1295" s="3"/>
    </row>
    <row r="1296" spans="1:8" x14ac:dyDescent="0.35">
      <c r="A1296" s="3" t="s">
        <v>1010</v>
      </c>
      <c r="B1296" s="3" t="s">
        <v>45</v>
      </c>
      <c r="C1296" s="3" t="s">
        <v>1159</v>
      </c>
      <c r="D1296" s="3" t="s">
        <v>228</v>
      </c>
      <c r="E1296" s="3"/>
      <c r="F1296" s="3"/>
      <c r="G1296" s="3"/>
      <c r="H1296" s="3"/>
    </row>
    <row r="1297" spans="1:8" x14ac:dyDescent="0.35">
      <c r="A1297" s="3" t="s">
        <v>1010</v>
      </c>
      <c r="B1297" s="3" t="s">
        <v>45</v>
      </c>
      <c r="C1297" s="3" t="s">
        <v>1159</v>
      </c>
      <c r="D1297" s="3" t="s">
        <v>229</v>
      </c>
      <c r="E1297" s="3"/>
      <c r="F1297" s="3"/>
      <c r="G1297" s="3"/>
      <c r="H1297" s="3"/>
    </row>
    <row r="1298" spans="1:8" x14ac:dyDescent="0.35">
      <c r="A1298" s="3" t="s">
        <v>1010</v>
      </c>
      <c r="B1298" s="3" t="s">
        <v>45</v>
      </c>
      <c r="C1298" s="3" t="s">
        <v>1159</v>
      </c>
      <c r="D1298" s="3" t="s">
        <v>230</v>
      </c>
      <c r="E1298" s="3"/>
      <c r="F1298" s="3"/>
      <c r="G1298" s="3"/>
      <c r="H1298" s="3"/>
    </row>
    <row r="1299" spans="1:8" x14ac:dyDescent="0.35">
      <c r="A1299" s="3" t="s">
        <v>1010</v>
      </c>
      <c r="B1299" s="3" t="s">
        <v>45</v>
      </c>
      <c r="C1299" s="3" t="s">
        <v>1159</v>
      </c>
      <c r="D1299" s="3" t="s">
        <v>219</v>
      </c>
      <c r="E1299" s="3"/>
      <c r="F1299" s="3"/>
      <c r="G1299" s="3"/>
      <c r="H1299" s="3"/>
    </row>
    <row r="1300" spans="1:8" x14ac:dyDescent="0.35">
      <c r="A1300" s="3" t="s">
        <v>1010</v>
      </c>
      <c r="B1300" s="3" t="s">
        <v>45</v>
      </c>
      <c r="C1300" s="3" t="s">
        <v>1159</v>
      </c>
      <c r="D1300" s="3" t="s">
        <v>372</v>
      </c>
      <c r="E1300" s="3"/>
      <c r="F1300" s="3"/>
      <c r="G1300" s="3"/>
      <c r="H1300" s="3"/>
    </row>
    <row r="1301" spans="1:8" x14ac:dyDescent="0.35">
      <c r="A1301" s="3" t="s">
        <v>1010</v>
      </c>
      <c r="B1301" s="3" t="s">
        <v>45</v>
      </c>
      <c r="C1301" s="3" t="s">
        <v>1159</v>
      </c>
      <c r="D1301" s="3" t="s">
        <v>218</v>
      </c>
      <c r="E1301" s="3"/>
      <c r="F1301" s="3"/>
      <c r="G1301" s="3"/>
      <c r="H1301" s="3"/>
    </row>
    <row r="1302" spans="1:8" x14ac:dyDescent="0.35">
      <c r="A1302" s="3" t="s">
        <v>1010</v>
      </c>
      <c r="B1302" s="3" t="s">
        <v>45</v>
      </c>
      <c r="C1302" s="3" t="s">
        <v>1159</v>
      </c>
      <c r="D1302" s="3" t="s">
        <v>224</v>
      </c>
      <c r="E1302" s="3"/>
      <c r="F1302" s="3"/>
      <c r="G1302" s="3"/>
      <c r="H1302" s="3"/>
    </row>
    <row r="1303" spans="1:8" x14ac:dyDescent="0.35">
      <c r="A1303" s="3" t="s">
        <v>1010</v>
      </c>
      <c r="B1303" s="3" t="s">
        <v>45</v>
      </c>
      <c r="C1303" s="3" t="s">
        <v>1160</v>
      </c>
      <c r="D1303" s="3" t="s">
        <v>217</v>
      </c>
      <c r="E1303" s="3"/>
      <c r="F1303" s="3"/>
      <c r="G1303" s="3"/>
      <c r="H1303" s="3"/>
    </row>
    <row r="1304" spans="1:8" x14ac:dyDescent="0.35">
      <c r="A1304" s="3" t="s">
        <v>1010</v>
      </c>
      <c r="B1304" s="3" t="s">
        <v>45</v>
      </c>
      <c r="C1304" s="3" t="s">
        <v>1160</v>
      </c>
      <c r="D1304" s="3" t="s">
        <v>56</v>
      </c>
      <c r="E1304" s="3"/>
      <c r="F1304" s="3"/>
      <c r="G1304" s="3"/>
      <c r="H1304" s="3"/>
    </row>
    <row r="1305" spans="1:8" x14ac:dyDescent="0.35">
      <c r="A1305" s="3" t="s">
        <v>1010</v>
      </c>
      <c r="B1305" s="3" t="s">
        <v>45</v>
      </c>
      <c r="C1305" s="3" t="s">
        <v>1160</v>
      </c>
      <c r="D1305" s="3" t="s">
        <v>224</v>
      </c>
      <c r="E1305" s="3"/>
      <c r="F1305" s="3"/>
      <c r="G1305" s="3"/>
      <c r="H1305" s="3"/>
    </row>
    <row r="1306" spans="1:8" x14ac:dyDescent="0.35">
      <c r="A1306" s="3" t="s">
        <v>1010</v>
      </c>
      <c r="B1306" s="3" t="s">
        <v>10</v>
      </c>
      <c r="C1306" s="3" t="s">
        <v>2693</v>
      </c>
      <c r="D1306" s="3" t="s">
        <v>28</v>
      </c>
      <c r="E1306" s="3"/>
      <c r="F1306" s="3" t="s">
        <v>2455</v>
      </c>
      <c r="G1306" s="3"/>
      <c r="H1306" s="3"/>
    </row>
    <row r="1307" spans="1:8" x14ac:dyDescent="0.35">
      <c r="A1307" s="3" t="s">
        <v>1010</v>
      </c>
      <c r="B1307" s="3" t="s">
        <v>10</v>
      </c>
      <c r="C1307" s="3" t="s">
        <v>2693</v>
      </c>
      <c r="D1307" s="3" t="s">
        <v>15</v>
      </c>
      <c r="E1307" s="3" t="s">
        <v>16</v>
      </c>
      <c r="F1307" s="3" t="s">
        <v>990</v>
      </c>
      <c r="G1307" s="3"/>
      <c r="H1307" s="3"/>
    </row>
    <row r="1308" spans="1:8" x14ac:dyDescent="0.35">
      <c r="A1308" s="3" t="s">
        <v>1010</v>
      </c>
      <c r="B1308" s="3" t="s">
        <v>10</v>
      </c>
      <c r="C1308" s="3" t="s">
        <v>2693</v>
      </c>
      <c r="D1308" s="3" t="s">
        <v>152</v>
      </c>
      <c r="E1308" s="3"/>
      <c r="F1308" s="3"/>
      <c r="G1308" s="3"/>
      <c r="H1308" s="3"/>
    </row>
    <row r="1309" spans="1:8" x14ac:dyDescent="0.35">
      <c r="A1309" s="3" t="s">
        <v>1010</v>
      </c>
      <c r="B1309" s="3" t="s">
        <v>20</v>
      </c>
      <c r="C1309" s="3" t="s">
        <v>1161</v>
      </c>
      <c r="D1309" s="3" t="s">
        <v>71</v>
      </c>
      <c r="E1309" s="3"/>
      <c r="F1309" s="3"/>
      <c r="G1309" s="3"/>
      <c r="H1309" s="3"/>
    </row>
    <row r="1310" spans="1:8" x14ac:dyDescent="0.35">
      <c r="A1310" s="3" t="s">
        <v>1010</v>
      </c>
      <c r="B1310" s="3" t="s">
        <v>20</v>
      </c>
      <c r="C1310" s="3" t="s">
        <v>1161</v>
      </c>
      <c r="D1310" s="3" t="s">
        <v>56</v>
      </c>
      <c r="E1310" s="3"/>
      <c r="F1310" s="3"/>
      <c r="G1310" s="3"/>
      <c r="H1310" s="3"/>
    </row>
    <row r="1311" spans="1:8" x14ac:dyDescent="0.35">
      <c r="A1311" s="3" t="s">
        <v>1010</v>
      </c>
      <c r="B1311" s="3" t="s">
        <v>20</v>
      </c>
      <c r="C1311" s="3" t="s">
        <v>1161</v>
      </c>
      <c r="D1311" s="3" t="s">
        <v>327</v>
      </c>
      <c r="E1311" s="3"/>
      <c r="F1311" s="3"/>
      <c r="G1311" s="3"/>
      <c r="H1311" s="3"/>
    </row>
    <row r="1312" spans="1:8" x14ac:dyDescent="0.35">
      <c r="A1312" s="3" t="s">
        <v>1010</v>
      </c>
      <c r="B1312" s="3" t="s">
        <v>20</v>
      </c>
      <c r="C1312" s="3" t="s">
        <v>1162</v>
      </c>
      <c r="D1312" s="3" t="s">
        <v>36</v>
      </c>
      <c r="E1312" s="3" t="s">
        <v>33</v>
      </c>
      <c r="F1312" s="3" t="s">
        <v>487</v>
      </c>
      <c r="G1312" s="3"/>
      <c r="H1312" s="3"/>
    </row>
    <row r="1313" spans="1:8" x14ac:dyDescent="0.35">
      <c r="A1313" s="3" t="s">
        <v>1010</v>
      </c>
      <c r="B1313" s="3" t="s">
        <v>20</v>
      </c>
      <c r="C1313" s="3" t="s">
        <v>1162</v>
      </c>
      <c r="D1313" s="3" t="s">
        <v>77</v>
      </c>
      <c r="E1313" s="3" t="s">
        <v>33</v>
      </c>
      <c r="F1313" s="3" t="s">
        <v>487</v>
      </c>
      <c r="G1313" s="3"/>
      <c r="H1313" s="3"/>
    </row>
    <row r="1314" spans="1:8" x14ac:dyDescent="0.35">
      <c r="A1314" s="3" t="s">
        <v>1010</v>
      </c>
      <c r="B1314" s="3" t="s">
        <v>20</v>
      </c>
      <c r="C1314" s="3" t="s">
        <v>1162</v>
      </c>
      <c r="D1314" s="3" t="s">
        <v>28</v>
      </c>
      <c r="E1314" s="3" t="s">
        <v>33</v>
      </c>
      <c r="F1314" s="3" t="s">
        <v>487</v>
      </c>
      <c r="G1314" s="3"/>
      <c r="H1314" s="3"/>
    </row>
    <row r="1315" spans="1:8" x14ac:dyDescent="0.35">
      <c r="A1315" s="3" t="s">
        <v>1010</v>
      </c>
      <c r="B1315" s="3" t="s">
        <v>20</v>
      </c>
      <c r="C1315" s="3" t="s">
        <v>1162</v>
      </c>
      <c r="D1315" s="3" t="s">
        <v>242</v>
      </c>
      <c r="E1315" s="3" t="s">
        <v>33</v>
      </c>
      <c r="F1315" s="3" t="s">
        <v>487</v>
      </c>
      <c r="G1315" s="3"/>
      <c r="H1315" s="3"/>
    </row>
    <row r="1316" spans="1:8" x14ac:dyDescent="0.35">
      <c r="A1316" s="3" t="s">
        <v>1010</v>
      </c>
      <c r="B1316" s="3" t="s">
        <v>20</v>
      </c>
      <c r="C1316" s="3" t="s">
        <v>1162</v>
      </c>
      <c r="D1316" s="3" t="s">
        <v>15</v>
      </c>
      <c r="E1316" s="3" t="s">
        <v>33</v>
      </c>
      <c r="F1316" s="3" t="s">
        <v>487</v>
      </c>
      <c r="G1316" s="3"/>
      <c r="H1316" s="3"/>
    </row>
    <row r="1317" spans="1:8" x14ac:dyDescent="0.35">
      <c r="A1317" s="3" t="s">
        <v>1010</v>
      </c>
      <c r="B1317" s="3" t="s">
        <v>20</v>
      </c>
      <c r="C1317" s="3" t="s">
        <v>1162</v>
      </c>
      <c r="D1317" s="3" t="s">
        <v>37</v>
      </c>
      <c r="E1317" s="3" t="s">
        <v>33</v>
      </c>
      <c r="F1317" s="3" t="s">
        <v>487</v>
      </c>
      <c r="G1317" s="3"/>
      <c r="H1317" s="3"/>
    </row>
    <row r="1318" spans="1:8" x14ac:dyDescent="0.35">
      <c r="A1318" s="3" t="s">
        <v>1010</v>
      </c>
      <c r="B1318" s="3" t="s">
        <v>20</v>
      </c>
      <c r="C1318" s="3" t="s">
        <v>1162</v>
      </c>
      <c r="D1318" s="3" t="s">
        <v>152</v>
      </c>
      <c r="E1318" s="3" t="s">
        <v>33</v>
      </c>
      <c r="F1318" s="3" t="s">
        <v>487</v>
      </c>
      <c r="G1318" s="3"/>
      <c r="H1318" s="3"/>
    </row>
    <row r="1319" spans="1:8" x14ac:dyDescent="0.35">
      <c r="A1319" s="3" t="s">
        <v>1010</v>
      </c>
      <c r="B1319" s="3" t="s">
        <v>20</v>
      </c>
      <c r="C1319" s="3" t="s">
        <v>1162</v>
      </c>
      <c r="D1319" s="3" t="s">
        <v>1049</v>
      </c>
      <c r="E1319" s="3" t="s">
        <v>33</v>
      </c>
      <c r="F1319" s="3" t="s">
        <v>487</v>
      </c>
      <c r="G1319" s="3"/>
      <c r="H1319" s="3"/>
    </row>
    <row r="1320" spans="1:8" x14ac:dyDescent="0.35">
      <c r="A1320" s="3" t="s">
        <v>1010</v>
      </c>
      <c r="B1320" s="3" t="s">
        <v>20</v>
      </c>
      <c r="C1320" s="3" t="s">
        <v>1163</v>
      </c>
      <c r="D1320" s="3" t="s">
        <v>36</v>
      </c>
      <c r="E1320" s="3"/>
      <c r="F1320" s="3"/>
      <c r="G1320" s="3"/>
      <c r="H1320" s="3"/>
    </row>
    <row r="1321" spans="1:8" x14ac:dyDescent="0.35">
      <c r="A1321" s="3" t="s">
        <v>1010</v>
      </c>
      <c r="B1321" s="3" t="s">
        <v>20</v>
      </c>
      <c r="C1321" s="3" t="s">
        <v>1163</v>
      </c>
      <c r="D1321" s="3" t="s">
        <v>60</v>
      </c>
      <c r="E1321" s="3"/>
      <c r="F1321" s="3"/>
      <c r="G1321" s="3"/>
      <c r="H1321" s="3"/>
    </row>
    <row r="1322" spans="1:8" x14ac:dyDescent="0.35">
      <c r="A1322" s="3" t="s">
        <v>1010</v>
      </c>
      <c r="B1322" s="3" t="s">
        <v>20</v>
      </c>
      <c r="C1322" s="3" t="s">
        <v>1163</v>
      </c>
      <c r="D1322" s="3" t="s">
        <v>77</v>
      </c>
      <c r="E1322" s="3"/>
      <c r="F1322" s="3"/>
      <c r="G1322" s="3"/>
      <c r="H1322" s="3"/>
    </row>
    <row r="1323" spans="1:8" x14ac:dyDescent="0.35">
      <c r="A1323" s="3" t="s">
        <v>1010</v>
      </c>
      <c r="B1323" s="3" t="s">
        <v>20</v>
      </c>
      <c r="C1323" s="3" t="s">
        <v>1163</v>
      </c>
      <c r="D1323" s="3" t="s">
        <v>28</v>
      </c>
      <c r="E1323" s="3"/>
      <c r="F1323" s="3" t="s">
        <v>2459</v>
      </c>
      <c r="G1323" s="3"/>
      <c r="H1323" s="3"/>
    </row>
    <row r="1324" spans="1:8" x14ac:dyDescent="0.35">
      <c r="A1324" s="3" t="s">
        <v>1010</v>
      </c>
      <c r="B1324" s="3" t="s">
        <v>20</v>
      </c>
      <c r="C1324" s="3" t="s">
        <v>1163</v>
      </c>
      <c r="D1324" s="3" t="s">
        <v>242</v>
      </c>
      <c r="E1324" s="3"/>
      <c r="F1324" s="3"/>
      <c r="G1324" s="3"/>
      <c r="H1324" s="3"/>
    </row>
    <row r="1325" spans="1:8" x14ac:dyDescent="0.35">
      <c r="A1325" s="3" t="s">
        <v>1010</v>
      </c>
      <c r="B1325" s="3" t="s">
        <v>20</v>
      </c>
      <c r="C1325" s="3" t="s">
        <v>1163</v>
      </c>
      <c r="D1325" s="3" t="s">
        <v>15</v>
      </c>
      <c r="E1325" s="3" t="s">
        <v>16</v>
      </c>
      <c r="F1325" s="3" t="s">
        <v>1164</v>
      </c>
      <c r="G1325" s="3"/>
      <c r="H1325" s="3"/>
    </row>
    <row r="1326" spans="1:8" x14ac:dyDescent="0.35">
      <c r="A1326" s="3" t="s">
        <v>1010</v>
      </c>
      <c r="B1326" s="3" t="s">
        <v>20</v>
      </c>
      <c r="C1326" s="3" t="s">
        <v>1163</v>
      </c>
      <c r="D1326" s="3" t="s">
        <v>1197</v>
      </c>
      <c r="E1326" s="3"/>
      <c r="F1326" s="3"/>
      <c r="G1326" s="3"/>
      <c r="H1326" s="3"/>
    </row>
    <row r="1327" spans="1:8" x14ac:dyDescent="0.35">
      <c r="A1327" s="3" t="s">
        <v>1010</v>
      </c>
      <c r="B1327" s="3" t="s">
        <v>20</v>
      </c>
      <c r="C1327" s="3" t="s">
        <v>1163</v>
      </c>
      <c r="D1327" s="3" t="s">
        <v>152</v>
      </c>
      <c r="E1327" s="3"/>
      <c r="F1327" s="3"/>
      <c r="G1327" s="3"/>
      <c r="H1327" s="3"/>
    </row>
    <row r="1328" spans="1:8" x14ac:dyDescent="0.35">
      <c r="A1328" s="3" t="s">
        <v>1010</v>
      </c>
      <c r="B1328" s="3" t="s">
        <v>20</v>
      </c>
      <c r="C1328" s="3" t="s">
        <v>1163</v>
      </c>
      <c r="D1328" s="3" t="s">
        <v>191</v>
      </c>
      <c r="E1328" s="3"/>
      <c r="F1328" s="3" t="s">
        <v>2458</v>
      </c>
      <c r="G1328" s="3"/>
      <c r="H1328" s="3"/>
    </row>
    <row r="1329" spans="1:8" x14ac:dyDescent="0.35">
      <c r="A1329" s="3" t="s">
        <v>1010</v>
      </c>
      <c r="B1329" s="3" t="s">
        <v>20</v>
      </c>
      <c r="C1329" s="3" t="s">
        <v>1163</v>
      </c>
      <c r="D1329" s="3" t="s">
        <v>1049</v>
      </c>
      <c r="E1329" s="3"/>
      <c r="F1329" s="3"/>
      <c r="G1329" s="3"/>
      <c r="H1329" s="3"/>
    </row>
    <row r="1330" spans="1:8" x14ac:dyDescent="0.35">
      <c r="A1330" s="3" t="s">
        <v>1010</v>
      </c>
      <c r="B1330" s="3" t="s">
        <v>591</v>
      </c>
      <c r="C1330" s="3" t="s">
        <v>2870</v>
      </c>
      <c r="D1330" s="3" t="s">
        <v>26</v>
      </c>
      <c r="E1330" s="3" t="s">
        <v>16</v>
      </c>
      <c r="F1330" s="3" t="s">
        <v>2871</v>
      </c>
      <c r="G1330" s="3"/>
      <c r="H1330" s="3"/>
    </row>
    <row r="1331" spans="1:8" x14ac:dyDescent="0.35">
      <c r="A1331" s="3" t="s">
        <v>1010</v>
      </c>
      <c r="B1331" s="3" t="s">
        <v>45</v>
      </c>
      <c r="C1331" s="3" t="s">
        <v>1165</v>
      </c>
      <c r="D1331" s="3" t="s">
        <v>166</v>
      </c>
      <c r="E1331" s="3" t="s">
        <v>33</v>
      </c>
      <c r="F1331" s="3" t="s">
        <v>487</v>
      </c>
      <c r="G1331" s="3"/>
      <c r="H1331" s="3"/>
    </row>
    <row r="1332" spans="1:8" x14ac:dyDescent="0.35">
      <c r="A1332" s="3" t="s">
        <v>1010</v>
      </c>
      <c r="B1332" s="3" t="s">
        <v>45</v>
      </c>
      <c r="C1332" s="3" t="s">
        <v>1165</v>
      </c>
      <c r="D1332" s="3" t="s">
        <v>217</v>
      </c>
      <c r="E1332" s="3" t="s">
        <v>33</v>
      </c>
      <c r="F1332" s="3" t="s">
        <v>487</v>
      </c>
      <c r="G1332" s="3"/>
      <c r="H1332" s="3"/>
    </row>
    <row r="1333" spans="1:8" x14ac:dyDescent="0.35">
      <c r="A1333" s="3" t="s">
        <v>1010</v>
      </c>
      <c r="B1333" s="3" t="s">
        <v>45</v>
      </c>
      <c r="C1333" s="3" t="s">
        <v>1165</v>
      </c>
      <c r="D1333" s="3" t="s">
        <v>1016</v>
      </c>
      <c r="E1333" s="3" t="s">
        <v>33</v>
      </c>
      <c r="F1333" s="3" t="s">
        <v>487</v>
      </c>
      <c r="G1333" s="3"/>
      <c r="H1333" s="3"/>
    </row>
    <row r="1334" spans="1:8" x14ac:dyDescent="0.35">
      <c r="A1334" s="3" t="s">
        <v>1010</v>
      </c>
      <c r="B1334" s="3" t="s">
        <v>45</v>
      </c>
      <c r="C1334" s="3" t="s">
        <v>1165</v>
      </c>
      <c r="D1334" s="3" t="s">
        <v>225</v>
      </c>
      <c r="E1334" s="3" t="s">
        <v>33</v>
      </c>
      <c r="F1334" s="3" t="s">
        <v>487</v>
      </c>
      <c r="G1334" s="3"/>
      <c r="H1334" s="3"/>
    </row>
    <row r="1335" spans="1:8" x14ac:dyDescent="0.35">
      <c r="A1335" s="3" t="s">
        <v>1010</v>
      </c>
      <c r="B1335" s="3" t="s">
        <v>45</v>
      </c>
      <c r="C1335" s="3" t="s">
        <v>1165</v>
      </c>
      <c r="D1335" s="3" t="s">
        <v>221</v>
      </c>
      <c r="E1335" s="3" t="s">
        <v>33</v>
      </c>
      <c r="F1335" s="3" t="s">
        <v>487</v>
      </c>
      <c r="G1335" s="3"/>
      <c r="H1335" s="3"/>
    </row>
    <row r="1336" spans="1:8" x14ac:dyDescent="0.35">
      <c r="A1336" s="3" t="s">
        <v>1010</v>
      </c>
      <c r="B1336" s="3" t="s">
        <v>45</v>
      </c>
      <c r="C1336" s="3" t="s">
        <v>1165</v>
      </c>
      <c r="D1336" s="3" t="s">
        <v>222</v>
      </c>
      <c r="E1336" s="3" t="s">
        <v>33</v>
      </c>
      <c r="F1336" s="3" t="s">
        <v>487</v>
      </c>
      <c r="G1336" s="3"/>
      <c r="H1336" s="3"/>
    </row>
    <row r="1337" spans="1:8" x14ac:dyDescent="0.35">
      <c r="A1337" s="3" t="s">
        <v>1010</v>
      </c>
      <c r="B1337" s="3" t="s">
        <v>45</v>
      </c>
      <c r="C1337" s="3" t="s">
        <v>1165</v>
      </c>
      <c r="D1337" s="3" t="s">
        <v>223</v>
      </c>
      <c r="E1337" s="3" t="s">
        <v>33</v>
      </c>
      <c r="F1337" s="3" t="s">
        <v>487</v>
      </c>
      <c r="G1337" s="3"/>
      <c r="H1337" s="3"/>
    </row>
    <row r="1338" spans="1:8" x14ac:dyDescent="0.35">
      <c r="A1338" s="3" t="s">
        <v>1010</v>
      </c>
      <c r="B1338" s="3" t="s">
        <v>45</v>
      </c>
      <c r="C1338" s="3" t="s">
        <v>1165</v>
      </c>
      <c r="D1338" s="3" t="s">
        <v>226</v>
      </c>
      <c r="E1338" s="3" t="s">
        <v>33</v>
      </c>
      <c r="F1338" s="3" t="s">
        <v>487</v>
      </c>
      <c r="G1338" s="3"/>
      <c r="H1338" s="3"/>
    </row>
    <row r="1339" spans="1:8" x14ac:dyDescent="0.35">
      <c r="A1339" s="3" t="s">
        <v>1010</v>
      </c>
      <c r="B1339" s="3" t="s">
        <v>45</v>
      </c>
      <c r="C1339" s="3" t="s">
        <v>1165</v>
      </c>
      <c r="D1339" s="3" t="s">
        <v>227</v>
      </c>
      <c r="E1339" s="3" t="s">
        <v>33</v>
      </c>
      <c r="F1339" s="3" t="s">
        <v>487</v>
      </c>
      <c r="G1339" s="3"/>
      <c r="H1339" s="3"/>
    </row>
    <row r="1340" spans="1:8" x14ac:dyDescent="0.35">
      <c r="A1340" s="3" t="s">
        <v>1010</v>
      </c>
      <c r="B1340" s="3" t="s">
        <v>45</v>
      </c>
      <c r="C1340" s="3" t="s">
        <v>1165</v>
      </c>
      <c r="D1340" s="3" t="s">
        <v>228</v>
      </c>
      <c r="E1340" s="3" t="s">
        <v>33</v>
      </c>
      <c r="F1340" s="3" t="s">
        <v>487</v>
      </c>
      <c r="G1340" s="3"/>
      <c r="H1340" s="3"/>
    </row>
    <row r="1341" spans="1:8" x14ac:dyDescent="0.35">
      <c r="A1341" s="3" t="s">
        <v>1010</v>
      </c>
      <c r="B1341" s="3" t="s">
        <v>45</v>
      </c>
      <c r="C1341" s="3" t="s">
        <v>1165</v>
      </c>
      <c r="D1341" s="3" t="s">
        <v>229</v>
      </c>
      <c r="E1341" s="3" t="s">
        <v>33</v>
      </c>
      <c r="F1341" s="3" t="s">
        <v>487</v>
      </c>
      <c r="G1341" s="3"/>
      <c r="H1341" s="3"/>
    </row>
    <row r="1342" spans="1:8" x14ac:dyDescent="0.35">
      <c r="A1342" s="3" t="s">
        <v>1010</v>
      </c>
      <c r="B1342" s="3" t="s">
        <v>45</v>
      </c>
      <c r="C1342" s="3" t="s">
        <v>1165</v>
      </c>
      <c r="D1342" s="3" t="s">
        <v>230</v>
      </c>
      <c r="E1342" s="3" t="s">
        <v>33</v>
      </c>
      <c r="F1342" s="3" t="s">
        <v>487</v>
      </c>
      <c r="G1342" s="3"/>
      <c r="H1342" s="3"/>
    </row>
    <row r="1343" spans="1:8" x14ac:dyDescent="0.35">
      <c r="A1343" s="3" t="s">
        <v>1010</v>
      </c>
      <c r="B1343" s="3" t="s">
        <v>45</v>
      </c>
      <c r="C1343" s="3" t="s">
        <v>1165</v>
      </c>
      <c r="D1343" s="3" t="s">
        <v>219</v>
      </c>
      <c r="E1343" s="3" t="s">
        <v>33</v>
      </c>
      <c r="F1343" s="3" t="s">
        <v>487</v>
      </c>
      <c r="G1343" s="3"/>
      <c r="H1343" s="3"/>
    </row>
    <row r="1344" spans="1:8" x14ac:dyDescent="0.35">
      <c r="A1344" s="3" t="s">
        <v>1010</v>
      </c>
      <c r="B1344" s="3" t="s">
        <v>45</v>
      </c>
      <c r="C1344" s="3" t="s">
        <v>1165</v>
      </c>
      <c r="D1344" s="3" t="s">
        <v>372</v>
      </c>
      <c r="E1344" s="3" t="s">
        <v>33</v>
      </c>
      <c r="F1344" s="3" t="s">
        <v>487</v>
      </c>
      <c r="G1344" s="3"/>
      <c r="H1344" s="3"/>
    </row>
    <row r="1345" spans="1:8" x14ac:dyDescent="0.35">
      <c r="A1345" s="3" t="s">
        <v>1010</v>
      </c>
      <c r="B1345" s="3" t="s">
        <v>45</v>
      </c>
      <c r="C1345" s="3" t="s">
        <v>1165</v>
      </c>
      <c r="D1345" s="3" t="s">
        <v>218</v>
      </c>
      <c r="E1345" s="3" t="s">
        <v>33</v>
      </c>
      <c r="F1345" s="3" t="s">
        <v>487</v>
      </c>
      <c r="G1345" s="3"/>
      <c r="H1345" s="3"/>
    </row>
    <row r="1346" spans="1:8" x14ac:dyDescent="0.35">
      <c r="A1346" s="3" t="s">
        <v>1010</v>
      </c>
      <c r="B1346" s="3" t="s">
        <v>45</v>
      </c>
      <c r="C1346" s="3" t="s">
        <v>1165</v>
      </c>
      <c r="D1346" s="3" t="s">
        <v>224</v>
      </c>
      <c r="E1346" s="3" t="s">
        <v>33</v>
      </c>
      <c r="F1346" s="3" t="s">
        <v>487</v>
      </c>
      <c r="G1346" s="3"/>
      <c r="H1346" s="3"/>
    </row>
    <row r="1347" spans="1:8" x14ac:dyDescent="0.35">
      <c r="A1347" s="3" t="s">
        <v>1010</v>
      </c>
      <c r="B1347" s="3" t="s">
        <v>45</v>
      </c>
      <c r="C1347" s="3" t="s">
        <v>1166</v>
      </c>
      <c r="D1347" s="3" t="s">
        <v>166</v>
      </c>
      <c r="E1347" s="3"/>
      <c r="F1347" s="3"/>
      <c r="G1347" s="3"/>
      <c r="H1347" s="3"/>
    </row>
    <row r="1348" spans="1:8" x14ac:dyDescent="0.35">
      <c r="A1348" s="3" t="s">
        <v>1010</v>
      </c>
      <c r="B1348" s="3" t="s">
        <v>45</v>
      </c>
      <c r="C1348" s="3" t="s">
        <v>1166</v>
      </c>
      <c r="D1348" s="3" t="s">
        <v>217</v>
      </c>
      <c r="E1348" s="3"/>
      <c r="F1348" s="3"/>
      <c r="G1348" s="3"/>
      <c r="H1348" s="3"/>
    </row>
    <row r="1349" spans="1:8" x14ac:dyDescent="0.35">
      <c r="A1349" s="3" t="s">
        <v>1010</v>
      </c>
      <c r="B1349" s="3" t="s">
        <v>45</v>
      </c>
      <c r="C1349" s="3" t="s">
        <v>1166</v>
      </c>
      <c r="D1349" s="3" t="s">
        <v>1016</v>
      </c>
      <c r="E1349" s="3"/>
      <c r="F1349" s="3"/>
      <c r="G1349" s="3"/>
      <c r="H1349" s="3"/>
    </row>
    <row r="1350" spans="1:8" x14ac:dyDescent="0.35">
      <c r="A1350" s="3" t="s">
        <v>1010</v>
      </c>
      <c r="B1350" s="3" t="s">
        <v>45</v>
      </c>
      <c r="C1350" s="3" t="s">
        <v>1166</v>
      </c>
      <c r="D1350" s="3" t="s">
        <v>225</v>
      </c>
      <c r="E1350" s="3"/>
      <c r="F1350" s="3"/>
      <c r="G1350" s="3"/>
      <c r="H1350" s="3"/>
    </row>
    <row r="1351" spans="1:8" x14ac:dyDescent="0.35">
      <c r="A1351" s="3" t="s">
        <v>1010</v>
      </c>
      <c r="B1351" s="3" t="s">
        <v>45</v>
      </c>
      <c r="C1351" s="3" t="s">
        <v>1166</v>
      </c>
      <c r="D1351" s="3" t="s">
        <v>71</v>
      </c>
      <c r="E1351" s="3"/>
      <c r="F1351" s="3"/>
      <c r="G1351" s="3"/>
      <c r="H1351" s="3"/>
    </row>
    <row r="1352" spans="1:8" x14ac:dyDescent="0.35">
      <c r="A1352" s="3" t="s">
        <v>1010</v>
      </c>
      <c r="B1352" s="3" t="s">
        <v>45</v>
      </c>
      <c r="C1352" s="3" t="s">
        <v>1166</v>
      </c>
      <c r="D1352" s="3" t="s">
        <v>1067</v>
      </c>
      <c r="E1352" s="3"/>
      <c r="F1352" s="3" t="s">
        <v>2364</v>
      </c>
      <c r="G1352" s="3"/>
      <c r="H1352" s="3"/>
    </row>
    <row r="1353" spans="1:8" x14ac:dyDescent="0.35">
      <c r="A1353" s="3" t="s">
        <v>1010</v>
      </c>
      <c r="B1353" s="3" t="s">
        <v>45</v>
      </c>
      <c r="C1353" s="3" t="s">
        <v>1166</v>
      </c>
      <c r="D1353" s="3" t="s">
        <v>222</v>
      </c>
      <c r="E1353" s="3"/>
      <c r="F1353" s="3"/>
      <c r="G1353" s="3"/>
      <c r="H1353" s="3"/>
    </row>
    <row r="1354" spans="1:8" x14ac:dyDescent="0.35">
      <c r="A1354" s="3" t="s">
        <v>1010</v>
      </c>
      <c r="B1354" s="3" t="s">
        <v>45</v>
      </c>
      <c r="C1354" s="3" t="s">
        <v>1166</v>
      </c>
      <c r="D1354" s="3" t="s">
        <v>223</v>
      </c>
      <c r="E1354" s="3"/>
      <c r="F1354" s="3"/>
      <c r="G1354" s="3"/>
      <c r="H1354" s="3"/>
    </row>
    <row r="1355" spans="1:8" x14ac:dyDescent="0.35">
      <c r="A1355" s="3" t="s">
        <v>1010</v>
      </c>
      <c r="B1355" s="3" t="s">
        <v>45</v>
      </c>
      <c r="C1355" s="3" t="s">
        <v>1166</v>
      </c>
      <c r="D1355" s="3" t="s">
        <v>15</v>
      </c>
      <c r="E1355" s="3"/>
      <c r="F1355" s="3"/>
      <c r="G1355" s="3"/>
      <c r="H1355" s="3"/>
    </row>
    <row r="1356" spans="1:8" x14ac:dyDescent="0.35">
      <c r="A1356" s="3" t="s">
        <v>1010</v>
      </c>
      <c r="B1356" s="3" t="s">
        <v>45</v>
      </c>
      <c r="C1356" s="3" t="s">
        <v>1166</v>
      </c>
      <c r="D1356" s="3" t="s">
        <v>226</v>
      </c>
      <c r="E1356" s="3"/>
      <c r="F1356" s="3"/>
      <c r="G1356" s="3"/>
      <c r="H1356" s="3"/>
    </row>
    <row r="1357" spans="1:8" x14ac:dyDescent="0.35">
      <c r="A1357" s="3" t="s">
        <v>1010</v>
      </c>
      <c r="B1357" s="3" t="s">
        <v>45</v>
      </c>
      <c r="C1357" s="3" t="s">
        <v>1166</v>
      </c>
      <c r="D1357" s="3" t="s">
        <v>227</v>
      </c>
      <c r="E1357" s="3"/>
      <c r="F1357" s="3"/>
      <c r="G1357" s="3"/>
      <c r="H1357" s="3"/>
    </row>
    <row r="1358" spans="1:8" x14ac:dyDescent="0.35">
      <c r="A1358" s="3" t="s">
        <v>1010</v>
      </c>
      <c r="B1358" s="3" t="s">
        <v>45</v>
      </c>
      <c r="C1358" s="3" t="s">
        <v>1166</v>
      </c>
      <c r="D1358" s="3" t="s">
        <v>228</v>
      </c>
      <c r="E1358" s="3"/>
      <c r="F1358" s="3"/>
      <c r="G1358" s="3"/>
      <c r="H1358" s="3"/>
    </row>
    <row r="1359" spans="1:8" x14ac:dyDescent="0.35">
      <c r="A1359" s="3" t="s">
        <v>1010</v>
      </c>
      <c r="B1359" s="3" t="s">
        <v>45</v>
      </c>
      <c r="C1359" s="3" t="s">
        <v>1166</v>
      </c>
      <c r="D1359" s="3" t="s">
        <v>229</v>
      </c>
      <c r="E1359" s="3"/>
      <c r="F1359" s="3"/>
      <c r="G1359" s="3"/>
      <c r="H1359" s="3"/>
    </row>
    <row r="1360" spans="1:8" x14ac:dyDescent="0.35">
      <c r="A1360" s="3" t="s">
        <v>1010</v>
      </c>
      <c r="B1360" s="3" t="s">
        <v>45</v>
      </c>
      <c r="C1360" s="3" t="s">
        <v>1166</v>
      </c>
      <c r="D1360" s="3" t="s">
        <v>230</v>
      </c>
      <c r="E1360" s="3"/>
      <c r="F1360" s="3"/>
      <c r="G1360" s="3"/>
      <c r="H1360" s="3"/>
    </row>
    <row r="1361" spans="1:8" x14ac:dyDescent="0.35">
      <c r="A1361" s="3" t="s">
        <v>1010</v>
      </c>
      <c r="B1361" s="3" t="s">
        <v>45</v>
      </c>
      <c r="C1361" s="3" t="s">
        <v>1166</v>
      </c>
      <c r="D1361" s="3" t="s">
        <v>219</v>
      </c>
      <c r="E1361" s="3"/>
      <c r="F1361" s="3"/>
      <c r="G1361" s="3"/>
      <c r="H1361" s="3"/>
    </row>
    <row r="1362" spans="1:8" x14ac:dyDescent="0.35">
      <c r="A1362" s="3" t="s">
        <v>1010</v>
      </c>
      <c r="B1362" s="3" t="s">
        <v>45</v>
      </c>
      <c r="C1362" s="3" t="s">
        <v>1166</v>
      </c>
      <c r="D1362" s="3" t="s">
        <v>218</v>
      </c>
      <c r="E1362" s="3"/>
      <c r="F1362" s="3"/>
      <c r="G1362" s="3"/>
      <c r="H1362" s="3"/>
    </row>
    <row r="1363" spans="1:8" x14ac:dyDescent="0.35">
      <c r="A1363" s="3" t="s">
        <v>1010</v>
      </c>
      <c r="B1363" s="3" t="s">
        <v>45</v>
      </c>
      <c r="C1363" s="3" t="s">
        <v>1166</v>
      </c>
      <c r="D1363" s="3" t="s">
        <v>224</v>
      </c>
      <c r="E1363" s="3"/>
      <c r="F1363" s="3"/>
      <c r="G1363" s="3"/>
      <c r="H1363" s="3"/>
    </row>
    <row r="1364" spans="1:8" x14ac:dyDescent="0.35">
      <c r="A1364" s="3" t="s">
        <v>1010</v>
      </c>
      <c r="B1364" s="3" t="s">
        <v>39</v>
      </c>
      <c r="C1364" s="3" t="s">
        <v>2753</v>
      </c>
      <c r="D1364" s="3" t="s">
        <v>12</v>
      </c>
      <c r="E1364" s="3"/>
      <c r="F1364" s="3"/>
      <c r="G1364" s="3"/>
      <c r="H1364" s="3"/>
    </row>
    <row r="1365" spans="1:8" x14ac:dyDescent="0.35">
      <c r="A1365" s="3" t="s">
        <v>1010</v>
      </c>
      <c r="B1365" s="3" t="s">
        <v>39</v>
      </c>
      <c r="C1365" s="3" t="s">
        <v>2753</v>
      </c>
      <c r="D1365" s="3" t="s">
        <v>77</v>
      </c>
      <c r="E1365" s="3"/>
      <c r="F1365" s="3"/>
      <c r="G1365" s="3"/>
      <c r="H1365" s="3"/>
    </row>
    <row r="1366" spans="1:8" x14ac:dyDescent="0.35">
      <c r="A1366" s="3" t="s">
        <v>1010</v>
      </c>
      <c r="B1366" s="3" t="s">
        <v>39</v>
      </c>
      <c r="C1366" s="3" t="s">
        <v>2753</v>
      </c>
      <c r="D1366" s="3" t="s">
        <v>15</v>
      </c>
      <c r="E1366" s="3" t="s">
        <v>16</v>
      </c>
      <c r="F1366" s="3" t="s">
        <v>990</v>
      </c>
      <c r="G1366" s="3"/>
      <c r="H1366" s="3"/>
    </row>
    <row r="1367" spans="1:8" x14ac:dyDescent="0.35">
      <c r="A1367" s="3" t="s">
        <v>1010</v>
      </c>
      <c r="B1367" s="3" t="s">
        <v>39</v>
      </c>
      <c r="C1367" s="3" t="s">
        <v>2753</v>
      </c>
      <c r="D1367" s="3" t="s">
        <v>152</v>
      </c>
      <c r="E1367" s="3"/>
      <c r="F1367" s="3"/>
      <c r="G1367" s="3"/>
      <c r="H1367" s="3"/>
    </row>
    <row r="1368" spans="1:8" x14ac:dyDescent="0.35">
      <c r="A1368" s="3" t="s">
        <v>1010</v>
      </c>
      <c r="B1368" s="3" t="s">
        <v>45</v>
      </c>
      <c r="C1368" s="3" t="s">
        <v>1167</v>
      </c>
      <c r="D1368" s="3" t="s">
        <v>217</v>
      </c>
      <c r="E1368" s="3"/>
      <c r="F1368" s="3" t="s">
        <v>2286</v>
      </c>
      <c r="G1368" s="3"/>
      <c r="H1368" s="3"/>
    </row>
    <row r="1369" spans="1:8" x14ac:dyDescent="0.35">
      <c r="A1369" s="3" t="s">
        <v>1010</v>
      </c>
      <c r="B1369" s="3" t="s">
        <v>45</v>
      </c>
      <c r="C1369" s="3" t="s">
        <v>1167</v>
      </c>
      <c r="D1369" s="3" t="s">
        <v>224</v>
      </c>
      <c r="E1369" s="3"/>
      <c r="F1369" s="3"/>
      <c r="G1369" s="3"/>
      <c r="H1369" s="3"/>
    </row>
    <row r="1370" spans="1:8" x14ac:dyDescent="0.35">
      <c r="A1370" s="3" t="s">
        <v>1010</v>
      </c>
      <c r="B1370" s="3" t="s">
        <v>10</v>
      </c>
      <c r="C1370" s="3" t="s">
        <v>1168</v>
      </c>
      <c r="D1370" s="3" t="s">
        <v>47</v>
      </c>
      <c r="E1370" s="3" t="s">
        <v>33</v>
      </c>
      <c r="F1370" s="3" t="s">
        <v>723</v>
      </c>
      <c r="G1370" s="3"/>
      <c r="H1370" s="3"/>
    </row>
    <row r="1371" spans="1:8" x14ac:dyDescent="0.35">
      <c r="A1371" s="3" t="s">
        <v>1010</v>
      </c>
      <c r="B1371" s="3" t="s">
        <v>10</v>
      </c>
      <c r="C1371" s="3" t="s">
        <v>1168</v>
      </c>
      <c r="D1371" s="3" t="s">
        <v>15</v>
      </c>
      <c r="E1371" s="3" t="s">
        <v>16</v>
      </c>
      <c r="F1371" s="3" t="s">
        <v>2922</v>
      </c>
      <c r="G1371" s="3"/>
      <c r="H1371" s="3"/>
    </row>
    <row r="1372" spans="1:8" x14ac:dyDescent="0.35">
      <c r="A1372" s="3" t="s">
        <v>1010</v>
      </c>
      <c r="B1372" s="3" t="s">
        <v>10</v>
      </c>
      <c r="C1372" s="3" t="s">
        <v>1168</v>
      </c>
      <c r="D1372" s="3" t="s">
        <v>134</v>
      </c>
      <c r="E1372" s="3" t="s">
        <v>33</v>
      </c>
      <c r="F1372" s="3" t="s">
        <v>723</v>
      </c>
      <c r="G1372" s="3"/>
      <c r="H1372" s="3"/>
    </row>
    <row r="1373" spans="1:8" x14ac:dyDescent="0.35">
      <c r="A1373" s="3" t="s">
        <v>1010</v>
      </c>
      <c r="B1373" s="3" t="s">
        <v>20</v>
      </c>
      <c r="C1373" s="3" t="s">
        <v>1169</v>
      </c>
      <c r="D1373" s="3" t="s">
        <v>12</v>
      </c>
      <c r="E1373" s="3"/>
      <c r="F1373" s="3"/>
      <c r="G1373" s="3"/>
      <c r="H1373" s="3"/>
    </row>
    <row r="1374" spans="1:8" x14ac:dyDescent="0.35">
      <c r="A1374" s="3" t="s">
        <v>1010</v>
      </c>
      <c r="B1374" s="3" t="s">
        <v>20</v>
      </c>
      <c r="C1374" s="3" t="s">
        <v>1169</v>
      </c>
      <c r="D1374" s="3" t="s">
        <v>36</v>
      </c>
      <c r="E1374" s="3"/>
      <c r="F1374" s="3" t="s">
        <v>2469</v>
      </c>
      <c r="G1374" s="3"/>
      <c r="H1374" s="3"/>
    </row>
    <row r="1375" spans="1:8" x14ac:dyDescent="0.35">
      <c r="A1375" s="3" t="s">
        <v>1010</v>
      </c>
      <c r="B1375" s="3" t="s">
        <v>20</v>
      </c>
      <c r="C1375" s="3" t="s">
        <v>1169</v>
      </c>
      <c r="D1375" s="3" t="s">
        <v>71</v>
      </c>
      <c r="E1375" s="3"/>
      <c r="F1375" s="3"/>
      <c r="G1375" s="3"/>
      <c r="H1375" s="3"/>
    </row>
    <row r="1376" spans="1:8" x14ac:dyDescent="0.35">
      <c r="A1376" s="3" t="s">
        <v>1010</v>
      </c>
      <c r="B1376" s="3" t="s">
        <v>20</v>
      </c>
      <c r="C1376" s="3" t="s">
        <v>1169</v>
      </c>
      <c r="D1376" s="3" t="s">
        <v>77</v>
      </c>
      <c r="E1376" s="3"/>
      <c r="F1376" s="3"/>
      <c r="G1376" s="3"/>
      <c r="H1376" s="3"/>
    </row>
    <row r="1377" spans="1:8" x14ac:dyDescent="0.35">
      <c r="A1377" s="3" t="s">
        <v>1010</v>
      </c>
      <c r="B1377" s="3" t="s">
        <v>20</v>
      </c>
      <c r="C1377" s="3" t="s">
        <v>1169</v>
      </c>
      <c r="D1377" s="3" t="s">
        <v>28</v>
      </c>
      <c r="E1377" s="3"/>
      <c r="F1377" s="3"/>
      <c r="G1377" s="3"/>
      <c r="H1377" s="3"/>
    </row>
    <row r="1378" spans="1:8" x14ac:dyDescent="0.35">
      <c r="A1378" s="3" t="s">
        <v>1010</v>
      </c>
      <c r="B1378" s="3" t="s">
        <v>20</v>
      </c>
      <c r="C1378" s="3" t="s">
        <v>1169</v>
      </c>
      <c r="D1378" s="3" t="s">
        <v>242</v>
      </c>
      <c r="E1378" s="3"/>
      <c r="F1378" s="3" t="s">
        <v>2474</v>
      </c>
      <c r="G1378" s="3"/>
      <c r="H1378" s="3"/>
    </row>
    <row r="1379" spans="1:8" x14ac:dyDescent="0.35">
      <c r="A1379" s="3" t="s">
        <v>1010</v>
      </c>
      <c r="B1379" s="3" t="s">
        <v>20</v>
      </c>
      <c r="C1379" s="3" t="s">
        <v>1169</v>
      </c>
      <c r="D1379" s="3" t="s">
        <v>15</v>
      </c>
      <c r="E1379" s="3" t="s">
        <v>16</v>
      </c>
      <c r="F1379" s="3" t="s">
        <v>1170</v>
      </c>
      <c r="G1379" s="3"/>
      <c r="H1379" s="3"/>
    </row>
    <row r="1380" spans="1:8" x14ac:dyDescent="0.35">
      <c r="A1380" s="3" t="s">
        <v>1010</v>
      </c>
      <c r="B1380" s="3" t="s">
        <v>20</v>
      </c>
      <c r="C1380" s="3" t="s">
        <v>1169</v>
      </c>
      <c r="D1380" s="3" t="s">
        <v>56</v>
      </c>
      <c r="E1380" s="3"/>
      <c r="F1380" s="3" t="s">
        <v>2394</v>
      </c>
      <c r="G1380" s="3"/>
      <c r="H1380" s="3"/>
    </row>
    <row r="1381" spans="1:8" x14ac:dyDescent="0.35">
      <c r="A1381" s="3" t="s">
        <v>1010</v>
      </c>
      <c r="B1381" s="3" t="s">
        <v>20</v>
      </c>
      <c r="C1381" s="3" t="s">
        <v>1169</v>
      </c>
      <c r="D1381" s="3" t="s">
        <v>89</v>
      </c>
      <c r="E1381" s="3"/>
      <c r="F1381" s="3" t="s">
        <v>2470</v>
      </c>
      <c r="G1381" s="3"/>
      <c r="H1381" s="3"/>
    </row>
    <row r="1382" spans="1:8" x14ac:dyDescent="0.35">
      <c r="A1382" s="3" t="s">
        <v>1010</v>
      </c>
      <c r="B1382" s="3" t="s">
        <v>20</v>
      </c>
      <c r="C1382" s="3" t="s">
        <v>1169</v>
      </c>
      <c r="D1382" s="3" t="s">
        <v>32</v>
      </c>
      <c r="E1382" s="3"/>
      <c r="F1382" s="3" t="s">
        <v>2471</v>
      </c>
      <c r="G1382" s="3"/>
      <c r="H1382" s="3"/>
    </row>
    <row r="1383" spans="1:8" x14ac:dyDescent="0.35">
      <c r="A1383" s="3" t="s">
        <v>1010</v>
      </c>
      <c r="B1383" s="3" t="s">
        <v>20</v>
      </c>
      <c r="C1383" s="3" t="s">
        <v>1169</v>
      </c>
      <c r="D1383" s="3" t="s">
        <v>29</v>
      </c>
      <c r="E1383" s="3"/>
      <c r="F1383" s="3"/>
      <c r="G1383" s="3"/>
      <c r="H1383" s="3"/>
    </row>
    <row r="1384" spans="1:8" x14ac:dyDescent="0.35">
      <c r="A1384" s="3" t="s">
        <v>1010</v>
      </c>
      <c r="B1384" s="3" t="s">
        <v>20</v>
      </c>
      <c r="C1384" s="3" t="s">
        <v>1169</v>
      </c>
      <c r="D1384" s="3" t="s">
        <v>152</v>
      </c>
      <c r="E1384" s="3"/>
      <c r="F1384" s="3"/>
      <c r="G1384" s="3"/>
      <c r="H1384" s="3"/>
    </row>
    <row r="1385" spans="1:8" x14ac:dyDescent="0.35">
      <c r="A1385" s="3" t="s">
        <v>1010</v>
      </c>
      <c r="B1385" s="3" t="s">
        <v>20</v>
      </c>
      <c r="C1385" s="3" t="s">
        <v>1169</v>
      </c>
      <c r="D1385" s="3" t="s">
        <v>62</v>
      </c>
      <c r="E1385" s="3"/>
      <c r="F1385" s="3"/>
      <c r="G1385" s="3"/>
      <c r="H1385" s="3"/>
    </row>
    <row r="1386" spans="1:8" x14ac:dyDescent="0.35">
      <c r="A1386" s="3" t="s">
        <v>1010</v>
      </c>
      <c r="B1386" s="3" t="s">
        <v>20</v>
      </c>
      <c r="C1386" s="3" t="s">
        <v>1169</v>
      </c>
      <c r="D1386" s="3" t="s">
        <v>134</v>
      </c>
      <c r="E1386" s="3"/>
      <c r="F1386" s="3"/>
      <c r="G1386" s="3"/>
      <c r="H1386" s="3"/>
    </row>
    <row r="1387" spans="1:8" x14ac:dyDescent="0.35">
      <c r="A1387" s="3" t="s">
        <v>1010</v>
      </c>
      <c r="B1387" s="3" t="s">
        <v>20</v>
      </c>
      <c r="C1387" s="3" t="s">
        <v>1169</v>
      </c>
      <c r="D1387" s="3" t="s">
        <v>191</v>
      </c>
      <c r="E1387" s="3"/>
      <c r="F1387" s="3" t="s">
        <v>2472</v>
      </c>
      <c r="G1387" s="3"/>
      <c r="H1387" s="3"/>
    </row>
    <row r="1388" spans="1:8" x14ac:dyDescent="0.35">
      <c r="A1388" s="3" t="s">
        <v>1010</v>
      </c>
      <c r="B1388" s="3" t="s">
        <v>20</v>
      </c>
      <c r="C1388" s="3" t="s">
        <v>1169</v>
      </c>
      <c r="D1388" s="3" t="s">
        <v>107</v>
      </c>
      <c r="E1388" s="3"/>
      <c r="F1388" s="3" t="s">
        <v>2973</v>
      </c>
      <c r="G1388" s="3"/>
      <c r="H1388" s="3"/>
    </row>
    <row r="1389" spans="1:8" x14ac:dyDescent="0.35">
      <c r="A1389" s="3" t="s">
        <v>1010</v>
      </c>
      <c r="B1389" s="3" t="s">
        <v>20</v>
      </c>
      <c r="C1389" s="3" t="s">
        <v>1169</v>
      </c>
      <c r="D1389" s="3" t="s">
        <v>372</v>
      </c>
      <c r="E1389" s="3"/>
      <c r="F1389" s="3" t="s">
        <v>2473</v>
      </c>
      <c r="G1389" s="3"/>
      <c r="H1389" s="3"/>
    </row>
    <row r="1390" spans="1:8" x14ac:dyDescent="0.35">
      <c r="A1390" s="3" t="s">
        <v>1010</v>
      </c>
      <c r="B1390" s="3" t="s">
        <v>20</v>
      </c>
      <c r="C1390" s="3" t="s">
        <v>1169</v>
      </c>
      <c r="D1390" s="3" t="s">
        <v>218</v>
      </c>
      <c r="E1390" s="3" t="s">
        <v>33</v>
      </c>
      <c r="F1390" s="3" t="s">
        <v>34</v>
      </c>
      <c r="G1390" s="3"/>
      <c r="H1390" s="3"/>
    </row>
    <row r="1391" spans="1:8" x14ac:dyDescent="0.35">
      <c r="A1391" s="3" t="s">
        <v>1010</v>
      </c>
      <c r="B1391" s="3" t="s">
        <v>20</v>
      </c>
      <c r="C1391" s="3" t="s">
        <v>1169</v>
      </c>
      <c r="D1391" s="3" t="s">
        <v>1049</v>
      </c>
      <c r="E1391" s="3"/>
      <c r="F1391" s="3"/>
      <c r="G1391" s="3"/>
      <c r="H1391" s="3"/>
    </row>
    <row r="1392" spans="1:8" x14ac:dyDescent="0.35">
      <c r="A1392" s="3" t="s">
        <v>1010</v>
      </c>
      <c r="B1392" s="3" t="s">
        <v>10</v>
      </c>
      <c r="C1392" s="3" t="s">
        <v>1171</v>
      </c>
      <c r="D1392" s="3" t="s">
        <v>47</v>
      </c>
      <c r="E1392" s="3"/>
      <c r="F1392" s="3"/>
      <c r="G1392" s="3"/>
      <c r="H1392" s="3"/>
    </row>
    <row r="1393" spans="1:8" x14ac:dyDescent="0.35">
      <c r="A1393" s="3" t="s">
        <v>1010</v>
      </c>
      <c r="B1393" s="3" t="s">
        <v>10</v>
      </c>
      <c r="C1393" s="3" t="s">
        <v>1171</v>
      </c>
      <c r="D1393" s="3" t="s">
        <v>28</v>
      </c>
      <c r="E1393" s="3"/>
      <c r="F1393" s="3" t="s">
        <v>2361</v>
      </c>
      <c r="G1393" s="3"/>
      <c r="H1393" s="3"/>
    </row>
    <row r="1394" spans="1:8" x14ac:dyDescent="0.35">
      <c r="A1394" s="3" t="s">
        <v>1010</v>
      </c>
      <c r="B1394" s="3" t="s">
        <v>10</v>
      </c>
      <c r="C1394" s="3" t="s">
        <v>1171</v>
      </c>
      <c r="D1394" s="3" t="s">
        <v>134</v>
      </c>
      <c r="E1394" s="3"/>
      <c r="F1394" s="3" t="s">
        <v>2423</v>
      </c>
      <c r="G1394" s="3"/>
      <c r="H1394" s="3"/>
    </row>
    <row r="1395" spans="1:8" x14ac:dyDescent="0.35">
      <c r="A1395" s="3" t="s">
        <v>1010</v>
      </c>
      <c r="B1395" s="3" t="s">
        <v>10</v>
      </c>
      <c r="C1395" s="3" t="s">
        <v>1172</v>
      </c>
      <c r="D1395" s="3" t="s">
        <v>12</v>
      </c>
      <c r="E1395" s="3"/>
      <c r="F1395" s="3"/>
      <c r="G1395" s="3"/>
      <c r="H1395" s="3"/>
    </row>
    <row r="1396" spans="1:8" x14ac:dyDescent="0.35">
      <c r="A1396" s="3" t="s">
        <v>1010</v>
      </c>
      <c r="B1396" s="3" t="s">
        <v>10</v>
      </c>
      <c r="C1396" s="3" t="s">
        <v>1172</v>
      </c>
      <c r="D1396" s="3" t="s">
        <v>77</v>
      </c>
      <c r="E1396" s="3" t="s">
        <v>33</v>
      </c>
      <c r="F1396" s="3" t="s">
        <v>34</v>
      </c>
      <c r="G1396" s="3"/>
      <c r="H1396" s="3"/>
    </row>
    <row r="1397" spans="1:8" x14ac:dyDescent="0.35">
      <c r="A1397" s="3" t="s">
        <v>1010</v>
      </c>
      <c r="B1397" s="3" t="s">
        <v>10</v>
      </c>
      <c r="C1397" s="3" t="s">
        <v>1172</v>
      </c>
      <c r="D1397" s="3" t="s">
        <v>15</v>
      </c>
      <c r="E1397" s="3"/>
      <c r="F1397" s="3"/>
      <c r="G1397" s="3"/>
      <c r="H1397" s="3"/>
    </row>
    <row r="1398" spans="1:8" x14ac:dyDescent="0.35">
      <c r="A1398" s="3" t="s">
        <v>1010</v>
      </c>
      <c r="B1398" s="3" t="s">
        <v>10</v>
      </c>
      <c r="C1398" s="3" t="s">
        <v>1172</v>
      </c>
      <c r="D1398" s="3" t="s">
        <v>56</v>
      </c>
      <c r="E1398" s="3"/>
      <c r="F1398" s="3"/>
      <c r="G1398" s="3"/>
      <c r="H1398" s="3"/>
    </row>
    <row r="1399" spans="1:8" x14ac:dyDescent="0.35">
      <c r="A1399" s="3" t="s">
        <v>1010</v>
      </c>
      <c r="B1399" s="3" t="s">
        <v>10</v>
      </c>
      <c r="C1399" s="3" t="s">
        <v>1172</v>
      </c>
      <c r="D1399" s="3" t="s">
        <v>152</v>
      </c>
      <c r="E1399" s="3" t="s">
        <v>33</v>
      </c>
      <c r="F1399" s="3" t="s">
        <v>34</v>
      </c>
      <c r="G1399" s="3"/>
      <c r="H1399" s="3"/>
    </row>
    <row r="1400" spans="1:8" x14ac:dyDescent="0.35">
      <c r="A1400" s="3" t="s">
        <v>1010</v>
      </c>
      <c r="B1400" s="3" t="s">
        <v>10</v>
      </c>
      <c r="C1400" s="3" t="s">
        <v>1172</v>
      </c>
      <c r="D1400" s="3" t="s">
        <v>218</v>
      </c>
      <c r="E1400" s="3" t="s">
        <v>33</v>
      </c>
      <c r="F1400" s="3" t="s">
        <v>34</v>
      </c>
      <c r="G1400" s="3"/>
      <c r="H1400" s="3"/>
    </row>
    <row r="1401" spans="1:8" x14ac:dyDescent="0.35">
      <c r="A1401" s="3" t="s">
        <v>1010</v>
      </c>
      <c r="B1401" s="3" t="s">
        <v>20</v>
      </c>
      <c r="C1401" s="3" t="s">
        <v>2839</v>
      </c>
      <c r="D1401" s="3" t="s">
        <v>71</v>
      </c>
      <c r="E1401" s="3"/>
      <c r="F1401" s="3"/>
      <c r="G1401" s="3"/>
      <c r="H1401" s="3"/>
    </row>
    <row r="1402" spans="1:8" x14ac:dyDescent="0.35">
      <c r="A1402" s="3" t="s">
        <v>1010</v>
      </c>
      <c r="B1402" s="3" t="s">
        <v>20</v>
      </c>
      <c r="C1402" s="3" t="s">
        <v>2839</v>
      </c>
      <c r="D1402" s="3" t="s">
        <v>28</v>
      </c>
      <c r="E1402" s="3"/>
      <c r="F1402" s="3"/>
      <c r="G1402" s="3"/>
      <c r="H1402" s="3"/>
    </row>
    <row r="1403" spans="1:8" x14ac:dyDescent="0.35">
      <c r="A1403" s="3" t="s">
        <v>1010</v>
      </c>
      <c r="B1403" s="3" t="s">
        <v>20</v>
      </c>
      <c r="C1403" s="3" t="s">
        <v>2839</v>
      </c>
      <c r="D1403" s="3" t="s">
        <v>56</v>
      </c>
      <c r="E1403" s="3" t="s">
        <v>16</v>
      </c>
      <c r="F1403" s="3" t="s">
        <v>2840</v>
      </c>
      <c r="G1403" s="3"/>
      <c r="H1403" s="3"/>
    </row>
    <row r="1404" spans="1:8" x14ac:dyDescent="0.35">
      <c r="A1404" s="3" t="s">
        <v>1010</v>
      </c>
      <c r="B1404" s="3" t="s">
        <v>20</v>
      </c>
      <c r="C1404" s="3" t="s">
        <v>2839</v>
      </c>
      <c r="D1404" s="3" t="s">
        <v>29</v>
      </c>
      <c r="E1404" s="3"/>
      <c r="F1404" s="5"/>
      <c r="G1404" s="3"/>
      <c r="H1404" s="3"/>
    </row>
    <row r="1405" spans="1:8" x14ac:dyDescent="0.35">
      <c r="A1405" s="3" t="s">
        <v>1010</v>
      </c>
      <c r="B1405" s="3" t="s">
        <v>20</v>
      </c>
      <c r="C1405" s="3" t="s">
        <v>2839</v>
      </c>
      <c r="D1405" s="3" t="s">
        <v>134</v>
      </c>
      <c r="E1405" s="3"/>
      <c r="F1405" s="3"/>
      <c r="G1405" s="3"/>
      <c r="H1405" s="3"/>
    </row>
    <row r="1406" spans="1:8" x14ac:dyDescent="0.35">
      <c r="A1406" s="3" t="s">
        <v>1010</v>
      </c>
      <c r="B1406" s="3" t="s">
        <v>20</v>
      </c>
      <c r="C1406" s="3" t="s">
        <v>2839</v>
      </c>
      <c r="D1406" s="3" t="s">
        <v>1049</v>
      </c>
      <c r="E1406" s="3"/>
      <c r="F1406" s="3"/>
      <c r="G1406" s="3"/>
      <c r="H1406" s="3"/>
    </row>
    <row r="1407" spans="1:8" x14ac:dyDescent="0.35">
      <c r="A1407" s="3" t="s">
        <v>1010</v>
      </c>
      <c r="B1407" s="3" t="s">
        <v>45</v>
      </c>
      <c r="C1407" s="3" t="s">
        <v>2569</v>
      </c>
      <c r="D1407" s="3" t="s">
        <v>217</v>
      </c>
      <c r="E1407" s="3"/>
      <c r="F1407" s="3"/>
      <c r="G1407" s="3"/>
      <c r="H1407" s="3"/>
    </row>
    <row r="1408" spans="1:8" x14ac:dyDescent="0.35">
      <c r="A1408" s="3" t="s">
        <v>1010</v>
      </c>
      <c r="B1408" s="3" t="s">
        <v>45</v>
      </c>
      <c r="C1408" s="3" t="s">
        <v>1173</v>
      </c>
      <c r="D1408" s="3" t="s">
        <v>166</v>
      </c>
      <c r="E1408" s="3"/>
      <c r="F1408" s="3"/>
      <c r="G1408" s="3"/>
      <c r="H1408" s="3"/>
    </row>
    <row r="1409" spans="1:8" x14ac:dyDescent="0.35">
      <c r="A1409" s="3" t="s">
        <v>1010</v>
      </c>
      <c r="B1409" s="3" t="s">
        <v>45</v>
      </c>
      <c r="C1409" s="3" t="s">
        <v>1173</v>
      </c>
      <c r="D1409" s="3" t="s">
        <v>217</v>
      </c>
      <c r="E1409" s="3"/>
      <c r="F1409" s="3"/>
      <c r="G1409" s="3"/>
      <c r="H1409" s="3"/>
    </row>
    <row r="1410" spans="1:8" x14ac:dyDescent="0.35">
      <c r="A1410" s="3" t="s">
        <v>1010</v>
      </c>
      <c r="B1410" s="3" t="s">
        <v>45</v>
      </c>
      <c r="C1410" s="3" t="s">
        <v>1173</v>
      </c>
      <c r="D1410" s="3" t="s">
        <v>1016</v>
      </c>
      <c r="E1410" s="3"/>
      <c r="F1410" s="3"/>
      <c r="G1410" s="3"/>
      <c r="H1410" s="3"/>
    </row>
    <row r="1411" spans="1:8" x14ac:dyDescent="0.35">
      <c r="A1411" s="3" t="s">
        <v>1010</v>
      </c>
      <c r="B1411" s="3" t="s">
        <v>45</v>
      </c>
      <c r="C1411" s="3" t="s">
        <v>1173</v>
      </c>
      <c r="D1411" s="3" t="s">
        <v>225</v>
      </c>
      <c r="E1411" s="3"/>
      <c r="F1411" s="3"/>
      <c r="G1411" s="3"/>
      <c r="H1411" s="3"/>
    </row>
    <row r="1412" spans="1:8" x14ac:dyDescent="0.35">
      <c r="A1412" s="3" t="s">
        <v>1010</v>
      </c>
      <c r="B1412" s="3" t="s">
        <v>45</v>
      </c>
      <c r="C1412" s="3" t="s">
        <v>1173</v>
      </c>
      <c r="D1412" s="3" t="s">
        <v>221</v>
      </c>
      <c r="E1412" s="3"/>
      <c r="F1412" s="3"/>
      <c r="G1412" s="3"/>
      <c r="H1412" s="3"/>
    </row>
    <row r="1413" spans="1:8" x14ac:dyDescent="0.35">
      <c r="A1413" s="3" t="s">
        <v>1010</v>
      </c>
      <c r="B1413" s="3" t="s">
        <v>45</v>
      </c>
      <c r="C1413" s="3" t="s">
        <v>1173</v>
      </c>
      <c r="D1413" s="3" t="s">
        <v>222</v>
      </c>
      <c r="E1413" s="3"/>
      <c r="F1413" s="3"/>
      <c r="G1413" s="3"/>
      <c r="H1413" s="3"/>
    </row>
    <row r="1414" spans="1:8" x14ac:dyDescent="0.35">
      <c r="A1414" s="3" t="s">
        <v>1010</v>
      </c>
      <c r="B1414" s="3" t="s">
        <v>45</v>
      </c>
      <c r="C1414" s="3" t="s">
        <v>1173</v>
      </c>
      <c r="D1414" s="3" t="s">
        <v>223</v>
      </c>
      <c r="E1414" s="3"/>
      <c r="F1414" s="3"/>
      <c r="G1414" s="3"/>
      <c r="H1414" s="3"/>
    </row>
    <row r="1415" spans="1:8" x14ac:dyDescent="0.35">
      <c r="A1415" s="3" t="s">
        <v>1010</v>
      </c>
      <c r="B1415" s="3" t="s">
        <v>45</v>
      </c>
      <c r="C1415" s="3" t="s">
        <v>1173</v>
      </c>
      <c r="D1415" s="3" t="s">
        <v>226</v>
      </c>
      <c r="E1415" s="3"/>
      <c r="F1415" s="3"/>
      <c r="G1415" s="3"/>
      <c r="H1415" s="3"/>
    </row>
    <row r="1416" spans="1:8" x14ac:dyDescent="0.35">
      <c r="A1416" s="3" t="s">
        <v>1010</v>
      </c>
      <c r="B1416" s="3" t="s">
        <v>45</v>
      </c>
      <c r="C1416" s="3" t="s">
        <v>1173</v>
      </c>
      <c r="D1416" s="3" t="s">
        <v>227</v>
      </c>
      <c r="E1416" s="3"/>
      <c r="F1416" s="3"/>
      <c r="G1416" s="3"/>
      <c r="H1416" s="3"/>
    </row>
    <row r="1417" spans="1:8" x14ac:dyDescent="0.35">
      <c r="A1417" s="3" t="s">
        <v>1010</v>
      </c>
      <c r="B1417" s="3" t="s">
        <v>45</v>
      </c>
      <c r="C1417" s="3" t="s">
        <v>1173</v>
      </c>
      <c r="D1417" s="3" t="s">
        <v>228</v>
      </c>
      <c r="E1417" s="3"/>
      <c r="F1417" s="3"/>
      <c r="G1417" s="3"/>
      <c r="H1417" s="3"/>
    </row>
    <row r="1418" spans="1:8" x14ac:dyDescent="0.35">
      <c r="A1418" s="3" t="s">
        <v>1010</v>
      </c>
      <c r="B1418" s="3" t="s">
        <v>45</v>
      </c>
      <c r="C1418" s="3" t="s">
        <v>1173</v>
      </c>
      <c r="D1418" s="3" t="s">
        <v>229</v>
      </c>
      <c r="E1418" s="3"/>
      <c r="F1418" s="3"/>
      <c r="G1418" s="3"/>
      <c r="H1418" s="3"/>
    </row>
    <row r="1419" spans="1:8" x14ac:dyDescent="0.35">
      <c r="A1419" s="3" t="s">
        <v>1010</v>
      </c>
      <c r="B1419" s="3" t="s">
        <v>45</v>
      </c>
      <c r="C1419" s="3" t="s">
        <v>1173</v>
      </c>
      <c r="D1419" s="3" t="s">
        <v>230</v>
      </c>
      <c r="E1419" s="3"/>
      <c r="F1419" s="3"/>
      <c r="G1419" s="3"/>
      <c r="H1419" s="3"/>
    </row>
    <row r="1420" spans="1:8" x14ac:dyDescent="0.35">
      <c r="A1420" s="3" t="s">
        <v>1010</v>
      </c>
      <c r="B1420" s="3" t="s">
        <v>45</v>
      </c>
      <c r="C1420" s="3" t="s">
        <v>1173</v>
      </c>
      <c r="D1420" s="3" t="s">
        <v>219</v>
      </c>
      <c r="E1420" s="3"/>
      <c r="F1420" s="3"/>
      <c r="G1420" s="3"/>
      <c r="H1420" s="3"/>
    </row>
    <row r="1421" spans="1:8" x14ac:dyDescent="0.35">
      <c r="A1421" s="3" t="s">
        <v>1010</v>
      </c>
      <c r="B1421" s="3" t="s">
        <v>45</v>
      </c>
      <c r="C1421" s="3" t="s">
        <v>1173</v>
      </c>
      <c r="D1421" s="3" t="s">
        <v>218</v>
      </c>
      <c r="E1421" s="3"/>
      <c r="F1421" s="3"/>
      <c r="G1421" s="3"/>
      <c r="H1421" s="3"/>
    </row>
    <row r="1422" spans="1:8" x14ac:dyDescent="0.35">
      <c r="A1422" s="3" t="s">
        <v>1010</v>
      </c>
      <c r="B1422" s="3" t="s">
        <v>45</v>
      </c>
      <c r="C1422" s="3" t="s">
        <v>1173</v>
      </c>
      <c r="D1422" s="3" t="s">
        <v>224</v>
      </c>
      <c r="E1422" s="3"/>
      <c r="F1422" s="3"/>
      <c r="G1422" s="3"/>
      <c r="H1422" s="3"/>
    </row>
    <row r="1423" spans="1:8" x14ac:dyDescent="0.35">
      <c r="A1423" s="3" t="s">
        <v>1010</v>
      </c>
      <c r="B1423" s="3" t="s">
        <v>45</v>
      </c>
      <c r="C1423" s="3" t="s">
        <v>1174</v>
      </c>
      <c r="D1423" s="3" t="s">
        <v>217</v>
      </c>
      <c r="E1423" s="3"/>
      <c r="F1423" s="3" t="s">
        <v>2286</v>
      </c>
      <c r="G1423" s="3"/>
      <c r="H1423" s="3"/>
    </row>
    <row r="1424" spans="1:8" x14ac:dyDescent="0.35">
      <c r="A1424" s="3" t="s">
        <v>1010</v>
      </c>
      <c r="B1424" s="3" t="s">
        <v>45</v>
      </c>
      <c r="C1424" s="3" t="s">
        <v>1174</v>
      </c>
      <c r="D1424" s="3" t="s">
        <v>56</v>
      </c>
      <c r="E1424" s="3"/>
      <c r="F1424" s="3"/>
      <c r="G1424" s="3"/>
      <c r="H1424" s="3"/>
    </row>
    <row r="1425" spans="1:8" x14ac:dyDescent="0.35">
      <c r="A1425" s="3" t="s">
        <v>1010</v>
      </c>
      <c r="B1425" s="3" t="s">
        <v>45</v>
      </c>
      <c r="C1425" s="3" t="s">
        <v>1174</v>
      </c>
      <c r="D1425" s="3" t="s">
        <v>224</v>
      </c>
      <c r="E1425" s="3"/>
      <c r="F1425" s="3"/>
      <c r="G1425" s="3"/>
      <c r="H1425" s="3"/>
    </row>
    <row r="1426" spans="1:8" x14ac:dyDescent="0.35">
      <c r="A1426" s="3" t="s">
        <v>1010</v>
      </c>
      <c r="B1426" s="3" t="s">
        <v>591</v>
      </c>
      <c r="C1426" s="3" t="s">
        <v>3015</v>
      </c>
      <c r="D1426" s="3" t="s">
        <v>26</v>
      </c>
      <c r="E1426" s="3" t="s">
        <v>16</v>
      </c>
      <c r="F1426" s="3" t="s">
        <v>2871</v>
      </c>
      <c r="G1426" s="3"/>
      <c r="H1426" s="3"/>
    </row>
    <row r="1427" spans="1:8" x14ac:dyDescent="0.35">
      <c r="A1427" s="3" t="s">
        <v>1010</v>
      </c>
      <c r="B1427" s="3" t="s">
        <v>45</v>
      </c>
      <c r="C1427" s="3" t="s">
        <v>1175</v>
      </c>
      <c r="D1427" s="3" t="s">
        <v>217</v>
      </c>
      <c r="E1427" s="3" t="s">
        <v>16</v>
      </c>
      <c r="F1427" s="3" t="s">
        <v>2906</v>
      </c>
      <c r="G1427" s="3"/>
      <c r="H1427" s="3"/>
    </row>
    <row r="1428" spans="1:8" x14ac:dyDescent="0.35">
      <c r="A1428" s="3" t="s">
        <v>1010</v>
      </c>
      <c r="B1428" s="3" t="s">
        <v>45</v>
      </c>
      <c r="C1428" s="3" t="s">
        <v>1175</v>
      </c>
      <c r="D1428" s="3" t="s">
        <v>56</v>
      </c>
      <c r="E1428" s="3"/>
      <c r="F1428" s="3"/>
      <c r="G1428" s="3"/>
      <c r="H1428" s="3"/>
    </row>
    <row r="1429" spans="1:8" x14ac:dyDescent="0.35">
      <c r="A1429" s="3" t="s">
        <v>1010</v>
      </c>
      <c r="B1429" s="3" t="s">
        <v>20</v>
      </c>
      <c r="C1429" s="3" t="s">
        <v>2807</v>
      </c>
      <c r="D1429" s="3" t="s">
        <v>56</v>
      </c>
      <c r="E1429" s="3"/>
      <c r="F1429" s="3" t="s">
        <v>2808</v>
      </c>
      <c r="G1429" s="3"/>
      <c r="H1429" s="3"/>
    </row>
    <row r="1430" spans="1:8" x14ac:dyDescent="0.35">
      <c r="A1430" s="3" t="s">
        <v>1010</v>
      </c>
      <c r="B1430" s="3" t="s">
        <v>591</v>
      </c>
      <c r="C1430" s="3" t="s">
        <v>1176</v>
      </c>
      <c r="D1430" s="3" t="s">
        <v>26</v>
      </c>
      <c r="E1430" s="3" t="s">
        <v>16</v>
      </c>
      <c r="F1430" s="3" t="s">
        <v>2871</v>
      </c>
      <c r="G1430" s="3"/>
      <c r="H1430" s="3"/>
    </row>
    <row r="1431" spans="1:8" x14ac:dyDescent="0.35">
      <c r="A1431" s="3" t="s">
        <v>1010</v>
      </c>
      <c r="B1431" s="3" t="s">
        <v>20</v>
      </c>
      <c r="C1431" s="3" t="s">
        <v>1177</v>
      </c>
      <c r="D1431" s="3" t="s">
        <v>1018</v>
      </c>
      <c r="E1431" s="3"/>
      <c r="F1431" s="3"/>
      <c r="G1431" s="3"/>
      <c r="H1431" s="3"/>
    </row>
    <row r="1432" spans="1:8" x14ac:dyDescent="0.35">
      <c r="A1432" s="3" t="s">
        <v>1010</v>
      </c>
      <c r="B1432" s="3" t="s">
        <v>20</v>
      </c>
      <c r="C1432" s="3" t="s">
        <v>1177</v>
      </c>
      <c r="D1432" s="3" t="s">
        <v>27</v>
      </c>
      <c r="E1432" s="3"/>
      <c r="F1432" s="3"/>
      <c r="G1432" s="3"/>
      <c r="H1432" s="3"/>
    </row>
    <row r="1433" spans="1:8" x14ac:dyDescent="0.35">
      <c r="A1433" s="3" t="s">
        <v>1010</v>
      </c>
      <c r="B1433" s="3" t="s">
        <v>20</v>
      </c>
      <c r="C1433" s="3" t="s">
        <v>1177</v>
      </c>
      <c r="D1433" s="3" t="s">
        <v>77</v>
      </c>
      <c r="E1433" s="3"/>
      <c r="F1433" s="3"/>
      <c r="G1433" s="3"/>
      <c r="H1433" s="3"/>
    </row>
    <row r="1434" spans="1:8" x14ac:dyDescent="0.35">
      <c r="A1434" s="3" t="s">
        <v>1010</v>
      </c>
      <c r="B1434" s="3" t="s">
        <v>20</v>
      </c>
      <c r="C1434" s="3" t="s">
        <v>1177</v>
      </c>
      <c r="D1434" s="3" t="s">
        <v>152</v>
      </c>
      <c r="E1434" s="3"/>
      <c r="F1434" s="3"/>
      <c r="G1434" s="3"/>
      <c r="H1434" s="3"/>
    </row>
    <row r="1435" spans="1:8" x14ac:dyDescent="0.35">
      <c r="A1435" s="3" t="s">
        <v>1010</v>
      </c>
      <c r="B1435" s="3" t="s">
        <v>20</v>
      </c>
      <c r="C1435" s="3" t="s">
        <v>1177</v>
      </c>
      <c r="D1435" s="3" t="s">
        <v>968</v>
      </c>
      <c r="E1435" s="3"/>
      <c r="F1435" s="3"/>
      <c r="G1435" s="3"/>
      <c r="H1435" s="3"/>
    </row>
    <row r="1436" spans="1:8" x14ac:dyDescent="0.35">
      <c r="A1436" s="3" t="s">
        <v>1010</v>
      </c>
      <c r="B1436" s="3" t="s">
        <v>45</v>
      </c>
      <c r="C1436" s="3" t="s">
        <v>1178</v>
      </c>
      <c r="D1436" s="3" t="s">
        <v>47</v>
      </c>
      <c r="E1436" s="3"/>
      <c r="F1436" s="3"/>
      <c r="G1436" s="3"/>
      <c r="H1436" s="3"/>
    </row>
    <row r="1437" spans="1:8" x14ac:dyDescent="0.35">
      <c r="A1437" s="3" t="s">
        <v>1010</v>
      </c>
      <c r="B1437" s="3" t="s">
        <v>45</v>
      </c>
      <c r="C1437" s="3" t="s">
        <v>1178</v>
      </c>
      <c r="D1437" s="3" t="s">
        <v>1179</v>
      </c>
      <c r="E1437" s="3"/>
      <c r="F1437" s="3"/>
      <c r="G1437" s="3"/>
      <c r="H1437" s="3"/>
    </row>
    <row r="1438" spans="1:8" x14ac:dyDescent="0.35">
      <c r="A1438" s="3" t="s">
        <v>1010</v>
      </c>
      <c r="B1438" s="3" t="s">
        <v>45</v>
      </c>
      <c r="C1438" s="3" t="s">
        <v>1180</v>
      </c>
      <c r="D1438" s="3" t="s">
        <v>217</v>
      </c>
      <c r="E1438" s="3"/>
      <c r="F1438" s="3" t="s">
        <v>2286</v>
      </c>
      <c r="G1438" s="3"/>
      <c r="H1438" s="3"/>
    </row>
    <row r="1439" spans="1:8" x14ac:dyDescent="0.35">
      <c r="A1439" s="3" t="s">
        <v>1010</v>
      </c>
      <c r="B1439" s="3" t="s">
        <v>45</v>
      </c>
      <c r="C1439" s="3" t="s">
        <v>1180</v>
      </c>
      <c r="D1439" s="3" t="s">
        <v>71</v>
      </c>
      <c r="E1439" s="3"/>
      <c r="F1439" s="3"/>
      <c r="G1439" s="3"/>
      <c r="H1439" s="3"/>
    </row>
    <row r="1440" spans="1:8" x14ac:dyDescent="0.35">
      <c r="A1440" s="3" t="s">
        <v>1010</v>
      </c>
      <c r="B1440" s="3" t="s">
        <v>45</v>
      </c>
      <c r="C1440" s="3" t="s">
        <v>1180</v>
      </c>
      <c r="D1440" s="3" t="s">
        <v>56</v>
      </c>
      <c r="E1440" s="3"/>
      <c r="F1440" s="3"/>
      <c r="G1440" s="3"/>
      <c r="H1440" s="3"/>
    </row>
    <row r="1441" spans="1:8" x14ac:dyDescent="0.35">
      <c r="A1441" s="3" t="s">
        <v>1010</v>
      </c>
      <c r="B1441" s="3" t="s">
        <v>45</v>
      </c>
      <c r="C1441" s="3" t="s">
        <v>1180</v>
      </c>
      <c r="D1441" s="3" t="s">
        <v>224</v>
      </c>
      <c r="E1441" s="3"/>
      <c r="F1441" s="3"/>
      <c r="G1441" s="3"/>
      <c r="H1441" s="3"/>
    </row>
    <row r="1442" spans="1:8" x14ac:dyDescent="0.35">
      <c r="A1442" s="3" t="s">
        <v>1010</v>
      </c>
      <c r="B1442" s="3" t="s">
        <v>45</v>
      </c>
      <c r="C1442" s="3" t="s">
        <v>1181</v>
      </c>
      <c r="D1442" s="3" t="s">
        <v>217</v>
      </c>
      <c r="E1442" s="3"/>
      <c r="F1442" s="3" t="s">
        <v>2286</v>
      </c>
      <c r="G1442" s="3"/>
      <c r="H1442" s="3"/>
    </row>
    <row r="1443" spans="1:8" x14ac:dyDescent="0.35">
      <c r="A1443" s="3" t="s">
        <v>1010</v>
      </c>
      <c r="B1443" s="3" t="s">
        <v>45</v>
      </c>
      <c r="C1443" s="3" t="s">
        <v>1181</v>
      </c>
      <c r="D1443" s="3" t="s">
        <v>56</v>
      </c>
      <c r="E1443" s="3"/>
      <c r="F1443" s="3"/>
      <c r="G1443" s="3"/>
      <c r="H1443" s="3"/>
    </row>
    <row r="1444" spans="1:8" x14ac:dyDescent="0.35">
      <c r="A1444" s="3" t="s">
        <v>1010</v>
      </c>
      <c r="B1444" s="3" t="s">
        <v>45</v>
      </c>
      <c r="C1444" s="3" t="s">
        <v>1181</v>
      </c>
      <c r="D1444" s="3" t="s">
        <v>224</v>
      </c>
      <c r="E1444" s="3"/>
      <c r="F1444" s="3"/>
      <c r="G1444" s="3"/>
      <c r="H1444" s="3"/>
    </row>
    <row r="1445" spans="1:8" x14ac:dyDescent="0.35">
      <c r="A1445" s="3" t="s">
        <v>1010</v>
      </c>
      <c r="B1445" s="3" t="s">
        <v>45</v>
      </c>
      <c r="C1445" s="3" t="s">
        <v>1182</v>
      </c>
      <c r="D1445" s="3" t="s">
        <v>217</v>
      </c>
      <c r="E1445" s="3"/>
      <c r="F1445" s="3" t="s">
        <v>2286</v>
      </c>
      <c r="G1445" s="3"/>
      <c r="H1445" s="3"/>
    </row>
    <row r="1446" spans="1:8" x14ac:dyDescent="0.35">
      <c r="A1446" s="3" t="s">
        <v>1010</v>
      </c>
      <c r="B1446" s="3" t="s">
        <v>45</v>
      </c>
      <c r="C1446" s="3" t="s">
        <v>1182</v>
      </c>
      <c r="D1446" s="3" t="s">
        <v>56</v>
      </c>
      <c r="E1446" s="3"/>
      <c r="F1446" s="3"/>
      <c r="G1446" s="3"/>
      <c r="H1446" s="3"/>
    </row>
    <row r="1447" spans="1:8" x14ac:dyDescent="0.35">
      <c r="A1447" s="3" t="s">
        <v>1010</v>
      </c>
      <c r="B1447" s="3" t="s">
        <v>45</v>
      </c>
      <c r="C1447" s="3" t="s">
        <v>1182</v>
      </c>
      <c r="D1447" s="3" t="s">
        <v>224</v>
      </c>
      <c r="E1447" s="3"/>
      <c r="F1447" s="3"/>
      <c r="G1447" s="3"/>
      <c r="H1447" s="3"/>
    </row>
    <row r="1448" spans="1:8" x14ac:dyDescent="0.35">
      <c r="A1448" s="3" t="s">
        <v>1010</v>
      </c>
      <c r="B1448" s="3" t="s">
        <v>10</v>
      </c>
      <c r="C1448" s="3" t="s">
        <v>1183</v>
      </c>
      <c r="D1448" s="3" t="s">
        <v>56</v>
      </c>
      <c r="E1448" s="3"/>
      <c r="F1448" s="3"/>
      <c r="G1448" s="3"/>
      <c r="H1448" s="3"/>
    </row>
    <row r="1449" spans="1:8" x14ac:dyDescent="0.35">
      <c r="A1449" s="3" t="s">
        <v>1010</v>
      </c>
      <c r="B1449" s="3" t="s">
        <v>10</v>
      </c>
      <c r="C1449" s="3" t="s">
        <v>1183</v>
      </c>
      <c r="D1449" s="3" t="s">
        <v>134</v>
      </c>
      <c r="E1449" s="3"/>
      <c r="F1449" s="3" t="s">
        <v>2423</v>
      </c>
      <c r="G1449" s="3"/>
      <c r="H1449" s="3"/>
    </row>
    <row r="1450" spans="1:8" x14ac:dyDescent="0.35">
      <c r="A1450" s="3" t="s">
        <v>1010</v>
      </c>
      <c r="B1450" s="3" t="s">
        <v>45</v>
      </c>
      <c r="C1450" s="3" t="s">
        <v>1184</v>
      </c>
      <c r="D1450" s="3" t="s">
        <v>217</v>
      </c>
      <c r="E1450" s="3" t="s">
        <v>33</v>
      </c>
      <c r="F1450" s="3" t="s">
        <v>487</v>
      </c>
      <c r="G1450" s="3"/>
      <c r="H1450" s="3"/>
    </row>
    <row r="1451" spans="1:8" x14ac:dyDescent="0.35">
      <c r="A1451" s="3" t="s">
        <v>1010</v>
      </c>
      <c r="B1451" s="3" t="s">
        <v>45</v>
      </c>
      <c r="C1451" s="3" t="s">
        <v>1184</v>
      </c>
      <c r="D1451" s="3" t="s">
        <v>28</v>
      </c>
      <c r="E1451" s="3" t="s">
        <v>33</v>
      </c>
      <c r="F1451" s="3" t="s">
        <v>487</v>
      </c>
      <c r="G1451" s="3"/>
      <c r="H1451" s="3"/>
    </row>
    <row r="1452" spans="1:8" x14ac:dyDescent="0.35">
      <c r="A1452" s="3" t="s">
        <v>1010</v>
      </c>
      <c r="B1452" s="3" t="s">
        <v>45</v>
      </c>
      <c r="C1452" s="3" t="s">
        <v>1184</v>
      </c>
      <c r="D1452" s="3" t="s">
        <v>56</v>
      </c>
      <c r="E1452" s="3" t="s">
        <v>33</v>
      </c>
      <c r="F1452" s="3" t="s">
        <v>487</v>
      </c>
      <c r="G1452" s="3"/>
      <c r="H1452" s="3"/>
    </row>
    <row r="1453" spans="1:8" x14ac:dyDescent="0.35">
      <c r="A1453" s="3" t="s">
        <v>1010</v>
      </c>
      <c r="B1453" s="3" t="s">
        <v>45</v>
      </c>
      <c r="C1453" s="3" t="s">
        <v>1184</v>
      </c>
      <c r="D1453" s="3" t="s">
        <v>224</v>
      </c>
      <c r="E1453" s="3" t="s">
        <v>33</v>
      </c>
      <c r="F1453" s="3" t="s">
        <v>487</v>
      </c>
      <c r="G1453" s="3"/>
      <c r="H1453" s="3"/>
    </row>
    <row r="1454" spans="1:8" x14ac:dyDescent="0.35">
      <c r="A1454" s="3" t="s">
        <v>1010</v>
      </c>
      <c r="B1454" s="3" t="s">
        <v>20</v>
      </c>
      <c r="C1454" s="3" t="s">
        <v>2907</v>
      </c>
      <c r="D1454" s="3" t="s">
        <v>15</v>
      </c>
      <c r="E1454" s="3" t="s">
        <v>16</v>
      </c>
      <c r="F1454" s="3" t="s">
        <v>2908</v>
      </c>
      <c r="G1454" s="3"/>
      <c r="H1454" s="3"/>
    </row>
    <row r="1455" spans="1:8" x14ac:dyDescent="0.35">
      <c r="A1455" s="3" t="s">
        <v>1010</v>
      </c>
      <c r="B1455" s="3" t="s">
        <v>20</v>
      </c>
      <c r="C1455" s="3" t="s">
        <v>2907</v>
      </c>
      <c r="D1455" s="3" t="s">
        <v>56</v>
      </c>
      <c r="E1455" s="3" t="s">
        <v>16</v>
      </c>
      <c r="F1455" s="3" t="s">
        <v>2909</v>
      </c>
      <c r="G1455" s="3"/>
      <c r="H1455" s="3"/>
    </row>
    <row r="1456" spans="1:8" x14ac:dyDescent="0.35">
      <c r="A1456" s="3" t="s">
        <v>1010</v>
      </c>
      <c r="B1456" s="3" t="s">
        <v>20</v>
      </c>
      <c r="C1456" s="3" t="s">
        <v>2907</v>
      </c>
      <c r="D1456" s="3" t="s">
        <v>191</v>
      </c>
      <c r="E1456" s="3" t="s">
        <v>16</v>
      </c>
      <c r="F1456" s="3" t="s">
        <v>2910</v>
      </c>
      <c r="G1456" s="3"/>
      <c r="H1456" s="3"/>
    </row>
    <row r="1457" spans="1:8" x14ac:dyDescent="0.35">
      <c r="A1457" s="2"/>
      <c r="B1457" s="2"/>
      <c r="C1457" s="2"/>
      <c r="D1457" s="2"/>
      <c r="E1457" s="2"/>
      <c r="F1457" s="2"/>
      <c r="G1457" s="2"/>
      <c r="H1457" s="2"/>
    </row>
    <row r="1458" spans="1:8" x14ac:dyDescent="0.35">
      <c r="A1458" s="2"/>
      <c r="B1458" s="2"/>
      <c r="C1458" s="2"/>
      <c r="D1458" s="2"/>
      <c r="E1458" s="2"/>
      <c r="F1458" s="2"/>
      <c r="G1458" s="2"/>
      <c r="H1458" s="2"/>
    </row>
    <row r="1459" spans="1:8" x14ac:dyDescent="0.35">
      <c r="A1459" s="2"/>
      <c r="B1459" s="2"/>
      <c r="C1459" s="2"/>
      <c r="D1459" s="2"/>
      <c r="E1459" s="2"/>
      <c r="F1459" s="2"/>
      <c r="G1459" s="2"/>
      <c r="H1459" s="2"/>
    </row>
    <row r="1460" spans="1:8" x14ac:dyDescent="0.35">
      <c r="A1460" s="2"/>
      <c r="B1460" s="2"/>
      <c r="C1460" s="2"/>
      <c r="D1460" s="2"/>
      <c r="E1460" s="2"/>
      <c r="F1460" s="2"/>
      <c r="G1460" s="2"/>
      <c r="H1460" s="2"/>
    </row>
    <row r="1461" spans="1:8" x14ac:dyDescent="0.35">
      <c r="A1461" s="2"/>
      <c r="B1461" s="2"/>
      <c r="C1461" s="2"/>
      <c r="D1461" s="2"/>
      <c r="E1461" s="2"/>
      <c r="F1461" s="2"/>
      <c r="G1461" s="2"/>
      <c r="H1461" s="2"/>
    </row>
    <row r="1462" spans="1:8" x14ac:dyDescent="0.35">
      <c r="A1462" s="2"/>
      <c r="B1462" s="2"/>
      <c r="C1462" s="2"/>
      <c r="D1462" s="2"/>
      <c r="E1462" s="2"/>
      <c r="F1462" s="2"/>
      <c r="G1462" s="2"/>
      <c r="H1462" s="2"/>
    </row>
    <row r="1463" spans="1:8" x14ac:dyDescent="0.35">
      <c r="A1463" s="2"/>
      <c r="B1463" s="2"/>
      <c r="C1463" s="2"/>
      <c r="D1463" s="2"/>
      <c r="E1463" s="2"/>
      <c r="F1463" s="2"/>
      <c r="G1463" s="2"/>
      <c r="H1463" s="2"/>
    </row>
    <row r="1464" spans="1:8" x14ac:dyDescent="0.35">
      <c r="A1464" s="2"/>
      <c r="B1464" s="2"/>
      <c r="C1464" s="2"/>
      <c r="D1464" s="2"/>
      <c r="E1464" s="2"/>
      <c r="F1464" s="2"/>
      <c r="G1464" s="2"/>
      <c r="H1464" s="2"/>
    </row>
    <row r="1465" spans="1:8" x14ac:dyDescent="0.35">
      <c r="A1465" s="2"/>
      <c r="B1465" s="2"/>
      <c r="C1465" s="2"/>
      <c r="D1465" s="2"/>
      <c r="E1465" s="2"/>
      <c r="F1465" s="2"/>
      <c r="G1465" s="2"/>
      <c r="H1465" s="2"/>
    </row>
    <row r="1466" spans="1:8" x14ac:dyDescent="0.35">
      <c r="A1466" s="2"/>
      <c r="B1466" s="2"/>
      <c r="C1466" s="2"/>
      <c r="D1466" s="2"/>
      <c r="E1466" s="2"/>
      <c r="F1466" s="2"/>
      <c r="G1466" s="2"/>
      <c r="H1466" s="2"/>
    </row>
    <row r="1467" spans="1:8" x14ac:dyDescent="0.35">
      <c r="A1467" s="2"/>
      <c r="B1467" s="2"/>
      <c r="C1467" s="2"/>
      <c r="D1467" s="2"/>
      <c r="E1467" s="2"/>
      <c r="F1467" s="2"/>
      <c r="G1467" s="2"/>
      <c r="H1467" s="2"/>
    </row>
    <row r="1468" spans="1:8" x14ac:dyDescent="0.35">
      <c r="A1468" s="2"/>
      <c r="B1468" s="2"/>
      <c r="C1468" s="2"/>
      <c r="D1468" s="2"/>
      <c r="E1468" s="2"/>
      <c r="F1468" s="2"/>
      <c r="G1468" s="2"/>
      <c r="H1468" s="2"/>
    </row>
    <row r="1469" spans="1:8" x14ac:dyDescent="0.35">
      <c r="A1469" s="2"/>
      <c r="B1469" s="2"/>
      <c r="C1469" s="2"/>
      <c r="D1469" s="2"/>
      <c r="E1469" s="2"/>
      <c r="F1469" s="2"/>
      <c r="G1469" s="2"/>
      <c r="H1469" s="2"/>
    </row>
    <row r="1470" spans="1:8" x14ac:dyDescent="0.35">
      <c r="A1470" s="2"/>
      <c r="B1470" s="2"/>
      <c r="C1470" s="2"/>
      <c r="D1470" s="2"/>
      <c r="E1470" s="2"/>
      <c r="F1470" s="2"/>
      <c r="G1470" s="2"/>
      <c r="H1470" s="2"/>
    </row>
    <row r="1471" spans="1:8" x14ac:dyDescent="0.35">
      <c r="A1471" s="2"/>
      <c r="B1471" s="2"/>
      <c r="C1471" s="2"/>
      <c r="D1471" s="2"/>
      <c r="E1471" s="2"/>
      <c r="F1471" s="2"/>
      <c r="G1471" s="2"/>
      <c r="H1471" s="2"/>
    </row>
    <row r="1472" spans="1:8" x14ac:dyDescent="0.35">
      <c r="A1472" s="2"/>
      <c r="B1472" s="2"/>
      <c r="C1472" s="2"/>
      <c r="D1472" s="2"/>
      <c r="E1472" s="2"/>
      <c r="F1472" s="2"/>
      <c r="G1472" s="2"/>
      <c r="H1472" s="2"/>
    </row>
    <row r="1473" spans="1:8" x14ac:dyDescent="0.35">
      <c r="A1473" s="2"/>
      <c r="B1473" s="2"/>
      <c r="C1473" s="2"/>
      <c r="D1473" s="2"/>
      <c r="E1473" s="2"/>
      <c r="F1473" s="2"/>
      <c r="G1473" s="2"/>
      <c r="H1473" s="2"/>
    </row>
    <row r="1474" spans="1:8" x14ac:dyDescent="0.35">
      <c r="A1474" s="2"/>
      <c r="B1474" s="2"/>
      <c r="C1474" s="2"/>
      <c r="D1474" s="2"/>
      <c r="E1474" s="2"/>
      <c r="F1474" s="2"/>
      <c r="G1474" s="2"/>
      <c r="H1474" s="2"/>
    </row>
    <row r="1475" spans="1:8" x14ac:dyDescent="0.35">
      <c r="A1475" s="2"/>
      <c r="B1475" s="2"/>
      <c r="C1475" s="2"/>
      <c r="D1475" s="2"/>
      <c r="E1475" s="2"/>
      <c r="F1475" s="2"/>
      <c r="G1475" s="2"/>
      <c r="H1475" s="2"/>
    </row>
    <row r="1476" spans="1:8" x14ac:dyDescent="0.35">
      <c r="A1476" s="2"/>
      <c r="B1476" s="2"/>
      <c r="C1476" s="2"/>
      <c r="D1476" s="2"/>
      <c r="E1476" s="2"/>
      <c r="F1476" s="2"/>
      <c r="G1476" s="2"/>
      <c r="H1476" s="2"/>
    </row>
    <row r="1477" spans="1:8" x14ac:dyDescent="0.35">
      <c r="A1477" s="2"/>
      <c r="B1477" s="2"/>
      <c r="C1477" s="2"/>
      <c r="D1477" s="2"/>
      <c r="E1477" s="2"/>
      <c r="F1477" s="2"/>
      <c r="G1477" s="2"/>
      <c r="H1477" s="2"/>
    </row>
    <row r="1478" spans="1:8" x14ac:dyDescent="0.35">
      <c r="A1478" s="2"/>
      <c r="B1478" s="2"/>
      <c r="C1478" s="2"/>
      <c r="D1478" s="2"/>
      <c r="E1478" s="2"/>
      <c r="F1478" s="2"/>
      <c r="G1478" s="2"/>
      <c r="H1478" s="2"/>
    </row>
    <row r="1479" spans="1:8" x14ac:dyDescent="0.35">
      <c r="A1479" s="2"/>
      <c r="B1479" s="2"/>
      <c r="C1479" s="2"/>
      <c r="D1479" s="2"/>
      <c r="E1479" s="2"/>
      <c r="F1479" s="2"/>
      <c r="G1479" s="2"/>
      <c r="H1479" s="2"/>
    </row>
    <row r="1480" spans="1:8" x14ac:dyDescent="0.35">
      <c r="A1480" s="2"/>
      <c r="B1480" s="2"/>
      <c r="C1480" s="2"/>
      <c r="D1480" s="2"/>
      <c r="E1480" s="2"/>
      <c r="F1480" s="2"/>
      <c r="G1480" s="2"/>
      <c r="H1480" s="2"/>
    </row>
    <row r="1481" spans="1:8" x14ac:dyDescent="0.35">
      <c r="A1481" s="2"/>
      <c r="B1481" s="2"/>
      <c r="C1481" s="2"/>
      <c r="D1481" s="2"/>
      <c r="E1481" s="2"/>
      <c r="F1481" s="2"/>
      <c r="G1481" s="2"/>
      <c r="H1481" s="2"/>
    </row>
    <row r="1482" spans="1:8" x14ac:dyDescent="0.35">
      <c r="A1482" s="2"/>
      <c r="B1482" s="2"/>
      <c r="C1482" s="2"/>
      <c r="D1482" s="2"/>
      <c r="E1482" s="2"/>
      <c r="F1482" s="2"/>
      <c r="G1482" s="2"/>
      <c r="H1482" s="2"/>
    </row>
    <row r="1483" spans="1:8" x14ac:dyDescent="0.35">
      <c r="A1483" s="2"/>
      <c r="B1483" s="2"/>
      <c r="C1483" s="2"/>
      <c r="D1483" s="2"/>
      <c r="E1483" s="2"/>
      <c r="F1483" s="2"/>
      <c r="G1483" s="2"/>
      <c r="H1483" s="2"/>
    </row>
    <row r="1484" spans="1:8" x14ac:dyDescent="0.35">
      <c r="A1484" s="2"/>
      <c r="B1484" s="2"/>
      <c r="C1484" s="2"/>
      <c r="D1484" s="2"/>
      <c r="E1484" s="2"/>
      <c r="F1484" s="2"/>
      <c r="G1484" s="2"/>
      <c r="H1484" s="2"/>
    </row>
    <row r="1485" spans="1:8" x14ac:dyDescent="0.35">
      <c r="A1485" s="2"/>
      <c r="B1485" s="2"/>
      <c r="C1485" s="2"/>
      <c r="D1485" s="2"/>
      <c r="E1485" s="2"/>
      <c r="F1485" s="2"/>
      <c r="G1485" s="2"/>
      <c r="H1485" s="2"/>
    </row>
    <row r="1486" spans="1:8" x14ac:dyDescent="0.35">
      <c r="A1486" s="2"/>
      <c r="B1486" s="2"/>
      <c r="C1486" s="2"/>
      <c r="D1486" s="2"/>
      <c r="E1486" s="2"/>
      <c r="F1486" s="2"/>
      <c r="G1486" s="2"/>
      <c r="H1486" s="2"/>
    </row>
    <row r="1487" spans="1:8" x14ac:dyDescent="0.35">
      <c r="A1487" s="2"/>
      <c r="B1487" s="2"/>
      <c r="C1487" s="2"/>
      <c r="D1487" s="2"/>
      <c r="E1487" s="2"/>
      <c r="F1487" s="2"/>
      <c r="G1487" s="2"/>
      <c r="H1487" s="2"/>
    </row>
    <row r="1488" spans="1:8" x14ac:dyDescent="0.35">
      <c r="A1488" s="2"/>
      <c r="B1488" s="2"/>
      <c r="C1488" s="2"/>
      <c r="D1488" s="2"/>
      <c r="E1488" s="2"/>
      <c r="F1488" s="2"/>
      <c r="G1488" s="2"/>
      <c r="H1488" s="2"/>
    </row>
    <row r="1489" spans="1:8" x14ac:dyDescent="0.35">
      <c r="A1489" s="2"/>
      <c r="B1489" s="2"/>
      <c r="C1489" s="2"/>
      <c r="D1489" s="2"/>
      <c r="E1489" s="2"/>
      <c r="F1489" s="2"/>
      <c r="G1489" s="2"/>
      <c r="H1489" s="2"/>
    </row>
    <row r="1490" spans="1:8" x14ac:dyDescent="0.35">
      <c r="A1490" s="2"/>
      <c r="B1490" s="2"/>
      <c r="C1490" s="2"/>
      <c r="D1490" s="2"/>
      <c r="E1490" s="2"/>
      <c r="F1490" s="2"/>
      <c r="G1490" s="2"/>
      <c r="H1490" s="2"/>
    </row>
    <row r="1491" spans="1:8" x14ac:dyDescent="0.35">
      <c r="A1491" s="2"/>
      <c r="B1491" s="2"/>
      <c r="C1491" s="2"/>
      <c r="D1491" s="2"/>
      <c r="E1491" s="2"/>
      <c r="F1491" s="2"/>
      <c r="G1491" s="2"/>
      <c r="H1491" s="2"/>
    </row>
    <row r="1492" spans="1:8" x14ac:dyDescent="0.35">
      <c r="A1492" s="2"/>
      <c r="B1492" s="2"/>
      <c r="C1492" s="2"/>
      <c r="D1492" s="2"/>
      <c r="E1492" s="2"/>
      <c r="F1492" s="2"/>
      <c r="G1492" s="2"/>
      <c r="H1492" s="2"/>
    </row>
    <row r="1493" spans="1:8" x14ac:dyDescent="0.35">
      <c r="A1493" s="2"/>
      <c r="B1493" s="2"/>
      <c r="C1493" s="2"/>
      <c r="D1493" s="2"/>
      <c r="E1493" s="2"/>
      <c r="F1493" s="2"/>
      <c r="G1493" s="2"/>
      <c r="H1493" s="2"/>
    </row>
    <row r="1494" spans="1:8" x14ac:dyDescent="0.35">
      <c r="A1494" s="2"/>
      <c r="B1494" s="2"/>
      <c r="C1494" s="2"/>
      <c r="D1494" s="2"/>
      <c r="E1494" s="2"/>
      <c r="F1494" s="2"/>
      <c r="G1494" s="2"/>
      <c r="H1494" s="2"/>
    </row>
    <row r="1495" spans="1:8" x14ac:dyDescent="0.35">
      <c r="A1495" s="2"/>
      <c r="B1495" s="2"/>
      <c r="C1495" s="2"/>
      <c r="D1495" s="2"/>
      <c r="E1495" s="2"/>
      <c r="F1495" s="2"/>
      <c r="G1495" s="2"/>
      <c r="H1495" s="2"/>
    </row>
    <row r="1496" spans="1:8" x14ac:dyDescent="0.35">
      <c r="A1496" s="2"/>
      <c r="B1496" s="2"/>
      <c r="C1496" s="2"/>
      <c r="D1496" s="2"/>
      <c r="E1496" s="2"/>
      <c r="F1496" s="2"/>
      <c r="G1496" s="2"/>
      <c r="H1496" s="2"/>
    </row>
    <row r="1497" spans="1:8" x14ac:dyDescent="0.35">
      <c r="A1497" s="2"/>
      <c r="B1497" s="2"/>
      <c r="C1497" s="2"/>
      <c r="D1497" s="2"/>
      <c r="E1497" s="2"/>
      <c r="F1497" s="2"/>
      <c r="G1497" s="2"/>
      <c r="H1497" s="2"/>
    </row>
    <row r="1498" spans="1:8" x14ac:dyDescent="0.35">
      <c r="A1498" s="2"/>
      <c r="B1498" s="2"/>
      <c r="C1498" s="2"/>
      <c r="D1498" s="2"/>
      <c r="E1498" s="2"/>
      <c r="F1498" s="2"/>
      <c r="G1498" s="2"/>
      <c r="H1498" s="2"/>
    </row>
    <row r="1499" spans="1:8" x14ac:dyDescent="0.35">
      <c r="A1499" s="2"/>
      <c r="B1499" s="2"/>
      <c r="C1499" s="2"/>
      <c r="D1499" s="2"/>
      <c r="E1499" s="2"/>
      <c r="F1499" s="2"/>
      <c r="G1499" s="2"/>
      <c r="H1499" s="2"/>
    </row>
    <row r="1500" spans="1:8" x14ac:dyDescent="0.35">
      <c r="A1500" s="2"/>
      <c r="B1500" s="2"/>
      <c r="C1500" s="2"/>
      <c r="D1500" s="2"/>
      <c r="E1500" s="2"/>
      <c r="F1500" s="2"/>
      <c r="G1500" s="2"/>
      <c r="H1500" s="2"/>
    </row>
    <row r="1501" spans="1:8" x14ac:dyDescent="0.35">
      <c r="A1501" s="2"/>
      <c r="B1501" s="2"/>
      <c r="C1501" s="2"/>
      <c r="D1501" s="2"/>
      <c r="E1501" s="2"/>
      <c r="F1501" s="2"/>
      <c r="G1501" s="2"/>
      <c r="H1501" s="2"/>
    </row>
    <row r="1502" spans="1:8" x14ac:dyDescent="0.35">
      <c r="A1502" s="2"/>
      <c r="B1502" s="2"/>
      <c r="C1502" s="2"/>
      <c r="D1502" s="2"/>
      <c r="E1502" s="2"/>
      <c r="F1502" s="2"/>
      <c r="G1502" s="2"/>
      <c r="H1502" s="2"/>
    </row>
    <row r="1503" spans="1:8" x14ac:dyDescent="0.35">
      <c r="A1503" s="2"/>
      <c r="B1503" s="2"/>
      <c r="C1503" s="2"/>
      <c r="D1503" s="2"/>
      <c r="E1503" s="2"/>
      <c r="F1503" s="2"/>
      <c r="G1503" s="2"/>
      <c r="H1503" s="2"/>
    </row>
    <row r="1504" spans="1:8" x14ac:dyDescent="0.35">
      <c r="A1504" s="2"/>
      <c r="B1504" s="2"/>
      <c r="C1504" s="2"/>
      <c r="D1504" s="2"/>
      <c r="E1504" s="2"/>
      <c r="F1504" s="2"/>
      <c r="G1504" s="2"/>
      <c r="H1504" s="2"/>
    </row>
    <row r="1505" spans="1:8" x14ac:dyDescent="0.35">
      <c r="A1505" s="2"/>
      <c r="B1505" s="2"/>
      <c r="C1505" s="2"/>
      <c r="D1505" s="2"/>
      <c r="E1505" s="2"/>
      <c r="F1505" s="2"/>
      <c r="G1505" s="2"/>
      <c r="H1505" s="2"/>
    </row>
    <row r="1506" spans="1:8" x14ac:dyDescent="0.35">
      <c r="A1506" s="2"/>
      <c r="B1506" s="2"/>
      <c r="C1506" s="2"/>
      <c r="D1506" s="2"/>
      <c r="E1506" s="2"/>
      <c r="F1506" s="2"/>
      <c r="G1506" s="2"/>
      <c r="H1506" s="2"/>
    </row>
    <row r="1507" spans="1:8" x14ac:dyDescent="0.35">
      <c r="A1507" s="2"/>
      <c r="B1507" s="2"/>
      <c r="C1507" s="2"/>
      <c r="D1507" s="2"/>
      <c r="E1507" s="2"/>
      <c r="F1507" s="2"/>
      <c r="G1507" s="2"/>
      <c r="H1507" s="2"/>
    </row>
    <row r="1508" spans="1:8" x14ac:dyDescent="0.35">
      <c r="A1508" s="2"/>
      <c r="B1508" s="2"/>
      <c r="C1508" s="2"/>
      <c r="D1508" s="2"/>
      <c r="E1508" s="2"/>
      <c r="F1508" s="2"/>
      <c r="G1508" s="2"/>
      <c r="H1508" s="2"/>
    </row>
    <row r="1509" spans="1:8" x14ac:dyDescent="0.35">
      <c r="A1509" s="2"/>
      <c r="B1509" s="2"/>
      <c r="C1509" s="2"/>
      <c r="D1509" s="2"/>
      <c r="E1509" s="2"/>
      <c r="F1509" s="2"/>
      <c r="G1509" s="2"/>
      <c r="H1509" s="2"/>
    </row>
    <row r="1510" spans="1:8" x14ac:dyDescent="0.35">
      <c r="A1510" s="2"/>
      <c r="B1510" s="2"/>
      <c r="C1510" s="2"/>
      <c r="D1510" s="2"/>
      <c r="E1510" s="2"/>
      <c r="F1510" s="2"/>
      <c r="G1510" s="2"/>
      <c r="H1510" s="2"/>
    </row>
    <row r="1511" spans="1:8" x14ac:dyDescent="0.35">
      <c r="A1511" s="2"/>
      <c r="B1511" s="2"/>
      <c r="C1511" s="2"/>
      <c r="D1511" s="2"/>
      <c r="E1511" s="2"/>
      <c r="F1511" s="2"/>
      <c r="G1511" s="2"/>
      <c r="H1511" s="2"/>
    </row>
    <row r="1512" spans="1:8" x14ac:dyDescent="0.35">
      <c r="A1512" s="2"/>
      <c r="B1512" s="2"/>
      <c r="C1512" s="2"/>
      <c r="D1512" s="2"/>
      <c r="E1512" s="2"/>
      <c r="F1512" s="2"/>
      <c r="G1512" s="2"/>
      <c r="H1512" s="2"/>
    </row>
    <row r="1513" spans="1:8" x14ac:dyDescent="0.35">
      <c r="A1513" s="2"/>
      <c r="B1513" s="2"/>
      <c r="C1513" s="2"/>
      <c r="D1513" s="2"/>
      <c r="E1513" s="2"/>
      <c r="F1513" s="2"/>
      <c r="G1513" s="2"/>
      <c r="H1513" s="2"/>
    </row>
    <row r="1514" spans="1:8" x14ac:dyDescent="0.35">
      <c r="A1514" s="2"/>
      <c r="B1514" s="2"/>
      <c r="C1514" s="2"/>
      <c r="D1514" s="2"/>
      <c r="E1514" s="2"/>
      <c r="F1514" s="2"/>
      <c r="G1514" s="2"/>
      <c r="H1514" s="2"/>
    </row>
    <row r="1515" spans="1:8" x14ac:dyDescent="0.35">
      <c r="A1515" s="2"/>
      <c r="B1515" s="2"/>
      <c r="C1515" s="2"/>
      <c r="D1515" s="2"/>
      <c r="E1515" s="2"/>
      <c r="F1515" s="2"/>
      <c r="G1515" s="2"/>
      <c r="H1515" s="2"/>
    </row>
    <row r="1516" spans="1:8" x14ac:dyDescent="0.35">
      <c r="A1516" s="2"/>
      <c r="B1516" s="2"/>
      <c r="C1516" s="2"/>
      <c r="D1516" s="2"/>
      <c r="E1516" s="2"/>
      <c r="F1516" s="2"/>
      <c r="G1516" s="2"/>
      <c r="H1516" s="2"/>
    </row>
    <row r="1517" spans="1:8" x14ac:dyDescent="0.35">
      <c r="A1517" s="2"/>
      <c r="B1517" s="2"/>
      <c r="C1517" s="2"/>
      <c r="D1517" s="2"/>
      <c r="E1517" s="2"/>
      <c r="F1517" s="2"/>
      <c r="G1517" s="2"/>
      <c r="H1517" s="2"/>
    </row>
    <row r="1518" spans="1:8" x14ac:dyDescent="0.35">
      <c r="A1518" s="2"/>
      <c r="B1518" s="2"/>
      <c r="C1518" s="2"/>
      <c r="D1518" s="2"/>
      <c r="E1518" s="2"/>
      <c r="F1518" s="2"/>
      <c r="G1518" s="2"/>
      <c r="H1518" s="2"/>
    </row>
    <row r="1519" spans="1:8" x14ac:dyDescent="0.35">
      <c r="A1519" s="2"/>
      <c r="B1519" s="2"/>
      <c r="C1519" s="2"/>
      <c r="D1519" s="2"/>
      <c r="E1519" s="2"/>
      <c r="F1519" s="2"/>
      <c r="G1519" s="2"/>
      <c r="H1519" s="2"/>
    </row>
    <row r="1520" spans="1:8" x14ac:dyDescent="0.35">
      <c r="A1520" s="2"/>
      <c r="B1520" s="2"/>
      <c r="C1520" s="2"/>
      <c r="D1520" s="2"/>
      <c r="E1520" s="2"/>
      <c r="F1520" s="2"/>
      <c r="G1520" s="2"/>
      <c r="H1520" s="2"/>
    </row>
    <row r="1521" spans="1:8" x14ac:dyDescent="0.35">
      <c r="A1521" s="2"/>
      <c r="B1521" s="2"/>
      <c r="C1521" s="2"/>
      <c r="D1521" s="2"/>
      <c r="E1521" s="2"/>
      <c r="F1521" s="2"/>
      <c r="G1521" s="2"/>
      <c r="H1521" s="2"/>
    </row>
    <row r="1522" spans="1:8" x14ac:dyDescent="0.35">
      <c r="A1522" s="2"/>
      <c r="B1522" s="2"/>
      <c r="C1522" s="2"/>
      <c r="D1522" s="2"/>
      <c r="E1522" s="2"/>
      <c r="F1522" s="2"/>
      <c r="G1522" s="2"/>
      <c r="H1522" s="2"/>
    </row>
    <row r="1523" spans="1:8" x14ac:dyDescent="0.35">
      <c r="A1523" s="2"/>
      <c r="B1523" s="2"/>
      <c r="C1523" s="2"/>
      <c r="D1523" s="2"/>
      <c r="E1523" s="2"/>
      <c r="F1523" s="2"/>
      <c r="G1523" s="2"/>
      <c r="H1523" s="2"/>
    </row>
    <row r="1524" spans="1:8" x14ac:dyDescent="0.35">
      <c r="A1524" s="2"/>
      <c r="B1524" s="2"/>
      <c r="C1524" s="2"/>
      <c r="D1524" s="2"/>
      <c r="E1524" s="2"/>
      <c r="F1524" s="2"/>
      <c r="G1524" s="2"/>
      <c r="H1524" s="2"/>
    </row>
    <row r="1525" spans="1:8" x14ac:dyDescent="0.35">
      <c r="A1525" s="2"/>
      <c r="B1525" s="2"/>
      <c r="C1525" s="2"/>
      <c r="D1525" s="2"/>
      <c r="E1525" s="2"/>
      <c r="F1525" s="2"/>
      <c r="G1525" s="2"/>
      <c r="H1525" s="2"/>
    </row>
    <row r="1526" spans="1:8" x14ac:dyDescent="0.35">
      <c r="A1526" s="2"/>
      <c r="B1526" s="2"/>
      <c r="C1526" s="2"/>
      <c r="D1526" s="2"/>
      <c r="E1526" s="2"/>
      <c r="F1526" s="2"/>
      <c r="G1526" s="2"/>
      <c r="H1526" s="2"/>
    </row>
    <row r="1527" spans="1:8" x14ac:dyDescent="0.35">
      <c r="A1527" s="2"/>
      <c r="B1527" s="2"/>
      <c r="C1527" s="2"/>
      <c r="D1527" s="2"/>
      <c r="E1527" s="2"/>
      <c r="F1527" s="2"/>
      <c r="G1527" s="2"/>
      <c r="H1527" s="2"/>
    </row>
    <row r="1528" spans="1:8" x14ac:dyDescent="0.35">
      <c r="A1528" s="2"/>
      <c r="B1528" s="2"/>
      <c r="C1528" s="2"/>
      <c r="D1528" s="2"/>
      <c r="E1528" s="2"/>
      <c r="F1528" s="2"/>
      <c r="G1528" s="2"/>
      <c r="H1528" s="2"/>
    </row>
    <row r="1529" spans="1:8" x14ac:dyDescent="0.35">
      <c r="A1529" s="2"/>
      <c r="B1529" s="2"/>
      <c r="C1529" s="2"/>
      <c r="D1529" s="2"/>
      <c r="E1529" s="2"/>
      <c r="F1529" s="2"/>
      <c r="G1529" s="2"/>
      <c r="H1529" s="2"/>
    </row>
    <row r="1530" spans="1:8" x14ac:dyDescent="0.35">
      <c r="A1530" s="2"/>
      <c r="B1530" s="2"/>
      <c r="C1530" s="2"/>
      <c r="D1530" s="2"/>
      <c r="E1530" s="2"/>
      <c r="F1530" s="2"/>
      <c r="G1530" s="2"/>
      <c r="H1530" s="2"/>
    </row>
    <row r="1531" spans="1:8" x14ac:dyDescent="0.35">
      <c r="A1531" s="2"/>
      <c r="B1531" s="2"/>
      <c r="C1531" s="2"/>
      <c r="D1531" s="2"/>
      <c r="E1531" s="2"/>
      <c r="F1531" s="2"/>
      <c r="G1531" s="2"/>
      <c r="H1531" s="2"/>
    </row>
    <row r="1532" spans="1:8" x14ac:dyDescent="0.35">
      <c r="A1532" s="2"/>
      <c r="B1532" s="2"/>
      <c r="C1532" s="2"/>
      <c r="D1532" s="2"/>
      <c r="E1532" s="2"/>
      <c r="F1532" s="2"/>
      <c r="G1532" s="2"/>
      <c r="H1532" s="2"/>
    </row>
    <row r="1533" spans="1:8" x14ac:dyDescent="0.35">
      <c r="A1533" s="2"/>
      <c r="B1533" s="2"/>
      <c r="C1533" s="2"/>
      <c r="D1533" s="2"/>
      <c r="E1533" s="2"/>
      <c r="F1533" s="2"/>
      <c r="G1533" s="2"/>
      <c r="H1533" s="2"/>
    </row>
  </sheetData>
  <autoFilter ref="A1:H1441" xr:uid="{00000000-0009-0000-0000-000003000000}"/>
  <pageMargins left="0.7" right="0.7" top="0.75" bottom="0.75" header="0.3" footer="0.3"/>
  <customProperties>
    <customPr name="Guid" r:id="rId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090"/>
  <sheetViews>
    <sheetView workbookViewId="0">
      <selection activeCell="A2" sqref="A2"/>
    </sheetView>
  </sheetViews>
  <sheetFormatPr defaultRowHeight="14.5" x14ac:dyDescent="0.35"/>
  <cols>
    <col min="1" max="1" width="16.453125" customWidth="1"/>
    <col min="2" max="2" width="21.453125" customWidth="1"/>
    <col min="3" max="3" width="54.81640625" customWidth="1"/>
    <col min="4" max="4" width="31.453125" customWidth="1"/>
    <col min="5" max="5" width="12.54296875" customWidth="1"/>
    <col min="6" max="6" width="34.54296875" customWidth="1"/>
    <col min="7" max="8" width="14.26953125" customWidth="1"/>
  </cols>
  <sheetData>
    <row r="1" spans="1:8" ht="34.5" customHeight="1" x14ac:dyDescent="0.35">
      <c r="A1" s="1" t="s">
        <v>1</v>
      </c>
      <c r="B1" s="1" t="s">
        <v>2</v>
      </c>
      <c r="C1" s="1" t="s">
        <v>3</v>
      </c>
      <c r="D1" s="1" t="s">
        <v>4</v>
      </c>
      <c r="E1" s="1" t="s">
        <v>5</v>
      </c>
      <c r="F1" s="1" t="s">
        <v>2296</v>
      </c>
      <c r="G1" s="1" t="s">
        <v>6</v>
      </c>
      <c r="H1" s="1" t="s">
        <v>7</v>
      </c>
    </row>
    <row r="2" spans="1:8" x14ac:dyDescent="0.35">
      <c r="A2" s="3" t="s">
        <v>2593</v>
      </c>
      <c r="B2" s="3" t="s">
        <v>42</v>
      </c>
      <c r="C2" s="3" t="s">
        <v>2594</v>
      </c>
      <c r="D2" s="3" t="s">
        <v>23</v>
      </c>
      <c r="E2" s="3"/>
      <c r="F2" s="3"/>
      <c r="G2" s="3"/>
      <c r="H2" s="3"/>
    </row>
    <row r="3" spans="1:8" x14ac:dyDescent="0.35">
      <c r="A3" s="3" t="s">
        <v>2593</v>
      </c>
      <c r="B3" s="3" t="s">
        <v>42</v>
      </c>
      <c r="C3" s="3" t="s">
        <v>2594</v>
      </c>
      <c r="D3" s="3" t="s">
        <v>87</v>
      </c>
      <c r="E3" s="3"/>
      <c r="F3" s="3"/>
      <c r="G3" s="3"/>
      <c r="H3" s="3"/>
    </row>
    <row r="4" spans="1:8" x14ac:dyDescent="0.35">
      <c r="A4" s="3" t="s">
        <v>2593</v>
      </c>
      <c r="B4" s="3" t="s">
        <v>42</v>
      </c>
      <c r="C4" s="3" t="s">
        <v>2594</v>
      </c>
      <c r="D4" s="3" t="s">
        <v>15</v>
      </c>
      <c r="E4" s="3" t="s">
        <v>16</v>
      </c>
      <c r="F4" s="3" t="s">
        <v>2595</v>
      </c>
      <c r="G4" s="3"/>
      <c r="H4" s="3"/>
    </row>
    <row r="5" spans="1:8" x14ac:dyDescent="0.35">
      <c r="A5" s="3" t="s">
        <v>2593</v>
      </c>
      <c r="B5" s="3" t="s">
        <v>42</v>
      </c>
      <c r="C5" s="3" t="s">
        <v>2594</v>
      </c>
      <c r="D5" s="3" t="s">
        <v>24</v>
      </c>
      <c r="E5" s="3"/>
      <c r="F5" s="3"/>
      <c r="G5" s="3"/>
      <c r="H5" s="3"/>
    </row>
    <row r="6" spans="1:8" x14ac:dyDescent="0.35">
      <c r="A6" s="3" t="s">
        <v>2511</v>
      </c>
      <c r="B6" s="3" t="s">
        <v>42</v>
      </c>
      <c r="C6" s="3" t="s">
        <v>2512</v>
      </c>
      <c r="D6" s="3" t="s">
        <v>27</v>
      </c>
      <c r="E6" s="3" t="s">
        <v>16</v>
      </c>
      <c r="F6" s="3" t="s">
        <v>2513</v>
      </c>
      <c r="G6" s="3"/>
      <c r="H6" s="3"/>
    </row>
    <row r="7" spans="1:8" x14ac:dyDescent="0.35">
      <c r="A7" s="3" t="s">
        <v>2511</v>
      </c>
      <c r="B7" s="3" t="s">
        <v>42</v>
      </c>
      <c r="C7" s="3" t="s">
        <v>2512</v>
      </c>
      <c r="D7" s="3" t="s">
        <v>44</v>
      </c>
      <c r="E7" s="3"/>
      <c r="F7" s="3"/>
      <c r="G7" s="3"/>
      <c r="H7" s="3"/>
    </row>
    <row r="8" spans="1:8" x14ac:dyDescent="0.35">
      <c r="A8" s="3" t="s">
        <v>2511</v>
      </c>
      <c r="B8" s="3" t="s">
        <v>42</v>
      </c>
      <c r="C8" s="3" t="s">
        <v>2512</v>
      </c>
      <c r="D8" s="3" t="s">
        <v>15</v>
      </c>
      <c r="E8" s="3" t="s">
        <v>16</v>
      </c>
      <c r="F8" s="3" t="s">
        <v>2515</v>
      </c>
      <c r="G8" s="3"/>
      <c r="H8" s="3"/>
    </row>
    <row r="9" spans="1:8" x14ac:dyDescent="0.35">
      <c r="A9" s="3" t="s">
        <v>2511</v>
      </c>
      <c r="B9" s="3" t="s">
        <v>42</v>
      </c>
      <c r="C9" s="3" t="s">
        <v>2512</v>
      </c>
      <c r="D9" s="3" t="s">
        <v>56</v>
      </c>
      <c r="E9" s="3"/>
      <c r="F9" s="3"/>
      <c r="G9" s="3"/>
      <c r="H9" s="3"/>
    </row>
    <row r="10" spans="1:8" x14ac:dyDescent="0.35">
      <c r="A10" s="3" t="s">
        <v>2511</v>
      </c>
      <c r="B10" s="3" t="s">
        <v>42</v>
      </c>
      <c r="C10" s="3" t="s">
        <v>2512</v>
      </c>
      <c r="D10" s="3" t="s">
        <v>24</v>
      </c>
      <c r="E10" s="3" t="s">
        <v>16</v>
      </c>
      <c r="F10" s="3" t="s">
        <v>2514</v>
      </c>
      <c r="G10" s="3"/>
      <c r="H10" s="3"/>
    </row>
    <row r="11" spans="1:8" x14ac:dyDescent="0.35">
      <c r="A11" s="3" t="s">
        <v>2561</v>
      </c>
      <c r="B11" s="3" t="s">
        <v>42</v>
      </c>
      <c r="C11" s="3" t="s">
        <v>2570</v>
      </c>
      <c r="D11" s="3" t="s">
        <v>12</v>
      </c>
      <c r="E11" s="3"/>
      <c r="F11" s="3"/>
      <c r="G11" s="3"/>
      <c r="H11" s="3"/>
    </row>
    <row r="12" spans="1:8" x14ac:dyDescent="0.35">
      <c r="A12" s="3" t="s">
        <v>2561</v>
      </c>
      <c r="B12" s="3" t="s">
        <v>42</v>
      </c>
      <c r="C12" s="3" t="s">
        <v>2570</v>
      </c>
      <c r="D12" s="3" t="s">
        <v>27</v>
      </c>
      <c r="E12" s="3"/>
      <c r="F12" s="3"/>
      <c r="G12" s="3" t="s">
        <v>16</v>
      </c>
      <c r="H12" s="3" t="s">
        <v>2571</v>
      </c>
    </row>
    <row r="13" spans="1:8" x14ac:dyDescent="0.35">
      <c r="A13" s="3" t="s">
        <v>2561</v>
      </c>
      <c r="B13" s="3" t="s">
        <v>42</v>
      </c>
      <c r="C13" s="3" t="s">
        <v>2570</v>
      </c>
      <c r="D13" s="3" t="s">
        <v>24</v>
      </c>
      <c r="E13" s="3"/>
      <c r="F13" s="3"/>
      <c r="G13" s="3" t="s">
        <v>16</v>
      </c>
      <c r="H13" s="3" t="s">
        <v>2571</v>
      </c>
    </row>
    <row r="14" spans="1:8" x14ac:dyDescent="0.35">
      <c r="A14" s="3" t="s">
        <v>1186</v>
      </c>
      <c r="B14" s="3" t="s">
        <v>42</v>
      </c>
      <c r="C14" s="3" t="s">
        <v>1187</v>
      </c>
      <c r="D14" s="3" t="s">
        <v>23</v>
      </c>
      <c r="E14" s="3" t="s">
        <v>16</v>
      </c>
      <c r="F14" s="3" t="s">
        <v>1188</v>
      </c>
      <c r="G14" s="3"/>
      <c r="H14" s="3"/>
    </row>
    <row r="15" spans="1:8" x14ac:dyDescent="0.35">
      <c r="A15" s="3" t="s">
        <v>1186</v>
      </c>
      <c r="B15" s="3" t="s">
        <v>42</v>
      </c>
      <c r="C15" s="3" t="s">
        <v>1187</v>
      </c>
      <c r="D15" s="3" t="s">
        <v>27</v>
      </c>
      <c r="E15" s="3"/>
      <c r="F15" s="3"/>
      <c r="G15" s="3"/>
      <c r="H15" s="3"/>
    </row>
    <row r="16" spans="1:8" x14ac:dyDescent="0.35">
      <c r="A16" s="3" t="s">
        <v>1186</v>
      </c>
      <c r="B16" s="3" t="s">
        <v>42</v>
      </c>
      <c r="C16" s="3" t="s">
        <v>1187</v>
      </c>
      <c r="D16" s="3" t="s">
        <v>87</v>
      </c>
      <c r="E16" s="3"/>
      <c r="F16" s="3"/>
      <c r="G16" s="3"/>
      <c r="H16" s="3"/>
    </row>
    <row r="17" spans="1:8" x14ac:dyDescent="0.35">
      <c r="A17" s="3" t="s">
        <v>1186</v>
      </c>
      <c r="B17" s="3" t="s">
        <v>42</v>
      </c>
      <c r="C17" s="3" t="s">
        <v>1187</v>
      </c>
      <c r="D17" s="3" t="s">
        <v>15</v>
      </c>
      <c r="E17" s="3" t="s">
        <v>16</v>
      </c>
      <c r="F17" s="3" t="s">
        <v>1189</v>
      </c>
      <c r="G17" s="3"/>
      <c r="H17" s="3"/>
    </row>
    <row r="18" spans="1:8" x14ac:dyDescent="0.35">
      <c r="A18" s="3" t="s">
        <v>1186</v>
      </c>
      <c r="B18" s="3" t="s">
        <v>42</v>
      </c>
      <c r="C18" s="3" t="s">
        <v>1187</v>
      </c>
      <c r="D18" s="3" t="s">
        <v>56</v>
      </c>
      <c r="E18" s="3"/>
      <c r="F18" s="3"/>
      <c r="G18" s="3"/>
      <c r="H18" s="3"/>
    </row>
    <row r="19" spans="1:8" x14ac:dyDescent="0.35">
      <c r="A19" s="3" t="s">
        <v>1186</v>
      </c>
      <c r="B19" s="3" t="s">
        <v>42</v>
      </c>
      <c r="C19" s="3" t="s">
        <v>1187</v>
      </c>
      <c r="D19" s="3" t="s">
        <v>1190</v>
      </c>
      <c r="E19" s="3"/>
      <c r="F19" s="3"/>
      <c r="G19" s="3"/>
      <c r="H19" s="3"/>
    </row>
    <row r="20" spans="1:8" x14ac:dyDescent="0.35">
      <c r="A20" s="3" t="s">
        <v>1186</v>
      </c>
      <c r="B20" s="3" t="s">
        <v>42</v>
      </c>
      <c r="C20" s="3" t="s">
        <v>1187</v>
      </c>
      <c r="D20" s="3" t="s">
        <v>24</v>
      </c>
      <c r="E20" s="3"/>
      <c r="F20" s="3"/>
      <c r="G20" s="3"/>
      <c r="H20" s="3"/>
    </row>
    <row r="21" spans="1:8" x14ac:dyDescent="0.35">
      <c r="A21" s="3" t="s">
        <v>1186</v>
      </c>
      <c r="B21" s="3" t="s">
        <v>42</v>
      </c>
      <c r="C21" s="3" t="s">
        <v>1187</v>
      </c>
      <c r="D21" s="3" t="s">
        <v>630</v>
      </c>
      <c r="E21" s="3" t="s">
        <v>16</v>
      </c>
      <c r="F21" s="3" t="s">
        <v>1191</v>
      </c>
      <c r="G21" s="3"/>
      <c r="H21" s="3"/>
    </row>
    <row r="22" spans="1:8" x14ac:dyDescent="0.35">
      <c r="A22" s="3" t="s">
        <v>1186</v>
      </c>
      <c r="B22" s="3" t="s">
        <v>20</v>
      </c>
      <c r="C22" s="3" t="s">
        <v>1192</v>
      </c>
      <c r="D22" s="3" t="s">
        <v>23</v>
      </c>
      <c r="E22" s="3" t="s">
        <v>16</v>
      </c>
      <c r="F22" s="3" t="s">
        <v>1188</v>
      </c>
      <c r="G22" s="3"/>
      <c r="H22" s="3"/>
    </row>
    <row r="23" spans="1:8" x14ac:dyDescent="0.35">
      <c r="A23" s="3" t="s">
        <v>1186</v>
      </c>
      <c r="B23" s="3" t="s">
        <v>20</v>
      </c>
      <c r="C23" s="3" t="s">
        <v>1192</v>
      </c>
      <c r="D23" s="3" t="s">
        <v>27</v>
      </c>
      <c r="E23" s="3"/>
      <c r="F23" s="3"/>
      <c r="G23" s="3"/>
      <c r="H23" s="3"/>
    </row>
    <row r="24" spans="1:8" x14ac:dyDescent="0.35">
      <c r="A24" s="3" t="s">
        <v>1186</v>
      </c>
      <c r="B24" s="3" t="s">
        <v>20</v>
      </c>
      <c r="C24" s="3" t="s">
        <v>1192</v>
      </c>
      <c r="D24" s="3" t="s">
        <v>1193</v>
      </c>
      <c r="E24" s="3"/>
      <c r="F24" s="3"/>
      <c r="G24" s="3"/>
      <c r="H24" s="3"/>
    </row>
    <row r="25" spans="1:8" x14ac:dyDescent="0.35">
      <c r="A25" s="3" t="s">
        <v>1186</v>
      </c>
      <c r="B25" s="3" t="s">
        <v>20</v>
      </c>
      <c r="C25" s="3" t="s">
        <v>1192</v>
      </c>
      <c r="D25" s="3" t="s">
        <v>87</v>
      </c>
      <c r="E25" s="3"/>
      <c r="F25" s="3"/>
      <c r="G25" s="3"/>
      <c r="H25" s="3"/>
    </row>
    <row r="26" spans="1:8" x14ac:dyDescent="0.35">
      <c r="A26" s="3" t="s">
        <v>1186</v>
      </c>
      <c r="B26" s="3" t="s">
        <v>20</v>
      </c>
      <c r="C26" s="3" t="s">
        <v>1192</v>
      </c>
      <c r="D26" s="3" t="s">
        <v>31</v>
      </c>
      <c r="E26" s="3"/>
      <c r="F26" s="3"/>
      <c r="G26" s="3"/>
      <c r="H26" s="3"/>
    </row>
    <row r="27" spans="1:8" x14ac:dyDescent="0.35">
      <c r="A27" s="3" t="s">
        <v>1186</v>
      </c>
      <c r="B27" s="3" t="s">
        <v>20</v>
      </c>
      <c r="C27" s="3" t="s">
        <v>1192</v>
      </c>
      <c r="D27" s="3" t="s">
        <v>1190</v>
      </c>
      <c r="E27" s="3"/>
      <c r="F27" s="3"/>
      <c r="G27" s="3"/>
      <c r="H27" s="3"/>
    </row>
    <row r="28" spans="1:8" x14ac:dyDescent="0.35">
      <c r="A28" s="3" t="s">
        <v>1186</v>
      </c>
      <c r="B28" s="3" t="s">
        <v>20</v>
      </c>
      <c r="C28" s="3" t="s">
        <v>1192</v>
      </c>
      <c r="D28" s="3" t="s">
        <v>134</v>
      </c>
      <c r="E28" s="3"/>
      <c r="F28" s="3"/>
      <c r="G28" s="3"/>
      <c r="H28" s="3"/>
    </row>
    <row r="29" spans="1:8" x14ac:dyDescent="0.35">
      <c r="A29" s="3" t="s">
        <v>1186</v>
      </c>
      <c r="B29" s="3" t="s">
        <v>20</v>
      </c>
      <c r="C29" s="3" t="s">
        <v>1194</v>
      </c>
      <c r="D29" s="3" t="s">
        <v>12</v>
      </c>
      <c r="E29" s="3"/>
      <c r="F29" s="3"/>
      <c r="G29" s="3"/>
      <c r="H29" s="3"/>
    </row>
    <row r="30" spans="1:8" x14ac:dyDescent="0.35">
      <c r="A30" s="3" t="s">
        <v>1186</v>
      </c>
      <c r="B30" s="3" t="s">
        <v>20</v>
      </c>
      <c r="C30" s="3" t="s">
        <v>1194</v>
      </c>
      <c r="D30" s="3" t="s">
        <v>23</v>
      </c>
      <c r="E30" s="3"/>
      <c r="F30" s="3"/>
      <c r="G30" s="3" t="s">
        <v>16</v>
      </c>
      <c r="H30" s="3" t="s">
        <v>1195</v>
      </c>
    </row>
    <row r="31" spans="1:8" x14ac:dyDescent="0.35">
      <c r="A31" s="3" t="s">
        <v>1186</v>
      </c>
      <c r="B31" s="3" t="s">
        <v>20</v>
      </c>
      <c r="C31" s="3" t="s">
        <v>1194</v>
      </c>
      <c r="D31" s="3" t="s">
        <v>25</v>
      </c>
      <c r="E31" s="3"/>
      <c r="F31" s="3"/>
      <c r="G31" s="3"/>
      <c r="H31" s="3"/>
    </row>
    <row r="32" spans="1:8" x14ac:dyDescent="0.35">
      <c r="A32" s="3" t="s">
        <v>1186</v>
      </c>
      <c r="B32" s="3" t="s">
        <v>20</v>
      </c>
      <c r="C32" s="3" t="s">
        <v>1194</v>
      </c>
      <c r="D32" s="3" t="s">
        <v>60</v>
      </c>
      <c r="E32" s="3"/>
      <c r="F32" s="3"/>
      <c r="G32" s="3"/>
      <c r="H32" s="3"/>
    </row>
    <row r="33" spans="1:8" x14ac:dyDescent="0.35">
      <c r="A33" s="3" t="s">
        <v>1186</v>
      </c>
      <c r="B33" s="3" t="s">
        <v>20</v>
      </c>
      <c r="C33" s="3" t="s">
        <v>1194</v>
      </c>
      <c r="D33" s="3" t="s">
        <v>1196</v>
      </c>
      <c r="E33" s="3"/>
      <c r="F33" s="3"/>
      <c r="G33" s="3"/>
      <c r="H33" s="3"/>
    </row>
    <row r="34" spans="1:8" x14ac:dyDescent="0.35">
      <c r="A34" s="3" t="s">
        <v>1186</v>
      </c>
      <c r="B34" s="3" t="s">
        <v>20</v>
      </c>
      <c r="C34" s="3" t="s">
        <v>1194</v>
      </c>
      <c r="D34" s="3" t="s">
        <v>15</v>
      </c>
      <c r="E34" s="3"/>
      <c r="F34" s="3"/>
      <c r="G34" s="3"/>
      <c r="H34" s="3"/>
    </row>
    <row r="35" spans="1:8" x14ac:dyDescent="0.35">
      <c r="A35" s="3" t="s">
        <v>1186</v>
      </c>
      <c r="B35" s="3" t="s">
        <v>20</v>
      </c>
      <c r="C35" s="3" t="s">
        <v>1194</v>
      </c>
      <c r="D35" s="3" t="s">
        <v>56</v>
      </c>
      <c r="E35" s="3"/>
      <c r="F35" s="3"/>
      <c r="G35" s="3" t="s">
        <v>16</v>
      </c>
      <c r="H35" s="3" t="s">
        <v>1195</v>
      </c>
    </row>
    <row r="36" spans="1:8" x14ac:dyDescent="0.35">
      <c r="A36" s="3" t="s">
        <v>1186</v>
      </c>
      <c r="B36" s="3" t="s">
        <v>20</v>
      </c>
      <c r="C36" s="3" t="s">
        <v>1194</v>
      </c>
      <c r="D36" s="3" t="s">
        <v>1197</v>
      </c>
      <c r="E36" s="3"/>
      <c r="F36" s="3"/>
      <c r="G36" s="3" t="s">
        <v>16</v>
      </c>
      <c r="H36" s="3" t="s">
        <v>1195</v>
      </c>
    </row>
    <row r="37" spans="1:8" x14ac:dyDescent="0.35">
      <c r="A37" s="3" t="s">
        <v>1186</v>
      </c>
      <c r="B37" s="3" t="s">
        <v>20</v>
      </c>
      <c r="C37" s="3" t="s">
        <v>1194</v>
      </c>
      <c r="D37" s="3" t="s">
        <v>134</v>
      </c>
      <c r="E37" s="3"/>
      <c r="F37" s="3"/>
      <c r="G37" s="3"/>
      <c r="H37" s="3"/>
    </row>
    <row r="38" spans="1:8" x14ac:dyDescent="0.35">
      <c r="A38" s="3" t="s">
        <v>1186</v>
      </c>
      <c r="B38" s="3" t="s">
        <v>20</v>
      </c>
      <c r="C38" s="3" t="s">
        <v>1194</v>
      </c>
      <c r="D38" s="3" t="s">
        <v>191</v>
      </c>
      <c r="E38" s="3"/>
      <c r="F38" s="3"/>
      <c r="G38" s="3" t="s">
        <v>16</v>
      </c>
      <c r="H38" s="3" t="s">
        <v>1198</v>
      </c>
    </row>
    <row r="39" spans="1:8" x14ac:dyDescent="0.35">
      <c r="A39" s="3" t="s">
        <v>2699</v>
      </c>
      <c r="B39" s="3" t="s">
        <v>42</v>
      </c>
      <c r="C39" s="3" t="s">
        <v>2700</v>
      </c>
      <c r="D39" s="3" t="s">
        <v>12</v>
      </c>
      <c r="E39" s="3"/>
      <c r="F39" s="3"/>
      <c r="G39" s="3"/>
      <c r="H39" s="3"/>
    </row>
    <row r="40" spans="1:8" x14ac:dyDescent="0.35">
      <c r="A40" s="3" t="s">
        <v>2699</v>
      </c>
      <c r="B40" s="3" t="s">
        <v>42</v>
      </c>
      <c r="C40" s="3" t="s">
        <v>2700</v>
      </c>
      <c r="D40" s="3" t="s">
        <v>87</v>
      </c>
      <c r="E40" s="3"/>
      <c r="F40" s="3"/>
      <c r="G40" s="3"/>
      <c r="H40" s="3"/>
    </row>
    <row r="41" spans="1:8" x14ac:dyDescent="0.35">
      <c r="A41" s="3" t="s">
        <v>2699</v>
      </c>
      <c r="B41" s="3" t="s">
        <v>42</v>
      </c>
      <c r="C41" s="3" t="s">
        <v>2700</v>
      </c>
      <c r="D41" s="3" t="s">
        <v>98</v>
      </c>
      <c r="E41" s="3"/>
      <c r="F41" s="3" t="s">
        <v>2660</v>
      </c>
      <c r="G41" s="3"/>
      <c r="H41" s="3"/>
    </row>
    <row r="42" spans="1:8" x14ac:dyDescent="0.35">
      <c r="A42" s="3" t="s">
        <v>2699</v>
      </c>
      <c r="B42" s="3" t="s">
        <v>42</v>
      </c>
      <c r="C42" s="3" t="s">
        <v>2700</v>
      </c>
      <c r="D42" s="3" t="s">
        <v>15</v>
      </c>
      <c r="E42" s="3" t="s">
        <v>16</v>
      </c>
      <c r="F42" s="3" t="s">
        <v>2701</v>
      </c>
      <c r="G42" s="3"/>
      <c r="H42" s="3"/>
    </row>
    <row r="43" spans="1:8" x14ac:dyDescent="0.35">
      <c r="A43" s="3" t="s">
        <v>2699</v>
      </c>
      <c r="B43" s="3" t="s">
        <v>42</v>
      </c>
      <c r="C43" s="3" t="s">
        <v>2700</v>
      </c>
      <c r="D43" s="3" t="s">
        <v>1190</v>
      </c>
      <c r="E43" s="3"/>
      <c r="F43" s="3"/>
      <c r="G43" s="3"/>
      <c r="H43" s="3"/>
    </row>
    <row r="44" spans="1:8" x14ac:dyDescent="0.35">
      <c r="A44" s="3" t="s">
        <v>2699</v>
      </c>
      <c r="B44" s="3" t="s">
        <v>42</v>
      </c>
      <c r="C44" s="3" t="s">
        <v>2700</v>
      </c>
      <c r="D44" s="3" t="s">
        <v>24</v>
      </c>
      <c r="E44" s="3"/>
      <c r="F44" s="3"/>
      <c r="G44" s="3"/>
      <c r="H44" s="3"/>
    </row>
    <row r="45" spans="1:8" x14ac:dyDescent="0.35">
      <c r="A45" s="3" t="s">
        <v>2699</v>
      </c>
      <c r="B45" s="3" t="s">
        <v>42</v>
      </c>
      <c r="C45" s="3" t="s">
        <v>2700</v>
      </c>
      <c r="D45" s="3" t="s">
        <v>134</v>
      </c>
      <c r="E45" s="3" t="s">
        <v>33</v>
      </c>
      <c r="F45" s="3" t="s">
        <v>2762</v>
      </c>
      <c r="G45" s="3"/>
      <c r="H45" s="3"/>
    </row>
    <row r="46" spans="1:8" x14ac:dyDescent="0.35">
      <c r="A46" s="3" t="s">
        <v>1199</v>
      </c>
      <c r="B46" s="3" t="s">
        <v>42</v>
      </c>
      <c r="C46" s="3" t="s">
        <v>2975</v>
      </c>
      <c r="D46" s="3" t="s">
        <v>1196</v>
      </c>
      <c r="E46" s="3"/>
      <c r="F46" s="3"/>
      <c r="G46" s="3"/>
      <c r="H46" s="3"/>
    </row>
    <row r="47" spans="1:8" x14ac:dyDescent="0.35">
      <c r="A47" s="3" t="s">
        <v>1199</v>
      </c>
      <c r="B47" s="3" t="s">
        <v>42</v>
      </c>
      <c r="C47" s="3" t="s">
        <v>2975</v>
      </c>
      <c r="D47" s="3" t="s">
        <v>87</v>
      </c>
      <c r="E47" s="3"/>
      <c r="F47" s="3"/>
      <c r="G47" s="3"/>
      <c r="H47" s="3"/>
    </row>
    <row r="48" spans="1:8" x14ac:dyDescent="0.35">
      <c r="A48" s="3" t="s">
        <v>1199</v>
      </c>
      <c r="B48" s="3" t="s">
        <v>42</v>
      </c>
      <c r="C48" s="3" t="s">
        <v>2975</v>
      </c>
      <c r="D48" s="3" t="s">
        <v>15</v>
      </c>
      <c r="E48" s="3" t="s">
        <v>16</v>
      </c>
      <c r="F48" s="3" t="s">
        <v>1200</v>
      </c>
      <c r="G48" s="3"/>
      <c r="H48" s="3"/>
    </row>
    <row r="49" spans="1:8" x14ac:dyDescent="0.35">
      <c r="A49" s="3" t="s">
        <v>1199</v>
      </c>
      <c r="B49" s="3" t="s">
        <v>42</v>
      </c>
      <c r="C49" s="3" t="s">
        <v>2975</v>
      </c>
      <c r="D49" s="3" t="s">
        <v>56</v>
      </c>
      <c r="E49" s="3" t="s">
        <v>16</v>
      </c>
      <c r="F49" s="3" t="s">
        <v>2444</v>
      </c>
      <c r="G49" s="3"/>
      <c r="H49" s="3"/>
    </row>
    <row r="50" spans="1:8" x14ac:dyDescent="0.35">
      <c r="A50" s="3" t="s">
        <v>1199</v>
      </c>
      <c r="B50" s="3" t="s">
        <v>42</v>
      </c>
      <c r="C50" s="3" t="s">
        <v>2975</v>
      </c>
      <c r="D50" s="3" t="s">
        <v>1190</v>
      </c>
      <c r="E50" s="3" t="s">
        <v>16</v>
      </c>
      <c r="F50" s="3" t="s">
        <v>1201</v>
      </c>
      <c r="G50" s="3"/>
      <c r="H50" s="3"/>
    </row>
    <row r="51" spans="1:8" x14ac:dyDescent="0.35">
      <c r="A51" s="3" t="s">
        <v>1202</v>
      </c>
      <c r="B51" s="3" t="s">
        <v>20</v>
      </c>
      <c r="C51" s="3" t="s">
        <v>1203</v>
      </c>
      <c r="D51" s="3" t="s">
        <v>60</v>
      </c>
      <c r="E51" s="3"/>
      <c r="F51" s="3"/>
      <c r="G51" s="3" t="s">
        <v>13</v>
      </c>
      <c r="H51" s="3" t="s">
        <v>1204</v>
      </c>
    </row>
    <row r="52" spans="1:8" x14ac:dyDescent="0.35">
      <c r="A52" s="3" t="s">
        <v>1202</v>
      </c>
      <c r="B52" s="3" t="s">
        <v>20</v>
      </c>
      <c r="C52" s="3" t="s">
        <v>1203</v>
      </c>
      <c r="D52" s="3" t="s">
        <v>1196</v>
      </c>
      <c r="E52" s="3"/>
      <c r="F52" s="3"/>
      <c r="G52" s="3" t="s">
        <v>13</v>
      </c>
      <c r="H52" s="3" t="s">
        <v>1204</v>
      </c>
    </row>
    <row r="53" spans="1:8" x14ac:dyDescent="0.35">
      <c r="A53" s="3" t="s">
        <v>1202</v>
      </c>
      <c r="B53" s="3" t="s">
        <v>20</v>
      </c>
      <c r="C53" s="3" t="s">
        <v>1203</v>
      </c>
      <c r="D53" s="3" t="s">
        <v>87</v>
      </c>
      <c r="E53" s="3"/>
      <c r="F53" s="3"/>
      <c r="G53" s="3" t="s">
        <v>13</v>
      </c>
      <c r="H53" s="3" t="s">
        <v>1204</v>
      </c>
    </row>
    <row r="54" spans="1:8" x14ac:dyDescent="0.35">
      <c r="A54" s="3" t="s">
        <v>1202</v>
      </c>
      <c r="B54" s="3" t="s">
        <v>42</v>
      </c>
      <c r="C54" s="3" t="s">
        <v>1205</v>
      </c>
      <c r="D54" s="3" t="s">
        <v>12</v>
      </c>
      <c r="E54" s="3"/>
      <c r="F54" s="3"/>
      <c r="G54" s="3"/>
      <c r="H54" s="3"/>
    </row>
    <row r="55" spans="1:8" x14ac:dyDescent="0.35">
      <c r="A55" s="3" t="s">
        <v>1202</v>
      </c>
      <c r="B55" s="3" t="s">
        <v>42</v>
      </c>
      <c r="C55" s="3" t="s">
        <v>1205</v>
      </c>
      <c r="D55" s="3" t="s">
        <v>23</v>
      </c>
      <c r="E55" s="3" t="s">
        <v>16</v>
      </c>
      <c r="F55" s="3" t="s">
        <v>1207</v>
      </c>
      <c r="G55" s="3"/>
      <c r="H55" s="3"/>
    </row>
    <row r="56" spans="1:8" x14ac:dyDescent="0.35">
      <c r="A56" s="3" t="s">
        <v>1202</v>
      </c>
      <c r="B56" s="3" t="s">
        <v>42</v>
      </c>
      <c r="C56" s="3" t="s">
        <v>1205</v>
      </c>
      <c r="D56" s="3" t="s">
        <v>27</v>
      </c>
      <c r="E56" s="3"/>
      <c r="F56" s="3"/>
      <c r="G56" s="3"/>
      <c r="H56" s="3"/>
    </row>
    <row r="57" spans="1:8" x14ac:dyDescent="0.35">
      <c r="A57" s="3" t="s">
        <v>1202</v>
      </c>
      <c r="B57" s="3" t="s">
        <v>42</v>
      </c>
      <c r="C57" s="3" t="s">
        <v>1205</v>
      </c>
      <c r="D57" s="3" t="s">
        <v>28</v>
      </c>
      <c r="E57" s="3"/>
      <c r="F57" s="3" t="s">
        <v>2321</v>
      </c>
      <c r="G57" s="3"/>
      <c r="H57" s="3"/>
    </row>
    <row r="58" spans="1:8" x14ac:dyDescent="0.35">
      <c r="A58" s="3" t="s">
        <v>1202</v>
      </c>
      <c r="B58" s="3" t="s">
        <v>42</v>
      </c>
      <c r="C58" s="3" t="s">
        <v>1205</v>
      </c>
      <c r="D58" s="3" t="s">
        <v>15</v>
      </c>
      <c r="E58" s="3" t="s">
        <v>16</v>
      </c>
      <c r="F58" s="3" t="s">
        <v>1208</v>
      </c>
      <c r="G58" s="3"/>
      <c r="H58" s="3"/>
    </row>
    <row r="59" spans="1:8" x14ac:dyDescent="0.35">
      <c r="A59" s="3" t="s">
        <v>1202</v>
      </c>
      <c r="B59" s="3" t="s">
        <v>42</v>
      </c>
      <c r="C59" s="3" t="s">
        <v>1205</v>
      </c>
      <c r="D59" s="3" t="s">
        <v>56</v>
      </c>
      <c r="E59" s="3" t="s">
        <v>16</v>
      </c>
      <c r="F59" s="3" t="s">
        <v>1206</v>
      </c>
      <c r="G59" s="3"/>
      <c r="H59" s="3"/>
    </row>
    <row r="60" spans="1:8" x14ac:dyDescent="0.35">
      <c r="A60" s="3" t="s">
        <v>1202</v>
      </c>
      <c r="B60" s="3" t="s">
        <v>42</v>
      </c>
      <c r="C60" s="3" t="s">
        <v>1205</v>
      </c>
      <c r="D60" s="3" t="s">
        <v>24</v>
      </c>
      <c r="E60" s="3"/>
      <c r="F60" s="3"/>
      <c r="G60" s="3"/>
      <c r="H60" s="3"/>
    </row>
    <row r="61" spans="1:8" x14ac:dyDescent="0.35">
      <c r="A61" s="3" t="s">
        <v>1202</v>
      </c>
      <c r="B61" s="3" t="s">
        <v>42</v>
      </c>
      <c r="C61" s="3" t="s">
        <v>1205</v>
      </c>
      <c r="D61" s="3" t="s">
        <v>630</v>
      </c>
      <c r="E61" s="3"/>
      <c r="F61" s="3"/>
      <c r="G61" s="3"/>
      <c r="H61" s="3"/>
    </row>
    <row r="62" spans="1:8" x14ac:dyDescent="0.35">
      <c r="A62" s="3" t="s">
        <v>1202</v>
      </c>
      <c r="B62" s="3" t="s">
        <v>20</v>
      </c>
      <c r="C62" s="3" t="s">
        <v>1209</v>
      </c>
      <c r="D62" s="3" t="s">
        <v>1210</v>
      </c>
      <c r="E62" s="3"/>
      <c r="F62" s="3"/>
      <c r="G62" s="3"/>
      <c r="H62" s="3"/>
    </row>
    <row r="63" spans="1:8" x14ac:dyDescent="0.35">
      <c r="A63" s="3" t="s">
        <v>1202</v>
      </c>
      <c r="B63" s="3" t="s">
        <v>20</v>
      </c>
      <c r="C63" s="3" t="s">
        <v>1209</v>
      </c>
      <c r="D63" s="3" t="s">
        <v>27</v>
      </c>
      <c r="E63" s="3"/>
      <c r="F63" s="3"/>
      <c r="G63" s="3"/>
      <c r="H63" s="3"/>
    </row>
    <row r="64" spans="1:8" x14ac:dyDescent="0.35">
      <c r="A64" s="3" t="s">
        <v>1202</v>
      </c>
      <c r="B64" s="3" t="s">
        <v>20</v>
      </c>
      <c r="C64" s="3" t="s">
        <v>1209</v>
      </c>
      <c r="D64" s="3" t="s">
        <v>77</v>
      </c>
      <c r="E64" s="3"/>
      <c r="F64" s="3"/>
      <c r="G64" s="3"/>
      <c r="H64" s="3"/>
    </row>
    <row r="65" spans="1:8" x14ac:dyDescent="0.35">
      <c r="A65" s="3" t="s">
        <v>1202</v>
      </c>
      <c r="B65" s="3" t="s">
        <v>20</v>
      </c>
      <c r="C65" s="3" t="s">
        <v>1209</v>
      </c>
      <c r="D65" s="3" t="s">
        <v>87</v>
      </c>
      <c r="E65" s="3" t="s">
        <v>16</v>
      </c>
      <c r="F65" s="3" t="s">
        <v>1211</v>
      </c>
      <c r="G65" s="3"/>
      <c r="H65" s="3"/>
    </row>
    <row r="66" spans="1:8" x14ac:dyDescent="0.35">
      <c r="A66" s="3" t="s">
        <v>1202</v>
      </c>
      <c r="B66" s="3" t="s">
        <v>20</v>
      </c>
      <c r="C66" s="3" t="s">
        <v>1209</v>
      </c>
      <c r="D66" s="3" t="s">
        <v>24</v>
      </c>
      <c r="E66" s="3"/>
      <c r="F66" s="3"/>
      <c r="G66" s="3"/>
      <c r="H66" s="3"/>
    </row>
    <row r="67" spans="1:8" x14ac:dyDescent="0.35">
      <c r="A67" s="3" t="s">
        <v>1212</v>
      </c>
      <c r="B67" s="3" t="s">
        <v>10</v>
      </c>
      <c r="C67" s="3" t="s">
        <v>1213</v>
      </c>
      <c r="D67" s="3" t="s">
        <v>12</v>
      </c>
      <c r="E67" s="3"/>
      <c r="F67" s="3"/>
      <c r="G67" s="3" t="s">
        <v>16</v>
      </c>
      <c r="H67" s="3" t="s">
        <v>1214</v>
      </c>
    </row>
    <row r="68" spans="1:8" x14ac:dyDescent="0.35">
      <c r="A68" s="3" t="s">
        <v>1212</v>
      </c>
      <c r="B68" s="3" t="s">
        <v>10</v>
      </c>
      <c r="C68" s="3" t="s">
        <v>1213</v>
      </c>
      <c r="D68" s="3" t="s">
        <v>27</v>
      </c>
      <c r="E68" s="3"/>
      <c r="F68" s="3"/>
      <c r="G68" s="3" t="s">
        <v>16</v>
      </c>
      <c r="H68" s="3" t="s">
        <v>1214</v>
      </c>
    </row>
    <row r="69" spans="1:8" x14ac:dyDescent="0.35">
      <c r="A69" s="3" t="s">
        <v>1212</v>
      </c>
      <c r="B69" s="3" t="s">
        <v>10</v>
      </c>
      <c r="C69" s="3" t="s">
        <v>1213</v>
      </c>
      <c r="D69" s="3" t="s">
        <v>1193</v>
      </c>
      <c r="E69" s="3"/>
      <c r="F69" s="3"/>
      <c r="G69" s="3" t="s">
        <v>16</v>
      </c>
      <c r="H69" s="3" t="s">
        <v>1214</v>
      </c>
    </row>
    <row r="70" spans="1:8" x14ac:dyDescent="0.35">
      <c r="A70" s="3" t="s">
        <v>1212</v>
      </c>
      <c r="B70" s="3" t="s">
        <v>10</v>
      </c>
      <c r="C70" s="3" t="s">
        <v>1213</v>
      </c>
      <c r="D70" s="3" t="s">
        <v>1216</v>
      </c>
      <c r="E70" s="3" t="s">
        <v>16</v>
      </c>
      <c r="F70" s="3" t="s">
        <v>1217</v>
      </c>
      <c r="G70" s="3" t="s">
        <v>16</v>
      </c>
      <c r="H70" s="3" t="s">
        <v>1214</v>
      </c>
    </row>
    <row r="71" spans="1:8" x14ac:dyDescent="0.35">
      <c r="A71" s="3" t="s">
        <v>1212</v>
      </c>
      <c r="B71" s="3" t="s">
        <v>10</v>
      </c>
      <c r="C71" s="3" t="s">
        <v>1213</v>
      </c>
      <c r="D71" s="3" t="s">
        <v>56</v>
      </c>
      <c r="E71" s="3" t="s">
        <v>16</v>
      </c>
      <c r="F71" s="3" t="s">
        <v>1215</v>
      </c>
      <c r="G71" s="3" t="s">
        <v>16</v>
      </c>
      <c r="H71" s="3" t="s">
        <v>1214</v>
      </c>
    </row>
    <row r="72" spans="1:8" x14ac:dyDescent="0.35">
      <c r="A72" s="3" t="s">
        <v>1212</v>
      </c>
      <c r="B72" s="3" t="s">
        <v>45</v>
      </c>
      <c r="C72" s="3" t="s">
        <v>2925</v>
      </c>
      <c r="D72" s="3" t="s">
        <v>25</v>
      </c>
      <c r="E72" s="3"/>
      <c r="F72" s="3"/>
      <c r="G72" s="3" t="s">
        <v>16</v>
      </c>
      <c r="H72" s="3" t="s">
        <v>1214</v>
      </c>
    </row>
    <row r="73" spans="1:8" x14ac:dyDescent="0.35">
      <c r="A73" s="3" t="s">
        <v>1212</v>
      </c>
      <c r="B73" s="3" t="s">
        <v>45</v>
      </c>
      <c r="C73" s="3" t="s">
        <v>2925</v>
      </c>
      <c r="D73" s="3" t="s">
        <v>1193</v>
      </c>
      <c r="E73" s="3"/>
      <c r="F73" s="3"/>
      <c r="G73" s="3" t="s">
        <v>16</v>
      </c>
      <c r="H73" s="3" t="s">
        <v>1214</v>
      </c>
    </row>
    <row r="74" spans="1:8" x14ac:dyDescent="0.35">
      <c r="A74" s="3" t="s">
        <v>1212</v>
      </c>
      <c r="B74" s="3" t="s">
        <v>45</v>
      </c>
      <c r="C74" s="3" t="s">
        <v>2925</v>
      </c>
      <c r="D74" s="3" t="s">
        <v>56</v>
      </c>
      <c r="E74" s="3"/>
      <c r="F74" s="3"/>
      <c r="G74" s="3" t="s">
        <v>16</v>
      </c>
      <c r="H74" s="3" t="s">
        <v>1214</v>
      </c>
    </row>
    <row r="75" spans="1:8" x14ac:dyDescent="0.35">
      <c r="A75" s="3" t="s">
        <v>1212</v>
      </c>
      <c r="B75" s="3" t="s">
        <v>20</v>
      </c>
      <c r="C75" s="3" t="s">
        <v>1218</v>
      </c>
      <c r="D75" s="3" t="s">
        <v>27</v>
      </c>
      <c r="E75" s="3"/>
      <c r="F75" s="3"/>
      <c r="G75" s="3" t="s">
        <v>16</v>
      </c>
      <c r="H75" s="3" t="s">
        <v>1214</v>
      </c>
    </row>
    <row r="76" spans="1:8" x14ac:dyDescent="0.35">
      <c r="A76" s="3" t="s">
        <v>1212</v>
      </c>
      <c r="B76" s="3" t="s">
        <v>20</v>
      </c>
      <c r="C76" s="3" t="s">
        <v>1218</v>
      </c>
      <c r="D76" s="3" t="s">
        <v>29</v>
      </c>
      <c r="E76" s="3"/>
      <c r="F76" s="3" t="s">
        <v>2332</v>
      </c>
      <c r="G76" s="3" t="s">
        <v>16</v>
      </c>
      <c r="H76" s="3" t="s">
        <v>1214</v>
      </c>
    </row>
    <row r="77" spans="1:8" x14ac:dyDescent="0.35">
      <c r="A77" s="3" t="s">
        <v>1212</v>
      </c>
      <c r="B77" s="3" t="s">
        <v>20</v>
      </c>
      <c r="C77" s="3" t="s">
        <v>1219</v>
      </c>
      <c r="D77" s="3" t="s">
        <v>25</v>
      </c>
      <c r="E77" s="3"/>
      <c r="F77" s="3"/>
      <c r="G77" s="3" t="s">
        <v>16</v>
      </c>
      <c r="H77" s="3" t="s">
        <v>1214</v>
      </c>
    </row>
    <row r="78" spans="1:8" x14ac:dyDescent="0.35">
      <c r="A78" s="3" t="s">
        <v>1212</v>
      </c>
      <c r="B78" s="3" t="s">
        <v>20</v>
      </c>
      <c r="C78" s="3" t="s">
        <v>1219</v>
      </c>
      <c r="D78" s="3" t="s">
        <v>27</v>
      </c>
      <c r="E78" s="3"/>
      <c r="F78" s="3"/>
      <c r="G78" s="3" t="s">
        <v>16</v>
      </c>
      <c r="H78" s="3" t="s">
        <v>1214</v>
      </c>
    </row>
    <row r="79" spans="1:8" x14ac:dyDescent="0.35">
      <c r="A79" s="3" t="s">
        <v>1212</v>
      </c>
      <c r="B79" s="3" t="s">
        <v>20</v>
      </c>
      <c r="C79" s="3" t="s">
        <v>1219</v>
      </c>
      <c r="D79" s="3" t="s">
        <v>1216</v>
      </c>
      <c r="E79" s="3" t="s">
        <v>16</v>
      </c>
      <c r="F79" s="3" t="s">
        <v>1220</v>
      </c>
      <c r="G79" s="3" t="s">
        <v>16</v>
      </c>
      <c r="H79" s="3" t="s">
        <v>1214</v>
      </c>
    </row>
    <row r="80" spans="1:8" x14ac:dyDescent="0.35">
      <c r="A80" s="3" t="s">
        <v>1212</v>
      </c>
      <c r="B80" s="3" t="s">
        <v>20</v>
      </c>
      <c r="C80" s="3" t="s">
        <v>1219</v>
      </c>
      <c r="D80" s="3" t="s">
        <v>56</v>
      </c>
      <c r="E80" s="3"/>
      <c r="F80" s="3"/>
      <c r="G80" s="3" t="s">
        <v>16</v>
      </c>
      <c r="H80" s="3" t="s">
        <v>1214</v>
      </c>
    </row>
    <row r="81" spans="1:8" x14ac:dyDescent="0.35">
      <c r="A81" s="3" t="s">
        <v>1212</v>
      </c>
      <c r="B81" s="3" t="s">
        <v>20</v>
      </c>
      <c r="C81" s="3" t="s">
        <v>1219</v>
      </c>
      <c r="D81" s="3" t="s">
        <v>24</v>
      </c>
      <c r="E81" s="3"/>
      <c r="F81" s="3"/>
      <c r="G81" s="3" t="s">
        <v>16</v>
      </c>
      <c r="H81" s="3" t="s">
        <v>1214</v>
      </c>
    </row>
    <row r="82" spans="1:8" x14ac:dyDescent="0.35">
      <c r="A82" s="3" t="s">
        <v>1212</v>
      </c>
      <c r="B82" s="3" t="s">
        <v>10</v>
      </c>
      <c r="C82" s="3" t="s">
        <v>1221</v>
      </c>
      <c r="D82" s="3" t="s">
        <v>27</v>
      </c>
      <c r="E82" s="3"/>
      <c r="F82" s="3"/>
      <c r="G82" s="3" t="s">
        <v>16</v>
      </c>
      <c r="H82" s="3" t="s">
        <v>1214</v>
      </c>
    </row>
    <row r="83" spans="1:8" x14ac:dyDescent="0.35">
      <c r="A83" s="3" t="s">
        <v>1212</v>
      </c>
      <c r="B83" s="3" t="s">
        <v>10</v>
      </c>
      <c r="C83" s="3" t="s">
        <v>1221</v>
      </c>
      <c r="D83" s="3" t="s">
        <v>87</v>
      </c>
      <c r="E83" s="3"/>
      <c r="F83" s="3"/>
      <c r="G83" s="3" t="s">
        <v>16</v>
      </c>
      <c r="H83" s="3" t="s">
        <v>1214</v>
      </c>
    </row>
    <row r="84" spans="1:8" x14ac:dyDescent="0.35">
      <c r="A84" s="3" t="s">
        <v>1212</v>
      </c>
      <c r="B84" s="3" t="s">
        <v>10</v>
      </c>
      <c r="C84" s="3" t="s">
        <v>1221</v>
      </c>
      <c r="D84" s="3" t="s">
        <v>1216</v>
      </c>
      <c r="E84" s="3" t="s">
        <v>16</v>
      </c>
      <c r="F84" s="3" t="s">
        <v>157</v>
      </c>
      <c r="G84" s="3" t="s">
        <v>16</v>
      </c>
      <c r="H84" s="3" t="s">
        <v>1214</v>
      </c>
    </row>
    <row r="85" spans="1:8" x14ac:dyDescent="0.35">
      <c r="A85" s="3" t="s">
        <v>1212</v>
      </c>
      <c r="B85" s="3" t="s">
        <v>10</v>
      </c>
      <c r="C85" s="3" t="s">
        <v>1221</v>
      </c>
      <c r="D85" s="3" t="s">
        <v>56</v>
      </c>
      <c r="E85" s="3" t="s">
        <v>16</v>
      </c>
      <c r="F85" s="3" t="s">
        <v>1222</v>
      </c>
      <c r="G85" s="3" t="s">
        <v>16</v>
      </c>
      <c r="H85" s="3" t="s">
        <v>1214</v>
      </c>
    </row>
    <row r="86" spans="1:8" x14ac:dyDescent="0.35">
      <c r="A86" s="3" t="s">
        <v>1212</v>
      </c>
      <c r="B86" s="3" t="s">
        <v>10</v>
      </c>
      <c r="C86" s="3" t="s">
        <v>1221</v>
      </c>
      <c r="D86" s="3" t="s">
        <v>630</v>
      </c>
      <c r="E86" s="3" t="s">
        <v>16</v>
      </c>
      <c r="F86" s="3" t="s">
        <v>1223</v>
      </c>
      <c r="G86" s="3" t="s">
        <v>16</v>
      </c>
      <c r="H86" s="3" t="s">
        <v>1214</v>
      </c>
    </row>
    <row r="87" spans="1:8" x14ac:dyDescent="0.35">
      <c r="A87" s="3" t="s">
        <v>1212</v>
      </c>
      <c r="B87" s="3" t="s">
        <v>20</v>
      </c>
      <c r="C87" s="3" t="s">
        <v>1224</v>
      </c>
      <c r="D87" s="3" t="s">
        <v>25</v>
      </c>
      <c r="E87" s="3" t="s">
        <v>33</v>
      </c>
      <c r="F87" s="3" t="s">
        <v>1225</v>
      </c>
      <c r="G87" s="3" t="s">
        <v>16</v>
      </c>
      <c r="H87" s="3" t="s">
        <v>1214</v>
      </c>
    </row>
    <row r="88" spans="1:8" x14ac:dyDescent="0.35">
      <c r="A88" s="3" t="s">
        <v>1212</v>
      </c>
      <c r="B88" s="3" t="s">
        <v>20</v>
      </c>
      <c r="C88" s="3" t="s">
        <v>1224</v>
      </c>
      <c r="D88" s="3" t="s">
        <v>1193</v>
      </c>
      <c r="E88" s="3" t="s">
        <v>33</v>
      </c>
      <c r="F88" s="3" t="s">
        <v>1225</v>
      </c>
      <c r="G88" s="3" t="s">
        <v>16</v>
      </c>
      <c r="H88" s="3" t="s">
        <v>1214</v>
      </c>
    </row>
    <row r="89" spans="1:8" x14ac:dyDescent="0.35">
      <c r="A89" s="3" t="s">
        <v>1212</v>
      </c>
      <c r="B89" s="3" t="s">
        <v>20</v>
      </c>
      <c r="C89" s="3" t="s">
        <v>1224</v>
      </c>
      <c r="D89" s="3" t="s">
        <v>87</v>
      </c>
      <c r="E89" s="3" t="s">
        <v>33</v>
      </c>
      <c r="F89" s="3" t="s">
        <v>1225</v>
      </c>
      <c r="G89" s="3" t="s">
        <v>16</v>
      </c>
      <c r="H89" s="3" t="s">
        <v>1214</v>
      </c>
    </row>
    <row r="90" spans="1:8" x14ac:dyDescent="0.35">
      <c r="A90" s="3" t="s">
        <v>1212</v>
      </c>
      <c r="B90" s="3" t="s">
        <v>20</v>
      </c>
      <c r="C90" s="3" t="s">
        <v>1224</v>
      </c>
      <c r="D90" s="3" t="s">
        <v>56</v>
      </c>
      <c r="E90" s="3" t="s">
        <v>33</v>
      </c>
      <c r="F90" s="3" t="s">
        <v>1225</v>
      </c>
      <c r="G90" s="3" t="s">
        <v>16</v>
      </c>
      <c r="H90" s="3" t="s">
        <v>1214</v>
      </c>
    </row>
    <row r="91" spans="1:8" x14ac:dyDescent="0.35">
      <c r="A91" s="3" t="s">
        <v>1212</v>
      </c>
      <c r="B91" s="3" t="s">
        <v>20</v>
      </c>
      <c r="C91" s="3" t="s">
        <v>1224</v>
      </c>
      <c r="D91" s="3" t="s">
        <v>24</v>
      </c>
      <c r="E91" s="3" t="s">
        <v>33</v>
      </c>
      <c r="F91" s="3" t="s">
        <v>1225</v>
      </c>
      <c r="G91" s="3" t="s">
        <v>16</v>
      </c>
      <c r="H91" s="3" t="s">
        <v>1214</v>
      </c>
    </row>
    <row r="92" spans="1:8" x14ac:dyDescent="0.35">
      <c r="A92" s="3" t="s">
        <v>1212</v>
      </c>
      <c r="B92" s="3" t="s">
        <v>20</v>
      </c>
      <c r="C92" s="3" t="s">
        <v>1224</v>
      </c>
      <c r="D92" s="3" t="s">
        <v>630</v>
      </c>
      <c r="E92" s="3" t="s">
        <v>33</v>
      </c>
      <c r="F92" s="3" t="s">
        <v>1225</v>
      </c>
      <c r="G92" s="3" t="s">
        <v>16</v>
      </c>
      <c r="H92" s="3" t="s">
        <v>1214</v>
      </c>
    </row>
    <row r="93" spans="1:8" x14ac:dyDescent="0.35">
      <c r="A93" s="3" t="s">
        <v>1212</v>
      </c>
      <c r="B93" s="3" t="s">
        <v>45</v>
      </c>
      <c r="C93" s="3" t="s">
        <v>1226</v>
      </c>
      <c r="D93" s="3" t="s">
        <v>1216</v>
      </c>
      <c r="E93" s="3" t="s">
        <v>16</v>
      </c>
      <c r="F93" s="3" t="s">
        <v>1227</v>
      </c>
      <c r="G93" s="3" t="s">
        <v>16</v>
      </c>
      <c r="H93" s="3" t="s">
        <v>1214</v>
      </c>
    </row>
    <row r="94" spans="1:8" x14ac:dyDescent="0.35">
      <c r="A94" s="3" t="s">
        <v>1212</v>
      </c>
      <c r="B94" s="3" t="s">
        <v>45</v>
      </c>
      <c r="C94" s="3" t="s">
        <v>1226</v>
      </c>
      <c r="D94" s="3" t="s">
        <v>24</v>
      </c>
      <c r="E94" s="3"/>
      <c r="F94" s="3"/>
      <c r="G94" s="3" t="s">
        <v>16</v>
      </c>
      <c r="H94" s="3" t="s">
        <v>1214</v>
      </c>
    </row>
    <row r="95" spans="1:8" x14ac:dyDescent="0.35">
      <c r="A95" s="3" t="s">
        <v>1212</v>
      </c>
      <c r="B95" s="3" t="s">
        <v>45</v>
      </c>
      <c r="C95" s="3" t="s">
        <v>1226</v>
      </c>
      <c r="D95" s="3" t="s">
        <v>630</v>
      </c>
      <c r="E95" s="3" t="s">
        <v>16</v>
      </c>
      <c r="F95" s="3" t="s">
        <v>1228</v>
      </c>
      <c r="G95" s="3" t="s">
        <v>16</v>
      </c>
      <c r="H95" s="3" t="s">
        <v>1214</v>
      </c>
    </row>
    <row r="96" spans="1:8" x14ac:dyDescent="0.35">
      <c r="A96" s="3" t="s">
        <v>1212</v>
      </c>
      <c r="B96" s="3" t="s">
        <v>45</v>
      </c>
      <c r="C96" s="3" t="s">
        <v>1229</v>
      </c>
      <c r="D96" s="3" t="s">
        <v>27</v>
      </c>
      <c r="E96" s="3"/>
      <c r="F96" s="3"/>
      <c r="G96" s="3" t="s">
        <v>16</v>
      </c>
      <c r="H96" s="3" t="s">
        <v>1214</v>
      </c>
    </row>
    <row r="97" spans="1:8" x14ac:dyDescent="0.35">
      <c r="A97" s="3" t="s">
        <v>1212</v>
      </c>
      <c r="B97" s="3" t="s">
        <v>45</v>
      </c>
      <c r="C97" s="3" t="s">
        <v>1229</v>
      </c>
      <c r="D97" s="3" t="s">
        <v>87</v>
      </c>
      <c r="E97" s="3"/>
      <c r="F97" s="3" t="s">
        <v>2342</v>
      </c>
      <c r="G97" s="3" t="s">
        <v>16</v>
      </c>
      <c r="H97" s="3" t="s">
        <v>1214</v>
      </c>
    </row>
    <row r="98" spans="1:8" x14ac:dyDescent="0.35">
      <c r="A98" s="3" t="s">
        <v>1212</v>
      </c>
      <c r="B98" s="3" t="s">
        <v>45</v>
      </c>
      <c r="C98" s="3" t="s">
        <v>1229</v>
      </c>
      <c r="D98" s="3" t="s">
        <v>56</v>
      </c>
      <c r="E98" s="3" t="s">
        <v>16</v>
      </c>
      <c r="F98" s="3" t="s">
        <v>1230</v>
      </c>
      <c r="G98" s="3" t="s">
        <v>16</v>
      </c>
      <c r="H98" s="3" t="s">
        <v>1214</v>
      </c>
    </row>
    <row r="99" spans="1:8" x14ac:dyDescent="0.35">
      <c r="A99" s="3" t="s">
        <v>1212</v>
      </c>
      <c r="B99" s="3" t="s">
        <v>45</v>
      </c>
      <c r="C99" s="3" t="s">
        <v>1231</v>
      </c>
      <c r="D99" s="3" t="s">
        <v>27</v>
      </c>
      <c r="E99" s="3"/>
      <c r="F99" s="3"/>
      <c r="G99" s="3" t="s">
        <v>16</v>
      </c>
      <c r="H99" s="3" t="s">
        <v>1214</v>
      </c>
    </row>
    <row r="100" spans="1:8" x14ac:dyDescent="0.35">
      <c r="A100" s="3" t="s">
        <v>1212</v>
      </c>
      <c r="B100" s="3" t="s">
        <v>45</v>
      </c>
      <c r="C100" s="3" t="s">
        <v>1231</v>
      </c>
      <c r="D100" s="3" t="s">
        <v>1193</v>
      </c>
      <c r="E100" s="3"/>
      <c r="F100" s="3"/>
      <c r="G100" s="3" t="s">
        <v>16</v>
      </c>
      <c r="H100" s="3" t="s">
        <v>1214</v>
      </c>
    </row>
    <row r="101" spans="1:8" x14ac:dyDescent="0.35">
      <c r="A101" s="3" t="s">
        <v>1212</v>
      </c>
      <c r="B101" s="3" t="s">
        <v>45</v>
      </c>
      <c r="C101" s="3" t="s">
        <v>1231</v>
      </c>
      <c r="D101" s="3" t="s">
        <v>28</v>
      </c>
      <c r="E101" s="3"/>
      <c r="F101" s="3"/>
      <c r="G101" s="3" t="s">
        <v>16</v>
      </c>
      <c r="H101" s="3" t="s">
        <v>1214</v>
      </c>
    </row>
    <row r="102" spans="1:8" x14ac:dyDescent="0.35">
      <c r="A102" s="3" t="s">
        <v>1212</v>
      </c>
      <c r="B102" s="3" t="s">
        <v>45</v>
      </c>
      <c r="C102" s="3" t="s">
        <v>1231</v>
      </c>
      <c r="D102" s="3" t="s">
        <v>56</v>
      </c>
      <c r="E102" s="3" t="s">
        <v>16</v>
      </c>
      <c r="F102" s="3" t="s">
        <v>1232</v>
      </c>
      <c r="G102" s="3" t="s">
        <v>16</v>
      </c>
      <c r="H102" s="3" t="s">
        <v>1214</v>
      </c>
    </row>
    <row r="103" spans="1:8" x14ac:dyDescent="0.35">
      <c r="A103" s="3" t="s">
        <v>1212</v>
      </c>
      <c r="B103" s="3" t="s">
        <v>45</v>
      </c>
      <c r="C103" s="3" t="s">
        <v>1233</v>
      </c>
      <c r="D103" s="3" t="s">
        <v>87</v>
      </c>
      <c r="E103" s="3"/>
      <c r="F103" s="3"/>
      <c r="G103" s="3" t="s">
        <v>16</v>
      </c>
      <c r="H103" s="3" t="s">
        <v>1214</v>
      </c>
    </row>
    <row r="104" spans="1:8" x14ac:dyDescent="0.35">
      <c r="A104" s="3" t="s">
        <v>1212</v>
      </c>
      <c r="B104" s="3" t="s">
        <v>45</v>
      </c>
      <c r="C104" s="3" t="s">
        <v>1233</v>
      </c>
      <c r="D104" s="3" t="s">
        <v>1216</v>
      </c>
      <c r="E104" s="3" t="s">
        <v>16</v>
      </c>
      <c r="F104" s="3" t="s">
        <v>1235</v>
      </c>
      <c r="G104" s="3" t="s">
        <v>16</v>
      </c>
      <c r="H104" s="3" t="s">
        <v>1214</v>
      </c>
    </row>
    <row r="105" spans="1:8" x14ac:dyDescent="0.35">
      <c r="A105" s="3" t="s">
        <v>1212</v>
      </c>
      <c r="B105" s="3" t="s">
        <v>45</v>
      </c>
      <c r="C105" s="3" t="s">
        <v>1233</v>
      </c>
      <c r="D105" s="3" t="s">
        <v>56</v>
      </c>
      <c r="E105" s="3" t="s">
        <v>16</v>
      </c>
      <c r="F105" s="3" t="s">
        <v>1234</v>
      </c>
      <c r="G105" s="3" t="s">
        <v>16</v>
      </c>
      <c r="H105" s="3" t="s">
        <v>1214</v>
      </c>
    </row>
    <row r="106" spans="1:8" x14ac:dyDescent="0.35">
      <c r="A106" s="3" t="s">
        <v>1212</v>
      </c>
      <c r="B106" s="3" t="s">
        <v>45</v>
      </c>
      <c r="C106" s="3" t="s">
        <v>1233</v>
      </c>
      <c r="D106" s="3" t="s">
        <v>24</v>
      </c>
      <c r="E106" s="3"/>
      <c r="F106" s="3" t="s">
        <v>2343</v>
      </c>
      <c r="G106" s="3" t="s">
        <v>16</v>
      </c>
      <c r="H106" s="3" t="s">
        <v>1214</v>
      </c>
    </row>
    <row r="107" spans="1:8" x14ac:dyDescent="0.35">
      <c r="A107" s="3" t="s">
        <v>1212</v>
      </c>
      <c r="B107" s="3" t="s">
        <v>10</v>
      </c>
      <c r="C107" s="3" t="s">
        <v>1236</v>
      </c>
      <c r="D107" s="3" t="s">
        <v>27</v>
      </c>
      <c r="E107" s="3"/>
      <c r="F107" s="3"/>
      <c r="G107" s="3" t="s">
        <v>16</v>
      </c>
      <c r="H107" s="3" t="s">
        <v>1214</v>
      </c>
    </row>
    <row r="108" spans="1:8" x14ac:dyDescent="0.35">
      <c r="A108" s="3" t="s">
        <v>1212</v>
      </c>
      <c r="B108" s="3" t="s">
        <v>10</v>
      </c>
      <c r="C108" s="3" t="s">
        <v>1236</v>
      </c>
      <c r="D108" s="3" t="s">
        <v>1193</v>
      </c>
      <c r="E108" s="3"/>
      <c r="F108" s="3"/>
      <c r="G108" s="3" t="s">
        <v>16</v>
      </c>
      <c r="H108" s="3" t="s">
        <v>1214</v>
      </c>
    </row>
    <row r="109" spans="1:8" x14ac:dyDescent="0.35">
      <c r="A109" s="3" t="s">
        <v>1212</v>
      </c>
      <c r="B109" s="3" t="s">
        <v>10</v>
      </c>
      <c r="C109" s="3" t="s">
        <v>1236</v>
      </c>
      <c r="D109" s="3" t="s">
        <v>56</v>
      </c>
      <c r="E109" s="3" t="s">
        <v>16</v>
      </c>
      <c r="F109" s="3" t="s">
        <v>1237</v>
      </c>
      <c r="G109" s="3" t="s">
        <v>16</v>
      </c>
      <c r="H109" s="3" t="s">
        <v>1214</v>
      </c>
    </row>
    <row r="110" spans="1:8" x14ac:dyDescent="0.35">
      <c r="A110" s="3" t="s">
        <v>1212</v>
      </c>
      <c r="B110" s="3" t="s">
        <v>10</v>
      </c>
      <c r="C110" s="3" t="s">
        <v>1236</v>
      </c>
      <c r="D110" s="3" t="s">
        <v>24</v>
      </c>
      <c r="E110" s="3"/>
      <c r="F110" s="3"/>
      <c r="G110" s="3" t="s">
        <v>16</v>
      </c>
      <c r="H110" s="3" t="s">
        <v>1214</v>
      </c>
    </row>
    <row r="111" spans="1:8" x14ac:dyDescent="0.35">
      <c r="A111" s="3" t="s">
        <v>1212</v>
      </c>
      <c r="B111" s="3" t="s">
        <v>20</v>
      </c>
      <c r="C111" s="3" t="s">
        <v>1238</v>
      </c>
      <c r="D111" s="3" t="s">
        <v>1216</v>
      </c>
      <c r="E111" s="3" t="s">
        <v>16</v>
      </c>
      <c r="F111" s="3" t="s">
        <v>1239</v>
      </c>
      <c r="G111" s="3" t="s">
        <v>16</v>
      </c>
      <c r="H111" s="3" t="s">
        <v>1214</v>
      </c>
    </row>
    <row r="112" spans="1:8" x14ac:dyDescent="0.35">
      <c r="A112" s="3" t="s">
        <v>1212</v>
      </c>
      <c r="B112" s="3" t="s">
        <v>20</v>
      </c>
      <c r="C112" s="3" t="s">
        <v>1238</v>
      </c>
      <c r="D112" s="3" t="s">
        <v>56</v>
      </c>
      <c r="E112" s="3" t="s">
        <v>16</v>
      </c>
      <c r="F112" s="3" t="s">
        <v>1239</v>
      </c>
      <c r="G112" s="3" t="s">
        <v>16</v>
      </c>
      <c r="H112" s="3" t="s">
        <v>1214</v>
      </c>
    </row>
    <row r="113" spans="1:8" x14ac:dyDescent="0.35">
      <c r="A113" s="3" t="s">
        <v>1212</v>
      </c>
      <c r="B113" s="3" t="s">
        <v>20</v>
      </c>
      <c r="C113" s="3" t="s">
        <v>1240</v>
      </c>
      <c r="D113" s="3" t="s">
        <v>25</v>
      </c>
      <c r="E113" s="3" t="s">
        <v>33</v>
      </c>
      <c r="F113" s="3" t="s">
        <v>1225</v>
      </c>
      <c r="G113" s="3" t="s">
        <v>16</v>
      </c>
      <c r="H113" s="3" t="s">
        <v>1214</v>
      </c>
    </row>
    <row r="114" spans="1:8" x14ac:dyDescent="0.35">
      <c r="A114" s="3" t="s">
        <v>1212</v>
      </c>
      <c r="B114" s="3" t="s">
        <v>20</v>
      </c>
      <c r="C114" s="3" t="s">
        <v>1240</v>
      </c>
      <c r="D114" s="3" t="s">
        <v>60</v>
      </c>
      <c r="E114" s="3" t="s">
        <v>33</v>
      </c>
      <c r="F114" s="3" t="s">
        <v>1225</v>
      </c>
      <c r="G114" s="3" t="s">
        <v>16</v>
      </c>
      <c r="H114" s="3" t="s">
        <v>1214</v>
      </c>
    </row>
    <row r="115" spans="1:8" x14ac:dyDescent="0.35">
      <c r="A115" s="3" t="s">
        <v>1212</v>
      </c>
      <c r="B115" s="3" t="s">
        <v>20</v>
      </c>
      <c r="C115" s="3" t="s">
        <v>1240</v>
      </c>
      <c r="D115" s="3" t="s">
        <v>1193</v>
      </c>
      <c r="E115" s="3" t="s">
        <v>33</v>
      </c>
      <c r="F115" s="3" t="s">
        <v>1225</v>
      </c>
      <c r="G115" s="3" t="s">
        <v>16</v>
      </c>
      <c r="H115" s="3" t="s">
        <v>1214</v>
      </c>
    </row>
    <row r="116" spans="1:8" x14ac:dyDescent="0.35">
      <c r="A116" s="3" t="s">
        <v>1212</v>
      </c>
      <c r="B116" s="3" t="s">
        <v>20</v>
      </c>
      <c r="C116" s="3" t="s">
        <v>1240</v>
      </c>
      <c r="D116" s="3" t="s">
        <v>28</v>
      </c>
      <c r="E116" s="3" t="s">
        <v>33</v>
      </c>
      <c r="F116" s="3" t="s">
        <v>1225</v>
      </c>
      <c r="G116" s="3" t="s">
        <v>16</v>
      </c>
      <c r="H116" s="3" t="s">
        <v>1214</v>
      </c>
    </row>
    <row r="117" spans="1:8" x14ac:dyDescent="0.35">
      <c r="A117" s="3" t="s">
        <v>1212</v>
      </c>
      <c r="B117" s="3" t="s">
        <v>20</v>
      </c>
      <c r="C117" s="3" t="s">
        <v>1240</v>
      </c>
      <c r="D117" s="3" t="s">
        <v>1216</v>
      </c>
      <c r="E117" s="3" t="s">
        <v>33</v>
      </c>
      <c r="F117" s="3" t="s">
        <v>1225</v>
      </c>
      <c r="G117" s="3" t="s">
        <v>16</v>
      </c>
      <c r="H117" s="3" t="s">
        <v>1214</v>
      </c>
    </row>
    <row r="118" spans="1:8" x14ac:dyDescent="0.35">
      <c r="A118" s="3" t="s">
        <v>1212</v>
      </c>
      <c r="B118" s="3" t="s">
        <v>20</v>
      </c>
      <c r="C118" s="3" t="s">
        <v>1240</v>
      </c>
      <c r="D118" s="3" t="s">
        <v>56</v>
      </c>
      <c r="E118" s="3" t="s">
        <v>33</v>
      </c>
      <c r="F118" s="3" t="s">
        <v>1225</v>
      </c>
      <c r="G118" s="3" t="s">
        <v>16</v>
      </c>
      <c r="H118" s="3" t="s">
        <v>1214</v>
      </c>
    </row>
    <row r="119" spans="1:8" x14ac:dyDescent="0.35">
      <c r="A119" s="3" t="s">
        <v>1212</v>
      </c>
      <c r="B119" s="3" t="s">
        <v>20</v>
      </c>
      <c r="C119" s="3" t="s">
        <v>1240</v>
      </c>
      <c r="D119" s="3" t="s">
        <v>24</v>
      </c>
      <c r="E119" s="3" t="s">
        <v>33</v>
      </c>
      <c r="F119" s="3" t="s">
        <v>1225</v>
      </c>
      <c r="G119" s="3" t="s">
        <v>16</v>
      </c>
      <c r="H119" s="3" t="s">
        <v>1214</v>
      </c>
    </row>
    <row r="120" spans="1:8" x14ac:dyDescent="0.35">
      <c r="A120" s="3" t="s">
        <v>1212</v>
      </c>
      <c r="B120" s="3" t="s">
        <v>45</v>
      </c>
      <c r="C120" s="3" t="s">
        <v>1241</v>
      </c>
      <c r="D120" s="3" t="s">
        <v>12</v>
      </c>
      <c r="E120" s="3"/>
      <c r="F120" s="3"/>
      <c r="G120" s="3" t="s">
        <v>16</v>
      </c>
      <c r="H120" s="3" t="s">
        <v>1214</v>
      </c>
    </row>
    <row r="121" spans="1:8" x14ac:dyDescent="0.35">
      <c r="A121" s="3" t="s">
        <v>1212</v>
      </c>
      <c r="B121" s="3" t="s">
        <v>45</v>
      </c>
      <c r="C121" s="3" t="s">
        <v>1241</v>
      </c>
      <c r="D121" s="3" t="s">
        <v>27</v>
      </c>
      <c r="E121" s="3"/>
      <c r="F121" s="3"/>
      <c r="G121" s="3" t="s">
        <v>16</v>
      </c>
      <c r="H121" s="3" t="s">
        <v>1214</v>
      </c>
    </row>
    <row r="122" spans="1:8" x14ac:dyDescent="0.35">
      <c r="A122" s="3" t="s">
        <v>1212</v>
      </c>
      <c r="B122" s="3" t="s">
        <v>45</v>
      </c>
      <c r="C122" s="3" t="s">
        <v>1241</v>
      </c>
      <c r="D122" s="3" t="s">
        <v>1193</v>
      </c>
      <c r="E122" s="3"/>
      <c r="F122" s="3" t="s">
        <v>2344</v>
      </c>
      <c r="G122" s="3" t="s">
        <v>16</v>
      </c>
      <c r="H122" s="3" t="s">
        <v>1214</v>
      </c>
    </row>
    <row r="123" spans="1:8" x14ac:dyDescent="0.35">
      <c r="A123" s="3" t="s">
        <v>1212</v>
      </c>
      <c r="B123" s="3" t="s">
        <v>45</v>
      </c>
      <c r="C123" s="3" t="s">
        <v>1241</v>
      </c>
      <c r="D123" s="3" t="s">
        <v>1216</v>
      </c>
      <c r="E123" s="3" t="s">
        <v>16</v>
      </c>
      <c r="F123" s="3" t="s">
        <v>1242</v>
      </c>
      <c r="G123" s="3" t="s">
        <v>16</v>
      </c>
      <c r="H123" s="3" t="s">
        <v>1214</v>
      </c>
    </row>
    <row r="124" spans="1:8" x14ac:dyDescent="0.35">
      <c r="A124" s="3" t="s">
        <v>1212</v>
      </c>
      <c r="B124" s="3" t="s">
        <v>45</v>
      </c>
      <c r="C124" s="3" t="s">
        <v>1241</v>
      </c>
      <c r="D124" s="3" t="s">
        <v>56</v>
      </c>
      <c r="E124" s="3" t="s">
        <v>16</v>
      </c>
      <c r="F124" s="3" t="s">
        <v>1242</v>
      </c>
      <c r="G124" s="3" t="s">
        <v>16</v>
      </c>
      <c r="H124" s="3" t="s">
        <v>1214</v>
      </c>
    </row>
    <row r="125" spans="1:8" x14ac:dyDescent="0.35">
      <c r="A125" s="3" t="s">
        <v>1212</v>
      </c>
      <c r="B125" s="3" t="s">
        <v>10</v>
      </c>
      <c r="C125" s="3" t="s">
        <v>1243</v>
      </c>
      <c r="D125" s="3" t="s">
        <v>27</v>
      </c>
      <c r="E125" s="3"/>
      <c r="F125" s="3"/>
      <c r="G125" s="3" t="s">
        <v>16</v>
      </c>
      <c r="H125" s="3" t="s">
        <v>1214</v>
      </c>
    </row>
    <row r="126" spans="1:8" x14ac:dyDescent="0.35">
      <c r="A126" s="3" t="s">
        <v>1212</v>
      </c>
      <c r="B126" s="3" t="s">
        <v>10</v>
      </c>
      <c r="C126" s="3" t="s">
        <v>1243</v>
      </c>
      <c r="D126" s="3" t="s">
        <v>1216</v>
      </c>
      <c r="E126" s="3"/>
      <c r="F126" s="3"/>
      <c r="G126" s="3" t="s">
        <v>16</v>
      </c>
      <c r="H126" s="3" t="s">
        <v>1214</v>
      </c>
    </row>
    <row r="127" spans="1:8" x14ac:dyDescent="0.35">
      <c r="A127" s="3" t="s">
        <v>1212</v>
      </c>
      <c r="B127" s="3" t="s">
        <v>10</v>
      </c>
      <c r="C127" s="3" t="s">
        <v>1243</v>
      </c>
      <c r="D127" s="3" t="s">
        <v>24</v>
      </c>
      <c r="E127" s="3"/>
      <c r="F127" s="3"/>
      <c r="G127" s="3" t="s">
        <v>16</v>
      </c>
      <c r="H127" s="3" t="s">
        <v>1214</v>
      </c>
    </row>
    <row r="128" spans="1:8" x14ac:dyDescent="0.35">
      <c r="A128" s="3" t="s">
        <v>1212</v>
      </c>
      <c r="B128" s="3" t="s">
        <v>20</v>
      </c>
      <c r="C128" s="3" t="s">
        <v>1244</v>
      </c>
      <c r="D128" s="3" t="s">
        <v>23</v>
      </c>
      <c r="E128" s="3"/>
      <c r="F128" s="3"/>
      <c r="G128" s="3" t="s">
        <v>16</v>
      </c>
      <c r="H128" s="3" t="s">
        <v>1214</v>
      </c>
    </row>
    <row r="129" spans="1:8" x14ac:dyDescent="0.35">
      <c r="A129" s="3" t="s">
        <v>1212</v>
      </c>
      <c r="B129" s="3" t="s">
        <v>20</v>
      </c>
      <c r="C129" s="3" t="s">
        <v>1244</v>
      </c>
      <c r="D129" s="3" t="s">
        <v>25</v>
      </c>
      <c r="E129" s="3"/>
      <c r="F129" s="3"/>
      <c r="G129" s="3" t="s">
        <v>16</v>
      </c>
      <c r="H129" s="3" t="s">
        <v>1214</v>
      </c>
    </row>
    <row r="130" spans="1:8" x14ac:dyDescent="0.35">
      <c r="A130" s="3" t="s">
        <v>1212</v>
      </c>
      <c r="B130" s="3" t="s">
        <v>20</v>
      </c>
      <c r="C130" s="3" t="s">
        <v>1244</v>
      </c>
      <c r="D130" s="3" t="s">
        <v>1193</v>
      </c>
      <c r="E130" s="3"/>
      <c r="F130" s="3"/>
      <c r="G130" s="3" t="s">
        <v>16</v>
      </c>
      <c r="H130" s="3" t="s">
        <v>1214</v>
      </c>
    </row>
    <row r="131" spans="1:8" x14ac:dyDescent="0.35">
      <c r="A131" s="3" t="s">
        <v>1212</v>
      </c>
      <c r="B131" s="3" t="s">
        <v>20</v>
      </c>
      <c r="C131" s="3" t="s">
        <v>1244</v>
      </c>
      <c r="D131" s="3" t="s">
        <v>28</v>
      </c>
      <c r="E131" s="3"/>
      <c r="F131" s="3"/>
      <c r="G131" s="3" t="s">
        <v>16</v>
      </c>
      <c r="H131" s="3" t="s">
        <v>1214</v>
      </c>
    </row>
    <row r="132" spans="1:8" x14ac:dyDescent="0.35">
      <c r="A132" s="3" t="s">
        <v>1212</v>
      </c>
      <c r="B132" s="3" t="s">
        <v>20</v>
      </c>
      <c r="C132" s="3" t="s">
        <v>1244</v>
      </c>
      <c r="D132" s="3" t="s">
        <v>87</v>
      </c>
      <c r="E132" s="3"/>
      <c r="F132" s="3"/>
      <c r="G132" s="3" t="s">
        <v>16</v>
      </c>
      <c r="H132" s="3" t="s">
        <v>1214</v>
      </c>
    </row>
    <row r="133" spans="1:8" x14ac:dyDescent="0.35">
      <c r="A133" s="3" t="s">
        <v>1212</v>
      </c>
      <c r="B133" s="3" t="s">
        <v>20</v>
      </c>
      <c r="C133" s="3" t="s">
        <v>1244</v>
      </c>
      <c r="D133" s="3" t="s">
        <v>56</v>
      </c>
      <c r="E133" s="3"/>
      <c r="F133" s="3"/>
      <c r="G133" s="3" t="s">
        <v>16</v>
      </c>
      <c r="H133" s="3" t="s">
        <v>1214</v>
      </c>
    </row>
    <row r="134" spans="1:8" x14ac:dyDescent="0.35">
      <c r="A134" s="3" t="s">
        <v>1212</v>
      </c>
      <c r="B134" s="3" t="s">
        <v>20</v>
      </c>
      <c r="C134" s="3" t="s">
        <v>1244</v>
      </c>
      <c r="D134" s="3" t="s">
        <v>152</v>
      </c>
      <c r="E134" s="3"/>
      <c r="F134" s="3"/>
      <c r="G134" s="3" t="s">
        <v>16</v>
      </c>
      <c r="H134" s="3" t="s">
        <v>1214</v>
      </c>
    </row>
    <row r="135" spans="1:8" x14ac:dyDescent="0.35">
      <c r="A135" s="3" t="s">
        <v>1212</v>
      </c>
      <c r="B135" s="3" t="s">
        <v>45</v>
      </c>
      <c r="C135" s="3" t="s">
        <v>1245</v>
      </c>
      <c r="D135" s="3" t="s">
        <v>27</v>
      </c>
      <c r="E135" s="3"/>
      <c r="F135" s="3"/>
      <c r="G135" s="3" t="s">
        <v>16</v>
      </c>
      <c r="H135" s="3" t="s">
        <v>1214</v>
      </c>
    </row>
    <row r="136" spans="1:8" x14ac:dyDescent="0.35">
      <c r="A136" s="3" t="s">
        <v>1212</v>
      </c>
      <c r="B136" s="3" t="s">
        <v>45</v>
      </c>
      <c r="C136" s="3" t="s">
        <v>1245</v>
      </c>
      <c r="D136" s="3" t="s">
        <v>1193</v>
      </c>
      <c r="E136" s="3"/>
      <c r="F136" s="3"/>
      <c r="G136" s="3" t="s">
        <v>16</v>
      </c>
      <c r="H136" s="3" t="s">
        <v>1214</v>
      </c>
    </row>
    <row r="137" spans="1:8" x14ac:dyDescent="0.35">
      <c r="A137" s="3" t="s">
        <v>1212</v>
      </c>
      <c r="B137" s="3" t="s">
        <v>45</v>
      </c>
      <c r="C137" s="3" t="s">
        <v>1245</v>
      </c>
      <c r="D137" s="3" t="s">
        <v>87</v>
      </c>
      <c r="E137" s="3"/>
      <c r="F137" s="3"/>
      <c r="G137" s="3" t="s">
        <v>16</v>
      </c>
      <c r="H137" s="3" t="s">
        <v>1214</v>
      </c>
    </row>
    <row r="138" spans="1:8" x14ac:dyDescent="0.35">
      <c r="A138" s="3" t="s">
        <v>1212</v>
      </c>
      <c r="B138" s="3" t="s">
        <v>45</v>
      </c>
      <c r="C138" s="3" t="s">
        <v>1245</v>
      </c>
      <c r="D138" s="3" t="s">
        <v>1216</v>
      </c>
      <c r="E138" s="3" t="s">
        <v>16</v>
      </c>
      <c r="F138" s="3" t="s">
        <v>1247</v>
      </c>
      <c r="G138" s="3" t="s">
        <v>16</v>
      </c>
      <c r="H138" s="3" t="s">
        <v>1214</v>
      </c>
    </row>
    <row r="139" spans="1:8" x14ac:dyDescent="0.35">
      <c r="A139" s="3" t="s">
        <v>1212</v>
      </c>
      <c r="B139" s="3" t="s">
        <v>45</v>
      </c>
      <c r="C139" s="3" t="s">
        <v>1245</v>
      </c>
      <c r="D139" s="3" t="s">
        <v>372</v>
      </c>
      <c r="E139" s="3" t="s">
        <v>16</v>
      </c>
      <c r="F139" s="3" t="s">
        <v>1246</v>
      </c>
      <c r="G139" s="3" t="s">
        <v>16</v>
      </c>
      <c r="H139" s="3" t="s">
        <v>1214</v>
      </c>
    </row>
    <row r="140" spans="1:8" x14ac:dyDescent="0.35">
      <c r="A140" s="3" t="s">
        <v>1212</v>
      </c>
      <c r="B140" s="3" t="s">
        <v>39</v>
      </c>
      <c r="C140" s="3" t="s">
        <v>1248</v>
      </c>
      <c r="D140" s="3" t="s">
        <v>1193</v>
      </c>
      <c r="E140" s="3" t="s">
        <v>16</v>
      </c>
      <c r="F140" s="3" t="s">
        <v>1249</v>
      </c>
      <c r="G140" s="3" t="s">
        <v>16</v>
      </c>
      <c r="H140" s="3" t="s">
        <v>1214</v>
      </c>
    </row>
    <row r="141" spans="1:8" x14ac:dyDescent="0.35">
      <c r="A141" s="3" t="s">
        <v>1212</v>
      </c>
      <c r="B141" s="3" t="s">
        <v>39</v>
      </c>
      <c r="C141" s="3" t="s">
        <v>1248</v>
      </c>
      <c r="D141" s="3" t="s">
        <v>87</v>
      </c>
      <c r="E141" s="3" t="s">
        <v>16</v>
      </c>
      <c r="F141" s="3" t="s">
        <v>1249</v>
      </c>
      <c r="G141" s="3" t="s">
        <v>16</v>
      </c>
      <c r="H141" s="3" t="s">
        <v>1214</v>
      </c>
    </row>
    <row r="142" spans="1:8" x14ac:dyDescent="0.35">
      <c r="A142" s="3" t="s">
        <v>1212</v>
      </c>
      <c r="B142" s="3" t="s">
        <v>39</v>
      </c>
      <c r="C142" s="3" t="s">
        <v>1248</v>
      </c>
      <c r="D142" s="3" t="s">
        <v>56</v>
      </c>
      <c r="E142" s="3" t="s">
        <v>16</v>
      </c>
      <c r="F142" s="3" t="s">
        <v>1249</v>
      </c>
      <c r="G142" s="3" t="s">
        <v>16</v>
      </c>
      <c r="H142" s="3" t="s">
        <v>1214</v>
      </c>
    </row>
    <row r="143" spans="1:8" x14ac:dyDescent="0.35">
      <c r="A143" s="3" t="s">
        <v>1212</v>
      </c>
      <c r="B143" s="3" t="s">
        <v>39</v>
      </c>
      <c r="C143" s="3" t="s">
        <v>1248</v>
      </c>
      <c r="D143" s="3" t="s">
        <v>29</v>
      </c>
      <c r="E143" s="3" t="s">
        <v>16</v>
      </c>
      <c r="F143" s="3" t="s">
        <v>1249</v>
      </c>
      <c r="G143" s="3" t="s">
        <v>16</v>
      </c>
      <c r="H143" s="3" t="s">
        <v>1214</v>
      </c>
    </row>
    <row r="144" spans="1:8" x14ac:dyDescent="0.35">
      <c r="A144" s="3" t="s">
        <v>1212</v>
      </c>
      <c r="B144" s="3" t="s">
        <v>39</v>
      </c>
      <c r="C144" s="3" t="s">
        <v>1250</v>
      </c>
      <c r="D144" s="3" t="s">
        <v>31</v>
      </c>
      <c r="E144" s="3" t="s">
        <v>16</v>
      </c>
      <c r="F144" s="3" t="s">
        <v>2443</v>
      </c>
      <c r="G144" s="3" t="s">
        <v>16</v>
      </c>
      <c r="H144" s="3" t="s">
        <v>1214</v>
      </c>
    </row>
    <row r="145" spans="1:8" x14ac:dyDescent="0.35">
      <c r="A145" s="3" t="s">
        <v>1212</v>
      </c>
      <c r="B145" s="3" t="s">
        <v>39</v>
      </c>
      <c r="C145" s="3" t="s">
        <v>1250</v>
      </c>
      <c r="D145" s="3" t="s">
        <v>56</v>
      </c>
      <c r="E145" s="3" t="s">
        <v>16</v>
      </c>
      <c r="F145" s="3" t="s">
        <v>2443</v>
      </c>
      <c r="G145" s="3" t="s">
        <v>16</v>
      </c>
      <c r="H145" s="3" t="s">
        <v>1214</v>
      </c>
    </row>
    <row r="146" spans="1:8" x14ac:dyDescent="0.35">
      <c r="A146" s="3" t="s">
        <v>1212</v>
      </c>
      <c r="B146" s="3" t="s">
        <v>10</v>
      </c>
      <c r="C146" s="3" t="s">
        <v>1251</v>
      </c>
      <c r="D146" s="3" t="s">
        <v>56</v>
      </c>
      <c r="E146" s="3" t="s">
        <v>16</v>
      </c>
      <c r="F146" s="3" t="s">
        <v>1252</v>
      </c>
      <c r="G146" s="3" t="s">
        <v>16</v>
      </c>
      <c r="H146" s="3" t="s">
        <v>1214</v>
      </c>
    </row>
    <row r="147" spans="1:8" x14ac:dyDescent="0.35">
      <c r="A147" s="3" t="s">
        <v>1212</v>
      </c>
      <c r="B147" s="3" t="s">
        <v>20</v>
      </c>
      <c r="C147" s="3" t="s">
        <v>1253</v>
      </c>
      <c r="D147" s="3" t="s">
        <v>25</v>
      </c>
      <c r="E147" s="3" t="s">
        <v>16</v>
      </c>
      <c r="F147" s="3" t="s">
        <v>2450</v>
      </c>
      <c r="G147" s="3" t="s">
        <v>16</v>
      </c>
      <c r="H147" s="3" t="s">
        <v>1214</v>
      </c>
    </row>
    <row r="148" spans="1:8" x14ac:dyDescent="0.35">
      <c r="A148" s="3" t="s">
        <v>1212</v>
      </c>
      <c r="B148" s="3" t="s">
        <v>20</v>
      </c>
      <c r="C148" s="3" t="s">
        <v>1253</v>
      </c>
      <c r="D148" s="3" t="s">
        <v>1216</v>
      </c>
      <c r="E148" s="3" t="s">
        <v>16</v>
      </c>
      <c r="F148" s="3" t="s">
        <v>2450</v>
      </c>
      <c r="G148" s="3" t="s">
        <v>16</v>
      </c>
      <c r="H148" s="3" t="s">
        <v>1214</v>
      </c>
    </row>
    <row r="149" spans="1:8" x14ac:dyDescent="0.35">
      <c r="A149" s="3" t="s">
        <v>1212</v>
      </c>
      <c r="B149" s="3" t="s">
        <v>20</v>
      </c>
      <c r="C149" s="3" t="s">
        <v>1253</v>
      </c>
      <c r="D149" s="3" t="s">
        <v>56</v>
      </c>
      <c r="E149" s="3" t="s">
        <v>16</v>
      </c>
      <c r="F149" s="3" t="s">
        <v>2450</v>
      </c>
      <c r="G149" s="3" t="s">
        <v>16</v>
      </c>
      <c r="H149" s="3" t="s">
        <v>1214</v>
      </c>
    </row>
    <row r="150" spans="1:8" x14ac:dyDescent="0.35">
      <c r="A150" s="3" t="s">
        <v>1212</v>
      </c>
      <c r="B150" s="3" t="s">
        <v>20</v>
      </c>
      <c r="C150" s="3" t="s">
        <v>1253</v>
      </c>
      <c r="D150" s="3" t="s">
        <v>29</v>
      </c>
      <c r="E150" s="3" t="s">
        <v>16</v>
      </c>
      <c r="F150" s="3" t="s">
        <v>2450</v>
      </c>
      <c r="G150" s="3" t="s">
        <v>16</v>
      </c>
      <c r="H150" s="3" t="s">
        <v>1214</v>
      </c>
    </row>
    <row r="151" spans="1:8" x14ac:dyDescent="0.35">
      <c r="A151" s="3" t="s">
        <v>1212</v>
      </c>
      <c r="B151" s="3" t="s">
        <v>45</v>
      </c>
      <c r="C151" s="3" t="s">
        <v>1254</v>
      </c>
      <c r="D151" s="3" t="s">
        <v>25</v>
      </c>
      <c r="E151" s="3"/>
      <c r="F151" s="3"/>
      <c r="G151" s="3" t="s">
        <v>16</v>
      </c>
      <c r="H151" s="3" t="s">
        <v>1214</v>
      </c>
    </row>
    <row r="152" spans="1:8" x14ac:dyDescent="0.35">
      <c r="A152" s="3" t="s">
        <v>1212</v>
      </c>
      <c r="B152" s="3" t="s">
        <v>45</v>
      </c>
      <c r="C152" s="3" t="s">
        <v>1254</v>
      </c>
      <c r="D152" s="3" t="s">
        <v>27</v>
      </c>
      <c r="E152" s="3"/>
      <c r="F152" s="3"/>
      <c r="G152" s="3" t="s">
        <v>16</v>
      </c>
      <c r="H152" s="3" t="s">
        <v>1214</v>
      </c>
    </row>
    <row r="153" spans="1:8" x14ac:dyDescent="0.35">
      <c r="A153" s="3" t="s">
        <v>1212</v>
      </c>
      <c r="B153" s="3" t="s">
        <v>45</v>
      </c>
      <c r="C153" s="3" t="s">
        <v>1254</v>
      </c>
      <c r="D153" s="3" t="s">
        <v>1193</v>
      </c>
      <c r="E153" s="3"/>
      <c r="F153" s="3"/>
      <c r="G153" s="3" t="s">
        <v>16</v>
      </c>
      <c r="H153" s="3" t="s">
        <v>1214</v>
      </c>
    </row>
    <row r="154" spans="1:8" x14ac:dyDescent="0.35">
      <c r="A154" s="3" t="s">
        <v>1212</v>
      </c>
      <c r="B154" s="3" t="s">
        <v>45</v>
      </c>
      <c r="C154" s="3" t="s">
        <v>1254</v>
      </c>
      <c r="D154" s="3" t="s">
        <v>28</v>
      </c>
      <c r="E154" s="3"/>
      <c r="F154" s="3"/>
      <c r="G154" s="3" t="s">
        <v>16</v>
      </c>
      <c r="H154" s="3" t="s">
        <v>1214</v>
      </c>
    </row>
    <row r="155" spans="1:8" x14ac:dyDescent="0.35">
      <c r="A155" s="3" t="s">
        <v>1212</v>
      </c>
      <c r="B155" s="3" t="s">
        <v>45</v>
      </c>
      <c r="C155" s="3" t="s">
        <v>1254</v>
      </c>
      <c r="D155" s="3" t="s">
        <v>1216</v>
      </c>
      <c r="E155" s="3" t="s">
        <v>16</v>
      </c>
      <c r="F155" s="3" t="s">
        <v>1255</v>
      </c>
      <c r="G155" s="3" t="s">
        <v>16</v>
      </c>
      <c r="H155" s="3" t="s">
        <v>1214</v>
      </c>
    </row>
    <row r="156" spans="1:8" x14ac:dyDescent="0.35">
      <c r="A156" s="3" t="s">
        <v>1212</v>
      </c>
      <c r="B156" s="3" t="s">
        <v>45</v>
      </c>
      <c r="C156" s="3" t="s">
        <v>1254</v>
      </c>
      <c r="D156" s="3" t="s">
        <v>56</v>
      </c>
      <c r="E156" s="3"/>
      <c r="F156" s="3"/>
      <c r="G156" s="3" t="s">
        <v>16</v>
      </c>
      <c r="H156" s="3" t="s">
        <v>1214</v>
      </c>
    </row>
    <row r="157" spans="1:8" x14ac:dyDescent="0.35">
      <c r="A157" s="3" t="s">
        <v>1212</v>
      </c>
      <c r="B157" s="3" t="s">
        <v>45</v>
      </c>
      <c r="C157" s="3" t="s">
        <v>1254</v>
      </c>
      <c r="D157" s="3" t="s">
        <v>152</v>
      </c>
      <c r="E157" s="3"/>
      <c r="F157" s="3"/>
      <c r="G157" s="3" t="s">
        <v>16</v>
      </c>
      <c r="H157" s="3" t="s">
        <v>1214</v>
      </c>
    </row>
    <row r="158" spans="1:8" x14ac:dyDescent="0.35">
      <c r="A158" s="3" t="s">
        <v>1212</v>
      </c>
      <c r="B158" s="3" t="s">
        <v>45</v>
      </c>
      <c r="C158" s="3" t="s">
        <v>1254</v>
      </c>
      <c r="D158" s="3" t="s">
        <v>24</v>
      </c>
      <c r="E158" s="3"/>
      <c r="F158" s="3"/>
      <c r="G158" s="3" t="s">
        <v>16</v>
      </c>
      <c r="H158" s="3" t="s">
        <v>1214</v>
      </c>
    </row>
    <row r="159" spans="1:8" x14ac:dyDescent="0.35">
      <c r="A159" s="3" t="s">
        <v>1212</v>
      </c>
      <c r="B159" s="3" t="s">
        <v>42</v>
      </c>
      <c r="C159" s="3" t="s">
        <v>1256</v>
      </c>
      <c r="D159" s="3" t="s">
        <v>60</v>
      </c>
      <c r="E159" s="3" t="s">
        <v>16</v>
      </c>
      <c r="F159" s="3" t="s">
        <v>2847</v>
      </c>
      <c r="G159" s="3" t="s">
        <v>16</v>
      </c>
      <c r="H159" s="3" t="s">
        <v>1214</v>
      </c>
    </row>
    <row r="160" spans="1:8" x14ac:dyDescent="0.35">
      <c r="A160" s="3" t="s">
        <v>1212</v>
      </c>
      <c r="B160" s="3" t="s">
        <v>42</v>
      </c>
      <c r="C160" s="3" t="s">
        <v>1256</v>
      </c>
      <c r="D160" s="3" t="s">
        <v>1193</v>
      </c>
      <c r="E160" s="3"/>
      <c r="F160" s="3"/>
      <c r="G160" s="3" t="s">
        <v>16</v>
      </c>
      <c r="H160" s="3" t="s">
        <v>1214</v>
      </c>
    </row>
    <row r="161" spans="1:8" x14ac:dyDescent="0.35">
      <c r="A161" s="3" t="s">
        <v>1212</v>
      </c>
      <c r="B161" s="3" t="s">
        <v>42</v>
      </c>
      <c r="C161" s="3" t="s">
        <v>1256</v>
      </c>
      <c r="D161" s="3" t="s">
        <v>87</v>
      </c>
      <c r="E161" s="3"/>
      <c r="F161" s="3"/>
      <c r="G161" s="3" t="s">
        <v>16</v>
      </c>
      <c r="H161" s="3" t="s">
        <v>1214</v>
      </c>
    </row>
    <row r="162" spans="1:8" x14ac:dyDescent="0.35">
      <c r="A162" s="3" t="s">
        <v>1212</v>
      </c>
      <c r="B162" s="3" t="s">
        <v>42</v>
      </c>
      <c r="C162" s="3" t="s">
        <v>1256</v>
      </c>
      <c r="D162" s="3" t="s">
        <v>31</v>
      </c>
      <c r="E162" s="3"/>
      <c r="F162" s="3"/>
      <c r="G162" s="3" t="s">
        <v>16</v>
      </c>
      <c r="H162" s="3" t="s">
        <v>1214</v>
      </c>
    </row>
    <row r="163" spans="1:8" x14ac:dyDescent="0.35">
      <c r="A163" s="3" t="s">
        <v>1212</v>
      </c>
      <c r="B163" s="3" t="s">
        <v>42</v>
      </c>
      <c r="C163" s="3" t="s">
        <v>1256</v>
      </c>
      <c r="D163" s="3" t="s">
        <v>56</v>
      </c>
      <c r="E163" s="3" t="s">
        <v>16</v>
      </c>
      <c r="F163" s="3" t="s">
        <v>1257</v>
      </c>
      <c r="G163" s="3" t="s">
        <v>16</v>
      </c>
      <c r="H163" s="3" t="s">
        <v>1214</v>
      </c>
    </row>
    <row r="164" spans="1:8" x14ac:dyDescent="0.35">
      <c r="A164" s="3" t="s">
        <v>1212</v>
      </c>
      <c r="B164" s="3" t="s">
        <v>20</v>
      </c>
      <c r="C164" s="3" t="s">
        <v>1258</v>
      </c>
      <c r="D164" s="3" t="s">
        <v>27</v>
      </c>
      <c r="E164" s="3"/>
      <c r="F164" s="3"/>
      <c r="G164" s="3" t="s">
        <v>16</v>
      </c>
      <c r="H164" s="3" t="s">
        <v>1214</v>
      </c>
    </row>
    <row r="165" spans="1:8" x14ac:dyDescent="0.35">
      <c r="A165" s="3" t="s">
        <v>1212</v>
      </c>
      <c r="B165" s="3" t="s">
        <v>20</v>
      </c>
      <c r="C165" s="3" t="s">
        <v>1258</v>
      </c>
      <c r="D165" s="3" t="s">
        <v>1216</v>
      </c>
      <c r="E165" s="3" t="s">
        <v>16</v>
      </c>
      <c r="F165" s="3" t="s">
        <v>1260</v>
      </c>
      <c r="G165" s="3" t="s">
        <v>16</v>
      </c>
      <c r="H165" s="3" t="s">
        <v>1214</v>
      </c>
    </row>
    <row r="166" spans="1:8" x14ac:dyDescent="0.35">
      <c r="A166" s="3" t="s">
        <v>1212</v>
      </c>
      <c r="B166" s="3" t="s">
        <v>20</v>
      </c>
      <c r="C166" s="3" t="s">
        <v>1258</v>
      </c>
      <c r="D166" s="3" t="s">
        <v>56</v>
      </c>
      <c r="E166" s="3" t="s">
        <v>16</v>
      </c>
      <c r="F166" s="3" t="s">
        <v>1259</v>
      </c>
      <c r="G166" s="3" t="s">
        <v>16</v>
      </c>
      <c r="H166" s="3" t="s">
        <v>1214</v>
      </c>
    </row>
    <row r="167" spans="1:8" x14ac:dyDescent="0.35">
      <c r="A167" s="3" t="s">
        <v>1212</v>
      </c>
      <c r="B167" s="3" t="s">
        <v>10</v>
      </c>
      <c r="C167" s="3" t="s">
        <v>1261</v>
      </c>
      <c r="D167" s="3" t="s">
        <v>1216</v>
      </c>
      <c r="E167" s="3" t="s">
        <v>16</v>
      </c>
      <c r="F167" s="3" t="s">
        <v>1263</v>
      </c>
      <c r="G167" s="3" t="s">
        <v>16</v>
      </c>
      <c r="H167" s="3" t="s">
        <v>1214</v>
      </c>
    </row>
    <row r="168" spans="1:8" x14ac:dyDescent="0.35">
      <c r="A168" s="3" t="s">
        <v>1212</v>
      </c>
      <c r="B168" s="3" t="s">
        <v>10</v>
      </c>
      <c r="C168" s="3" t="s">
        <v>1261</v>
      </c>
      <c r="D168" s="3" t="s">
        <v>56</v>
      </c>
      <c r="E168" s="3" t="s">
        <v>16</v>
      </c>
      <c r="F168" s="3" t="s">
        <v>1262</v>
      </c>
      <c r="G168" s="3" t="s">
        <v>16</v>
      </c>
      <c r="H168" s="3" t="s">
        <v>1214</v>
      </c>
    </row>
    <row r="169" spans="1:8" x14ac:dyDescent="0.35">
      <c r="A169" s="3" t="s">
        <v>1212</v>
      </c>
      <c r="B169" s="3" t="s">
        <v>10</v>
      </c>
      <c r="C169" s="3" t="s">
        <v>1261</v>
      </c>
      <c r="D169" s="3" t="s">
        <v>134</v>
      </c>
      <c r="E169" s="3"/>
      <c r="F169" s="3"/>
      <c r="G169" s="3" t="s">
        <v>16</v>
      </c>
      <c r="H169" s="3" t="s">
        <v>1214</v>
      </c>
    </row>
    <row r="170" spans="1:8" x14ac:dyDescent="0.35">
      <c r="A170" s="3" t="s">
        <v>1212</v>
      </c>
      <c r="B170" s="3" t="s">
        <v>45</v>
      </c>
      <c r="C170" s="3" t="s">
        <v>1264</v>
      </c>
      <c r="D170" s="3" t="s">
        <v>27</v>
      </c>
      <c r="E170" s="3"/>
      <c r="F170" s="3"/>
      <c r="G170" s="3" t="s">
        <v>16</v>
      </c>
      <c r="H170" s="3" t="s">
        <v>1214</v>
      </c>
    </row>
    <row r="171" spans="1:8" x14ac:dyDescent="0.35">
      <c r="A171" s="3" t="s">
        <v>1212</v>
      </c>
      <c r="B171" s="3" t="s">
        <v>45</v>
      </c>
      <c r="C171" s="3" t="s">
        <v>1264</v>
      </c>
      <c r="D171" s="3" t="s">
        <v>1193</v>
      </c>
      <c r="E171" s="3"/>
      <c r="F171" s="3"/>
      <c r="G171" s="3" t="s">
        <v>16</v>
      </c>
      <c r="H171" s="3" t="s">
        <v>1214</v>
      </c>
    </row>
    <row r="172" spans="1:8" x14ac:dyDescent="0.35">
      <c r="A172" s="3" t="s">
        <v>1212</v>
      </c>
      <c r="B172" s="3" t="s">
        <v>45</v>
      </c>
      <c r="C172" s="3" t="s">
        <v>1264</v>
      </c>
      <c r="D172" s="3" t="s">
        <v>28</v>
      </c>
      <c r="E172" s="3"/>
      <c r="F172" s="3"/>
      <c r="G172" s="3" t="s">
        <v>16</v>
      </c>
      <c r="H172" s="3" t="s">
        <v>1214</v>
      </c>
    </row>
    <row r="173" spans="1:8" x14ac:dyDescent="0.35">
      <c r="A173" s="3" t="s">
        <v>1212</v>
      </c>
      <c r="B173" s="3" t="s">
        <v>45</v>
      </c>
      <c r="C173" s="3" t="s">
        <v>1264</v>
      </c>
      <c r="D173" s="3" t="s">
        <v>57</v>
      </c>
      <c r="E173" s="3" t="s">
        <v>16</v>
      </c>
      <c r="F173" s="3" t="s">
        <v>1265</v>
      </c>
      <c r="G173" s="3" t="s">
        <v>16</v>
      </c>
      <c r="H173" s="3" t="s">
        <v>1214</v>
      </c>
    </row>
    <row r="174" spans="1:8" x14ac:dyDescent="0.35">
      <c r="A174" s="3" t="s">
        <v>1212</v>
      </c>
      <c r="B174" s="3" t="s">
        <v>45</v>
      </c>
      <c r="C174" s="3" t="s">
        <v>1264</v>
      </c>
      <c r="D174" s="3" t="s">
        <v>29</v>
      </c>
      <c r="E174" s="3"/>
      <c r="F174" s="3"/>
      <c r="G174" s="3" t="s">
        <v>16</v>
      </c>
      <c r="H174" s="3" t="s">
        <v>1214</v>
      </c>
    </row>
    <row r="175" spans="1:8" x14ac:dyDescent="0.35">
      <c r="A175" s="3" t="s">
        <v>1212</v>
      </c>
      <c r="B175" s="3" t="s">
        <v>45</v>
      </c>
      <c r="C175" s="3" t="s">
        <v>1264</v>
      </c>
      <c r="D175" s="3" t="s">
        <v>24</v>
      </c>
      <c r="E175" s="3"/>
      <c r="F175" s="3"/>
      <c r="G175" s="3" t="s">
        <v>16</v>
      </c>
      <c r="H175" s="3" t="s">
        <v>1214</v>
      </c>
    </row>
    <row r="176" spans="1:8" x14ac:dyDescent="0.35">
      <c r="A176" s="3" t="s">
        <v>1212</v>
      </c>
      <c r="B176" s="3" t="s">
        <v>45</v>
      </c>
      <c r="C176" s="3" t="s">
        <v>1266</v>
      </c>
      <c r="D176" s="3" t="s">
        <v>87</v>
      </c>
      <c r="E176" s="3"/>
      <c r="F176" s="3"/>
      <c r="G176" s="3" t="s">
        <v>16</v>
      </c>
      <c r="H176" s="3" t="s">
        <v>1214</v>
      </c>
    </row>
    <row r="177" spans="1:8" x14ac:dyDescent="0.35">
      <c r="A177" s="3" t="s">
        <v>1212</v>
      </c>
      <c r="B177" s="3" t="s">
        <v>45</v>
      </c>
      <c r="C177" s="3" t="s">
        <v>1266</v>
      </c>
      <c r="D177" s="3" t="s">
        <v>56</v>
      </c>
      <c r="E177" s="3" t="s">
        <v>16</v>
      </c>
      <c r="F177" s="3" t="s">
        <v>1267</v>
      </c>
      <c r="G177" s="3" t="s">
        <v>16</v>
      </c>
      <c r="H177" s="3" t="s">
        <v>1214</v>
      </c>
    </row>
    <row r="178" spans="1:8" x14ac:dyDescent="0.35">
      <c r="A178" s="3" t="s">
        <v>1212</v>
      </c>
      <c r="B178" s="3" t="s">
        <v>45</v>
      </c>
      <c r="C178" s="3" t="s">
        <v>1266</v>
      </c>
      <c r="D178" s="3" t="s">
        <v>24</v>
      </c>
      <c r="E178" s="3"/>
      <c r="F178" s="3" t="s">
        <v>2429</v>
      </c>
      <c r="G178" s="3" t="s">
        <v>16</v>
      </c>
      <c r="H178" s="3" t="s">
        <v>1214</v>
      </c>
    </row>
    <row r="179" spans="1:8" x14ac:dyDescent="0.35">
      <c r="A179" s="3" t="s">
        <v>1212</v>
      </c>
      <c r="B179" s="3" t="s">
        <v>45</v>
      </c>
      <c r="C179" s="3" t="s">
        <v>1268</v>
      </c>
      <c r="D179" s="3" t="s">
        <v>1193</v>
      </c>
      <c r="E179" s="3"/>
      <c r="F179" s="3"/>
      <c r="G179" s="3" t="s">
        <v>16</v>
      </c>
      <c r="H179" s="3" t="s">
        <v>1214</v>
      </c>
    </row>
    <row r="180" spans="1:8" x14ac:dyDescent="0.35">
      <c r="A180" s="3" t="s">
        <v>1212</v>
      </c>
      <c r="B180" s="3" t="s">
        <v>45</v>
      </c>
      <c r="C180" s="3" t="s">
        <v>1268</v>
      </c>
      <c r="D180" s="3" t="s">
        <v>87</v>
      </c>
      <c r="E180" s="3"/>
      <c r="F180" s="3"/>
      <c r="G180" s="3" t="s">
        <v>16</v>
      </c>
      <c r="H180" s="3" t="s">
        <v>1214</v>
      </c>
    </row>
    <row r="181" spans="1:8" x14ac:dyDescent="0.35">
      <c r="A181" s="3" t="s">
        <v>1212</v>
      </c>
      <c r="B181" s="3" t="s">
        <v>45</v>
      </c>
      <c r="C181" s="3" t="s">
        <v>1268</v>
      </c>
      <c r="D181" s="3" t="s">
        <v>56</v>
      </c>
      <c r="E181" s="3" t="s">
        <v>16</v>
      </c>
      <c r="F181" s="3" t="s">
        <v>2475</v>
      </c>
      <c r="G181" s="3" t="s">
        <v>16</v>
      </c>
      <c r="H181" s="3" t="s">
        <v>1214</v>
      </c>
    </row>
    <row r="182" spans="1:8" x14ac:dyDescent="0.35">
      <c r="A182" s="3" t="s">
        <v>1212</v>
      </c>
      <c r="B182" s="3" t="s">
        <v>10</v>
      </c>
      <c r="C182" s="3" t="s">
        <v>1269</v>
      </c>
      <c r="D182" s="3" t="s">
        <v>1216</v>
      </c>
      <c r="E182" s="3" t="s">
        <v>13</v>
      </c>
      <c r="F182" s="3" t="s">
        <v>1271</v>
      </c>
      <c r="G182" s="3" t="s">
        <v>16</v>
      </c>
      <c r="H182" s="3" t="s">
        <v>1214</v>
      </c>
    </row>
    <row r="183" spans="1:8" x14ac:dyDescent="0.35">
      <c r="A183" s="3" t="s">
        <v>1212</v>
      </c>
      <c r="B183" s="3" t="s">
        <v>10</v>
      </c>
      <c r="C183" s="3" t="s">
        <v>1269</v>
      </c>
      <c r="D183" s="3" t="s">
        <v>56</v>
      </c>
      <c r="E183" s="3" t="s">
        <v>13</v>
      </c>
      <c r="F183" s="3" t="s">
        <v>1270</v>
      </c>
      <c r="G183" s="3" t="s">
        <v>16</v>
      </c>
      <c r="H183" s="3" t="s">
        <v>1214</v>
      </c>
    </row>
    <row r="184" spans="1:8" x14ac:dyDescent="0.35">
      <c r="A184" s="3" t="s">
        <v>1212</v>
      </c>
      <c r="B184" s="3" t="s">
        <v>10</v>
      </c>
      <c r="C184" s="3" t="s">
        <v>1269</v>
      </c>
      <c r="D184" s="3" t="s">
        <v>24</v>
      </c>
      <c r="E184" s="3" t="s">
        <v>13</v>
      </c>
      <c r="F184" s="3" t="s">
        <v>1272</v>
      </c>
      <c r="G184" s="3" t="s">
        <v>16</v>
      </c>
      <c r="H184" s="3" t="s">
        <v>1214</v>
      </c>
    </row>
    <row r="185" spans="1:8" x14ac:dyDescent="0.35">
      <c r="A185" s="3" t="s">
        <v>1212</v>
      </c>
      <c r="B185" s="3" t="s">
        <v>45</v>
      </c>
      <c r="C185" s="3" t="s">
        <v>1273</v>
      </c>
      <c r="D185" s="3" t="s">
        <v>1193</v>
      </c>
      <c r="E185" s="3"/>
      <c r="F185" s="3"/>
      <c r="G185" s="3" t="s">
        <v>16</v>
      </c>
      <c r="H185" s="3" t="s">
        <v>1214</v>
      </c>
    </row>
    <row r="186" spans="1:8" x14ac:dyDescent="0.35">
      <c r="A186" s="3" t="s">
        <v>1212</v>
      </c>
      <c r="B186" s="3" t="s">
        <v>45</v>
      </c>
      <c r="C186" s="3" t="s">
        <v>1273</v>
      </c>
      <c r="D186" s="3" t="s">
        <v>87</v>
      </c>
      <c r="E186" s="3"/>
      <c r="F186" s="3"/>
      <c r="G186" s="3" t="s">
        <v>16</v>
      </c>
      <c r="H186" s="3" t="s">
        <v>1214</v>
      </c>
    </row>
    <row r="187" spans="1:8" x14ac:dyDescent="0.35">
      <c r="A187" s="3" t="s">
        <v>1212</v>
      </c>
      <c r="B187" s="3" t="s">
        <v>45</v>
      </c>
      <c r="C187" s="3" t="s">
        <v>1273</v>
      </c>
      <c r="D187" s="3" t="s">
        <v>56</v>
      </c>
      <c r="E187" s="3" t="s">
        <v>16</v>
      </c>
      <c r="F187" s="3" t="s">
        <v>2475</v>
      </c>
      <c r="G187" s="3" t="s">
        <v>16</v>
      </c>
      <c r="H187" s="3" t="s">
        <v>1214</v>
      </c>
    </row>
    <row r="188" spans="1:8" x14ac:dyDescent="0.35">
      <c r="A188" s="3" t="s">
        <v>1212</v>
      </c>
      <c r="B188" s="3" t="s">
        <v>45</v>
      </c>
      <c r="C188" s="3" t="s">
        <v>1274</v>
      </c>
      <c r="D188" s="3" t="s">
        <v>1193</v>
      </c>
      <c r="E188" s="3"/>
      <c r="F188" s="3"/>
      <c r="G188" s="3" t="s">
        <v>16</v>
      </c>
      <c r="H188" s="3" t="s">
        <v>1214</v>
      </c>
    </row>
    <row r="189" spans="1:8" x14ac:dyDescent="0.35">
      <c r="A189" s="3" t="s">
        <v>1212</v>
      </c>
      <c r="B189" s="3" t="s">
        <v>45</v>
      </c>
      <c r="C189" s="3" t="s">
        <v>1274</v>
      </c>
      <c r="D189" s="3" t="s">
        <v>87</v>
      </c>
      <c r="E189" s="3"/>
      <c r="F189" s="3"/>
      <c r="G189" s="3" t="s">
        <v>16</v>
      </c>
      <c r="H189" s="3" t="s">
        <v>1214</v>
      </c>
    </row>
    <row r="190" spans="1:8" x14ac:dyDescent="0.35">
      <c r="A190" s="3" t="s">
        <v>1212</v>
      </c>
      <c r="B190" s="3" t="s">
        <v>45</v>
      </c>
      <c r="C190" s="3" t="s">
        <v>1274</v>
      </c>
      <c r="D190" s="3" t="s">
        <v>56</v>
      </c>
      <c r="E190" s="3" t="s">
        <v>16</v>
      </c>
      <c r="F190" s="3" t="s">
        <v>1275</v>
      </c>
      <c r="G190" s="3" t="s">
        <v>16</v>
      </c>
      <c r="H190" s="3" t="s">
        <v>1214</v>
      </c>
    </row>
    <row r="191" spans="1:8" x14ac:dyDescent="0.35">
      <c r="A191" s="3" t="s">
        <v>1212</v>
      </c>
      <c r="B191" s="3" t="s">
        <v>39</v>
      </c>
      <c r="C191" s="3" t="s">
        <v>2755</v>
      </c>
      <c r="D191" s="3" t="s">
        <v>27</v>
      </c>
      <c r="E191" s="3" t="s">
        <v>16</v>
      </c>
      <c r="F191" s="3" t="s">
        <v>2756</v>
      </c>
      <c r="G191" s="3" t="s">
        <v>16</v>
      </c>
      <c r="H191" s="3" t="s">
        <v>1214</v>
      </c>
    </row>
    <row r="192" spans="1:8" x14ac:dyDescent="0.35">
      <c r="A192" s="3" t="s">
        <v>1212</v>
      </c>
      <c r="B192" s="3" t="s">
        <v>39</v>
      </c>
      <c r="C192" s="3" t="s">
        <v>2755</v>
      </c>
      <c r="D192" s="3" t="s">
        <v>1216</v>
      </c>
      <c r="E192" s="3" t="s">
        <v>16</v>
      </c>
      <c r="F192" s="3" t="s">
        <v>2756</v>
      </c>
      <c r="G192" s="3" t="s">
        <v>16</v>
      </c>
      <c r="H192" s="3" t="s">
        <v>1214</v>
      </c>
    </row>
    <row r="193" spans="1:8" x14ac:dyDescent="0.35">
      <c r="A193" s="3" t="s">
        <v>1212</v>
      </c>
      <c r="B193" s="3" t="s">
        <v>39</v>
      </c>
      <c r="C193" s="3" t="s">
        <v>2755</v>
      </c>
      <c r="D193" s="3" t="s">
        <v>32</v>
      </c>
      <c r="E193" s="3" t="s">
        <v>16</v>
      </c>
      <c r="F193" s="3" t="s">
        <v>2756</v>
      </c>
      <c r="G193" s="3" t="s">
        <v>16</v>
      </c>
      <c r="H193" s="3" t="s">
        <v>1214</v>
      </c>
    </row>
    <row r="194" spans="1:8" x14ac:dyDescent="0.35">
      <c r="A194" s="3" t="s">
        <v>1212</v>
      </c>
      <c r="B194" s="3" t="s">
        <v>39</v>
      </c>
      <c r="C194" s="3" t="s">
        <v>1276</v>
      </c>
      <c r="D194" s="3" t="s">
        <v>87</v>
      </c>
      <c r="E194" s="3"/>
      <c r="F194" s="3" t="s">
        <v>2411</v>
      </c>
      <c r="G194" s="3" t="s">
        <v>16</v>
      </c>
      <c r="H194" s="3" t="s">
        <v>1214</v>
      </c>
    </row>
    <row r="195" spans="1:8" x14ac:dyDescent="0.35">
      <c r="A195" s="3" t="s">
        <v>1212</v>
      </c>
      <c r="B195" s="3" t="s">
        <v>39</v>
      </c>
      <c r="C195" s="3" t="s">
        <v>1276</v>
      </c>
      <c r="D195" s="3" t="s">
        <v>1216</v>
      </c>
      <c r="E195" s="3" t="s">
        <v>16</v>
      </c>
      <c r="F195" s="3" t="s">
        <v>1278</v>
      </c>
      <c r="G195" s="3" t="s">
        <v>16</v>
      </c>
      <c r="H195" s="3" t="s">
        <v>1214</v>
      </c>
    </row>
    <row r="196" spans="1:8" x14ac:dyDescent="0.35">
      <c r="A196" s="3" t="s">
        <v>1212</v>
      </c>
      <c r="B196" s="3" t="s">
        <v>39</v>
      </c>
      <c r="C196" s="3" t="s">
        <v>1276</v>
      </c>
      <c r="D196" s="3" t="s">
        <v>56</v>
      </c>
      <c r="E196" s="3"/>
      <c r="F196" s="3"/>
      <c r="G196" s="3" t="s">
        <v>16</v>
      </c>
      <c r="H196" s="3" t="s">
        <v>1214</v>
      </c>
    </row>
    <row r="197" spans="1:8" x14ac:dyDescent="0.35">
      <c r="A197" s="3" t="s">
        <v>1212</v>
      </c>
      <c r="B197" s="3" t="s">
        <v>39</v>
      </c>
      <c r="C197" s="3" t="s">
        <v>1276</v>
      </c>
      <c r="D197" s="3" t="s">
        <v>32</v>
      </c>
      <c r="E197" s="3" t="s">
        <v>16</v>
      </c>
      <c r="F197" s="3" t="s">
        <v>1277</v>
      </c>
      <c r="G197" s="3" t="s">
        <v>16</v>
      </c>
      <c r="H197" s="3" t="s">
        <v>1214</v>
      </c>
    </row>
    <row r="198" spans="1:8" x14ac:dyDescent="0.35">
      <c r="A198" s="3" t="s">
        <v>1212</v>
      </c>
      <c r="B198" s="3" t="s">
        <v>39</v>
      </c>
      <c r="C198" s="3" t="s">
        <v>1279</v>
      </c>
      <c r="D198" s="3" t="s">
        <v>1216</v>
      </c>
      <c r="E198" s="3" t="s">
        <v>16</v>
      </c>
      <c r="F198" s="3" t="s">
        <v>1249</v>
      </c>
      <c r="G198" s="3" t="s">
        <v>16</v>
      </c>
      <c r="H198" s="3" t="s">
        <v>1214</v>
      </c>
    </row>
    <row r="199" spans="1:8" x14ac:dyDescent="0.35">
      <c r="A199" s="3" t="s">
        <v>1212</v>
      </c>
      <c r="B199" s="3" t="s">
        <v>39</v>
      </c>
      <c r="C199" s="3" t="s">
        <v>1279</v>
      </c>
      <c r="D199" s="3" t="s">
        <v>56</v>
      </c>
      <c r="E199" s="3" t="s">
        <v>16</v>
      </c>
      <c r="F199" s="3" t="s">
        <v>1249</v>
      </c>
      <c r="G199" s="3" t="s">
        <v>16</v>
      </c>
      <c r="H199" s="3" t="s">
        <v>1214</v>
      </c>
    </row>
    <row r="200" spans="1:8" x14ac:dyDescent="0.35">
      <c r="A200" s="3" t="s">
        <v>1212</v>
      </c>
      <c r="B200" s="3" t="s">
        <v>39</v>
      </c>
      <c r="C200" s="3" t="s">
        <v>1279</v>
      </c>
      <c r="D200" s="3" t="s">
        <v>29</v>
      </c>
      <c r="E200" s="3" t="s">
        <v>16</v>
      </c>
      <c r="F200" s="3" t="s">
        <v>2478</v>
      </c>
      <c r="G200" s="3" t="s">
        <v>16</v>
      </c>
      <c r="H200" s="3" t="s">
        <v>1214</v>
      </c>
    </row>
    <row r="201" spans="1:8" x14ac:dyDescent="0.35">
      <c r="A201" s="3" t="s">
        <v>1212</v>
      </c>
      <c r="B201" s="3" t="s">
        <v>39</v>
      </c>
      <c r="C201" s="3" t="s">
        <v>1280</v>
      </c>
      <c r="D201" s="3" t="s">
        <v>87</v>
      </c>
      <c r="E201" s="3" t="s">
        <v>13</v>
      </c>
      <c r="F201" s="3" t="s">
        <v>1281</v>
      </c>
      <c r="G201" s="3" t="s">
        <v>16</v>
      </c>
      <c r="H201" s="3" t="s">
        <v>1214</v>
      </c>
    </row>
    <row r="202" spans="1:8" x14ac:dyDescent="0.35">
      <c r="A202" s="3" t="s">
        <v>1212</v>
      </c>
      <c r="B202" s="3" t="s">
        <v>39</v>
      </c>
      <c r="C202" s="3" t="s">
        <v>1280</v>
      </c>
      <c r="D202" s="3" t="s">
        <v>15</v>
      </c>
      <c r="E202" s="3" t="s">
        <v>13</v>
      </c>
      <c r="F202" s="3" t="s">
        <v>1271</v>
      </c>
      <c r="G202" s="3" t="s">
        <v>16</v>
      </c>
      <c r="H202" s="3" t="s">
        <v>1214</v>
      </c>
    </row>
    <row r="203" spans="1:8" x14ac:dyDescent="0.35">
      <c r="A203" s="3" t="s">
        <v>1212</v>
      </c>
      <c r="B203" s="3" t="s">
        <v>39</v>
      </c>
      <c r="C203" s="3" t="s">
        <v>1280</v>
      </c>
      <c r="D203" s="3" t="s">
        <v>56</v>
      </c>
      <c r="E203" s="3" t="s">
        <v>13</v>
      </c>
      <c r="F203" s="3" t="s">
        <v>1282</v>
      </c>
      <c r="G203" s="3" t="s">
        <v>16</v>
      </c>
      <c r="H203" s="3" t="s">
        <v>1214</v>
      </c>
    </row>
    <row r="204" spans="1:8" x14ac:dyDescent="0.35">
      <c r="A204" s="3" t="s">
        <v>1212</v>
      </c>
      <c r="B204" s="3" t="s">
        <v>39</v>
      </c>
      <c r="C204" s="3" t="s">
        <v>1280</v>
      </c>
      <c r="D204" s="3" t="s">
        <v>24</v>
      </c>
      <c r="E204" s="3" t="s">
        <v>13</v>
      </c>
      <c r="F204" s="3" t="s">
        <v>2480</v>
      </c>
      <c r="G204" s="3" t="s">
        <v>16</v>
      </c>
      <c r="H204" s="3" t="s">
        <v>1214</v>
      </c>
    </row>
    <row r="205" spans="1:8" x14ac:dyDescent="0.35">
      <c r="A205" s="3" t="s">
        <v>1212</v>
      </c>
      <c r="B205" s="3" t="s">
        <v>45</v>
      </c>
      <c r="C205" s="3" t="s">
        <v>1283</v>
      </c>
      <c r="D205" s="3" t="s">
        <v>1193</v>
      </c>
      <c r="E205" s="3"/>
      <c r="F205" s="3"/>
      <c r="G205" s="3" t="s">
        <v>16</v>
      </c>
      <c r="H205" s="3" t="s">
        <v>1214</v>
      </c>
    </row>
    <row r="206" spans="1:8" x14ac:dyDescent="0.35">
      <c r="A206" s="3" t="s">
        <v>1212</v>
      </c>
      <c r="B206" s="3" t="s">
        <v>45</v>
      </c>
      <c r="C206" s="3" t="s">
        <v>1283</v>
      </c>
      <c r="D206" s="3" t="s">
        <v>87</v>
      </c>
      <c r="E206" s="3"/>
      <c r="F206" s="3"/>
      <c r="G206" s="3" t="s">
        <v>16</v>
      </c>
      <c r="H206" s="3" t="s">
        <v>1214</v>
      </c>
    </row>
    <row r="207" spans="1:8" x14ac:dyDescent="0.35">
      <c r="A207" s="3" t="s">
        <v>1212</v>
      </c>
      <c r="B207" s="3" t="s">
        <v>45</v>
      </c>
      <c r="C207" s="3" t="s">
        <v>1283</v>
      </c>
      <c r="D207" s="3" t="s">
        <v>56</v>
      </c>
      <c r="E207" s="3" t="s">
        <v>16</v>
      </c>
      <c r="F207" s="3" t="s">
        <v>1284</v>
      </c>
      <c r="G207" s="3" t="s">
        <v>16</v>
      </c>
      <c r="H207" s="3" t="s">
        <v>1214</v>
      </c>
    </row>
    <row r="208" spans="1:8" x14ac:dyDescent="0.35">
      <c r="A208" s="3" t="s">
        <v>1285</v>
      </c>
      <c r="B208" s="3" t="s">
        <v>42</v>
      </c>
      <c r="C208" s="3" t="s">
        <v>1286</v>
      </c>
      <c r="D208" s="3" t="s">
        <v>12</v>
      </c>
      <c r="E208" s="3"/>
      <c r="F208" s="3"/>
      <c r="G208" s="3" t="s">
        <v>13</v>
      </c>
      <c r="H208" s="3" t="s">
        <v>1287</v>
      </c>
    </row>
    <row r="209" spans="1:8" x14ac:dyDescent="0.35">
      <c r="A209" s="3" t="s">
        <v>1285</v>
      </c>
      <c r="B209" s="3" t="s">
        <v>42</v>
      </c>
      <c r="C209" s="3" t="s">
        <v>1286</v>
      </c>
      <c r="D209" s="3" t="s">
        <v>36</v>
      </c>
      <c r="E209" s="3" t="s">
        <v>33</v>
      </c>
      <c r="F209" s="3" t="s">
        <v>314</v>
      </c>
      <c r="G209" s="3" t="s">
        <v>13</v>
      </c>
      <c r="H209" s="3" t="s">
        <v>1287</v>
      </c>
    </row>
    <row r="210" spans="1:8" x14ac:dyDescent="0.35">
      <c r="A210" s="3" t="s">
        <v>1285</v>
      </c>
      <c r="B210" s="3" t="s">
        <v>42</v>
      </c>
      <c r="C210" s="3" t="s">
        <v>1286</v>
      </c>
      <c r="D210" s="3" t="s">
        <v>141</v>
      </c>
      <c r="E210" s="3" t="s">
        <v>13</v>
      </c>
      <c r="F210" s="3" t="s">
        <v>144</v>
      </c>
      <c r="G210" s="3" t="s">
        <v>13</v>
      </c>
      <c r="H210" s="3" t="s">
        <v>1287</v>
      </c>
    </row>
    <row r="211" spans="1:8" x14ac:dyDescent="0.35">
      <c r="A211" s="3" t="s">
        <v>1285</v>
      </c>
      <c r="B211" s="3" t="s">
        <v>42</v>
      </c>
      <c r="C211" s="3" t="s">
        <v>1286</v>
      </c>
      <c r="D211" s="3" t="s">
        <v>44</v>
      </c>
      <c r="E211" s="3"/>
      <c r="F211" s="3"/>
      <c r="G211" s="3" t="s">
        <v>13</v>
      </c>
      <c r="H211" s="3" t="s">
        <v>1287</v>
      </c>
    </row>
    <row r="212" spans="1:8" x14ac:dyDescent="0.35">
      <c r="A212" s="3" t="s">
        <v>1285</v>
      </c>
      <c r="B212" s="3" t="s">
        <v>42</v>
      </c>
      <c r="C212" s="3" t="s">
        <v>1286</v>
      </c>
      <c r="D212" s="3" t="s">
        <v>15</v>
      </c>
      <c r="E212" s="3" t="s">
        <v>13</v>
      </c>
      <c r="F212" s="3" t="s">
        <v>1288</v>
      </c>
      <c r="G212" s="3" t="s">
        <v>13</v>
      </c>
      <c r="H212" s="3" t="s">
        <v>1287</v>
      </c>
    </row>
    <row r="213" spans="1:8" x14ac:dyDescent="0.35">
      <c r="A213" s="3" t="s">
        <v>1285</v>
      </c>
      <c r="B213" s="3" t="s">
        <v>42</v>
      </c>
      <c r="C213" s="3" t="s">
        <v>1286</v>
      </c>
      <c r="D213" s="3" t="s">
        <v>82</v>
      </c>
      <c r="E213" s="3" t="s">
        <v>13</v>
      </c>
      <c r="F213" s="3" t="s">
        <v>144</v>
      </c>
      <c r="G213" s="3" t="s">
        <v>13</v>
      </c>
      <c r="H213" s="3" t="s">
        <v>1287</v>
      </c>
    </row>
    <row r="214" spans="1:8" x14ac:dyDescent="0.35">
      <c r="A214" s="3" t="s">
        <v>1289</v>
      </c>
      <c r="B214" s="3" t="s">
        <v>10</v>
      </c>
      <c r="C214" s="3" t="s">
        <v>1290</v>
      </c>
      <c r="D214" s="3" t="s">
        <v>47</v>
      </c>
      <c r="E214" s="3"/>
      <c r="F214" s="3"/>
      <c r="G214" s="3"/>
      <c r="H214" s="3"/>
    </row>
    <row r="215" spans="1:8" x14ac:dyDescent="0.35">
      <c r="A215" s="3" t="s">
        <v>1289</v>
      </c>
      <c r="B215" s="3" t="s">
        <v>10</v>
      </c>
      <c r="C215" s="3" t="s">
        <v>1290</v>
      </c>
      <c r="D215" s="3" t="s">
        <v>28</v>
      </c>
      <c r="E215" s="3"/>
      <c r="F215" s="3"/>
      <c r="G215" s="3"/>
      <c r="H215" s="3"/>
    </row>
    <row r="216" spans="1:8" x14ac:dyDescent="0.35">
      <c r="A216" s="3" t="s">
        <v>1289</v>
      </c>
      <c r="B216" s="3" t="s">
        <v>10</v>
      </c>
      <c r="C216" s="3" t="s">
        <v>1290</v>
      </c>
      <c r="D216" s="3" t="s">
        <v>15</v>
      </c>
      <c r="E216" s="3" t="s">
        <v>16</v>
      </c>
      <c r="F216" s="3" t="s">
        <v>1291</v>
      </c>
      <c r="G216" s="3"/>
      <c r="H216" s="3"/>
    </row>
    <row r="217" spans="1:8" x14ac:dyDescent="0.35">
      <c r="A217" s="3" t="s">
        <v>1289</v>
      </c>
      <c r="B217" s="3" t="s">
        <v>10</v>
      </c>
      <c r="C217" s="3" t="s">
        <v>1290</v>
      </c>
      <c r="D217" s="3" t="s">
        <v>57</v>
      </c>
      <c r="E217" s="3" t="s">
        <v>33</v>
      </c>
      <c r="F217" s="3" t="s">
        <v>34</v>
      </c>
      <c r="G217" s="3"/>
      <c r="H217" s="3"/>
    </row>
    <row r="218" spans="1:8" x14ac:dyDescent="0.35">
      <c r="A218" s="3" t="s">
        <v>1289</v>
      </c>
      <c r="B218" s="3" t="s">
        <v>10</v>
      </c>
      <c r="C218" s="3" t="s">
        <v>1290</v>
      </c>
      <c r="D218" s="3" t="s">
        <v>32</v>
      </c>
      <c r="E218" s="3"/>
      <c r="F218" s="3"/>
      <c r="G218" s="3"/>
      <c r="H218" s="3"/>
    </row>
    <row r="219" spans="1:8" x14ac:dyDescent="0.35">
      <c r="A219" s="3" t="s">
        <v>1289</v>
      </c>
      <c r="B219" s="3" t="s">
        <v>10</v>
      </c>
      <c r="C219" s="3" t="s">
        <v>1290</v>
      </c>
      <c r="D219" s="3" t="s">
        <v>134</v>
      </c>
      <c r="E219" s="3"/>
      <c r="F219" s="3"/>
      <c r="G219" s="3"/>
      <c r="H219" s="3"/>
    </row>
    <row r="220" spans="1:8" x14ac:dyDescent="0.35">
      <c r="A220" s="3" t="s">
        <v>1289</v>
      </c>
      <c r="B220" s="3" t="s">
        <v>20</v>
      </c>
      <c r="C220" s="3" t="s">
        <v>1292</v>
      </c>
      <c r="D220" s="3" t="s">
        <v>87</v>
      </c>
      <c r="E220" s="3"/>
      <c r="F220" s="3"/>
      <c r="G220" s="3"/>
      <c r="H220" s="3"/>
    </row>
    <row r="221" spans="1:8" x14ac:dyDescent="0.35">
      <c r="A221" s="3" t="s">
        <v>1289</v>
      </c>
      <c r="B221" s="3" t="s">
        <v>20</v>
      </c>
      <c r="C221" s="3" t="s">
        <v>1292</v>
      </c>
      <c r="D221" s="3" t="s">
        <v>31</v>
      </c>
      <c r="E221" s="3"/>
      <c r="F221" s="3"/>
      <c r="G221" s="3"/>
      <c r="H221" s="3"/>
    </row>
    <row r="222" spans="1:8" x14ac:dyDescent="0.35">
      <c r="A222" s="3" t="s">
        <v>1289</v>
      </c>
      <c r="B222" s="3" t="s">
        <v>20</v>
      </c>
      <c r="C222" s="3" t="s">
        <v>1292</v>
      </c>
      <c r="D222" s="3" t="s">
        <v>15</v>
      </c>
      <c r="E222" s="3" t="s">
        <v>16</v>
      </c>
      <c r="F222" s="3" t="s">
        <v>1293</v>
      </c>
      <c r="G222" s="3"/>
      <c r="H222" s="3"/>
    </row>
    <row r="223" spans="1:8" x14ac:dyDescent="0.35">
      <c r="A223" s="3" t="s">
        <v>1289</v>
      </c>
      <c r="B223" s="3" t="s">
        <v>39</v>
      </c>
      <c r="C223" s="3" t="s">
        <v>1294</v>
      </c>
      <c r="D223" s="3" t="s">
        <v>25</v>
      </c>
      <c r="E223" s="3"/>
      <c r="F223" s="3"/>
      <c r="G223" s="3"/>
      <c r="H223" s="3"/>
    </row>
    <row r="224" spans="1:8" x14ac:dyDescent="0.35">
      <c r="A224" s="3" t="s">
        <v>1289</v>
      </c>
      <c r="B224" s="3" t="s">
        <v>39</v>
      </c>
      <c r="C224" s="3" t="s">
        <v>1294</v>
      </c>
      <c r="D224" s="3" t="s">
        <v>142</v>
      </c>
      <c r="E224" s="3"/>
      <c r="F224" s="3"/>
      <c r="G224" s="3"/>
      <c r="H224" s="3"/>
    </row>
    <row r="225" spans="1:8" x14ac:dyDescent="0.35">
      <c r="A225" s="3" t="s">
        <v>1289</v>
      </c>
      <c r="B225" s="3" t="s">
        <v>39</v>
      </c>
      <c r="C225" s="3" t="s">
        <v>1294</v>
      </c>
      <c r="D225" s="3" t="s">
        <v>15</v>
      </c>
      <c r="E225" s="3" t="s">
        <v>16</v>
      </c>
      <c r="F225" s="3" t="s">
        <v>1295</v>
      </c>
      <c r="G225" s="3"/>
      <c r="H225" s="3"/>
    </row>
    <row r="226" spans="1:8" x14ac:dyDescent="0.35">
      <c r="A226" s="3" t="s">
        <v>1289</v>
      </c>
      <c r="B226" s="3" t="s">
        <v>39</v>
      </c>
      <c r="C226" s="3" t="s">
        <v>1294</v>
      </c>
      <c r="D226" s="3" t="s">
        <v>107</v>
      </c>
      <c r="E226" s="3" t="s">
        <v>16</v>
      </c>
      <c r="F226" s="3" t="s">
        <v>1296</v>
      </c>
      <c r="G226" s="3"/>
      <c r="H226" s="3"/>
    </row>
    <row r="227" spans="1:8" x14ac:dyDescent="0.35">
      <c r="A227" s="3" t="s">
        <v>1289</v>
      </c>
      <c r="B227" s="3" t="s">
        <v>10</v>
      </c>
      <c r="C227" s="3" t="s">
        <v>1297</v>
      </c>
      <c r="D227" s="3" t="s">
        <v>28</v>
      </c>
      <c r="E227" s="3"/>
      <c r="F227" s="3" t="s">
        <v>2409</v>
      </c>
      <c r="G227" s="3"/>
      <c r="H227" s="3"/>
    </row>
    <row r="228" spans="1:8" x14ac:dyDescent="0.35">
      <c r="A228" s="3" t="s">
        <v>1289</v>
      </c>
      <c r="B228" s="3" t="s">
        <v>10</v>
      </c>
      <c r="C228" s="3" t="s">
        <v>1297</v>
      </c>
      <c r="D228" s="3" t="s">
        <v>15</v>
      </c>
      <c r="E228" s="3" t="s">
        <v>16</v>
      </c>
      <c r="F228" s="3" t="s">
        <v>1298</v>
      </c>
      <c r="G228" s="3"/>
      <c r="H228" s="3"/>
    </row>
    <row r="229" spans="1:8" x14ac:dyDescent="0.35">
      <c r="A229" s="3" t="s">
        <v>1289</v>
      </c>
      <c r="B229" s="3" t="s">
        <v>10</v>
      </c>
      <c r="C229" s="3" t="s">
        <v>1297</v>
      </c>
      <c r="D229" s="3" t="s">
        <v>29</v>
      </c>
      <c r="E229" s="3"/>
      <c r="F229" s="3" t="s">
        <v>2315</v>
      </c>
      <c r="G229" s="3"/>
      <c r="H229" s="3"/>
    </row>
    <row r="230" spans="1:8" x14ac:dyDescent="0.35">
      <c r="A230" s="3" t="s">
        <v>1289</v>
      </c>
      <c r="B230" s="3" t="s">
        <v>10</v>
      </c>
      <c r="C230" s="3" t="s">
        <v>1299</v>
      </c>
      <c r="D230" s="3" t="s">
        <v>28</v>
      </c>
      <c r="E230" s="3"/>
      <c r="F230" s="3"/>
      <c r="G230" s="3"/>
      <c r="H230" s="3"/>
    </row>
    <row r="231" spans="1:8" x14ac:dyDescent="0.35">
      <c r="A231" s="3" t="s">
        <v>1289</v>
      </c>
      <c r="B231" s="3" t="s">
        <v>39</v>
      </c>
      <c r="C231" s="3" t="s">
        <v>1300</v>
      </c>
      <c r="D231" s="3" t="s">
        <v>23</v>
      </c>
      <c r="E231" s="3"/>
      <c r="F231" s="3"/>
      <c r="G231" s="3"/>
      <c r="H231" s="3"/>
    </row>
    <row r="232" spans="1:8" x14ac:dyDescent="0.35">
      <c r="A232" s="3" t="s">
        <v>1289</v>
      </c>
      <c r="B232" s="3" t="s">
        <v>39</v>
      </c>
      <c r="C232" s="3" t="s">
        <v>1300</v>
      </c>
      <c r="D232" s="3" t="s">
        <v>27</v>
      </c>
      <c r="E232" s="3"/>
      <c r="F232" s="3"/>
      <c r="G232" s="3"/>
      <c r="H232" s="3"/>
    </row>
    <row r="233" spans="1:8" x14ac:dyDescent="0.35">
      <c r="A233" s="3" t="s">
        <v>1289</v>
      </c>
      <c r="B233" s="3" t="s">
        <v>39</v>
      </c>
      <c r="C233" s="3" t="s">
        <v>1300</v>
      </c>
      <c r="D233" s="3" t="s">
        <v>87</v>
      </c>
      <c r="E233" s="3"/>
      <c r="F233" s="3"/>
      <c r="G233" s="3"/>
      <c r="H233" s="3"/>
    </row>
    <row r="234" spans="1:8" x14ac:dyDescent="0.35">
      <c r="A234" s="3" t="s">
        <v>1289</v>
      </c>
      <c r="B234" s="3" t="s">
        <v>20</v>
      </c>
      <c r="C234" s="3" t="s">
        <v>1301</v>
      </c>
      <c r="D234" s="3" t="s">
        <v>23</v>
      </c>
      <c r="E234" s="3"/>
      <c r="F234" s="3"/>
      <c r="G234" s="3"/>
      <c r="H234" s="3"/>
    </row>
    <row r="235" spans="1:8" x14ac:dyDescent="0.35">
      <c r="A235" s="3" t="s">
        <v>1289</v>
      </c>
      <c r="B235" s="3" t="s">
        <v>20</v>
      </c>
      <c r="C235" s="3" t="s">
        <v>1301</v>
      </c>
      <c r="D235" s="3" t="s">
        <v>25</v>
      </c>
      <c r="E235" s="3"/>
      <c r="F235" s="3"/>
      <c r="G235" s="3"/>
      <c r="H235" s="3"/>
    </row>
    <row r="236" spans="1:8" x14ac:dyDescent="0.35">
      <c r="A236" s="3" t="s">
        <v>1289</v>
      </c>
      <c r="B236" s="3" t="s">
        <v>20</v>
      </c>
      <c r="C236" s="3" t="s">
        <v>1301</v>
      </c>
      <c r="D236" s="3" t="s">
        <v>77</v>
      </c>
      <c r="E236" s="3"/>
      <c r="F236" s="3"/>
      <c r="G236" s="3"/>
      <c r="H236" s="3"/>
    </row>
    <row r="237" spans="1:8" x14ac:dyDescent="0.35">
      <c r="A237" s="3" t="s">
        <v>1289</v>
      </c>
      <c r="B237" s="3" t="s">
        <v>20</v>
      </c>
      <c r="C237" s="3" t="s">
        <v>1301</v>
      </c>
      <c r="D237" s="3" t="s">
        <v>87</v>
      </c>
      <c r="E237" s="3"/>
      <c r="F237" s="3"/>
      <c r="G237" s="3"/>
      <c r="H237" s="3"/>
    </row>
    <row r="238" spans="1:8" x14ac:dyDescent="0.35">
      <c r="A238" s="3" t="s">
        <v>1289</v>
      </c>
      <c r="B238" s="3" t="s">
        <v>20</v>
      </c>
      <c r="C238" s="3" t="s">
        <v>1301</v>
      </c>
      <c r="D238" s="3" t="s">
        <v>15</v>
      </c>
      <c r="E238" s="3" t="s">
        <v>16</v>
      </c>
      <c r="F238" s="3" t="s">
        <v>1302</v>
      </c>
      <c r="G238" s="3"/>
      <c r="H238" s="3"/>
    </row>
    <row r="239" spans="1:8" x14ac:dyDescent="0.35">
      <c r="A239" s="3" t="s">
        <v>1289</v>
      </c>
      <c r="B239" s="3" t="s">
        <v>45</v>
      </c>
      <c r="C239" s="3" t="s">
        <v>1303</v>
      </c>
      <c r="D239" s="3" t="s">
        <v>23</v>
      </c>
      <c r="E239" s="3" t="s">
        <v>16</v>
      </c>
      <c r="F239" s="3" t="s">
        <v>1304</v>
      </c>
      <c r="G239" s="3"/>
      <c r="H239" s="3"/>
    </row>
    <row r="240" spans="1:8" x14ac:dyDescent="0.35">
      <c r="A240" s="3" t="s">
        <v>1289</v>
      </c>
      <c r="B240" s="3" t="s">
        <v>45</v>
      </c>
      <c r="C240" s="3" t="s">
        <v>1303</v>
      </c>
      <c r="D240" s="3" t="s">
        <v>25</v>
      </c>
      <c r="E240" s="3"/>
      <c r="F240" s="3"/>
      <c r="G240" s="3"/>
      <c r="H240" s="3"/>
    </row>
    <row r="241" spans="1:8" x14ac:dyDescent="0.35">
      <c r="A241" s="3" t="s">
        <v>1289</v>
      </c>
      <c r="B241" s="3" t="s">
        <v>45</v>
      </c>
      <c r="C241" s="3" t="s">
        <v>1303</v>
      </c>
      <c r="D241" s="3" t="s">
        <v>142</v>
      </c>
      <c r="E241" s="3"/>
      <c r="F241" s="3"/>
      <c r="G241" s="3"/>
      <c r="H241" s="3"/>
    </row>
    <row r="242" spans="1:8" x14ac:dyDescent="0.35">
      <c r="A242" s="3" t="s">
        <v>1289</v>
      </c>
      <c r="B242" s="3" t="s">
        <v>45</v>
      </c>
      <c r="C242" s="3" t="s">
        <v>1303</v>
      </c>
      <c r="D242" s="3" t="s">
        <v>77</v>
      </c>
      <c r="E242" s="3"/>
      <c r="F242" s="3"/>
      <c r="G242" s="3"/>
      <c r="H242" s="3"/>
    </row>
    <row r="243" spans="1:8" x14ac:dyDescent="0.35">
      <c r="A243" s="3" t="s">
        <v>1289</v>
      </c>
      <c r="B243" s="3" t="s">
        <v>45</v>
      </c>
      <c r="C243" s="3" t="s">
        <v>1303</v>
      </c>
      <c r="D243" s="3" t="s">
        <v>28</v>
      </c>
      <c r="E243" s="3"/>
      <c r="F243" s="3"/>
      <c r="G243" s="3"/>
      <c r="H243" s="3"/>
    </row>
    <row r="244" spans="1:8" x14ac:dyDescent="0.35">
      <c r="A244" s="3" t="s">
        <v>1289</v>
      </c>
      <c r="B244" s="3" t="s">
        <v>45</v>
      </c>
      <c r="C244" s="3" t="s">
        <v>1303</v>
      </c>
      <c r="D244" s="3" t="s">
        <v>31</v>
      </c>
      <c r="E244" s="3"/>
      <c r="F244" s="3"/>
      <c r="G244" s="3"/>
      <c r="H244" s="3"/>
    </row>
    <row r="245" spans="1:8" x14ac:dyDescent="0.35">
      <c r="A245" s="3" t="s">
        <v>1289</v>
      </c>
      <c r="B245" s="3" t="s">
        <v>45</v>
      </c>
      <c r="C245" s="3" t="s">
        <v>1303</v>
      </c>
      <c r="D245" s="3" t="s">
        <v>15</v>
      </c>
      <c r="E245" s="3" t="s">
        <v>16</v>
      </c>
      <c r="F245" s="3" t="s">
        <v>1305</v>
      </c>
      <c r="G245" s="3"/>
      <c r="H245" s="3"/>
    </row>
    <row r="246" spans="1:8" x14ac:dyDescent="0.35">
      <c r="A246" s="3" t="s">
        <v>1289</v>
      </c>
      <c r="B246" s="3" t="s">
        <v>45</v>
      </c>
      <c r="C246" s="3" t="s">
        <v>1303</v>
      </c>
      <c r="D246" s="3" t="s">
        <v>107</v>
      </c>
      <c r="E246" s="3" t="s">
        <v>16</v>
      </c>
      <c r="F246" s="3" t="s">
        <v>1306</v>
      </c>
      <c r="G246" s="3"/>
      <c r="H246" s="3"/>
    </row>
    <row r="247" spans="1:8" x14ac:dyDescent="0.35">
      <c r="A247" s="3" t="s">
        <v>1289</v>
      </c>
      <c r="B247" s="3" t="s">
        <v>45</v>
      </c>
      <c r="C247" s="3" t="s">
        <v>1303</v>
      </c>
      <c r="D247" s="3" t="s">
        <v>372</v>
      </c>
      <c r="E247" s="3"/>
      <c r="F247" s="3" t="s">
        <v>2410</v>
      </c>
      <c r="G247" s="3"/>
      <c r="H247" s="3"/>
    </row>
    <row r="248" spans="1:8" x14ac:dyDescent="0.35">
      <c r="A248" s="3" t="s">
        <v>1289</v>
      </c>
      <c r="B248" s="3" t="s">
        <v>10</v>
      </c>
      <c r="C248" s="3" t="s">
        <v>1307</v>
      </c>
      <c r="D248" s="3" t="s">
        <v>12</v>
      </c>
      <c r="E248" s="3"/>
      <c r="F248" s="3"/>
      <c r="G248" s="3"/>
      <c r="H248" s="3"/>
    </row>
    <row r="249" spans="1:8" x14ac:dyDescent="0.35">
      <c r="A249" s="3" t="s">
        <v>1289</v>
      </c>
      <c r="B249" s="3" t="s">
        <v>10</v>
      </c>
      <c r="C249" s="3" t="s">
        <v>1307</v>
      </c>
      <c r="D249" s="3" t="s">
        <v>36</v>
      </c>
      <c r="E249" s="3"/>
      <c r="F249" s="3" t="s">
        <v>2695</v>
      </c>
      <c r="G249" s="3"/>
      <c r="H249" s="3"/>
    </row>
    <row r="250" spans="1:8" x14ac:dyDescent="0.35">
      <c r="A250" s="3" t="s">
        <v>1289</v>
      </c>
      <c r="B250" s="3" t="s">
        <v>10</v>
      </c>
      <c r="C250" s="3" t="s">
        <v>1307</v>
      </c>
      <c r="D250" s="3" t="s">
        <v>28</v>
      </c>
      <c r="E250" s="3"/>
      <c r="F250" s="3"/>
      <c r="G250" s="3"/>
      <c r="H250" s="3"/>
    </row>
    <row r="251" spans="1:8" x14ac:dyDescent="0.35">
      <c r="A251" s="3" t="s">
        <v>1289</v>
      </c>
      <c r="B251" s="3" t="s">
        <v>10</v>
      </c>
      <c r="C251" s="3" t="s">
        <v>1307</v>
      </c>
      <c r="D251" s="3" t="s">
        <v>15</v>
      </c>
      <c r="E251" s="3" t="s">
        <v>16</v>
      </c>
      <c r="F251" s="3" t="s">
        <v>2694</v>
      </c>
      <c r="G251" s="3"/>
      <c r="H251" s="3"/>
    </row>
    <row r="252" spans="1:8" x14ac:dyDescent="0.35">
      <c r="A252" s="3" t="s">
        <v>1289</v>
      </c>
      <c r="B252" s="3" t="s">
        <v>10</v>
      </c>
      <c r="C252" s="3" t="s">
        <v>1307</v>
      </c>
      <c r="D252" s="3" t="s">
        <v>56</v>
      </c>
      <c r="E252" s="3"/>
      <c r="F252" s="3"/>
      <c r="G252" s="3"/>
      <c r="H252" s="3"/>
    </row>
    <row r="253" spans="1:8" x14ac:dyDescent="0.35">
      <c r="A253" s="3" t="s">
        <v>1289</v>
      </c>
      <c r="B253" s="3" t="s">
        <v>10</v>
      </c>
      <c r="C253" s="3" t="s">
        <v>1307</v>
      </c>
      <c r="D253" s="3" t="s">
        <v>29</v>
      </c>
      <c r="E253" s="3"/>
      <c r="F253" s="3" t="s">
        <v>2315</v>
      </c>
      <c r="G253" s="3"/>
      <c r="H253" s="3"/>
    </row>
    <row r="254" spans="1:8" x14ac:dyDescent="0.35">
      <c r="A254" s="3" t="s">
        <v>1289</v>
      </c>
      <c r="B254" s="3" t="s">
        <v>10</v>
      </c>
      <c r="C254" s="3" t="s">
        <v>1308</v>
      </c>
      <c r="D254" s="3" t="s">
        <v>12</v>
      </c>
      <c r="E254" s="3"/>
      <c r="F254" s="3"/>
      <c r="G254" s="3"/>
      <c r="H254" s="3"/>
    </row>
    <row r="255" spans="1:8" x14ac:dyDescent="0.35">
      <c r="A255" s="3" t="s">
        <v>1289</v>
      </c>
      <c r="B255" s="3" t="s">
        <v>10</v>
      </c>
      <c r="C255" s="3" t="s">
        <v>1308</v>
      </c>
      <c r="D255" s="3" t="s">
        <v>25</v>
      </c>
      <c r="E255" s="3"/>
      <c r="F255" s="3"/>
      <c r="G255" s="3"/>
      <c r="H255" s="3"/>
    </row>
    <row r="256" spans="1:8" x14ac:dyDescent="0.35">
      <c r="A256" s="3" t="s">
        <v>1289</v>
      </c>
      <c r="B256" s="3" t="s">
        <v>10</v>
      </c>
      <c r="C256" s="3" t="s">
        <v>1308</v>
      </c>
      <c r="D256" s="3" t="s">
        <v>27</v>
      </c>
      <c r="E256" s="3"/>
      <c r="F256" s="3"/>
      <c r="G256" s="3"/>
      <c r="H256" s="3"/>
    </row>
    <row r="257" spans="1:8" x14ac:dyDescent="0.35">
      <c r="A257" s="3" t="s">
        <v>1289</v>
      </c>
      <c r="B257" s="3" t="s">
        <v>10</v>
      </c>
      <c r="C257" s="3" t="s">
        <v>1308</v>
      </c>
      <c r="D257" s="3" t="s">
        <v>15</v>
      </c>
      <c r="E257" s="3" t="s">
        <v>16</v>
      </c>
      <c r="F257" s="3" t="s">
        <v>1309</v>
      </c>
      <c r="G257" s="3"/>
      <c r="H257" s="3"/>
    </row>
    <row r="258" spans="1:8" x14ac:dyDescent="0.35">
      <c r="A258" s="3" t="s">
        <v>1289</v>
      </c>
      <c r="B258" s="3" t="s">
        <v>10</v>
      </c>
      <c r="C258" s="3" t="s">
        <v>1308</v>
      </c>
      <c r="D258" s="3" t="s">
        <v>29</v>
      </c>
      <c r="E258" s="3"/>
      <c r="F258" s="3" t="s">
        <v>2332</v>
      </c>
      <c r="G258" s="3"/>
      <c r="H258" s="3"/>
    </row>
    <row r="259" spans="1:8" x14ac:dyDescent="0.35">
      <c r="A259" s="3" t="s">
        <v>1289</v>
      </c>
      <c r="B259" s="3" t="s">
        <v>10</v>
      </c>
      <c r="C259" s="3" t="s">
        <v>1310</v>
      </c>
      <c r="D259" s="3" t="s">
        <v>15</v>
      </c>
      <c r="E259" s="3" t="s">
        <v>16</v>
      </c>
      <c r="F259" s="3" t="s">
        <v>1311</v>
      </c>
      <c r="G259" s="3"/>
      <c r="H259" s="3"/>
    </row>
    <row r="260" spans="1:8" x14ac:dyDescent="0.35">
      <c r="A260" s="3" t="s">
        <v>1289</v>
      </c>
      <c r="B260" s="3" t="s">
        <v>10</v>
      </c>
      <c r="C260" s="3" t="s">
        <v>1310</v>
      </c>
      <c r="D260" s="3" t="s">
        <v>134</v>
      </c>
      <c r="E260" s="3" t="s">
        <v>16</v>
      </c>
      <c r="F260" s="3" t="s">
        <v>1312</v>
      </c>
      <c r="G260" s="3"/>
      <c r="H260" s="3"/>
    </row>
    <row r="261" spans="1:8" x14ac:dyDescent="0.35">
      <c r="A261" s="3" t="s">
        <v>1289</v>
      </c>
      <c r="B261" s="3" t="s">
        <v>20</v>
      </c>
      <c r="C261" s="3" t="s">
        <v>1313</v>
      </c>
      <c r="D261" s="3" t="s">
        <v>12</v>
      </c>
      <c r="E261" s="3"/>
      <c r="F261" s="3"/>
      <c r="G261" s="3"/>
      <c r="H261" s="3"/>
    </row>
    <row r="262" spans="1:8" x14ac:dyDescent="0.35">
      <c r="A262" s="3" t="s">
        <v>1289</v>
      </c>
      <c r="B262" s="3" t="s">
        <v>20</v>
      </c>
      <c r="C262" s="3" t="s">
        <v>1313</v>
      </c>
      <c r="D262" s="3" t="s">
        <v>36</v>
      </c>
      <c r="E262" s="3" t="s">
        <v>16</v>
      </c>
      <c r="F262" s="3" t="s">
        <v>157</v>
      </c>
      <c r="G262" s="3"/>
      <c r="H262" s="3"/>
    </row>
    <row r="263" spans="1:8" x14ac:dyDescent="0.35">
      <c r="A263" s="3" t="s">
        <v>1289</v>
      </c>
      <c r="B263" s="3" t="s">
        <v>20</v>
      </c>
      <c r="C263" s="3" t="s">
        <v>1313</v>
      </c>
      <c r="D263" s="3" t="s">
        <v>23</v>
      </c>
      <c r="E263" s="3"/>
      <c r="F263" s="3"/>
      <c r="G263" s="3"/>
      <c r="H263" s="3"/>
    </row>
    <row r="264" spans="1:8" x14ac:dyDescent="0.35">
      <c r="A264" s="3" t="s">
        <v>1289</v>
      </c>
      <c r="B264" s="3" t="s">
        <v>20</v>
      </c>
      <c r="C264" s="3" t="s">
        <v>1313</v>
      </c>
      <c r="D264" s="3" t="s">
        <v>25</v>
      </c>
      <c r="E264" s="3"/>
      <c r="F264" s="3"/>
      <c r="G264" s="3"/>
      <c r="H264" s="3"/>
    </row>
    <row r="265" spans="1:8" x14ac:dyDescent="0.35">
      <c r="A265" s="3" t="s">
        <v>1289</v>
      </c>
      <c r="B265" s="3" t="s">
        <v>20</v>
      </c>
      <c r="C265" s="3" t="s">
        <v>1313</v>
      </c>
      <c r="D265" s="3" t="s">
        <v>44</v>
      </c>
      <c r="E265" s="3" t="s">
        <v>16</v>
      </c>
      <c r="F265" s="3" t="s">
        <v>1314</v>
      </c>
      <c r="G265" s="3"/>
      <c r="H265" s="3"/>
    </row>
    <row r="266" spans="1:8" x14ac:dyDescent="0.35">
      <c r="A266" s="3" t="s">
        <v>1289</v>
      </c>
      <c r="B266" s="3" t="s">
        <v>20</v>
      </c>
      <c r="C266" s="3" t="s">
        <v>1313</v>
      </c>
      <c r="D266" s="3" t="s">
        <v>87</v>
      </c>
      <c r="E266" s="3"/>
      <c r="F266" s="3"/>
      <c r="G266" s="3"/>
      <c r="H266" s="3"/>
    </row>
    <row r="267" spans="1:8" x14ac:dyDescent="0.35">
      <c r="A267" s="3" t="s">
        <v>1289</v>
      </c>
      <c r="B267" s="3" t="s">
        <v>20</v>
      </c>
      <c r="C267" s="3" t="s">
        <v>1313</v>
      </c>
      <c r="D267" s="3" t="s">
        <v>15</v>
      </c>
      <c r="E267" s="3" t="s">
        <v>16</v>
      </c>
      <c r="F267" s="3" t="s">
        <v>1315</v>
      </c>
      <c r="G267" s="3"/>
      <c r="H267" s="3"/>
    </row>
    <row r="268" spans="1:8" x14ac:dyDescent="0.35">
      <c r="A268" s="3" t="s">
        <v>1289</v>
      </c>
      <c r="B268" s="3" t="s">
        <v>20</v>
      </c>
      <c r="C268" s="3" t="s">
        <v>1313</v>
      </c>
      <c r="D268" s="3" t="s">
        <v>57</v>
      </c>
      <c r="E268" s="3" t="s">
        <v>33</v>
      </c>
      <c r="F268" s="3" t="s">
        <v>34</v>
      </c>
      <c r="G268" s="3"/>
      <c r="H268" s="3"/>
    </row>
    <row r="269" spans="1:8" x14ac:dyDescent="0.35">
      <c r="A269" s="3" t="s">
        <v>1289</v>
      </c>
      <c r="B269" s="3" t="s">
        <v>20</v>
      </c>
      <c r="C269" s="3" t="s">
        <v>1313</v>
      </c>
      <c r="D269" s="3" t="s">
        <v>32</v>
      </c>
      <c r="E269" s="3" t="s">
        <v>16</v>
      </c>
      <c r="F269" s="3" t="s">
        <v>1242</v>
      </c>
      <c r="G269" s="3"/>
      <c r="H269" s="3"/>
    </row>
    <row r="270" spans="1:8" x14ac:dyDescent="0.35">
      <c r="A270" s="3" t="s">
        <v>1289</v>
      </c>
      <c r="B270" s="3" t="s">
        <v>20</v>
      </c>
      <c r="C270" s="3" t="s">
        <v>1313</v>
      </c>
      <c r="D270" s="3" t="s">
        <v>107</v>
      </c>
      <c r="E270" s="3" t="s">
        <v>16</v>
      </c>
      <c r="F270" s="3" t="s">
        <v>1316</v>
      </c>
      <c r="G270" s="3"/>
      <c r="H270" s="3"/>
    </row>
    <row r="271" spans="1:8" x14ac:dyDescent="0.35">
      <c r="A271" s="3" t="s">
        <v>1289</v>
      </c>
      <c r="B271" s="3" t="s">
        <v>10</v>
      </c>
      <c r="C271" s="3" t="s">
        <v>1317</v>
      </c>
      <c r="D271" s="3" t="s">
        <v>15</v>
      </c>
      <c r="E271" s="3" t="s">
        <v>16</v>
      </c>
      <c r="F271" s="3" t="s">
        <v>1242</v>
      </c>
      <c r="G271" s="3"/>
      <c r="H271" s="3"/>
    </row>
    <row r="272" spans="1:8" x14ac:dyDescent="0.35">
      <c r="A272" s="3" t="s">
        <v>1289</v>
      </c>
      <c r="B272" s="3" t="s">
        <v>20</v>
      </c>
      <c r="C272" s="3" t="s">
        <v>1318</v>
      </c>
      <c r="D272" s="3" t="s">
        <v>15</v>
      </c>
      <c r="E272" s="3" t="s">
        <v>16</v>
      </c>
      <c r="F272" s="3" t="s">
        <v>1319</v>
      </c>
      <c r="G272" s="3"/>
      <c r="H272" s="3"/>
    </row>
    <row r="273" spans="1:8" x14ac:dyDescent="0.35">
      <c r="A273" s="3" t="s">
        <v>1289</v>
      </c>
      <c r="B273" s="3" t="s">
        <v>20</v>
      </c>
      <c r="C273" s="3" t="s">
        <v>1318</v>
      </c>
      <c r="D273" s="3" t="s">
        <v>57</v>
      </c>
      <c r="E273" s="3"/>
      <c r="F273" s="3"/>
      <c r="G273" s="3"/>
      <c r="H273" s="3"/>
    </row>
    <row r="274" spans="1:8" x14ac:dyDescent="0.35">
      <c r="A274" s="3" t="s">
        <v>1289</v>
      </c>
      <c r="B274" s="3" t="s">
        <v>20</v>
      </c>
      <c r="C274" s="3" t="s">
        <v>1318</v>
      </c>
      <c r="D274" s="3" t="s">
        <v>32</v>
      </c>
      <c r="E274" s="3"/>
      <c r="F274" s="3"/>
      <c r="G274" s="3"/>
      <c r="H274" s="3"/>
    </row>
    <row r="275" spans="1:8" x14ac:dyDescent="0.35">
      <c r="A275" s="3" t="s">
        <v>1289</v>
      </c>
      <c r="B275" s="3" t="s">
        <v>20</v>
      </c>
      <c r="C275" s="3" t="s">
        <v>1320</v>
      </c>
      <c r="D275" s="3" t="s">
        <v>12</v>
      </c>
      <c r="E275" s="3"/>
      <c r="F275" s="3"/>
      <c r="G275" s="3"/>
      <c r="H275" s="3"/>
    </row>
    <row r="276" spans="1:8" x14ac:dyDescent="0.35">
      <c r="A276" s="3" t="s">
        <v>1289</v>
      </c>
      <c r="B276" s="3" t="s">
        <v>20</v>
      </c>
      <c r="C276" s="3" t="s">
        <v>1320</v>
      </c>
      <c r="D276" s="3" t="s">
        <v>23</v>
      </c>
      <c r="E276" s="3"/>
      <c r="F276" s="3"/>
      <c r="G276" s="3"/>
      <c r="H276" s="3"/>
    </row>
    <row r="277" spans="1:8" x14ac:dyDescent="0.35">
      <c r="A277" s="3" t="s">
        <v>1289</v>
      </c>
      <c r="B277" s="3" t="s">
        <v>20</v>
      </c>
      <c r="C277" s="3" t="s">
        <v>1320</v>
      </c>
      <c r="D277" s="3" t="s">
        <v>87</v>
      </c>
      <c r="E277" s="3"/>
      <c r="F277" s="3"/>
      <c r="G277" s="3"/>
      <c r="H277" s="3"/>
    </row>
    <row r="278" spans="1:8" x14ac:dyDescent="0.35">
      <c r="A278" s="3" t="s">
        <v>1289</v>
      </c>
      <c r="B278" s="3" t="s">
        <v>20</v>
      </c>
      <c r="C278" s="3" t="s">
        <v>1320</v>
      </c>
      <c r="D278" s="3" t="s">
        <v>15</v>
      </c>
      <c r="E278" s="3" t="s">
        <v>16</v>
      </c>
      <c r="F278" s="3" t="s">
        <v>990</v>
      </c>
      <c r="G278" s="3"/>
      <c r="H278" s="3"/>
    </row>
    <row r="279" spans="1:8" x14ac:dyDescent="0.35">
      <c r="A279" s="3" t="s">
        <v>1289</v>
      </c>
      <c r="B279" s="3" t="s">
        <v>20</v>
      </c>
      <c r="C279" s="3" t="s">
        <v>1320</v>
      </c>
      <c r="D279" s="3" t="s">
        <v>107</v>
      </c>
      <c r="E279" s="3" t="s">
        <v>16</v>
      </c>
      <c r="F279" s="3" t="s">
        <v>1321</v>
      </c>
      <c r="G279" s="3"/>
      <c r="H279" s="3"/>
    </row>
    <row r="280" spans="1:8" x14ac:dyDescent="0.35">
      <c r="A280" s="3" t="s">
        <v>1289</v>
      </c>
      <c r="B280" s="3" t="s">
        <v>20</v>
      </c>
      <c r="C280" s="3" t="s">
        <v>1322</v>
      </c>
      <c r="D280" s="3" t="s">
        <v>27</v>
      </c>
      <c r="E280" s="3"/>
      <c r="F280" s="3"/>
      <c r="G280" s="3"/>
      <c r="H280" s="3"/>
    </row>
    <row r="281" spans="1:8" x14ac:dyDescent="0.35">
      <c r="A281" s="3" t="s">
        <v>1289</v>
      </c>
      <c r="B281" s="3" t="s">
        <v>20</v>
      </c>
      <c r="C281" s="3" t="s">
        <v>1322</v>
      </c>
      <c r="D281" s="3" t="s">
        <v>28</v>
      </c>
      <c r="E281" s="3"/>
      <c r="F281" s="3"/>
      <c r="G281" s="3"/>
      <c r="H281" s="3"/>
    </row>
    <row r="282" spans="1:8" x14ac:dyDescent="0.35">
      <c r="A282" s="3" t="s">
        <v>1289</v>
      </c>
      <c r="B282" s="3" t="s">
        <v>20</v>
      </c>
      <c r="C282" s="3" t="s">
        <v>1322</v>
      </c>
      <c r="D282" s="3" t="s">
        <v>87</v>
      </c>
      <c r="E282" s="3"/>
      <c r="F282" s="3"/>
      <c r="G282" s="3"/>
      <c r="H282" s="3"/>
    </row>
    <row r="283" spans="1:8" x14ac:dyDescent="0.35">
      <c r="A283" s="3" t="s">
        <v>1289</v>
      </c>
      <c r="B283" s="3" t="s">
        <v>20</v>
      </c>
      <c r="C283" s="3" t="s">
        <v>1322</v>
      </c>
      <c r="D283" s="3" t="s">
        <v>31</v>
      </c>
      <c r="E283" s="3"/>
      <c r="F283" s="3"/>
      <c r="G283" s="3"/>
      <c r="H283" s="3"/>
    </row>
    <row r="284" spans="1:8" x14ac:dyDescent="0.35">
      <c r="A284" s="3" t="s">
        <v>1289</v>
      </c>
      <c r="B284" s="3" t="s">
        <v>20</v>
      </c>
      <c r="C284" s="3" t="s">
        <v>1322</v>
      </c>
      <c r="D284" s="3" t="s">
        <v>15</v>
      </c>
      <c r="E284" s="3" t="s">
        <v>16</v>
      </c>
      <c r="F284" s="3" t="s">
        <v>1323</v>
      </c>
      <c r="G284" s="3"/>
      <c r="H284" s="3"/>
    </row>
    <row r="285" spans="1:8" x14ac:dyDescent="0.35">
      <c r="A285" s="3" t="s">
        <v>1289</v>
      </c>
      <c r="B285" s="3" t="s">
        <v>20</v>
      </c>
      <c r="C285" s="3" t="s">
        <v>1322</v>
      </c>
      <c r="D285" s="3" t="s">
        <v>57</v>
      </c>
      <c r="E285" s="3"/>
      <c r="F285" s="3"/>
      <c r="G285" s="3"/>
      <c r="H285" s="3"/>
    </row>
    <row r="286" spans="1:8" x14ac:dyDescent="0.35">
      <c r="A286" s="3" t="s">
        <v>1289</v>
      </c>
      <c r="B286" s="3" t="s">
        <v>20</v>
      </c>
      <c r="C286" s="3" t="s">
        <v>1322</v>
      </c>
      <c r="D286" s="3" t="s">
        <v>32</v>
      </c>
      <c r="E286" s="3"/>
      <c r="F286" s="3"/>
      <c r="G286" s="3"/>
      <c r="H286" s="3"/>
    </row>
    <row r="287" spans="1:8" x14ac:dyDescent="0.35">
      <c r="A287" s="3" t="s">
        <v>1289</v>
      </c>
      <c r="B287" s="3" t="s">
        <v>20</v>
      </c>
      <c r="C287" s="3" t="s">
        <v>1322</v>
      </c>
      <c r="D287" s="3" t="s">
        <v>29</v>
      </c>
      <c r="E287" s="3"/>
      <c r="F287" s="3"/>
      <c r="G287" s="3"/>
      <c r="H287" s="3"/>
    </row>
    <row r="288" spans="1:8" x14ac:dyDescent="0.35">
      <c r="A288" s="3" t="s">
        <v>1289</v>
      </c>
      <c r="B288" s="3" t="s">
        <v>20</v>
      </c>
      <c r="C288" s="3" t="s">
        <v>1324</v>
      </c>
      <c r="D288" s="3" t="s">
        <v>12</v>
      </c>
      <c r="E288" s="3"/>
      <c r="F288" s="3"/>
      <c r="G288" s="3"/>
      <c r="H288" s="3"/>
    </row>
    <row r="289" spans="1:8" x14ac:dyDescent="0.35">
      <c r="A289" s="3" t="s">
        <v>1289</v>
      </c>
      <c r="B289" s="3" t="s">
        <v>20</v>
      </c>
      <c r="C289" s="3" t="s">
        <v>1324</v>
      </c>
      <c r="D289" s="3" t="s">
        <v>23</v>
      </c>
      <c r="E289" s="3"/>
      <c r="F289" s="3"/>
      <c r="G289" s="3"/>
      <c r="H289" s="3"/>
    </row>
    <row r="290" spans="1:8" x14ac:dyDescent="0.35">
      <c r="A290" s="3" t="s">
        <v>1289</v>
      </c>
      <c r="B290" s="3" t="s">
        <v>20</v>
      </c>
      <c r="C290" s="3" t="s">
        <v>1324</v>
      </c>
      <c r="D290" s="3" t="s">
        <v>71</v>
      </c>
      <c r="E290" s="3"/>
      <c r="F290" s="3"/>
      <c r="G290" s="3"/>
      <c r="H290" s="3"/>
    </row>
    <row r="291" spans="1:8" x14ac:dyDescent="0.35">
      <c r="A291" s="3" t="s">
        <v>1289</v>
      </c>
      <c r="B291" s="3" t="s">
        <v>20</v>
      </c>
      <c r="C291" s="3" t="s">
        <v>1324</v>
      </c>
      <c r="D291" s="3" t="s">
        <v>142</v>
      </c>
      <c r="E291" s="3"/>
      <c r="F291" s="3"/>
      <c r="G291" s="3"/>
      <c r="H291" s="3"/>
    </row>
    <row r="292" spans="1:8" x14ac:dyDescent="0.35">
      <c r="A292" s="3" t="s">
        <v>1289</v>
      </c>
      <c r="B292" s="3" t="s">
        <v>20</v>
      </c>
      <c r="C292" s="3" t="s">
        <v>1324</v>
      </c>
      <c r="D292" s="3" t="s">
        <v>87</v>
      </c>
      <c r="E292" s="3"/>
      <c r="F292" s="3"/>
      <c r="G292" s="3"/>
      <c r="H292" s="3"/>
    </row>
    <row r="293" spans="1:8" x14ac:dyDescent="0.35">
      <c r="A293" s="3" t="s">
        <v>1289</v>
      </c>
      <c r="B293" s="3" t="s">
        <v>20</v>
      </c>
      <c r="C293" s="3" t="s">
        <v>1324</v>
      </c>
      <c r="D293" s="3" t="s">
        <v>15</v>
      </c>
      <c r="E293" s="3" t="s">
        <v>16</v>
      </c>
      <c r="F293" s="3" t="s">
        <v>1325</v>
      </c>
      <c r="G293" s="3"/>
      <c r="H293" s="3"/>
    </row>
    <row r="294" spans="1:8" x14ac:dyDescent="0.35">
      <c r="A294" s="3" t="s">
        <v>1289</v>
      </c>
      <c r="B294" s="3" t="s">
        <v>20</v>
      </c>
      <c r="C294" s="3" t="s">
        <v>1324</v>
      </c>
      <c r="D294" s="3" t="s">
        <v>89</v>
      </c>
      <c r="E294" s="3"/>
      <c r="F294" s="3"/>
      <c r="G294" s="3"/>
      <c r="H294" s="3"/>
    </row>
    <row r="295" spans="1:8" x14ac:dyDescent="0.35">
      <c r="A295" s="3" t="s">
        <v>1289</v>
      </c>
      <c r="B295" s="3" t="s">
        <v>20</v>
      </c>
      <c r="C295" s="3" t="s">
        <v>1326</v>
      </c>
      <c r="D295" s="3" t="s">
        <v>23</v>
      </c>
      <c r="E295" s="3" t="s">
        <v>33</v>
      </c>
      <c r="F295" s="3" t="s">
        <v>1327</v>
      </c>
      <c r="G295" s="3"/>
      <c r="H295" s="3"/>
    </row>
    <row r="296" spans="1:8" x14ac:dyDescent="0.35">
      <c r="A296" s="3" t="s">
        <v>1289</v>
      </c>
      <c r="B296" s="3" t="s">
        <v>20</v>
      </c>
      <c r="C296" s="3" t="s">
        <v>1326</v>
      </c>
      <c r="D296" s="3" t="s">
        <v>25</v>
      </c>
      <c r="E296" s="3" t="s">
        <v>33</v>
      </c>
      <c r="F296" s="3" t="s">
        <v>1327</v>
      </c>
      <c r="G296" s="3"/>
      <c r="H296" s="3"/>
    </row>
    <row r="297" spans="1:8" x14ac:dyDescent="0.35">
      <c r="A297" s="3" t="s">
        <v>1289</v>
      </c>
      <c r="B297" s="3" t="s">
        <v>20</v>
      </c>
      <c r="C297" s="3" t="s">
        <v>1326</v>
      </c>
      <c r="D297" s="3" t="s">
        <v>28</v>
      </c>
      <c r="E297" s="3" t="s">
        <v>33</v>
      </c>
      <c r="F297" s="3" t="s">
        <v>1327</v>
      </c>
      <c r="G297" s="3"/>
      <c r="H297" s="3"/>
    </row>
    <row r="298" spans="1:8" x14ac:dyDescent="0.35">
      <c r="A298" s="3" t="s">
        <v>1289</v>
      </c>
      <c r="B298" s="3" t="s">
        <v>20</v>
      </c>
      <c r="C298" s="3" t="s">
        <v>1326</v>
      </c>
      <c r="D298" s="3" t="s">
        <v>87</v>
      </c>
      <c r="E298" s="3" t="s">
        <v>33</v>
      </c>
      <c r="F298" s="3" t="s">
        <v>1327</v>
      </c>
      <c r="G298" s="3"/>
      <c r="H298" s="3"/>
    </row>
    <row r="299" spans="1:8" x14ac:dyDescent="0.35">
      <c r="A299" s="3" t="s">
        <v>1289</v>
      </c>
      <c r="B299" s="3" t="s">
        <v>20</v>
      </c>
      <c r="C299" s="3" t="s">
        <v>1328</v>
      </c>
      <c r="D299" s="3" t="s">
        <v>47</v>
      </c>
      <c r="E299" s="3"/>
      <c r="F299" s="3"/>
      <c r="G299" s="3"/>
      <c r="H299" s="3"/>
    </row>
    <row r="300" spans="1:8" x14ac:dyDescent="0.35">
      <c r="A300" s="3" t="s">
        <v>1289</v>
      </c>
      <c r="B300" s="3" t="s">
        <v>20</v>
      </c>
      <c r="C300" s="3" t="s">
        <v>1328</v>
      </c>
      <c r="D300" s="3" t="s">
        <v>25</v>
      </c>
      <c r="E300" s="3"/>
      <c r="F300" s="3"/>
      <c r="G300" s="3"/>
      <c r="H300" s="3"/>
    </row>
    <row r="301" spans="1:8" x14ac:dyDescent="0.35">
      <c r="A301" s="3" t="s">
        <v>1289</v>
      </c>
      <c r="B301" s="3" t="s">
        <v>20</v>
      </c>
      <c r="C301" s="3" t="s">
        <v>1328</v>
      </c>
      <c r="D301" s="3" t="s">
        <v>28</v>
      </c>
      <c r="E301" s="3" t="s">
        <v>16</v>
      </c>
      <c r="F301" s="3" t="s">
        <v>1329</v>
      </c>
      <c r="G301" s="3"/>
      <c r="H301" s="3"/>
    </row>
    <row r="302" spans="1:8" x14ac:dyDescent="0.35">
      <c r="A302" s="3" t="s">
        <v>1289</v>
      </c>
      <c r="B302" s="3" t="s">
        <v>20</v>
      </c>
      <c r="C302" s="3" t="s">
        <v>1328</v>
      </c>
      <c r="D302" s="3" t="s">
        <v>15</v>
      </c>
      <c r="E302" s="3" t="s">
        <v>16</v>
      </c>
      <c r="F302" s="3" t="s">
        <v>1329</v>
      </c>
      <c r="G302" s="3"/>
      <c r="H302" s="3"/>
    </row>
    <row r="303" spans="1:8" x14ac:dyDescent="0.35">
      <c r="A303" s="3" t="s">
        <v>1289</v>
      </c>
      <c r="B303" s="3" t="s">
        <v>20</v>
      </c>
      <c r="C303" s="3" t="s">
        <v>1328</v>
      </c>
      <c r="D303" s="3" t="s">
        <v>29</v>
      </c>
      <c r="E303" s="3"/>
      <c r="F303" s="3" t="s">
        <v>2460</v>
      </c>
      <c r="G303" s="3"/>
      <c r="H303" s="3"/>
    </row>
    <row r="304" spans="1:8" x14ac:dyDescent="0.35">
      <c r="A304" s="3" t="s">
        <v>1289</v>
      </c>
      <c r="B304" s="3" t="s">
        <v>20</v>
      </c>
      <c r="C304" s="3" t="s">
        <v>1328</v>
      </c>
      <c r="D304" s="3" t="s">
        <v>134</v>
      </c>
      <c r="E304" s="3"/>
      <c r="F304" s="3"/>
      <c r="G304" s="3"/>
      <c r="H304" s="3"/>
    </row>
    <row r="305" spans="1:8" x14ac:dyDescent="0.35">
      <c r="A305" s="3" t="s">
        <v>1289</v>
      </c>
      <c r="B305" s="3" t="s">
        <v>20</v>
      </c>
      <c r="C305" s="3" t="s">
        <v>1328</v>
      </c>
      <c r="D305" s="3" t="s">
        <v>107</v>
      </c>
      <c r="E305" s="3" t="s">
        <v>16</v>
      </c>
      <c r="F305" s="3" t="s">
        <v>1329</v>
      </c>
      <c r="G305" s="3"/>
      <c r="H305" s="3"/>
    </row>
    <row r="306" spans="1:8" x14ac:dyDescent="0.35">
      <c r="A306" s="3" t="s">
        <v>1289</v>
      </c>
      <c r="B306" s="3" t="s">
        <v>10</v>
      </c>
      <c r="C306" s="3" t="s">
        <v>1330</v>
      </c>
      <c r="D306" s="3" t="s">
        <v>87</v>
      </c>
      <c r="E306" s="3" t="s">
        <v>16</v>
      </c>
      <c r="F306" s="3" t="s">
        <v>1331</v>
      </c>
      <c r="G306" s="3"/>
      <c r="H306" s="3"/>
    </row>
    <row r="307" spans="1:8" x14ac:dyDescent="0.35">
      <c r="A307" s="3" t="s">
        <v>1289</v>
      </c>
      <c r="B307" s="3" t="s">
        <v>10</v>
      </c>
      <c r="C307" s="3" t="s">
        <v>1330</v>
      </c>
      <c r="D307" s="3" t="s">
        <v>15</v>
      </c>
      <c r="E307" s="3" t="s">
        <v>16</v>
      </c>
      <c r="F307" s="3" t="s">
        <v>1325</v>
      </c>
      <c r="G307" s="3"/>
      <c r="H307" s="3"/>
    </row>
    <row r="308" spans="1:8" x14ac:dyDescent="0.35">
      <c r="A308" s="3" t="s">
        <v>1289</v>
      </c>
      <c r="B308" s="3" t="s">
        <v>10</v>
      </c>
      <c r="C308" s="3" t="s">
        <v>1332</v>
      </c>
      <c r="D308" s="3" t="s">
        <v>23</v>
      </c>
      <c r="E308" s="3"/>
      <c r="F308" s="3"/>
      <c r="G308" s="3"/>
      <c r="H308" s="3"/>
    </row>
    <row r="309" spans="1:8" x14ac:dyDescent="0.35">
      <c r="A309" s="3" t="s">
        <v>1289</v>
      </c>
      <c r="B309" s="3" t="s">
        <v>10</v>
      </c>
      <c r="C309" s="3" t="s">
        <v>1332</v>
      </c>
      <c r="D309" s="3" t="s">
        <v>47</v>
      </c>
      <c r="E309" s="3" t="s">
        <v>33</v>
      </c>
      <c r="F309" s="3" t="s">
        <v>723</v>
      </c>
      <c r="G309" s="3"/>
      <c r="H309" s="3"/>
    </row>
    <row r="310" spans="1:8" x14ac:dyDescent="0.35">
      <c r="A310" s="3" t="s">
        <v>1289</v>
      </c>
      <c r="B310" s="3" t="s">
        <v>10</v>
      </c>
      <c r="C310" s="3" t="s">
        <v>1332</v>
      </c>
      <c r="D310" s="3" t="s">
        <v>87</v>
      </c>
      <c r="E310" s="3"/>
      <c r="F310" s="3"/>
      <c r="G310" s="3"/>
      <c r="H310" s="3"/>
    </row>
    <row r="311" spans="1:8" x14ac:dyDescent="0.35">
      <c r="A311" s="3" t="s">
        <v>1289</v>
      </c>
      <c r="B311" s="3" t="s">
        <v>10</v>
      </c>
      <c r="C311" s="3" t="s">
        <v>1332</v>
      </c>
      <c r="D311" s="3" t="s">
        <v>29</v>
      </c>
      <c r="E311" s="3" t="s">
        <v>33</v>
      </c>
      <c r="F311" s="3" t="s">
        <v>723</v>
      </c>
      <c r="G311" s="3"/>
      <c r="H311" s="3"/>
    </row>
    <row r="312" spans="1:8" x14ac:dyDescent="0.35">
      <c r="A312" s="3" t="s">
        <v>1289</v>
      </c>
      <c r="B312" s="3" t="s">
        <v>20</v>
      </c>
      <c r="C312" s="3" t="s">
        <v>1333</v>
      </c>
      <c r="D312" s="3" t="s">
        <v>12</v>
      </c>
      <c r="E312" s="3"/>
      <c r="F312" s="3"/>
      <c r="G312" s="3"/>
      <c r="H312" s="3"/>
    </row>
    <row r="313" spans="1:8" x14ac:dyDescent="0.35">
      <c r="A313" s="3" t="s">
        <v>1289</v>
      </c>
      <c r="B313" s="3" t="s">
        <v>20</v>
      </c>
      <c r="C313" s="3" t="s">
        <v>1333</v>
      </c>
      <c r="D313" s="3" t="s">
        <v>36</v>
      </c>
      <c r="E313" s="3"/>
      <c r="F313" s="3"/>
      <c r="G313" s="3"/>
      <c r="H313" s="3"/>
    </row>
    <row r="314" spans="1:8" x14ac:dyDescent="0.35">
      <c r="A314" s="3" t="s">
        <v>1289</v>
      </c>
      <c r="B314" s="3" t="s">
        <v>20</v>
      </c>
      <c r="C314" s="3" t="s">
        <v>1333</v>
      </c>
      <c r="D314" s="3" t="s">
        <v>23</v>
      </c>
      <c r="E314" s="3"/>
      <c r="F314" s="3"/>
      <c r="G314" s="3"/>
      <c r="H314" s="3"/>
    </row>
    <row r="315" spans="1:8" x14ac:dyDescent="0.35">
      <c r="A315" s="3" t="s">
        <v>1289</v>
      </c>
      <c r="B315" s="3" t="s">
        <v>20</v>
      </c>
      <c r="C315" s="3" t="s">
        <v>1333</v>
      </c>
      <c r="D315" s="3" t="s">
        <v>25</v>
      </c>
      <c r="E315" s="3"/>
      <c r="F315" s="3"/>
      <c r="G315" s="3"/>
      <c r="H315" s="3"/>
    </row>
    <row r="316" spans="1:8" x14ac:dyDescent="0.35">
      <c r="A316" s="3" t="s">
        <v>1289</v>
      </c>
      <c r="B316" s="3" t="s">
        <v>20</v>
      </c>
      <c r="C316" s="3" t="s">
        <v>1333</v>
      </c>
      <c r="D316" s="3" t="s">
        <v>60</v>
      </c>
      <c r="E316" s="3"/>
      <c r="F316" s="3"/>
      <c r="G316" s="3"/>
      <c r="H316" s="3"/>
    </row>
    <row r="317" spans="1:8" x14ac:dyDescent="0.35">
      <c r="A317" s="3" t="s">
        <v>1289</v>
      </c>
      <c r="B317" s="3" t="s">
        <v>20</v>
      </c>
      <c r="C317" s="3" t="s">
        <v>1333</v>
      </c>
      <c r="D317" s="3" t="s">
        <v>71</v>
      </c>
      <c r="E317" s="3"/>
      <c r="F317" s="3"/>
      <c r="G317" s="3"/>
      <c r="H317" s="3"/>
    </row>
    <row r="318" spans="1:8" x14ac:dyDescent="0.35">
      <c r="A318" s="3" t="s">
        <v>1289</v>
      </c>
      <c r="B318" s="3" t="s">
        <v>20</v>
      </c>
      <c r="C318" s="3" t="s">
        <v>1333</v>
      </c>
      <c r="D318" s="3" t="s">
        <v>142</v>
      </c>
      <c r="E318" s="3"/>
      <c r="F318" s="3"/>
      <c r="G318" s="3"/>
      <c r="H318" s="3"/>
    </row>
    <row r="319" spans="1:8" x14ac:dyDescent="0.35">
      <c r="A319" s="3" t="s">
        <v>1289</v>
      </c>
      <c r="B319" s="3" t="s">
        <v>20</v>
      </c>
      <c r="C319" s="3" t="s">
        <v>1333</v>
      </c>
      <c r="D319" s="3" t="s">
        <v>28</v>
      </c>
      <c r="E319" s="3"/>
      <c r="F319" s="3" t="s">
        <v>2321</v>
      </c>
      <c r="G319" s="3"/>
      <c r="H319" s="3"/>
    </row>
    <row r="320" spans="1:8" x14ac:dyDescent="0.35">
      <c r="A320" s="3" t="s">
        <v>1289</v>
      </c>
      <c r="B320" s="3" t="s">
        <v>20</v>
      </c>
      <c r="C320" s="3" t="s">
        <v>1333</v>
      </c>
      <c r="D320" s="3" t="s">
        <v>87</v>
      </c>
      <c r="E320" s="3"/>
      <c r="F320" s="3"/>
      <c r="G320" s="3"/>
      <c r="H320" s="3"/>
    </row>
    <row r="321" spans="1:8" x14ac:dyDescent="0.35">
      <c r="A321" s="3" t="s">
        <v>1289</v>
      </c>
      <c r="B321" s="3" t="s">
        <v>20</v>
      </c>
      <c r="C321" s="3" t="s">
        <v>1333</v>
      </c>
      <c r="D321" s="3" t="s">
        <v>15</v>
      </c>
      <c r="E321" s="3" t="s">
        <v>16</v>
      </c>
      <c r="F321" s="3" t="s">
        <v>1334</v>
      </c>
      <c r="G321" s="3"/>
      <c r="H321" s="3"/>
    </row>
    <row r="322" spans="1:8" x14ac:dyDescent="0.35">
      <c r="A322" s="3" t="s">
        <v>1289</v>
      </c>
      <c r="B322" s="3" t="s">
        <v>20</v>
      </c>
      <c r="C322" s="3" t="s">
        <v>1333</v>
      </c>
      <c r="D322" s="3" t="s">
        <v>56</v>
      </c>
      <c r="E322" s="3" t="s">
        <v>16</v>
      </c>
      <c r="F322" s="3" t="s">
        <v>1334</v>
      </c>
      <c r="G322" s="3"/>
      <c r="H322" s="3"/>
    </row>
    <row r="323" spans="1:8" x14ac:dyDescent="0.35">
      <c r="A323" s="3" t="s">
        <v>1289</v>
      </c>
      <c r="B323" s="3" t="s">
        <v>20</v>
      </c>
      <c r="C323" s="3" t="s">
        <v>1333</v>
      </c>
      <c r="D323" s="3" t="s">
        <v>89</v>
      </c>
      <c r="E323" s="3"/>
      <c r="F323" s="3"/>
      <c r="G323" s="3"/>
      <c r="H323" s="3"/>
    </row>
    <row r="324" spans="1:8" x14ac:dyDescent="0.35">
      <c r="A324" s="3" t="s">
        <v>1289</v>
      </c>
      <c r="B324" s="3" t="s">
        <v>20</v>
      </c>
      <c r="C324" s="3" t="s">
        <v>1333</v>
      </c>
      <c r="D324" s="3" t="s">
        <v>32</v>
      </c>
      <c r="E324" s="3"/>
      <c r="F324" s="3"/>
      <c r="G324" s="3"/>
      <c r="H324" s="3"/>
    </row>
    <row r="325" spans="1:8" x14ac:dyDescent="0.35">
      <c r="A325" s="3" t="s">
        <v>1289</v>
      </c>
      <c r="B325" s="3" t="s">
        <v>20</v>
      </c>
      <c r="C325" s="3" t="s">
        <v>1333</v>
      </c>
      <c r="D325" s="3" t="s">
        <v>29</v>
      </c>
      <c r="E325" s="3"/>
      <c r="F325" s="3"/>
      <c r="G325" s="3"/>
      <c r="H325" s="3"/>
    </row>
    <row r="326" spans="1:8" x14ac:dyDescent="0.35">
      <c r="A326" s="3" t="s">
        <v>1289</v>
      </c>
      <c r="B326" s="3" t="s">
        <v>20</v>
      </c>
      <c r="C326" s="3" t="s">
        <v>1333</v>
      </c>
      <c r="D326" s="3" t="s">
        <v>24</v>
      </c>
      <c r="E326" s="3"/>
      <c r="F326" s="3"/>
      <c r="G326" s="3"/>
      <c r="H326" s="3"/>
    </row>
    <row r="327" spans="1:8" x14ac:dyDescent="0.35">
      <c r="A327" s="3" t="s">
        <v>1289</v>
      </c>
      <c r="B327" s="3" t="s">
        <v>20</v>
      </c>
      <c r="C327" s="3" t="s">
        <v>1333</v>
      </c>
      <c r="D327" s="3" t="s">
        <v>134</v>
      </c>
      <c r="E327" s="3"/>
      <c r="F327" s="3"/>
      <c r="G327" s="3"/>
      <c r="H327" s="3"/>
    </row>
    <row r="328" spans="1:8" x14ac:dyDescent="0.35">
      <c r="A328" s="3" t="s">
        <v>1289</v>
      </c>
      <c r="B328" s="3" t="s">
        <v>20</v>
      </c>
      <c r="C328" s="3" t="s">
        <v>1333</v>
      </c>
      <c r="D328" s="3" t="s">
        <v>244</v>
      </c>
      <c r="E328" s="3"/>
      <c r="F328" s="3"/>
      <c r="G328" s="3"/>
      <c r="H328" s="3"/>
    </row>
    <row r="329" spans="1:8" x14ac:dyDescent="0.35">
      <c r="A329" s="3" t="s">
        <v>1289</v>
      </c>
      <c r="B329" s="3" t="s">
        <v>20</v>
      </c>
      <c r="C329" s="3" t="s">
        <v>1333</v>
      </c>
      <c r="D329" s="3" t="s">
        <v>107</v>
      </c>
      <c r="E329" s="3" t="s">
        <v>16</v>
      </c>
      <c r="F329" s="3" t="s">
        <v>1335</v>
      </c>
      <c r="G329" s="3"/>
      <c r="H329" s="3"/>
    </row>
    <row r="330" spans="1:8" x14ac:dyDescent="0.35">
      <c r="A330" s="3" t="s">
        <v>1289</v>
      </c>
      <c r="B330" s="3" t="s">
        <v>10</v>
      </c>
      <c r="C330" s="3" t="s">
        <v>1336</v>
      </c>
      <c r="D330" s="3" t="s">
        <v>15</v>
      </c>
      <c r="E330" s="3" t="s">
        <v>16</v>
      </c>
      <c r="F330" s="3" t="s">
        <v>1337</v>
      </c>
      <c r="G330" s="3"/>
      <c r="H330" s="3"/>
    </row>
    <row r="331" spans="1:8" x14ac:dyDescent="0.35">
      <c r="A331" s="3" t="s">
        <v>1289</v>
      </c>
      <c r="B331" s="3" t="s">
        <v>10</v>
      </c>
      <c r="C331" s="3" t="s">
        <v>1336</v>
      </c>
      <c r="D331" s="3" t="s">
        <v>1190</v>
      </c>
      <c r="E331" s="3"/>
      <c r="F331" s="3"/>
      <c r="G331" s="3"/>
      <c r="H331" s="3"/>
    </row>
    <row r="332" spans="1:8" x14ac:dyDescent="0.35">
      <c r="A332" s="3" t="s">
        <v>1338</v>
      </c>
      <c r="B332" s="3" t="s">
        <v>10</v>
      </c>
      <c r="C332" s="3" t="s">
        <v>1339</v>
      </c>
      <c r="D332" s="3" t="s">
        <v>23</v>
      </c>
      <c r="E332" s="3" t="s">
        <v>16</v>
      </c>
      <c r="F332" s="3" t="s">
        <v>1334</v>
      </c>
      <c r="G332" s="3"/>
      <c r="H332" s="3"/>
    </row>
    <row r="333" spans="1:8" x14ac:dyDescent="0.35">
      <c r="A333" s="3" t="s">
        <v>1338</v>
      </c>
      <c r="B333" s="3" t="s">
        <v>10</v>
      </c>
      <c r="C333" s="3" t="s">
        <v>1340</v>
      </c>
      <c r="D333" s="3" t="s">
        <v>28</v>
      </c>
      <c r="E333" s="3" t="s">
        <v>16</v>
      </c>
      <c r="F333" s="3" t="s">
        <v>1325</v>
      </c>
      <c r="G333" s="3"/>
      <c r="H333" s="3"/>
    </row>
    <row r="334" spans="1:8" x14ac:dyDescent="0.35">
      <c r="A334" s="3" t="s">
        <v>1338</v>
      </c>
      <c r="B334" s="3" t="s">
        <v>10</v>
      </c>
      <c r="C334" s="3" t="s">
        <v>1340</v>
      </c>
      <c r="D334" s="3" t="s">
        <v>24</v>
      </c>
      <c r="E334" s="3"/>
      <c r="F334" s="3"/>
      <c r="G334" s="3"/>
      <c r="H334" s="3"/>
    </row>
    <row r="335" spans="1:8" x14ac:dyDescent="0.35">
      <c r="A335" s="3" t="s">
        <v>1338</v>
      </c>
      <c r="B335" s="3" t="s">
        <v>45</v>
      </c>
      <c r="C335" s="3" t="s">
        <v>1341</v>
      </c>
      <c r="D335" s="3" t="s">
        <v>23</v>
      </c>
      <c r="E335" s="3" t="s">
        <v>33</v>
      </c>
      <c r="F335" s="3" t="s">
        <v>723</v>
      </c>
      <c r="G335" s="3"/>
      <c r="H335" s="3"/>
    </row>
    <row r="336" spans="1:8" x14ac:dyDescent="0.35">
      <c r="A336" s="3" t="s">
        <v>1338</v>
      </c>
      <c r="B336" s="3" t="s">
        <v>45</v>
      </c>
      <c r="C336" s="3" t="s">
        <v>1341</v>
      </c>
      <c r="D336" s="3" t="s">
        <v>56</v>
      </c>
      <c r="E336" s="3" t="s">
        <v>16</v>
      </c>
      <c r="F336" s="3" t="s">
        <v>2974</v>
      </c>
      <c r="G336" s="3"/>
      <c r="H336" s="3"/>
    </row>
    <row r="337" spans="1:8" x14ac:dyDescent="0.35">
      <c r="A337" s="3" t="s">
        <v>1338</v>
      </c>
      <c r="B337" s="3" t="s">
        <v>45</v>
      </c>
      <c r="C337" s="3" t="s">
        <v>1342</v>
      </c>
      <c r="D337" s="3" t="s">
        <v>12</v>
      </c>
      <c r="E337" s="3"/>
      <c r="F337" s="3"/>
      <c r="G337" s="3"/>
      <c r="H337" s="3"/>
    </row>
    <row r="338" spans="1:8" x14ac:dyDescent="0.35">
      <c r="A338" s="3" t="s">
        <v>1338</v>
      </c>
      <c r="B338" s="3" t="s">
        <v>45</v>
      </c>
      <c r="C338" s="3" t="s">
        <v>1342</v>
      </c>
      <c r="D338" s="3" t="s">
        <v>27</v>
      </c>
      <c r="E338" s="3"/>
      <c r="F338" s="3" t="s">
        <v>2317</v>
      </c>
      <c r="G338" s="3"/>
      <c r="H338" s="3"/>
    </row>
    <row r="339" spans="1:8" x14ac:dyDescent="0.35">
      <c r="A339" s="3" t="s">
        <v>1338</v>
      </c>
      <c r="B339" s="3" t="s">
        <v>45</v>
      </c>
      <c r="C339" s="3" t="s">
        <v>1342</v>
      </c>
      <c r="D339" s="3" t="s">
        <v>1197</v>
      </c>
      <c r="E339" s="3"/>
      <c r="F339" s="3"/>
      <c r="G339" s="3"/>
      <c r="H339" s="3"/>
    </row>
    <row r="340" spans="1:8" x14ac:dyDescent="0.35">
      <c r="A340" s="3" t="s">
        <v>1338</v>
      </c>
      <c r="B340" s="3" t="s">
        <v>45</v>
      </c>
      <c r="C340" s="3" t="s">
        <v>1343</v>
      </c>
      <c r="D340" s="3" t="s">
        <v>23</v>
      </c>
      <c r="E340" s="3"/>
      <c r="F340" s="3"/>
      <c r="G340" s="3"/>
      <c r="H340" s="3"/>
    </row>
    <row r="341" spans="1:8" x14ac:dyDescent="0.35">
      <c r="A341" s="3" t="s">
        <v>1338</v>
      </c>
      <c r="B341" s="3" t="s">
        <v>45</v>
      </c>
      <c r="C341" s="3" t="s">
        <v>1343</v>
      </c>
      <c r="D341" s="3" t="s">
        <v>141</v>
      </c>
      <c r="E341" s="3"/>
      <c r="F341" s="3"/>
      <c r="G341" s="3"/>
      <c r="H341" s="3"/>
    </row>
    <row r="342" spans="1:8" x14ac:dyDescent="0.35">
      <c r="A342" s="3" t="s">
        <v>1338</v>
      </c>
      <c r="B342" s="3" t="s">
        <v>45</v>
      </c>
      <c r="C342" s="3" t="s">
        <v>1343</v>
      </c>
      <c r="D342" s="3" t="s">
        <v>27</v>
      </c>
      <c r="E342" s="3"/>
      <c r="F342" s="3" t="s">
        <v>2317</v>
      </c>
      <c r="G342" s="3"/>
      <c r="H342" s="3"/>
    </row>
    <row r="343" spans="1:8" x14ac:dyDescent="0.35">
      <c r="A343" s="3" t="s">
        <v>1338</v>
      </c>
      <c r="B343" s="3" t="s">
        <v>45</v>
      </c>
      <c r="C343" s="3" t="s">
        <v>1343</v>
      </c>
      <c r="D343" s="3" t="s">
        <v>32</v>
      </c>
      <c r="E343" s="3" t="s">
        <v>16</v>
      </c>
      <c r="F343" s="3" t="s">
        <v>1334</v>
      </c>
      <c r="G343" s="3"/>
      <c r="H343" s="3"/>
    </row>
    <row r="344" spans="1:8" x14ac:dyDescent="0.35">
      <c r="A344" s="3" t="s">
        <v>1338</v>
      </c>
      <c r="B344" s="3" t="s">
        <v>45</v>
      </c>
      <c r="C344" s="3" t="s">
        <v>1343</v>
      </c>
      <c r="D344" s="3" t="s">
        <v>24</v>
      </c>
      <c r="E344" s="3"/>
      <c r="F344" s="3" t="s">
        <v>2343</v>
      </c>
      <c r="G344" s="3"/>
      <c r="H344" s="3"/>
    </row>
    <row r="345" spans="1:8" x14ac:dyDescent="0.35">
      <c r="A345" s="3" t="s">
        <v>1338</v>
      </c>
      <c r="B345" s="3" t="s">
        <v>20</v>
      </c>
      <c r="C345" s="3" t="s">
        <v>1344</v>
      </c>
      <c r="D345" s="3" t="s">
        <v>12</v>
      </c>
      <c r="E345" s="3"/>
      <c r="F345" s="3"/>
      <c r="G345" s="3"/>
      <c r="H345" s="3"/>
    </row>
    <row r="346" spans="1:8" x14ac:dyDescent="0.35">
      <c r="A346" s="3" t="s">
        <v>1338</v>
      </c>
      <c r="B346" s="3" t="s">
        <v>20</v>
      </c>
      <c r="C346" s="3" t="s">
        <v>1344</v>
      </c>
      <c r="D346" s="3" t="s">
        <v>23</v>
      </c>
      <c r="E346" s="3"/>
      <c r="F346" s="3"/>
      <c r="G346" s="3"/>
      <c r="H346" s="3"/>
    </row>
    <row r="347" spans="1:8" x14ac:dyDescent="0.35">
      <c r="A347" s="3" t="s">
        <v>1338</v>
      </c>
      <c r="B347" s="3" t="s">
        <v>10</v>
      </c>
      <c r="C347" s="3" t="s">
        <v>1345</v>
      </c>
      <c r="D347" s="3" t="s">
        <v>29</v>
      </c>
      <c r="E347" s="3"/>
      <c r="F347" s="3"/>
      <c r="G347" s="3"/>
      <c r="H347" s="3"/>
    </row>
    <row r="348" spans="1:8" x14ac:dyDescent="0.35">
      <c r="A348" s="3" t="s">
        <v>1338</v>
      </c>
      <c r="B348" s="3" t="s">
        <v>20</v>
      </c>
      <c r="C348" s="3" t="s">
        <v>1346</v>
      </c>
      <c r="D348" s="3" t="s">
        <v>12</v>
      </c>
      <c r="E348" s="3"/>
      <c r="F348" s="3"/>
      <c r="G348" s="3"/>
      <c r="H348" s="3"/>
    </row>
    <row r="349" spans="1:8" x14ac:dyDescent="0.35">
      <c r="A349" s="3" t="s">
        <v>1338</v>
      </c>
      <c r="B349" s="3" t="s">
        <v>20</v>
      </c>
      <c r="C349" s="3" t="s">
        <v>1346</v>
      </c>
      <c r="D349" s="3" t="s">
        <v>24</v>
      </c>
      <c r="E349" s="3"/>
      <c r="F349" s="3"/>
      <c r="G349" s="3"/>
      <c r="H349" s="3"/>
    </row>
    <row r="350" spans="1:8" x14ac:dyDescent="0.35">
      <c r="A350" s="3" t="s">
        <v>1338</v>
      </c>
      <c r="B350" s="3" t="s">
        <v>10</v>
      </c>
      <c r="C350" s="3" t="s">
        <v>1347</v>
      </c>
      <c r="D350" s="3" t="s">
        <v>23</v>
      </c>
      <c r="E350" s="3" t="s">
        <v>16</v>
      </c>
      <c r="F350" s="3" t="s">
        <v>1334</v>
      </c>
      <c r="G350" s="3"/>
      <c r="H350" s="3"/>
    </row>
    <row r="351" spans="1:8" x14ac:dyDescent="0.35">
      <c r="A351" s="3" t="s">
        <v>1338</v>
      </c>
      <c r="B351" s="3" t="s">
        <v>10</v>
      </c>
      <c r="C351" s="3" t="s">
        <v>1347</v>
      </c>
      <c r="D351" s="3" t="s">
        <v>29</v>
      </c>
      <c r="E351" s="3"/>
      <c r="F351" s="3" t="s">
        <v>2315</v>
      </c>
      <c r="G351" s="3"/>
      <c r="H351" s="3"/>
    </row>
    <row r="352" spans="1:8" x14ac:dyDescent="0.35">
      <c r="A352" s="3" t="s">
        <v>1338</v>
      </c>
      <c r="B352" s="3" t="s">
        <v>10</v>
      </c>
      <c r="C352" s="3" t="s">
        <v>1347</v>
      </c>
      <c r="D352" s="3" t="s">
        <v>134</v>
      </c>
      <c r="E352" s="3"/>
      <c r="F352" s="3"/>
      <c r="G352" s="3"/>
      <c r="H352" s="3"/>
    </row>
    <row r="353" spans="1:8" x14ac:dyDescent="0.35">
      <c r="A353" s="3" t="s">
        <v>1338</v>
      </c>
      <c r="B353" s="3" t="s">
        <v>10</v>
      </c>
      <c r="C353" s="3" t="s">
        <v>1347</v>
      </c>
      <c r="D353" s="3" t="s">
        <v>107</v>
      </c>
      <c r="E353" s="3" t="s">
        <v>16</v>
      </c>
      <c r="F353" s="3" t="s">
        <v>1325</v>
      </c>
      <c r="G353" s="3"/>
      <c r="H353" s="3"/>
    </row>
    <row r="354" spans="1:8" x14ac:dyDescent="0.35">
      <c r="A354" s="3" t="s">
        <v>1338</v>
      </c>
      <c r="B354" s="3" t="s">
        <v>10</v>
      </c>
      <c r="C354" s="3" t="s">
        <v>1348</v>
      </c>
      <c r="D354" s="3" t="s">
        <v>12</v>
      </c>
      <c r="E354" s="3"/>
      <c r="F354" s="3"/>
      <c r="G354" s="3"/>
      <c r="H354" s="3"/>
    </row>
    <row r="355" spans="1:8" x14ac:dyDescent="0.35">
      <c r="A355" s="3" t="s">
        <v>1338</v>
      </c>
      <c r="B355" s="3" t="s">
        <v>10</v>
      </c>
      <c r="C355" s="3" t="s">
        <v>1348</v>
      </c>
      <c r="D355" s="3" t="s">
        <v>23</v>
      </c>
      <c r="E355" s="3"/>
      <c r="F355" s="3"/>
      <c r="G355" s="3"/>
      <c r="H355" s="3"/>
    </row>
    <row r="356" spans="1:8" x14ac:dyDescent="0.35">
      <c r="A356" s="3" t="s">
        <v>1338</v>
      </c>
      <c r="B356" s="3" t="s">
        <v>10</v>
      </c>
      <c r="C356" s="3" t="s">
        <v>1348</v>
      </c>
      <c r="D356" s="3" t="s">
        <v>57</v>
      </c>
      <c r="E356" s="3"/>
      <c r="F356" s="3"/>
      <c r="G356" s="3"/>
      <c r="H356" s="3"/>
    </row>
    <row r="357" spans="1:8" x14ac:dyDescent="0.35">
      <c r="A357" s="3" t="s">
        <v>1338</v>
      </c>
      <c r="B357" s="3" t="s">
        <v>10</v>
      </c>
      <c r="C357" s="3" t="s">
        <v>1349</v>
      </c>
      <c r="D357" s="3" t="s">
        <v>23</v>
      </c>
      <c r="E357" s="3" t="s">
        <v>16</v>
      </c>
      <c r="F357" s="3" t="s">
        <v>1325</v>
      </c>
      <c r="G357" s="3"/>
      <c r="H357" s="3"/>
    </row>
    <row r="358" spans="1:8" x14ac:dyDescent="0.35">
      <c r="A358" s="3" t="s">
        <v>1338</v>
      </c>
      <c r="B358" s="3" t="s">
        <v>20</v>
      </c>
      <c r="C358" s="3" t="s">
        <v>1350</v>
      </c>
      <c r="D358" s="3" t="s">
        <v>23</v>
      </c>
      <c r="E358" s="3" t="s">
        <v>16</v>
      </c>
      <c r="F358" s="3" t="s">
        <v>1351</v>
      </c>
      <c r="G358" s="3"/>
      <c r="H358" s="3"/>
    </row>
    <row r="359" spans="1:8" x14ac:dyDescent="0.35">
      <c r="A359" s="3" t="s">
        <v>1338</v>
      </c>
      <c r="B359" s="3" t="s">
        <v>20</v>
      </c>
      <c r="C359" s="3" t="s">
        <v>1350</v>
      </c>
      <c r="D359" s="3" t="s">
        <v>27</v>
      </c>
      <c r="E359" s="3"/>
      <c r="F359" s="3"/>
      <c r="G359" s="3"/>
      <c r="H359" s="3"/>
    </row>
    <row r="360" spans="1:8" x14ac:dyDescent="0.35">
      <c r="A360" s="3" t="s">
        <v>1338</v>
      </c>
      <c r="B360" s="3" t="s">
        <v>20</v>
      </c>
      <c r="C360" s="3" t="s">
        <v>1350</v>
      </c>
      <c r="D360" s="3" t="s">
        <v>77</v>
      </c>
      <c r="E360" s="3"/>
      <c r="F360" s="3"/>
      <c r="G360" s="3"/>
      <c r="H360" s="3"/>
    </row>
    <row r="361" spans="1:8" x14ac:dyDescent="0.35">
      <c r="A361" s="3" t="s">
        <v>1338</v>
      </c>
      <c r="B361" s="3" t="s">
        <v>20</v>
      </c>
      <c r="C361" s="3" t="s">
        <v>1350</v>
      </c>
      <c r="D361" s="3" t="s">
        <v>15</v>
      </c>
      <c r="E361" s="3" t="s">
        <v>16</v>
      </c>
      <c r="F361" s="3" t="s">
        <v>1353</v>
      </c>
      <c r="G361" s="3"/>
      <c r="H361" s="3"/>
    </row>
    <row r="362" spans="1:8" x14ac:dyDescent="0.35">
      <c r="A362" s="3" t="s">
        <v>1338</v>
      </c>
      <c r="B362" s="3" t="s">
        <v>20</v>
      </c>
      <c r="C362" s="3" t="s">
        <v>1350</v>
      </c>
      <c r="D362" s="3" t="s">
        <v>56</v>
      </c>
      <c r="E362" s="3" t="s">
        <v>16</v>
      </c>
      <c r="F362" s="3" t="s">
        <v>1352</v>
      </c>
      <c r="G362" s="3"/>
      <c r="H362" s="3"/>
    </row>
    <row r="363" spans="1:8" x14ac:dyDescent="0.35">
      <c r="A363" s="3" t="s">
        <v>1338</v>
      </c>
      <c r="B363" s="3" t="s">
        <v>20</v>
      </c>
      <c r="C363" s="3" t="s">
        <v>1350</v>
      </c>
      <c r="D363" s="3" t="s">
        <v>1197</v>
      </c>
      <c r="E363" s="3"/>
      <c r="F363" s="3"/>
      <c r="G363" s="3"/>
      <c r="H363" s="3"/>
    </row>
    <row r="364" spans="1:8" x14ac:dyDescent="0.35">
      <c r="A364" s="3" t="s">
        <v>1338</v>
      </c>
      <c r="B364" s="3" t="s">
        <v>20</v>
      </c>
      <c r="C364" s="3" t="s">
        <v>1350</v>
      </c>
      <c r="D364" s="3" t="s">
        <v>24</v>
      </c>
      <c r="E364" s="3"/>
      <c r="F364" s="3"/>
      <c r="G364" s="3"/>
      <c r="H364" s="3"/>
    </row>
    <row r="365" spans="1:8" x14ac:dyDescent="0.35">
      <c r="A365" s="3" t="s">
        <v>1338</v>
      </c>
      <c r="B365" s="3" t="s">
        <v>20</v>
      </c>
      <c r="C365" s="3" t="s">
        <v>1350</v>
      </c>
      <c r="D365" s="3" t="s">
        <v>134</v>
      </c>
      <c r="E365" s="3" t="s">
        <v>16</v>
      </c>
      <c r="F365" s="3" t="s">
        <v>1354</v>
      </c>
      <c r="G365" s="3"/>
      <c r="H365" s="3"/>
    </row>
    <row r="366" spans="1:8" x14ac:dyDescent="0.35">
      <c r="A366" s="3" t="s">
        <v>1338</v>
      </c>
      <c r="B366" s="3" t="s">
        <v>20</v>
      </c>
      <c r="C366" s="3" t="s">
        <v>2811</v>
      </c>
      <c r="D366" s="3" t="s">
        <v>23</v>
      </c>
      <c r="E366" s="3" t="s">
        <v>16</v>
      </c>
      <c r="F366" s="3" t="s">
        <v>2814</v>
      </c>
      <c r="G366" s="3"/>
      <c r="H366" s="3"/>
    </row>
    <row r="367" spans="1:8" x14ac:dyDescent="0.35">
      <c r="A367" s="3" t="s">
        <v>1338</v>
      </c>
      <c r="B367" s="3" t="s">
        <v>20</v>
      </c>
      <c r="C367" s="3" t="s">
        <v>2811</v>
      </c>
      <c r="D367" s="3" t="s">
        <v>25</v>
      </c>
      <c r="E367" s="3"/>
      <c r="F367" s="3"/>
      <c r="G367" s="3"/>
      <c r="H367" s="3"/>
    </row>
    <row r="368" spans="1:8" x14ac:dyDescent="0.35">
      <c r="A368" s="3" t="s">
        <v>1338</v>
      </c>
      <c r="B368" s="3" t="s">
        <v>20</v>
      </c>
      <c r="C368" s="3" t="s">
        <v>2811</v>
      </c>
      <c r="D368" s="3" t="s">
        <v>27</v>
      </c>
      <c r="E368" s="3"/>
      <c r="F368" s="3"/>
      <c r="G368" s="3"/>
      <c r="H368" s="3"/>
    </row>
    <row r="369" spans="1:8" x14ac:dyDescent="0.35">
      <c r="A369" s="3" t="s">
        <v>1338</v>
      </c>
      <c r="B369" s="3" t="s">
        <v>20</v>
      </c>
      <c r="C369" s="3" t="s">
        <v>2811</v>
      </c>
      <c r="D369" s="3" t="s">
        <v>87</v>
      </c>
      <c r="E369" s="3"/>
      <c r="F369" s="3"/>
      <c r="G369" s="3"/>
      <c r="H369" s="3"/>
    </row>
    <row r="370" spans="1:8" x14ac:dyDescent="0.35">
      <c r="A370" s="3" t="s">
        <v>1338</v>
      </c>
      <c r="B370" s="3" t="s">
        <v>20</v>
      </c>
      <c r="C370" s="3" t="s">
        <v>2811</v>
      </c>
      <c r="D370" s="3" t="s">
        <v>15</v>
      </c>
      <c r="E370" s="3" t="s">
        <v>16</v>
      </c>
      <c r="F370" s="3" t="s">
        <v>2813</v>
      </c>
      <c r="G370" s="3"/>
      <c r="H370" s="3"/>
    </row>
    <row r="371" spans="1:8" x14ac:dyDescent="0.35">
      <c r="A371" s="3" t="s">
        <v>1338</v>
      </c>
      <c r="B371" s="3" t="s">
        <v>20</v>
      </c>
      <c r="C371" s="3" t="s">
        <v>2811</v>
      </c>
      <c r="D371" s="3" t="s">
        <v>32</v>
      </c>
      <c r="E371" s="3" t="s">
        <v>16</v>
      </c>
      <c r="F371" s="3" t="s">
        <v>2812</v>
      </c>
      <c r="G371" s="3"/>
      <c r="H371" s="3"/>
    </row>
    <row r="372" spans="1:8" x14ac:dyDescent="0.35">
      <c r="A372" s="3" t="s">
        <v>1338</v>
      </c>
      <c r="B372" s="3" t="s">
        <v>20</v>
      </c>
      <c r="C372" s="3" t="s">
        <v>2811</v>
      </c>
      <c r="D372" s="3" t="s">
        <v>24</v>
      </c>
      <c r="E372" s="3"/>
      <c r="F372" s="3"/>
      <c r="G372" s="3"/>
      <c r="H372" s="3"/>
    </row>
    <row r="373" spans="1:8" x14ac:dyDescent="0.35">
      <c r="A373" s="3" t="s">
        <v>1338</v>
      </c>
      <c r="B373" s="3" t="s">
        <v>45</v>
      </c>
      <c r="C373" s="3" t="s">
        <v>1355</v>
      </c>
      <c r="D373" s="3" t="s">
        <v>23</v>
      </c>
      <c r="E373" s="3" t="s">
        <v>16</v>
      </c>
      <c r="F373" s="3" t="s">
        <v>1356</v>
      </c>
      <c r="G373" s="3"/>
      <c r="H373" s="3"/>
    </row>
    <row r="374" spans="1:8" x14ac:dyDescent="0.35">
      <c r="A374" s="3" t="s">
        <v>1338</v>
      </c>
      <c r="B374" s="3" t="s">
        <v>45</v>
      </c>
      <c r="C374" s="3" t="s">
        <v>1355</v>
      </c>
      <c r="D374" s="3" t="s">
        <v>71</v>
      </c>
      <c r="E374" s="3"/>
      <c r="F374" s="3"/>
      <c r="G374" s="3"/>
      <c r="H374" s="3"/>
    </row>
    <row r="375" spans="1:8" x14ac:dyDescent="0.35">
      <c r="A375" s="3" t="s">
        <v>1338</v>
      </c>
      <c r="B375" s="3" t="s">
        <v>45</v>
      </c>
      <c r="C375" s="3" t="s">
        <v>1355</v>
      </c>
      <c r="D375" s="3" t="s">
        <v>15</v>
      </c>
      <c r="E375" s="3" t="s">
        <v>16</v>
      </c>
      <c r="F375" s="3" t="s">
        <v>1356</v>
      </c>
      <c r="G375" s="3"/>
      <c r="H375" s="3"/>
    </row>
    <row r="376" spans="1:8" x14ac:dyDescent="0.35">
      <c r="A376" s="3" t="s">
        <v>1338</v>
      </c>
      <c r="B376" s="3" t="s">
        <v>45</v>
      </c>
      <c r="C376" s="3" t="s">
        <v>1355</v>
      </c>
      <c r="D376" s="3" t="s">
        <v>24</v>
      </c>
      <c r="E376" s="3"/>
      <c r="F376" s="3"/>
      <c r="G376" s="3"/>
      <c r="H376" s="3"/>
    </row>
    <row r="377" spans="1:8" x14ac:dyDescent="0.35">
      <c r="A377" s="3" t="s">
        <v>1338</v>
      </c>
      <c r="B377" s="3" t="s">
        <v>39</v>
      </c>
      <c r="C377" s="3" t="s">
        <v>1357</v>
      </c>
      <c r="D377" s="3" t="s">
        <v>27</v>
      </c>
      <c r="E377" s="3"/>
      <c r="F377" s="3"/>
      <c r="G377" s="3"/>
      <c r="H377" s="3"/>
    </row>
    <row r="378" spans="1:8" x14ac:dyDescent="0.35">
      <c r="A378" s="3" t="s">
        <v>1338</v>
      </c>
      <c r="B378" s="3" t="s">
        <v>39</v>
      </c>
      <c r="C378" s="3" t="s">
        <v>1358</v>
      </c>
      <c r="D378" s="3" t="s">
        <v>15</v>
      </c>
      <c r="E378" s="3" t="s">
        <v>16</v>
      </c>
      <c r="F378" s="3" t="s">
        <v>1359</v>
      </c>
      <c r="G378" s="3"/>
      <c r="H378" s="3"/>
    </row>
    <row r="379" spans="1:8" x14ac:dyDescent="0.35">
      <c r="A379" s="3" t="s">
        <v>1338</v>
      </c>
      <c r="B379" s="3" t="s">
        <v>39</v>
      </c>
      <c r="C379" s="3" t="s">
        <v>1358</v>
      </c>
      <c r="D379" s="3" t="s">
        <v>32</v>
      </c>
      <c r="E379" s="3" t="s">
        <v>16</v>
      </c>
      <c r="F379" s="3" t="s">
        <v>1359</v>
      </c>
      <c r="G379" s="3"/>
      <c r="H379" s="3"/>
    </row>
    <row r="380" spans="1:8" x14ac:dyDescent="0.35">
      <c r="A380" s="3" t="s">
        <v>1338</v>
      </c>
      <c r="B380" s="3" t="s">
        <v>45</v>
      </c>
      <c r="C380" s="3" t="s">
        <v>1360</v>
      </c>
      <c r="D380" s="3" t="s">
        <v>23</v>
      </c>
      <c r="E380" s="3" t="s">
        <v>16</v>
      </c>
      <c r="F380" s="3" t="s">
        <v>1334</v>
      </c>
      <c r="G380" s="3"/>
      <c r="H380" s="3"/>
    </row>
    <row r="381" spans="1:8" x14ac:dyDescent="0.35">
      <c r="A381" s="3" t="s">
        <v>1338</v>
      </c>
      <c r="B381" s="3" t="s">
        <v>45</v>
      </c>
      <c r="C381" s="3" t="s">
        <v>1360</v>
      </c>
      <c r="D381" s="3" t="s">
        <v>15</v>
      </c>
      <c r="E381" s="3" t="s">
        <v>16</v>
      </c>
      <c r="F381" s="3" t="s">
        <v>1334</v>
      </c>
      <c r="G381" s="3"/>
      <c r="H381" s="3"/>
    </row>
    <row r="382" spans="1:8" x14ac:dyDescent="0.35">
      <c r="A382" s="3" t="s">
        <v>1338</v>
      </c>
      <c r="B382" s="3" t="s">
        <v>10</v>
      </c>
      <c r="C382" s="3" t="s">
        <v>1361</v>
      </c>
      <c r="D382" s="3" t="s">
        <v>23</v>
      </c>
      <c r="E382" s="3" t="s">
        <v>16</v>
      </c>
      <c r="F382" s="3" t="s">
        <v>1362</v>
      </c>
      <c r="G382" s="3"/>
      <c r="H382" s="3"/>
    </row>
    <row r="383" spans="1:8" x14ac:dyDescent="0.35">
      <c r="A383" s="3" t="s">
        <v>1338</v>
      </c>
      <c r="B383" s="3" t="s">
        <v>10</v>
      </c>
      <c r="C383" s="3" t="s">
        <v>1361</v>
      </c>
      <c r="D383" s="3" t="s">
        <v>15</v>
      </c>
      <c r="E383" s="3" t="s">
        <v>16</v>
      </c>
      <c r="F383" s="3" t="s">
        <v>1363</v>
      </c>
      <c r="G383" s="3"/>
      <c r="H383" s="3"/>
    </row>
    <row r="384" spans="1:8" x14ac:dyDescent="0.35">
      <c r="A384" s="3" t="s">
        <v>1338</v>
      </c>
      <c r="B384" s="3" t="s">
        <v>45</v>
      </c>
      <c r="C384" s="3" t="s">
        <v>1364</v>
      </c>
      <c r="D384" s="3" t="s">
        <v>23</v>
      </c>
      <c r="E384" s="3" t="s">
        <v>16</v>
      </c>
      <c r="F384" s="3" t="s">
        <v>1365</v>
      </c>
      <c r="G384" s="3"/>
      <c r="H384" s="3"/>
    </row>
    <row r="385" spans="1:8" x14ac:dyDescent="0.35">
      <c r="A385" s="3" t="s">
        <v>1338</v>
      </c>
      <c r="B385" s="3" t="s">
        <v>45</v>
      </c>
      <c r="C385" s="3" t="s">
        <v>1364</v>
      </c>
      <c r="D385" s="3" t="s">
        <v>87</v>
      </c>
      <c r="E385" s="3" t="s">
        <v>16</v>
      </c>
      <c r="F385" s="3" t="s">
        <v>1365</v>
      </c>
      <c r="G385" s="3"/>
      <c r="H385" s="3"/>
    </row>
    <row r="386" spans="1:8" x14ac:dyDescent="0.35">
      <c r="A386" s="3" t="s">
        <v>1338</v>
      </c>
      <c r="B386" s="3" t="s">
        <v>45</v>
      </c>
      <c r="C386" s="3" t="s">
        <v>1366</v>
      </c>
      <c r="D386" s="3" t="s">
        <v>23</v>
      </c>
      <c r="E386" s="3" t="s">
        <v>16</v>
      </c>
      <c r="F386" s="3" t="s">
        <v>1334</v>
      </c>
      <c r="G386" s="3"/>
      <c r="H386" s="3"/>
    </row>
    <row r="387" spans="1:8" x14ac:dyDescent="0.35">
      <c r="A387" s="3" t="s">
        <v>1338</v>
      </c>
      <c r="B387" s="3" t="s">
        <v>45</v>
      </c>
      <c r="C387" s="3" t="s">
        <v>1366</v>
      </c>
      <c r="D387" s="3" t="s">
        <v>77</v>
      </c>
      <c r="E387" s="3"/>
      <c r="F387" s="3"/>
      <c r="G387" s="3"/>
      <c r="H387" s="3"/>
    </row>
    <row r="388" spans="1:8" x14ac:dyDescent="0.35">
      <c r="A388" s="3" t="s">
        <v>1338</v>
      </c>
      <c r="B388" s="3" t="s">
        <v>45</v>
      </c>
      <c r="C388" s="3" t="s">
        <v>1366</v>
      </c>
      <c r="D388" s="3" t="s">
        <v>15</v>
      </c>
      <c r="E388" s="3"/>
      <c r="F388" s="3"/>
      <c r="G388" s="3"/>
      <c r="H388" s="3"/>
    </row>
    <row r="389" spans="1:8" x14ac:dyDescent="0.35">
      <c r="A389" s="3" t="s">
        <v>1338</v>
      </c>
      <c r="B389" s="3" t="s">
        <v>45</v>
      </c>
      <c r="C389" s="3" t="s">
        <v>1366</v>
      </c>
      <c r="D389" s="3" t="s">
        <v>56</v>
      </c>
      <c r="E389" s="3"/>
      <c r="F389" s="3"/>
      <c r="G389" s="3"/>
      <c r="H389" s="3"/>
    </row>
    <row r="390" spans="1:8" x14ac:dyDescent="0.35">
      <c r="A390" s="3" t="s">
        <v>1338</v>
      </c>
      <c r="B390" s="3" t="s">
        <v>45</v>
      </c>
      <c r="C390" s="3" t="s">
        <v>1367</v>
      </c>
      <c r="D390" s="3" t="s">
        <v>23</v>
      </c>
      <c r="E390" s="3"/>
      <c r="F390" s="3"/>
      <c r="G390" s="3"/>
      <c r="H390" s="3"/>
    </row>
    <row r="391" spans="1:8" x14ac:dyDescent="0.35">
      <c r="A391" s="3" t="s">
        <v>1338</v>
      </c>
      <c r="B391" s="3" t="s">
        <v>45</v>
      </c>
      <c r="C391" s="3" t="s">
        <v>1367</v>
      </c>
      <c r="D391" s="3" t="s">
        <v>15</v>
      </c>
      <c r="E391" s="3" t="s">
        <v>16</v>
      </c>
      <c r="F391" s="3" t="s">
        <v>1368</v>
      </c>
      <c r="G391" s="3"/>
      <c r="H391" s="3"/>
    </row>
    <row r="392" spans="1:8" x14ac:dyDescent="0.35">
      <c r="A392" s="3" t="s">
        <v>1338</v>
      </c>
      <c r="B392" s="3" t="s">
        <v>45</v>
      </c>
      <c r="C392" s="3" t="s">
        <v>1369</v>
      </c>
      <c r="D392" s="3" t="s">
        <v>23</v>
      </c>
      <c r="E392" s="3"/>
      <c r="F392" s="3"/>
      <c r="G392" s="3"/>
      <c r="H392" s="3"/>
    </row>
    <row r="393" spans="1:8" x14ac:dyDescent="0.35">
      <c r="A393" s="3" t="s">
        <v>1338</v>
      </c>
      <c r="B393" s="3" t="s">
        <v>42</v>
      </c>
      <c r="C393" s="3" t="s">
        <v>1370</v>
      </c>
      <c r="D393" s="3" t="s">
        <v>23</v>
      </c>
      <c r="E393" s="3"/>
      <c r="F393" s="3"/>
      <c r="G393" s="3"/>
      <c r="H393" s="3"/>
    </row>
    <row r="394" spans="1:8" x14ac:dyDescent="0.35">
      <c r="A394" s="3" t="s">
        <v>1338</v>
      </c>
      <c r="B394" s="3" t="s">
        <v>42</v>
      </c>
      <c r="C394" s="3" t="s">
        <v>1370</v>
      </c>
      <c r="D394" s="3" t="s">
        <v>87</v>
      </c>
      <c r="E394" s="3"/>
      <c r="F394" s="3"/>
      <c r="G394" s="3"/>
      <c r="H394" s="3"/>
    </row>
    <row r="395" spans="1:8" x14ac:dyDescent="0.35">
      <c r="A395" s="3" t="s">
        <v>1338</v>
      </c>
      <c r="B395" s="3" t="s">
        <v>42</v>
      </c>
      <c r="C395" s="3" t="s">
        <v>1370</v>
      </c>
      <c r="D395" s="3" t="s">
        <v>15</v>
      </c>
      <c r="E395" s="3" t="s">
        <v>16</v>
      </c>
      <c r="F395" s="3" t="s">
        <v>1372</v>
      </c>
      <c r="G395" s="3"/>
      <c r="H395" s="3"/>
    </row>
    <row r="396" spans="1:8" x14ac:dyDescent="0.35">
      <c r="A396" s="3" t="s">
        <v>1338</v>
      </c>
      <c r="B396" s="3" t="s">
        <v>42</v>
      </c>
      <c r="C396" s="3" t="s">
        <v>1370</v>
      </c>
      <c r="D396" s="3" t="s">
        <v>56</v>
      </c>
      <c r="E396" s="3"/>
      <c r="F396" s="3"/>
      <c r="G396" s="3"/>
      <c r="H396" s="3"/>
    </row>
    <row r="397" spans="1:8" x14ac:dyDescent="0.35">
      <c r="A397" s="3" t="s">
        <v>1338</v>
      </c>
      <c r="B397" s="3" t="s">
        <v>42</v>
      </c>
      <c r="C397" s="3" t="s">
        <v>1370</v>
      </c>
      <c r="D397" s="3" t="s">
        <v>32</v>
      </c>
      <c r="E397" s="3" t="s">
        <v>16</v>
      </c>
      <c r="F397" s="3" t="s">
        <v>1371</v>
      </c>
      <c r="G397" s="3"/>
      <c r="H397" s="3"/>
    </row>
    <row r="398" spans="1:8" x14ac:dyDescent="0.35">
      <c r="A398" s="3" t="s">
        <v>1338</v>
      </c>
      <c r="B398" s="3" t="s">
        <v>42</v>
      </c>
      <c r="C398" s="3" t="s">
        <v>1370</v>
      </c>
      <c r="D398" s="3" t="s">
        <v>24</v>
      </c>
      <c r="E398" s="3"/>
      <c r="F398" s="3"/>
      <c r="G398" s="3"/>
      <c r="H398" s="3"/>
    </row>
    <row r="399" spans="1:8" x14ac:dyDescent="0.35">
      <c r="A399" s="3" t="s">
        <v>1338</v>
      </c>
      <c r="B399" s="3" t="s">
        <v>42</v>
      </c>
      <c r="C399" s="3" t="s">
        <v>1370</v>
      </c>
      <c r="D399" s="3" t="s">
        <v>107</v>
      </c>
      <c r="E399" s="3" t="s">
        <v>16</v>
      </c>
      <c r="F399" s="3" t="s">
        <v>1373</v>
      </c>
      <c r="G399" s="3"/>
      <c r="H399" s="3"/>
    </row>
    <row r="400" spans="1:8" x14ac:dyDescent="0.35">
      <c r="A400" s="3" t="s">
        <v>1338</v>
      </c>
      <c r="B400" s="3" t="s">
        <v>20</v>
      </c>
      <c r="C400" s="3" t="s">
        <v>1374</v>
      </c>
      <c r="D400" s="3" t="s">
        <v>36</v>
      </c>
      <c r="E400" s="3" t="s">
        <v>16</v>
      </c>
      <c r="F400" s="3" t="s">
        <v>1375</v>
      </c>
      <c r="G400" s="3"/>
      <c r="H400" s="3"/>
    </row>
    <row r="401" spans="1:8" x14ac:dyDescent="0.35">
      <c r="A401" s="3" t="s">
        <v>1338</v>
      </c>
      <c r="B401" s="3" t="s">
        <v>20</v>
      </c>
      <c r="C401" s="3" t="s">
        <v>1374</v>
      </c>
      <c r="D401" s="3" t="s">
        <v>23</v>
      </c>
      <c r="E401" s="3"/>
      <c r="F401" s="3"/>
      <c r="G401" s="3"/>
      <c r="H401" s="3"/>
    </row>
    <row r="402" spans="1:8" x14ac:dyDescent="0.35">
      <c r="A402" s="3" t="s">
        <v>1338</v>
      </c>
      <c r="B402" s="3" t="s">
        <v>20</v>
      </c>
      <c r="C402" s="3" t="s">
        <v>1374</v>
      </c>
      <c r="D402" s="3" t="s">
        <v>25</v>
      </c>
      <c r="E402" s="3"/>
      <c r="F402" s="3"/>
      <c r="G402" s="3"/>
      <c r="H402" s="3"/>
    </row>
    <row r="403" spans="1:8" x14ac:dyDescent="0.35">
      <c r="A403" s="3" t="s">
        <v>1338</v>
      </c>
      <c r="B403" s="3" t="s">
        <v>20</v>
      </c>
      <c r="C403" s="3" t="s">
        <v>1374</v>
      </c>
      <c r="D403" s="3" t="s">
        <v>60</v>
      </c>
      <c r="E403" s="3" t="s">
        <v>16</v>
      </c>
      <c r="F403" s="3" t="s">
        <v>1376</v>
      </c>
      <c r="G403" s="3"/>
      <c r="H403" s="3"/>
    </row>
    <row r="404" spans="1:8" x14ac:dyDescent="0.35">
      <c r="A404" s="3" t="s">
        <v>1338</v>
      </c>
      <c r="B404" s="3" t="s">
        <v>20</v>
      </c>
      <c r="C404" s="3" t="s">
        <v>1374</v>
      </c>
      <c r="D404" s="3" t="s">
        <v>141</v>
      </c>
      <c r="E404" s="3"/>
      <c r="F404" s="3"/>
      <c r="G404" s="3"/>
      <c r="H404" s="3"/>
    </row>
    <row r="405" spans="1:8" x14ac:dyDescent="0.35">
      <c r="A405" s="3" t="s">
        <v>1338</v>
      </c>
      <c r="B405" s="3" t="s">
        <v>20</v>
      </c>
      <c r="C405" s="3" t="s">
        <v>1374</v>
      </c>
      <c r="D405" s="3" t="s">
        <v>77</v>
      </c>
      <c r="E405" s="3"/>
      <c r="F405" s="3"/>
      <c r="G405" s="3"/>
      <c r="H405" s="3"/>
    </row>
    <row r="406" spans="1:8" x14ac:dyDescent="0.35">
      <c r="A406" s="3" t="s">
        <v>1338</v>
      </c>
      <c r="B406" s="3" t="s">
        <v>20</v>
      </c>
      <c r="C406" s="3" t="s">
        <v>1374</v>
      </c>
      <c r="D406" s="3" t="s">
        <v>87</v>
      </c>
      <c r="E406" s="3"/>
      <c r="F406" s="3"/>
      <c r="G406" s="3"/>
      <c r="H406" s="3"/>
    </row>
    <row r="407" spans="1:8" x14ac:dyDescent="0.35">
      <c r="A407" s="3" t="s">
        <v>1338</v>
      </c>
      <c r="B407" s="3" t="s">
        <v>20</v>
      </c>
      <c r="C407" s="3" t="s">
        <v>1374</v>
      </c>
      <c r="D407" s="3" t="s">
        <v>15</v>
      </c>
      <c r="E407" s="3" t="s">
        <v>16</v>
      </c>
      <c r="F407" s="3" t="s">
        <v>1377</v>
      </c>
      <c r="G407" s="3"/>
      <c r="H407" s="3"/>
    </row>
    <row r="408" spans="1:8" x14ac:dyDescent="0.35">
      <c r="A408" s="3" t="s">
        <v>1338</v>
      </c>
      <c r="B408" s="3" t="s">
        <v>20</v>
      </c>
      <c r="C408" s="3" t="s">
        <v>1374</v>
      </c>
      <c r="D408" s="3" t="s">
        <v>56</v>
      </c>
      <c r="E408" s="3"/>
      <c r="F408" s="3" t="s">
        <v>2426</v>
      </c>
      <c r="G408" s="3"/>
      <c r="H408" s="3"/>
    </row>
    <row r="409" spans="1:8" x14ac:dyDescent="0.35">
      <c r="A409" s="3" t="s">
        <v>1338</v>
      </c>
      <c r="B409" s="3" t="s">
        <v>20</v>
      </c>
      <c r="C409" s="3" t="s">
        <v>1374</v>
      </c>
      <c r="D409" s="3" t="s">
        <v>32</v>
      </c>
      <c r="E409" s="3"/>
      <c r="F409" s="3"/>
      <c r="G409" s="3"/>
      <c r="H409" s="3"/>
    </row>
    <row r="410" spans="1:8" x14ac:dyDescent="0.35">
      <c r="A410" s="3" t="s">
        <v>1378</v>
      </c>
      <c r="B410" s="3" t="s">
        <v>10</v>
      </c>
      <c r="C410" s="3" t="s">
        <v>1379</v>
      </c>
      <c r="D410" s="3" t="s">
        <v>15</v>
      </c>
      <c r="E410" s="3" t="s">
        <v>16</v>
      </c>
      <c r="F410" s="3" t="s">
        <v>1380</v>
      </c>
      <c r="G410" s="3"/>
      <c r="H410" s="3"/>
    </row>
    <row r="411" spans="1:8" x14ac:dyDescent="0.35">
      <c r="A411" s="3" t="s">
        <v>1378</v>
      </c>
      <c r="B411" s="3" t="s">
        <v>20</v>
      </c>
      <c r="C411" s="3" t="s">
        <v>1381</v>
      </c>
      <c r="D411" s="3" t="s">
        <v>12</v>
      </c>
      <c r="E411" s="3"/>
      <c r="F411" s="3"/>
      <c r="G411" s="3" t="s">
        <v>16</v>
      </c>
      <c r="H411" s="3" t="s">
        <v>1383</v>
      </c>
    </row>
    <row r="412" spans="1:8" x14ac:dyDescent="0.35">
      <c r="A412" s="3" t="s">
        <v>1378</v>
      </c>
      <c r="B412" s="3" t="s">
        <v>20</v>
      </c>
      <c r="C412" s="3" t="s">
        <v>1381</v>
      </c>
      <c r="D412" s="3" t="s">
        <v>15</v>
      </c>
      <c r="E412" s="3" t="s">
        <v>16</v>
      </c>
      <c r="F412" s="3" t="s">
        <v>1384</v>
      </c>
      <c r="G412" s="3" t="s">
        <v>16</v>
      </c>
      <c r="H412" s="3" t="s">
        <v>1383</v>
      </c>
    </row>
    <row r="413" spans="1:8" x14ac:dyDescent="0.35">
      <c r="A413" s="3" t="s">
        <v>1378</v>
      </c>
      <c r="B413" s="3" t="s">
        <v>20</v>
      </c>
      <c r="C413" s="3" t="s">
        <v>1381</v>
      </c>
      <c r="D413" s="3" t="s">
        <v>56</v>
      </c>
      <c r="E413" s="3" t="s">
        <v>16</v>
      </c>
      <c r="F413" s="3" t="s">
        <v>1382</v>
      </c>
      <c r="G413" s="3" t="s">
        <v>16</v>
      </c>
      <c r="H413" s="3" t="s">
        <v>1383</v>
      </c>
    </row>
    <row r="414" spans="1:8" x14ac:dyDescent="0.35">
      <c r="A414" s="3" t="s">
        <v>1378</v>
      </c>
      <c r="B414" s="3" t="s">
        <v>20</v>
      </c>
      <c r="C414" s="3" t="s">
        <v>1381</v>
      </c>
      <c r="D414" s="3" t="s">
        <v>134</v>
      </c>
      <c r="E414" s="3"/>
      <c r="F414" s="3"/>
      <c r="G414" s="3" t="s">
        <v>16</v>
      </c>
      <c r="H414" s="3" t="s">
        <v>1383</v>
      </c>
    </row>
    <row r="415" spans="1:8" x14ac:dyDescent="0.35">
      <c r="A415" s="3" t="s">
        <v>1378</v>
      </c>
      <c r="B415" s="3" t="s">
        <v>42</v>
      </c>
      <c r="C415" s="3" t="s">
        <v>1385</v>
      </c>
      <c r="D415" s="3" t="s">
        <v>15</v>
      </c>
      <c r="E415" s="3" t="s">
        <v>16</v>
      </c>
      <c r="F415" s="3" t="s">
        <v>1386</v>
      </c>
      <c r="G415" s="3" t="s">
        <v>16</v>
      </c>
      <c r="H415" s="3" t="s">
        <v>1383</v>
      </c>
    </row>
    <row r="416" spans="1:8" x14ac:dyDescent="0.35">
      <c r="A416" s="3" t="s">
        <v>1378</v>
      </c>
      <c r="B416" s="3" t="s">
        <v>42</v>
      </c>
      <c r="C416" s="3" t="s">
        <v>1385</v>
      </c>
      <c r="D416" s="3" t="s">
        <v>24</v>
      </c>
      <c r="E416" s="3"/>
      <c r="F416" s="3"/>
      <c r="G416" s="3" t="s">
        <v>16</v>
      </c>
      <c r="H416" s="3" t="s">
        <v>1383</v>
      </c>
    </row>
    <row r="417" spans="1:8" x14ac:dyDescent="0.35">
      <c r="A417" s="3" t="s">
        <v>1378</v>
      </c>
      <c r="B417" s="3" t="s">
        <v>42</v>
      </c>
      <c r="C417" s="3" t="s">
        <v>1385</v>
      </c>
      <c r="D417" s="3" t="s">
        <v>134</v>
      </c>
      <c r="E417" s="3"/>
      <c r="F417" s="3"/>
      <c r="G417" s="3" t="s">
        <v>16</v>
      </c>
      <c r="H417" s="3" t="s">
        <v>1383</v>
      </c>
    </row>
    <row r="418" spans="1:8" x14ac:dyDescent="0.35">
      <c r="A418" s="3" t="s">
        <v>1378</v>
      </c>
      <c r="B418" s="3" t="s">
        <v>20</v>
      </c>
      <c r="C418" s="3" t="s">
        <v>1387</v>
      </c>
      <c r="D418" s="3" t="s">
        <v>23</v>
      </c>
      <c r="E418" s="3" t="s">
        <v>33</v>
      </c>
      <c r="F418" s="3" t="s">
        <v>1388</v>
      </c>
      <c r="G418" s="3" t="s">
        <v>16</v>
      </c>
      <c r="H418" s="3" t="s">
        <v>1383</v>
      </c>
    </row>
    <row r="419" spans="1:8" x14ac:dyDescent="0.35">
      <c r="A419" s="3" t="s">
        <v>1378</v>
      </c>
      <c r="B419" s="3" t="s">
        <v>20</v>
      </c>
      <c r="C419" s="3" t="s">
        <v>1387</v>
      </c>
      <c r="D419" s="3" t="s">
        <v>15</v>
      </c>
      <c r="E419" s="3" t="s">
        <v>33</v>
      </c>
      <c r="F419" s="3" t="s">
        <v>1388</v>
      </c>
      <c r="G419" s="3" t="s">
        <v>16</v>
      </c>
      <c r="H419" s="3" t="s">
        <v>1383</v>
      </c>
    </row>
    <row r="420" spans="1:8" x14ac:dyDescent="0.35">
      <c r="A420" s="3" t="s">
        <v>1378</v>
      </c>
      <c r="B420" s="3" t="s">
        <v>20</v>
      </c>
      <c r="C420" s="3" t="s">
        <v>1387</v>
      </c>
      <c r="D420" s="3" t="s">
        <v>24</v>
      </c>
      <c r="E420" s="3" t="s">
        <v>33</v>
      </c>
      <c r="F420" s="3" t="s">
        <v>1388</v>
      </c>
      <c r="G420" s="3" t="s">
        <v>16</v>
      </c>
      <c r="H420" s="3" t="s">
        <v>1383</v>
      </c>
    </row>
    <row r="421" spans="1:8" x14ac:dyDescent="0.35">
      <c r="A421" s="3" t="s">
        <v>1378</v>
      </c>
      <c r="B421" s="3" t="s">
        <v>39</v>
      </c>
      <c r="C421" s="3" t="s">
        <v>1389</v>
      </c>
      <c r="D421" s="3" t="s">
        <v>15</v>
      </c>
      <c r="E421" s="3" t="s">
        <v>16</v>
      </c>
      <c r="F421" s="3" t="s">
        <v>1390</v>
      </c>
      <c r="G421" s="3" t="s">
        <v>16</v>
      </c>
      <c r="H421" s="3" t="s">
        <v>1383</v>
      </c>
    </row>
    <row r="422" spans="1:8" x14ac:dyDescent="0.35">
      <c r="A422" s="3" t="s">
        <v>1378</v>
      </c>
      <c r="B422" s="3" t="s">
        <v>39</v>
      </c>
      <c r="C422" s="3" t="s">
        <v>1389</v>
      </c>
      <c r="D422" s="3" t="s">
        <v>134</v>
      </c>
      <c r="E422" s="3" t="s">
        <v>16</v>
      </c>
      <c r="F422" s="3" t="s">
        <v>1390</v>
      </c>
      <c r="G422" s="3" t="s">
        <v>16</v>
      </c>
      <c r="H422" s="3" t="s">
        <v>1383</v>
      </c>
    </row>
    <row r="423" spans="1:8" x14ac:dyDescent="0.35">
      <c r="A423" s="3" t="s">
        <v>1378</v>
      </c>
      <c r="B423" s="3" t="s">
        <v>45</v>
      </c>
      <c r="C423" s="3" t="s">
        <v>1391</v>
      </c>
      <c r="D423" s="3" t="s">
        <v>36</v>
      </c>
      <c r="E423" s="3"/>
      <c r="F423" s="3"/>
      <c r="G423" s="3" t="s">
        <v>16</v>
      </c>
      <c r="H423" s="3" t="s">
        <v>1383</v>
      </c>
    </row>
    <row r="424" spans="1:8" x14ac:dyDescent="0.35">
      <c r="A424" s="3" t="s">
        <v>1378</v>
      </c>
      <c r="B424" s="3" t="s">
        <v>45</v>
      </c>
      <c r="C424" s="3" t="s">
        <v>1391</v>
      </c>
      <c r="D424" s="3" t="s">
        <v>23</v>
      </c>
      <c r="E424" s="3"/>
      <c r="F424" s="3"/>
      <c r="G424" s="3" t="s">
        <v>16</v>
      </c>
      <c r="H424" s="3" t="s">
        <v>1383</v>
      </c>
    </row>
    <row r="425" spans="1:8" x14ac:dyDescent="0.35">
      <c r="A425" s="3" t="s">
        <v>1378</v>
      </c>
      <c r="B425" s="3" t="s">
        <v>45</v>
      </c>
      <c r="C425" s="3" t="s">
        <v>1391</v>
      </c>
      <c r="D425" s="3" t="s">
        <v>15</v>
      </c>
      <c r="E425" s="3" t="s">
        <v>16</v>
      </c>
      <c r="F425" s="3" t="s">
        <v>1334</v>
      </c>
      <c r="G425" s="3" t="s">
        <v>16</v>
      </c>
      <c r="H425" s="3" t="s">
        <v>1383</v>
      </c>
    </row>
    <row r="426" spans="1:8" x14ac:dyDescent="0.35">
      <c r="A426" s="3" t="s">
        <v>1378</v>
      </c>
      <c r="B426" s="3" t="s">
        <v>45</v>
      </c>
      <c r="C426" s="3" t="s">
        <v>1391</v>
      </c>
      <c r="D426" s="3" t="s">
        <v>56</v>
      </c>
      <c r="E426" s="3" t="s">
        <v>16</v>
      </c>
      <c r="F426" s="3" t="s">
        <v>1334</v>
      </c>
      <c r="G426" s="3" t="s">
        <v>16</v>
      </c>
      <c r="H426" s="3" t="s">
        <v>1383</v>
      </c>
    </row>
    <row r="427" spans="1:8" x14ac:dyDescent="0.35">
      <c r="A427" s="3" t="s">
        <v>1378</v>
      </c>
      <c r="B427" s="3" t="s">
        <v>45</v>
      </c>
      <c r="C427" s="3" t="s">
        <v>1391</v>
      </c>
      <c r="D427" s="3" t="s">
        <v>24</v>
      </c>
      <c r="E427" s="3"/>
      <c r="F427" s="3"/>
      <c r="G427" s="3" t="s">
        <v>16</v>
      </c>
      <c r="H427" s="3" t="s">
        <v>1383</v>
      </c>
    </row>
    <row r="428" spans="1:8" x14ac:dyDescent="0.35">
      <c r="A428" s="3" t="s">
        <v>1378</v>
      </c>
      <c r="B428" s="3" t="s">
        <v>45</v>
      </c>
      <c r="C428" s="3" t="s">
        <v>1392</v>
      </c>
      <c r="D428" s="3" t="s">
        <v>12</v>
      </c>
      <c r="E428" s="3"/>
      <c r="F428" s="3"/>
      <c r="G428" s="3" t="s">
        <v>16</v>
      </c>
      <c r="H428" s="3" t="s">
        <v>1383</v>
      </c>
    </row>
    <row r="429" spans="1:8" x14ac:dyDescent="0.35">
      <c r="A429" s="3" t="s">
        <v>1378</v>
      </c>
      <c r="B429" s="3" t="s">
        <v>45</v>
      </c>
      <c r="C429" s="3" t="s">
        <v>1392</v>
      </c>
      <c r="D429" s="3" t="s">
        <v>23</v>
      </c>
      <c r="E429" s="3" t="s">
        <v>16</v>
      </c>
      <c r="F429" s="3" t="s">
        <v>1393</v>
      </c>
      <c r="G429" s="3" t="s">
        <v>16</v>
      </c>
      <c r="H429" s="3" t="s">
        <v>1383</v>
      </c>
    </row>
    <row r="430" spans="1:8" x14ac:dyDescent="0.35">
      <c r="A430" s="3" t="s">
        <v>1378</v>
      </c>
      <c r="B430" s="3" t="s">
        <v>45</v>
      </c>
      <c r="C430" s="3" t="s">
        <v>1392</v>
      </c>
      <c r="D430" s="3" t="s">
        <v>27</v>
      </c>
      <c r="E430" s="3"/>
      <c r="F430" s="3"/>
      <c r="G430" s="3" t="s">
        <v>16</v>
      </c>
      <c r="H430" s="3" t="s">
        <v>1383</v>
      </c>
    </row>
    <row r="431" spans="1:8" x14ac:dyDescent="0.35">
      <c r="A431" s="3" t="s">
        <v>1378</v>
      </c>
      <c r="B431" s="3" t="s">
        <v>45</v>
      </c>
      <c r="C431" s="3" t="s">
        <v>1392</v>
      </c>
      <c r="D431" s="3" t="s">
        <v>15</v>
      </c>
      <c r="E431" s="3" t="s">
        <v>16</v>
      </c>
      <c r="F431" s="3" t="s">
        <v>1394</v>
      </c>
      <c r="G431" s="3" t="s">
        <v>16</v>
      </c>
      <c r="H431" s="3" t="s">
        <v>1383</v>
      </c>
    </row>
    <row r="432" spans="1:8" x14ac:dyDescent="0.35">
      <c r="A432" s="3" t="s">
        <v>1378</v>
      </c>
      <c r="B432" s="3" t="s">
        <v>45</v>
      </c>
      <c r="C432" s="3" t="s">
        <v>1392</v>
      </c>
      <c r="D432" s="3" t="s">
        <v>57</v>
      </c>
      <c r="E432" s="3"/>
      <c r="F432" s="3"/>
      <c r="G432" s="3" t="s">
        <v>16</v>
      </c>
      <c r="H432" s="3" t="s">
        <v>1383</v>
      </c>
    </row>
    <row r="433" spans="1:8" x14ac:dyDescent="0.35">
      <c r="A433" s="3" t="s">
        <v>1378</v>
      </c>
      <c r="B433" s="3" t="s">
        <v>20</v>
      </c>
      <c r="C433" s="3" t="s">
        <v>1395</v>
      </c>
      <c r="D433" s="3" t="s">
        <v>12</v>
      </c>
      <c r="E433" s="3"/>
      <c r="F433" s="3" t="s">
        <v>2327</v>
      </c>
      <c r="G433" s="3" t="s">
        <v>16</v>
      </c>
      <c r="H433" s="3" t="s">
        <v>1383</v>
      </c>
    </row>
    <row r="434" spans="1:8" x14ac:dyDescent="0.35">
      <c r="A434" s="3" t="s">
        <v>1378</v>
      </c>
      <c r="B434" s="3" t="s">
        <v>20</v>
      </c>
      <c r="C434" s="3" t="s">
        <v>1395</v>
      </c>
      <c r="D434" s="3" t="s">
        <v>23</v>
      </c>
      <c r="E434" s="3"/>
      <c r="F434" s="3"/>
      <c r="G434" s="3" t="s">
        <v>16</v>
      </c>
      <c r="H434" s="3" t="s">
        <v>1383</v>
      </c>
    </row>
    <row r="435" spans="1:8" x14ac:dyDescent="0.35">
      <c r="A435" s="3" t="s">
        <v>1378</v>
      </c>
      <c r="B435" s="3" t="s">
        <v>20</v>
      </c>
      <c r="C435" s="3" t="s">
        <v>1395</v>
      </c>
      <c r="D435" s="3" t="s">
        <v>27</v>
      </c>
      <c r="E435" s="3"/>
      <c r="F435" s="3"/>
      <c r="G435" s="3" t="s">
        <v>16</v>
      </c>
      <c r="H435" s="3" t="s">
        <v>1383</v>
      </c>
    </row>
    <row r="436" spans="1:8" x14ac:dyDescent="0.35">
      <c r="A436" s="3" t="s">
        <v>1378</v>
      </c>
      <c r="B436" s="3" t="s">
        <v>20</v>
      </c>
      <c r="C436" s="3" t="s">
        <v>1395</v>
      </c>
      <c r="D436" s="3" t="s">
        <v>15</v>
      </c>
      <c r="E436" s="3" t="s">
        <v>16</v>
      </c>
      <c r="F436" s="3" t="s">
        <v>1397</v>
      </c>
      <c r="G436" s="3" t="s">
        <v>16</v>
      </c>
      <c r="H436" s="3" t="s">
        <v>1383</v>
      </c>
    </row>
    <row r="437" spans="1:8" x14ac:dyDescent="0.35">
      <c r="A437" s="3" t="s">
        <v>1378</v>
      </c>
      <c r="B437" s="3" t="s">
        <v>20</v>
      </c>
      <c r="C437" s="3" t="s">
        <v>1395</v>
      </c>
      <c r="D437" s="3" t="s">
        <v>56</v>
      </c>
      <c r="E437" s="3" t="s">
        <v>16</v>
      </c>
      <c r="F437" s="3" t="s">
        <v>1396</v>
      </c>
      <c r="G437" s="3" t="s">
        <v>16</v>
      </c>
      <c r="H437" s="3" t="s">
        <v>1383</v>
      </c>
    </row>
    <row r="438" spans="1:8" x14ac:dyDescent="0.35">
      <c r="A438" s="3" t="s">
        <v>1378</v>
      </c>
      <c r="B438" s="3" t="s">
        <v>20</v>
      </c>
      <c r="C438" s="3" t="s">
        <v>1395</v>
      </c>
      <c r="D438" s="3" t="s">
        <v>32</v>
      </c>
      <c r="E438" s="3"/>
      <c r="F438" s="3"/>
      <c r="G438" s="3" t="s">
        <v>16</v>
      </c>
      <c r="H438" s="3" t="s">
        <v>1383</v>
      </c>
    </row>
    <row r="439" spans="1:8" x14ac:dyDescent="0.35">
      <c r="A439" s="3" t="s">
        <v>1378</v>
      </c>
      <c r="B439" s="3" t="s">
        <v>20</v>
      </c>
      <c r="C439" s="3" t="s">
        <v>1395</v>
      </c>
      <c r="D439" s="3" t="s">
        <v>24</v>
      </c>
      <c r="E439" s="3"/>
      <c r="F439" s="3"/>
      <c r="G439" s="3" t="s">
        <v>16</v>
      </c>
      <c r="H439" s="3" t="s">
        <v>1383</v>
      </c>
    </row>
    <row r="440" spans="1:8" x14ac:dyDescent="0.35">
      <c r="A440" s="3" t="s">
        <v>1378</v>
      </c>
      <c r="B440" s="3" t="s">
        <v>20</v>
      </c>
      <c r="C440" s="3" t="s">
        <v>1398</v>
      </c>
      <c r="D440" s="3" t="s">
        <v>15</v>
      </c>
      <c r="E440" s="3" t="s">
        <v>16</v>
      </c>
      <c r="F440" s="3" t="s">
        <v>1334</v>
      </c>
      <c r="G440" s="3" t="s">
        <v>16</v>
      </c>
      <c r="H440" s="3" t="s">
        <v>1383</v>
      </c>
    </row>
    <row r="441" spans="1:8" x14ac:dyDescent="0.35">
      <c r="A441" s="3" t="s">
        <v>1378</v>
      </c>
      <c r="B441" s="3" t="s">
        <v>20</v>
      </c>
      <c r="C441" s="3" t="s">
        <v>1398</v>
      </c>
      <c r="D441" s="3" t="s">
        <v>24</v>
      </c>
      <c r="E441" s="3"/>
      <c r="F441" s="3"/>
      <c r="G441" s="3" t="s">
        <v>16</v>
      </c>
      <c r="H441" s="3" t="s">
        <v>1383</v>
      </c>
    </row>
    <row r="442" spans="1:8" x14ac:dyDescent="0.35">
      <c r="A442" s="3" t="s">
        <v>1378</v>
      </c>
      <c r="B442" s="3" t="s">
        <v>20</v>
      </c>
      <c r="C442" s="3" t="s">
        <v>1399</v>
      </c>
      <c r="D442" s="3" t="s">
        <v>60</v>
      </c>
      <c r="E442" s="3"/>
      <c r="F442" s="3"/>
      <c r="G442" s="3" t="s">
        <v>16</v>
      </c>
      <c r="H442" s="3" t="s">
        <v>1383</v>
      </c>
    </row>
    <row r="443" spans="1:8" x14ac:dyDescent="0.35">
      <c r="A443" s="3" t="s">
        <v>1378</v>
      </c>
      <c r="B443" s="3" t="s">
        <v>20</v>
      </c>
      <c r="C443" s="3" t="s">
        <v>1399</v>
      </c>
      <c r="D443" s="3" t="s">
        <v>87</v>
      </c>
      <c r="E443" s="3"/>
      <c r="F443" s="3"/>
      <c r="G443" s="3" t="s">
        <v>16</v>
      </c>
      <c r="H443" s="3" t="s">
        <v>1383</v>
      </c>
    </row>
    <row r="444" spans="1:8" x14ac:dyDescent="0.35">
      <c r="A444" s="3" t="s">
        <v>1378</v>
      </c>
      <c r="B444" s="3" t="s">
        <v>20</v>
      </c>
      <c r="C444" s="3" t="s">
        <v>1399</v>
      </c>
      <c r="D444" s="3" t="s">
        <v>15</v>
      </c>
      <c r="E444" s="3" t="s">
        <v>16</v>
      </c>
      <c r="F444" s="3" t="s">
        <v>1400</v>
      </c>
      <c r="G444" s="3" t="s">
        <v>16</v>
      </c>
      <c r="H444" s="3" t="s">
        <v>1383</v>
      </c>
    </row>
    <row r="445" spans="1:8" x14ac:dyDescent="0.35">
      <c r="A445" s="3" t="s">
        <v>1378</v>
      </c>
      <c r="B445" s="3" t="s">
        <v>20</v>
      </c>
      <c r="C445" s="3" t="s">
        <v>1399</v>
      </c>
      <c r="D445" s="3" t="s">
        <v>24</v>
      </c>
      <c r="E445" s="3"/>
      <c r="F445" s="3"/>
      <c r="G445" s="3" t="s">
        <v>16</v>
      </c>
      <c r="H445" s="3" t="s">
        <v>1383</v>
      </c>
    </row>
    <row r="446" spans="1:8" x14ac:dyDescent="0.35">
      <c r="A446" s="3" t="s">
        <v>1378</v>
      </c>
      <c r="B446" s="3" t="s">
        <v>20</v>
      </c>
      <c r="C446" s="3" t="s">
        <v>1399</v>
      </c>
      <c r="D446" s="3" t="s">
        <v>134</v>
      </c>
      <c r="E446" s="3" t="s">
        <v>16</v>
      </c>
      <c r="F446" s="3" t="s">
        <v>1401</v>
      </c>
      <c r="G446" s="3" t="s">
        <v>16</v>
      </c>
      <c r="H446" s="3" t="s">
        <v>1383</v>
      </c>
    </row>
    <row r="447" spans="1:8" x14ac:dyDescent="0.35">
      <c r="A447" s="3" t="s">
        <v>1378</v>
      </c>
      <c r="B447" s="3" t="s">
        <v>45</v>
      </c>
      <c r="C447" s="3" t="s">
        <v>1402</v>
      </c>
      <c r="D447" s="3" t="s">
        <v>23</v>
      </c>
      <c r="E447" s="3"/>
      <c r="F447" s="3"/>
      <c r="G447" s="3" t="s">
        <v>16</v>
      </c>
      <c r="H447" s="3" t="s">
        <v>1383</v>
      </c>
    </row>
    <row r="448" spans="1:8" x14ac:dyDescent="0.35">
      <c r="A448" s="3" t="s">
        <v>1378</v>
      </c>
      <c r="B448" s="3" t="s">
        <v>45</v>
      </c>
      <c r="C448" s="3" t="s">
        <v>1402</v>
      </c>
      <c r="D448" s="3" t="s">
        <v>60</v>
      </c>
      <c r="E448" s="3"/>
      <c r="F448" s="3"/>
      <c r="G448" s="3" t="s">
        <v>16</v>
      </c>
      <c r="H448" s="3" t="s">
        <v>1383</v>
      </c>
    </row>
    <row r="449" spans="1:8" x14ac:dyDescent="0.35">
      <c r="A449" s="3" t="s">
        <v>1378</v>
      </c>
      <c r="B449" s="3" t="s">
        <v>45</v>
      </c>
      <c r="C449" s="3" t="s">
        <v>1402</v>
      </c>
      <c r="D449" s="3" t="s">
        <v>77</v>
      </c>
      <c r="E449" s="3"/>
      <c r="F449" s="3"/>
      <c r="G449" s="3" t="s">
        <v>16</v>
      </c>
      <c r="H449" s="3" t="s">
        <v>1383</v>
      </c>
    </row>
    <row r="450" spans="1:8" x14ac:dyDescent="0.35">
      <c r="A450" s="3" t="s">
        <v>1378</v>
      </c>
      <c r="B450" s="3" t="s">
        <v>45</v>
      </c>
      <c r="C450" s="3" t="s">
        <v>1402</v>
      </c>
      <c r="D450" s="3" t="s">
        <v>15</v>
      </c>
      <c r="E450" s="3" t="s">
        <v>16</v>
      </c>
      <c r="F450" s="3" t="s">
        <v>1334</v>
      </c>
      <c r="G450" s="3" t="s">
        <v>16</v>
      </c>
      <c r="H450" s="3" t="s">
        <v>1383</v>
      </c>
    </row>
    <row r="451" spans="1:8" x14ac:dyDescent="0.35">
      <c r="A451" s="3" t="s">
        <v>1378</v>
      </c>
      <c r="B451" s="3" t="s">
        <v>45</v>
      </c>
      <c r="C451" s="3" t="s">
        <v>1402</v>
      </c>
      <c r="D451" s="3" t="s">
        <v>26</v>
      </c>
      <c r="E451" s="3"/>
      <c r="F451" s="3"/>
      <c r="G451" s="3" t="s">
        <v>16</v>
      </c>
      <c r="H451" s="3" t="s">
        <v>1383</v>
      </c>
    </row>
    <row r="452" spans="1:8" x14ac:dyDescent="0.35">
      <c r="A452" s="3" t="s">
        <v>1378</v>
      </c>
      <c r="B452" s="3" t="s">
        <v>45</v>
      </c>
      <c r="C452" s="3" t="s">
        <v>1403</v>
      </c>
      <c r="D452" s="3" t="s">
        <v>15</v>
      </c>
      <c r="E452" s="3" t="s">
        <v>16</v>
      </c>
      <c r="F452" s="3" t="s">
        <v>1334</v>
      </c>
      <c r="G452" s="3" t="s">
        <v>16</v>
      </c>
      <c r="H452" s="3" t="s">
        <v>1383</v>
      </c>
    </row>
    <row r="453" spans="1:8" x14ac:dyDescent="0.35">
      <c r="A453" s="3" t="s">
        <v>1378</v>
      </c>
      <c r="B453" s="3" t="s">
        <v>39</v>
      </c>
      <c r="C453" s="3" t="s">
        <v>1404</v>
      </c>
      <c r="D453" s="3" t="s">
        <v>15</v>
      </c>
      <c r="E453" s="3" t="s">
        <v>16</v>
      </c>
      <c r="F453" s="3" t="s">
        <v>2440</v>
      </c>
      <c r="G453" s="3" t="s">
        <v>16</v>
      </c>
      <c r="H453" s="3" t="s">
        <v>1383</v>
      </c>
    </row>
    <row r="454" spans="1:8" x14ac:dyDescent="0.35">
      <c r="A454" s="3" t="s">
        <v>1378</v>
      </c>
      <c r="B454" s="3" t="s">
        <v>39</v>
      </c>
      <c r="C454" s="3" t="s">
        <v>1404</v>
      </c>
      <c r="D454" s="3" t="s">
        <v>56</v>
      </c>
      <c r="E454" s="3" t="s">
        <v>16</v>
      </c>
      <c r="F454" s="3" t="s">
        <v>1405</v>
      </c>
      <c r="G454" s="3" t="s">
        <v>16</v>
      </c>
      <c r="H454" s="3" t="s">
        <v>1383</v>
      </c>
    </row>
    <row r="455" spans="1:8" x14ac:dyDescent="0.35">
      <c r="A455" s="3" t="s">
        <v>1378</v>
      </c>
      <c r="B455" s="3" t="s">
        <v>39</v>
      </c>
      <c r="C455" s="3" t="s">
        <v>1404</v>
      </c>
      <c r="D455" s="3" t="s">
        <v>24</v>
      </c>
      <c r="E455" s="3"/>
      <c r="F455" s="3"/>
      <c r="G455" s="3" t="s">
        <v>16</v>
      </c>
      <c r="H455" s="3" t="s">
        <v>1383</v>
      </c>
    </row>
    <row r="456" spans="1:8" x14ac:dyDescent="0.35">
      <c r="A456" s="3" t="s">
        <v>1378</v>
      </c>
      <c r="B456" s="3" t="s">
        <v>39</v>
      </c>
      <c r="C456" s="3" t="s">
        <v>1406</v>
      </c>
      <c r="D456" s="3" t="s">
        <v>12</v>
      </c>
      <c r="E456" s="3"/>
      <c r="F456" s="3"/>
      <c r="G456" s="3" t="s">
        <v>16</v>
      </c>
      <c r="H456" s="3" t="s">
        <v>1383</v>
      </c>
    </row>
    <row r="457" spans="1:8" x14ac:dyDescent="0.35">
      <c r="A457" s="3" t="s">
        <v>1378</v>
      </c>
      <c r="B457" s="3" t="s">
        <v>39</v>
      </c>
      <c r="C457" s="3" t="s">
        <v>1406</v>
      </c>
      <c r="D457" s="3" t="s">
        <v>15</v>
      </c>
      <c r="E457" s="3" t="s">
        <v>16</v>
      </c>
      <c r="F457" s="3" t="s">
        <v>1407</v>
      </c>
      <c r="G457" s="3" t="s">
        <v>16</v>
      </c>
      <c r="H457" s="3" t="s">
        <v>1383</v>
      </c>
    </row>
    <row r="458" spans="1:8" x14ac:dyDescent="0.35">
      <c r="A458" s="3" t="s">
        <v>1378</v>
      </c>
      <c r="B458" s="3" t="s">
        <v>39</v>
      </c>
      <c r="C458" s="3" t="s">
        <v>1406</v>
      </c>
      <c r="D458" s="3" t="s">
        <v>24</v>
      </c>
      <c r="E458" s="3" t="s">
        <v>16</v>
      </c>
      <c r="F458" s="3" t="s">
        <v>1407</v>
      </c>
      <c r="G458" s="3" t="s">
        <v>16</v>
      </c>
      <c r="H458" s="3" t="s">
        <v>1383</v>
      </c>
    </row>
    <row r="459" spans="1:8" x14ac:dyDescent="0.35">
      <c r="A459" s="3" t="s">
        <v>1378</v>
      </c>
      <c r="B459" s="3" t="s">
        <v>39</v>
      </c>
      <c r="C459" s="3" t="s">
        <v>1406</v>
      </c>
      <c r="D459" s="3" t="s">
        <v>107</v>
      </c>
      <c r="E459" s="3" t="s">
        <v>16</v>
      </c>
      <c r="F459" s="3" t="s">
        <v>1407</v>
      </c>
      <c r="G459" s="3" t="s">
        <v>16</v>
      </c>
      <c r="H459" s="3" t="s">
        <v>1383</v>
      </c>
    </row>
    <row r="460" spans="1:8" x14ac:dyDescent="0.35">
      <c r="A460" s="3" t="s">
        <v>1408</v>
      </c>
      <c r="B460" s="3" t="s">
        <v>42</v>
      </c>
      <c r="C460" s="3" t="s">
        <v>1409</v>
      </c>
      <c r="D460" s="3" t="s">
        <v>32</v>
      </c>
      <c r="E460" s="3" t="s">
        <v>16</v>
      </c>
      <c r="F460" s="3" t="s">
        <v>1206</v>
      </c>
      <c r="G460" s="3" t="s">
        <v>16</v>
      </c>
      <c r="H460" s="3" t="s">
        <v>1410</v>
      </c>
    </row>
    <row r="461" spans="1:8" x14ac:dyDescent="0.35">
      <c r="A461" s="3" t="s">
        <v>1408</v>
      </c>
      <c r="B461" s="3" t="s">
        <v>42</v>
      </c>
      <c r="C461" s="3" t="s">
        <v>1409</v>
      </c>
      <c r="D461" s="3" t="s">
        <v>107</v>
      </c>
      <c r="E461" s="3"/>
      <c r="F461" s="3"/>
      <c r="G461" s="3" t="s">
        <v>16</v>
      </c>
      <c r="H461" s="3" t="s">
        <v>1410</v>
      </c>
    </row>
    <row r="462" spans="1:8" x14ac:dyDescent="0.35">
      <c r="A462" s="3" t="s">
        <v>1408</v>
      </c>
      <c r="B462" s="3" t="s">
        <v>10</v>
      </c>
      <c r="C462" s="3" t="s">
        <v>1411</v>
      </c>
      <c r="D462" s="3" t="s">
        <v>24</v>
      </c>
      <c r="E462" s="3"/>
      <c r="F462" s="3"/>
      <c r="G462" s="3" t="s">
        <v>16</v>
      </c>
      <c r="H462" s="3" t="s">
        <v>1410</v>
      </c>
    </row>
    <row r="463" spans="1:8" x14ac:dyDescent="0.35">
      <c r="A463" s="3" t="s">
        <v>1408</v>
      </c>
      <c r="B463" s="3" t="s">
        <v>20</v>
      </c>
      <c r="C463" s="3" t="s">
        <v>1412</v>
      </c>
      <c r="D463" s="3" t="s">
        <v>12</v>
      </c>
      <c r="E463" s="3" t="s">
        <v>16</v>
      </c>
      <c r="F463" s="3" t="s">
        <v>1413</v>
      </c>
      <c r="G463" s="3"/>
      <c r="H463" s="3"/>
    </row>
    <row r="464" spans="1:8" x14ac:dyDescent="0.35">
      <c r="A464" s="3" t="s">
        <v>1408</v>
      </c>
      <c r="B464" s="3" t="s">
        <v>20</v>
      </c>
      <c r="C464" s="3" t="s">
        <v>1412</v>
      </c>
      <c r="D464" s="3" t="s">
        <v>15</v>
      </c>
      <c r="E464" s="3" t="s">
        <v>16</v>
      </c>
      <c r="F464" s="3" t="s">
        <v>1414</v>
      </c>
      <c r="G464" s="3"/>
      <c r="H464" s="3"/>
    </row>
    <row r="465" spans="1:8" x14ac:dyDescent="0.35">
      <c r="A465" s="3" t="s">
        <v>1408</v>
      </c>
      <c r="B465" s="3" t="s">
        <v>10</v>
      </c>
      <c r="C465" s="3" t="s">
        <v>1415</v>
      </c>
      <c r="D465" s="3" t="s">
        <v>12</v>
      </c>
      <c r="E465" s="3"/>
      <c r="F465" s="3"/>
      <c r="G465" s="3" t="s">
        <v>16</v>
      </c>
      <c r="H465" s="3" t="s">
        <v>1410</v>
      </c>
    </row>
    <row r="466" spans="1:8" x14ac:dyDescent="0.35">
      <c r="A466" s="3" t="s">
        <v>1408</v>
      </c>
      <c r="B466" s="3" t="s">
        <v>10</v>
      </c>
      <c r="C466" s="3" t="s">
        <v>1415</v>
      </c>
      <c r="D466" s="3" t="s">
        <v>57</v>
      </c>
      <c r="E466" s="3"/>
      <c r="F466" s="3"/>
      <c r="G466" s="3" t="s">
        <v>16</v>
      </c>
      <c r="H466" s="3" t="s">
        <v>1410</v>
      </c>
    </row>
    <row r="467" spans="1:8" x14ac:dyDescent="0.35">
      <c r="A467" s="3" t="s">
        <v>1408</v>
      </c>
      <c r="B467" s="3" t="s">
        <v>10</v>
      </c>
      <c r="C467" s="3" t="s">
        <v>1415</v>
      </c>
      <c r="D467" s="3" t="s">
        <v>56</v>
      </c>
      <c r="E467" s="3" t="s">
        <v>16</v>
      </c>
      <c r="F467" s="3" t="s">
        <v>1416</v>
      </c>
      <c r="G467" s="3" t="s">
        <v>16</v>
      </c>
      <c r="H467" s="3" t="s">
        <v>1410</v>
      </c>
    </row>
    <row r="468" spans="1:8" x14ac:dyDescent="0.35">
      <c r="A468" s="3" t="s">
        <v>1408</v>
      </c>
      <c r="B468" s="3" t="s">
        <v>10</v>
      </c>
      <c r="C468" s="3" t="s">
        <v>1415</v>
      </c>
      <c r="D468" s="3" t="s">
        <v>1141</v>
      </c>
      <c r="E468" s="3"/>
      <c r="F468" s="3"/>
      <c r="G468" s="3" t="s">
        <v>16</v>
      </c>
      <c r="H468" s="3" t="s">
        <v>1410</v>
      </c>
    </row>
    <row r="469" spans="1:8" x14ac:dyDescent="0.35">
      <c r="A469" s="3" t="s">
        <v>1408</v>
      </c>
      <c r="B469" s="3" t="s">
        <v>10</v>
      </c>
      <c r="C469" s="3" t="s">
        <v>1417</v>
      </c>
      <c r="D469" s="3" t="s">
        <v>25</v>
      </c>
      <c r="E469" s="3"/>
      <c r="F469" s="3"/>
      <c r="G469" s="3" t="s">
        <v>16</v>
      </c>
      <c r="H469" s="3" t="s">
        <v>1410</v>
      </c>
    </row>
    <row r="470" spans="1:8" x14ac:dyDescent="0.35">
      <c r="A470" s="3" t="s">
        <v>1408</v>
      </c>
      <c r="B470" s="3" t="s">
        <v>10</v>
      </c>
      <c r="C470" s="3" t="s">
        <v>1417</v>
      </c>
      <c r="D470" s="3" t="s">
        <v>15</v>
      </c>
      <c r="E470" s="3" t="s">
        <v>16</v>
      </c>
      <c r="F470" s="3" t="s">
        <v>1418</v>
      </c>
      <c r="G470" s="3" t="s">
        <v>16</v>
      </c>
      <c r="H470" s="3" t="s">
        <v>1410</v>
      </c>
    </row>
    <row r="471" spans="1:8" x14ac:dyDescent="0.35">
      <c r="A471" s="3" t="s">
        <v>1408</v>
      </c>
      <c r="B471" s="3" t="s">
        <v>10</v>
      </c>
      <c r="C471" s="3" t="s">
        <v>1417</v>
      </c>
      <c r="D471" s="3" t="s">
        <v>56</v>
      </c>
      <c r="E471" s="3" t="s">
        <v>16</v>
      </c>
      <c r="F471" s="3" t="s">
        <v>1418</v>
      </c>
      <c r="G471" s="3" t="s">
        <v>16</v>
      </c>
      <c r="H471" s="3" t="s">
        <v>1410</v>
      </c>
    </row>
    <row r="472" spans="1:8" x14ac:dyDescent="0.35">
      <c r="A472" s="3" t="s">
        <v>1408</v>
      </c>
      <c r="B472" s="3" t="s">
        <v>10</v>
      </c>
      <c r="C472" s="3" t="s">
        <v>1417</v>
      </c>
      <c r="D472" s="3" t="s">
        <v>24</v>
      </c>
      <c r="E472" s="3"/>
      <c r="F472" s="3"/>
      <c r="G472" s="3" t="s">
        <v>16</v>
      </c>
      <c r="H472" s="3" t="s">
        <v>1410</v>
      </c>
    </row>
    <row r="473" spans="1:8" x14ac:dyDescent="0.35">
      <c r="A473" s="3" t="s">
        <v>1408</v>
      </c>
      <c r="B473" s="3" t="s">
        <v>10</v>
      </c>
      <c r="C473" s="3" t="s">
        <v>1419</v>
      </c>
      <c r="D473" s="3" t="s">
        <v>12</v>
      </c>
      <c r="E473" s="3"/>
      <c r="F473" s="3"/>
      <c r="G473" s="3" t="s">
        <v>16</v>
      </c>
      <c r="H473" s="3" t="s">
        <v>1410</v>
      </c>
    </row>
    <row r="474" spans="1:8" x14ac:dyDescent="0.35">
      <c r="A474" s="3" t="s">
        <v>1408</v>
      </c>
      <c r="B474" s="3" t="s">
        <v>10</v>
      </c>
      <c r="C474" s="3" t="s">
        <v>1419</v>
      </c>
      <c r="D474" s="3" t="s">
        <v>15</v>
      </c>
      <c r="E474" s="3" t="s">
        <v>16</v>
      </c>
      <c r="F474" s="3" t="s">
        <v>1420</v>
      </c>
      <c r="G474" s="3" t="s">
        <v>16</v>
      </c>
      <c r="H474" s="3" t="s">
        <v>1410</v>
      </c>
    </row>
    <row r="475" spans="1:8" x14ac:dyDescent="0.35">
      <c r="A475" s="3" t="s">
        <v>1408</v>
      </c>
      <c r="B475" s="3" t="s">
        <v>10</v>
      </c>
      <c r="C475" s="3" t="s">
        <v>1421</v>
      </c>
      <c r="D475" s="3" t="s">
        <v>15</v>
      </c>
      <c r="E475" s="3" t="s">
        <v>16</v>
      </c>
      <c r="F475" s="3" t="s">
        <v>2417</v>
      </c>
      <c r="G475" s="3"/>
      <c r="H475" s="3"/>
    </row>
    <row r="476" spans="1:8" x14ac:dyDescent="0.35">
      <c r="A476" s="3" t="s">
        <v>1408</v>
      </c>
      <c r="B476" s="3" t="s">
        <v>10</v>
      </c>
      <c r="C476" s="3" t="s">
        <v>1421</v>
      </c>
      <c r="D476" s="3" t="s">
        <v>47</v>
      </c>
      <c r="E476" s="3"/>
      <c r="F476" s="3"/>
      <c r="G476" s="3"/>
      <c r="H476" s="3"/>
    </row>
    <row r="477" spans="1:8" x14ac:dyDescent="0.35">
      <c r="A477" s="3" t="s">
        <v>1408</v>
      </c>
      <c r="B477" s="3" t="s">
        <v>45</v>
      </c>
      <c r="C477" s="3" t="s">
        <v>1422</v>
      </c>
      <c r="D477" s="3" t="s">
        <v>77</v>
      </c>
      <c r="E477" s="3"/>
      <c r="F477" s="3"/>
      <c r="G477" s="3" t="s">
        <v>16</v>
      </c>
      <c r="H477" s="3" t="s">
        <v>1410</v>
      </c>
    </row>
    <row r="478" spans="1:8" x14ac:dyDescent="0.35">
      <c r="A478" s="3" t="s">
        <v>1408</v>
      </c>
      <c r="B478" s="3" t="s">
        <v>45</v>
      </c>
      <c r="C478" s="3" t="s">
        <v>1422</v>
      </c>
      <c r="D478" s="3" t="s">
        <v>15</v>
      </c>
      <c r="E478" s="3" t="s">
        <v>16</v>
      </c>
      <c r="F478" s="3" t="s">
        <v>1418</v>
      </c>
      <c r="G478" s="3" t="s">
        <v>16</v>
      </c>
      <c r="H478" s="3" t="s">
        <v>1410</v>
      </c>
    </row>
    <row r="479" spans="1:8" x14ac:dyDescent="0.35">
      <c r="A479" s="3" t="s">
        <v>1408</v>
      </c>
      <c r="B479" s="3" t="s">
        <v>20</v>
      </c>
      <c r="C479" s="3" t="s">
        <v>1423</v>
      </c>
      <c r="D479" s="3" t="s">
        <v>1141</v>
      </c>
      <c r="E479" s="3"/>
      <c r="F479" s="3"/>
      <c r="G479" s="3" t="s">
        <v>16</v>
      </c>
      <c r="H479" s="3" t="s">
        <v>1410</v>
      </c>
    </row>
    <row r="480" spans="1:8" x14ac:dyDescent="0.35">
      <c r="A480" s="3" t="s">
        <v>1408</v>
      </c>
      <c r="B480" s="3" t="s">
        <v>45</v>
      </c>
      <c r="C480" s="3" t="s">
        <v>1424</v>
      </c>
      <c r="D480" s="3" t="s">
        <v>77</v>
      </c>
      <c r="E480" s="3"/>
      <c r="F480" s="3"/>
      <c r="G480" s="3"/>
      <c r="H480" s="3"/>
    </row>
    <row r="481" spans="1:8" x14ac:dyDescent="0.35">
      <c r="A481" s="3" t="s">
        <v>1408</v>
      </c>
      <c r="B481" s="3" t="s">
        <v>45</v>
      </c>
      <c r="C481" s="3" t="s">
        <v>1424</v>
      </c>
      <c r="D481" s="3" t="s">
        <v>24</v>
      </c>
      <c r="E481" s="3" t="s">
        <v>33</v>
      </c>
      <c r="F481" s="3" t="s">
        <v>2815</v>
      </c>
      <c r="G481" s="3"/>
      <c r="H481" s="3"/>
    </row>
    <row r="482" spans="1:8" x14ac:dyDescent="0.35">
      <c r="A482" s="3" t="s">
        <v>1408</v>
      </c>
      <c r="B482" s="3" t="s">
        <v>39</v>
      </c>
      <c r="C482" s="3" t="s">
        <v>1425</v>
      </c>
      <c r="D482" s="3" t="s">
        <v>12</v>
      </c>
      <c r="E482" s="3"/>
      <c r="F482" s="3"/>
      <c r="G482" s="3"/>
      <c r="H482" s="3"/>
    </row>
    <row r="483" spans="1:8" x14ac:dyDescent="0.35">
      <c r="A483" s="3" t="s">
        <v>1408</v>
      </c>
      <c r="B483" s="3" t="s">
        <v>39</v>
      </c>
      <c r="C483" s="3" t="s">
        <v>1425</v>
      </c>
      <c r="D483" s="3" t="s">
        <v>87</v>
      </c>
      <c r="E483" s="3"/>
      <c r="F483" s="3"/>
      <c r="G483" s="3"/>
      <c r="H483" s="3"/>
    </row>
    <row r="484" spans="1:8" x14ac:dyDescent="0.35">
      <c r="A484" s="3" t="s">
        <v>1408</v>
      </c>
      <c r="B484" s="3" t="s">
        <v>39</v>
      </c>
      <c r="C484" s="3" t="s">
        <v>1425</v>
      </c>
      <c r="D484" s="3" t="s">
        <v>15</v>
      </c>
      <c r="E484" s="3" t="s">
        <v>16</v>
      </c>
      <c r="F484" s="3" t="s">
        <v>1426</v>
      </c>
      <c r="G484" s="3"/>
      <c r="H484" s="3"/>
    </row>
    <row r="485" spans="1:8" x14ac:dyDescent="0.35">
      <c r="A485" s="3" t="s">
        <v>1408</v>
      </c>
      <c r="B485" s="3" t="s">
        <v>39</v>
      </c>
      <c r="C485" s="3" t="s">
        <v>1425</v>
      </c>
      <c r="D485" s="3" t="s">
        <v>134</v>
      </c>
      <c r="E485" s="3"/>
      <c r="F485" s="3"/>
      <c r="G485" s="3"/>
      <c r="H485" s="3"/>
    </row>
    <row r="486" spans="1:8" x14ac:dyDescent="0.35">
      <c r="A486" s="3" t="s">
        <v>1408</v>
      </c>
      <c r="B486" s="3" t="s">
        <v>39</v>
      </c>
      <c r="C486" s="3" t="s">
        <v>1427</v>
      </c>
      <c r="D486" s="3" t="s">
        <v>27</v>
      </c>
      <c r="E486" s="3"/>
      <c r="F486" s="3"/>
      <c r="G486" s="3"/>
      <c r="H486" s="3"/>
    </row>
    <row r="487" spans="1:8" x14ac:dyDescent="0.35">
      <c r="A487" s="3" t="s">
        <v>1408</v>
      </c>
      <c r="B487" s="3" t="s">
        <v>39</v>
      </c>
      <c r="C487" s="3" t="s">
        <v>1427</v>
      </c>
      <c r="D487" s="3" t="s">
        <v>15</v>
      </c>
      <c r="E487" s="3" t="s">
        <v>16</v>
      </c>
      <c r="F487" s="3" t="s">
        <v>1418</v>
      </c>
      <c r="G487" s="3"/>
      <c r="H487" s="3"/>
    </row>
    <row r="488" spans="1:8" x14ac:dyDescent="0.35">
      <c r="A488" s="3" t="s">
        <v>1408</v>
      </c>
      <c r="B488" s="3" t="s">
        <v>39</v>
      </c>
      <c r="C488" s="3" t="s">
        <v>1427</v>
      </c>
      <c r="D488" s="3" t="s">
        <v>134</v>
      </c>
      <c r="E488" s="3" t="s">
        <v>16</v>
      </c>
      <c r="F488" s="3" t="s">
        <v>1428</v>
      </c>
      <c r="G488" s="3"/>
      <c r="H488" s="3"/>
    </row>
    <row r="489" spans="1:8" x14ac:dyDescent="0.35">
      <c r="A489" s="3" t="s">
        <v>1408</v>
      </c>
      <c r="B489" s="3" t="s">
        <v>20</v>
      </c>
      <c r="C489" s="3" t="s">
        <v>1429</v>
      </c>
      <c r="D489" s="3" t="s">
        <v>60</v>
      </c>
      <c r="E489" s="3"/>
      <c r="F489" s="3"/>
      <c r="G489" s="3"/>
      <c r="H489" s="3"/>
    </row>
    <row r="490" spans="1:8" x14ac:dyDescent="0.35">
      <c r="A490" s="3" t="s">
        <v>1408</v>
      </c>
      <c r="B490" s="3" t="s">
        <v>20</v>
      </c>
      <c r="C490" s="3" t="s">
        <v>1429</v>
      </c>
      <c r="D490" s="3" t="s">
        <v>77</v>
      </c>
      <c r="E490" s="3"/>
      <c r="F490" s="3"/>
      <c r="G490" s="3" t="s">
        <v>16</v>
      </c>
      <c r="H490" s="3" t="s">
        <v>1410</v>
      </c>
    </row>
    <row r="491" spans="1:8" x14ac:dyDescent="0.35">
      <c r="A491" s="3" t="s">
        <v>1408</v>
      </c>
      <c r="B491" s="3" t="s">
        <v>20</v>
      </c>
      <c r="C491" s="3" t="s">
        <v>1429</v>
      </c>
      <c r="D491" s="3" t="s">
        <v>87</v>
      </c>
      <c r="E491" s="3" t="s">
        <v>16</v>
      </c>
      <c r="F491" s="3" t="s">
        <v>1211</v>
      </c>
      <c r="G491" s="3" t="s">
        <v>16</v>
      </c>
      <c r="H491" s="3" t="s">
        <v>1410</v>
      </c>
    </row>
    <row r="492" spans="1:8" x14ac:dyDescent="0.35">
      <c r="A492" s="3" t="s">
        <v>1408</v>
      </c>
      <c r="B492" s="3" t="s">
        <v>20</v>
      </c>
      <c r="C492" s="3" t="s">
        <v>1429</v>
      </c>
      <c r="D492" s="3" t="s">
        <v>15</v>
      </c>
      <c r="E492" s="3" t="s">
        <v>16</v>
      </c>
      <c r="F492" s="3" t="s">
        <v>1420</v>
      </c>
      <c r="G492" s="3" t="s">
        <v>16</v>
      </c>
      <c r="H492" s="3" t="s">
        <v>1410</v>
      </c>
    </row>
    <row r="493" spans="1:8" x14ac:dyDescent="0.35">
      <c r="A493" s="3" t="s">
        <v>1408</v>
      </c>
      <c r="B493" s="3" t="s">
        <v>20</v>
      </c>
      <c r="C493" s="3" t="s">
        <v>1429</v>
      </c>
      <c r="D493" s="3" t="s">
        <v>57</v>
      </c>
      <c r="E493" s="3" t="s">
        <v>33</v>
      </c>
      <c r="F493" s="3" t="s">
        <v>34</v>
      </c>
      <c r="G493" s="3" t="s">
        <v>16</v>
      </c>
      <c r="H493" s="3" t="s">
        <v>1410</v>
      </c>
    </row>
    <row r="494" spans="1:8" x14ac:dyDescent="0.35">
      <c r="A494" s="3" t="s">
        <v>1408</v>
      </c>
      <c r="B494" s="3" t="s">
        <v>20</v>
      </c>
      <c r="C494" s="3" t="s">
        <v>1429</v>
      </c>
      <c r="D494" s="3" t="s">
        <v>56</v>
      </c>
      <c r="E494" s="3" t="s">
        <v>16</v>
      </c>
      <c r="F494" s="3" t="s">
        <v>1206</v>
      </c>
      <c r="G494" s="3" t="s">
        <v>16</v>
      </c>
      <c r="H494" s="3" t="s">
        <v>1410</v>
      </c>
    </row>
    <row r="495" spans="1:8" x14ac:dyDescent="0.35">
      <c r="A495" s="3" t="s">
        <v>1408</v>
      </c>
      <c r="B495" s="3" t="s">
        <v>20</v>
      </c>
      <c r="C495" s="3" t="s">
        <v>1429</v>
      </c>
      <c r="D495" s="3" t="s">
        <v>1197</v>
      </c>
      <c r="E495" s="3"/>
      <c r="F495" s="3"/>
      <c r="G495" s="3"/>
      <c r="H495" s="3"/>
    </row>
    <row r="496" spans="1:8" x14ac:dyDescent="0.35">
      <c r="A496" s="3" t="s">
        <v>1408</v>
      </c>
      <c r="B496" s="3" t="s">
        <v>20</v>
      </c>
      <c r="C496" s="3" t="s">
        <v>1429</v>
      </c>
      <c r="D496" s="3" t="s">
        <v>32</v>
      </c>
      <c r="E496" s="3" t="s">
        <v>16</v>
      </c>
      <c r="F496" s="3" t="s">
        <v>1206</v>
      </c>
      <c r="G496" s="3" t="s">
        <v>16</v>
      </c>
      <c r="H496" s="3" t="s">
        <v>1410</v>
      </c>
    </row>
    <row r="497" spans="1:8" x14ac:dyDescent="0.35">
      <c r="A497" s="3" t="s">
        <v>1408</v>
      </c>
      <c r="B497" s="3" t="s">
        <v>20</v>
      </c>
      <c r="C497" s="3" t="s">
        <v>1429</v>
      </c>
      <c r="D497" s="3" t="s">
        <v>107</v>
      </c>
      <c r="E497" s="3"/>
      <c r="F497" s="3"/>
      <c r="G497" s="3" t="s">
        <v>16</v>
      </c>
      <c r="H497" s="3" t="s">
        <v>1410</v>
      </c>
    </row>
    <row r="498" spans="1:8" x14ac:dyDescent="0.35">
      <c r="A498" s="3" t="s">
        <v>1408</v>
      </c>
      <c r="B498" s="3" t="s">
        <v>10</v>
      </c>
      <c r="C498" s="3" t="s">
        <v>1430</v>
      </c>
      <c r="D498" s="3" t="s">
        <v>56</v>
      </c>
      <c r="E498" s="3" t="s">
        <v>16</v>
      </c>
      <c r="F498" s="3" t="s">
        <v>1206</v>
      </c>
      <c r="G498" s="3" t="s">
        <v>16</v>
      </c>
      <c r="H498" s="3" t="s">
        <v>1410</v>
      </c>
    </row>
    <row r="499" spans="1:8" x14ac:dyDescent="0.35">
      <c r="A499" s="3" t="s">
        <v>1408</v>
      </c>
      <c r="B499" s="3" t="s">
        <v>10</v>
      </c>
      <c r="C499" s="3" t="s">
        <v>1431</v>
      </c>
      <c r="D499" s="3" t="s">
        <v>56</v>
      </c>
      <c r="E499" s="3" t="s">
        <v>16</v>
      </c>
      <c r="F499" s="3" t="s">
        <v>1432</v>
      </c>
      <c r="G499" s="3" t="s">
        <v>16</v>
      </c>
      <c r="H499" s="3" t="s">
        <v>1410</v>
      </c>
    </row>
    <row r="500" spans="1:8" x14ac:dyDescent="0.35">
      <c r="A500" s="3" t="s">
        <v>1408</v>
      </c>
      <c r="B500" s="3" t="s">
        <v>10</v>
      </c>
      <c r="C500" s="3" t="s">
        <v>1433</v>
      </c>
      <c r="D500" s="3" t="s">
        <v>77</v>
      </c>
      <c r="E500" s="3"/>
      <c r="F500" s="3"/>
      <c r="G500" s="3" t="s">
        <v>16</v>
      </c>
      <c r="H500" s="3" t="s">
        <v>1410</v>
      </c>
    </row>
    <row r="501" spans="1:8" x14ac:dyDescent="0.35">
      <c r="A501" s="3" t="s">
        <v>1408</v>
      </c>
      <c r="B501" s="3" t="s">
        <v>10</v>
      </c>
      <c r="C501" s="3" t="s">
        <v>1433</v>
      </c>
      <c r="D501" s="3" t="s">
        <v>15</v>
      </c>
      <c r="E501" s="3" t="s">
        <v>16</v>
      </c>
      <c r="F501" s="3" t="s">
        <v>1420</v>
      </c>
      <c r="G501" s="3" t="s">
        <v>16</v>
      </c>
      <c r="H501" s="3" t="s">
        <v>1410</v>
      </c>
    </row>
    <row r="502" spans="1:8" x14ac:dyDescent="0.35">
      <c r="A502" s="3" t="s">
        <v>1408</v>
      </c>
      <c r="B502" s="3" t="s">
        <v>10</v>
      </c>
      <c r="C502" s="3" t="s">
        <v>1433</v>
      </c>
      <c r="D502" s="3" t="s">
        <v>56</v>
      </c>
      <c r="E502" s="3" t="s">
        <v>16</v>
      </c>
      <c r="F502" s="3" t="s">
        <v>1206</v>
      </c>
      <c r="G502" s="3" t="s">
        <v>16</v>
      </c>
      <c r="H502" s="3" t="s">
        <v>1410</v>
      </c>
    </row>
    <row r="503" spans="1:8" x14ac:dyDescent="0.35">
      <c r="A503" s="3" t="s">
        <v>1408</v>
      </c>
      <c r="B503" s="3" t="s">
        <v>10</v>
      </c>
      <c r="C503" s="3" t="s">
        <v>1433</v>
      </c>
      <c r="D503" s="3" t="s">
        <v>29</v>
      </c>
      <c r="E503" s="3"/>
      <c r="F503" s="3"/>
      <c r="G503" s="3" t="s">
        <v>16</v>
      </c>
      <c r="H503" s="3" t="s">
        <v>1410</v>
      </c>
    </row>
    <row r="504" spans="1:8" x14ac:dyDescent="0.35">
      <c r="A504" s="3" t="s">
        <v>1408</v>
      </c>
      <c r="B504" s="3" t="s">
        <v>10</v>
      </c>
      <c r="C504" s="3" t="s">
        <v>2277</v>
      </c>
      <c r="D504" s="3" t="s">
        <v>56</v>
      </c>
      <c r="E504" s="3" t="s">
        <v>16</v>
      </c>
      <c r="F504" s="3" t="s">
        <v>2278</v>
      </c>
      <c r="G504" s="3" t="s">
        <v>16</v>
      </c>
      <c r="H504" s="3" t="s">
        <v>1410</v>
      </c>
    </row>
    <row r="505" spans="1:8" x14ac:dyDescent="0.35">
      <c r="A505" s="3" t="s">
        <v>1408</v>
      </c>
      <c r="B505" s="3" t="s">
        <v>45</v>
      </c>
      <c r="C505" s="3" t="s">
        <v>1434</v>
      </c>
      <c r="D505" s="3" t="s">
        <v>77</v>
      </c>
      <c r="E505" s="3"/>
      <c r="F505" s="3"/>
      <c r="G505" s="3" t="s">
        <v>16</v>
      </c>
      <c r="H505" s="3" t="s">
        <v>1410</v>
      </c>
    </row>
    <row r="506" spans="1:8" x14ac:dyDescent="0.35">
      <c r="A506" s="3" t="s">
        <v>1408</v>
      </c>
      <c r="B506" s="3" t="s">
        <v>45</v>
      </c>
      <c r="C506" s="3" t="s">
        <v>1434</v>
      </c>
      <c r="D506" s="3" t="s">
        <v>24</v>
      </c>
      <c r="E506" s="3"/>
      <c r="F506" s="3"/>
      <c r="G506" s="3" t="s">
        <v>16</v>
      </c>
      <c r="H506" s="3" t="s">
        <v>1410</v>
      </c>
    </row>
    <row r="507" spans="1:8" x14ac:dyDescent="0.35">
      <c r="A507" s="3" t="s">
        <v>1408</v>
      </c>
      <c r="B507" s="3" t="s">
        <v>45</v>
      </c>
      <c r="C507" s="3" t="s">
        <v>1435</v>
      </c>
      <c r="D507" s="3" t="s">
        <v>12</v>
      </c>
      <c r="E507" s="3"/>
      <c r="F507" s="3"/>
      <c r="G507" s="3" t="s">
        <v>16</v>
      </c>
      <c r="H507" s="3" t="s">
        <v>1410</v>
      </c>
    </row>
    <row r="508" spans="1:8" x14ac:dyDescent="0.35">
      <c r="A508" s="3" t="s">
        <v>1408</v>
      </c>
      <c r="B508" s="3" t="s">
        <v>45</v>
      </c>
      <c r="C508" s="3" t="s">
        <v>1435</v>
      </c>
      <c r="D508" s="3" t="s">
        <v>47</v>
      </c>
      <c r="E508" s="3"/>
      <c r="F508" s="3"/>
      <c r="G508" s="3"/>
      <c r="H508" s="3"/>
    </row>
    <row r="509" spans="1:8" x14ac:dyDescent="0.35">
      <c r="A509" s="3" t="s">
        <v>1408</v>
      </c>
      <c r="B509" s="3" t="s">
        <v>45</v>
      </c>
      <c r="C509" s="3" t="s">
        <v>1435</v>
      </c>
      <c r="D509" s="3" t="s">
        <v>87</v>
      </c>
      <c r="E509" s="3"/>
      <c r="F509" s="3"/>
      <c r="G509" s="3"/>
      <c r="H509" s="3"/>
    </row>
    <row r="510" spans="1:8" x14ac:dyDescent="0.35">
      <c r="A510" s="3" t="s">
        <v>1408</v>
      </c>
      <c r="B510" s="3" t="s">
        <v>45</v>
      </c>
      <c r="C510" s="3" t="s">
        <v>1435</v>
      </c>
      <c r="D510" s="3" t="s">
        <v>15</v>
      </c>
      <c r="E510" s="3"/>
      <c r="F510" s="3"/>
      <c r="G510" s="3" t="s">
        <v>16</v>
      </c>
      <c r="H510" s="3" t="s">
        <v>1410</v>
      </c>
    </row>
    <row r="511" spans="1:8" x14ac:dyDescent="0.35">
      <c r="A511" s="3" t="s">
        <v>1408</v>
      </c>
      <c r="B511" s="3" t="s">
        <v>45</v>
      </c>
      <c r="C511" s="3" t="s">
        <v>1435</v>
      </c>
      <c r="D511" s="3" t="s">
        <v>56</v>
      </c>
      <c r="E511" s="3" t="s">
        <v>16</v>
      </c>
      <c r="F511" s="3" t="s">
        <v>1206</v>
      </c>
      <c r="G511" s="3" t="s">
        <v>16</v>
      </c>
      <c r="H511" s="3" t="s">
        <v>1410</v>
      </c>
    </row>
    <row r="512" spans="1:8" x14ac:dyDescent="0.35">
      <c r="A512" s="3" t="s">
        <v>1408</v>
      </c>
      <c r="B512" s="3" t="s">
        <v>45</v>
      </c>
      <c r="C512" s="3" t="s">
        <v>1435</v>
      </c>
      <c r="D512" s="3" t="s">
        <v>24</v>
      </c>
      <c r="E512" s="3"/>
      <c r="F512" s="3"/>
      <c r="G512" s="3" t="s">
        <v>16</v>
      </c>
      <c r="H512" s="3" t="s">
        <v>1410</v>
      </c>
    </row>
    <row r="513" spans="1:8" x14ac:dyDescent="0.35">
      <c r="A513" s="3" t="s">
        <v>1408</v>
      </c>
      <c r="B513" s="3" t="s">
        <v>45</v>
      </c>
      <c r="C513" s="3" t="s">
        <v>1435</v>
      </c>
      <c r="D513" s="3" t="s">
        <v>1141</v>
      </c>
      <c r="E513" s="3" t="s">
        <v>33</v>
      </c>
      <c r="F513" s="3" t="s">
        <v>2539</v>
      </c>
      <c r="G513" s="3" t="s">
        <v>16</v>
      </c>
      <c r="H513" s="3" t="s">
        <v>1410</v>
      </c>
    </row>
    <row r="514" spans="1:8" x14ac:dyDescent="0.35">
      <c r="A514" s="3" t="s">
        <v>1408</v>
      </c>
      <c r="B514" s="3" t="s">
        <v>45</v>
      </c>
      <c r="C514" s="3" t="s">
        <v>1436</v>
      </c>
      <c r="D514" s="3" t="s">
        <v>77</v>
      </c>
      <c r="E514" s="3"/>
      <c r="F514" s="3"/>
      <c r="G514" s="3" t="s">
        <v>16</v>
      </c>
      <c r="H514" s="3" t="s">
        <v>1410</v>
      </c>
    </row>
    <row r="515" spans="1:8" x14ac:dyDescent="0.35">
      <c r="A515" s="3" t="s">
        <v>1408</v>
      </c>
      <c r="B515" s="3" t="s">
        <v>45</v>
      </c>
      <c r="C515" s="3" t="s">
        <v>1436</v>
      </c>
      <c r="D515" s="3" t="s">
        <v>24</v>
      </c>
      <c r="E515" s="3"/>
      <c r="F515" s="3"/>
      <c r="G515" s="3" t="s">
        <v>16</v>
      </c>
      <c r="H515" s="3" t="s">
        <v>1410</v>
      </c>
    </row>
    <row r="516" spans="1:8" x14ac:dyDescent="0.35">
      <c r="A516" s="3" t="s">
        <v>1408</v>
      </c>
      <c r="B516" s="3" t="s">
        <v>20</v>
      </c>
      <c r="C516" s="3" t="s">
        <v>1437</v>
      </c>
      <c r="D516" s="3" t="s">
        <v>60</v>
      </c>
      <c r="E516" s="3"/>
      <c r="F516" s="3"/>
      <c r="G516" s="3" t="s">
        <v>16</v>
      </c>
      <c r="H516" s="3" t="s">
        <v>1410</v>
      </c>
    </row>
    <row r="517" spans="1:8" x14ac:dyDescent="0.35">
      <c r="A517" s="3" t="s">
        <v>1408</v>
      </c>
      <c r="B517" s="3" t="s">
        <v>20</v>
      </c>
      <c r="C517" s="3" t="s">
        <v>1437</v>
      </c>
      <c r="D517" s="3" t="s">
        <v>56</v>
      </c>
      <c r="E517" s="3" t="s">
        <v>16</v>
      </c>
      <c r="F517" s="3" t="s">
        <v>1438</v>
      </c>
      <c r="G517" s="3" t="s">
        <v>16</v>
      </c>
      <c r="H517" s="3" t="s">
        <v>1410</v>
      </c>
    </row>
    <row r="518" spans="1:8" x14ac:dyDescent="0.35">
      <c r="A518" s="3" t="s">
        <v>1408</v>
      </c>
      <c r="B518" s="3" t="s">
        <v>10</v>
      </c>
      <c r="C518" s="3" t="s">
        <v>1439</v>
      </c>
      <c r="D518" s="3" t="s">
        <v>15</v>
      </c>
      <c r="E518" s="3" t="s">
        <v>16</v>
      </c>
      <c r="F518" s="3" t="s">
        <v>1440</v>
      </c>
      <c r="G518" s="3" t="s">
        <v>16</v>
      </c>
      <c r="H518" s="3" t="s">
        <v>1410</v>
      </c>
    </row>
    <row r="519" spans="1:8" x14ac:dyDescent="0.35">
      <c r="A519" s="3" t="s">
        <v>1408</v>
      </c>
      <c r="B519" s="3" t="s">
        <v>10</v>
      </c>
      <c r="C519" s="3" t="s">
        <v>1439</v>
      </c>
      <c r="D519" s="3" t="s">
        <v>37</v>
      </c>
      <c r="E519" s="3"/>
      <c r="F519" s="3"/>
      <c r="G519" s="3" t="s">
        <v>16</v>
      </c>
      <c r="H519" s="3" t="s">
        <v>1410</v>
      </c>
    </row>
    <row r="520" spans="1:8" x14ac:dyDescent="0.35">
      <c r="A520" s="3" t="s">
        <v>1408</v>
      </c>
      <c r="B520" s="3" t="s">
        <v>10</v>
      </c>
      <c r="C520" s="3" t="s">
        <v>1439</v>
      </c>
      <c r="D520" s="3" t="s">
        <v>107</v>
      </c>
      <c r="E520" s="3" t="s">
        <v>16</v>
      </c>
      <c r="F520" s="3" t="s">
        <v>1441</v>
      </c>
      <c r="G520" s="3" t="s">
        <v>16</v>
      </c>
      <c r="H520" s="3" t="s">
        <v>1410</v>
      </c>
    </row>
    <row r="521" spans="1:8" x14ac:dyDescent="0.35">
      <c r="A521" s="3" t="s">
        <v>1408</v>
      </c>
      <c r="B521" s="3" t="s">
        <v>39</v>
      </c>
      <c r="C521" s="3" t="s">
        <v>1442</v>
      </c>
      <c r="D521" s="3" t="s">
        <v>25</v>
      </c>
      <c r="E521" s="3"/>
      <c r="F521" s="3"/>
      <c r="G521" s="3" t="s">
        <v>16</v>
      </c>
      <c r="H521" s="3" t="s">
        <v>1410</v>
      </c>
    </row>
    <row r="522" spans="1:8" x14ac:dyDescent="0.35">
      <c r="A522" s="3" t="s">
        <v>1408</v>
      </c>
      <c r="B522" s="3" t="s">
        <v>39</v>
      </c>
      <c r="C522" s="3" t="s">
        <v>1442</v>
      </c>
      <c r="D522" s="3" t="s">
        <v>60</v>
      </c>
      <c r="E522" s="3"/>
      <c r="F522" s="3"/>
      <c r="G522" s="3"/>
      <c r="H522" s="3"/>
    </row>
    <row r="523" spans="1:8" x14ac:dyDescent="0.35">
      <c r="A523" s="3" t="s">
        <v>1408</v>
      </c>
      <c r="B523" s="3" t="s">
        <v>39</v>
      </c>
      <c r="C523" s="3" t="s">
        <v>1442</v>
      </c>
      <c r="D523" s="3" t="s">
        <v>15</v>
      </c>
      <c r="E523" s="3" t="s">
        <v>16</v>
      </c>
      <c r="F523" s="3" t="s">
        <v>1208</v>
      </c>
      <c r="G523" s="3" t="s">
        <v>16</v>
      </c>
      <c r="H523" s="3" t="s">
        <v>1410</v>
      </c>
    </row>
    <row r="524" spans="1:8" x14ac:dyDescent="0.35">
      <c r="A524" s="3" t="s">
        <v>1408</v>
      </c>
      <c r="B524" s="3" t="s">
        <v>39</v>
      </c>
      <c r="C524" s="3" t="s">
        <v>1442</v>
      </c>
      <c r="D524" s="3" t="s">
        <v>56</v>
      </c>
      <c r="E524" s="3" t="s">
        <v>16</v>
      </c>
      <c r="F524" s="3" t="s">
        <v>1206</v>
      </c>
      <c r="G524" s="3" t="s">
        <v>16</v>
      </c>
      <c r="H524" s="3" t="s">
        <v>1410</v>
      </c>
    </row>
    <row r="525" spans="1:8" x14ac:dyDescent="0.35">
      <c r="A525" s="3" t="s">
        <v>1408</v>
      </c>
      <c r="B525" s="3" t="s">
        <v>39</v>
      </c>
      <c r="C525" s="3" t="s">
        <v>1443</v>
      </c>
      <c r="D525" s="3" t="s">
        <v>15</v>
      </c>
      <c r="E525" s="3" t="s">
        <v>16</v>
      </c>
      <c r="F525" s="3" t="s">
        <v>1444</v>
      </c>
      <c r="G525" s="3"/>
      <c r="H525" s="3"/>
    </row>
    <row r="526" spans="1:8" x14ac:dyDescent="0.35">
      <c r="A526" s="3" t="s">
        <v>1408</v>
      </c>
      <c r="B526" s="3" t="s">
        <v>45</v>
      </c>
      <c r="C526" s="3" t="s">
        <v>1445</v>
      </c>
      <c r="D526" s="3" t="s">
        <v>27</v>
      </c>
      <c r="E526" s="3"/>
      <c r="F526" s="3" t="s">
        <v>2317</v>
      </c>
      <c r="G526" s="3" t="s">
        <v>16</v>
      </c>
      <c r="H526" s="3" t="s">
        <v>1410</v>
      </c>
    </row>
    <row r="527" spans="1:8" x14ac:dyDescent="0.35">
      <c r="A527" s="3" t="s">
        <v>1408</v>
      </c>
      <c r="B527" s="3" t="s">
        <v>45</v>
      </c>
      <c r="C527" s="3" t="s">
        <v>1445</v>
      </c>
      <c r="D527" s="3" t="s">
        <v>77</v>
      </c>
      <c r="E527" s="3"/>
      <c r="F527" s="3"/>
      <c r="G527" s="3" t="s">
        <v>16</v>
      </c>
      <c r="H527" s="3" t="s">
        <v>1410</v>
      </c>
    </row>
    <row r="528" spans="1:8" x14ac:dyDescent="0.35">
      <c r="A528" s="3" t="s">
        <v>1408</v>
      </c>
      <c r="B528" s="3" t="s">
        <v>45</v>
      </c>
      <c r="C528" s="3" t="s">
        <v>1445</v>
      </c>
      <c r="D528" s="3" t="s">
        <v>98</v>
      </c>
      <c r="E528" s="3"/>
      <c r="F528" s="3"/>
      <c r="G528" s="3" t="s">
        <v>16</v>
      </c>
      <c r="H528" s="3" t="s">
        <v>1410</v>
      </c>
    </row>
    <row r="529" spans="1:8" x14ac:dyDescent="0.35">
      <c r="A529" s="3" t="s">
        <v>1408</v>
      </c>
      <c r="B529" s="3" t="s">
        <v>45</v>
      </c>
      <c r="C529" s="3" t="s">
        <v>1445</v>
      </c>
      <c r="D529" s="3" t="s">
        <v>24</v>
      </c>
      <c r="E529" s="3"/>
      <c r="F529" s="3"/>
      <c r="G529" s="3" t="s">
        <v>16</v>
      </c>
      <c r="H529" s="3" t="s">
        <v>1410</v>
      </c>
    </row>
    <row r="530" spans="1:8" x14ac:dyDescent="0.35">
      <c r="A530" s="3" t="s">
        <v>1408</v>
      </c>
      <c r="B530" s="3" t="s">
        <v>45</v>
      </c>
      <c r="C530" s="3" t="s">
        <v>1445</v>
      </c>
      <c r="D530" s="3" t="s">
        <v>191</v>
      </c>
      <c r="E530" s="3"/>
      <c r="F530" s="3"/>
      <c r="G530" s="3" t="s">
        <v>16</v>
      </c>
      <c r="H530" s="3" t="s">
        <v>1410</v>
      </c>
    </row>
    <row r="531" spans="1:8" x14ac:dyDescent="0.35">
      <c r="A531" s="3" t="s">
        <v>1408</v>
      </c>
      <c r="B531" s="3" t="s">
        <v>45</v>
      </c>
      <c r="C531" s="3" t="s">
        <v>1446</v>
      </c>
      <c r="D531" s="3" t="s">
        <v>36</v>
      </c>
      <c r="E531" s="3"/>
      <c r="F531" s="3"/>
      <c r="G531" s="3" t="s">
        <v>16</v>
      </c>
      <c r="H531" s="3" t="s">
        <v>1410</v>
      </c>
    </row>
    <row r="532" spans="1:8" x14ac:dyDescent="0.35">
      <c r="A532" s="3" t="s">
        <v>1408</v>
      </c>
      <c r="B532" s="3" t="s">
        <v>45</v>
      </c>
      <c r="C532" s="3" t="s">
        <v>1446</v>
      </c>
      <c r="D532" s="3" t="s">
        <v>15</v>
      </c>
      <c r="E532" s="3" t="s">
        <v>16</v>
      </c>
      <c r="F532" s="3" t="s">
        <v>1208</v>
      </c>
      <c r="G532" s="3" t="s">
        <v>16</v>
      </c>
      <c r="H532" s="3" t="s">
        <v>1410</v>
      </c>
    </row>
    <row r="533" spans="1:8" x14ac:dyDescent="0.35">
      <c r="A533" s="3" t="s">
        <v>1408</v>
      </c>
      <c r="B533" s="3" t="s">
        <v>45</v>
      </c>
      <c r="C533" s="3" t="s">
        <v>1446</v>
      </c>
      <c r="D533" s="3" t="s">
        <v>56</v>
      </c>
      <c r="E533" s="3" t="s">
        <v>16</v>
      </c>
      <c r="F533" s="3" t="s">
        <v>1206</v>
      </c>
      <c r="G533" s="3" t="s">
        <v>16</v>
      </c>
      <c r="H533" s="3" t="s">
        <v>1410</v>
      </c>
    </row>
    <row r="534" spans="1:8" x14ac:dyDescent="0.35">
      <c r="A534" s="3" t="s">
        <v>1408</v>
      </c>
      <c r="B534" s="3" t="s">
        <v>45</v>
      </c>
      <c r="C534" s="3" t="s">
        <v>1446</v>
      </c>
      <c r="D534" s="3" t="s">
        <v>24</v>
      </c>
      <c r="E534" s="3"/>
      <c r="F534" s="3"/>
      <c r="G534" s="3" t="s">
        <v>16</v>
      </c>
      <c r="H534" s="3" t="s">
        <v>1410</v>
      </c>
    </row>
    <row r="535" spans="1:8" x14ac:dyDescent="0.35">
      <c r="A535" s="3" t="s">
        <v>1408</v>
      </c>
      <c r="B535" s="3" t="s">
        <v>45</v>
      </c>
      <c r="C535" s="3" t="s">
        <v>1447</v>
      </c>
      <c r="D535" s="3" t="s">
        <v>77</v>
      </c>
      <c r="E535" s="3"/>
      <c r="F535" s="3"/>
      <c r="G535" s="3" t="s">
        <v>16</v>
      </c>
      <c r="H535" s="3" t="s">
        <v>1410</v>
      </c>
    </row>
    <row r="536" spans="1:8" x14ac:dyDescent="0.35">
      <c r="A536" s="3" t="s">
        <v>1408</v>
      </c>
      <c r="B536" s="3" t="s">
        <v>45</v>
      </c>
      <c r="C536" s="3" t="s">
        <v>1447</v>
      </c>
      <c r="D536" s="3" t="s">
        <v>56</v>
      </c>
      <c r="E536" s="3" t="s">
        <v>16</v>
      </c>
      <c r="F536" s="3" t="s">
        <v>1448</v>
      </c>
      <c r="G536" s="3" t="s">
        <v>16</v>
      </c>
      <c r="H536" s="3" t="s">
        <v>1410</v>
      </c>
    </row>
    <row r="537" spans="1:8" x14ac:dyDescent="0.35">
      <c r="A537" s="3" t="s">
        <v>1408</v>
      </c>
      <c r="B537" s="3" t="s">
        <v>45</v>
      </c>
      <c r="C537" s="3" t="s">
        <v>1447</v>
      </c>
      <c r="D537" s="3" t="s">
        <v>191</v>
      </c>
      <c r="E537" s="3"/>
      <c r="F537" s="3"/>
      <c r="G537" s="3" t="s">
        <v>16</v>
      </c>
      <c r="H537" s="3" t="s">
        <v>1410</v>
      </c>
    </row>
    <row r="538" spans="1:8" x14ac:dyDescent="0.35">
      <c r="A538" s="3" t="s">
        <v>1408</v>
      </c>
      <c r="B538" s="3" t="s">
        <v>42</v>
      </c>
      <c r="C538" s="3" t="s">
        <v>1449</v>
      </c>
      <c r="D538" s="3" t="s">
        <v>87</v>
      </c>
      <c r="E538" s="3"/>
      <c r="F538" s="3"/>
      <c r="G538" s="3" t="s">
        <v>16</v>
      </c>
      <c r="H538" s="3" t="s">
        <v>1410</v>
      </c>
    </row>
    <row r="539" spans="1:8" x14ac:dyDescent="0.35">
      <c r="A539" s="3" t="s">
        <v>1408</v>
      </c>
      <c r="B539" s="3" t="s">
        <v>42</v>
      </c>
      <c r="C539" s="3" t="s">
        <v>1449</v>
      </c>
      <c r="D539" s="3" t="s">
        <v>56</v>
      </c>
      <c r="E539" s="3" t="s">
        <v>16</v>
      </c>
      <c r="F539" s="3" t="s">
        <v>1450</v>
      </c>
      <c r="G539" s="3" t="s">
        <v>16</v>
      </c>
      <c r="H539" s="3" t="s">
        <v>1410</v>
      </c>
    </row>
    <row r="540" spans="1:8" x14ac:dyDescent="0.35">
      <c r="A540" s="3" t="s">
        <v>1408</v>
      </c>
      <c r="B540" s="3" t="s">
        <v>45</v>
      </c>
      <c r="C540" s="3" t="s">
        <v>2781</v>
      </c>
      <c r="D540" s="3" t="s">
        <v>77</v>
      </c>
      <c r="E540" s="3"/>
      <c r="F540" s="3"/>
      <c r="G540" s="3"/>
      <c r="H540" s="3"/>
    </row>
    <row r="541" spans="1:8" x14ac:dyDescent="0.35">
      <c r="A541" s="3" t="s">
        <v>1408</v>
      </c>
      <c r="B541" s="3" t="s">
        <v>45</v>
      </c>
      <c r="C541" s="3" t="s">
        <v>2781</v>
      </c>
      <c r="D541" s="3" t="s">
        <v>15</v>
      </c>
      <c r="E541" s="3" t="s">
        <v>16</v>
      </c>
      <c r="F541" s="3" t="s">
        <v>1440</v>
      </c>
      <c r="G541" s="3"/>
      <c r="H541" s="3"/>
    </row>
    <row r="542" spans="1:8" x14ac:dyDescent="0.35">
      <c r="A542" s="3" t="s">
        <v>1408</v>
      </c>
      <c r="B542" s="3" t="s">
        <v>45</v>
      </c>
      <c r="C542" s="3" t="s">
        <v>1451</v>
      </c>
      <c r="D542" s="3" t="s">
        <v>77</v>
      </c>
      <c r="E542" s="3"/>
      <c r="F542" s="3"/>
      <c r="G542" s="3" t="s">
        <v>16</v>
      </c>
      <c r="H542" s="3"/>
    </row>
    <row r="543" spans="1:8" x14ac:dyDescent="0.35">
      <c r="A543" s="3" t="s">
        <v>1408</v>
      </c>
      <c r="B543" s="3" t="s">
        <v>45</v>
      </c>
      <c r="C543" s="3" t="s">
        <v>1451</v>
      </c>
      <c r="D543" s="3" t="s">
        <v>56</v>
      </c>
      <c r="E543" s="3" t="s">
        <v>16</v>
      </c>
      <c r="F543" s="3" t="s">
        <v>1452</v>
      </c>
      <c r="G543" s="3" t="s">
        <v>16</v>
      </c>
      <c r="H543" s="3"/>
    </row>
    <row r="544" spans="1:8" x14ac:dyDescent="0.35">
      <c r="A544" s="3" t="s">
        <v>1408</v>
      </c>
      <c r="B544" s="3" t="s">
        <v>45</v>
      </c>
      <c r="C544" s="3" t="s">
        <v>1451</v>
      </c>
      <c r="D544" s="3" t="s">
        <v>1141</v>
      </c>
      <c r="E544" s="3"/>
      <c r="F544" s="3"/>
      <c r="G544" s="3" t="s">
        <v>16</v>
      </c>
      <c r="H544" s="3"/>
    </row>
    <row r="545" spans="1:8" x14ac:dyDescent="0.35">
      <c r="A545" s="3" t="s">
        <v>1408</v>
      </c>
      <c r="B545" s="3" t="s">
        <v>45</v>
      </c>
      <c r="C545" s="3" t="s">
        <v>1453</v>
      </c>
      <c r="D545" s="3" t="s">
        <v>77</v>
      </c>
      <c r="E545" s="3"/>
      <c r="F545" s="3"/>
      <c r="G545" s="3"/>
      <c r="H545" s="3"/>
    </row>
    <row r="546" spans="1:8" x14ac:dyDescent="0.35">
      <c r="A546" s="3" t="s">
        <v>1408</v>
      </c>
      <c r="B546" s="3" t="s">
        <v>45</v>
      </c>
      <c r="C546" s="3" t="s">
        <v>1453</v>
      </c>
      <c r="D546" s="3" t="s">
        <v>56</v>
      </c>
      <c r="E546" s="3" t="s">
        <v>16</v>
      </c>
      <c r="F546" s="3" t="s">
        <v>1454</v>
      </c>
      <c r="G546" s="3"/>
      <c r="H546" s="3"/>
    </row>
    <row r="547" spans="1:8" x14ac:dyDescent="0.35">
      <c r="A547" s="3" t="s">
        <v>1408</v>
      </c>
      <c r="B547" s="3" t="s">
        <v>45</v>
      </c>
      <c r="C547" s="3" t="s">
        <v>1453</v>
      </c>
      <c r="D547" s="3" t="s">
        <v>29</v>
      </c>
      <c r="E547" s="3"/>
      <c r="F547" s="3"/>
      <c r="G547" s="3"/>
      <c r="H547" s="3"/>
    </row>
    <row r="548" spans="1:8" x14ac:dyDescent="0.35">
      <c r="A548" s="3" t="s">
        <v>1408</v>
      </c>
      <c r="B548" s="3" t="s">
        <v>45</v>
      </c>
      <c r="C548" s="3" t="s">
        <v>1453</v>
      </c>
      <c r="D548" s="3" t="s">
        <v>1141</v>
      </c>
      <c r="E548" s="3"/>
      <c r="F548" s="3"/>
      <c r="G548" s="3"/>
      <c r="H548" s="3"/>
    </row>
    <row r="549" spans="1:8" x14ac:dyDescent="0.35">
      <c r="A549" s="3" t="s">
        <v>1408</v>
      </c>
      <c r="B549" s="3" t="s">
        <v>10</v>
      </c>
      <c r="C549" s="3" t="s">
        <v>1455</v>
      </c>
      <c r="D549" s="3" t="s">
        <v>15</v>
      </c>
      <c r="E549" s="3"/>
      <c r="F549" s="3"/>
      <c r="G549" s="3" t="s">
        <v>16</v>
      </c>
      <c r="H549" s="3" t="s">
        <v>1410</v>
      </c>
    </row>
    <row r="550" spans="1:8" x14ac:dyDescent="0.35">
      <c r="A550" s="3" t="s">
        <v>1408</v>
      </c>
      <c r="B550" s="3" t="s">
        <v>10</v>
      </c>
      <c r="C550" s="3" t="s">
        <v>1455</v>
      </c>
      <c r="D550" s="3" t="s">
        <v>56</v>
      </c>
      <c r="E550" s="3"/>
      <c r="F550" s="3"/>
      <c r="G550" s="3" t="s">
        <v>16</v>
      </c>
      <c r="H550" s="3" t="s">
        <v>1410</v>
      </c>
    </row>
    <row r="551" spans="1:8" x14ac:dyDescent="0.35">
      <c r="A551" s="3" t="s">
        <v>1408</v>
      </c>
      <c r="B551" s="3" t="s">
        <v>10</v>
      </c>
      <c r="C551" s="3" t="s">
        <v>1455</v>
      </c>
      <c r="D551" s="3" t="s">
        <v>37</v>
      </c>
      <c r="E551" s="3"/>
      <c r="F551" s="3"/>
      <c r="G551" s="3" t="s">
        <v>16</v>
      </c>
      <c r="H551" s="3" t="s">
        <v>1410</v>
      </c>
    </row>
    <row r="552" spans="1:8" x14ac:dyDescent="0.35">
      <c r="A552" s="3" t="s">
        <v>1408</v>
      </c>
      <c r="B552" s="3" t="s">
        <v>10</v>
      </c>
      <c r="C552" s="3" t="s">
        <v>1456</v>
      </c>
      <c r="D552" s="3" t="s">
        <v>56</v>
      </c>
      <c r="E552" s="3" t="s">
        <v>16</v>
      </c>
      <c r="F552" s="3" t="s">
        <v>1206</v>
      </c>
      <c r="G552" s="3" t="s">
        <v>16</v>
      </c>
      <c r="H552" s="3" t="s">
        <v>1410</v>
      </c>
    </row>
    <row r="553" spans="1:8" x14ac:dyDescent="0.35">
      <c r="A553" s="3" t="s">
        <v>1408</v>
      </c>
      <c r="B553" s="3" t="s">
        <v>10</v>
      </c>
      <c r="C553" s="3" t="s">
        <v>1456</v>
      </c>
      <c r="D553" s="3" t="s">
        <v>24</v>
      </c>
      <c r="E553" s="3"/>
      <c r="F553" s="3" t="s">
        <v>2429</v>
      </c>
      <c r="G553" s="3" t="s">
        <v>16</v>
      </c>
      <c r="H553" s="3" t="s">
        <v>1410</v>
      </c>
    </row>
    <row r="554" spans="1:8" x14ac:dyDescent="0.35">
      <c r="A554" s="3" t="s">
        <v>1408</v>
      </c>
      <c r="B554" s="3" t="s">
        <v>10</v>
      </c>
      <c r="C554" s="3" t="s">
        <v>1456</v>
      </c>
      <c r="D554" s="3" t="s">
        <v>134</v>
      </c>
      <c r="E554" s="3"/>
      <c r="F554" s="3"/>
      <c r="G554" s="3" t="s">
        <v>16</v>
      </c>
      <c r="H554" s="3" t="s">
        <v>1410</v>
      </c>
    </row>
    <row r="555" spans="1:8" x14ac:dyDescent="0.35">
      <c r="A555" s="3" t="s">
        <v>1457</v>
      </c>
      <c r="B555" s="3" t="s">
        <v>20</v>
      </c>
      <c r="C555" s="3" t="s">
        <v>2844</v>
      </c>
      <c r="D555" s="3" t="s">
        <v>15</v>
      </c>
      <c r="E555" s="3" t="s">
        <v>16</v>
      </c>
      <c r="F555" s="3" t="s">
        <v>2845</v>
      </c>
      <c r="G555" s="3" t="s">
        <v>16</v>
      </c>
      <c r="H555" s="3" t="s">
        <v>1459</v>
      </c>
    </row>
    <row r="556" spans="1:8" x14ac:dyDescent="0.35">
      <c r="A556" s="3" t="s">
        <v>1457</v>
      </c>
      <c r="B556" s="3" t="s">
        <v>20</v>
      </c>
      <c r="C556" s="3" t="s">
        <v>2844</v>
      </c>
      <c r="D556" s="3" t="s">
        <v>24</v>
      </c>
      <c r="E556" s="3"/>
      <c r="F556" s="3"/>
      <c r="G556" s="3" t="s">
        <v>16</v>
      </c>
      <c r="H556" s="3" t="s">
        <v>1459</v>
      </c>
    </row>
    <row r="557" spans="1:8" x14ac:dyDescent="0.35">
      <c r="A557" s="3" t="s">
        <v>1457</v>
      </c>
      <c r="B557" s="3" t="s">
        <v>20</v>
      </c>
      <c r="C557" s="3" t="s">
        <v>1458</v>
      </c>
      <c r="D557" s="3" t="s">
        <v>12</v>
      </c>
      <c r="E557" s="3"/>
      <c r="F557" s="3"/>
      <c r="G557" s="3" t="s">
        <v>16</v>
      </c>
      <c r="H557" s="3" t="s">
        <v>1459</v>
      </c>
    </row>
    <row r="558" spans="1:8" x14ac:dyDescent="0.35">
      <c r="A558" s="3" t="s">
        <v>1457</v>
      </c>
      <c r="B558" s="3" t="s">
        <v>20</v>
      </c>
      <c r="C558" s="3" t="s">
        <v>1458</v>
      </c>
      <c r="D558" s="3" t="s">
        <v>25</v>
      </c>
      <c r="E558" s="3"/>
      <c r="F558" s="3"/>
      <c r="G558" s="3" t="s">
        <v>16</v>
      </c>
      <c r="H558" s="3" t="s">
        <v>1459</v>
      </c>
    </row>
    <row r="559" spans="1:8" x14ac:dyDescent="0.35">
      <c r="A559" s="3" t="s">
        <v>1457</v>
      </c>
      <c r="B559" s="3" t="s">
        <v>20</v>
      </c>
      <c r="C559" s="3" t="s">
        <v>1458</v>
      </c>
      <c r="D559" s="3" t="s">
        <v>77</v>
      </c>
      <c r="E559" s="3"/>
      <c r="F559" s="3"/>
      <c r="G559" s="3" t="s">
        <v>16</v>
      </c>
      <c r="H559" s="3" t="s">
        <v>1459</v>
      </c>
    </row>
    <row r="560" spans="1:8" x14ac:dyDescent="0.35">
      <c r="A560" s="3" t="s">
        <v>1457</v>
      </c>
      <c r="B560" s="3" t="s">
        <v>20</v>
      </c>
      <c r="C560" s="3" t="s">
        <v>1458</v>
      </c>
      <c r="D560" s="3" t="s">
        <v>87</v>
      </c>
      <c r="E560" s="3"/>
      <c r="F560" s="3"/>
      <c r="G560" s="3" t="s">
        <v>16</v>
      </c>
      <c r="H560" s="3" t="s">
        <v>1459</v>
      </c>
    </row>
    <row r="561" spans="1:8" x14ac:dyDescent="0.35">
      <c r="A561" s="3" t="s">
        <v>1457</v>
      </c>
      <c r="B561" s="3" t="s">
        <v>20</v>
      </c>
      <c r="C561" s="3" t="s">
        <v>1458</v>
      </c>
      <c r="D561" s="3" t="s">
        <v>15</v>
      </c>
      <c r="E561" s="3" t="s">
        <v>16</v>
      </c>
      <c r="F561" s="3" t="s">
        <v>1460</v>
      </c>
      <c r="G561" s="3" t="s">
        <v>16</v>
      </c>
      <c r="H561" s="3" t="s">
        <v>1459</v>
      </c>
    </row>
    <row r="562" spans="1:8" x14ac:dyDescent="0.35">
      <c r="A562" s="3" t="s">
        <v>1457</v>
      </c>
      <c r="B562" s="3" t="s">
        <v>20</v>
      </c>
      <c r="C562" s="3" t="s">
        <v>1458</v>
      </c>
      <c r="D562" s="3" t="s">
        <v>56</v>
      </c>
      <c r="E562" s="3"/>
      <c r="F562" s="3"/>
      <c r="G562" s="3" t="s">
        <v>16</v>
      </c>
      <c r="H562" s="3" t="s">
        <v>1459</v>
      </c>
    </row>
    <row r="563" spans="1:8" x14ac:dyDescent="0.35">
      <c r="A563" s="3" t="s">
        <v>1457</v>
      </c>
      <c r="B563" s="3" t="s">
        <v>20</v>
      </c>
      <c r="C563" s="3" t="s">
        <v>1458</v>
      </c>
      <c r="D563" s="3" t="s">
        <v>24</v>
      </c>
      <c r="E563" s="3"/>
      <c r="F563" s="3"/>
      <c r="G563" s="3" t="s">
        <v>16</v>
      </c>
      <c r="H563" s="3" t="s">
        <v>1459</v>
      </c>
    </row>
    <row r="564" spans="1:8" x14ac:dyDescent="0.35">
      <c r="A564" s="3" t="s">
        <v>2596</v>
      </c>
      <c r="B564" s="3" t="s">
        <v>42</v>
      </c>
      <c r="C564" s="3" t="s">
        <v>2597</v>
      </c>
      <c r="D564" s="3" t="s">
        <v>12</v>
      </c>
      <c r="E564" s="3"/>
      <c r="F564" s="3"/>
      <c r="G564" s="3" t="s">
        <v>16</v>
      </c>
      <c r="H564" s="3" t="s">
        <v>1459</v>
      </c>
    </row>
    <row r="565" spans="1:8" x14ac:dyDescent="0.35">
      <c r="A565" s="3" t="s">
        <v>2596</v>
      </c>
      <c r="B565" s="3" t="s">
        <v>42</v>
      </c>
      <c r="C565" s="3" t="s">
        <v>2597</v>
      </c>
      <c r="D565" s="3" t="s">
        <v>36</v>
      </c>
      <c r="E565" s="3"/>
      <c r="F565" s="3"/>
      <c r="G565" s="3" t="s">
        <v>16</v>
      </c>
      <c r="H565" s="3" t="s">
        <v>1459</v>
      </c>
    </row>
    <row r="566" spans="1:8" x14ac:dyDescent="0.35">
      <c r="A566" s="3" t="s">
        <v>2596</v>
      </c>
      <c r="B566" s="3" t="s">
        <v>42</v>
      </c>
      <c r="C566" s="3" t="s">
        <v>2597</v>
      </c>
      <c r="D566" s="3" t="s">
        <v>27</v>
      </c>
      <c r="E566" s="3" t="s">
        <v>16</v>
      </c>
      <c r="F566" s="3" t="s">
        <v>2598</v>
      </c>
      <c r="G566" s="3" t="s">
        <v>16</v>
      </c>
      <c r="H566" s="3" t="s">
        <v>1459</v>
      </c>
    </row>
    <row r="567" spans="1:8" x14ac:dyDescent="0.35">
      <c r="A567" s="3" t="s">
        <v>2596</v>
      </c>
      <c r="B567" s="3" t="s">
        <v>42</v>
      </c>
      <c r="C567" s="3" t="s">
        <v>2597</v>
      </c>
      <c r="D567" s="3" t="s">
        <v>44</v>
      </c>
      <c r="E567" s="3"/>
      <c r="F567" s="3"/>
      <c r="G567" s="3" t="s">
        <v>16</v>
      </c>
      <c r="H567" s="3" t="s">
        <v>1459</v>
      </c>
    </row>
    <row r="568" spans="1:8" x14ac:dyDescent="0.35">
      <c r="A568" s="3" t="s">
        <v>2596</v>
      </c>
      <c r="B568" s="3" t="s">
        <v>42</v>
      </c>
      <c r="C568" s="3" t="s">
        <v>2597</v>
      </c>
      <c r="D568" s="3" t="s">
        <v>15</v>
      </c>
      <c r="E568" s="3"/>
      <c r="F568" s="3"/>
      <c r="G568" s="3" t="s">
        <v>16</v>
      </c>
      <c r="H568" s="3" t="s">
        <v>1459</v>
      </c>
    </row>
    <row r="569" spans="1:8" x14ac:dyDescent="0.35">
      <c r="A569" s="3" t="s">
        <v>2596</v>
      </c>
      <c r="B569" s="3" t="s">
        <v>42</v>
      </c>
      <c r="C569" s="3" t="s">
        <v>2597</v>
      </c>
      <c r="D569" s="3" t="s">
        <v>290</v>
      </c>
      <c r="E569" s="3"/>
      <c r="F569" s="3"/>
      <c r="G569" s="3" t="s">
        <v>16</v>
      </c>
      <c r="H569" s="3" t="s">
        <v>1459</v>
      </c>
    </row>
    <row r="570" spans="1:8" x14ac:dyDescent="0.35">
      <c r="A570" s="3" t="s">
        <v>1461</v>
      </c>
      <c r="B570" s="3" t="s">
        <v>20</v>
      </c>
      <c r="C570" s="3" t="s">
        <v>1462</v>
      </c>
      <c r="D570" s="3" t="s">
        <v>60</v>
      </c>
      <c r="E570" s="3"/>
      <c r="F570" s="3"/>
      <c r="G570" s="3" t="s">
        <v>16</v>
      </c>
      <c r="H570" s="3" t="s">
        <v>1463</v>
      </c>
    </row>
    <row r="571" spans="1:8" x14ac:dyDescent="0.35">
      <c r="A571" s="3" t="s">
        <v>1461</v>
      </c>
      <c r="B571" s="3" t="s">
        <v>20</v>
      </c>
      <c r="C571" s="3" t="s">
        <v>1462</v>
      </c>
      <c r="D571" s="3" t="s">
        <v>27</v>
      </c>
      <c r="E571" s="3"/>
      <c r="F571" s="3"/>
      <c r="G571" s="3" t="s">
        <v>16</v>
      </c>
      <c r="H571" s="3" t="s">
        <v>1463</v>
      </c>
    </row>
    <row r="572" spans="1:8" x14ac:dyDescent="0.35">
      <c r="A572" s="3" t="s">
        <v>1461</v>
      </c>
      <c r="B572" s="3" t="s">
        <v>20</v>
      </c>
      <c r="C572" s="3" t="s">
        <v>1462</v>
      </c>
      <c r="D572" s="3" t="s">
        <v>1193</v>
      </c>
      <c r="E572" s="3"/>
      <c r="F572" s="3"/>
      <c r="G572" s="3" t="s">
        <v>16</v>
      </c>
      <c r="H572" s="3" t="s">
        <v>1463</v>
      </c>
    </row>
    <row r="573" spans="1:8" x14ac:dyDescent="0.35">
      <c r="A573" s="3" t="s">
        <v>1461</v>
      </c>
      <c r="B573" s="3" t="s">
        <v>20</v>
      </c>
      <c r="C573" s="3" t="s">
        <v>1462</v>
      </c>
      <c r="D573" s="3" t="s">
        <v>98</v>
      </c>
      <c r="E573" s="3"/>
      <c r="F573" s="3"/>
      <c r="G573" s="3" t="s">
        <v>16</v>
      </c>
      <c r="H573" s="3" t="s">
        <v>1463</v>
      </c>
    </row>
    <row r="574" spans="1:8" x14ac:dyDescent="0.35">
      <c r="A574" s="3" t="s">
        <v>1461</v>
      </c>
      <c r="B574" s="3" t="s">
        <v>20</v>
      </c>
      <c r="C574" s="3" t="s">
        <v>1462</v>
      </c>
      <c r="D574" s="3" t="s">
        <v>1197</v>
      </c>
      <c r="E574" s="3"/>
      <c r="F574" s="3"/>
      <c r="G574" s="3" t="s">
        <v>16</v>
      </c>
      <c r="H574" s="3" t="s">
        <v>1463</v>
      </c>
    </row>
    <row r="575" spans="1:8" x14ac:dyDescent="0.35">
      <c r="A575" s="3" t="s">
        <v>1461</v>
      </c>
      <c r="B575" s="3" t="s">
        <v>20</v>
      </c>
      <c r="C575" s="3" t="s">
        <v>1462</v>
      </c>
      <c r="D575" s="3" t="s">
        <v>24</v>
      </c>
      <c r="E575" s="3"/>
      <c r="F575" s="3"/>
      <c r="G575" s="3" t="s">
        <v>16</v>
      </c>
      <c r="H575" s="3" t="s">
        <v>1463</v>
      </c>
    </row>
    <row r="576" spans="1:8" x14ac:dyDescent="0.35">
      <c r="A576" s="3" t="s">
        <v>1461</v>
      </c>
      <c r="B576" s="3" t="s">
        <v>42</v>
      </c>
      <c r="C576" s="3" t="s">
        <v>1464</v>
      </c>
      <c r="D576" s="3" t="s">
        <v>12</v>
      </c>
      <c r="E576" s="3"/>
      <c r="F576" s="3"/>
      <c r="G576" s="3"/>
      <c r="H576" s="3"/>
    </row>
    <row r="577" spans="1:8" x14ac:dyDescent="0.35">
      <c r="A577" s="3" t="s">
        <v>1461</v>
      </c>
      <c r="B577" s="3" t="s">
        <v>42</v>
      </c>
      <c r="C577" s="3" t="s">
        <v>1464</v>
      </c>
      <c r="D577" s="3" t="s">
        <v>15</v>
      </c>
      <c r="E577" s="3" t="s">
        <v>16</v>
      </c>
      <c r="F577" s="3" t="s">
        <v>1465</v>
      </c>
      <c r="G577" s="3" t="s">
        <v>16</v>
      </c>
      <c r="H577" s="3" t="s">
        <v>1466</v>
      </c>
    </row>
    <row r="578" spans="1:8" x14ac:dyDescent="0.35">
      <c r="A578" s="3" t="s">
        <v>1461</v>
      </c>
      <c r="B578" s="3" t="s">
        <v>45</v>
      </c>
      <c r="C578" s="3" t="s">
        <v>1467</v>
      </c>
      <c r="D578" s="3" t="s">
        <v>27</v>
      </c>
      <c r="E578" s="3"/>
      <c r="F578" s="3"/>
      <c r="G578" s="3"/>
      <c r="H578" s="3"/>
    </row>
    <row r="579" spans="1:8" x14ac:dyDescent="0.35">
      <c r="A579" s="3" t="s">
        <v>1461</v>
      </c>
      <c r="B579" s="3" t="s">
        <v>45</v>
      </c>
      <c r="C579" s="3" t="s">
        <v>1467</v>
      </c>
      <c r="D579" s="3" t="s">
        <v>15</v>
      </c>
      <c r="E579" s="3" t="s">
        <v>16</v>
      </c>
      <c r="F579" s="3" t="s">
        <v>1468</v>
      </c>
      <c r="G579" s="3"/>
      <c r="H579" s="3"/>
    </row>
    <row r="580" spans="1:8" x14ac:dyDescent="0.35">
      <c r="A580" s="3" t="s">
        <v>1461</v>
      </c>
      <c r="B580" s="3" t="s">
        <v>45</v>
      </c>
      <c r="C580" s="3" t="s">
        <v>1467</v>
      </c>
      <c r="D580" s="3" t="s">
        <v>56</v>
      </c>
      <c r="E580" s="3"/>
      <c r="F580" s="3"/>
      <c r="G580" s="3"/>
      <c r="H580" s="3"/>
    </row>
    <row r="581" spans="1:8" x14ac:dyDescent="0.35">
      <c r="A581" s="3" t="s">
        <v>1461</v>
      </c>
      <c r="B581" s="3" t="s">
        <v>45</v>
      </c>
      <c r="C581" s="3" t="s">
        <v>1467</v>
      </c>
      <c r="D581" s="3" t="s">
        <v>24</v>
      </c>
      <c r="E581" s="3"/>
      <c r="F581" s="3"/>
      <c r="G581" s="3"/>
      <c r="H581" s="3"/>
    </row>
    <row r="582" spans="1:8" x14ac:dyDescent="0.35">
      <c r="A582" s="3" t="s">
        <v>1469</v>
      </c>
      <c r="B582" s="3" t="s">
        <v>39</v>
      </c>
      <c r="C582" s="3" t="s">
        <v>1470</v>
      </c>
      <c r="D582" s="3" t="s">
        <v>12</v>
      </c>
      <c r="E582" s="3"/>
      <c r="F582" s="3"/>
      <c r="G582" s="3"/>
      <c r="H582" s="3"/>
    </row>
    <row r="583" spans="1:8" x14ac:dyDescent="0.35">
      <c r="A583" s="3" t="s">
        <v>1469</v>
      </c>
      <c r="B583" s="3" t="s">
        <v>39</v>
      </c>
      <c r="C583" s="3" t="s">
        <v>1470</v>
      </c>
      <c r="D583" s="3" t="s">
        <v>15</v>
      </c>
      <c r="E583" s="3" t="s">
        <v>16</v>
      </c>
      <c r="F583" s="3" t="s">
        <v>1471</v>
      </c>
      <c r="G583" s="3"/>
      <c r="H583" s="3"/>
    </row>
    <row r="584" spans="1:8" x14ac:dyDescent="0.35">
      <c r="A584" s="3" t="s">
        <v>1469</v>
      </c>
      <c r="B584" s="3" t="s">
        <v>39</v>
      </c>
      <c r="C584" s="3" t="s">
        <v>1470</v>
      </c>
      <c r="D584" s="3" t="s">
        <v>57</v>
      </c>
      <c r="E584" s="3" t="s">
        <v>16</v>
      </c>
      <c r="F584" s="3" t="s">
        <v>157</v>
      </c>
      <c r="G584" s="3"/>
      <c r="H584" s="3"/>
    </row>
    <row r="585" spans="1:8" x14ac:dyDescent="0.35">
      <c r="A585" s="3" t="s">
        <v>1469</v>
      </c>
      <c r="B585" s="3" t="s">
        <v>39</v>
      </c>
      <c r="C585" s="3" t="s">
        <v>1470</v>
      </c>
      <c r="D585" s="3" t="s">
        <v>24</v>
      </c>
      <c r="E585" s="3"/>
      <c r="F585" s="3" t="s">
        <v>2429</v>
      </c>
      <c r="G585" s="3"/>
      <c r="H585" s="3"/>
    </row>
    <row r="586" spans="1:8" x14ac:dyDescent="0.35">
      <c r="A586" s="3" t="s">
        <v>1472</v>
      </c>
      <c r="B586" s="3" t="s">
        <v>10</v>
      </c>
      <c r="C586" s="3" t="s">
        <v>1473</v>
      </c>
      <c r="D586" s="3" t="s">
        <v>15</v>
      </c>
      <c r="E586" s="3" t="s">
        <v>16</v>
      </c>
      <c r="F586" s="3" t="s">
        <v>1474</v>
      </c>
      <c r="G586" s="3"/>
      <c r="H586" s="3"/>
    </row>
    <row r="587" spans="1:8" x14ac:dyDescent="0.35">
      <c r="A587" s="3" t="s">
        <v>1472</v>
      </c>
      <c r="B587" s="3" t="s">
        <v>42</v>
      </c>
      <c r="C587" s="3" t="s">
        <v>1475</v>
      </c>
      <c r="D587" s="3" t="s">
        <v>12</v>
      </c>
      <c r="E587" s="3"/>
      <c r="F587" s="3"/>
      <c r="G587" s="3"/>
      <c r="H587" s="3"/>
    </row>
    <row r="588" spans="1:8" x14ac:dyDescent="0.35">
      <c r="A588" s="3" t="s">
        <v>1472</v>
      </c>
      <c r="B588" s="3" t="s">
        <v>42</v>
      </c>
      <c r="C588" s="3" t="s">
        <v>1475</v>
      </c>
      <c r="D588" s="3" t="s">
        <v>36</v>
      </c>
      <c r="E588" s="3"/>
      <c r="F588" s="3"/>
      <c r="G588" s="3"/>
      <c r="H588" s="3"/>
    </row>
    <row r="589" spans="1:8" x14ac:dyDescent="0.35">
      <c r="A589" s="3" t="s">
        <v>1472</v>
      </c>
      <c r="B589" s="3" t="s">
        <v>42</v>
      </c>
      <c r="C589" s="3" t="s">
        <v>1475</v>
      </c>
      <c r="D589" s="3" t="s">
        <v>47</v>
      </c>
      <c r="E589" s="3"/>
      <c r="F589" s="3"/>
      <c r="G589" s="3"/>
      <c r="H589" s="3"/>
    </row>
    <row r="590" spans="1:8" x14ac:dyDescent="0.35">
      <c r="A590" s="3" t="s">
        <v>1472</v>
      </c>
      <c r="B590" s="3" t="s">
        <v>42</v>
      </c>
      <c r="C590" s="3" t="s">
        <v>1475</v>
      </c>
      <c r="D590" s="3" t="s">
        <v>1479</v>
      </c>
      <c r="E590" s="3"/>
      <c r="F590" s="3"/>
      <c r="G590" s="3"/>
      <c r="H590" s="3"/>
    </row>
    <row r="591" spans="1:8" x14ac:dyDescent="0.35">
      <c r="A591" s="3" t="s">
        <v>1472</v>
      </c>
      <c r="B591" s="3" t="s">
        <v>42</v>
      </c>
      <c r="C591" s="3" t="s">
        <v>1475</v>
      </c>
      <c r="D591" s="3" t="s">
        <v>141</v>
      </c>
      <c r="E591" s="3"/>
      <c r="F591" s="3"/>
      <c r="G591" s="3"/>
      <c r="H591" s="3"/>
    </row>
    <row r="592" spans="1:8" x14ac:dyDescent="0.35">
      <c r="A592" s="3" t="s">
        <v>1472</v>
      </c>
      <c r="B592" s="3" t="s">
        <v>42</v>
      </c>
      <c r="C592" s="3" t="s">
        <v>1475</v>
      </c>
      <c r="D592" s="3" t="s">
        <v>27</v>
      </c>
      <c r="E592" s="3"/>
      <c r="F592" s="3"/>
      <c r="G592" s="3"/>
      <c r="H592" s="3"/>
    </row>
    <row r="593" spans="1:8" x14ac:dyDescent="0.35">
      <c r="A593" s="3" t="s">
        <v>1472</v>
      </c>
      <c r="B593" s="3" t="s">
        <v>42</v>
      </c>
      <c r="C593" s="3" t="s">
        <v>1475</v>
      </c>
      <c r="D593" s="3" t="s">
        <v>87</v>
      </c>
      <c r="E593" s="3"/>
      <c r="F593" s="3"/>
      <c r="G593" s="3"/>
      <c r="H593" s="3"/>
    </row>
    <row r="594" spans="1:8" x14ac:dyDescent="0.35">
      <c r="A594" s="3" t="s">
        <v>1472</v>
      </c>
      <c r="B594" s="3" t="s">
        <v>42</v>
      </c>
      <c r="C594" s="3" t="s">
        <v>1475</v>
      </c>
      <c r="D594" s="3" t="s">
        <v>15</v>
      </c>
      <c r="E594" s="3" t="s">
        <v>16</v>
      </c>
      <c r="F594" s="3" t="s">
        <v>1476</v>
      </c>
      <c r="G594" s="3"/>
      <c r="H594" s="3"/>
    </row>
    <row r="595" spans="1:8" x14ac:dyDescent="0.35">
      <c r="A595" s="3" t="s">
        <v>1472</v>
      </c>
      <c r="B595" s="3" t="s">
        <v>42</v>
      </c>
      <c r="C595" s="3" t="s">
        <v>1475</v>
      </c>
      <c r="D595" s="3" t="s">
        <v>56</v>
      </c>
      <c r="E595" s="3" t="s">
        <v>16</v>
      </c>
      <c r="F595" s="3" t="s">
        <v>2309</v>
      </c>
      <c r="G595" s="3"/>
      <c r="H595" s="3"/>
    </row>
    <row r="596" spans="1:8" x14ac:dyDescent="0.35">
      <c r="A596" s="3" t="s">
        <v>1472</v>
      </c>
      <c r="B596" s="3" t="s">
        <v>42</v>
      </c>
      <c r="C596" s="3" t="s">
        <v>1475</v>
      </c>
      <c r="D596" s="3" t="s">
        <v>32</v>
      </c>
      <c r="E596" s="3"/>
      <c r="F596" s="3"/>
      <c r="G596" s="3"/>
      <c r="H596" s="3"/>
    </row>
    <row r="597" spans="1:8" x14ac:dyDescent="0.35">
      <c r="A597" s="3" t="s">
        <v>1472</v>
      </c>
      <c r="B597" s="3" t="s">
        <v>42</v>
      </c>
      <c r="C597" s="3" t="s">
        <v>1475</v>
      </c>
      <c r="D597" s="3" t="s">
        <v>290</v>
      </c>
      <c r="E597" s="3"/>
      <c r="F597" s="3"/>
      <c r="G597" s="3"/>
      <c r="H597" s="3"/>
    </row>
    <row r="598" spans="1:8" x14ac:dyDescent="0.35">
      <c r="A598" s="3" t="s">
        <v>1472</v>
      </c>
      <c r="B598" s="3" t="s">
        <v>42</v>
      </c>
      <c r="C598" s="3" t="s">
        <v>1475</v>
      </c>
      <c r="D598" s="3" t="s">
        <v>630</v>
      </c>
      <c r="E598" s="3" t="s">
        <v>16</v>
      </c>
      <c r="F598" s="3" t="s">
        <v>1477</v>
      </c>
      <c r="G598" s="3"/>
      <c r="H598" s="3"/>
    </row>
    <row r="599" spans="1:8" x14ac:dyDescent="0.35">
      <c r="A599" s="3" t="s">
        <v>1472</v>
      </c>
      <c r="B599" s="3" t="s">
        <v>42</v>
      </c>
      <c r="C599" s="3" t="s">
        <v>1475</v>
      </c>
      <c r="D599" s="3" t="s">
        <v>82</v>
      </c>
      <c r="E599" s="3" t="s">
        <v>16</v>
      </c>
      <c r="F599" s="3" t="s">
        <v>2592</v>
      </c>
      <c r="G599" s="3"/>
      <c r="H599" s="3"/>
    </row>
    <row r="600" spans="1:8" x14ac:dyDescent="0.35">
      <c r="A600" s="3" t="s">
        <v>1472</v>
      </c>
      <c r="B600" s="3" t="s">
        <v>45</v>
      </c>
      <c r="C600" s="3" t="s">
        <v>1478</v>
      </c>
      <c r="D600" s="3" t="s">
        <v>23</v>
      </c>
      <c r="E600" s="3"/>
      <c r="F600" s="3"/>
      <c r="G600" s="3"/>
      <c r="H600" s="3"/>
    </row>
    <row r="601" spans="1:8" x14ac:dyDescent="0.35">
      <c r="A601" s="3" t="s">
        <v>1472</v>
      </c>
      <c r="B601" s="3" t="s">
        <v>45</v>
      </c>
      <c r="C601" s="3" t="s">
        <v>1478</v>
      </c>
      <c r="D601" s="3" t="s">
        <v>1479</v>
      </c>
      <c r="E601" s="3"/>
      <c r="F601" s="3"/>
      <c r="G601" s="3"/>
      <c r="H601" s="3"/>
    </row>
    <row r="602" spans="1:8" x14ac:dyDescent="0.35">
      <c r="A602" s="3" t="s">
        <v>1472</v>
      </c>
      <c r="B602" s="3" t="s">
        <v>45</v>
      </c>
      <c r="C602" s="3" t="s">
        <v>1478</v>
      </c>
      <c r="D602" s="3" t="s">
        <v>28</v>
      </c>
      <c r="E602" s="3"/>
      <c r="F602" s="3" t="s">
        <v>2316</v>
      </c>
      <c r="G602" s="3"/>
      <c r="H602" s="3"/>
    </row>
    <row r="603" spans="1:8" x14ac:dyDescent="0.35">
      <c r="A603" s="3" t="s">
        <v>1472</v>
      </c>
      <c r="B603" s="3" t="s">
        <v>45</v>
      </c>
      <c r="C603" s="3" t="s">
        <v>1478</v>
      </c>
      <c r="D603" s="3" t="s">
        <v>1141</v>
      </c>
      <c r="E603" s="3"/>
      <c r="F603" s="3"/>
      <c r="G603" s="3"/>
      <c r="H603" s="3"/>
    </row>
    <row r="604" spans="1:8" x14ac:dyDescent="0.35">
      <c r="A604" s="3" t="s">
        <v>1472</v>
      </c>
      <c r="B604" s="3" t="s">
        <v>39</v>
      </c>
      <c r="C604" s="3" t="s">
        <v>1480</v>
      </c>
      <c r="D604" s="3" t="s">
        <v>23</v>
      </c>
      <c r="E604" s="3"/>
      <c r="F604" s="3"/>
      <c r="G604" s="3"/>
      <c r="H604" s="3"/>
    </row>
    <row r="605" spans="1:8" x14ac:dyDescent="0.35">
      <c r="A605" s="3" t="s">
        <v>1472</v>
      </c>
      <c r="B605" s="3" t="s">
        <v>39</v>
      </c>
      <c r="C605" s="3" t="s">
        <v>1480</v>
      </c>
      <c r="D605" s="3" t="s">
        <v>28</v>
      </c>
      <c r="E605" s="3"/>
      <c r="F605" s="3" t="s">
        <v>2356</v>
      </c>
      <c r="G605" s="3"/>
      <c r="H605" s="3"/>
    </row>
    <row r="606" spans="1:8" x14ac:dyDescent="0.35">
      <c r="A606" s="3" t="s">
        <v>1472</v>
      </c>
      <c r="B606" s="3" t="s">
        <v>39</v>
      </c>
      <c r="C606" s="3" t="s">
        <v>1480</v>
      </c>
      <c r="D606" s="3" t="s">
        <v>87</v>
      </c>
      <c r="E606" s="3"/>
      <c r="F606" s="3"/>
      <c r="G606" s="3"/>
      <c r="H606" s="3"/>
    </row>
    <row r="607" spans="1:8" x14ac:dyDescent="0.35">
      <c r="A607" s="3" t="s">
        <v>1472</v>
      </c>
      <c r="B607" s="3" t="s">
        <v>39</v>
      </c>
      <c r="C607" s="3" t="s">
        <v>1480</v>
      </c>
      <c r="D607" s="3" t="s">
        <v>15</v>
      </c>
      <c r="E607" s="3" t="s">
        <v>16</v>
      </c>
      <c r="F607" s="3" t="s">
        <v>1474</v>
      </c>
      <c r="G607" s="3" t="s">
        <v>16</v>
      </c>
      <c r="H607" s="3" t="s">
        <v>1481</v>
      </c>
    </row>
    <row r="608" spans="1:8" x14ac:dyDescent="0.35">
      <c r="A608" s="3" t="s">
        <v>1472</v>
      </c>
      <c r="B608" s="3" t="s">
        <v>39</v>
      </c>
      <c r="C608" s="3" t="s">
        <v>1480</v>
      </c>
      <c r="D608" s="3" t="s">
        <v>24</v>
      </c>
      <c r="E608" s="3"/>
      <c r="F608" s="3"/>
      <c r="G608" s="3"/>
      <c r="H608" s="3"/>
    </row>
    <row r="609" spans="1:8" x14ac:dyDescent="0.35">
      <c r="A609" s="3" t="s">
        <v>1472</v>
      </c>
      <c r="B609" s="3" t="s">
        <v>10</v>
      </c>
      <c r="C609" s="3" t="s">
        <v>1482</v>
      </c>
      <c r="D609" s="3" t="s">
        <v>1479</v>
      </c>
      <c r="E609" s="3"/>
      <c r="F609" s="3"/>
      <c r="G609" s="3"/>
      <c r="H609" s="3"/>
    </row>
    <row r="610" spans="1:8" x14ac:dyDescent="0.35">
      <c r="A610" s="3" t="s">
        <v>1472</v>
      </c>
      <c r="B610" s="3" t="s">
        <v>10</v>
      </c>
      <c r="C610" s="3" t="s">
        <v>1482</v>
      </c>
      <c r="D610" s="3" t="s">
        <v>28</v>
      </c>
      <c r="E610" s="3"/>
      <c r="F610" s="3"/>
      <c r="G610" s="3"/>
      <c r="H610" s="3"/>
    </row>
    <row r="611" spans="1:8" x14ac:dyDescent="0.35">
      <c r="A611" s="3" t="s">
        <v>1472</v>
      </c>
      <c r="B611" s="3" t="s">
        <v>10</v>
      </c>
      <c r="C611" s="3" t="s">
        <v>1482</v>
      </c>
      <c r="D611" s="3" t="s">
        <v>87</v>
      </c>
      <c r="E611" s="3"/>
      <c r="F611" s="3" t="s">
        <v>2397</v>
      </c>
      <c r="G611" s="3"/>
      <c r="H611" s="3"/>
    </row>
    <row r="612" spans="1:8" x14ac:dyDescent="0.35">
      <c r="A612" s="3" t="s">
        <v>1472</v>
      </c>
      <c r="B612" s="3" t="s">
        <v>10</v>
      </c>
      <c r="C612" s="3" t="s">
        <v>1482</v>
      </c>
      <c r="D612" s="3" t="s">
        <v>15</v>
      </c>
      <c r="E612" s="3" t="s">
        <v>16</v>
      </c>
      <c r="F612" s="3" t="s">
        <v>1483</v>
      </c>
      <c r="G612" s="3"/>
      <c r="H612" s="3"/>
    </row>
    <row r="613" spans="1:8" x14ac:dyDescent="0.35">
      <c r="A613" s="3" t="s">
        <v>1472</v>
      </c>
      <c r="B613" s="3" t="s">
        <v>10</v>
      </c>
      <c r="C613" s="3" t="s">
        <v>1482</v>
      </c>
      <c r="D613" s="3" t="s">
        <v>32</v>
      </c>
      <c r="E613" s="3"/>
      <c r="F613" s="3"/>
      <c r="G613" s="3"/>
      <c r="H613" s="3"/>
    </row>
    <row r="614" spans="1:8" x14ac:dyDescent="0.35">
      <c r="A614" s="3" t="s">
        <v>1472</v>
      </c>
      <c r="B614" s="3" t="s">
        <v>20</v>
      </c>
      <c r="C614" s="3" t="s">
        <v>1484</v>
      </c>
      <c r="D614" s="3" t="s">
        <v>25</v>
      </c>
      <c r="E614" s="3"/>
      <c r="F614" s="3"/>
      <c r="G614" s="3"/>
      <c r="H614" s="3"/>
    </row>
    <row r="615" spans="1:8" x14ac:dyDescent="0.35">
      <c r="A615" s="3" t="s">
        <v>1472</v>
      </c>
      <c r="B615" s="3" t="s">
        <v>20</v>
      </c>
      <c r="C615" s="3" t="s">
        <v>1484</v>
      </c>
      <c r="D615" s="3" t="s">
        <v>77</v>
      </c>
      <c r="E615" s="3"/>
      <c r="F615" s="3"/>
      <c r="G615" s="3"/>
      <c r="H615" s="3"/>
    </row>
    <row r="616" spans="1:8" x14ac:dyDescent="0.35">
      <c r="A616" s="3" t="s">
        <v>1472</v>
      </c>
      <c r="B616" s="3" t="s">
        <v>20</v>
      </c>
      <c r="C616" s="3" t="s">
        <v>1484</v>
      </c>
      <c r="D616" s="3" t="s">
        <v>87</v>
      </c>
      <c r="E616" s="3"/>
      <c r="F616" s="3"/>
      <c r="G616" s="3"/>
      <c r="H616" s="3"/>
    </row>
    <row r="617" spans="1:8" x14ac:dyDescent="0.35">
      <c r="A617" s="3" t="s">
        <v>1472</v>
      </c>
      <c r="B617" s="3" t="s">
        <v>20</v>
      </c>
      <c r="C617" s="3" t="s">
        <v>1484</v>
      </c>
      <c r="D617" s="3" t="s">
        <v>15</v>
      </c>
      <c r="E617" s="3" t="s">
        <v>16</v>
      </c>
      <c r="F617" s="3" t="s">
        <v>1474</v>
      </c>
      <c r="G617" s="3"/>
      <c r="H617" s="3"/>
    </row>
    <row r="618" spans="1:8" x14ac:dyDescent="0.35">
      <c r="A618" s="3" t="s">
        <v>1472</v>
      </c>
      <c r="B618" s="3" t="s">
        <v>20</v>
      </c>
      <c r="C618" s="3" t="s">
        <v>1484</v>
      </c>
      <c r="D618" s="3" t="s">
        <v>57</v>
      </c>
      <c r="E618" s="3"/>
      <c r="F618" s="3"/>
      <c r="G618" s="3"/>
      <c r="H618" s="3"/>
    </row>
    <row r="619" spans="1:8" x14ac:dyDescent="0.35">
      <c r="A619" s="3" t="s">
        <v>1472</v>
      </c>
      <c r="B619" s="3" t="s">
        <v>20</v>
      </c>
      <c r="C619" s="3" t="s">
        <v>1484</v>
      </c>
      <c r="D619" s="3" t="s">
        <v>56</v>
      </c>
      <c r="E619" s="3"/>
      <c r="F619" s="3"/>
      <c r="G619" s="3"/>
      <c r="H619" s="3"/>
    </row>
    <row r="620" spans="1:8" x14ac:dyDescent="0.35">
      <c r="A620" s="3" t="s">
        <v>1472</v>
      </c>
      <c r="B620" s="3" t="s">
        <v>20</v>
      </c>
      <c r="C620" s="3" t="s">
        <v>1484</v>
      </c>
      <c r="D620" s="3" t="s">
        <v>32</v>
      </c>
      <c r="E620" s="3" t="s">
        <v>16</v>
      </c>
      <c r="F620" s="3" t="s">
        <v>2431</v>
      </c>
      <c r="G620" s="3"/>
      <c r="H620" s="3"/>
    </row>
    <row r="621" spans="1:8" x14ac:dyDescent="0.35">
      <c r="A621" s="3" t="s">
        <v>1472</v>
      </c>
      <c r="B621" s="3" t="s">
        <v>20</v>
      </c>
      <c r="C621" s="3" t="s">
        <v>1484</v>
      </c>
      <c r="D621" s="3" t="s">
        <v>29</v>
      </c>
      <c r="E621" s="3"/>
      <c r="F621" s="3"/>
      <c r="G621" s="3"/>
      <c r="H621" s="3"/>
    </row>
    <row r="622" spans="1:8" x14ac:dyDescent="0.35">
      <c r="A622" s="3" t="s">
        <v>1472</v>
      </c>
      <c r="B622" s="3" t="s">
        <v>20</v>
      </c>
      <c r="C622" s="3" t="s">
        <v>1484</v>
      </c>
      <c r="D622" s="3" t="s">
        <v>24</v>
      </c>
      <c r="E622" s="3"/>
      <c r="F622" s="3"/>
      <c r="G622" s="3"/>
      <c r="H622" s="3"/>
    </row>
    <row r="623" spans="1:8" x14ac:dyDescent="0.35">
      <c r="A623" s="3" t="s">
        <v>1472</v>
      </c>
      <c r="B623" s="3" t="s">
        <v>20</v>
      </c>
      <c r="C623" s="3" t="s">
        <v>1484</v>
      </c>
      <c r="D623" s="3" t="s">
        <v>107</v>
      </c>
      <c r="E623" s="3" t="s">
        <v>16</v>
      </c>
      <c r="F623" s="3" t="s">
        <v>1474</v>
      </c>
      <c r="G623" s="3"/>
      <c r="H623" s="3"/>
    </row>
    <row r="624" spans="1:8" x14ac:dyDescent="0.35">
      <c r="A624" s="3" t="s">
        <v>1472</v>
      </c>
      <c r="B624" s="3" t="s">
        <v>20</v>
      </c>
      <c r="C624" s="3" t="s">
        <v>1485</v>
      </c>
      <c r="D624" s="3" t="s">
        <v>1486</v>
      </c>
      <c r="E624" s="3"/>
      <c r="F624" s="3"/>
      <c r="G624" s="3"/>
      <c r="H624" s="3"/>
    </row>
    <row r="625" spans="1:8" x14ac:dyDescent="0.35">
      <c r="A625" s="3" t="s">
        <v>1472</v>
      </c>
      <c r="B625" s="3" t="s">
        <v>20</v>
      </c>
      <c r="C625" s="3" t="s">
        <v>1485</v>
      </c>
      <c r="D625" s="3" t="s">
        <v>27</v>
      </c>
      <c r="E625" s="3"/>
      <c r="F625" s="3"/>
      <c r="G625" s="3"/>
      <c r="H625" s="3"/>
    </row>
    <row r="626" spans="1:8" x14ac:dyDescent="0.35">
      <c r="A626" s="3" t="s">
        <v>1472</v>
      </c>
      <c r="B626" s="3" t="s">
        <v>20</v>
      </c>
      <c r="C626" s="3" t="s">
        <v>1485</v>
      </c>
      <c r="D626" s="3" t="s">
        <v>87</v>
      </c>
      <c r="E626" s="3"/>
      <c r="F626" s="3"/>
      <c r="G626" s="3"/>
      <c r="H626" s="3"/>
    </row>
    <row r="627" spans="1:8" x14ac:dyDescent="0.35">
      <c r="A627" s="3" t="s">
        <v>1472</v>
      </c>
      <c r="B627" s="3" t="s">
        <v>20</v>
      </c>
      <c r="C627" s="3" t="s">
        <v>1485</v>
      </c>
      <c r="D627" s="3" t="s">
        <v>185</v>
      </c>
      <c r="E627" s="3"/>
      <c r="F627" s="3" t="s">
        <v>2345</v>
      </c>
      <c r="G627" s="3"/>
      <c r="H627" s="3"/>
    </row>
    <row r="628" spans="1:8" x14ac:dyDescent="0.35">
      <c r="A628" s="3" t="s">
        <v>1472</v>
      </c>
      <c r="B628" s="3" t="s">
        <v>20</v>
      </c>
      <c r="C628" s="3" t="s">
        <v>1485</v>
      </c>
      <c r="D628" s="3" t="s">
        <v>15</v>
      </c>
      <c r="E628" s="3" t="s">
        <v>16</v>
      </c>
      <c r="F628" s="3" t="s">
        <v>1487</v>
      </c>
      <c r="G628" s="3"/>
      <c r="H628" s="3"/>
    </row>
    <row r="629" spans="1:8" x14ac:dyDescent="0.35">
      <c r="A629" s="3" t="s">
        <v>1472</v>
      </c>
      <c r="B629" s="3" t="s">
        <v>20</v>
      </c>
      <c r="C629" s="3" t="s">
        <v>1485</v>
      </c>
      <c r="D629" s="3" t="s">
        <v>89</v>
      </c>
      <c r="E629" s="3"/>
      <c r="F629" s="3"/>
      <c r="G629" s="3"/>
      <c r="H629" s="3"/>
    </row>
    <row r="630" spans="1:8" x14ac:dyDescent="0.35">
      <c r="A630" s="3" t="s">
        <v>1472</v>
      </c>
      <c r="B630" s="3" t="s">
        <v>20</v>
      </c>
      <c r="C630" s="3" t="s">
        <v>1485</v>
      </c>
      <c r="D630" s="3" t="s">
        <v>893</v>
      </c>
      <c r="E630" s="3"/>
      <c r="F630" s="3" t="s">
        <v>2301</v>
      </c>
      <c r="G630" s="3"/>
      <c r="H630" s="3"/>
    </row>
    <row r="631" spans="1:8" x14ac:dyDescent="0.35">
      <c r="A631" s="3" t="s">
        <v>1472</v>
      </c>
      <c r="B631" s="3" t="s">
        <v>39</v>
      </c>
      <c r="C631" s="3" t="s">
        <v>1488</v>
      </c>
      <c r="D631" s="3" t="s">
        <v>28</v>
      </c>
      <c r="E631" s="3"/>
      <c r="F631" s="3"/>
      <c r="G631" s="3"/>
      <c r="H631" s="3"/>
    </row>
    <row r="632" spans="1:8" x14ac:dyDescent="0.35">
      <c r="A632" s="3" t="s">
        <v>1472</v>
      </c>
      <c r="B632" s="3" t="s">
        <v>39</v>
      </c>
      <c r="C632" s="3" t="s">
        <v>1488</v>
      </c>
      <c r="D632" s="3" t="s">
        <v>15</v>
      </c>
      <c r="E632" s="3" t="s">
        <v>16</v>
      </c>
      <c r="F632" s="3" t="s">
        <v>1489</v>
      </c>
      <c r="G632" s="3"/>
      <c r="H632" s="3"/>
    </row>
    <row r="633" spans="1:8" x14ac:dyDescent="0.35">
      <c r="A633" s="3" t="s">
        <v>1472</v>
      </c>
      <c r="B633" s="3" t="s">
        <v>39</v>
      </c>
      <c r="C633" s="3" t="s">
        <v>1488</v>
      </c>
      <c r="D633" s="3" t="s">
        <v>56</v>
      </c>
      <c r="E633" s="3" t="s">
        <v>16</v>
      </c>
      <c r="F633" s="3" t="s">
        <v>1474</v>
      </c>
      <c r="G633" s="3"/>
      <c r="H633" s="3"/>
    </row>
    <row r="634" spans="1:8" x14ac:dyDescent="0.35">
      <c r="A634" s="3" t="s">
        <v>1472</v>
      </c>
      <c r="B634" s="3" t="s">
        <v>39</v>
      </c>
      <c r="C634" s="3" t="s">
        <v>1488</v>
      </c>
      <c r="D634" s="3" t="s">
        <v>32</v>
      </c>
      <c r="E634" s="3" t="s">
        <v>16</v>
      </c>
      <c r="F634" s="3" t="s">
        <v>1428</v>
      </c>
      <c r="G634" s="3"/>
      <c r="H634" s="3"/>
    </row>
    <row r="635" spans="1:8" x14ac:dyDescent="0.35">
      <c r="A635" s="3" t="s">
        <v>1472</v>
      </c>
      <c r="B635" s="3" t="s">
        <v>39</v>
      </c>
      <c r="C635" s="3" t="s">
        <v>1488</v>
      </c>
      <c r="D635" s="3" t="s">
        <v>630</v>
      </c>
      <c r="E635" s="3" t="s">
        <v>16</v>
      </c>
      <c r="F635" s="3" t="s">
        <v>1490</v>
      </c>
      <c r="G635" s="3"/>
      <c r="H635" s="3"/>
    </row>
    <row r="636" spans="1:8" x14ac:dyDescent="0.35">
      <c r="A636" s="3" t="s">
        <v>1472</v>
      </c>
      <c r="B636" s="3" t="s">
        <v>45</v>
      </c>
      <c r="C636" s="3" t="s">
        <v>1491</v>
      </c>
      <c r="D636" s="3" t="s">
        <v>24</v>
      </c>
      <c r="E636" s="3"/>
      <c r="F636" s="3" t="s">
        <v>2429</v>
      </c>
      <c r="G636" s="3"/>
      <c r="H636" s="3"/>
    </row>
    <row r="637" spans="1:8" x14ac:dyDescent="0.35">
      <c r="A637" s="3" t="s">
        <v>1472</v>
      </c>
      <c r="B637" s="3" t="s">
        <v>20</v>
      </c>
      <c r="C637" s="3" t="s">
        <v>1492</v>
      </c>
      <c r="D637" s="3" t="s">
        <v>1486</v>
      </c>
      <c r="E637" s="3"/>
      <c r="F637" s="3"/>
      <c r="G637" s="3"/>
      <c r="H637" s="3"/>
    </row>
    <row r="638" spans="1:8" x14ac:dyDescent="0.35">
      <c r="A638" s="3" t="s">
        <v>1472</v>
      </c>
      <c r="B638" s="3" t="s">
        <v>20</v>
      </c>
      <c r="C638" s="3" t="s">
        <v>1492</v>
      </c>
      <c r="D638" s="3" t="s">
        <v>1193</v>
      </c>
      <c r="E638" s="3"/>
      <c r="F638" s="3"/>
      <c r="G638" s="3"/>
      <c r="H638" s="3"/>
    </row>
    <row r="639" spans="1:8" x14ac:dyDescent="0.35">
      <c r="A639" s="3" t="s">
        <v>1472</v>
      </c>
      <c r="B639" s="3" t="s">
        <v>20</v>
      </c>
      <c r="C639" s="3" t="s">
        <v>1492</v>
      </c>
      <c r="D639" s="3" t="s">
        <v>87</v>
      </c>
      <c r="E639" s="3"/>
      <c r="F639" s="3"/>
      <c r="G639" s="3"/>
      <c r="H639" s="3"/>
    </row>
    <row r="640" spans="1:8" x14ac:dyDescent="0.35">
      <c r="A640" s="3" t="s">
        <v>1472</v>
      </c>
      <c r="B640" s="3" t="s">
        <v>20</v>
      </c>
      <c r="C640" s="3" t="s">
        <v>1492</v>
      </c>
      <c r="D640" s="3" t="s">
        <v>15</v>
      </c>
      <c r="E640" s="3" t="s">
        <v>16</v>
      </c>
      <c r="F640" s="3" t="s">
        <v>1474</v>
      </c>
      <c r="G640" s="3"/>
      <c r="H640" s="3"/>
    </row>
    <row r="641" spans="1:8" x14ac:dyDescent="0.35">
      <c r="A641" s="3" t="s">
        <v>1472</v>
      </c>
      <c r="B641" s="3" t="s">
        <v>20</v>
      </c>
      <c r="C641" s="3" t="s">
        <v>1492</v>
      </c>
      <c r="D641" s="3" t="s">
        <v>24</v>
      </c>
      <c r="E641" s="3"/>
      <c r="F641" s="3"/>
      <c r="G641" s="3"/>
      <c r="H641" s="3"/>
    </row>
    <row r="642" spans="1:8" x14ac:dyDescent="0.35">
      <c r="A642" s="3" t="s">
        <v>1472</v>
      </c>
      <c r="B642" s="3" t="s">
        <v>39</v>
      </c>
      <c r="C642" s="3" t="s">
        <v>1493</v>
      </c>
      <c r="D642" s="3" t="s">
        <v>12</v>
      </c>
      <c r="E642" s="3"/>
      <c r="F642" s="3"/>
      <c r="G642" s="3"/>
      <c r="H642" s="3"/>
    </row>
    <row r="643" spans="1:8" x14ac:dyDescent="0.35">
      <c r="A643" s="3" t="s">
        <v>1472</v>
      </c>
      <c r="B643" s="3" t="s">
        <v>39</v>
      </c>
      <c r="C643" s="3" t="s">
        <v>1493</v>
      </c>
      <c r="D643" s="3" t="s">
        <v>185</v>
      </c>
      <c r="E643" s="3"/>
      <c r="F643" s="3" t="s">
        <v>2345</v>
      </c>
      <c r="G643" s="3"/>
      <c r="H643" s="3"/>
    </row>
    <row r="644" spans="1:8" x14ac:dyDescent="0.35">
      <c r="A644" s="3" t="s">
        <v>1472</v>
      </c>
      <c r="B644" s="3" t="s">
        <v>39</v>
      </c>
      <c r="C644" s="3" t="s">
        <v>1493</v>
      </c>
      <c r="D644" s="3" t="s">
        <v>56</v>
      </c>
      <c r="E644" s="3" t="s">
        <v>16</v>
      </c>
      <c r="F644" s="3" t="s">
        <v>1487</v>
      </c>
      <c r="G644" s="3"/>
      <c r="H644" s="3"/>
    </row>
    <row r="645" spans="1:8" x14ac:dyDescent="0.35">
      <c r="A645" s="3" t="s">
        <v>1472</v>
      </c>
      <c r="B645" s="3" t="s">
        <v>39</v>
      </c>
      <c r="C645" s="3" t="s">
        <v>1493</v>
      </c>
      <c r="D645" s="3" t="s">
        <v>24</v>
      </c>
      <c r="E645" s="3" t="s">
        <v>16</v>
      </c>
      <c r="F645" s="3" t="s">
        <v>1487</v>
      </c>
      <c r="G645" s="3"/>
      <c r="H645" s="3"/>
    </row>
    <row r="646" spans="1:8" x14ac:dyDescent="0.35">
      <c r="A646" s="3" t="s">
        <v>1472</v>
      </c>
      <c r="B646" s="3" t="s">
        <v>20</v>
      </c>
      <c r="C646" s="3" t="s">
        <v>1494</v>
      </c>
      <c r="D646" s="3" t="s">
        <v>36</v>
      </c>
      <c r="E646" s="3" t="s">
        <v>33</v>
      </c>
      <c r="F646" s="3" t="s">
        <v>723</v>
      </c>
      <c r="G646" s="3"/>
      <c r="H646" s="3"/>
    </row>
    <row r="647" spans="1:8" x14ac:dyDescent="0.35">
      <c r="A647" s="3" t="s">
        <v>1472</v>
      </c>
      <c r="B647" s="3" t="s">
        <v>20</v>
      </c>
      <c r="C647" s="3" t="s">
        <v>1494</v>
      </c>
      <c r="D647" s="3" t="s">
        <v>1486</v>
      </c>
      <c r="E647" s="3"/>
      <c r="F647" s="3"/>
      <c r="G647" s="3"/>
      <c r="H647" s="3"/>
    </row>
    <row r="648" spans="1:8" x14ac:dyDescent="0.35">
      <c r="A648" s="3" t="s">
        <v>1472</v>
      </c>
      <c r="B648" s="3" t="s">
        <v>20</v>
      </c>
      <c r="C648" s="3" t="s">
        <v>1494</v>
      </c>
      <c r="D648" s="3" t="s">
        <v>60</v>
      </c>
      <c r="E648" s="3"/>
      <c r="F648" s="3"/>
      <c r="G648" s="3"/>
      <c r="H648" s="3"/>
    </row>
    <row r="649" spans="1:8" x14ac:dyDescent="0.35">
      <c r="A649" s="3" t="s">
        <v>1472</v>
      </c>
      <c r="B649" s="3" t="s">
        <v>20</v>
      </c>
      <c r="C649" s="3" t="s">
        <v>1494</v>
      </c>
      <c r="D649" s="3" t="s">
        <v>71</v>
      </c>
      <c r="E649" s="3"/>
      <c r="F649" s="3"/>
      <c r="G649" s="3"/>
      <c r="H649" s="3"/>
    </row>
    <row r="650" spans="1:8" x14ac:dyDescent="0.35">
      <c r="A650" s="3" t="s">
        <v>1472</v>
      </c>
      <c r="B650" s="3" t="s">
        <v>20</v>
      </c>
      <c r="C650" s="3" t="s">
        <v>1494</v>
      </c>
      <c r="D650" s="3" t="s">
        <v>142</v>
      </c>
      <c r="E650" s="3"/>
      <c r="F650" s="3"/>
      <c r="G650" s="3"/>
      <c r="H650" s="3"/>
    </row>
    <row r="651" spans="1:8" x14ac:dyDescent="0.35">
      <c r="A651" s="3" t="s">
        <v>1472</v>
      </c>
      <c r="B651" s="3" t="s">
        <v>20</v>
      </c>
      <c r="C651" s="3" t="s">
        <v>1494</v>
      </c>
      <c r="D651" s="3" t="s">
        <v>28</v>
      </c>
      <c r="E651" s="3"/>
      <c r="F651" s="3"/>
      <c r="G651" s="3"/>
      <c r="H651" s="3"/>
    </row>
    <row r="652" spans="1:8" x14ac:dyDescent="0.35">
      <c r="A652" s="3" t="s">
        <v>1472</v>
      </c>
      <c r="B652" s="3" t="s">
        <v>20</v>
      </c>
      <c r="C652" s="3" t="s">
        <v>1494</v>
      </c>
      <c r="D652" s="3" t="s">
        <v>87</v>
      </c>
      <c r="E652" s="3"/>
      <c r="F652" s="3"/>
      <c r="G652" s="3"/>
      <c r="H652" s="3"/>
    </row>
    <row r="653" spans="1:8" x14ac:dyDescent="0.35">
      <c r="A653" s="3" t="s">
        <v>1472</v>
      </c>
      <c r="B653" s="3" t="s">
        <v>20</v>
      </c>
      <c r="C653" s="3" t="s">
        <v>1494</v>
      </c>
      <c r="D653" s="3" t="s">
        <v>15</v>
      </c>
      <c r="E653" s="3" t="s">
        <v>16</v>
      </c>
      <c r="F653" s="3" t="s">
        <v>1474</v>
      </c>
      <c r="G653" s="3"/>
      <c r="H653" s="3"/>
    </row>
    <row r="654" spans="1:8" x14ac:dyDescent="0.35">
      <c r="A654" s="3" t="s">
        <v>1472</v>
      </c>
      <c r="B654" s="3" t="s">
        <v>20</v>
      </c>
      <c r="C654" s="3" t="s">
        <v>1494</v>
      </c>
      <c r="D654" s="3" t="s">
        <v>630</v>
      </c>
      <c r="E654" s="3" t="s">
        <v>16</v>
      </c>
      <c r="F654" s="3" t="s">
        <v>1477</v>
      </c>
      <c r="G654" s="3"/>
      <c r="H654" s="3"/>
    </row>
    <row r="655" spans="1:8" x14ac:dyDescent="0.35">
      <c r="A655" s="3" t="s">
        <v>2647</v>
      </c>
      <c r="B655" s="3" t="s">
        <v>42</v>
      </c>
      <c r="C655" s="3" t="s">
        <v>2648</v>
      </c>
      <c r="D655" s="3" t="s">
        <v>23</v>
      </c>
      <c r="E655" s="3"/>
      <c r="F655" s="3"/>
      <c r="G655" s="3"/>
      <c r="H655" s="3"/>
    </row>
    <row r="656" spans="1:8" x14ac:dyDescent="0.35">
      <c r="A656" s="3" t="s">
        <v>2647</v>
      </c>
      <c r="B656" s="3" t="s">
        <v>42</v>
      </c>
      <c r="C656" s="3" t="s">
        <v>2648</v>
      </c>
      <c r="D656" s="3" t="s">
        <v>27</v>
      </c>
      <c r="E656" s="3"/>
      <c r="F656" s="3"/>
      <c r="G656" s="3"/>
      <c r="H656" s="3"/>
    </row>
    <row r="657" spans="1:8" x14ac:dyDescent="0.35">
      <c r="A657" s="3" t="s">
        <v>2647</v>
      </c>
      <c r="B657" s="3" t="s">
        <v>42</v>
      </c>
      <c r="C657" s="3" t="s">
        <v>2648</v>
      </c>
      <c r="D657" s="3" t="s">
        <v>87</v>
      </c>
      <c r="E657" s="3"/>
      <c r="F657" s="3"/>
      <c r="G657" s="3"/>
      <c r="H657" s="3"/>
    </row>
    <row r="658" spans="1:8" x14ac:dyDescent="0.35">
      <c r="A658" s="3" t="s">
        <v>2647</v>
      </c>
      <c r="B658" s="3" t="s">
        <v>42</v>
      </c>
      <c r="C658" s="3" t="s">
        <v>2648</v>
      </c>
      <c r="D658" s="3" t="s">
        <v>24</v>
      </c>
      <c r="E658" s="3"/>
      <c r="F658" s="3"/>
      <c r="G658" s="3"/>
      <c r="H658" s="3"/>
    </row>
    <row r="659" spans="1:8" x14ac:dyDescent="0.35">
      <c r="A659" s="3" t="s">
        <v>2541</v>
      </c>
      <c r="B659" s="3" t="s">
        <v>42</v>
      </c>
      <c r="C659" s="3" t="s">
        <v>2542</v>
      </c>
      <c r="D659" s="3" t="s">
        <v>44</v>
      </c>
      <c r="E659" s="3"/>
      <c r="F659" s="3"/>
      <c r="G659" s="3" t="s">
        <v>16</v>
      </c>
      <c r="H659" s="3" t="s">
        <v>2544</v>
      </c>
    </row>
    <row r="660" spans="1:8" x14ac:dyDescent="0.35">
      <c r="A660" s="3" t="s">
        <v>2541</v>
      </c>
      <c r="B660" s="3" t="s">
        <v>42</v>
      </c>
      <c r="C660" s="3" t="s">
        <v>2542</v>
      </c>
      <c r="D660" s="3" t="s">
        <v>87</v>
      </c>
      <c r="E660" s="3"/>
      <c r="F660" s="3"/>
      <c r="G660" s="3" t="s">
        <v>16</v>
      </c>
      <c r="H660" s="3" t="s">
        <v>2544</v>
      </c>
    </row>
    <row r="661" spans="1:8" x14ac:dyDescent="0.35">
      <c r="A661" s="3" t="s">
        <v>2541</v>
      </c>
      <c r="B661" s="3" t="s">
        <v>42</v>
      </c>
      <c r="C661" s="3" t="s">
        <v>2542</v>
      </c>
      <c r="D661" s="3" t="s">
        <v>15</v>
      </c>
      <c r="E661" s="3" t="s">
        <v>16</v>
      </c>
      <c r="F661" s="3" t="s">
        <v>2543</v>
      </c>
      <c r="G661" s="3" t="s">
        <v>16</v>
      </c>
      <c r="H661" s="3" t="s">
        <v>2544</v>
      </c>
    </row>
    <row r="662" spans="1:8" x14ac:dyDescent="0.35">
      <c r="A662" s="3" t="s">
        <v>2541</v>
      </c>
      <c r="B662" s="3" t="s">
        <v>42</v>
      </c>
      <c r="C662" s="3" t="s">
        <v>2542</v>
      </c>
      <c r="D662" s="3" t="s">
        <v>29</v>
      </c>
      <c r="E662" s="3"/>
      <c r="F662" s="3"/>
      <c r="G662" s="3" t="s">
        <v>16</v>
      </c>
      <c r="H662" s="3" t="s">
        <v>2544</v>
      </c>
    </row>
    <row r="663" spans="1:8" x14ac:dyDescent="0.35">
      <c r="A663" s="3" t="s">
        <v>1495</v>
      </c>
      <c r="B663" s="3" t="s">
        <v>42</v>
      </c>
      <c r="C663" s="3" t="s">
        <v>1496</v>
      </c>
      <c r="D663" s="3" t="s">
        <v>87</v>
      </c>
      <c r="E663" s="3"/>
      <c r="F663" s="3"/>
      <c r="G663" s="3"/>
      <c r="H663" s="3"/>
    </row>
    <row r="664" spans="1:8" x14ac:dyDescent="0.35">
      <c r="A664" s="3" t="s">
        <v>1495</v>
      </c>
      <c r="B664" s="3" t="s">
        <v>42</v>
      </c>
      <c r="C664" s="3" t="s">
        <v>1496</v>
      </c>
      <c r="D664" s="3" t="s">
        <v>15</v>
      </c>
      <c r="E664" s="3" t="s">
        <v>16</v>
      </c>
      <c r="F664" s="3" t="s">
        <v>1497</v>
      </c>
      <c r="G664" s="3"/>
      <c r="H664" s="3"/>
    </row>
    <row r="665" spans="1:8" x14ac:dyDescent="0.35">
      <c r="A665" s="3" t="s">
        <v>1495</v>
      </c>
      <c r="B665" s="3" t="s">
        <v>42</v>
      </c>
      <c r="C665" s="3" t="s">
        <v>1496</v>
      </c>
      <c r="D665" s="3" t="s">
        <v>24</v>
      </c>
      <c r="E665" s="3"/>
      <c r="F665" s="3"/>
      <c r="G665" s="3"/>
      <c r="H665" s="3"/>
    </row>
    <row r="666" spans="1:8" x14ac:dyDescent="0.35">
      <c r="A666" s="3" t="s">
        <v>1495</v>
      </c>
      <c r="B666" s="3" t="s">
        <v>20</v>
      </c>
      <c r="C666" s="3" t="s">
        <v>1498</v>
      </c>
      <c r="D666" s="3" t="s">
        <v>27</v>
      </c>
      <c r="E666" s="3"/>
      <c r="F666" s="3"/>
      <c r="G666" s="3"/>
      <c r="H666" s="3"/>
    </row>
    <row r="667" spans="1:8" x14ac:dyDescent="0.35">
      <c r="A667" s="3" t="s">
        <v>1495</v>
      </c>
      <c r="B667" s="3" t="s">
        <v>20</v>
      </c>
      <c r="C667" s="3" t="s">
        <v>1498</v>
      </c>
      <c r="D667" s="3" t="s">
        <v>1193</v>
      </c>
      <c r="E667" s="3"/>
      <c r="F667" s="3"/>
      <c r="G667" s="3"/>
      <c r="H667" s="3"/>
    </row>
    <row r="668" spans="1:8" x14ac:dyDescent="0.35">
      <c r="A668" s="3" t="s">
        <v>1495</v>
      </c>
      <c r="B668" s="3" t="s">
        <v>20</v>
      </c>
      <c r="C668" s="3" t="s">
        <v>1498</v>
      </c>
      <c r="D668" s="3" t="s">
        <v>56</v>
      </c>
      <c r="E668" s="3" t="s">
        <v>16</v>
      </c>
      <c r="F668" s="3" t="s">
        <v>1499</v>
      </c>
      <c r="G668" s="3"/>
      <c r="H668" s="3"/>
    </row>
    <row r="669" spans="1:8" x14ac:dyDescent="0.35">
      <c r="A669" s="3" t="s">
        <v>1495</v>
      </c>
      <c r="B669" s="3" t="s">
        <v>20</v>
      </c>
      <c r="C669" s="3" t="s">
        <v>1498</v>
      </c>
      <c r="D669" s="3" t="s">
        <v>32</v>
      </c>
      <c r="E669" s="3" t="s">
        <v>16</v>
      </c>
      <c r="F669" s="3" t="s">
        <v>1500</v>
      </c>
      <c r="G669" s="3"/>
      <c r="H669" s="3"/>
    </row>
    <row r="670" spans="1:8" x14ac:dyDescent="0.35">
      <c r="A670" s="3" t="s">
        <v>1495</v>
      </c>
      <c r="B670" s="3" t="s">
        <v>39</v>
      </c>
      <c r="C670" s="3" t="s">
        <v>1501</v>
      </c>
      <c r="D670" s="3" t="s">
        <v>27</v>
      </c>
      <c r="E670" s="3"/>
      <c r="F670" s="3"/>
      <c r="G670" s="3"/>
      <c r="H670" s="3"/>
    </row>
    <row r="671" spans="1:8" x14ac:dyDescent="0.35">
      <c r="A671" s="3" t="s">
        <v>1502</v>
      </c>
      <c r="B671" s="3" t="s">
        <v>20</v>
      </c>
      <c r="C671" s="3" t="s">
        <v>1503</v>
      </c>
      <c r="D671" s="3" t="s">
        <v>23</v>
      </c>
      <c r="E671" s="3"/>
      <c r="F671" s="3"/>
      <c r="G671" s="3" t="s">
        <v>16</v>
      </c>
      <c r="H671" s="3" t="s">
        <v>1504</v>
      </c>
    </row>
    <row r="672" spans="1:8" x14ac:dyDescent="0.35">
      <c r="A672" s="3" t="s">
        <v>1502</v>
      </c>
      <c r="B672" s="3" t="s">
        <v>20</v>
      </c>
      <c r="C672" s="3" t="s">
        <v>1503</v>
      </c>
      <c r="D672" s="3" t="s">
        <v>98</v>
      </c>
      <c r="E672" s="3" t="s">
        <v>16</v>
      </c>
      <c r="F672" s="3" t="s">
        <v>1505</v>
      </c>
      <c r="G672" s="3" t="s">
        <v>16</v>
      </c>
      <c r="H672" s="3" t="s">
        <v>1504</v>
      </c>
    </row>
    <row r="673" spans="1:8" x14ac:dyDescent="0.35">
      <c r="A673" s="3" t="s">
        <v>1502</v>
      </c>
      <c r="B673" s="3" t="s">
        <v>39</v>
      </c>
      <c r="C673" s="3" t="s">
        <v>1506</v>
      </c>
      <c r="D673" s="3" t="s">
        <v>27</v>
      </c>
      <c r="E673" s="3"/>
      <c r="F673" s="3"/>
      <c r="G673" s="3" t="s">
        <v>16</v>
      </c>
      <c r="H673" s="3" t="s">
        <v>1504</v>
      </c>
    </row>
    <row r="674" spans="1:8" x14ac:dyDescent="0.35">
      <c r="A674" s="3" t="s">
        <v>1502</v>
      </c>
      <c r="B674" s="3" t="s">
        <v>39</v>
      </c>
      <c r="C674" s="3" t="s">
        <v>1506</v>
      </c>
      <c r="D674" s="3" t="s">
        <v>15</v>
      </c>
      <c r="E674" s="3" t="s">
        <v>16</v>
      </c>
      <c r="F674" s="3" t="s">
        <v>1507</v>
      </c>
      <c r="G674" s="3" t="s">
        <v>16</v>
      </c>
      <c r="H674" s="3" t="s">
        <v>1504</v>
      </c>
    </row>
    <row r="675" spans="1:8" x14ac:dyDescent="0.35">
      <c r="A675" s="3" t="s">
        <v>1502</v>
      </c>
      <c r="B675" s="3" t="s">
        <v>45</v>
      </c>
      <c r="C675" s="3" t="s">
        <v>1508</v>
      </c>
      <c r="D675" s="3" t="s">
        <v>1193</v>
      </c>
      <c r="E675" s="3"/>
      <c r="F675" s="3"/>
      <c r="G675" s="3"/>
      <c r="H675" s="3"/>
    </row>
    <row r="676" spans="1:8" x14ac:dyDescent="0.35">
      <c r="A676" s="3" t="s">
        <v>1502</v>
      </c>
      <c r="B676" s="3" t="s">
        <v>45</v>
      </c>
      <c r="C676" s="3" t="s">
        <v>1508</v>
      </c>
      <c r="D676" s="3" t="s">
        <v>15</v>
      </c>
      <c r="E676" s="3" t="s">
        <v>16</v>
      </c>
      <c r="F676" s="3" t="s">
        <v>1505</v>
      </c>
      <c r="G676" s="3" t="s">
        <v>16</v>
      </c>
      <c r="H676" s="3" t="s">
        <v>1504</v>
      </c>
    </row>
    <row r="677" spans="1:8" x14ac:dyDescent="0.35">
      <c r="A677" s="3" t="s">
        <v>1502</v>
      </c>
      <c r="B677" s="3" t="s">
        <v>42</v>
      </c>
      <c r="C677" s="3" t="s">
        <v>1509</v>
      </c>
      <c r="D677" s="3" t="s">
        <v>12</v>
      </c>
      <c r="E677" s="3"/>
      <c r="F677" s="3"/>
      <c r="G677" s="3"/>
      <c r="H677" s="3"/>
    </row>
    <row r="678" spans="1:8" x14ac:dyDescent="0.35">
      <c r="A678" s="3" t="s">
        <v>1502</v>
      </c>
      <c r="B678" s="3" t="s">
        <v>42</v>
      </c>
      <c r="C678" s="3" t="s">
        <v>1509</v>
      </c>
      <c r="D678" s="3" t="s">
        <v>36</v>
      </c>
      <c r="E678" s="3" t="s">
        <v>16</v>
      </c>
      <c r="F678" s="3" t="s">
        <v>1511</v>
      </c>
      <c r="G678" s="3"/>
      <c r="H678" s="3"/>
    </row>
    <row r="679" spans="1:8" x14ac:dyDescent="0.35">
      <c r="A679" s="3" t="s">
        <v>1502</v>
      </c>
      <c r="B679" s="3" t="s">
        <v>42</v>
      </c>
      <c r="C679" s="3" t="s">
        <v>1509</v>
      </c>
      <c r="D679" s="3" t="s">
        <v>27</v>
      </c>
      <c r="E679" s="3"/>
      <c r="F679" s="3"/>
      <c r="G679" s="3"/>
      <c r="H679" s="3"/>
    </row>
    <row r="680" spans="1:8" x14ac:dyDescent="0.35">
      <c r="A680" s="3" t="s">
        <v>1502</v>
      </c>
      <c r="B680" s="3" t="s">
        <v>42</v>
      </c>
      <c r="C680" s="3" t="s">
        <v>1509</v>
      </c>
      <c r="D680" s="3" t="s">
        <v>1193</v>
      </c>
      <c r="E680" s="3"/>
      <c r="F680" s="3"/>
      <c r="G680" s="3" t="s">
        <v>16</v>
      </c>
      <c r="H680" s="3" t="s">
        <v>1504</v>
      </c>
    </row>
    <row r="681" spans="1:8" x14ac:dyDescent="0.35">
      <c r="A681" s="3" t="s">
        <v>1502</v>
      </c>
      <c r="B681" s="3" t="s">
        <v>42</v>
      </c>
      <c r="C681" s="3" t="s">
        <v>1509</v>
      </c>
      <c r="D681" s="3" t="s">
        <v>44</v>
      </c>
      <c r="E681" s="3"/>
      <c r="F681" s="3"/>
      <c r="G681" s="3"/>
      <c r="H681" s="3"/>
    </row>
    <row r="682" spans="1:8" x14ac:dyDescent="0.35">
      <c r="A682" s="3" t="s">
        <v>1502</v>
      </c>
      <c r="B682" s="3" t="s">
        <v>42</v>
      </c>
      <c r="C682" s="3" t="s">
        <v>1509</v>
      </c>
      <c r="D682" s="3" t="s">
        <v>87</v>
      </c>
      <c r="E682" s="3" t="s">
        <v>16</v>
      </c>
      <c r="F682" s="3" t="s">
        <v>1510</v>
      </c>
      <c r="G682" s="3"/>
      <c r="H682" s="3"/>
    </row>
    <row r="683" spans="1:8" x14ac:dyDescent="0.35">
      <c r="A683" s="3" t="s">
        <v>1502</v>
      </c>
      <c r="B683" s="3" t="s">
        <v>42</v>
      </c>
      <c r="C683" s="3" t="s">
        <v>1509</v>
      </c>
      <c r="D683" s="3" t="s">
        <v>56</v>
      </c>
      <c r="E683" s="3" t="s">
        <v>16</v>
      </c>
      <c r="F683" s="3" t="s">
        <v>1505</v>
      </c>
      <c r="G683" s="3" t="s">
        <v>16</v>
      </c>
      <c r="H683" s="3" t="s">
        <v>1504</v>
      </c>
    </row>
    <row r="684" spans="1:8" x14ac:dyDescent="0.35">
      <c r="A684" s="3" t="s">
        <v>1502</v>
      </c>
      <c r="B684" s="3" t="s">
        <v>42</v>
      </c>
      <c r="C684" s="3" t="s">
        <v>1509</v>
      </c>
      <c r="D684" s="3" t="s">
        <v>82</v>
      </c>
      <c r="E684" s="3" t="s">
        <v>16</v>
      </c>
      <c r="F684" s="3" t="s">
        <v>2914</v>
      </c>
      <c r="G684" s="3"/>
      <c r="H684" s="3"/>
    </row>
    <row r="685" spans="1:8" x14ac:dyDescent="0.35">
      <c r="A685" s="3" t="s">
        <v>1512</v>
      </c>
      <c r="B685" s="3" t="s">
        <v>39</v>
      </c>
      <c r="C685" s="3" t="s">
        <v>1513</v>
      </c>
      <c r="D685" s="3" t="s">
        <v>23</v>
      </c>
      <c r="E685" s="3"/>
      <c r="F685" s="3"/>
      <c r="G685" s="3"/>
      <c r="H685" s="3"/>
    </row>
    <row r="686" spans="1:8" x14ac:dyDescent="0.35">
      <c r="A686" s="3" t="s">
        <v>1512</v>
      </c>
      <c r="B686" s="3" t="s">
        <v>39</v>
      </c>
      <c r="C686" s="3" t="s">
        <v>1513</v>
      </c>
      <c r="D686" s="3" t="s">
        <v>87</v>
      </c>
      <c r="E686" s="3"/>
      <c r="F686" s="3"/>
      <c r="G686" s="3"/>
      <c r="H686" s="3"/>
    </row>
    <row r="687" spans="1:8" x14ac:dyDescent="0.35">
      <c r="A687" s="3" t="s">
        <v>1512</v>
      </c>
      <c r="B687" s="3" t="s">
        <v>39</v>
      </c>
      <c r="C687" s="3" t="s">
        <v>1513</v>
      </c>
      <c r="D687" s="3" t="s">
        <v>24</v>
      </c>
      <c r="E687" s="3"/>
      <c r="F687" s="3"/>
      <c r="G687" s="3"/>
      <c r="H687" s="3"/>
    </row>
    <row r="688" spans="1:8" x14ac:dyDescent="0.35">
      <c r="A688" s="3" t="s">
        <v>1512</v>
      </c>
      <c r="B688" s="3" t="s">
        <v>39</v>
      </c>
      <c r="C688" s="3" t="s">
        <v>2649</v>
      </c>
      <c r="D688" s="3" t="s">
        <v>1193</v>
      </c>
      <c r="E688" s="3"/>
      <c r="F688" s="3"/>
      <c r="G688" s="3"/>
      <c r="H688" s="3"/>
    </row>
    <row r="689" spans="1:8" x14ac:dyDescent="0.35">
      <c r="A689" s="3" t="s">
        <v>1512</v>
      </c>
      <c r="B689" s="3" t="s">
        <v>39</v>
      </c>
      <c r="C689" s="3" t="s">
        <v>2649</v>
      </c>
      <c r="D689" s="3" t="s">
        <v>24</v>
      </c>
      <c r="E689" s="3"/>
      <c r="F689" s="3"/>
      <c r="G689" s="3"/>
      <c r="H689" s="3"/>
    </row>
    <row r="690" spans="1:8" x14ac:dyDescent="0.35">
      <c r="A690" s="3" t="s">
        <v>1512</v>
      </c>
      <c r="B690" s="3" t="s">
        <v>20</v>
      </c>
      <c r="C690" s="3" t="s">
        <v>1514</v>
      </c>
      <c r="D690" s="3" t="s">
        <v>12</v>
      </c>
      <c r="E690" s="3"/>
      <c r="F690" s="3"/>
      <c r="G690" s="3"/>
      <c r="H690" s="3"/>
    </row>
    <row r="691" spans="1:8" x14ac:dyDescent="0.35">
      <c r="A691" s="3" t="s">
        <v>1512</v>
      </c>
      <c r="B691" s="3" t="s">
        <v>20</v>
      </c>
      <c r="C691" s="3" t="s">
        <v>1514</v>
      </c>
      <c r="D691" s="3" t="s">
        <v>23</v>
      </c>
      <c r="E691" s="3"/>
      <c r="F691" s="3"/>
      <c r="G691" s="3"/>
      <c r="H691" s="3"/>
    </row>
    <row r="692" spans="1:8" x14ac:dyDescent="0.35">
      <c r="A692" s="3" t="s">
        <v>1512</v>
      </c>
      <c r="B692" s="3" t="s">
        <v>20</v>
      </c>
      <c r="C692" s="3" t="s">
        <v>1514</v>
      </c>
      <c r="D692" s="3" t="s">
        <v>1193</v>
      </c>
      <c r="E692" s="3"/>
      <c r="F692" s="3"/>
      <c r="G692" s="3"/>
      <c r="H692" s="3"/>
    </row>
    <row r="693" spans="1:8" x14ac:dyDescent="0.35">
      <c r="A693" s="3" t="s">
        <v>1512</v>
      </c>
      <c r="B693" s="3" t="s">
        <v>20</v>
      </c>
      <c r="C693" s="3" t="s">
        <v>1514</v>
      </c>
      <c r="D693" s="3" t="s">
        <v>87</v>
      </c>
      <c r="E693" s="3"/>
      <c r="F693" s="3"/>
      <c r="G693" s="3"/>
      <c r="H693" s="3"/>
    </row>
    <row r="694" spans="1:8" x14ac:dyDescent="0.35">
      <c r="A694" s="3" t="s">
        <v>1512</v>
      </c>
      <c r="B694" s="3" t="s">
        <v>20</v>
      </c>
      <c r="C694" s="3" t="s">
        <v>1514</v>
      </c>
      <c r="D694" s="3" t="s">
        <v>24</v>
      </c>
      <c r="E694" s="3"/>
      <c r="F694" s="3"/>
      <c r="G694" s="3"/>
      <c r="H694" s="3"/>
    </row>
    <row r="695" spans="1:8" x14ac:dyDescent="0.35">
      <c r="A695" s="3" t="s">
        <v>1512</v>
      </c>
      <c r="B695" s="3" t="s">
        <v>42</v>
      </c>
      <c r="C695" s="3" t="s">
        <v>1515</v>
      </c>
      <c r="D695" s="3" t="s">
        <v>12</v>
      </c>
      <c r="E695" s="3"/>
      <c r="F695" s="3"/>
      <c r="G695" s="3"/>
      <c r="H695" s="3"/>
    </row>
    <row r="696" spans="1:8" x14ac:dyDescent="0.35">
      <c r="A696" s="3" t="s">
        <v>1512</v>
      </c>
      <c r="B696" s="3" t="s">
        <v>42</v>
      </c>
      <c r="C696" s="3" t="s">
        <v>1515</v>
      </c>
      <c r="D696" s="3" t="s">
        <v>23</v>
      </c>
      <c r="E696" s="3" t="s">
        <v>16</v>
      </c>
      <c r="F696" s="3" t="s">
        <v>1516</v>
      </c>
      <c r="G696" s="3"/>
      <c r="H696" s="3"/>
    </row>
    <row r="697" spans="1:8" x14ac:dyDescent="0.35">
      <c r="A697" s="3" t="s">
        <v>1512</v>
      </c>
      <c r="B697" s="3" t="s">
        <v>42</v>
      </c>
      <c r="C697" s="3" t="s">
        <v>1515</v>
      </c>
      <c r="D697" s="3" t="s">
        <v>27</v>
      </c>
      <c r="E697" s="3" t="s">
        <v>16</v>
      </c>
      <c r="F697" s="3" t="s">
        <v>1518</v>
      </c>
      <c r="G697" s="3"/>
      <c r="H697" s="3"/>
    </row>
    <row r="698" spans="1:8" x14ac:dyDescent="0.35">
      <c r="A698" s="3" t="s">
        <v>1512</v>
      </c>
      <c r="B698" s="3" t="s">
        <v>42</v>
      </c>
      <c r="C698" s="3" t="s">
        <v>1515</v>
      </c>
      <c r="D698" s="3" t="s">
        <v>87</v>
      </c>
      <c r="E698" s="3" t="s">
        <v>16</v>
      </c>
      <c r="F698" s="3" t="s">
        <v>1517</v>
      </c>
      <c r="G698" s="3"/>
      <c r="H698" s="3"/>
    </row>
    <row r="699" spans="1:8" x14ac:dyDescent="0.35">
      <c r="A699" s="3" t="s">
        <v>1512</v>
      </c>
      <c r="B699" s="3" t="s">
        <v>42</v>
      </c>
      <c r="C699" s="3" t="s">
        <v>1515</v>
      </c>
      <c r="D699" s="3" t="s">
        <v>1216</v>
      </c>
      <c r="E699" s="3" t="s">
        <v>16</v>
      </c>
      <c r="F699" s="3" t="s">
        <v>1519</v>
      </c>
      <c r="G699" s="3"/>
      <c r="H699" s="3"/>
    </row>
    <row r="700" spans="1:8" x14ac:dyDescent="0.35">
      <c r="A700" s="3" t="s">
        <v>1512</v>
      </c>
      <c r="B700" s="3" t="s">
        <v>42</v>
      </c>
      <c r="C700" s="3" t="s">
        <v>1515</v>
      </c>
      <c r="D700" s="3" t="s">
        <v>32</v>
      </c>
      <c r="E700" s="3" t="s">
        <v>16</v>
      </c>
      <c r="F700" s="3" t="s">
        <v>1520</v>
      </c>
      <c r="G700" s="3"/>
      <c r="H700" s="3"/>
    </row>
    <row r="701" spans="1:8" x14ac:dyDescent="0.35">
      <c r="A701" s="3" t="s">
        <v>1512</v>
      </c>
      <c r="B701" s="3" t="s">
        <v>42</v>
      </c>
      <c r="C701" s="3" t="s">
        <v>1515</v>
      </c>
      <c r="D701" s="3" t="s">
        <v>107</v>
      </c>
      <c r="E701" s="3" t="s">
        <v>16</v>
      </c>
      <c r="F701" s="3" t="s">
        <v>1521</v>
      </c>
      <c r="G701" s="3"/>
      <c r="H701" s="3"/>
    </row>
    <row r="702" spans="1:8" x14ac:dyDescent="0.35">
      <c r="A702" s="3" t="s">
        <v>1522</v>
      </c>
      <c r="B702" s="3" t="s">
        <v>20</v>
      </c>
      <c r="C702" s="3" t="s">
        <v>1523</v>
      </c>
      <c r="D702" s="3" t="s">
        <v>15</v>
      </c>
      <c r="E702" s="3" t="s">
        <v>16</v>
      </c>
      <c r="F702" s="3" t="s">
        <v>1474</v>
      </c>
      <c r="G702" s="3"/>
      <c r="H702" s="3"/>
    </row>
    <row r="703" spans="1:8" x14ac:dyDescent="0.35">
      <c r="A703" s="3" t="s">
        <v>1522</v>
      </c>
      <c r="B703" s="3" t="s">
        <v>20</v>
      </c>
      <c r="C703" s="3" t="s">
        <v>1523</v>
      </c>
      <c r="D703" s="3" t="s">
        <v>56</v>
      </c>
      <c r="E703" s="3" t="s">
        <v>16</v>
      </c>
      <c r="F703" s="3" t="s">
        <v>1474</v>
      </c>
      <c r="G703" s="3"/>
      <c r="H703" s="3"/>
    </row>
    <row r="704" spans="1:8" x14ac:dyDescent="0.35">
      <c r="A704" s="3" t="s">
        <v>1522</v>
      </c>
      <c r="B704" s="3" t="s">
        <v>10</v>
      </c>
      <c r="C704" s="3" t="s">
        <v>1524</v>
      </c>
      <c r="D704" s="3" t="s">
        <v>25</v>
      </c>
      <c r="E704" s="3"/>
      <c r="F704" s="3"/>
      <c r="G704" s="3"/>
      <c r="H704" s="3"/>
    </row>
    <row r="705" spans="1:8" x14ac:dyDescent="0.35">
      <c r="A705" s="3" t="s">
        <v>1522</v>
      </c>
      <c r="B705" s="3" t="s">
        <v>10</v>
      </c>
      <c r="C705" s="3" t="s">
        <v>1524</v>
      </c>
      <c r="D705" s="3" t="s">
        <v>27</v>
      </c>
      <c r="E705" s="3"/>
      <c r="F705" s="3"/>
      <c r="G705" s="3"/>
      <c r="H705" s="3"/>
    </row>
    <row r="706" spans="1:8" x14ac:dyDescent="0.35">
      <c r="A706" s="3" t="s">
        <v>1522</v>
      </c>
      <c r="B706" s="3" t="s">
        <v>10</v>
      </c>
      <c r="C706" s="3" t="s">
        <v>1524</v>
      </c>
      <c r="D706" s="3" t="s">
        <v>15</v>
      </c>
      <c r="E706" s="3" t="s">
        <v>16</v>
      </c>
      <c r="F706" s="3" t="s">
        <v>1474</v>
      </c>
      <c r="G706" s="3"/>
      <c r="H706" s="3"/>
    </row>
    <row r="707" spans="1:8" x14ac:dyDescent="0.35">
      <c r="A707" s="3" t="s">
        <v>1522</v>
      </c>
      <c r="B707" s="3" t="s">
        <v>10</v>
      </c>
      <c r="C707" s="3" t="s">
        <v>1524</v>
      </c>
      <c r="D707" s="3" t="s">
        <v>56</v>
      </c>
      <c r="E707" s="3" t="s">
        <v>16</v>
      </c>
      <c r="F707" s="3" t="s">
        <v>1474</v>
      </c>
      <c r="G707" s="3"/>
      <c r="H707" s="3"/>
    </row>
    <row r="708" spans="1:8" x14ac:dyDescent="0.35">
      <c r="A708" s="3" t="s">
        <v>1522</v>
      </c>
      <c r="B708" s="3" t="s">
        <v>39</v>
      </c>
      <c r="C708" s="3" t="s">
        <v>1525</v>
      </c>
      <c r="D708" s="3" t="s">
        <v>23</v>
      </c>
      <c r="E708" s="3" t="s">
        <v>16</v>
      </c>
      <c r="F708" s="3" t="s">
        <v>1526</v>
      </c>
      <c r="G708" s="3"/>
      <c r="H708" s="3"/>
    </row>
    <row r="709" spans="1:8" x14ac:dyDescent="0.35">
      <c r="A709" s="3" t="s">
        <v>1522</v>
      </c>
      <c r="B709" s="3" t="s">
        <v>39</v>
      </c>
      <c r="C709" s="3" t="s">
        <v>1525</v>
      </c>
      <c r="D709" s="3" t="s">
        <v>60</v>
      </c>
      <c r="E709" s="3"/>
      <c r="F709" s="3"/>
      <c r="G709" s="3"/>
      <c r="H709" s="3"/>
    </row>
    <row r="710" spans="1:8" x14ac:dyDescent="0.35">
      <c r="A710" s="3" t="s">
        <v>1522</v>
      </c>
      <c r="B710" s="3" t="s">
        <v>39</v>
      </c>
      <c r="C710" s="3" t="s">
        <v>1525</v>
      </c>
      <c r="D710" s="3" t="s">
        <v>24</v>
      </c>
      <c r="E710" s="3"/>
      <c r="F710" s="3"/>
      <c r="G710" s="3"/>
      <c r="H710" s="3"/>
    </row>
    <row r="711" spans="1:8" x14ac:dyDescent="0.35">
      <c r="A711" s="3" t="s">
        <v>1522</v>
      </c>
      <c r="B711" s="3" t="s">
        <v>39</v>
      </c>
      <c r="C711" s="3" t="s">
        <v>1527</v>
      </c>
      <c r="D711" s="3" t="s">
        <v>12</v>
      </c>
      <c r="E711" s="3" t="s">
        <v>16</v>
      </c>
      <c r="F711" s="3" t="s">
        <v>1407</v>
      </c>
      <c r="G711" s="3"/>
      <c r="H711" s="3"/>
    </row>
    <row r="712" spans="1:8" x14ac:dyDescent="0.35">
      <c r="A712" s="3" t="s">
        <v>1522</v>
      </c>
      <c r="B712" s="3" t="s">
        <v>39</v>
      </c>
      <c r="C712" s="3" t="s">
        <v>1527</v>
      </c>
      <c r="D712" s="3" t="s">
        <v>15</v>
      </c>
      <c r="E712" s="3" t="s">
        <v>16</v>
      </c>
      <c r="F712" s="3" t="s">
        <v>1407</v>
      </c>
      <c r="G712" s="3"/>
      <c r="H712" s="3"/>
    </row>
    <row r="713" spans="1:8" x14ac:dyDescent="0.35">
      <c r="A713" s="3" t="s">
        <v>1522</v>
      </c>
      <c r="B713" s="3" t="s">
        <v>39</v>
      </c>
      <c r="C713" s="3" t="s">
        <v>1527</v>
      </c>
      <c r="D713" s="3" t="s">
        <v>56</v>
      </c>
      <c r="E713" s="3" t="s">
        <v>16</v>
      </c>
      <c r="F713" s="3" t="s">
        <v>1407</v>
      </c>
      <c r="G713" s="3"/>
      <c r="H713" s="3"/>
    </row>
    <row r="714" spans="1:8" x14ac:dyDescent="0.35">
      <c r="A714" s="3" t="s">
        <v>1522</v>
      </c>
      <c r="B714" s="3" t="s">
        <v>20</v>
      </c>
      <c r="C714" s="3" t="s">
        <v>1528</v>
      </c>
      <c r="D714" s="3" t="s">
        <v>56</v>
      </c>
      <c r="E714" s="3"/>
      <c r="F714" s="3"/>
      <c r="G714" s="3"/>
      <c r="H714" s="3"/>
    </row>
    <row r="715" spans="1:8" x14ac:dyDescent="0.35">
      <c r="A715" s="3" t="s">
        <v>1522</v>
      </c>
      <c r="B715" s="3" t="s">
        <v>42</v>
      </c>
      <c r="C715" s="3" t="s">
        <v>1529</v>
      </c>
      <c r="D715" s="3" t="s">
        <v>23</v>
      </c>
      <c r="E715" s="3" t="s">
        <v>16</v>
      </c>
      <c r="F715" s="3" t="s">
        <v>1530</v>
      </c>
      <c r="G715" s="3"/>
      <c r="H715" s="3"/>
    </row>
    <row r="716" spans="1:8" x14ac:dyDescent="0.35">
      <c r="A716" s="3" t="s">
        <v>1522</v>
      </c>
      <c r="B716" s="3" t="s">
        <v>42</v>
      </c>
      <c r="C716" s="3" t="s">
        <v>1529</v>
      </c>
      <c r="D716" s="3" t="s">
        <v>1196</v>
      </c>
      <c r="E716" s="3"/>
      <c r="F716" s="3"/>
      <c r="G716" s="3"/>
      <c r="H716" s="3"/>
    </row>
    <row r="717" spans="1:8" x14ac:dyDescent="0.35">
      <c r="A717" s="3" t="s">
        <v>1522</v>
      </c>
      <c r="B717" s="3" t="s">
        <v>42</v>
      </c>
      <c r="C717" s="3" t="s">
        <v>1529</v>
      </c>
      <c r="D717" s="3" t="s">
        <v>15</v>
      </c>
      <c r="E717" s="3" t="s">
        <v>16</v>
      </c>
      <c r="F717" s="3" t="s">
        <v>1474</v>
      </c>
      <c r="G717" s="3"/>
      <c r="H717" s="3"/>
    </row>
    <row r="718" spans="1:8" x14ac:dyDescent="0.35">
      <c r="A718" s="3" t="s">
        <v>1522</v>
      </c>
      <c r="B718" s="3" t="s">
        <v>42</v>
      </c>
      <c r="C718" s="3" t="s">
        <v>1529</v>
      </c>
      <c r="D718" s="3" t="s">
        <v>32</v>
      </c>
      <c r="E718" s="3"/>
      <c r="F718" s="3" t="s">
        <v>2339</v>
      </c>
      <c r="G718" s="3"/>
      <c r="H718" s="3"/>
    </row>
    <row r="719" spans="1:8" x14ac:dyDescent="0.35">
      <c r="A719" s="3" t="s">
        <v>1522</v>
      </c>
      <c r="B719" s="3" t="s">
        <v>39</v>
      </c>
      <c r="C719" s="3" t="s">
        <v>1531</v>
      </c>
      <c r="D719" s="3" t="s">
        <v>23</v>
      </c>
      <c r="E719" s="3"/>
      <c r="F719" s="3" t="s">
        <v>2359</v>
      </c>
      <c r="G719" s="3"/>
      <c r="H719" s="3"/>
    </row>
    <row r="720" spans="1:8" x14ac:dyDescent="0.35">
      <c r="A720" s="3" t="s">
        <v>1522</v>
      </c>
      <c r="B720" s="3" t="s">
        <v>39</v>
      </c>
      <c r="C720" s="3" t="s">
        <v>1531</v>
      </c>
      <c r="D720" s="3" t="s">
        <v>71</v>
      </c>
      <c r="E720" s="3"/>
      <c r="F720" s="3"/>
      <c r="G720" s="3"/>
      <c r="H720" s="3"/>
    </row>
    <row r="721" spans="1:8" x14ac:dyDescent="0.35">
      <c r="A721" s="3" t="s">
        <v>1522</v>
      </c>
      <c r="B721" s="3" t="s">
        <v>39</v>
      </c>
      <c r="C721" s="3" t="s">
        <v>1531</v>
      </c>
      <c r="D721" s="3" t="s">
        <v>716</v>
      </c>
      <c r="E721" s="3"/>
      <c r="F721" s="3"/>
      <c r="G721" s="3"/>
      <c r="H721" s="3"/>
    </row>
    <row r="722" spans="1:8" x14ac:dyDescent="0.35">
      <c r="A722" s="3" t="s">
        <v>1522</v>
      </c>
      <c r="B722" s="3" t="s">
        <v>39</v>
      </c>
      <c r="C722" s="3" t="s">
        <v>1531</v>
      </c>
      <c r="D722" s="3" t="s">
        <v>15</v>
      </c>
      <c r="E722" s="3" t="s">
        <v>16</v>
      </c>
      <c r="F722" s="3" t="s">
        <v>1532</v>
      </c>
      <c r="G722" s="3"/>
      <c r="H722" s="3"/>
    </row>
    <row r="723" spans="1:8" x14ac:dyDescent="0.35">
      <c r="A723" s="3" t="s">
        <v>1522</v>
      </c>
      <c r="B723" s="3" t="s">
        <v>39</v>
      </c>
      <c r="C723" s="3" t="s">
        <v>1531</v>
      </c>
      <c r="D723" s="3" t="s">
        <v>24</v>
      </c>
      <c r="E723" s="3"/>
      <c r="F723" s="3"/>
      <c r="G723" s="3"/>
      <c r="H723" s="3"/>
    </row>
    <row r="724" spans="1:8" x14ac:dyDescent="0.35">
      <c r="A724" s="3" t="s">
        <v>1522</v>
      </c>
      <c r="B724" s="3" t="s">
        <v>20</v>
      </c>
      <c r="C724" s="3" t="s">
        <v>1533</v>
      </c>
      <c r="D724" s="3" t="s">
        <v>12</v>
      </c>
      <c r="E724" s="3"/>
      <c r="F724" s="3"/>
      <c r="G724" s="3"/>
      <c r="H724" s="3"/>
    </row>
    <row r="725" spans="1:8" x14ac:dyDescent="0.35">
      <c r="A725" s="3" t="s">
        <v>1522</v>
      </c>
      <c r="B725" s="3" t="s">
        <v>20</v>
      </c>
      <c r="C725" s="3" t="s">
        <v>1533</v>
      </c>
      <c r="D725" s="3" t="s">
        <v>23</v>
      </c>
      <c r="E725" s="3"/>
      <c r="F725" s="3"/>
      <c r="G725" s="3"/>
      <c r="H725" s="3"/>
    </row>
    <row r="726" spans="1:8" x14ac:dyDescent="0.35">
      <c r="A726" s="3" t="s">
        <v>1522</v>
      </c>
      <c r="B726" s="3" t="s">
        <v>20</v>
      </c>
      <c r="C726" s="3" t="s">
        <v>1533</v>
      </c>
      <c r="D726" s="3" t="s">
        <v>28</v>
      </c>
      <c r="E726" s="3"/>
      <c r="F726" s="3" t="s">
        <v>2414</v>
      </c>
      <c r="G726" s="3"/>
      <c r="H726" s="3"/>
    </row>
    <row r="727" spans="1:8" x14ac:dyDescent="0.35">
      <c r="A727" s="3" t="s">
        <v>1522</v>
      </c>
      <c r="B727" s="3" t="s">
        <v>20</v>
      </c>
      <c r="C727" s="3" t="s">
        <v>1533</v>
      </c>
      <c r="D727" s="3" t="s">
        <v>15</v>
      </c>
      <c r="E727" s="3" t="s">
        <v>16</v>
      </c>
      <c r="F727" s="3" t="s">
        <v>1474</v>
      </c>
      <c r="G727" s="3"/>
      <c r="H727" s="3"/>
    </row>
    <row r="728" spans="1:8" x14ac:dyDescent="0.35">
      <c r="A728" s="3" t="s">
        <v>1522</v>
      </c>
      <c r="B728" s="3" t="s">
        <v>20</v>
      </c>
      <c r="C728" s="3" t="s">
        <v>1533</v>
      </c>
      <c r="D728" s="3" t="s">
        <v>1197</v>
      </c>
      <c r="E728" s="3"/>
      <c r="F728" s="3"/>
      <c r="G728" s="3"/>
      <c r="H728" s="3"/>
    </row>
    <row r="729" spans="1:8" x14ac:dyDescent="0.35">
      <c r="A729" s="3" t="s">
        <v>1522</v>
      </c>
      <c r="B729" s="3" t="s">
        <v>39</v>
      </c>
      <c r="C729" s="3" t="s">
        <v>1534</v>
      </c>
      <c r="D729" s="3" t="s">
        <v>23</v>
      </c>
      <c r="E729" s="3"/>
      <c r="F729" s="3"/>
      <c r="G729" s="3"/>
      <c r="H729" s="3"/>
    </row>
    <row r="730" spans="1:8" x14ac:dyDescent="0.35">
      <c r="A730" s="3" t="s">
        <v>1522</v>
      </c>
      <c r="B730" s="3" t="s">
        <v>39</v>
      </c>
      <c r="C730" s="3" t="s">
        <v>1534</v>
      </c>
      <c r="D730" s="3" t="s">
        <v>28</v>
      </c>
      <c r="E730" s="3" t="s">
        <v>16</v>
      </c>
      <c r="F730" s="3" t="s">
        <v>2452</v>
      </c>
      <c r="G730" s="3"/>
      <c r="H730" s="3"/>
    </row>
    <row r="731" spans="1:8" x14ac:dyDescent="0.35">
      <c r="A731" s="3" t="s">
        <v>1522</v>
      </c>
      <c r="B731" s="3" t="s">
        <v>39</v>
      </c>
      <c r="C731" s="3" t="s">
        <v>1534</v>
      </c>
      <c r="D731" s="3" t="s">
        <v>15</v>
      </c>
      <c r="E731" s="3" t="s">
        <v>16</v>
      </c>
      <c r="F731" s="3" t="s">
        <v>1532</v>
      </c>
      <c r="G731" s="3"/>
      <c r="H731" s="3"/>
    </row>
    <row r="732" spans="1:8" x14ac:dyDescent="0.35">
      <c r="A732" s="3" t="s">
        <v>1522</v>
      </c>
      <c r="B732" s="3" t="s">
        <v>39</v>
      </c>
      <c r="C732" s="3" t="s">
        <v>1534</v>
      </c>
      <c r="D732" s="3" t="s">
        <v>32</v>
      </c>
      <c r="E732" s="3" t="s">
        <v>16</v>
      </c>
      <c r="F732" s="3" t="s">
        <v>1535</v>
      </c>
      <c r="G732" s="3"/>
      <c r="H732" s="3"/>
    </row>
    <row r="733" spans="1:8" x14ac:dyDescent="0.35">
      <c r="A733" s="3" t="s">
        <v>1522</v>
      </c>
      <c r="B733" s="3" t="s">
        <v>45</v>
      </c>
      <c r="C733" s="3" t="s">
        <v>1536</v>
      </c>
      <c r="D733" s="3" t="s">
        <v>12</v>
      </c>
      <c r="E733" s="3"/>
      <c r="F733" s="3"/>
      <c r="G733" s="3"/>
      <c r="H733" s="3"/>
    </row>
    <row r="734" spans="1:8" x14ac:dyDescent="0.35">
      <c r="A734" s="3" t="s">
        <v>1522</v>
      </c>
      <c r="B734" s="3" t="s">
        <v>45</v>
      </c>
      <c r="C734" s="3" t="s">
        <v>1536</v>
      </c>
      <c r="D734" s="3" t="s">
        <v>77</v>
      </c>
      <c r="E734" s="3"/>
      <c r="F734" s="3"/>
      <c r="G734" s="3"/>
      <c r="H734" s="3"/>
    </row>
    <row r="735" spans="1:8" x14ac:dyDescent="0.35">
      <c r="A735" s="3" t="s">
        <v>1522</v>
      </c>
      <c r="B735" s="3" t="s">
        <v>45</v>
      </c>
      <c r="C735" s="3" t="s">
        <v>1536</v>
      </c>
      <c r="D735" s="3" t="s">
        <v>87</v>
      </c>
      <c r="E735" s="3"/>
      <c r="F735" s="3"/>
      <c r="G735" s="3"/>
      <c r="H735" s="3"/>
    </row>
    <row r="736" spans="1:8" x14ac:dyDescent="0.35">
      <c r="A736" s="3" t="s">
        <v>1522</v>
      </c>
      <c r="B736" s="3" t="s">
        <v>45</v>
      </c>
      <c r="C736" s="3" t="s">
        <v>1536</v>
      </c>
      <c r="D736" s="3" t="s">
        <v>15</v>
      </c>
      <c r="E736" s="3" t="s">
        <v>16</v>
      </c>
      <c r="F736" s="3" t="s">
        <v>1538</v>
      </c>
      <c r="G736" s="3"/>
      <c r="H736" s="3"/>
    </row>
    <row r="737" spans="1:8" x14ac:dyDescent="0.35">
      <c r="A737" s="3" t="s">
        <v>1522</v>
      </c>
      <c r="B737" s="3" t="s">
        <v>45</v>
      </c>
      <c r="C737" s="3" t="s">
        <v>1536</v>
      </c>
      <c r="D737" s="3" t="s">
        <v>56</v>
      </c>
      <c r="E737" s="3" t="s">
        <v>16</v>
      </c>
      <c r="F737" s="3" t="s">
        <v>1537</v>
      </c>
      <c r="G737" s="3"/>
      <c r="H737" s="3"/>
    </row>
    <row r="738" spans="1:8" x14ac:dyDescent="0.35">
      <c r="A738" s="3" t="s">
        <v>1522</v>
      </c>
      <c r="B738" s="3" t="s">
        <v>45</v>
      </c>
      <c r="C738" s="3" t="s">
        <v>1536</v>
      </c>
      <c r="D738" s="3" t="s">
        <v>29</v>
      </c>
      <c r="E738" s="3"/>
      <c r="F738" s="3"/>
      <c r="G738" s="3"/>
      <c r="H738" s="3"/>
    </row>
    <row r="739" spans="1:8" x14ac:dyDescent="0.35">
      <c r="A739" s="3" t="s">
        <v>1522</v>
      </c>
      <c r="B739" s="3" t="s">
        <v>20</v>
      </c>
      <c r="C739" s="3" t="s">
        <v>1539</v>
      </c>
      <c r="D739" s="3" t="s">
        <v>36</v>
      </c>
      <c r="E739" s="3"/>
      <c r="F739" s="3"/>
      <c r="G739" s="3"/>
      <c r="H739" s="3"/>
    </row>
    <row r="740" spans="1:8" x14ac:dyDescent="0.35">
      <c r="A740" s="3" t="s">
        <v>1522</v>
      </c>
      <c r="B740" s="3" t="s">
        <v>20</v>
      </c>
      <c r="C740" s="3" t="s">
        <v>1539</v>
      </c>
      <c r="D740" s="3" t="s">
        <v>15</v>
      </c>
      <c r="E740" s="3" t="s">
        <v>16</v>
      </c>
      <c r="F740" s="3" t="s">
        <v>1541</v>
      </c>
      <c r="G740" s="3"/>
      <c r="H740" s="3"/>
    </row>
    <row r="741" spans="1:8" x14ac:dyDescent="0.35">
      <c r="A741" s="3" t="s">
        <v>1522</v>
      </c>
      <c r="B741" s="3" t="s">
        <v>20</v>
      </c>
      <c r="C741" s="3" t="s">
        <v>1539</v>
      </c>
      <c r="D741" s="3" t="s">
        <v>56</v>
      </c>
      <c r="E741" s="3" t="s">
        <v>16</v>
      </c>
      <c r="F741" s="3" t="s">
        <v>1540</v>
      </c>
      <c r="G741" s="3"/>
      <c r="H741" s="3"/>
    </row>
    <row r="742" spans="1:8" x14ac:dyDescent="0.35">
      <c r="A742" s="3" t="s">
        <v>1522</v>
      </c>
      <c r="B742" s="3" t="s">
        <v>20</v>
      </c>
      <c r="C742" s="3" t="s">
        <v>1539</v>
      </c>
      <c r="D742" s="3" t="s">
        <v>29</v>
      </c>
      <c r="E742" s="3"/>
      <c r="F742" s="3"/>
      <c r="G742" s="3"/>
      <c r="H742" s="3"/>
    </row>
    <row r="743" spans="1:8" x14ac:dyDescent="0.35">
      <c r="A743" s="3" t="s">
        <v>1522</v>
      </c>
      <c r="B743" s="3" t="s">
        <v>20</v>
      </c>
      <c r="C743" s="3" t="s">
        <v>1542</v>
      </c>
      <c r="D743" s="3" t="s">
        <v>23</v>
      </c>
      <c r="E743" s="3"/>
      <c r="F743" s="3"/>
      <c r="G743" s="3"/>
      <c r="H743" s="3"/>
    </row>
    <row r="744" spans="1:8" x14ac:dyDescent="0.35">
      <c r="A744" s="3" t="s">
        <v>1522</v>
      </c>
      <c r="B744" s="3" t="s">
        <v>20</v>
      </c>
      <c r="C744" s="3" t="s">
        <v>1542</v>
      </c>
      <c r="D744" s="3" t="s">
        <v>60</v>
      </c>
      <c r="E744" s="3"/>
      <c r="F744" s="3"/>
      <c r="G744" s="3"/>
      <c r="H744" s="3"/>
    </row>
    <row r="745" spans="1:8" x14ac:dyDescent="0.35">
      <c r="A745" s="3" t="s">
        <v>1522</v>
      </c>
      <c r="B745" s="3" t="s">
        <v>20</v>
      </c>
      <c r="C745" s="3" t="s">
        <v>1542</v>
      </c>
      <c r="D745" s="3" t="s">
        <v>1196</v>
      </c>
      <c r="E745" s="3"/>
      <c r="F745" s="3"/>
      <c r="G745" s="3"/>
      <c r="H745" s="3"/>
    </row>
    <row r="746" spans="1:8" x14ac:dyDescent="0.35">
      <c r="A746" s="3" t="s">
        <v>1522</v>
      </c>
      <c r="B746" s="3" t="s">
        <v>20</v>
      </c>
      <c r="C746" s="3" t="s">
        <v>1542</v>
      </c>
      <c r="D746" s="3" t="s">
        <v>77</v>
      </c>
      <c r="E746" s="3"/>
      <c r="F746" s="3"/>
      <c r="G746" s="3"/>
      <c r="H746" s="3"/>
    </row>
    <row r="747" spans="1:8" x14ac:dyDescent="0.35">
      <c r="A747" s="3" t="s">
        <v>1522</v>
      </c>
      <c r="B747" s="3" t="s">
        <v>20</v>
      </c>
      <c r="C747" s="3" t="s">
        <v>1542</v>
      </c>
      <c r="D747" s="3" t="s">
        <v>56</v>
      </c>
      <c r="E747" s="3"/>
      <c r="F747" s="3"/>
      <c r="G747" s="3"/>
      <c r="H747" s="3"/>
    </row>
    <row r="748" spans="1:8" x14ac:dyDescent="0.35">
      <c r="A748" s="3" t="s">
        <v>1522</v>
      </c>
      <c r="B748" s="3" t="s">
        <v>20</v>
      </c>
      <c r="C748" s="3" t="s">
        <v>1542</v>
      </c>
      <c r="D748" s="3" t="s">
        <v>32</v>
      </c>
      <c r="E748" s="3"/>
      <c r="F748" s="3" t="s">
        <v>2293</v>
      </c>
      <c r="G748" s="3"/>
      <c r="H748" s="3"/>
    </row>
    <row r="749" spans="1:8" x14ac:dyDescent="0.35">
      <c r="A749" s="3" t="s">
        <v>1522</v>
      </c>
      <c r="B749" s="3" t="s">
        <v>20</v>
      </c>
      <c r="C749" s="3" t="s">
        <v>1542</v>
      </c>
      <c r="D749" s="3" t="s">
        <v>244</v>
      </c>
      <c r="E749" s="3"/>
      <c r="F749" s="3"/>
      <c r="G749" s="3"/>
      <c r="H749" s="3"/>
    </row>
    <row r="750" spans="1:8" x14ac:dyDescent="0.35">
      <c r="A750" s="3" t="s">
        <v>1522</v>
      </c>
      <c r="B750" s="3" t="s">
        <v>45</v>
      </c>
      <c r="C750" s="3" t="s">
        <v>1543</v>
      </c>
      <c r="D750" s="3" t="s">
        <v>23</v>
      </c>
      <c r="E750" s="3" t="s">
        <v>16</v>
      </c>
      <c r="F750" s="3" t="s">
        <v>1545</v>
      </c>
      <c r="G750" s="3"/>
      <c r="H750" s="3"/>
    </row>
    <row r="751" spans="1:8" x14ac:dyDescent="0.35">
      <c r="A751" s="3" t="s">
        <v>1522</v>
      </c>
      <c r="B751" s="3" t="s">
        <v>45</v>
      </c>
      <c r="C751" s="3" t="s">
        <v>1543</v>
      </c>
      <c r="D751" s="3" t="s">
        <v>77</v>
      </c>
      <c r="E751" s="3"/>
      <c r="F751" s="3"/>
      <c r="G751" s="3"/>
      <c r="H751" s="3"/>
    </row>
    <row r="752" spans="1:8" x14ac:dyDescent="0.35">
      <c r="A752" s="3" t="s">
        <v>1522</v>
      </c>
      <c r="B752" s="3" t="s">
        <v>45</v>
      </c>
      <c r="C752" s="3" t="s">
        <v>1543</v>
      </c>
      <c r="D752" s="3" t="s">
        <v>87</v>
      </c>
      <c r="E752" s="3"/>
      <c r="F752" s="3"/>
      <c r="G752" s="3"/>
      <c r="H752" s="3"/>
    </row>
    <row r="753" spans="1:8" x14ac:dyDescent="0.35">
      <c r="A753" s="3" t="s">
        <v>1522</v>
      </c>
      <c r="B753" s="3" t="s">
        <v>45</v>
      </c>
      <c r="C753" s="3" t="s">
        <v>1543</v>
      </c>
      <c r="D753" s="3" t="s">
        <v>56</v>
      </c>
      <c r="E753" s="3" t="s">
        <v>16</v>
      </c>
      <c r="F753" s="3" t="s">
        <v>1544</v>
      </c>
      <c r="G753" s="3"/>
      <c r="H753" s="3"/>
    </row>
    <row r="754" spans="1:8" x14ac:dyDescent="0.35">
      <c r="A754" s="3" t="s">
        <v>1522</v>
      </c>
      <c r="B754" s="3" t="s">
        <v>45</v>
      </c>
      <c r="C754" s="3" t="s">
        <v>1546</v>
      </c>
      <c r="D754" s="3" t="s">
        <v>56</v>
      </c>
      <c r="E754" s="3"/>
      <c r="F754" s="3"/>
      <c r="G754" s="3"/>
      <c r="H754" s="3"/>
    </row>
    <row r="755" spans="1:8" x14ac:dyDescent="0.35">
      <c r="A755" s="3" t="s">
        <v>1547</v>
      </c>
      <c r="B755" s="3" t="s">
        <v>20</v>
      </c>
      <c r="C755" s="3" t="s">
        <v>1548</v>
      </c>
      <c r="D755" s="3" t="s">
        <v>12</v>
      </c>
      <c r="E755" s="3"/>
      <c r="F755" s="3"/>
      <c r="G755" s="3"/>
      <c r="H755" s="3"/>
    </row>
    <row r="756" spans="1:8" x14ac:dyDescent="0.35">
      <c r="A756" s="3" t="s">
        <v>1547</v>
      </c>
      <c r="B756" s="3" t="s">
        <v>20</v>
      </c>
      <c r="C756" s="3" t="s">
        <v>1548</v>
      </c>
      <c r="D756" s="3" t="s">
        <v>36</v>
      </c>
      <c r="E756" s="3" t="s">
        <v>16</v>
      </c>
      <c r="F756" s="3" t="s">
        <v>1549</v>
      </c>
      <c r="G756" s="3"/>
      <c r="H756" s="3"/>
    </row>
    <row r="757" spans="1:8" x14ac:dyDescent="0.35">
      <c r="A757" s="3" t="s">
        <v>1547</v>
      </c>
      <c r="B757" s="3" t="s">
        <v>20</v>
      </c>
      <c r="C757" s="3" t="s">
        <v>1548</v>
      </c>
      <c r="D757" s="3" t="s">
        <v>47</v>
      </c>
      <c r="E757" s="3"/>
      <c r="F757" s="3"/>
      <c r="G757" s="3"/>
      <c r="H757" s="3"/>
    </row>
    <row r="758" spans="1:8" x14ac:dyDescent="0.35">
      <c r="A758" s="3" t="s">
        <v>1547</v>
      </c>
      <c r="B758" s="3" t="s">
        <v>20</v>
      </c>
      <c r="C758" s="3" t="s">
        <v>1548</v>
      </c>
      <c r="D758" s="3" t="s">
        <v>25</v>
      </c>
      <c r="E758" s="3"/>
      <c r="F758" s="3"/>
      <c r="G758" s="3"/>
      <c r="H758" s="3"/>
    </row>
    <row r="759" spans="1:8" x14ac:dyDescent="0.35">
      <c r="A759" s="3" t="s">
        <v>1547</v>
      </c>
      <c r="B759" s="3" t="s">
        <v>20</v>
      </c>
      <c r="C759" s="3" t="s">
        <v>1548</v>
      </c>
      <c r="D759" s="3" t="s">
        <v>1196</v>
      </c>
      <c r="E759" s="3" t="s">
        <v>16</v>
      </c>
      <c r="F759" s="3" t="s">
        <v>1549</v>
      </c>
      <c r="G759" s="3"/>
      <c r="H759" s="3"/>
    </row>
    <row r="760" spans="1:8" x14ac:dyDescent="0.35">
      <c r="A760" s="3" t="s">
        <v>1547</v>
      </c>
      <c r="B760" s="3" t="s">
        <v>20</v>
      </c>
      <c r="C760" s="3" t="s">
        <v>1548</v>
      </c>
      <c r="D760" s="3" t="s">
        <v>1021</v>
      </c>
      <c r="E760" s="3" t="s">
        <v>16</v>
      </c>
      <c r="F760" s="3" t="s">
        <v>1549</v>
      </c>
      <c r="G760" s="3"/>
      <c r="H760" s="3"/>
    </row>
    <row r="761" spans="1:8" x14ac:dyDescent="0.35">
      <c r="A761" s="3" t="s">
        <v>1547</v>
      </c>
      <c r="B761" s="3" t="s">
        <v>20</v>
      </c>
      <c r="C761" s="3" t="s">
        <v>1548</v>
      </c>
      <c r="D761" s="3" t="s">
        <v>15</v>
      </c>
      <c r="E761" s="3" t="s">
        <v>16</v>
      </c>
      <c r="F761" s="3" t="s">
        <v>1549</v>
      </c>
      <c r="G761" s="3"/>
      <c r="H761" s="3"/>
    </row>
    <row r="762" spans="1:8" x14ac:dyDescent="0.35">
      <c r="A762" s="3" t="s">
        <v>1547</v>
      </c>
      <c r="B762" s="3" t="s">
        <v>20</v>
      </c>
      <c r="C762" s="3" t="s">
        <v>1548</v>
      </c>
      <c r="D762" s="3" t="s">
        <v>56</v>
      </c>
      <c r="E762" s="3"/>
      <c r="F762" s="3"/>
      <c r="G762" s="3"/>
      <c r="H762" s="3"/>
    </row>
    <row r="763" spans="1:8" x14ac:dyDescent="0.35">
      <c r="A763" s="3" t="s">
        <v>1547</v>
      </c>
      <c r="B763" s="3" t="s">
        <v>20</v>
      </c>
      <c r="C763" s="3" t="s">
        <v>1548</v>
      </c>
      <c r="D763" s="3" t="s">
        <v>89</v>
      </c>
      <c r="E763" s="3" t="s">
        <v>33</v>
      </c>
      <c r="F763" s="3" t="s">
        <v>723</v>
      </c>
      <c r="G763" s="3"/>
      <c r="H763" s="3"/>
    </row>
    <row r="764" spans="1:8" x14ac:dyDescent="0.35">
      <c r="A764" s="3" t="s">
        <v>1547</v>
      </c>
      <c r="B764" s="3" t="s">
        <v>20</v>
      </c>
      <c r="C764" s="3" t="s">
        <v>1548</v>
      </c>
      <c r="D764" s="3" t="s">
        <v>29</v>
      </c>
      <c r="E764" s="3"/>
      <c r="F764" s="3"/>
      <c r="G764" s="3"/>
      <c r="H764" s="3"/>
    </row>
    <row r="765" spans="1:8" x14ac:dyDescent="0.35">
      <c r="A765" s="3" t="s">
        <v>1547</v>
      </c>
      <c r="B765" s="3" t="s">
        <v>20</v>
      </c>
      <c r="C765" s="3" t="s">
        <v>1548</v>
      </c>
      <c r="D765" s="3" t="s">
        <v>134</v>
      </c>
      <c r="E765" s="3"/>
      <c r="F765" s="3"/>
      <c r="G765" s="3"/>
      <c r="H765" s="3"/>
    </row>
    <row r="766" spans="1:8" x14ac:dyDescent="0.35">
      <c r="A766" s="3" t="s">
        <v>1547</v>
      </c>
      <c r="B766" s="3" t="s">
        <v>10</v>
      </c>
      <c r="C766" s="3" t="s">
        <v>1550</v>
      </c>
      <c r="D766" s="3" t="s">
        <v>87</v>
      </c>
      <c r="E766" s="3"/>
      <c r="F766" s="3"/>
      <c r="G766" s="3"/>
      <c r="H766" s="3"/>
    </row>
    <row r="767" spans="1:8" x14ac:dyDescent="0.35">
      <c r="A767" s="3" t="s">
        <v>1547</v>
      </c>
      <c r="B767" s="3" t="s">
        <v>10</v>
      </c>
      <c r="C767" s="3" t="s">
        <v>1550</v>
      </c>
      <c r="D767" s="3" t="s">
        <v>15</v>
      </c>
      <c r="E767" s="3" t="s">
        <v>16</v>
      </c>
      <c r="F767" s="3" t="s">
        <v>1551</v>
      </c>
      <c r="G767" s="3"/>
      <c r="H767" s="3"/>
    </row>
    <row r="768" spans="1:8" x14ac:dyDescent="0.35">
      <c r="A768" s="3" t="s">
        <v>1547</v>
      </c>
      <c r="B768" s="3" t="s">
        <v>10</v>
      </c>
      <c r="C768" s="3" t="s">
        <v>1550</v>
      </c>
      <c r="D768" s="3" t="s">
        <v>56</v>
      </c>
      <c r="E768" s="3"/>
      <c r="F768" s="3"/>
      <c r="G768" s="3"/>
      <c r="H768" s="3"/>
    </row>
    <row r="769" spans="1:8" x14ac:dyDescent="0.35">
      <c r="A769" s="3" t="s">
        <v>1547</v>
      </c>
      <c r="B769" s="3" t="s">
        <v>10</v>
      </c>
      <c r="C769" s="3" t="s">
        <v>1550</v>
      </c>
      <c r="D769" s="3" t="s">
        <v>32</v>
      </c>
      <c r="E769" s="3"/>
      <c r="F769" s="3" t="s">
        <v>2293</v>
      </c>
      <c r="G769" s="3"/>
      <c r="H769" s="3"/>
    </row>
    <row r="770" spans="1:8" x14ac:dyDescent="0.35">
      <c r="A770" s="3" t="s">
        <v>1547</v>
      </c>
      <c r="B770" s="3" t="s">
        <v>10</v>
      </c>
      <c r="C770" s="3" t="s">
        <v>1550</v>
      </c>
      <c r="D770" s="3" t="s">
        <v>107</v>
      </c>
      <c r="E770" s="3" t="s">
        <v>16</v>
      </c>
      <c r="F770" s="3" t="s">
        <v>1477</v>
      </c>
      <c r="G770" s="3"/>
      <c r="H770" s="3"/>
    </row>
    <row r="771" spans="1:8" x14ac:dyDescent="0.35">
      <c r="A771" s="3" t="s">
        <v>1547</v>
      </c>
      <c r="B771" s="3" t="s">
        <v>39</v>
      </c>
      <c r="C771" s="3" t="s">
        <v>1552</v>
      </c>
      <c r="D771" s="3" t="s">
        <v>15</v>
      </c>
      <c r="E771" s="3" t="s">
        <v>16</v>
      </c>
      <c r="F771" s="3" t="s">
        <v>1553</v>
      </c>
      <c r="G771" s="3"/>
      <c r="H771" s="3"/>
    </row>
    <row r="772" spans="1:8" x14ac:dyDescent="0.35">
      <c r="A772" s="3" t="s">
        <v>1547</v>
      </c>
      <c r="B772" s="3" t="s">
        <v>45</v>
      </c>
      <c r="C772" s="3" t="s">
        <v>1554</v>
      </c>
      <c r="D772" s="3" t="s">
        <v>23</v>
      </c>
      <c r="E772" s="3" t="s">
        <v>16</v>
      </c>
      <c r="F772" s="3" t="s">
        <v>1334</v>
      </c>
      <c r="G772" s="3"/>
      <c r="H772" s="3"/>
    </row>
    <row r="773" spans="1:8" x14ac:dyDescent="0.35">
      <c r="A773" s="3" t="s">
        <v>1547</v>
      </c>
      <c r="B773" s="3" t="s">
        <v>20</v>
      </c>
      <c r="C773" s="3" t="s">
        <v>1555</v>
      </c>
      <c r="D773" s="3" t="s">
        <v>27</v>
      </c>
      <c r="E773" s="3"/>
      <c r="F773" s="3"/>
      <c r="G773" s="3"/>
      <c r="H773" s="3"/>
    </row>
    <row r="774" spans="1:8" x14ac:dyDescent="0.35">
      <c r="A774" s="3" t="s">
        <v>1547</v>
      </c>
      <c r="B774" s="3" t="s">
        <v>20</v>
      </c>
      <c r="C774" s="3" t="s">
        <v>1555</v>
      </c>
      <c r="D774" s="3" t="s">
        <v>15</v>
      </c>
      <c r="E774" s="3" t="s">
        <v>16</v>
      </c>
      <c r="F774" s="3" t="s">
        <v>1556</v>
      </c>
      <c r="G774" s="3"/>
      <c r="H774" s="3"/>
    </row>
    <row r="775" spans="1:8" x14ac:dyDescent="0.35">
      <c r="A775" s="3" t="s">
        <v>1547</v>
      </c>
      <c r="B775" s="3" t="s">
        <v>20</v>
      </c>
      <c r="C775" s="3" t="s">
        <v>1555</v>
      </c>
      <c r="D775" s="3" t="s">
        <v>56</v>
      </c>
      <c r="E775" s="3" t="s">
        <v>16</v>
      </c>
      <c r="F775" s="3" t="s">
        <v>1557</v>
      </c>
      <c r="G775" s="3"/>
      <c r="H775" s="3"/>
    </row>
    <row r="776" spans="1:8" x14ac:dyDescent="0.35">
      <c r="A776" s="3" t="s">
        <v>1547</v>
      </c>
      <c r="B776" s="3" t="s">
        <v>10</v>
      </c>
      <c r="C776" s="3" t="s">
        <v>1558</v>
      </c>
      <c r="D776" s="3" t="s">
        <v>12</v>
      </c>
      <c r="E776" s="3"/>
      <c r="F776" s="3"/>
      <c r="G776" s="3"/>
      <c r="H776" s="3"/>
    </row>
    <row r="777" spans="1:8" x14ac:dyDescent="0.35">
      <c r="A777" s="3" t="s">
        <v>1547</v>
      </c>
      <c r="B777" s="3" t="s">
        <v>10</v>
      </c>
      <c r="C777" s="3" t="s">
        <v>1558</v>
      </c>
      <c r="D777" s="3" t="s">
        <v>15</v>
      </c>
      <c r="E777" s="3" t="s">
        <v>16</v>
      </c>
      <c r="F777" s="3" t="s">
        <v>1561</v>
      </c>
      <c r="G777" s="3"/>
      <c r="H777" s="3"/>
    </row>
    <row r="778" spans="1:8" x14ac:dyDescent="0.35">
      <c r="A778" s="3" t="s">
        <v>1547</v>
      </c>
      <c r="B778" s="3" t="s">
        <v>10</v>
      </c>
      <c r="C778" s="3" t="s">
        <v>1558</v>
      </c>
      <c r="D778" s="3" t="s">
        <v>56</v>
      </c>
      <c r="E778" s="3" t="s">
        <v>16</v>
      </c>
      <c r="F778" s="3" t="s">
        <v>1559</v>
      </c>
      <c r="G778" s="3"/>
      <c r="H778" s="3"/>
    </row>
    <row r="779" spans="1:8" x14ac:dyDescent="0.35">
      <c r="A779" s="3" t="s">
        <v>1547</v>
      </c>
      <c r="B779" s="3" t="s">
        <v>10</v>
      </c>
      <c r="C779" s="3" t="s">
        <v>1558</v>
      </c>
      <c r="D779" s="3" t="s">
        <v>32</v>
      </c>
      <c r="E779" s="3" t="s">
        <v>16</v>
      </c>
      <c r="F779" s="3" t="s">
        <v>1560</v>
      </c>
      <c r="G779" s="3"/>
      <c r="H779" s="3"/>
    </row>
    <row r="780" spans="1:8" x14ac:dyDescent="0.35">
      <c r="A780" s="3" t="s">
        <v>1547</v>
      </c>
      <c r="B780" s="3" t="s">
        <v>10</v>
      </c>
      <c r="C780" s="3" t="s">
        <v>1558</v>
      </c>
      <c r="D780" s="3" t="s">
        <v>107</v>
      </c>
      <c r="E780" s="3" t="s">
        <v>16</v>
      </c>
      <c r="F780" s="3" t="s">
        <v>1321</v>
      </c>
      <c r="G780" s="3"/>
      <c r="H780" s="3"/>
    </row>
    <row r="781" spans="1:8" x14ac:dyDescent="0.35">
      <c r="A781" s="3" t="s">
        <v>1547</v>
      </c>
      <c r="B781" s="3" t="s">
        <v>10</v>
      </c>
      <c r="C781" s="3" t="s">
        <v>1562</v>
      </c>
      <c r="D781" s="3" t="s">
        <v>12</v>
      </c>
      <c r="E781" s="3"/>
      <c r="F781" s="3"/>
      <c r="G781" s="3"/>
      <c r="H781" s="3"/>
    </row>
    <row r="782" spans="1:8" x14ac:dyDescent="0.35">
      <c r="A782" s="3" t="s">
        <v>1547</v>
      </c>
      <c r="B782" s="3" t="s">
        <v>10</v>
      </c>
      <c r="C782" s="3" t="s">
        <v>1562</v>
      </c>
      <c r="D782" s="3" t="s">
        <v>87</v>
      </c>
      <c r="E782" s="3"/>
      <c r="F782" s="3"/>
      <c r="G782" s="3"/>
      <c r="H782" s="3"/>
    </row>
    <row r="783" spans="1:8" x14ac:dyDescent="0.35">
      <c r="A783" s="3" t="s">
        <v>1547</v>
      </c>
      <c r="B783" s="3" t="s">
        <v>10</v>
      </c>
      <c r="C783" s="3" t="s">
        <v>1562</v>
      </c>
      <c r="D783" s="3" t="s">
        <v>15</v>
      </c>
      <c r="E783" s="3" t="s">
        <v>16</v>
      </c>
      <c r="F783" s="3" t="s">
        <v>1563</v>
      </c>
      <c r="G783" s="3"/>
      <c r="H783" s="3"/>
    </row>
    <row r="784" spans="1:8" x14ac:dyDescent="0.35">
      <c r="A784" s="3" t="s">
        <v>1547</v>
      </c>
      <c r="B784" s="3" t="s">
        <v>10</v>
      </c>
      <c r="C784" s="3" t="s">
        <v>1562</v>
      </c>
      <c r="D784" s="3" t="s">
        <v>29</v>
      </c>
      <c r="E784" s="3"/>
      <c r="F784" s="3" t="s">
        <v>2315</v>
      </c>
      <c r="G784" s="3"/>
      <c r="H784" s="3"/>
    </row>
    <row r="785" spans="1:8" x14ac:dyDescent="0.35">
      <c r="A785" s="3" t="s">
        <v>1547</v>
      </c>
      <c r="B785" s="3" t="s">
        <v>10</v>
      </c>
      <c r="C785" s="3" t="s">
        <v>1564</v>
      </c>
      <c r="D785" s="3" t="s">
        <v>87</v>
      </c>
      <c r="E785" s="3"/>
      <c r="F785" s="3"/>
      <c r="G785" s="3"/>
      <c r="H785" s="3"/>
    </row>
    <row r="786" spans="1:8" x14ac:dyDescent="0.35">
      <c r="A786" s="3" t="s">
        <v>1547</v>
      </c>
      <c r="B786" s="3" t="s">
        <v>10</v>
      </c>
      <c r="C786" s="3" t="s">
        <v>1564</v>
      </c>
      <c r="D786" s="3" t="s">
        <v>15</v>
      </c>
      <c r="E786" s="3"/>
      <c r="F786" s="3"/>
      <c r="G786" s="3"/>
      <c r="H786" s="3"/>
    </row>
    <row r="787" spans="1:8" x14ac:dyDescent="0.35">
      <c r="A787" s="3" t="s">
        <v>1547</v>
      </c>
      <c r="B787" s="3" t="s">
        <v>10</v>
      </c>
      <c r="C787" s="3" t="s">
        <v>1564</v>
      </c>
      <c r="D787" s="3" t="s">
        <v>32</v>
      </c>
      <c r="E787" s="3"/>
      <c r="F787" s="3"/>
      <c r="G787" s="3"/>
      <c r="H787" s="3"/>
    </row>
    <row r="788" spans="1:8" x14ac:dyDescent="0.35">
      <c r="A788" s="3" t="s">
        <v>1547</v>
      </c>
      <c r="B788" s="3" t="s">
        <v>39</v>
      </c>
      <c r="C788" s="3" t="s">
        <v>1565</v>
      </c>
      <c r="D788" s="3" t="s">
        <v>47</v>
      </c>
      <c r="E788" s="3"/>
      <c r="F788" s="3"/>
      <c r="G788" s="3"/>
      <c r="H788" s="3"/>
    </row>
    <row r="789" spans="1:8" x14ac:dyDescent="0.35">
      <c r="A789" s="3" t="s">
        <v>1547</v>
      </c>
      <c r="B789" s="3" t="s">
        <v>39</v>
      </c>
      <c r="C789" s="3" t="s">
        <v>1565</v>
      </c>
      <c r="D789" s="3" t="s">
        <v>25</v>
      </c>
      <c r="E789" s="3"/>
      <c r="F789" s="3"/>
      <c r="G789" s="3"/>
      <c r="H789" s="3"/>
    </row>
    <row r="790" spans="1:8" x14ac:dyDescent="0.35">
      <c r="A790" s="3" t="s">
        <v>1547</v>
      </c>
      <c r="B790" s="3" t="s">
        <v>39</v>
      </c>
      <c r="C790" s="3" t="s">
        <v>1565</v>
      </c>
      <c r="D790" s="3" t="s">
        <v>15</v>
      </c>
      <c r="E790" s="3" t="s">
        <v>16</v>
      </c>
      <c r="F790" s="3" t="s">
        <v>1567</v>
      </c>
      <c r="G790" s="3"/>
      <c r="H790" s="3"/>
    </row>
    <row r="791" spans="1:8" x14ac:dyDescent="0.35">
      <c r="A791" s="3" t="s">
        <v>1547</v>
      </c>
      <c r="B791" s="3" t="s">
        <v>39</v>
      </c>
      <c r="C791" s="3" t="s">
        <v>1565</v>
      </c>
      <c r="D791" s="3" t="s">
        <v>32</v>
      </c>
      <c r="E791" s="3" t="s">
        <v>16</v>
      </c>
      <c r="F791" s="3" t="s">
        <v>1566</v>
      </c>
      <c r="G791" s="3"/>
      <c r="H791" s="3"/>
    </row>
    <row r="792" spans="1:8" x14ac:dyDescent="0.35">
      <c r="A792" s="3" t="s">
        <v>1547</v>
      </c>
      <c r="B792" s="3" t="s">
        <v>39</v>
      </c>
      <c r="C792" s="3" t="s">
        <v>1565</v>
      </c>
      <c r="D792" s="3" t="s">
        <v>134</v>
      </c>
      <c r="E792" s="3"/>
      <c r="F792" s="3"/>
      <c r="G792" s="3"/>
      <c r="H792" s="3"/>
    </row>
    <row r="793" spans="1:8" x14ac:dyDescent="0.35">
      <c r="A793" s="3" t="s">
        <v>1547</v>
      </c>
      <c r="B793" s="3" t="s">
        <v>39</v>
      </c>
      <c r="C793" s="3" t="s">
        <v>1565</v>
      </c>
      <c r="D793" s="3" t="s">
        <v>107</v>
      </c>
      <c r="E793" s="3" t="s">
        <v>16</v>
      </c>
      <c r="F793" s="3" t="s">
        <v>1568</v>
      </c>
      <c r="G793" s="3"/>
      <c r="H793" s="3"/>
    </row>
    <row r="794" spans="1:8" x14ac:dyDescent="0.35">
      <c r="A794" s="3" t="s">
        <v>1547</v>
      </c>
      <c r="B794" s="3" t="s">
        <v>20</v>
      </c>
      <c r="C794" s="3" t="s">
        <v>1569</v>
      </c>
      <c r="D794" s="3" t="s">
        <v>12</v>
      </c>
      <c r="E794" s="3"/>
      <c r="F794" s="3"/>
      <c r="G794" s="3"/>
      <c r="H794" s="3"/>
    </row>
    <row r="795" spans="1:8" x14ac:dyDescent="0.35">
      <c r="A795" s="3" t="s">
        <v>1547</v>
      </c>
      <c r="B795" s="3" t="s">
        <v>20</v>
      </c>
      <c r="C795" s="3" t="s">
        <v>1569</v>
      </c>
      <c r="D795" s="3" t="s">
        <v>23</v>
      </c>
      <c r="E795" s="3"/>
      <c r="F795" s="3"/>
      <c r="G795" s="3"/>
      <c r="H795" s="3"/>
    </row>
    <row r="796" spans="1:8" x14ac:dyDescent="0.35">
      <c r="A796" s="3" t="s">
        <v>1547</v>
      </c>
      <c r="B796" s="3" t="s">
        <v>20</v>
      </c>
      <c r="C796" s="3" t="s">
        <v>1569</v>
      </c>
      <c r="D796" s="3" t="s">
        <v>47</v>
      </c>
      <c r="E796" s="3"/>
      <c r="F796" s="3"/>
      <c r="G796" s="3"/>
      <c r="H796" s="3"/>
    </row>
    <row r="797" spans="1:8" x14ac:dyDescent="0.35">
      <c r="A797" s="3" t="s">
        <v>1547</v>
      </c>
      <c r="B797" s="3" t="s">
        <v>20</v>
      </c>
      <c r="C797" s="3" t="s">
        <v>1569</v>
      </c>
      <c r="D797" s="3" t="s">
        <v>25</v>
      </c>
      <c r="E797" s="3"/>
      <c r="F797" s="3"/>
      <c r="G797" s="3"/>
      <c r="H797" s="3"/>
    </row>
    <row r="798" spans="1:8" x14ac:dyDescent="0.35">
      <c r="A798" s="3" t="s">
        <v>1547</v>
      </c>
      <c r="B798" s="3" t="s">
        <v>20</v>
      </c>
      <c r="C798" s="3" t="s">
        <v>1569</v>
      </c>
      <c r="D798" s="3" t="s">
        <v>60</v>
      </c>
      <c r="E798" s="3"/>
      <c r="F798" s="3"/>
      <c r="G798" s="3"/>
      <c r="H798" s="3"/>
    </row>
    <row r="799" spans="1:8" x14ac:dyDescent="0.35">
      <c r="A799" s="3" t="s">
        <v>1547</v>
      </c>
      <c r="B799" s="3" t="s">
        <v>20</v>
      </c>
      <c r="C799" s="3" t="s">
        <v>1569</v>
      </c>
      <c r="D799" s="3" t="s">
        <v>141</v>
      </c>
      <c r="E799" s="3"/>
      <c r="F799" s="3" t="s">
        <v>2696</v>
      </c>
      <c r="G799" s="3"/>
      <c r="H799" s="3"/>
    </row>
    <row r="800" spans="1:8" x14ac:dyDescent="0.35">
      <c r="A800" s="3" t="s">
        <v>1547</v>
      </c>
      <c r="B800" s="3" t="s">
        <v>20</v>
      </c>
      <c r="C800" s="3" t="s">
        <v>1569</v>
      </c>
      <c r="D800" s="3" t="s">
        <v>27</v>
      </c>
      <c r="E800" s="3"/>
      <c r="F800" s="3"/>
      <c r="G800" s="3"/>
      <c r="H800" s="3"/>
    </row>
    <row r="801" spans="1:8" x14ac:dyDescent="0.35">
      <c r="A801" s="3" t="s">
        <v>1547</v>
      </c>
      <c r="B801" s="3" t="s">
        <v>20</v>
      </c>
      <c r="C801" s="3" t="s">
        <v>1569</v>
      </c>
      <c r="D801" s="3" t="s">
        <v>71</v>
      </c>
      <c r="E801" s="3"/>
      <c r="F801" s="3"/>
      <c r="G801" s="3"/>
      <c r="H801" s="3"/>
    </row>
    <row r="802" spans="1:8" x14ac:dyDescent="0.35">
      <c r="A802" s="3" t="s">
        <v>1547</v>
      </c>
      <c r="B802" s="3" t="s">
        <v>20</v>
      </c>
      <c r="C802" s="3" t="s">
        <v>1569</v>
      </c>
      <c r="D802" s="3" t="s">
        <v>142</v>
      </c>
      <c r="E802" s="3"/>
      <c r="F802" s="3"/>
      <c r="G802" s="3"/>
      <c r="H802" s="3"/>
    </row>
    <row r="803" spans="1:8" x14ac:dyDescent="0.35">
      <c r="A803" s="3" t="s">
        <v>1547</v>
      </c>
      <c r="B803" s="3" t="s">
        <v>20</v>
      </c>
      <c r="C803" s="3" t="s">
        <v>1569</v>
      </c>
      <c r="D803" s="3" t="s">
        <v>1021</v>
      </c>
      <c r="E803" s="3"/>
      <c r="F803" s="3" t="s">
        <v>2697</v>
      </c>
      <c r="G803" s="3"/>
      <c r="H803" s="3"/>
    </row>
    <row r="804" spans="1:8" x14ac:dyDescent="0.35">
      <c r="A804" s="3" t="s">
        <v>1547</v>
      </c>
      <c r="B804" s="3" t="s">
        <v>20</v>
      </c>
      <c r="C804" s="3" t="s">
        <v>1569</v>
      </c>
      <c r="D804" s="3" t="s">
        <v>87</v>
      </c>
      <c r="E804" s="3"/>
      <c r="F804" s="3" t="s">
        <v>2404</v>
      </c>
      <c r="G804" s="3"/>
      <c r="H804" s="3"/>
    </row>
    <row r="805" spans="1:8" x14ac:dyDescent="0.35">
      <c r="A805" s="3" t="s">
        <v>1547</v>
      </c>
      <c r="B805" s="3" t="s">
        <v>20</v>
      </c>
      <c r="C805" s="3" t="s">
        <v>1569</v>
      </c>
      <c r="D805" s="3" t="s">
        <v>242</v>
      </c>
      <c r="E805" s="3"/>
      <c r="F805" s="3" t="s">
        <v>2445</v>
      </c>
      <c r="G805" s="3"/>
      <c r="H805" s="3"/>
    </row>
    <row r="806" spans="1:8" x14ac:dyDescent="0.35">
      <c r="A806" s="3" t="s">
        <v>1547</v>
      </c>
      <c r="B806" s="3" t="s">
        <v>20</v>
      </c>
      <c r="C806" s="3" t="s">
        <v>1569</v>
      </c>
      <c r="D806" s="3" t="s">
        <v>15</v>
      </c>
      <c r="E806" s="3" t="s">
        <v>16</v>
      </c>
      <c r="F806" s="3" t="s">
        <v>1570</v>
      </c>
      <c r="G806" s="3"/>
      <c r="H806" s="3"/>
    </row>
    <row r="807" spans="1:8" x14ac:dyDescent="0.35">
      <c r="A807" s="3" t="s">
        <v>1547</v>
      </c>
      <c r="B807" s="3" t="s">
        <v>20</v>
      </c>
      <c r="C807" s="3" t="s">
        <v>1569</v>
      </c>
      <c r="D807" s="3" t="s">
        <v>57</v>
      </c>
      <c r="E807" s="3"/>
      <c r="F807" s="3" t="s">
        <v>2311</v>
      </c>
      <c r="G807" s="3"/>
      <c r="H807" s="3"/>
    </row>
    <row r="808" spans="1:8" x14ac:dyDescent="0.35">
      <c r="A808" s="3" t="s">
        <v>1547</v>
      </c>
      <c r="B808" s="3" t="s">
        <v>20</v>
      </c>
      <c r="C808" s="3" t="s">
        <v>1569</v>
      </c>
      <c r="D808" s="3" t="s">
        <v>56</v>
      </c>
      <c r="E808" s="3"/>
      <c r="F808" s="3"/>
      <c r="G808" s="3"/>
      <c r="H808" s="3"/>
    </row>
    <row r="809" spans="1:8" x14ac:dyDescent="0.35">
      <c r="A809" s="3" t="s">
        <v>1547</v>
      </c>
      <c r="B809" s="3" t="s">
        <v>20</v>
      </c>
      <c r="C809" s="3" t="s">
        <v>1569</v>
      </c>
      <c r="D809" s="3" t="s">
        <v>32</v>
      </c>
      <c r="E809" s="3"/>
      <c r="F809" s="3"/>
      <c r="G809" s="3"/>
      <c r="H809" s="3"/>
    </row>
    <row r="810" spans="1:8" x14ac:dyDescent="0.35">
      <c r="A810" s="3" t="s">
        <v>1547</v>
      </c>
      <c r="B810" s="3" t="s">
        <v>20</v>
      </c>
      <c r="C810" s="3" t="s">
        <v>1569</v>
      </c>
      <c r="D810" s="3" t="s">
        <v>29</v>
      </c>
      <c r="E810" s="3" t="s">
        <v>16</v>
      </c>
      <c r="F810" s="3" t="s">
        <v>2698</v>
      </c>
      <c r="G810" s="3"/>
      <c r="H810" s="3"/>
    </row>
    <row r="811" spans="1:8" x14ac:dyDescent="0.35">
      <c r="A811" s="3" t="s">
        <v>1547</v>
      </c>
      <c r="B811" s="3" t="s">
        <v>20</v>
      </c>
      <c r="C811" s="3" t="s">
        <v>1569</v>
      </c>
      <c r="D811" s="3" t="s">
        <v>24</v>
      </c>
      <c r="E811" s="3"/>
      <c r="F811" s="3"/>
      <c r="G811" s="3"/>
      <c r="H811" s="3"/>
    </row>
    <row r="812" spans="1:8" x14ac:dyDescent="0.35">
      <c r="A812" s="3" t="s">
        <v>1547</v>
      </c>
      <c r="B812" s="3" t="s">
        <v>20</v>
      </c>
      <c r="C812" s="3" t="s">
        <v>1569</v>
      </c>
      <c r="D812" s="3" t="s">
        <v>107</v>
      </c>
      <c r="E812" s="3"/>
      <c r="F812" s="3"/>
      <c r="G812" s="3"/>
      <c r="H812" s="3"/>
    </row>
    <row r="813" spans="1:8" x14ac:dyDescent="0.35">
      <c r="A813" s="3" t="s">
        <v>1547</v>
      </c>
      <c r="B813" s="3" t="s">
        <v>20</v>
      </c>
      <c r="C813" s="3" t="s">
        <v>1571</v>
      </c>
      <c r="D813" s="3" t="s">
        <v>60</v>
      </c>
      <c r="E813" s="3"/>
      <c r="F813" s="3"/>
      <c r="G813" s="3"/>
      <c r="H813" s="3"/>
    </row>
    <row r="814" spans="1:8" x14ac:dyDescent="0.35">
      <c r="A814" s="3" t="s">
        <v>1547</v>
      </c>
      <c r="B814" s="3" t="s">
        <v>20</v>
      </c>
      <c r="C814" s="3" t="s">
        <v>1571</v>
      </c>
      <c r="D814" s="3" t="s">
        <v>141</v>
      </c>
      <c r="E814" s="3"/>
      <c r="F814" s="3" t="s">
        <v>2336</v>
      </c>
      <c r="G814" s="3"/>
      <c r="H814" s="3"/>
    </row>
    <row r="815" spans="1:8" x14ac:dyDescent="0.35">
      <c r="A815" s="3" t="s">
        <v>1547</v>
      </c>
      <c r="B815" s="3" t="s">
        <v>20</v>
      </c>
      <c r="C815" s="3" t="s">
        <v>1571</v>
      </c>
      <c r="D815" s="3" t="s">
        <v>27</v>
      </c>
      <c r="E815" s="3"/>
      <c r="F815" s="3"/>
      <c r="G815" s="3"/>
      <c r="H815" s="3"/>
    </row>
    <row r="816" spans="1:8" x14ac:dyDescent="0.35">
      <c r="A816" s="3" t="s">
        <v>1547</v>
      </c>
      <c r="B816" s="3" t="s">
        <v>20</v>
      </c>
      <c r="C816" s="3" t="s">
        <v>1571</v>
      </c>
      <c r="D816" s="3" t="s">
        <v>87</v>
      </c>
      <c r="E816" s="3"/>
      <c r="F816" s="3"/>
      <c r="G816" s="3"/>
      <c r="H816" s="3"/>
    </row>
    <row r="817" spans="1:8" x14ac:dyDescent="0.35">
      <c r="A817" s="3" t="s">
        <v>1547</v>
      </c>
      <c r="B817" s="3" t="s">
        <v>20</v>
      </c>
      <c r="C817" s="3" t="s">
        <v>1571</v>
      </c>
      <c r="D817" s="3" t="s">
        <v>15</v>
      </c>
      <c r="E817" s="3" t="s">
        <v>16</v>
      </c>
      <c r="F817" s="3" t="s">
        <v>1572</v>
      </c>
      <c r="G817" s="3"/>
      <c r="H817" s="3"/>
    </row>
    <row r="818" spans="1:8" x14ac:dyDescent="0.35">
      <c r="A818" s="3" t="s">
        <v>1547</v>
      </c>
      <c r="B818" s="3" t="s">
        <v>20</v>
      </c>
      <c r="C818" s="3" t="s">
        <v>2605</v>
      </c>
      <c r="D818" s="3" t="s">
        <v>25</v>
      </c>
      <c r="E818" s="3"/>
      <c r="F818" s="3"/>
      <c r="G818" s="3"/>
      <c r="H818" s="3"/>
    </row>
    <row r="819" spans="1:8" x14ac:dyDescent="0.35">
      <c r="A819" s="3" t="s">
        <v>1547</v>
      </c>
      <c r="B819" s="3" t="s">
        <v>20</v>
      </c>
      <c r="C819" s="3" t="s">
        <v>2605</v>
      </c>
      <c r="D819" s="3" t="s">
        <v>142</v>
      </c>
      <c r="E819" s="3"/>
      <c r="F819" s="3"/>
      <c r="G819" s="3"/>
      <c r="H819" s="3"/>
    </row>
    <row r="820" spans="1:8" x14ac:dyDescent="0.35">
      <c r="A820" s="3" t="s">
        <v>1547</v>
      </c>
      <c r="B820" s="3" t="s">
        <v>20</v>
      </c>
      <c r="C820" s="3" t="s">
        <v>2605</v>
      </c>
      <c r="D820" s="3" t="s">
        <v>15</v>
      </c>
      <c r="E820" s="3"/>
      <c r="F820" s="3"/>
      <c r="G820" s="3"/>
      <c r="H820" s="3"/>
    </row>
    <row r="821" spans="1:8" x14ac:dyDescent="0.35">
      <c r="A821" s="3" t="s">
        <v>1547</v>
      </c>
      <c r="B821" s="3" t="s">
        <v>20</v>
      </c>
      <c r="C821" s="3" t="s">
        <v>2605</v>
      </c>
      <c r="D821" s="3" t="s">
        <v>57</v>
      </c>
      <c r="E821" s="3"/>
      <c r="F821" s="3"/>
      <c r="G821" s="3"/>
      <c r="H821" s="3"/>
    </row>
    <row r="822" spans="1:8" x14ac:dyDescent="0.35">
      <c r="A822" s="3" t="s">
        <v>1547</v>
      </c>
      <c r="B822" s="3" t="s">
        <v>20</v>
      </c>
      <c r="C822" s="3" t="s">
        <v>2605</v>
      </c>
      <c r="D822" s="3" t="s">
        <v>29</v>
      </c>
      <c r="E822" s="3"/>
      <c r="F822" s="3" t="s">
        <v>2860</v>
      </c>
      <c r="G822" s="3"/>
      <c r="H822" s="3"/>
    </row>
    <row r="823" spans="1:8" x14ac:dyDescent="0.35">
      <c r="A823" s="3" t="s">
        <v>1547</v>
      </c>
      <c r="B823" s="3" t="s">
        <v>20</v>
      </c>
      <c r="C823" s="3" t="s">
        <v>1573</v>
      </c>
      <c r="D823" s="3" t="s">
        <v>12</v>
      </c>
      <c r="E823" s="3"/>
      <c r="F823" s="3"/>
      <c r="G823" s="3"/>
      <c r="H823" s="3"/>
    </row>
    <row r="824" spans="1:8" x14ac:dyDescent="0.35">
      <c r="A824" s="3" t="s">
        <v>1547</v>
      </c>
      <c r="B824" s="3" t="s">
        <v>20</v>
      </c>
      <c r="C824" s="3" t="s">
        <v>1573</v>
      </c>
      <c r="D824" s="3" t="s">
        <v>71</v>
      </c>
      <c r="E824" s="3"/>
      <c r="F824" s="3"/>
      <c r="G824" s="3"/>
      <c r="H824" s="3"/>
    </row>
    <row r="825" spans="1:8" x14ac:dyDescent="0.35">
      <c r="A825" s="3" t="s">
        <v>1547</v>
      </c>
      <c r="B825" s="3" t="s">
        <v>20</v>
      </c>
      <c r="C825" s="3" t="s">
        <v>1573</v>
      </c>
      <c r="D825" s="3" t="s">
        <v>15</v>
      </c>
      <c r="E825" s="3" t="s">
        <v>16</v>
      </c>
      <c r="F825" s="3" t="s">
        <v>1474</v>
      </c>
      <c r="G825" s="3"/>
      <c r="H825" s="3"/>
    </row>
    <row r="826" spans="1:8" x14ac:dyDescent="0.35">
      <c r="A826" s="3" t="s">
        <v>1547</v>
      </c>
      <c r="B826" s="3" t="s">
        <v>20</v>
      </c>
      <c r="C826" s="3" t="s">
        <v>1573</v>
      </c>
      <c r="D826" s="3" t="s">
        <v>32</v>
      </c>
      <c r="E826" s="3" t="s">
        <v>16</v>
      </c>
      <c r="F826" s="3" t="s">
        <v>1474</v>
      </c>
      <c r="G826" s="3"/>
      <c r="H826" s="3"/>
    </row>
    <row r="827" spans="1:8" x14ac:dyDescent="0.35">
      <c r="A827" s="3" t="s">
        <v>1547</v>
      </c>
      <c r="B827" s="3" t="s">
        <v>20</v>
      </c>
      <c r="C827" s="3" t="s">
        <v>1573</v>
      </c>
      <c r="D827" s="3" t="s">
        <v>24</v>
      </c>
      <c r="E827" s="3"/>
      <c r="F827" s="3"/>
      <c r="G827" s="3"/>
      <c r="H827" s="3"/>
    </row>
    <row r="828" spans="1:8" x14ac:dyDescent="0.35">
      <c r="A828" s="3" t="s">
        <v>1547</v>
      </c>
      <c r="B828" s="3" t="s">
        <v>45</v>
      </c>
      <c r="C828" s="3" t="s">
        <v>1574</v>
      </c>
      <c r="D828" s="3" t="s">
        <v>47</v>
      </c>
      <c r="E828" s="3"/>
      <c r="F828" s="3"/>
      <c r="G828" s="3"/>
      <c r="H828" s="3"/>
    </row>
    <row r="829" spans="1:8" x14ac:dyDescent="0.35">
      <c r="A829" s="3" t="s">
        <v>1547</v>
      </c>
      <c r="B829" s="3" t="s">
        <v>45</v>
      </c>
      <c r="C829" s="3" t="s">
        <v>1574</v>
      </c>
      <c r="D829" s="3" t="s">
        <v>25</v>
      </c>
      <c r="E829" s="3"/>
      <c r="F829" s="11"/>
      <c r="G829" s="3"/>
      <c r="H829" s="3"/>
    </row>
    <row r="830" spans="1:8" x14ac:dyDescent="0.35">
      <c r="A830" s="3" t="s">
        <v>1547</v>
      </c>
      <c r="B830" s="3" t="s">
        <v>45</v>
      </c>
      <c r="C830" s="3" t="s">
        <v>1574</v>
      </c>
      <c r="D830" s="3" t="s">
        <v>60</v>
      </c>
      <c r="E830" s="3"/>
      <c r="F830" s="3"/>
      <c r="G830" s="3"/>
      <c r="H830" s="3"/>
    </row>
    <row r="831" spans="1:8" x14ac:dyDescent="0.35">
      <c r="A831" s="3" t="s">
        <v>1547</v>
      </c>
      <c r="B831" s="3" t="s">
        <v>45</v>
      </c>
      <c r="C831" s="3" t="s">
        <v>1574</v>
      </c>
      <c r="D831" s="3" t="s">
        <v>77</v>
      </c>
      <c r="E831" s="3"/>
      <c r="F831" s="3"/>
      <c r="G831" s="3"/>
      <c r="H831" s="3"/>
    </row>
    <row r="832" spans="1:8" x14ac:dyDescent="0.35">
      <c r="A832" s="3" t="s">
        <v>1547</v>
      </c>
      <c r="B832" s="3" t="s">
        <v>45</v>
      </c>
      <c r="C832" s="3" t="s">
        <v>1574</v>
      </c>
      <c r="D832" s="3" t="s">
        <v>28</v>
      </c>
      <c r="E832" s="3"/>
      <c r="F832" s="3" t="s">
        <v>2718</v>
      </c>
      <c r="G832" s="3"/>
      <c r="H832" s="3"/>
    </row>
    <row r="833" spans="1:8" x14ac:dyDescent="0.35">
      <c r="A833" s="3" t="s">
        <v>1547</v>
      </c>
      <c r="B833" s="3" t="s">
        <v>45</v>
      </c>
      <c r="C833" s="3" t="s">
        <v>1574</v>
      </c>
      <c r="D833" s="3" t="s">
        <v>242</v>
      </c>
      <c r="E833" s="3"/>
      <c r="F833" s="3" t="s">
        <v>2720</v>
      </c>
      <c r="G833" s="3"/>
      <c r="H833" s="3"/>
    </row>
    <row r="834" spans="1:8" x14ac:dyDescent="0.35">
      <c r="A834" s="3" t="s">
        <v>1547</v>
      </c>
      <c r="B834" s="3" t="s">
        <v>45</v>
      </c>
      <c r="C834" s="3" t="s">
        <v>1574</v>
      </c>
      <c r="D834" s="3" t="s">
        <v>15</v>
      </c>
      <c r="E834" s="3"/>
      <c r="F834" s="3"/>
      <c r="G834" s="3"/>
      <c r="H834" s="3"/>
    </row>
    <row r="835" spans="1:8" x14ac:dyDescent="0.35">
      <c r="A835" s="3" t="s">
        <v>1547</v>
      </c>
      <c r="B835" s="3" t="s">
        <v>45</v>
      </c>
      <c r="C835" s="3" t="s">
        <v>1574</v>
      </c>
      <c r="D835" s="3" t="s">
        <v>56</v>
      </c>
      <c r="E835" s="3"/>
      <c r="F835" s="3" t="s">
        <v>2476</v>
      </c>
      <c r="G835" s="3"/>
      <c r="H835" s="3"/>
    </row>
    <row r="836" spans="1:8" x14ac:dyDescent="0.35">
      <c r="A836" s="3" t="s">
        <v>1547</v>
      </c>
      <c r="B836" s="3" t="s">
        <v>45</v>
      </c>
      <c r="C836" s="3" t="s">
        <v>1574</v>
      </c>
      <c r="D836" s="3" t="s">
        <v>107</v>
      </c>
      <c r="E836" s="3"/>
      <c r="F836" s="3"/>
      <c r="G836" s="3"/>
      <c r="H836" s="3"/>
    </row>
    <row r="837" spans="1:8" x14ac:dyDescent="0.35">
      <c r="A837" s="3" t="s">
        <v>1547</v>
      </c>
      <c r="B837" s="3" t="s">
        <v>10</v>
      </c>
      <c r="C837" s="3" t="s">
        <v>1575</v>
      </c>
      <c r="D837" s="3" t="s">
        <v>56</v>
      </c>
      <c r="E837" s="3"/>
      <c r="F837" s="3"/>
      <c r="G837" s="3"/>
      <c r="H837" s="3"/>
    </row>
    <row r="838" spans="1:8" x14ac:dyDescent="0.35">
      <c r="A838" s="3" t="s">
        <v>1547</v>
      </c>
      <c r="B838" s="3" t="s">
        <v>10</v>
      </c>
      <c r="C838" s="3" t="s">
        <v>1575</v>
      </c>
      <c r="D838" s="3" t="s">
        <v>29</v>
      </c>
      <c r="E838" s="3"/>
      <c r="F838" s="3"/>
      <c r="G838" s="3"/>
      <c r="H838" s="3"/>
    </row>
    <row r="839" spans="1:8" x14ac:dyDescent="0.35">
      <c r="A839" s="3" t="s">
        <v>1576</v>
      </c>
      <c r="B839" s="3" t="s">
        <v>39</v>
      </c>
      <c r="C839" s="3" t="s">
        <v>1577</v>
      </c>
      <c r="D839" s="3" t="s">
        <v>27</v>
      </c>
      <c r="E839" s="3"/>
      <c r="F839" s="3"/>
      <c r="G839" s="3"/>
      <c r="H839" s="3"/>
    </row>
    <row r="840" spans="1:8" x14ac:dyDescent="0.35">
      <c r="A840" s="3" t="s">
        <v>1576</v>
      </c>
      <c r="B840" s="3" t="s">
        <v>39</v>
      </c>
      <c r="C840" s="3" t="s">
        <v>1577</v>
      </c>
      <c r="D840" s="3" t="s">
        <v>15</v>
      </c>
      <c r="E840" s="3"/>
      <c r="F840" s="3"/>
      <c r="G840" s="3"/>
      <c r="H840" s="3"/>
    </row>
    <row r="841" spans="1:8" x14ac:dyDescent="0.35">
      <c r="A841" s="3" t="s">
        <v>1576</v>
      </c>
      <c r="B841" s="3" t="s">
        <v>39</v>
      </c>
      <c r="C841" s="3" t="s">
        <v>1577</v>
      </c>
      <c r="D841" s="3" t="s">
        <v>32</v>
      </c>
      <c r="E841" s="3"/>
      <c r="F841" s="3"/>
      <c r="G841" s="3"/>
      <c r="H841" s="3"/>
    </row>
    <row r="842" spans="1:8" x14ac:dyDescent="0.35">
      <c r="A842" s="3" t="s">
        <v>1576</v>
      </c>
      <c r="B842" s="3" t="s">
        <v>42</v>
      </c>
      <c r="C842" s="3" t="s">
        <v>1578</v>
      </c>
      <c r="D842" s="3" t="s">
        <v>1193</v>
      </c>
      <c r="E842" s="3"/>
      <c r="F842" s="3"/>
      <c r="G842" s="3" t="s">
        <v>16</v>
      </c>
      <c r="H842" s="3" t="s">
        <v>1579</v>
      </c>
    </row>
    <row r="843" spans="1:8" x14ac:dyDescent="0.35">
      <c r="A843" s="3" t="s">
        <v>1576</v>
      </c>
      <c r="B843" s="3" t="s">
        <v>42</v>
      </c>
      <c r="C843" s="3" t="s">
        <v>1578</v>
      </c>
      <c r="D843" s="3" t="s">
        <v>15</v>
      </c>
      <c r="E843" s="3" t="s">
        <v>16</v>
      </c>
      <c r="F843" s="3" t="s">
        <v>1497</v>
      </c>
      <c r="G843" s="3" t="s">
        <v>16</v>
      </c>
      <c r="H843" s="3" t="s">
        <v>1579</v>
      </c>
    </row>
    <row r="844" spans="1:8" x14ac:dyDescent="0.35">
      <c r="A844" s="3" t="s">
        <v>1576</v>
      </c>
      <c r="B844" s="3" t="s">
        <v>42</v>
      </c>
      <c r="C844" s="3" t="s">
        <v>1578</v>
      </c>
      <c r="D844" s="3" t="s">
        <v>29</v>
      </c>
      <c r="E844" s="3"/>
      <c r="F844" s="3"/>
      <c r="G844" s="3" t="s">
        <v>16</v>
      </c>
      <c r="H844" s="3" t="s">
        <v>1579</v>
      </c>
    </row>
    <row r="845" spans="1:8" x14ac:dyDescent="0.35">
      <c r="A845" s="3" t="s">
        <v>1576</v>
      </c>
      <c r="B845" s="3" t="s">
        <v>20</v>
      </c>
      <c r="C845" s="3" t="s">
        <v>1580</v>
      </c>
      <c r="D845" s="3" t="s">
        <v>27</v>
      </c>
      <c r="E845" s="3"/>
      <c r="F845" s="3"/>
      <c r="G845" s="3" t="s">
        <v>16</v>
      </c>
      <c r="H845" s="3" t="s">
        <v>1579</v>
      </c>
    </row>
    <row r="846" spans="1:8" x14ac:dyDescent="0.35">
      <c r="A846" s="3" t="s">
        <v>1576</v>
      </c>
      <c r="B846" s="3" t="s">
        <v>20</v>
      </c>
      <c r="C846" s="3" t="s">
        <v>1580</v>
      </c>
      <c r="D846" s="3" t="s">
        <v>1193</v>
      </c>
      <c r="E846" s="3"/>
      <c r="F846" s="3"/>
      <c r="G846" s="3" t="s">
        <v>16</v>
      </c>
      <c r="H846" s="3" t="s">
        <v>1579</v>
      </c>
    </row>
    <row r="847" spans="1:8" x14ac:dyDescent="0.35">
      <c r="A847" s="3" t="s">
        <v>1576</v>
      </c>
      <c r="B847" s="3" t="s">
        <v>20</v>
      </c>
      <c r="C847" s="3" t="s">
        <v>1580</v>
      </c>
      <c r="D847" s="3" t="s">
        <v>15</v>
      </c>
      <c r="E847" s="3" t="s">
        <v>16</v>
      </c>
      <c r="F847" s="3" t="s">
        <v>1581</v>
      </c>
      <c r="G847" s="3" t="s">
        <v>16</v>
      </c>
      <c r="H847" s="3" t="s">
        <v>1579</v>
      </c>
    </row>
    <row r="848" spans="1:8" x14ac:dyDescent="0.35">
      <c r="A848" s="3" t="s">
        <v>1576</v>
      </c>
      <c r="B848" s="3" t="s">
        <v>39</v>
      </c>
      <c r="C848" s="3" t="s">
        <v>1582</v>
      </c>
      <c r="D848" s="3" t="s">
        <v>12</v>
      </c>
      <c r="E848" s="3"/>
      <c r="F848" s="3"/>
      <c r="G848" s="3"/>
      <c r="H848" s="3"/>
    </row>
    <row r="849" spans="1:8" x14ac:dyDescent="0.35">
      <c r="A849" s="3" t="s">
        <v>1576</v>
      </c>
      <c r="B849" s="3" t="s">
        <v>39</v>
      </c>
      <c r="C849" s="3" t="s">
        <v>1582</v>
      </c>
      <c r="D849" s="3" t="s">
        <v>87</v>
      </c>
      <c r="E849" s="3"/>
      <c r="F849" s="3"/>
      <c r="G849" s="3"/>
      <c r="H849" s="3"/>
    </row>
    <row r="850" spans="1:8" x14ac:dyDescent="0.35">
      <c r="A850" s="3" t="s">
        <v>1576</v>
      </c>
      <c r="B850" s="3" t="s">
        <v>39</v>
      </c>
      <c r="C850" s="3" t="s">
        <v>1582</v>
      </c>
      <c r="D850" s="3" t="s">
        <v>15</v>
      </c>
      <c r="E850" s="3"/>
      <c r="F850" s="3"/>
      <c r="G850" s="3"/>
      <c r="H850" s="3"/>
    </row>
    <row r="851" spans="1:8" x14ac:dyDescent="0.35">
      <c r="A851" s="3" t="s">
        <v>1576</v>
      </c>
      <c r="B851" s="3" t="s">
        <v>10</v>
      </c>
      <c r="C851" s="3" t="s">
        <v>1583</v>
      </c>
      <c r="D851" s="3" t="s">
        <v>27</v>
      </c>
      <c r="E851" s="3"/>
      <c r="F851" s="3"/>
      <c r="G851" s="3" t="s">
        <v>16</v>
      </c>
      <c r="H851" s="3" t="s">
        <v>1579</v>
      </c>
    </row>
    <row r="852" spans="1:8" x14ac:dyDescent="0.35">
      <c r="A852" s="3" t="s">
        <v>1576</v>
      </c>
      <c r="B852" s="3" t="s">
        <v>10</v>
      </c>
      <c r="C852" s="3" t="s">
        <v>1583</v>
      </c>
      <c r="D852" s="3" t="s">
        <v>15</v>
      </c>
      <c r="E852" s="3" t="s">
        <v>16</v>
      </c>
      <c r="F852" s="3" t="s">
        <v>1584</v>
      </c>
      <c r="G852" s="3" t="s">
        <v>16</v>
      </c>
      <c r="H852" s="3" t="s">
        <v>1579</v>
      </c>
    </row>
    <row r="853" spans="1:8" x14ac:dyDescent="0.35">
      <c r="A853" s="3" t="s">
        <v>1576</v>
      </c>
      <c r="B853" s="3" t="s">
        <v>10</v>
      </c>
      <c r="C853" s="3" t="s">
        <v>1583</v>
      </c>
      <c r="D853" s="3" t="s">
        <v>56</v>
      </c>
      <c r="E853" s="3" t="s">
        <v>16</v>
      </c>
      <c r="F853" s="3" t="s">
        <v>1585</v>
      </c>
      <c r="G853" s="3" t="s">
        <v>16</v>
      </c>
      <c r="H853" s="3" t="s">
        <v>1579</v>
      </c>
    </row>
    <row r="854" spans="1:8" x14ac:dyDescent="0.35">
      <c r="A854" s="3" t="s">
        <v>1576</v>
      </c>
      <c r="B854" s="3" t="s">
        <v>10</v>
      </c>
      <c r="C854" s="3" t="s">
        <v>1583</v>
      </c>
      <c r="D854" s="3" t="s">
        <v>24</v>
      </c>
      <c r="E854" s="3"/>
      <c r="F854" s="3"/>
      <c r="G854" s="3" t="s">
        <v>16</v>
      </c>
      <c r="H854" s="3" t="s">
        <v>1579</v>
      </c>
    </row>
    <row r="855" spans="1:8" x14ac:dyDescent="0.35">
      <c r="A855" s="3" t="s">
        <v>1576</v>
      </c>
      <c r="B855" s="3" t="s">
        <v>39</v>
      </c>
      <c r="C855" s="3" t="s">
        <v>1586</v>
      </c>
      <c r="D855" s="3" t="s">
        <v>15</v>
      </c>
      <c r="E855" s="3"/>
      <c r="F855" s="3"/>
      <c r="G855" s="3" t="s">
        <v>16</v>
      </c>
      <c r="H855" s="3" t="s">
        <v>1579</v>
      </c>
    </row>
    <row r="856" spans="1:8" x14ac:dyDescent="0.35">
      <c r="A856" s="3" t="s">
        <v>1576</v>
      </c>
      <c r="B856" s="3" t="s">
        <v>39</v>
      </c>
      <c r="C856" s="3" t="s">
        <v>1587</v>
      </c>
      <c r="D856" s="3" t="s">
        <v>25</v>
      </c>
      <c r="E856" s="3"/>
      <c r="F856" s="3"/>
      <c r="G856" s="3" t="s">
        <v>16</v>
      </c>
      <c r="H856" s="3" t="s">
        <v>1579</v>
      </c>
    </row>
    <row r="857" spans="1:8" x14ac:dyDescent="0.35">
      <c r="A857" s="3" t="s">
        <v>1576</v>
      </c>
      <c r="B857" s="3" t="s">
        <v>39</v>
      </c>
      <c r="C857" s="3" t="s">
        <v>1587</v>
      </c>
      <c r="D857" s="3" t="s">
        <v>1193</v>
      </c>
      <c r="E857" s="3"/>
      <c r="F857" s="3"/>
      <c r="G857" s="3" t="s">
        <v>16</v>
      </c>
      <c r="H857" s="3" t="s">
        <v>1579</v>
      </c>
    </row>
    <row r="858" spans="1:8" x14ac:dyDescent="0.35">
      <c r="A858" s="3" t="s">
        <v>1576</v>
      </c>
      <c r="B858" s="3" t="s">
        <v>39</v>
      </c>
      <c r="C858" s="3" t="s">
        <v>1587</v>
      </c>
      <c r="D858" s="3" t="s">
        <v>15</v>
      </c>
      <c r="E858" s="3" t="s">
        <v>16</v>
      </c>
      <c r="F858" s="3" t="s">
        <v>1334</v>
      </c>
      <c r="G858" s="3" t="s">
        <v>16</v>
      </c>
      <c r="H858" s="3" t="s">
        <v>1579</v>
      </c>
    </row>
    <row r="859" spans="1:8" x14ac:dyDescent="0.35">
      <c r="A859" s="3" t="s">
        <v>1576</v>
      </c>
      <c r="B859" s="3" t="s">
        <v>20</v>
      </c>
      <c r="C859" s="3" t="s">
        <v>1588</v>
      </c>
      <c r="D859" s="3" t="s">
        <v>25</v>
      </c>
      <c r="E859" s="3"/>
      <c r="F859" s="3"/>
      <c r="G859" s="3" t="s">
        <v>16</v>
      </c>
      <c r="H859" s="3" t="s">
        <v>1579</v>
      </c>
    </row>
    <row r="860" spans="1:8" x14ac:dyDescent="0.35">
      <c r="A860" s="3" t="s">
        <v>1576</v>
      </c>
      <c r="B860" s="3" t="s">
        <v>20</v>
      </c>
      <c r="C860" s="3" t="s">
        <v>1588</v>
      </c>
      <c r="D860" s="3" t="s">
        <v>15</v>
      </c>
      <c r="E860" s="3" t="s">
        <v>16</v>
      </c>
      <c r="F860" s="3" t="s">
        <v>1418</v>
      </c>
      <c r="G860" s="3" t="s">
        <v>16</v>
      </c>
      <c r="H860" s="3" t="s">
        <v>1579</v>
      </c>
    </row>
    <row r="861" spans="1:8" x14ac:dyDescent="0.35">
      <c r="A861" s="3" t="s">
        <v>1576</v>
      </c>
      <c r="B861" s="3" t="s">
        <v>20</v>
      </c>
      <c r="C861" s="3" t="s">
        <v>1588</v>
      </c>
      <c r="D861" s="3" t="s">
        <v>56</v>
      </c>
      <c r="E861" s="3"/>
      <c r="F861" s="3" t="s">
        <v>2426</v>
      </c>
      <c r="G861" s="3" t="s">
        <v>16</v>
      </c>
      <c r="H861" s="3" t="s">
        <v>1579</v>
      </c>
    </row>
    <row r="862" spans="1:8" x14ac:dyDescent="0.35">
      <c r="A862" s="3" t="s">
        <v>1576</v>
      </c>
      <c r="B862" s="3" t="s">
        <v>20</v>
      </c>
      <c r="C862" s="3" t="s">
        <v>1589</v>
      </c>
      <c r="D862" s="3" t="s">
        <v>25</v>
      </c>
      <c r="E862" s="3"/>
      <c r="F862" s="3"/>
      <c r="G862" s="3" t="s">
        <v>16</v>
      </c>
      <c r="H862" s="3" t="s">
        <v>1579</v>
      </c>
    </row>
    <row r="863" spans="1:8" x14ac:dyDescent="0.35">
      <c r="A863" s="3" t="s">
        <v>1576</v>
      </c>
      <c r="B863" s="3" t="s">
        <v>20</v>
      </c>
      <c r="C863" s="3" t="s">
        <v>1589</v>
      </c>
      <c r="D863" s="3" t="s">
        <v>1193</v>
      </c>
      <c r="E863" s="3"/>
      <c r="F863" s="3"/>
      <c r="G863" s="3" t="s">
        <v>16</v>
      </c>
      <c r="H863" s="3" t="s">
        <v>1579</v>
      </c>
    </row>
    <row r="864" spans="1:8" x14ac:dyDescent="0.35">
      <c r="A864" s="3" t="s">
        <v>1576</v>
      </c>
      <c r="B864" s="3" t="s">
        <v>20</v>
      </c>
      <c r="C864" s="3" t="s">
        <v>1589</v>
      </c>
      <c r="D864" s="3" t="s">
        <v>87</v>
      </c>
      <c r="E864" s="3"/>
      <c r="F864" s="3"/>
      <c r="G864" s="3" t="s">
        <v>16</v>
      </c>
      <c r="H864" s="3" t="s">
        <v>1579</v>
      </c>
    </row>
    <row r="865" spans="1:8" x14ac:dyDescent="0.35">
      <c r="A865" s="3" t="s">
        <v>1576</v>
      </c>
      <c r="B865" s="3" t="s">
        <v>20</v>
      </c>
      <c r="C865" s="3" t="s">
        <v>1589</v>
      </c>
      <c r="D865" s="3" t="s">
        <v>15</v>
      </c>
      <c r="E865" s="3" t="s">
        <v>16</v>
      </c>
      <c r="F865" s="3" t="s">
        <v>1418</v>
      </c>
      <c r="G865" s="3" t="s">
        <v>16</v>
      </c>
      <c r="H865" s="3" t="s">
        <v>1579</v>
      </c>
    </row>
    <row r="866" spans="1:8" x14ac:dyDescent="0.35">
      <c r="A866" s="3" t="s">
        <v>1576</v>
      </c>
      <c r="B866" s="3" t="s">
        <v>20</v>
      </c>
      <c r="C866" s="3" t="s">
        <v>1589</v>
      </c>
      <c r="D866" s="3" t="s">
        <v>24</v>
      </c>
      <c r="E866" s="3"/>
      <c r="F866" s="3"/>
      <c r="G866" s="3" t="s">
        <v>16</v>
      </c>
      <c r="H866" s="3" t="s">
        <v>1579</v>
      </c>
    </row>
    <row r="867" spans="1:8" x14ac:dyDescent="0.35">
      <c r="A867" s="3" t="s">
        <v>1576</v>
      </c>
      <c r="B867" s="3" t="s">
        <v>10</v>
      </c>
      <c r="C867" s="3" t="s">
        <v>1590</v>
      </c>
      <c r="D867" s="3" t="s">
        <v>1193</v>
      </c>
      <c r="E867" s="3"/>
      <c r="F867" s="3"/>
      <c r="G867" s="3" t="s">
        <v>16</v>
      </c>
      <c r="H867" s="3" t="s">
        <v>1579</v>
      </c>
    </row>
    <row r="868" spans="1:8" x14ac:dyDescent="0.35">
      <c r="A868" s="3" t="s">
        <v>1576</v>
      </c>
      <c r="B868" s="3" t="s">
        <v>45</v>
      </c>
      <c r="C868" s="3" t="s">
        <v>1591</v>
      </c>
      <c r="D868" s="3" t="s">
        <v>12</v>
      </c>
      <c r="E868" s="3"/>
      <c r="F868" s="3"/>
      <c r="G868" s="3" t="s">
        <v>16</v>
      </c>
      <c r="H868" s="3" t="s">
        <v>1579</v>
      </c>
    </row>
    <row r="869" spans="1:8" x14ac:dyDescent="0.35">
      <c r="A869" s="3" t="s">
        <v>1576</v>
      </c>
      <c r="B869" s="3" t="s">
        <v>45</v>
      </c>
      <c r="C869" s="3" t="s">
        <v>1591</v>
      </c>
      <c r="D869" s="3" t="s">
        <v>57</v>
      </c>
      <c r="E869" s="3"/>
      <c r="F869" s="3"/>
      <c r="G869" s="3" t="s">
        <v>16</v>
      </c>
      <c r="H869" s="3" t="s">
        <v>1579</v>
      </c>
    </row>
    <row r="870" spans="1:8" x14ac:dyDescent="0.35">
      <c r="A870" s="3" t="s">
        <v>1576</v>
      </c>
      <c r="B870" s="3" t="s">
        <v>45</v>
      </c>
      <c r="C870" s="3" t="s">
        <v>1591</v>
      </c>
      <c r="D870" s="3" t="s">
        <v>56</v>
      </c>
      <c r="E870" s="3" t="s">
        <v>16</v>
      </c>
      <c r="F870" s="3" t="s">
        <v>1592</v>
      </c>
      <c r="G870" s="3" t="s">
        <v>16</v>
      </c>
      <c r="H870" s="3" t="s">
        <v>1579</v>
      </c>
    </row>
    <row r="871" spans="1:8" x14ac:dyDescent="0.35">
      <c r="A871" s="3" t="s">
        <v>1576</v>
      </c>
      <c r="B871" s="3" t="s">
        <v>45</v>
      </c>
      <c r="C871" s="3" t="s">
        <v>1591</v>
      </c>
      <c r="D871" s="3" t="s">
        <v>24</v>
      </c>
      <c r="E871" s="3"/>
      <c r="F871" s="3"/>
      <c r="G871" s="3" t="s">
        <v>16</v>
      </c>
      <c r="H871" s="3" t="s">
        <v>1579</v>
      </c>
    </row>
    <row r="872" spans="1:8" x14ac:dyDescent="0.35">
      <c r="A872" s="3" t="s">
        <v>1576</v>
      </c>
      <c r="B872" s="3" t="s">
        <v>39</v>
      </c>
      <c r="C872" s="3" t="s">
        <v>1593</v>
      </c>
      <c r="D872" s="3" t="s">
        <v>12</v>
      </c>
      <c r="E872" s="3"/>
      <c r="F872" s="3"/>
      <c r="G872" s="3" t="s">
        <v>16</v>
      </c>
      <c r="H872" s="3" t="s">
        <v>1579</v>
      </c>
    </row>
    <row r="873" spans="1:8" x14ac:dyDescent="0.35">
      <c r="A873" s="3" t="s">
        <v>1576</v>
      </c>
      <c r="B873" s="3" t="s">
        <v>39</v>
      </c>
      <c r="C873" s="3" t="s">
        <v>1593</v>
      </c>
      <c r="D873" s="3" t="s">
        <v>27</v>
      </c>
      <c r="E873" s="3"/>
      <c r="F873" s="3"/>
      <c r="G873" s="3" t="s">
        <v>16</v>
      </c>
      <c r="H873" s="3" t="s">
        <v>1579</v>
      </c>
    </row>
    <row r="874" spans="1:8" x14ac:dyDescent="0.35">
      <c r="A874" s="3" t="s">
        <v>1576</v>
      </c>
      <c r="B874" s="3" t="s">
        <v>39</v>
      </c>
      <c r="C874" s="3" t="s">
        <v>1593</v>
      </c>
      <c r="D874" s="3" t="s">
        <v>57</v>
      </c>
      <c r="E874" s="3"/>
      <c r="F874" s="3"/>
      <c r="G874" s="3" t="s">
        <v>16</v>
      </c>
      <c r="H874" s="3" t="s">
        <v>1579</v>
      </c>
    </row>
    <row r="875" spans="1:8" x14ac:dyDescent="0.35">
      <c r="A875" s="3" t="s">
        <v>1576</v>
      </c>
      <c r="B875" s="3" t="s">
        <v>45</v>
      </c>
      <c r="C875" s="3" t="s">
        <v>1594</v>
      </c>
      <c r="D875" s="3" t="s">
        <v>1193</v>
      </c>
      <c r="E875" s="3"/>
      <c r="F875" s="3"/>
      <c r="G875" s="3" t="s">
        <v>16</v>
      </c>
      <c r="H875" s="3" t="s">
        <v>1579</v>
      </c>
    </row>
    <row r="876" spans="1:8" x14ac:dyDescent="0.35">
      <c r="A876" s="3" t="s">
        <v>1576</v>
      </c>
      <c r="B876" s="3" t="s">
        <v>45</v>
      </c>
      <c r="C876" s="3" t="s">
        <v>1594</v>
      </c>
      <c r="D876" s="3" t="s">
        <v>15</v>
      </c>
      <c r="E876" s="3" t="s">
        <v>16</v>
      </c>
      <c r="F876" s="3" t="s">
        <v>1595</v>
      </c>
      <c r="G876" s="3" t="s">
        <v>16</v>
      </c>
      <c r="H876" s="3" t="s">
        <v>1579</v>
      </c>
    </row>
    <row r="877" spans="1:8" x14ac:dyDescent="0.35">
      <c r="A877" s="3" t="s">
        <v>1576</v>
      </c>
      <c r="B877" s="3" t="s">
        <v>45</v>
      </c>
      <c r="C877" s="3" t="s">
        <v>1594</v>
      </c>
      <c r="D877" s="3" t="s">
        <v>56</v>
      </c>
      <c r="E877" s="3" t="s">
        <v>16</v>
      </c>
      <c r="F877" s="3" t="s">
        <v>1595</v>
      </c>
      <c r="G877" s="3" t="s">
        <v>16</v>
      </c>
      <c r="H877" s="3" t="s">
        <v>1579</v>
      </c>
    </row>
    <row r="878" spans="1:8" x14ac:dyDescent="0.35">
      <c r="A878" s="3" t="s">
        <v>1576</v>
      </c>
      <c r="B878" s="3" t="s">
        <v>39</v>
      </c>
      <c r="C878" s="3" t="s">
        <v>1596</v>
      </c>
      <c r="D878" s="3" t="s">
        <v>56</v>
      </c>
      <c r="E878" s="3" t="s">
        <v>16</v>
      </c>
      <c r="F878" s="3" t="s">
        <v>2438</v>
      </c>
      <c r="G878" s="3" t="s">
        <v>16</v>
      </c>
      <c r="H878" s="3" t="s">
        <v>1579</v>
      </c>
    </row>
    <row r="879" spans="1:8" x14ac:dyDescent="0.35">
      <c r="A879" s="3" t="s">
        <v>1597</v>
      </c>
      <c r="B879" s="3" t="s">
        <v>42</v>
      </c>
      <c r="C879" s="3" t="s">
        <v>1598</v>
      </c>
      <c r="D879" s="3" t="s">
        <v>87</v>
      </c>
      <c r="E879" s="3"/>
      <c r="F879" s="3"/>
      <c r="G879" s="3"/>
      <c r="H879" s="3"/>
    </row>
    <row r="880" spans="1:8" x14ac:dyDescent="0.35">
      <c r="A880" s="3" t="s">
        <v>1597</v>
      </c>
      <c r="B880" s="3" t="s">
        <v>42</v>
      </c>
      <c r="C880" s="3" t="s">
        <v>1598</v>
      </c>
      <c r="D880" s="3" t="s">
        <v>15</v>
      </c>
      <c r="E880" s="3" t="s">
        <v>16</v>
      </c>
      <c r="F880" s="3" t="s">
        <v>1599</v>
      </c>
      <c r="G880" s="3"/>
      <c r="H880" s="3"/>
    </row>
    <row r="881" spans="1:8" x14ac:dyDescent="0.35">
      <c r="A881" s="3" t="s">
        <v>1597</v>
      </c>
      <c r="B881" s="3" t="s">
        <v>42</v>
      </c>
      <c r="C881" s="3" t="s">
        <v>1598</v>
      </c>
      <c r="D881" s="3" t="s">
        <v>56</v>
      </c>
      <c r="E881" s="3" t="s">
        <v>16</v>
      </c>
      <c r="F881" s="3" t="s">
        <v>1599</v>
      </c>
      <c r="G881" s="3"/>
      <c r="H881" s="3"/>
    </row>
    <row r="882" spans="1:8" x14ac:dyDescent="0.35">
      <c r="A882" s="3" t="s">
        <v>1597</v>
      </c>
      <c r="B882" s="3" t="s">
        <v>42</v>
      </c>
      <c r="C882" s="3" t="s">
        <v>1598</v>
      </c>
      <c r="D882" s="3" t="s">
        <v>24</v>
      </c>
      <c r="E882" s="3"/>
      <c r="F882" s="3"/>
      <c r="G882" s="3"/>
      <c r="H882" s="3"/>
    </row>
    <row r="883" spans="1:8" x14ac:dyDescent="0.35">
      <c r="A883" s="3" t="s">
        <v>1597</v>
      </c>
      <c r="B883" s="3" t="s">
        <v>45</v>
      </c>
      <c r="C883" s="3" t="s">
        <v>1600</v>
      </c>
      <c r="D883" s="3" t="s">
        <v>12</v>
      </c>
      <c r="E883" s="3"/>
      <c r="F883" s="3"/>
      <c r="G883" s="3"/>
      <c r="H883" s="3"/>
    </row>
    <row r="884" spans="1:8" x14ac:dyDescent="0.35">
      <c r="A884" s="3" t="s">
        <v>1597</v>
      </c>
      <c r="B884" s="3" t="s">
        <v>45</v>
      </c>
      <c r="C884" s="3" t="s">
        <v>1600</v>
      </c>
      <c r="D884" s="3" t="s">
        <v>23</v>
      </c>
      <c r="E884" s="3" t="s">
        <v>16</v>
      </c>
      <c r="F884" s="3" t="s">
        <v>1356</v>
      </c>
      <c r="G884" s="3"/>
      <c r="H884" s="3"/>
    </row>
    <row r="885" spans="1:8" x14ac:dyDescent="0.35">
      <c r="A885" s="3" t="s">
        <v>1597</v>
      </c>
      <c r="B885" s="3" t="s">
        <v>45</v>
      </c>
      <c r="C885" s="3" t="s">
        <v>1600</v>
      </c>
      <c r="D885" s="3" t="s">
        <v>77</v>
      </c>
      <c r="E885" s="3"/>
      <c r="F885" s="3"/>
      <c r="G885" s="3"/>
      <c r="H885" s="3"/>
    </row>
    <row r="886" spans="1:8" x14ac:dyDescent="0.35">
      <c r="A886" s="3" t="s">
        <v>1597</v>
      </c>
      <c r="B886" s="3" t="s">
        <v>45</v>
      </c>
      <c r="C886" s="3" t="s">
        <v>1600</v>
      </c>
      <c r="D886" s="3" t="s">
        <v>98</v>
      </c>
      <c r="E886" s="3"/>
      <c r="F886" s="3"/>
      <c r="G886" s="3"/>
      <c r="H886" s="3"/>
    </row>
    <row r="887" spans="1:8" x14ac:dyDescent="0.35">
      <c r="A887" s="3" t="s">
        <v>1597</v>
      </c>
      <c r="B887" s="3" t="s">
        <v>45</v>
      </c>
      <c r="C887" s="3" t="s">
        <v>1600</v>
      </c>
      <c r="D887" s="3" t="s">
        <v>15</v>
      </c>
      <c r="E887" s="3" t="s">
        <v>16</v>
      </c>
      <c r="F887" s="3" t="s">
        <v>1561</v>
      </c>
      <c r="G887" s="3"/>
      <c r="H887" s="3"/>
    </row>
    <row r="888" spans="1:8" x14ac:dyDescent="0.35">
      <c r="A888" s="3" t="s">
        <v>1597</v>
      </c>
      <c r="B888" s="3" t="s">
        <v>45</v>
      </c>
      <c r="C888" s="3" t="s">
        <v>1600</v>
      </c>
      <c r="D888" s="3" t="s">
        <v>56</v>
      </c>
      <c r="E888" s="3" t="s">
        <v>16</v>
      </c>
      <c r="F888" s="3" t="s">
        <v>1601</v>
      </c>
      <c r="G888" s="3"/>
      <c r="H888" s="3"/>
    </row>
    <row r="889" spans="1:8" x14ac:dyDescent="0.35">
      <c r="A889" s="3" t="s">
        <v>1597</v>
      </c>
      <c r="B889" s="3" t="s">
        <v>20</v>
      </c>
      <c r="C889" s="3" t="s">
        <v>2846</v>
      </c>
      <c r="D889" s="3" t="s">
        <v>12</v>
      </c>
      <c r="E889" s="3"/>
      <c r="F889" s="3"/>
      <c r="G889" s="3"/>
      <c r="H889" s="3"/>
    </row>
    <row r="890" spans="1:8" x14ac:dyDescent="0.35">
      <c r="A890" s="3" t="s">
        <v>1597</v>
      </c>
      <c r="B890" s="3" t="s">
        <v>20</v>
      </c>
      <c r="C890" s="3" t="s">
        <v>2846</v>
      </c>
      <c r="D890" s="3" t="s">
        <v>23</v>
      </c>
      <c r="E890" s="3"/>
      <c r="F890" s="3"/>
      <c r="G890" s="3"/>
      <c r="H890" s="3"/>
    </row>
    <row r="891" spans="1:8" x14ac:dyDescent="0.35">
      <c r="A891" s="3" t="s">
        <v>1597</v>
      </c>
      <c r="B891" s="3" t="s">
        <v>20</v>
      </c>
      <c r="C891" s="3" t="s">
        <v>2846</v>
      </c>
      <c r="D891" s="3" t="s">
        <v>25</v>
      </c>
      <c r="E891" s="3"/>
      <c r="F891" s="3"/>
      <c r="G891" s="3"/>
      <c r="H891" s="3"/>
    </row>
    <row r="892" spans="1:8" x14ac:dyDescent="0.35">
      <c r="A892" s="3" t="s">
        <v>1597</v>
      </c>
      <c r="B892" s="3" t="s">
        <v>20</v>
      </c>
      <c r="C892" s="3" t="s">
        <v>2846</v>
      </c>
      <c r="D892" s="3" t="s">
        <v>27</v>
      </c>
      <c r="E892" s="3"/>
      <c r="F892" s="3"/>
      <c r="G892" s="3"/>
      <c r="H892" s="3"/>
    </row>
    <row r="893" spans="1:8" x14ac:dyDescent="0.35">
      <c r="A893" s="3" t="s">
        <v>1597</v>
      </c>
      <c r="B893" s="3" t="s">
        <v>20</v>
      </c>
      <c r="C893" s="3" t="s">
        <v>2846</v>
      </c>
      <c r="D893" s="3" t="s">
        <v>1193</v>
      </c>
      <c r="E893" s="3"/>
      <c r="F893" s="3"/>
      <c r="G893" s="3"/>
      <c r="H893" s="3"/>
    </row>
    <row r="894" spans="1:8" x14ac:dyDescent="0.35">
      <c r="A894" s="3" t="s">
        <v>1597</v>
      </c>
      <c r="B894" s="3" t="s">
        <v>20</v>
      </c>
      <c r="C894" s="3" t="s">
        <v>2846</v>
      </c>
      <c r="D894" s="3" t="s">
        <v>28</v>
      </c>
      <c r="E894" s="3"/>
      <c r="F894" s="3"/>
      <c r="G894" s="3"/>
      <c r="H894" s="3"/>
    </row>
    <row r="895" spans="1:8" x14ac:dyDescent="0.35">
      <c r="A895" s="3" t="s">
        <v>1597</v>
      </c>
      <c r="B895" s="3" t="s">
        <v>20</v>
      </c>
      <c r="C895" s="3" t="s">
        <v>2846</v>
      </c>
      <c r="D895" s="3" t="s">
        <v>15</v>
      </c>
      <c r="E895" s="3"/>
      <c r="F895" s="3"/>
      <c r="G895" s="3"/>
      <c r="H895" s="3"/>
    </row>
    <row r="896" spans="1:8" x14ac:dyDescent="0.35">
      <c r="A896" s="3" t="s">
        <v>1597</v>
      </c>
      <c r="B896" s="3" t="s">
        <v>39</v>
      </c>
      <c r="C896" s="3" t="s">
        <v>1602</v>
      </c>
      <c r="D896" s="3" t="s">
        <v>27</v>
      </c>
      <c r="E896" s="3" t="s">
        <v>16</v>
      </c>
      <c r="F896" s="3" t="s">
        <v>1603</v>
      </c>
      <c r="G896" s="3"/>
      <c r="H896" s="3"/>
    </row>
    <row r="897" spans="1:8" x14ac:dyDescent="0.35">
      <c r="A897" s="3" t="s">
        <v>1597</v>
      </c>
      <c r="B897" s="3" t="s">
        <v>39</v>
      </c>
      <c r="C897" s="3" t="s">
        <v>1602</v>
      </c>
      <c r="D897" s="3" t="s">
        <v>1216</v>
      </c>
      <c r="E897" s="3" t="s">
        <v>16</v>
      </c>
      <c r="F897" s="3" t="s">
        <v>1603</v>
      </c>
      <c r="G897" s="3"/>
      <c r="H897" s="3"/>
    </row>
    <row r="898" spans="1:8" x14ac:dyDescent="0.35">
      <c r="A898" s="3" t="s">
        <v>1597</v>
      </c>
      <c r="B898" s="3" t="s">
        <v>39</v>
      </c>
      <c r="C898" s="3" t="s">
        <v>1602</v>
      </c>
      <c r="D898" s="3" t="s">
        <v>57</v>
      </c>
      <c r="E898" s="3" t="s">
        <v>16</v>
      </c>
      <c r="F898" s="3" t="s">
        <v>1603</v>
      </c>
      <c r="G898" s="3"/>
      <c r="H898" s="3"/>
    </row>
    <row r="899" spans="1:8" x14ac:dyDescent="0.35">
      <c r="A899" s="3" t="s">
        <v>1597</v>
      </c>
      <c r="B899" s="3" t="s">
        <v>39</v>
      </c>
      <c r="C899" s="3" t="s">
        <v>1602</v>
      </c>
      <c r="D899" s="3" t="s">
        <v>29</v>
      </c>
      <c r="E899" s="3" t="s">
        <v>16</v>
      </c>
      <c r="F899" s="3" t="s">
        <v>1603</v>
      </c>
      <c r="G899" s="3"/>
      <c r="H899" s="3"/>
    </row>
    <row r="900" spans="1:8" x14ac:dyDescent="0.35">
      <c r="A900" s="3" t="s">
        <v>1597</v>
      </c>
      <c r="B900" s="3" t="s">
        <v>39</v>
      </c>
      <c r="C900" s="3" t="s">
        <v>1604</v>
      </c>
      <c r="D900" s="3" t="s">
        <v>23</v>
      </c>
      <c r="E900" s="3"/>
      <c r="F900" s="3"/>
      <c r="G900" s="3"/>
      <c r="H900" s="3"/>
    </row>
    <row r="901" spans="1:8" x14ac:dyDescent="0.35">
      <c r="A901" s="3" t="s">
        <v>1597</v>
      </c>
      <c r="B901" s="3" t="s">
        <v>39</v>
      </c>
      <c r="C901" s="3" t="s">
        <v>1604</v>
      </c>
      <c r="D901" s="3" t="s">
        <v>25</v>
      </c>
      <c r="E901" s="3"/>
      <c r="F901" s="3"/>
      <c r="G901" s="3"/>
      <c r="H901" s="3"/>
    </row>
    <row r="902" spans="1:8" x14ac:dyDescent="0.35">
      <c r="A902" s="3" t="s">
        <v>1597</v>
      </c>
      <c r="B902" s="3" t="s">
        <v>39</v>
      </c>
      <c r="C902" s="3" t="s">
        <v>1604</v>
      </c>
      <c r="D902" s="3" t="s">
        <v>60</v>
      </c>
      <c r="E902" s="3"/>
      <c r="F902" s="3"/>
      <c r="G902" s="3"/>
      <c r="H902" s="3"/>
    </row>
    <row r="903" spans="1:8" x14ac:dyDescent="0.35">
      <c r="A903" s="3" t="s">
        <v>1597</v>
      </c>
      <c r="B903" s="3" t="s">
        <v>39</v>
      </c>
      <c r="C903" s="3" t="s">
        <v>1604</v>
      </c>
      <c r="D903" s="3" t="s">
        <v>27</v>
      </c>
      <c r="E903" s="3"/>
      <c r="F903" s="3"/>
      <c r="G903" s="3"/>
      <c r="H903" s="3"/>
    </row>
    <row r="904" spans="1:8" x14ac:dyDescent="0.35">
      <c r="A904" s="3" t="s">
        <v>1597</v>
      </c>
      <c r="B904" s="3" t="s">
        <v>39</v>
      </c>
      <c r="C904" s="3" t="s">
        <v>1604</v>
      </c>
      <c r="D904" s="3" t="s">
        <v>15</v>
      </c>
      <c r="E904" s="3" t="s">
        <v>16</v>
      </c>
      <c r="F904" s="3" t="s">
        <v>1474</v>
      </c>
      <c r="G904" s="3"/>
      <c r="H904" s="3"/>
    </row>
    <row r="905" spans="1:8" x14ac:dyDescent="0.35">
      <c r="A905" s="3" t="s">
        <v>1605</v>
      </c>
      <c r="B905" s="3" t="s">
        <v>10</v>
      </c>
      <c r="C905" s="3" t="s">
        <v>1606</v>
      </c>
      <c r="D905" s="3" t="s">
        <v>27</v>
      </c>
      <c r="E905" s="3"/>
      <c r="F905" s="3"/>
      <c r="G905" s="3" t="s">
        <v>16</v>
      </c>
      <c r="H905" s="3" t="s">
        <v>1214</v>
      </c>
    </row>
    <row r="906" spans="1:8" x14ac:dyDescent="0.35">
      <c r="A906" s="3" t="s">
        <v>1605</v>
      </c>
      <c r="B906" s="3" t="s">
        <v>10</v>
      </c>
      <c r="C906" s="3" t="s">
        <v>1606</v>
      </c>
      <c r="D906" s="3" t="s">
        <v>1193</v>
      </c>
      <c r="E906" s="3"/>
      <c r="F906" s="3"/>
      <c r="G906" s="3" t="s">
        <v>16</v>
      </c>
      <c r="H906" s="3" t="s">
        <v>1214</v>
      </c>
    </row>
    <row r="907" spans="1:8" x14ac:dyDescent="0.35">
      <c r="A907" s="3" t="s">
        <v>1605</v>
      </c>
      <c r="B907" s="3" t="s">
        <v>10</v>
      </c>
      <c r="C907" s="3" t="s">
        <v>1606</v>
      </c>
      <c r="D907" s="3" t="s">
        <v>87</v>
      </c>
      <c r="E907" s="3"/>
      <c r="F907" s="3"/>
      <c r="G907" s="3" t="s">
        <v>16</v>
      </c>
      <c r="H907" s="3" t="s">
        <v>1214</v>
      </c>
    </row>
    <row r="908" spans="1:8" x14ac:dyDescent="0.35">
      <c r="A908" s="3" t="s">
        <v>1605</v>
      </c>
      <c r="B908" s="3" t="s">
        <v>10</v>
      </c>
      <c r="C908" s="3" t="s">
        <v>1606</v>
      </c>
      <c r="D908" s="3" t="s">
        <v>1216</v>
      </c>
      <c r="E908" s="3" t="s">
        <v>16</v>
      </c>
      <c r="F908" s="3" t="s">
        <v>1608</v>
      </c>
      <c r="G908" s="3" t="s">
        <v>16</v>
      </c>
      <c r="H908" s="3" t="s">
        <v>1214</v>
      </c>
    </row>
    <row r="909" spans="1:8" x14ac:dyDescent="0.35">
      <c r="A909" s="3" t="s">
        <v>1605</v>
      </c>
      <c r="B909" s="3" t="s">
        <v>10</v>
      </c>
      <c r="C909" s="3" t="s">
        <v>1606</v>
      </c>
      <c r="D909" s="3" t="s">
        <v>56</v>
      </c>
      <c r="E909" s="3" t="s">
        <v>16</v>
      </c>
      <c r="F909" s="3" t="s">
        <v>1607</v>
      </c>
      <c r="G909" s="3" t="s">
        <v>16</v>
      </c>
      <c r="H909" s="3" t="s">
        <v>1214</v>
      </c>
    </row>
    <row r="910" spans="1:8" x14ac:dyDescent="0.35">
      <c r="A910" s="3" t="s">
        <v>1605</v>
      </c>
      <c r="B910" s="3" t="s">
        <v>10</v>
      </c>
      <c r="C910" s="3" t="s">
        <v>1606</v>
      </c>
      <c r="D910" s="3" t="s">
        <v>29</v>
      </c>
      <c r="E910" s="3"/>
      <c r="F910" s="3"/>
      <c r="G910" s="3" t="s">
        <v>16</v>
      </c>
      <c r="H910" s="3" t="s">
        <v>1214</v>
      </c>
    </row>
    <row r="911" spans="1:8" x14ac:dyDescent="0.35">
      <c r="A911" s="3" t="s">
        <v>1605</v>
      </c>
      <c r="B911" s="3" t="s">
        <v>10</v>
      </c>
      <c r="C911" s="3" t="s">
        <v>1606</v>
      </c>
      <c r="D911" s="3" t="s">
        <v>134</v>
      </c>
      <c r="E911" s="3"/>
      <c r="F911" s="3"/>
      <c r="G911" s="3" t="s">
        <v>16</v>
      </c>
      <c r="H911" s="3" t="s">
        <v>1214</v>
      </c>
    </row>
    <row r="912" spans="1:8" x14ac:dyDescent="0.35">
      <c r="A912" s="3" t="s">
        <v>1605</v>
      </c>
      <c r="B912" s="3" t="s">
        <v>10</v>
      </c>
      <c r="C912" s="3" t="s">
        <v>1606</v>
      </c>
      <c r="D912" s="3" t="s">
        <v>630</v>
      </c>
      <c r="E912" s="3" t="s">
        <v>16</v>
      </c>
      <c r="F912" s="3" t="s">
        <v>1609</v>
      </c>
      <c r="G912" s="3" t="s">
        <v>16</v>
      </c>
      <c r="H912" s="3" t="s">
        <v>1214</v>
      </c>
    </row>
    <row r="913" spans="1:8" x14ac:dyDescent="0.35">
      <c r="A913" s="3" t="s">
        <v>1605</v>
      </c>
      <c r="B913" s="3" t="s">
        <v>42</v>
      </c>
      <c r="C913" s="3" t="s">
        <v>1610</v>
      </c>
      <c r="D913" s="3" t="s">
        <v>27</v>
      </c>
      <c r="E913" s="3"/>
      <c r="F913" s="3"/>
      <c r="G913" s="3" t="s">
        <v>16</v>
      </c>
      <c r="H913" s="3" t="s">
        <v>1214</v>
      </c>
    </row>
    <row r="914" spans="1:8" x14ac:dyDescent="0.35">
      <c r="A914" s="3" t="s">
        <v>1605</v>
      </c>
      <c r="B914" s="3" t="s">
        <v>42</v>
      </c>
      <c r="C914" s="3" t="s">
        <v>1610</v>
      </c>
      <c r="D914" s="3" t="s">
        <v>44</v>
      </c>
      <c r="E914" s="3"/>
      <c r="F914" s="3"/>
      <c r="G914" s="3" t="s">
        <v>16</v>
      </c>
      <c r="H914" s="3" t="s">
        <v>1214</v>
      </c>
    </row>
    <row r="915" spans="1:8" x14ac:dyDescent="0.35">
      <c r="A915" s="3" t="s">
        <v>1605</v>
      </c>
      <c r="B915" s="3" t="s">
        <v>42</v>
      </c>
      <c r="C915" s="3" t="s">
        <v>1610</v>
      </c>
      <c r="D915" s="3" t="s">
        <v>87</v>
      </c>
      <c r="E915" s="3"/>
      <c r="F915" s="3"/>
      <c r="G915" s="3" t="s">
        <v>16</v>
      </c>
      <c r="H915" s="3" t="s">
        <v>1214</v>
      </c>
    </row>
    <row r="916" spans="1:8" x14ac:dyDescent="0.35">
      <c r="A916" s="3" t="s">
        <v>1605</v>
      </c>
      <c r="B916" s="3" t="s">
        <v>42</v>
      </c>
      <c r="C916" s="3" t="s">
        <v>1610</v>
      </c>
      <c r="D916" s="3" t="s">
        <v>1216</v>
      </c>
      <c r="E916" s="3" t="s">
        <v>16</v>
      </c>
      <c r="F916" s="3" t="s">
        <v>1612</v>
      </c>
      <c r="G916" s="3" t="s">
        <v>16</v>
      </c>
      <c r="H916" s="3" t="s">
        <v>1214</v>
      </c>
    </row>
    <row r="917" spans="1:8" x14ac:dyDescent="0.35">
      <c r="A917" s="3" t="s">
        <v>1605</v>
      </c>
      <c r="B917" s="3" t="s">
        <v>42</v>
      </c>
      <c r="C917" s="3" t="s">
        <v>1610</v>
      </c>
      <c r="D917" s="3" t="s">
        <v>56</v>
      </c>
      <c r="E917" s="3" t="s">
        <v>16</v>
      </c>
      <c r="F917" s="3" t="s">
        <v>1611</v>
      </c>
      <c r="G917" s="3" t="s">
        <v>16</v>
      </c>
      <c r="H917" s="3" t="s">
        <v>1214</v>
      </c>
    </row>
    <row r="918" spans="1:8" x14ac:dyDescent="0.35">
      <c r="A918" s="3" t="s">
        <v>1605</v>
      </c>
      <c r="B918" s="3" t="s">
        <v>42</v>
      </c>
      <c r="C918" s="3" t="s">
        <v>1610</v>
      </c>
      <c r="D918" s="3" t="s">
        <v>29</v>
      </c>
      <c r="E918" s="3"/>
      <c r="F918" s="3"/>
      <c r="G918" s="3" t="s">
        <v>16</v>
      </c>
      <c r="H918" s="3" t="s">
        <v>1214</v>
      </c>
    </row>
    <row r="919" spans="1:8" x14ac:dyDescent="0.35">
      <c r="A919" s="3" t="s">
        <v>1605</v>
      </c>
      <c r="B919" s="3" t="s">
        <v>42</v>
      </c>
      <c r="C919" s="3" t="s">
        <v>1610</v>
      </c>
      <c r="D919" s="3" t="s">
        <v>630</v>
      </c>
      <c r="E919" s="3" t="s">
        <v>16</v>
      </c>
      <c r="F919" s="3" t="s">
        <v>1228</v>
      </c>
      <c r="G919" s="3" t="s">
        <v>16</v>
      </c>
      <c r="H919" s="3" t="s">
        <v>1214</v>
      </c>
    </row>
    <row r="920" spans="1:8" x14ac:dyDescent="0.35">
      <c r="A920" s="3" t="s">
        <v>1605</v>
      </c>
      <c r="B920" s="3" t="s">
        <v>20</v>
      </c>
      <c r="C920" s="3" t="s">
        <v>1613</v>
      </c>
      <c r="D920" s="3" t="s">
        <v>12</v>
      </c>
      <c r="E920" s="3"/>
      <c r="F920" s="3"/>
      <c r="G920" s="3" t="s">
        <v>16</v>
      </c>
      <c r="H920" s="3" t="s">
        <v>1214</v>
      </c>
    </row>
    <row r="921" spans="1:8" x14ac:dyDescent="0.35">
      <c r="A921" s="3" t="s">
        <v>1605</v>
      </c>
      <c r="B921" s="3" t="s">
        <v>20</v>
      </c>
      <c r="C921" s="3" t="s">
        <v>1613</v>
      </c>
      <c r="D921" s="3" t="s">
        <v>1216</v>
      </c>
      <c r="E921" s="3" t="s">
        <v>16</v>
      </c>
      <c r="F921" s="3" t="s">
        <v>1615</v>
      </c>
      <c r="G921" s="3" t="s">
        <v>16</v>
      </c>
      <c r="H921" s="3" t="s">
        <v>1214</v>
      </c>
    </row>
    <row r="922" spans="1:8" x14ac:dyDescent="0.35">
      <c r="A922" s="3" t="s">
        <v>1605</v>
      </c>
      <c r="B922" s="3" t="s">
        <v>20</v>
      </c>
      <c r="C922" s="3" t="s">
        <v>1613</v>
      </c>
      <c r="D922" s="3" t="s">
        <v>56</v>
      </c>
      <c r="E922" s="3" t="s">
        <v>16</v>
      </c>
      <c r="F922" s="3" t="s">
        <v>1614</v>
      </c>
      <c r="G922" s="3" t="s">
        <v>16</v>
      </c>
      <c r="H922" s="3" t="s">
        <v>1214</v>
      </c>
    </row>
    <row r="923" spans="1:8" x14ac:dyDescent="0.35">
      <c r="A923" s="3" t="s">
        <v>1605</v>
      </c>
      <c r="B923" s="3" t="s">
        <v>20</v>
      </c>
      <c r="C923" s="3" t="s">
        <v>1613</v>
      </c>
      <c r="D923" s="3" t="s">
        <v>29</v>
      </c>
      <c r="E923" s="3"/>
      <c r="F923" s="3"/>
      <c r="G923" s="3" t="s">
        <v>16</v>
      </c>
      <c r="H923" s="3" t="s">
        <v>1214</v>
      </c>
    </row>
    <row r="924" spans="1:8" x14ac:dyDescent="0.35">
      <c r="A924" s="3" t="s">
        <v>1605</v>
      </c>
      <c r="B924" s="3" t="s">
        <v>20</v>
      </c>
      <c r="C924" s="3" t="s">
        <v>1613</v>
      </c>
      <c r="D924" s="3" t="s">
        <v>24</v>
      </c>
      <c r="E924" s="3"/>
      <c r="F924" s="3"/>
      <c r="G924" s="3" t="s">
        <v>16</v>
      </c>
      <c r="H924" s="3" t="s">
        <v>1214</v>
      </c>
    </row>
    <row r="925" spans="1:8" x14ac:dyDescent="0.35">
      <c r="A925" s="3" t="s">
        <v>1605</v>
      </c>
      <c r="B925" s="3" t="s">
        <v>10</v>
      </c>
      <c r="C925" s="3" t="s">
        <v>1616</v>
      </c>
      <c r="D925" s="3" t="s">
        <v>27</v>
      </c>
      <c r="E925" s="3"/>
      <c r="F925" s="3"/>
      <c r="G925" s="3" t="s">
        <v>16</v>
      </c>
      <c r="H925" s="3" t="s">
        <v>1214</v>
      </c>
    </row>
    <row r="926" spans="1:8" x14ac:dyDescent="0.35">
      <c r="A926" s="3" t="s">
        <v>1605</v>
      </c>
      <c r="B926" s="3" t="s">
        <v>10</v>
      </c>
      <c r="C926" s="3" t="s">
        <v>1616</v>
      </c>
      <c r="D926" s="3" t="s">
        <v>1193</v>
      </c>
      <c r="E926" s="3"/>
      <c r="F926" s="3"/>
      <c r="G926" s="3" t="s">
        <v>16</v>
      </c>
      <c r="H926" s="3" t="s">
        <v>1214</v>
      </c>
    </row>
    <row r="927" spans="1:8" x14ac:dyDescent="0.35">
      <c r="A927" s="3" t="s">
        <v>1605</v>
      </c>
      <c r="B927" s="3" t="s">
        <v>10</v>
      </c>
      <c r="C927" s="3" t="s">
        <v>1616</v>
      </c>
      <c r="D927" s="3" t="s">
        <v>87</v>
      </c>
      <c r="E927" s="3"/>
      <c r="F927" s="3"/>
      <c r="G927" s="3" t="s">
        <v>16</v>
      </c>
      <c r="H927" s="3" t="s">
        <v>1214</v>
      </c>
    </row>
    <row r="928" spans="1:8" x14ac:dyDescent="0.35">
      <c r="A928" s="3" t="s">
        <v>1605</v>
      </c>
      <c r="B928" s="3" t="s">
        <v>10</v>
      </c>
      <c r="C928" s="3" t="s">
        <v>1616</v>
      </c>
      <c r="D928" s="3" t="s">
        <v>1216</v>
      </c>
      <c r="E928" s="3" t="s">
        <v>16</v>
      </c>
      <c r="F928" s="3" t="s">
        <v>1474</v>
      </c>
      <c r="G928" s="3" t="s">
        <v>16</v>
      </c>
      <c r="H928" s="3" t="s">
        <v>1214</v>
      </c>
    </row>
    <row r="929" spans="1:8" x14ac:dyDescent="0.35">
      <c r="A929" s="3" t="s">
        <v>1605</v>
      </c>
      <c r="B929" s="3" t="s">
        <v>10</v>
      </c>
      <c r="C929" s="3" t="s">
        <v>1616</v>
      </c>
      <c r="D929" s="3" t="s">
        <v>56</v>
      </c>
      <c r="E929" s="3" t="s">
        <v>16</v>
      </c>
      <c r="F929" s="3" t="s">
        <v>1474</v>
      </c>
      <c r="G929" s="3" t="s">
        <v>16</v>
      </c>
      <c r="H929" s="3" t="s">
        <v>1214</v>
      </c>
    </row>
    <row r="930" spans="1:8" x14ac:dyDescent="0.35">
      <c r="A930" s="3" t="s">
        <v>1605</v>
      </c>
      <c r="B930" s="3" t="s">
        <v>10</v>
      </c>
      <c r="C930" s="3" t="s">
        <v>1616</v>
      </c>
      <c r="D930" s="3" t="s">
        <v>29</v>
      </c>
      <c r="E930" s="3"/>
      <c r="F930" s="3"/>
      <c r="G930" s="3" t="s">
        <v>16</v>
      </c>
      <c r="H930" s="3" t="s">
        <v>1214</v>
      </c>
    </row>
    <row r="931" spans="1:8" x14ac:dyDescent="0.35">
      <c r="A931" s="3" t="s">
        <v>1605</v>
      </c>
      <c r="B931" s="3" t="s">
        <v>10</v>
      </c>
      <c r="C931" s="3" t="s">
        <v>1616</v>
      </c>
      <c r="D931" s="3" t="s">
        <v>630</v>
      </c>
      <c r="E931" s="3" t="s">
        <v>16</v>
      </c>
      <c r="F931" s="3" t="s">
        <v>1474</v>
      </c>
      <c r="G931" s="3" t="s">
        <v>16</v>
      </c>
      <c r="H931" s="3" t="s">
        <v>1214</v>
      </c>
    </row>
    <row r="932" spans="1:8" x14ac:dyDescent="0.35">
      <c r="A932" s="3" t="s">
        <v>1605</v>
      </c>
      <c r="B932" s="3" t="s">
        <v>20</v>
      </c>
      <c r="C932" s="3" t="s">
        <v>1617</v>
      </c>
      <c r="D932" s="3" t="s">
        <v>25</v>
      </c>
      <c r="E932" s="3" t="s">
        <v>16</v>
      </c>
      <c r="F932" s="3" t="s">
        <v>1618</v>
      </c>
      <c r="G932" s="3" t="s">
        <v>16</v>
      </c>
      <c r="H932" s="3" t="s">
        <v>1214</v>
      </c>
    </row>
    <row r="933" spans="1:8" x14ac:dyDescent="0.35">
      <c r="A933" s="3" t="s">
        <v>1605</v>
      </c>
      <c r="B933" s="3" t="s">
        <v>20</v>
      </c>
      <c r="C933" s="3" t="s">
        <v>1617</v>
      </c>
      <c r="D933" s="3" t="s">
        <v>71</v>
      </c>
      <c r="E933" s="3"/>
      <c r="F933" s="3"/>
      <c r="G933" s="3" t="s">
        <v>16</v>
      </c>
      <c r="H933" s="3" t="s">
        <v>1214</v>
      </c>
    </row>
    <row r="934" spans="1:8" x14ac:dyDescent="0.35">
      <c r="A934" s="3" t="s">
        <v>1605</v>
      </c>
      <c r="B934" s="3" t="s">
        <v>20</v>
      </c>
      <c r="C934" s="3" t="s">
        <v>1617</v>
      </c>
      <c r="D934" s="3" t="s">
        <v>242</v>
      </c>
      <c r="E934" s="3" t="s">
        <v>16</v>
      </c>
      <c r="F934" s="3" t="s">
        <v>1618</v>
      </c>
      <c r="G934" s="3" t="s">
        <v>16</v>
      </c>
      <c r="H934" s="3" t="s">
        <v>1214</v>
      </c>
    </row>
    <row r="935" spans="1:8" x14ac:dyDescent="0.35">
      <c r="A935" s="3" t="s">
        <v>1605</v>
      </c>
      <c r="B935" s="3" t="s">
        <v>20</v>
      </c>
      <c r="C935" s="3" t="s">
        <v>1617</v>
      </c>
      <c r="D935" s="3" t="s">
        <v>1216</v>
      </c>
      <c r="E935" s="3" t="s">
        <v>16</v>
      </c>
      <c r="F935" s="3" t="s">
        <v>1618</v>
      </c>
      <c r="G935" s="3" t="s">
        <v>16</v>
      </c>
      <c r="H935" s="3" t="s">
        <v>1214</v>
      </c>
    </row>
    <row r="936" spans="1:8" x14ac:dyDescent="0.35">
      <c r="A936" s="3" t="s">
        <v>1605</v>
      </c>
      <c r="B936" s="3" t="s">
        <v>20</v>
      </c>
      <c r="C936" s="3" t="s">
        <v>1617</v>
      </c>
      <c r="D936" s="3" t="s">
        <v>56</v>
      </c>
      <c r="E936" s="3" t="s">
        <v>16</v>
      </c>
      <c r="F936" s="3" t="s">
        <v>1618</v>
      </c>
      <c r="G936" s="3" t="s">
        <v>16</v>
      </c>
      <c r="H936" s="3" t="s">
        <v>1214</v>
      </c>
    </row>
    <row r="937" spans="1:8" x14ac:dyDescent="0.35">
      <c r="A937" s="3" t="s">
        <v>1605</v>
      </c>
      <c r="B937" s="3" t="s">
        <v>20</v>
      </c>
      <c r="C937" s="3" t="s">
        <v>1617</v>
      </c>
      <c r="D937" s="3" t="s">
        <v>29</v>
      </c>
      <c r="E937" s="3"/>
      <c r="F937" s="3"/>
      <c r="G937" s="3" t="s">
        <v>16</v>
      </c>
      <c r="H937" s="3" t="s">
        <v>1214</v>
      </c>
    </row>
    <row r="938" spans="1:8" x14ac:dyDescent="0.35">
      <c r="A938" s="3" t="s">
        <v>1605</v>
      </c>
      <c r="B938" s="3" t="s">
        <v>20</v>
      </c>
      <c r="C938" s="3" t="s">
        <v>1617</v>
      </c>
      <c r="D938" s="3" t="s">
        <v>24</v>
      </c>
      <c r="E938" s="3" t="s">
        <v>16</v>
      </c>
      <c r="F938" s="3" t="s">
        <v>1618</v>
      </c>
      <c r="G938" s="3" t="s">
        <v>16</v>
      </c>
      <c r="H938" s="3" t="s">
        <v>1214</v>
      </c>
    </row>
    <row r="939" spans="1:8" x14ac:dyDescent="0.35">
      <c r="A939" s="3" t="s">
        <v>1605</v>
      </c>
      <c r="B939" s="3" t="s">
        <v>39</v>
      </c>
      <c r="C939" s="3" t="s">
        <v>1619</v>
      </c>
      <c r="D939" s="3" t="s">
        <v>242</v>
      </c>
      <c r="E939" s="3" t="s">
        <v>16</v>
      </c>
      <c r="F939" s="3" t="s">
        <v>1620</v>
      </c>
      <c r="G939" s="3" t="s">
        <v>16</v>
      </c>
      <c r="H939" s="3" t="s">
        <v>1214</v>
      </c>
    </row>
    <row r="940" spans="1:8" x14ac:dyDescent="0.35">
      <c r="A940" s="3" t="s">
        <v>1605</v>
      </c>
      <c r="B940" s="3" t="s">
        <v>39</v>
      </c>
      <c r="C940" s="3" t="s">
        <v>1619</v>
      </c>
      <c r="D940" s="3" t="s">
        <v>15</v>
      </c>
      <c r="E940" s="3" t="s">
        <v>16</v>
      </c>
      <c r="F940" s="3" t="s">
        <v>1620</v>
      </c>
      <c r="G940" s="3" t="s">
        <v>16</v>
      </c>
      <c r="H940" s="3" t="s">
        <v>1214</v>
      </c>
    </row>
    <row r="941" spans="1:8" x14ac:dyDescent="0.35">
      <c r="A941" s="3" t="s">
        <v>1605</v>
      </c>
      <c r="B941" s="3" t="s">
        <v>39</v>
      </c>
      <c r="C941" s="3" t="s">
        <v>1619</v>
      </c>
      <c r="D941" s="3" t="s">
        <v>56</v>
      </c>
      <c r="E941" s="3" t="s">
        <v>16</v>
      </c>
      <c r="F941" s="3" t="s">
        <v>1620</v>
      </c>
      <c r="G941" s="3" t="s">
        <v>16</v>
      </c>
      <c r="H941" s="3" t="s">
        <v>1214</v>
      </c>
    </row>
    <row r="942" spans="1:8" x14ac:dyDescent="0.35">
      <c r="A942" s="3" t="s">
        <v>1605</v>
      </c>
      <c r="B942" s="3" t="s">
        <v>39</v>
      </c>
      <c r="C942" s="3" t="s">
        <v>1619</v>
      </c>
      <c r="D942" s="3" t="s">
        <v>24</v>
      </c>
      <c r="E942" s="3" t="s">
        <v>16</v>
      </c>
      <c r="F942" s="3" t="s">
        <v>1620</v>
      </c>
      <c r="G942" s="3" t="s">
        <v>16</v>
      </c>
      <c r="H942" s="3" t="s">
        <v>1214</v>
      </c>
    </row>
    <row r="943" spans="1:8" x14ac:dyDescent="0.35">
      <c r="A943" s="3" t="s">
        <v>1605</v>
      </c>
      <c r="B943" s="3" t="s">
        <v>45</v>
      </c>
      <c r="C943" s="3" t="s">
        <v>1621</v>
      </c>
      <c r="D943" s="3" t="s">
        <v>32</v>
      </c>
      <c r="E943" s="3" t="s">
        <v>16</v>
      </c>
      <c r="F943" s="3" t="s">
        <v>1622</v>
      </c>
      <c r="G943" s="3" t="s">
        <v>16</v>
      </c>
      <c r="H943" s="3" t="s">
        <v>1214</v>
      </c>
    </row>
    <row r="944" spans="1:8" x14ac:dyDescent="0.35">
      <c r="A944" s="3" t="s">
        <v>1605</v>
      </c>
      <c r="B944" s="3" t="s">
        <v>10</v>
      </c>
      <c r="C944" s="3" t="s">
        <v>1623</v>
      </c>
      <c r="D944" s="3" t="s">
        <v>56</v>
      </c>
      <c r="E944" s="3" t="s">
        <v>16</v>
      </c>
      <c r="F944" s="3" t="s">
        <v>1624</v>
      </c>
      <c r="G944" s="3" t="s">
        <v>16</v>
      </c>
      <c r="H944" s="3" t="s">
        <v>1214</v>
      </c>
    </row>
    <row r="945" spans="1:8" x14ac:dyDescent="0.35">
      <c r="A945" s="3" t="s">
        <v>1605</v>
      </c>
      <c r="B945" s="3" t="s">
        <v>45</v>
      </c>
      <c r="C945" s="3" t="s">
        <v>1625</v>
      </c>
      <c r="D945" s="3" t="s">
        <v>12</v>
      </c>
      <c r="E945" s="3"/>
      <c r="F945" s="3"/>
      <c r="G945" s="3" t="s">
        <v>16</v>
      </c>
      <c r="H945" s="3" t="s">
        <v>1214</v>
      </c>
    </row>
    <row r="946" spans="1:8" x14ac:dyDescent="0.35">
      <c r="A946" s="3" t="s">
        <v>1605</v>
      </c>
      <c r="B946" s="3" t="s">
        <v>45</v>
      </c>
      <c r="C946" s="3" t="s">
        <v>1625</v>
      </c>
      <c r="D946" s="3" t="s">
        <v>27</v>
      </c>
      <c r="E946" s="3"/>
      <c r="F946" s="3"/>
      <c r="G946" s="3" t="s">
        <v>16</v>
      </c>
      <c r="H946" s="3" t="s">
        <v>1214</v>
      </c>
    </row>
    <row r="947" spans="1:8" x14ac:dyDescent="0.35">
      <c r="A947" s="3" t="s">
        <v>1605</v>
      </c>
      <c r="B947" s="3" t="s">
        <v>45</v>
      </c>
      <c r="C947" s="3" t="s">
        <v>1625</v>
      </c>
      <c r="D947" s="3" t="s">
        <v>87</v>
      </c>
      <c r="E947" s="3"/>
      <c r="F947" s="3"/>
      <c r="G947" s="3" t="s">
        <v>16</v>
      </c>
      <c r="H947" s="3" t="s">
        <v>1214</v>
      </c>
    </row>
    <row r="948" spans="1:8" x14ac:dyDescent="0.35">
      <c r="A948" s="3" t="s">
        <v>1605</v>
      </c>
      <c r="B948" s="3" t="s">
        <v>591</v>
      </c>
      <c r="C948" s="3" t="s">
        <v>1626</v>
      </c>
      <c r="D948" s="3" t="s">
        <v>27</v>
      </c>
      <c r="E948" s="3"/>
      <c r="F948" s="3"/>
      <c r="G948" s="3" t="s">
        <v>16</v>
      </c>
      <c r="H948" s="3" t="s">
        <v>1214</v>
      </c>
    </row>
    <row r="949" spans="1:8" x14ac:dyDescent="0.35">
      <c r="A949" s="3" t="s">
        <v>1605</v>
      </c>
      <c r="B949" s="3" t="s">
        <v>39</v>
      </c>
      <c r="C949" s="3" t="s">
        <v>1627</v>
      </c>
      <c r="D949" s="3" t="s">
        <v>27</v>
      </c>
      <c r="E949" s="3" t="s">
        <v>16</v>
      </c>
      <c r="F949" s="3" t="s">
        <v>1249</v>
      </c>
      <c r="G949" s="3" t="s">
        <v>16</v>
      </c>
      <c r="H949" s="3" t="s">
        <v>1214</v>
      </c>
    </row>
    <row r="950" spans="1:8" x14ac:dyDescent="0.35">
      <c r="A950" s="3" t="s">
        <v>1605</v>
      </c>
      <c r="B950" s="3" t="s">
        <v>39</v>
      </c>
      <c r="C950" s="3" t="s">
        <v>1627</v>
      </c>
      <c r="D950" s="3" t="s">
        <v>71</v>
      </c>
      <c r="E950" s="3" t="s">
        <v>16</v>
      </c>
      <c r="F950" s="3" t="s">
        <v>1249</v>
      </c>
      <c r="G950" s="3" t="s">
        <v>16</v>
      </c>
      <c r="H950" s="3" t="s">
        <v>1214</v>
      </c>
    </row>
    <row r="951" spans="1:8" x14ac:dyDescent="0.35">
      <c r="A951" s="3" t="s">
        <v>1605</v>
      </c>
      <c r="B951" s="3" t="s">
        <v>39</v>
      </c>
      <c r="C951" s="3" t="s">
        <v>1627</v>
      </c>
      <c r="D951" s="3" t="s">
        <v>28</v>
      </c>
      <c r="E951" s="3" t="s">
        <v>16</v>
      </c>
      <c r="F951" s="3" t="s">
        <v>1249</v>
      </c>
      <c r="G951" s="3" t="s">
        <v>16</v>
      </c>
      <c r="H951" s="3" t="s">
        <v>1214</v>
      </c>
    </row>
    <row r="952" spans="1:8" x14ac:dyDescent="0.35">
      <c r="A952" s="3" t="s">
        <v>1605</v>
      </c>
      <c r="B952" s="3" t="s">
        <v>39</v>
      </c>
      <c r="C952" s="3" t="s">
        <v>1627</v>
      </c>
      <c r="D952" s="3" t="s">
        <v>15</v>
      </c>
      <c r="E952" s="3" t="s">
        <v>16</v>
      </c>
      <c r="F952" s="3" t="s">
        <v>1249</v>
      </c>
      <c r="G952" s="3" t="s">
        <v>16</v>
      </c>
      <c r="H952" s="3" t="s">
        <v>1214</v>
      </c>
    </row>
    <row r="953" spans="1:8" x14ac:dyDescent="0.35">
      <c r="A953" s="3" t="s">
        <v>1605</v>
      </c>
      <c r="B953" s="3" t="s">
        <v>39</v>
      </c>
      <c r="C953" s="3" t="s">
        <v>1627</v>
      </c>
      <c r="D953" s="3" t="s">
        <v>32</v>
      </c>
      <c r="E953" s="3" t="s">
        <v>16</v>
      </c>
      <c r="F953" s="3" t="s">
        <v>1249</v>
      </c>
      <c r="G953" s="3" t="s">
        <v>16</v>
      </c>
      <c r="H953" s="3" t="s">
        <v>1214</v>
      </c>
    </row>
    <row r="954" spans="1:8" x14ac:dyDescent="0.35">
      <c r="A954" s="3" t="s">
        <v>1605</v>
      </c>
      <c r="B954" s="3" t="s">
        <v>39</v>
      </c>
      <c r="C954" s="3" t="s">
        <v>1627</v>
      </c>
      <c r="D954" s="3" t="s">
        <v>29</v>
      </c>
      <c r="E954" s="3" t="s">
        <v>16</v>
      </c>
      <c r="F954" s="3" t="s">
        <v>1249</v>
      </c>
      <c r="G954" s="3" t="s">
        <v>16</v>
      </c>
      <c r="H954" s="3" t="s">
        <v>1214</v>
      </c>
    </row>
    <row r="955" spans="1:8" x14ac:dyDescent="0.35">
      <c r="A955" s="3" t="s">
        <v>1605</v>
      </c>
      <c r="B955" s="3" t="s">
        <v>39</v>
      </c>
      <c r="C955" s="3" t="s">
        <v>1627</v>
      </c>
      <c r="D955" s="3" t="s">
        <v>244</v>
      </c>
      <c r="E955" s="3" t="s">
        <v>16</v>
      </c>
      <c r="F955" s="3" t="s">
        <v>1249</v>
      </c>
      <c r="G955" s="3" t="s">
        <v>16</v>
      </c>
      <c r="H955" s="3" t="s">
        <v>1214</v>
      </c>
    </row>
    <row r="956" spans="1:8" x14ac:dyDescent="0.35">
      <c r="A956" s="3" t="s">
        <v>1605</v>
      </c>
      <c r="B956" s="3" t="s">
        <v>39</v>
      </c>
      <c r="C956" s="3" t="s">
        <v>1628</v>
      </c>
      <c r="D956" s="3" t="s">
        <v>27</v>
      </c>
      <c r="E956" s="3" t="s">
        <v>16</v>
      </c>
      <c r="F956" s="3" t="s">
        <v>1629</v>
      </c>
      <c r="G956" s="3" t="s">
        <v>16</v>
      </c>
      <c r="H956" s="3" t="s">
        <v>1214</v>
      </c>
    </row>
    <row r="957" spans="1:8" x14ac:dyDescent="0.35">
      <c r="A957" s="3" t="s">
        <v>1605</v>
      </c>
      <c r="B957" s="3" t="s">
        <v>39</v>
      </c>
      <c r="C957" s="3" t="s">
        <v>1628</v>
      </c>
      <c r="D957" s="3" t="s">
        <v>31</v>
      </c>
      <c r="E957" s="3" t="s">
        <v>16</v>
      </c>
      <c r="F957" s="3" t="s">
        <v>1629</v>
      </c>
      <c r="G957" s="3" t="s">
        <v>16</v>
      </c>
      <c r="H957" s="3" t="s">
        <v>1214</v>
      </c>
    </row>
    <row r="958" spans="1:8" x14ac:dyDescent="0.35">
      <c r="A958" s="3" t="s">
        <v>1605</v>
      </c>
      <c r="B958" s="3" t="s">
        <v>39</v>
      </c>
      <c r="C958" s="3" t="s">
        <v>1628</v>
      </c>
      <c r="D958" s="3" t="s">
        <v>15</v>
      </c>
      <c r="E958" s="3" t="s">
        <v>16</v>
      </c>
      <c r="F958" s="3" t="s">
        <v>1629</v>
      </c>
      <c r="G958" s="3" t="s">
        <v>16</v>
      </c>
      <c r="H958" s="3" t="s">
        <v>1214</v>
      </c>
    </row>
    <row r="959" spans="1:8" x14ac:dyDescent="0.35">
      <c r="A959" s="3" t="s">
        <v>1605</v>
      </c>
      <c r="B959" s="3" t="s">
        <v>10</v>
      </c>
      <c r="C959" s="3" t="s">
        <v>1630</v>
      </c>
      <c r="D959" s="3" t="s">
        <v>27</v>
      </c>
      <c r="E959" s="3"/>
      <c r="F959" s="3"/>
      <c r="G959" s="3" t="s">
        <v>16</v>
      </c>
      <c r="H959" s="3" t="s">
        <v>1214</v>
      </c>
    </row>
    <row r="960" spans="1:8" x14ac:dyDescent="0.35">
      <c r="A960" s="3" t="s">
        <v>1605</v>
      </c>
      <c r="B960" s="3" t="s">
        <v>10</v>
      </c>
      <c r="C960" s="3" t="s">
        <v>1630</v>
      </c>
      <c r="D960" s="3" t="s">
        <v>15</v>
      </c>
      <c r="E960" s="3"/>
      <c r="F960" s="3"/>
      <c r="G960" s="3" t="s">
        <v>16</v>
      </c>
      <c r="H960" s="3" t="s">
        <v>1214</v>
      </c>
    </row>
    <row r="961" spans="1:8" x14ac:dyDescent="0.35">
      <c r="A961" s="3" t="s">
        <v>1605</v>
      </c>
      <c r="B961" s="3" t="s">
        <v>10</v>
      </c>
      <c r="C961" s="3" t="s">
        <v>1630</v>
      </c>
      <c r="D961" s="3" t="s">
        <v>134</v>
      </c>
      <c r="E961" s="3"/>
      <c r="F961" s="3"/>
      <c r="G961" s="3" t="s">
        <v>16</v>
      </c>
      <c r="H961" s="3" t="s">
        <v>1214</v>
      </c>
    </row>
    <row r="962" spans="1:8" x14ac:dyDescent="0.35">
      <c r="A962" s="3" t="s">
        <v>1605</v>
      </c>
      <c r="B962" s="3" t="s">
        <v>10</v>
      </c>
      <c r="C962" s="3" t="s">
        <v>1631</v>
      </c>
      <c r="D962" s="3" t="s">
        <v>12</v>
      </c>
      <c r="E962" s="3"/>
      <c r="F962" s="3"/>
      <c r="G962" s="3" t="s">
        <v>16</v>
      </c>
      <c r="H962" s="3" t="s">
        <v>1214</v>
      </c>
    </row>
    <row r="963" spans="1:8" x14ac:dyDescent="0.35">
      <c r="A963" s="3" t="s">
        <v>1605</v>
      </c>
      <c r="B963" s="3" t="s">
        <v>10</v>
      </c>
      <c r="C963" s="3" t="s">
        <v>1631</v>
      </c>
      <c r="D963" s="3" t="s">
        <v>77</v>
      </c>
      <c r="E963" s="3" t="s">
        <v>16</v>
      </c>
      <c r="F963" s="3" t="s">
        <v>1632</v>
      </c>
      <c r="G963" s="3" t="s">
        <v>16</v>
      </c>
      <c r="H963" s="3" t="s">
        <v>1214</v>
      </c>
    </row>
    <row r="964" spans="1:8" x14ac:dyDescent="0.35">
      <c r="A964" s="3" t="s">
        <v>1605</v>
      </c>
      <c r="B964" s="3" t="s">
        <v>10</v>
      </c>
      <c r="C964" s="3" t="s">
        <v>1631</v>
      </c>
      <c r="D964" s="3" t="s">
        <v>15</v>
      </c>
      <c r="E964" s="3" t="s">
        <v>16</v>
      </c>
      <c r="F964" s="3" t="s">
        <v>1235</v>
      </c>
      <c r="G964" s="3" t="s">
        <v>16</v>
      </c>
      <c r="H964" s="3" t="s">
        <v>1214</v>
      </c>
    </row>
    <row r="965" spans="1:8" x14ac:dyDescent="0.35">
      <c r="A965" s="3" t="s">
        <v>1605</v>
      </c>
      <c r="B965" s="3" t="s">
        <v>10</v>
      </c>
      <c r="C965" s="3" t="s">
        <v>1631</v>
      </c>
      <c r="D965" s="3" t="s">
        <v>57</v>
      </c>
      <c r="E965" s="3"/>
      <c r="F965" s="3"/>
      <c r="G965" s="3" t="s">
        <v>16</v>
      </c>
      <c r="H965" s="3" t="s">
        <v>1214</v>
      </c>
    </row>
    <row r="966" spans="1:8" x14ac:dyDescent="0.35">
      <c r="A966" s="3" t="s">
        <v>1605</v>
      </c>
      <c r="B966" s="3" t="s">
        <v>10</v>
      </c>
      <c r="C966" s="3" t="s">
        <v>1631</v>
      </c>
      <c r="D966" s="3" t="s">
        <v>56</v>
      </c>
      <c r="E966" s="3"/>
      <c r="F966" s="3"/>
      <c r="G966" s="3" t="s">
        <v>16</v>
      </c>
      <c r="H966" s="3" t="s">
        <v>1214</v>
      </c>
    </row>
    <row r="967" spans="1:8" x14ac:dyDescent="0.35">
      <c r="A967" s="3" t="s">
        <v>1605</v>
      </c>
      <c r="B967" s="3" t="s">
        <v>10</v>
      </c>
      <c r="C967" s="3" t="s">
        <v>1631</v>
      </c>
      <c r="D967" s="3" t="s">
        <v>24</v>
      </c>
      <c r="E967" s="3"/>
      <c r="F967" s="3"/>
      <c r="G967" s="3" t="s">
        <v>16</v>
      </c>
      <c r="H967" s="3" t="s">
        <v>1214</v>
      </c>
    </row>
    <row r="968" spans="1:8" x14ac:dyDescent="0.35">
      <c r="A968" s="3" t="s">
        <v>1605</v>
      </c>
      <c r="B968" s="3" t="s">
        <v>10</v>
      </c>
      <c r="C968" s="3" t="s">
        <v>1631</v>
      </c>
      <c r="D968" s="3" t="s">
        <v>134</v>
      </c>
      <c r="E968" s="3"/>
      <c r="F968" s="3"/>
      <c r="G968" s="3" t="s">
        <v>16</v>
      </c>
      <c r="H968" s="3" t="s">
        <v>1214</v>
      </c>
    </row>
    <row r="969" spans="1:8" x14ac:dyDescent="0.35">
      <c r="A969" s="3" t="s">
        <v>1605</v>
      </c>
      <c r="B969" s="3" t="s">
        <v>45</v>
      </c>
      <c r="C969" s="3" t="s">
        <v>1633</v>
      </c>
      <c r="D969" s="3" t="s">
        <v>27</v>
      </c>
      <c r="E969" s="3"/>
      <c r="F969" s="3"/>
      <c r="G969" s="3" t="s">
        <v>16</v>
      </c>
      <c r="H969" s="3" t="s">
        <v>1214</v>
      </c>
    </row>
    <row r="970" spans="1:8" x14ac:dyDescent="0.35">
      <c r="A970" s="3" t="s">
        <v>1605</v>
      </c>
      <c r="B970" s="3" t="s">
        <v>45</v>
      </c>
      <c r="C970" s="3" t="s">
        <v>1633</v>
      </c>
      <c r="D970" s="3" t="s">
        <v>87</v>
      </c>
      <c r="E970" s="3"/>
      <c r="F970" s="3"/>
      <c r="G970" s="3" t="s">
        <v>16</v>
      </c>
      <c r="H970" s="3" t="s">
        <v>1214</v>
      </c>
    </row>
    <row r="971" spans="1:8" x14ac:dyDescent="0.35">
      <c r="A971" s="3" t="s">
        <v>1605</v>
      </c>
      <c r="B971" s="3" t="s">
        <v>45</v>
      </c>
      <c r="C971" s="3" t="s">
        <v>1633</v>
      </c>
      <c r="D971" s="3" t="s">
        <v>15</v>
      </c>
      <c r="E971" s="3" t="s">
        <v>16</v>
      </c>
      <c r="F971" s="3" t="s">
        <v>1634</v>
      </c>
      <c r="G971" s="3" t="s">
        <v>16</v>
      </c>
      <c r="H971" s="3" t="s">
        <v>1214</v>
      </c>
    </row>
    <row r="972" spans="1:8" x14ac:dyDescent="0.35">
      <c r="A972" s="3" t="s">
        <v>1605</v>
      </c>
      <c r="B972" s="3" t="s">
        <v>45</v>
      </c>
      <c r="C972" s="3" t="s">
        <v>1633</v>
      </c>
      <c r="D972" s="3" t="s">
        <v>56</v>
      </c>
      <c r="E972" s="3" t="s">
        <v>16</v>
      </c>
      <c r="F972" s="3" t="s">
        <v>1634</v>
      </c>
      <c r="G972" s="3" t="s">
        <v>16</v>
      </c>
      <c r="H972" s="3" t="s">
        <v>1214</v>
      </c>
    </row>
    <row r="973" spans="1:8" x14ac:dyDescent="0.35">
      <c r="A973" s="3" t="s">
        <v>1605</v>
      </c>
      <c r="B973" s="3" t="s">
        <v>45</v>
      </c>
      <c r="C973" s="3" t="s">
        <v>1633</v>
      </c>
      <c r="D973" s="3" t="s">
        <v>29</v>
      </c>
      <c r="E973" s="3"/>
      <c r="F973" s="3"/>
      <c r="G973" s="3" t="s">
        <v>16</v>
      </c>
      <c r="H973" s="3" t="s">
        <v>1214</v>
      </c>
    </row>
    <row r="974" spans="1:8" x14ac:dyDescent="0.35">
      <c r="A974" s="3" t="s">
        <v>1605</v>
      </c>
      <c r="B974" s="3" t="s">
        <v>45</v>
      </c>
      <c r="C974" s="3" t="s">
        <v>1633</v>
      </c>
      <c r="D974" s="3" t="s">
        <v>24</v>
      </c>
      <c r="E974" s="3"/>
      <c r="F974" s="3"/>
      <c r="G974" s="3" t="s">
        <v>16</v>
      </c>
      <c r="H974" s="3" t="s">
        <v>1214</v>
      </c>
    </row>
    <row r="975" spans="1:8" x14ac:dyDescent="0.35">
      <c r="A975" s="3" t="s">
        <v>1605</v>
      </c>
      <c r="B975" s="3" t="s">
        <v>45</v>
      </c>
      <c r="C975" s="3" t="s">
        <v>1635</v>
      </c>
      <c r="D975" s="3" t="s">
        <v>77</v>
      </c>
      <c r="E975" s="3"/>
      <c r="F975" s="3"/>
      <c r="G975" s="3" t="s">
        <v>16</v>
      </c>
      <c r="H975" s="3" t="s">
        <v>1214</v>
      </c>
    </row>
    <row r="976" spans="1:8" x14ac:dyDescent="0.35">
      <c r="A976" s="3" t="s">
        <v>1605</v>
      </c>
      <c r="B976" s="3" t="s">
        <v>45</v>
      </c>
      <c r="C976" s="3" t="s">
        <v>1635</v>
      </c>
      <c r="D976" s="3" t="s">
        <v>15</v>
      </c>
      <c r="E976" s="3" t="s">
        <v>16</v>
      </c>
      <c r="F976" s="3" t="s">
        <v>1636</v>
      </c>
      <c r="G976" s="3" t="s">
        <v>16</v>
      </c>
      <c r="H976" s="3" t="s">
        <v>1214</v>
      </c>
    </row>
    <row r="977" spans="1:8" x14ac:dyDescent="0.35">
      <c r="A977" s="3" t="s">
        <v>1605</v>
      </c>
      <c r="B977" s="3" t="s">
        <v>45</v>
      </c>
      <c r="C977" s="3" t="s">
        <v>1635</v>
      </c>
      <c r="D977" s="3" t="s">
        <v>24</v>
      </c>
      <c r="E977" s="3"/>
      <c r="F977" s="3"/>
      <c r="G977" s="3" t="s">
        <v>16</v>
      </c>
      <c r="H977" s="3" t="s">
        <v>1214</v>
      </c>
    </row>
    <row r="978" spans="1:8" x14ac:dyDescent="0.35">
      <c r="A978" s="3" t="s">
        <v>1605</v>
      </c>
      <c r="B978" s="3" t="s">
        <v>45</v>
      </c>
      <c r="C978" s="3" t="s">
        <v>1637</v>
      </c>
      <c r="D978" s="3" t="s">
        <v>27</v>
      </c>
      <c r="E978" s="3"/>
      <c r="F978" s="3"/>
      <c r="G978" s="3" t="s">
        <v>16</v>
      </c>
      <c r="H978" s="3" t="s">
        <v>1214</v>
      </c>
    </row>
    <row r="979" spans="1:8" x14ac:dyDescent="0.35">
      <c r="A979" s="3" t="s">
        <v>1605</v>
      </c>
      <c r="B979" s="3" t="s">
        <v>45</v>
      </c>
      <c r="C979" s="3" t="s">
        <v>1637</v>
      </c>
      <c r="D979" s="3" t="s">
        <v>77</v>
      </c>
      <c r="E979" s="3"/>
      <c r="F979" s="3"/>
      <c r="G979" s="3" t="s">
        <v>16</v>
      </c>
      <c r="H979" s="3" t="s">
        <v>1214</v>
      </c>
    </row>
    <row r="980" spans="1:8" x14ac:dyDescent="0.35">
      <c r="A980" s="3" t="s">
        <v>1605</v>
      </c>
      <c r="B980" s="3" t="s">
        <v>45</v>
      </c>
      <c r="C980" s="3" t="s">
        <v>1637</v>
      </c>
      <c r="D980" s="3" t="s">
        <v>56</v>
      </c>
      <c r="E980" s="3"/>
      <c r="F980" s="3"/>
      <c r="G980" s="3" t="s">
        <v>16</v>
      </c>
      <c r="H980" s="3" t="s">
        <v>1214</v>
      </c>
    </row>
    <row r="981" spans="1:8" x14ac:dyDescent="0.35">
      <c r="A981" s="3" t="s">
        <v>1605</v>
      </c>
      <c r="B981" s="3" t="s">
        <v>45</v>
      </c>
      <c r="C981" s="3" t="s">
        <v>1637</v>
      </c>
      <c r="D981" s="3" t="s">
        <v>24</v>
      </c>
      <c r="E981" s="3"/>
      <c r="F981" s="3"/>
      <c r="G981" s="3" t="s">
        <v>16</v>
      </c>
      <c r="H981" s="3" t="s">
        <v>1214</v>
      </c>
    </row>
    <row r="982" spans="1:8" x14ac:dyDescent="0.35">
      <c r="A982" s="3" t="s">
        <v>1605</v>
      </c>
      <c r="B982" s="3" t="s">
        <v>20</v>
      </c>
      <c r="C982" s="3" t="s">
        <v>1638</v>
      </c>
      <c r="D982" s="3" t="s">
        <v>36</v>
      </c>
      <c r="E982" s="3" t="s">
        <v>16</v>
      </c>
      <c r="F982" s="3" t="s">
        <v>1639</v>
      </c>
      <c r="G982" s="3" t="s">
        <v>16</v>
      </c>
      <c r="H982" s="3" t="s">
        <v>1214</v>
      </c>
    </row>
    <row r="983" spans="1:8" x14ac:dyDescent="0.35">
      <c r="A983" s="3" t="s">
        <v>1605</v>
      </c>
      <c r="B983" s="3" t="s">
        <v>20</v>
      </c>
      <c r="C983" s="3" t="s">
        <v>1638</v>
      </c>
      <c r="D983" s="3" t="s">
        <v>60</v>
      </c>
      <c r="E983" s="3"/>
      <c r="F983" s="3"/>
      <c r="G983" s="3" t="s">
        <v>16</v>
      </c>
      <c r="H983" s="3" t="s">
        <v>1214</v>
      </c>
    </row>
    <row r="984" spans="1:8" x14ac:dyDescent="0.35">
      <c r="A984" s="3" t="s">
        <v>1605</v>
      </c>
      <c r="B984" s="3" t="s">
        <v>20</v>
      </c>
      <c r="C984" s="3" t="s">
        <v>1638</v>
      </c>
      <c r="D984" s="3" t="s">
        <v>27</v>
      </c>
      <c r="E984" s="3"/>
      <c r="F984" s="3"/>
      <c r="G984" s="3" t="s">
        <v>16</v>
      </c>
      <c r="H984" s="3" t="s">
        <v>1214</v>
      </c>
    </row>
    <row r="985" spans="1:8" x14ac:dyDescent="0.35">
      <c r="A985" s="3" t="s">
        <v>1605</v>
      </c>
      <c r="B985" s="3" t="s">
        <v>20</v>
      </c>
      <c r="C985" s="3" t="s">
        <v>1638</v>
      </c>
      <c r="D985" s="3" t="s">
        <v>77</v>
      </c>
      <c r="E985" s="3"/>
      <c r="F985" s="3"/>
      <c r="G985" s="3" t="s">
        <v>16</v>
      </c>
      <c r="H985" s="3" t="s">
        <v>1214</v>
      </c>
    </row>
    <row r="986" spans="1:8" x14ac:dyDescent="0.35">
      <c r="A986" s="3" t="s">
        <v>1605</v>
      </c>
      <c r="B986" s="3" t="s">
        <v>20</v>
      </c>
      <c r="C986" s="3" t="s">
        <v>1638</v>
      </c>
      <c r="D986" s="3" t="s">
        <v>87</v>
      </c>
      <c r="E986" s="3"/>
      <c r="F986" s="3"/>
      <c r="G986" s="3" t="s">
        <v>16</v>
      </c>
      <c r="H986" s="3" t="s">
        <v>1214</v>
      </c>
    </row>
    <row r="987" spans="1:8" x14ac:dyDescent="0.35">
      <c r="A987" s="3" t="s">
        <v>1605</v>
      </c>
      <c r="B987" s="3" t="s">
        <v>20</v>
      </c>
      <c r="C987" s="3" t="s">
        <v>1638</v>
      </c>
      <c r="D987" s="3" t="s">
        <v>15</v>
      </c>
      <c r="E987" s="3" t="s">
        <v>16</v>
      </c>
      <c r="F987" s="3" t="s">
        <v>1641</v>
      </c>
      <c r="G987" s="3" t="s">
        <v>16</v>
      </c>
      <c r="H987" s="3" t="s">
        <v>1214</v>
      </c>
    </row>
    <row r="988" spans="1:8" x14ac:dyDescent="0.35">
      <c r="A988" s="3" t="s">
        <v>1605</v>
      </c>
      <c r="B988" s="3" t="s">
        <v>20</v>
      </c>
      <c r="C988" s="3" t="s">
        <v>1638</v>
      </c>
      <c r="D988" s="3" t="s">
        <v>56</v>
      </c>
      <c r="E988" s="3" t="s">
        <v>16</v>
      </c>
      <c r="F988" s="3" t="s">
        <v>1640</v>
      </c>
      <c r="G988" s="3" t="s">
        <v>16</v>
      </c>
      <c r="H988" s="3" t="s">
        <v>1214</v>
      </c>
    </row>
    <row r="989" spans="1:8" x14ac:dyDescent="0.35">
      <c r="A989" s="3" t="s">
        <v>1605</v>
      </c>
      <c r="B989" s="3" t="s">
        <v>20</v>
      </c>
      <c r="C989" s="3" t="s">
        <v>1638</v>
      </c>
      <c r="D989" s="3" t="s">
        <v>29</v>
      </c>
      <c r="E989" s="3"/>
      <c r="F989" s="3"/>
      <c r="G989" s="3" t="s">
        <v>16</v>
      </c>
      <c r="H989" s="3" t="s">
        <v>1214</v>
      </c>
    </row>
    <row r="990" spans="1:8" x14ac:dyDescent="0.35">
      <c r="A990" s="3" t="s">
        <v>1605</v>
      </c>
      <c r="B990" s="3" t="s">
        <v>20</v>
      </c>
      <c r="C990" s="3" t="s">
        <v>1638</v>
      </c>
      <c r="D990" s="3" t="s">
        <v>24</v>
      </c>
      <c r="E990" s="3"/>
      <c r="F990" s="3"/>
      <c r="G990" s="3" t="s">
        <v>16</v>
      </c>
      <c r="H990" s="3" t="s">
        <v>1214</v>
      </c>
    </row>
    <row r="991" spans="1:8" x14ac:dyDescent="0.35">
      <c r="A991" s="3" t="s">
        <v>1605</v>
      </c>
      <c r="B991" s="3" t="s">
        <v>20</v>
      </c>
      <c r="C991" s="3" t="s">
        <v>1638</v>
      </c>
      <c r="D991" s="3" t="s">
        <v>107</v>
      </c>
      <c r="E991" s="3"/>
      <c r="F991" s="3"/>
      <c r="G991" s="3" t="s">
        <v>16</v>
      </c>
      <c r="H991" s="3" t="s">
        <v>1214</v>
      </c>
    </row>
    <row r="992" spans="1:8" x14ac:dyDescent="0.35">
      <c r="A992" s="3" t="s">
        <v>1605</v>
      </c>
      <c r="B992" s="3" t="s">
        <v>45</v>
      </c>
      <c r="C992" s="3" t="s">
        <v>1642</v>
      </c>
      <c r="D992" s="3" t="s">
        <v>27</v>
      </c>
      <c r="E992" s="3"/>
      <c r="F992" s="3"/>
      <c r="G992" s="3" t="s">
        <v>16</v>
      </c>
      <c r="H992" s="3" t="s">
        <v>1214</v>
      </c>
    </row>
    <row r="993" spans="1:8" x14ac:dyDescent="0.35">
      <c r="A993" s="3" t="s">
        <v>1605</v>
      </c>
      <c r="B993" s="3" t="s">
        <v>45</v>
      </c>
      <c r="C993" s="3" t="s">
        <v>1642</v>
      </c>
      <c r="D993" s="3" t="s">
        <v>77</v>
      </c>
      <c r="E993" s="3"/>
      <c r="F993" s="3"/>
      <c r="G993" s="3" t="s">
        <v>16</v>
      </c>
      <c r="H993" s="3" t="s">
        <v>1214</v>
      </c>
    </row>
    <row r="994" spans="1:8" x14ac:dyDescent="0.35">
      <c r="A994" s="3" t="s">
        <v>1605</v>
      </c>
      <c r="B994" s="3" t="s">
        <v>45</v>
      </c>
      <c r="C994" s="3" t="s">
        <v>1642</v>
      </c>
      <c r="D994" s="3" t="s">
        <v>87</v>
      </c>
      <c r="E994" s="3"/>
      <c r="F994" s="3"/>
      <c r="G994" s="3" t="s">
        <v>16</v>
      </c>
      <c r="H994" s="3" t="s">
        <v>1214</v>
      </c>
    </row>
    <row r="995" spans="1:8" x14ac:dyDescent="0.35">
      <c r="A995" s="3" t="s">
        <v>1605</v>
      </c>
      <c r="B995" s="3" t="s">
        <v>45</v>
      </c>
      <c r="C995" s="3" t="s">
        <v>1642</v>
      </c>
      <c r="D995" s="3" t="s">
        <v>15</v>
      </c>
      <c r="E995" s="3" t="s">
        <v>16</v>
      </c>
      <c r="F995" s="3" t="s">
        <v>1644</v>
      </c>
      <c r="G995" s="3" t="s">
        <v>16</v>
      </c>
      <c r="H995" s="3" t="s">
        <v>1214</v>
      </c>
    </row>
    <row r="996" spans="1:8" x14ac:dyDescent="0.35">
      <c r="A996" s="3" t="s">
        <v>1605</v>
      </c>
      <c r="B996" s="3" t="s">
        <v>45</v>
      </c>
      <c r="C996" s="3" t="s">
        <v>1642</v>
      </c>
      <c r="D996" s="3" t="s">
        <v>56</v>
      </c>
      <c r="E996" s="3" t="s">
        <v>16</v>
      </c>
      <c r="F996" s="3" t="s">
        <v>1643</v>
      </c>
      <c r="G996" s="3" t="s">
        <v>16</v>
      </c>
      <c r="H996" s="3" t="s">
        <v>1214</v>
      </c>
    </row>
    <row r="997" spans="1:8" x14ac:dyDescent="0.35">
      <c r="A997" s="3" t="s">
        <v>1605</v>
      </c>
      <c r="B997" s="3" t="s">
        <v>45</v>
      </c>
      <c r="C997" s="3" t="s">
        <v>1642</v>
      </c>
      <c r="D997" s="3" t="s">
        <v>29</v>
      </c>
      <c r="E997" s="3"/>
      <c r="F997" s="3"/>
      <c r="G997" s="3" t="s">
        <v>16</v>
      </c>
      <c r="H997" s="3" t="s">
        <v>1214</v>
      </c>
    </row>
    <row r="998" spans="1:8" x14ac:dyDescent="0.35">
      <c r="A998" s="3" t="s">
        <v>1605</v>
      </c>
      <c r="B998" s="3" t="s">
        <v>45</v>
      </c>
      <c r="C998" s="3" t="s">
        <v>1642</v>
      </c>
      <c r="D998" s="3" t="s">
        <v>107</v>
      </c>
      <c r="E998" s="3" t="s">
        <v>16</v>
      </c>
      <c r="F998" s="3" t="s">
        <v>1645</v>
      </c>
      <c r="G998" s="3" t="s">
        <v>16</v>
      </c>
      <c r="H998" s="3" t="s">
        <v>1214</v>
      </c>
    </row>
    <row r="999" spans="1:8" x14ac:dyDescent="0.35">
      <c r="A999" s="3" t="s">
        <v>1605</v>
      </c>
      <c r="B999" s="3" t="s">
        <v>10</v>
      </c>
      <c r="C999" s="3" t="s">
        <v>1646</v>
      </c>
      <c r="D999" s="3" t="s">
        <v>27</v>
      </c>
      <c r="E999" s="3"/>
      <c r="F999" s="3"/>
      <c r="G999" s="3" t="s">
        <v>16</v>
      </c>
      <c r="H999" s="3" t="s">
        <v>1214</v>
      </c>
    </row>
    <row r="1000" spans="1:8" x14ac:dyDescent="0.35">
      <c r="A1000" s="3" t="s">
        <v>1605</v>
      </c>
      <c r="B1000" s="3" t="s">
        <v>10</v>
      </c>
      <c r="C1000" s="3" t="s">
        <v>1646</v>
      </c>
      <c r="D1000" s="3" t="s">
        <v>77</v>
      </c>
      <c r="E1000" s="3"/>
      <c r="F1000" s="3"/>
      <c r="G1000" s="3" t="s">
        <v>16</v>
      </c>
      <c r="H1000" s="3" t="s">
        <v>1214</v>
      </c>
    </row>
    <row r="1001" spans="1:8" x14ac:dyDescent="0.35">
      <c r="A1001" s="3" t="s">
        <v>1605</v>
      </c>
      <c r="B1001" s="3" t="s">
        <v>10</v>
      </c>
      <c r="C1001" s="3" t="s">
        <v>1646</v>
      </c>
      <c r="D1001" s="3" t="s">
        <v>87</v>
      </c>
      <c r="E1001" s="3"/>
      <c r="F1001" s="3"/>
      <c r="G1001" s="3" t="s">
        <v>16</v>
      </c>
      <c r="H1001" s="3" t="s">
        <v>1214</v>
      </c>
    </row>
    <row r="1002" spans="1:8" x14ac:dyDescent="0.35">
      <c r="A1002" s="3" t="s">
        <v>1605</v>
      </c>
      <c r="B1002" s="3" t="s">
        <v>10</v>
      </c>
      <c r="C1002" s="3" t="s">
        <v>1646</v>
      </c>
      <c r="D1002" s="3" t="s">
        <v>15</v>
      </c>
      <c r="E1002" s="3" t="s">
        <v>16</v>
      </c>
      <c r="F1002" s="3" t="s">
        <v>1647</v>
      </c>
      <c r="G1002" s="3" t="s">
        <v>16</v>
      </c>
      <c r="H1002" s="3" t="s">
        <v>1214</v>
      </c>
    </row>
    <row r="1003" spans="1:8" x14ac:dyDescent="0.35">
      <c r="A1003" s="3" t="s">
        <v>1605</v>
      </c>
      <c r="B1003" s="3" t="s">
        <v>10</v>
      </c>
      <c r="C1003" s="3" t="s">
        <v>1646</v>
      </c>
      <c r="D1003" s="3" t="s">
        <v>56</v>
      </c>
      <c r="E1003" s="3" t="s">
        <v>16</v>
      </c>
      <c r="F1003" s="3" t="s">
        <v>1647</v>
      </c>
      <c r="G1003" s="3" t="s">
        <v>16</v>
      </c>
      <c r="H1003" s="3" t="s">
        <v>1214</v>
      </c>
    </row>
    <row r="1004" spans="1:8" x14ac:dyDescent="0.35">
      <c r="A1004" s="3" t="s">
        <v>1605</v>
      </c>
      <c r="B1004" s="3" t="s">
        <v>10</v>
      </c>
      <c r="C1004" s="3" t="s">
        <v>1646</v>
      </c>
      <c r="D1004" s="3" t="s">
        <v>29</v>
      </c>
      <c r="E1004" s="3"/>
      <c r="F1004" s="3"/>
      <c r="G1004" s="3" t="s">
        <v>16</v>
      </c>
      <c r="H1004" s="3" t="s">
        <v>1214</v>
      </c>
    </row>
    <row r="1005" spans="1:8" x14ac:dyDescent="0.35">
      <c r="A1005" s="3" t="s">
        <v>1605</v>
      </c>
      <c r="B1005" s="3" t="s">
        <v>45</v>
      </c>
      <c r="C1005" s="3" t="s">
        <v>1648</v>
      </c>
      <c r="D1005" s="3" t="s">
        <v>27</v>
      </c>
      <c r="E1005" s="3"/>
      <c r="F1005" s="3"/>
      <c r="G1005" s="3" t="s">
        <v>16</v>
      </c>
      <c r="H1005" s="3" t="s">
        <v>1214</v>
      </c>
    </row>
    <row r="1006" spans="1:8" x14ac:dyDescent="0.35">
      <c r="A1006" s="3" t="s">
        <v>1605</v>
      </c>
      <c r="B1006" s="3" t="s">
        <v>45</v>
      </c>
      <c r="C1006" s="3" t="s">
        <v>1648</v>
      </c>
      <c r="D1006" s="3" t="s">
        <v>77</v>
      </c>
      <c r="E1006" s="3"/>
      <c r="F1006" s="3"/>
      <c r="G1006" s="3" t="s">
        <v>16</v>
      </c>
      <c r="H1006" s="3" t="s">
        <v>1214</v>
      </c>
    </row>
    <row r="1007" spans="1:8" x14ac:dyDescent="0.35">
      <c r="A1007" s="3" t="s">
        <v>1605</v>
      </c>
      <c r="B1007" s="3" t="s">
        <v>45</v>
      </c>
      <c r="C1007" s="3" t="s">
        <v>1648</v>
      </c>
      <c r="D1007" s="3" t="s">
        <v>87</v>
      </c>
      <c r="E1007" s="3"/>
      <c r="F1007" s="3"/>
      <c r="G1007" s="3" t="s">
        <v>16</v>
      </c>
      <c r="H1007" s="3" t="s">
        <v>1214</v>
      </c>
    </row>
    <row r="1008" spans="1:8" x14ac:dyDescent="0.35">
      <c r="A1008" s="3" t="s">
        <v>1605</v>
      </c>
      <c r="B1008" s="3" t="s">
        <v>45</v>
      </c>
      <c r="C1008" s="3" t="s">
        <v>1648</v>
      </c>
      <c r="D1008" s="3" t="s">
        <v>15</v>
      </c>
      <c r="E1008" s="3" t="s">
        <v>16</v>
      </c>
      <c r="F1008" s="3" t="s">
        <v>1647</v>
      </c>
      <c r="G1008" s="3" t="s">
        <v>16</v>
      </c>
      <c r="H1008" s="3" t="s">
        <v>1214</v>
      </c>
    </row>
    <row r="1009" spans="1:8" x14ac:dyDescent="0.35">
      <c r="A1009" s="3" t="s">
        <v>1605</v>
      </c>
      <c r="B1009" s="3" t="s">
        <v>45</v>
      </c>
      <c r="C1009" s="3" t="s">
        <v>1648</v>
      </c>
      <c r="D1009" s="3" t="s">
        <v>56</v>
      </c>
      <c r="E1009" s="3" t="s">
        <v>16</v>
      </c>
      <c r="F1009" s="3" t="s">
        <v>1647</v>
      </c>
      <c r="G1009" s="3" t="s">
        <v>16</v>
      </c>
      <c r="H1009" s="3" t="s">
        <v>1214</v>
      </c>
    </row>
    <row r="1010" spans="1:8" x14ac:dyDescent="0.35">
      <c r="A1010" s="3" t="s">
        <v>1605</v>
      </c>
      <c r="B1010" s="3" t="s">
        <v>45</v>
      </c>
      <c r="C1010" s="3" t="s">
        <v>1648</v>
      </c>
      <c r="D1010" s="3" t="s">
        <v>29</v>
      </c>
      <c r="E1010" s="3"/>
      <c r="F1010" s="3"/>
      <c r="G1010" s="3" t="s">
        <v>16</v>
      </c>
      <c r="H1010" s="3" t="s">
        <v>1214</v>
      </c>
    </row>
    <row r="1011" spans="1:8" x14ac:dyDescent="0.35">
      <c r="A1011" s="3" t="s">
        <v>1605</v>
      </c>
      <c r="B1011" s="3" t="s">
        <v>10</v>
      </c>
      <c r="C1011" s="3" t="s">
        <v>1649</v>
      </c>
      <c r="D1011" s="3" t="s">
        <v>12</v>
      </c>
      <c r="E1011" s="3"/>
      <c r="F1011" s="3"/>
      <c r="G1011" s="3" t="s">
        <v>16</v>
      </c>
      <c r="H1011" s="3" t="s">
        <v>1214</v>
      </c>
    </row>
    <row r="1012" spans="1:8" x14ac:dyDescent="0.35">
      <c r="A1012" s="3" t="s">
        <v>1605</v>
      </c>
      <c r="B1012" s="3" t="s">
        <v>10</v>
      </c>
      <c r="C1012" s="3" t="s">
        <v>1649</v>
      </c>
      <c r="D1012" s="3" t="s">
        <v>15</v>
      </c>
      <c r="E1012" s="3" t="s">
        <v>16</v>
      </c>
      <c r="F1012" s="3" t="s">
        <v>1650</v>
      </c>
      <c r="G1012" s="3" t="s">
        <v>16</v>
      </c>
      <c r="H1012" s="3" t="s">
        <v>1214</v>
      </c>
    </row>
    <row r="1013" spans="1:8" x14ac:dyDescent="0.35">
      <c r="A1013" s="3" t="s">
        <v>1605</v>
      </c>
      <c r="B1013" s="3" t="s">
        <v>10</v>
      </c>
      <c r="C1013" s="3" t="s">
        <v>1649</v>
      </c>
      <c r="D1013" s="3" t="s">
        <v>29</v>
      </c>
      <c r="E1013" s="3" t="s">
        <v>16</v>
      </c>
      <c r="F1013" s="3" t="s">
        <v>1651</v>
      </c>
      <c r="G1013" s="3" t="s">
        <v>16</v>
      </c>
      <c r="H1013" s="3" t="s">
        <v>1214</v>
      </c>
    </row>
    <row r="1014" spans="1:8" x14ac:dyDescent="0.35">
      <c r="A1014" s="3" t="s">
        <v>1605</v>
      </c>
      <c r="B1014" s="3" t="s">
        <v>10</v>
      </c>
      <c r="C1014" s="3" t="s">
        <v>1649</v>
      </c>
      <c r="D1014" s="3" t="s">
        <v>24</v>
      </c>
      <c r="E1014" s="3" t="s">
        <v>16</v>
      </c>
      <c r="F1014" s="3" t="s">
        <v>1651</v>
      </c>
      <c r="G1014" s="3" t="s">
        <v>16</v>
      </c>
      <c r="H1014" s="3" t="s">
        <v>1214</v>
      </c>
    </row>
    <row r="1015" spans="1:8" x14ac:dyDescent="0.35">
      <c r="A1015" s="3" t="s">
        <v>2599</v>
      </c>
      <c r="B1015" s="3" t="s">
        <v>42</v>
      </c>
      <c r="C1015" s="3" t="s">
        <v>2600</v>
      </c>
      <c r="D1015" s="3" t="s">
        <v>25</v>
      </c>
      <c r="E1015" s="3"/>
      <c r="F1015" s="3"/>
      <c r="G1015" s="3"/>
      <c r="H1015" s="3"/>
    </row>
    <row r="1016" spans="1:8" x14ac:dyDescent="0.35">
      <c r="A1016" s="3" t="s">
        <v>2599</v>
      </c>
      <c r="B1016" s="3" t="s">
        <v>42</v>
      </c>
      <c r="C1016" s="3" t="s">
        <v>2600</v>
      </c>
      <c r="D1016" s="3" t="s">
        <v>1196</v>
      </c>
      <c r="E1016" s="3" t="s">
        <v>16</v>
      </c>
      <c r="F1016" s="3" t="s">
        <v>2601</v>
      </c>
      <c r="G1016" s="3"/>
      <c r="H1016" s="3"/>
    </row>
    <row r="1017" spans="1:8" x14ac:dyDescent="0.35">
      <c r="A1017" s="3" t="s">
        <v>2599</v>
      </c>
      <c r="B1017" s="3" t="s">
        <v>42</v>
      </c>
      <c r="C1017" s="3" t="s">
        <v>2600</v>
      </c>
      <c r="D1017" s="3" t="s">
        <v>87</v>
      </c>
      <c r="E1017" s="3" t="s">
        <v>16</v>
      </c>
      <c r="F1017" s="3" t="s">
        <v>2602</v>
      </c>
      <c r="G1017" s="3"/>
      <c r="H1017" s="3"/>
    </row>
    <row r="1018" spans="1:8" x14ac:dyDescent="0.35">
      <c r="A1018" s="3" t="s">
        <v>2599</v>
      </c>
      <c r="B1018" s="3" t="s">
        <v>42</v>
      </c>
      <c r="C1018" s="3" t="s">
        <v>2600</v>
      </c>
      <c r="D1018" s="3" t="s">
        <v>98</v>
      </c>
      <c r="E1018" s="3" t="s">
        <v>16</v>
      </c>
      <c r="F1018" s="3" t="s">
        <v>2603</v>
      </c>
      <c r="G1018" s="3"/>
      <c r="H1018" s="3"/>
    </row>
    <row r="1019" spans="1:8" x14ac:dyDescent="0.35">
      <c r="A1019" s="3" t="s">
        <v>2599</v>
      </c>
      <c r="B1019" s="3" t="s">
        <v>42</v>
      </c>
      <c r="C1019" s="3" t="s">
        <v>2600</v>
      </c>
      <c r="D1019" s="3" t="s">
        <v>15</v>
      </c>
      <c r="E1019" s="3" t="s">
        <v>16</v>
      </c>
      <c r="F1019" s="3" t="s">
        <v>2604</v>
      </c>
      <c r="G1019" s="3"/>
      <c r="H1019" s="3"/>
    </row>
    <row r="1020" spans="1:8" x14ac:dyDescent="0.35">
      <c r="A1020" s="3" t="s">
        <v>1652</v>
      </c>
      <c r="B1020" s="3" t="s">
        <v>39</v>
      </c>
      <c r="C1020" s="3" t="s">
        <v>1653</v>
      </c>
      <c r="D1020" s="3" t="s">
        <v>1196</v>
      </c>
      <c r="E1020" s="3"/>
      <c r="F1020" s="3" t="s">
        <v>2290</v>
      </c>
      <c r="G1020" s="3"/>
      <c r="H1020" s="3"/>
    </row>
    <row r="1021" spans="1:8" x14ac:dyDescent="0.35">
      <c r="A1021" s="3" t="s">
        <v>1652</v>
      </c>
      <c r="B1021" s="3" t="s">
        <v>39</v>
      </c>
      <c r="C1021" s="3" t="s">
        <v>1653</v>
      </c>
      <c r="D1021" s="3" t="s">
        <v>15</v>
      </c>
      <c r="E1021" s="3" t="s">
        <v>16</v>
      </c>
      <c r="F1021" s="3" t="s">
        <v>1474</v>
      </c>
      <c r="G1021" s="3"/>
      <c r="H1021" s="3"/>
    </row>
    <row r="1022" spans="1:8" x14ac:dyDescent="0.35">
      <c r="A1022" s="3" t="s">
        <v>1652</v>
      </c>
      <c r="B1022" s="3" t="s">
        <v>39</v>
      </c>
      <c r="C1022" s="3" t="s">
        <v>1653</v>
      </c>
      <c r="D1022" s="3" t="s">
        <v>29</v>
      </c>
      <c r="E1022" s="3"/>
      <c r="F1022" s="3" t="s">
        <v>2291</v>
      </c>
      <c r="G1022" s="3"/>
      <c r="H1022" s="3"/>
    </row>
    <row r="1023" spans="1:8" x14ac:dyDescent="0.35">
      <c r="A1023" s="3" t="s">
        <v>1652</v>
      </c>
      <c r="B1023" s="3" t="s">
        <v>39</v>
      </c>
      <c r="C1023" s="3" t="s">
        <v>1653</v>
      </c>
      <c r="D1023" s="3" t="s">
        <v>24</v>
      </c>
      <c r="E1023" s="3"/>
      <c r="F1023" s="3"/>
      <c r="G1023" s="3"/>
      <c r="H1023" s="3"/>
    </row>
    <row r="1024" spans="1:8" x14ac:dyDescent="0.35">
      <c r="A1024" s="3" t="s">
        <v>1652</v>
      </c>
      <c r="B1024" s="3" t="s">
        <v>10</v>
      </c>
      <c r="C1024" s="3" t="s">
        <v>1654</v>
      </c>
      <c r="D1024" s="3" t="s">
        <v>12</v>
      </c>
      <c r="E1024" s="3"/>
      <c r="F1024" s="3"/>
      <c r="G1024" s="3" t="s">
        <v>16</v>
      </c>
      <c r="H1024" s="3" t="s">
        <v>1466</v>
      </c>
    </row>
    <row r="1025" spans="1:8" x14ac:dyDescent="0.35">
      <c r="A1025" s="3" t="s">
        <v>1652</v>
      </c>
      <c r="B1025" s="3" t="s">
        <v>10</v>
      </c>
      <c r="C1025" s="3" t="s">
        <v>1654</v>
      </c>
      <c r="D1025" s="3" t="s">
        <v>77</v>
      </c>
      <c r="E1025" s="3"/>
      <c r="F1025" s="3"/>
      <c r="G1025" s="3" t="s">
        <v>16</v>
      </c>
      <c r="H1025" s="3" t="s">
        <v>1466</v>
      </c>
    </row>
    <row r="1026" spans="1:8" x14ac:dyDescent="0.35">
      <c r="A1026" s="3" t="s">
        <v>1652</v>
      </c>
      <c r="B1026" s="3" t="s">
        <v>42</v>
      </c>
      <c r="C1026" s="3" t="s">
        <v>1655</v>
      </c>
      <c r="D1026" s="3" t="s">
        <v>23</v>
      </c>
      <c r="E1026" s="3" t="s">
        <v>16</v>
      </c>
      <c r="F1026" s="3" t="s">
        <v>1657</v>
      </c>
      <c r="G1026" s="3" t="s">
        <v>16</v>
      </c>
      <c r="H1026" s="3" t="s">
        <v>1466</v>
      </c>
    </row>
    <row r="1027" spans="1:8" x14ac:dyDescent="0.35">
      <c r="A1027" s="3" t="s">
        <v>1652</v>
      </c>
      <c r="B1027" s="3" t="s">
        <v>42</v>
      </c>
      <c r="C1027" s="3" t="s">
        <v>1655</v>
      </c>
      <c r="D1027" s="3" t="s">
        <v>15</v>
      </c>
      <c r="E1027" s="3" t="s">
        <v>16</v>
      </c>
      <c r="F1027" s="3" t="s">
        <v>1658</v>
      </c>
      <c r="G1027" s="3" t="s">
        <v>16</v>
      </c>
      <c r="H1027" s="3" t="s">
        <v>1466</v>
      </c>
    </row>
    <row r="1028" spans="1:8" x14ac:dyDescent="0.35">
      <c r="A1028" s="3" t="s">
        <v>1652</v>
      </c>
      <c r="B1028" s="3" t="s">
        <v>42</v>
      </c>
      <c r="C1028" s="3" t="s">
        <v>1655</v>
      </c>
      <c r="D1028" s="3" t="s">
        <v>56</v>
      </c>
      <c r="E1028" s="3" t="s">
        <v>16</v>
      </c>
      <c r="F1028" s="3" t="s">
        <v>1656</v>
      </c>
      <c r="G1028" s="3" t="s">
        <v>16</v>
      </c>
      <c r="H1028" s="3" t="s">
        <v>1466</v>
      </c>
    </row>
    <row r="1029" spans="1:8" x14ac:dyDescent="0.35">
      <c r="A1029" s="3" t="s">
        <v>1652</v>
      </c>
      <c r="B1029" s="3" t="s">
        <v>39</v>
      </c>
      <c r="C1029" s="3" t="s">
        <v>1659</v>
      </c>
      <c r="D1029" s="3" t="s">
        <v>12</v>
      </c>
      <c r="E1029" s="3"/>
      <c r="F1029" s="3"/>
      <c r="G1029" s="3" t="s">
        <v>16</v>
      </c>
      <c r="H1029" s="3" t="s">
        <v>1466</v>
      </c>
    </row>
    <row r="1030" spans="1:8" x14ac:dyDescent="0.35">
      <c r="A1030" s="3" t="s">
        <v>1652</v>
      </c>
      <c r="B1030" s="3" t="s">
        <v>39</v>
      </c>
      <c r="C1030" s="3" t="s">
        <v>1659</v>
      </c>
      <c r="D1030" s="3" t="s">
        <v>1196</v>
      </c>
      <c r="E1030" s="3"/>
      <c r="F1030" s="3"/>
      <c r="G1030" s="3" t="s">
        <v>16</v>
      </c>
      <c r="H1030" s="3" t="s">
        <v>1466</v>
      </c>
    </row>
    <row r="1031" spans="1:8" x14ac:dyDescent="0.35">
      <c r="A1031" s="3" t="s">
        <v>1652</v>
      </c>
      <c r="B1031" s="3" t="s">
        <v>39</v>
      </c>
      <c r="C1031" s="3" t="s">
        <v>1659</v>
      </c>
      <c r="D1031" s="3" t="s">
        <v>28</v>
      </c>
      <c r="E1031" s="3"/>
      <c r="F1031" s="3"/>
      <c r="G1031" s="3" t="s">
        <v>16</v>
      </c>
      <c r="H1031" s="3" t="s">
        <v>1466</v>
      </c>
    </row>
    <row r="1032" spans="1:8" x14ac:dyDescent="0.35">
      <c r="A1032" s="3" t="s">
        <v>1652</v>
      </c>
      <c r="B1032" s="3" t="s">
        <v>39</v>
      </c>
      <c r="C1032" s="3" t="s">
        <v>1659</v>
      </c>
      <c r="D1032" s="3" t="s">
        <v>15</v>
      </c>
      <c r="E1032" s="3" t="s">
        <v>16</v>
      </c>
      <c r="F1032" s="3" t="s">
        <v>1660</v>
      </c>
      <c r="G1032" s="3" t="s">
        <v>16</v>
      </c>
      <c r="H1032" s="3" t="s">
        <v>1466</v>
      </c>
    </row>
    <row r="1033" spans="1:8" x14ac:dyDescent="0.35">
      <c r="A1033" s="3" t="s">
        <v>1652</v>
      </c>
      <c r="B1033" s="3" t="s">
        <v>39</v>
      </c>
      <c r="C1033" s="3" t="s">
        <v>1659</v>
      </c>
      <c r="D1033" s="3" t="s">
        <v>24</v>
      </c>
      <c r="E1033" s="3"/>
      <c r="F1033" s="3"/>
      <c r="G1033" s="3" t="s">
        <v>16</v>
      </c>
      <c r="H1033" s="3" t="s">
        <v>1466</v>
      </c>
    </row>
    <row r="1034" spans="1:8" x14ac:dyDescent="0.35">
      <c r="A1034" s="3" t="s">
        <v>1652</v>
      </c>
      <c r="B1034" s="3" t="s">
        <v>39</v>
      </c>
      <c r="C1034" s="3" t="s">
        <v>1661</v>
      </c>
      <c r="D1034" s="3" t="s">
        <v>12</v>
      </c>
      <c r="E1034" s="3"/>
      <c r="F1034" s="3"/>
      <c r="G1034" s="3" t="s">
        <v>16</v>
      </c>
      <c r="H1034" s="3" t="s">
        <v>1466</v>
      </c>
    </row>
    <row r="1035" spans="1:8" x14ac:dyDescent="0.35">
      <c r="A1035" s="3" t="s">
        <v>1652</v>
      </c>
      <c r="B1035" s="3" t="s">
        <v>39</v>
      </c>
      <c r="C1035" s="3" t="s">
        <v>1661</v>
      </c>
      <c r="D1035" s="3" t="s">
        <v>15</v>
      </c>
      <c r="E1035" s="3" t="s">
        <v>16</v>
      </c>
      <c r="F1035" s="3" t="s">
        <v>1662</v>
      </c>
      <c r="G1035" s="3" t="s">
        <v>16</v>
      </c>
      <c r="H1035" s="3" t="s">
        <v>1466</v>
      </c>
    </row>
    <row r="1036" spans="1:8" x14ac:dyDescent="0.35">
      <c r="A1036" s="3" t="s">
        <v>1652</v>
      </c>
      <c r="B1036" s="3" t="s">
        <v>20</v>
      </c>
      <c r="C1036" s="3" t="s">
        <v>1663</v>
      </c>
      <c r="D1036" s="3" t="s">
        <v>23</v>
      </c>
      <c r="E1036" s="3" t="s">
        <v>16</v>
      </c>
      <c r="F1036" s="3" t="s">
        <v>1664</v>
      </c>
      <c r="G1036" s="3" t="s">
        <v>16</v>
      </c>
      <c r="H1036" s="3" t="s">
        <v>1466</v>
      </c>
    </row>
    <row r="1037" spans="1:8" x14ac:dyDescent="0.35">
      <c r="A1037" s="3" t="s">
        <v>1652</v>
      </c>
      <c r="B1037" s="3" t="s">
        <v>20</v>
      </c>
      <c r="C1037" s="3" t="s">
        <v>1663</v>
      </c>
      <c r="D1037" s="3" t="s">
        <v>1196</v>
      </c>
      <c r="E1037" s="3"/>
      <c r="F1037" s="3"/>
      <c r="G1037" s="3" t="s">
        <v>16</v>
      </c>
      <c r="H1037" s="3" t="s">
        <v>1466</v>
      </c>
    </row>
    <row r="1038" spans="1:8" x14ac:dyDescent="0.35">
      <c r="A1038" s="3" t="s">
        <v>1652</v>
      </c>
      <c r="B1038" s="3" t="s">
        <v>20</v>
      </c>
      <c r="C1038" s="3" t="s">
        <v>1663</v>
      </c>
      <c r="D1038" s="3" t="s">
        <v>71</v>
      </c>
      <c r="E1038" s="3"/>
      <c r="F1038" s="3"/>
      <c r="G1038" s="3" t="s">
        <v>16</v>
      </c>
      <c r="H1038" s="3" t="s">
        <v>1466</v>
      </c>
    </row>
    <row r="1039" spans="1:8" x14ac:dyDescent="0.35">
      <c r="A1039" s="3" t="s">
        <v>1652</v>
      </c>
      <c r="B1039" s="3" t="s">
        <v>20</v>
      </c>
      <c r="C1039" s="3" t="s">
        <v>1663</v>
      </c>
      <c r="D1039" s="3" t="s">
        <v>77</v>
      </c>
      <c r="E1039" s="3"/>
      <c r="F1039" s="3"/>
      <c r="G1039" s="3" t="s">
        <v>16</v>
      </c>
      <c r="H1039" s="3" t="s">
        <v>1466</v>
      </c>
    </row>
    <row r="1040" spans="1:8" x14ac:dyDescent="0.35">
      <c r="A1040" s="3" t="s">
        <v>1652</v>
      </c>
      <c r="B1040" s="3" t="s">
        <v>20</v>
      </c>
      <c r="C1040" s="3" t="s">
        <v>1663</v>
      </c>
      <c r="D1040" s="3" t="s">
        <v>87</v>
      </c>
      <c r="E1040" s="3" t="s">
        <v>16</v>
      </c>
      <c r="F1040" s="3" t="s">
        <v>1211</v>
      </c>
      <c r="G1040" s="3" t="s">
        <v>16</v>
      </c>
      <c r="H1040" s="3" t="s">
        <v>1466</v>
      </c>
    </row>
    <row r="1041" spans="1:8" x14ac:dyDescent="0.35">
      <c r="A1041" s="3" t="s">
        <v>1652</v>
      </c>
      <c r="B1041" s="3" t="s">
        <v>20</v>
      </c>
      <c r="C1041" s="3" t="s">
        <v>1663</v>
      </c>
      <c r="D1041" s="3" t="s">
        <v>15</v>
      </c>
      <c r="E1041" s="3" t="s">
        <v>16</v>
      </c>
      <c r="F1041" s="3" t="s">
        <v>1208</v>
      </c>
      <c r="G1041" s="3" t="s">
        <v>16</v>
      </c>
      <c r="H1041" s="3" t="s">
        <v>1466</v>
      </c>
    </row>
    <row r="1042" spans="1:8" x14ac:dyDescent="0.35">
      <c r="A1042" s="3" t="s">
        <v>1652</v>
      </c>
      <c r="B1042" s="3" t="s">
        <v>20</v>
      </c>
      <c r="C1042" s="3" t="s">
        <v>1663</v>
      </c>
      <c r="D1042" s="3" t="s">
        <v>56</v>
      </c>
      <c r="E1042" s="3" t="s">
        <v>16</v>
      </c>
      <c r="F1042" s="3" t="s">
        <v>1206</v>
      </c>
      <c r="G1042" s="3" t="s">
        <v>16</v>
      </c>
      <c r="H1042" s="3" t="s">
        <v>1466</v>
      </c>
    </row>
    <row r="1043" spans="1:8" x14ac:dyDescent="0.35">
      <c r="A1043" s="3" t="s">
        <v>1652</v>
      </c>
      <c r="B1043" s="3" t="s">
        <v>20</v>
      </c>
      <c r="C1043" s="3" t="s">
        <v>1663</v>
      </c>
      <c r="D1043" s="3" t="s">
        <v>24</v>
      </c>
      <c r="E1043" s="3"/>
      <c r="F1043" s="3"/>
      <c r="G1043" s="3" t="s">
        <v>16</v>
      </c>
      <c r="H1043" s="3" t="s">
        <v>1466</v>
      </c>
    </row>
    <row r="1044" spans="1:8" x14ac:dyDescent="0.35">
      <c r="A1044" s="3" t="s">
        <v>1652</v>
      </c>
      <c r="B1044" s="3" t="s">
        <v>20</v>
      </c>
      <c r="C1044" s="3" t="s">
        <v>1665</v>
      </c>
      <c r="D1044" s="3" t="s">
        <v>23</v>
      </c>
      <c r="E1044" s="3" t="s">
        <v>16</v>
      </c>
      <c r="F1044" s="3" t="s">
        <v>1666</v>
      </c>
      <c r="G1044" s="3" t="s">
        <v>16</v>
      </c>
      <c r="H1044" s="3" t="s">
        <v>1466</v>
      </c>
    </row>
    <row r="1045" spans="1:8" x14ac:dyDescent="0.35">
      <c r="A1045" s="3" t="s">
        <v>1652</v>
      </c>
      <c r="B1045" s="3" t="s">
        <v>20</v>
      </c>
      <c r="C1045" s="3" t="s">
        <v>1665</v>
      </c>
      <c r="D1045" s="3" t="s">
        <v>56</v>
      </c>
      <c r="E1045" s="3"/>
      <c r="F1045" s="3"/>
      <c r="G1045" s="3" t="s">
        <v>16</v>
      </c>
      <c r="H1045" s="3" t="s">
        <v>1466</v>
      </c>
    </row>
    <row r="1046" spans="1:8" x14ac:dyDescent="0.35">
      <c r="A1046" s="3" t="s">
        <v>1652</v>
      </c>
      <c r="B1046" s="3" t="s">
        <v>45</v>
      </c>
      <c r="C1046" s="3" t="s">
        <v>1667</v>
      </c>
      <c r="D1046" s="3" t="s">
        <v>23</v>
      </c>
      <c r="E1046" s="3"/>
      <c r="F1046" s="3"/>
      <c r="G1046" s="3"/>
      <c r="H1046" s="3"/>
    </row>
    <row r="1047" spans="1:8" x14ac:dyDescent="0.35">
      <c r="A1047" s="3" t="s">
        <v>1652</v>
      </c>
      <c r="B1047" s="3" t="s">
        <v>45</v>
      </c>
      <c r="C1047" s="3" t="s">
        <v>1667</v>
      </c>
      <c r="D1047" s="3" t="s">
        <v>77</v>
      </c>
      <c r="E1047" s="3"/>
      <c r="F1047" s="3"/>
      <c r="G1047" s="3"/>
      <c r="H1047" s="3"/>
    </row>
    <row r="1048" spans="1:8" x14ac:dyDescent="0.35">
      <c r="A1048" s="3" t="s">
        <v>1652</v>
      </c>
      <c r="B1048" s="3" t="s">
        <v>45</v>
      </c>
      <c r="C1048" s="3" t="s">
        <v>1667</v>
      </c>
      <c r="D1048" s="3" t="s">
        <v>87</v>
      </c>
      <c r="E1048" s="3"/>
      <c r="F1048" s="3"/>
      <c r="G1048" s="3"/>
      <c r="H1048" s="3"/>
    </row>
    <row r="1049" spans="1:8" x14ac:dyDescent="0.35">
      <c r="A1049" s="3" t="s">
        <v>1652</v>
      </c>
      <c r="B1049" s="3" t="s">
        <v>45</v>
      </c>
      <c r="C1049" s="3" t="s">
        <v>1667</v>
      </c>
      <c r="D1049" s="3" t="s">
        <v>15</v>
      </c>
      <c r="E1049" s="3" t="s">
        <v>16</v>
      </c>
      <c r="F1049" s="3" t="s">
        <v>1668</v>
      </c>
      <c r="G1049" s="3"/>
      <c r="H1049" s="3"/>
    </row>
    <row r="1050" spans="1:8" x14ac:dyDescent="0.35">
      <c r="A1050" s="3" t="s">
        <v>1652</v>
      </c>
      <c r="B1050" s="3" t="s">
        <v>45</v>
      </c>
      <c r="C1050" s="3" t="s">
        <v>1667</v>
      </c>
      <c r="D1050" s="3" t="s">
        <v>24</v>
      </c>
      <c r="E1050" s="3"/>
      <c r="F1050" s="3"/>
      <c r="G1050" s="3"/>
      <c r="H1050" s="3"/>
    </row>
    <row r="1051" spans="1:8" x14ac:dyDescent="0.35">
      <c r="A1051" s="3" t="s">
        <v>1652</v>
      </c>
      <c r="B1051" s="3" t="s">
        <v>10</v>
      </c>
      <c r="C1051" s="3" t="s">
        <v>1669</v>
      </c>
      <c r="D1051" s="3" t="s">
        <v>77</v>
      </c>
      <c r="E1051" s="3"/>
      <c r="F1051" s="3"/>
      <c r="G1051" s="3" t="s">
        <v>16</v>
      </c>
      <c r="H1051" s="3" t="s">
        <v>1466</v>
      </c>
    </row>
    <row r="1052" spans="1:8" x14ac:dyDescent="0.35">
      <c r="A1052" s="3" t="s">
        <v>1652</v>
      </c>
      <c r="B1052" s="3" t="s">
        <v>10</v>
      </c>
      <c r="C1052" s="3" t="s">
        <v>1669</v>
      </c>
      <c r="D1052" s="3" t="s">
        <v>15</v>
      </c>
      <c r="E1052" s="3" t="s">
        <v>16</v>
      </c>
      <c r="F1052" s="3" t="s">
        <v>1670</v>
      </c>
      <c r="G1052" s="3" t="s">
        <v>16</v>
      </c>
      <c r="H1052" s="3" t="s">
        <v>1466</v>
      </c>
    </row>
    <row r="1053" spans="1:8" x14ac:dyDescent="0.35">
      <c r="A1053" s="3" t="s">
        <v>1652</v>
      </c>
      <c r="B1053" s="3" t="s">
        <v>45</v>
      </c>
      <c r="C1053" s="3" t="s">
        <v>1671</v>
      </c>
      <c r="D1053" s="3" t="s">
        <v>77</v>
      </c>
      <c r="E1053" s="3"/>
      <c r="F1053" s="3"/>
      <c r="G1053" s="3"/>
      <c r="H1053" s="3"/>
    </row>
    <row r="1054" spans="1:8" x14ac:dyDescent="0.35">
      <c r="A1054" s="3" t="s">
        <v>1652</v>
      </c>
      <c r="B1054" s="3" t="s">
        <v>45</v>
      </c>
      <c r="C1054" s="3" t="s">
        <v>1671</v>
      </c>
      <c r="D1054" s="3" t="s">
        <v>87</v>
      </c>
      <c r="E1054" s="3"/>
      <c r="F1054" s="3"/>
      <c r="G1054" s="3"/>
      <c r="H1054" s="3"/>
    </row>
    <row r="1055" spans="1:8" x14ac:dyDescent="0.35">
      <c r="A1055" s="3" t="s">
        <v>2521</v>
      </c>
      <c r="B1055" s="3" t="s">
        <v>42</v>
      </c>
      <c r="C1055" s="3" t="s">
        <v>2522</v>
      </c>
      <c r="D1055" s="3" t="s">
        <v>23</v>
      </c>
      <c r="E1055" s="3"/>
      <c r="F1055" s="3"/>
      <c r="G1055" s="3"/>
      <c r="H1055" s="3"/>
    </row>
    <row r="1056" spans="1:8" x14ac:dyDescent="0.35">
      <c r="A1056" s="3" t="s">
        <v>2521</v>
      </c>
      <c r="B1056" s="3" t="s">
        <v>42</v>
      </c>
      <c r="C1056" s="3" t="s">
        <v>2522</v>
      </c>
      <c r="D1056" s="3" t="s">
        <v>77</v>
      </c>
      <c r="E1056" s="3"/>
      <c r="F1056" s="3" t="s">
        <v>2484</v>
      </c>
      <c r="G1056" s="3"/>
      <c r="H1056" s="3"/>
    </row>
    <row r="1057" spans="1:8" x14ac:dyDescent="0.35">
      <c r="A1057" s="3" t="s">
        <v>2521</v>
      </c>
      <c r="B1057" s="3" t="s">
        <v>42</v>
      </c>
      <c r="C1057" s="3" t="s">
        <v>2522</v>
      </c>
      <c r="D1057" s="3" t="s">
        <v>87</v>
      </c>
      <c r="E1057" s="3"/>
      <c r="F1057" s="3"/>
      <c r="G1057" s="3"/>
      <c r="H1057" s="3"/>
    </row>
    <row r="1058" spans="1:8" x14ac:dyDescent="0.35">
      <c r="A1058" s="3" t="s">
        <v>2521</v>
      </c>
      <c r="B1058" s="3" t="s">
        <v>42</v>
      </c>
      <c r="C1058" s="3" t="s">
        <v>2522</v>
      </c>
      <c r="D1058" s="3" t="s">
        <v>98</v>
      </c>
      <c r="E1058" s="3"/>
      <c r="F1058" s="3"/>
      <c r="G1058" s="3"/>
      <c r="H1058" s="3"/>
    </row>
    <row r="1059" spans="1:8" x14ac:dyDescent="0.35">
      <c r="A1059" s="3" t="s">
        <v>2521</v>
      </c>
      <c r="B1059" s="3" t="s">
        <v>42</v>
      </c>
      <c r="C1059" s="3" t="s">
        <v>2522</v>
      </c>
      <c r="D1059" s="3" t="s">
        <v>24</v>
      </c>
      <c r="E1059" s="3"/>
      <c r="F1059" s="3"/>
      <c r="G1059" s="3"/>
      <c r="H1059" s="3"/>
    </row>
    <row r="1060" spans="1:8" x14ac:dyDescent="0.35">
      <c r="A1060" s="3" t="s">
        <v>2572</v>
      </c>
      <c r="B1060" s="3" t="s">
        <v>42</v>
      </c>
      <c r="C1060" s="3" t="s">
        <v>2573</v>
      </c>
      <c r="D1060" s="3" t="s">
        <v>27</v>
      </c>
      <c r="E1060" s="3"/>
      <c r="F1060" s="3"/>
      <c r="G1060" s="3" t="s">
        <v>16</v>
      </c>
      <c r="H1060" s="3" t="s">
        <v>1459</v>
      </c>
    </row>
    <row r="1061" spans="1:8" x14ac:dyDescent="0.35">
      <c r="A1061" s="3" t="s">
        <v>2572</v>
      </c>
      <c r="B1061" s="3" t="s">
        <v>42</v>
      </c>
      <c r="C1061" s="3" t="s">
        <v>2573</v>
      </c>
      <c r="D1061" s="3" t="s">
        <v>15</v>
      </c>
      <c r="E1061" s="3" t="s">
        <v>16</v>
      </c>
      <c r="F1061" s="3" t="s">
        <v>2574</v>
      </c>
      <c r="G1061" s="3" t="s">
        <v>16</v>
      </c>
      <c r="H1061" s="3" t="s">
        <v>1459</v>
      </c>
    </row>
    <row r="1062" spans="1:8" x14ac:dyDescent="0.35">
      <c r="A1062" s="3" t="s">
        <v>2270</v>
      </c>
      <c r="B1062" s="3" t="s">
        <v>42</v>
      </c>
      <c r="C1062" s="3" t="s">
        <v>2271</v>
      </c>
      <c r="D1062" s="3" t="s">
        <v>12</v>
      </c>
      <c r="E1062" s="3"/>
      <c r="F1062" s="3"/>
      <c r="G1062" s="3" t="s">
        <v>16</v>
      </c>
      <c r="H1062" s="3" t="s">
        <v>1459</v>
      </c>
    </row>
    <row r="1063" spans="1:8" x14ac:dyDescent="0.35">
      <c r="A1063" s="3" t="s">
        <v>2270</v>
      </c>
      <c r="B1063" s="3" t="s">
        <v>42</v>
      </c>
      <c r="C1063" s="3" t="s">
        <v>2271</v>
      </c>
      <c r="D1063" s="3" t="s">
        <v>25</v>
      </c>
      <c r="E1063" s="3" t="s">
        <v>16</v>
      </c>
      <c r="F1063" s="3" t="s">
        <v>2273</v>
      </c>
      <c r="G1063" s="3" t="s">
        <v>16</v>
      </c>
      <c r="H1063" s="3" t="s">
        <v>1459</v>
      </c>
    </row>
    <row r="1064" spans="1:8" x14ac:dyDescent="0.35">
      <c r="A1064" s="3" t="s">
        <v>2270</v>
      </c>
      <c r="B1064" s="3" t="s">
        <v>42</v>
      </c>
      <c r="C1064" s="3" t="s">
        <v>2271</v>
      </c>
      <c r="D1064" s="3" t="s">
        <v>27</v>
      </c>
      <c r="E1064" s="3" t="s">
        <v>16</v>
      </c>
      <c r="F1064" s="3" t="s">
        <v>2272</v>
      </c>
      <c r="G1064" s="3" t="s">
        <v>16</v>
      </c>
      <c r="H1064" s="3" t="s">
        <v>1459</v>
      </c>
    </row>
    <row r="1065" spans="1:8" x14ac:dyDescent="0.35">
      <c r="A1065" s="3" t="s">
        <v>2270</v>
      </c>
      <c r="B1065" s="3" t="s">
        <v>42</v>
      </c>
      <c r="C1065" s="3" t="s">
        <v>2271</v>
      </c>
      <c r="D1065" s="3" t="s">
        <v>15</v>
      </c>
      <c r="E1065" s="3" t="s">
        <v>16</v>
      </c>
      <c r="F1065" s="3" t="s">
        <v>2274</v>
      </c>
      <c r="G1065" s="3" t="s">
        <v>16</v>
      </c>
      <c r="H1065" s="3" t="s">
        <v>1459</v>
      </c>
    </row>
    <row r="1066" spans="1:8" x14ac:dyDescent="0.35">
      <c r="A1066" s="3" t="s">
        <v>2270</v>
      </c>
      <c r="B1066" s="3" t="s">
        <v>42</v>
      </c>
      <c r="C1066" s="3" t="s">
        <v>2271</v>
      </c>
      <c r="D1066" s="3" t="s">
        <v>24</v>
      </c>
      <c r="E1066" s="3" t="s">
        <v>16</v>
      </c>
      <c r="F1066" s="3" t="s">
        <v>2275</v>
      </c>
      <c r="G1066" s="3" t="s">
        <v>16</v>
      </c>
      <c r="H1066" s="3" t="s">
        <v>1459</v>
      </c>
    </row>
    <row r="1067" spans="1:8" x14ac:dyDescent="0.35">
      <c r="A1067" s="3" t="s">
        <v>2270</v>
      </c>
      <c r="B1067" s="3" t="s">
        <v>42</v>
      </c>
      <c r="C1067" s="3" t="s">
        <v>2271</v>
      </c>
      <c r="D1067" s="3" t="s">
        <v>630</v>
      </c>
      <c r="E1067" s="3" t="s">
        <v>16</v>
      </c>
      <c r="F1067" s="3" t="s">
        <v>2276</v>
      </c>
      <c r="G1067" s="3" t="s">
        <v>16</v>
      </c>
      <c r="H1067" s="3" t="s">
        <v>1459</v>
      </c>
    </row>
    <row r="1068" spans="1:8" x14ac:dyDescent="0.35">
      <c r="A1068" s="3" t="s">
        <v>1672</v>
      </c>
      <c r="B1068" s="3" t="s">
        <v>20</v>
      </c>
      <c r="C1068" s="3" t="s">
        <v>1673</v>
      </c>
      <c r="D1068" s="3" t="s">
        <v>15</v>
      </c>
      <c r="E1068" s="3" t="s">
        <v>16</v>
      </c>
      <c r="F1068" s="3" t="s">
        <v>1505</v>
      </c>
      <c r="G1068" s="3"/>
      <c r="H1068" s="3"/>
    </row>
    <row r="1069" spans="1:8" x14ac:dyDescent="0.35">
      <c r="A1069" s="3" t="s">
        <v>1672</v>
      </c>
      <c r="B1069" s="3" t="s">
        <v>45</v>
      </c>
      <c r="C1069" s="3" t="s">
        <v>1674</v>
      </c>
      <c r="D1069" s="3" t="s">
        <v>28</v>
      </c>
      <c r="E1069" s="3"/>
      <c r="F1069" s="3"/>
      <c r="G1069" s="3" t="s">
        <v>16</v>
      </c>
      <c r="H1069" s="3" t="s">
        <v>1675</v>
      </c>
    </row>
    <row r="1070" spans="1:8" x14ac:dyDescent="0.35">
      <c r="A1070" s="3" t="s">
        <v>1672</v>
      </c>
      <c r="B1070" s="3" t="s">
        <v>45</v>
      </c>
      <c r="C1070" s="3" t="s">
        <v>1674</v>
      </c>
      <c r="D1070" s="3" t="s">
        <v>24</v>
      </c>
      <c r="E1070" s="3"/>
      <c r="F1070" s="3"/>
      <c r="G1070" s="3" t="s">
        <v>16</v>
      </c>
      <c r="H1070" s="3" t="s">
        <v>1675</v>
      </c>
    </row>
    <row r="1071" spans="1:8" x14ac:dyDescent="0.35">
      <c r="A1071" s="3" t="s">
        <v>1672</v>
      </c>
      <c r="B1071" s="3" t="s">
        <v>45</v>
      </c>
      <c r="C1071" s="3" t="s">
        <v>1676</v>
      </c>
      <c r="D1071" s="3" t="s">
        <v>23</v>
      </c>
      <c r="E1071" s="3" t="s">
        <v>16</v>
      </c>
      <c r="F1071" s="3" t="s">
        <v>1677</v>
      </c>
      <c r="G1071" s="3"/>
      <c r="H1071" s="3"/>
    </row>
    <row r="1072" spans="1:8" x14ac:dyDescent="0.35">
      <c r="A1072" s="3" t="s">
        <v>1672</v>
      </c>
      <c r="B1072" s="3" t="s">
        <v>45</v>
      </c>
      <c r="C1072" s="3" t="s">
        <v>1676</v>
      </c>
      <c r="D1072" s="3" t="s">
        <v>15</v>
      </c>
      <c r="E1072" s="3" t="s">
        <v>16</v>
      </c>
      <c r="F1072" s="3" t="s">
        <v>1678</v>
      </c>
      <c r="G1072" s="3"/>
      <c r="H1072" s="3"/>
    </row>
    <row r="1073" spans="1:8" x14ac:dyDescent="0.35">
      <c r="A1073" s="3" t="s">
        <v>1672</v>
      </c>
      <c r="B1073" s="3" t="s">
        <v>39</v>
      </c>
      <c r="C1073" s="3" t="s">
        <v>1679</v>
      </c>
      <c r="D1073" s="3" t="s">
        <v>27</v>
      </c>
      <c r="E1073" s="3"/>
      <c r="F1073" s="3"/>
      <c r="G1073" s="3"/>
      <c r="H1073" s="3"/>
    </row>
    <row r="1074" spans="1:8" x14ac:dyDescent="0.35">
      <c r="A1074" s="3" t="s">
        <v>1672</v>
      </c>
      <c r="B1074" s="3" t="s">
        <v>39</v>
      </c>
      <c r="C1074" s="3" t="s">
        <v>1679</v>
      </c>
      <c r="D1074" s="3" t="s">
        <v>15</v>
      </c>
      <c r="E1074" s="3" t="s">
        <v>16</v>
      </c>
      <c r="F1074" s="3" t="s">
        <v>1680</v>
      </c>
      <c r="G1074" s="3"/>
      <c r="H1074" s="3"/>
    </row>
    <row r="1075" spans="1:8" x14ac:dyDescent="0.35">
      <c r="A1075" s="3" t="s">
        <v>1672</v>
      </c>
      <c r="B1075" s="3" t="s">
        <v>39</v>
      </c>
      <c r="C1075" s="3" t="s">
        <v>1679</v>
      </c>
      <c r="D1075" s="3" t="s">
        <v>56</v>
      </c>
      <c r="E1075" s="3" t="s">
        <v>16</v>
      </c>
      <c r="F1075" s="3" t="s">
        <v>1474</v>
      </c>
      <c r="G1075" s="3"/>
      <c r="H1075" s="3"/>
    </row>
    <row r="1076" spans="1:8" x14ac:dyDescent="0.35">
      <c r="A1076" s="3" t="s">
        <v>1672</v>
      </c>
      <c r="B1076" s="3" t="s">
        <v>42</v>
      </c>
      <c r="C1076" s="3" t="s">
        <v>1681</v>
      </c>
      <c r="D1076" s="3" t="s">
        <v>23</v>
      </c>
      <c r="E1076" s="3"/>
      <c r="F1076" s="3"/>
      <c r="G1076" s="3"/>
      <c r="H1076" s="3"/>
    </row>
    <row r="1077" spans="1:8" x14ac:dyDescent="0.35">
      <c r="A1077" s="3" t="s">
        <v>1672</v>
      </c>
      <c r="B1077" s="3" t="s">
        <v>42</v>
      </c>
      <c r="C1077" s="3" t="s">
        <v>1681</v>
      </c>
      <c r="D1077" s="3" t="s">
        <v>27</v>
      </c>
      <c r="E1077" s="3"/>
      <c r="F1077" s="3"/>
      <c r="G1077" s="3"/>
      <c r="H1077" s="3"/>
    </row>
    <row r="1078" spans="1:8" x14ac:dyDescent="0.35">
      <c r="A1078" s="3" t="s">
        <v>1672</v>
      </c>
      <c r="B1078" s="3" t="s">
        <v>42</v>
      </c>
      <c r="C1078" s="3" t="s">
        <v>1681</v>
      </c>
      <c r="D1078" s="3" t="s">
        <v>77</v>
      </c>
      <c r="E1078" s="3"/>
      <c r="F1078" s="3"/>
      <c r="G1078" s="3"/>
      <c r="H1078" s="3"/>
    </row>
    <row r="1079" spans="1:8" x14ac:dyDescent="0.35">
      <c r="A1079" s="3" t="s">
        <v>1672</v>
      </c>
      <c r="B1079" s="3" t="s">
        <v>42</v>
      </c>
      <c r="C1079" s="3" t="s">
        <v>1681</v>
      </c>
      <c r="D1079" s="3" t="s">
        <v>15</v>
      </c>
      <c r="E1079" s="3" t="s">
        <v>16</v>
      </c>
      <c r="F1079" s="3" t="s">
        <v>1682</v>
      </c>
      <c r="G1079" s="3"/>
      <c r="H1079" s="3"/>
    </row>
    <row r="1080" spans="1:8" x14ac:dyDescent="0.35">
      <c r="A1080" s="3" t="s">
        <v>1672</v>
      </c>
      <c r="B1080" s="3" t="s">
        <v>42</v>
      </c>
      <c r="C1080" s="3" t="s">
        <v>1681</v>
      </c>
      <c r="D1080" s="3" t="s">
        <v>29</v>
      </c>
      <c r="E1080" s="3"/>
      <c r="F1080" s="3"/>
      <c r="G1080" s="3"/>
      <c r="H1080" s="3"/>
    </row>
    <row r="1081" spans="1:8" x14ac:dyDescent="0.35">
      <c r="A1081" s="3" t="s">
        <v>1672</v>
      </c>
      <c r="B1081" s="3" t="s">
        <v>20</v>
      </c>
      <c r="C1081" s="3" t="s">
        <v>1683</v>
      </c>
      <c r="D1081" s="3" t="s">
        <v>60</v>
      </c>
      <c r="E1081" s="3"/>
      <c r="F1081" s="3"/>
      <c r="G1081" s="3"/>
      <c r="H1081" s="3"/>
    </row>
    <row r="1082" spans="1:8" x14ac:dyDescent="0.35">
      <c r="A1082" s="3" t="s">
        <v>1672</v>
      </c>
      <c r="B1082" s="3" t="s">
        <v>20</v>
      </c>
      <c r="C1082" s="3" t="s">
        <v>1683</v>
      </c>
      <c r="D1082" s="3" t="s">
        <v>27</v>
      </c>
      <c r="E1082" s="3"/>
      <c r="F1082" s="3"/>
      <c r="G1082" s="3"/>
      <c r="H1082" s="3"/>
    </row>
    <row r="1083" spans="1:8" x14ac:dyDescent="0.35">
      <c r="A1083" s="3" t="s">
        <v>1672</v>
      </c>
      <c r="B1083" s="3" t="s">
        <v>20</v>
      </c>
      <c r="C1083" s="3" t="s">
        <v>1683</v>
      </c>
      <c r="D1083" s="3" t="s">
        <v>15</v>
      </c>
      <c r="E1083" s="3" t="s">
        <v>16</v>
      </c>
      <c r="F1083" s="3" t="s">
        <v>1684</v>
      </c>
      <c r="G1083" s="3"/>
      <c r="H1083" s="3"/>
    </row>
    <row r="1084" spans="1:8" x14ac:dyDescent="0.35">
      <c r="A1084" s="3" t="s">
        <v>1672</v>
      </c>
      <c r="B1084" s="3" t="s">
        <v>20</v>
      </c>
      <c r="C1084" s="3" t="s">
        <v>1683</v>
      </c>
      <c r="D1084" s="3" t="s">
        <v>32</v>
      </c>
      <c r="E1084" s="3"/>
      <c r="F1084" s="3" t="s">
        <v>2405</v>
      </c>
      <c r="G1084" s="3"/>
      <c r="H1084" s="3"/>
    </row>
    <row r="1085" spans="1:8" x14ac:dyDescent="0.35">
      <c r="A1085" s="3" t="s">
        <v>1672</v>
      </c>
      <c r="B1085" s="3" t="s">
        <v>45</v>
      </c>
      <c r="C1085" s="3" t="s">
        <v>1685</v>
      </c>
      <c r="D1085" s="3" t="s">
        <v>23</v>
      </c>
      <c r="E1085" s="3" t="s">
        <v>16</v>
      </c>
      <c r="F1085" s="3" t="s">
        <v>1686</v>
      </c>
      <c r="G1085" s="3"/>
      <c r="H1085" s="3"/>
    </row>
    <row r="1086" spans="1:8" x14ac:dyDescent="0.35">
      <c r="A1086" s="3" t="s">
        <v>1672</v>
      </c>
      <c r="B1086" s="3" t="s">
        <v>45</v>
      </c>
      <c r="C1086" s="3" t="s">
        <v>1685</v>
      </c>
      <c r="D1086" s="3" t="s">
        <v>60</v>
      </c>
      <c r="E1086" s="3" t="s">
        <v>16</v>
      </c>
      <c r="F1086" s="3" t="s">
        <v>990</v>
      </c>
      <c r="G1086" s="3"/>
      <c r="H1086" s="3"/>
    </row>
    <row r="1087" spans="1:8" x14ac:dyDescent="0.35">
      <c r="A1087" s="3" t="s">
        <v>1672</v>
      </c>
      <c r="B1087" s="3" t="s">
        <v>45</v>
      </c>
      <c r="C1087" s="3" t="s">
        <v>1685</v>
      </c>
      <c r="D1087" s="3" t="s">
        <v>27</v>
      </c>
      <c r="E1087" s="3"/>
      <c r="F1087" s="3"/>
      <c r="G1087" s="3"/>
      <c r="H1087" s="3"/>
    </row>
    <row r="1088" spans="1:8" x14ac:dyDescent="0.35">
      <c r="A1088" s="3" t="s">
        <v>1672</v>
      </c>
      <c r="B1088" s="3" t="s">
        <v>45</v>
      </c>
      <c r="C1088" s="3" t="s">
        <v>1685</v>
      </c>
      <c r="D1088" s="3" t="s">
        <v>77</v>
      </c>
      <c r="E1088" s="3"/>
      <c r="F1088" s="3"/>
      <c r="G1088" s="3"/>
      <c r="H1088" s="3"/>
    </row>
    <row r="1089" spans="1:8" x14ac:dyDescent="0.35">
      <c r="A1089" s="3" t="s">
        <v>1672</v>
      </c>
      <c r="B1089" s="3" t="s">
        <v>45</v>
      </c>
      <c r="C1089" s="3" t="s">
        <v>1685</v>
      </c>
      <c r="D1089" s="3" t="s">
        <v>15</v>
      </c>
      <c r="E1089" s="3" t="s">
        <v>16</v>
      </c>
      <c r="F1089" s="3" t="s">
        <v>1687</v>
      </c>
      <c r="G1089" s="3"/>
      <c r="H1089" s="3"/>
    </row>
    <row r="1090" spans="1:8" x14ac:dyDescent="0.35">
      <c r="A1090" s="3" t="s">
        <v>1672</v>
      </c>
      <c r="B1090" s="3" t="s">
        <v>45</v>
      </c>
      <c r="C1090" s="3" t="s">
        <v>1685</v>
      </c>
      <c r="D1090" s="3" t="s">
        <v>24</v>
      </c>
      <c r="E1090" s="3"/>
      <c r="F1090" s="3"/>
      <c r="G1090" s="3"/>
      <c r="H1090" s="3"/>
    </row>
  </sheetData>
  <autoFilter ref="A1:H973" xr:uid="{00000000-0009-0000-0000-000004000000}"/>
  <pageMargins left="0.7" right="0.7" top="0.75" bottom="0.75" header="0.3" footer="0.3"/>
  <customProperties>
    <customPr name="Gu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7"/>
  <sheetViews>
    <sheetView workbookViewId="0">
      <selection activeCell="A2" sqref="A2"/>
    </sheetView>
  </sheetViews>
  <sheetFormatPr defaultRowHeight="14.5" x14ac:dyDescent="0.35"/>
  <cols>
    <col min="1" max="1" width="16.453125" customWidth="1"/>
    <col min="2" max="2" width="21.453125" customWidth="1"/>
    <col min="3" max="3" width="54.81640625" customWidth="1"/>
    <col min="4" max="4" width="31.453125" customWidth="1"/>
    <col min="5" max="5" width="12.54296875" customWidth="1"/>
    <col min="6" max="6" width="34.54296875" customWidth="1"/>
    <col min="7" max="8" width="14.26953125" customWidth="1"/>
  </cols>
  <sheetData>
    <row r="1" spans="1:8" ht="34.5" customHeight="1" x14ac:dyDescent="0.35">
      <c r="A1" s="1" t="s">
        <v>1</v>
      </c>
      <c r="B1" s="1" t="s">
        <v>2</v>
      </c>
      <c r="C1" s="1" t="s">
        <v>3</v>
      </c>
      <c r="D1" s="1" t="s">
        <v>4</v>
      </c>
      <c r="E1" s="1" t="s">
        <v>5</v>
      </c>
      <c r="F1" s="1" t="s">
        <v>2296</v>
      </c>
      <c r="G1" s="1" t="s">
        <v>6</v>
      </c>
      <c r="H1" s="1" t="s">
        <v>7</v>
      </c>
    </row>
    <row r="2" spans="1:8" x14ac:dyDescent="0.35">
      <c r="A2" s="3" t="s">
        <v>2757</v>
      </c>
      <c r="B2" s="3" t="s">
        <v>20</v>
      </c>
      <c r="C2" s="3" t="s">
        <v>2758</v>
      </c>
      <c r="D2" s="3" t="s">
        <v>12</v>
      </c>
      <c r="E2" s="3"/>
      <c r="F2" s="3"/>
      <c r="G2" s="3"/>
      <c r="H2" s="3"/>
    </row>
    <row r="3" spans="1:8" x14ac:dyDescent="0.35">
      <c r="A3" s="3" t="s">
        <v>2757</v>
      </c>
      <c r="B3" s="3" t="s">
        <v>20</v>
      </c>
      <c r="C3" s="3" t="s">
        <v>2758</v>
      </c>
      <c r="D3" s="3" t="s">
        <v>27</v>
      </c>
      <c r="E3" s="3"/>
      <c r="F3" s="3"/>
      <c r="G3" s="3"/>
      <c r="H3" s="3"/>
    </row>
    <row r="4" spans="1:8" x14ac:dyDescent="0.35">
      <c r="A4" s="3" t="s">
        <v>2757</v>
      </c>
      <c r="B4" s="3" t="s">
        <v>20</v>
      </c>
      <c r="C4" s="3" t="s">
        <v>2758</v>
      </c>
      <c r="D4" s="3" t="s">
        <v>87</v>
      </c>
      <c r="E4" s="3"/>
      <c r="F4" s="3"/>
      <c r="G4" s="3"/>
      <c r="H4" s="3"/>
    </row>
    <row r="5" spans="1:8" x14ac:dyDescent="0.35">
      <c r="A5" s="3" t="s">
        <v>2757</v>
      </c>
      <c r="B5" s="3" t="s">
        <v>20</v>
      </c>
      <c r="C5" s="3" t="s">
        <v>2758</v>
      </c>
      <c r="D5" s="3" t="s">
        <v>15</v>
      </c>
      <c r="E5" s="3" t="s">
        <v>16</v>
      </c>
      <c r="F5" s="3" t="s">
        <v>990</v>
      </c>
      <c r="G5" s="3"/>
      <c r="H5" s="3"/>
    </row>
    <row r="6" spans="1:8" x14ac:dyDescent="0.35">
      <c r="A6" s="3" t="s">
        <v>2757</v>
      </c>
      <c r="B6" s="3" t="s">
        <v>20</v>
      </c>
      <c r="C6" s="3" t="s">
        <v>2758</v>
      </c>
      <c r="D6" s="3" t="s">
        <v>24</v>
      </c>
      <c r="E6" s="3"/>
      <c r="F6" s="3"/>
      <c r="G6" s="3"/>
      <c r="H6" s="3"/>
    </row>
    <row r="7" spans="1:8" x14ac:dyDescent="0.35">
      <c r="A7" s="3" t="s">
        <v>1689</v>
      </c>
      <c r="B7" s="3" t="s">
        <v>20</v>
      </c>
      <c r="C7" s="3" t="s">
        <v>1690</v>
      </c>
      <c r="D7" s="3" t="s">
        <v>87</v>
      </c>
      <c r="E7" s="3" t="s">
        <v>16</v>
      </c>
      <c r="F7" s="3" t="s">
        <v>1691</v>
      </c>
      <c r="G7" s="3"/>
      <c r="H7" s="3"/>
    </row>
    <row r="8" spans="1:8" x14ac:dyDescent="0.35">
      <c r="A8" s="3" t="s">
        <v>1689</v>
      </c>
      <c r="B8" s="3" t="s">
        <v>20</v>
      </c>
      <c r="C8" s="3" t="s">
        <v>1690</v>
      </c>
      <c r="D8" s="3" t="s">
        <v>15</v>
      </c>
      <c r="E8" s="3" t="s">
        <v>16</v>
      </c>
      <c r="F8" s="3" t="s">
        <v>990</v>
      </c>
      <c r="G8" s="3"/>
      <c r="H8" s="3"/>
    </row>
    <row r="9" spans="1:8" x14ac:dyDescent="0.35">
      <c r="A9" s="3" t="s">
        <v>1692</v>
      </c>
      <c r="B9" s="3" t="s">
        <v>45</v>
      </c>
      <c r="C9" s="3" t="s">
        <v>1693</v>
      </c>
      <c r="D9" s="3" t="s">
        <v>23</v>
      </c>
      <c r="E9" s="3"/>
      <c r="F9" s="3"/>
      <c r="G9" s="3" t="s">
        <v>16</v>
      </c>
      <c r="H9" s="3" t="s">
        <v>559</v>
      </c>
    </row>
    <row r="10" spans="1:8" x14ac:dyDescent="0.35">
      <c r="A10" s="3" t="s">
        <v>1692</v>
      </c>
      <c r="B10" s="3" t="s">
        <v>45</v>
      </c>
      <c r="C10" s="3" t="s">
        <v>1693</v>
      </c>
      <c r="D10" s="3" t="s">
        <v>27</v>
      </c>
      <c r="E10" s="3" t="s">
        <v>16</v>
      </c>
      <c r="F10" s="3" t="s">
        <v>1694</v>
      </c>
      <c r="G10" s="3" t="s">
        <v>16</v>
      </c>
      <c r="H10" s="3" t="s">
        <v>559</v>
      </c>
    </row>
    <row r="11" spans="1:8" x14ac:dyDescent="0.35">
      <c r="A11" s="3" t="s">
        <v>1692</v>
      </c>
      <c r="B11" s="3" t="s">
        <v>45</v>
      </c>
      <c r="C11" s="3" t="s">
        <v>1693</v>
      </c>
      <c r="D11" s="3" t="s">
        <v>56</v>
      </c>
      <c r="E11" s="3"/>
      <c r="F11" s="3"/>
      <c r="G11" s="3" t="s">
        <v>16</v>
      </c>
      <c r="H11" s="3" t="s">
        <v>559</v>
      </c>
    </row>
    <row r="12" spans="1:8" x14ac:dyDescent="0.35">
      <c r="A12" s="3" t="s">
        <v>1692</v>
      </c>
      <c r="B12" s="3" t="s">
        <v>45</v>
      </c>
      <c r="C12" s="3" t="s">
        <v>1693</v>
      </c>
      <c r="D12" s="3" t="s">
        <v>24</v>
      </c>
      <c r="E12" s="3"/>
      <c r="F12" s="3"/>
      <c r="G12" s="3" t="s">
        <v>16</v>
      </c>
      <c r="H12" s="3" t="s">
        <v>559</v>
      </c>
    </row>
    <row r="13" spans="1:8" x14ac:dyDescent="0.35">
      <c r="A13" s="3" t="s">
        <v>1692</v>
      </c>
      <c r="B13" s="3" t="s">
        <v>42</v>
      </c>
      <c r="C13" s="3" t="s">
        <v>1695</v>
      </c>
      <c r="D13" s="3" t="s">
        <v>27</v>
      </c>
      <c r="E13" s="3" t="s">
        <v>33</v>
      </c>
      <c r="F13" s="13" t="s">
        <v>34</v>
      </c>
      <c r="G13" s="3"/>
      <c r="H13" s="3"/>
    </row>
    <row r="14" spans="1:8" x14ac:dyDescent="0.35">
      <c r="A14" s="3" t="s">
        <v>1692</v>
      </c>
      <c r="B14" s="3" t="s">
        <v>42</v>
      </c>
      <c r="C14" s="3" t="s">
        <v>1695</v>
      </c>
      <c r="D14" s="3" t="s">
        <v>15</v>
      </c>
      <c r="E14" s="3" t="s">
        <v>16</v>
      </c>
      <c r="F14" s="3" t="s">
        <v>1697</v>
      </c>
      <c r="G14" s="3" t="s">
        <v>16</v>
      </c>
      <c r="H14" s="3" t="s">
        <v>559</v>
      </c>
    </row>
    <row r="15" spans="1:8" x14ac:dyDescent="0.35">
      <c r="A15" s="3" t="s">
        <v>1692</v>
      </c>
      <c r="B15" s="3" t="s">
        <v>42</v>
      </c>
      <c r="C15" s="3" t="s">
        <v>1695</v>
      </c>
      <c r="D15" s="3" t="s">
        <v>56</v>
      </c>
      <c r="E15" s="3" t="s">
        <v>16</v>
      </c>
      <c r="F15" s="3" t="s">
        <v>1696</v>
      </c>
      <c r="G15" s="3" t="s">
        <v>16</v>
      </c>
      <c r="H15" s="3" t="s">
        <v>559</v>
      </c>
    </row>
    <row r="16" spans="1:8" x14ac:dyDescent="0.35">
      <c r="A16" s="3" t="s">
        <v>1692</v>
      </c>
      <c r="B16" s="3" t="s">
        <v>42</v>
      </c>
      <c r="C16" s="3" t="s">
        <v>1695</v>
      </c>
      <c r="D16" s="3" t="s">
        <v>24</v>
      </c>
      <c r="E16" s="3"/>
      <c r="F16" s="3"/>
      <c r="G16" s="3" t="s">
        <v>16</v>
      </c>
      <c r="H16" s="3" t="s">
        <v>559</v>
      </c>
    </row>
    <row r="17" spans="1:8" x14ac:dyDescent="0.35">
      <c r="A17" s="3" t="s">
        <v>1692</v>
      </c>
      <c r="B17" s="3" t="s">
        <v>20</v>
      </c>
      <c r="C17" s="3" t="s">
        <v>1698</v>
      </c>
      <c r="D17" s="3" t="s">
        <v>27</v>
      </c>
      <c r="E17" s="3"/>
      <c r="F17" s="3"/>
      <c r="G17" s="3" t="s">
        <v>16</v>
      </c>
      <c r="H17" s="3" t="s">
        <v>559</v>
      </c>
    </row>
    <row r="18" spans="1:8" x14ac:dyDescent="0.35">
      <c r="A18" s="3" t="s">
        <v>1692</v>
      </c>
      <c r="B18" s="3" t="s">
        <v>20</v>
      </c>
      <c r="C18" s="3" t="s">
        <v>1698</v>
      </c>
      <c r="D18" s="3" t="s">
        <v>77</v>
      </c>
      <c r="E18" s="3"/>
      <c r="F18" s="3"/>
      <c r="G18" s="3" t="s">
        <v>16</v>
      </c>
      <c r="H18" s="3" t="s">
        <v>559</v>
      </c>
    </row>
    <row r="19" spans="1:8" x14ac:dyDescent="0.35">
      <c r="A19" s="3" t="s">
        <v>1692</v>
      </c>
      <c r="B19" s="3" t="s">
        <v>20</v>
      </c>
      <c r="C19" s="3" t="s">
        <v>1698</v>
      </c>
      <c r="D19" s="3" t="s">
        <v>242</v>
      </c>
      <c r="E19" s="3"/>
      <c r="F19" s="3"/>
      <c r="G19" s="3" t="s">
        <v>16</v>
      </c>
      <c r="H19" s="3" t="s">
        <v>559</v>
      </c>
    </row>
    <row r="20" spans="1:8" x14ac:dyDescent="0.35">
      <c r="A20" s="3" t="s">
        <v>1692</v>
      </c>
      <c r="B20" s="3" t="s">
        <v>20</v>
      </c>
      <c r="C20" s="3" t="s">
        <v>1698</v>
      </c>
      <c r="D20" s="3" t="s">
        <v>15</v>
      </c>
      <c r="E20" s="3" t="s">
        <v>16</v>
      </c>
      <c r="F20" s="3" t="s">
        <v>1699</v>
      </c>
      <c r="G20" s="3" t="s">
        <v>16</v>
      </c>
      <c r="H20" s="3" t="s">
        <v>559</v>
      </c>
    </row>
    <row r="21" spans="1:8" x14ac:dyDescent="0.35">
      <c r="A21" s="3" t="s">
        <v>1692</v>
      </c>
      <c r="B21" s="3" t="s">
        <v>20</v>
      </c>
      <c r="C21" s="3" t="s">
        <v>1698</v>
      </c>
      <c r="D21" s="3" t="s">
        <v>29</v>
      </c>
      <c r="E21" s="3"/>
      <c r="F21" s="3" t="s">
        <v>2348</v>
      </c>
      <c r="G21" s="3" t="s">
        <v>16</v>
      </c>
      <c r="H21" s="3" t="s">
        <v>559</v>
      </c>
    </row>
    <row r="22" spans="1:8" x14ac:dyDescent="0.35">
      <c r="A22" s="3" t="s">
        <v>1692</v>
      </c>
      <c r="B22" s="3" t="s">
        <v>45</v>
      </c>
      <c r="C22" s="3" t="s">
        <v>2913</v>
      </c>
      <c r="D22" s="3" t="s">
        <v>23</v>
      </c>
      <c r="E22" s="3"/>
      <c r="F22" s="3"/>
      <c r="G22" s="3" t="s">
        <v>16</v>
      </c>
      <c r="H22" s="3" t="s">
        <v>559</v>
      </c>
    </row>
    <row r="23" spans="1:8" x14ac:dyDescent="0.35">
      <c r="A23" s="3" t="s">
        <v>1692</v>
      </c>
      <c r="B23" s="3" t="s">
        <v>45</v>
      </c>
      <c r="C23" s="3" t="s">
        <v>2913</v>
      </c>
      <c r="D23" s="3" t="s">
        <v>56</v>
      </c>
      <c r="E23" s="3" t="s">
        <v>16</v>
      </c>
      <c r="F23" s="3" t="s">
        <v>1702</v>
      </c>
      <c r="G23" s="3" t="s">
        <v>16</v>
      </c>
      <c r="H23" s="3" t="s">
        <v>559</v>
      </c>
    </row>
    <row r="24" spans="1:8" x14ac:dyDescent="0.35">
      <c r="A24" s="3" t="s">
        <v>1692</v>
      </c>
      <c r="B24" s="3" t="s">
        <v>45</v>
      </c>
      <c r="C24" s="3" t="s">
        <v>2913</v>
      </c>
      <c r="D24" s="3" t="s">
        <v>24</v>
      </c>
      <c r="E24" s="3"/>
      <c r="F24" s="3"/>
      <c r="G24" s="3" t="s">
        <v>16</v>
      </c>
      <c r="H24" s="3" t="s">
        <v>559</v>
      </c>
    </row>
    <row r="25" spans="1:8" x14ac:dyDescent="0.35">
      <c r="A25" s="3" t="s">
        <v>1692</v>
      </c>
      <c r="B25" s="3" t="s">
        <v>45</v>
      </c>
      <c r="C25" s="3" t="s">
        <v>1700</v>
      </c>
      <c r="D25" s="3" t="s">
        <v>23</v>
      </c>
      <c r="E25" s="3"/>
      <c r="F25" s="3"/>
      <c r="G25" s="3" t="s">
        <v>16</v>
      </c>
      <c r="H25" s="3" t="s">
        <v>559</v>
      </c>
    </row>
    <row r="26" spans="1:8" x14ac:dyDescent="0.35">
      <c r="A26" s="3" t="s">
        <v>1692</v>
      </c>
      <c r="B26" s="3" t="s">
        <v>45</v>
      </c>
      <c r="C26" s="3" t="s">
        <v>1700</v>
      </c>
      <c r="D26" s="3" t="s">
        <v>77</v>
      </c>
      <c r="E26" s="3"/>
      <c r="F26" s="3"/>
      <c r="G26" s="3" t="s">
        <v>16</v>
      </c>
      <c r="H26" s="3" t="s">
        <v>559</v>
      </c>
    </row>
    <row r="27" spans="1:8" x14ac:dyDescent="0.35">
      <c r="A27" s="3" t="s">
        <v>1692</v>
      </c>
      <c r="B27" s="3" t="s">
        <v>45</v>
      </c>
      <c r="C27" s="3" t="s">
        <v>1700</v>
      </c>
      <c r="D27" s="3" t="s">
        <v>290</v>
      </c>
      <c r="E27" s="3" t="s">
        <v>16</v>
      </c>
      <c r="F27" s="3" t="s">
        <v>1701</v>
      </c>
      <c r="G27" s="3" t="s">
        <v>16</v>
      </c>
      <c r="H27" s="3" t="s">
        <v>559</v>
      </c>
    </row>
    <row r="28" spans="1:8" x14ac:dyDescent="0.35">
      <c r="A28" s="3" t="s">
        <v>1692</v>
      </c>
      <c r="B28" s="3" t="s">
        <v>20</v>
      </c>
      <c r="C28" s="3" t="s">
        <v>2931</v>
      </c>
      <c r="D28" s="3" t="s">
        <v>23</v>
      </c>
      <c r="E28" s="3"/>
      <c r="F28" s="3"/>
      <c r="G28" s="3" t="s">
        <v>16</v>
      </c>
      <c r="H28" s="3" t="s">
        <v>559</v>
      </c>
    </row>
    <row r="29" spans="1:8" x14ac:dyDescent="0.35">
      <c r="A29" s="3" t="s">
        <v>1692</v>
      </c>
      <c r="B29" s="3" t="s">
        <v>20</v>
      </c>
      <c r="C29" s="3" t="s">
        <v>2931</v>
      </c>
      <c r="D29" s="3" t="s">
        <v>15</v>
      </c>
      <c r="E29" s="3" t="s">
        <v>16</v>
      </c>
      <c r="F29" s="3" t="s">
        <v>2932</v>
      </c>
      <c r="G29" s="3" t="s">
        <v>16</v>
      </c>
      <c r="H29" s="3" t="s">
        <v>559</v>
      </c>
    </row>
    <row r="30" spans="1:8" x14ac:dyDescent="0.35">
      <c r="A30" s="3" t="s">
        <v>1692</v>
      </c>
      <c r="B30" s="3" t="s">
        <v>20</v>
      </c>
      <c r="C30" s="3" t="s">
        <v>2931</v>
      </c>
      <c r="D30" s="3" t="s">
        <v>56</v>
      </c>
      <c r="E30" s="3"/>
      <c r="F30" s="3"/>
      <c r="G30" s="3" t="s">
        <v>16</v>
      </c>
      <c r="H30" s="3" t="s">
        <v>559</v>
      </c>
    </row>
    <row r="31" spans="1:8" x14ac:dyDescent="0.35">
      <c r="A31" s="3" t="s">
        <v>1692</v>
      </c>
      <c r="B31" s="3" t="s">
        <v>20</v>
      </c>
      <c r="C31" s="3" t="s">
        <v>2931</v>
      </c>
      <c r="D31" s="3" t="s">
        <v>290</v>
      </c>
      <c r="E31" s="3"/>
      <c r="F31" s="3"/>
      <c r="G31" s="3" t="s">
        <v>16</v>
      </c>
      <c r="H31" s="3" t="s">
        <v>559</v>
      </c>
    </row>
    <row r="32" spans="1:8" x14ac:dyDescent="0.35">
      <c r="A32" s="3" t="s">
        <v>1692</v>
      </c>
      <c r="B32" s="3" t="s">
        <v>20</v>
      </c>
      <c r="C32" s="3" t="s">
        <v>1703</v>
      </c>
      <c r="D32" s="3" t="s">
        <v>77</v>
      </c>
      <c r="E32" s="3" t="s">
        <v>16</v>
      </c>
      <c r="F32" s="3" t="s">
        <v>990</v>
      </c>
      <c r="G32" s="3" t="s">
        <v>16</v>
      </c>
      <c r="H32" s="3" t="s">
        <v>559</v>
      </c>
    </row>
    <row r="33" spans="1:8" x14ac:dyDescent="0.35">
      <c r="A33" s="3" t="s">
        <v>1692</v>
      </c>
      <c r="B33" s="3" t="s">
        <v>20</v>
      </c>
      <c r="C33" s="3" t="s">
        <v>1703</v>
      </c>
      <c r="D33" s="3" t="s">
        <v>290</v>
      </c>
      <c r="E33" s="3"/>
      <c r="F33" s="3"/>
      <c r="G33" s="3" t="s">
        <v>16</v>
      </c>
      <c r="H33" s="3" t="s">
        <v>559</v>
      </c>
    </row>
    <row r="34" spans="1:8" x14ac:dyDescent="0.35">
      <c r="A34" s="3" t="s">
        <v>1704</v>
      </c>
      <c r="B34" s="3" t="s">
        <v>42</v>
      </c>
      <c r="C34" s="3" t="s">
        <v>1705</v>
      </c>
      <c r="D34" s="3" t="s">
        <v>60</v>
      </c>
      <c r="E34" s="3" t="s">
        <v>16</v>
      </c>
      <c r="F34" s="3" t="s">
        <v>1706</v>
      </c>
      <c r="G34" s="3" t="s">
        <v>16</v>
      </c>
      <c r="H34" s="3" t="s">
        <v>1707</v>
      </c>
    </row>
    <row r="35" spans="1:8" x14ac:dyDescent="0.35">
      <c r="A35" s="3" t="s">
        <v>1704</v>
      </c>
      <c r="B35" s="3" t="s">
        <v>42</v>
      </c>
      <c r="C35" s="3" t="s">
        <v>1705</v>
      </c>
      <c r="D35" s="3" t="s">
        <v>87</v>
      </c>
      <c r="E35" s="3" t="s">
        <v>16</v>
      </c>
      <c r="F35" s="3" t="s">
        <v>2323</v>
      </c>
      <c r="G35" s="3" t="s">
        <v>16</v>
      </c>
      <c r="H35" s="3" t="s">
        <v>1707</v>
      </c>
    </row>
    <row r="36" spans="1:8" x14ac:dyDescent="0.35">
      <c r="A36" s="3" t="s">
        <v>1704</v>
      </c>
      <c r="B36" s="3" t="s">
        <v>42</v>
      </c>
      <c r="C36" s="3" t="s">
        <v>1705</v>
      </c>
      <c r="D36" s="3" t="s">
        <v>32</v>
      </c>
      <c r="E36" s="3" t="s">
        <v>16</v>
      </c>
      <c r="F36" s="3" t="s">
        <v>2494</v>
      </c>
      <c r="G36" s="3" t="s">
        <v>16</v>
      </c>
      <c r="H36" s="3" t="s">
        <v>1707</v>
      </c>
    </row>
    <row r="37" spans="1:8" x14ac:dyDescent="0.35">
      <c r="A37" s="3" t="s">
        <v>1708</v>
      </c>
      <c r="B37" s="3" t="s">
        <v>10</v>
      </c>
      <c r="C37" s="3" t="s">
        <v>1709</v>
      </c>
      <c r="D37" s="3" t="s">
        <v>27</v>
      </c>
      <c r="E37" s="3"/>
      <c r="F37" s="3"/>
      <c r="G37" s="3"/>
      <c r="H37" s="3"/>
    </row>
    <row r="38" spans="1:8" x14ac:dyDescent="0.35">
      <c r="A38" s="3" t="s">
        <v>1708</v>
      </c>
      <c r="B38" s="3" t="s">
        <v>10</v>
      </c>
      <c r="C38" s="3" t="s">
        <v>1709</v>
      </c>
      <c r="D38" s="3" t="s">
        <v>15</v>
      </c>
      <c r="E38" s="3" t="s">
        <v>16</v>
      </c>
      <c r="F38" s="3" t="s">
        <v>1710</v>
      </c>
      <c r="G38" s="3"/>
      <c r="H38" s="3"/>
    </row>
    <row r="39" spans="1:8" x14ac:dyDescent="0.35">
      <c r="A39" s="3" t="s">
        <v>1708</v>
      </c>
      <c r="B39" s="3" t="s">
        <v>10</v>
      </c>
      <c r="C39" s="3" t="s">
        <v>1709</v>
      </c>
      <c r="D39" s="3" t="s">
        <v>24</v>
      </c>
      <c r="E39" s="3"/>
      <c r="F39" s="3"/>
      <c r="G39" s="3"/>
      <c r="H39" s="3"/>
    </row>
    <row r="40" spans="1:8" x14ac:dyDescent="0.35">
      <c r="A40" s="3" t="s">
        <v>1708</v>
      </c>
      <c r="B40" s="3" t="s">
        <v>42</v>
      </c>
      <c r="C40" s="3" t="s">
        <v>1711</v>
      </c>
      <c r="D40" s="3" t="s">
        <v>25</v>
      </c>
      <c r="E40" s="3"/>
      <c r="F40" s="3"/>
      <c r="G40" s="3"/>
      <c r="H40" s="3"/>
    </row>
    <row r="41" spans="1:8" x14ac:dyDescent="0.35">
      <c r="A41" s="3" t="s">
        <v>1708</v>
      </c>
      <c r="B41" s="3" t="s">
        <v>42</v>
      </c>
      <c r="C41" s="3" t="s">
        <v>1711</v>
      </c>
      <c r="D41" s="3" t="s">
        <v>27</v>
      </c>
      <c r="E41" s="3"/>
      <c r="F41" s="3"/>
      <c r="G41" s="3"/>
      <c r="H41" s="3"/>
    </row>
    <row r="42" spans="1:8" x14ac:dyDescent="0.35">
      <c r="A42" s="3" t="s">
        <v>1708</v>
      </c>
      <c r="B42" s="3" t="s">
        <v>42</v>
      </c>
      <c r="C42" s="3" t="s">
        <v>1711</v>
      </c>
      <c r="D42" s="3" t="s">
        <v>87</v>
      </c>
      <c r="E42" s="3"/>
      <c r="F42" s="3"/>
      <c r="G42" s="3"/>
      <c r="H42" s="3"/>
    </row>
    <row r="43" spans="1:8" x14ac:dyDescent="0.35">
      <c r="A43" s="3" t="s">
        <v>1708</v>
      </c>
      <c r="B43" s="3" t="s">
        <v>42</v>
      </c>
      <c r="C43" s="3" t="s">
        <v>1711</v>
      </c>
      <c r="D43" s="3" t="s">
        <v>32</v>
      </c>
      <c r="E43" s="3" t="s">
        <v>16</v>
      </c>
      <c r="F43" s="3" t="s">
        <v>2338</v>
      </c>
      <c r="G43" s="3"/>
      <c r="H43" s="3"/>
    </row>
    <row r="44" spans="1:8" x14ac:dyDescent="0.35">
      <c r="A44" s="3" t="s">
        <v>1708</v>
      </c>
      <c r="B44" s="3" t="s">
        <v>42</v>
      </c>
      <c r="C44" s="3" t="s">
        <v>1711</v>
      </c>
      <c r="D44" s="3" t="s">
        <v>630</v>
      </c>
      <c r="E44" s="3"/>
      <c r="F44" s="3"/>
      <c r="G44" s="3"/>
      <c r="H44" s="3"/>
    </row>
    <row r="45" spans="1:8" x14ac:dyDescent="0.35">
      <c r="A45" s="3" t="s">
        <v>1708</v>
      </c>
      <c r="B45" s="3" t="s">
        <v>20</v>
      </c>
      <c r="C45" s="3" t="s">
        <v>1713</v>
      </c>
      <c r="D45" s="3" t="s">
        <v>27</v>
      </c>
      <c r="E45" s="3" t="s">
        <v>33</v>
      </c>
      <c r="F45" s="3" t="s">
        <v>2915</v>
      </c>
      <c r="G45" s="3"/>
      <c r="H45" s="3"/>
    </row>
    <row r="46" spans="1:8" x14ac:dyDescent="0.35">
      <c r="A46" s="3" t="s">
        <v>1708</v>
      </c>
      <c r="B46" s="3" t="s">
        <v>20</v>
      </c>
      <c r="C46" s="3" t="s">
        <v>1713</v>
      </c>
      <c r="D46" s="3" t="s">
        <v>87</v>
      </c>
      <c r="E46" s="3" t="s">
        <v>33</v>
      </c>
      <c r="F46" s="3" t="s">
        <v>2915</v>
      </c>
      <c r="G46" s="3"/>
      <c r="H46" s="3"/>
    </row>
    <row r="47" spans="1:8" x14ac:dyDescent="0.35">
      <c r="A47" s="3" t="s">
        <v>1708</v>
      </c>
      <c r="B47" s="3" t="s">
        <v>20</v>
      </c>
      <c r="C47" s="3" t="s">
        <v>1713</v>
      </c>
      <c r="D47" s="3" t="s">
        <v>56</v>
      </c>
      <c r="E47" s="3" t="s">
        <v>33</v>
      </c>
      <c r="F47" s="3" t="s">
        <v>2915</v>
      </c>
      <c r="G47" s="3"/>
      <c r="H47" s="3"/>
    </row>
    <row r="48" spans="1:8" x14ac:dyDescent="0.35">
      <c r="A48" s="3" t="s">
        <v>1708</v>
      </c>
      <c r="B48" s="3" t="s">
        <v>20</v>
      </c>
      <c r="C48" s="3" t="s">
        <v>1714</v>
      </c>
      <c r="D48" s="3" t="s">
        <v>87</v>
      </c>
      <c r="E48" s="3" t="s">
        <v>33</v>
      </c>
      <c r="F48" s="3" t="s">
        <v>34</v>
      </c>
      <c r="G48" s="3"/>
      <c r="H48" s="3"/>
    </row>
    <row r="49" spans="1:8" x14ac:dyDescent="0.35">
      <c r="A49" s="3" t="s">
        <v>1708</v>
      </c>
      <c r="B49" s="3" t="s">
        <v>20</v>
      </c>
      <c r="C49" s="3" t="s">
        <v>1714</v>
      </c>
      <c r="D49" s="3" t="s">
        <v>56</v>
      </c>
      <c r="E49" s="3" t="s">
        <v>16</v>
      </c>
      <c r="F49" s="3" t="s">
        <v>1712</v>
      </c>
      <c r="G49" s="3"/>
      <c r="H49" s="3"/>
    </row>
    <row r="50" spans="1:8" x14ac:dyDescent="0.35">
      <c r="A50" s="3" t="s">
        <v>1708</v>
      </c>
      <c r="B50" s="3" t="s">
        <v>20</v>
      </c>
      <c r="C50" s="3" t="s">
        <v>1714</v>
      </c>
      <c r="D50" s="3" t="s">
        <v>24</v>
      </c>
      <c r="E50" s="3" t="s">
        <v>33</v>
      </c>
      <c r="F50" s="3" t="s">
        <v>34</v>
      </c>
      <c r="G50" s="3"/>
      <c r="H50" s="3"/>
    </row>
    <row r="51" spans="1:8" x14ac:dyDescent="0.35">
      <c r="A51" s="3" t="s">
        <v>1708</v>
      </c>
      <c r="B51" s="3" t="s">
        <v>20</v>
      </c>
      <c r="C51" s="3" t="s">
        <v>1715</v>
      </c>
      <c r="D51" s="3" t="s">
        <v>25</v>
      </c>
      <c r="E51" s="3"/>
      <c r="F51" s="3"/>
      <c r="G51" s="3"/>
      <c r="H51" s="3"/>
    </row>
    <row r="52" spans="1:8" x14ac:dyDescent="0.35">
      <c r="A52" s="3" t="s">
        <v>1708</v>
      </c>
      <c r="B52" s="3" t="s">
        <v>20</v>
      </c>
      <c r="C52" s="3" t="s">
        <v>1715</v>
      </c>
      <c r="D52" s="3" t="s">
        <v>77</v>
      </c>
      <c r="E52" s="3"/>
      <c r="F52" s="3"/>
      <c r="G52" s="3"/>
      <c r="H52" s="3"/>
    </row>
    <row r="53" spans="1:8" x14ac:dyDescent="0.35">
      <c r="A53" s="3" t="s">
        <v>1708</v>
      </c>
      <c r="B53" s="3" t="s">
        <v>20</v>
      </c>
      <c r="C53" s="3" t="s">
        <v>1715</v>
      </c>
      <c r="D53" s="3" t="s">
        <v>87</v>
      </c>
      <c r="E53" s="3"/>
      <c r="F53" s="3"/>
      <c r="G53" s="3"/>
      <c r="H53" s="3"/>
    </row>
    <row r="54" spans="1:8" x14ac:dyDescent="0.35">
      <c r="A54" s="3" t="s">
        <v>1708</v>
      </c>
      <c r="B54" s="3" t="s">
        <v>20</v>
      </c>
      <c r="C54" s="3" t="s">
        <v>1715</v>
      </c>
      <c r="D54" s="3" t="s">
        <v>1216</v>
      </c>
      <c r="E54" s="3"/>
      <c r="F54" s="3"/>
      <c r="G54" s="3"/>
      <c r="H54" s="3"/>
    </row>
    <row r="55" spans="1:8" x14ac:dyDescent="0.35">
      <c r="A55" s="3" t="s">
        <v>1708</v>
      </c>
      <c r="B55" s="3" t="s">
        <v>20</v>
      </c>
      <c r="C55" s="3" t="s">
        <v>1715</v>
      </c>
      <c r="D55" s="3" t="s">
        <v>56</v>
      </c>
      <c r="E55" s="3" t="s">
        <v>16</v>
      </c>
      <c r="F55" s="3" t="s">
        <v>1716</v>
      </c>
      <c r="G55" s="3"/>
      <c r="H55" s="3"/>
    </row>
    <row r="56" spans="1:8" x14ac:dyDescent="0.35">
      <c r="A56" s="3" t="s">
        <v>1708</v>
      </c>
      <c r="B56" s="3" t="s">
        <v>20</v>
      </c>
      <c r="C56" s="3" t="s">
        <v>1715</v>
      </c>
      <c r="D56" s="3" t="s">
        <v>24</v>
      </c>
      <c r="E56" s="3"/>
      <c r="F56" s="3"/>
      <c r="G56" s="3"/>
      <c r="H56" s="3"/>
    </row>
    <row r="57" spans="1:8" x14ac:dyDescent="0.35">
      <c r="A57" s="3" t="s">
        <v>1717</v>
      </c>
      <c r="B57" s="3" t="s">
        <v>20</v>
      </c>
      <c r="C57" s="3" t="s">
        <v>1718</v>
      </c>
      <c r="D57" s="3" t="s">
        <v>27</v>
      </c>
      <c r="E57" s="3" t="s">
        <v>16</v>
      </c>
      <c r="F57" s="3" t="s">
        <v>1719</v>
      </c>
      <c r="G57" s="3"/>
      <c r="H57" s="3"/>
    </row>
    <row r="58" spans="1:8" x14ac:dyDescent="0.35">
      <c r="A58" s="3" t="s">
        <v>1717</v>
      </c>
      <c r="B58" s="3" t="s">
        <v>20</v>
      </c>
      <c r="C58" s="3" t="s">
        <v>1718</v>
      </c>
      <c r="D58" s="3" t="s">
        <v>87</v>
      </c>
      <c r="E58" s="3" t="s">
        <v>16</v>
      </c>
      <c r="F58" s="3" t="s">
        <v>1719</v>
      </c>
      <c r="G58" s="3"/>
      <c r="H58" s="3"/>
    </row>
    <row r="59" spans="1:8" x14ac:dyDescent="0.35">
      <c r="A59" s="3" t="s">
        <v>1717</v>
      </c>
      <c r="B59" s="3" t="s">
        <v>20</v>
      </c>
      <c r="C59" s="3" t="s">
        <v>1718</v>
      </c>
      <c r="D59" s="3" t="s">
        <v>56</v>
      </c>
      <c r="E59" s="3" t="s">
        <v>16</v>
      </c>
      <c r="F59" s="3" t="s">
        <v>1719</v>
      </c>
      <c r="G59" s="3"/>
      <c r="H59" s="3"/>
    </row>
    <row r="60" spans="1:8" x14ac:dyDescent="0.35">
      <c r="A60" s="3" t="s">
        <v>1717</v>
      </c>
      <c r="B60" s="3" t="s">
        <v>45</v>
      </c>
      <c r="C60" s="3" t="s">
        <v>1720</v>
      </c>
      <c r="D60" s="3" t="s">
        <v>77</v>
      </c>
      <c r="E60" s="3"/>
      <c r="F60" s="3"/>
      <c r="G60" s="3"/>
      <c r="H60" s="3"/>
    </row>
    <row r="61" spans="1:8" x14ac:dyDescent="0.35">
      <c r="A61" s="3" t="s">
        <v>1717</v>
      </c>
      <c r="B61" s="3" t="s">
        <v>42</v>
      </c>
      <c r="C61" s="3" t="s">
        <v>1721</v>
      </c>
      <c r="D61" s="3" t="s">
        <v>27</v>
      </c>
      <c r="E61" s="3"/>
      <c r="F61" s="3"/>
      <c r="G61" s="3"/>
      <c r="H61" s="3"/>
    </row>
    <row r="62" spans="1:8" x14ac:dyDescent="0.35">
      <c r="A62" s="3" t="s">
        <v>1717</v>
      </c>
      <c r="B62" s="3" t="s">
        <v>42</v>
      </c>
      <c r="C62" s="3" t="s">
        <v>1721</v>
      </c>
      <c r="D62" s="3" t="s">
        <v>87</v>
      </c>
      <c r="E62" s="3"/>
      <c r="F62" s="3"/>
      <c r="G62" s="3"/>
      <c r="H62" s="3"/>
    </row>
    <row r="63" spans="1:8" x14ac:dyDescent="0.35">
      <c r="A63" s="3" t="s">
        <v>1717</v>
      </c>
      <c r="B63" s="3" t="s">
        <v>42</v>
      </c>
      <c r="C63" s="3" t="s">
        <v>1721</v>
      </c>
      <c r="D63" s="3" t="s">
        <v>15</v>
      </c>
      <c r="E63" s="3" t="s">
        <v>16</v>
      </c>
      <c r="F63" s="3" t="s">
        <v>1722</v>
      </c>
      <c r="G63" s="3"/>
      <c r="H63" s="3"/>
    </row>
    <row r="64" spans="1:8" x14ac:dyDescent="0.35">
      <c r="A64" s="3" t="s">
        <v>1717</v>
      </c>
      <c r="B64" s="3" t="s">
        <v>20</v>
      </c>
      <c r="C64" s="3" t="s">
        <v>1723</v>
      </c>
      <c r="D64" s="3" t="s">
        <v>23</v>
      </c>
      <c r="E64" s="3"/>
      <c r="F64" s="3"/>
      <c r="G64" s="3"/>
      <c r="H64" s="3"/>
    </row>
    <row r="65" spans="1:8" x14ac:dyDescent="0.35">
      <c r="A65" s="3" t="s">
        <v>1717</v>
      </c>
      <c r="B65" s="3" t="s">
        <v>20</v>
      </c>
      <c r="C65" s="3" t="s">
        <v>1723</v>
      </c>
      <c r="D65" s="3" t="s">
        <v>27</v>
      </c>
      <c r="E65" s="3" t="s">
        <v>16</v>
      </c>
      <c r="F65" s="3" t="s">
        <v>2399</v>
      </c>
      <c r="G65" s="3"/>
      <c r="H65" s="3"/>
    </row>
    <row r="66" spans="1:8" x14ac:dyDescent="0.35">
      <c r="A66" s="3" t="s">
        <v>1717</v>
      </c>
      <c r="B66" s="3" t="s">
        <v>20</v>
      </c>
      <c r="C66" s="3" t="s">
        <v>1723</v>
      </c>
      <c r="D66" s="3" t="s">
        <v>28</v>
      </c>
      <c r="E66" s="3"/>
      <c r="F66" s="3"/>
      <c r="G66" s="3"/>
      <c r="H66" s="3"/>
    </row>
    <row r="67" spans="1:8" x14ac:dyDescent="0.35">
      <c r="A67" s="3" t="s">
        <v>1717</v>
      </c>
      <c r="B67" s="3" t="s">
        <v>20</v>
      </c>
      <c r="C67" s="3" t="s">
        <v>1723</v>
      </c>
      <c r="D67" s="3" t="s">
        <v>56</v>
      </c>
      <c r="E67" s="3"/>
      <c r="F67" s="3"/>
      <c r="G67" s="3"/>
      <c r="H67" s="3"/>
    </row>
    <row r="68" spans="1:8" x14ac:dyDescent="0.35">
      <c r="A68" s="3" t="s">
        <v>1717</v>
      </c>
      <c r="B68" s="3" t="s">
        <v>20</v>
      </c>
      <c r="C68" s="3" t="s">
        <v>1723</v>
      </c>
      <c r="D68" s="3" t="s">
        <v>134</v>
      </c>
      <c r="E68" s="3"/>
      <c r="F68" s="3"/>
      <c r="G68" s="3"/>
      <c r="H68" s="3"/>
    </row>
    <row r="69" spans="1:8" x14ac:dyDescent="0.35">
      <c r="A69" s="3" t="s">
        <v>1717</v>
      </c>
      <c r="B69" s="3" t="s">
        <v>20</v>
      </c>
      <c r="C69" s="3" t="s">
        <v>1723</v>
      </c>
      <c r="D69" s="3" t="s">
        <v>82</v>
      </c>
      <c r="E69" s="3"/>
      <c r="F69" s="3"/>
      <c r="G69" s="3"/>
      <c r="H69" s="3"/>
    </row>
    <row r="70" spans="1:8" x14ac:dyDescent="0.35">
      <c r="A70" s="3" t="s">
        <v>1724</v>
      </c>
      <c r="B70" s="3" t="s">
        <v>42</v>
      </c>
      <c r="C70" s="3" t="s">
        <v>1725</v>
      </c>
      <c r="D70" s="3" t="s">
        <v>25</v>
      </c>
      <c r="E70" s="3"/>
      <c r="F70" s="3"/>
      <c r="G70" s="3"/>
      <c r="H70" s="3"/>
    </row>
    <row r="71" spans="1:8" x14ac:dyDescent="0.35">
      <c r="A71" s="3" t="s">
        <v>1724</v>
      </c>
      <c r="B71" s="3" t="s">
        <v>42</v>
      </c>
      <c r="C71" s="3" t="s">
        <v>1725</v>
      </c>
      <c r="D71" s="3" t="s">
        <v>27</v>
      </c>
      <c r="E71" s="3" t="s">
        <v>16</v>
      </c>
      <c r="F71" s="3" t="s">
        <v>1726</v>
      </c>
      <c r="G71" s="3"/>
      <c r="H71" s="3"/>
    </row>
    <row r="72" spans="1:8" x14ac:dyDescent="0.35">
      <c r="A72" s="3" t="s">
        <v>1724</v>
      </c>
      <c r="B72" s="3" t="s">
        <v>20</v>
      </c>
      <c r="C72" s="3" t="s">
        <v>1727</v>
      </c>
      <c r="D72" s="3" t="s">
        <v>27</v>
      </c>
      <c r="E72" s="3" t="s">
        <v>16</v>
      </c>
      <c r="F72" s="3" t="s">
        <v>1728</v>
      </c>
      <c r="G72" s="3"/>
      <c r="H72" s="3"/>
    </row>
    <row r="73" spans="1:8" x14ac:dyDescent="0.35">
      <c r="A73" s="3" t="s">
        <v>1724</v>
      </c>
      <c r="B73" s="3" t="s">
        <v>20</v>
      </c>
      <c r="C73" s="3" t="s">
        <v>1727</v>
      </c>
      <c r="D73" s="3" t="s">
        <v>87</v>
      </c>
      <c r="E73" s="3" t="s">
        <v>16</v>
      </c>
      <c r="F73" s="3" t="s">
        <v>2419</v>
      </c>
      <c r="G73" s="3"/>
      <c r="H73" s="3"/>
    </row>
    <row r="74" spans="1:8" x14ac:dyDescent="0.35">
      <c r="A74" s="3" t="s">
        <v>1724</v>
      </c>
      <c r="B74" s="3" t="s">
        <v>20</v>
      </c>
      <c r="C74" s="3" t="s">
        <v>1727</v>
      </c>
      <c r="D74" s="3" t="s">
        <v>56</v>
      </c>
      <c r="E74" s="3" t="s">
        <v>16</v>
      </c>
      <c r="F74" s="3" t="s">
        <v>1728</v>
      </c>
      <c r="G74" s="3"/>
      <c r="H74" s="3"/>
    </row>
    <row r="75" spans="1:8" x14ac:dyDescent="0.35">
      <c r="A75" s="3" t="s">
        <v>1724</v>
      </c>
      <c r="B75" s="3" t="s">
        <v>20</v>
      </c>
      <c r="C75" s="3" t="s">
        <v>1727</v>
      </c>
      <c r="D75" s="3" t="s">
        <v>29</v>
      </c>
      <c r="E75" s="3" t="s">
        <v>16</v>
      </c>
      <c r="F75" s="3" t="s">
        <v>2418</v>
      </c>
      <c r="G75" s="3"/>
      <c r="H75" s="3"/>
    </row>
    <row r="76" spans="1:8" x14ac:dyDescent="0.35">
      <c r="A76" s="3" t="s">
        <v>1724</v>
      </c>
      <c r="B76" s="3" t="s">
        <v>20</v>
      </c>
      <c r="C76" s="3" t="s">
        <v>1727</v>
      </c>
      <c r="D76" s="3" t="s">
        <v>888</v>
      </c>
      <c r="E76" s="3" t="s">
        <v>16</v>
      </c>
      <c r="F76" s="3" t="s">
        <v>1728</v>
      </c>
      <c r="G76" s="3"/>
      <c r="H76" s="3"/>
    </row>
    <row r="77" spans="1:8" x14ac:dyDescent="0.35">
      <c r="A77" s="3" t="s">
        <v>1724</v>
      </c>
      <c r="B77" s="3" t="s">
        <v>39</v>
      </c>
      <c r="C77" s="3" t="s">
        <v>1729</v>
      </c>
      <c r="D77" s="3" t="s">
        <v>27</v>
      </c>
      <c r="E77" s="3"/>
      <c r="F77" s="3"/>
      <c r="G77" s="3"/>
      <c r="H77" s="3"/>
    </row>
    <row r="78" spans="1:8" x14ac:dyDescent="0.35">
      <c r="A78" s="3" t="s">
        <v>1724</v>
      </c>
      <c r="B78" s="3" t="s">
        <v>39</v>
      </c>
      <c r="C78" s="3" t="s">
        <v>1729</v>
      </c>
      <c r="D78" s="3" t="s">
        <v>87</v>
      </c>
      <c r="E78" s="3"/>
      <c r="F78" s="3"/>
      <c r="G78" s="3"/>
      <c r="H78" s="3"/>
    </row>
    <row r="79" spans="1:8" x14ac:dyDescent="0.35">
      <c r="A79" s="3" t="s">
        <v>1724</v>
      </c>
      <c r="B79" s="3" t="s">
        <v>39</v>
      </c>
      <c r="C79" s="3" t="s">
        <v>1729</v>
      </c>
      <c r="D79" s="3" t="s">
        <v>1216</v>
      </c>
      <c r="E79" s="3" t="s">
        <v>16</v>
      </c>
      <c r="F79" s="3" t="s">
        <v>1730</v>
      </c>
      <c r="G79" s="3"/>
      <c r="H79" s="3"/>
    </row>
    <row r="80" spans="1:8" x14ac:dyDescent="0.35">
      <c r="A80" s="3" t="s">
        <v>1724</v>
      </c>
      <c r="B80" s="3" t="s">
        <v>39</v>
      </c>
      <c r="C80" s="3" t="s">
        <v>1729</v>
      </c>
      <c r="D80" s="3" t="s">
        <v>56</v>
      </c>
      <c r="E80" s="3"/>
      <c r="F80" s="3"/>
      <c r="G80" s="3"/>
      <c r="H80" s="3"/>
    </row>
    <row r="81" spans="1:8" x14ac:dyDescent="0.35">
      <c r="A81" s="3" t="s">
        <v>1724</v>
      </c>
      <c r="B81" s="3" t="s">
        <v>39</v>
      </c>
      <c r="C81" s="3" t="s">
        <v>1729</v>
      </c>
      <c r="D81" s="3" t="s">
        <v>888</v>
      </c>
      <c r="E81" s="3"/>
      <c r="F81" s="3"/>
      <c r="G81" s="3"/>
      <c r="H81" s="3"/>
    </row>
    <row r="82" spans="1:8" x14ac:dyDescent="0.35">
      <c r="A82" s="3" t="s">
        <v>1731</v>
      </c>
      <c r="B82" s="3" t="s">
        <v>20</v>
      </c>
      <c r="C82" s="3" t="s">
        <v>2926</v>
      </c>
      <c r="D82" s="3" t="s">
        <v>77</v>
      </c>
      <c r="E82" s="3" t="s">
        <v>16</v>
      </c>
      <c r="F82" s="3" t="s">
        <v>2927</v>
      </c>
      <c r="G82" s="3" t="s">
        <v>16</v>
      </c>
      <c r="H82" s="3" t="s">
        <v>559</v>
      </c>
    </row>
    <row r="83" spans="1:8" x14ac:dyDescent="0.35">
      <c r="A83" s="3" t="s">
        <v>1731</v>
      </c>
      <c r="B83" s="3" t="s">
        <v>20</v>
      </c>
      <c r="C83" s="3" t="s">
        <v>2926</v>
      </c>
      <c r="D83" s="3" t="s">
        <v>57</v>
      </c>
      <c r="E83" s="3"/>
      <c r="F83" s="3"/>
      <c r="G83" s="3" t="s">
        <v>16</v>
      </c>
      <c r="H83" s="3" t="s">
        <v>559</v>
      </c>
    </row>
    <row r="84" spans="1:8" x14ac:dyDescent="0.35">
      <c r="A84" s="3" t="s">
        <v>1731</v>
      </c>
      <c r="B84" s="3" t="s">
        <v>42</v>
      </c>
      <c r="C84" s="3" t="s">
        <v>2928</v>
      </c>
      <c r="D84" s="3" t="s">
        <v>23</v>
      </c>
      <c r="E84" s="3" t="s">
        <v>16</v>
      </c>
      <c r="F84" s="3" t="s">
        <v>2929</v>
      </c>
      <c r="G84" s="3" t="s">
        <v>16</v>
      </c>
      <c r="H84" s="3" t="s">
        <v>559</v>
      </c>
    </row>
    <row r="85" spans="1:8" x14ac:dyDescent="0.35">
      <c r="A85" s="3" t="s">
        <v>1731</v>
      </c>
      <c r="B85" s="3" t="s">
        <v>42</v>
      </c>
      <c r="C85" s="3" t="s">
        <v>2928</v>
      </c>
      <c r="D85" s="3" t="s">
        <v>290</v>
      </c>
      <c r="E85" s="3"/>
      <c r="F85" s="3"/>
      <c r="G85" s="3" t="s">
        <v>16</v>
      </c>
      <c r="H85" s="3" t="s">
        <v>559</v>
      </c>
    </row>
    <row r="86" spans="1:8" x14ac:dyDescent="0.35">
      <c r="A86" s="3" t="s">
        <v>1731</v>
      </c>
      <c r="B86" s="3" t="s">
        <v>45</v>
      </c>
      <c r="C86" s="3" t="s">
        <v>1732</v>
      </c>
      <c r="D86" s="3" t="s">
        <v>23</v>
      </c>
      <c r="E86" s="3" t="s">
        <v>16</v>
      </c>
      <c r="F86" s="3" t="s">
        <v>1733</v>
      </c>
      <c r="G86" s="3" t="s">
        <v>16</v>
      </c>
      <c r="H86" s="3" t="s">
        <v>559</v>
      </c>
    </row>
    <row r="87" spans="1:8" x14ac:dyDescent="0.35">
      <c r="A87" s="3" t="s">
        <v>1731</v>
      </c>
      <c r="B87" s="3" t="s">
        <v>45</v>
      </c>
      <c r="C87" s="3" t="s">
        <v>1732</v>
      </c>
      <c r="D87" s="3" t="s">
        <v>290</v>
      </c>
      <c r="E87" s="3"/>
      <c r="F87" s="3"/>
      <c r="G87" s="3" t="s">
        <v>16</v>
      </c>
      <c r="H87" s="3" t="s">
        <v>559</v>
      </c>
    </row>
    <row r="88" spans="1:8" x14ac:dyDescent="0.35">
      <c r="A88" s="3" t="s">
        <v>1734</v>
      </c>
      <c r="B88" s="3" t="s">
        <v>10</v>
      </c>
      <c r="C88" s="3" t="s">
        <v>1735</v>
      </c>
      <c r="D88" s="3" t="s">
        <v>12</v>
      </c>
      <c r="E88" s="3"/>
      <c r="F88" s="3"/>
      <c r="G88" s="3" t="s">
        <v>16</v>
      </c>
      <c r="H88" s="3" t="s">
        <v>1736</v>
      </c>
    </row>
    <row r="89" spans="1:8" x14ac:dyDescent="0.35">
      <c r="A89" s="3" t="s">
        <v>1734</v>
      </c>
      <c r="B89" s="3" t="s">
        <v>10</v>
      </c>
      <c r="C89" s="3" t="s">
        <v>1735</v>
      </c>
      <c r="D89" s="3" t="s">
        <v>23</v>
      </c>
      <c r="E89" s="3" t="s">
        <v>1737</v>
      </c>
      <c r="F89" s="3" t="s">
        <v>1740</v>
      </c>
      <c r="G89" s="3" t="s">
        <v>16</v>
      </c>
      <c r="H89" s="3" t="s">
        <v>1736</v>
      </c>
    </row>
    <row r="90" spans="1:8" x14ac:dyDescent="0.35">
      <c r="A90" s="3" t="s">
        <v>1734</v>
      </c>
      <c r="B90" s="3" t="s">
        <v>10</v>
      </c>
      <c r="C90" s="3" t="s">
        <v>1735</v>
      </c>
      <c r="D90" s="3" t="s">
        <v>47</v>
      </c>
      <c r="E90" s="3"/>
      <c r="F90" s="3"/>
      <c r="G90" s="3" t="s">
        <v>16</v>
      </c>
      <c r="H90" s="3" t="s">
        <v>1736</v>
      </c>
    </row>
    <row r="91" spans="1:8" x14ac:dyDescent="0.35">
      <c r="A91" s="3" t="s">
        <v>1734</v>
      </c>
      <c r="B91" s="3" t="s">
        <v>10</v>
      </c>
      <c r="C91" s="3" t="s">
        <v>1735</v>
      </c>
      <c r="D91" s="3" t="s">
        <v>25</v>
      </c>
      <c r="E91" s="3"/>
      <c r="F91" s="3"/>
      <c r="G91" s="3" t="s">
        <v>16</v>
      </c>
      <c r="H91" s="3" t="s">
        <v>1736</v>
      </c>
    </row>
    <row r="92" spans="1:8" x14ac:dyDescent="0.35">
      <c r="A92" s="3" t="s">
        <v>1734</v>
      </c>
      <c r="B92" s="3" t="s">
        <v>10</v>
      </c>
      <c r="C92" s="3" t="s">
        <v>1735</v>
      </c>
      <c r="D92" s="3" t="s">
        <v>60</v>
      </c>
      <c r="E92" s="3"/>
      <c r="F92" s="3" t="s">
        <v>2816</v>
      </c>
      <c r="G92" s="3" t="s">
        <v>16</v>
      </c>
      <c r="H92" s="3" t="s">
        <v>1736</v>
      </c>
    </row>
    <row r="93" spans="1:8" x14ac:dyDescent="0.35">
      <c r="A93" s="3" t="s">
        <v>1734</v>
      </c>
      <c r="B93" s="3" t="s">
        <v>10</v>
      </c>
      <c r="C93" s="3" t="s">
        <v>1735</v>
      </c>
      <c r="D93" s="3" t="s">
        <v>15</v>
      </c>
      <c r="E93" s="3" t="s">
        <v>1737</v>
      </c>
      <c r="F93" s="3" t="s">
        <v>1738</v>
      </c>
      <c r="G93" s="3" t="s">
        <v>16</v>
      </c>
      <c r="H93" s="3" t="s">
        <v>1736</v>
      </c>
    </row>
    <row r="94" spans="1:8" x14ac:dyDescent="0.35">
      <c r="A94" s="3" t="s">
        <v>1734</v>
      </c>
      <c r="B94" s="3" t="s">
        <v>10</v>
      </c>
      <c r="C94" s="3" t="s">
        <v>1735</v>
      </c>
      <c r="D94" s="3" t="s">
        <v>57</v>
      </c>
      <c r="E94" s="3"/>
      <c r="F94" s="3"/>
      <c r="G94" s="3" t="s">
        <v>16</v>
      </c>
      <c r="H94" s="3" t="s">
        <v>1736</v>
      </c>
    </row>
    <row r="95" spans="1:8" x14ac:dyDescent="0.35">
      <c r="A95" s="3" t="s">
        <v>1734</v>
      </c>
      <c r="B95" s="3" t="s">
        <v>10</v>
      </c>
      <c r="C95" s="3" t="s">
        <v>1735</v>
      </c>
      <c r="D95" s="3" t="s">
        <v>56</v>
      </c>
      <c r="E95" s="3" t="s">
        <v>16</v>
      </c>
      <c r="F95" s="3" t="s">
        <v>1739</v>
      </c>
      <c r="G95" s="3" t="s">
        <v>16</v>
      </c>
      <c r="H95" s="3" t="s">
        <v>1736</v>
      </c>
    </row>
    <row r="96" spans="1:8" x14ac:dyDescent="0.35">
      <c r="A96" s="3" t="s">
        <v>1734</v>
      </c>
      <c r="B96" s="3" t="s">
        <v>10</v>
      </c>
      <c r="C96" s="3" t="s">
        <v>1735</v>
      </c>
      <c r="D96" s="3" t="s">
        <v>32</v>
      </c>
      <c r="E96" s="3" t="s">
        <v>1737</v>
      </c>
      <c r="F96" s="3" t="s">
        <v>1741</v>
      </c>
      <c r="G96" s="3" t="s">
        <v>16</v>
      </c>
      <c r="H96" s="3" t="s">
        <v>1736</v>
      </c>
    </row>
    <row r="97" spans="1:8" x14ac:dyDescent="0.35">
      <c r="A97" s="3" t="s">
        <v>1734</v>
      </c>
      <c r="B97" s="3" t="s">
        <v>10</v>
      </c>
      <c r="C97" s="3" t="s">
        <v>1735</v>
      </c>
      <c r="D97" s="3" t="s">
        <v>24</v>
      </c>
      <c r="E97" s="3"/>
      <c r="F97" s="3"/>
      <c r="G97" s="3" t="s">
        <v>16</v>
      </c>
      <c r="H97" s="3" t="s">
        <v>1736</v>
      </c>
    </row>
    <row r="98" spans="1:8" x14ac:dyDescent="0.35">
      <c r="A98" s="3" t="s">
        <v>1734</v>
      </c>
      <c r="B98" s="3" t="s">
        <v>10</v>
      </c>
      <c r="C98" s="3" t="s">
        <v>1735</v>
      </c>
      <c r="D98" s="3" t="s">
        <v>134</v>
      </c>
      <c r="E98" s="3"/>
      <c r="F98" s="3"/>
      <c r="G98" s="3" t="s">
        <v>16</v>
      </c>
      <c r="H98" s="3" t="s">
        <v>1736</v>
      </c>
    </row>
    <row r="99" spans="1:8" x14ac:dyDescent="0.35">
      <c r="A99" s="3" t="s">
        <v>1734</v>
      </c>
      <c r="B99" s="3" t="s">
        <v>10</v>
      </c>
      <c r="C99" s="3" t="s">
        <v>1742</v>
      </c>
      <c r="D99" s="3" t="s">
        <v>77</v>
      </c>
      <c r="E99" s="3"/>
      <c r="F99" s="3"/>
      <c r="G99" s="3" t="s">
        <v>16</v>
      </c>
      <c r="H99" s="3" t="s">
        <v>1736</v>
      </c>
    </row>
    <row r="100" spans="1:8" x14ac:dyDescent="0.35">
      <c r="A100" s="3" t="s">
        <v>1734</v>
      </c>
      <c r="B100" s="3" t="s">
        <v>10</v>
      </c>
      <c r="C100" s="3" t="s">
        <v>1742</v>
      </c>
      <c r="D100" s="3" t="s">
        <v>242</v>
      </c>
      <c r="E100" s="3" t="s">
        <v>1737</v>
      </c>
      <c r="F100" s="3" t="s">
        <v>1699</v>
      </c>
      <c r="G100" s="3" t="s">
        <v>16</v>
      </c>
      <c r="H100" s="3" t="s">
        <v>1736</v>
      </c>
    </row>
    <row r="101" spans="1:8" x14ac:dyDescent="0.35">
      <c r="A101" s="3" t="s">
        <v>1734</v>
      </c>
      <c r="B101" s="3" t="s">
        <v>10</v>
      </c>
      <c r="C101" s="3" t="s">
        <v>1742</v>
      </c>
      <c r="D101" s="3" t="s">
        <v>56</v>
      </c>
      <c r="E101" s="3" t="s">
        <v>1737</v>
      </c>
      <c r="F101" s="3" t="s">
        <v>1743</v>
      </c>
      <c r="G101" s="3" t="s">
        <v>16</v>
      </c>
      <c r="H101" s="3" t="s">
        <v>1736</v>
      </c>
    </row>
    <row r="102" spans="1:8" x14ac:dyDescent="0.35">
      <c r="A102" s="3" t="s">
        <v>1734</v>
      </c>
      <c r="B102" s="3" t="s">
        <v>10</v>
      </c>
      <c r="C102" s="3" t="s">
        <v>1742</v>
      </c>
      <c r="D102" s="3" t="s">
        <v>134</v>
      </c>
      <c r="E102" s="3"/>
      <c r="F102" s="3"/>
      <c r="G102" s="3" t="s">
        <v>16</v>
      </c>
      <c r="H102" s="3" t="s">
        <v>1736</v>
      </c>
    </row>
    <row r="103" spans="1:8" x14ac:dyDescent="0.35">
      <c r="A103" s="3" t="s">
        <v>1734</v>
      </c>
      <c r="B103" s="3" t="s">
        <v>45</v>
      </c>
      <c r="C103" s="3" t="s">
        <v>1744</v>
      </c>
      <c r="D103" s="3" t="s">
        <v>36</v>
      </c>
      <c r="E103" s="3"/>
      <c r="F103" s="3"/>
      <c r="G103" s="3" t="s">
        <v>16</v>
      </c>
      <c r="H103" s="3" t="s">
        <v>1745</v>
      </c>
    </row>
    <row r="104" spans="1:8" x14ac:dyDescent="0.35">
      <c r="A104" s="3" t="s">
        <v>1734</v>
      </c>
      <c r="B104" s="3" t="s">
        <v>45</v>
      </c>
      <c r="C104" s="3" t="s">
        <v>1744</v>
      </c>
      <c r="D104" s="3" t="s">
        <v>23</v>
      </c>
      <c r="E104" s="3"/>
      <c r="F104" s="3"/>
      <c r="G104" s="3" t="s">
        <v>16</v>
      </c>
      <c r="H104" s="3" t="s">
        <v>1745</v>
      </c>
    </row>
    <row r="105" spans="1:8" x14ac:dyDescent="0.35">
      <c r="A105" s="3" t="s">
        <v>1734</v>
      </c>
      <c r="B105" s="3" t="s">
        <v>45</v>
      </c>
      <c r="C105" s="3" t="s">
        <v>1744</v>
      </c>
      <c r="D105" s="3" t="s">
        <v>60</v>
      </c>
      <c r="E105" s="3"/>
      <c r="F105" s="3" t="s">
        <v>2848</v>
      </c>
      <c r="G105" s="3" t="s">
        <v>16</v>
      </c>
      <c r="H105" s="3" t="s">
        <v>1745</v>
      </c>
    </row>
    <row r="106" spans="1:8" x14ac:dyDescent="0.35">
      <c r="A106" s="3" t="s">
        <v>1734</v>
      </c>
      <c r="B106" s="3" t="s">
        <v>45</v>
      </c>
      <c r="C106" s="3" t="s">
        <v>1744</v>
      </c>
      <c r="D106" s="3" t="s">
        <v>27</v>
      </c>
      <c r="E106" s="3" t="s">
        <v>16</v>
      </c>
      <c r="F106" s="3" t="s">
        <v>1746</v>
      </c>
      <c r="G106" s="3" t="s">
        <v>16</v>
      </c>
      <c r="H106" s="3" t="s">
        <v>1745</v>
      </c>
    </row>
    <row r="107" spans="1:8" x14ac:dyDescent="0.35">
      <c r="A107" s="3" t="s">
        <v>1734</v>
      </c>
      <c r="B107" s="3" t="s">
        <v>45</v>
      </c>
      <c r="C107" s="3" t="s">
        <v>1744</v>
      </c>
      <c r="D107" s="3" t="s">
        <v>185</v>
      </c>
      <c r="E107" s="3"/>
      <c r="F107" s="3"/>
      <c r="G107" s="3" t="s">
        <v>16</v>
      </c>
      <c r="H107" s="3" t="s">
        <v>1745</v>
      </c>
    </row>
    <row r="108" spans="1:8" x14ac:dyDescent="0.35">
      <c r="A108" s="3" t="s">
        <v>1734</v>
      </c>
      <c r="B108" s="3" t="s">
        <v>45</v>
      </c>
      <c r="C108" s="3" t="s">
        <v>1744</v>
      </c>
      <c r="D108" s="3" t="s">
        <v>15</v>
      </c>
      <c r="E108" s="3"/>
      <c r="F108" s="3"/>
      <c r="G108" s="3" t="s">
        <v>16</v>
      </c>
      <c r="H108" s="3" t="s">
        <v>1745</v>
      </c>
    </row>
    <row r="109" spans="1:8" x14ac:dyDescent="0.35">
      <c r="A109" s="3" t="s">
        <v>1734</v>
      </c>
      <c r="B109" s="3" t="s">
        <v>45</v>
      </c>
      <c r="C109" s="3" t="s">
        <v>1744</v>
      </c>
      <c r="D109" s="3" t="s">
        <v>56</v>
      </c>
      <c r="E109" s="3"/>
      <c r="F109" s="3"/>
      <c r="G109" s="3" t="s">
        <v>16</v>
      </c>
      <c r="H109" s="3" t="s">
        <v>1745</v>
      </c>
    </row>
    <row r="110" spans="1:8" x14ac:dyDescent="0.35">
      <c r="A110" s="3" t="s">
        <v>1734</v>
      </c>
      <c r="B110" s="3" t="s">
        <v>45</v>
      </c>
      <c r="C110" s="3" t="s">
        <v>1744</v>
      </c>
      <c r="D110" s="3" t="s">
        <v>24</v>
      </c>
      <c r="E110" s="3" t="s">
        <v>16</v>
      </c>
      <c r="F110" s="3" t="s">
        <v>1699</v>
      </c>
      <c r="G110" s="3" t="s">
        <v>16</v>
      </c>
      <c r="H110" s="3" t="s">
        <v>1745</v>
      </c>
    </row>
    <row r="111" spans="1:8" x14ac:dyDescent="0.35">
      <c r="A111" s="3" t="s">
        <v>1734</v>
      </c>
      <c r="B111" s="3" t="s">
        <v>45</v>
      </c>
      <c r="C111" s="3" t="s">
        <v>1744</v>
      </c>
      <c r="D111" s="3" t="s">
        <v>134</v>
      </c>
      <c r="E111" s="3"/>
      <c r="F111" s="3"/>
      <c r="G111" s="3" t="s">
        <v>16</v>
      </c>
      <c r="H111" s="3" t="s">
        <v>1745</v>
      </c>
    </row>
    <row r="112" spans="1:8" x14ac:dyDescent="0.35">
      <c r="A112" s="3" t="s">
        <v>1734</v>
      </c>
      <c r="B112" s="3" t="s">
        <v>45</v>
      </c>
      <c r="C112" s="3" t="s">
        <v>1747</v>
      </c>
      <c r="D112" s="3" t="s">
        <v>36</v>
      </c>
      <c r="E112" s="3" t="s">
        <v>33</v>
      </c>
      <c r="F112" s="3" t="s">
        <v>1748</v>
      </c>
      <c r="G112" s="3" t="s">
        <v>16</v>
      </c>
      <c r="H112" s="3" t="s">
        <v>1745</v>
      </c>
    </row>
    <row r="113" spans="1:8" x14ac:dyDescent="0.35">
      <c r="A113" s="3" t="s">
        <v>1734</v>
      </c>
      <c r="B113" s="3" t="s">
        <v>45</v>
      </c>
      <c r="C113" s="3" t="s">
        <v>1747</v>
      </c>
      <c r="D113" s="3" t="s">
        <v>23</v>
      </c>
      <c r="E113" s="3" t="s">
        <v>33</v>
      </c>
      <c r="F113" s="3" t="s">
        <v>1748</v>
      </c>
      <c r="G113" s="3" t="s">
        <v>16</v>
      </c>
      <c r="H113" s="3" t="s">
        <v>1745</v>
      </c>
    </row>
    <row r="114" spans="1:8" x14ac:dyDescent="0.35">
      <c r="A114" s="3" t="s">
        <v>1734</v>
      </c>
      <c r="B114" s="3" t="s">
        <v>45</v>
      </c>
      <c r="C114" s="3" t="s">
        <v>1747</v>
      </c>
      <c r="D114" s="3" t="s">
        <v>27</v>
      </c>
      <c r="E114" s="3" t="s">
        <v>33</v>
      </c>
      <c r="F114" s="3" t="s">
        <v>1748</v>
      </c>
      <c r="G114" s="3" t="s">
        <v>16</v>
      </c>
      <c r="H114" s="3" t="s">
        <v>1745</v>
      </c>
    </row>
    <row r="115" spans="1:8" x14ac:dyDescent="0.35">
      <c r="A115" s="3" t="s">
        <v>1734</v>
      </c>
      <c r="B115" s="3" t="s">
        <v>45</v>
      </c>
      <c r="C115" s="3" t="s">
        <v>1747</v>
      </c>
      <c r="D115" s="3" t="s">
        <v>185</v>
      </c>
      <c r="E115" s="3" t="s">
        <v>33</v>
      </c>
      <c r="F115" s="3" t="s">
        <v>1748</v>
      </c>
      <c r="G115" s="3" t="s">
        <v>16</v>
      </c>
      <c r="H115" s="3" t="s">
        <v>1745</v>
      </c>
    </row>
    <row r="116" spans="1:8" x14ac:dyDescent="0.35">
      <c r="A116" s="3" t="s">
        <v>1734</v>
      </c>
      <c r="B116" s="3" t="s">
        <v>45</v>
      </c>
      <c r="C116" s="3" t="s">
        <v>1747</v>
      </c>
      <c r="D116" s="3" t="s">
        <v>15</v>
      </c>
      <c r="E116" s="3" t="s">
        <v>33</v>
      </c>
      <c r="F116" s="3" t="s">
        <v>1748</v>
      </c>
      <c r="G116" s="3" t="s">
        <v>16</v>
      </c>
      <c r="H116" s="3" t="s">
        <v>1745</v>
      </c>
    </row>
    <row r="117" spans="1:8" x14ac:dyDescent="0.35">
      <c r="A117" s="3" t="s">
        <v>1734</v>
      </c>
      <c r="B117" s="3" t="s">
        <v>45</v>
      </c>
      <c r="C117" s="3" t="s">
        <v>1747</v>
      </c>
      <c r="D117" s="3" t="s">
        <v>56</v>
      </c>
      <c r="E117" s="3" t="s">
        <v>33</v>
      </c>
      <c r="F117" s="3" t="s">
        <v>1748</v>
      </c>
      <c r="G117" s="3" t="s">
        <v>16</v>
      </c>
      <c r="H117" s="3" t="s">
        <v>1745</v>
      </c>
    </row>
    <row r="118" spans="1:8" x14ac:dyDescent="0.35">
      <c r="A118" s="3" t="s">
        <v>1734</v>
      </c>
      <c r="B118" s="3" t="s">
        <v>45</v>
      </c>
      <c r="C118" s="3" t="s">
        <v>1747</v>
      </c>
      <c r="D118" s="3" t="s">
        <v>24</v>
      </c>
      <c r="E118" s="3" t="s">
        <v>33</v>
      </c>
      <c r="F118" s="3" t="s">
        <v>1748</v>
      </c>
      <c r="G118" s="3" t="s">
        <v>16</v>
      </c>
      <c r="H118" s="3" t="s">
        <v>1745</v>
      </c>
    </row>
    <row r="119" spans="1:8" x14ac:dyDescent="0.35">
      <c r="A119" s="3" t="s">
        <v>1734</v>
      </c>
      <c r="B119" s="3" t="s">
        <v>45</v>
      </c>
      <c r="C119" s="3" t="s">
        <v>1747</v>
      </c>
      <c r="D119" s="3" t="s">
        <v>134</v>
      </c>
      <c r="E119" s="3" t="s">
        <v>33</v>
      </c>
      <c r="F119" s="3" t="s">
        <v>1748</v>
      </c>
      <c r="G119" s="3" t="s">
        <v>16</v>
      </c>
      <c r="H119" s="3" t="s">
        <v>1745</v>
      </c>
    </row>
    <row r="120" spans="1:8" x14ac:dyDescent="0.35">
      <c r="A120" s="3" t="s">
        <v>1734</v>
      </c>
      <c r="B120" s="3" t="s">
        <v>42</v>
      </c>
      <c r="C120" s="3" t="s">
        <v>1749</v>
      </c>
      <c r="D120" s="3" t="s">
        <v>23</v>
      </c>
      <c r="E120" s="3" t="s">
        <v>1737</v>
      </c>
      <c r="F120" s="3" t="s">
        <v>1750</v>
      </c>
      <c r="G120" s="3" t="s">
        <v>16</v>
      </c>
      <c r="H120" s="3" t="s">
        <v>1736</v>
      </c>
    </row>
    <row r="121" spans="1:8" x14ac:dyDescent="0.35">
      <c r="A121" s="3" t="s">
        <v>1734</v>
      </c>
      <c r="B121" s="3" t="s">
        <v>42</v>
      </c>
      <c r="C121" s="3" t="s">
        <v>1749</v>
      </c>
      <c r="D121" s="3" t="s">
        <v>25</v>
      </c>
      <c r="E121" s="3"/>
      <c r="F121" s="3"/>
      <c r="G121" s="3" t="s">
        <v>16</v>
      </c>
      <c r="H121" s="3" t="s">
        <v>1736</v>
      </c>
    </row>
    <row r="122" spans="1:8" x14ac:dyDescent="0.35">
      <c r="A122" s="3" t="s">
        <v>1734</v>
      </c>
      <c r="B122" s="3" t="s">
        <v>42</v>
      </c>
      <c r="C122" s="3" t="s">
        <v>1749</v>
      </c>
      <c r="D122" s="3" t="s">
        <v>60</v>
      </c>
      <c r="E122" s="3"/>
      <c r="F122" s="3"/>
      <c r="G122" s="3" t="s">
        <v>16</v>
      </c>
      <c r="H122" s="3" t="s">
        <v>1736</v>
      </c>
    </row>
    <row r="123" spans="1:8" x14ac:dyDescent="0.35">
      <c r="A123" s="3" t="s">
        <v>1734</v>
      </c>
      <c r="B123" s="3" t="s">
        <v>42</v>
      </c>
      <c r="C123" s="3" t="s">
        <v>1749</v>
      </c>
      <c r="D123" s="3" t="s">
        <v>27</v>
      </c>
      <c r="E123" s="3"/>
      <c r="F123" s="3"/>
      <c r="G123" s="3" t="s">
        <v>16</v>
      </c>
      <c r="H123" s="3" t="s">
        <v>1736</v>
      </c>
    </row>
    <row r="124" spans="1:8" x14ac:dyDescent="0.35">
      <c r="A124" s="3" t="s">
        <v>1734</v>
      </c>
      <c r="B124" s="3" t="s">
        <v>42</v>
      </c>
      <c r="C124" s="3" t="s">
        <v>1749</v>
      </c>
      <c r="D124" s="3" t="s">
        <v>98</v>
      </c>
      <c r="E124" s="3"/>
      <c r="F124" s="3"/>
      <c r="G124" s="3"/>
      <c r="H124" s="3"/>
    </row>
    <row r="125" spans="1:8" x14ac:dyDescent="0.35">
      <c r="A125" s="3" t="s">
        <v>1734</v>
      </c>
      <c r="B125" s="3" t="s">
        <v>42</v>
      </c>
      <c r="C125" s="3" t="s">
        <v>1749</v>
      </c>
      <c r="D125" s="3" t="s">
        <v>185</v>
      </c>
      <c r="E125" s="3"/>
      <c r="F125" s="3"/>
      <c r="G125" s="3" t="s">
        <v>16</v>
      </c>
      <c r="H125" s="3" t="s">
        <v>1745</v>
      </c>
    </row>
    <row r="126" spans="1:8" x14ac:dyDescent="0.35">
      <c r="A126" s="3" t="s">
        <v>1734</v>
      </c>
      <c r="B126" s="3" t="s">
        <v>42</v>
      </c>
      <c r="C126" s="3" t="s">
        <v>1749</v>
      </c>
      <c r="D126" s="3" t="s">
        <v>56</v>
      </c>
      <c r="E126" s="3" t="s">
        <v>1737</v>
      </c>
      <c r="F126" s="3" t="s">
        <v>1751</v>
      </c>
      <c r="G126" s="3" t="s">
        <v>16</v>
      </c>
      <c r="H126" s="3" t="s">
        <v>1736</v>
      </c>
    </row>
    <row r="127" spans="1:8" x14ac:dyDescent="0.35">
      <c r="A127" s="3" t="s">
        <v>1734</v>
      </c>
      <c r="B127" s="3" t="s">
        <v>42</v>
      </c>
      <c r="C127" s="3" t="s">
        <v>1749</v>
      </c>
      <c r="D127" s="3" t="s">
        <v>24</v>
      </c>
      <c r="E127" s="3"/>
      <c r="F127" s="3"/>
      <c r="G127" s="3" t="s">
        <v>16</v>
      </c>
      <c r="H127" s="3" t="s">
        <v>1736</v>
      </c>
    </row>
    <row r="128" spans="1:8" x14ac:dyDescent="0.35">
      <c r="A128" s="3" t="s">
        <v>1734</v>
      </c>
      <c r="B128" s="3" t="s">
        <v>42</v>
      </c>
      <c r="C128" s="3" t="s">
        <v>1749</v>
      </c>
      <c r="D128" s="3" t="s">
        <v>290</v>
      </c>
      <c r="E128" s="3"/>
      <c r="F128" s="3"/>
      <c r="G128" s="3" t="s">
        <v>16</v>
      </c>
      <c r="H128" s="3" t="s">
        <v>1736</v>
      </c>
    </row>
    <row r="129" spans="1:8" x14ac:dyDescent="0.35">
      <c r="A129" s="3" t="s">
        <v>1734</v>
      </c>
      <c r="B129" s="3" t="s">
        <v>45</v>
      </c>
      <c r="C129" s="3" t="s">
        <v>1752</v>
      </c>
      <c r="D129" s="3" t="s">
        <v>36</v>
      </c>
      <c r="E129" s="3"/>
      <c r="F129" s="3"/>
      <c r="G129" s="3" t="s">
        <v>16</v>
      </c>
      <c r="H129" s="3" t="s">
        <v>1736</v>
      </c>
    </row>
    <row r="130" spans="1:8" x14ac:dyDescent="0.35">
      <c r="A130" s="3" t="s">
        <v>1734</v>
      </c>
      <c r="B130" s="3" t="s">
        <v>45</v>
      </c>
      <c r="C130" s="3" t="s">
        <v>1752</v>
      </c>
      <c r="D130" s="3" t="s">
        <v>185</v>
      </c>
      <c r="E130" s="3"/>
      <c r="F130" s="3"/>
      <c r="G130" s="3" t="s">
        <v>16</v>
      </c>
      <c r="H130" s="3" t="s">
        <v>1736</v>
      </c>
    </row>
    <row r="131" spans="1:8" x14ac:dyDescent="0.35">
      <c r="A131" s="3" t="s">
        <v>1734</v>
      </c>
      <c r="B131" s="3" t="s">
        <v>45</v>
      </c>
      <c r="C131" s="3" t="s">
        <v>1752</v>
      </c>
      <c r="D131" s="3" t="s">
        <v>15</v>
      </c>
      <c r="E131" s="3"/>
      <c r="F131" s="3"/>
      <c r="G131" s="3" t="s">
        <v>16</v>
      </c>
      <c r="H131" s="3" t="s">
        <v>1736</v>
      </c>
    </row>
    <row r="132" spans="1:8" x14ac:dyDescent="0.35">
      <c r="A132" s="3" t="s">
        <v>1734</v>
      </c>
      <c r="B132" s="3" t="s">
        <v>45</v>
      </c>
      <c r="C132" s="3" t="s">
        <v>1752</v>
      </c>
      <c r="D132" s="3" t="s">
        <v>56</v>
      </c>
      <c r="E132" s="3"/>
      <c r="F132" s="3"/>
      <c r="G132" s="3" t="s">
        <v>16</v>
      </c>
      <c r="H132" s="3" t="s">
        <v>1736</v>
      </c>
    </row>
    <row r="133" spans="1:8" x14ac:dyDescent="0.35">
      <c r="A133" s="3" t="s">
        <v>1734</v>
      </c>
      <c r="B133" s="3" t="s">
        <v>45</v>
      </c>
      <c r="C133" s="3" t="s">
        <v>1752</v>
      </c>
      <c r="D133" s="3" t="s">
        <v>24</v>
      </c>
      <c r="E133" s="3"/>
      <c r="F133" s="3"/>
      <c r="G133" s="3" t="s">
        <v>16</v>
      </c>
      <c r="H133" s="3" t="s">
        <v>1736</v>
      </c>
    </row>
    <row r="134" spans="1:8" x14ac:dyDescent="0.35">
      <c r="A134" s="3" t="s">
        <v>1734</v>
      </c>
      <c r="B134" s="3" t="s">
        <v>20</v>
      </c>
      <c r="C134" s="3" t="s">
        <v>1753</v>
      </c>
      <c r="D134" s="3" t="s">
        <v>12</v>
      </c>
      <c r="E134" s="3"/>
      <c r="F134" s="3"/>
      <c r="G134" s="3" t="s">
        <v>16</v>
      </c>
      <c r="H134" s="3" t="s">
        <v>1736</v>
      </c>
    </row>
    <row r="135" spans="1:8" x14ac:dyDescent="0.35">
      <c r="A135" s="3" t="s">
        <v>1734</v>
      </c>
      <c r="B135" s="3" t="s">
        <v>20</v>
      </c>
      <c r="C135" s="3" t="s">
        <v>1753</v>
      </c>
      <c r="D135" s="3" t="s">
        <v>36</v>
      </c>
      <c r="E135" s="3"/>
      <c r="F135" s="3"/>
      <c r="G135" s="3" t="s">
        <v>16</v>
      </c>
      <c r="H135" s="3" t="s">
        <v>1736</v>
      </c>
    </row>
    <row r="136" spans="1:8" x14ac:dyDescent="0.35">
      <c r="A136" s="3" t="s">
        <v>1734</v>
      </c>
      <c r="B136" s="3" t="s">
        <v>20</v>
      </c>
      <c r="C136" s="3" t="s">
        <v>1753</v>
      </c>
      <c r="D136" s="3" t="s">
        <v>23</v>
      </c>
      <c r="E136" s="3"/>
      <c r="F136" s="3" t="s">
        <v>2359</v>
      </c>
      <c r="G136" s="3" t="s">
        <v>16</v>
      </c>
      <c r="H136" s="3" t="s">
        <v>1736</v>
      </c>
    </row>
    <row r="137" spans="1:8" x14ac:dyDescent="0.35">
      <c r="A137" s="3" t="s">
        <v>1734</v>
      </c>
      <c r="B137" s="3" t="s">
        <v>20</v>
      </c>
      <c r="C137" s="3" t="s">
        <v>1753</v>
      </c>
      <c r="D137" s="3" t="s">
        <v>25</v>
      </c>
      <c r="E137" s="3"/>
      <c r="F137" s="3"/>
      <c r="G137" s="3" t="s">
        <v>16</v>
      </c>
      <c r="H137" s="3" t="s">
        <v>1736</v>
      </c>
    </row>
    <row r="138" spans="1:8" x14ac:dyDescent="0.35">
      <c r="A138" s="3" t="s">
        <v>1734</v>
      </c>
      <c r="B138" s="3" t="s">
        <v>20</v>
      </c>
      <c r="C138" s="3" t="s">
        <v>1753</v>
      </c>
      <c r="D138" s="3" t="s">
        <v>60</v>
      </c>
      <c r="E138" s="3"/>
      <c r="F138" s="3"/>
      <c r="G138" s="3" t="s">
        <v>16</v>
      </c>
      <c r="H138" s="3" t="s">
        <v>1736</v>
      </c>
    </row>
    <row r="139" spans="1:8" x14ac:dyDescent="0.35">
      <c r="A139" s="3" t="s">
        <v>1734</v>
      </c>
      <c r="B139" s="3" t="s">
        <v>20</v>
      </c>
      <c r="C139" s="3" t="s">
        <v>1753</v>
      </c>
      <c r="D139" s="3" t="s">
        <v>28</v>
      </c>
      <c r="E139" s="3"/>
      <c r="F139" s="3" t="s">
        <v>2352</v>
      </c>
      <c r="G139" s="3" t="s">
        <v>16</v>
      </c>
      <c r="H139" s="3" t="s">
        <v>1736</v>
      </c>
    </row>
    <row r="140" spans="1:8" x14ac:dyDescent="0.35">
      <c r="A140" s="3" t="s">
        <v>1734</v>
      </c>
      <c r="B140" s="3" t="s">
        <v>20</v>
      </c>
      <c r="C140" s="3" t="s">
        <v>1753</v>
      </c>
      <c r="D140" s="3" t="s">
        <v>98</v>
      </c>
      <c r="E140" s="3"/>
      <c r="F140" s="3"/>
      <c r="G140" s="3" t="s">
        <v>16</v>
      </c>
      <c r="H140" s="3" t="s">
        <v>1736</v>
      </c>
    </row>
    <row r="141" spans="1:8" x14ac:dyDescent="0.35">
      <c r="A141" s="3" t="s">
        <v>1734</v>
      </c>
      <c r="B141" s="3" t="s">
        <v>20</v>
      </c>
      <c r="C141" s="3" t="s">
        <v>1753</v>
      </c>
      <c r="D141" s="3" t="s">
        <v>56</v>
      </c>
      <c r="E141" s="3" t="s">
        <v>1737</v>
      </c>
      <c r="F141" s="3" t="s">
        <v>2353</v>
      </c>
      <c r="G141" s="3" t="s">
        <v>16</v>
      </c>
      <c r="H141" s="3" t="s">
        <v>1736</v>
      </c>
    </row>
    <row r="142" spans="1:8" x14ac:dyDescent="0.35">
      <c r="A142" s="3" t="s">
        <v>1734</v>
      </c>
      <c r="B142" s="3" t="s">
        <v>20</v>
      </c>
      <c r="C142" s="3" t="s">
        <v>1753</v>
      </c>
      <c r="D142" s="3" t="s">
        <v>24</v>
      </c>
      <c r="E142" s="3"/>
      <c r="F142" s="3"/>
      <c r="G142" s="3" t="s">
        <v>16</v>
      </c>
      <c r="H142" s="3" t="s">
        <v>1736</v>
      </c>
    </row>
    <row r="143" spans="1:8" x14ac:dyDescent="0.35">
      <c r="A143" s="3" t="s">
        <v>1734</v>
      </c>
      <c r="B143" s="3" t="s">
        <v>20</v>
      </c>
      <c r="C143" s="3" t="s">
        <v>1753</v>
      </c>
      <c r="D143" s="3" t="s">
        <v>290</v>
      </c>
      <c r="E143" s="3"/>
      <c r="F143" s="3"/>
      <c r="G143" s="3" t="s">
        <v>16</v>
      </c>
      <c r="H143" s="3" t="s">
        <v>1736</v>
      </c>
    </row>
    <row r="144" spans="1:8" x14ac:dyDescent="0.35">
      <c r="A144" s="3" t="s">
        <v>1734</v>
      </c>
      <c r="B144" s="3" t="s">
        <v>39</v>
      </c>
      <c r="C144" s="3" t="s">
        <v>1754</v>
      </c>
      <c r="D144" s="3" t="s">
        <v>27</v>
      </c>
      <c r="E144" s="3" t="s">
        <v>1737</v>
      </c>
      <c r="F144" s="3" t="s">
        <v>1755</v>
      </c>
      <c r="G144" s="3" t="s">
        <v>16</v>
      </c>
      <c r="H144" s="3" t="s">
        <v>1736</v>
      </c>
    </row>
    <row r="145" spans="1:8" x14ac:dyDescent="0.35">
      <c r="A145" s="3" t="s">
        <v>1734</v>
      </c>
      <c r="B145" s="3" t="s">
        <v>39</v>
      </c>
      <c r="C145" s="3" t="s">
        <v>1754</v>
      </c>
      <c r="D145" s="3" t="s">
        <v>15</v>
      </c>
      <c r="E145" s="3" t="s">
        <v>1737</v>
      </c>
      <c r="F145" s="3" t="s">
        <v>1755</v>
      </c>
      <c r="G145" s="3" t="s">
        <v>16</v>
      </c>
      <c r="H145" s="3" t="s">
        <v>1736</v>
      </c>
    </row>
    <row r="146" spans="1:8" x14ac:dyDescent="0.35">
      <c r="A146" s="3" t="s">
        <v>1734</v>
      </c>
      <c r="B146" s="3" t="s">
        <v>39</v>
      </c>
      <c r="C146" s="3" t="s">
        <v>1754</v>
      </c>
      <c r="D146" s="3" t="s">
        <v>56</v>
      </c>
      <c r="E146" s="3" t="s">
        <v>1737</v>
      </c>
      <c r="F146" s="3" t="s">
        <v>1755</v>
      </c>
      <c r="G146" s="3" t="s">
        <v>16</v>
      </c>
      <c r="H146" s="3" t="s">
        <v>1736</v>
      </c>
    </row>
    <row r="147" spans="1:8" x14ac:dyDescent="0.35">
      <c r="A147" s="3" t="s">
        <v>1734</v>
      </c>
      <c r="B147" s="3" t="s">
        <v>39</v>
      </c>
      <c r="C147" s="3" t="s">
        <v>1754</v>
      </c>
      <c r="D147" s="3" t="s">
        <v>290</v>
      </c>
      <c r="E147" s="3" t="s">
        <v>1737</v>
      </c>
      <c r="F147" s="3" t="s">
        <v>1755</v>
      </c>
      <c r="G147" s="3" t="s">
        <v>16</v>
      </c>
      <c r="H147" s="3" t="s">
        <v>1736</v>
      </c>
    </row>
    <row r="148" spans="1:8" x14ac:dyDescent="0.35">
      <c r="A148" s="3" t="s">
        <v>1734</v>
      </c>
      <c r="B148" s="3" t="s">
        <v>45</v>
      </c>
      <c r="C148" s="3" t="s">
        <v>2980</v>
      </c>
      <c r="D148" s="3" t="s">
        <v>23</v>
      </c>
      <c r="E148" s="3"/>
      <c r="F148" s="3"/>
      <c r="G148" s="3" t="s">
        <v>16</v>
      </c>
      <c r="H148" s="3" t="s">
        <v>1736</v>
      </c>
    </row>
    <row r="149" spans="1:8" x14ac:dyDescent="0.35">
      <c r="A149" s="3" t="s">
        <v>1734</v>
      </c>
      <c r="B149" s="3" t="s">
        <v>45</v>
      </c>
      <c r="C149" s="3" t="s">
        <v>2980</v>
      </c>
      <c r="D149" s="3" t="s">
        <v>185</v>
      </c>
      <c r="E149" s="3" t="s">
        <v>16</v>
      </c>
      <c r="F149" s="3" t="s">
        <v>2981</v>
      </c>
      <c r="G149" s="3" t="s">
        <v>16</v>
      </c>
      <c r="H149" s="3" t="s">
        <v>1736</v>
      </c>
    </row>
    <row r="150" spans="1:8" x14ac:dyDescent="0.35">
      <c r="A150" s="3" t="s">
        <v>1734</v>
      </c>
      <c r="B150" s="3" t="s">
        <v>45</v>
      </c>
      <c r="C150" s="3" t="s">
        <v>2980</v>
      </c>
      <c r="D150" s="3" t="s">
        <v>24</v>
      </c>
      <c r="E150" s="3" t="s">
        <v>16</v>
      </c>
      <c r="F150" s="3" t="s">
        <v>2981</v>
      </c>
      <c r="G150" s="3" t="s">
        <v>16</v>
      </c>
      <c r="H150" s="3" t="s">
        <v>1736</v>
      </c>
    </row>
    <row r="151" spans="1:8" x14ac:dyDescent="0.35">
      <c r="A151" s="3" t="s">
        <v>1734</v>
      </c>
      <c r="B151" s="3" t="s">
        <v>10</v>
      </c>
      <c r="C151" s="3" t="s">
        <v>1756</v>
      </c>
      <c r="D151" s="3" t="s">
        <v>36</v>
      </c>
      <c r="E151" s="3"/>
      <c r="F151" s="3"/>
      <c r="G151" s="3" t="s">
        <v>16</v>
      </c>
      <c r="H151" s="3" t="s">
        <v>1736</v>
      </c>
    </row>
    <row r="152" spans="1:8" x14ac:dyDescent="0.35">
      <c r="A152" s="3" t="s">
        <v>1734</v>
      </c>
      <c r="B152" s="3" t="s">
        <v>10</v>
      </c>
      <c r="C152" s="3" t="s">
        <v>1756</v>
      </c>
      <c r="D152" s="3" t="s">
        <v>32</v>
      </c>
      <c r="E152" s="3" t="s">
        <v>16</v>
      </c>
      <c r="F152" s="3" t="s">
        <v>1757</v>
      </c>
      <c r="G152" s="3" t="s">
        <v>16</v>
      </c>
      <c r="H152" s="3" t="s">
        <v>1736</v>
      </c>
    </row>
    <row r="153" spans="1:8" x14ac:dyDescent="0.35">
      <c r="A153" s="3" t="s">
        <v>1734</v>
      </c>
      <c r="B153" s="3" t="s">
        <v>39</v>
      </c>
      <c r="C153" s="3" t="s">
        <v>1758</v>
      </c>
      <c r="D153" s="3" t="s">
        <v>27</v>
      </c>
      <c r="E153" s="3" t="s">
        <v>16</v>
      </c>
      <c r="F153" s="3" t="s">
        <v>1759</v>
      </c>
      <c r="G153" s="3" t="s">
        <v>16</v>
      </c>
      <c r="H153" s="3" t="s">
        <v>1736</v>
      </c>
    </row>
    <row r="154" spans="1:8" x14ac:dyDescent="0.35">
      <c r="A154" s="3" t="s">
        <v>1734</v>
      </c>
      <c r="B154" s="3" t="s">
        <v>39</v>
      </c>
      <c r="C154" s="3" t="s">
        <v>1758</v>
      </c>
      <c r="D154" s="3" t="s">
        <v>77</v>
      </c>
      <c r="E154" s="3" t="s">
        <v>16</v>
      </c>
      <c r="F154" s="3" t="s">
        <v>1759</v>
      </c>
      <c r="G154" s="3" t="s">
        <v>16</v>
      </c>
      <c r="H154" s="3" t="s">
        <v>1736</v>
      </c>
    </row>
    <row r="155" spans="1:8" x14ac:dyDescent="0.35">
      <c r="A155" s="3" t="s">
        <v>1734</v>
      </c>
      <c r="B155" s="3" t="s">
        <v>39</v>
      </c>
      <c r="C155" s="3" t="s">
        <v>1758</v>
      </c>
      <c r="D155" s="3" t="s">
        <v>29</v>
      </c>
      <c r="E155" s="3" t="s">
        <v>16</v>
      </c>
      <c r="F155" s="3" t="s">
        <v>1759</v>
      </c>
      <c r="G155" s="3" t="s">
        <v>16</v>
      </c>
      <c r="H155" s="3" t="s">
        <v>1736</v>
      </c>
    </row>
    <row r="156" spans="1:8" x14ac:dyDescent="0.35">
      <c r="A156" s="3" t="s">
        <v>1734</v>
      </c>
      <c r="B156" s="3" t="s">
        <v>20</v>
      </c>
      <c r="C156" s="3" t="s">
        <v>1760</v>
      </c>
      <c r="D156" s="3" t="s">
        <v>23</v>
      </c>
      <c r="E156" s="3"/>
      <c r="F156" s="3"/>
      <c r="G156" s="3" t="s">
        <v>16</v>
      </c>
      <c r="H156" s="3" t="s">
        <v>1736</v>
      </c>
    </row>
    <row r="157" spans="1:8" x14ac:dyDescent="0.35">
      <c r="A157" s="3" t="s">
        <v>1734</v>
      </c>
      <c r="B157" s="3" t="s">
        <v>20</v>
      </c>
      <c r="C157" s="3" t="s">
        <v>1760</v>
      </c>
      <c r="D157" s="3" t="s">
        <v>25</v>
      </c>
      <c r="E157" s="3"/>
      <c r="F157" s="3"/>
      <c r="G157" s="3" t="s">
        <v>16</v>
      </c>
      <c r="H157" s="3" t="s">
        <v>1736</v>
      </c>
    </row>
    <row r="158" spans="1:8" x14ac:dyDescent="0.35">
      <c r="A158" s="3" t="s">
        <v>1734</v>
      </c>
      <c r="B158" s="3" t="s">
        <v>20</v>
      </c>
      <c r="C158" s="3" t="s">
        <v>1760</v>
      </c>
      <c r="D158" s="3" t="s">
        <v>60</v>
      </c>
      <c r="E158" s="3"/>
      <c r="F158" s="3"/>
      <c r="G158" s="3" t="s">
        <v>16</v>
      </c>
      <c r="H158" s="3" t="s">
        <v>1736</v>
      </c>
    </row>
    <row r="159" spans="1:8" x14ac:dyDescent="0.35">
      <c r="A159" s="3" t="s">
        <v>1734</v>
      </c>
      <c r="B159" s="3" t="s">
        <v>20</v>
      </c>
      <c r="C159" s="3" t="s">
        <v>1760</v>
      </c>
      <c r="D159" s="3" t="s">
        <v>27</v>
      </c>
      <c r="E159" s="3"/>
      <c r="F159" s="3"/>
      <c r="G159" s="3" t="s">
        <v>16</v>
      </c>
      <c r="H159" s="3" t="s">
        <v>1736</v>
      </c>
    </row>
    <row r="160" spans="1:8" x14ac:dyDescent="0.35">
      <c r="A160" s="3" t="s">
        <v>1734</v>
      </c>
      <c r="B160" s="3" t="s">
        <v>20</v>
      </c>
      <c r="C160" s="3" t="s">
        <v>1760</v>
      </c>
      <c r="D160" s="3" t="s">
        <v>98</v>
      </c>
      <c r="E160" s="3"/>
      <c r="F160" s="3"/>
      <c r="G160" s="3" t="s">
        <v>16</v>
      </c>
      <c r="H160" s="3" t="s">
        <v>1736</v>
      </c>
    </row>
    <row r="161" spans="1:8" x14ac:dyDescent="0.35">
      <c r="A161" s="3" t="s">
        <v>1734</v>
      </c>
      <c r="B161" s="3" t="s">
        <v>20</v>
      </c>
      <c r="C161" s="3" t="s">
        <v>1760</v>
      </c>
      <c r="D161" s="3" t="s">
        <v>290</v>
      </c>
      <c r="E161" s="3"/>
      <c r="F161" s="3"/>
      <c r="G161" s="3" t="s">
        <v>16</v>
      </c>
      <c r="H161" s="3" t="s">
        <v>1736</v>
      </c>
    </row>
    <row r="162" spans="1:8" x14ac:dyDescent="0.35">
      <c r="A162" s="3" t="s">
        <v>1734</v>
      </c>
      <c r="B162" s="3" t="s">
        <v>20</v>
      </c>
      <c r="C162" s="3" t="s">
        <v>1761</v>
      </c>
      <c r="D162" s="3" t="s">
        <v>23</v>
      </c>
      <c r="E162" s="3"/>
      <c r="F162" s="3"/>
      <c r="G162" s="3" t="s">
        <v>16</v>
      </c>
      <c r="H162" s="3" t="s">
        <v>1736</v>
      </c>
    </row>
    <row r="163" spans="1:8" x14ac:dyDescent="0.35">
      <c r="A163" s="3" t="s">
        <v>1734</v>
      </c>
      <c r="B163" s="3" t="s">
        <v>20</v>
      </c>
      <c r="C163" s="3" t="s">
        <v>1761</v>
      </c>
      <c r="D163" s="3" t="s">
        <v>25</v>
      </c>
      <c r="E163" s="3"/>
      <c r="F163" s="3"/>
      <c r="G163" s="3" t="s">
        <v>16</v>
      </c>
      <c r="H163" s="3" t="s">
        <v>1736</v>
      </c>
    </row>
    <row r="164" spans="1:8" x14ac:dyDescent="0.35">
      <c r="A164" s="3" t="s">
        <v>1734</v>
      </c>
      <c r="B164" s="3" t="s">
        <v>20</v>
      </c>
      <c r="C164" s="3" t="s">
        <v>1761</v>
      </c>
      <c r="D164" s="3" t="s">
        <v>27</v>
      </c>
      <c r="E164" s="3" t="s">
        <v>1737</v>
      </c>
      <c r="F164" s="3" t="s">
        <v>1763</v>
      </c>
      <c r="G164" s="3" t="s">
        <v>16</v>
      </c>
      <c r="H164" s="3" t="s">
        <v>1736</v>
      </c>
    </row>
    <row r="165" spans="1:8" x14ac:dyDescent="0.35">
      <c r="A165" s="3" t="s">
        <v>1734</v>
      </c>
      <c r="B165" s="3" t="s">
        <v>20</v>
      </c>
      <c r="C165" s="3" t="s">
        <v>1761</v>
      </c>
      <c r="D165" s="3" t="s">
        <v>98</v>
      </c>
      <c r="E165" s="3"/>
      <c r="F165" s="3"/>
      <c r="G165" s="3" t="s">
        <v>16</v>
      </c>
      <c r="H165" s="3" t="s">
        <v>1736</v>
      </c>
    </row>
    <row r="166" spans="1:8" x14ac:dyDescent="0.35">
      <c r="A166" s="3" t="s">
        <v>1734</v>
      </c>
      <c r="B166" s="3" t="s">
        <v>20</v>
      </c>
      <c r="C166" s="3" t="s">
        <v>1761</v>
      </c>
      <c r="D166" s="3" t="s">
        <v>1216</v>
      </c>
      <c r="E166" s="3"/>
      <c r="F166" s="3"/>
      <c r="G166" s="3" t="s">
        <v>16</v>
      </c>
      <c r="H166" s="3" t="s">
        <v>1736</v>
      </c>
    </row>
    <row r="167" spans="1:8" x14ac:dyDescent="0.35">
      <c r="A167" s="3" t="s">
        <v>1734</v>
      </c>
      <c r="B167" s="3" t="s">
        <v>20</v>
      </c>
      <c r="C167" s="3" t="s">
        <v>1761</v>
      </c>
      <c r="D167" s="3" t="s">
        <v>56</v>
      </c>
      <c r="E167" s="3" t="s">
        <v>1737</v>
      </c>
      <c r="F167" s="3" t="s">
        <v>1762</v>
      </c>
      <c r="G167" s="3" t="s">
        <v>16</v>
      </c>
      <c r="H167" s="3" t="s">
        <v>1736</v>
      </c>
    </row>
    <row r="168" spans="1:8" x14ac:dyDescent="0.35">
      <c r="A168" s="3" t="s">
        <v>1734</v>
      </c>
      <c r="B168" s="3" t="s">
        <v>20</v>
      </c>
      <c r="C168" s="3" t="s">
        <v>1761</v>
      </c>
      <c r="D168" s="3" t="s">
        <v>290</v>
      </c>
      <c r="E168" s="3"/>
      <c r="F168" s="3"/>
      <c r="G168" s="3" t="s">
        <v>16</v>
      </c>
      <c r="H168" s="3" t="s">
        <v>1736</v>
      </c>
    </row>
    <row r="169" spans="1:8" x14ac:dyDescent="0.35">
      <c r="A169" s="3" t="s">
        <v>1764</v>
      </c>
      <c r="B169" s="3" t="s">
        <v>20</v>
      </c>
      <c r="C169" s="3" t="s">
        <v>1765</v>
      </c>
      <c r="D169" s="3" t="s">
        <v>12</v>
      </c>
      <c r="E169" s="3"/>
      <c r="F169" s="3"/>
      <c r="G169" s="3"/>
      <c r="H169" s="3"/>
    </row>
    <row r="170" spans="1:8" x14ac:dyDescent="0.35">
      <c r="A170" s="3" t="s">
        <v>1764</v>
      </c>
      <c r="B170" s="3" t="s">
        <v>20</v>
      </c>
      <c r="C170" s="3" t="s">
        <v>1765</v>
      </c>
      <c r="D170" s="3" t="s">
        <v>60</v>
      </c>
      <c r="E170" s="3"/>
      <c r="F170" s="3"/>
      <c r="G170" s="3"/>
      <c r="H170" s="3"/>
    </row>
    <row r="171" spans="1:8" x14ac:dyDescent="0.35">
      <c r="A171" s="3" t="s">
        <v>1764</v>
      </c>
      <c r="B171" s="3" t="s">
        <v>20</v>
      </c>
      <c r="C171" s="3" t="s">
        <v>1765</v>
      </c>
      <c r="D171" s="3" t="s">
        <v>27</v>
      </c>
      <c r="E171" s="3"/>
      <c r="F171" s="3"/>
      <c r="G171" s="3"/>
      <c r="H171" s="3"/>
    </row>
    <row r="172" spans="1:8" x14ac:dyDescent="0.35">
      <c r="A172" s="3" t="s">
        <v>1764</v>
      </c>
      <c r="B172" s="3" t="s">
        <v>20</v>
      </c>
      <c r="C172" s="3" t="s">
        <v>1765</v>
      </c>
      <c r="D172" s="3" t="s">
        <v>28</v>
      </c>
      <c r="E172" s="3"/>
      <c r="F172" s="3"/>
      <c r="G172" s="3"/>
      <c r="H172" s="3"/>
    </row>
    <row r="173" spans="1:8" x14ac:dyDescent="0.35">
      <c r="A173" s="3" t="s">
        <v>1764</v>
      </c>
      <c r="B173" s="3" t="s">
        <v>20</v>
      </c>
      <c r="C173" s="3" t="s">
        <v>1765</v>
      </c>
      <c r="D173" s="3" t="s">
        <v>31</v>
      </c>
      <c r="E173" s="3"/>
      <c r="F173" s="3"/>
      <c r="G173" s="3"/>
      <c r="H173" s="3"/>
    </row>
    <row r="174" spans="1:8" x14ac:dyDescent="0.35">
      <c r="A174" s="3" t="s">
        <v>1764</v>
      </c>
      <c r="B174" s="3" t="s">
        <v>20</v>
      </c>
      <c r="C174" s="3" t="s">
        <v>1765</v>
      </c>
      <c r="D174" s="3" t="s">
        <v>15</v>
      </c>
      <c r="E174" s="3"/>
      <c r="F174" s="3"/>
      <c r="G174" s="3"/>
      <c r="H174" s="3"/>
    </row>
    <row r="175" spans="1:8" x14ac:dyDescent="0.35">
      <c r="A175" s="3" t="s">
        <v>1764</v>
      </c>
      <c r="B175" s="3" t="s">
        <v>20</v>
      </c>
      <c r="C175" s="3" t="s">
        <v>1765</v>
      </c>
      <c r="D175" s="3" t="s">
        <v>56</v>
      </c>
      <c r="E175" s="3"/>
      <c r="F175" s="3"/>
      <c r="G175" s="3"/>
      <c r="H175" s="3"/>
    </row>
    <row r="176" spans="1:8" x14ac:dyDescent="0.35">
      <c r="A176" s="3" t="s">
        <v>1764</v>
      </c>
      <c r="B176" s="3" t="s">
        <v>20</v>
      </c>
      <c r="C176" s="3" t="s">
        <v>1765</v>
      </c>
      <c r="D176" s="3" t="s">
        <v>24</v>
      </c>
      <c r="E176" s="3"/>
      <c r="F176" s="3"/>
      <c r="G176" s="3"/>
      <c r="H176" s="3"/>
    </row>
    <row r="177" spans="1:8" x14ac:dyDescent="0.35">
      <c r="A177" s="3" t="s">
        <v>1766</v>
      </c>
      <c r="B177" s="3" t="s">
        <v>20</v>
      </c>
      <c r="C177" s="3" t="s">
        <v>1767</v>
      </c>
      <c r="D177" s="3" t="s">
        <v>23</v>
      </c>
      <c r="E177" s="3"/>
      <c r="F177" s="3"/>
      <c r="G177" s="3"/>
      <c r="H177" s="3"/>
    </row>
    <row r="178" spans="1:8" x14ac:dyDescent="0.35">
      <c r="A178" s="3" t="s">
        <v>1766</v>
      </c>
      <c r="B178" s="3" t="s">
        <v>20</v>
      </c>
      <c r="C178" s="3" t="s">
        <v>1767</v>
      </c>
      <c r="D178" s="3" t="s">
        <v>25</v>
      </c>
      <c r="E178" s="3"/>
      <c r="F178" s="3"/>
      <c r="G178" s="3"/>
      <c r="H178" s="3"/>
    </row>
    <row r="179" spans="1:8" x14ac:dyDescent="0.35">
      <c r="A179" s="3" t="s">
        <v>1766</v>
      </c>
      <c r="B179" s="3" t="s">
        <v>20</v>
      </c>
      <c r="C179" s="3" t="s">
        <v>1767</v>
      </c>
      <c r="D179" s="3" t="s">
        <v>27</v>
      </c>
      <c r="E179" s="3"/>
      <c r="F179" s="3"/>
      <c r="G179" s="3"/>
      <c r="H179" s="3"/>
    </row>
    <row r="180" spans="1:8" x14ac:dyDescent="0.35">
      <c r="A180" s="3" t="s">
        <v>1766</v>
      </c>
      <c r="B180" s="3" t="s">
        <v>20</v>
      </c>
      <c r="C180" s="3" t="s">
        <v>1767</v>
      </c>
      <c r="D180" s="3" t="s">
        <v>28</v>
      </c>
      <c r="E180" s="3" t="s">
        <v>16</v>
      </c>
      <c r="F180" s="3" t="s">
        <v>1768</v>
      </c>
      <c r="G180" s="3"/>
      <c r="H180" s="3"/>
    </row>
    <row r="181" spans="1:8" x14ac:dyDescent="0.35">
      <c r="A181" s="3" t="s">
        <v>1766</v>
      </c>
      <c r="B181" s="3" t="s">
        <v>20</v>
      </c>
      <c r="C181" s="3" t="s">
        <v>1767</v>
      </c>
      <c r="D181" s="3" t="s">
        <v>87</v>
      </c>
      <c r="E181" s="3" t="s">
        <v>33</v>
      </c>
      <c r="F181" s="3" t="s">
        <v>34</v>
      </c>
      <c r="G181" s="3"/>
      <c r="H181" s="3"/>
    </row>
    <row r="182" spans="1:8" x14ac:dyDescent="0.35">
      <c r="A182" s="3" t="s">
        <v>1766</v>
      </c>
      <c r="B182" s="3" t="s">
        <v>20</v>
      </c>
      <c r="C182" s="3" t="s">
        <v>1767</v>
      </c>
      <c r="D182" s="3" t="s">
        <v>56</v>
      </c>
      <c r="E182" s="3" t="s">
        <v>16</v>
      </c>
      <c r="F182" s="3" t="s">
        <v>1768</v>
      </c>
      <c r="G182" s="3"/>
      <c r="H182" s="3"/>
    </row>
    <row r="183" spans="1:8" x14ac:dyDescent="0.35">
      <c r="A183" s="3" t="s">
        <v>1766</v>
      </c>
      <c r="B183" s="3" t="s">
        <v>20</v>
      </c>
      <c r="C183" s="3" t="s">
        <v>1767</v>
      </c>
      <c r="D183" s="3" t="s">
        <v>24</v>
      </c>
      <c r="E183" s="3"/>
      <c r="F183" s="3"/>
      <c r="G183" s="3"/>
      <c r="H183" s="3"/>
    </row>
    <row r="184" spans="1:8" x14ac:dyDescent="0.35">
      <c r="A184" s="3" t="s">
        <v>1766</v>
      </c>
      <c r="B184" s="3" t="s">
        <v>39</v>
      </c>
      <c r="C184" s="3" t="s">
        <v>1769</v>
      </c>
      <c r="D184" s="3" t="s">
        <v>27</v>
      </c>
      <c r="E184" s="3" t="s">
        <v>1737</v>
      </c>
      <c r="F184" s="3" t="s">
        <v>1770</v>
      </c>
      <c r="G184" s="3"/>
      <c r="H184" s="3"/>
    </row>
    <row r="185" spans="1:8" x14ac:dyDescent="0.35">
      <c r="A185" s="3" t="s">
        <v>1766</v>
      </c>
      <c r="B185" s="3" t="s">
        <v>39</v>
      </c>
      <c r="C185" s="3" t="s">
        <v>1769</v>
      </c>
      <c r="D185" s="3" t="s">
        <v>1216</v>
      </c>
      <c r="E185" s="3"/>
      <c r="F185" s="3"/>
      <c r="G185" s="3"/>
      <c r="H185" s="3"/>
    </row>
    <row r="186" spans="1:8" x14ac:dyDescent="0.35">
      <c r="A186" s="3" t="s">
        <v>1766</v>
      </c>
      <c r="B186" s="3" t="s">
        <v>20</v>
      </c>
      <c r="C186" s="3" t="s">
        <v>1771</v>
      </c>
      <c r="D186" s="3" t="s">
        <v>12</v>
      </c>
      <c r="E186" s="3"/>
      <c r="F186" s="3"/>
      <c r="G186" s="3"/>
      <c r="H186" s="3"/>
    </row>
    <row r="187" spans="1:8" x14ac:dyDescent="0.35">
      <c r="A187" s="3" t="s">
        <v>1766</v>
      </c>
      <c r="B187" s="3" t="s">
        <v>20</v>
      </c>
      <c r="C187" s="3" t="s">
        <v>1771</v>
      </c>
      <c r="D187" s="3" t="s">
        <v>28</v>
      </c>
      <c r="E187" s="3"/>
      <c r="F187" s="3"/>
      <c r="G187" s="3"/>
      <c r="H187" s="3"/>
    </row>
    <row r="188" spans="1:8" x14ac:dyDescent="0.35">
      <c r="A188" s="3" t="s">
        <v>1766</v>
      </c>
      <c r="B188" s="3" t="s">
        <v>20</v>
      </c>
      <c r="C188" s="3" t="s">
        <v>1771</v>
      </c>
      <c r="D188" s="3" t="s">
        <v>31</v>
      </c>
      <c r="E188" s="3"/>
      <c r="F188" s="3"/>
      <c r="G188" s="3"/>
      <c r="H188" s="3"/>
    </row>
    <row r="189" spans="1:8" x14ac:dyDescent="0.35">
      <c r="A189" s="3" t="s">
        <v>1772</v>
      </c>
      <c r="B189" s="3" t="s">
        <v>45</v>
      </c>
      <c r="C189" s="3" t="s">
        <v>1773</v>
      </c>
      <c r="D189" s="3" t="s">
        <v>23</v>
      </c>
      <c r="E189" s="3"/>
      <c r="F189" s="3"/>
      <c r="G189" s="3" t="s">
        <v>16</v>
      </c>
      <c r="H189" s="3" t="s">
        <v>559</v>
      </c>
    </row>
    <row r="190" spans="1:8" x14ac:dyDescent="0.35">
      <c r="A190" s="3" t="s">
        <v>1772</v>
      </c>
      <c r="B190" s="3" t="s">
        <v>45</v>
      </c>
      <c r="C190" s="3" t="s">
        <v>1773</v>
      </c>
      <c r="D190" s="3" t="s">
        <v>98</v>
      </c>
      <c r="E190" s="3"/>
      <c r="F190" s="3"/>
      <c r="G190" s="3" t="s">
        <v>16</v>
      </c>
      <c r="H190" s="3" t="s">
        <v>559</v>
      </c>
    </row>
    <row r="191" spans="1:8" x14ac:dyDescent="0.35">
      <c r="A191" s="3" t="s">
        <v>1772</v>
      </c>
      <c r="B191" s="3" t="s">
        <v>45</v>
      </c>
      <c r="C191" s="3" t="s">
        <v>1773</v>
      </c>
      <c r="D191" s="3" t="s">
        <v>185</v>
      </c>
      <c r="E191" s="3"/>
      <c r="F191" s="3"/>
      <c r="G191" s="3" t="s">
        <v>16</v>
      </c>
      <c r="H191" s="3" t="s">
        <v>559</v>
      </c>
    </row>
    <row r="192" spans="1:8" x14ac:dyDescent="0.35">
      <c r="A192" s="3" t="s">
        <v>1772</v>
      </c>
      <c r="B192" s="3" t="s">
        <v>45</v>
      </c>
      <c r="C192" s="3" t="s">
        <v>1773</v>
      </c>
      <c r="D192" s="3" t="s">
        <v>56</v>
      </c>
      <c r="E192" s="3"/>
      <c r="F192" s="3"/>
      <c r="G192" s="3" t="s">
        <v>16</v>
      </c>
      <c r="H192" s="3" t="s">
        <v>559</v>
      </c>
    </row>
    <row r="193" spans="1:8" x14ac:dyDescent="0.35">
      <c r="A193" s="3" t="s">
        <v>1772</v>
      </c>
      <c r="B193" s="3" t="s">
        <v>45</v>
      </c>
      <c r="C193" s="3" t="s">
        <v>1773</v>
      </c>
      <c r="D193" s="3" t="s">
        <v>24</v>
      </c>
      <c r="E193" s="3" t="s">
        <v>1737</v>
      </c>
      <c r="F193" s="3" t="s">
        <v>1774</v>
      </c>
      <c r="G193" s="3" t="s">
        <v>16</v>
      </c>
      <c r="H193" s="3" t="s">
        <v>559</v>
      </c>
    </row>
    <row r="194" spans="1:8" x14ac:dyDescent="0.35">
      <c r="A194" s="3" t="s">
        <v>1772</v>
      </c>
      <c r="B194" s="3" t="s">
        <v>45</v>
      </c>
      <c r="C194" s="3" t="s">
        <v>1773</v>
      </c>
      <c r="D194" s="3" t="s">
        <v>290</v>
      </c>
      <c r="E194" s="3"/>
      <c r="F194" s="3"/>
      <c r="G194" s="3" t="s">
        <v>16</v>
      </c>
      <c r="H194" s="3" t="s">
        <v>559</v>
      </c>
    </row>
    <row r="195" spans="1:8" x14ac:dyDescent="0.35">
      <c r="A195" s="3" t="s">
        <v>1772</v>
      </c>
      <c r="B195" s="3" t="s">
        <v>45</v>
      </c>
      <c r="C195" s="3" t="s">
        <v>1775</v>
      </c>
      <c r="D195" s="3" t="s">
        <v>23</v>
      </c>
      <c r="E195" s="3"/>
      <c r="F195" s="3"/>
      <c r="G195" s="3" t="s">
        <v>16</v>
      </c>
      <c r="H195" s="3" t="s">
        <v>559</v>
      </c>
    </row>
    <row r="196" spans="1:8" x14ac:dyDescent="0.35">
      <c r="A196" s="3" t="s">
        <v>1772</v>
      </c>
      <c r="B196" s="3" t="s">
        <v>45</v>
      </c>
      <c r="C196" s="3" t="s">
        <v>1775</v>
      </c>
      <c r="D196" s="3" t="s">
        <v>1216</v>
      </c>
      <c r="E196" s="3"/>
      <c r="F196" s="3"/>
      <c r="G196" s="3" t="s">
        <v>16</v>
      </c>
      <c r="H196" s="3" t="s">
        <v>559</v>
      </c>
    </row>
    <row r="197" spans="1:8" x14ac:dyDescent="0.35">
      <c r="A197" s="3" t="s">
        <v>1772</v>
      </c>
      <c r="B197" s="3" t="s">
        <v>45</v>
      </c>
      <c r="C197" s="3" t="s">
        <v>1775</v>
      </c>
      <c r="D197" s="3" t="s">
        <v>56</v>
      </c>
      <c r="E197" s="3" t="s">
        <v>16</v>
      </c>
      <c r="F197" s="3" t="s">
        <v>2322</v>
      </c>
      <c r="G197" s="3" t="s">
        <v>16</v>
      </c>
      <c r="H197" s="3" t="s">
        <v>559</v>
      </c>
    </row>
    <row r="198" spans="1:8" x14ac:dyDescent="0.35">
      <c r="A198" s="3" t="s">
        <v>1772</v>
      </c>
      <c r="B198" s="3" t="s">
        <v>45</v>
      </c>
      <c r="C198" s="3" t="s">
        <v>1775</v>
      </c>
      <c r="D198" s="3" t="s">
        <v>911</v>
      </c>
      <c r="E198" s="3" t="s">
        <v>16</v>
      </c>
      <c r="F198" s="3" t="s">
        <v>1776</v>
      </c>
      <c r="G198" s="3" t="s">
        <v>16</v>
      </c>
      <c r="H198" s="3" t="s">
        <v>559</v>
      </c>
    </row>
    <row r="199" spans="1:8" x14ac:dyDescent="0.35">
      <c r="A199" s="3" t="s">
        <v>1772</v>
      </c>
      <c r="B199" s="3" t="s">
        <v>45</v>
      </c>
      <c r="C199" s="3" t="s">
        <v>1775</v>
      </c>
      <c r="D199" s="3" t="s">
        <v>24</v>
      </c>
      <c r="E199" s="3"/>
      <c r="F199" s="3"/>
      <c r="G199" s="3" t="s">
        <v>16</v>
      </c>
      <c r="H199" s="3" t="s">
        <v>559</v>
      </c>
    </row>
    <row r="200" spans="1:8" x14ac:dyDescent="0.35">
      <c r="A200" s="3" t="s">
        <v>1772</v>
      </c>
      <c r="B200" s="3" t="s">
        <v>42</v>
      </c>
      <c r="C200" s="3" t="s">
        <v>1777</v>
      </c>
      <c r="D200" s="3" t="s">
        <v>23</v>
      </c>
      <c r="E200" s="3"/>
      <c r="F200" s="3"/>
      <c r="G200" s="3" t="s">
        <v>16</v>
      </c>
      <c r="H200" s="3" t="s">
        <v>559</v>
      </c>
    </row>
    <row r="201" spans="1:8" x14ac:dyDescent="0.35">
      <c r="A201" s="3" t="s">
        <v>1772</v>
      </c>
      <c r="B201" s="3" t="s">
        <v>42</v>
      </c>
      <c r="C201" s="3" t="s">
        <v>1777</v>
      </c>
      <c r="D201" s="3" t="s">
        <v>27</v>
      </c>
      <c r="E201" s="3"/>
      <c r="F201" s="3"/>
      <c r="G201" s="3" t="s">
        <v>16</v>
      </c>
      <c r="H201" s="3" t="s">
        <v>559</v>
      </c>
    </row>
    <row r="202" spans="1:8" x14ac:dyDescent="0.35">
      <c r="A202" s="3" t="s">
        <v>1772</v>
      </c>
      <c r="B202" s="3" t="s">
        <v>42</v>
      </c>
      <c r="C202" s="3" t="s">
        <v>1777</v>
      </c>
      <c r="D202" s="3" t="s">
        <v>77</v>
      </c>
      <c r="E202" s="3"/>
      <c r="F202" s="3"/>
      <c r="G202" s="3" t="s">
        <v>16</v>
      </c>
      <c r="H202" s="3" t="s">
        <v>559</v>
      </c>
    </row>
    <row r="203" spans="1:8" x14ac:dyDescent="0.35">
      <c r="A203" s="3" t="s">
        <v>1772</v>
      </c>
      <c r="B203" s="3" t="s">
        <v>45</v>
      </c>
      <c r="C203" s="3" t="s">
        <v>1778</v>
      </c>
      <c r="D203" s="3" t="s">
        <v>24</v>
      </c>
      <c r="E203" s="3" t="s">
        <v>1737</v>
      </c>
      <c r="F203" s="3" t="s">
        <v>1779</v>
      </c>
      <c r="G203" s="3" t="s">
        <v>16</v>
      </c>
      <c r="H203" s="3" t="s">
        <v>559</v>
      </c>
    </row>
    <row r="204" spans="1:8" x14ac:dyDescent="0.35">
      <c r="A204" s="3" t="s">
        <v>1772</v>
      </c>
      <c r="B204" s="3" t="s">
        <v>20</v>
      </c>
      <c r="C204" s="3" t="s">
        <v>1780</v>
      </c>
      <c r="D204" s="3" t="s">
        <v>23</v>
      </c>
      <c r="E204" s="3" t="s">
        <v>16</v>
      </c>
      <c r="F204" s="3" t="s">
        <v>1781</v>
      </c>
      <c r="G204" s="3" t="s">
        <v>16</v>
      </c>
      <c r="H204" s="3" t="s">
        <v>559</v>
      </c>
    </row>
    <row r="205" spans="1:8" x14ac:dyDescent="0.35">
      <c r="A205" s="3" t="s">
        <v>1772</v>
      </c>
      <c r="B205" s="3" t="s">
        <v>20</v>
      </c>
      <c r="C205" s="3" t="s">
        <v>1780</v>
      </c>
      <c r="D205" s="3" t="s">
        <v>25</v>
      </c>
      <c r="E205" s="3"/>
      <c r="F205" s="3"/>
      <c r="G205" s="3" t="s">
        <v>16</v>
      </c>
      <c r="H205" s="3" t="s">
        <v>559</v>
      </c>
    </row>
    <row r="206" spans="1:8" x14ac:dyDescent="0.35">
      <c r="A206" s="3" t="s">
        <v>1772</v>
      </c>
      <c r="B206" s="3" t="s">
        <v>20</v>
      </c>
      <c r="C206" s="3" t="s">
        <v>1780</v>
      </c>
      <c r="D206" s="3" t="s">
        <v>27</v>
      </c>
      <c r="E206" s="3"/>
      <c r="F206" s="3"/>
      <c r="G206" s="3" t="s">
        <v>16</v>
      </c>
      <c r="H206" s="3" t="s">
        <v>559</v>
      </c>
    </row>
    <row r="207" spans="1:8" x14ac:dyDescent="0.35">
      <c r="A207" s="3" t="s">
        <v>1772</v>
      </c>
      <c r="B207" s="3" t="s">
        <v>20</v>
      </c>
      <c r="C207" s="3" t="s">
        <v>1780</v>
      </c>
      <c r="D207" s="3" t="s">
        <v>1216</v>
      </c>
      <c r="E207" s="3" t="s">
        <v>16</v>
      </c>
      <c r="F207" s="3" t="s">
        <v>1782</v>
      </c>
      <c r="G207" s="3" t="s">
        <v>16</v>
      </c>
      <c r="H207" s="3" t="s">
        <v>559</v>
      </c>
    </row>
    <row r="208" spans="1:8" x14ac:dyDescent="0.35">
      <c r="A208" s="3" t="s">
        <v>1772</v>
      </c>
      <c r="B208" s="3" t="s">
        <v>20</v>
      </c>
      <c r="C208" s="3" t="s">
        <v>1780</v>
      </c>
      <c r="D208" s="3" t="s">
        <v>24</v>
      </c>
      <c r="E208" s="3"/>
      <c r="F208" s="3" t="s">
        <v>2351</v>
      </c>
      <c r="G208" s="3" t="s">
        <v>16</v>
      </c>
      <c r="H208" s="3" t="s">
        <v>559</v>
      </c>
    </row>
    <row r="209" spans="1:8" x14ac:dyDescent="0.35">
      <c r="A209" s="3" t="s">
        <v>1772</v>
      </c>
      <c r="B209" s="3" t="s">
        <v>20</v>
      </c>
      <c r="C209" s="3" t="s">
        <v>1780</v>
      </c>
      <c r="D209" s="3" t="s">
        <v>290</v>
      </c>
      <c r="E209" s="3"/>
      <c r="F209" s="3"/>
      <c r="G209" s="3" t="s">
        <v>16</v>
      </c>
      <c r="H209" s="3" t="s">
        <v>559</v>
      </c>
    </row>
    <row r="210" spans="1:8" x14ac:dyDescent="0.35">
      <c r="A210" s="3" t="s">
        <v>1772</v>
      </c>
      <c r="B210" s="3" t="s">
        <v>45</v>
      </c>
      <c r="C210" s="3" t="s">
        <v>1783</v>
      </c>
      <c r="D210" s="3" t="s">
        <v>36</v>
      </c>
      <c r="E210" s="3" t="s">
        <v>16</v>
      </c>
      <c r="F210" s="3" t="s">
        <v>1784</v>
      </c>
      <c r="G210" s="3"/>
      <c r="H210" s="3"/>
    </row>
    <row r="211" spans="1:8" x14ac:dyDescent="0.35">
      <c r="A211" s="3" t="s">
        <v>1772</v>
      </c>
      <c r="B211" s="3" t="s">
        <v>45</v>
      </c>
      <c r="C211" s="3" t="s">
        <v>1783</v>
      </c>
      <c r="D211" s="3" t="s">
        <v>23</v>
      </c>
      <c r="E211" s="3"/>
      <c r="F211" s="3"/>
      <c r="G211" s="3"/>
      <c r="H211" s="3"/>
    </row>
    <row r="212" spans="1:8" x14ac:dyDescent="0.35">
      <c r="A212" s="3" t="s">
        <v>1772</v>
      </c>
      <c r="B212" s="3" t="s">
        <v>45</v>
      </c>
      <c r="C212" s="3" t="s">
        <v>1783</v>
      </c>
      <c r="D212" s="3" t="s">
        <v>28</v>
      </c>
      <c r="E212" s="3"/>
      <c r="F212" s="3"/>
      <c r="G212" s="3" t="s">
        <v>16</v>
      </c>
      <c r="H212" s="3" t="s">
        <v>559</v>
      </c>
    </row>
    <row r="213" spans="1:8" x14ac:dyDescent="0.35">
      <c r="A213" s="3" t="s">
        <v>1772</v>
      </c>
      <c r="B213" s="3" t="s">
        <v>45</v>
      </c>
      <c r="C213" s="3" t="s">
        <v>1783</v>
      </c>
      <c r="D213" s="3" t="s">
        <v>24</v>
      </c>
      <c r="E213" s="3"/>
      <c r="F213" s="3"/>
      <c r="G213" s="3"/>
      <c r="H213" s="3"/>
    </row>
    <row r="214" spans="1:8" x14ac:dyDescent="0.35">
      <c r="A214" s="3" t="s">
        <v>1772</v>
      </c>
      <c r="B214" s="3" t="s">
        <v>39</v>
      </c>
      <c r="C214" s="3" t="s">
        <v>1785</v>
      </c>
      <c r="D214" s="3" t="s">
        <v>25</v>
      </c>
      <c r="E214" s="3"/>
      <c r="F214" s="3"/>
      <c r="G214" s="3" t="s">
        <v>16</v>
      </c>
      <c r="H214" s="3" t="s">
        <v>559</v>
      </c>
    </row>
    <row r="215" spans="1:8" x14ac:dyDescent="0.35">
      <c r="A215" s="3" t="s">
        <v>1772</v>
      </c>
      <c r="B215" s="3" t="s">
        <v>39</v>
      </c>
      <c r="C215" s="3" t="s">
        <v>1785</v>
      </c>
      <c r="D215" s="3" t="s">
        <v>27</v>
      </c>
      <c r="E215" s="3"/>
      <c r="F215" s="3"/>
      <c r="G215" s="3" t="s">
        <v>16</v>
      </c>
      <c r="H215" s="3" t="s">
        <v>559</v>
      </c>
    </row>
    <row r="216" spans="1:8" x14ac:dyDescent="0.35">
      <c r="A216" s="3" t="s">
        <v>1772</v>
      </c>
      <c r="B216" s="3" t="s">
        <v>39</v>
      </c>
      <c r="C216" s="3" t="s">
        <v>1785</v>
      </c>
      <c r="D216" s="3" t="s">
        <v>77</v>
      </c>
      <c r="E216" s="3"/>
      <c r="F216" s="3"/>
      <c r="G216" s="3" t="s">
        <v>16</v>
      </c>
      <c r="H216" s="3" t="s">
        <v>559</v>
      </c>
    </row>
    <row r="217" spans="1:8" x14ac:dyDescent="0.35">
      <c r="A217" s="3" t="s">
        <v>1772</v>
      </c>
      <c r="B217" s="3" t="s">
        <v>39</v>
      </c>
      <c r="C217" s="3" t="s">
        <v>1785</v>
      </c>
      <c r="D217" s="3" t="s">
        <v>185</v>
      </c>
      <c r="E217" s="3"/>
      <c r="F217" s="3"/>
      <c r="G217" s="3" t="s">
        <v>16</v>
      </c>
      <c r="H217" s="3" t="s">
        <v>559</v>
      </c>
    </row>
    <row r="218" spans="1:8" x14ac:dyDescent="0.35">
      <c r="A218" s="3" t="s">
        <v>1772</v>
      </c>
      <c r="B218" s="3" t="s">
        <v>39</v>
      </c>
      <c r="C218" s="3" t="s">
        <v>1785</v>
      </c>
      <c r="D218" s="3" t="s">
        <v>56</v>
      </c>
      <c r="E218" s="3"/>
      <c r="F218" s="3"/>
      <c r="G218" s="3" t="s">
        <v>16</v>
      </c>
      <c r="H218" s="3" t="s">
        <v>559</v>
      </c>
    </row>
    <row r="219" spans="1:8" x14ac:dyDescent="0.35">
      <c r="A219" s="3" t="s">
        <v>1772</v>
      </c>
      <c r="B219" s="3" t="s">
        <v>39</v>
      </c>
      <c r="C219" s="3" t="s">
        <v>1785</v>
      </c>
      <c r="D219" s="3" t="s">
        <v>290</v>
      </c>
      <c r="E219" s="3"/>
      <c r="F219" s="3"/>
      <c r="G219" s="3" t="s">
        <v>16</v>
      </c>
      <c r="H219" s="3" t="s">
        <v>559</v>
      </c>
    </row>
    <row r="220" spans="1:8" x14ac:dyDescent="0.35">
      <c r="A220" s="3" t="s">
        <v>1772</v>
      </c>
      <c r="B220" s="3" t="s">
        <v>20</v>
      </c>
      <c r="C220" s="3" t="s">
        <v>1786</v>
      </c>
      <c r="D220" s="3" t="s">
        <v>23</v>
      </c>
      <c r="E220" s="3"/>
      <c r="F220" s="3"/>
      <c r="G220" s="3" t="s">
        <v>16</v>
      </c>
      <c r="H220" s="3" t="s">
        <v>559</v>
      </c>
    </row>
    <row r="221" spans="1:8" x14ac:dyDescent="0.35">
      <c r="A221" s="3" t="s">
        <v>1772</v>
      </c>
      <c r="B221" s="3" t="s">
        <v>20</v>
      </c>
      <c r="C221" s="3" t="s">
        <v>1786</v>
      </c>
      <c r="D221" s="3" t="s">
        <v>27</v>
      </c>
      <c r="E221" s="3"/>
      <c r="F221" s="3"/>
      <c r="G221" s="3" t="s">
        <v>16</v>
      </c>
      <c r="H221" s="3" t="s">
        <v>559</v>
      </c>
    </row>
    <row r="222" spans="1:8" x14ac:dyDescent="0.35">
      <c r="A222" s="3" t="s">
        <v>1772</v>
      </c>
      <c r="B222" s="3" t="s">
        <v>20</v>
      </c>
      <c r="C222" s="3" t="s">
        <v>1786</v>
      </c>
      <c r="D222" s="3" t="s">
        <v>1216</v>
      </c>
      <c r="E222" s="3" t="s">
        <v>16</v>
      </c>
      <c r="F222" s="3" t="s">
        <v>1787</v>
      </c>
      <c r="G222" s="3" t="s">
        <v>16</v>
      </c>
      <c r="H222" s="3" t="s">
        <v>559</v>
      </c>
    </row>
    <row r="223" spans="1:8" x14ac:dyDescent="0.35">
      <c r="A223" s="3" t="s">
        <v>1772</v>
      </c>
      <c r="B223" s="3" t="s">
        <v>20</v>
      </c>
      <c r="C223" s="3" t="s">
        <v>1788</v>
      </c>
      <c r="D223" s="3" t="s">
        <v>23</v>
      </c>
      <c r="E223" s="3" t="s">
        <v>16</v>
      </c>
      <c r="F223" s="3" t="s">
        <v>1789</v>
      </c>
      <c r="G223" s="3" t="s">
        <v>16</v>
      </c>
      <c r="H223" s="3" t="s">
        <v>559</v>
      </c>
    </row>
    <row r="224" spans="1:8" x14ac:dyDescent="0.35">
      <c r="A224" s="3" t="s">
        <v>1772</v>
      </c>
      <c r="B224" s="3" t="s">
        <v>20</v>
      </c>
      <c r="C224" s="3" t="s">
        <v>1788</v>
      </c>
      <c r="D224" s="3" t="s">
        <v>27</v>
      </c>
      <c r="E224" s="3"/>
      <c r="F224" s="3"/>
      <c r="G224" s="3"/>
      <c r="H224" s="3"/>
    </row>
    <row r="225" spans="1:8" x14ac:dyDescent="0.35">
      <c r="A225" s="3" t="s">
        <v>1790</v>
      </c>
      <c r="B225" s="3" t="s">
        <v>10</v>
      </c>
      <c r="C225" s="3" t="s">
        <v>1791</v>
      </c>
      <c r="D225" s="3" t="s">
        <v>24</v>
      </c>
      <c r="E225" s="3"/>
      <c r="F225" s="3"/>
      <c r="G225" s="3" t="s">
        <v>16</v>
      </c>
      <c r="H225" s="3" t="s">
        <v>559</v>
      </c>
    </row>
    <row r="226" spans="1:8" x14ac:dyDescent="0.35">
      <c r="A226" s="3" t="s">
        <v>1790</v>
      </c>
      <c r="B226" s="3" t="s">
        <v>20</v>
      </c>
      <c r="C226" s="3" t="s">
        <v>1792</v>
      </c>
      <c r="D226" s="3" t="s">
        <v>36</v>
      </c>
      <c r="E226" s="3"/>
      <c r="F226" s="3"/>
      <c r="G226" s="3" t="s">
        <v>16</v>
      </c>
      <c r="H226" s="3" t="s">
        <v>559</v>
      </c>
    </row>
    <row r="227" spans="1:8" x14ac:dyDescent="0.35">
      <c r="A227" s="3" t="s">
        <v>1790</v>
      </c>
      <c r="B227" s="3" t="s">
        <v>20</v>
      </c>
      <c r="C227" s="3" t="s">
        <v>1792</v>
      </c>
      <c r="D227" s="3" t="s">
        <v>23</v>
      </c>
      <c r="E227" s="3"/>
      <c r="F227" s="3"/>
      <c r="G227" s="3" t="s">
        <v>16</v>
      </c>
      <c r="H227" s="3" t="s">
        <v>559</v>
      </c>
    </row>
    <row r="228" spans="1:8" x14ac:dyDescent="0.35">
      <c r="A228" s="3" t="s">
        <v>1790</v>
      </c>
      <c r="B228" s="3" t="s">
        <v>20</v>
      </c>
      <c r="C228" s="3" t="s">
        <v>1792</v>
      </c>
      <c r="D228" s="3" t="s">
        <v>77</v>
      </c>
      <c r="E228" s="3"/>
      <c r="F228" s="3"/>
      <c r="G228" s="3" t="s">
        <v>16</v>
      </c>
      <c r="H228" s="3" t="s">
        <v>559</v>
      </c>
    </row>
    <row r="229" spans="1:8" x14ac:dyDescent="0.35">
      <c r="A229" s="3" t="s">
        <v>1790</v>
      </c>
      <c r="B229" s="3" t="s">
        <v>20</v>
      </c>
      <c r="C229" s="3" t="s">
        <v>1792</v>
      </c>
      <c r="D229" s="3" t="s">
        <v>185</v>
      </c>
      <c r="E229" s="3"/>
      <c r="F229" s="3"/>
      <c r="G229" s="3" t="s">
        <v>16</v>
      </c>
      <c r="H229" s="3" t="s">
        <v>559</v>
      </c>
    </row>
    <row r="230" spans="1:8" x14ac:dyDescent="0.35">
      <c r="A230" s="3" t="s">
        <v>1790</v>
      </c>
      <c r="B230" s="3" t="s">
        <v>20</v>
      </c>
      <c r="C230" s="3" t="s">
        <v>1792</v>
      </c>
      <c r="D230" s="3" t="s">
        <v>24</v>
      </c>
      <c r="E230" s="3"/>
      <c r="F230" s="3"/>
      <c r="G230" s="3" t="s">
        <v>16</v>
      </c>
      <c r="H230" s="3" t="s">
        <v>559</v>
      </c>
    </row>
    <row r="231" spans="1:8" x14ac:dyDescent="0.35">
      <c r="A231" s="3" t="s">
        <v>1790</v>
      </c>
      <c r="B231" s="3" t="s">
        <v>20</v>
      </c>
      <c r="C231" s="3" t="s">
        <v>1792</v>
      </c>
      <c r="D231" s="3" t="s">
        <v>191</v>
      </c>
      <c r="E231" s="3"/>
      <c r="F231" s="3"/>
      <c r="G231" s="3" t="s">
        <v>16</v>
      </c>
      <c r="H231" s="3" t="s">
        <v>559</v>
      </c>
    </row>
    <row r="232" spans="1:8" x14ac:dyDescent="0.35">
      <c r="A232" s="3" t="s">
        <v>1790</v>
      </c>
      <c r="B232" s="3" t="s">
        <v>45</v>
      </c>
      <c r="C232" s="3" t="s">
        <v>1793</v>
      </c>
      <c r="D232" s="3" t="s">
        <v>36</v>
      </c>
      <c r="E232" s="3" t="s">
        <v>16</v>
      </c>
      <c r="F232" s="3" t="s">
        <v>1794</v>
      </c>
      <c r="G232" s="3" t="s">
        <v>16</v>
      </c>
      <c r="H232" s="3" t="s">
        <v>559</v>
      </c>
    </row>
    <row r="233" spans="1:8" x14ac:dyDescent="0.35">
      <c r="A233" s="3" t="s">
        <v>1790</v>
      </c>
      <c r="B233" s="3" t="s">
        <v>45</v>
      </c>
      <c r="C233" s="3" t="s">
        <v>1793</v>
      </c>
      <c r="D233" s="3" t="s">
        <v>27</v>
      </c>
      <c r="E233" s="3"/>
      <c r="F233" s="3"/>
      <c r="G233" s="3" t="s">
        <v>16</v>
      </c>
      <c r="H233" s="3" t="s">
        <v>559</v>
      </c>
    </row>
    <row r="234" spans="1:8" x14ac:dyDescent="0.35">
      <c r="A234" s="3" t="s">
        <v>1790</v>
      </c>
      <c r="B234" s="3" t="s">
        <v>45</v>
      </c>
      <c r="C234" s="3" t="s">
        <v>1793</v>
      </c>
      <c r="D234" s="3" t="s">
        <v>77</v>
      </c>
      <c r="E234" s="3"/>
      <c r="F234" s="3"/>
      <c r="G234" s="3" t="s">
        <v>16</v>
      </c>
      <c r="H234" s="3" t="s">
        <v>559</v>
      </c>
    </row>
    <row r="235" spans="1:8" x14ac:dyDescent="0.35">
      <c r="A235" s="3" t="s">
        <v>1790</v>
      </c>
      <c r="B235" s="3" t="s">
        <v>45</v>
      </c>
      <c r="C235" s="3" t="s">
        <v>1793</v>
      </c>
      <c r="D235" s="3" t="s">
        <v>24</v>
      </c>
      <c r="E235" s="3"/>
      <c r="F235" s="3"/>
      <c r="G235" s="3" t="s">
        <v>16</v>
      </c>
      <c r="H235" s="3" t="s">
        <v>559</v>
      </c>
    </row>
    <row r="236" spans="1:8" x14ac:dyDescent="0.35">
      <c r="A236" s="3" t="s">
        <v>1790</v>
      </c>
      <c r="B236" s="3" t="s">
        <v>42</v>
      </c>
      <c r="C236" s="3" t="s">
        <v>1795</v>
      </c>
      <c r="D236" s="3" t="s">
        <v>36</v>
      </c>
      <c r="E236" s="3"/>
      <c r="F236" s="3"/>
      <c r="G236" s="3" t="s">
        <v>16</v>
      </c>
      <c r="H236" s="3" t="s">
        <v>559</v>
      </c>
    </row>
    <row r="237" spans="1:8" x14ac:dyDescent="0.35">
      <c r="A237" s="3" t="s">
        <v>1790</v>
      </c>
      <c r="B237" s="3" t="s">
        <v>42</v>
      </c>
      <c r="C237" s="3" t="s">
        <v>1795</v>
      </c>
      <c r="D237" s="3" t="s">
        <v>23</v>
      </c>
      <c r="E237" s="3"/>
      <c r="F237" s="3" t="s">
        <v>2359</v>
      </c>
      <c r="G237" s="3" t="s">
        <v>16</v>
      </c>
      <c r="H237" s="3" t="s">
        <v>559</v>
      </c>
    </row>
    <row r="238" spans="1:8" x14ac:dyDescent="0.35">
      <c r="A238" s="3" t="s">
        <v>1790</v>
      </c>
      <c r="B238" s="3" t="s">
        <v>42</v>
      </c>
      <c r="C238" s="3" t="s">
        <v>1795</v>
      </c>
      <c r="D238" s="3" t="s">
        <v>290</v>
      </c>
      <c r="E238" s="3"/>
      <c r="F238" s="3"/>
      <c r="G238" s="3" t="s">
        <v>16</v>
      </c>
      <c r="H238" s="3" t="s">
        <v>559</v>
      </c>
    </row>
    <row r="239" spans="1:8" x14ac:dyDescent="0.35">
      <c r="A239" s="3" t="s">
        <v>1790</v>
      </c>
      <c r="B239" s="3" t="s">
        <v>39</v>
      </c>
      <c r="C239" s="3" t="s">
        <v>1796</v>
      </c>
      <c r="D239" s="3" t="s">
        <v>23</v>
      </c>
      <c r="E239" s="3" t="s">
        <v>1797</v>
      </c>
      <c r="F239" s="3" t="s">
        <v>34</v>
      </c>
      <c r="G239" s="3" t="s">
        <v>16</v>
      </c>
      <c r="H239" s="3" t="s">
        <v>559</v>
      </c>
    </row>
    <row r="240" spans="1:8" x14ac:dyDescent="0.35">
      <c r="A240" s="3" t="s">
        <v>1790</v>
      </c>
      <c r="B240" s="3" t="s">
        <v>39</v>
      </c>
      <c r="C240" s="3" t="s">
        <v>1796</v>
      </c>
      <c r="D240" s="3" t="s">
        <v>27</v>
      </c>
      <c r="E240" s="3" t="s">
        <v>1797</v>
      </c>
      <c r="F240" s="3" t="s">
        <v>34</v>
      </c>
      <c r="G240" s="3" t="s">
        <v>16</v>
      </c>
      <c r="H240" s="3" t="s">
        <v>559</v>
      </c>
    </row>
    <row r="241" spans="1:8" x14ac:dyDescent="0.35">
      <c r="A241" s="3" t="s">
        <v>1790</v>
      </c>
      <c r="B241" s="3" t="s">
        <v>39</v>
      </c>
      <c r="C241" s="3" t="s">
        <v>1796</v>
      </c>
      <c r="D241" s="3" t="s">
        <v>77</v>
      </c>
      <c r="E241" s="3" t="s">
        <v>1797</v>
      </c>
      <c r="F241" s="3" t="s">
        <v>34</v>
      </c>
      <c r="G241" s="3" t="s">
        <v>16</v>
      </c>
      <c r="H241" s="3" t="s">
        <v>559</v>
      </c>
    </row>
    <row r="242" spans="1:8" x14ac:dyDescent="0.35">
      <c r="A242" s="3" t="s">
        <v>1790</v>
      </c>
      <c r="B242" s="3" t="s">
        <v>39</v>
      </c>
      <c r="C242" s="3" t="s">
        <v>1796</v>
      </c>
      <c r="D242" s="3" t="s">
        <v>26</v>
      </c>
      <c r="E242" s="3" t="s">
        <v>1797</v>
      </c>
      <c r="F242" s="3" t="s">
        <v>34</v>
      </c>
      <c r="G242" s="3" t="s">
        <v>16</v>
      </c>
      <c r="H242" s="3" t="s">
        <v>559</v>
      </c>
    </row>
    <row r="243" spans="1:8" x14ac:dyDescent="0.35">
      <c r="A243" s="3" t="s">
        <v>1790</v>
      </c>
      <c r="B243" s="3" t="s">
        <v>39</v>
      </c>
      <c r="C243" s="3" t="s">
        <v>1796</v>
      </c>
      <c r="D243" s="3" t="s">
        <v>290</v>
      </c>
      <c r="E243" s="3" t="s">
        <v>1797</v>
      </c>
      <c r="F243" s="3" t="s">
        <v>34</v>
      </c>
      <c r="G243" s="3" t="s">
        <v>16</v>
      </c>
      <c r="H243" s="3" t="s">
        <v>559</v>
      </c>
    </row>
    <row r="244" spans="1:8" x14ac:dyDescent="0.35">
      <c r="A244" s="3" t="s">
        <v>1790</v>
      </c>
      <c r="B244" s="3" t="s">
        <v>39</v>
      </c>
      <c r="C244" s="3" t="s">
        <v>1798</v>
      </c>
      <c r="D244" s="3" t="s">
        <v>77</v>
      </c>
      <c r="E244" s="3"/>
      <c r="F244" s="3"/>
      <c r="G244" s="3" t="s">
        <v>16</v>
      </c>
      <c r="H244" s="3" t="s">
        <v>559</v>
      </c>
    </row>
    <row r="245" spans="1:8" x14ac:dyDescent="0.35">
      <c r="A245" s="3" t="s">
        <v>1790</v>
      </c>
      <c r="B245" s="3" t="s">
        <v>39</v>
      </c>
      <c r="C245" s="3" t="s">
        <v>1798</v>
      </c>
      <c r="D245" s="3" t="s">
        <v>152</v>
      </c>
      <c r="E245" s="3"/>
      <c r="F245" s="3"/>
      <c r="G245" s="3" t="s">
        <v>16</v>
      </c>
      <c r="H245" s="3" t="s">
        <v>559</v>
      </c>
    </row>
    <row r="246" spans="1:8" x14ac:dyDescent="0.35">
      <c r="A246" s="3" t="s">
        <v>1790</v>
      </c>
      <c r="B246" s="3" t="s">
        <v>39</v>
      </c>
      <c r="C246" s="3" t="s">
        <v>1798</v>
      </c>
      <c r="D246" s="3" t="s">
        <v>290</v>
      </c>
      <c r="E246" s="3"/>
      <c r="F246" s="3"/>
      <c r="G246" s="3" t="s">
        <v>16</v>
      </c>
      <c r="H246" s="3" t="s">
        <v>559</v>
      </c>
    </row>
    <row r="247" spans="1:8" x14ac:dyDescent="0.35">
      <c r="A247" s="3" t="s">
        <v>1790</v>
      </c>
      <c r="B247" s="3" t="s">
        <v>39</v>
      </c>
      <c r="C247" s="3" t="s">
        <v>1799</v>
      </c>
      <c r="D247" s="3" t="s">
        <v>23</v>
      </c>
      <c r="E247" s="3" t="s">
        <v>16</v>
      </c>
      <c r="F247" s="3" t="s">
        <v>1800</v>
      </c>
      <c r="G247" s="3" t="s">
        <v>16</v>
      </c>
      <c r="H247" s="3" t="s">
        <v>559</v>
      </c>
    </row>
    <row r="248" spans="1:8" x14ac:dyDescent="0.35">
      <c r="A248" s="3" t="s">
        <v>1790</v>
      </c>
      <c r="B248" s="3" t="s">
        <v>39</v>
      </c>
      <c r="C248" s="3" t="s">
        <v>1799</v>
      </c>
      <c r="D248" s="3" t="s">
        <v>77</v>
      </c>
      <c r="E248" s="3" t="s">
        <v>16</v>
      </c>
      <c r="F248" s="3" t="s">
        <v>1800</v>
      </c>
      <c r="G248" s="3" t="s">
        <v>16</v>
      </c>
      <c r="H248" s="3" t="s">
        <v>559</v>
      </c>
    </row>
    <row r="249" spans="1:8" x14ac:dyDescent="0.35">
      <c r="A249" s="3" t="s">
        <v>1790</v>
      </c>
      <c r="B249" s="3" t="s">
        <v>39</v>
      </c>
      <c r="C249" s="3" t="s">
        <v>1799</v>
      </c>
      <c r="D249" s="3" t="s">
        <v>290</v>
      </c>
      <c r="E249" s="3" t="s">
        <v>16</v>
      </c>
      <c r="F249" s="3" t="s">
        <v>1800</v>
      </c>
      <c r="G249" s="3" t="s">
        <v>16</v>
      </c>
      <c r="H249" s="3" t="s">
        <v>559</v>
      </c>
    </row>
    <row r="250" spans="1:8" x14ac:dyDescent="0.35">
      <c r="A250" s="3" t="s">
        <v>1790</v>
      </c>
      <c r="B250" s="3" t="s">
        <v>20</v>
      </c>
      <c r="C250" s="3" t="s">
        <v>1801</v>
      </c>
      <c r="D250" s="3" t="s">
        <v>23</v>
      </c>
      <c r="E250" s="3" t="s">
        <v>16</v>
      </c>
      <c r="F250" s="3" t="s">
        <v>1802</v>
      </c>
      <c r="G250" s="3" t="s">
        <v>16</v>
      </c>
      <c r="H250" s="3" t="s">
        <v>559</v>
      </c>
    </row>
    <row r="251" spans="1:8" x14ac:dyDescent="0.35">
      <c r="A251" s="3" t="s">
        <v>1790</v>
      </c>
      <c r="B251" s="3" t="s">
        <v>20</v>
      </c>
      <c r="C251" s="3" t="s">
        <v>1801</v>
      </c>
      <c r="D251" s="3" t="s">
        <v>27</v>
      </c>
      <c r="E251" s="3"/>
      <c r="F251" s="3"/>
      <c r="G251" s="3" t="s">
        <v>16</v>
      </c>
      <c r="H251" s="3" t="s">
        <v>559</v>
      </c>
    </row>
    <row r="252" spans="1:8" x14ac:dyDescent="0.35">
      <c r="A252" s="3" t="s">
        <v>1803</v>
      </c>
      <c r="B252" s="3" t="s">
        <v>45</v>
      </c>
      <c r="C252" s="3" t="s">
        <v>1804</v>
      </c>
      <c r="D252" s="3" t="s">
        <v>25</v>
      </c>
      <c r="E252" s="3"/>
      <c r="F252" s="3"/>
      <c r="G252" s="3" t="s">
        <v>16</v>
      </c>
      <c r="H252" s="3" t="s">
        <v>559</v>
      </c>
    </row>
    <row r="253" spans="1:8" x14ac:dyDescent="0.35">
      <c r="A253" s="3" t="s">
        <v>1803</v>
      </c>
      <c r="B253" s="3" t="s">
        <v>45</v>
      </c>
      <c r="C253" s="3" t="s">
        <v>1804</v>
      </c>
      <c r="D253" s="3" t="s">
        <v>37</v>
      </c>
      <c r="E253" s="3"/>
      <c r="F253" s="3"/>
      <c r="G253" s="3" t="s">
        <v>16</v>
      </c>
      <c r="H253" s="3" t="s">
        <v>559</v>
      </c>
    </row>
    <row r="254" spans="1:8" x14ac:dyDescent="0.35">
      <c r="A254" s="3" t="s">
        <v>1803</v>
      </c>
      <c r="B254" s="3" t="s">
        <v>45</v>
      </c>
      <c r="C254" s="3" t="s">
        <v>1804</v>
      </c>
      <c r="D254" s="3" t="s">
        <v>24</v>
      </c>
      <c r="E254" s="3"/>
      <c r="F254" s="3"/>
      <c r="G254" s="3" t="s">
        <v>16</v>
      </c>
      <c r="H254" s="3" t="s">
        <v>559</v>
      </c>
    </row>
    <row r="255" spans="1:8" x14ac:dyDescent="0.35">
      <c r="A255" s="3" t="s">
        <v>1803</v>
      </c>
      <c r="B255" s="3" t="s">
        <v>42</v>
      </c>
      <c r="C255" s="3" t="s">
        <v>1805</v>
      </c>
      <c r="D255" s="3" t="s">
        <v>27</v>
      </c>
      <c r="E255" s="3"/>
      <c r="F255" s="3"/>
      <c r="G255" s="3" t="s">
        <v>16</v>
      </c>
      <c r="H255" s="3" t="s">
        <v>559</v>
      </c>
    </row>
    <row r="256" spans="1:8" x14ac:dyDescent="0.35">
      <c r="A256" s="3" t="s">
        <v>1803</v>
      </c>
      <c r="B256" s="3" t="s">
        <v>42</v>
      </c>
      <c r="C256" s="3" t="s">
        <v>1805</v>
      </c>
      <c r="D256" s="3" t="s">
        <v>77</v>
      </c>
      <c r="E256" s="3" t="s">
        <v>16</v>
      </c>
      <c r="F256" s="3" t="s">
        <v>2326</v>
      </c>
      <c r="G256" s="3" t="s">
        <v>16</v>
      </c>
      <c r="H256" s="3" t="s">
        <v>559</v>
      </c>
    </row>
    <row r="257" spans="1:8" x14ac:dyDescent="0.35">
      <c r="A257" s="3" t="s">
        <v>1803</v>
      </c>
      <c r="B257" s="3" t="s">
        <v>42</v>
      </c>
      <c r="C257" s="3" t="s">
        <v>1805</v>
      </c>
      <c r="D257" s="3" t="s">
        <v>28</v>
      </c>
      <c r="E257" s="3"/>
      <c r="F257" s="3"/>
      <c r="G257" s="3" t="s">
        <v>16</v>
      </c>
      <c r="H257" s="3" t="s">
        <v>559</v>
      </c>
    </row>
    <row r="258" spans="1:8" x14ac:dyDescent="0.35">
      <c r="A258" s="3" t="s">
        <v>1803</v>
      </c>
      <c r="B258" s="3" t="s">
        <v>42</v>
      </c>
      <c r="C258" s="3" t="s">
        <v>1805</v>
      </c>
      <c r="D258" s="3" t="s">
        <v>24</v>
      </c>
      <c r="E258" s="3"/>
      <c r="F258" s="3"/>
      <c r="G258" s="3" t="s">
        <v>16</v>
      </c>
      <c r="H258" s="3" t="s">
        <v>559</v>
      </c>
    </row>
    <row r="259" spans="1:8" x14ac:dyDescent="0.35">
      <c r="A259" s="3" t="s">
        <v>1803</v>
      </c>
      <c r="B259" s="3" t="s">
        <v>20</v>
      </c>
      <c r="C259" s="3" t="s">
        <v>1806</v>
      </c>
      <c r="D259" s="3" t="s">
        <v>27</v>
      </c>
      <c r="E259" s="3"/>
      <c r="F259" s="3"/>
      <c r="G259" s="3" t="s">
        <v>16</v>
      </c>
      <c r="H259" s="3" t="s">
        <v>559</v>
      </c>
    </row>
    <row r="260" spans="1:8" x14ac:dyDescent="0.35">
      <c r="A260" s="3" t="s">
        <v>1803</v>
      </c>
      <c r="B260" s="3" t="s">
        <v>20</v>
      </c>
      <c r="C260" s="3" t="s">
        <v>1806</v>
      </c>
      <c r="D260" s="3" t="s">
        <v>77</v>
      </c>
      <c r="E260" s="3"/>
      <c r="F260" s="3"/>
      <c r="G260" s="3" t="s">
        <v>16</v>
      </c>
      <c r="H260" s="3" t="s">
        <v>559</v>
      </c>
    </row>
    <row r="261" spans="1:8" x14ac:dyDescent="0.35">
      <c r="A261" s="3" t="s">
        <v>1803</v>
      </c>
      <c r="B261" s="3" t="s">
        <v>20</v>
      </c>
      <c r="C261" s="3" t="s">
        <v>1806</v>
      </c>
      <c r="D261" s="3" t="s">
        <v>152</v>
      </c>
      <c r="E261" s="3"/>
      <c r="F261" s="3"/>
      <c r="G261" s="3" t="s">
        <v>16</v>
      </c>
      <c r="H261" s="3" t="s">
        <v>559</v>
      </c>
    </row>
    <row r="262" spans="1:8" x14ac:dyDescent="0.35">
      <c r="A262" s="3" t="s">
        <v>1803</v>
      </c>
      <c r="B262" s="3" t="s">
        <v>20</v>
      </c>
      <c r="C262" s="3" t="s">
        <v>1806</v>
      </c>
      <c r="D262" s="3" t="s">
        <v>24</v>
      </c>
      <c r="E262" s="3"/>
      <c r="F262" s="3"/>
      <c r="G262" s="3" t="s">
        <v>16</v>
      </c>
      <c r="H262" s="3" t="s">
        <v>559</v>
      </c>
    </row>
    <row r="263" spans="1:8" x14ac:dyDescent="0.35">
      <c r="A263" s="3" t="s">
        <v>1803</v>
      </c>
      <c r="B263" s="3" t="s">
        <v>20</v>
      </c>
      <c r="C263" s="3" t="s">
        <v>1807</v>
      </c>
      <c r="D263" s="3" t="s">
        <v>23</v>
      </c>
      <c r="E263" s="3" t="s">
        <v>16</v>
      </c>
      <c r="F263" s="3" t="s">
        <v>1808</v>
      </c>
      <c r="G263" s="3" t="s">
        <v>16</v>
      </c>
      <c r="H263" s="3" t="s">
        <v>559</v>
      </c>
    </row>
    <row r="264" spans="1:8" x14ac:dyDescent="0.35">
      <c r="A264" s="3" t="s">
        <v>1803</v>
      </c>
      <c r="B264" s="3" t="s">
        <v>20</v>
      </c>
      <c r="C264" s="3" t="s">
        <v>1807</v>
      </c>
      <c r="D264" s="3" t="s">
        <v>77</v>
      </c>
      <c r="E264" s="3"/>
      <c r="F264" s="3"/>
      <c r="G264" s="3" t="s">
        <v>16</v>
      </c>
      <c r="H264" s="3" t="s">
        <v>559</v>
      </c>
    </row>
    <row r="265" spans="1:8" x14ac:dyDescent="0.35">
      <c r="A265" s="3" t="s">
        <v>1803</v>
      </c>
      <c r="B265" s="3" t="s">
        <v>20</v>
      </c>
      <c r="C265" s="3" t="s">
        <v>1807</v>
      </c>
      <c r="D265" s="3" t="s">
        <v>152</v>
      </c>
      <c r="E265" s="3"/>
      <c r="F265" s="3"/>
      <c r="G265" s="3" t="s">
        <v>16</v>
      </c>
      <c r="H265" s="3" t="s">
        <v>559</v>
      </c>
    </row>
    <row r="266" spans="1:8" x14ac:dyDescent="0.35">
      <c r="A266" s="3" t="s">
        <v>1803</v>
      </c>
      <c r="B266" s="3" t="s">
        <v>20</v>
      </c>
      <c r="C266" s="3" t="s">
        <v>1807</v>
      </c>
      <c r="D266" s="3" t="s">
        <v>24</v>
      </c>
      <c r="E266" s="3"/>
      <c r="F266" s="3"/>
      <c r="G266" s="3" t="s">
        <v>16</v>
      </c>
      <c r="H266" s="3" t="s">
        <v>559</v>
      </c>
    </row>
    <row r="267" spans="1:8" x14ac:dyDescent="0.35">
      <c r="A267" s="3" t="s">
        <v>1803</v>
      </c>
      <c r="B267" s="3" t="s">
        <v>20</v>
      </c>
      <c r="C267" s="3" t="s">
        <v>1807</v>
      </c>
      <c r="D267" s="3" t="s">
        <v>290</v>
      </c>
      <c r="E267" s="3"/>
      <c r="F267" s="3"/>
      <c r="G267" s="3" t="s">
        <v>16</v>
      </c>
      <c r="H267" s="3" t="s">
        <v>559</v>
      </c>
    </row>
    <row r="268" spans="1:8" x14ac:dyDescent="0.35">
      <c r="A268" s="3" t="s">
        <v>1803</v>
      </c>
      <c r="B268" s="3" t="s">
        <v>20</v>
      </c>
      <c r="C268" s="3" t="s">
        <v>1809</v>
      </c>
      <c r="D268" s="3" t="s">
        <v>12</v>
      </c>
      <c r="E268" s="3"/>
      <c r="F268" s="3"/>
      <c r="G268" s="3" t="s">
        <v>16</v>
      </c>
      <c r="H268" s="3" t="s">
        <v>559</v>
      </c>
    </row>
    <row r="269" spans="1:8" x14ac:dyDescent="0.35">
      <c r="A269" s="3" t="s">
        <v>1803</v>
      </c>
      <c r="B269" s="3" t="s">
        <v>20</v>
      </c>
      <c r="C269" s="3" t="s">
        <v>1809</v>
      </c>
      <c r="D269" s="3" t="s">
        <v>23</v>
      </c>
      <c r="E269" s="3"/>
      <c r="F269" s="3"/>
      <c r="G269" s="3" t="s">
        <v>16</v>
      </c>
      <c r="H269" s="3" t="s">
        <v>559</v>
      </c>
    </row>
    <row r="270" spans="1:8" x14ac:dyDescent="0.35">
      <c r="A270" s="3" t="s">
        <v>1803</v>
      </c>
      <c r="B270" s="3" t="s">
        <v>20</v>
      </c>
      <c r="C270" s="3" t="s">
        <v>1809</v>
      </c>
      <c r="D270" s="3" t="s">
        <v>27</v>
      </c>
      <c r="E270" s="3"/>
      <c r="F270" s="3"/>
      <c r="G270" s="3" t="s">
        <v>16</v>
      </c>
      <c r="H270" s="3" t="s">
        <v>559</v>
      </c>
    </row>
    <row r="271" spans="1:8" x14ac:dyDescent="0.35">
      <c r="A271" s="3" t="s">
        <v>1803</v>
      </c>
      <c r="B271" s="3" t="s">
        <v>20</v>
      </c>
      <c r="C271" s="3" t="s">
        <v>1809</v>
      </c>
      <c r="D271" s="3" t="s">
        <v>77</v>
      </c>
      <c r="E271" s="3"/>
      <c r="F271" s="3"/>
      <c r="G271" s="3" t="s">
        <v>16</v>
      </c>
      <c r="H271" s="3" t="s">
        <v>559</v>
      </c>
    </row>
    <row r="272" spans="1:8" x14ac:dyDescent="0.35">
      <c r="A272" s="3" t="s">
        <v>1803</v>
      </c>
      <c r="B272" s="3" t="s">
        <v>20</v>
      </c>
      <c r="C272" s="3" t="s">
        <v>1809</v>
      </c>
      <c r="D272" s="3" t="s">
        <v>152</v>
      </c>
      <c r="E272" s="3"/>
      <c r="F272" s="3"/>
      <c r="G272" s="3" t="s">
        <v>16</v>
      </c>
      <c r="H272" s="3" t="s">
        <v>559</v>
      </c>
    </row>
    <row r="273" spans="1:8" x14ac:dyDescent="0.35">
      <c r="A273" s="3" t="s">
        <v>1803</v>
      </c>
      <c r="B273" s="3" t="s">
        <v>20</v>
      </c>
      <c r="C273" s="3" t="s">
        <v>1809</v>
      </c>
      <c r="D273" s="3" t="s">
        <v>24</v>
      </c>
      <c r="E273" s="3"/>
      <c r="F273" s="3"/>
      <c r="G273" s="3" t="s">
        <v>16</v>
      </c>
      <c r="H273" s="3" t="s">
        <v>559</v>
      </c>
    </row>
    <row r="274" spans="1:8" x14ac:dyDescent="0.35">
      <c r="A274" s="3" t="s">
        <v>1803</v>
      </c>
      <c r="B274" s="3" t="s">
        <v>20</v>
      </c>
      <c r="C274" s="3" t="s">
        <v>1809</v>
      </c>
      <c r="D274" s="3" t="s">
        <v>290</v>
      </c>
      <c r="E274" s="3"/>
      <c r="F274" s="3"/>
      <c r="G274" s="3" t="s">
        <v>16</v>
      </c>
      <c r="H274" s="3" t="s">
        <v>559</v>
      </c>
    </row>
    <row r="275" spans="1:8" x14ac:dyDescent="0.35">
      <c r="A275" s="3" t="s">
        <v>1803</v>
      </c>
      <c r="B275" s="3" t="s">
        <v>20</v>
      </c>
      <c r="C275" s="3" t="s">
        <v>1810</v>
      </c>
      <c r="D275" s="3" t="s">
        <v>23</v>
      </c>
      <c r="E275" s="3"/>
      <c r="F275" s="3"/>
      <c r="G275" s="3" t="s">
        <v>16</v>
      </c>
      <c r="H275" s="3" t="s">
        <v>559</v>
      </c>
    </row>
    <row r="276" spans="1:8" x14ac:dyDescent="0.35">
      <c r="A276" s="3" t="s">
        <v>1803</v>
      </c>
      <c r="B276" s="3" t="s">
        <v>20</v>
      </c>
      <c r="C276" s="3" t="s">
        <v>1810</v>
      </c>
      <c r="D276" s="3" t="s">
        <v>27</v>
      </c>
      <c r="E276" s="3"/>
      <c r="F276" s="3"/>
      <c r="G276" s="3" t="s">
        <v>16</v>
      </c>
      <c r="H276" s="3" t="s">
        <v>559</v>
      </c>
    </row>
    <row r="277" spans="1:8" x14ac:dyDescent="0.35">
      <c r="A277" s="3" t="s">
        <v>1803</v>
      </c>
      <c r="B277" s="3" t="s">
        <v>20</v>
      </c>
      <c r="C277" s="3" t="s">
        <v>1810</v>
      </c>
      <c r="D277" s="3" t="s">
        <v>77</v>
      </c>
      <c r="E277" s="3"/>
      <c r="F277" s="3"/>
      <c r="G277" s="3" t="s">
        <v>16</v>
      </c>
      <c r="H277" s="3" t="s">
        <v>559</v>
      </c>
    </row>
    <row r="278" spans="1:8" x14ac:dyDescent="0.35">
      <c r="A278" s="3" t="s">
        <v>1803</v>
      </c>
      <c r="B278" s="3" t="s">
        <v>20</v>
      </c>
      <c r="C278" s="3" t="s">
        <v>1810</v>
      </c>
      <c r="D278" s="3" t="s">
        <v>24</v>
      </c>
      <c r="E278" s="3"/>
      <c r="F278" s="3"/>
      <c r="G278" s="3" t="s">
        <v>16</v>
      </c>
      <c r="H278" s="3" t="s">
        <v>559</v>
      </c>
    </row>
    <row r="279" spans="1:8" x14ac:dyDescent="0.35">
      <c r="A279" s="3" t="s">
        <v>2518</v>
      </c>
      <c r="B279" s="3" t="s">
        <v>42</v>
      </c>
      <c r="C279" s="3" t="s">
        <v>2519</v>
      </c>
      <c r="D279" s="3" t="s">
        <v>23</v>
      </c>
      <c r="E279" s="3"/>
      <c r="F279" s="3"/>
      <c r="G279" s="3" t="s">
        <v>16</v>
      </c>
      <c r="H279" s="3" t="s">
        <v>559</v>
      </c>
    </row>
    <row r="280" spans="1:8" x14ac:dyDescent="0.35">
      <c r="A280" s="3" t="s">
        <v>2518</v>
      </c>
      <c r="B280" s="3" t="s">
        <v>42</v>
      </c>
      <c r="C280" s="3" t="s">
        <v>2519</v>
      </c>
      <c r="D280" s="3" t="s">
        <v>27</v>
      </c>
      <c r="E280" s="3"/>
      <c r="F280" s="3"/>
      <c r="G280" s="3" t="s">
        <v>16</v>
      </c>
      <c r="H280" s="3" t="s">
        <v>559</v>
      </c>
    </row>
    <row r="281" spans="1:8" x14ac:dyDescent="0.35">
      <c r="A281" s="3" t="s">
        <v>2518</v>
      </c>
      <c r="B281" s="3" t="s">
        <v>42</v>
      </c>
      <c r="C281" s="3" t="s">
        <v>2519</v>
      </c>
      <c r="D281" s="3" t="s">
        <v>77</v>
      </c>
      <c r="E281" s="5"/>
      <c r="F281" s="3" t="s">
        <v>2484</v>
      </c>
      <c r="G281" s="3" t="s">
        <v>16</v>
      </c>
      <c r="H281" s="3" t="s">
        <v>559</v>
      </c>
    </row>
    <row r="282" spans="1:8" x14ac:dyDescent="0.35">
      <c r="A282" s="3" t="s">
        <v>2518</v>
      </c>
      <c r="B282" s="3" t="s">
        <v>42</v>
      </c>
      <c r="C282" s="3" t="s">
        <v>2519</v>
      </c>
      <c r="D282" s="3" t="s">
        <v>98</v>
      </c>
      <c r="E282" s="3"/>
      <c r="F282" s="3"/>
      <c r="G282" s="3" t="s">
        <v>16</v>
      </c>
      <c r="H282" s="3" t="s">
        <v>559</v>
      </c>
    </row>
    <row r="283" spans="1:8" x14ac:dyDescent="0.35">
      <c r="A283" s="3" t="s">
        <v>2518</v>
      </c>
      <c r="B283" s="3" t="s">
        <v>42</v>
      </c>
      <c r="C283" s="3" t="s">
        <v>2519</v>
      </c>
      <c r="D283" s="3" t="s">
        <v>15</v>
      </c>
      <c r="E283" s="3" t="s">
        <v>16</v>
      </c>
      <c r="F283" s="3" t="s">
        <v>2520</v>
      </c>
      <c r="G283" s="3" t="s">
        <v>16</v>
      </c>
      <c r="H283" s="3" t="s">
        <v>559</v>
      </c>
    </row>
    <row r="284" spans="1:8" x14ac:dyDescent="0.35">
      <c r="A284" s="3" t="s">
        <v>2518</v>
      </c>
      <c r="B284" s="3" t="s">
        <v>42</v>
      </c>
      <c r="C284" s="3" t="s">
        <v>2519</v>
      </c>
      <c r="D284" s="3" t="s">
        <v>290</v>
      </c>
      <c r="E284" s="3"/>
      <c r="F284" s="3"/>
      <c r="G284" s="3" t="s">
        <v>16</v>
      </c>
      <c r="H284" s="3" t="s">
        <v>559</v>
      </c>
    </row>
    <row r="285" spans="1:8" x14ac:dyDescent="0.35">
      <c r="A285" s="3" t="s">
        <v>1811</v>
      </c>
      <c r="B285" s="3" t="s">
        <v>42</v>
      </c>
      <c r="C285" s="3" t="s">
        <v>1812</v>
      </c>
      <c r="D285" s="3" t="s">
        <v>87</v>
      </c>
      <c r="E285" s="3" t="s">
        <v>16</v>
      </c>
      <c r="F285" s="3" t="s">
        <v>1813</v>
      </c>
      <c r="G285" s="3" t="s">
        <v>16</v>
      </c>
      <c r="H285" s="3" t="s">
        <v>1707</v>
      </c>
    </row>
    <row r="286" spans="1:8" x14ac:dyDescent="0.35">
      <c r="A286" s="3" t="s">
        <v>1811</v>
      </c>
      <c r="B286" s="3" t="s">
        <v>42</v>
      </c>
      <c r="C286" s="3" t="s">
        <v>1812</v>
      </c>
      <c r="D286" s="3" t="s">
        <v>24</v>
      </c>
      <c r="E286" s="3" t="s">
        <v>16</v>
      </c>
      <c r="F286" s="3" t="s">
        <v>1813</v>
      </c>
      <c r="G286" s="3" t="s">
        <v>16</v>
      </c>
      <c r="H286" s="3" t="s">
        <v>1707</v>
      </c>
    </row>
    <row r="287" spans="1:8" x14ac:dyDescent="0.35">
      <c r="A287" s="3" t="s">
        <v>1814</v>
      </c>
      <c r="B287" s="3" t="s">
        <v>39</v>
      </c>
      <c r="C287" s="3" t="s">
        <v>1815</v>
      </c>
      <c r="D287" s="3" t="s">
        <v>56</v>
      </c>
      <c r="E287" s="3"/>
      <c r="F287" s="3"/>
      <c r="G287" s="3"/>
      <c r="H287" s="3"/>
    </row>
    <row r="288" spans="1:8" x14ac:dyDescent="0.35">
      <c r="A288" s="3" t="s">
        <v>1814</v>
      </c>
      <c r="B288" s="3" t="s">
        <v>39</v>
      </c>
      <c r="C288" s="3" t="s">
        <v>1815</v>
      </c>
      <c r="D288" s="3" t="s">
        <v>24</v>
      </c>
      <c r="E288" s="3"/>
      <c r="F288" s="3"/>
      <c r="G288" s="3"/>
      <c r="H288" s="3"/>
    </row>
    <row r="289" spans="1:8" x14ac:dyDescent="0.35">
      <c r="A289" s="3" t="s">
        <v>1816</v>
      </c>
      <c r="B289" s="3" t="s">
        <v>42</v>
      </c>
      <c r="C289" s="3" t="s">
        <v>1817</v>
      </c>
      <c r="D289" s="3" t="s">
        <v>27</v>
      </c>
      <c r="E289" s="3"/>
      <c r="F289" s="3"/>
      <c r="G289" s="3" t="s">
        <v>16</v>
      </c>
      <c r="H289" s="3" t="s">
        <v>559</v>
      </c>
    </row>
    <row r="290" spans="1:8" x14ac:dyDescent="0.35">
      <c r="A290" s="3" t="s">
        <v>1816</v>
      </c>
      <c r="B290" s="3" t="s">
        <v>42</v>
      </c>
      <c r="C290" s="3" t="s">
        <v>1817</v>
      </c>
      <c r="D290" s="3" t="s">
        <v>28</v>
      </c>
      <c r="E290" s="3"/>
      <c r="F290" s="3"/>
      <c r="G290" s="3" t="s">
        <v>16</v>
      </c>
      <c r="H290" s="3" t="s">
        <v>559</v>
      </c>
    </row>
    <row r="291" spans="1:8" x14ac:dyDescent="0.35">
      <c r="A291" s="3" t="s">
        <v>1816</v>
      </c>
      <c r="B291" s="3" t="s">
        <v>42</v>
      </c>
      <c r="C291" s="3" t="s">
        <v>1817</v>
      </c>
      <c r="D291" s="3" t="s">
        <v>26</v>
      </c>
      <c r="E291" s="3"/>
      <c r="F291" s="3"/>
      <c r="G291" s="3" t="s">
        <v>16</v>
      </c>
      <c r="H291" s="3" t="s">
        <v>559</v>
      </c>
    </row>
    <row r="292" spans="1:8" x14ac:dyDescent="0.35">
      <c r="A292" s="3" t="s">
        <v>1816</v>
      </c>
      <c r="B292" s="3" t="s">
        <v>42</v>
      </c>
      <c r="C292" s="3" t="s">
        <v>1817</v>
      </c>
      <c r="D292" s="3" t="s">
        <v>152</v>
      </c>
      <c r="E292" s="3"/>
      <c r="F292" s="3"/>
      <c r="G292" s="3" t="s">
        <v>16</v>
      </c>
      <c r="H292" s="3" t="s">
        <v>559</v>
      </c>
    </row>
    <row r="293" spans="1:8" x14ac:dyDescent="0.35">
      <c r="A293" s="3" t="s">
        <v>1816</v>
      </c>
      <c r="B293" s="3" t="s">
        <v>42</v>
      </c>
      <c r="C293" s="3" t="s">
        <v>1817</v>
      </c>
      <c r="D293" s="3" t="s">
        <v>24</v>
      </c>
      <c r="E293" s="3"/>
      <c r="F293" s="3"/>
      <c r="G293" s="3" t="s">
        <v>16</v>
      </c>
      <c r="H293" s="3" t="s">
        <v>559</v>
      </c>
    </row>
    <row r="294" spans="1:8" x14ac:dyDescent="0.35">
      <c r="A294" s="3" t="s">
        <v>1816</v>
      </c>
      <c r="B294" s="3" t="s">
        <v>45</v>
      </c>
      <c r="C294" s="3" t="s">
        <v>1818</v>
      </c>
      <c r="D294" s="3" t="s">
        <v>23</v>
      </c>
      <c r="E294" s="3"/>
      <c r="F294" s="3"/>
      <c r="G294" s="3" t="s">
        <v>16</v>
      </c>
      <c r="H294" s="3" t="s">
        <v>559</v>
      </c>
    </row>
    <row r="295" spans="1:8" x14ac:dyDescent="0.35">
      <c r="A295" s="3" t="s">
        <v>1816</v>
      </c>
      <c r="B295" s="3" t="s">
        <v>45</v>
      </c>
      <c r="C295" s="3" t="s">
        <v>1818</v>
      </c>
      <c r="D295" s="3" t="s">
        <v>185</v>
      </c>
      <c r="E295" s="3"/>
      <c r="F295" s="3"/>
      <c r="G295" s="3" t="s">
        <v>16</v>
      </c>
      <c r="H295" s="3" t="s">
        <v>559</v>
      </c>
    </row>
    <row r="296" spans="1:8" x14ac:dyDescent="0.35">
      <c r="A296" s="3" t="s">
        <v>1816</v>
      </c>
      <c r="B296" s="3" t="s">
        <v>20</v>
      </c>
      <c r="C296" s="3" t="s">
        <v>1819</v>
      </c>
      <c r="D296" s="3" t="s">
        <v>23</v>
      </c>
      <c r="E296" s="3" t="s">
        <v>16</v>
      </c>
      <c r="F296" s="3" t="s">
        <v>1820</v>
      </c>
      <c r="G296" s="3" t="s">
        <v>16</v>
      </c>
      <c r="H296" s="3" t="s">
        <v>559</v>
      </c>
    </row>
    <row r="297" spans="1:8" x14ac:dyDescent="0.35">
      <c r="A297" s="3" t="s">
        <v>1816</v>
      </c>
      <c r="B297" s="3" t="s">
        <v>20</v>
      </c>
      <c r="C297" s="3" t="s">
        <v>1819</v>
      </c>
      <c r="D297" s="3" t="s">
        <v>25</v>
      </c>
      <c r="E297" s="3"/>
      <c r="F297" s="3"/>
      <c r="G297" s="3"/>
      <c r="H297" s="3"/>
    </row>
    <row r="298" spans="1:8" x14ac:dyDescent="0.35">
      <c r="A298" s="3" t="s">
        <v>1816</v>
      </c>
      <c r="B298" s="3" t="s">
        <v>20</v>
      </c>
      <c r="C298" s="3" t="s">
        <v>1819</v>
      </c>
      <c r="D298" s="3" t="s">
        <v>27</v>
      </c>
      <c r="E298" s="3"/>
      <c r="F298" s="3"/>
      <c r="G298" s="3"/>
      <c r="H298" s="3"/>
    </row>
    <row r="299" spans="1:8" x14ac:dyDescent="0.35">
      <c r="A299" s="3" t="s">
        <v>1816</v>
      </c>
      <c r="B299" s="3" t="s">
        <v>20</v>
      </c>
      <c r="C299" s="3" t="s">
        <v>1819</v>
      </c>
      <c r="D299" s="3" t="s">
        <v>185</v>
      </c>
      <c r="E299" s="3"/>
      <c r="F299" s="3"/>
      <c r="G299" s="3"/>
      <c r="H299" s="3"/>
    </row>
    <row r="300" spans="1:8" x14ac:dyDescent="0.35">
      <c r="A300" s="3" t="s">
        <v>1816</v>
      </c>
      <c r="B300" s="3" t="s">
        <v>20</v>
      </c>
      <c r="C300" s="3" t="s">
        <v>1819</v>
      </c>
      <c r="D300" s="3" t="s">
        <v>24</v>
      </c>
      <c r="E300" s="3"/>
      <c r="F300" s="3"/>
      <c r="G300" s="3"/>
      <c r="H300" s="3"/>
    </row>
    <row r="301" spans="1:8" x14ac:dyDescent="0.35">
      <c r="A301" s="3" t="s">
        <v>1816</v>
      </c>
      <c r="B301" s="3" t="s">
        <v>20</v>
      </c>
      <c r="C301" s="3" t="s">
        <v>1819</v>
      </c>
      <c r="D301" s="3" t="s">
        <v>290</v>
      </c>
      <c r="E301" s="3"/>
      <c r="F301" s="3"/>
      <c r="G301" s="3"/>
      <c r="H301" s="3"/>
    </row>
    <row r="302" spans="1:8" x14ac:dyDescent="0.35">
      <c r="A302" s="3" t="s">
        <v>1816</v>
      </c>
      <c r="B302" s="3" t="s">
        <v>20</v>
      </c>
      <c r="C302" s="3" t="s">
        <v>1821</v>
      </c>
      <c r="D302" s="3" t="s">
        <v>23</v>
      </c>
      <c r="E302" s="3"/>
      <c r="F302" s="3"/>
      <c r="G302" s="3" t="s">
        <v>16</v>
      </c>
      <c r="H302" s="3" t="s">
        <v>559</v>
      </c>
    </row>
    <row r="303" spans="1:8" x14ac:dyDescent="0.35">
      <c r="A303" s="3" t="s">
        <v>1816</v>
      </c>
      <c r="B303" s="3" t="s">
        <v>20</v>
      </c>
      <c r="C303" s="3" t="s">
        <v>1821</v>
      </c>
      <c r="D303" s="3" t="s">
        <v>290</v>
      </c>
      <c r="E303" s="3"/>
      <c r="F303" s="3"/>
      <c r="G303" s="3" t="s">
        <v>16</v>
      </c>
      <c r="H303" s="3" t="s">
        <v>559</v>
      </c>
    </row>
    <row r="304" spans="1:8" x14ac:dyDescent="0.35">
      <c r="A304" s="3" t="s">
        <v>1816</v>
      </c>
      <c r="B304" s="3" t="s">
        <v>20</v>
      </c>
      <c r="C304" s="3" t="s">
        <v>1822</v>
      </c>
      <c r="D304" s="3" t="s">
        <v>23</v>
      </c>
      <c r="E304" s="3"/>
      <c r="F304" s="3"/>
      <c r="G304" s="3" t="s">
        <v>16</v>
      </c>
      <c r="H304" s="3" t="s">
        <v>559</v>
      </c>
    </row>
    <row r="305" spans="1:8" x14ac:dyDescent="0.35">
      <c r="A305" s="3" t="s">
        <v>1816</v>
      </c>
      <c r="B305" s="3" t="s">
        <v>20</v>
      </c>
      <c r="C305" s="3" t="s">
        <v>1822</v>
      </c>
      <c r="D305" s="3" t="s">
        <v>27</v>
      </c>
      <c r="E305" s="3"/>
      <c r="F305" s="3"/>
      <c r="G305" s="3" t="s">
        <v>16</v>
      </c>
      <c r="H305" s="3" t="s">
        <v>559</v>
      </c>
    </row>
    <row r="306" spans="1:8" x14ac:dyDescent="0.35">
      <c r="A306" s="3" t="s">
        <v>1816</v>
      </c>
      <c r="B306" s="3" t="s">
        <v>20</v>
      </c>
      <c r="C306" s="3" t="s">
        <v>1822</v>
      </c>
      <c r="D306" s="3" t="s">
        <v>29</v>
      </c>
      <c r="E306" s="3"/>
      <c r="F306" s="3" t="s">
        <v>2360</v>
      </c>
      <c r="G306" s="3" t="s">
        <v>16</v>
      </c>
      <c r="H306" s="3" t="s">
        <v>559</v>
      </c>
    </row>
    <row r="307" spans="1:8" x14ac:dyDescent="0.35">
      <c r="A307" s="3" t="s">
        <v>1816</v>
      </c>
      <c r="B307" s="3" t="s">
        <v>20</v>
      </c>
      <c r="C307" s="3" t="s">
        <v>1822</v>
      </c>
      <c r="D307" s="3" t="s">
        <v>24</v>
      </c>
      <c r="E307" s="3"/>
      <c r="F307" s="3"/>
      <c r="G307" s="3" t="s">
        <v>16</v>
      </c>
      <c r="H307" s="3" t="s">
        <v>559</v>
      </c>
    </row>
    <row r="308" spans="1:8" x14ac:dyDescent="0.35">
      <c r="A308" s="3" t="s">
        <v>1816</v>
      </c>
      <c r="B308" s="3" t="s">
        <v>20</v>
      </c>
      <c r="C308" s="3" t="s">
        <v>1822</v>
      </c>
      <c r="D308" s="3" t="s">
        <v>290</v>
      </c>
      <c r="E308" s="3"/>
      <c r="F308" s="3"/>
      <c r="G308" s="3" t="s">
        <v>16</v>
      </c>
      <c r="H308" s="3" t="s">
        <v>559</v>
      </c>
    </row>
    <row r="309" spans="1:8" x14ac:dyDescent="0.35">
      <c r="A309" s="3" t="s">
        <v>1816</v>
      </c>
      <c r="B309" s="3" t="s">
        <v>20</v>
      </c>
      <c r="C309" s="3" t="s">
        <v>1823</v>
      </c>
      <c r="D309" s="3" t="s">
        <v>23</v>
      </c>
      <c r="E309" s="3"/>
      <c r="F309" s="3"/>
      <c r="G309" s="3" t="s">
        <v>16</v>
      </c>
      <c r="H309" s="3" t="s">
        <v>559</v>
      </c>
    </row>
    <row r="310" spans="1:8" x14ac:dyDescent="0.35">
      <c r="A310" s="3" t="s">
        <v>1816</v>
      </c>
      <c r="B310" s="3" t="s">
        <v>20</v>
      </c>
      <c r="C310" s="3" t="s">
        <v>1823</v>
      </c>
      <c r="D310" s="3" t="s">
        <v>27</v>
      </c>
      <c r="E310" s="3"/>
      <c r="F310" s="3"/>
      <c r="G310" s="3" t="s">
        <v>16</v>
      </c>
      <c r="H310" s="3" t="s">
        <v>559</v>
      </c>
    </row>
    <row r="311" spans="1:8" x14ac:dyDescent="0.35">
      <c r="A311" s="3" t="s">
        <v>1816</v>
      </c>
      <c r="B311" s="3" t="s">
        <v>20</v>
      </c>
      <c r="C311" s="3" t="s">
        <v>1823</v>
      </c>
      <c r="D311" s="3" t="s">
        <v>29</v>
      </c>
      <c r="E311" s="3"/>
      <c r="F311" s="3" t="s">
        <v>2360</v>
      </c>
      <c r="G311" s="3" t="s">
        <v>16</v>
      </c>
      <c r="H311" s="3" t="s">
        <v>559</v>
      </c>
    </row>
    <row r="312" spans="1:8" x14ac:dyDescent="0.35">
      <c r="A312" s="3" t="s">
        <v>1816</v>
      </c>
      <c r="B312" s="3" t="s">
        <v>20</v>
      </c>
      <c r="C312" s="3" t="s">
        <v>1823</v>
      </c>
      <c r="D312" s="3" t="s">
        <v>290</v>
      </c>
      <c r="E312" s="3"/>
      <c r="F312" s="3"/>
      <c r="G312" s="3" t="s">
        <v>16</v>
      </c>
      <c r="H312" s="3" t="s">
        <v>559</v>
      </c>
    </row>
    <row r="313" spans="1:8" x14ac:dyDescent="0.35">
      <c r="A313" s="3" t="s">
        <v>1816</v>
      </c>
      <c r="B313" s="3" t="s">
        <v>20</v>
      </c>
      <c r="C313" s="3" t="s">
        <v>1824</v>
      </c>
      <c r="D313" s="3" t="s">
        <v>27</v>
      </c>
      <c r="E313" s="3" t="s">
        <v>16</v>
      </c>
      <c r="F313" s="3" t="s">
        <v>1789</v>
      </c>
      <c r="G313" s="3" t="s">
        <v>16</v>
      </c>
      <c r="H313" s="3" t="s">
        <v>559</v>
      </c>
    </row>
    <row r="314" spans="1:8" x14ac:dyDescent="0.35">
      <c r="A314" s="3" t="s">
        <v>1816</v>
      </c>
      <c r="B314" s="3" t="s">
        <v>20</v>
      </c>
      <c r="C314" s="3" t="s">
        <v>1824</v>
      </c>
      <c r="D314" s="3" t="s">
        <v>77</v>
      </c>
      <c r="E314" s="3" t="s">
        <v>16</v>
      </c>
      <c r="F314" s="3" t="s">
        <v>1789</v>
      </c>
      <c r="G314" s="3" t="s">
        <v>16</v>
      </c>
      <c r="H314" s="3" t="s">
        <v>559</v>
      </c>
    </row>
    <row r="315" spans="1:8" x14ac:dyDescent="0.35">
      <c r="A315" s="3" t="s">
        <v>1816</v>
      </c>
      <c r="B315" s="3" t="s">
        <v>20</v>
      </c>
      <c r="C315" s="3" t="s">
        <v>1824</v>
      </c>
      <c r="D315" s="3" t="s">
        <v>15</v>
      </c>
      <c r="E315" s="3" t="s">
        <v>16</v>
      </c>
      <c r="F315" s="3" t="s">
        <v>1789</v>
      </c>
      <c r="G315" s="3" t="s">
        <v>16</v>
      </c>
      <c r="H315" s="3" t="s">
        <v>559</v>
      </c>
    </row>
    <row r="316" spans="1:8" x14ac:dyDescent="0.35">
      <c r="A316" s="3" t="s">
        <v>1816</v>
      </c>
      <c r="B316" s="3" t="s">
        <v>20</v>
      </c>
      <c r="C316" s="3" t="s">
        <v>1824</v>
      </c>
      <c r="D316" s="3" t="s">
        <v>290</v>
      </c>
      <c r="E316" s="3"/>
      <c r="F316" s="3"/>
      <c r="G316" s="3" t="s">
        <v>16</v>
      </c>
      <c r="H316" s="3" t="s">
        <v>559</v>
      </c>
    </row>
    <row r="317" spans="1:8" x14ac:dyDescent="0.35">
      <c r="A317" s="3" t="s">
        <v>1825</v>
      </c>
      <c r="B317" s="3" t="s">
        <v>20</v>
      </c>
      <c r="C317" s="3" t="s">
        <v>1826</v>
      </c>
      <c r="D317" s="3" t="s">
        <v>24</v>
      </c>
      <c r="E317" s="3"/>
      <c r="F317" s="3"/>
      <c r="G317" s="3" t="s">
        <v>16</v>
      </c>
      <c r="H317" s="3" t="s">
        <v>559</v>
      </c>
    </row>
    <row r="318" spans="1:8" x14ac:dyDescent="0.35">
      <c r="A318" s="3" t="s">
        <v>1825</v>
      </c>
      <c r="B318" s="3" t="s">
        <v>20</v>
      </c>
      <c r="C318" s="3" t="s">
        <v>1826</v>
      </c>
      <c r="D318" s="3" t="s">
        <v>290</v>
      </c>
      <c r="E318" s="3" t="s">
        <v>16</v>
      </c>
      <c r="F318" s="3" t="s">
        <v>1827</v>
      </c>
      <c r="G318" s="3" t="s">
        <v>16</v>
      </c>
      <c r="H318" s="3" t="s">
        <v>559</v>
      </c>
    </row>
    <row r="319" spans="1:8" x14ac:dyDescent="0.35">
      <c r="A319" s="3" t="s">
        <v>1825</v>
      </c>
      <c r="B319" s="3" t="s">
        <v>20</v>
      </c>
      <c r="C319" s="3" t="s">
        <v>1828</v>
      </c>
      <c r="D319" s="3" t="s">
        <v>23</v>
      </c>
      <c r="E319" s="3"/>
      <c r="F319" s="3"/>
      <c r="G319" s="3" t="s">
        <v>16</v>
      </c>
      <c r="H319" s="3" t="s">
        <v>559</v>
      </c>
    </row>
    <row r="320" spans="1:8" x14ac:dyDescent="0.35">
      <c r="A320" s="3" t="s">
        <v>1825</v>
      </c>
      <c r="B320" s="3" t="s">
        <v>20</v>
      </c>
      <c r="C320" s="3" t="s">
        <v>1828</v>
      </c>
      <c r="D320" s="3" t="s">
        <v>185</v>
      </c>
      <c r="E320" s="3"/>
      <c r="F320" s="3"/>
      <c r="G320" s="3" t="s">
        <v>16</v>
      </c>
      <c r="H320" s="3" t="s">
        <v>559</v>
      </c>
    </row>
    <row r="321" spans="1:8" x14ac:dyDescent="0.35">
      <c r="A321" s="3" t="s">
        <v>1825</v>
      </c>
      <c r="B321" s="3" t="s">
        <v>20</v>
      </c>
      <c r="C321" s="3" t="s">
        <v>1828</v>
      </c>
      <c r="D321" s="3" t="s">
        <v>290</v>
      </c>
      <c r="E321" s="3" t="s">
        <v>16</v>
      </c>
      <c r="F321" s="3" t="s">
        <v>1829</v>
      </c>
      <c r="G321" s="3" t="s">
        <v>16</v>
      </c>
      <c r="H321" s="3" t="s">
        <v>559</v>
      </c>
    </row>
    <row r="322" spans="1:8" x14ac:dyDescent="0.35">
      <c r="A322" s="3" t="s">
        <v>1825</v>
      </c>
      <c r="B322" s="3" t="s">
        <v>20</v>
      </c>
      <c r="C322" s="3" t="s">
        <v>1830</v>
      </c>
      <c r="D322" s="3" t="s">
        <v>23</v>
      </c>
      <c r="E322" s="3" t="s">
        <v>16</v>
      </c>
      <c r="F322" s="3" t="s">
        <v>1831</v>
      </c>
      <c r="G322" s="3" t="s">
        <v>16</v>
      </c>
      <c r="H322" s="3" t="s">
        <v>559</v>
      </c>
    </row>
    <row r="323" spans="1:8" x14ac:dyDescent="0.35">
      <c r="A323" s="3" t="s">
        <v>1825</v>
      </c>
      <c r="B323" s="3" t="s">
        <v>20</v>
      </c>
      <c r="C323" s="3" t="s">
        <v>1830</v>
      </c>
      <c r="D323" s="3" t="s">
        <v>24</v>
      </c>
      <c r="E323" s="3" t="s">
        <v>16</v>
      </c>
      <c r="F323" s="3" t="s">
        <v>1831</v>
      </c>
      <c r="G323" s="3" t="s">
        <v>16</v>
      </c>
      <c r="H323" s="3" t="s">
        <v>559</v>
      </c>
    </row>
    <row r="324" spans="1:8" x14ac:dyDescent="0.35">
      <c r="A324" s="3" t="s">
        <v>1825</v>
      </c>
      <c r="B324" s="3" t="s">
        <v>20</v>
      </c>
      <c r="C324" s="3" t="s">
        <v>1830</v>
      </c>
      <c r="D324" s="3" t="s">
        <v>290</v>
      </c>
      <c r="E324" s="3" t="s">
        <v>16</v>
      </c>
      <c r="F324" s="3" t="s">
        <v>1831</v>
      </c>
      <c r="G324" s="3" t="s">
        <v>16</v>
      </c>
      <c r="H324" s="3" t="s">
        <v>559</v>
      </c>
    </row>
    <row r="325" spans="1:8" x14ac:dyDescent="0.35">
      <c r="A325" s="3" t="s">
        <v>1832</v>
      </c>
      <c r="B325" s="3" t="s">
        <v>42</v>
      </c>
      <c r="C325" s="3" t="s">
        <v>1833</v>
      </c>
      <c r="D325" s="3" t="s">
        <v>25</v>
      </c>
      <c r="E325" s="3" t="s">
        <v>16</v>
      </c>
      <c r="F325" s="3" t="s">
        <v>1834</v>
      </c>
      <c r="G325" s="3" t="s">
        <v>16</v>
      </c>
      <c r="H325" s="3" t="s">
        <v>559</v>
      </c>
    </row>
    <row r="326" spans="1:8" x14ac:dyDescent="0.35">
      <c r="A326" s="3" t="s">
        <v>1832</v>
      </c>
      <c r="B326" s="3" t="s">
        <v>42</v>
      </c>
      <c r="C326" s="3" t="s">
        <v>1833</v>
      </c>
      <c r="D326" s="3" t="s">
        <v>27</v>
      </c>
      <c r="E326" s="3"/>
      <c r="F326" s="3"/>
      <c r="G326" s="3" t="s">
        <v>16</v>
      </c>
      <c r="H326" s="3" t="s">
        <v>559</v>
      </c>
    </row>
    <row r="327" spans="1:8" x14ac:dyDescent="0.35">
      <c r="A327" s="3" t="s">
        <v>1832</v>
      </c>
      <c r="B327" s="3" t="s">
        <v>42</v>
      </c>
      <c r="C327" s="3" t="s">
        <v>1833</v>
      </c>
      <c r="D327" s="3" t="s">
        <v>98</v>
      </c>
      <c r="E327" s="3" t="s">
        <v>16</v>
      </c>
      <c r="F327" s="3" t="s">
        <v>1834</v>
      </c>
      <c r="G327" s="3" t="s">
        <v>16</v>
      </c>
      <c r="H327" s="3" t="s">
        <v>559</v>
      </c>
    </row>
    <row r="328" spans="1:8" x14ac:dyDescent="0.35">
      <c r="A328" s="3" t="s">
        <v>1832</v>
      </c>
      <c r="B328" s="3" t="s">
        <v>42</v>
      </c>
      <c r="C328" s="3" t="s">
        <v>1833</v>
      </c>
      <c r="D328" s="3" t="s">
        <v>152</v>
      </c>
      <c r="E328" s="3"/>
      <c r="F328" s="3"/>
      <c r="G328" s="3" t="s">
        <v>16</v>
      </c>
      <c r="H328" s="3" t="s">
        <v>559</v>
      </c>
    </row>
    <row r="329" spans="1:8" x14ac:dyDescent="0.35">
      <c r="A329" s="3" t="s">
        <v>1832</v>
      </c>
      <c r="B329" s="3" t="s">
        <v>42</v>
      </c>
      <c r="C329" s="3" t="s">
        <v>1833</v>
      </c>
      <c r="D329" s="3" t="s">
        <v>24</v>
      </c>
      <c r="E329" s="3"/>
      <c r="F329" s="3"/>
      <c r="G329" s="3" t="s">
        <v>16</v>
      </c>
      <c r="H329" s="3" t="s">
        <v>559</v>
      </c>
    </row>
    <row r="330" spans="1:8" x14ac:dyDescent="0.35">
      <c r="A330" s="3" t="s">
        <v>1832</v>
      </c>
      <c r="B330" s="3" t="s">
        <v>20</v>
      </c>
      <c r="C330" s="3" t="s">
        <v>1835</v>
      </c>
      <c r="D330" s="3" t="s">
        <v>185</v>
      </c>
      <c r="E330" s="3"/>
      <c r="F330" s="3"/>
      <c r="G330" s="3" t="s">
        <v>16</v>
      </c>
      <c r="H330" s="3" t="s">
        <v>559</v>
      </c>
    </row>
    <row r="331" spans="1:8" x14ac:dyDescent="0.35">
      <c r="A331" s="3" t="s">
        <v>1832</v>
      </c>
      <c r="B331" s="3" t="s">
        <v>20</v>
      </c>
      <c r="C331" s="3" t="s">
        <v>1835</v>
      </c>
      <c r="D331" s="3" t="s">
        <v>15</v>
      </c>
      <c r="E331" s="3" t="s">
        <v>16</v>
      </c>
      <c r="F331" s="3" t="s">
        <v>1836</v>
      </c>
      <c r="G331" s="3" t="s">
        <v>16</v>
      </c>
      <c r="H331" s="3" t="s">
        <v>559</v>
      </c>
    </row>
    <row r="332" spans="1:8" x14ac:dyDescent="0.35">
      <c r="A332" s="3" t="s">
        <v>1832</v>
      </c>
      <c r="B332" s="3" t="s">
        <v>20</v>
      </c>
      <c r="C332" s="3" t="s">
        <v>1835</v>
      </c>
      <c r="D332" s="3" t="s">
        <v>24</v>
      </c>
      <c r="E332" s="3"/>
      <c r="F332" s="3"/>
      <c r="G332" s="3" t="s">
        <v>16</v>
      </c>
      <c r="H332" s="3" t="s">
        <v>559</v>
      </c>
    </row>
    <row r="333" spans="1:8" x14ac:dyDescent="0.35">
      <c r="A333" s="3" t="s">
        <v>1832</v>
      </c>
      <c r="B333" s="3" t="s">
        <v>20</v>
      </c>
      <c r="C333" s="3" t="s">
        <v>1835</v>
      </c>
      <c r="D333" s="3" t="s">
        <v>290</v>
      </c>
      <c r="E333" s="3"/>
      <c r="F333" s="3"/>
      <c r="G333" s="3" t="s">
        <v>16</v>
      </c>
      <c r="H333" s="3" t="s">
        <v>559</v>
      </c>
    </row>
    <row r="334" spans="1:8" x14ac:dyDescent="0.35">
      <c r="A334" s="3" t="s">
        <v>2279</v>
      </c>
      <c r="B334" s="3" t="s">
        <v>20</v>
      </c>
      <c r="C334" s="3" t="s">
        <v>2280</v>
      </c>
      <c r="D334" s="3" t="s">
        <v>27</v>
      </c>
      <c r="E334" s="3"/>
      <c r="F334" s="3"/>
      <c r="G334" s="3" t="s">
        <v>16</v>
      </c>
      <c r="H334" s="3" t="s">
        <v>559</v>
      </c>
    </row>
    <row r="335" spans="1:8" x14ac:dyDescent="0.35">
      <c r="A335" s="3" t="s">
        <v>2279</v>
      </c>
      <c r="B335" s="3" t="s">
        <v>20</v>
      </c>
      <c r="C335" s="3" t="s">
        <v>2280</v>
      </c>
      <c r="D335" s="3" t="s">
        <v>71</v>
      </c>
      <c r="E335" s="3"/>
      <c r="F335" s="3"/>
      <c r="G335" s="3" t="s">
        <v>16</v>
      </c>
      <c r="H335" s="3" t="s">
        <v>559</v>
      </c>
    </row>
    <row r="336" spans="1:8" x14ac:dyDescent="0.35">
      <c r="A336" s="3" t="s">
        <v>2279</v>
      </c>
      <c r="B336" s="3" t="s">
        <v>20</v>
      </c>
      <c r="C336" s="3" t="s">
        <v>2280</v>
      </c>
      <c r="D336" s="3" t="s">
        <v>185</v>
      </c>
      <c r="E336" s="3"/>
      <c r="F336" s="3"/>
      <c r="G336" s="3" t="s">
        <v>16</v>
      </c>
      <c r="H336" s="3" t="s">
        <v>559</v>
      </c>
    </row>
    <row r="337" spans="1:8" x14ac:dyDescent="0.35">
      <c r="A337" s="3" t="s">
        <v>2279</v>
      </c>
      <c r="B337" s="3" t="s">
        <v>20</v>
      </c>
      <c r="C337" s="3" t="s">
        <v>2280</v>
      </c>
      <c r="D337" s="3" t="s">
        <v>24</v>
      </c>
      <c r="E337" s="3"/>
      <c r="F337" s="3"/>
      <c r="G337" s="3" t="s">
        <v>16</v>
      </c>
      <c r="H337" s="3" t="s">
        <v>559</v>
      </c>
    </row>
    <row r="338" spans="1:8" x14ac:dyDescent="0.35">
      <c r="A338" s="3" t="s">
        <v>2279</v>
      </c>
      <c r="B338" s="3" t="s">
        <v>20</v>
      </c>
      <c r="C338" s="3" t="s">
        <v>2280</v>
      </c>
      <c r="D338" s="3" t="s">
        <v>191</v>
      </c>
      <c r="E338" s="3"/>
      <c r="F338" s="3"/>
      <c r="G338" s="3" t="s">
        <v>16</v>
      </c>
      <c r="H338" s="3" t="s">
        <v>559</v>
      </c>
    </row>
    <row r="339" spans="1:8" x14ac:dyDescent="0.35">
      <c r="A339" s="3" t="s">
        <v>1837</v>
      </c>
      <c r="B339" s="3" t="s">
        <v>42</v>
      </c>
      <c r="C339" s="3" t="s">
        <v>1838</v>
      </c>
      <c r="D339" s="3" t="s">
        <v>12</v>
      </c>
      <c r="E339" s="3"/>
      <c r="F339" s="3"/>
      <c r="G339" s="3"/>
      <c r="H339" s="3"/>
    </row>
    <row r="340" spans="1:8" x14ac:dyDescent="0.35">
      <c r="A340" s="3" t="s">
        <v>1837</v>
      </c>
      <c r="B340" s="3" t="s">
        <v>42</v>
      </c>
      <c r="C340" s="3" t="s">
        <v>1838</v>
      </c>
      <c r="D340" s="3" t="s">
        <v>27</v>
      </c>
      <c r="E340" s="3"/>
      <c r="F340" s="3"/>
      <c r="G340" s="3"/>
      <c r="H340" s="3"/>
    </row>
    <row r="341" spans="1:8" x14ac:dyDescent="0.35">
      <c r="A341" s="3" t="s">
        <v>1837</v>
      </c>
      <c r="B341" s="3" t="s">
        <v>42</v>
      </c>
      <c r="C341" s="3" t="s">
        <v>1838</v>
      </c>
      <c r="D341" s="3" t="s">
        <v>87</v>
      </c>
      <c r="E341" s="3"/>
      <c r="F341" s="3"/>
      <c r="G341" s="3"/>
      <c r="H341" s="3"/>
    </row>
    <row r="342" spans="1:8" x14ac:dyDescent="0.35">
      <c r="A342" s="3" t="s">
        <v>1837</v>
      </c>
      <c r="B342" s="3" t="s">
        <v>42</v>
      </c>
      <c r="C342" s="3" t="s">
        <v>1838</v>
      </c>
      <c r="D342" s="3" t="s">
        <v>26</v>
      </c>
      <c r="E342" s="3"/>
      <c r="F342" s="3"/>
      <c r="G342" s="3"/>
      <c r="H342" s="3"/>
    </row>
    <row r="343" spans="1:8" x14ac:dyDescent="0.35">
      <c r="A343" s="3" t="s">
        <v>1837</v>
      </c>
      <c r="B343" s="3" t="s">
        <v>42</v>
      </c>
      <c r="C343" s="3" t="s">
        <v>1838</v>
      </c>
      <c r="D343" s="3" t="s">
        <v>152</v>
      </c>
      <c r="E343" s="3"/>
      <c r="F343" s="3"/>
      <c r="G343" s="3"/>
      <c r="H343" s="3"/>
    </row>
    <row r="344" spans="1:8" x14ac:dyDescent="0.35">
      <c r="A344" s="3" t="s">
        <v>1837</v>
      </c>
      <c r="B344" s="3" t="s">
        <v>42</v>
      </c>
      <c r="C344" s="3" t="s">
        <v>1838</v>
      </c>
      <c r="D344" s="3" t="s">
        <v>24</v>
      </c>
      <c r="E344" s="3"/>
      <c r="F344" s="3"/>
      <c r="G344" s="3"/>
      <c r="H344" s="3"/>
    </row>
    <row r="345" spans="1:8" x14ac:dyDescent="0.35">
      <c r="A345" s="3" t="s">
        <v>2607</v>
      </c>
      <c r="B345" s="3" t="s">
        <v>42</v>
      </c>
      <c r="C345" s="3" t="s">
        <v>2608</v>
      </c>
      <c r="D345" s="3" t="s">
        <v>23</v>
      </c>
      <c r="E345" s="3" t="s">
        <v>16</v>
      </c>
      <c r="F345" s="3" t="s">
        <v>2609</v>
      </c>
      <c r="G345" s="3" t="s">
        <v>16</v>
      </c>
      <c r="H345" s="3" t="s">
        <v>409</v>
      </c>
    </row>
    <row r="346" spans="1:8" x14ac:dyDescent="0.35">
      <c r="A346" s="3" t="s">
        <v>1839</v>
      </c>
      <c r="B346" s="3" t="s">
        <v>42</v>
      </c>
      <c r="C346" s="3" t="s">
        <v>2930</v>
      </c>
      <c r="D346" s="3" t="s">
        <v>23</v>
      </c>
      <c r="E346" s="3"/>
      <c r="F346" s="3"/>
      <c r="G346" s="3" t="s">
        <v>16</v>
      </c>
      <c r="H346" s="3" t="s">
        <v>559</v>
      </c>
    </row>
    <row r="347" spans="1:8" x14ac:dyDescent="0.35">
      <c r="A347" s="3" t="s">
        <v>1839</v>
      </c>
      <c r="B347" s="3" t="s">
        <v>42</v>
      </c>
      <c r="C347" s="3" t="s">
        <v>2930</v>
      </c>
      <c r="D347" s="3" t="s">
        <v>77</v>
      </c>
      <c r="E347" s="3"/>
      <c r="F347" s="3" t="s">
        <v>2484</v>
      </c>
      <c r="G347" s="3" t="s">
        <v>16</v>
      </c>
      <c r="H347" s="3" t="s">
        <v>559</v>
      </c>
    </row>
    <row r="348" spans="1:8" x14ac:dyDescent="0.35">
      <c r="A348" s="3" t="s">
        <v>1839</v>
      </c>
      <c r="B348" s="3" t="s">
        <v>42</v>
      </c>
      <c r="C348" s="3" t="s">
        <v>2930</v>
      </c>
      <c r="D348" s="3" t="s">
        <v>290</v>
      </c>
      <c r="E348" s="3"/>
      <c r="F348" s="3"/>
      <c r="G348" s="3" t="s">
        <v>16</v>
      </c>
      <c r="H348" s="3" t="s">
        <v>559</v>
      </c>
    </row>
    <row r="349" spans="1:8" x14ac:dyDescent="0.35">
      <c r="A349" s="3" t="s">
        <v>1839</v>
      </c>
      <c r="B349" s="3" t="s">
        <v>20</v>
      </c>
      <c r="C349" s="3" t="s">
        <v>1840</v>
      </c>
      <c r="D349" s="3" t="s">
        <v>23</v>
      </c>
      <c r="E349" s="3" t="s">
        <v>16</v>
      </c>
      <c r="F349" s="3" t="s">
        <v>1841</v>
      </c>
      <c r="G349" s="3" t="s">
        <v>16</v>
      </c>
      <c r="H349" s="3" t="s">
        <v>559</v>
      </c>
    </row>
    <row r="350" spans="1:8" x14ac:dyDescent="0.35">
      <c r="A350" s="3" t="s">
        <v>1839</v>
      </c>
      <c r="B350" s="3" t="s">
        <v>20</v>
      </c>
      <c r="C350" s="3" t="s">
        <v>1840</v>
      </c>
      <c r="D350" s="3" t="s">
        <v>27</v>
      </c>
      <c r="E350" s="3"/>
      <c r="F350" s="3"/>
      <c r="G350" s="3" t="s">
        <v>16</v>
      </c>
      <c r="H350" s="3" t="s">
        <v>559</v>
      </c>
    </row>
    <row r="351" spans="1:8" x14ac:dyDescent="0.35">
      <c r="A351" s="3" t="s">
        <v>1839</v>
      </c>
      <c r="B351" s="3" t="s">
        <v>20</v>
      </c>
      <c r="C351" s="3" t="s">
        <v>1840</v>
      </c>
      <c r="D351" s="3" t="s">
        <v>290</v>
      </c>
      <c r="E351" s="3"/>
      <c r="F351" s="3"/>
      <c r="G351" s="3" t="s">
        <v>16</v>
      </c>
      <c r="H351" s="3" t="s">
        <v>559</v>
      </c>
    </row>
    <row r="352" spans="1:8" x14ac:dyDescent="0.35">
      <c r="A352" s="3" t="s">
        <v>1842</v>
      </c>
      <c r="B352" s="3" t="s">
        <v>42</v>
      </c>
      <c r="C352" s="3" t="s">
        <v>1843</v>
      </c>
      <c r="D352" s="3" t="s">
        <v>28</v>
      </c>
      <c r="E352" s="3"/>
      <c r="F352" s="3"/>
      <c r="G352" s="3"/>
      <c r="H352" s="3"/>
    </row>
    <row r="353" spans="1:8" x14ac:dyDescent="0.35">
      <c r="A353" s="3" t="s">
        <v>1842</v>
      </c>
      <c r="B353" s="3" t="s">
        <v>42</v>
      </c>
      <c r="C353" s="3" t="s">
        <v>1843</v>
      </c>
      <c r="D353" s="3" t="s">
        <v>15</v>
      </c>
      <c r="E353" s="3"/>
      <c r="F353" s="3"/>
      <c r="G353" s="3"/>
      <c r="H353" s="3"/>
    </row>
    <row r="354" spans="1:8" x14ac:dyDescent="0.35">
      <c r="A354" s="3" t="s">
        <v>1842</v>
      </c>
      <c r="B354" s="3" t="s">
        <v>42</v>
      </c>
      <c r="C354" s="3" t="s">
        <v>1843</v>
      </c>
      <c r="D354" s="3" t="s">
        <v>24</v>
      </c>
      <c r="E354" s="3"/>
      <c r="F354" s="3"/>
      <c r="G354" s="3"/>
      <c r="H354" s="3"/>
    </row>
    <row r="355" spans="1:8" x14ac:dyDescent="0.35">
      <c r="A355" s="3" t="s">
        <v>1842</v>
      </c>
      <c r="B355" s="3" t="s">
        <v>20</v>
      </c>
      <c r="C355" s="3" t="s">
        <v>1844</v>
      </c>
      <c r="D355" s="3" t="s">
        <v>36</v>
      </c>
      <c r="E355" s="3"/>
      <c r="F355" s="3"/>
      <c r="G355" s="3"/>
      <c r="H355" s="3"/>
    </row>
    <row r="356" spans="1:8" x14ac:dyDescent="0.35">
      <c r="A356" s="3" t="s">
        <v>1842</v>
      </c>
      <c r="B356" s="3" t="s">
        <v>20</v>
      </c>
      <c r="C356" s="3" t="s">
        <v>1844</v>
      </c>
      <c r="D356" s="3" t="s">
        <v>25</v>
      </c>
      <c r="E356" s="3"/>
      <c r="F356" s="3"/>
      <c r="G356" s="3"/>
      <c r="H356" s="3"/>
    </row>
    <row r="357" spans="1:8" x14ac:dyDescent="0.35">
      <c r="A357" s="3" t="s">
        <v>1842</v>
      </c>
      <c r="B357" s="3" t="s">
        <v>20</v>
      </c>
      <c r="C357" s="3" t="s">
        <v>1844</v>
      </c>
      <c r="D357" s="3" t="s">
        <v>28</v>
      </c>
      <c r="E357" s="3" t="s">
        <v>16</v>
      </c>
      <c r="F357" s="3" t="s">
        <v>2400</v>
      </c>
      <c r="G357" s="3"/>
      <c r="H357" s="3"/>
    </row>
    <row r="358" spans="1:8" x14ac:dyDescent="0.35">
      <c r="A358" s="3" t="s">
        <v>1842</v>
      </c>
      <c r="B358" s="3" t="s">
        <v>20</v>
      </c>
      <c r="C358" s="3" t="s">
        <v>1844</v>
      </c>
      <c r="D358" s="3" t="s">
        <v>87</v>
      </c>
      <c r="E358" s="3" t="s">
        <v>16</v>
      </c>
      <c r="F358" s="3" t="s">
        <v>1845</v>
      </c>
      <c r="G358" s="3"/>
      <c r="H358" s="3"/>
    </row>
    <row r="359" spans="1:8" x14ac:dyDescent="0.35">
      <c r="A359" s="3" t="s">
        <v>1842</v>
      </c>
      <c r="B359" s="3" t="s">
        <v>20</v>
      </c>
      <c r="C359" s="3" t="s">
        <v>1844</v>
      </c>
      <c r="D359" s="3" t="s">
        <v>15</v>
      </c>
      <c r="E359" s="3" t="s">
        <v>16</v>
      </c>
      <c r="F359" s="3" t="s">
        <v>1846</v>
      </c>
      <c r="G359" s="3"/>
      <c r="H359" s="3"/>
    </row>
    <row r="360" spans="1:8" x14ac:dyDescent="0.35">
      <c r="A360" s="3" t="s">
        <v>1842</v>
      </c>
      <c r="B360" s="3" t="s">
        <v>20</v>
      </c>
      <c r="C360" s="3" t="s">
        <v>1847</v>
      </c>
      <c r="D360" s="3" t="s">
        <v>27</v>
      </c>
      <c r="E360" s="3"/>
      <c r="F360" s="3"/>
      <c r="G360" s="3"/>
      <c r="H360" s="3"/>
    </row>
    <row r="361" spans="1:8" x14ac:dyDescent="0.35">
      <c r="A361" s="3" t="s">
        <v>1848</v>
      </c>
      <c r="B361" s="3" t="s">
        <v>45</v>
      </c>
      <c r="C361" s="3" t="s">
        <v>1849</v>
      </c>
      <c r="D361" s="3" t="s">
        <v>24</v>
      </c>
      <c r="E361" s="3"/>
      <c r="F361" s="3"/>
      <c r="G361" s="3"/>
      <c r="H361" s="3"/>
    </row>
    <row r="362" spans="1:8" x14ac:dyDescent="0.35">
      <c r="A362" s="3" t="s">
        <v>1848</v>
      </c>
      <c r="B362" s="3" t="s">
        <v>10</v>
      </c>
      <c r="C362" s="3" t="s">
        <v>1850</v>
      </c>
      <c r="D362" s="3" t="s">
        <v>87</v>
      </c>
      <c r="E362" s="3" t="s">
        <v>33</v>
      </c>
      <c r="F362" s="3" t="s">
        <v>34</v>
      </c>
      <c r="G362" s="3" t="s">
        <v>16</v>
      </c>
      <c r="H362" s="3" t="s">
        <v>559</v>
      </c>
    </row>
    <row r="363" spans="1:8" x14ac:dyDescent="0.35">
      <c r="A363" s="3" t="s">
        <v>1848</v>
      </c>
      <c r="B363" s="3" t="s">
        <v>10</v>
      </c>
      <c r="C363" s="3" t="s">
        <v>1850</v>
      </c>
      <c r="D363" s="3" t="s">
        <v>56</v>
      </c>
      <c r="E363" s="3" t="s">
        <v>1737</v>
      </c>
      <c r="F363" s="3" t="s">
        <v>1851</v>
      </c>
      <c r="G363" s="3" t="s">
        <v>16</v>
      </c>
      <c r="H363" s="3" t="s">
        <v>559</v>
      </c>
    </row>
    <row r="364" spans="1:8" x14ac:dyDescent="0.35">
      <c r="A364" s="3" t="s">
        <v>1848</v>
      </c>
      <c r="B364" s="3" t="s">
        <v>10</v>
      </c>
      <c r="C364" s="3" t="s">
        <v>1850</v>
      </c>
      <c r="D364" s="3" t="s">
        <v>24</v>
      </c>
      <c r="E364" s="3"/>
      <c r="F364" s="3"/>
      <c r="G364" s="3" t="s">
        <v>16</v>
      </c>
      <c r="H364" s="3" t="s">
        <v>559</v>
      </c>
    </row>
    <row r="365" spans="1:8" x14ac:dyDescent="0.35">
      <c r="A365" s="3" t="s">
        <v>1848</v>
      </c>
      <c r="B365" s="3" t="s">
        <v>42</v>
      </c>
      <c r="C365" s="3" t="s">
        <v>1852</v>
      </c>
      <c r="D365" s="3" t="s">
        <v>23</v>
      </c>
      <c r="E365" s="3" t="s">
        <v>1737</v>
      </c>
      <c r="F365" s="3" t="s">
        <v>1834</v>
      </c>
      <c r="G365" s="3" t="s">
        <v>16</v>
      </c>
      <c r="H365" s="3" t="s">
        <v>559</v>
      </c>
    </row>
    <row r="366" spans="1:8" x14ac:dyDescent="0.35">
      <c r="A366" s="3" t="s">
        <v>1848</v>
      </c>
      <c r="B366" s="3" t="s">
        <v>42</v>
      </c>
      <c r="C366" s="3" t="s">
        <v>1852</v>
      </c>
      <c r="D366" s="3" t="s">
        <v>1210</v>
      </c>
      <c r="E366" s="3"/>
      <c r="F366" s="3"/>
      <c r="G366" s="3" t="s">
        <v>16</v>
      </c>
      <c r="H366" s="3" t="s">
        <v>559</v>
      </c>
    </row>
    <row r="367" spans="1:8" x14ac:dyDescent="0.35">
      <c r="A367" s="3" t="s">
        <v>1848</v>
      </c>
      <c r="B367" s="3" t="s">
        <v>42</v>
      </c>
      <c r="C367" s="3" t="s">
        <v>1852</v>
      </c>
      <c r="D367" s="3" t="s">
        <v>60</v>
      </c>
      <c r="E367" s="3"/>
      <c r="F367" s="3"/>
      <c r="G367" s="3" t="s">
        <v>16</v>
      </c>
      <c r="H367" s="3" t="s">
        <v>559</v>
      </c>
    </row>
    <row r="368" spans="1:8" x14ac:dyDescent="0.35">
      <c r="A368" s="3" t="s">
        <v>1848</v>
      </c>
      <c r="B368" s="3" t="s">
        <v>42</v>
      </c>
      <c r="C368" s="3" t="s">
        <v>1852</v>
      </c>
      <c r="D368" s="3" t="s">
        <v>185</v>
      </c>
      <c r="E368" s="3"/>
      <c r="F368" s="3"/>
      <c r="G368" s="3" t="s">
        <v>16</v>
      </c>
      <c r="H368" s="3" t="s">
        <v>559</v>
      </c>
    </row>
    <row r="369" spans="1:8" x14ac:dyDescent="0.35">
      <c r="A369" s="3" t="s">
        <v>1848</v>
      </c>
      <c r="B369" s="3" t="s">
        <v>42</v>
      </c>
      <c r="C369" s="3" t="s">
        <v>1852</v>
      </c>
      <c r="D369" s="3" t="s">
        <v>15</v>
      </c>
      <c r="E369" s="3" t="s">
        <v>16</v>
      </c>
      <c r="F369" s="3" t="s">
        <v>1834</v>
      </c>
      <c r="G369" s="3" t="s">
        <v>16</v>
      </c>
      <c r="H369" s="3" t="s">
        <v>559</v>
      </c>
    </row>
    <row r="370" spans="1:8" x14ac:dyDescent="0.35">
      <c r="A370" s="3" t="s">
        <v>1848</v>
      </c>
      <c r="B370" s="3" t="s">
        <v>42</v>
      </c>
      <c r="C370" s="3" t="s">
        <v>1852</v>
      </c>
      <c r="D370" s="3" t="s">
        <v>290</v>
      </c>
      <c r="E370" s="3" t="s">
        <v>1737</v>
      </c>
      <c r="F370" s="3" t="s">
        <v>1834</v>
      </c>
      <c r="G370" s="3" t="s">
        <v>16</v>
      </c>
      <c r="H370" s="3" t="s">
        <v>559</v>
      </c>
    </row>
    <row r="371" spans="1:8" x14ac:dyDescent="0.35">
      <c r="A371" s="3" t="s">
        <v>1848</v>
      </c>
      <c r="B371" s="3" t="s">
        <v>45</v>
      </c>
      <c r="C371" s="3" t="s">
        <v>1853</v>
      </c>
      <c r="D371" s="3" t="s">
        <v>77</v>
      </c>
      <c r="E371" s="3"/>
      <c r="F371" s="3"/>
      <c r="G371" s="3" t="s">
        <v>16</v>
      </c>
      <c r="H371" s="3" t="s">
        <v>1854</v>
      </c>
    </row>
    <row r="372" spans="1:8" x14ac:dyDescent="0.35">
      <c r="A372" s="3" t="s">
        <v>1848</v>
      </c>
      <c r="B372" s="3" t="s">
        <v>20</v>
      </c>
      <c r="C372" s="3" t="s">
        <v>1855</v>
      </c>
      <c r="D372" s="3" t="s">
        <v>60</v>
      </c>
      <c r="E372" s="3"/>
      <c r="F372" s="3"/>
      <c r="G372" s="3" t="s">
        <v>16</v>
      </c>
      <c r="H372" s="3" t="s">
        <v>559</v>
      </c>
    </row>
    <row r="373" spans="1:8" x14ac:dyDescent="0.35">
      <c r="A373" s="3" t="s">
        <v>1848</v>
      </c>
      <c r="B373" s="3" t="s">
        <v>20</v>
      </c>
      <c r="C373" s="3" t="s">
        <v>1855</v>
      </c>
      <c r="D373" s="3" t="s">
        <v>24</v>
      </c>
      <c r="E373" s="3"/>
      <c r="F373" s="3"/>
      <c r="G373" s="3" t="s">
        <v>16</v>
      </c>
      <c r="H373" s="3" t="s">
        <v>559</v>
      </c>
    </row>
    <row r="374" spans="1:8" x14ac:dyDescent="0.35">
      <c r="A374" s="3" t="s">
        <v>1848</v>
      </c>
      <c r="B374" s="3" t="s">
        <v>20</v>
      </c>
      <c r="C374" s="3" t="s">
        <v>1856</v>
      </c>
      <c r="D374" s="3" t="s">
        <v>15</v>
      </c>
      <c r="E374" s="3" t="s">
        <v>16</v>
      </c>
      <c r="F374" s="3" t="s">
        <v>1728</v>
      </c>
      <c r="G374" s="3" t="s">
        <v>16</v>
      </c>
      <c r="H374" s="3" t="s">
        <v>559</v>
      </c>
    </row>
    <row r="375" spans="1:8" x14ac:dyDescent="0.35">
      <c r="A375" s="3" t="s">
        <v>1848</v>
      </c>
      <c r="B375" s="3" t="s">
        <v>20</v>
      </c>
      <c r="C375" s="3" t="s">
        <v>1856</v>
      </c>
      <c r="D375" s="3" t="s">
        <v>24</v>
      </c>
      <c r="E375" s="3" t="s">
        <v>16</v>
      </c>
      <c r="F375" s="3" t="s">
        <v>1728</v>
      </c>
      <c r="G375" s="3" t="s">
        <v>16</v>
      </c>
      <c r="H375" s="3" t="s">
        <v>559</v>
      </c>
    </row>
    <row r="376" spans="1:8" x14ac:dyDescent="0.35">
      <c r="A376" s="3" t="s">
        <v>1848</v>
      </c>
      <c r="B376" s="3" t="s">
        <v>20</v>
      </c>
      <c r="C376" s="3" t="s">
        <v>2817</v>
      </c>
      <c r="D376" s="3" t="s">
        <v>12</v>
      </c>
      <c r="E376" s="3"/>
      <c r="F376" s="3"/>
      <c r="G376" s="3" t="s">
        <v>16</v>
      </c>
      <c r="H376" s="3" t="s">
        <v>559</v>
      </c>
    </row>
    <row r="377" spans="1:8" x14ac:dyDescent="0.35">
      <c r="A377" s="3" t="s">
        <v>1848</v>
      </c>
      <c r="B377" s="3" t="s">
        <v>20</v>
      </c>
      <c r="C377" s="3" t="s">
        <v>2817</v>
      </c>
      <c r="D377" s="3" t="s">
        <v>36</v>
      </c>
      <c r="E377" s="3"/>
      <c r="F377" s="3"/>
      <c r="G377" s="3" t="s">
        <v>16</v>
      </c>
      <c r="H377" s="3" t="s">
        <v>559</v>
      </c>
    </row>
    <row r="378" spans="1:8" x14ac:dyDescent="0.35">
      <c r="A378" s="3" t="s">
        <v>1848</v>
      </c>
      <c r="B378" s="3" t="s">
        <v>20</v>
      </c>
      <c r="C378" s="3" t="s">
        <v>2817</v>
      </c>
      <c r="D378" s="3" t="s">
        <v>60</v>
      </c>
      <c r="E378" s="3"/>
      <c r="F378" s="3"/>
      <c r="G378" s="3" t="s">
        <v>16</v>
      </c>
      <c r="H378" s="3" t="s">
        <v>559</v>
      </c>
    </row>
    <row r="379" spans="1:8" x14ac:dyDescent="0.35">
      <c r="A379" s="3" t="s">
        <v>1848</v>
      </c>
      <c r="B379" s="3" t="s">
        <v>20</v>
      </c>
      <c r="C379" s="3" t="s">
        <v>2817</v>
      </c>
      <c r="D379" s="3" t="s">
        <v>15</v>
      </c>
      <c r="E379" s="3"/>
      <c r="F379" s="3"/>
      <c r="G379" s="3" t="s">
        <v>16</v>
      </c>
      <c r="H379" s="3" t="s">
        <v>559</v>
      </c>
    </row>
    <row r="380" spans="1:8" x14ac:dyDescent="0.35">
      <c r="A380" s="3" t="s">
        <v>1848</v>
      </c>
      <c r="B380" s="3" t="s">
        <v>20</v>
      </c>
      <c r="C380" s="3" t="s">
        <v>2817</v>
      </c>
      <c r="D380" s="3" t="s">
        <v>290</v>
      </c>
      <c r="E380" s="3"/>
      <c r="F380" s="3"/>
      <c r="G380" s="3" t="s">
        <v>16</v>
      </c>
      <c r="H380" s="3" t="s">
        <v>559</v>
      </c>
    </row>
    <row r="381" spans="1:8" x14ac:dyDescent="0.35">
      <c r="A381" s="3" t="s">
        <v>1848</v>
      </c>
      <c r="B381" s="3" t="s">
        <v>20</v>
      </c>
      <c r="C381" s="3" t="s">
        <v>1857</v>
      </c>
      <c r="D381" s="3" t="s">
        <v>60</v>
      </c>
      <c r="E381" s="3"/>
      <c r="F381" s="3"/>
      <c r="G381" s="3" t="s">
        <v>16</v>
      </c>
      <c r="H381" s="3" t="s">
        <v>559</v>
      </c>
    </row>
    <row r="382" spans="1:8" x14ac:dyDescent="0.35">
      <c r="A382" s="3" t="s">
        <v>1848</v>
      </c>
      <c r="B382" s="3" t="s">
        <v>20</v>
      </c>
      <c r="C382" s="3" t="s">
        <v>1857</v>
      </c>
      <c r="D382" s="3" t="s">
        <v>27</v>
      </c>
      <c r="E382" s="3"/>
      <c r="F382" s="3"/>
      <c r="G382" s="3" t="s">
        <v>16</v>
      </c>
      <c r="H382" s="3" t="s">
        <v>559</v>
      </c>
    </row>
    <row r="383" spans="1:8" x14ac:dyDescent="0.35">
      <c r="A383" s="3" t="s">
        <v>1848</v>
      </c>
      <c r="B383" s="3" t="s">
        <v>20</v>
      </c>
      <c r="C383" s="3" t="s">
        <v>1857</v>
      </c>
      <c r="D383" s="3" t="s">
        <v>24</v>
      </c>
      <c r="E383" s="3"/>
      <c r="F383" s="3"/>
      <c r="G383" s="3" t="s">
        <v>16</v>
      </c>
      <c r="H383" s="3" t="s">
        <v>559</v>
      </c>
    </row>
    <row r="384" spans="1:8" x14ac:dyDescent="0.35">
      <c r="A384" s="3" t="s">
        <v>1848</v>
      </c>
      <c r="B384" s="3" t="s">
        <v>591</v>
      </c>
      <c r="C384" s="3" t="s">
        <v>1858</v>
      </c>
      <c r="D384" s="3" t="s">
        <v>27</v>
      </c>
      <c r="E384" s="3" t="s">
        <v>1737</v>
      </c>
      <c r="F384" s="3" t="s">
        <v>1728</v>
      </c>
      <c r="G384" s="3" t="s">
        <v>16</v>
      </c>
      <c r="H384" s="3" t="s">
        <v>559</v>
      </c>
    </row>
    <row r="385" spans="1:8" x14ac:dyDescent="0.35">
      <c r="A385" s="3" t="s">
        <v>1848</v>
      </c>
      <c r="B385" s="3" t="s">
        <v>45</v>
      </c>
      <c r="C385" s="3" t="s">
        <v>1859</v>
      </c>
      <c r="D385" s="3" t="s">
        <v>77</v>
      </c>
      <c r="E385" s="3"/>
      <c r="F385" s="3"/>
      <c r="G385" s="3" t="s">
        <v>16</v>
      </c>
      <c r="H385" s="3" t="s">
        <v>559</v>
      </c>
    </row>
    <row r="386" spans="1:8" x14ac:dyDescent="0.35">
      <c r="A386" s="3" t="s">
        <v>1848</v>
      </c>
      <c r="B386" s="3" t="s">
        <v>45</v>
      </c>
      <c r="C386" s="3" t="s">
        <v>1859</v>
      </c>
      <c r="D386" s="3" t="s">
        <v>185</v>
      </c>
      <c r="E386" s="3"/>
      <c r="F386" s="3"/>
      <c r="G386" s="3" t="s">
        <v>16</v>
      </c>
      <c r="H386" s="3" t="s">
        <v>559</v>
      </c>
    </row>
    <row r="387" spans="1:8" x14ac:dyDescent="0.35">
      <c r="A387" s="3" t="s">
        <v>1848</v>
      </c>
      <c r="B387" s="3" t="s">
        <v>45</v>
      </c>
      <c r="C387" s="3" t="s">
        <v>1859</v>
      </c>
      <c r="D387" s="3" t="s">
        <v>56</v>
      </c>
      <c r="E387" s="3" t="s">
        <v>16</v>
      </c>
      <c r="F387" s="3" t="s">
        <v>1860</v>
      </c>
      <c r="G387" s="3" t="s">
        <v>16</v>
      </c>
      <c r="H387" s="3" t="s">
        <v>559</v>
      </c>
    </row>
    <row r="388" spans="1:8" x14ac:dyDescent="0.35">
      <c r="A388" s="3" t="s">
        <v>1848</v>
      </c>
      <c r="B388" s="3" t="s">
        <v>45</v>
      </c>
      <c r="C388" s="3" t="s">
        <v>1859</v>
      </c>
      <c r="D388" s="3" t="s">
        <v>911</v>
      </c>
      <c r="E388" s="3" t="s">
        <v>16</v>
      </c>
      <c r="F388" s="3" t="s">
        <v>1860</v>
      </c>
      <c r="G388" s="3" t="s">
        <v>16</v>
      </c>
      <c r="H388" s="3" t="s">
        <v>559</v>
      </c>
    </row>
    <row r="389" spans="1:8" x14ac:dyDescent="0.35">
      <c r="A389" s="3" t="s">
        <v>1848</v>
      </c>
      <c r="B389" s="3" t="s">
        <v>45</v>
      </c>
      <c r="C389" s="3" t="s">
        <v>1859</v>
      </c>
      <c r="D389" s="3" t="s">
        <v>24</v>
      </c>
      <c r="E389" s="3"/>
      <c r="F389" s="3"/>
      <c r="G389" s="3" t="s">
        <v>16</v>
      </c>
      <c r="H389" s="3" t="s">
        <v>559</v>
      </c>
    </row>
    <row r="390" spans="1:8" x14ac:dyDescent="0.35">
      <c r="A390" s="3" t="s">
        <v>1848</v>
      </c>
      <c r="B390" s="3" t="s">
        <v>45</v>
      </c>
      <c r="C390" s="3" t="s">
        <v>1861</v>
      </c>
      <c r="D390" s="3" t="s">
        <v>23</v>
      </c>
      <c r="E390" s="3"/>
      <c r="F390" s="3"/>
      <c r="G390" s="3" t="s">
        <v>16</v>
      </c>
      <c r="H390" s="3" t="s">
        <v>559</v>
      </c>
    </row>
    <row r="391" spans="1:8" x14ac:dyDescent="0.35">
      <c r="A391" s="3" t="s">
        <v>1848</v>
      </c>
      <c r="B391" s="3" t="s">
        <v>45</v>
      </c>
      <c r="C391" s="3" t="s">
        <v>1861</v>
      </c>
      <c r="D391" s="3" t="s">
        <v>185</v>
      </c>
      <c r="E391" s="3"/>
      <c r="F391" s="3"/>
      <c r="G391" s="3" t="s">
        <v>16</v>
      </c>
      <c r="H391" s="3" t="s">
        <v>559</v>
      </c>
    </row>
    <row r="392" spans="1:8" x14ac:dyDescent="0.35">
      <c r="A392" s="3" t="s">
        <v>1848</v>
      </c>
      <c r="B392" s="3" t="s">
        <v>45</v>
      </c>
      <c r="C392" s="3" t="s">
        <v>1861</v>
      </c>
      <c r="D392" s="3" t="s">
        <v>56</v>
      </c>
      <c r="E392" s="3" t="s">
        <v>16</v>
      </c>
      <c r="F392" s="3" t="s">
        <v>990</v>
      </c>
      <c r="G392" s="3" t="s">
        <v>16</v>
      </c>
      <c r="H392" s="3" t="s">
        <v>559</v>
      </c>
    </row>
    <row r="393" spans="1:8" x14ac:dyDescent="0.35">
      <c r="A393" s="3" t="s">
        <v>1848</v>
      </c>
      <c r="B393" s="3" t="s">
        <v>45</v>
      </c>
      <c r="C393" s="3" t="s">
        <v>1861</v>
      </c>
      <c r="D393" s="3" t="s">
        <v>24</v>
      </c>
      <c r="E393" s="3"/>
      <c r="F393" s="3"/>
      <c r="G393" s="3" t="s">
        <v>16</v>
      </c>
      <c r="H393" s="3" t="s">
        <v>559</v>
      </c>
    </row>
    <row r="394" spans="1:8" x14ac:dyDescent="0.35">
      <c r="A394" s="3" t="s">
        <v>1848</v>
      </c>
      <c r="B394" s="3" t="s">
        <v>20</v>
      </c>
      <c r="C394" s="3" t="s">
        <v>1862</v>
      </c>
      <c r="D394" s="3" t="s">
        <v>87</v>
      </c>
      <c r="E394" s="3"/>
      <c r="F394" s="3"/>
      <c r="G394" s="3" t="s">
        <v>16</v>
      </c>
      <c r="H394" s="3" t="s">
        <v>559</v>
      </c>
    </row>
    <row r="395" spans="1:8" x14ac:dyDescent="0.35">
      <c r="A395" s="3" t="s">
        <v>1848</v>
      </c>
      <c r="B395" s="3" t="s">
        <v>20</v>
      </c>
      <c r="C395" s="3" t="s">
        <v>1862</v>
      </c>
      <c r="D395" s="3" t="s">
        <v>24</v>
      </c>
      <c r="E395" s="3"/>
      <c r="F395" s="3"/>
      <c r="G395" s="3" t="s">
        <v>16</v>
      </c>
      <c r="H395" s="3" t="s">
        <v>559</v>
      </c>
    </row>
    <row r="396" spans="1:8" x14ac:dyDescent="0.35">
      <c r="A396" s="3" t="s">
        <v>1848</v>
      </c>
      <c r="B396" s="3" t="s">
        <v>45</v>
      </c>
      <c r="C396" s="3" t="s">
        <v>1863</v>
      </c>
      <c r="D396" s="3" t="s">
        <v>185</v>
      </c>
      <c r="E396" s="3"/>
      <c r="F396" s="3"/>
      <c r="G396" s="3" t="s">
        <v>16</v>
      </c>
      <c r="H396" s="3" t="s">
        <v>559</v>
      </c>
    </row>
    <row r="397" spans="1:8" x14ac:dyDescent="0.35">
      <c r="A397" s="3" t="s">
        <v>1848</v>
      </c>
      <c r="B397" s="3" t="s">
        <v>45</v>
      </c>
      <c r="C397" s="3" t="s">
        <v>1863</v>
      </c>
      <c r="D397" s="3" t="s">
        <v>56</v>
      </c>
      <c r="E397" s="3" t="s">
        <v>1737</v>
      </c>
      <c r="F397" s="3" t="s">
        <v>1779</v>
      </c>
      <c r="G397" s="3" t="s">
        <v>16</v>
      </c>
      <c r="H397" s="3" t="s">
        <v>559</v>
      </c>
    </row>
    <row r="398" spans="1:8" x14ac:dyDescent="0.35">
      <c r="A398" s="3" t="s">
        <v>1848</v>
      </c>
      <c r="B398" s="3" t="s">
        <v>45</v>
      </c>
      <c r="C398" s="3" t="s">
        <v>1863</v>
      </c>
      <c r="D398" s="3" t="s">
        <v>24</v>
      </c>
      <c r="E398" s="3"/>
      <c r="F398" s="3"/>
      <c r="G398" s="3" t="s">
        <v>16</v>
      </c>
      <c r="H398" s="3" t="s">
        <v>559</v>
      </c>
    </row>
    <row r="399" spans="1:8" x14ac:dyDescent="0.35">
      <c r="A399" s="3" t="s">
        <v>1848</v>
      </c>
      <c r="B399" s="3" t="s">
        <v>39</v>
      </c>
      <c r="C399" s="3" t="s">
        <v>1864</v>
      </c>
      <c r="D399" s="3" t="s">
        <v>23</v>
      </c>
      <c r="E399" s="3" t="s">
        <v>1737</v>
      </c>
      <c r="F399" s="3" t="s">
        <v>1834</v>
      </c>
      <c r="G399" s="3" t="s">
        <v>16</v>
      </c>
      <c r="H399" s="3" t="s">
        <v>559</v>
      </c>
    </row>
    <row r="400" spans="1:8" x14ac:dyDescent="0.35">
      <c r="A400" s="3" t="s">
        <v>1848</v>
      </c>
      <c r="B400" s="3" t="s">
        <v>39</v>
      </c>
      <c r="C400" s="3" t="s">
        <v>1864</v>
      </c>
      <c r="D400" s="3" t="s">
        <v>27</v>
      </c>
      <c r="E400" s="3" t="s">
        <v>1737</v>
      </c>
      <c r="F400" s="3" t="s">
        <v>1834</v>
      </c>
      <c r="G400" s="3" t="s">
        <v>16</v>
      </c>
      <c r="H400" s="3" t="s">
        <v>559</v>
      </c>
    </row>
    <row r="401" spans="1:8" x14ac:dyDescent="0.35">
      <c r="A401" s="3" t="s">
        <v>1848</v>
      </c>
      <c r="B401" s="3" t="s">
        <v>39</v>
      </c>
      <c r="C401" s="3" t="s">
        <v>1864</v>
      </c>
      <c r="D401" s="3" t="s">
        <v>15</v>
      </c>
      <c r="E401" s="3" t="s">
        <v>16</v>
      </c>
      <c r="F401" s="3" t="s">
        <v>1834</v>
      </c>
      <c r="G401" s="3" t="s">
        <v>16</v>
      </c>
      <c r="H401" s="3" t="s">
        <v>559</v>
      </c>
    </row>
    <row r="402" spans="1:8" x14ac:dyDescent="0.35">
      <c r="A402" s="3" t="s">
        <v>1848</v>
      </c>
      <c r="B402" s="3" t="s">
        <v>39</v>
      </c>
      <c r="C402" s="3" t="s">
        <v>1864</v>
      </c>
      <c r="D402" s="3" t="s">
        <v>56</v>
      </c>
      <c r="E402" s="3" t="s">
        <v>16</v>
      </c>
      <c r="F402" s="3" t="s">
        <v>1834</v>
      </c>
      <c r="G402" s="3" t="s">
        <v>16</v>
      </c>
      <c r="H402" s="3" t="s">
        <v>559</v>
      </c>
    </row>
    <row r="403" spans="1:8" x14ac:dyDescent="0.35">
      <c r="A403" s="3" t="s">
        <v>1848</v>
      </c>
      <c r="B403" s="3" t="s">
        <v>39</v>
      </c>
      <c r="C403" s="3" t="s">
        <v>1864</v>
      </c>
      <c r="D403" s="3" t="s">
        <v>290</v>
      </c>
      <c r="E403" s="3" t="s">
        <v>1737</v>
      </c>
      <c r="F403" s="3" t="s">
        <v>1834</v>
      </c>
      <c r="G403" s="3" t="s">
        <v>16</v>
      </c>
      <c r="H403" s="3" t="s">
        <v>559</v>
      </c>
    </row>
    <row r="404" spans="1:8" x14ac:dyDescent="0.35">
      <c r="A404" s="3" t="s">
        <v>1865</v>
      </c>
      <c r="B404" s="3" t="s">
        <v>20</v>
      </c>
      <c r="C404" s="3" t="s">
        <v>1866</v>
      </c>
      <c r="D404" s="3" t="s">
        <v>27</v>
      </c>
      <c r="E404" s="3"/>
      <c r="F404" s="3"/>
      <c r="G404" s="3"/>
      <c r="H404" s="3"/>
    </row>
    <row r="405" spans="1:8" x14ac:dyDescent="0.35">
      <c r="A405" s="3" t="s">
        <v>1865</v>
      </c>
      <c r="B405" s="3" t="s">
        <v>20</v>
      </c>
      <c r="C405" s="3" t="s">
        <v>1866</v>
      </c>
      <c r="D405" s="3" t="s">
        <v>87</v>
      </c>
      <c r="E405" s="3"/>
      <c r="F405" s="3"/>
      <c r="G405" s="3"/>
      <c r="H405" s="3"/>
    </row>
    <row r="406" spans="1:8" x14ac:dyDescent="0.35">
      <c r="A406" s="3" t="s">
        <v>1865</v>
      </c>
      <c r="B406" s="3" t="s">
        <v>20</v>
      </c>
      <c r="C406" s="3" t="s">
        <v>1866</v>
      </c>
      <c r="D406" s="3" t="s">
        <v>24</v>
      </c>
      <c r="E406" s="3" t="s">
        <v>13</v>
      </c>
      <c r="F406" s="3" t="s">
        <v>1867</v>
      </c>
      <c r="G406" s="3"/>
      <c r="H406" s="12"/>
    </row>
    <row r="407" spans="1:8" x14ac:dyDescent="0.35">
      <c r="A407" s="3" t="s">
        <v>1868</v>
      </c>
      <c r="B407" s="3" t="s">
        <v>45</v>
      </c>
      <c r="C407" s="3" t="s">
        <v>1869</v>
      </c>
      <c r="D407" s="3" t="s">
        <v>23</v>
      </c>
      <c r="E407" s="3"/>
      <c r="F407" s="3"/>
      <c r="G407" s="3" t="s">
        <v>16</v>
      </c>
      <c r="H407" s="3" t="s">
        <v>559</v>
      </c>
    </row>
    <row r="408" spans="1:8" x14ac:dyDescent="0.35">
      <c r="A408" s="3" t="s">
        <v>1868</v>
      </c>
      <c r="B408" s="3" t="s">
        <v>45</v>
      </c>
      <c r="C408" s="3" t="s">
        <v>1869</v>
      </c>
      <c r="D408" s="3" t="s">
        <v>27</v>
      </c>
      <c r="E408" s="3"/>
      <c r="F408" s="3"/>
      <c r="G408" s="3" t="s">
        <v>16</v>
      </c>
      <c r="H408" s="3" t="s">
        <v>559</v>
      </c>
    </row>
    <row r="409" spans="1:8" x14ac:dyDescent="0.35">
      <c r="A409" s="3" t="s">
        <v>1868</v>
      </c>
      <c r="B409" s="3" t="s">
        <v>45</v>
      </c>
      <c r="C409" s="3" t="s">
        <v>1869</v>
      </c>
      <c r="D409" s="3" t="s">
        <v>77</v>
      </c>
      <c r="E409" s="3"/>
      <c r="F409" s="3"/>
      <c r="G409" s="3" t="s">
        <v>16</v>
      </c>
      <c r="H409" s="3" t="s">
        <v>559</v>
      </c>
    </row>
    <row r="410" spans="1:8" x14ac:dyDescent="0.35">
      <c r="A410" s="3" t="s">
        <v>1868</v>
      </c>
      <c r="B410" s="3" t="s">
        <v>45</v>
      </c>
      <c r="C410" s="3" t="s">
        <v>1869</v>
      </c>
      <c r="D410" s="3" t="s">
        <v>1870</v>
      </c>
      <c r="E410" s="3"/>
      <c r="F410" s="3"/>
      <c r="G410" s="3" t="s">
        <v>16</v>
      </c>
      <c r="H410" s="3" t="s">
        <v>559</v>
      </c>
    </row>
    <row r="411" spans="1:8" x14ac:dyDescent="0.35">
      <c r="A411" s="3" t="s">
        <v>1868</v>
      </c>
      <c r="B411" s="3" t="s">
        <v>45</v>
      </c>
      <c r="C411" s="3" t="s">
        <v>1869</v>
      </c>
      <c r="D411" s="3" t="s">
        <v>29</v>
      </c>
      <c r="E411" s="3"/>
      <c r="F411" s="3" t="s">
        <v>2315</v>
      </c>
      <c r="G411" s="3" t="s">
        <v>16</v>
      </c>
      <c r="H411" s="3" t="s">
        <v>559</v>
      </c>
    </row>
    <row r="412" spans="1:8" x14ac:dyDescent="0.35">
      <c r="A412" s="3" t="s">
        <v>1868</v>
      </c>
      <c r="B412" s="3" t="s">
        <v>45</v>
      </c>
      <c r="C412" s="3" t="s">
        <v>1869</v>
      </c>
      <c r="D412" s="3" t="s">
        <v>24</v>
      </c>
      <c r="E412" s="3"/>
      <c r="F412" s="3"/>
      <c r="G412" s="3" t="s">
        <v>16</v>
      </c>
      <c r="H412" s="3" t="s">
        <v>559</v>
      </c>
    </row>
    <row r="413" spans="1:8" x14ac:dyDescent="0.35">
      <c r="A413" s="3" t="s">
        <v>1868</v>
      </c>
      <c r="B413" s="3" t="s">
        <v>45</v>
      </c>
      <c r="C413" s="3" t="s">
        <v>1869</v>
      </c>
      <c r="D413" s="3" t="s">
        <v>290</v>
      </c>
      <c r="E413" s="3"/>
      <c r="F413" s="3"/>
      <c r="G413" s="3" t="s">
        <v>16</v>
      </c>
      <c r="H413" s="3" t="s">
        <v>559</v>
      </c>
    </row>
    <row r="414" spans="1:8" x14ac:dyDescent="0.35">
      <c r="A414" s="3" t="s">
        <v>1868</v>
      </c>
      <c r="B414" s="3" t="s">
        <v>20</v>
      </c>
      <c r="C414" s="3" t="s">
        <v>1871</v>
      </c>
      <c r="D414" s="3" t="s">
        <v>36</v>
      </c>
      <c r="E414" s="3" t="s">
        <v>16</v>
      </c>
      <c r="F414" s="3" t="s">
        <v>1872</v>
      </c>
      <c r="G414" s="3" t="s">
        <v>16</v>
      </c>
      <c r="H414" s="3" t="s">
        <v>559</v>
      </c>
    </row>
    <row r="415" spans="1:8" x14ac:dyDescent="0.35">
      <c r="A415" s="3" t="s">
        <v>1868</v>
      </c>
      <c r="B415" s="3" t="s">
        <v>20</v>
      </c>
      <c r="C415" s="3" t="s">
        <v>1871</v>
      </c>
      <c r="D415" s="3" t="s">
        <v>23</v>
      </c>
      <c r="E415" s="3" t="s">
        <v>16</v>
      </c>
      <c r="F415" s="3" t="s">
        <v>1789</v>
      </c>
      <c r="G415" s="3" t="s">
        <v>16</v>
      </c>
      <c r="H415" s="3" t="s">
        <v>559</v>
      </c>
    </row>
    <row r="416" spans="1:8" x14ac:dyDescent="0.35">
      <c r="A416" s="3" t="s">
        <v>1868</v>
      </c>
      <c r="B416" s="3" t="s">
        <v>20</v>
      </c>
      <c r="C416" s="3" t="s">
        <v>1871</v>
      </c>
      <c r="D416" s="3" t="s">
        <v>27</v>
      </c>
      <c r="E416" s="3" t="s">
        <v>16</v>
      </c>
      <c r="F416" s="3" t="s">
        <v>1789</v>
      </c>
      <c r="G416" s="3" t="s">
        <v>16</v>
      </c>
      <c r="H416" s="3" t="s">
        <v>559</v>
      </c>
    </row>
    <row r="417" spans="1:8" x14ac:dyDescent="0.35">
      <c r="A417" s="3" t="s">
        <v>1868</v>
      </c>
      <c r="B417" s="3" t="s">
        <v>20</v>
      </c>
      <c r="C417" s="3" t="s">
        <v>1871</v>
      </c>
      <c r="D417" s="3" t="s">
        <v>77</v>
      </c>
      <c r="E417" s="3" t="s">
        <v>16</v>
      </c>
      <c r="F417" s="3" t="s">
        <v>1789</v>
      </c>
      <c r="G417" s="3" t="s">
        <v>16</v>
      </c>
      <c r="H417" s="3" t="s">
        <v>559</v>
      </c>
    </row>
    <row r="418" spans="1:8" x14ac:dyDescent="0.35">
      <c r="A418" s="3" t="s">
        <v>1868</v>
      </c>
      <c r="B418" s="3" t="s">
        <v>20</v>
      </c>
      <c r="C418" s="3" t="s">
        <v>1871</v>
      </c>
      <c r="D418" s="3" t="s">
        <v>31</v>
      </c>
      <c r="E418" s="3" t="s">
        <v>16</v>
      </c>
      <c r="F418" s="3" t="s">
        <v>1789</v>
      </c>
      <c r="G418" s="3" t="s">
        <v>16</v>
      </c>
      <c r="H418" s="3" t="s">
        <v>559</v>
      </c>
    </row>
    <row r="419" spans="1:8" x14ac:dyDescent="0.35">
      <c r="A419" s="3" t="s">
        <v>1868</v>
      </c>
      <c r="B419" s="3" t="s">
        <v>20</v>
      </c>
      <c r="C419" s="3" t="s">
        <v>1871</v>
      </c>
      <c r="D419" s="3" t="s">
        <v>15</v>
      </c>
      <c r="E419" s="3" t="s">
        <v>16</v>
      </c>
      <c r="F419" s="3" t="s">
        <v>1789</v>
      </c>
      <c r="G419" s="3" t="s">
        <v>16</v>
      </c>
      <c r="H419" s="3" t="s">
        <v>559</v>
      </c>
    </row>
    <row r="420" spans="1:8" x14ac:dyDescent="0.35">
      <c r="A420" s="3" t="s">
        <v>1868</v>
      </c>
      <c r="B420" s="3" t="s">
        <v>20</v>
      </c>
      <c r="C420" s="3" t="s">
        <v>1871</v>
      </c>
      <c r="D420" s="3" t="s">
        <v>24</v>
      </c>
      <c r="E420" s="3" t="s">
        <v>16</v>
      </c>
      <c r="F420" s="3" t="s">
        <v>1873</v>
      </c>
      <c r="G420" s="3" t="s">
        <v>16</v>
      </c>
      <c r="H420" s="3" t="s">
        <v>559</v>
      </c>
    </row>
    <row r="421" spans="1:8" x14ac:dyDescent="0.35">
      <c r="A421" s="3" t="s">
        <v>1874</v>
      </c>
      <c r="B421" s="3" t="s">
        <v>45</v>
      </c>
      <c r="C421" s="3" t="s">
        <v>1875</v>
      </c>
      <c r="D421" s="3" t="s">
        <v>24</v>
      </c>
      <c r="E421" s="3"/>
      <c r="F421" s="3"/>
      <c r="G421" s="3"/>
      <c r="H421" s="3"/>
    </row>
    <row r="422" spans="1:8" x14ac:dyDescent="0.35">
      <c r="A422" s="3" t="s">
        <v>1874</v>
      </c>
      <c r="B422" s="3" t="s">
        <v>39</v>
      </c>
      <c r="C422" s="3" t="s">
        <v>1876</v>
      </c>
      <c r="D422" s="3" t="s">
        <v>27</v>
      </c>
      <c r="E422" s="3" t="s">
        <v>16</v>
      </c>
      <c r="F422" s="3" t="s">
        <v>1728</v>
      </c>
      <c r="G422" s="3" t="s">
        <v>16</v>
      </c>
      <c r="H422" s="3" t="s">
        <v>559</v>
      </c>
    </row>
    <row r="423" spans="1:8" x14ac:dyDescent="0.35">
      <c r="A423" s="3" t="s">
        <v>1874</v>
      </c>
      <c r="B423" s="3" t="s">
        <v>39</v>
      </c>
      <c r="C423" s="3" t="s">
        <v>1876</v>
      </c>
      <c r="D423" s="3" t="s">
        <v>77</v>
      </c>
      <c r="E423" s="3" t="s">
        <v>16</v>
      </c>
      <c r="F423" s="3" t="s">
        <v>1728</v>
      </c>
      <c r="G423" s="3" t="s">
        <v>16</v>
      </c>
      <c r="H423" s="3" t="s">
        <v>559</v>
      </c>
    </row>
    <row r="424" spans="1:8" x14ac:dyDescent="0.35">
      <c r="A424" s="3" t="s">
        <v>1874</v>
      </c>
      <c r="B424" s="3" t="s">
        <v>39</v>
      </c>
      <c r="C424" s="3" t="s">
        <v>1876</v>
      </c>
      <c r="D424" s="3" t="s">
        <v>185</v>
      </c>
      <c r="E424" s="3" t="s">
        <v>33</v>
      </c>
      <c r="F424" s="3" t="s">
        <v>1877</v>
      </c>
      <c r="G424" s="3" t="s">
        <v>16</v>
      </c>
      <c r="H424" s="3" t="s">
        <v>559</v>
      </c>
    </row>
    <row r="425" spans="1:8" x14ac:dyDescent="0.35">
      <c r="A425" s="3" t="s">
        <v>1874</v>
      </c>
      <c r="B425" s="3" t="s">
        <v>39</v>
      </c>
      <c r="C425" s="3" t="s">
        <v>1876</v>
      </c>
      <c r="D425" s="3" t="s">
        <v>290</v>
      </c>
      <c r="E425" s="3" t="s">
        <v>33</v>
      </c>
      <c r="F425" s="3" t="s">
        <v>1877</v>
      </c>
      <c r="G425" s="3" t="s">
        <v>16</v>
      </c>
      <c r="H425" s="3" t="s">
        <v>559</v>
      </c>
    </row>
    <row r="426" spans="1:8" x14ac:dyDescent="0.35">
      <c r="A426" s="3" t="s">
        <v>1874</v>
      </c>
      <c r="B426" s="3" t="s">
        <v>20</v>
      </c>
      <c r="C426" s="3" t="s">
        <v>1878</v>
      </c>
      <c r="D426" s="3" t="s">
        <v>23</v>
      </c>
      <c r="E426" s="3" t="s">
        <v>16</v>
      </c>
      <c r="F426" s="3" t="s">
        <v>1879</v>
      </c>
      <c r="G426" s="3"/>
      <c r="H426" s="3"/>
    </row>
    <row r="427" spans="1:8" x14ac:dyDescent="0.35">
      <c r="A427" s="3" t="s">
        <v>1874</v>
      </c>
      <c r="B427" s="3" t="s">
        <v>20</v>
      </c>
      <c r="C427" s="3" t="s">
        <v>1878</v>
      </c>
      <c r="D427" s="3" t="s">
        <v>1210</v>
      </c>
      <c r="E427" s="3"/>
      <c r="F427" s="3"/>
      <c r="G427" s="3"/>
      <c r="H427" s="3"/>
    </row>
    <row r="428" spans="1:8" x14ac:dyDescent="0.35">
      <c r="A428" s="3" t="s">
        <v>1874</v>
      </c>
      <c r="B428" s="3" t="s">
        <v>20</v>
      </c>
      <c r="C428" s="3" t="s">
        <v>1878</v>
      </c>
      <c r="D428" s="3" t="s">
        <v>27</v>
      </c>
      <c r="E428" s="3"/>
      <c r="F428" s="3"/>
      <c r="G428" s="3"/>
      <c r="H428" s="3"/>
    </row>
    <row r="429" spans="1:8" x14ac:dyDescent="0.35">
      <c r="A429" s="3" t="s">
        <v>1874</v>
      </c>
      <c r="B429" s="3" t="s">
        <v>20</v>
      </c>
      <c r="C429" s="3" t="s">
        <v>1878</v>
      </c>
      <c r="D429" s="3" t="s">
        <v>77</v>
      </c>
      <c r="E429" s="3"/>
      <c r="F429" s="3" t="s">
        <v>2484</v>
      </c>
      <c r="G429" s="3" t="s">
        <v>16</v>
      </c>
      <c r="H429" s="3" t="s">
        <v>559</v>
      </c>
    </row>
    <row r="430" spans="1:8" x14ac:dyDescent="0.35">
      <c r="A430" s="3" t="s">
        <v>1874</v>
      </c>
      <c r="B430" s="3" t="s">
        <v>20</v>
      </c>
      <c r="C430" s="3" t="s">
        <v>1878</v>
      </c>
      <c r="D430" s="3" t="s">
        <v>15</v>
      </c>
      <c r="E430" s="3" t="s">
        <v>16</v>
      </c>
      <c r="F430" s="3" t="s">
        <v>1880</v>
      </c>
      <c r="G430" s="3"/>
      <c r="H430" s="3"/>
    </row>
    <row r="431" spans="1:8" x14ac:dyDescent="0.35">
      <c r="A431" s="3" t="s">
        <v>1874</v>
      </c>
      <c r="B431" s="3" t="s">
        <v>20</v>
      </c>
      <c r="C431" s="3" t="s">
        <v>1878</v>
      </c>
      <c r="D431" s="3" t="s">
        <v>56</v>
      </c>
      <c r="E431" s="3" t="s">
        <v>16</v>
      </c>
      <c r="F431" s="3" t="s">
        <v>1880</v>
      </c>
      <c r="G431" s="3"/>
      <c r="H431" s="3"/>
    </row>
    <row r="432" spans="1:8" x14ac:dyDescent="0.35">
      <c r="A432" s="3" t="s">
        <v>1874</v>
      </c>
      <c r="B432" s="3" t="s">
        <v>20</v>
      </c>
      <c r="C432" s="3" t="s">
        <v>1878</v>
      </c>
      <c r="D432" s="3" t="s">
        <v>29</v>
      </c>
      <c r="E432" s="3"/>
      <c r="F432" s="3" t="s">
        <v>2332</v>
      </c>
      <c r="G432" s="3"/>
      <c r="H432" s="3"/>
    </row>
    <row r="433" spans="1:8" x14ac:dyDescent="0.35">
      <c r="A433" s="3" t="s">
        <v>1874</v>
      </c>
      <c r="B433" s="3" t="s">
        <v>20</v>
      </c>
      <c r="C433" s="3" t="s">
        <v>1878</v>
      </c>
      <c r="D433" s="3" t="s">
        <v>24</v>
      </c>
      <c r="E433" s="3" t="s">
        <v>16</v>
      </c>
      <c r="F433" s="3" t="s">
        <v>1881</v>
      </c>
      <c r="G433" s="3"/>
      <c r="H433" s="3"/>
    </row>
    <row r="434" spans="1:8" x14ac:dyDescent="0.35">
      <c r="A434" s="3" t="s">
        <v>1874</v>
      </c>
      <c r="B434" s="3" t="s">
        <v>20</v>
      </c>
      <c r="C434" s="3" t="s">
        <v>1878</v>
      </c>
      <c r="D434" s="3" t="s">
        <v>290</v>
      </c>
      <c r="E434" s="3" t="s">
        <v>16</v>
      </c>
      <c r="F434" s="3" t="s">
        <v>1882</v>
      </c>
      <c r="G434" s="3"/>
      <c r="H434" s="3"/>
    </row>
    <row r="435" spans="1:8" x14ac:dyDescent="0.35">
      <c r="A435" s="3" t="s">
        <v>1874</v>
      </c>
      <c r="B435" s="3" t="s">
        <v>20</v>
      </c>
      <c r="C435" s="3" t="s">
        <v>1883</v>
      </c>
      <c r="D435" s="3" t="s">
        <v>23</v>
      </c>
      <c r="E435" s="3" t="s">
        <v>16</v>
      </c>
      <c r="F435" s="3" t="s">
        <v>1884</v>
      </c>
      <c r="G435" s="3" t="s">
        <v>16</v>
      </c>
      <c r="H435" s="3" t="s">
        <v>559</v>
      </c>
    </row>
    <row r="436" spans="1:8" x14ac:dyDescent="0.35">
      <c r="A436" s="3" t="s">
        <v>1874</v>
      </c>
      <c r="B436" s="3" t="s">
        <v>20</v>
      </c>
      <c r="C436" s="3" t="s">
        <v>1883</v>
      </c>
      <c r="D436" s="3" t="s">
        <v>27</v>
      </c>
      <c r="E436" s="3"/>
      <c r="F436" s="3"/>
      <c r="G436" s="3" t="s">
        <v>16</v>
      </c>
      <c r="H436" s="3" t="s">
        <v>559</v>
      </c>
    </row>
    <row r="437" spans="1:8" x14ac:dyDescent="0.35">
      <c r="A437" s="3" t="s">
        <v>1874</v>
      </c>
      <c r="B437" s="3" t="s">
        <v>20</v>
      </c>
      <c r="C437" s="3" t="s">
        <v>1883</v>
      </c>
      <c r="D437" s="3" t="s">
        <v>77</v>
      </c>
      <c r="E437" s="3"/>
      <c r="F437" s="3"/>
      <c r="G437" s="3" t="s">
        <v>16</v>
      </c>
      <c r="H437" s="3" t="s">
        <v>559</v>
      </c>
    </row>
    <row r="438" spans="1:8" x14ac:dyDescent="0.35">
      <c r="A438" s="3" t="s">
        <v>1874</v>
      </c>
      <c r="B438" s="3" t="s">
        <v>20</v>
      </c>
      <c r="C438" s="3" t="s">
        <v>1883</v>
      </c>
      <c r="D438" s="3" t="s">
        <v>24</v>
      </c>
      <c r="E438" s="3"/>
      <c r="F438" s="3"/>
      <c r="G438" s="3" t="s">
        <v>16</v>
      </c>
      <c r="H438" s="3" t="s">
        <v>559</v>
      </c>
    </row>
    <row r="439" spans="1:8" x14ac:dyDescent="0.35">
      <c r="A439" s="3" t="s">
        <v>1874</v>
      </c>
      <c r="B439" s="3" t="s">
        <v>20</v>
      </c>
      <c r="C439" s="3" t="s">
        <v>1883</v>
      </c>
      <c r="D439" s="3" t="s">
        <v>290</v>
      </c>
      <c r="E439" s="3"/>
      <c r="F439" s="3"/>
      <c r="G439" s="3" t="s">
        <v>16</v>
      </c>
      <c r="H439" s="3" t="s">
        <v>559</v>
      </c>
    </row>
    <row r="440" spans="1:8" x14ac:dyDescent="0.35">
      <c r="A440" s="3" t="s">
        <v>1874</v>
      </c>
      <c r="B440" s="3" t="s">
        <v>20</v>
      </c>
      <c r="C440" s="3" t="s">
        <v>1885</v>
      </c>
      <c r="D440" s="3" t="s">
        <v>23</v>
      </c>
      <c r="E440" s="3"/>
      <c r="F440" s="3"/>
      <c r="G440" s="3" t="s">
        <v>16</v>
      </c>
      <c r="H440" s="3" t="s">
        <v>559</v>
      </c>
    </row>
    <row r="441" spans="1:8" x14ac:dyDescent="0.35">
      <c r="A441" s="3" t="s">
        <v>1874</v>
      </c>
      <c r="B441" s="3" t="s">
        <v>20</v>
      </c>
      <c r="C441" s="3" t="s">
        <v>1885</v>
      </c>
      <c r="D441" s="3" t="s">
        <v>27</v>
      </c>
      <c r="E441" s="3"/>
      <c r="F441" s="3"/>
      <c r="G441" s="3" t="s">
        <v>16</v>
      </c>
      <c r="H441" s="3" t="s">
        <v>559</v>
      </c>
    </row>
    <row r="442" spans="1:8" x14ac:dyDescent="0.35">
      <c r="A442" s="3" t="s">
        <v>1874</v>
      </c>
      <c r="B442" s="3" t="s">
        <v>20</v>
      </c>
      <c r="C442" s="3" t="s">
        <v>1885</v>
      </c>
      <c r="D442" s="3" t="s">
        <v>77</v>
      </c>
      <c r="E442" s="3"/>
      <c r="F442" s="3"/>
      <c r="G442" s="3" t="s">
        <v>16</v>
      </c>
      <c r="H442" s="3" t="s">
        <v>559</v>
      </c>
    </row>
    <row r="443" spans="1:8" x14ac:dyDescent="0.35">
      <c r="A443" s="3" t="s">
        <v>1874</v>
      </c>
      <c r="B443" s="3" t="s">
        <v>20</v>
      </c>
      <c r="C443" s="3" t="s">
        <v>1885</v>
      </c>
      <c r="D443" s="3" t="s">
        <v>185</v>
      </c>
      <c r="E443" s="3" t="s">
        <v>13</v>
      </c>
      <c r="F443" s="3" t="s">
        <v>1886</v>
      </c>
      <c r="G443" s="3" t="s">
        <v>16</v>
      </c>
      <c r="H443" s="3" t="s">
        <v>559</v>
      </c>
    </row>
    <row r="444" spans="1:8" x14ac:dyDescent="0.35">
      <c r="A444" s="3" t="s">
        <v>1874</v>
      </c>
      <c r="B444" s="3" t="s">
        <v>20</v>
      </c>
      <c r="C444" s="3" t="s">
        <v>1885</v>
      </c>
      <c r="D444" s="3" t="s">
        <v>37</v>
      </c>
      <c r="E444" s="3"/>
      <c r="F444" s="3"/>
      <c r="G444" s="3" t="s">
        <v>16</v>
      </c>
      <c r="H444" s="3" t="s">
        <v>559</v>
      </c>
    </row>
    <row r="445" spans="1:8" x14ac:dyDescent="0.35">
      <c r="A445" s="3" t="s">
        <v>1874</v>
      </c>
      <c r="B445" s="3" t="s">
        <v>20</v>
      </c>
      <c r="C445" s="3" t="s">
        <v>1885</v>
      </c>
      <c r="D445" s="3" t="s">
        <v>152</v>
      </c>
      <c r="E445" s="3"/>
      <c r="F445" s="3" t="s">
        <v>2485</v>
      </c>
      <c r="G445" s="3" t="s">
        <v>16</v>
      </c>
      <c r="H445" s="3" t="s">
        <v>559</v>
      </c>
    </row>
    <row r="446" spans="1:8" x14ac:dyDescent="0.35">
      <c r="A446" s="3" t="s">
        <v>1874</v>
      </c>
      <c r="B446" s="3" t="s">
        <v>20</v>
      </c>
      <c r="C446" s="3" t="s">
        <v>1887</v>
      </c>
      <c r="D446" s="3" t="s">
        <v>23</v>
      </c>
      <c r="E446" s="3" t="s">
        <v>16</v>
      </c>
      <c r="F446" s="3" t="s">
        <v>1789</v>
      </c>
      <c r="G446" s="3" t="s">
        <v>16</v>
      </c>
      <c r="H446" s="3" t="s">
        <v>559</v>
      </c>
    </row>
    <row r="447" spans="1:8" x14ac:dyDescent="0.35">
      <c r="A447" s="3" t="s">
        <v>1874</v>
      </c>
      <c r="B447" s="3" t="s">
        <v>20</v>
      </c>
      <c r="C447" s="3" t="s">
        <v>1887</v>
      </c>
      <c r="D447" s="3" t="s">
        <v>27</v>
      </c>
      <c r="E447" s="3" t="s">
        <v>16</v>
      </c>
      <c r="F447" s="3" t="s">
        <v>1789</v>
      </c>
      <c r="G447" s="3" t="s">
        <v>16</v>
      </c>
      <c r="H447" s="3" t="s">
        <v>559</v>
      </c>
    </row>
    <row r="448" spans="1:8" x14ac:dyDescent="0.35">
      <c r="A448" s="3" t="s">
        <v>1874</v>
      </c>
      <c r="B448" s="3" t="s">
        <v>20</v>
      </c>
      <c r="C448" s="3" t="s">
        <v>1887</v>
      </c>
      <c r="D448" s="3" t="s">
        <v>77</v>
      </c>
      <c r="E448" s="3" t="s">
        <v>16</v>
      </c>
      <c r="F448" s="3" t="s">
        <v>1789</v>
      </c>
      <c r="G448" s="3" t="s">
        <v>16</v>
      </c>
      <c r="H448" s="3" t="s">
        <v>559</v>
      </c>
    </row>
    <row r="449" spans="1:8" x14ac:dyDescent="0.35">
      <c r="A449" s="3" t="s">
        <v>1874</v>
      </c>
      <c r="B449" s="3" t="s">
        <v>20</v>
      </c>
      <c r="C449" s="3" t="s">
        <v>1887</v>
      </c>
      <c r="D449" s="3" t="s">
        <v>15</v>
      </c>
      <c r="E449" s="3" t="s">
        <v>16</v>
      </c>
      <c r="F449" s="3" t="s">
        <v>1888</v>
      </c>
      <c r="G449" s="3" t="s">
        <v>16</v>
      </c>
      <c r="H449" s="3" t="s">
        <v>559</v>
      </c>
    </row>
    <row r="450" spans="1:8" x14ac:dyDescent="0.35">
      <c r="A450" s="3" t="s">
        <v>1874</v>
      </c>
      <c r="B450" s="3" t="s">
        <v>20</v>
      </c>
      <c r="C450" s="3" t="s">
        <v>1887</v>
      </c>
      <c r="D450" s="3" t="s">
        <v>290</v>
      </c>
      <c r="E450" s="3" t="s">
        <v>16</v>
      </c>
      <c r="F450" s="3" t="s">
        <v>1889</v>
      </c>
      <c r="G450" s="3" t="s">
        <v>16</v>
      </c>
      <c r="H450" s="3" t="s">
        <v>559</v>
      </c>
    </row>
    <row r="451" spans="1:8" x14ac:dyDescent="0.35">
      <c r="A451" s="3" t="s">
        <v>1890</v>
      </c>
      <c r="B451" s="3" t="s">
        <v>42</v>
      </c>
      <c r="C451" s="3" t="s">
        <v>1891</v>
      </c>
      <c r="D451" s="3" t="s">
        <v>23</v>
      </c>
      <c r="E451" s="3" t="s">
        <v>16</v>
      </c>
      <c r="F451" s="3" t="s">
        <v>1774</v>
      </c>
      <c r="G451" s="3" t="s">
        <v>16</v>
      </c>
      <c r="H451" s="3" t="s">
        <v>559</v>
      </c>
    </row>
    <row r="452" spans="1:8" x14ac:dyDescent="0.35">
      <c r="A452" s="3" t="s">
        <v>1890</v>
      </c>
      <c r="B452" s="3" t="s">
        <v>42</v>
      </c>
      <c r="C452" s="3" t="s">
        <v>1891</v>
      </c>
      <c r="D452" s="3" t="s">
        <v>27</v>
      </c>
      <c r="E452" s="3"/>
      <c r="F452" s="3"/>
      <c r="G452" s="3" t="s">
        <v>16</v>
      </c>
      <c r="H452" s="3" t="s">
        <v>559</v>
      </c>
    </row>
    <row r="453" spans="1:8" x14ac:dyDescent="0.35">
      <c r="A453" s="3" t="s">
        <v>1890</v>
      </c>
      <c r="B453" s="3" t="s">
        <v>42</v>
      </c>
      <c r="C453" s="3" t="s">
        <v>1891</v>
      </c>
      <c r="D453" s="3" t="s">
        <v>87</v>
      </c>
      <c r="E453" s="3"/>
      <c r="F453" s="3"/>
      <c r="G453" s="3" t="s">
        <v>16</v>
      </c>
      <c r="H453" s="3" t="s">
        <v>559</v>
      </c>
    </row>
    <row r="454" spans="1:8" x14ac:dyDescent="0.35">
      <c r="A454" s="3" t="s">
        <v>1890</v>
      </c>
      <c r="B454" s="3" t="s">
        <v>42</v>
      </c>
      <c r="C454" s="3" t="s">
        <v>1891</v>
      </c>
      <c r="D454" s="3" t="s">
        <v>290</v>
      </c>
      <c r="E454" s="3" t="s">
        <v>16</v>
      </c>
      <c r="F454" s="3" t="s">
        <v>1892</v>
      </c>
      <c r="G454" s="3" t="s">
        <v>16</v>
      </c>
      <c r="H454" s="3" t="s">
        <v>559</v>
      </c>
    </row>
    <row r="455" spans="1:8" x14ac:dyDescent="0.35">
      <c r="A455" s="3" t="s">
        <v>1890</v>
      </c>
      <c r="B455" s="3" t="s">
        <v>20</v>
      </c>
      <c r="C455" s="3" t="s">
        <v>1893</v>
      </c>
      <c r="D455" s="3" t="s">
        <v>23</v>
      </c>
      <c r="E455" s="3"/>
      <c r="F455" s="3"/>
      <c r="G455" s="3" t="s">
        <v>16</v>
      </c>
      <c r="H455" s="3" t="s">
        <v>559</v>
      </c>
    </row>
    <row r="456" spans="1:8" x14ac:dyDescent="0.35">
      <c r="A456" s="3" t="s">
        <v>1890</v>
      </c>
      <c r="B456" s="3" t="s">
        <v>20</v>
      </c>
      <c r="C456" s="3" t="s">
        <v>1893</v>
      </c>
      <c r="D456" s="3" t="s">
        <v>290</v>
      </c>
      <c r="E456" s="3"/>
      <c r="F456" s="3"/>
      <c r="G456" s="3" t="s">
        <v>16</v>
      </c>
      <c r="H456" s="3" t="s">
        <v>559</v>
      </c>
    </row>
    <row r="457" spans="1:8" x14ac:dyDescent="0.35">
      <c r="A457" s="3" t="s">
        <v>1890</v>
      </c>
      <c r="B457" s="3" t="s">
        <v>39</v>
      </c>
      <c r="C457" s="3" t="s">
        <v>2732</v>
      </c>
      <c r="D457" s="3" t="s">
        <v>23</v>
      </c>
      <c r="E457" s="3" t="s">
        <v>16</v>
      </c>
      <c r="F457" s="3" t="s">
        <v>2733</v>
      </c>
      <c r="G457" s="3" t="s">
        <v>16</v>
      </c>
      <c r="H457" s="3" t="s">
        <v>559</v>
      </c>
    </row>
    <row r="458" spans="1:8" x14ac:dyDescent="0.35">
      <c r="A458" s="3" t="s">
        <v>1890</v>
      </c>
      <c r="B458" s="3" t="s">
        <v>39</v>
      </c>
      <c r="C458" s="3" t="s">
        <v>2732</v>
      </c>
      <c r="D458" s="3" t="s">
        <v>27</v>
      </c>
      <c r="E458" s="3" t="s">
        <v>16</v>
      </c>
      <c r="F458" s="3" t="s">
        <v>2733</v>
      </c>
      <c r="G458" s="3" t="s">
        <v>16</v>
      </c>
      <c r="H458" s="3" t="s">
        <v>559</v>
      </c>
    </row>
    <row r="459" spans="1:8" x14ac:dyDescent="0.35">
      <c r="A459" s="3" t="s">
        <v>1890</v>
      </c>
      <c r="B459" s="3" t="s">
        <v>39</v>
      </c>
      <c r="C459" s="3" t="s">
        <v>2732</v>
      </c>
      <c r="D459" s="3" t="s">
        <v>77</v>
      </c>
      <c r="E459" s="3" t="s">
        <v>16</v>
      </c>
      <c r="F459" s="3" t="s">
        <v>2734</v>
      </c>
      <c r="G459" s="3" t="s">
        <v>16</v>
      </c>
      <c r="H459" s="3" t="s">
        <v>559</v>
      </c>
    </row>
    <row r="460" spans="1:8" x14ac:dyDescent="0.35">
      <c r="A460" s="3" t="s">
        <v>1890</v>
      </c>
      <c r="B460" s="3" t="s">
        <v>39</v>
      </c>
      <c r="C460" s="3" t="s">
        <v>2732</v>
      </c>
      <c r="D460" s="3" t="s">
        <v>15</v>
      </c>
      <c r="E460" s="3" t="s">
        <v>16</v>
      </c>
      <c r="F460" s="3" t="s">
        <v>2733</v>
      </c>
      <c r="G460" s="3" t="s">
        <v>16</v>
      </c>
      <c r="H460" s="3" t="s">
        <v>559</v>
      </c>
    </row>
    <row r="461" spans="1:8" x14ac:dyDescent="0.35">
      <c r="A461" s="3" t="s">
        <v>1890</v>
      </c>
      <c r="B461" s="3" t="s">
        <v>39</v>
      </c>
      <c r="C461" s="3" t="s">
        <v>2732</v>
      </c>
      <c r="D461" s="3" t="s">
        <v>290</v>
      </c>
      <c r="E461" s="3" t="s">
        <v>16</v>
      </c>
      <c r="F461" s="3" t="s">
        <v>2733</v>
      </c>
      <c r="G461" s="3" t="s">
        <v>16</v>
      </c>
      <c r="H461" s="3" t="s">
        <v>559</v>
      </c>
    </row>
    <row r="462" spans="1:8" x14ac:dyDescent="0.35">
      <c r="A462" s="3" t="s">
        <v>1894</v>
      </c>
      <c r="B462" s="3" t="s">
        <v>42</v>
      </c>
      <c r="C462" s="3" t="s">
        <v>1895</v>
      </c>
      <c r="D462" s="3" t="s">
        <v>23</v>
      </c>
      <c r="E462" s="3"/>
      <c r="F462" s="3"/>
      <c r="G462" s="3" t="s">
        <v>16</v>
      </c>
      <c r="H462" s="3" t="s">
        <v>559</v>
      </c>
    </row>
    <row r="463" spans="1:8" x14ac:dyDescent="0.35">
      <c r="A463" s="3" t="s">
        <v>1894</v>
      </c>
      <c r="B463" s="3" t="s">
        <v>42</v>
      </c>
      <c r="C463" s="3" t="s">
        <v>1895</v>
      </c>
      <c r="D463" s="3" t="s">
        <v>290</v>
      </c>
      <c r="E463" s="3" t="s">
        <v>16</v>
      </c>
      <c r="F463" s="3" t="s">
        <v>1896</v>
      </c>
      <c r="G463" s="3" t="s">
        <v>16</v>
      </c>
      <c r="H463" s="3" t="s">
        <v>559</v>
      </c>
    </row>
    <row r="464" spans="1:8" x14ac:dyDescent="0.35">
      <c r="A464" s="3" t="s">
        <v>1894</v>
      </c>
      <c r="B464" s="3" t="s">
        <v>39</v>
      </c>
      <c r="C464" s="3" t="s">
        <v>1897</v>
      </c>
      <c r="D464" s="3" t="s">
        <v>27</v>
      </c>
      <c r="E464" s="3" t="s">
        <v>16</v>
      </c>
      <c r="F464" s="3" t="s">
        <v>1800</v>
      </c>
      <c r="G464" s="3" t="s">
        <v>16</v>
      </c>
      <c r="H464" s="3" t="s">
        <v>559</v>
      </c>
    </row>
    <row r="465" spans="1:8" x14ac:dyDescent="0.35">
      <c r="A465" s="3" t="s">
        <v>1894</v>
      </c>
      <c r="B465" s="3" t="s">
        <v>39</v>
      </c>
      <c r="C465" s="3" t="s">
        <v>1897</v>
      </c>
      <c r="D465" s="3" t="s">
        <v>290</v>
      </c>
      <c r="E465" s="3" t="s">
        <v>16</v>
      </c>
      <c r="F465" s="3" t="s">
        <v>1800</v>
      </c>
      <c r="G465" s="3" t="s">
        <v>16</v>
      </c>
      <c r="H465" s="3" t="s">
        <v>559</v>
      </c>
    </row>
    <row r="466" spans="1:8" x14ac:dyDescent="0.35">
      <c r="A466" s="3" t="s">
        <v>1894</v>
      </c>
      <c r="B466" s="3" t="s">
        <v>20</v>
      </c>
      <c r="C466" s="3" t="s">
        <v>1898</v>
      </c>
      <c r="D466" s="3" t="s">
        <v>36</v>
      </c>
      <c r="E466" s="3"/>
      <c r="F466" s="3"/>
      <c r="G466" s="3" t="s">
        <v>16</v>
      </c>
      <c r="H466" s="3" t="s">
        <v>559</v>
      </c>
    </row>
    <row r="467" spans="1:8" x14ac:dyDescent="0.35">
      <c r="A467" s="3" t="s">
        <v>1894</v>
      </c>
      <c r="B467" s="3" t="s">
        <v>20</v>
      </c>
      <c r="C467" s="3" t="s">
        <v>1898</v>
      </c>
      <c r="D467" s="3" t="s">
        <v>23</v>
      </c>
      <c r="E467" s="3" t="s">
        <v>16</v>
      </c>
      <c r="F467" s="3" t="s">
        <v>1755</v>
      </c>
      <c r="G467" s="3" t="s">
        <v>16</v>
      </c>
      <c r="H467" s="3" t="s">
        <v>559</v>
      </c>
    </row>
    <row r="468" spans="1:8" x14ac:dyDescent="0.35">
      <c r="A468" s="3" t="s">
        <v>1894</v>
      </c>
      <c r="B468" s="3" t="s">
        <v>20</v>
      </c>
      <c r="C468" s="3" t="s">
        <v>1898</v>
      </c>
      <c r="D468" s="3" t="s">
        <v>27</v>
      </c>
      <c r="E468" s="3"/>
      <c r="F468" s="3"/>
      <c r="G468" s="3" t="s">
        <v>16</v>
      </c>
      <c r="H468" s="3" t="s">
        <v>559</v>
      </c>
    </row>
    <row r="469" spans="1:8" x14ac:dyDescent="0.35">
      <c r="A469" s="3" t="s">
        <v>1894</v>
      </c>
      <c r="B469" s="3" t="s">
        <v>20</v>
      </c>
      <c r="C469" s="3" t="s">
        <v>1898</v>
      </c>
      <c r="D469" s="3" t="s">
        <v>87</v>
      </c>
      <c r="E469" s="3"/>
      <c r="F469" s="3"/>
      <c r="G469" s="3" t="s">
        <v>16</v>
      </c>
      <c r="H469" s="3" t="s">
        <v>559</v>
      </c>
    </row>
    <row r="470" spans="1:8" x14ac:dyDescent="0.35">
      <c r="A470" s="3" t="s">
        <v>1894</v>
      </c>
      <c r="B470" s="3" t="s">
        <v>20</v>
      </c>
      <c r="C470" s="3" t="s">
        <v>1898</v>
      </c>
      <c r="D470" s="3" t="s">
        <v>185</v>
      </c>
      <c r="E470" s="3" t="s">
        <v>16</v>
      </c>
      <c r="F470" s="3" t="s">
        <v>2482</v>
      </c>
      <c r="G470" s="3" t="s">
        <v>16</v>
      </c>
      <c r="H470" s="3" t="s">
        <v>559</v>
      </c>
    </row>
    <row r="471" spans="1:8" x14ac:dyDescent="0.35">
      <c r="A471" s="3" t="s">
        <v>1894</v>
      </c>
      <c r="B471" s="3" t="s">
        <v>20</v>
      </c>
      <c r="C471" s="3" t="s">
        <v>1898</v>
      </c>
      <c r="D471" s="3" t="s">
        <v>15</v>
      </c>
      <c r="E471" s="3" t="s">
        <v>33</v>
      </c>
      <c r="F471" s="3" t="s">
        <v>34</v>
      </c>
      <c r="G471" s="3" t="s">
        <v>16</v>
      </c>
      <c r="H471" s="3" t="s">
        <v>559</v>
      </c>
    </row>
    <row r="472" spans="1:8" x14ac:dyDescent="0.35">
      <c r="A472" s="3" t="s">
        <v>1894</v>
      </c>
      <c r="B472" s="3" t="s">
        <v>20</v>
      </c>
      <c r="C472" s="3" t="s">
        <v>1898</v>
      </c>
      <c r="D472" s="3" t="s">
        <v>32</v>
      </c>
      <c r="E472" s="3"/>
      <c r="F472" s="3" t="s">
        <v>2483</v>
      </c>
      <c r="G472" s="3" t="s">
        <v>16</v>
      </c>
      <c r="H472" s="3" t="s">
        <v>559</v>
      </c>
    </row>
    <row r="473" spans="1:8" x14ac:dyDescent="0.35">
      <c r="A473" s="3" t="s">
        <v>1894</v>
      </c>
      <c r="B473" s="3" t="s">
        <v>20</v>
      </c>
      <c r="C473" s="3" t="s">
        <v>1898</v>
      </c>
      <c r="D473" s="3" t="s">
        <v>290</v>
      </c>
      <c r="E473" s="3" t="s">
        <v>16</v>
      </c>
      <c r="F473" s="3" t="s">
        <v>1755</v>
      </c>
      <c r="G473" s="3" t="s">
        <v>16</v>
      </c>
      <c r="H473" s="3" t="s">
        <v>559</v>
      </c>
    </row>
    <row r="474" spans="1:8" x14ac:dyDescent="0.35">
      <c r="A474" s="3" t="s">
        <v>1894</v>
      </c>
      <c r="B474" s="3" t="s">
        <v>20</v>
      </c>
      <c r="C474" s="3" t="s">
        <v>1899</v>
      </c>
      <c r="D474" s="3" t="s">
        <v>25</v>
      </c>
      <c r="E474" s="3"/>
      <c r="F474" s="3"/>
      <c r="G474" s="3" t="s">
        <v>16</v>
      </c>
      <c r="H474" s="3" t="s">
        <v>559</v>
      </c>
    </row>
    <row r="475" spans="1:8" x14ac:dyDescent="0.35">
      <c r="A475" s="3" t="s">
        <v>1894</v>
      </c>
      <c r="B475" s="3" t="s">
        <v>20</v>
      </c>
      <c r="C475" s="3" t="s">
        <v>1899</v>
      </c>
      <c r="D475" s="3" t="s">
        <v>27</v>
      </c>
      <c r="E475" s="3"/>
      <c r="F475" s="3"/>
      <c r="G475" s="3" t="s">
        <v>16</v>
      </c>
      <c r="H475" s="3" t="s">
        <v>559</v>
      </c>
    </row>
    <row r="476" spans="1:8" x14ac:dyDescent="0.35">
      <c r="A476" s="3" t="s">
        <v>1894</v>
      </c>
      <c r="B476" s="3" t="s">
        <v>20</v>
      </c>
      <c r="C476" s="3" t="s">
        <v>1899</v>
      </c>
      <c r="D476" s="3" t="s">
        <v>77</v>
      </c>
      <c r="E476" s="3"/>
      <c r="F476" s="3"/>
      <c r="G476" s="3" t="s">
        <v>16</v>
      </c>
      <c r="H476" s="3" t="s">
        <v>559</v>
      </c>
    </row>
    <row r="477" spans="1:8" x14ac:dyDescent="0.35">
      <c r="A477" s="3" t="s">
        <v>1894</v>
      </c>
      <c r="B477" s="3" t="s">
        <v>20</v>
      </c>
      <c r="C477" s="3" t="s">
        <v>1899</v>
      </c>
      <c r="D477" s="3" t="s">
        <v>15</v>
      </c>
      <c r="E477" s="3" t="s">
        <v>16</v>
      </c>
      <c r="F477" s="3" t="s">
        <v>1900</v>
      </c>
      <c r="G477" s="3" t="s">
        <v>16</v>
      </c>
      <c r="H477" s="3" t="s">
        <v>559</v>
      </c>
    </row>
    <row r="478" spans="1:8" x14ac:dyDescent="0.35">
      <c r="A478" s="3" t="s">
        <v>1894</v>
      </c>
      <c r="B478" s="3" t="s">
        <v>20</v>
      </c>
      <c r="C478" s="3" t="s">
        <v>1899</v>
      </c>
      <c r="D478" s="3" t="s">
        <v>290</v>
      </c>
      <c r="E478" s="3" t="s">
        <v>16</v>
      </c>
      <c r="F478" s="3" t="s">
        <v>1901</v>
      </c>
      <c r="G478" s="3" t="s">
        <v>16</v>
      </c>
      <c r="H478" s="3" t="s">
        <v>559</v>
      </c>
    </row>
    <row r="479" spans="1:8" x14ac:dyDescent="0.35">
      <c r="A479" s="3" t="s">
        <v>1902</v>
      </c>
      <c r="B479" s="3" t="s">
        <v>20</v>
      </c>
      <c r="C479" s="3" t="s">
        <v>1903</v>
      </c>
      <c r="D479" s="3" t="s">
        <v>23</v>
      </c>
      <c r="E479" s="3"/>
      <c r="F479" s="3"/>
      <c r="G479" s="3"/>
      <c r="H479" s="3"/>
    </row>
    <row r="480" spans="1:8" x14ac:dyDescent="0.35">
      <c r="A480" s="3" t="s">
        <v>1902</v>
      </c>
      <c r="B480" s="3" t="s">
        <v>20</v>
      </c>
      <c r="C480" s="3" t="s">
        <v>1903</v>
      </c>
      <c r="D480" s="3" t="s">
        <v>27</v>
      </c>
      <c r="E480" s="3"/>
      <c r="F480" s="3"/>
      <c r="G480" s="3"/>
      <c r="H480" s="3"/>
    </row>
    <row r="481" spans="1:8" x14ac:dyDescent="0.35">
      <c r="A481" s="3" t="s">
        <v>1902</v>
      </c>
      <c r="B481" s="3" t="s">
        <v>20</v>
      </c>
      <c r="C481" s="3" t="s">
        <v>1903</v>
      </c>
      <c r="D481" s="3" t="s">
        <v>56</v>
      </c>
      <c r="E481" s="3"/>
      <c r="F481" s="3"/>
      <c r="G481" s="3"/>
      <c r="H481" s="3"/>
    </row>
    <row r="482" spans="1:8" x14ac:dyDescent="0.35">
      <c r="A482" s="3" t="s">
        <v>1902</v>
      </c>
      <c r="B482" s="3" t="s">
        <v>20</v>
      </c>
      <c r="C482" s="3" t="s">
        <v>1903</v>
      </c>
      <c r="D482" s="3" t="s">
        <v>24</v>
      </c>
      <c r="E482" s="3"/>
      <c r="F482" s="3"/>
      <c r="G482" s="3"/>
      <c r="H482" s="3"/>
    </row>
    <row r="483" spans="1:8" x14ac:dyDescent="0.35">
      <c r="A483" s="3" t="s">
        <v>1902</v>
      </c>
      <c r="B483" s="3" t="s">
        <v>20</v>
      </c>
      <c r="C483" s="3" t="s">
        <v>1904</v>
      </c>
      <c r="D483" s="3" t="s">
        <v>23</v>
      </c>
      <c r="E483" s="3"/>
      <c r="F483" s="3"/>
      <c r="G483" s="3"/>
      <c r="H483" s="3"/>
    </row>
    <row r="484" spans="1:8" x14ac:dyDescent="0.35">
      <c r="A484" s="3" t="s">
        <v>1902</v>
      </c>
      <c r="B484" s="3" t="s">
        <v>20</v>
      </c>
      <c r="C484" s="3" t="s">
        <v>1904</v>
      </c>
      <c r="D484" s="3" t="s">
        <v>27</v>
      </c>
      <c r="E484" s="3"/>
      <c r="F484" s="3"/>
      <c r="G484" s="3"/>
      <c r="H484" s="3"/>
    </row>
    <row r="485" spans="1:8" x14ac:dyDescent="0.35">
      <c r="A485" s="3" t="s">
        <v>1902</v>
      </c>
      <c r="B485" s="3" t="s">
        <v>20</v>
      </c>
      <c r="C485" s="3" t="s">
        <v>1904</v>
      </c>
      <c r="D485" s="3" t="s">
        <v>24</v>
      </c>
      <c r="E485" s="3"/>
      <c r="F485" s="3"/>
      <c r="G485" s="3"/>
      <c r="H485" s="3"/>
    </row>
    <row r="486" spans="1:8" x14ac:dyDescent="0.35">
      <c r="A486" s="3" t="s">
        <v>1905</v>
      </c>
      <c r="B486" s="3" t="s">
        <v>20</v>
      </c>
      <c r="C486" s="3" t="s">
        <v>1906</v>
      </c>
      <c r="D486" s="3" t="s">
        <v>27</v>
      </c>
      <c r="E486" s="3"/>
      <c r="F486" s="3"/>
      <c r="G486" s="3"/>
      <c r="H486" s="3"/>
    </row>
    <row r="487" spans="1:8" x14ac:dyDescent="0.35">
      <c r="A487" s="3" t="s">
        <v>1907</v>
      </c>
      <c r="B487" s="3" t="s">
        <v>20</v>
      </c>
      <c r="C487" s="3" t="s">
        <v>1908</v>
      </c>
      <c r="D487" s="3" t="s">
        <v>23</v>
      </c>
      <c r="E487" s="3"/>
      <c r="F487" s="3"/>
      <c r="G487" s="3"/>
      <c r="H487" s="3"/>
    </row>
    <row r="488" spans="1:8" x14ac:dyDescent="0.35">
      <c r="A488" s="3" t="s">
        <v>1907</v>
      </c>
      <c r="B488" s="3" t="s">
        <v>20</v>
      </c>
      <c r="C488" s="3" t="s">
        <v>1908</v>
      </c>
      <c r="D488" s="3" t="s">
        <v>28</v>
      </c>
      <c r="E488" s="3"/>
      <c r="F488" s="3"/>
      <c r="G488" s="3"/>
      <c r="H488" s="3"/>
    </row>
    <row r="489" spans="1:8" x14ac:dyDescent="0.35">
      <c r="A489" s="3" t="s">
        <v>1909</v>
      </c>
      <c r="B489" s="3" t="s">
        <v>20</v>
      </c>
      <c r="C489" s="3" t="s">
        <v>1910</v>
      </c>
      <c r="D489" s="3" t="s">
        <v>27</v>
      </c>
      <c r="E489" s="3"/>
      <c r="F489" s="3"/>
      <c r="G489" s="3"/>
      <c r="H489" s="3"/>
    </row>
    <row r="490" spans="1:8" x14ac:dyDescent="0.35">
      <c r="A490" s="3" t="s">
        <v>1909</v>
      </c>
      <c r="B490" s="3" t="s">
        <v>20</v>
      </c>
      <c r="C490" s="3" t="s">
        <v>1910</v>
      </c>
      <c r="D490" s="3" t="s">
        <v>87</v>
      </c>
      <c r="E490" s="3"/>
      <c r="F490" s="3"/>
      <c r="G490" s="3"/>
      <c r="H490" s="3"/>
    </row>
    <row r="491" spans="1:8" x14ac:dyDescent="0.35">
      <c r="A491" s="3" t="s">
        <v>1909</v>
      </c>
      <c r="B491" s="3" t="s">
        <v>20</v>
      </c>
      <c r="C491" s="3" t="s">
        <v>1910</v>
      </c>
      <c r="D491" s="3" t="s">
        <v>15</v>
      </c>
      <c r="E491" s="3"/>
      <c r="F491" s="3"/>
      <c r="G491" s="3"/>
      <c r="H491" s="3"/>
    </row>
    <row r="492" spans="1:8" x14ac:dyDescent="0.35">
      <c r="A492" s="3" t="s">
        <v>1911</v>
      </c>
      <c r="B492" s="3" t="s">
        <v>42</v>
      </c>
      <c r="C492" s="3" t="s">
        <v>1912</v>
      </c>
      <c r="D492" s="3" t="s">
        <v>27</v>
      </c>
      <c r="E492" s="3"/>
      <c r="F492" s="3"/>
      <c r="G492" s="3" t="s">
        <v>16</v>
      </c>
      <c r="H492" s="3" t="s">
        <v>1913</v>
      </c>
    </row>
    <row r="493" spans="1:8" x14ac:dyDescent="0.35">
      <c r="A493" s="3" t="s">
        <v>1911</v>
      </c>
      <c r="B493" s="3" t="s">
        <v>42</v>
      </c>
      <c r="C493" s="3" t="s">
        <v>1912</v>
      </c>
      <c r="D493" s="3" t="s">
        <v>87</v>
      </c>
      <c r="E493" s="3"/>
      <c r="F493" s="3"/>
      <c r="G493" s="3" t="s">
        <v>16</v>
      </c>
      <c r="H493" s="3" t="s">
        <v>1913</v>
      </c>
    </row>
    <row r="494" spans="1:8" x14ac:dyDescent="0.35">
      <c r="A494" s="3" t="s">
        <v>1911</v>
      </c>
      <c r="B494" s="3" t="s">
        <v>42</v>
      </c>
      <c r="C494" s="3" t="s">
        <v>1912</v>
      </c>
      <c r="D494" s="3" t="s">
        <v>15</v>
      </c>
      <c r="E494" s="3" t="s">
        <v>16</v>
      </c>
      <c r="F494" s="3" t="s">
        <v>1914</v>
      </c>
      <c r="G494" s="3" t="s">
        <v>16</v>
      </c>
      <c r="H494" s="3" t="s">
        <v>1913</v>
      </c>
    </row>
    <row r="495" spans="1:8" x14ac:dyDescent="0.35">
      <c r="A495" s="3" t="s">
        <v>1911</v>
      </c>
      <c r="B495" s="3" t="s">
        <v>42</v>
      </c>
      <c r="C495" s="3" t="s">
        <v>1912</v>
      </c>
      <c r="D495" s="3" t="s">
        <v>24</v>
      </c>
      <c r="E495" s="3"/>
      <c r="F495" s="3"/>
      <c r="G495" s="3" t="s">
        <v>16</v>
      </c>
      <c r="H495" s="3" t="s">
        <v>1913</v>
      </c>
    </row>
    <row r="496" spans="1:8" x14ac:dyDescent="0.35">
      <c r="A496" s="3" t="s">
        <v>1915</v>
      </c>
      <c r="B496" s="3" t="s">
        <v>42</v>
      </c>
      <c r="C496" s="3" t="s">
        <v>1916</v>
      </c>
      <c r="D496" s="3" t="s">
        <v>23</v>
      </c>
      <c r="E496" s="3" t="s">
        <v>16</v>
      </c>
      <c r="F496" s="3" t="s">
        <v>913</v>
      </c>
      <c r="G496" s="3"/>
      <c r="H496" s="3"/>
    </row>
    <row r="497" spans="1:8" x14ac:dyDescent="0.35">
      <c r="A497" s="3" t="s">
        <v>1915</v>
      </c>
      <c r="B497" s="3" t="s">
        <v>42</v>
      </c>
      <c r="C497" s="3" t="s">
        <v>1916</v>
      </c>
      <c r="D497" s="3" t="s">
        <v>27</v>
      </c>
      <c r="E497" s="3" t="s">
        <v>16</v>
      </c>
      <c r="F497" s="3" t="s">
        <v>913</v>
      </c>
      <c r="G497" s="3"/>
      <c r="H497" s="3"/>
    </row>
    <row r="498" spans="1:8" x14ac:dyDescent="0.35">
      <c r="A498" s="3" t="s">
        <v>1915</v>
      </c>
      <c r="B498" s="3" t="s">
        <v>42</v>
      </c>
      <c r="C498" s="3" t="s">
        <v>1916</v>
      </c>
      <c r="D498" s="3" t="s">
        <v>87</v>
      </c>
      <c r="E498" s="3" t="s">
        <v>16</v>
      </c>
      <c r="F498" s="3" t="s">
        <v>913</v>
      </c>
      <c r="G498" s="3"/>
      <c r="H498" s="3"/>
    </row>
    <row r="499" spans="1:8" x14ac:dyDescent="0.35">
      <c r="A499" s="3" t="s">
        <v>1915</v>
      </c>
      <c r="B499" s="3" t="s">
        <v>42</v>
      </c>
      <c r="C499" s="3" t="s">
        <v>1916</v>
      </c>
      <c r="D499" s="3" t="s">
        <v>15</v>
      </c>
      <c r="E499" s="3" t="s">
        <v>16</v>
      </c>
      <c r="F499" s="3" t="s">
        <v>913</v>
      </c>
      <c r="G499" s="3"/>
      <c r="H499" s="3"/>
    </row>
    <row r="500" spans="1:8" x14ac:dyDescent="0.35">
      <c r="A500" s="3" t="s">
        <v>1915</v>
      </c>
      <c r="B500" s="3" t="s">
        <v>20</v>
      </c>
      <c r="C500" s="3" t="s">
        <v>1917</v>
      </c>
      <c r="D500" s="3" t="s">
        <v>23</v>
      </c>
      <c r="E500" s="3"/>
      <c r="F500" s="3"/>
      <c r="G500" s="3"/>
      <c r="H500" s="3"/>
    </row>
    <row r="501" spans="1:8" x14ac:dyDescent="0.35">
      <c r="A501" s="3" t="s">
        <v>1915</v>
      </c>
      <c r="B501" s="3" t="s">
        <v>20</v>
      </c>
      <c r="C501" s="3" t="s">
        <v>1917</v>
      </c>
      <c r="D501" s="3" t="s">
        <v>27</v>
      </c>
      <c r="E501" s="3"/>
      <c r="F501" s="3"/>
      <c r="G501" s="3"/>
      <c r="H501" s="3"/>
    </row>
    <row r="502" spans="1:8" x14ac:dyDescent="0.35">
      <c r="A502" s="3" t="s">
        <v>1915</v>
      </c>
      <c r="B502" s="3" t="s">
        <v>20</v>
      </c>
      <c r="C502" s="3" t="s">
        <v>1917</v>
      </c>
      <c r="D502" s="3" t="s">
        <v>15</v>
      </c>
      <c r="E502" s="3" t="s">
        <v>16</v>
      </c>
      <c r="F502" s="3" t="s">
        <v>1918</v>
      </c>
      <c r="G502" s="3"/>
      <c r="H502" s="3"/>
    </row>
    <row r="503" spans="1:8" x14ac:dyDescent="0.35">
      <c r="A503" s="3" t="s">
        <v>1915</v>
      </c>
      <c r="B503" s="3" t="s">
        <v>20</v>
      </c>
      <c r="C503" s="3" t="s">
        <v>1917</v>
      </c>
      <c r="D503" s="3" t="s">
        <v>56</v>
      </c>
      <c r="E503" s="3" t="s">
        <v>16</v>
      </c>
      <c r="F503" s="3" t="s">
        <v>1919</v>
      </c>
      <c r="G503" s="3"/>
      <c r="H503" s="3"/>
    </row>
    <row r="504" spans="1:8" x14ac:dyDescent="0.35">
      <c r="A504" s="3" t="s">
        <v>1915</v>
      </c>
      <c r="B504" s="3" t="s">
        <v>20</v>
      </c>
      <c r="C504" s="3" t="s">
        <v>1917</v>
      </c>
      <c r="D504" s="3" t="s">
        <v>24</v>
      </c>
      <c r="E504" s="3"/>
      <c r="F504" s="3"/>
      <c r="G504" s="3"/>
      <c r="H504" s="3"/>
    </row>
    <row r="505" spans="1:8" x14ac:dyDescent="0.35">
      <c r="A505" s="3" t="s">
        <v>1915</v>
      </c>
      <c r="B505" s="3" t="s">
        <v>20</v>
      </c>
      <c r="C505" s="3" t="s">
        <v>1920</v>
      </c>
      <c r="D505" s="3" t="s">
        <v>23</v>
      </c>
      <c r="E505" s="3"/>
      <c r="F505" s="3" t="s">
        <v>2359</v>
      </c>
      <c r="G505" s="3"/>
      <c r="H505" s="3"/>
    </row>
    <row r="506" spans="1:8" x14ac:dyDescent="0.35">
      <c r="A506" s="3" t="s">
        <v>1915</v>
      </c>
      <c r="B506" s="3" t="s">
        <v>20</v>
      </c>
      <c r="C506" s="3" t="s">
        <v>1920</v>
      </c>
      <c r="D506" s="3" t="s">
        <v>27</v>
      </c>
      <c r="E506" s="3"/>
      <c r="F506" s="3" t="s">
        <v>2317</v>
      </c>
      <c r="G506" s="3"/>
      <c r="H506" s="3"/>
    </row>
    <row r="507" spans="1:8" x14ac:dyDescent="0.35">
      <c r="A507" s="3" t="s">
        <v>1915</v>
      </c>
      <c r="B507" s="3" t="s">
        <v>20</v>
      </c>
      <c r="C507" s="3" t="s">
        <v>1920</v>
      </c>
      <c r="D507" s="3" t="s">
        <v>87</v>
      </c>
      <c r="E507" s="3" t="s">
        <v>16</v>
      </c>
      <c r="F507" s="3" t="s">
        <v>2491</v>
      </c>
      <c r="G507" s="3"/>
      <c r="H507" s="3"/>
    </row>
    <row r="508" spans="1:8" x14ac:dyDescent="0.35">
      <c r="A508" s="3" t="s">
        <v>1915</v>
      </c>
      <c r="B508" s="3" t="s">
        <v>20</v>
      </c>
      <c r="C508" s="3" t="s">
        <v>1920</v>
      </c>
      <c r="D508" s="3" t="s">
        <v>56</v>
      </c>
      <c r="E508" s="3" t="s">
        <v>16</v>
      </c>
      <c r="F508" s="3" t="s">
        <v>2492</v>
      </c>
      <c r="G508" s="3"/>
      <c r="H508" s="3"/>
    </row>
    <row r="509" spans="1:8" x14ac:dyDescent="0.35">
      <c r="A509" s="3" t="s">
        <v>1921</v>
      </c>
      <c r="B509" s="3" t="s">
        <v>39</v>
      </c>
      <c r="C509" s="3" t="s">
        <v>1922</v>
      </c>
      <c r="D509" s="3" t="s">
        <v>15</v>
      </c>
      <c r="E509" s="3" t="s">
        <v>16</v>
      </c>
      <c r="F509" s="3" t="s">
        <v>1923</v>
      </c>
      <c r="G509" s="3"/>
      <c r="H509" s="3"/>
    </row>
    <row r="510" spans="1:8" x14ac:dyDescent="0.35">
      <c r="A510" s="3" t="s">
        <v>1921</v>
      </c>
      <c r="B510" s="3" t="s">
        <v>39</v>
      </c>
      <c r="C510" s="3" t="s">
        <v>1922</v>
      </c>
      <c r="D510" s="3" t="s">
        <v>24</v>
      </c>
      <c r="E510" s="3"/>
      <c r="F510" s="3"/>
      <c r="G510" s="3"/>
      <c r="H510" s="3"/>
    </row>
    <row r="511" spans="1:8" x14ac:dyDescent="0.35">
      <c r="A511" s="3" t="s">
        <v>1924</v>
      </c>
      <c r="B511" s="3" t="s">
        <v>39</v>
      </c>
      <c r="C511" s="3" t="s">
        <v>1925</v>
      </c>
      <c r="D511" s="3" t="s">
        <v>36</v>
      </c>
      <c r="E511" s="3"/>
      <c r="F511" s="3"/>
      <c r="G511" s="3"/>
      <c r="H511" s="3"/>
    </row>
    <row r="512" spans="1:8" x14ac:dyDescent="0.35">
      <c r="A512" s="3" t="s">
        <v>1924</v>
      </c>
      <c r="B512" s="3" t="s">
        <v>39</v>
      </c>
      <c r="C512" s="3" t="s">
        <v>1925</v>
      </c>
      <c r="D512" s="3" t="s">
        <v>27</v>
      </c>
      <c r="E512" s="3"/>
      <c r="F512" s="3"/>
      <c r="G512" s="3"/>
      <c r="H512" s="3"/>
    </row>
    <row r="513" spans="1:8" x14ac:dyDescent="0.35">
      <c r="A513" s="3" t="s">
        <v>1924</v>
      </c>
      <c r="B513" s="3" t="s">
        <v>39</v>
      </c>
      <c r="C513" s="3" t="s">
        <v>1925</v>
      </c>
      <c r="D513" s="3" t="s">
        <v>15</v>
      </c>
      <c r="E513" s="3" t="s">
        <v>16</v>
      </c>
      <c r="F513" s="3" t="s">
        <v>1926</v>
      </c>
      <c r="G513" s="3"/>
      <c r="H513" s="3"/>
    </row>
    <row r="514" spans="1:8" x14ac:dyDescent="0.35">
      <c r="A514" s="3" t="s">
        <v>1927</v>
      </c>
      <c r="B514" s="3" t="s">
        <v>42</v>
      </c>
      <c r="C514" s="3" t="s">
        <v>1928</v>
      </c>
      <c r="D514" s="3" t="s">
        <v>23</v>
      </c>
      <c r="E514" s="3"/>
      <c r="F514" s="3"/>
      <c r="G514" s="3" t="s">
        <v>16</v>
      </c>
      <c r="H514" s="3" t="s">
        <v>559</v>
      </c>
    </row>
    <row r="515" spans="1:8" x14ac:dyDescent="0.35">
      <c r="A515" s="3" t="s">
        <v>1927</v>
      </c>
      <c r="B515" s="3" t="s">
        <v>42</v>
      </c>
      <c r="C515" s="3" t="s">
        <v>1928</v>
      </c>
      <c r="D515" s="3" t="s">
        <v>27</v>
      </c>
      <c r="E515" s="3"/>
      <c r="F515" s="3"/>
      <c r="G515" s="3" t="s">
        <v>16</v>
      </c>
      <c r="H515" s="3" t="s">
        <v>559</v>
      </c>
    </row>
    <row r="516" spans="1:8" x14ac:dyDescent="0.35">
      <c r="A516" s="3" t="s">
        <v>1927</v>
      </c>
      <c r="B516" s="3" t="s">
        <v>42</v>
      </c>
      <c r="C516" s="3" t="s">
        <v>1928</v>
      </c>
      <c r="D516" s="3" t="s">
        <v>77</v>
      </c>
      <c r="E516" s="3"/>
      <c r="F516" s="3"/>
      <c r="G516" s="3" t="s">
        <v>16</v>
      </c>
      <c r="H516" s="3" t="s">
        <v>559</v>
      </c>
    </row>
    <row r="517" spans="1:8" x14ac:dyDescent="0.35">
      <c r="A517" s="3" t="s">
        <v>1927</v>
      </c>
      <c r="B517" s="3" t="s">
        <v>42</v>
      </c>
      <c r="C517" s="3" t="s">
        <v>1928</v>
      </c>
      <c r="D517" s="3" t="s">
        <v>56</v>
      </c>
      <c r="E517" s="3" t="s">
        <v>16</v>
      </c>
      <c r="F517" s="3" t="s">
        <v>1882</v>
      </c>
      <c r="G517" s="3" t="s">
        <v>16</v>
      </c>
      <c r="H517" s="3" t="s">
        <v>559</v>
      </c>
    </row>
    <row r="518" spans="1:8" x14ac:dyDescent="0.35">
      <c r="A518" s="3" t="s">
        <v>1927</v>
      </c>
      <c r="B518" s="3" t="s">
        <v>42</v>
      </c>
      <c r="C518" s="3" t="s">
        <v>1928</v>
      </c>
      <c r="D518" s="3" t="s">
        <v>290</v>
      </c>
      <c r="E518" s="3" t="s">
        <v>16</v>
      </c>
      <c r="F518" s="3" t="s">
        <v>1929</v>
      </c>
      <c r="G518" s="3" t="s">
        <v>16</v>
      </c>
      <c r="H518" s="3" t="s">
        <v>559</v>
      </c>
    </row>
    <row r="519" spans="1:8" x14ac:dyDescent="0.35">
      <c r="A519" s="3" t="s">
        <v>1927</v>
      </c>
      <c r="B519" s="3" t="s">
        <v>39</v>
      </c>
      <c r="C519" s="3" t="s">
        <v>1930</v>
      </c>
      <c r="D519" s="3" t="s">
        <v>27</v>
      </c>
      <c r="E519" s="3" t="s">
        <v>16</v>
      </c>
      <c r="F519" s="3" t="s">
        <v>1759</v>
      </c>
      <c r="G519" s="3"/>
      <c r="H519" s="3"/>
    </row>
    <row r="520" spans="1:8" x14ac:dyDescent="0.35">
      <c r="A520" s="3" t="s">
        <v>1927</v>
      </c>
      <c r="B520" s="3" t="s">
        <v>39</v>
      </c>
      <c r="C520" s="3" t="s">
        <v>1930</v>
      </c>
      <c r="D520" s="3" t="s">
        <v>77</v>
      </c>
      <c r="E520" s="3" t="s">
        <v>16</v>
      </c>
      <c r="F520" s="3" t="s">
        <v>1931</v>
      </c>
      <c r="G520" s="3"/>
      <c r="H520" s="3"/>
    </row>
    <row r="521" spans="1:8" x14ac:dyDescent="0.35">
      <c r="A521" s="3" t="s">
        <v>1932</v>
      </c>
      <c r="B521" s="3" t="s">
        <v>42</v>
      </c>
      <c r="C521" s="3" t="s">
        <v>1933</v>
      </c>
      <c r="D521" s="3" t="s">
        <v>23</v>
      </c>
      <c r="E521" s="3"/>
      <c r="F521" s="3"/>
      <c r="G521" s="3" t="s">
        <v>16</v>
      </c>
      <c r="H521" s="3" t="s">
        <v>559</v>
      </c>
    </row>
    <row r="522" spans="1:8" x14ac:dyDescent="0.35">
      <c r="A522" s="3" t="s">
        <v>1932</v>
      </c>
      <c r="B522" s="3" t="s">
        <v>42</v>
      </c>
      <c r="C522" s="3" t="s">
        <v>1933</v>
      </c>
      <c r="D522" s="3" t="s">
        <v>77</v>
      </c>
      <c r="E522" s="3"/>
      <c r="F522" s="3"/>
      <c r="G522" s="3" t="s">
        <v>16</v>
      </c>
      <c r="H522" s="3" t="s">
        <v>559</v>
      </c>
    </row>
    <row r="523" spans="1:8" x14ac:dyDescent="0.35">
      <c r="A523" s="3" t="s">
        <v>1932</v>
      </c>
      <c r="B523" s="3" t="s">
        <v>42</v>
      </c>
      <c r="C523" s="3" t="s">
        <v>1933</v>
      </c>
      <c r="D523" s="3" t="s">
        <v>15</v>
      </c>
      <c r="E523" s="3" t="s">
        <v>1737</v>
      </c>
      <c r="F523" s="3" t="s">
        <v>1935</v>
      </c>
      <c r="G523" s="3" t="s">
        <v>16</v>
      </c>
      <c r="H523" s="3" t="s">
        <v>559</v>
      </c>
    </row>
    <row r="524" spans="1:8" x14ac:dyDescent="0.35">
      <c r="A524" s="3" t="s">
        <v>1932</v>
      </c>
      <c r="B524" s="3" t="s">
        <v>42</v>
      </c>
      <c r="C524" s="3" t="s">
        <v>1933</v>
      </c>
      <c r="D524" s="3" t="s">
        <v>56</v>
      </c>
      <c r="E524" s="3" t="s">
        <v>1737</v>
      </c>
      <c r="F524" s="3" t="s">
        <v>1934</v>
      </c>
      <c r="G524" s="3" t="s">
        <v>16</v>
      </c>
      <c r="H524" s="3" t="s">
        <v>559</v>
      </c>
    </row>
    <row r="525" spans="1:8" x14ac:dyDescent="0.35">
      <c r="A525" s="3" t="s">
        <v>1932</v>
      </c>
      <c r="B525" s="3" t="s">
        <v>42</v>
      </c>
      <c r="C525" s="3" t="s">
        <v>1933</v>
      </c>
      <c r="D525" s="3" t="s">
        <v>290</v>
      </c>
      <c r="E525" s="3" t="s">
        <v>1737</v>
      </c>
      <c r="F525" s="3" t="s">
        <v>1755</v>
      </c>
      <c r="G525" s="3" t="s">
        <v>16</v>
      </c>
      <c r="H525" s="3" t="s">
        <v>559</v>
      </c>
    </row>
    <row r="526" spans="1:8" x14ac:dyDescent="0.35">
      <c r="A526" s="3" t="s">
        <v>1932</v>
      </c>
      <c r="B526" s="3" t="s">
        <v>20</v>
      </c>
      <c r="C526" s="3" t="s">
        <v>1936</v>
      </c>
      <c r="D526" s="3" t="s">
        <v>23</v>
      </c>
      <c r="E526" s="3" t="s">
        <v>16</v>
      </c>
      <c r="F526" s="3" t="s">
        <v>1937</v>
      </c>
      <c r="G526" s="3" t="s">
        <v>16</v>
      </c>
      <c r="H526" s="3" t="s">
        <v>559</v>
      </c>
    </row>
    <row r="527" spans="1:8" x14ac:dyDescent="0.35">
      <c r="A527" s="3" t="s">
        <v>1932</v>
      </c>
      <c r="B527" s="3" t="s">
        <v>20</v>
      </c>
      <c r="C527" s="3" t="s">
        <v>1936</v>
      </c>
      <c r="D527" s="3" t="s">
        <v>290</v>
      </c>
      <c r="E527" s="3"/>
      <c r="F527" s="3"/>
      <c r="G527" s="3" t="s">
        <v>16</v>
      </c>
      <c r="H527" s="3" t="s">
        <v>559</v>
      </c>
    </row>
  </sheetData>
  <autoFilter ref="A1:H1" xr:uid="{00000000-0009-0000-0000-000005000000}"/>
  <pageMargins left="0.7" right="0.7" top="0.75" bottom="0.75" header="0.3" footer="0.3"/>
  <customProperties>
    <customPr name="Guid" r:id="rId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307"/>
  <sheetViews>
    <sheetView workbookViewId="0">
      <selection activeCell="A2" sqref="A2"/>
    </sheetView>
  </sheetViews>
  <sheetFormatPr defaultRowHeight="14.5" x14ac:dyDescent="0.35"/>
  <cols>
    <col min="1" max="1" width="16.453125" customWidth="1"/>
    <col min="2" max="2" width="21.453125" customWidth="1"/>
    <col min="3" max="3" width="54.81640625" customWidth="1"/>
    <col min="4" max="4" width="31.453125" customWidth="1"/>
    <col min="5" max="5" width="12.54296875" customWidth="1"/>
    <col min="6" max="6" width="34.54296875" customWidth="1"/>
    <col min="7" max="8" width="14.26953125" customWidth="1"/>
  </cols>
  <sheetData>
    <row r="1" spans="1:8" ht="34.5" customHeight="1" x14ac:dyDescent="0.35">
      <c r="A1" s="1" t="s">
        <v>1</v>
      </c>
      <c r="B1" s="1" t="s">
        <v>2</v>
      </c>
      <c r="C1" s="1" t="s">
        <v>3</v>
      </c>
      <c r="D1" s="1" t="s">
        <v>4</v>
      </c>
      <c r="E1" s="1" t="s">
        <v>5</v>
      </c>
      <c r="F1" s="1" t="s">
        <v>2296</v>
      </c>
      <c r="G1" s="1" t="s">
        <v>6</v>
      </c>
      <c r="H1" s="1" t="s">
        <v>7</v>
      </c>
    </row>
    <row r="2" spans="1:8" x14ac:dyDescent="0.35">
      <c r="A2" s="3" t="s">
        <v>1939</v>
      </c>
      <c r="B2" s="3" t="s">
        <v>10</v>
      </c>
      <c r="C2" s="3" t="s">
        <v>1940</v>
      </c>
      <c r="D2" s="3" t="s">
        <v>47</v>
      </c>
      <c r="E2" s="3"/>
      <c r="F2" s="3"/>
      <c r="G2" s="3"/>
      <c r="H2" s="3"/>
    </row>
    <row r="3" spans="1:8" x14ac:dyDescent="0.35">
      <c r="A3" s="3" t="s">
        <v>1939</v>
      </c>
      <c r="B3" s="3" t="s">
        <v>10</v>
      </c>
      <c r="C3" s="3" t="s">
        <v>1940</v>
      </c>
      <c r="D3" s="3" t="s">
        <v>32</v>
      </c>
      <c r="E3" s="3"/>
      <c r="F3" s="3"/>
      <c r="G3" s="3"/>
      <c r="H3" s="3"/>
    </row>
    <row r="4" spans="1:8" x14ac:dyDescent="0.35">
      <c r="A4" s="3" t="s">
        <v>1939</v>
      </c>
      <c r="B4" s="3" t="s">
        <v>10</v>
      </c>
      <c r="C4" s="3" t="s">
        <v>1941</v>
      </c>
      <c r="D4" s="3" t="s">
        <v>47</v>
      </c>
      <c r="E4" s="3"/>
      <c r="F4" s="3"/>
      <c r="G4" s="3"/>
      <c r="H4" s="3"/>
    </row>
    <row r="5" spans="1:8" x14ac:dyDescent="0.35">
      <c r="A5" s="3" t="s">
        <v>1939</v>
      </c>
      <c r="B5" s="3" t="s">
        <v>10</v>
      </c>
      <c r="C5" s="3" t="s">
        <v>1941</v>
      </c>
      <c r="D5" s="3" t="s">
        <v>15</v>
      </c>
      <c r="E5" s="3" t="s">
        <v>16</v>
      </c>
      <c r="F5" s="3" t="s">
        <v>1942</v>
      </c>
      <c r="G5" s="3"/>
      <c r="H5" s="3"/>
    </row>
    <row r="6" spans="1:8" x14ac:dyDescent="0.35">
      <c r="A6" s="3" t="s">
        <v>1939</v>
      </c>
      <c r="B6" s="3" t="s">
        <v>10</v>
      </c>
      <c r="C6" s="3" t="s">
        <v>1943</v>
      </c>
      <c r="D6" s="3" t="s">
        <v>47</v>
      </c>
      <c r="E6" s="3"/>
      <c r="F6" s="3"/>
      <c r="G6" s="3"/>
      <c r="H6" s="3"/>
    </row>
    <row r="7" spans="1:8" x14ac:dyDescent="0.35">
      <c r="A7" s="3" t="s">
        <v>1939</v>
      </c>
      <c r="B7" s="3" t="s">
        <v>10</v>
      </c>
      <c r="C7" s="3" t="s">
        <v>1943</v>
      </c>
      <c r="D7" s="3" t="s">
        <v>15</v>
      </c>
      <c r="E7" s="3" t="s">
        <v>16</v>
      </c>
      <c r="F7" s="3" t="s">
        <v>1944</v>
      </c>
      <c r="G7" s="3"/>
      <c r="H7" s="3"/>
    </row>
    <row r="8" spans="1:8" x14ac:dyDescent="0.35">
      <c r="A8" s="3" t="s">
        <v>1939</v>
      </c>
      <c r="B8" s="3" t="s">
        <v>10</v>
      </c>
      <c r="C8" s="3" t="s">
        <v>1943</v>
      </c>
      <c r="D8" s="3" t="s">
        <v>134</v>
      </c>
      <c r="E8" s="3"/>
      <c r="F8" s="3"/>
      <c r="G8" s="3"/>
      <c r="H8" s="3"/>
    </row>
    <row r="9" spans="1:8" x14ac:dyDescent="0.35">
      <c r="A9" s="3" t="s">
        <v>1939</v>
      </c>
      <c r="B9" s="3" t="s">
        <v>10</v>
      </c>
      <c r="C9" s="3" t="s">
        <v>1943</v>
      </c>
      <c r="D9" s="3" t="s">
        <v>630</v>
      </c>
      <c r="E9" s="3" t="s">
        <v>16</v>
      </c>
      <c r="F9" s="3" t="s">
        <v>1945</v>
      </c>
      <c r="G9" s="3"/>
      <c r="H9" s="3"/>
    </row>
    <row r="10" spans="1:8" x14ac:dyDescent="0.35">
      <c r="A10" s="3" t="s">
        <v>1939</v>
      </c>
      <c r="B10" s="3" t="s">
        <v>20</v>
      </c>
      <c r="C10" s="3" t="s">
        <v>1946</v>
      </c>
      <c r="D10" s="3" t="s">
        <v>15</v>
      </c>
      <c r="E10" s="3" t="s">
        <v>16</v>
      </c>
      <c r="F10" s="3" t="s">
        <v>1947</v>
      </c>
      <c r="G10" s="3"/>
      <c r="H10" s="3"/>
    </row>
    <row r="11" spans="1:8" x14ac:dyDescent="0.35">
      <c r="A11" s="3" t="s">
        <v>1939</v>
      </c>
      <c r="B11" s="3" t="s">
        <v>20</v>
      </c>
      <c r="C11" s="3" t="s">
        <v>1946</v>
      </c>
      <c r="D11" s="3" t="s">
        <v>32</v>
      </c>
      <c r="E11" s="3" t="s">
        <v>16</v>
      </c>
      <c r="F11" s="3" t="s">
        <v>1948</v>
      </c>
      <c r="G11" s="3"/>
      <c r="H11" s="3"/>
    </row>
    <row r="12" spans="1:8" x14ac:dyDescent="0.35">
      <c r="A12" s="3" t="s">
        <v>1939</v>
      </c>
      <c r="B12" s="3" t="s">
        <v>20</v>
      </c>
      <c r="C12" s="3" t="s">
        <v>1946</v>
      </c>
      <c r="D12" s="3" t="s">
        <v>630</v>
      </c>
      <c r="E12" s="3" t="s">
        <v>16</v>
      </c>
      <c r="F12" s="3" t="s">
        <v>1949</v>
      </c>
      <c r="G12" s="3"/>
      <c r="H12" s="3"/>
    </row>
    <row r="13" spans="1:8" x14ac:dyDescent="0.35">
      <c r="A13" s="3" t="s">
        <v>1939</v>
      </c>
      <c r="B13" s="3" t="s">
        <v>39</v>
      </c>
      <c r="C13" s="3" t="s">
        <v>1950</v>
      </c>
      <c r="D13" s="3" t="s">
        <v>25</v>
      </c>
      <c r="E13" s="3"/>
      <c r="F13" s="3"/>
      <c r="G13" s="3"/>
      <c r="H13" s="3"/>
    </row>
    <row r="14" spans="1:8" x14ac:dyDescent="0.35">
      <c r="A14" s="3" t="s">
        <v>1939</v>
      </c>
      <c r="B14" s="3" t="s">
        <v>39</v>
      </c>
      <c r="C14" s="3" t="s">
        <v>1950</v>
      </c>
      <c r="D14" s="3" t="s">
        <v>27</v>
      </c>
      <c r="E14" s="3"/>
      <c r="F14" s="3" t="s">
        <v>2295</v>
      </c>
      <c r="G14" s="3"/>
      <c r="H14" s="3"/>
    </row>
    <row r="15" spans="1:8" x14ac:dyDescent="0.35">
      <c r="A15" s="3" t="s">
        <v>1939</v>
      </c>
      <c r="B15" s="3" t="s">
        <v>39</v>
      </c>
      <c r="C15" s="3" t="s">
        <v>1950</v>
      </c>
      <c r="D15" s="3" t="s">
        <v>29</v>
      </c>
      <c r="E15" s="3"/>
      <c r="F15" s="3"/>
      <c r="G15" s="3"/>
      <c r="H15" s="3"/>
    </row>
    <row r="16" spans="1:8" x14ac:dyDescent="0.35">
      <c r="A16" s="3" t="s">
        <v>1939</v>
      </c>
      <c r="B16" s="3" t="s">
        <v>39</v>
      </c>
      <c r="C16" s="3" t="s">
        <v>1950</v>
      </c>
      <c r="D16" s="3" t="s">
        <v>24</v>
      </c>
      <c r="E16" s="3"/>
      <c r="F16" s="3"/>
      <c r="G16" s="3"/>
      <c r="H16" s="3"/>
    </row>
    <row r="17" spans="1:8" x14ac:dyDescent="0.35">
      <c r="A17" s="3" t="s">
        <v>1939</v>
      </c>
      <c r="B17" s="3" t="s">
        <v>39</v>
      </c>
      <c r="C17" s="3" t="s">
        <v>1951</v>
      </c>
      <c r="D17" s="3" t="s">
        <v>47</v>
      </c>
      <c r="E17" s="3" t="s">
        <v>16</v>
      </c>
      <c r="F17" s="3" t="s">
        <v>1952</v>
      </c>
      <c r="G17" s="3"/>
      <c r="H17" s="3"/>
    </row>
    <row r="18" spans="1:8" x14ac:dyDescent="0.35">
      <c r="A18" s="3" t="s">
        <v>1939</v>
      </c>
      <c r="B18" s="3" t="s">
        <v>39</v>
      </c>
      <c r="C18" s="3" t="s">
        <v>1951</v>
      </c>
      <c r="D18" s="3" t="s">
        <v>25</v>
      </c>
      <c r="E18" s="3" t="s">
        <v>16</v>
      </c>
      <c r="F18" s="3" t="s">
        <v>1952</v>
      </c>
      <c r="G18" s="3"/>
      <c r="H18" s="3"/>
    </row>
    <row r="19" spans="1:8" x14ac:dyDescent="0.35">
      <c r="A19" s="3" t="s">
        <v>1939</v>
      </c>
      <c r="B19" s="3" t="s">
        <v>39</v>
      </c>
      <c r="C19" s="3" t="s">
        <v>1951</v>
      </c>
      <c r="D19" s="3" t="s">
        <v>31</v>
      </c>
      <c r="E19" s="3" t="s">
        <v>16</v>
      </c>
      <c r="F19" s="3" t="s">
        <v>1952</v>
      </c>
      <c r="G19" s="3"/>
      <c r="H19" s="3"/>
    </row>
    <row r="20" spans="1:8" x14ac:dyDescent="0.35">
      <c r="A20" s="3" t="s">
        <v>1939</v>
      </c>
      <c r="B20" s="3" t="s">
        <v>39</v>
      </c>
      <c r="C20" s="3" t="s">
        <v>1951</v>
      </c>
      <c r="D20" s="3" t="s">
        <v>242</v>
      </c>
      <c r="E20" s="3" t="s">
        <v>16</v>
      </c>
      <c r="F20" s="3" t="s">
        <v>1952</v>
      </c>
      <c r="G20" s="3"/>
      <c r="H20" s="3"/>
    </row>
    <row r="21" spans="1:8" x14ac:dyDescent="0.35">
      <c r="A21" s="3" t="s">
        <v>1939</v>
      </c>
      <c r="B21" s="3" t="s">
        <v>10</v>
      </c>
      <c r="C21" s="3" t="s">
        <v>1953</v>
      </c>
      <c r="D21" s="3" t="s">
        <v>47</v>
      </c>
      <c r="E21" s="3"/>
      <c r="F21" s="3"/>
      <c r="G21" s="3"/>
      <c r="H21" s="3"/>
    </row>
    <row r="22" spans="1:8" x14ac:dyDescent="0.35">
      <c r="A22" s="3" t="s">
        <v>1939</v>
      </c>
      <c r="B22" s="3" t="s">
        <v>10</v>
      </c>
      <c r="C22" s="3" t="s">
        <v>1953</v>
      </c>
      <c r="D22" s="3" t="s">
        <v>15</v>
      </c>
      <c r="E22" s="3"/>
      <c r="F22" s="3"/>
      <c r="G22" s="3"/>
      <c r="H22" s="3"/>
    </row>
    <row r="23" spans="1:8" x14ac:dyDescent="0.35">
      <c r="A23" s="3" t="s">
        <v>1939</v>
      </c>
      <c r="B23" s="3" t="s">
        <v>10</v>
      </c>
      <c r="C23" s="3" t="s">
        <v>1953</v>
      </c>
      <c r="D23" s="3" t="s">
        <v>29</v>
      </c>
      <c r="E23" s="3"/>
      <c r="F23" s="3" t="s">
        <v>2545</v>
      </c>
      <c r="G23" s="3"/>
      <c r="H23" s="3"/>
    </row>
    <row r="24" spans="1:8" x14ac:dyDescent="0.35">
      <c r="A24" s="3" t="s">
        <v>1939</v>
      </c>
      <c r="B24" s="3" t="s">
        <v>302</v>
      </c>
      <c r="C24" s="3" t="s">
        <v>1954</v>
      </c>
      <c r="D24" s="3" t="s">
        <v>12</v>
      </c>
      <c r="E24" s="3"/>
      <c r="F24" s="3"/>
      <c r="G24" s="3"/>
      <c r="H24" s="3"/>
    </row>
    <row r="25" spans="1:8" x14ac:dyDescent="0.35">
      <c r="A25" s="3" t="s">
        <v>1939</v>
      </c>
      <c r="B25" s="3" t="s">
        <v>302</v>
      </c>
      <c r="C25" s="3" t="s">
        <v>1954</v>
      </c>
      <c r="D25" s="3" t="s">
        <v>47</v>
      </c>
      <c r="E25" s="3"/>
      <c r="F25" s="3"/>
      <c r="G25" s="3"/>
      <c r="H25" s="3"/>
    </row>
    <row r="26" spans="1:8" x14ac:dyDescent="0.35">
      <c r="A26" s="3" t="s">
        <v>1939</v>
      </c>
      <c r="B26" s="3" t="s">
        <v>302</v>
      </c>
      <c r="C26" s="3" t="s">
        <v>1954</v>
      </c>
      <c r="D26" s="3" t="s">
        <v>25</v>
      </c>
      <c r="E26" s="3"/>
      <c r="F26" s="3"/>
      <c r="G26" s="3"/>
      <c r="H26" s="3"/>
    </row>
    <row r="27" spans="1:8" x14ac:dyDescent="0.35">
      <c r="A27" s="3" t="s">
        <v>1939</v>
      </c>
      <c r="B27" s="3" t="s">
        <v>302</v>
      </c>
      <c r="C27" s="3" t="s">
        <v>1954</v>
      </c>
      <c r="D27" s="3" t="s">
        <v>15</v>
      </c>
      <c r="E27" s="3" t="s">
        <v>16</v>
      </c>
      <c r="F27" s="3" t="s">
        <v>1955</v>
      </c>
      <c r="G27" s="3"/>
      <c r="H27" s="3"/>
    </row>
    <row r="28" spans="1:8" x14ac:dyDescent="0.35">
      <c r="A28" s="3" t="s">
        <v>1939</v>
      </c>
      <c r="B28" s="3" t="s">
        <v>302</v>
      </c>
      <c r="C28" s="3" t="s">
        <v>1954</v>
      </c>
      <c r="D28" s="3" t="s">
        <v>24</v>
      </c>
      <c r="E28" s="3"/>
      <c r="F28" s="3"/>
      <c r="G28" s="3"/>
      <c r="H28" s="3"/>
    </row>
    <row r="29" spans="1:8" x14ac:dyDescent="0.35">
      <c r="A29" s="3" t="s">
        <v>1939</v>
      </c>
      <c r="B29" s="3" t="s">
        <v>10</v>
      </c>
      <c r="C29" s="3" t="s">
        <v>1956</v>
      </c>
      <c r="D29" s="3" t="s">
        <v>47</v>
      </c>
      <c r="E29" s="3"/>
      <c r="F29" s="3"/>
      <c r="G29" s="3"/>
      <c r="H29" s="3"/>
    </row>
    <row r="30" spans="1:8" x14ac:dyDescent="0.35">
      <c r="A30" s="3" t="s">
        <v>1939</v>
      </c>
      <c r="B30" s="3" t="s">
        <v>10</v>
      </c>
      <c r="C30" s="3" t="s">
        <v>1956</v>
      </c>
      <c r="D30" s="3" t="s">
        <v>87</v>
      </c>
      <c r="E30" s="3"/>
      <c r="F30" s="3"/>
      <c r="G30" s="3"/>
      <c r="H30" s="3"/>
    </row>
    <row r="31" spans="1:8" x14ac:dyDescent="0.35">
      <c r="A31" s="3" t="s">
        <v>1939</v>
      </c>
      <c r="B31" s="3" t="s">
        <v>10</v>
      </c>
      <c r="C31" s="3" t="s">
        <v>1956</v>
      </c>
      <c r="D31" s="3" t="s">
        <v>56</v>
      </c>
      <c r="E31" s="3" t="s">
        <v>16</v>
      </c>
      <c r="F31" s="3" t="s">
        <v>1957</v>
      </c>
      <c r="G31" s="3"/>
      <c r="H31" s="3"/>
    </row>
    <row r="32" spans="1:8" x14ac:dyDescent="0.35">
      <c r="A32" s="3" t="s">
        <v>1939</v>
      </c>
      <c r="B32" s="3" t="s">
        <v>10</v>
      </c>
      <c r="C32" s="3" t="s">
        <v>1956</v>
      </c>
      <c r="D32" s="3" t="s">
        <v>29</v>
      </c>
      <c r="E32" s="3"/>
      <c r="F32" s="3" t="s">
        <v>2297</v>
      </c>
      <c r="G32" s="3"/>
      <c r="H32" s="3"/>
    </row>
    <row r="33" spans="1:8" x14ac:dyDescent="0.35">
      <c r="A33" s="3" t="s">
        <v>1939</v>
      </c>
      <c r="B33" s="3" t="s">
        <v>20</v>
      </c>
      <c r="C33" s="3" t="s">
        <v>1958</v>
      </c>
      <c r="D33" s="3" t="s">
        <v>15</v>
      </c>
      <c r="E33" s="3" t="s">
        <v>16</v>
      </c>
      <c r="F33" s="3" t="s">
        <v>1959</v>
      </c>
      <c r="G33" s="3"/>
      <c r="H33" s="3"/>
    </row>
    <row r="34" spans="1:8" x14ac:dyDescent="0.35">
      <c r="A34" s="3" t="s">
        <v>1939</v>
      </c>
      <c r="B34" s="3" t="s">
        <v>20</v>
      </c>
      <c r="C34" s="3" t="s">
        <v>1958</v>
      </c>
      <c r="D34" s="3" t="s">
        <v>56</v>
      </c>
      <c r="E34" s="3" t="s">
        <v>16</v>
      </c>
      <c r="F34" s="3" t="s">
        <v>1960</v>
      </c>
      <c r="G34" s="3"/>
      <c r="H34" s="3"/>
    </row>
    <row r="35" spans="1:8" x14ac:dyDescent="0.35">
      <c r="A35" s="3" t="s">
        <v>1939</v>
      </c>
      <c r="B35" s="3" t="s">
        <v>39</v>
      </c>
      <c r="C35" s="3" t="s">
        <v>1961</v>
      </c>
      <c r="D35" s="3" t="s">
        <v>25</v>
      </c>
      <c r="E35" s="3"/>
      <c r="F35" s="3"/>
      <c r="G35" s="3"/>
      <c r="H35" s="3"/>
    </row>
    <row r="36" spans="1:8" x14ac:dyDescent="0.35">
      <c r="A36" s="3" t="s">
        <v>1939</v>
      </c>
      <c r="B36" s="3" t="s">
        <v>39</v>
      </c>
      <c r="C36" s="3" t="s">
        <v>1961</v>
      </c>
      <c r="D36" s="3" t="s">
        <v>15</v>
      </c>
      <c r="E36" s="3" t="s">
        <v>16</v>
      </c>
      <c r="F36" s="3" t="s">
        <v>1962</v>
      </c>
      <c r="G36" s="3"/>
      <c r="H36" s="3"/>
    </row>
    <row r="37" spans="1:8" x14ac:dyDescent="0.35">
      <c r="A37" s="3" t="s">
        <v>1939</v>
      </c>
      <c r="B37" s="3" t="s">
        <v>39</v>
      </c>
      <c r="C37" s="3" t="s">
        <v>1963</v>
      </c>
      <c r="D37" s="3" t="s">
        <v>12</v>
      </c>
      <c r="E37" s="3"/>
      <c r="F37" s="3"/>
      <c r="G37" s="3"/>
      <c r="H37" s="3"/>
    </row>
    <row r="38" spans="1:8" x14ac:dyDescent="0.35">
      <c r="A38" s="3" t="s">
        <v>1939</v>
      </c>
      <c r="B38" s="3" t="s">
        <v>39</v>
      </c>
      <c r="C38" s="3" t="s">
        <v>1963</v>
      </c>
      <c r="D38" s="3" t="s">
        <v>25</v>
      </c>
      <c r="E38" s="3"/>
      <c r="F38" s="3"/>
      <c r="G38" s="3"/>
      <c r="H38" s="3"/>
    </row>
    <row r="39" spans="1:8" x14ac:dyDescent="0.35">
      <c r="A39" s="3" t="s">
        <v>1939</v>
      </c>
      <c r="B39" s="3" t="s">
        <v>39</v>
      </c>
      <c r="C39" s="3" t="s">
        <v>1963</v>
      </c>
      <c r="D39" s="3" t="s">
        <v>15</v>
      </c>
      <c r="E39" s="3" t="s">
        <v>16</v>
      </c>
      <c r="F39" s="3" t="s">
        <v>1964</v>
      </c>
      <c r="G39" s="3"/>
      <c r="H39" s="3"/>
    </row>
    <row r="40" spans="1:8" x14ac:dyDescent="0.35">
      <c r="A40" s="3" t="s">
        <v>1939</v>
      </c>
      <c r="B40" s="3" t="s">
        <v>39</v>
      </c>
      <c r="C40" s="3" t="s">
        <v>1963</v>
      </c>
      <c r="D40" s="3" t="s">
        <v>32</v>
      </c>
      <c r="E40" s="3" t="s">
        <v>16</v>
      </c>
      <c r="F40" s="3" t="s">
        <v>1948</v>
      </c>
      <c r="G40" s="3"/>
      <c r="H40" s="3"/>
    </row>
    <row r="41" spans="1:8" x14ac:dyDescent="0.35">
      <c r="A41" s="3" t="s">
        <v>1939</v>
      </c>
      <c r="B41" s="3" t="s">
        <v>39</v>
      </c>
      <c r="C41" s="3" t="s">
        <v>1963</v>
      </c>
      <c r="D41" s="3" t="s">
        <v>134</v>
      </c>
      <c r="E41" s="3" t="s">
        <v>16</v>
      </c>
      <c r="F41" s="3" t="s">
        <v>1965</v>
      </c>
      <c r="G41" s="3"/>
      <c r="H41" s="3"/>
    </row>
    <row r="42" spans="1:8" x14ac:dyDescent="0.35">
      <c r="A42" s="3" t="s">
        <v>1939</v>
      </c>
      <c r="B42" s="3" t="s">
        <v>10</v>
      </c>
      <c r="C42" s="3" t="s">
        <v>1966</v>
      </c>
      <c r="D42" s="3" t="s">
        <v>47</v>
      </c>
      <c r="E42" s="3"/>
      <c r="F42" s="3"/>
      <c r="G42" s="3"/>
      <c r="H42" s="3"/>
    </row>
    <row r="43" spans="1:8" x14ac:dyDescent="0.35">
      <c r="A43" s="3" t="s">
        <v>1939</v>
      </c>
      <c r="B43" s="3" t="s">
        <v>10</v>
      </c>
      <c r="C43" s="3" t="s">
        <v>1966</v>
      </c>
      <c r="D43" s="3" t="s">
        <v>15</v>
      </c>
      <c r="E43" s="3" t="s">
        <v>16</v>
      </c>
      <c r="F43" s="3" t="s">
        <v>1967</v>
      </c>
      <c r="G43" s="3"/>
      <c r="H43" s="3"/>
    </row>
    <row r="44" spans="1:8" x14ac:dyDescent="0.35">
      <c r="A44" s="3" t="s">
        <v>1939</v>
      </c>
      <c r="B44" s="3" t="s">
        <v>10</v>
      </c>
      <c r="C44" s="3" t="s">
        <v>1968</v>
      </c>
      <c r="D44" s="3" t="s">
        <v>47</v>
      </c>
      <c r="E44" s="3"/>
      <c r="F44" s="3"/>
      <c r="G44" s="3"/>
      <c r="H44" s="3"/>
    </row>
    <row r="45" spans="1:8" x14ac:dyDescent="0.35">
      <c r="A45" s="3" t="s">
        <v>1939</v>
      </c>
      <c r="B45" s="3" t="s">
        <v>10</v>
      </c>
      <c r="C45" s="3" t="s">
        <v>1968</v>
      </c>
      <c r="D45" s="3" t="s">
        <v>25</v>
      </c>
      <c r="E45" s="3"/>
      <c r="F45" s="3"/>
      <c r="G45" s="3"/>
      <c r="H45" s="3"/>
    </row>
    <row r="46" spans="1:8" x14ac:dyDescent="0.35">
      <c r="A46" s="3" t="s">
        <v>1939</v>
      </c>
      <c r="B46" s="3" t="s">
        <v>10</v>
      </c>
      <c r="C46" s="3" t="s">
        <v>1968</v>
      </c>
      <c r="D46" s="3" t="s">
        <v>29</v>
      </c>
      <c r="E46" s="3"/>
      <c r="F46" s="3"/>
      <c r="G46" s="3"/>
      <c r="H46" s="3"/>
    </row>
    <row r="47" spans="1:8" x14ac:dyDescent="0.35">
      <c r="A47" s="3" t="s">
        <v>1939</v>
      </c>
      <c r="B47" s="3" t="s">
        <v>10</v>
      </c>
      <c r="C47" s="3" t="s">
        <v>1969</v>
      </c>
      <c r="D47" s="3" t="s">
        <v>12</v>
      </c>
      <c r="E47" s="3"/>
      <c r="F47" s="3"/>
      <c r="G47" s="3"/>
      <c r="H47" s="3"/>
    </row>
    <row r="48" spans="1:8" x14ac:dyDescent="0.35">
      <c r="A48" s="3" t="s">
        <v>1939</v>
      </c>
      <c r="B48" s="3" t="s">
        <v>10</v>
      </c>
      <c r="C48" s="3" t="s">
        <v>1969</v>
      </c>
      <c r="D48" s="3" t="s">
        <v>47</v>
      </c>
      <c r="E48" s="3"/>
      <c r="F48" s="3"/>
      <c r="G48" s="3"/>
      <c r="H48" s="3"/>
    </row>
    <row r="49" spans="1:8" x14ac:dyDescent="0.35">
      <c r="A49" s="3" t="s">
        <v>1939</v>
      </c>
      <c r="B49" s="3" t="s">
        <v>10</v>
      </c>
      <c r="C49" s="3" t="s">
        <v>1969</v>
      </c>
      <c r="D49" s="3" t="s">
        <v>25</v>
      </c>
      <c r="E49" s="3"/>
      <c r="F49" s="3"/>
      <c r="G49" s="3"/>
      <c r="H49" s="3"/>
    </row>
    <row r="50" spans="1:8" x14ac:dyDescent="0.35">
      <c r="A50" s="3" t="s">
        <v>1939</v>
      </c>
      <c r="B50" s="3" t="s">
        <v>10</v>
      </c>
      <c r="C50" s="3" t="s">
        <v>1969</v>
      </c>
      <c r="D50" s="3" t="s">
        <v>15</v>
      </c>
      <c r="E50" s="3" t="s">
        <v>16</v>
      </c>
      <c r="F50" s="3" t="s">
        <v>990</v>
      </c>
      <c r="G50" s="3"/>
      <c r="H50" s="3"/>
    </row>
    <row r="51" spans="1:8" x14ac:dyDescent="0.35">
      <c r="A51" s="3" t="s">
        <v>1939</v>
      </c>
      <c r="B51" s="3" t="s">
        <v>10</v>
      </c>
      <c r="C51" s="3" t="s">
        <v>1969</v>
      </c>
      <c r="D51" s="3" t="s">
        <v>134</v>
      </c>
      <c r="E51" s="3" t="s">
        <v>16</v>
      </c>
      <c r="F51" s="3" t="s">
        <v>1970</v>
      </c>
      <c r="G51" s="3"/>
      <c r="H51" s="3"/>
    </row>
    <row r="52" spans="1:8" x14ac:dyDescent="0.35">
      <c r="A52" s="3" t="s">
        <v>1939</v>
      </c>
      <c r="B52" s="3" t="s">
        <v>20</v>
      </c>
      <c r="C52" s="3" t="s">
        <v>1971</v>
      </c>
      <c r="D52" s="3" t="s">
        <v>12</v>
      </c>
      <c r="E52" s="3"/>
      <c r="F52" s="3"/>
      <c r="G52" s="3"/>
      <c r="H52" s="3"/>
    </row>
    <row r="53" spans="1:8" x14ac:dyDescent="0.35">
      <c r="A53" s="3" t="s">
        <v>1939</v>
      </c>
      <c r="B53" s="3" t="s">
        <v>20</v>
      </c>
      <c r="C53" s="3" t="s">
        <v>1971</v>
      </c>
      <c r="D53" s="3" t="s">
        <v>47</v>
      </c>
      <c r="E53" s="3"/>
      <c r="F53" s="3"/>
      <c r="G53" s="3"/>
      <c r="H53" s="3"/>
    </row>
    <row r="54" spans="1:8" x14ac:dyDescent="0.35">
      <c r="A54" s="3" t="s">
        <v>1939</v>
      </c>
      <c r="B54" s="3" t="s">
        <v>20</v>
      </c>
      <c r="C54" s="3" t="s">
        <v>1971</v>
      </c>
      <c r="D54" s="3" t="s">
        <v>25</v>
      </c>
      <c r="E54" s="3"/>
      <c r="F54" s="3"/>
      <c r="G54" s="3"/>
      <c r="H54" s="3"/>
    </row>
    <row r="55" spans="1:8" x14ac:dyDescent="0.35">
      <c r="A55" s="3" t="s">
        <v>1939</v>
      </c>
      <c r="B55" s="3" t="s">
        <v>20</v>
      </c>
      <c r="C55" s="3" t="s">
        <v>1971</v>
      </c>
      <c r="D55" s="3" t="s">
        <v>60</v>
      </c>
      <c r="E55" s="3"/>
      <c r="F55" s="3"/>
      <c r="G55" s="3"/>
      <c r="H55" s="3"/>
    </row>
    <row r="56" spans="1:8" x14ac:dyDescent="0.35">
      <c r="A56" s="3" t="s">
        <v>1939</v>
      </c>
      <c r="B56" s="3" t="s">
        <v>20</v>
      </c>
      <c r="C56" s="3" t="s">
        <v>1971</v>
      </c>
      <c r="D56" s="3" t="s">
        <v>141</v>
      </c>
      <c r="E56" s="3"/>
      <c r="F56" s="3"/>
      <c r="G56" s="3"/>
      <c r="H56" s="3"/>
    </row>
    <row r="57" spans="1:8" x14ac:dyDescent="0.35">
      <c r="A57" s="3" t="s">
        <v>1939</v>
      </c>
      <c r="B57" s="3" t="s">
        <v>20</v>
      </c>
      <c r="C57" s="3" t="s">
        <v>1971</v>
      </c>
      <c r="D57" s="3" t="s">
        <v>28</v>
      </c>
      <c r="E57" s="3"/>
      <c r="F57" s="3" t="s">
        <v>2298</v>
      </c>
      <c r="G57" s="3"/>
      <c r="H57" s="3"/>
    </row>
    <row r="58" spans="1:8" x14ac:dyDescent="0.35">
      <c r="A58" s="3" t="s">
        <v>1939</v>
      </c>
      <c r="B58" s="3" t="s">
        <v>20</v>
      </c>
      <c r="C58" s="3" t="s">
        <v>1971</v>
      </c>
      <c r="D58" s="3" t="s">
        <v>87</v>
      </c>
      <c r="E58" s="3"/>
      <c r="F58" s="3" t="s">
        <v>2299</v>
      </c>
      <c r="G58" s="3"/>
      <c r="H58" s="3"/>
    </row>
    <row r="59" spans="1:8" x14ac:dyDescent="0.35">
      <c r="A59" s="3" t="s">
        <v>1939</v>
      </c>
      <c r="B59" s="3" t="s">
        <v>20</v>
      </c>
      <c r="C59" s="3" t="s">
        <v>1971</v>
      </c>
      <c r="D59" s="3" t="s">
        <v>15</v>
      </c>
      <c r="E59" s="3" t="s">
        <v>16</v>
      </c>
      <c r="F59" s="3" t="s">
        <v>1972</v>
      </c>
      <c r="G59" s="3"/>
      <c r="H59" s="3"/>
    </row>
    <row r="60" spans="1:8" x14ac:dyDescent="0.35">
      <c r="A60" s="3" t="s">
        <v>1939</v>
      </c>
      <c r="B60" s="3" t="s">
        <v>20</v>
      </c>
      <c r="C60" s="3" t="s">
        <v>1971</v>
      </c>
      <c r="D60" s="3" t="s">
        <v>57</v>
      </c>
      <c r="E60" s="3"/>
      <c r="F60" s="3"/>
      <c r="G60" s="3"/>
      <c r="H60" s="3"/>
    </row>
    <row r="61" spans="1:8" x14ac:dyDescent="0.35">
      <c r="A61" s="3" t="s">
        <v>1939</v>
      </c>
      <c r="B61" s="3" t="s">
        <v>20</v>
      </c>
      <c r="C61" s="3" t="s">
        <v>1971</v>
      </c>
      <c r="D61" s="3" t="s">
        <v>32</v>
      </c>
      <c r="E61" s="3" t="s">
        <v>16</v>
      </c>
      <c r="F61" s="3" t="s">
        <v>2300</v>
      </c>
      <c r="G61" s="3"/>
      <c r="H61" s="3"/>
    </row>
    <row r="62" spans="1:8" x14ac:dyDescent="0.35">
      <c r="A62" s="3" t="s">
        <v>1939</v>
      </c>
      <c r="B62" s="3" t="s">
        <v>20</v>
      </c>
      <c r="C62" s="3" t="s">
        <v>1971</v>
      </c>
      <c r="D62" s="3" t="s">
        <v>29</v>
      </c>
      <c r="E62" s="3"/>
      <c r="F62" s="3"/>
      <c r="G62" s="3"/>
      <c r="H62" s="3"/>
    </row>
    <row r="63" spans="1:8" x14ac:dyDescent="0.35">
      <c r="A63" s="3" t="s">
        <v>1939</v>
      </c>
      <c r="B63" s="3" t="s">
        <v>20</v>
      </c>
      <c r="C63" s="3" t="s">
        <v>1971</v>
      </c>
      <c r="D63" s="3" t="s">
        <v>152</v>
      </c>
      <c r="E63" s="3"/>
      <c r="F63" s="3"/>
      <c r="G63" s="3"/>
      <c r="H63" s="3"/>
    </row>
    <row r="64" spans="1:8" x14ac:dyDescent="0.35">
      <c r="A64" s="3" t="s">
        <v>1939</v>
      </c>
      <c r="B64" s="3" t="s">
        <v>20</v>
      </c>
      <c r="C64" s="3" t="s">
        <v>1971</v>
      </c>
      <c r="D64" s="3" t="s">
        <v>893</v>
      </c>
      <c r="E64" s="3"/>
      <c r="F64" s="3" t="s">
        <v>2301</v>
      </c>
      <c r="G64" s="3"/>
      <c r="H64" s="3"/>
    </row>
    <row r="65" spans="1:8" x14ac:dyDescent="0.35">
      <c r="A65" s="3" t="s">
        <v>1939</v>
      </c>
      <c r="B65" s="3" t="s">
        <v>20</v>
      </c>
      <c r="C65" s="3" t="s">
        <v>1971</v>
      </c>
      <c r="D65" s="3" t="s">
        <v>630</v>
      </c>
      <c r="E65" s="3"/>
      <c r="F65" s="3"/>
      <c r="G65" s="3"/>
      <c r="H65" s="3"/>
    </row>
    <row r="66" spans="1:8" x14ac:dyDescent="0.35">
      <c r="A66" s="3" t="s">
        <v>1939</v>
      </c>
      <c r="B66" s="3" t="s">
        <v>10</v>
      </c>
      <c r="C66" s="3" t="s">
        <v>1973</v>
      </c>
      <c r="D66" s="3" t="s">
        <v>12</v>
      </c>
      <c r="E66" s="3"/>
      <c r="F66" s="3"/>
      <c r="G66" s="3"/>
      <c r="H66" s="3"/>
    </row>
    <row r="67" spans="1:8" x14ac:dyDescent="0.35">
      <c r="A67" s="3" t="s">
        <v>1939</v>
      </c>
      <c r="B67" s="3" t="s">
        <v>10</v>
      </c>
      <c r="C67" s="3" t="s">
        <v>1973</v>
      </c>
      <c r="D67" s="3" t="s">
        <v>47</v>
      </c>
      <c r="E67" s="3"/>
      <c r="F67" s="3"/>
      <c r="G67" s="3"/>
      <c r="H67" s="3"/>
    </row>
    <row r="68" spans="1:8" x14ac:dyDescent="0.35">
      <c r="A68" s="3" t="s">
        <v>1939</v>
      </c>
      <c r="B68" s="3" t="s">
        <v>10</v>
      </c>
      <c r="C68" s="3" t="s">
        <v>1973</v>
      </c>
      <c r="D68" s="3" t="s">
        <v>15</v>
      </c>
      <c r="E68" s="3" t="s">
        <v>16</v>
      </c>
      <c r="F68" s="3" t="s">
        <v>2977</v>
      </c>
      <c r="G68" s="3"/>
      <c r="H68" s="3"/>
    </row>
    <row r="69" spans="1:8" x14ac:dyDescent="0.35">
      <c r="A69" s="3" t="s">
        <v>1939</v>
      </c>
      <c r="B69" s="3" t="s">
        <v>10</v>
      </c>
      <c r="C69" s="3" t="s">
        <v>1973</v>
      </c>
      <c r="D69" s="3" t="s">
        <v>32</v>
      </c>
      <c r="E69" s="3" t="s">
        <v>33</v>
      </c>
      <c r="F69" s="3" t="s">
        <v>2976</v>
      </c>
      <c r="G69" s="3"/>
      <c r="H69" s="3"/>
    </row>
    <row r="70" spans="1:8" x14ac:dyDescent="0.35">
      <c r="A70" s="3" t="s">
        <v>1939</v>
      </c>
      <c r="B70" s="3" t="s">
        <v>45</v>
      </c>
      <c r="C70" s="3" t="s">
        <v>1974</v>
      </c>
      <c r="D70" s="3" t="s">
        <v>12</v>
      </c>
      <c r="E70" s="3"/>
      <c r="F70" s="3"/>
      <c r="G70" s="3"/>
      <c r="H70" s="3"/>
    </row>
    <row r="71" spans="1:8" x14ac:dyDescent="0.35">
      <c r="A71" s="3" t="s">
        <v>1939</v>
      </c>
      <c r="B71" s="3" t="s">
        <v>45</v>
      </c>
      <c r="C71" s="3" t="s">
        <v>1974</v>
      </c>
      <c r="D71" s="3" t="s">
        <v>23</v>
      </c>
      <c r="E71" s="3"/>
      <c r="F71" s="3"/>
      <c r="G71" s="3"/>
      <c r="H71" s="3"/>
    </row>
    <row r="72" spans="1:8" x14ac:dyDescent="0.35">
      <c r="A72" s="3" t="s">
        <v>1939</v>
      </c>
      <c r="B72" s="3" t="s">
        <v>45</v>
      </c>
      <c r="C72" s="3" t="s">
        <v>1974</v>
      </c>
      <c r="D72" s="3" t="s">
        <v>47</v>
      </c>
      <c r="E72" s="3"/>
      <c r="F72" s="3"/>
      <c r="G72" s="3"/>
      <c r="H72" s="3"/>
    </row>
    <row r="73" spans="1:8" x14ac:dyDescent="0.35">
      <c r="A73" s="3" t="s">
        <v>1939</v>
      </c>
      <c r="B73" s="3" t="s">
        <v>45</v>
      </c>
      <c r="C73" s="3" t="s">
        <v>1974</v>
      </c>
      <c r="D73" s="3" t="s">
        <v>25</v>
      </c>
      <c r="E73" s="3"/>
      <c r="F73" s="3"/>
      <c r="G73" s="3"/>
      <c r="H73" s="3"/>
    </row>
    <row r="74" spans="1:8" x14ac:dyDescent="0.35">
      <c r="A74" s="3" t="s">
        <v>1939</v>
      </c>
      <c r="B74" s="3" t="s">
        <v>45</v>
      </c>
      <c r="C74" s="3" t="s">
        <v>1974</v>
      </c>
      <c r="D74" s="3" t="s">
        <v>60</v>
      </c>
      <c r="E74" s="3"/>
      <c r="F74" s="3"/>
      <c r="G74" s="3"/>
      <c r="H74" s="3"/>
    </row>
    <row r="75" spans="1:8" x14ac:dyDescent="0.35">
      <c r="A75" s="3" t="s">
        <v>1939</v>
      </c>
      <c r="B75" s="3" t="s">
        <v>45</v>
      </c>
      <c r="C75" s="3" t="s">
        <v>1974</v>
      </c>
      <c r="D75" s="3" t="s">
        <v>77</v>
      </c>
      <c r="E75" s="3"/>
      <c r="F75" s="3"/>
      <c r="G75" s="3"/>
      <c r="H75" s="3"/>
    </row>
    <row r="76" spans="1:8" x14ac:dyDescent="0.35">
      <c r="A76" s="3" t="s">
        <v>1939</v>
      </c>
      <c r="B76" s="3" t="s">
        <v>45</v>
      </c>
      <c r="C76" s="3" t="s">
        <v>1974</v>
      </c>
      <c r="D76" s="3" t="s">
        <v>28</v>
      </c>
      <c r="E76" s="3"/>
      <c r="F76" s="3"/>
      <c r="G76" s="3"/>
      <c r="H76" s="3"/>
    </row>
    <row r="77" spans="1:8" x14ac:dyDescent="0.35">
      <c r="A77" s="3" t="s">
        <v>1939</v>
      </c>
      <c r="B77" s="3" t="s">
        <v>45</v>
      </c>
      <c r="C77" s="3" t="s">
        <v>1974</v>
      </c>
      <c r="D77" s="3" t="s">
        <v>15</v>
      </c>
      <c r="E77" s="3" t="s">
        <v>16</v>
      </c>
      <c r="F77" s="3" t="s">
        <v>1975</v>
      </c>
      <c r="G77" s="3"/>
      <c r="H77" s="3"/>
    </row>
    <row r="78" spans="1:8" x14ac:dyDescent="0.35">
      <c r="A78" s="3" t="s">
        <v>1939</v>
      </c>
      <c r="B78" s="3" t="s">
        <v>45</v>
      </c>
      <c r="C78" s="3" t="s">
        <v>1974</v>
      </c>
      <c r="D78" s="3" t="s">
        <v>57</v>
      </c>
      <c r="E78" s="3"/>
      <c r="F78" s="3"/>
      <c r="G78" s="3"/>
      <c r="H78" s="3"/>
    </row>
    <row r="79" spans="1:8" x14ac:dyDescent="0.35">
      <c r="A79" s="3" t="s">
        <v>1939</v>
      </c>
      <c r="B79" s="3" t="s">
        <v>45</v>
      </c>
      <c r="C79" s="3" t="s">
        <v>1974</v>
      </c>
      <c r="D79" s="3" t="s">
        <v>56</v>
      </c>
      <c r="E79" s="3"/>
      <c r="F79" s="3"/>
      <c r="G79" s="3"/>
      <c r="H79" s="3"/>
    </row>
    <row r="80" spans="1:8" x14ac:dyDescent="0.35">
      <c r="A80" s="3" t="s">
        <v>1939</v>
      </c>
      <c r="B80" s="3" t="s">
        <v>45</v>
      </c>
      <c r="C80" s="3" t="s">
        <v>1974</v>
      </c>
      <c r="D80" s="3" t="s">
        <v>630</v>
      </c>
      <c r="E80" s="3" t="s">
        <v>16</v>
      </c>
      <c r="F80" s="3" t="s">
        <v>1976</v>
      </c>
      <c r="G80" s="3"/>
      <c r="H80" s="3"/>
    </row>
    <row r="81" spans="1:8" x14ac:dyDescent="0.35">
      <c r="A81" s="3" t="s">
        <v>1939</v>
      </c>
      <c r="B81" s="3" t="s">
        <v>20</v>
      </c>
      <c r="C81" s="3" t="s">
        <v>1977</v>
      </c>
      <c r="D81" s="3" t="s">
        <v>12</v>
      </c>
      <c r="E81" s="3"/>
      <c r="F81" s="3"/>
      <c r="G81" s="3"/>
      <c r="H81" s="3"/>
    </row>
    <row r="82" spans="1:8" x14ac:dyDescent="0.35">
      <c r="A82" s="3" t="s">
        <v>1939</v>
      </c>
      <c r="B82" s="3" t="s">
        <v>20</v>
      </c>
      <c r="C82" s="3" t="s">
        <v>1977</v>
      </c>
      <c r="D82" s="3" t="s">
        <v>25</v>
      </c>
      <c r="E82" s="3"/>
      <c r="F82" s="3"/>
      <c r="G82" s="3"/>
      <c r="H82" s="3"/>
    </row>
    <row r="83" spans="1:8" x14ac:dyDescent="0.35">
      <c r="A83" s="3" t="s">
        <v>1939</v>
      </c>
      <c r="B83" s="3" t="s">
        <v>20</v>
      </c>
      <c r="C83" s="3" t="s">
        <v>1977</v>
      </c>
      <c r="D83" s="3" t="s">
        <v>142</v>
      </c>
      <c r="E83" s="3"/>
      <c r="F83" s="3"/>
      <c r="G83" s="3"/>
      <c r="H83" s="3"/>
    </row>
    <row r="84" spans="1:8" x14ac:dyDescent="0.35">
      <c r="A84" s="3" t="s">
        <v>1939</v>
      </c>
      <c r="B84" s="3" t="s">
        <v>20</v>
      </c>
      <c r="C84" s="3" t="s">
        <v>1977</v>
      </c>
      <c r="D84" s="3" t="s">
        <v>28</v>
      </c>
      <c r="E84" s="3"/>
      <c r="F84" s="3" t="s">
        <v>2302</v>
      </c>
      <c r="G84" s="3"/>
      <c r="H84" s="3"/>
    </row>
    <row r="85" spans="1:8" x14ac:dyDescent="0.35">
      <c r="A85" s="3" t="s">
        <v>1939</v>
      </c>
      <c r="B85" s="3" t="s">
        <v>20</v>
      </c>
      <c r="C85" s="3" t="s">
        <v>1977</v>
      </c>
      <c r="D85" s="3" t="s">
        <v>716</v>
      </c>
      <c r="E85" s="3"/>
      <c r="F85" s="3"/>
      <c r="G85" s="3"/>
      <c r="H85" s="3"/>
    </row>
    <row r="86" spans="1:8" x14ac:dyDescent="0.35">
      <c r="A86" s="3" t="s">
        <v>1939</v>
      </c>
      <c r="B86" s="3" t="s">
        <v>20</v>
      </c>
      <c r="C86" s="3" t="s">
        <v>1977</v>
      </c>
      <c r="D86" s="3" t="s">
        <v>15</v>
      </c>
      <c r="E86" s="3" t="s">
        <v>16</v>
      </c>
      <c r="F86" s="3" t="s">
        <v>2303</v>
      </c>
      <c r="G86" s="3"/>
      <c r="H86" s="3"/>
    </row>
    <row r="87" spans="1:8" x14ac:dyDescent="0.35">
      <c r="A87" s="3" t="s">
        <v>1939</v>
      </c>
      <c r="B87" s="3" t="s">
        <v>20</v>
      </c>
      <c r="C87" s="3" t="s">
        <v>1977</v>
      </c>
      <c r="D87" s="3" t="s">
        <v>89</v>
      </c>
      <c r="E87" s="3"/>
      <c r="F87" s="3"/>
      <c r="G87" s="3"/>
      <c r="H87" s="3"/>
    </row>
    <row r="88" spans="1:8" x14ac:dyDescent="0.35">
      <c r="A88" s="3" t="s">
        <v>1939</v>
      </c>
      <c r="B88" s="3" t="s">
        <v>20</v>
      </c>
      <c r="C88" s="3" t="s">
        <v>1977</v>
      </c>
      <c r="D88" s="3" t="s">
        <v>29</v>
      </c>
      <c r="E88" s="3"/>
      <c r="F88" s="3"/>
      <c r="G88" s="3"/>
      <c r="H88" s="3"/>
    </row>
    <row r="89" spans="1:8" x14ac:dyDescent="0.35">
      <c r="A89" s="3" t="s">
        <v>1939</v>
      </c>
      <c r="B89" s="3" t="s">
        <v>20</v>
      </c>
      <c r="C89" s="3" t="s">
        <v>1977</v>
      </c>
      <c r="D89" s="3" t="s">
        <v>152</v>
      </c>
      <c r="E89" s="3" t="s">
        <v>33</v>
      </c>
      <c r="F89" s="3" t="s">
        <v>34</v>
      </c>
      <c r="G89" s="3"/>
      <c r="H89" s="3"/>
    </row>
    <row r="90" spans="1:8" x14ac:dyDescent="0.35">
      <c r="A90" s="3" t="s">
        <v>1939</v>
      </c>
      <c r="B90" s="3" t="s">
        <v>20</v>
      </c>
      <c r="C90" s="3" t="s">
        <v>1977</v>
      </c>
      <c r="D90" s="3" t="s">
        <v>134</v>
      </c>
      <c r="E90" s="3"/>
      <c r="F90" s="3"/>
      <c r="G90" s="3"/>
      <c r="H90" s="3"/>
    </row>
    <row r="91" spans="1:8" x14ac:dyDescent="0.35">
      <c r="A91" s="3" t="s">
        <v>1939</v>
      </c>
      <c r="B91" s="3" t="s">
        <v>20</v>
      </c>
      <c r="C91" s="3" t="s">
        <v>1977</v>
      </c>
      <c r="D91" s="3" t="s">
        <v>893</v>
      </c>
      <c r="E91" s="3"/>
      <c r="F91" s="3" t="s">
        <v>2301</v>
      </c>
      <c r="G91" s="3"/>
      <c r="H91" s="3"/>
    </row>
    <row r="92" spans="1:8" x14ac:dyDescent="0.35">
      <c r="A92" s="3" t="s">
        <v>1939</v>
      </c>
      <c r="B92" s="3" t="s">
        <v>20</v>
      </c>
      <c r="C92" s="3" t="s">
        <v>1977</v>
      </c>
      <c r="D92" s="3" t="s">
        <v>630</v>
      </c>
      <c r="E92" s="3"/>
      <c r="F92" s="3"/>
      <c r="G92" s="3"/>
      <c r="H92" s="3"/>
    </row>
    <row r="93" spans="1:8" x14ac:dyDescent="0.35">
      <c r="A93" s="3" t="s">
        <v>1939</v>
      </c>
      <c r="B93" s="3" t="s">
        <v>39</v>
      </c>
      <c r="C93" s="3" t="s">
        <v>1978</v>
      </c>
      <c r="D93" s="3" t="s">
        <v>25</v>
      </c>
      <c r="E93" s="3" t="s">
        <v>16</v>
      </c>
      <c r="F93" s="3" t="s">
        <v>1980</v>
      </c>
      <c r="G93" s="3"/>
      <c r="H93" s="3"/>
    </row>
    <row r="94" spans="1:8" x14ac:dyDescent="0.35">
      <c r="A94" s="3" t="s">
        <v>1939</v>
      </c>
      <c r="B94" s="3" t="s">
        <v>39</v>
      </c>
      <c r="C94" s="3" t="s">
        <v>1978</v>
      </c>
      <c r="D94" s="3" t="s">
        <v>15</v>
      </c>
      <c r="E94" s="3" t="s">
        <v>16</v>
      </c>
      <c r="F94" s="3" t="s">
        <v>1979</v>
      </c>
      <c r="G94" s="3"/>
      <c r="H94" s="3"/>
    </row>
    <row r="95" spans="1:8" x14ac:dyDescent="0.35">
      <c r="A95" s="3" t="s">
        <v>1939</v>
      </c>
      <c r="B95" s="3" t="s">
        <v>39</v>
      </c>
      <c r="C95" s="3" t="s">
        <v>1978</v>
      </c>
      <c r="D95" s="3" t="s">
        <v>56</v>
      </c>
      <c r="E95" s="3" t="s">
        <v>16</v>
      </c>
      <c r="F95" s="3" t="s">
        <v>1980</v>
      </c>
      <c r="G95" s="3"/>
      <c r="H95" s="3"/>
    </row>
    <row r="96" spans="1:8" x14ac:dyDescent="0.35">
      <c r="A96" s="3" t="s">
        <v>1939</v>
      </c>
      <c r="B96" s="3" t="s">
        <v>39</v>
      </c>
      <c r="C96" s="3" t="s">
        <v>1978</v>
      </c>
      <c r="D96" s="3" t="s">
        <v>32</v>
      </c>
      <c r="E96" s="3" t="s">
        <v>16</v>
      </c>
      <c r="F96" s="3" t="s">
        <v>1980</v>
      </c>
      <c r="G96" s="3"/>
      <c r="H96" s="3"/>
    </row>
    <row r="97" spans="1:8" x14ac:dyDescent="0.35">
      <c r="A97" s="3" t="s">
        <v>1939</v>
      </c>
      <c r="B97" s="3" t="s">
        <v>39</v>
      </c>
      <c r="C97" s="3" t="s">
        <v>1978</v>
      </c>
      <c r="D97" s="3" t="s">
        <v>630</v>
      </c>
      <c r="E97" s="3" t="s">
        <v>16</v>
      </c>
      <c r="F97" s="3" t="s">
        <v>1980</v>
      </c>
      <c r="G97" s="3"/>
      <c r="H97" s="3"/>
    </row>
    <row r="98" spans="1:8" x14ac:dyDescent="0.35">
      <c r="A98" s="3" t="s">
        <v>1939</v>
      </c>
      <c r="B98" s="3" t="s">
        <v>20</v>
      </c>
      <c r="C98" s="3" t="s">
        <v>1981</v>
      </c>
      <c r="D98" s="3" t="s">
        <v>12</v>
      </c>
      <c r="E98" s="3"/>
      <c r="F98" s="3"/>
      <c r="G98" s="3"/>
      <c r="H98" s="3"/>
    </row>
    <row r="99" spans="1:8" x14ac:dyDescent="0.35">
      <c r="A99" s="3" t="s">
        <v>1939</v>
      </c>
      <c r="B99" s="3" t="s">
        <v>20</v>
      </c>
      <c r="C99" s="3" t="s">
        <v>1981</v>
      </c>
      <c r="D99" s="3" t="s">
        <v>23</v>
      </c>
      <c r="E99" s="3"/>
      <c r="F99" s="3"/>
      <c r="G99" s="3"/>
      <c r="H99" s="3"/>
    </row>
    <row r="100" spans="1:8" x14ac:dyDescent="0.35">
      <c r="A100" s="3" t="s">
        <v>1939</v>
      </c>
      <c r="B100" s="3" t="s">
        <v>20</v>
      </c>
      <c r="C100" s="3" t="s">
        <v>1981</v>
      </c>
      <c r="D100" s="3" t="s">
        <v>25</v>
      </c>
      <c r="E100" s="3"/>
      <c r="F100" s="3"/>
      <c r="G100" s="3"/>
      <c r="H100" s="3"/>
    </row>
    <row r="101" spans="1:8" x14ac:dyDescent="0.35">
      <c r="A101" s="3" t="s">
        <v>1939</v>
      </c>
      <c r="B101" s="3" t="s">
        <v>20</v>
      </c>
      <c r="C101" s="3" t="s">
        <v>1981</v>
      </c>
      <c r="D101" s="3" t="s">
        <v>77</v>
      </c>
      <c r="E101" s="3"/>
      <c r="F101" s="3"/>
      <c r="G101" s="3"/>
      <c r="H101" s="3"/>
    </row>
    <row r="102" spans="1:8" x14ac:dyDescent="0.35">
      <c r="A102" s="3" t="s">
        <v>1939</v>
      </c>
      <c r="B102" s="3" t="s">
        <v>20</v>
      </c>
      <c r="C102" s="3" t="s">
        <v>1981</v>
      </c>
      <c r="D102" s="3" t="s">
        <v>28</v>
      </c>
      <c r="E102" s="3"/>
      <c r="F102" s="3"/>
      <c r="G102" s="3"/>
      <c r="H102" s="3"/>
    </row>
    <row r="103" spans="1:8" x14ac:dyDescent="0.35">
      <c r="A103" s="3" t="s">
        <v>1939</v>
      </c>
      <c r="B103" s="3" t="s">
        <v>20</v>
      </c>
      <c r="C103" s="3" t="s">
        <v>1981</v>
      </c>
      <c r="D103" s="3" t="s">
        <v>15</v>
      </c>
      <c r="E103" s="3" t="s">
        <v>16</v>
      </c>
      <c r="F103" s="3" t="s">
        <v>1979</v>
      </c>
      <c r="G103" s="3"/>
      <c r="H103" s="3"/>
    </row>
    <row r="104" spans="1:8" x14ac:dyDescent="0.35">
      <c r="A104" s="3" t="s">
        <v>1939</v>
      </c>
      <c r="B104" s="3" t="s">
        <v>20</v>
      </c>
      <c r="C104" s="3" t="s">
        <v>1981</v>
      </c>
      <c r="D104" s="3" t="s">
        <v>152</v>
      </c>
      <c r="E104" s="3"/>
      <c r="F104" s="3"/>
      <c r="G104" s="3"/>
      <c r="H104" s="3"/>
    </row>
    <row r="105" spans="1:8" x14ac:dyDescent="0.35">
      <c r="A105" s="3" t="s">
        <v>1939</v>
      </c>
      <c r="B105" s="3" t="s">
        <v>20</v>
      </c>
      <c r="C105" s="3" t="s">
        <v>1981</v>
      </c>
      <c r="D105" s="3" t="s">
        <v>134</v>
      </c>
      <c r="E105" s="3" t="s">
        <v>16</v>
      </c>
      <c r="F105" s="3" t="s">
        <v>1965</v>
      </c>
      <c r="G105" s="3"/>
      <c r="H105" s="3"/>
    </row>
    <row r="106" spans="1:8" x14ac:dyDescent="0.35">
      <c r="A106" s="3" t="s">
        <v>1939</v>
      </c>
      <c r="B106" s="3" t="s">
        <v>20</v>
      </c>
      <c r="C106" s="3" t="s">
        <v>1981</v>
      </c>
      <c r="D106" s="3" t="s">
        <v>893</v>
      </c>
      <c r="E106" s="3"/>
      <c r="F106" s="3" t="s">
        <v>2301</v>
      </c>
      <c r="G106" s="3"/>
      <c r="H106" s="3"/>
    </row>
    <row r="107" spans="1:8" x14ac:dyDescent="0.35">
      <c r="A107" s="3" t="s">
        <v>1939</v>
      </c>
      <c r="B107" s="3" t="s">
        <v>20</v>
      </c>
      <c r="C107" s="3" t="s">
        <v>1981</v>
      </c>
      <c r="D107" s="3" t="s">
        <v>630</v>
      </c>
      <c r="E107" s="3"/>
      <c r="F107" s="3"/>
      <c r="G107" s="3"/>
      <c r="H107" s="3"/>
    </row>
    <row r="108" spans="1:8" x14ac:dyDescent="0.35">
      <c r="A108" s="3" t="s">
        <v>1939</v>
      </c>
      <c r="B108" s="3" t="s">
        <v>20</v>
      </c>
      <c r="C108" s="3" t="s">
        <v>1982</v>
      </c>
      <c r="D108" s="3" t="s">
        <v>12</v>
      </c>
      <c r="E108" s="3"/>
      <c r="F108" s="3"/>
      <c r="G108" s="3"/>
      <c r="H108" s="3"/>
    </row>
    <row r="109" spans="1:8" x14ac:dyDescent="0.35">
      <c r="A109" s="3" t="s">
        <v>1939</v>
      </c>
      <c r="B109" s="3" t="s">
        <v>20</v>
      </c>
      <c r="C109" s="3" t="s">
        <v>1982</v>
      </c>
      <c r="D109" s="3" t="s">
        <v>36</v>
      </c>
      <c r="E109" s="3"/>
      <c r="F109" s="3"/>
      <c r="G109" s="3"/>
      <c r="H109" s="3"/>
    </row>
    <row r="110" spans="1:8" x14ac:dyDescent="0.35">
      <c r="A110" s="3" t="s">
        <v>1939</v>
      </c>
      <c r="B110" s="3" t="s">
        <v>20</v>
      </c>
      <c r="C110" s="3" t="s">
        <v>1982</v>
      </c>
      <c r="D110" s="3" t="s">
        <v>47</v>
      </c>
      <c r="E110" s="3"/>
      <c r="F110" s="3"/>
      <c r="G110" s="3"/>
      <c r="H110" s="3"/>
    </row>
    <row r="111" spans="1:8" x14ac:dyDescent="0.35">
      <c r="A111" s="3" t="s">
        <v>1939</v>
      </c>
      <c r="B111" s="3" t="s">
        <v>20</v>
      </c>
      <c r="C111" s="3" t="s">
        <v>1982</v>
      </c>
      <c r="D111" s="3" t="s">
        <v>28</v>
      </c>
      <c r="E111" s="3"/>
      <c r="F111" s="3"/>
      <c r="G111" s="3"/>
      <c r="H111" s="3"/>
    </row>
    <row r="112" spans="1:8" x14ac:dyDescent="0.35">
      <c r="A112" s="3" t="s">
        <v>1939</v>
      </c>
      <c r="B112" s="3" t="s">
        <v>20</v>
      </c>
      <c r="C112" s="3" t="s">
        <v>1982</v>
      </c>
      <c r="D112" s="3" t="s">
        <v>15</v>
      </c>
      <c r="E112" s="3"/>
      <c r="F112" s="3"/>
      <c r="G112" s="3"/>
      <c r="H112" s="3"/>
    </row>
    <row r="113" spans="1:8" x14ac:dyDescent="0.35">
      <c r="A113" s="3" t="s">
        <v>1939</v>
      </c>
      <c r="B113" s="3" t="s">
        <v>20</v>
      </c>
      <c r="C113" s="3" t="s">
        <v>1982</v>
      </c>
      <c r="D113" s="3" t="s">
        <v>134</v>
      </c>
      <c r="E113" s="3"/>
      <c r="F113" s="3"/>
      <c r="G113" s="3"/>
      <c r="H113" s="3"/>
    </row>
    <row r="114" spans="1:8" x14ac:dyDescent="0.35">
      <c r="A114" s="3" t="s">
        <v>1939</v>
      </c>
      <c r="B114" s="3" t="s">
        <v>45</v>
      </c>
      <c r="C114" s="3" t="s">
        <v>3021</v>
      </c>
      <c r="D114" s="3" t="s">
        <v>47</v>
      </c>
      <c r="E114" s="3"/>
      <c r="F114" s="3"/>
      <c r="G114" s="3"/>
      <c r="H114" s="3"/>
    </row>
    <row r="115" spans="1:8" x14ac:dyDescent="0.35">
      <c r="A115" s="3" t="s">
        <v>1939</v>
      </c>
      <c r="B115" s="3" t="s">
        <v>45</v>
      </c>
      <c r="C115" s="3" t="s">
        <v>3021</v>
      </c>
      <c r="D115" s="3" t="s">
        <v>25</v>
      </c>
      <c r="E115" s="3"/>
      <c r="F115" s="3"/>
      <c r="G115" s="3"/>
      <c r="H115" s="3"/>
    </row>
    <row r="116" spans="1:8" x14ac:dyDescent="0.35">
      <c r="A116" s="3" t="s">
        <v>1939</v>
      </c>
      <c r="B116" s="3" t="s">
        <v>45</v>
      </c>
      <c r="C116" s="3" t="s">
        <v>3021</v>
      </c>
      <c r="D116" s="3" t="s">
        <v>77</v>
      </c>
      <c r="E116" s="3"/>
      <c r="F116" s="3"/>
      <c r="G116" s="3"/>
      <c r="H116" s="3"/>
    </row>
    <row r="117" spans="1:8" x14ac:dyDescent="0.35">
      <c r="A117" s="3" t="s">
        <v>1939</v>
      </c>
      <c r="B117" s="3" t="s">
        <v>45</v>
      </c>
      <c r="C117" s="3" t="s">
        <v>3021</v>
      </c>
      <c r="D117" s="3" t="s">
        <v>56</v>
      </c>
      <c r="E117" s="3" t="s">
        <v>16</v>
      </c>
      <c r="F117" s="3" t="s">
        <v>2285</v>
      </c>
      <c r="G117" s="3"/>
      <c r="H117" s="3"/>
    </row>
    <row r="118" spans="1:8" x14ac:dyDescent="0.35">
      <c r="A118" s="3" t="s">
        <v>1939</v>
      </c>
      <c r="B118" s="3" t="s">
        <v>20</v>
      </c>
      <c r="C118" s="3" t="s">
        <v>1984</v>
      </c>
      <c r="D118" s="3" t="s">
        <v>25</v>
      </c>
      <c r="E118" s="3"/>
      <c r="F118" s="3"/>
      <c r="G118" s="3"/>
      <c r="H118" s="3"/>
    </row>
    <row r="119" spans="1:8" x14ac:dyDescent="0.35">
      <c r="A119" s="3" t="s">
        <v>1939</v>
      </c>
      <c r="B119" s="3" t="s">
        <v>20</v>
      </c>
      <c r="C119" s="3" t="s">
        <v>1984</v>
      </c>
      <c r="D119" s="3" t="s">
        <v>141</v>
      </c>
      <c r="E119" s="3"/>
      <c r="F119" s="3"/>
      <c r="G119" s="3"/>
      <c r="H119" s="3"/>
    </row>
    <row r="120" spans="1:8" x14ac:dyDescent="0.35">
      <c r="A120" s="3" t="s">
        <v>1939</v>
      </c>
      <c r="B120" s="3" t="s">
        <v>20</v>
      </c>
      <c r="C120" s="3" t="s">
        <v>1984</v>
      </c>
      <c r="D120" s="3" t="s">
        <v>15</v>
      </c>
      <c r="E120" s="3" t="s">
        <v>16</v>
      </c>
      <c r="F120" s="3" t="s">
        <v>2606</v>
      </c>
      <c r="G120" s="3"/>
      <c r="H120" s="3"/>
    </row>
    <row r="121" spans="1:8" x14ac:dyDescent="0.35">
      <c r="A121" s="3" t="s">
        <v>1939</v>
      </c>
      <c r="B121" s="3" t="s">
        <v>20</v>
      </c>
      <c r="C121" s="3" t="s">
        <v>1984</v>
      </c>
      <c r="D121" s="3" t="s">
        <v>134</v>
      </c>
      <c r="E121" s="3"/>
      <c r="F121" s="3"/>
      <c r="G121" s="3"/>
      <c r="H121" s="3"/>
    </row>
    <row r="122" spans="1:8" x14ac:dyDescent="0.35">
      <c r="A122" s="3" t="s">
        <v>1939</v>
      </c>
      <c r="B122" s="3" t="s">
        <v>10</v>
      </c>
      <c r="C122" s="3" t="s">
        <v>2782</v>
      </c>
      <c r="D122" s="3" t="s">
        <v>47</v>
      </c>
      <c r="E122" s="3"/>
      <c r="F122" s="3"/>
      <c r="G122" s="3"/>
      <c r="H122" s="3"/>
    </row>
    <row r="123" spans="1:8" x14ac:dyDescent="0.35">
      <c r="A123" s="3" t="s">
        <v>1939</v>
      </c>
      <c r="B123" s="3" t="s">
        <v>10</v>
      </c>
      <c r="C123" s="3" t="s">
        <v>2782</v>
      </c>
      <c r="D123" s="3" t="s">
        <v>134</v>
      </c>
      <c r="E123" s="3"/>
      <c r="F123" s="3"/>
      <c r="G123" s="3"/>
      <c r="H123" s="3"/>
    </row>
    <row r="124" spans="1:8" x14ac:dyDescent="0.35">
      <c r="A124" s="3" t="s">
        <v>1939</v>
      </c>
      <c r="B124" s="3" t="s">
        <v>20</v>
      </c>
      <c r="C124" s="3" t="s">
        <v>1985</v>
      </c>
      <c r="D124" s="3" t="s">
        <v>12</v>
      </c>
      <c r="E124" s="3" t="s">
        <v>33</v>
      </c>
      <c r="F124" s="3" t="s">
        <v>1986</v>
      </c>
      <c r="G124" s="3"/>
      <c r="H124" s="3"/>
    </row>
    <row r="125" spans="1:8" x14ac:dyDescent="0.35">
      <c r="A125" s="3" t="s">
        <v>1939</v>
      </c>
      <c r="B125" s="3" t="s">
        <v>20</v>
      </c>
      <c r="C125" s="3" t="s">
        <v>1985</v>
      </c>
      <c r="D125" s="3" t="s">
        <v>47</v>
      </c>
      <c r="E125" s="3" t="s">
        <v>33</v>
      </c>
      <c r="F125" s="3" t="s">
        <v>1986</v>
      </c>
      <c r="G125" s="3"/>
      <c r="H125" s="3"/>
    </row>
    <row r="126" spans="1:8" x14ac:dyDescent="0.35">
      <c r="A126" s="3" t="s">
        <v>1939</v>
      </c>
      <c r="B126" s="3" t="s">
        <v>20</v>
      </c>
      <c r="C126" s="3" t="s">
        <v>1985</v>
      </c>
      <c r="D126" s="3" t="s">
        <v>57</v>
      </c>
      <c r="E126" s="3" t="s">
        <v>33</v>
      </c>
      <c r="F126" s="3" t="s">
        <v>1986</v>
      </c>
      <c r="G126" s="3"/>
      <c r="H126" s="3"/>
    </row>
    <row r="127" spans="1:8" x14ac:dyDescent="0.35">
      <c r="A127" s="3" t="s">
        <v>1939</v>
      </c>
      <c r="B127" s="3" t="s">
        <v>20</v>
      </c>
      <c r="C127" s="3" t="s">
        <v>1985</v>
      </c>
      <c r="D127" s="3" t="s">
        <v>56</v>
      </c>
      <c r="E127" s="3" t="s">
        <v>33</v>
      </c>
      <c r="F127" s="3" t="s">
        <v>1986</v>
      </c>
      <c r="G127" s="3"/>
      <c r="H127" s="3"/>
    </row>
    <row r="128" spans="1:8" x14ac:dyDescent="0.35">
      <c r="A128" s="3" t="s">
        <v>1939</v>
      </c>
      <c r="B128" s="3" t="s">
        <v>20</v>
      </c>
      <c r="C128" s="3" t="s">
        <v>1985</v>
      </c>
      <c r="D128" s="3" t="s">
        <v>32</v>
      </c>
      <c r="E128" s="3" t="s">
        <v>33</v>
      </c>
      <c r="F128" s="3" t="s">
        <v>1986</v>
      </c>
      <c r="G128" s="3"/>
      <c r="H128" s="3"/>
    </row>
    <row r="129" spans="1:8" x14ac:dyDescent="0.35">
      <c r="A129" s="3" t="s">
        <v>1939</v>
      </c>
      <c r="B129" s="3" t="s">
        <v>10</v>
      </c>
      <c r="C129" s="3" t="s">
        <v>1987</v>
      </c>
      <c r="D129" s="3" t="s">
        <v>47</v>
      </c>
      <c r="E129" s="3"/>
      <c r="F129" s="3"/>
      <c r="G129" s="3"/>
      <c r="H129" s="3"/>
    </row>
    <row r="130" spans="1:8" x14ac:dyDescent="0.35">
      <c r="A130" s="3" t="s">
        <v>1939</v>
      </c>
      <c r="B130" s="3" t="s">
        <v>10</v>
      </c>
      <c r="C130" s="3" t="s">
        <v>1987</v>
      </c>
      <c r="D130" s="3" t="s">
        <v>15</v>
      </c>
      <c r="E130" s="3" t="s">
        <v>16</v>
      </c>
      <c r="F130" s="3" t="s">
        <v>1988</v>
      </c>
      <c r="G130" s="3"/>
      <c r="H130" s="3"/>
    </row>
    <row r="131" spans="1:8" x14ac:dyDescent="0.35">
      <c r="A131" s="3" t="s">
        <v>1939</v>
      </c>
      <c r="B131" s="3" t="s">
        <v>20</v>
      </c>
      <c r="C131" s="3" t="s">
        <v>1989</v>
      </c>
      <c r="D131" s="3" t="s">
        <v>12</v>
      </c>
      <c r="E131" s="3"/>
      <c r="F131" s="3"/>
      <c r="G131" s="3"/>
      <c r="H131" s="3"/>
    </row>
    <row r="132" spans="1:8" x14ac:dyDescent="0.35">
      <c r="A132" s="3" t="s">
        <v>1939</v>
      </c>
      <c r="B132" s="3" t="s">
        <v>20</v>
      </c>
      <c r="C132" s="3" t="s">
        <v>1989</v>
      </c>
      <c r="D132" s="3" t="s">
        <v>47</v>
      </c>
      <c r="E132" s="3"/>
      <c r="F132" s="3"/>
      <c r="G132" s="3"/>
      <c r="H132" s="3"/>
    </row>
    <row r="133" spans="1:8" x14ac:dyDescent="0.35">
      <c r="A133" s="3" t="s">
        <v>1939</v>
      </c>
      <c r="B133" s="3" t="s">
        <v>20</v>
      </c>
      <c r="C133" s="3" t="s">
        <v>1989</v>
      </c>
      <c r="D133" s="3" t="s">
        <v>32</v>
      </c>
      <c r="E133" s="3"/>
      <c r="F133" s="3"/>
      <c r="G133" s="3"/>
      <c r="H133" s="3"/>
    </row>
    <row r="134" spans="1:8" x14ac:dyDescent="0.35">
      <c r="A134" s="3" t="s">
        <v>1939</v>
      </c>
      <c r="B134" s="3" t="s">
        <v>10</v>
      </c>
      <c r="C134" s="3" t="s">
        <v>1990</v>
      </c>
      <c r="D134" s="3" t="s">
        <v>47</v>
      </c>
      <c r="E134" s="3"/>
      <c r="F134" s="3"/>
      <c r="G134" s="3"/>
      <c r="H134" s="3"/>
    </row>
    <row r="135" spans="1:8" x14ac:dyDescent="0.35">
      <c r="A135" s="3" t="s">
        <v>1939</v>
      </c>
      <c r="B135" s="3" t="s">
        <v>10</v>
      </c>
      <c r="C135" s="3" t="s">
        <v>1990</v>
      </c>
      <c r="D135" s="3" t="s">
        <v>25</v>
      </c>
      <c r="E135" s="3"/>
      <c r="F135" s="3"/>
      <c r="G135" s="3"/>
      <c r="H135" s="3"/>
    </row>
    <row r="136" spans="1:8" x14ac:dyDescent="0.35">
      <c r="A136" s="3" t="s">
        <v>1939</v>
      </c>
      <c r="B136" s="3" t="s">
        <v>10</v>
      </c>
      <c r="C136" s="3" t="s">
        <v>1990</v>
      </c>
      <c r="D136" s="3" t="s">
        <v>28</v>
      </c>
      <c r="E136" s="3"/>
      <c r="F136" s="3"/>
      <c r="G136" s="3"/>
      <c r="H136" s="3"/>
    </row>
    <row r="137" spans="1:8" x14ac:dyDescent="0.35">
      <c r="A137" s="3" t="s">
        <v>1939</v>
      </c>
      <c r="B137" s="3" t="s">
        <v>10</v>
      </c>
      <c r="C137" s="3" t="s">
        <v>1990</v>
      </c>
      <c r="D137" s="3" t="s">
        <v>87</v>
      </c>
      <c r="E137" s="3"/>
      <c r="F137" s="3" t="s">
        <v>2397</v>
      </c>
      <c r="G137" s="3"/>
      <c r="H137" s="3"/>
    </row>
    <row r="138" spans="1:8" x14ac:dyDescent="0.35">
      <c r="A138" s="3" t="s">
        <v>1939</v>
      </c>
      <c r="B138" s="3" t="s">
        <v>10</v>
      </c>
      <c r="C138" s="3" t="s">
        <v>1990</v>
      </c>
      <c r="D138" s="3" t="s">
        <v>15</v>
      </c>
      <c r="E138" s="3"/>
      <c r="F138" s="3"/>
      <c r="G138" s="3"/>
      <c r="H138" s="3"/>
    </row>
    <row r="139" spans="1:8" x14ac:dyDescent="0.35">
      <c r="A139" s="3" t="s">
        <v>1939</v>
      </c>
      <c r="B139" s="3" t="s">
        <v>20</v>
      </c>
      <c r="C139" s="3" t="s">
        <v>1991</v>
      </c>
      <c r="D139" s="3" t="s">
        <v>25</v>
      </c>
      <c r="E139" s="3"/>
      <c r="F139" s="3"/>
      <c r="G139" s="3"/>
      <c r="H139" s="3"/>
    </row>
    <row r="140" spans="1:8" x14ac:dyDescent="0.35">
      <c r="A140" s="3" t="s">
        <v>1939</v>
      </c>
      <c r="B140" s="3" t="s">
        <v>20</v>
      </c>
      <c r="C140" s="3" t="s">
        <v>1991</v>
      </c>
      <c r="D140" s="3" t="s">
        <v>32</v>
      </c>
      <c r="E140" s="3" t="s">
        <v>33</v>
      </c>
      <c r="F140" s="3" t="s">
        <v>34</v>
      </c>
      <c r="G140" s="3"/>
      <c r="H140" s="3"/>
    </row>
    <row r="141" spans="1:8" x14ac:dyDescent="0.35">
      <c r="A141" s="3" t="s">
        <v>1939</v>
      </c>
      <c r="B141" s="3" t="s">
        <v>20</v>
      </c>
      <c r="C141" s="3" t="s">
        <v>1991</v>
      </c>
      <c r="D141" s="3" t="s">
        <v>134</v>
      </c>
      <c r="E141" s="3"/>
      <c r="F141" s="3"/>
      <c r="G141" s="3"/>
      <c r="H141" s="3"/>
    </row>
    <row r="142" spans="1:8" x14ac:dyDescent="0.35">
      <c r="A142" s="3" t="s">
        <v>1939</v>
      </c>
      <c r="B142" s="3" t="s">
        <v>20</v>
      </c>
      <c r="C142" s="3" t="s">
        <v>1991</v>
      </c>
      <c r="D142" s="3" t="s">
        <v>630</v>
      </c>
      <c r="E142" s="3" t="s">
        <v>33</v>
      </c>
      <c r="F142" s="3" t="s">
        <v>34</v>
      </c>
      <c r="G142" s="3"/>
      <c r="H142" s="3"/>
    </row>
    <row r="143" spans="1:8" x14ac:dyDescent="0.35">
      <c r="A143" s="3" t="s">
        <v>1939</v>
      </c>
      <c r="B143" s="3" t="s">
        <v>10</v>
      </c>
      <c r="C143" s="3" t="s">
        <v>1992</v>
      </c>
      <c r="D143" s="3" t="s">
        <v>15</v>
      </c>
      <c r="E143" s="3" t="s">
        <v>16</v>
      </c>
      <c r="F143" s="3" t="s">
        <v>1993</v>
      </c>
      <c r="G143" s="3"/>
      <c r="H143" s="3"/>
    </row>
    <row r="144" spans="1:8" x14ac:dyDescent="0.35">
      <c r="A144" s="3" t="s">
        <v>1939</v>
      </c>
      <c r="B144" s="3" t="s">
        <v>10</v>
      </c>
      <c r="C144" s="3" t="s">
        <v>1994</v>
      </c>
      <c r="D144" s="3" t="s">
        <v>47</v>
      </c>
      <c r="E144" s="3"/>
      <c r="F144" s="3"/>
      <c r="G144" s="3"/>
      <c r="H144" s="3"/>
    </row>
    <row r="145" spans="1:8" x14ac:dyDescent="0.35">
      <c r="A145" s="3" t="s">
        <v>1939</v>
      </c>
      <c r="B145" s="3" t="s">
        <v>10</v>
      </c>
      <c r="C145" s="3" t="s">
        <v>1995</v>
      </c>
      <c r="D145" s="3" t="s">
        <v>47</v>
      </c>
      <c r="E145" s="3"/>
      <c r="F145" s="3"/>
      <c r="G145" s="3"/>
      <c r="H145" s="3"/>
    </row>
    <row r="146" spans="1:8" x14ac:dyDescent="0.35">
      <c r="A146" s="3" t="s">
        <v>1939</v>
      </c>
      <c r="B146" s="3" t="s">
        <v>10</v>
      </c>
      <c r="C146" s="3" t="s">
        <v>1995</v>
      </c>
      <c r="D146" s="3" t="s">
        <v>32</v>
      </c>
      <c r="E146" s="3"/>
      <c r="F146" s="3"/>
      <c r="G146" s="3"/>
      <c r="H146" s="3"/>
    </row>
    <row r="147" spans="1:8" x14ac:dyDescent="0.35">
      <c r="A147" s="3" t="s">
        <v>1939</v>
      </c>
      <c r="B147" s="3" t="s">
        <v>10</v>
      </c>
      <c r="C147" s="3" t="s">
        <v>2911</v>
      </c>
      <c r="D147" s="3" t="s">
        <v>47</v>
      </c>
      <c r="E147" s="3"/>
      <c r="F147" s="3"/>
      <c r="G147" s="3"/>
      <c r="H147" s="3"/>
    </row>
    <row r="148" spans="1:8" x14ac:dyDescent="0.35">
      <c r="A148" s="3" t="s">
        <v>1939</v>
      </c>
      <c r="B148" s="3" t="s">
        <v>10</v>
      </c>
      <c r="C148" s="3" t="s">
        <v>2911</v>
      </c>
      <c r="D148" s="3" t="s">
        <v>15</v>
      </c>
      <c r="E148" s="3" t="s">
        <v>16</v>
      </c>
      <c r="F148" s="3" t="s">
        <v>2912</v>
      </c>
      <c r="G148" s="3"/>
      <c r="H148" s="3"/>
    </row>
    <row r="149" spans="1:8" x14ac:dyDescent="0.35">
      <c r="A149" s="3" t="s">
        <v>1939</v>
      </c>
      <c r="B149" s="3" t="s">
        <v>45</v>
      </c>
      <c r="C149" s="3" t="s">
        <v>1996</v>
      </c>
      <c r="D149" s="3" t="s">
        <v>12</v>
      </c>
      <c r="E149" s="3"/>
      <c r="F149" s="3"/>
      <c r="G149" s="3"/>
      <c r="H149" s="3"/>
    </row>
    <row r="150" spans="1:8" x14ac:dyDescent="0.35">
      <c r="A150" s="3" t="s">
        <v>1939</v>
      </c>
      <c r="B150" s="3" t="s">
        <v>45</v>
      </c>
      <c r="C150" s="3" t="s">
        <v>1996</v>
      </c>
      <c r="D150" s="3" t="s">
        <v>47</v>
      </c>
      <c r="E150" s="3"/>
      <c r="F150" s="3"/>
      <c r="G150" s="3"/>
      <c r="H150" s="3"/>
    </row>
    <row r="151" spans="1:8" x14ac:dyDescent="0.35">
      <c r="A151" s="3" t="s">
        <v>1939</v>
      </c>
      <c r="B151" s="3" t="s">
        <v>45</v>
      </c>
      <c r="C151" s="3" t="s">
        <v>1996</v>
      </c>
      <c r="D151" s="3" t="s">
        <v>77</v>
      </c>
      <c r="E151" s="3"/>
      <c r="F151" s="3"/>
      <c r="G151" s="3"/>
      <c r="H151" s="3"/>
    </row>
    <row r="152" spans="1:8" x14ac:dyDescent="0.35">
      <c r="A152" s="3" t="s">
        <v>1939</v>
      </c>
      <c r="B152" s="3" t="s">
        <v>45</v>
      </c>
      <c r="C152" s="3" t="s">
        <v>1996</v>
      </c>
      <c r="D152" s="3" t="s">
        <v>28</v>
      </c>
      <c r="E152" s="3"/>
      <c r="F152" s="3" t="s">
        <v>2356</v>
      </c>
      <c r="G152" s="3"/>
      <c r="H152" s="3"/>
    </row>
    <row r="153" spans="1:8" x14ac:dyDescent="0.35">
      <c r="A153" s="3" t="s">
        <v>1939</v>
      </c>
      <c r="B153" s="3" t="s">
        <v>45</v>
      </c>
      <c r="C153" s="3" t="s">
        <v>1996</v>
      </c>
      <c r="D153" s="3" t="s">
        <v>242</v>
      </c>
      <c r="E153" s="3" t="s">
        <v>16</v>
      </c>
      <c r="F153" s="3" t="s">
        <v>2719</v>
      </c>
      <c r="G153" s="3"/>
      <c r="H153" s="3"/>
    </row>
    <row r="154" spans="1:8" x14ac:dyDescent="0.35">
      <c r="A154" s="3" t="s">
        <v>1939</v>
      </c>
      <c r="B154" s="3" t="s">
        <v>45</v>
      </c>
      <c r="C154" s="3" t="s">
        <v>1996</v>
      </c>
      <c r="D154" s="3" t="s">
        <v>15</v>
      </c>
      <c r="E154" s="3" t="s">
        <v>16</v>
      </c>
      <c r="F154" s="3" t="s">
        <v>2727</v>
      </c>
      <c r="G154" s="3"/>
      <c r="H154" s="3"/>
    </row>
    <row r="155" spans="1:8" x14ac:dyDescent="0.35">
      <c r="A155" s="3" t="s">
        <v>1939</v>
      </c>
      <c r="B155" s="3" t="s">
        <v>45</v>
      </c>
      <c r="C155" s="3" t="s">
        <v>1996</v>
      </c>
      <c r="D155" s="3" t="s">
        <v>29</v>
      </c>
      <c r="E155" s="3" t="s">
        <v>33</v>
      </c>
      <c r="F155" s="3" t="s">
        <v>34</v>
      </c>
      <c r="G155" s="3"/>
      <c r="H155" s="3"/>
    </row>
    <row r="156" spans="1:8" x14ac:dyDescent="0.35">
      <c r="A156" s="3" t="s">
        <v>1939</v>
      </c>
      <c r="B156" s="3" t="s">
        <v>45</v>
      </c>
      <c r="C156" s="3" t="s">
        <v>1996</v>
      </c>
      <c r="D156" s="3" t="s">
        <v>134</v>
      </c>
      <c r="E156" s="3" t="s">
        <v>33</v>
      </c>
      <c r="F156" s="3" t="s">
        <v>34</v>
      </c>
      <c r="G156" s="3"/>
      <c r="H156" s="3"/>
    </row>
    <row r="157" spans="1:8" x14ac:dyDescent="0.35">
      <c r="A157" s="3" t="s">
        <v>1939</v>
      </c>
      <c r="B157" s="3" t="s">
        <v>20</v>
      </c>
      <c r="C157" s="3" t="s">
        <v>1997</v>
      </c>
      <c r="D157" s="3" t="s">
        <v>12</v>
      </c>
      <c r="E157" s="3"/>
      <c r="F157" s="3"/>
      <c r="G157" s="3"/>
      <c r="H157" s="3"/>
    </row>
    <row r="158" spans="1:8" x14ac:dyDescent="0.35">
      <c r="A158" s="3" t="s">
        <v>1939</v>
      </c>
      <c r="B158" s="3" t="s">
        <v>20</v>
      </c>
      <c r="C158" s="3" t="s">
        <v>1997</v>
      </c>
      <c r="D158" s="3" t="s">
        <v>28</v>
      </c>
      <c r="E158" s="3" t="s">
        <v>16</v>
      </c>
      <c r="F158" s="3" t="s">
        <v>2728</v>
      </c>
      <c r="G158" s="3"/>
      <c r="H158" s="3"/>
    </row>
    <row r="159" spans="1:8" x14ac:dyDescent="0.35">
      <c r="A159" s="3" t="s">
        <v>1939</v>
      </c>
      <c r="B159" s="3" t="s">
        <v>20</v>
      </c>
      <c r="C159" s="3" t="s">
        <v>1997</v>
      </c>
      <c r="D159" s="3" t="s">
        <v>15</v>
      </c>
      <c r="E159" s="3" t="s">
        <v>16</v>
      </c>
      <c r="F159" s="3" t="s">
        <v>1993</v>
      </c>
      <c r="G159" s="3"/>
      <c r="H159" s="3"/>
    </row>
    <row r="160" spans="1:8" x14ac:dyDescent="0.35">
      <c r="A160" s="3" t="s">
        <v>1939</v>
      </c>
      <c r="B160" s="3" t="s">
        <v>20</v>
      </c>
      <c r="C160" s="3" t="s">
        <v>1997</v>
      </c>
      <c r="D160" s="3" t="s">
        <v>57</v>
      </c>
      <c r="E160" s="3" t="s">
        <v>16</v>
      </c>
      <c r="F160" s="3" t="s">
        <v>1998</v>
      </c>
      <c r="G160" s="3"/>
      <c r="H160" s="3"/>
    </row>
    <row r="161" spans="1:8" x14ac:dyDescent="0.35">
      <c r="A161" s="3" t="s">
        <v>1939</v>
      </c>
      <c r="B161" s="3" t="s">
        <v>20</v>
      </c>
      <c r="C161" s="3" t="s">
        <v>1999</v>
      </c>
      <c r="D161" s="3" t="s">
        <v>47</v>
      </c>
      <c r="E161" s="3" t="s">
        <v>16</v>
      </c>
      <c r="F161" s="3" t="s">
        <v>2000</v>
      </c>
      <c r="G161" s="3"/>
      <c r="H161" s="3"/>
    </row>
    <row r="162" spans="1:8" x14ac:dyDescent="0.35">
      <c r="A162" s="3" t="s">
        <v>1939</v>
      </c>
      <c r="B162" s="3" t="s">
        <v>20</v>
      </c>
      <c r="C162" s="3" t="s">
        <v>1999</v>
      </c>
      <c r="D162" s="3" t="s">
        <v>25</v>
      </c>
      <c r="E162" s="3" t="s">
        <v>16</v>
      </c>
      <c r="F162" s="3" t="s">
        <v>2000</v>
      </c>
      <c r="G162" s="3"/>
      <c r="H162" s="3"/>
    </row>
    <row r="163" spans="1:8" x14ac:dyDescent="0.35">
      <c r="A163" s="3" t="s">
        <v>1939</v>
      </c>
      <c r="B163" s="3" t="s">
        <v>20</v>
      </c>
      <c r="C163" s="3" t="s">
        <v>1999</v>
      </c>
      <c r="D163" s="3" t="s">
        <v>28</v>
      </c>
      <c r="E163" s="3" t="s">
        <v>16</v>
      </c>
      <c r="F163" s="3" t="s">
        <v>2000</v>
      </c>
      <c r="G163" s="3"/>
      <c r="H163" s="3"/>
    </row>
    <row r="164" spans="1:8" x14ac:dyDescent="0.35">
      <c r="A164" s="3" t="s">
        <v>1939</v>
      </c>
      <c r="B164" s="3" t="s">
        <v>20</v>
      </c>
      <c r="C164" s="3" t="s">
        <v>1999</v>
      </c>
      <c r="D164" s="3" t="s">
        <v>87</v>
      </c>
      <c r="E164" s="3" t="s">
        <v>16</v>
      </c>
      <c r="F164" s="3" t="s">
        <v>2000</v>
      </c>
      <c r="G164" s="3"/>
      <c r="H164" s="3"/>
    </row>
    <row r="165" spans="1:8" x14ac:dyDescent="0.35">
      <c r="A165" s="3" t="s">
        <v>1939</v>
      </c>
      <c r="B165" s="3" t="s">
        <v>20</v>
      </c>
      <c r="C165" s="3" t="s">
        <v>1999</v>
      </c>
      <c r="D165" s="3" t="s">
        <v>32</v>
      </c>
      <c r="E165" s="3" t="s">
        <v>16</v>
      </c>
      <c r="F165" s="3" t="s">
        <v>2000</v>
      </c>
      <c r="G165" s="3"/>
      <c r="H165" s="3"/>
    </row>
    <row r="166" spans="1:8" x14ac:dyDescent="0.35">
      <c r="A166" s="3" t="s">
        <v>1939</v>
      </c>
      <c r="B166" s="3" t="s">
        <v>20</v>
      </c>
      <c r="C166" s="3" t="s">
        <v>1999</v>
      </c>
      <c r="D166" s="3" t="s">
        <v>107</v>
      </c>
      <c r="E166" s="3" t="s">
        <v>16</v>
      </c>
      <c r="F166" s="3" t="s">
        <v>2000</v>
      </c>
      <c r="G166" s="3"/>
      <c r="H166" s="3"/>
    </row>
    <row r="167" spans="1:8" x14ac:dyDescent="0.35">
      <c r="A167" s="3" t="s">
        <v>1939</v>
      </c>
      <c r="B167" s="3" t="s">
        <v>42</v>
      </c>
      <c r="C167" s="3" t="s">
        <v>2001</v>
      </c>
      <c r="D167" s="3" t="s">
        <v>12</v>
      </c>
      <c r="E167" s="3"/>
      <c r="F167" s="3"/>
      <c r="G167" s="3"/>
      <c r="H167" s="3"/>
    </row>
    <row r="168" spans="1:8" x14ac:dyDescent="0.35">
      <c r="A168" s="3" t="s">
        <v>1939</v>
      </c>
      <c r="B168" s="3" t="s">
        <v>42</v>
      </c>
      <c r="C168" s="3" t="s">
        <v>2001</v>
      </c>
      <c r="D168" s="3" t="s">
        <v>36</v>
      </c>
      <c r="E168" s="3" t="s">
        <v>16</v>
      </c>
      <c r="F168" s="3" t="s">
        <v>2546</v>
      </c>
      <c r="G168" s="3"/>
      <c r="H168" s="3"/>
    </row>
    <row r="169" spans="1:8" x14ac:dyDescent="0.35">
      <c r="A169" s="3" t="s">
        <v>1939</v>
      </c>
      <c r="B169" s="3" t="s">
        <v>42</v>
      </c>
      <c r="C169" s="3" t="s">
        <v>2001</v>
      </c>
      <c r="D169" s="3" t="s">
        <v>47</v>
      </c>
      <c r="E169" s="3"/>
      <c r="F169" s="3"/>
      <c r="G169" s="3"/>
      <c r="H169" s="3"/>
    </row>
    <row r="170" spans="1:8" x14ac:dyDescent="0.35">
      <c r="A170" s="3" t="s">
        <v>1939</v>
      </c>
      <c r="B170" s="3" t="s">
        <v>42</v>
      </c>
      <c r="C170" s="3" t="s">
        <v>2001</v>
      </c>
      <c r="D170" s="3" t="s">
        <v>25</v>
      </c>
      <c r="E170" s="3"/>
      <c r="F170" s="3"/>
      <c r="G170" s="3"/>
      <c r="H170" s="3"/>
    </row>
    <row r="171" spans="1:8" x14ac:dyDescent="0.35">
      <c r="A171" s="3" t="s">
        <v>1939</v>
      </c>
      <c r="B171" s="3" t="s">
        <v>42</v>
      </c>
      <c r="C171" s="3" t="s">
        <v>2001</v>
      </c>
      <c r="D171" s="3" t="s">
        <v>141</v>
      </c>
      <c r="E171" s="3"/>
      <c r="F171" s="3"/>
      <c r="G171" s="3"/>
      <c r="H171" s="3"/>
    </row>
    <row r="172" spans="1:8" x14ac:dyDescent="0.35">
      <c r="A172" s="3" t="s">
        <v>1939</v>
      </c>
      <c r="B172" s="3" t="s">
        <v>42</v>
      </c>
      <c r="C172" s="3" t="s">
        <v>2001</v>
      </c>
      <c r="D172" s="3" t="s">
        <v>142</v>
      </c>
      <c r="E172" s="3"/>
      <c r="F172" s="3"/>
      <c r="G172" s="3"/>
      <c r="H172" s="3"/>
    </row>
    <row r="173" spans="1:8" x14ac:dyDescent="0.35">
      <c r="A173" s="3" t="s">
        <v>1939</v>
      </c>
      <c r="B173" s="3" t="s">
        <v>42</v>
      </c>
      <c r="C173" s="3" t="s">
        <v>2001</v>
      </c>
      <c r="D173" s="3" t="s">
        <v>28</v>
      </c>
      <c r="E173" s="3"/>
      <c r="F173" s="3" t="s">
        <v>2547</v>
      </c>
      <c r="G173" s="3"/>
      <c r="H173" s="3"/>
    </row>
    <row r="174" spans="1:8" x14ac:dyDescent="0.35">
      <c r="A174" s="3" t="s">
        <v>1939</v>
      </c>
      <c r="B174" s="3" t="s">
        <v>42</v>
      </c>
      <c r="C174" s="3" t="s">
        <v>2001</v>
      </c>
      <c r="D174" s="3" t="s">
        <v>15</v>
      </c>
      <c r="E174" s="3" t="s">
        <v>16</v>
      </c>
      <c r="F174" s="3" t="s">
        <v>2002</v>
      </c>
      <c r="G174" s="3"/>
      <c r="H174" s="3"/>
    </row>
    <row r="175" spans="1:8" x14ac:dyDescent="0.35">
      <c r="A175" s="3" t="s">
        <v>1939</v>
      </c>
      <c r="B175" s="3" t="s">
        <v>42</v>
      </c>
      <c r="C175" s="3" t="s">
        <v>2001</v>
      </c>
      <c r="D175" s="3" t="s">
        <v>57</v>
      </c>
      <c r="E175" s="3"/>
      <c r="F175" s="3" t="s">
        <v>2311</v>
      </c>
      <c r="G175" s="3"/>
      <c r="H175" s="3"/>
    </row>
    <row r="176" spans="1:8" x14ac:dyDescent="0.35">
      <c r="A176" s="3" t="s">
        <v>1939</v>
      </c>
      <c r="B176" s="3" t="s">
        <v>42</v>
      </c>
      <c r="C176" s="3" t="s">
        <v>2001</v>
      </c>
      <c r="D176" s="3" t="s">
        <v>32</v>
      </c>
      <c r="E176" s="3"/>
      <c r="F176" s="3" t="s">
        <v>2466</v>
      </c>
      <c r="G176" s="3"/>
      <c r="H176" s="3"/>
    </row>
    <row r="177" spans="1:8" x14ac:dyDescent="0.35">
      <c r="A177" s="3" t="s">
        <v>1939</v>
      </c>
      <c r="B177" s="3" t="s">
        <v>42</v>
      </c>
      <c r="C177" s="3" t="s">
        <v>2001</v>
      </c>
      <c r="D177" s="3" t="s">
        <v>134</v>
      </c>
      <c r="E177" s="3"/>
      <c r="F177" s="3"/>
      <c r="G177" s="3"/>
      <c r="H177" s="3"/>
    </row>
    <row r="178" spans="1:8" x14ac:dyDescent="0.35">
      <c r="A178" s="3" t="s">
        <v>1939</v>
      </c>
      <c r="B178" s="3" t="s">
        <v>42</v>
      </c>
      <c r="C178" s="3" t="s">
        <v>2001</v>
      </c>
      <c r="D178" s="3" t="s">
        <v>107</v>
      </c>
      <c r="E178" s="3" t="s">
        <v>16</v>
      </c>
      <c r="F178" s="3" t="s">
        <v>2003</v>
      </c>
      <c r="G178" s="3"/>
      <c r="H178" s="3"/>
    </row>
    <row r="179" spans="1:8" x14ac:dyDescent="0.35">
      <c r="A179" s="3" t="s">
        <v>1939</v>
      </c>
      <c r="B179" s="3" t="s">
        <v>10</v>
      </c>
      <c r="C179" s="3" t="s">
        <v>2004</v>
      </c>
      <c r="D179" s="3" t="s">
        <v>47</v>
      </c>
      <c r="E179" s="3"/>
      <c r="F179" s="3"/>
      <c r="G179" s="3"/>
      <c r="H179" s="3"/>
    </row>
    <row r="180" spans="1:8" x14ac:dyDescent="0.35">
      <c r="A180" s="3" t="s">
        <v>1939</v>
      </c>
      <c r="B180" s="3" t="s">
        <v>10</v>
      </c>
      <c r="C180" s="3" t="s">
        <v>2004</v>
      </c>
      <c r="D180" s="3" t="s">
        <v>15</v>
      </c>
      <c r="E180" s="3" t="s">
        <v>16</v>
      </c>
      <c r="F180" s="3" t="s">
        <v>990</v>
      </c>
      <c r="G180" s="3"/>
      <c r="H180" s="3"/>
    </row>
    <row r="181" spans="1:8" x14ac:dyDescent="0.35">
      <c r="A181" s="3" t="s">
        <v>1939</v>
      </c>
      <c r="B181" s="3" t="s">
        <v>302</v>
      </c>
      <c r="C181" s="3" t="s">
        <v>2005</v>
      </c>
      <c r="D181" s="3" t="s">
        <v>12</v>
      </c>
      <c r="E181" s="3" t="s">
        <v>33</v>
      </c>
      <c r="F181" s="3" t="s">
        <v>1986</v>
      </c>
      <c r="G181" s="3"/>
      <c r="H181" s="3"/>
    </row>
    <row r="182" spans="1:8" x14ac:dyDescent="0.35">
      <c r="A182" s="3" t="s">
        <v>1939</v>
      </c>
      <c r="B182" s="3" t="s">
        <v>302</v>
      </c>
      <c r="C182" s="3" t="s">
        <v>2005</v>
      </c>
      <c r="D182" s="3" t="s">
        <v>36</v>
      </c>
      <c r="E182" s="3" t="s">
        <v>33</v>
      </c>
      <c r="F182" s="3" t="s">
        <v>1986</v>
      </c>
      <c r="G182" s="3"/>
      <c r="H182" s="3"/>
    </row>
    <row r="183" spans="1:8" x14ac:dyDescent="0.35">
      <c r="A183" s="3" t="s">
        <v>1939</v>
      </c>
      <c r="B183" s="3" t="s">
        <v>302</v>
      </c>
      <c r="C183" s="3" t="s">
        <v>2005</v>
      </c>
      <c r="D183" s="3" t="s">
        <v>28</v>
      </c>
      <c r="E183" s="3" t="s">
        <v>33</v>
      </c>
      <c r="F183" s="3" t="s">
        <v>1986</v>
      </c>
      <c r="G183" s="3"/>
      <c r="H183" s="3"/>
    </row>
    <row r="184" spans="1:8" x14ac:dyDescent="0.35">
      <c r="A184" s="3" t="s">
        <v>1939</v>
      </c>
      <c r="B184" s="3" t="s">
        <v>10</v>
      </c>
      <c r="C184" s="3" t="s">
        <v>2006</v>
      </c>
      <c r="D184" s="3" t="s">
        <v>15</v>
      </c>
      <c r="E184" s="3" t="s">
        <v>33</v>
      </c>
      <c r="F184" s="3" t="s">
        <v>487</v>
      </c>
      <c r="G184" s="3"/>
      <c r="H184" s="3"/>
    </row>
    <row r="185" spans="1:8" x14ac:dyDescent="0.35">
      <c r="A185" s="3" t="s">
        <v>1939</v>
      </c>
      <c r="B185" s="3" t="s">
        <v>45</v>
      </c>
      <c r="C185" s="3" t="s">
        <v>2007</v>
      </c>
      <c r="D185" s="3" t="s">
        <v>15</v>
      </c>
      <c r="E185" s="3" t="s">
        <v>16</v>
      </c>
      <c r="F185" s="3" t="s">
        <v>990</v>
      </c>
      <c r="G185" s="3"/>
      <c r="H185" s="3"/>
    </row>
    <row r="186" spans="1:8" x14ac:dyDescent="0.35">
      <c r="A186" s="3" t="s">
        <v>2008</v>
      </c>
      <c r="B186" s="3" t="s">
        <v>20</v>
      </c>
      <c r="C186" s="3" t="s">
        <v>2009</v>
      </c>
      <c r="D186" s="3" t="s">
        <v>12</v>
      </c>
      <c r="E186" s="3"/>
      <c r="F186" s="3"/>
      <c r="G186" s="3"/>
      <c r="H186" s="3"/>
    </row>
    <row r="187" spans="1:8" x14ac:dyDescent="0.35">
      <c r="A187" s="3" t="s">
        <v>2008</v>
      </c>
      <c r="B187" s="3" t="s">
        <v>20</v>
      </c>
      <c r="C187" s="3" t="s">
        <v>2009</v>
      </c>
      <c r="D187" s="3" t="s">
        <v>36</v>
      </c>
      <c r="E187" s="3" t="s">
        <v>33</v>
      </c>
      <c r="F187" s="3" t="s">
        <v>34</v>
      </c>
      <c r="G187" s="3"/>
      <c r="H187" s="3"/>
    </row>
    <row r="188" spans="1:8" x14ac:dyDescent="0.35">
      <c r="A188" s="3" t="s">
        <v>2008</v>
      </c>
      <c r="B188" s="3" t="s">
        <v>20</v>
      </c>
      <c r="C188" s="3" t="s">
        <v>2009</v>
      </c>
      <c r="D188" s="3" t="s">
        <v>27</v>
      </c>
      <c r="E188" s="3"/>
      <c r="F188" s="3"/>
      <c r="G188" s="3"/>
      <c r="H188" s="3"/>
    </row>
    <row r="189" spans="1:8" x14ac:dyDescent="0.35">
      <c r="A189" s="3" t="s">
        <v>2008</v>
      </c>
      <c r="B189" s="3" t="s">
        <v>20</v>
      </c>
      <c r="C189" s="3" t="s">
        <v>2009</v>
      </c>
      <c r="D189" s="3" t="s">
        <v>31</v>
      </c>
      <c r="E189" s="3"/>
      <c r="F189" s="3"/>
      <c r="G189" s="3"/>
      <c r="H189" s="3"/>
    </row>
    <row r="190" spans="1:8" x14ac:dyDescent="0.35">
      <c r="A190" s="3" t="s">
        <v>2008</v>
      </c>
      <c r="B190" s="3" t="s">
        <v>20</v>
      </c>
      <c r="C190" s="3" t="s">
        <v>2009</v>
      </c>
      <c r="D190" s="3" t="s">
        <v>15</v>
      </c>
      <c r="E190" s="3"/>
      <c r="F190" s="3"/>
      <c r="G190" s="3"/>
      <c r="H190" s="3"/>
    </row>
    <row r="191" spans="1:8" x14ac:dyDescent="0.35">
      <c r="A191" s="3" t="s">
        <v>2008</v>
      </c>
      <c r="B191" s="3" t="s">
        <v>20</v>
      </c>
      <c r="C191" s="3" t="s">
        <v>2009</v>
      </c>
      <c r="D191" s="3" t="s">
        <v>26</v>
      </c>
      <c r="E191" s="3"/>
      <c r="F191" s="3"/>
      <c r="G191" s="3"/>
      <c r="H191" s="3"/>
    </row>
    <row r="192" spans="1:8" x14ac:dyDescent="0.35">
      <c r="A192" s="3" t="s">
        <v>2008</v>
      </c>
      <c r="B192" s="3" t="s">
        <v>20</v>
      </c>
      <c r="C192" s="3" t="s">
        <v>2009</v>
      </c>
      <c r="D192" s="3" t="s">
        <v>29</v>
      </c>
      <c r="E192" s="3" t="s">
        <v>16</v>
      </c>
      <c r="F192" s="3" t="s">
        <v>2010</v>
      </c>
      <c r="G192" s="3"/>
      <c r="H192" s="3"/>
    </row>
    <row r="193" spans="1:8" x14ac:dyDescent="0.35">
      <c r="A193" s="3" t="s">
        <v>2011</v>
      </c>
      <c r="B193" s="3" t="s">
        <v>42</v>
      </c>
      <c r="C193" s="3" t="s">
        <v>2012</v>
      </c>
      <c r="D193" s="3" t="s">
        <v>15</v>
      </c>
      <c r="E193" s="3" t="s">
        <v>16</v>
      </c>
      <c r="F193" s="3" t="s">
        <v>2013</v>
      </c>
      <c r="G193" s="3"/>
      <c r="H193" s="3"/>
    </row>
    <row r="194" spans="1:8" x14ac:dyDescent="0.35">
      <c r="A194" s="3" t="s">
        <v>2011</v>
      </c>
      <c r="B194" s="3" t="s">
        <v>42</v>
      </c>
      <c r="C194" s="3" t="s">
        <v>2012</v>
      </c>
      <c r="D194" s="3" t="s">
        <v>29</v>
      </c>
      <c r="E194" s="3"/>
      <c r="F194" s="3"/>
      <c r="G194" s="3"/>
      <c r="H194" s="3"/>
    </row>
    <row r="195" spans="1:8" x14ac:dyDescent="0.35">
      <c r="A195" s="3" t="s">
        <v>2011</v>
      </c>
      <c r="B195" s="3" t="s">
        <v>42</v>
      </c>
      <c r="C195" s="3" t="s">
        <v>2012</v>
      </c>
      <c r="D195" s="3" t="s">
        <v>134</v>
      </c>
      <c r="E195" s="3"/>
      <c r="F195" s="3"/>
      <c r="G195" s="3"/>
      <c r="H195" s="3"/>
    </row>
    <row r="196" spans="1:8" x14ac:dyDescent="0.35">
      <c r="A196" s="3" t="s">
        <v>2011</v>
      </c>
      <c r="B196" s="3" t="s">
        <v>42</v>
      </c>
      <c r="C196" s="3" t="s">
        <v>2012</v>
      </c>
      <c r="D196" s="3" t="s">
        <v>107</v>
      </c>
      <c r="E196" s="3" t="s">
        <v>16</v>
      </c>
      <c r="F196" s="3" t="s">
        <v>2014</v>
      </c>
      <c r="G196" s="3"/>
      <c r="H196" s="3"/>
    </row>
    <row r="197" spans="1:8" x14ac:dyDescent="0.35">
      <c r="A197" s="3" t="s">
        <v>2729</v>
      </c>
      <c r="B197" s="3" t="s">
        <v>20</v>
      </c>
      <c r="C197" s="3" t="s">
        <v>2730</v>
      </c>
      <c r="D197" s="3" t="s">
        <v>12</v>
      </c>
      <c r="E197" s="3"/>
      <c r="F197" s="3"/>
      <c r="G197" s="3"/>
      <c r="H197" s="3"/>
    </row>
    <row r="198" spans="1:8" x14ac:dyDescent="0.35">
      <c r="A198" s="3" t="s">
        <v>2729</v>
      </c>
      <c r="B198" s="3" t="s">
        <v>20</v>
      </c>
      <c r="C198" s="3" t="s">
        <v>2730</v>
      </c>
      <c r="D198" s="3" t="s">
        <v>27</v>
      </c>
      <c r="E198" s="3"/>
      <c r="F198" s="11"/>
      <c r="G198" s="3"/>
      <c r="H198" s="3"/>
    </row>
    <row r="199" spans="1:8" x14ac:dyDescent="0.35">
      <c r="A199" s="3" t="s">
        <v>2729</v>
      </c>
      <c r="B199" s="3" t="s">
        <v>20</v>
      </c>
      <c r="C199" s="3" t="s">
        <v>2730</v>
      </c>
      <c r="D199" s="3" t="s">
        <v>28</v>
      </c>
      <c r="E199" s="3"/>
      <c r="F199" s="11"/>
      <c r="G199" s="3"/>
      <c r="H199" s="3"/>
    </row>
    <row r="200" spans="1:8" x14ac:dyDescent="0.35">
      <c r="A200" s="3" t="s">
        <v>2729</v>
      </c>
      <c r="B200" s="3" t="s">
        <v>20</v>
      </c>
      <c r="C200" s="3" t="s">
        <v>2730</v>
      </c>
      <c r="D200" s="3" t="s">
        <v>98</v>
      </c>
      <c r="E200" s="3"/>
      <c r="F200" s="3" t="s">
        <v>2660</v>
      </c>
      <c r="G200" s="3"/>
      <c r="H200" s="3"/>
    </row>
    <row r="201" spans="1:8" x14ac:dyDescent="0.35">
      <c r="A201" s="3" t="s">
        <v>2729</v>
      </c>
      <c r="B201" s="3" t="s">
        <v>20</v>
      </c>
      <c r="C201" s="3" t="s">
        <v>2730</v>
      </c>
      <c r="D201" s="3" t="s">
        <v>15</v>
      </c>
      <c r="E201" s="3" t="s">
        <v>16</v>
      </c>
      <c r="F201" s="3" t="s">
        <v>2731</v>
      </c>
      <c r="G201" s="3"/>
      <c r="H201" s="3"/>
    </row>
    <row r="202" spans="1:8" x14ac:dyDescent="0.35">
      <c r="A202" s="3" t="s">
        <v>2729</v>
      </c>
      <c r="B202" s="3" t="s">
        <v>20</v>
      </c>
      <c r="C202" s="3" t="s">
        <v>2730</v>
      </c>
      <c r="D202" s="3" t="s">
        <v>24</v>
      </c>
      <c r="E202" s="3"/>
      <c r="F202" s="3"/>
      <c r="G202" s="3"/>
      <c r="H202" s="3"/>
    </row>
    <row r="203" spans="1:8" x14ac:dyDescent="0.35">
      <c r="A203" s="3" t="s">
        <v>2724</v>
      </c>
      <c r="B203" s="3" t="s">
        <v>42</v>
      </c>
      <c r="C203" s="3" t="s">
        <v>2725</v>
      </c>
      <c r="D203" s="3" t="s">
        <v>12</v>
      </c>
      <c r="E203" s="3"/>
      <c r="F203" s="3"/>
      <c r="G203" s="3" t="s">
        <v>16</v>
      </c>
      <c r="H203" s="3" t="s">
        <v>409</v>
      </c>
    </row>
    <row r="204" spans="1:8" x14ac:dyDescent="0.35">
      <c r="A204" s="3" t="s">
        <v>2724</v>
      </c>
      <c r="B204" s="3" t="s">
        <v>42</v>
      </c>
      <c r="C204" s="3" t="s">
        <v>2725</v>
      </c>
      <c r="D204" s="3" t="s">
        <v>15</v>
      </c>
      <c r="E204" s="3" t="s">
        <v>16</v>
      </c>
      <c r="F204" s="3" t="s">
        <v>2726</v>
      </c>
      <c r="G204" s="3" t="s">
        <v>16</v>
      </c>
      <c r="H204" s="3" t="s">
        <v>409</v>
      </c>
    </row>
    <row r="205" spans="1:8" x14ac:dyDescent="0.35">
      <c r="A205" s="3" t="s">
        <v>2015</v>
      </c>
      <c r="B205" s="3" t="s">
        <v>20</v>
      </c>
      <c r="C205" s="3" t="s">
        <v>2016</v>
      </c>
      <c r="D205" s="3" t="s">
        <v>25</v>
      </c>
      <c r="E205" s="3" t="s">
        <v>33</v>
      </c>
      <c r="F205" s="3" t="s">
        <v>487</v>
      </c>
      <c r="G205" s="3"/>
      <c r="H205" s="3"/>
    </row>
    <row r="206" spans="1:8" x14ac:dyDescent="0.35">
      <c r="A206" s="3" t="s">
        <v>2015</v>
      </c>
      <c r="B206" s="3" t="s">
        <v>20</v>
      </c>
      <c r="C206" s="3" t="s">
        <v>2016</v>
      </c>
      <c r="D206" s="3" t="s">
        <v>15</v>
      </c>
      <c r="E206" s="3" t="s">
        <v>33</v>
      </c>
      <c r="F206" s="3" t="s">
        <v>487</v>
      </c>
      <c r="G206" s="3"/>
      <c r="H206" s="3"/>
    </row>
    <row r="207" spans="1:8" x14ac:dyDescent="0.35">
      <c r="A207" s="3" t="s">
        <v>2015</v>
      </c>
      <c r="B207" s="3" t="s">
        <v>20</v>
      </c>
      <c r="C207" s="3" t="s">
        <v>2016</v>
      </c>
      <c r="D207" s="3" t="s">
        <v>32</v>
      </c>
      <c r="E207" s="3" t="s">
        <v>33</v>
      </c>
      <c r="F207" s="3" t="s">
        <v>487</v>
      </c>
      <c r="G207" s="3"/>
      <c r="H207" s="3"/>
    </row>
    <row r="208" spans="1:8" x14ac:dyDescent="0.35">
      <c r="A208" s="3" t="s">
        <v>2015</v>
      </c>
      <c r="B208" s="3" t="s">
        <v>20</v>
      </c>
      <c r="C208" s="3" t="s">
        <v>2017</v>
      </c>
      <c r="D208" s="3" t="s">
        <v>25</v>
      </c>
      <c r="E208" s="3" t="s">
        <v>16</v>
      </c>
      <c r="F208" s="3" t="s">
        <v>2018</v>
      </c>
      <c r="G208" s="3"/>
      <c r="H208" s="3"/>
    </row>
    <row r="209" spans="1:8" x14ac:dyDescent="0.35">
      <c r="A209" s="3" t="s">
        <v>2015</v>
      </c>
      <c r="B209" s="3" t="s">
        <v>20</v>
      </c>
      <c r="C209" s="3" t="s">
        <v>2017</v>
      </c>
      <c r="D209" s="3" t="s">
        <v>60</v>
      </c>
      <c r="E209" s="3" t="s">
        <v>16</v>
      </c>
      <c r="F209" s="3" t="s">
        <v>2019</v>
      </c>
      <c r="G209" s="3"/>
      <c r="H209" s="3"/>
    </row>
    <row r="210" spans="1:8" x14ac:dyDescent="0.35">
      <c r="A210" s="3" t="s">
        <v>2015</v>
      </c>
      <c r="B210" s="3" t="s">
        <v>20</v>
      </c>
      <c r="C210" s="3" t="s">
        <v>2017</v>
      </c>
      <c r="D210" s="3" t="s">
        <v>28</v>
      </c>
      <c r="E210" s="3"/>
      <c r="F210" s="3"/>
      <c r="G210" s="3"/>
      <c r="H210" s="3"/>
    </row>
    <row r="211" spans="1:8" x14ac:dyDescent="0.35">
      <c r="A211" s="3" t="s">
        <v>2015</v>
      </c>
      <c r="B211" s="3" t="s">
        <v>20</v>
      </c>
      <c r="C211" s="3" t="s">
        <v>2017</v>
      </c>
      <c r="D211" s="3" t="s">
        <v>15</v>
      </c>
      <c r="E211" s="3" t="s">
        <v>16</v>
      </c>
      <c r="F211" s="3" t="s">
        <v>2020</v>
      </c>
      <c r="G211" s="3"/>
      <c r="H211" s="3"/>
    </row>
    <row r="212" spans="1:8" x14ac:dyDescent="0.35">
      <c r="A212" s="3" t="s">
        <v>2015</v>
      </c>
      <c r="B212" s="3" t="s">
        <v>39</v>
      </c>
      <c r="C212" s="3" t="s">
        <v>2021</v>
      </c>
      <c r="D212" s="3" t="s">
        <v>12</v>
      </c>
      <c r="E212" s="3"/>
      <c r="F212" s="3"/>
      <c r="G212" s="3"/>
      <c r="H212" s="3"/>
    </row>
    <row r="213" spans="1:8" x14ac:dyDescent="0.35">
      <c r="A213" s="3" t="s">
        <v>2015</v>
      </c>
      <c r="B213" s="3" t="s">
        <v>39</v>
      </c>
      <c r="C213" s="3" t="s">
        <v>2021</v>
      </c>
      <c r="D213" s="3" t="s">
        <v>31</v>
      </c>
      <c r="E213" s="3" t="s">
        <v>33</v>
      </c>
      <c r="F213" s="3" t="s">
        <v>723</v>
      </c>
      <c r="G213" s="3"/>
      <c r="H213" s="3"/>
    </row>
    <row r="214" spans="1:8" x14ac:dyDescent="0.35">
      <c r="A214" s="3" t="s">
        <v>2015</v>
      </c>
      <c r="B214" s="3" t="s">
        <v>39</v>
      </c>
      <c r="C214" s="3" t="s">
        <v>2021</v>
      </c>
      <c r="D214" s="3" t="s">
        <v>15</v>
      </c>
      <c r="E214" s="3"/>
      <c r="F214" s="3"/>
      <c r="G214" s="3"/>
      <c r="H214" s="3"/>
    </row>
    <row r="215" spans="1:8" x14ac:dyDescent="0.35">
      <c r="A215" s="3" t="s">
        <v>2015</v>
      </c>
      <c r="B215" s="3" t="s">
        <v>39</v>
      </c>
      <c r="C215" s="3" t="s">
        <v>2021</v>
      </c>
      <c r="D215" s="3" t="s">
        <v>57</v>
      </c>
      <c r="E215" s="3"/>
      <c r="F215" s="3"/>
      <c r="G215" s="3"/>
      <c r="H215" s="3"/>
    </row>
    <row r="216" spans="1:8" x14ac:dyDescent="0.35">
      <c r="A216" s="3" t="s">
        <v>2015</v>
      </c>
      <c r="B216" s="3" t="s">
        <v>39</v>
      </c>
      <c r="C216" s="3" t="s">
        <v>2021</v>
      </c>
      <c r="D216" s="3" t="s">
        <v>134</v>
      </c>
      <c r="E216" s="3"/>
      <c r="F216" s="3"/>
      <c r="G216" s="3"/>
      <c r="H216" s="3"/>
    </row>
    <row r="217" spans="1:8" x14ac:dyDescent="0.35">
      <c r="A217" s="3" t="s">
        <v>2015</v>
      </c>
      <c r="B217" s="3" t="s">
        <v>20</v>
      </c>
      <c r="C217" s="3" t="s">
        <v>2022</v>
      </c>
      <c r="D217" s="3" t="s">
        <v>57</v>
      </c>
      <c r="E217" s="3"/>
      <c r="F217" s="3" t="s">
        <v>2308</v>
      </c>
      <c r="G217" s="3"/>
      <c r="H217" s="3"/>
    </row>
    <row r="218" spans="1:8" x14ac:dyDescent="0.35">
      <c r="A218" s="3" t="s">
        <v>2015</v>
      </c>
      <c r="B218" s="3" t="s">
        <v>20</v>
      </c>
      <c r="C218" s="3" t="s">
        <v>2022</v>
      </c>
      <c r="D218" s="3" t="s">
        <v>134</v>
      </c>
      <c r="E218" s="3"/>
      <c r="F218" s="3" t="s">
        <v>2861</v>
      </c>
      <c r="G218" s="3"/>
      <c r="H218" s="3"/>
    </row>
    <row r="219" spans="1:8" x14ac:dyDescent="0.35">
      <c r="A219" s="3" t="s">
        <v>2015</v>
      </c>
      <c r="B219" s="3" t="s">
        <v>20</v>
      </c>
      <c r="C219" s="3" t="s">
        <v>2023</v>
      </c>
      <c r="D219" s="3" t="s">
        <v>47</v>
      </c>
      <c r="E219" s="3" t="s">
        <v>33</v>
      </c>
      <c r="F219" s="3" t="s">
        <v>723</v>
      </c>
      <c r="G219" s="3"/>
      <c r="H219" s="3"/>
    </row>
    <row r="220" spans="1:8" x14ac:dyDescent="0.35">
      <c r="A220" s="3" t="s">
        <v>2015</v>
      </c>
      <c r="B220" s="3" t="s">
        <v>20</v>
      </c>
      <c r="C220" s="3" t="s">
        <v>2023</v>
      </c>
      <c r="D220" s="3" t="s">
        <v>25</v>
      </c>
      <c r="E220" s="3"/>
      <c r="F220" s="3"/>
      <c r="G220" s="3"/>
      <c r="H220" s="3"/>
    </row>
    <row r="221" spans="1:8" x14ac:dyDescent="0.35">
      <c r="A221" s="3" t="s">
        <v>2015</v>
      </c>
      <c r="B221" s="3" t="s">
        <v>20</v>
      </c>
      <c r="C221" s="3" t="s">
        <v>2023</v>
      </c>
      <c r="D221" s="3" t="s">
        <v>141</v>
      </c>
      <c r="E221" s="3" t="s">
        <v>33</v>
      </c>
      <c r="F221" s="3" t="s">
        <v>723</v>
      </c>
      <c r="G221" s="3"/>
      <c r="H221" s="3"/>
    </row>
    <row r="222" spans="1:8" x14ac:dyDescent="0.35">
      <c r="A222" s="3" t="s">
        <v>2015</v>
      </c>
      <c r="B222" s="3" t="s">
        <v>20</v>
      </c>
      <c r="C222" s="3" t="s">
        <v>2023</v>
      </c>
      <c r="D222" s="3" t="s">
        <v>28</v>
      </c>
      <c r="E222" s="3"/>
      <c r="F222" s="3" t="s">
        <v>2978</v>
      </c>
      <c r="G222" s="3"/>
      <c r="H222" s="3"/>
    </row>
    <row r="223" spans="1:8" x14ac:dyDescent="0.35">
      <c r="A223" s="3" t="s">
        <v>2015</v>
      </c>
      <c r="B223" s="3" t="s">
        <v>20</v>
      </c>
      <c r="C223" s="3" t="s">
        <v>2023</v>
      </c>
      <c r="D223" s="3" t="s">
        <v>87</v>
      </c>
      <c r="E223" s="3" t="s">
        <v>33</v>
      </c>
      <c r="F223" s="3" t="s">
        <v>723</v>
      </c>
      <c r="G223" s="3"/>
      <c r="H223" s="3"/>
    </row>
    <row r="224" spans="1:8" x14ac:dyDescent="0.35">
      <c r="A224" s="3" t="s">
        <v>2015</v>
      </c>
      <c r="B224" s="3" t="s">
        <v>20</v>
      </c>
      <c r="C224" s="3" t="s">
        <v>2023</v>
      </c>
      <c r="D224" s="3" t="s">
        <v>15</v>
      </c>
      <c r="E224" s="3" t="s">
        <v>16</v>
      </c>
      <c r="F224" s="3" t="s">
        <v>1993</v>
      </c>
      <c r="G224" s="3"/>
      <c r="H224" s="3"/>
    </row>
    <row r="225" spans="1:8" x14ac:dyDescent="0.35">
      <c r="A225" s="3" t="s">
        <v>2015</v>
      </c>
      <c r="B225" s="3" t="s">
        <v>20</v>
      </c>
      <c r="C225" s="3" t="s">
        <v>2023</v>
      </c>
      <c r="D225" s="3" t="s">
        <v>57</v>
      </c>
      <c r="E225" s="3"/>
      <c r="F225" s="3"/>
      <c r="G225" s="3"/>
      <c r="H225" s="3"/>
    </row>
    <row r="226" spans="1:8" x14ac:dyDescent="0.35">
      <c r="A226" s="3" t="s">
        <v>2015</v>
      </c>
      <c r="B226" s="3" t="s">
        <v>20</v>
      </c>
      <c r="C226" s="3" t="s">
        <v>2023</v>
      </c>
      <c r="D226" s="3" t="s">
        <v>56</v>
      </c>
      <c r="E226" s="3"/>
      <c r="F226" s="3"/>
      <c r="G226" s="3"/>
      <c r="H226" s="3"/>
    </row>
    <row r="227" spans="1:8" x14ac:dyDescent="0.35">
      <c r="A227" s="3" t="s">
        <v>2015</v>
      </c>
      <c r="B227" s="3" t="s">
        <v>20</v>
      </c>
      <c r="C227" s="3" t="s">
        <v>2023</v>
      </c>
      <c r="D227" s="3" t="s">
        <v>32</v>
      </c>
      <c r="E227" s="3" t="s">
        <v>16</v>
      </c>
      <c r="F227" s="3" t="s">
        <v>2024</v>
      </c>
      <c r="G227" s="3"/>
      <c r="H227" s="3"/>
    </row>
    <row r="228" spans="1:8" x14ac:dyDescent="0.35">
      <c r="A228" s="3" t="s">
        <v>2015</v>
      </c>
      <c r="B228" s="3" t="s">
        <v>20</v>
      </c>
      <c r="C228" s="3" t="s">
        <v>2023</v>
      </c>
      <c r="D228" s="3" t="s">
        <v>29</v>
      </c>
      <c r="E228" s="3"/>
      <c r="F228" s="3"/>
      <c r="G228" s="3"/>
      <c r="H228" s="3"/>
    </row>
    <row r="229" spans="1:8" x14ac:dyDescent="0.35">
      <c r="A229" s="3" t="s">
        <v>2015</v>
      </c>
      <c r="B229" s="3" t="s">
        <v>20</v>
      </c>
      <c r="C229" s="3" t="s">
        <v>2023</v>
      </c>
      <c r="D229" s="3" t="s">
        <v>134</v>
      </c>
      <c r="E229" s="3"/>
      <c r="F229" s="3"/>
      <c r="G229" s="3"/>
      <c r="H229" s="3"/>
    </row>
    <row r="230" spans="1:8" x14ac:dyDescent="0.35">
      <c r="A230" s="3" t="s">
        <v>2015</v>
      </c>
      <c r="B230" s="3" t="s">
        <v>20</v>
      </c>
      <c r="C230" s="3" t="s">
        <v>2023</v>
      </c>
      <c r="D230" s="3" t="s">
        <v>893</v>
      </c>
      <c r="E230" s="3"/>
      <c r="F230" s="3" t="s">
        <v>2301</v>
      </c>
      <c r="G230" s="3"/>
      <c r="H230" s="3"/>
    </row>
    <row r="231" spans="1:8" x14ac:dyDescent="0.35">
      <c r="A231" s="3" t="s">
        <v>2015</v>
      </c>
      <c r="B231" s="3" t="s">
        <v>20</v>
      </c>
      <c r="C231" s="3" t="s">
        <v>2023</v>
      </c>
      <c r="D231" s="3" t="s">
        <v>107</v>
      </c>
      <c r="E231" s="3"/>
      <c r="F231" s="3"/>
      <c r="G231" s="3"/>
      <c r="H231" s="3"/>
    </row>
    <row r="232" spans="1:8" x14ac:dyDescent="0.35">
      <c r="A232" s="3" t="s">
        <v>2015</v>
      </c>
      <c r="B232" s="3" t="s">
        <v>10</v>
      </c>
      <c r="C232" s="3" t="s">
        <v>2979</v>
      </c>
      <c r="D232" s="3" t="s">
        <v>12</v>
      </c>
      <c r="E232" s="3"/>
      <c r="F232" s="3"/>
      <c r="G232" s="3"/>
      <c r="H232" s="3"/>
    </row>
    <row r="233" spans="1:8" x14ac:dyDescent="0.35">
      <c r="A233" s="3" t="s">
        <v>2015</v>
      </c>
      <c r="B233" s="3" t="s">
        <v>10</v>
      </c>
      <c r="C233" s="3" t="s">
        <v>2979</v>
      </c>
      <c r="D233" s="3" t="s">
        <v>47</v>
      </c>
      <c r="E233" s="3"/>
      <c r="F233" s="3"/>
      <c r="G233" s="3"/>
      <c r="H233" s="3"/>
    </row>
    <row r="234" spans="1:8" x14ac:dyDescent="0.35">
      <c r="A234" s="3" t="s">
        <v>2015</v>
      </c>
      <c r="B234" s="3" t="s">
        <v>39</v>
      </c>
      <c r="C234" s="3" t="s">
        <v>2025</v>
      </c>
      <c r="D234" s="3" t="s">
        <v>47</v>
      </c>
      <c r="E234" s="3" t="s">
        <v>16</v>
      </c>
      <c r="F234" s="3" t="s">
        <v>2026</v>
      </c>
      <c r="G234" s="3"/>
      <c r="H234" s="3"/>
    </row>
    <row r="235" spans="1:8" x14ac:dyDescent="0.35">
      <c r="A235" s="3" t="s">
        <v>2015</v>
      </c>
      <c r="B235" s="3" t="s">
        <v>39</v>
      </c>
      <c r="C235" s="3" t="s">
        <v>2025</v>
      </c>
      <c r="D235" s="3" t="s">
        <v>25</v>
      </c>
      <c r="E235" s="3" t="s">
        <v>16</v>
      </c>
      <c r="F235" s="3" t="s">
        <v>2026</v>
      </c>
      <c r="G235" s="3"/>
      <c r="H235" s="3"/>
    </row>
    <row r="236" spans="1:8" x14ac:dyDescent="0.35">
      <c r="A236" s="3" t="s">
        <v>2015</v>
      </c>
      <c r="B236" s="3" t="s">
        <v>39</v>
      </c>
      <c r="C236" s="3" t="s">
        <v>2025</v>
      </c>
      <c r="D236" s="3" t="s">
        <v>141</v>
      </c>
      <c r="E236" s="3" t="s">
        <v>16</v>
      </c>
      <c r="F236" s="3" t="s">
        <v>2026</v>
      </c>
      <c r="G236" s="3"/>
      <c r="H236" s="3"/>
    </row>
    <row r="237" spans="1:8" x14ac:dyDescent="0.35">
      <c r="A237" s="3" t="s">
        <v>2015</v>
      </c>
      <c r="B237" s="3" t="s">
        <v>39</v>
      </c>
      <c r="C237" s="3" t="s">
        <v>2025</v>
      </c>
      <c r="D237" s="3" t="s">
        <v>57</v>
      </c>
      <c r="E237" s="3" t="s">
        <v>16</v>
      </c>
      <c r="F237" s="3" t="s">
        <v>2026</v>
      </c>
      <c r="G237" s="3"/>
      <c r="H237" s="3"/>
    </row>
    <row r="238" spans="1:8" x14ac:dyDescent="0.35">
      <c r="A238" s="3" t="s">
        <v>2015</v>
      </c>
      <c r="B238" s="3" t="s">
        <v>39</v>
      </c>
      <c r="C238" s="3" t="s">
        <v>2025</v>
      </c>
      <c r="D238" s="3" t="s">
        <v>29</v>
      </c>
      <c r="E238" s="3" t="s">
        <v>16</v>
      </c>
      <c r="F238" s="3" t="s">
        <v>2026</v>
      </c>
      <c r="G238" s="3"/>
      <c r="H238" s="3"/>
    </row>
    <row r="239" spans="1:8" x14ac:dyDescent="0.35">
      <c r="A239" s="3" t="s">
        <v>2015</v>
      </c>
      <c r="B239" s="3" t="s">
        <v>39</v>
      </c>
      <c r="C239" s="3" t="s">
        <v>2025</v>
      </c>
      <c r="D239" s="3" t="s">
        <v>152</v>
      </c>
      <c r="E239" s="3" t="s">
        <v>16</v>
      </c>
      <c r="F239" s="3" t="s">
        <v>2026</v>
      </c>
      <c r="G239" s="3"/>
      <c r="H239" s="3"/>
    </row>
    <row r="240" spans="1:8" x14ac:dyDescent="0.35">
      <c r="A240" s="3" t="s">
        <v>2015</v>
      </c>
      <c r="B240" s="3" t="s">
        <v>39</v>
      </c>
      <c r="C240" s="3" t="s">
        <v>2025</v>
      </c>
      <c r="D240" s="3" t="s">
        <v>134</v>
      </c>
      <c r="E240" s="3" t="s">
        <v>16</v>
      </c>
      <c r="F240" s="3" t="s">
        <v>2026</v>
      </c>
      <c r="G240" s="3"/>
      <c r="H240" s="3"/>
    </row>
    <row r="241" spans="1:8" x14ac:dyDescent="0.35">
      <c r="A241" s="3" t="s">
        <v>2015</v>
      </c>
      <c r="B241" s="3" t="s">
        <v>39</v>
      </c>
      <c r="C241" s="3" t="s">
        <v>2027</v>
      </c>
      <c r="D241" s="3" t="s">
        <v>25</v>
      </c>
      <c r="E241" s="3" t="s">
        <v>16</v>
      </c>
      <c r="F241" s="3" t="s">
        <v>2028</v>
      </c>
      <c r="G241" s="3"/>
      <c r="H241" s="3"/>
    </row>
    <row r="242" spans="1:8" x14ac:dyDescent="0.35">
      <c r="A242" s="3" t="s">
        <v>2015</v>
      </c>
      <c r="B242" s="3" t="s">
        <v>39</v>
      </c>
      <c r="C242" s="3" t="s">
        <v>2027</v>
      </c>
      <c r="D242" s="3" t="s">
        <v>141</v>
      </c>
      <c r="E242" s="3" t="s">
        <v>16</v>
      </c>
      <c r="F242" s="3" t="s">
        <v>2028</v>
      </c>
      <c r="G242" s="3"/>
      <c r="H242" s="3"/>
    </row>
    <row r="243" spans="1:8" x14ac:dyDescent="0.35">
      <c r="A243" s="3" t="s">
        <v>2015</v>
      </c>
      <c r="B243" s="3" t="s">
        <v>39</v>
      </c>
      <c r="C243" s="3" t="s">
        <v>2027</v>
      </c>
      <c r="D243" s="3" t="s">
        <v>56</v>
      </c>
      <c r="E243" s="3" t="s">
        <v>16</v>
      </c>
      <c r="F243" s="3" t="s">
        <v>2442</v>
      </c>
      <c r="G243" s="3"/>
      <c r="H243" s="3"/>
    </row>
    <row r="244" spans="1:8" x14ac:dyDescent="0.35">
      <c r="A244" s="3" t="s">
        <v>2015</v>
      </c>
      <c r="B244" s="3" t="s">
        <v>39</v>
      </c>
      <c r="C244" s="3" t="s">
        <v>2027</v>
      </c>
      <c r="D244" s="3" t="s">
        <v>134</v>
      </c>
      <c r="E244" s="3" t="s">
        <v>16</v>
      </c>
      <c r="F244" s="3" t="s">
        <v>2028</v>
      </c>
      <c r="G244" s="3"/>
      <c r="H244" s="3"/>
    </row>
    <row r="245" spans="1:8" x14ac:dyDescent="0.35">
      <c r="A245" s="3" t="s">
        <v>2015</v>
      </c>
      <c r="B245" s="3" t="s">
        <v>45</v>
      </c>
      <c r="C245" s="3" t="s">
        <v>2029</v>
      </c>
      <c r="D245" s="3" t="s">
        <v>134</v>
      </c>
      <c r="E245" s="3" t="s">
        <v>16</v>
      </c>
      <c r="F245" s="3" t="s">
        <v>2028</v>
      </c>
      <c r="G245" s="3"/>
      <c r="H245" s="3"/>
    </row>
    <row r="246" spans="1:8" x14ac:dyDescent="0.35">
      <c r="A246" s="3" t="s">
        <v>2015</v>
      </c>
      <c r="B246" s="3" t="s">
        <v>10</v>
      </c>
      <c r="C246" s="3" t="s">
        <v>2030</v>
      </c>
      <c r="D246" s="3" t="s">
        <v>47</v>
      </c>
      <c r="E246" s="3" t="s">
        <v>16</v>
      </c>
      <c r="F246" s="3" t="s">
        <v>2031</v>
      </c>
      <c r="G246" s="3"/>
      <c r="H246" s="3"/>
    </row>
    <row r="247" spans="1:8" x14ac:dyDescent="0.35">
      <c r="A247" s="3" t="s">
        <v>2015</v>
      </c>
      <c r="B247" s="3" t="s">
        <v>45</v>
      </c>
      <c r="C247" s="3" t="s">
        <v>2032</v>
      </c>
      <c r="D247" s="3" t="s">
        <v>12</v>
      </c>
      <c r="E247" s="3" t="s">
        <v>33</v>
      </c>
      <c r="F247" s="3" t="s">
        <v>34</v>
      </c>
      <c r="G247" s="3"/>
      <c r="H247" s="3"/>
    </row>
    <row r="248" spans="1:8" x14ac:dyDescent="0.35">
      <c r="A248" s="3" t="s">
        <v>2015</v>
      </c>
      <c r="B248" s="3" t="s">
        <v>45</v>
      </c>
      <c r="C248" s="3" t="s">
        <v>2032</v>
      </c>
      <c r="D248" s="3" t="s">
        <v>25</v>
      </c>
      <c r="E248" s="3"/>
      <c r="F248" s="3"/>
      <c r="G248" s="3"/>
      <c r="H248" s="3"/>
    </row>
    <row r="249" spans="1:8" x14ac:dyDescent="0.35">
      <c r="A249" s="3" t="s">
        <v>2015</v>
      </c>
      <c r="B249" s="3" t="s">
        <v>45</v>
      </c>
      <c r="C249" s="3" t="s">
        <v>2032</v>
      </c>
      <c r="D249" s="3" t="s">
        <v>142</v>
      </c>
      <c r="E249" s="3"/>
      <c r="F249" s="3"/>
      <c r="G249" s="3"/>
      <c r="H249" s="3"/>
    </row>
    <row r="250" spans="1:8" x14ac:dyDescent="0.35">
      <c r="A250" s="3" t="s">
        <v>2015</v>
      </c>
      <c r="B250" s="3" t="s">
        <v>45</v>
      </c>
      <c r="C250" s="3" t="s">
        <v>2032</v>
      </c>
      <c r="D250" s="3" t="s">
        <v>77</v>
      </c>
      <c r="E250" s="3"/>
      <c r="F250" s="3"/>
      <c r="G250" s="3"/>
      <c r="H250" s="3"/>
    </row>
    <row r="251" spans="1:8" x14ac:dyDescent="0.35">
      <c r="A251" s="3" t="s">
        <v>2015</v>
      </c>
      <c r="B251" s="3" t="s">
        <v>45</v>
      </c>
      <c r="C251" s="3" t="s">
        <v>2032</v>
      </c>
      <c r="D251" s="3" t="s">
        <v>28</v>
      </c>
      <c r="E251" s="3"/>
      <c r="F251" s="3" t="s">
        <v>2454</v>
      </c>
      <c r="G251" s="3"/>
      <c r="H251" s="3"/>
    </row>
    <row r="252" spans="1:8" x14ac:dyDescent="0.35">
      <c r="A252" s="3" t="s">
        <v>2015</v>
      </c>
      <c r="B252" s="3" t="s">
        <v>45</v>
      </c>
      <c r="C252" s="3" t="s">
        <v>2032</v>
      </c>
      <c r="D252" s="3" t="s">
        <v>15</v>
      </c>
      <c r="E252" s="3" t="s">
        <v>16</v>
      </c>
      <c r="F252" s="3" t="s">
        <v>2033</v>
      </c>
      <c r="G252" s="3"/>
      <c r="H252" s="3"/>
    </row>
    <row r="253" spans="1:8" x14ac:dyDescent="0.35">
      <c r="A253" s="3" t="s">
        <v>2015</v>
      </c>
      <c r="B253" s="3" t="s">
        <v>45</v>
      </c>
      <c r="C253" s="3" t="s">
        <v>2032</v>
      </c>
      <c r="D253" s="3" t="s">
        <v>57</v>
      </c>
      <c r="E253" s="3"/>
      <c r="F253" s="3"/>
      <c r="G253" s="3"/>
      <c r="H253" s="3"/>
    </row>
    <row r="254" spans="1:8" x14ac:dyDescent="0.35">
      <c r="A254" s="3" t="s">
        <v>2015</v>
      </c>
      <c r="B254" s="3" t="s">
        <v>45</v>
      </c>
      <c r="C254" s="3" t="s">
        <v>2032</v>
      </c>
      <c r="D254" s="3" t="s">
        <v>89</v>
      </c>
      <c r="E254" s="3"/>
      <c r="F254" s="3"/>
      <c r="G254" s="3"/>
      <c r="H254" s="3"/>
    </row>
    <row r="255" spans="1:8" x14ac:dyDescent="0.35">
      <c r="A255" s="3" t="s">
        <v>2015</v>
      </c>
      <c r="B255" s="3" t="s">
        <v>45</v>
      </c>
      <c r="C255" s="3" t="s">
        <v>2032</v>
      </c>
      <c r="D255" s="3" t="s">
        <v>372</v>
      </c>
      <c r="E255" s="3" t="s">
        <v>33</v>
      </c>
      <c r="F255" s="3" t="s">
        <v>34</v>
      </c>
      <c r="G255" s="3"/>
      <c r="H255" s="3"/>
    </row>
    <row r="256" spans="1:8" x14ac:dyDescent="0.35">
      <c r="A256" s="3" t="s">
        <v>2015</v>
      </c>
      <c r="B256" s="3" t="s">
        <v>10</v>
      </c>
      <c r="C256" s="3" t="s">
        <v>2650</v>
      </c>
      <c r="D256" s="3" t="s">
        <v>87</v>
      </c>
      <c r="E256" s="3"/>
      <c r="F256" s="3"/>
      <c r="G256" s="3"/>
      <c r="H256" s="3"/>
    </row>
    <row r="257" spans="1:8" x14ac:dyDescent="0.35">
      <c r="A257" s="3" t="s">
        <v>2015</v>
      </c>
      <c r="B257" s="3" t="s">
        <v>10</v>
      </c>
      <c r="C257" s="3" t="s">
        <v>2650</v>
      </c>
      <c r="D257" s="3" t="s">
        <v>29</v>
      </c>
      <c r="E257" s="3"/>
      <c r="F257" s="3"/>
      <c r="G257" s="3"/>
      <c r="H257" s="3"/>
    </row>
    <row r="258" spans="1:8" x14ac:dyDescent="0.35">
      <c r="A258" s="3" t="s">
        <v>2015</v>
      </c>
      <c r="B258" s="3" t="s">
        <v>20</v>
      </c>
      <c r="C258" s="3" t="s">
        <v>2034</v>
      </c>
      <c r="D258" s="3" t="s">
        <v>12</v>
      </c>
      <c r="E258" s="3"/>
      <c r="F258" s="3"/>
      <c r="G258" s="3"/>
      <c r="H258" s="3"/>
    </row>
    <row r="259" spans="1:8" x14ac:dyDescent="0.35">
      <c r="A259" s="3" t="s">
        <v>2015</v>
      </c>
      <c r="B259" s="3" t="s">
        <v>20</v>
      </c>
      <c r="C259" s="3" t="s">
        <v>2034</v>
      </c>
      <c r="D259" s="3" t="s">
        <v>15</v>
      </c>
      <c r="E259" s="3" t="s">
        <v>16</v>
      </c>
      <c r="F259" s="3" t="s">
        <v>2035</v>
      </c>
      <c r="G259" s="3"/>
      <c r="H259" s="3"/>
    </row>
    <row r="260" spans="1:8" x14ac:dyDescent="0.35">
      <c r="A260" s="3" t="s">
        <v>2015</v>
      </c>
      <c r="B260" s="3" t="s">
        <v>20</v>
      </c>
      <c r="C260" s="3" t="s">
        <v>2036</v>
      </c>
      <c r="D260" s="3" t="s">
        <v>15</v>
      </c>
      <c r="E260" s="3" t="s">
        <v>16</v>
      </c>
      <c r="F260" s="3" t="s">
        <v>2037</v>
      </c>
      <c r="G260" s="3"/>
      <c r="H260" s="3"/>
    </row>
    <row r="261" spans="1:8" x14ac:dyDescent="0.35">
      <c r="A261" s="3" t="s">
        <v>2015</v>
      </c>
      <c r="B261" s="3" t="s">
        <v>10</v>
      </c>
      <c r="C261" s="3" t="s">
        <v>2783</v>
      </c>
      <c r="D261" s="3" t="s">
        <v>47</v>
      </c>
      <c r="E261" s="3" t="s">
        <v>16</v>
      </c>
      <c r="F261" s="3" t="s">
        <v>2784</v>
      </c>
      <c r="G261" s="3"/>
      <c r="H261" s="3"/>
    </row>
    <row r="262" spans="1:8" x14ac:dyDescent="0.35">
      <c r="A262" s="3" t="s">
        <v>2015</v>
      </c>
      <c r="B262" s="3" t="s">
        <v>10</v>
      </c>
      <c r="C262" s="3" t="s">
        <v>2783</v>
      </c>
      <c r="D262" s="3" t="s">
        <v>15</v>
      </c>
      <c r="E262" s="3" t="s">
        <v>16</v>
      </c>
      <c r="F262" s="3" t="s">
        <v>2784</v>
      </c>
      <c r="G262" s="3"/>
      <c r="H262" s="3"/>
    </row>
    <row r="263" spans="1:8" x14ac:dyDescent="0.35">
      <c r="A263" s="3" t="s">
        <v>2015</v>
      </c>
      <c r="B263" s="3" t="s">
        <v>10</v>
      </c>
      <c r="C263" s="3" t="s">
        <v>2783</v>
      </c>
      <c r="D263" s="3" t="s">
        <v>134</v>
      </c>
      <c r="E263" s="3" t="s">
        <v>16</v>
      </c>
      <c r="F263" s="3" t="s">
        <v>2784</v>
      </c>
      <c r="G263" s="3"/>
      <c r="H263" s="3"/>
    </row>
    <row r="264" spans="1:8" x14ac:dyDescent="0.35">
      <c r="A264" s="3" t="s">
        <v>2015</v>
      </c>
      <c r="B264" s="3" t="s">
        <v>20</v>
      </c>
      <c r="C264" s="3" t="s">
        <v>2038</v>
      </c>
      <c r="D264" s="3" t="s">
        <v>47</v>
      </c>
      <c r="E264" s="3" t="s">
        <v>16</v>
      </c>
      <c r="F264" s="3" t="s">
        <v>2000</v>
      </c>
      <c r="G264" s="3"/>
      <c r="H264" s="3"/>
    </row>
    <row r="265" spans="1:8" x14ac:dyDescent="0.35">
      <c r="A265" s="3" t="s">
        <v>2015</v>
      </c>
      <c r="B265" s="3" t="s">
        <v>20</v>
      </c>
      <c r="C265" s="3" t="s">
        <v>2038</v>
      </c>
      <c r="D265" s="3" t="s">
        <v>25</v>
      </c>
      <c r="E265" s="3" t="s">
        <v>16</v>
      </c>
      <c r="F265" s="3" t="s">
        <v>2000</v>
      </c>
      <c r="G265" s="3"/>
      <c r="H265" s="3"/>
    </row>
    <row r="266" spans="1:8" x14ac:dyDescent="0.35">
      <c r="A266" s="3" t="s">
        <v>2015</v>
      </c>
      <c r="B266" s="3" t="s">
        <v>20</v>
      </c>
      <c r="C266" s="3" t="s">
        <v>2038</v>
      </c>
      <c r="D266" s="3" t="s">
        <v>28</v>
      </c>
      <c r="E266" s="3" t="s">
        <v>16</v>
      </c>
      <c r="F266" s="3" t="s">
        <v>2000</v>
      </c>
      <c r="G266" s="3"/>
      <c r="H266" s="3"/>
    </row>
    <row r="267" spans="1:8" x14ac:dyDescent="0.35">
      <c r="A267" s="3" t="s">
        <v>2015</v>
      </c>
      <c r="B267" s="3" t="s">
        <v>20</v>
      </c>
      <c r="C267" s="3" t="s">
        <v>2038</v>
      </c>
      <c r="D267" s="3" t="s">
        <v>15</v>
      </c>
      <c r="E267" s="3" t="s">
        <v>16</v>
      </c>
      <c r="F267" s="3" t="s">
        <v>2000</v>
      </c>
      <c r="G267" s="3"/>
      <c r="H267" s="3"/>
    </row>
    <row r="268" spans="1:8" x14ac:dyDescent="0.35">
      <c r="A268" s="3" t="s">
        <v>2015</v>
      </c>
      <c r="B268" s="3" t="s">
        <v>20</v>
      </c>
      <c r="C268" s="3" t="s">
        <v>2038</v>
      </c>
      <c r="D268" s="3" t="s">
        <v>57</v>
      </c>
      <c r="E268" s="3" t="s">
        <v>16</v>
      </c>
      <c r="F268" s="3" t="s">
        <v>2000</v>
      </c>
      <c r="G268" s="3"/>
      <c r="H268" s="3"/>
    </row>
    <row r="269" spans="1:8" x14ac:dyDescent="0.35">
      <c r="A269" s="3" t="s">
        <v>2015</v>
      </c>
      <c r="B269" s="3" t="s">
        <v>20</v>
      </c>
      <c r="C269" s="3" t="s">
        <v>2038</v>
      </c>
      <c r="D269" s="3" t="s">
        <v>32</v>
      </c>
      <c r="E269" s="3" t="s">
        <v>16</v>
      </c>
      <c r="F269" s="3" t="s">
        <v>2000</v>
      </c>
      <c r="G269" s="3"/>
      <c r="H269" s="3"/>
    </row>
    <row r="270" spans="1:8" x14ac:dyDescent="0.35">
      <c r="A270" s="3" t="s">
        <v>2015</v>
      </c>
      <c r="B270" s="3" t="s">
        <v>20</v>
      </c>
      <c r="C270" s="3" t="s">
        <v>2038</v>
      </c>
      <c r="D270" s="3" t="s">
        <v>29</v>
      </c>
      <c r="E270" s="3" t="s">
        <v>16</v>
      </c>
      <c r="F270" s="3" t="s">
        <v>2000</v>
      </c>
      <c r="G270" s="3"/>
      <c r="H270" s="3"/>
    </row>
    <row r="271" spans="1:8" x14ac:dyDescent="0.35">
      <c r="A271" s="3" t="s">
        <v>2015</v>
      </c>
      <c r="B271" s="3" t="s">
        <v>20</v>
      </c>
      <c r="C271" s="3" t="s">
        <v>2038</v>
      </c>
      <c r="D271" s="3" t="s">
        <v>107</v>
      </c>
      <c r="E271" s="3" t="s">
        <v>16</v>
      </c>
      <c r="F271" s="3" t="s">
        <v>2000</v>
      </c>
      <c r="G271" s="3"/>
      <c r="H271" s="3"/>
    </row>
    <row r="272" spans="1:8" x14ac:dyDescent="0.35">
      <c r="A272" s="3" t="s">
        <v>2015</v>
      </c>
      <c r="B272" s="3" t="s">
        <v>42</v>
      </c>
      <c r="C272" s="3" t="s">
        <v>2039</v>
      </c>
      <c r="D272" s="3" t="s">
        <v>12</v>
      </c>
      <c r="E272" s="3"/>
      <c r="F272" s="3"/>
      <c r="G272" s="3"/>
      <c r="H272" s="3"/>
    </row>
    <row r="273" spans="1:8" x14ac:dyDescent="0.35">
      <c r="A273" s="3" t="s">
        <v>2015</v>
      </c>
      <c r="B273" s="3" t="s">
        <v>42</v>
      </c>
      <c r="C273" s="3" t="s">
        <v>2039</v>
      </c>
      <c r="D273" s="3" t="s">
        <v>36</v>
      </c>
      <c r="E273" s="3"/>
      <c r="F273" s="3"/>
      <c r="G273" s="3"/>
      <c r="H273" s="3"/>
    </row>
    <row r="274" spans="1:8" x14ac:dyDescent="0.35">
      <c r="A274" s="3" t="s">
        <v>2015</v>
      </c>
      <c r="B274" s="3" t="s">
        <v>42</v>
      </c>
      <c r="C274" s="3" t="s">
        <v>2039</v>
      </c>
      <c r="D274" s="3" t="s">
        <v>47</v>
      </c>
      <c r="E274" s="3"/>
      <c r="F274" s="3"/>
      <c r="G274" s="3"/>
      <c r="H274" s="3"/>
    </row>
    <row r="275" spans="1:8" x14ac:dyDescent="0.35">
      <c r="A275" s="3" t="s">
        <v>2015</v>
      </c>
      <c r="B275" s="3" t="s">
        <v>42</v>
      </c>
      <c r="C275" s="3" t="s">
        <v>2039</v>
      </c>
      <c r="D275" s="3" t="s">
        <v>25</v>
      </c>
      <c r="E275" s="3"/>
      <c r="F275" s="3"/>
      <c r="G275" s="3"/>
      <c r="H275" s="3"/>
    </row>
    <row r="276" spans="1:8" x14ac:dyDescent="0.35">
      <c r="A276" s="3" t="s">
        <v>2015</v>
      </c>
      <c r="B276" s="3" t="s">
        <v>42</v>
      </c>
      <c r="C276" s="3" t="s">
        <v>2039</v>
      </c>
      <c r="D276" s="3" t="s">
        <v>141</v>
      </c>
      <c r="E276" s="3"/>
      <c r="F276" s="3"/>
      <c r="G276" s="3"/>
      <c r="H276" s="3"/>
    </row>
    <row r="277" spans="1:8" x14ac:dyDescent="0.35">
      <c r="A277" s="3" t="s">
        <v>2015</v>
      </c>
      <c r="B277" s="3" t="s">
        <v>42</v>
      </c>
      <c r="C277" s="3" t="s">
        <v>2039</v>
      </c>
      <c r="D277" s="3" t="s">
        <v>142</v>
      </c>
      <c r="E277" s="3"/>
      <c r="F277" s="3"/>
      <c r="G277" s="3"/>
      <c r="H277" s="3"/>
    </row>
    <row r="278" spans="1:8" x14ac:dyDescent="0.35">
      <c r="A278" s="3" t="s">
        <v>2015</v>
      </c>
      <c r="B278" s="3" t="s">
        <v>42</v>
      </c>
      <c r="C278" s="3" t="s">
        <v>2039</v>
      </c>
      <c r="D278" s="3" t="s">
        <v>44</v>
      </c>
      <c r="E278" s="3"/>
      <c r="F278" s="3"/>
      <c r="G278" s="3"/>
      <c r="H278" s="3"/>
    </row>
    <row r="279" spans="1:8" x14ac:dyDescent="0.35">
      <c r="A279" s="3" t="s">
        <v>2015</v>
      </c>
      <c r="B279" s="3" t="s">
        <v>42</v>
      </c>
      <c r="C279" s="3" t="s">
        <v>2039</v>
      </c>
      <c r="D279" s="3" t="s">
        <v>185</v>
      </c>
      <c r="E279" s="3"/>
      <c r="F279" s="3" t="s">
        <v>2467</v>
      </c>
      <c r="G279" s="3"/>
      <c r="H279" s="3"/>
    </row>
    <row r="280" spans="1:8" x14ac:dyDescent="0.35">
      <c r="A280" s="3" t="s">
        <v>2015</v>
      </c>
      <c r="B280" s="3" t="s">
        <v>42</v>
      </c>
      <c r="C280" s="3" t="s">
        <v>2039</v>
      </c>
      <c r="D280" s="3" t="s">
        <v>15</v>
      </c>
      <c r="E280" s="3" t="s">
        <v>16</v>
      </c>
      <c r="F280" s="3" t="s">
        <v>2040</v>
      </c>
      <c r="G280" s="3"/>
      <c r="H280" s="3"/>
    </row>
    <row r="281" spans="1:8" x14ac:dyDescent="0.35">
      <c r="A281" s="3" t="s">
        <v>2015</v>
      </c>
      <c r="B281" s="3" t="s">
        <v>42</v>
      </c>
      <c r="C281" s="3" t="s">
        <v>2039</v>
      </c>
      <c r="D281" s="3" t="s">
        <v>89</v>
      </c>
      <c r="E281" s="3" t="s">
        <v>33</v>
      </c>
      <c r="F281" s="3" t="s">
        <v>2041</v>
      </c>
      <c r="G281" s="3"/>
      <c r="H281" s="3"/>
    </row>
    <row r="282" spans="1:8" x14ac:dyDescent="0.35">
      <c r="A282" s="3" t="s">
        <v>2015</v>
      </c>
      <c r="B282" s="3" t="s">
        <v>42</v>
      </c>
      <c r="C282" s="3" t="s">
        <v>2039</v>
      </c>
      <c r="D282" s="3" t="s">
        <v>32</v>
      </c>
      <c r="E282" s="3" t="s">
        <v>16</v>
      </c>
      <c r="F282" s="3" t="s">
        <v>2003</v>
      </c>
      <c r="G282" s="3"/>
      <c r="H282" s="3"/>
    </row>
    <row r="283" spans="1:8" x14ac:dyDescent="0.35">
      <c r="A283" s="3" t="s">
        <v>2015</v>
      </c>
      <c r="B283" s="3" t="s">
        <v>42</v>
      </c>
      <c r="C283" s="3" t="s">
        <v>2039</v>
      </c>
      <c r="D283" s="3" t="s">
        <v>29</v>
      </c>
      <c r="E283" s="3"/>
      <c r="F283" s="3" t="s">
        <v>2468</v>
      </c>
      <c r="G283" s="3"/>
      <c r="H283" s="3"/>
    </row>
    <row r="284" spans="1:8" x14ac:dyDescent="0.35">
      <c r="A284" s="3" t="s">
        <v>2015</v>
      </c>
      <c r="B284" s="3" t="s">
        <v>42</v>
      </c>
      <c r="C284" s="3" t="s">
        <v>2039</v>
      </c>
      <c r="D284" s="3" t="s">
        <v>152</v>
      </c>
      <c r="E284" s="3"/>
      <c r="F284" s="3" t="s">
        <v>2304</v>
      </c>
      <c r="G284" s="3"/>
      <c r="H284" s="3"/>
    </row>
    <row r="285" spans="1:8" x14ac:dyDescent="0.35">
      <c r="A285" s="3" t="s">
        <v>2015</v>
      </c>
      <c r="B285" s="3" t="s">
        <v>42</v>
      </c>
      <c r="C285" s="3" t="s">
        <v>2039</v>
      </c>
      <c r="D285" s="3" t="s">
        <v>107</v>
      </c>
      <c r="E285" s="3" t="s">
        <v>16</v>
      </c>
      <c r="F285" s="3" t="s">
        <v>2042</v>
      </c>
      <c r="G285" s="3"/>
      <c r="H285" s="3"/>
    </row>
    <row r="286" spans="1:8" x14ac:dyDescent="0.35">
      <c r="A286" s="3" t="s">
        <v>2721</v>
      </c>
      <c r="B286" s="3" t="s">
        <v>20</v>
      </c>
      <c r="C286" s="3" t="s">
        <v>2722</v>
      </c>
      <c r="D286" s="3" t="s">
        <v>12</v>
      </c>
      <c r="E286" s="3"/>
      <c r="F286" s="3"/>
      <c r="G286" s="3"/>
      <c r="H286" s="3"/>
    </row>
    <row r="287" spans="1:8" x14ac:dyDescent="0.35">
      <c r="A287" s="3" t="s">
        <v>2721</v>
      </c>
      <c r="B287" s="3" t="s">
        <v>20</v>
      </c>
      <c r="C287" s="3" t="s">
        <v>2722</v>
      </c>
      <c r="D287" s="3" t="s">
        <v>15</v>
      </c>
      <c r="E287" s="3" t="s">
        <v>16</v>
      </c>
      <c r="F287" s="3" t="s">
        <v>2723</v>
      </c>
      <c r="G287" s="3"/>
      <c r="H287" s="3"/>
    </row>
    <row r="288" spans="1:8" x14ac:dyDescent="0.35">
      <c r="A288" s="3" t="s">
        <v>2721</v>
      </c>
      <c r="B288" s="3" t="s">
        <v>20</v>
      </c>
      <c r="C288" s="3" t="s">
        <v>2722</v>
      </c>
      <c r="D288" s="3" t="s">
        <v>24</v>
      </c>
      <c r="E288" s="3"/>
      <c r="F288" s="3"/>
      <c r="G288" s="3"/>
      <c r="H288" s="3"/>
    </row>
    <row r="289" spans="1:8" x14ac:dyDescent="0.35">
      <c r="A289" s="3" t="s">
        <v>2043</v>
      </c>
      <c r="B289" s="3" t="s">
        <v>42</v>
      </c>
      <c r="C289" s="3" t="s">
        <v>2044</v>
      </c>
      <c r="D289" s="3" t="s">
        <v>12</v>
      </c>
      <c r="E289" s="14"/>
      <c r="F289" s="3"/>
      <c r="G289" s="3"/>
      <c r="H289" s="3"/>
    </row>
    <row r="290" spans="1:8" x14ac:dyDescent="0.35">
      <c r="A290" s="3" t="s">
        <v>2043</v>
      </c>
      <c r="B290" s="3" t="s">
        <v>42</v>
      </c>
      <c r="C290" s="3" t="s">
        <v>2044</v>
      </c>
      <c r="D290" s="3" t="s">
        <v>56</v>
      </c>
      <c r="E290" s="3" t="s">
        <v>16</v>
      </c>
      <c r="F290" s="15" t="s">
        <v>2045</v>
      </c>
      <c r="G290" s="3"/>
      <c r="H290" s="3"/>
    </row>
    <row r="291" spans="1:8" x14ac:dyDescent="0.35">
      <c r="A291" s="3" t="s">
        <v>2043</v>
      </c>
      <c r="B291" s="3" t="s">
        <v>42</v>
      </c>
      <c r="C291" s="3" t="s">
        <v>2044</v>
      </c>
      <c r="D291" s="3" t="s">
        <v>107</v>
      </c>
      <c r="E291" s="3" t="s">
        <v>16</v>
      </c>
      <c r="F291" s="15" t="s">
        <v>2046</v>
      </c>
      <c r="G291" s="3"/>
      <c r="H291" s="3"/>
    </row>
    <row r="292" spans="1:8" x14ac:dyDescent="0.35">
      <c r="A292" s="3" t="s">
        <v>2047</v>
      </c>
      <c r="B292" s="3" t="s">
        <v>42</v>
      </c>
      <c r="C292" s="3" t="s">
        <v>2048</v>
      </c>
      <c r="D292" s="3" t="s">
        <v>36</v>
      </c>
      <c r="E292" s="3"/>
      <c r="F292" s="3" t="s">
        <v>2337</v>
      </c>
      <c r="G292" s="3"/>
      <c r="H292" s="3"/>
    </row>
    <row r="293" spans="1:8" x14ac:dyDescent="0.35">
      <c r="A293" s="3" t="s">
        <v>2047</v>
      </c>
      <c r="B293" s="3" t="s">
        <v>42</v>
      </c>
      <c r="C293" s="3" t="s">
        <v>2048</v>
      </c>
      <c r="D293" s="3" t="s">
        <v>27</v>
      </c>
      <c r="E293" s="3"/>
      <c r="F293" s="3"/>
      <c r="G293" s="3"/>
      <c r="H293" s="3"/>
    </row>
    <row r="294" spans="1:8" x14ac:dyDescent="0.35">
      <c r="A294" s="3" t="s">
        <v>2047</v>
      </c>
      <c r="B294" s="3" t="s">
        <v>42</v>
      </c>
      <c r="C294" s="3" t="s">
        <v>2048</v>
      </c>
      <c r="D294" s="3" t="s">
        <v>15</v>
      </c>
      <c r="E294" s="3" t="s">
        <v>16</v>
      </c>
      <c r="F294" s="3" t="s">
        <v>2049</v>
      </c>
      <c r="G294" s="3"/>
      <c r="H294" s="3"/>
    </row>
    <row r="295" spans="1:8" x14ac:dyDescent="0.35">
      <c r="A295" s="3" t="s">
        <v>2050</v>
      </c>
      <c r="B295" s="3" t="s">
        <v>42</v>
      </c>
      <c r="C295" s="3" t="s">
        <v>2051</v>
      </c>
      <c r="D295" s="3" t="s">
        <v>12</v>
      </c>
      <c r="E295" s="3"/>
      <c r="F295" s="3"/>
      <c r="G295" s="3"/>
      <c r="H295" s="3"/>
    </row>
    <row r="296" spans="1:8" x14ac:dyDescent="0.35">
      <c r="A296" s="3" t="s">
        <v>2050</v>
      </c>
      <c r="B296" s="3" t="s">
        <v>42</v>
      </c>
      <c r="C296" s="3" t="s">
        <v>2051</v>
      </c>
      <c r="D296" s="3" t="s">
        <v>44</v>
      </c>
      <c r="E296" s="3"/>
      <c r="F296" s="3"/>
      <c r="G296" s="3"/>
      <c r="H296" s="3"/>
    </row>
    <row r="297" spans="1:8" x14ac:dyDescent="0.35">
      <c r="A297" s="3" t="s">
        <v>2050</v>
      </c>
      <c r="B297" s="3" t="s">
        <v>42</v>
      </c>
      <c r="C297" s="3" t="s">
        <v>2051</v>
      </c>
      <c r="D297" s="3" t="s">
        <v>15</v>
      </c>
      <c r="E297" s="3" t="s">
        <v>16</v>
      </c>
      <c r="F297" s="3" t="s">
        <v>2052</v>
      </c>
      <c r="G297" s="3"/>
      <c r="H297" s="3"/>
    </row>
    <row r="298" spans="1:8" x14ac:dyDescent="0.35">
      <c r="A298" s="3" t="s">
        <v>2050</v>
      </c>
      <c r="B298" s="3" t="s">
        <v>42</v>
      </c>
      <c r="C298" s="3" t="s">
        <v>2051</v>
      </c>
      <c r="D298" s="3" t="s">
        <v>56</v>
      </c>
      <c r="E298" s="3" t="s">
        <v>16</v>
      </c>
      <c r="F298" s="3" t="s">
        <v>2052</v>
      </c>
      <c r="G298" s="3"/>
      <c r="H298" s="3"/>
    </row>
    <row r="299" spans="1:8" x14ac:dyDescent="0.35">
      <c r="A299" s="3" t="s">
        <v>2050</v>
      </c>
      <c r="B299" s="3" t="s">
        <v>42</v>
      </c>
      <c r="C299" s="3" t="s">
        <v>2051</v>
      </c>
      <c r="D299" s="3" t="s">
        <v>82</v>
      </c>
      <c r="E299" s="3"/>
      <c r="F299" s="3"/>
      <c r="G299" s="3"/>
      <c r="H299" s="3"/>
    </row>
    <row r="300" spans="1:8" x14ac:dyDescent="0.35">
      <c r="A300" s="3" t="s">
        <v>2053</v>
      </c>
      <c r="B300" s="3" t="s">
        <v>42</v>
      </c>
      <c r="C300" s="3" t="s">
        <v>2054</v>
      </c>
      <c r="D300" s="3" t="s">
        <v>12</v>
      </c>
      <c r="E300" s="3"/>
      <c r="F300" s="3"/>
      <c r="G300" s="3"/>
      <c r="H300" s="3"/>
    </row>
    <row r="301" spans="1:8" x14ac:dyDescent="0.35">
      <c r="A301" s="3" t="s">
        <v>2053</v>
      </c>
      <c r="B301" s="3" t="s">
        <v>42</v>
      </c>
      <c r="C301" s="3" t="s">
        <v>2054</v>
      </c>
      <c r="D301" s="3" t="s">
        <v>27</v>
      </c>
      <c r="E301" s="3"/>
      <c r="F301" s="3"/>
      <c r="G301" s="3"/>
      <c r="H301" s="3"/>
    </row>
    <row r="302" spans="1:8" x14ac:dyDescent="0.35">
      <c r="A302" s="3" t="s">
        <v>2053</v>
      </c>
      <c r="B302" s="3" t="s">
        <v>42</v>
      </c>
      <c r="C302" s="3" t="s">
        <v>2054</v>
      </c>
      <c r="D302" s="3" t="s">
        <v>87</v>
      </c>
      <c r="E302" s="3"/>
      <c r="F302" s="3"/>
      <c r="G302" s="3"/>
      <c r="H302" s="3"/>
    </row>
    <row r="303" spans="1:8" x14ac:dyDescent="0.35">
      <c r="A303" s="3" t="s">
        <v>2053</v>
      </c>
      <c r="B303" s="3" t="s">
        <v>42</v>
      </c>
      <c r="C303" s="3" t="s">
        <v>2054</v>
      </c>
      <c r="D303" s="3" t="s">
        <v>24</v>
      </c>
      <c r="E303" s="3"/>
      <c r="F303" s="3"/>
      <c r="G303" s="3"/>
      <c r="H303" s="3"/>
    </row>
    <row r="304" spans="1:8" x14ac:dyDescent="0.35">
      <c r="A304" s="3" t="s">
        <v>2053</v>
      </c>
      <c r="B304" s="3" t="s">
        <v>42</v>
      </c>
      <c r="C304" s="3" t="s">
        <v>2054</v>
      </c>
      <c r="D304" s="3" t="s">
        <v>134</v>
      </c>
      <c r="E304" s="3" t="s">
        <v>16</v>
      </c>
      <c r="F304" s="3" t="s">
        <v>2055</v>
      </c>
      <c r="G304" s="3"/>
      <c r="H304" s="3"/>
    </row>
    <row r="305" spans="1:8" x14ac:dyDescent="0.35">
      <c r="A305" s="3" t="s">
        <v>2056</v>
      </c>
      <c r="B305" s="3" t="s">
        <v>42</v>
      </c>
      <c r="C305" s="3" t="s">
        <v>2057</v>
      </c>
      <c r="D305" s="3" t="s">
        <v>12</v>
      </c>
      <c r="E305" s="3"/>
      <c r="F305" s="3"/>
      <c r="G305" s="3"/>
      <c r="H305" s="3"/>
    </row>
    <row r="306" spans="1:8" x14ac:dyDescent="0.35">
      <c r="A306" s="3" t="s">
        <v>2056</v>
      </c>
      <c r="B306" s="3" t="s">
        <v>42</v>
      </c>
      <c r="C306" s="3" t="s">
        <v>2057</v>
      </c>
      <c r="D306" s="3" t="s">
        <v>15</v>
      </c>
      <c r="E306" s="3" t="s">
        <v>16</v>
      </c>
      <c r="F306" s="3" t="s">
        <v>2058</v>
      </c>
      <c r="G306" s="3"/>
      <c r="H306" s="3"/>
    </row>
    <row r="307" spans="1:8" x14ac:dyDescent="0.35">
      <c r="A307" s="3" t="s">
        <v>2056</v>
      </c>
      <c r="B307" s="3" t="s">
        <v>42</v>
      </c>
      <c r="C307" s="3" t="s">
        <v>2057</v>
      </c>
      <c r="D307" s="3" t="s">
        <v>134</v>
      </c>
      <c r="E307" s="3" t="s">
        <v>16</v>
      </c>
      <c r="F307" s="3" t="s">
        <v>2059</v>
      </c>
      <c r="G307" s="3"/>
      <c r="H307" s="3"/>
    </row>
  </sheetData>
  <autoFilter ref="A1:H1" xr:uid="{00000000-0009-0000-0000-000006000000}"/>
  <pageMargins left="0.7" right="0.7" top="0.75" bottom="0.75" header="0.3" footer="0.3"/>
  <customProperties>
    <customPr name="Gu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375"/>
  <sheetViews>
    <sheetView workbookViewId="0">
      <selection activeCell="A2" sqref="A2"/>
    </sheetView>
  </sheetViews>
  <sheetFormatPr defaultRowHeight="14.5" x14ac:dyDescent="0.35"/>
  <cols>
    <col min="1" max="1" width="16.453125" customWidth="1"/>
    <col min="2" max="2" width="21.453125" customWidth="1"/>
    <col min="3" max="3" width="54.81640625" customWidth="1"/>
    <col min="4" max="4" width="31.453125" customWidth="1"/>
    <col min="5" max="5" width="12.54296875" customWidth="1"/>
    <col min="6" max="6" width="34.54296875" customWidth="1"/>
    <col min="7" max="8" width="14.26953125" customWidth="1"/>
  </cols>
  <sheetData>
    <row r="1" spans="1:8" ht="39.5" x14ac:dyDescent="0.35">
      <c r="A1" s="1" t="s">
        <v>1</v>
      </c>
      <c r="B1" s="1" t="s">
        <v>2</v>
      </c>
      <c r="C1" s="1" t="s">
        <v>3</v>
      </c>
      <c r="D1" s="1" t="s">
        <v>4</v>
      </c>
      <c r="E1" s="1" t="s">
        <v>5</v>
      </c>
      <c r="F1" s="1" t="s">
        <v>2296</v>
      </c>
      <c r="G1" s="1" t="s">
        <v>6</v>
      </c>
      <c r="H1" s="1" t="s">
        <v>7</v>
      </c>
    </row>
    <row r="2" spans="1:8" x14ac:dyDescent="0.35">
      <c r="A2" s="3" t="s">
        <v>2061</v>
      </c>
      <c r="B2" s="3" t="s">
        <v>20</v>
      </c>
      <c r="C2" s="3" t="s">
        <v>2062</v>
      </c>
      <c r="D2" s="3" t="s">
        <v>12</v>
      </c>
      <c r="E2" s="3"/>
      <c r="F2" s="3"/>
      <c r="G2" s="3" t="s">
        <v>16</v>
      </c>
      <c r="H2" s="3" t="s">
        <v>2063</v>
      </c>
    </row>
    <row r="3" spans="1:8" x14ac:dyDescent="0.35">
      <c r="A3" s="3" t="s">
        <v>2061</v>
      </c>
      <c r="B3" s="3" t="s">
        <v>20</v>
      </c>
      <c r="C3" s="3" t="s">
        <v>2062</v>
      </c>
      <c r="D3" s="3" t="s">
        <v>98</v>
      </c>
      <c r="E3" s="3"/>
      <c r="F3" s="3"/>
      <c r="G3" s="3" t="s">
        <v>16</v>
      </c>
      <c r="H3" s="3" t="s">
        <v>2063</v>
      </c>
    </row>
    <row r="4" spans="1:8" x14ac:dyDescent="0.35">
      <c r="A4" s="3" t="s">
        <v>2061</v>
      </c>
      <c r="B4" s="3" t="s">
        <v>20</v>
      </c>
      <c r="C4" s="3" t="s">
        <v>2062</v>
      </c>
      <c r="D4" s="3" t="s">
        <v>911</v>
      </c>
      <c r="E4" s="3" t="s">
        <v>16</v>
      </c>
      <c r="F4" s="3" t="s">
        <v>2064</v>
      </c>
      <c r="G4" s="3" t="s">
        <v>16</v>
      </c>
      <c r="H4" s="3" t="s">
        <v>2063</v>
      </c>
    </row>
    <row r="5" spans="1:8" x14ac:dyDescent="0.35">
      <c r="A5" s="3" t="s">
        <v>2061</v>
      </c>
      <c r="B5" s="3" t="s">
        <v>20</v>
      </c>
      <c r="C5" s="3" t="s">
        <v>2062</v>
      </c>
      <c r="D5" s="3" t="s">
        <v>24</v>
      </c>
      <c r="E5" s="3"/>
      <c r="F5" s="3"/>
      <c r="G5" s="3" t="s">
        <v>16</v>
      </c>
      <c r="H5" s="3" t="s">
        <v>2063</v>
      </c>
    </row>
    <row r="6" spans="1:8" x14ac:dyDescent="0.35">
      <c r="A6" s="3" t="s">
        <v>2065</v>
      </c>
      <c r="B6" s="3" t="s">
        <v>20</v>
      </c>
      <c r="C6" s="3" t="s">
        <v>2933</v>
      </c>
      <c r="D6" s="3" t="s">
        <v>23</v>
      </c>
      <c r="E6" s="3"/>
      <c r="F6" s="3"/>
      <c r="G6" s="3" t="s">
        <v>16</v>
      </c>
      <c r="H6" s="3" t="s">
        <v>559</v>
      </c>
    </row>
    <row r="7" spans="1:8" x14ac:dyDescent="0.35">
      <c r="A7" s="3" t="s">
        <v>2065</v>
      </c>
      <c r="B7" s="3" t="s">
        <v>20</v>
      </c>
      <c r="C7" s="3" t="s">
        <v>2933</v>
      </c>
      <c r="D7" s="3" t="s">
        <v>15</v>
      </c>
      <c r="E7" s="3" t="s">
        <v>16</v>
      </c>
      <c r="F7" s="3" t="s">
        <v>2934</v>
      </c>
      <c r="G7" s="3" t="s">
        <v>16</v>
      </c>
      <c r="H7" s="3" t="s">
        <v>559</v>
      </c>
    </row>
    <row r="8" spans="1:8" x14ac:dyDescent="0.35">
      <c r="A8" s="3" t="s">
        <v>2065</v>
      </c>
      <c r="B8" s="3" t="s">
        <v>20</v>
      </c>
      <c r="C8" s="3" t="s">
        <v>2933</v>
      </c>
      <c r="D8" s="3" t="s">
        <v>56</v>
      </c>
      <c r="E8" s="3"/>
      <c r="F8" s="3"/>
      <c r="G8" s="3" t="s">
        <v>16</v>
      </c>
      <c r="H8" s="3" t="s">
        <v>559</v>
      </c>
    </row>
    <row r="9" spans="1:8" x14ac:dyDescent="0.35">
      <c r="A9" s="3" t="s">
        <v>2065</v>
      </c>
      <c r="B9" s="3" t="s">
        <v>20</v>
      </c>
      <c r="C9" s="3" t="s">
        <v>2933</v>
      </c>
      <c r="D9" s="3" t="s">
        <v>290</v>
      </c>
      <c r="E9" s="3"/>
      <c r="F9" s="3"/>
      <c r="G9" s="3" t="s">
        <v>16</v>
      </c>
      <c r="H9" s="3" t="s">
        <v>559</v>
      </c>
    </row>
    <row r="10" spans="1:8" x14ac:dyDescent="0.35">
      <c r="A10" s="3" t="s">
        <v>2065</v>
      </c>
      <c r="B10" s="3" t="s">
        <v>20</v>
      </c>
      <c r="C10" s="3" t="s">
        <v>2066</v>
      </c>
      <c r="D10" s="3" t="s">
        <v>12</v>
      </c>
      <c r="E10" s="3"/>
      <c r="F10" s="3"/>
      <c r="G10" s="3" t="s">
        <v>16</v>
      </c>
      <c r="H10" s="3" t="s">
        <v>1736</v>
      </c>
    </row>
    <row r="11" spans="1:8" x14ac:dyDescent="0.35">
      <c r="A11" s="3" t="s">
        <v>2065</v>
      </c>
      <c r="B11" s="3" t="s">
        <v>20</v>
      </c>
      <c r="C11" s="3" t="s">
        <v>2066</v>
      </c>
      <c r="D11" s="3" t="s">
        <v>25</v>
      </c>
      <c r="E11" s="3"/>
      <c r="F11" s="3"/>
      <c r="G11" s="3" t="s">
        <v>16</v>
      </c>
      <c r="H11" s="3" t="s">
        <v>1736</v>
      </c>
    </row>
    <row r="12" spans="1:8" x14ac:dyDescent="0.35">
      <c r="A12" s="3" t="s">
        <v>2065</v>
      </c>
      <c r="B12" s="3" t="s">
        <v>20</v>
      </c>
      <c r="C12" s="3" t="s">
        <v>2066</v>
      </c>
      <c r="D12" s="3" t="s">
        <v>27</v>
      </c>
      <c r="E12" s="3"/>
      <c r="F12" s="3"/>
      <c r="G12" s="3" t="s">
        <v>16</v>
      </c>
      <c r="H12" s="3" t="s">
        <v>1736</v>
      </c>
    </row>
    <row r="13" spans="1:8" x14ac:dyDescent="0.35">
      <c r="A13" s="3" t="s">
        <v>2065</v>
      </c>
      <c r="B13" s="3" t="s">
        <v>20</v>
      </c>
      <c r="C13" s="3" t="s">
        <v>2066</v>
      </c>
      <c r="D13" s="3" t="s">
        <v>142</v>
      </c>
      <c r="E13" s="3"/>
      <c r="F13" s="3"/>
      <c r="G13" s="3" t="s">
        <v>16</v>
      </c>
      <c r="H13" s="3" t="s">
        <v>1736</v>
      </c>
    </row>
    <row r="14" spans="1:8" x14ac:dyDescent="0.35">
      <c r="A14" s="3" t="s">
        <v>2065</v>
      </c>
      <c r="B14" s="3" t="s">
        <v>20</v>
      </c>
      <c r="C14" s="3" t="s">
        <v>2066</v>
      </c>
      <c r="D14" s="3" t="s">
        <v>98</v>
      </c>
      <c r="E14" s="3"/>
      <c r="F14" s="3"/>
      <c r="G14" s="3" t="s">
        <v>16</v>
      </c>
      <c r="H14" s="3" t="s">
        <v>1736</v>
      </c>
    </row>
    <row r="15" spans="1:8" x14ac:dyDescent="0.35">
      <c r="A15" s="3" t="s">
        <v>2065</v>
      </c>
      <c r="B15" s="3" t="s">
        <v>20</v>
      </c>
      <c r="C15" s="3" t="s">
        <v>2066</v>
      </c>
      <c r="D15" s="3" t="s">
        <v>15</v>
      </c>
      <c r="E15" s="3" t="s">
        <v>16</v>
      </c>
      <c r="F15" s="3" t="s">
        <v>2067</v>
      </c>
      <c r="G15" s="3" t="s">
        <v>16</v>
      </c>
      <c r="H15" s="3" t="s">
        <v>1736</v>
      </c>
    </row>
    <row r="16" spans="1:8" x14ac:dyDescent="0.35">
      <c r="A16" s="3" t="s">
        <v>2065</v>
      </c>
      <c r="B16" s="3" t="s">
        <v>20</v>
      </c>
      <c r="C16" s="3" t="s">
        <v>2066</v>
      </c>
      <c r="D16" s="3" t="s">
        <v>57</v>
      </c>
      <c r="E16" s="3"/>
      <c r="F16" s="3"/>
      <c r="G16" s="3" t="s">
        <v>16</v>
      </c>
      <c r="H16" s="3" t="s">
        <v>1736</v>
      </c>
    </row>
    <row r="17" spans="1:8" x14ac:dyDescent="0.35">
      <c r="A17" s="3" t="s">
        <v>2065</v>
      </c>
      <c r="B17" s="3" t="s">
        <v>20</v>
      </c>
      <c r="C17" s="3" t="s">
        <v>2066</v>
      </c>
      <c r="D17" s="3" t="s">
        <v>24</v>
      </c>
      <c r="E17" s="3"/>
      <c r="F17" s="3"/>
      <c r="G17" s="3" t="s">
        <v>16</v>
      </c>
      <c r="H17" s="3" t="s">
        <v>1736</v>
      </c>
    </row>
    <row r="18" spans="1:8" x14ac:dyDescent="0.35">
      <c r="A18" s="3" t="s">
        <v>2065</v>
      </c>
      <c r="B18" s="3" t="s">
        <v>20</v>
      </c>
      <c r="C18" s="3" t="s">
        <v>2066</v>
      </c>
      <c r="D18" s="3" t="s">
        <v>107</v>
      </c>
      <c r="E18" s="3" t="s">
        <v>16</v>
      </c>
      <c r="F18" s="3" t="s">
        <v>2068</v>
      </c>
      <c r="G18" s="3" t="s">
        <v>16</v>
      </c>
      <c r="H18" s="3" t="s">
        <v>1736</v>
      </c>
    </row>
    <row r="19" spans="1:8" x14ac:dyDescent="0.35">
      <c r="A19" s="3" t="s">
        <v>2069</v>
      </c>
      <c r="B19" s="3" t="s">
        <v>42</v>
      </c>
      <c r="C19" s="3" t="s">
        <v>2070</v>
      </c>
      <c r="D19" s="3" t="s">
        <v>12</v>
      </c>
      <c r="E19" s="3" t="s">
        <v>13</v>
      </c>
      <c r="F19" s="3" t="s">
        <v>1428</v>
      </c>
      <c r="G19" s="3"/>
      <c r="H19" s="3"/>
    </row>
    <row r="20" spans="1:8" x14ac:dyDescent="0.35">
      <c r="A20" s="3" t="s">
        <v>2069</v>
      </c>
      <c r="B20" s="3" t="s">
        <v>42</v>
      </c>
      <c r="C20" s="3" t="s">
        <v>2070</v>
      </c>
      <c r="D20" s="3" t="s">
        <v>23</v>
      </c>
      <c r="E20" s="3"/>
      <c r="F20" s="3"/>
      <c r="G20" s="3"/>
      <c r="H20" s="3"/>
    </row>
    <row r="21" spans="1:8" x14ac:dyDescent="0.35">
      <c r="A21" s="3" t="s">
        <v>2069</v>
      </c>
      <c r="B21" s="3" t="s">
        <v>42</v>
      </c>
      <c r="C21" s="3" t="s">
        <v>2070</v>
      </c>
      <c r="D21" s="3" t="s">
        <v>87</v>
      </c>
      <c r="E21" s="3"/>
      <c r="F21" s="3"/>
      <c r="G21" s="3"/>
      <c r="H21" s="3"/>
    </row>
    <row r="22" spans="1:8" x14ac:dyDescent="0.35">
      <c r="A22" s="3" t="s">
        <v>2069</v>
      </c>
      <c r="B22" s="3" t="s">
        <v>42</v>
      </c>
      <c r="C22" s="3" t="s">
        <v>2070</v>
      </c>
      <c r="D22" s="3" t="s">
        <v>107</v>
      </c>
      <c r="E22" s="3" t="s">
        <v>13</v>
      </c>
      <c r="F22" s="3" t="s">
        <v>2071</v>
      </c>
      <c r="G22" s="3"/>
      <c r="H22" s="3"/>
    </row>
    <row r="23" spans="1:8" x14ac:dyDescent="0.35">
      <c r="A23" s="3" t="s">
        <v>2069</v>
      </c>
      <c r="B23" s="3" t="s">
        <v>20</v>
      </c>
      <c r="C23" s="3" t="s">
        <v>2072</v>
      </c>
      <c r="D23" s="3" t="s">
        <v>12</v>
      </c>
      <c r="E23" s="3"/>
      <c r="F23" s="3"/>
      <c r="G23" s="3"/>
      <c r="H23" s="3"/>
    </row>
    <row r="24" spans="1:8" x14ac:dyDescent="0.35">
      <c r="A24" s="3" t="s">
        <v>2069</v>
      </c>
      <c r="B24" s="3" t="s">
        <v>20</v>
      </c>
      <c r="C24" s="3" t="s">
        <v>2072</v>
      </c>
      <c r="D24" s="3" t="s">
        <v>27</v>
      </c>
      <c r="E24" s="3"/>
      <c r="F24" s="3"/>
      <c r="G24" s="3"/>
      <c r="H24" s="3"/>
    </row>
    <row r="25" spans="1:8" x14ac:dyDescent="0.35">
      <c r="A25" s="3" t="s">
        <v>2069</v>
      </c>
      <c r="B25" s="3" t="s">
        <v>20</v>
      </c>
      <c r="C25" s="3" t="s">
        <v>2072</v>
      </c>
      <c r="D25" s="3" t="s">
        <v>15</v>
      </c>
      <c r="E25" s="3" t="s">
        <v>13</v>
      </c>
      <c r="F25" s="3" t="s">
        <v>2073</v>
      </c>
      <c r="G25" s="3"/>
      <c r="H25" s="3"/>
    </row>
    <row r="26" spans="1:8" x14ac:dyDescent="0.35">
      <c r="A26" s="3" t="s">
        <v>2069</v>
      </c>
      <c r="B26" s="3" t="s">
        <v>20</v>
      </c>
      <c r="C26" s="3" t="s">
        <v>2072</v>
      </c>
      <c r="D26" s="3" t="s">
        <v>32</v>
      </c>
      <c r="E26" s="3" t="s">
        <v>13</v>
      </c>
      <c r="F26" s="3" t="s">
        <v>2074</v>
      </c>
      <c r="G26" s="3"/>
      <c r="H26" s="3"/>
    </row>
    <row r="27" spans="1:8" x14ac:dyDescent="0.35">
      <c r="A27" s="3" t="s">
        <v>2069</v>
      </c>
      <c r="B27" s="3" t="s">
        <v>45</v>
      </c>
      <c r="C27" s="3" t="s">
        <v>2075</v>
      </c>
      <c r="D27" s="3" t="s">
        <v>12</v>
      </c>
      <c r="E27" s="3"/>
      <c r="F27" s="3"/>
      <c r="G27" s="3"/>
      <c r="H27" s="3"/>
    </row>
    <row r="28" spans="1:8" x14ac:dyDescent="0.35">
      <c r="A28" s="3" t="s">
        <v>2069</v>
      </c>
      <c r="B28" s="3" t="s">
        <v>45</v>
      </c>
      <c r="C28" s="3" t="s">
        <v>2075</v>
      </c>
      <c r="D28" s="3" t="s">
        <v>23</v>
      </c>
      <c r="E28" s="3"/>
      <c r="F28" s="3"/>
      <c r="G28" s="3"/>
      <c r="H28" s="3"/>
    </row>
    <row r="29" spans="1:8" x14ac:dyDescent="0.35">
      <c r="A29" s="3" t="s">
        <v>2069</v>
      </c>
      <c r="B29" s="3" t="s">
        <v>45</v>
      </c>
      <c r="C29" s="3" t="s">
        <v>2075</v>
      </c>
      <c r="D29" s="3" t="s">
        <v>77</v>
      </c>
      <c r="E29" s="3"/>
      <c r="F29" s="3"/>
      <c r="G29" s="3"/>
      <c r="H29" s="3"/>
    </row>
    <row r="30" spans="1:8" x14ac:dyDescent="0.35">
      <c r="A30" s="3" t="s">
        <v>2069</v>
      </c>
      <c r="B30" s="3" t="s">
        <v>45</v>
      </c>
      <c r="C30" s="3" t="s">
        <v>2075</v>
      </c>
      <c r="D30" s="3" t="s">
        <v>56</v>
      </c>
      <c r="E30" s="3" t="s">
        <v>13</v>
      </c>
      <c r="F30" s="3" t="s">
        <v>2076</v>
      </c>
      <c r="G30" s="3"/>
      <c r="H30" s="3"/>
    </row>
    <row r="31" spans="1:8" x14ac:dyDescent="0.35">
      <c r="A31" s="3" t="s">
        <v>2523</v>
      </c>
      <c r="B31" s="3" t="s">
        <v>42</v>
      </c>
      <c r="C31" s="3" t="s">
        <v>2524</v>
      </c>
      <c r="D31" s="3" t="s">
        <v>23</v>
      </c>
      <c r="E31" s="3"/>
      <c r="F31" s="3"/>
      <c r="G31" s="3" t="s">
        <v>16</v>
      </c>
      <c r="H31" s="3" t="s">
        <v>1736</v>
      </c>
    </row>
    <row r="32" spans="1:8" x14ac:dyDescent="0.35">
      <c r="A32" s="3" t="s">
        <v>2523</v>
      </c>
      <c r="B32" s="3" t="s">
        <v>42</v>
      </c>
      <c r="C32" s="3" t="s">
        <v>2524</v>
      </c>
      <c r="D32" s="3" t="s">
        <v>25</v>
      </c>
      <c r="E32" s="3"/>
      <c r="F32" s="3"/>
      <c r="G32" s="3" t="s">
        <v>16</v>
      </c>
      <c r="H32" s="3" t="s">
        <v>1736</v>
      </c>
    </row>
    <row r="33" spans="1:8" x14ac:dyDescent="0.35">
      <c r="A33" s="3" t="s">
        <v>2523</v>
      </c>
      <c r="B33" s="3" t="s">
        <v>42</v>
      </c>
      <c r="C33" s="3" t="s">
        <v>2524</v>
      </c>
      <c r="D33" s="3" t="s">
        <v>27</v>
      </c>
      <c r="E33" s="3"/>
      <c r="F33" s="3"/>
      <c r="G33" s="3" t="s">
        <v>16</v>
      </c>
      <c r="H33" s="3" t="s">
        <v>1736</v>
      </c>
    </row>
    <row r="34" spans="1:8" x14ac:dyDescent="0.35">
      <c r="A34" s="3" t="s">
        <v>2523</v>
      </c>
      <c r="B34" s="3" t="s">
        <v>42</v>
      </c>
      <c r="C34" s="3" t="s">
        <v>2524</v>
      </c>
      <c r="D34" s="3" t="s">
        <v>56</v>
      </c>
      <c r="E34" s="3"/>
      <c r="F34" s="3"/>
      <c r="G34" s="3" t="s">
        <v>16</v>
      </c>
      <c r="H34" s="3" t="s">
        <v>1736</v>
      </c>
    </row>
    <row r="35" spans="1:8" x14ac:dyDescent="0.35">
      <c r="A35" s="3" t="s">
        <v>2523</v>
      </c>
      <c r="B35" s="3" t="s">
        <v>42</v>
      </c>
      <c r="C35" s="3" t="s">
        <v>2524</v>
      </c>
      <c r="D35" s="3" t="s">
        <v>24</v>
      </c>
      <c r="E35" s="3"/>
      <c r="F35" s="3"/>
      <c r="G35" s="3" t="s">
        <v>16</v>
      </c>
      <c r="H35" s="3" t="s">
        <v>1736</v>
      </c>
    </row>
    <row r="36" spans="1:8" x14ac:dyDescent="0.35">
      <c r="A36" s="3" t="s">
        <v>2742</v>
      </c>
      <c r="B36" s="3" t="s">
        <v>42</v>
      </c>
      <c r="C36" s="3" t="s">
        <v>2741</v>
      </c>
      <c r="D36" s="3" t="s">
        <v>12</v>
      </c>
      <c r="E36" s="3"/>
      <c r="F36" s="3"/>
      <c r="G36" s="3" t="s">
        <v>16</v>
      </c>
      <c r="H36" s="3" t="s">
        <v>409</v>
      </c>
    </row>
    <row r="37" spans="1:8" x14ac:dyDescent="0.35">
      <c r="A37" s="3" t="s">
        <v>2742</v>
      </c>
      <c r="B37" s="3" t="s">
        <v>42</v>
      </c>
      <c r="C37" s="3" t="s">
        <v>2741</v>
      </c>
      <c r="D37" s="3" t="s">
        <v>15</v>
      </c>
      <c r="E37" s="3" t="s">
        <v>16</v>
      </c>
      <c r="F37" s="3" t="s">
        <v>2743</v>
      </c>
      <c r="G37" s="3" t="s">
        <v>16</v>
      </c>
      <c r="H37" s="3" t="s">
        <v>409</v>
      </c>
    </row>
    <row r="38" spans="1:8" x14ac:dyDescent="0.35">
      <c r="A38" s="3" t="s">
        <v>2525</v>
      </c>
      <c r="B38" s="3" t="s">
        <v>20</v>
      </c>
      <c r="C38" s="3" t="s">
        <v>2849</v>
      </c>
      <c r="D38" s="3" t="s">
        <v>15</v>
      </c>
      <c r="E38" s="3" t="s">
        <v>16</v>
      </c>
      <c r="F38" s="3" t="s">
        <v>2850</v>
      </c>
      <c r="G38" s="3" t="s">
        <v>16</v>
      </c>
      <c r="H38" s="3" t="s">
        <v>409</v>
      </c>
    </row>
    <row r="39" spans="1:8" x14ac:dyDescent="0.35">
      <c r="A39" s="3" t="s">
        <v>2525</v>
      </c>
      <c r="B39" s="3" t="s">
        <v>20</v>
      </c>
      <c r="C39" s="3" t="s">
        <v>2849</v>
      </c>
      <c r="D39" s="3" t="s">
        <v>24</v>
      </c>
      <c r="E39" s="3"/>
      <c r="F39" s="3"/>
      <c r="G39" s="3" t="s">
        <v>16</v>
      </c>
      <c r="H39" s="3" t="s">
        <v>409</v>
      </c>
    </row>
    <row r="40" spans="1:8" x14ac:dyDescent="0.35">
      <c r="A40" s="3" t="s">
        <v>2525</v>
      </c>
      <c r="B40" s="3" t="s">
        <v>42</v>
      </c>
      <c r="C40" s="3" t="s">
        <v>2526</v>
      </c>
      <c r="D40" s="3" t="s">
        <v>12</v>
      </c>
      <c r="E40" s="3"/>
      <c r="F40" s="3"/>
      <c r="G40" s="3" t="s">
        <v>16</v>
      </c>
      <c r="H40" s="3" t="s">
        <v>409</v>
      </c>
    </row>
    <row r="41" spans="1:8" x14ac:dyDescent="0.35">
      <c r="A41" s="3" t="s">
        <v>2525</v>
      </c>
      <c r="B41" s="3" t="s">
        <v>42</v>
      </c>
      <c r="C41" s="3" t="s">
        <v>2526</v>
      </c>
      <c r="D41" s="3" t="s">
        <v>15</v>
      </c>
      <c r="E41" s="3" t="s">
        <v>16</v>
      </c>
      <c r="F41" s="3" t="s">
        <v>2527</v>
      </c>
      <c r="G41" s="3" t="s">
        <v>16</v>
      </c>
      <c r="H41" s="3" t="s">
        <v>409</v>
      </c>
    </row>
    <row r="42" spans="1:8" x14ac:dyDescent="0.35">
      <c r="A42" s="3" t="s">
        <v>2744</v>
      </c>
      <c r="B42" s="3" t="s">
        <v>42</v>
      </c>
      <c r="C42" s="3" t="s">
        <v>2745</v>
      </c>
      <c r="D42" s="3" t="s">
        <v>12</v>
      </c>
      <c r="E42" s="3"/>
      <c r="F42" s="3"/>
      <c r="G42" s="3" t="s">
        <v>16</v>
      </c>
      <c r="H42" s="3" t="s">
        <v>409</v>
      </c>
    </row>
    <row r="43" spans="1:8" x14ac:dyDescent="0.35">
      <c r="A43" s="3" t="s">
        <v>2744</v>
      </c>
      <c r="B43" s="3" t="s">
        <v>42</v>
      </c>
      <c r="C43" s="3" t="s">
        <v>2745</v>
      </c>
      <c r="D43" s="3" t="s">
        <v>23</v>
      </c>
      <c r="E43" s="3"/>
      <c r="F43" s="3"/>
      <c r="G43" s="3" t="s">
        <v>16</v>
      </c>
      <c r="H43" s="3" t="s">
        <v>409</v>
      </c>
    </row>
    <row r="44" spans="1:8" x14ac:dyDescent="0.35">
      <c r="A44" s="3" t="s">
        <v>2744</v>
      </c>
      <c r="B44" s="3" t="s">
        <v>42</v>
      </c>
      <c r="C44" s="3" t="s">
        <v>2745</v>
      </c>
      <c r="D44" s="3" t="s">
        <v>27</v>
      </c>
      <c r="E44" s="3"/>
      <c r="F44" s="3"/>
      <c r="G44" s="3" t="s">
        <v>16</v>
      </c>
      <c r="H44" s="3" t="s">
        <v>409</v>
      </c>
    </row>
    <row r="45" spans="1:8" x14ac:dyDescent="0.35">
      <c r="A45" s="3" t="s">
        <v>2744</v>
      </c>
      <c r="B45" s="3" t="s">
        <v>42</v>
      </c>
      <c r="C45" s="3" t="s">
        <v>2745</v>
      </c>
      <c r="D45" s="3" t="s">
        <v>77</v>
      </c>
      <c r="E45" s="3" t="s">
        <v>16</v>
      </c>
      <c r="F45" s="3" t="s">
        <v>2746</v>
      </c>
      <c r="G45" s="3" t="s">
        <v>16</v>
      </c>
      <c r="H45" s="3" t="s">
        <v>409</v>
      </c>
    </row>
    <row r="46" spans="1:8" x14ac:dyDescent="0.35">
      <c r="A46" s="3" t="s">
        <v>2744</v>
      </c>
      <c r="B46" s="3" t="s">
        <v>42</v>
      </c>
      <c r="C46" s="3" t="s">
        <v>2745</v>
      </c>
      <c r="D46" s="3" t="s">
        <v>98</v>
      </c>
      <c r="E46" s="3"/>
      <c r="F46" s="3"/>
      <c r="G46" s="3" t="s">
        <v>16</v>
      </c>
      <c r="H46" s="3" t="s">
        <v>409</v>
      </c>
    </row>
    <row r="47" spans="1:8" x14ac:dyDescent="0.35">
      <c r="A47" s="3" t="s">
        <v>2077</v>
      </c>
      <c r="B47" s="3" t="s">
        <v>42</v>
      </c>
      <c r="C47" s="3" t="s">
        <v>2078</v>
      </c>
      <c r="D47" s="3" t="s">
        <v>12</v>
      </c>
      <c r="E47" s="3"/>
      <c r="F47" s="3" t="s">
        <v>2327</v>
      </c>
      <c r="G47" s="3"/>
      <c r="H47" s="3"/>
    </row>
    <row r="48" spans="1:8" x14ac:dyDescent="0.35">
      <c r="A48" s="3" t="s">
        <v>2077</v>
      </c>
      <c r="B48" s="3" t="s">
        <v>42</v>
      </c>
      <c r="C48" s="3" t="s">
        <v>2078</v>
      </c>
      <c r="D48" s="3" t="s">
        <v>23</v>
      </c>
      <c r="E48" s="3" t="s">
        <v>13</v>
      </c>
      <c r="F48" s="3" t="s">
        <v>2079</v>
      </c>
      <c r="G48" s="3"/>
      <c r="H48" s="3"/>
    </row>
    <row r="49" spans="1:8" x14ac:dyDescent="0.35">
      <c r="A49" s="3" t="s">
        <v>2077</v>
      </c>
      <c r="B49" s="3" t="s">
        <v>39</v>
      </c>
      <c r="C49" s="3" t="s">
        <v>2080</v>
      </c>
      <c r="D49" s="3" t="s">
        <v>12</v>
      </c>
      <c r="E49" s="3"/>
      <c r="F49" s="3"/>
      <c r="G49" s="3"/>
      <c r="H49" s="3"/>
    </row>
    <row r="50" spans="1:8" x14ac:dyDescent="0.35">
      <c r="A50" s="3" t="s">
        <v>2077</v>
      </c>
      <c r="B50" s="3" t="s">
        <v>39</v>
      </c>
      <c r="C50" s="3" t="s">
        <v>2080</v>
      </c>
      <c r="D50" s="3" t="s">
        <v>56</v>
      </c>
      <c r="E50" s="3" t="s">
        <v>13</v>
      </c>
      <c r="F50" s="3" t="s">
        <v>2081</v>
      </c>
      <c r="G50" s="3"/>
      <c r="H50" s="3"/>
    </row>
    <row r="51" spans="1:8" x14ac:dyDescent="0.35">
      <c r="A51" s="3" t="s">
        <v>2077</v>
      </c>
      <c r="B51" s="3" t="s">
        <v>39</v>
      </c>
      <c r="C51" s="3" t="s">
        <v>2080</v>
      </c>
      <c r="D51" s="3" t="s">
        <v>26</v>
      </c>
      <c r="E51" s="3"/>
      <c r="F51" s="3"/>
      <c r="G51" s="3"/>
      <c r="H51" s="3"/>
    </row>
    <row r="52" spans="1:8" x14ac:dyDescent="0.35">
      <c r="A52" s="3" t="s">
        <v>2557</v>
      </c>
      <c r="B52" s="3" t="s">
        <v>42</v>
      </c>
      <c r="C52" s="3" t="s">
        <v>2939</v>
      </c>
      <c r="D52" s="3" t="s">
        <v>12</v>
      </c>
      <c r="E52" s="3"/>
      <c r="F52" s="3"/>
      <c r="G52" s="3"/>
      <c r="H52" s="3"/>
    </row>
    <row r="53" spans="1:8" x14ac:dyDescent="0.35">
      <c r="A53" s="3" t="s">
        <v>2557</v>
      </c>
      <c r="B53" s="3" t="s">
        <v>42</v>
      </c>
      <c r="C53" s="3" t="s">
        <v>2939</v>
      </c>
      <c r="D53" s="3" t="s">
        <v>44</v>
      </c>
      <c r="E53" s="3"/>
      <c r="F53" s="3"/>
      <c r="G53" s="3"/>
      <c r="H53" s="3"/>
    </row>
    <row r="54" spans="1:8" x14ac:dyDescent="0.35">
      <c r="A54" s="3" t="s">
        <v>2557</v>
      </c>
      <c r="B54" s="3" t="s">
        <v>42</v>
      </c>
      <c r="C54" s="3" t="s">
        <v>2939</v>
      </c>
      <c r="D54" s="3" t="s">
        <v>15</v>
      </c>
      <c r="E54" s="3" t="s">
        <v>16</v>
      </c>
      <c r="F54" s="3" t="s">
        <v>2940</v>
      </c>
      <c r="G54" s="3"/>
      <c r="H54" s="3"/>
    </row>
    <row r="55" spans="1:8" x14ac:dyDescent="0.35">
      <c r="A55" s="3" t="s">
        <v>2557</v>
      </c>
      <c r="B55" s="3" t="s">
        <v>42</v>
      </c>
      <c r="C55" s="3" t="s">
        <v>2939</v>
      </c>
      <c r="D55" s="3" t="s">
        <v>29</v>
      </c>
      <c r="E55" s="3"/>
      <c r="F55" s="3"/>
      <c r="G55" s="3"/>
      <c r="H55" s="3"/>
    </row>
    <row r="56" spans="1:8" x14ac:dyDescent="0.35">
      <c r="A56" s="3" t="s">
        <v>2557</v>
      </c>
      <c r="B56" s="3" t="s">
        <v>42</v>
      </c>
      <c r="C56" s="3" t="s">
        <v>2939</v>
      </c>
      <c r="D56" s="3" t="s">
        <v>134</v>
      </c>
      <c r="E56" s="3"/>
      <c r="F56" s="3"/>
      <c r="G56" s="3"/>
      <c r="H56" s="3"/>
    </row>
    <row r="57" spans="1:8" x14ac:dyDescent="0.35">
      <c r="A57" s="3" t="s">
        <v>2557</v>
      </c>
      <c r="B57" s="3" t="s">
        <v>20</v>
      </c>
      <c r="C57" s="3" t="s">
        <v>2558</v>
      </c>
      <c r="D57" s="3" t="s">
        <v>12</v>
      </c>
      <c r="E57" s="3"/>
      <c r="F57" s="3"/>
      <c r="G57" s="3"/>
      <c r="H57" s="3"/>
    </row>
    <row r="58" spans="1:8" x14ac:dyDescent="0.35">
      <c r="A58" s="3" t="s">
        <v>2557</v>
      </c>
      <c r="B58" s="3" t="s">
        <v>20</v>
      </c>
      <c r="C58" s="3" t="s">
        <v>2558</v>
      </c>
      <c r="D58" s="3" t="s">
        <v>23</v>
      </c>
      <c r="E58" s="3"/>
      <c r="F58" s="3"/>
      <c r="G58" s="3"/>
      <c r="H58" s="3"/>
    </row>
    <row r="59" spans="1:8" x14ac:dyDescent="0.35">
      <c r="A59" s="3" t="s">
        <v>2557</v>
      </c>
      <c r="B59" s="3" t="s">
        <v>20</v>
      </c>
      <c r="C59" s="3" t="s">
        <v>2558</v>
      </c>
      <c r="D59" s="3" t="s">
        <v>27</v>
      </c>
      <c r="E59" s="3"/>
      <c r="F59" s="3"/>
      <c r="G59" s="3"/>
      <c r="H59" s="3"/>
    </row>
    <row r="60" spans="1:8" x14ac:dyDescent="0.35">
      <c r="A60" s="3" t="s">
        <v>2557</v>
      </c>
      <c r="B60" s="3" t="s">
        <v>20</v>
      </c>
      <c r="C60" s="3" t="s">
        <v>2558</v>
      </c>
      <c r="D60" s="3" t="s">
        <v>87</v>
      </c>
      <c r="E60" s="3"/>
      <c r="F60" s="3"/>
      <c r="G60" s="3"/>
      <c r="H60" s="3"/>
    </row>
    <row r="61" spans="1:8" x14ac:dyDescent="0.35">
      <c r="A61" s="3" t="s">
        <v>2557</v>
      </c>
      <c r="B61" s="3" t="s">
        <v>20</v>
      </c>
      <c r="C61" s="3" t="s">
        <v>2558</v>
      </c>
      <c r="D61" s="3" t="s">
        <v>56</v>
      </c>
      <c r="E61" s="3"/>
      <c r="F61" s="3"/>
      <c r="G61" s="3"/>
      <c r="H61" s="3"/>
    </row>
    <row r="62" spans="1:8" x14ac:dyDescent="0.35">
      <c r="A62" s="3" t="s">
        <v>2557</v>
      </c>
      <c r="B62" s="3" t="s">
        <v>20</v>
      </c>
      <c r="C62" s="3" t="s">
        <v>2558</v>
      </c>
      <c r="D62" s="3" t="s">
        <v>24</v>
      </c>
      <c r="E62" s="3"/>
      <c r="F62" s="3"/>
      <c r="G62" s="3"/>
      <c r="H62" s="3"/>
    </row>
    <row r="63" spans="1:8" x14ac:dyDescent="0.35">
      <c r="A63" s="3" t="s">
        <v>2281</v>
      </c>
      <c r="B63" s="3" t="s">
        <v>42</v>
      </c>
      <c r="C63" s="3" t="s">
        <v>2282</v>
      </c>
      <c r="D63" s="3" t="s">
        <v>12</v>
      </c>
      <c r="E63" s="3"/>
      <c r="F63" s="3"/>
      <c r="G63" s="3"/>
      <c r="H63" s="3"/>
    </row>
    <row r="64" spans="1:8" x14ac:dyDescent="0.35">
      <c r="A64" s="3" t="s">
        <v>2281</v>
      </c>
      <c r="B64" s="3" t="s">
        <v>42</v>
      </c>
      <c r="C64" s="3" t="s">
        <v>2282</v>
      </c>
      <c r="D64" s="3" t="s">
        <v>36</v>
      </c>
      <c r="E64" s="3"/>
      <c r="F64" s="3"/>
      <c r="G64" s="3"/>
      <c r="H64" s="3"/>
    </row>
    <row r="65" spans="1:8" x14ac:dyDescent="0.35">
      <c r="A65" s="3" t="s">
        <v>2281</v>
      </c>
      <c r="B65" s="3" t="s">
        <v>42</v>
      </c>
      <c r="C65" s="3" t="s">
        <v>2282</v>
      </c>
      <c r="D65" s="3" t="s">
        <v>27</v>
      </c>
      <c r="E65" s="3"/>
      <c r="F65" s="3"/>
      <c r="G65" s="3"/>
      <c r="H65" s="3"/>
    </row>
    <row r="66" spans="1:8" x14ac:dyDescent="0.35">
      <c r="A66" s="3" t="s">
        <v>2281</v>
      </c>
      <c r="B66" s="3" t="s">
        <v>42</v>
      </c>
      <c r="C66" s="3" t="s">
        <v>2282</v>
      </c>
      <c r="D66" s="3" t="s">
        <v>87</v>
      </c>
      <c r="E66" s="3"/>
      <c r="F66" s="3"/>
      <c r="G66" s="3"/>
      <c r="H66" s="3"/>
    </row>
    <row r="67" spans="1:8" x14ac:dyDescent="0.35">
      <c r="A67" s="3" t="s">
        <v>2281</v>
      </c>
      <c r="B67" s="3" t="s">
        <v>42</v>
      </c>
      <c r="C67" s="3" t="s">
        <v>2282</v>
      </c>
      <c r="D67" s="3" t="s">
        <v>98</v>
      </c>
      <c r="E67" s="3"/>
      <c r="F67" s="3"/>
      <c r="G67" s="3"/>
      <c r="H67" s="3"/>
    </row>
    <row r="68" spans="1:8" x14ac:dyDescent="0.35">
      <c r="A68" s="3" t="s">
        <v>2281</v>
      </c>
      <c r="B68" s="3" t="s">
        <v>42</v>
      </c>
      <c r="C68" s="3" t="s">
        <v>2282</v>
      </c>
      <c r="D68" s="3" t="s">
        <v>15</v>
      </c>
      <c r="E68" s="3" t="s">
        <v>16</v>
      </c>
      <c r="F68" s="3" t="s">
        <v>2283</v>
      </c>
      <c r="G68" s="3"/>
      <c r="H68" s="3"/>
    </row>
    <row r="69" spans="1:8" x14ac:dyDescent="0.35">
      <c r="A69" s="3" t="s">
        <v>2281</v>
      </c>
      <c r="B69" s="3" t="s">
        <v>42</v>
      </c>
      <c r="C69" s="3" t="s">
        <v>2282</v>
      </c>
      <c r="D69" s="3" t="s">
        <v>24</v>
      </c>
      <c r="E69" s="3"/>
      <c r="F69" s="3"/>
      <c r="G69" s="3"/>
      <c r="H69" s="3"/>
    </row>
    <row r="70" spans="1:8" x14ac:dyDescent="0.35">
      <c r="A70" s="3" t="s">
        <v>2281</v>
      </c>
      <c r="B70" s="3" t="s">
        <v>42</v>
      </c>
      <c r="C70" s="3" t="s">
        <v>2282</v>
      </c>
      <c r="D70" s="3" t="s">
        <v>82</v>
      </c>
      <c r="E70" s="3"/>
      <c r="F70" s="3"/>
      <c r="G70" s="3"/>
      <c r="H70" s="3"/>
    </row>
    <row r="71" spans="1:8" x14ac:dyDescent="0.35">
      <c r="A71" s="3" t="s">
        <v>2082</v>
      </c>
      <c r="B71" s="3" t="s">
        <v>42</v>
      </c>
      <c r="C71" s="3" t="s">
        <v>2083</v>
      </c>
      <c r="D71" s="3" t="s">
        <v>12</v>
      </c>
      <c r="E71" s="3"/>
      <c r="F71" s="3"/>
      <c r="G71" s="3"/>
      <c r="H71" s="3"/>
    </row>
    <row r="72" spans="1:8" x14ac:dyDescent="0.35">
      <c r="A72" s="3" t="s">
        <v>2082</v>
      </c>
      <c r="B72" s="3" t="s">
        <v>42</v>
      </c>
      <c r="C72" s="3" t="s">
        <v>2083</v>
      </c>
      <c r="D72" s="3" t="s">
        <v>27</v>
      </c>
      <c r="E72" s="3"/>
      <c r="F72" s="3"/>
      <c r="G72" s="3"/>
      <c r="H72" s="3"/>
    </row>
    <row r="73" spans="1:8" x14ac:dyDescent="0.35">
      <c r="A73" s="3" t="s">
        <v>2082</v>
      </c>
      <c r="B73" s="3" t="s">
        <v>42</v>
      </c>
      <c r="C73" s="3" t="s">
        <v>2083</v>
      </c>
      <c r="D73" s="3" t="s">
        <v>87</v>
      </c>
      <c r="E73" s="3" t="s">
        <v>13</v>
      </c>
      <c r="F73" s="3" t="s">
        <v>2084</v>
      </c>
      <c r="G73" s="3"/>
      <c r="H73" s="3"/>
    </row>
    <row r="74" spans="1:8" x14ac:dyDescent="0.35">
      <c r="A74" s="3" t="s">
        <v>2082</v>
      </c>
      <c r="B74" s="3" t="s">
        <v>42</v>
      </c>
      <c r="C74" s="3" t="s">
        <v>2083</v>
      </c>
      <c r="D74" s="3" t="s">
        <v>56</v>
      </c>
      <c r="E74" s="3" t="s">
        <v>13</v>
      </c>
      <c r="F74" s="3" t="s">
        <v>2085</v>
      </c>
      <c r="G74" s="3"/>
      <c r="H74" s="3"/>
    </row>
    <row r="75" spans="1:8" x14ac:dyDescent="0.35">
      <c r="A75" s="3" t="s">
        <v>2082</v>
      </c>
      <c r="B75" s="3" t="s">
        <v>42</v>
      </c>
      <c r="C75" s="3" t="s">
        <v>2083</v>
      </c>
      <c r="D75" s="3" t="s">
        <v>107</v>
      </c>
      <c r="E75" s="3" t="s">
        <v>13</v>
      </c>
      <c r="F75" s="3" t="s">
        <v>2086</v>
      </c>
      <c r="G75" s="3"/>
      <c r="H75" s="3"/>
    </row>
    <row r="76" spans="1:8" x14ac:dyDescent="0.35">
      <c r="A76" s="3" t="s">
        <v>2082</v>
      </c>
      <c r="B76" s="3" t="s">
        <v>20</v>
      </c>
      <c r="C76" s="3" t="s">
        <v>2087</v>
      </c>
      <c r="D76" s="3" t="s">
        <v>87</v>
      </c>
      <c r="E76" s="3"/>
      <c r="F76" s="3"/>
      <c r="G76" s="3"/>
      <c r="H76" s="3"/>
    </row>
    <row r="77" spans="1:8" x14ac:dyDescent="0.35">
      <c r="A77" s="3" t="s">
        <v>2082</v>
      </c>
      <c r="B77" s="3" t="s">
        <v>20</v>
      </c>
      <c r="C77" s="3" t="s">
        <v>2087</v>
      </c>
      <c r="D77" s="3" t="s">
        <v>15</v>
      </c>
      <c r="E77" s="3" t="s">
        <v>13</v>
      </c>
      <c r="F77" s="3" t="s">
        <v>2088</v>
      </c>
      <c r="G77" s="3"/>
      <c r="H77" s="3"/>
    </row>
    <row r="78" spans="1:8" x14ac:dyDescent="0.35">
      <c r="A78" s="3" t="s">
        <v>2082</v>
      </c>
      <c r="B78" s="3" t="s">
        <v>20</v>
      </c>
      <c r="C78" s="3" t="s">
        <v>2089</v>
      </c>
      <c r="D78" s="3" t="s">
        <v>12</v>
      </c>
      <c r="E78" s="3"/>
      <c r="F78" s="3"/>
      <c r="G78" s="3"/>
      <c r="H78" s="3"/>
    </row>
    <row r="79" spans="1:8" x14ac:dyDescent="0.35">
      <c r="A79" s="3" t="s">
        <v>2082</v>
      </c>
      <c r="B79" s="3" t="s">
        <v>20</v>
      </c>
      <c r="C79" s="3" t="s">
        <v>2089</v>
      </c>
      <c r="D79" s="3" t="s">
        <v>31</v>
      </c>
      <c r="E79" s="3"/>
      <c r="F79" s="3"/>
      <c r="G79" s="3"/>
      <c r="H79" s="3"/>
    </row>
    <row r="80" spans="1:8" x14ac:dyDescent="0.35">
      <c r="A80" s="3" t="s">
        <v>2082</v>
      </c>
      <c r="B80" s="3" t="s">
        <v>20</v>
      </c>
      <c r="C80" s="3" t="s">
        <v>2089</v>
      </c>
      <c r="D80" s="3" t="s">
        <v>56</v>
      </c>
      <c r="E80" s="3" t="s">
        <v>13</v>
      </c>
      <c r="F80" s="3" t="s">
        <v>2877</v>
      </c>
      <c r="G80" s="3"/>
      <c r="H80" s="3"/>
    </row>
    <row r="81" spans="1:8" x14ac:dyDescent="0.35">
      <c r="A81" s="3" t="s">
        <v>2548</v>
      </c>
      <c r="B81" s="3" t="s">
        <v>42</v>
      </c>
      <c r="C81" s="3" t="s">
        <v>2549</v>
      </c>
      <c r="D81" s="3" t="s">
        <v>27</v>
      </c>
      <c r="E81" s="3"/>
      <c r="F81" s="3"/>
      <c r="G81" s="3" t="s">
        <v>16</v>
      </c>
      <c r="H81" s="3" t="s">
        <v>409</v>
      </c>
    </row>
    <row r="82" spans="1:8" x14ac:dyDescent="0.35">
      <c r="A82" s="3" t="s">
        <v>2548</v>
      </c>
      <c r="B82" s="3" t="s">
        <v>42</v>
      </c>
      <c r="C82" s="3" t="s">
        <v>2549</v>
      </c>
      <c r="D82" s="3" t="s">
        <v>15</v>
      </c>
      <c r="E82" s="3"/>
      <c r="F82" s="3"/>
      <c r="G82" s="3" t="s">
        <v>16</v>
      </c>
      <c r="H82" s="3" t="s">
        <v>409</v>
      </c>
    </row>
    <row r="83" spans="1:8" x14ac:dyDescent="0.35">
      <c r="A83" s="3" t="s">
        <v>2548</v>
      </c>
      <c r="B83" s="3" t="s">
        <v>42</v>
      </c>
      <c r="C83" s="3" t="s">
        <v>2549</v>
      </c>
      <c r="D83" s="3" t="s">
        <v>24</v>
      </c>
      <c r="E83" s="3"/>
      <c r="F83" s="3"/>
      <c r="G83" s="3" t="s">
        <v>16</v>
      </c>
      <c r="H83" s="3" t="s">
        <v>409</v>
      </c>
    </row>
    <row r="84" spans="1:8" x14ac:dyDescent="0.35">
      <c r="A84" s="3" t="s">
        <v>2090</v>
      </c>
      <c r="B84" s="3" t="s">
        <v>20</v>
      </c>
      <c r="C84" s="3" t="s">
        <v>2091</v>
      </c>
      <c r="D84" s="3" t="s">
        <v>87</v>
      </c>
      <c r="E84" s="3"/>
      <c r="F84" s="3"/>
      <c r="G84" s="3"/>
      <c r="H84" s="3"/>
    </row>
    <row r="85" spans="1:8" x14ac:dyDescent="0.35">
      <c r="A85" s="3" t="s">
        <v>2090</v>
      </c>
      <c r="B85" s="3" t="s">
        <v>20</v>
      </c>
      <c r="C85" s="3" t="s">
        <v>2091</v>
      </c>
      <c r="D85" s="3" t="s">
        <v>98</v>
      </c>
      <c r="E85" s="3"/>
      <c r="F85" s="3"/>
      <c r="G85" s="3"/>
      <c r="H85" s="3"/>
    </row>
    <row r="86" spans="1:8" x14ac:dyDescent="0.35">
      <c r="A86" s="3" t="s">
        <v>2090</v>
      </c>
      <c r="B86" s="3" t="s">
        <v>20</v>
      </c>
      <c r="C86" s="3" t="s">
        <v>2091</v>
      </c>
      <c r="D86" s="3" t="s">
        <v>15</v>
      </c>
      <c r="E86" s="3" t="s">
        <v>13</v>
      </c>
      <c r="F86" s="3" t="s">
        <v>2092</v>
      </c>
      <c r="G86" s="3"/>
      <c r="H86" s="3"/>
    </row>
    <row r="87" spans="1:8" x14ac:dyDescent="0.35">
      <c r="A87" s="3" t="s">
        <v>2090</v>
      </c>
      <c r="B87" s="3" t="s">
        <v>20</v>
      </c>
      <c r="C87" s="3" t="s">
        <v>2091</v>
      </c>
      <c r="D87" s="3" t="s">
        <v>29</v>
      </c>
      <c r="E87" s="3"/>
      <c r="F87" s="3" t="s">
        <v>2315</v>
      </c>
      <c r="G87" s="3"/>
      <c r="H87" s="3"/>
    </row>
    <row r="88" spans="1:8" x14ac:dyDescent="0.35">
      <c r="A88" s="3" t="s">
        <v>2090</v>
      </c>
      <c r="B88" s="3" t="s">
        <v>20</v>
      </c>
      <c r="C88" s="3" t="s">
        <v>2091</v>
      </c>
      <c r="D88" s="3" t="s">
        <v>24</v>
      </c>
      <c r="E88" s="3"/>
      <c r="F88" s="3"/>
      <c r="G88" s="3"/>
      <c r="H88" s="3"/>
    </row>
    <row r="89" spans="1:8" x14ac:dyDescent="0.35">
      <c r="A89" s="3" t="s">
        <v>2090</v>
      </c>
      <c r="B89" s="3" t="s">
        <v>20</v>
      </c>
      <c r="C89" s="3" t="s">
        <v>2091</v>
      </c>
      <c r="D89" s="3" t="s">
        <v>134</v>
      </c>
      <c r="E89" s="3"/>
      <c r="F89" s="3"/>
      <c r="G89" s="3"/>
      <c r="H89" s="3"/>
    </row>
    <row r="90" spans="1:8" x14ac:dyDescent="0.35">
      <c r="A90" s="3" t="s">
        <v>2090</v>
      </c>
      <c r="B90" s="3" t="s">
        <v>20</v>
      </c>
      <c r="C90" s="3" t="s">
        <v>2091</v>
      </c>
      <c r="D90" s="3" t="s">
        <v>107</v>
      </c>
      <c r="E90" s="3" t="s">
        <v>13</v>
      </c>
      <c r="F90" s="3" t="s">
        <v>2093</v>
      </c>
      <c r="G90" s="3"/>
      <c r="H90" s="3"/>
    </row>
    <row r="91" spans="1:8" x14ac:dyDescent="0.35">
      <c r="A91" s="3" t="s">
        <v>2090</v>
      </c>
      <c r="B91" s="3" t="s">
        <v>42</v>
      </c>
      <c r="C91" s="3" t="s">
        <v>2094</v>
      </c>
      <c r="D91" s="3" t="s">
        <v>12</v>
      </c>
      <c r="E91" s="3"/>
      <c r="F91" s="3" t="s">
        <v>2327</v>
      </c>
      <c r="G91" s="3"/>
      <c r="H91" s="3"/>
    </row>
    <row r="92" spans="1:8" x14ac:dyDescent="0.35">
      <c r="A92" s="3" t="s">
        <v>2090</v>
      </c>
      <c r="B92" s="3" t="s">
        <v>42</v>
      </c>
      <c r="C92" s="3" t="s">
        <v>2094</v>
      </c>
      <c r="D92" s="3" t="s">
        <v>23</v>
      </c>
      <c r="E92" s="3" t="s">
        <v>16</v>
      </c>
      <c r="F92" s="3" t="s">
        <v>2095</v>
      </c>
      <c r="G92" s="3"/>
      <c r="H92" s="3"/>
    </row>
    <row r="93" spans="1:8" x14ac:dyDescent="0.35">
      <c r="A93" s="3" t="s">
        <v>2090</v>
      </c>
      <c r="B93" s="3" t="s">
        <v>42</v>
      </c>
      <c r="C93" s="3" t="s">
        <v>2094</v>
      </c>
      <c r="D93" s="3" t="s">
        <v>25</v>
      </c>
      <c r="E93" s="3" t="s">
        <v>13</v>
      </c>
      <c r="F93" s="3" t="s">
        <v>2096</v>
      </c>
      <c r="G93" s="3"/>
      <c r="H93" s="3"/>
    </row>
    <row r="94" spans="1:8" x14ac:dyDescent="0.35">
      <c r="A94" s="3" t="s">
        <v>2090</v>
      </c>
      <c r="B94" s="3" t="s">
        <v>42</v>
      </c>
      <c r="C94" s="3" t="s">
        <v>2094</v>
      </c>
      <c r="D94" s="3" t="s">
        <v>27</v>
      </c>
      <c r="E94" s="3" t="s">
        <v>13</v>
      </c>
      <c r="F94" s="3" t="s">
        <v>2098</v>
      </c>
      <c r="G94" s="3"/>
      <c r="H94" s="3"/>
    </row>
    <row r="95" spans="1:8" x14ac:dyDescent="0.35">
      <c r="A95" s="3" t="s">
        <v>2090</v>
      </c>
      <c r="B95" s="3" t="s">
        <v>42</v>
      </c>
      <c r="C95" s="3" t="s">
        <v>2094</v>
      </c>
      <c r="D95" s="3" t="s">
        <v>28</v>
      </c>
      <c r="E95" s="3"/>
      <c r="F95" s="3"/>
      <c r="G95" s="3"/>
      <c r="H95" s="3"/>
    </row>
    <row r="96" spans="1:8" x14ac:dyDescent="0.35">
      <c r="A96" s="3" t="s">
        <v>2090</v>
      </c>
      <c r="B96" s="3" t="s">
        <v>42</v>
      </c>
      <c r="C96" s="3" t="s">
        <v>2094</v>
      </c>
      <c r="D96" s="3" t="s">
        <v>87</v>
      </c>
      <c r="E96" s="3" t="s">
        <v>13</v>
      </c>
      <c r="F96" s="3" t="s">
        <v>2097</v>
      </c>
      <c r="G96" s="3"/>
      <c r="H96" s="3"/>
    </row>
    <row r="97" spans="1:8" x14ac:dyDescent="0.35">
      <c r="A97" s="3" t="s">
        <v>2090</v>
      </c>
      <c r="B97" s="3" t="s">
        <v>42</v>
      </c>
      <c r="C97" s="3" t="s">
        <v>2094</v>
      </c>
      <c r="D97" s="3" t="s">
        <v>15</v>
      </c>
      <c r="E97" s="3" t="s">
        <v>13</v>
      </c>
      <c r="F97" s="3" t="s">
        <v>2099</v>
      </c>
      <c r="G97" s="3"/>
      <c r="H97" s="3"/>
    </row>
    <row r="98" spans="1:8" x14ac:dyDescent="0.35">
      <c r="A98" s="3" t="s">
        <v>2090</v>
      </c>
      <c r="B98" s="3" t="s">
        <v>42</v>
      </c>
      <c r="C98" s="3" t="s">
        <v>2094</v>
      </c>
      <c r="D98" s="3" t="s">
        <v>134</v>
      </c>
      <c r="E98" s="3" t="s">
        <v>13</v>
      </c>
      <c r="F98" s="3" t="s">
        <v>2100</v>
      </c>
      <c r="G98" s="3"/>
      <c r="H98" s="3"/>
    </row>
    <row r="99" spans="1:8" x14ac:dyDescent="0.35">
      <c r="A99" s="3" t="s">
        <v>2090</v>
      </c>
      <c r="B99" s="3" t="s">
        <v>39</v>
      </c>
      <c r="C99" s="3" t="s">
        <v>2101</v>
      </c>
      <c r="D99" s="3" t="s">
        <v>23</v>
      </c>
      <c r="E99" s="3"/>
      <c r="F99" s="3"/>
      <c r="G99" s="3"/>
      <c r="H99" s="3"/>
    </row>
    <row r="100" spans="1:8" x14ac:dyDescent="0.35">
      <c r="A100" s="3" t="s">
        <v>2090</v>
      </c>
      <c r="B100" s="3" t="s">
        <v>39</v>
      </c>
      <c r="C100" s="3" t="s">
        <v>2101</v>
      </c>
      <c r="D100" s="3" t="s">
        <v>27</v>
      </c>
      <c r="E100" s="3"/>
      <c r="F100" s="3"/>
      <c r="G100" s="3"/>
      <c r="H100" s="3"/>
    </row>
    <row r="101" spans="1:8" x14ac:dyDescent="0.35">
      <c r="A101" s="3" t="s">
        <v>2090</v>
      </c>
      <c r="B101" s="3" t="s">
        <v>39</v>
      </c>
      <c r="C101" s="3" t="s">
        <v>2101</v>
      </c>
      <c r="D101" s="3" t="s">
        <v>28</v>
      </c>
      <c r="E101" s="3" t="s">
        <v>13</v>
      </c>
      <c r="F101" s="3" t="s">
        <v>2102</v>
      </c>
      <c r="G101" s="3"/>
      <c r="H101" s="3"/>
    </row>
    <row r="102" spans="1:8" x14ac:dyDescent="0.35">
      <c r="A102" s="3" t="s">
        <v>2090</v>
      </c>
      <c r="B102" s="3" t="s">
        <v>39</v>
      </c>
      <c r="C102" s="3" t="s">
        <v>2101</v>
      </c>
      <c r="D102" s="3" t="s">
        <v>15</v>
      </c>
      <c r="E102" s="3"/>
      <c r="F102" s="3"/>
      <c r="G102" s="3"/>
      <c r="H102" s="3"/>
    </row>
    <row r="103" spans="1:8" x14ac:dyDescent="0.35">
      <c r="A103" s="3" t="s">
        <v>2090</v>
      </c>
      <c r="B103" s="3" t="s">
        <v>20</v>
      </c>
      <c r="C103" s="3" t="s">
        <v>2823</v>
      </c>
      <c r="D103" s="3" t="s">
        <v>23</v>
      </c>
      <c r="E103" s="3"/>
      <c r="F103" s="3"/>
      <c r="G103" s="3"/>
      <c r="H103" s="3"/>
    </row>
    <row r="104" spans="1:8" x14ac:dyDescent="0.35">
      <c r="A104" s="3" t="s">
        <v>2090</v>
      </c>
      <c r="B104" s="3" t="s">
        <v>20</v>
      </c>
      <c r="C104" s="3" t="s">
        <v>2823</v>
      </c>
      <c r="D104" s="3" t="s">
        <v>44</v>
      </c>
      <c r="E104" s="3"/>
      <c r="F104" s="3"/>
      <c r="G104" s="3"/>
      <c r="H104" s="3"/>
    </row>
    <row r="105" spans="1:8" x14ac:dyDescent="0.35">
      <c r="A105" s="3" t="s">
        <v>2090</v>
      </c>
      <c r="B105" s="3" t="s">
        <v>20</v>
      </c>
      <c r="C105" s="3" t="s">
        <v>2823</v>
      </c>
      <c r="D105" s="3" t="s">
        <v>87</v>
      </c>
      <c r="E105" s="3"/>
      <c r="F105" s="3"/>
      <c r="G105" s="3"/>
      <c r="H105" s="3"/>
    </row>
    <row r="106" spans="1:8" x14ac:dyDescent="0.35">
      <c r="A106" s="3" t="s">
        <v>2090</v>
      </c>
      <c r="B106" s="3" t="s">
        <v>20</v>
      </c>
      <c r="C106" s="3" t="s">
        <v>2823</v>
      </c>
      <c r="D106" s="3" t="s">
        <v>911</v>
      </c>
      <c r="E106" s="3"/>
      <c r="F106" s="3"/>
      <c r="G106" s="3"/>
      <c r="H106" s="3"/>
    </row>
    <row r="107" spans="1:8" x14ac:dyDescent="0.35">
      <c r="A107" s="3" t="s">
        <v>2090</v>
      </c>
      <c r="B107" s="3" t="s">
        <v>20</v>
      </c>
      <c r="C107" s="3" t="s">
        <v>2103</v>
      </c>
      <c r="D107" s="3" t="s">
        <v>12</v>
      </c>
      <c r="E107" s="3"/>
      <c r="F107" s="3"/>
      <c r="G107" s="3"/>
      <c r="H107" s="3"/>
    </row>
    <row r="108" spans="1:8" x14ac:dyDescent="0.35">
      <c r="A108" s="3" t="s">
        <v>2090</v>
      </c>
      <c r="B108" s="3" t="s">
        <v>20</v>
      </c>
      <c r="C108" s="3" t="s">
        <v>2103</v>
      </c>
      <c r="D108" s="3" t="s">
        <v>28</v>
      </c>
      <c r="E108" s="3"/>
      <c r="F108" s="3" t="s">
        <v>2356</v>
      </c>
      <c r="G108" s="3"/>
      <c r="H108" s="3"/>
    </row>
    <row r="109" spans="1:8" x14ac:dyDescent="0.35">
      <c r="A109" s="3" t="s">
        <v>2090</v>
      </c>
      <c r="B109" s="3" t="s">
        <v>20</v>
      </c>
      <c r="C109" s="3" t="s">
        <v>2103</v>
      </c>
      <c r="D109" s="3" t="s">
        <v>87</v>
      </c>
      <c r="E109" s="3"/>
      <c r="F109" s="3"/>
      <c r="G109" s="3"/>
      <c r="H109" s="3"/>
    </row>
    <row r="110" spans="1:8" x14ac:dyDescent="0.35">
      <c r="A110" s="3" t="s">
        <v>2090</v>
      </c>
      <c r="B110" s="3" t="s">
        <v>20</v>
      </c>
      <c r="C110" s="3" t="s">
        <v>2103</v>
      </c>
      <c r="D110" s="3" t="s">
        <v>15</v>
      </c>
      <c r="E110" s="3" t="s">
        <v>13</v>
      </c>
      <c r="F110" s="3" t="s">
        <v>2104</v>
      </c>
      <c r="G110" s="3"/>
      <c r="H110" s="3"/>
    </row>
    <row r="111" spans="1:8" x14ac:dyDescent="0.35">
      <c r="A111" s="3" t="s">
        <v>2090</v>
      </c>
      <c r="B111" s="3" t="s">
        <v>20</v>
      </c>
      <c r="C111" s="3" t="s">
        <v>2103</v>
      </c>
      <c r="D111" s="3" t="s">
        <v>107</v>
      </c>
      <c r="E111" s="3" t="s">
        <v>13</v>
      </c>
      <c r="F111" s="3" t="s">
        <v>2105</v>
      </c>
      <c r="G111" s="3"/>
      <c r="H111" s="3"/>
    </row>
    <row r="112" spans="1:8" x14ac:dyDescent="0.35">
      <c r="A112" s="3" t="s">
        <v>2702</v>
      </c>
      <c r="B112" s="3" t="s">
        <v>42</v>
      </c>
      <c r="C112" s="3" t="s">
        <v>2703</v>
      </c>
      <c r="D112" s="3" t="s">
        <v>12</v>
      </c>
      <c r="E112" s="3"/>
      <c r="F112" s="3"/>
      <c r="G112" s="3"/>
      <c r="H112" s="3"/>
    </row>
    <row r="113" spans="1:8" x14ac:dyDescent="0.35">
      <c r="A113" s="3" t="s">
        <v>2702</v>
      </c>
      <c r="B113" s="3" t="s">
        <v>42</v>
      </c>
      <c r="C113" s="3" t="s">
        <v>2703</v>
      </c>
      <c r="D113" s="3" t="s">
        <v>36</v>
      </c>
      <c r="E113" s="3"/>
      <c r="F113" s="3"/>
      <c r="G113" s="3"/>
      <c r="H113" s="3"/>
    </row>
    <row r="114" spans="1:8" x14ac:dyDescent="0.35">
      <c r="A114" s="3" t="s">
        <v>2702</v>
      </c>
      <c r="B114" s="3" t="s">
        <v>42</v>
      </c>
      <c r="C114" s="3" t="s">
        <v>2703</v>
      </c>
      <c r="D114" s="3" t="s">
        <v>27</v>
      </c>
      <c r="E114" s="3"/>
      <c r="F114" s="3"/>
      <c r="G114" s="3"/>
      <c r="H114" s="3"/>
    </row>
    <row r="115" spans="1:8" x14ac:dyDescent="0.35">
      <c r="A115" s="3" t="s">
        <v>2702</v>
      </c>
      <c r="B115" s="3" t="s">
        <v>42</v>
      </c>
      <c r="C115" s="3" t="s">
        <v>2703</v>
      </c>
      <c r="D115" s="3" t="s">
        <v>77</v>
      </c>
      <c r="E115" s="3"/>
      <c r="F115" s="3"/>
      <c r="G115" s="3"/>
      <c r="H115" s="3"/>
    </row>
    <row r="116" spans="1:8" x14ac:dyDescent="0.35">
      <c r="A116" s="3" t="s">
        <v>2702</v>
      </c>
      <c r="B116" s="3" t="s">
        <v>42</v>
      </c>
      <c r="C116" s="3" t="s">
        <v>2703</v>
      </c>
      <c r="D116" s="3" t="s">
        <v>44</v>
      </c>
      <c r="E116" s="3"/>
      <c r="F116" s="3"/>
      <c r="G116" s="3"/>
      <c r="H116" s="3"/>
    </row>
    <row r="117" spans="1:8" x14ac:dyDescent="0.35">
      <c r="A117" s="3" t="s">
        <v>2702</v>
      </c>
      <c r="B117" s="3" t="s">
        <v>42</v>
      </c>
      <c r="C117" s="3" t="s">
        <v>2703</v>
      </c>
      <c r="D117" s="3" t="s">
        <v>15</v>
      </c>
      <c r="E117" s="3" t="s">
        <v>16</v>
      </c>
      <c r="F117" s="3" t="s">
        <v>2704</v>
      </c>
      <c r="G117" s="3"/>
      <c r="H117" s="3"/>
    </row>
    <row r="118" spans="1:8" x14ac:dyDescent="0.35">
      <c r="A118" s="3" t="s">
        <v>2702</v>
      </c>
      <c r="B118" s="3" t="s">
        <v>42</v>
      </c>
      <c r="C118" s="3" t="s">
        <v>2703</v>
      </c>
      <c r="D118" s="3" t="s">
        <v>175</v>
      </c>
      <c r="E118" s="3"/>
      <c r="F118" s="3"/>
      <c r="G118" s="3"/>
      <c r="H118" s="3"/>
    </row>
    <row r="119" spans="1:8" x14ac:dyDescent="0.35">
      <c r="A119" s="3" t="s">
        <v>2702</v>
      </c>
      <c r="B119" s="3" t="s">
        <v>42</v>
      </c>
      <c r="C119" s="3" t="s">
        <v>2703</v>
      </c>
      <c r="D119" s="3" t="s">
        <v>82</v>
      </c>
      <c r="E119" s="3"/>
      <c r="F119" s="3"/>
      <c r="G119" s="3"/>
      <c r="H119" s="3"/>
    </row>
    <row r="120" spans="1:8" x14ac:dyDescent="0.35">
      <c r="A120" s="3" t="s">
        <v>2581</v>
      </c>
      <c r="B120" s="3" t="s">
        <v>42</v>
      </c>
      <c r="C120" s="3" t="s">
        <v>2582</v>
      </c>
      <c r="D120" s="3" t="s">
        <v>12</v>
      </c>
      <c r="E120" s="3"/>
      <c r="F120" s="3"/>
      <c r="G120" s="3"/>
      <c r="H120" s="3"/>
    </row>
    <row r="121" spans="1:8" x14ac:dyDescent="0.35">
      <c r="A121" s="3" t="s">
        <v>2581</v>
      </c>
      <c r="B121" s="3" t="s">
        <v>42</v>
      </c>
      <c r="C121" s="3" t="s">
        <v>2582</v>
      </c>
      <c r="D121" s="3" t="s">
        <v>87</v>
      </c>
      <c r="E121" s="3"/>
      <c r="F121" s="3"/>
      <c r="G121" s="3"/>
      <c r="H121" s="3"/>
    </row>
    <row r="122" spans="1:8" x14ac:dyDescent="0.35">
      <c r="A122" s="3" t="s">
        <v>2581</v>
      </c>
      <c r="B122" s="3" t="s">
        <v>42</v>
      </c>
      <c r="C122" s="3" t="s">
        <v>2582</v>
      </c>
      <c r="D122" s="3" t="s">
        <v>24</v>
      </c>
      <c r="E122" s="3"/>
      <c r="F122" s="3"/>
      <c r="G122" s="3"/>
      <c r="H122" s="3"/>
    </row>
    <row r="123" spans="1:8" x14ac:dyDescent="0.35">
      <c r="A123" s="3" t="s">
        <v>2528</v>
      </c>
      <c r="B123" s="3" t="s">
        <v>42</v>
      </c>
      <c r="C123" s="3" t="s">
        <v>2529</v>
      </c>
      <c r="D123" s="3" t="s">
        <v>23</v>
      </c>
      <c r="E123" s="3"/>
      <c r="F123" s="3"/>
      <c r="G123" s="3" t="s">
        <v>16</v>
      </c>
      <c r="H123" s="3" t="s">
        <v>816</v>
      </c>
    </row>
    <row r="124" spans="1:8" x14ac:dyDescent="0.35">
      <c r="A124" s="3" t="s">
        <v>2528</v>
      </c>
      <c r="B124" s="3" t="s">
        <v>42</v>
      </c>
      <c r="C124" s="3" t="s">
        <v>2529</v>
      </c>
      <c r="D124" s="3" t="s">
        <v>27</v>
      </c>
      <c r="E124" s="3"/>
      <c r="F124" s="3"/>
      <c r="G124" s="3" t="s">
        <v>16</v>
      </c>
      <c r="H124" s="3" t="s">
        <v>816</v>
      </c>
    </row>
    <row r="125" spans="1:8" x14ac:dyDescent="0.35">
      <c r="A125" s="3" t="s">
        <v>2528</v>
      </c>
      <c r="B125" s="3" t="s">
        <v>42</v>
      </c>
      <c r="C125" s="3" t="s">
        <v>2529</v>
      </c>
      <c r="D125" s="3" t="s">
        <v>15</v>
      </c>
      <c r="E125" s="3" t="s">
        <v>16</v>
      </c>
      <c r="F125" s="3" t="s">
        <v>2530</v>
      </c>
      <c r="G125" s="3" t="s">
        <v>16</v>
      </c>
      <c r="H125" s="3" t="s">
        <v>816</v>
      </c>
    </row>
    <row r="126" spans="1:8" x14ac:dyDescent="0.35">
      <c r="A126" s="3" t="s">
        <v>2578</v>
      </c>
      <c r="B126" s="3" t="s">
        <v>42</v>
      </c>
      <c r="C126" s="3" t="s">
        <v>2579</v>
      </c>
      <c r="D126" s="3" t="s">
        <v>12</v>
      </c>
      <c r="E126" s="3"/>
      <c r="F126" s="3"/>
      <c r="G126" s="3" t="s">
        <v>16</v>
      </c>
      <c r="H126" s="3" t="s">
        <v>409</v>
      </c>
    </row>
    <row r="127" spans="1:8" x14ac:dyDescent="0.35">
      <c r="A127" s="3" t="s">
        <v>2578</v>
      </c>
      <c r="B127" s="3" t="s">
        <v>42</v>
      </c>
      <c r="C127" s="3" t="s">
        <v>2579</v>
      </c>
      <c r="D127" s="3" t="s">
        <v>98</v>
      </c>
      <c r="E127" s="3" t="s">
        <v>16</v>
      </c>
      <c r="F127" s="3" t="s">
        <v>2580</v>
      </c>
      <c r="G127" s="3" t="s">
        <v>16</v>
      </c>
      <c r="H127" s="3" t="s">
        <v>409</v>
      </c>
    </row>
    <row r="128" spans="1:8" x14ac:dyDescent="0.35">
      <c r="A128" s="3" t="s">
        <v>2658</v>
      </c>
      <c r="B128" s="3" t="s">
        <v>42</v>
      </c>
      <c r="C128" s="3" t="s">
        <v>2659</v>
      </c>
      <c r="D128" s="3" t="s">
        <v>12</v>
      </c>
      <c r="E128" s="3"/>
      <c r="F128" s="3"/>
      <c r="G128" s="3"/>
      <c r="H128" s="3"/>
    </row>
    <row r="129" spans="1:8" x14ac:dyDescent="0.35">
      <c r="A129" s="3" t="s">
        <v>2658</v>
      </c>
      <c r="B129" s="3" t="s">
        <v>42</v>
      </c>
      <c r="C129" s="3" t="s">
        <v>2659</v>
      </c>
      <c r="D129" s="3" t="s">
        <v>87</v>
      </c>
      <c r="E129" s="3"/>
      <c r="F129" s="3"/>
      <c r="G129" s="3"/>
      <c r="H129" s="3"/>
    </row>
    <row r="130" spans="1:8" x14ac:dyDescent="0.35">
      <c r="A130" s="3" t="s">
        <v>2658</v>
      </c>
      <c r="B130" s="3" t="s">
        <v>42</v>
      </c>
      <c r="C130" s="3" t="s">
        <v>2659</v>
      </c>
      <c r="D130" s="3" t="s">
        <v>98</v>
      </c>
      <c r="E130" s="3"/>
      <c r="F130" s="3" t="s">
        <v>2660</v>
      </c>
      <c r="G130" s="3"/>
      <c r="H130" s="3"/>
    </row>
    <row r="131" spans="1:8" x14ac:dyDescent="0.35">
      <c r="A131" s="3" t="s">
        <v>2658</v>
      </c>
      <c r="B131" s="3" t="s">
        <v>42</v>
      </c>
      <c r="C131" s="3" t="s">
        <v>2659</v>
      </c>
      <c r="D131" s="3" t="s">
        <v>24</v>
      </c>
      <c r="E131" s="3"/>
      <c r="F131" s="3"/>
      <c r="G131" s="3"/>
      <c r="H131" s="3"/>
    </row>
    <row r="132" spans="1:8" x14ac:dyDescent="0.35">
      <c r="A132" s="3" t="s">
        <v>2651</v>
      </c>
      <c r="B132" s="3" t="s">
        <v>42</v>
      </c>
      <c r="C132" s="3" t="s">
        <v>2652</v>
      </c>
      <c r="D132" s="3" t="s">
        <v>27</v>
      </c>
      <c r="E132" s="3" t="s">
        <v>16</v>
      </c>
      <c r="F132" s="3" t="s">
        <v>2653</v>
      </c>
      <c r="G132" s="3" t="s">
        <v>16</v>
      </c>
      <c r="H132" s="3" t="s">
        <v>409</v>
      </c>
    </row>
    <row r="133" spans="1:8" x14ac:dyDescent="0.35">
      <c r="A133" s="3" t="s">
        <v>2651</v>
      </c>
      <c r="B133" s="3" t="s">
        <v>42</v>
      </c>
      <c r="C133" s="3" t="s">
        <v>2652</v>
      </c>
      <c r="D133" s="3" t="s">
        <v>98</v>
      </c>
      <c r="E133" s="3"/>
      <c r="F133" s="3"/>
      <c r="G133" s="3" t="s">
        <v>16</v>
      </c>
      <c r="H133" s="3" t="s">
        <v>409</v>
      </c>
    </row>
    <row r="134" spans="1:8" x14ac:dyDescent="0.35">
      <c r="A134" s="3" t="s">
        <v>2651</v>
      </c>
      <c r="B134" s="3" t="s">
        <v>42</v>
      </c>
      <c r="C134" s="3" t="s">
        <v>2652</v>
      </c>
      <c r="D134" s="3" t="s">
        <v>77</v>
      </c>
      <c r="E134" s="3" t="s">
        <v>16</v>
      </c>
      <c r="F134" s="3" t="s">
        <v>2654</v>
      </c>
      <c r="G134" s="3" t="s">
        <v>16</v>
      </c>
      <c r="H134" s="3" t="s">
        <v>409</v>
      </c>
    </row>
    <row r="135" spans="1:8" x14ac:dyDescent="0.35">
      <c r="A135" s="3" t="s">
        <v>2106</v>
      </c>
      <c r="B135" s="3" t="s">
        <v>42</v>
      </c>
      <c r="C135" s="3" t="s">
        <v>2107</v>
      </c>
      <c r="D135" s="3" t="s">
        <v>12</v>
      </c>
      <c r="E135" s="3"/>
      <c r="F135" s="3"/>
      <c r="G135" s="3"/>
      <c r="H135" s="3"/>
    </row>
    <row r="136" spans="1:8" x14ac:dyDescent="0.35">
      <c r="A136" s="3" t="s">
        <v>2106</v>
      </c>
      <c r="B136" s="3" t="s">
        <v>42</v>
      </c>
      <c r="C136" s="3" t="s">
        <v>2107</v>
      </c>
      <c r="D136" s="3" t="s">
        <v>25</v>
      </c>
      <c r="E136" s="3" t="s">
        <v>13</v>
      </c>
      <c r="F136" s="3" t="s">
        <v>2310</v>
      </c>
      <c r="G136" s="3"/>
      <c r="H136" s="3"/>
    </row>
    <row r="137" spans="1:8" x14ac:dyDescent="0.35">
      <c r="A137" s="3" t="s">
        <v>2106</v>
      </c>
      <c r="B137" s="3" t="s">
        <v>42</v>
      </c>
      <c r="C137" s="3" t="s">
        <v>2107</v>
      </c>
      <c r="D137" s="3" t="s">
        <v>27</v>
      </c>
      <c r="E137" s="3" t="s">
        <v>13</v>
      </c>
      <c r="F137" s="3" t="s">
        <v>2108</v>
      </c>
      <c r="G137" s="3"/>
      <c r="H137" s="3"/>
    </row>
    <row r="138" spans="1:8" x14ac:dyDescent="0.35">
      <c r="A138" s="3" t="s">
        <v>2106</v>
      </c>
      <c r="B138" s="3" t="s">
        <v>42</v>
      </c>
      <c r="C138" s="3" t="s">
        <v>2107</v>
      </c>
      <c r="D138" s="3" t="s">
        <v>44</v>
      </c>
      <c r="E138" s="3"/>
      <c r="F138" s="3"/>
      <c r="G138" s="3"/>
      <c r="H138" s="3"/>
    </row>
    <row r="139" spans="1:8" x14ac:dyDescent="0.35">
      <c r="A139" s="3" t="s">
        <v>2106</v>
      </c>
      <c r="B139" s="3" t="s">
        <v>42</v>
      </c>
      <c r="C139" s="3" t="s">
        <v>2107</v>
      </c>
      <c r="D139" s="3" t="s">
        <v>28</v>
      </c>
      <c r="E139" s="3" t="s">
        <v>13</v>
      </c>
      <c r="F139" s="3" t="s">
        <v>2108</v>
      </c>
      <c r="G139" s="3"/>
      <c r="H139" s="3"/>
    </row>
    <row r="140" spans="1:8" x14ac:dyDescent="0.35">
      <c r="A140" s="3" t="s">
        <v>2106</v>
      </c>
      <c r="B140" s="3" t="s">
        <v>42</v>
      </c>
      <c r="C140" s="3" t="s">
        <v>2107</v>
      </c>
      <c r="D140" s="3" t="s">
        <v>15</v>
      </c>
      <c r="E140" s="3" t="s">
        <v>13</v>
      </c>
      <c r="F140" s="3" t="s">
        <v>2109</v>
      </c>
      <c r="G140" s="3"/>
      <c r="H140" s="3"/>
    </row>
    <row r="141" spans="1:8" x14ac:dyDescent="0.35">
      <c r="A141" s="3" t="s">
        <v>2106</v>
      </c>
      <c r="B141" s="3" t="s">
        <v>42</v>
      </c>
      <c r="C141" s="3" t="s">
        <v>2107</v>
      </c>
      <c r="D141" s="3" t="s">
        <v>107</v>
      </c>
      <c r="E141" s="3" t="s">
        <v>13</v>
      </c>
      <c r="F141" s="3" t="s">
        <v>2110</v>
      </c>
      <c r="G141" s="3"/>
      <c r="H141" s="3"/>
    </row>
    <row r="142" spans="1:8" x14ac:dyDescent="0.35">
      <c r="A142" s="3" t="s">
        <v>2106</v>
      </c>
      <c r="B142" s="3" t="s">
        <v>20</v>
      </c>
      <c r="C142" s="3" t="s">
        <v>2111</v>
      </c>
      <c r="D142" s="3" t="s">
        <v>12</v>
      </c>
      <c r="E142" s="3"/>
      <c r="F142" s="3"/>
      <c r="G142" s="3"/>
      <c r="H142" s="3"/>
    </row>
    <row r="143" spans="1:8" x14ac:dyDescent="0.35">
      <c r="A143" s="3" t="s">
        <v>2106</v>
      </c>
      <c r="B143" s="3" t="s">
        <v>20</v>
      </c>
      <c r="C143" s="3" t="s">
        <v>2111</v>
      </c>
      <c r="D143" s="3" t="s">
        <v>23</v>
      </c>
      <c r="E143" s="3"/>
      <c r="F143" s="3"/>
      <c r="G143" s="3"/>
      <c r="H143" s="3"/>
    </row>
    <row r="144" spans="1:8" x14ac:dyDescent="0.35">
      <c r="A144" s="3" t="s">
        <v>2106</v>
      </c>
      <c r="B144" s="3" t="s">
        <v>20</v>
      </c>
      <c r="C144" s="3" t="s">
        <v>2111</v>
      </c>
      <c r="D144" s="3" t="s">
        <v>25</v>
      </c>
      <c r="E144" s="3"/>
      <c r="F144" s="3"/>
      <c r="G144" s="3"/>
      <c r="H144" s="3"/>
    </row>
    <row r="145" spans="1:8" x14ac:dyDescent="0.35">
      <c r="A145" s="3" t="s">
        <v>2106</v>
      </c>
      <c r="B145" s="3" t="s">
        <v>20</v>
      </c>
      <c r="C145" s="3" t="s">
        <v>2111</v>
      </c>
      <c r="D145" s="3" t="s">
        <v>60</v>
      </c>
      <c r="E145" s="3"/>
      <c r="F145" s="3"/>
      <c r="G145" s="3"/>
      <c r="H145" s="3"/>
    </row>
    <row r="146" spans="1:8" x14ac:dyDescent="0.35">
      <c r="A146" s="3" t="s">
        <v>2106</v>
      </c>
      <c r="B146" s="3" t="s">
        <v>20</v>
      </c>
      <c r="C146" s="3" t="s">
        <v>2111</v>
      </c>
      <c r="D146" s="3" t="s">
        <v>27</v>
      </c>
      <c r="E146" s="3"/>
      <c r="F146" s="3"/>
      <c r="G146" s="3"/>
      <c r="H146" s="3"/>
    </row>
    <row r="147" spans="1:8" x14ac:dyDescent="0.35">
      <c r="A147" s="3" t="s">
        <v>2106</v>
      </c>
      <c r="B147" s="3" t="s">
        <v>20</v>
      </c>
      <c r="C147" s="3" t="s">
        <v>2111</v>
      </c>
      <c r="D147" s="3" t="s">
        <v>28</v>
      </c>
      <c r="E147" s="3"/>
      <c r="F147" s="3"/>
      <c r="G147" s="3"/>
      <c r="H147" s="3"/>
    </row>
    <row r="148" spans="1:8" x14ac:dyDescent="0.35">
      <c r="A148" s="3" t="s">
        <v>2106</v>
      </c>
      <c r="B148" s="3" t="s">
        <v>20</v>
      </c>
      <c r="C148" s="3" t="s">
        <v>2111</v>
      </c>
      <c r="D148" s="3" t="s">
        <v>15</v>
      </c>
      <c r="E148" s="3" t="s">
        <v>13</v>
      </c>
      <c r="F148" s="3" t="s">
        <v>2112</v>
      </c>
      <c r="G148" s="3"/>
      <c r="H148" s="3"/>
    </row>
    <row r="149" spans="1:8" x14ac:dyDescent="0.35">
      <c r="A149" s="3" t="s">
        <v>2106</v>
      </c>
      <c r="B149" s="3" t="s">
        <v>20</v>
      </c>
      <c r="C149" s="3" t="s">
        <v>2111</v>
      </c>
      <c r="D149" s="3" t="s">
        <v>57</v>
      </c>
      <c r="E149" s="3"/>
      <c r="F149" s="3"/>
      <c r="G149" s="3"/>
      <c r="H149" s="3"/>
    </row>
    <row r="150" spans="1:8" x14ac:dyDescent="0.35">
      <c r="A150" s="3" t="s">
        <v>2106</v>
      </c>
      <c r="B150" s="3" t="s">
        <v>20</v>
      </c>
      <c r="C150" s="3" t="s">
        <v>2111</v>
      </c>
      <c r="D150" s="3" t="s">
        <v>107</v>
      </c>
      <c r="E150" s="3" t="s">
        <v>13</v>
      </c>
      <c r="F150" s="3" t="s">
        <v>2113</v>
      </c>
      <c r="G150" s="3"/>
      <c r="H150" s="3"/>
    </row>
    <row r="151" spans="1:8" x14ac:dyDescent="0.35">
      <c r="A151" s="3" t="s">
        <v>2106</v>
      </c>
      <c r="B151" s="3" t="s">
        <v>20</v>
      </c>
      <c r="C151" s="3" t="s">
        <v>2114</v>
      </c>
      <c r="D151" s="3" t="s">
        <v>28</v>
      </c>
      <c r="E151" s="3" t="s">
        <v>13</v>
      </c>
      <c r="F151" s="3" t="s">
        <v>136</v>
      </c>
      <c r="G151" s="3"/>
      <c r="H151" s="3"/>
    </row>
    <row r="152" spans="1:8" x14ac:dyDescent="0.35">
      <c r="A152" s="3" t="s">
        <v>2106</v>
      </c>
      <c r="B152" s="3" t="s">
        <v>20</v>
      </c>
      <c r="C152" s="3" t="s">
        <v>2114</v>
      </c>
      <c r="D152" s="3" t="s">
        <v>56</v>
      </c>
      <c r="E152" s="3" t="s">
        <v>13</v>
      </c>
      <c r="F152" s="3" t="s">
        <v>136</v>
      </c>
      <c r="G152" s="3"/>
      <c r="H152" s="3"/>
    </row>
    <row r="153" spans="1:8" x14ac:dyDescent="0.35">
      <c r="A153" s="3" t="s">
        <v>2106</v>
      </c>
      <c r="B153" s="3" t="s">
        <v>20</v>
      </c>
      <c r="C153" s="3" t="s">
        <v>2114</v>
      </c>
      <c r="D153" s="3" t="s">
        <v>32</v>
      </c>
      <c r="E153" s="3" t="s">
        <v>13</v>
      </c>
      <c r="F153" s="3" t="s">
        <v>136</v>
      </c>
      <c r="G153" s="3"/>
      <c r="H153" s="3"/>
    </row>
    <row r="154" spans="1:8" x14ac:dyDescent="0.35">
      <c r="A154" s="3" t="s">
        <v>2106</v>
      </c>
      <c r="B154" s="3" t="s">
        <v>20</v>
      </c>
      <c r="C154" s="3" t="s">
        <v>2114</v>
      </c>
      <c r="D154" s="3" t="s">
        <v>24</v>
      </c>
      <c r="E154" s="3"/>
      <c r="F154" s="3"/>
      <c r="G154" s="3"/>
      <c r="H154" s="3"/>
    </row>
    <row r="155" spans="1:8" x14ac:dyDescent="0.35">
      <c r="A155" s="3" t="s">
        <v>2106</v>
      </c>
      <c r="B155" s="3" t="s">
        <v>20</v>
      </c>
      <c r="C155" s="3" t="s">
        <v>2115</v>
      </c>
      <c r="D155" s="3" t="s">
        <v>15</v>
      </c>
      <c r="E155" s="3" t="s">
        <v>16</v>
      </c>
      <c r="F155" s="3" t="s">
        <v>2116</v>
      </c>
      <c r="G155" s="3"/>
      <c r="H155" s="3"/>
    </row>
    <row r="156" spans="1:8" x14ac:dyDescent="0.35">
      <c r="A156" s="3" t="s">
        <v>2106</v>
      </c>
      <c r="B156" s="3" t="s">
        <v>20</v>
      </c>
      <c r="C156" s="3" t="s">
        <v>2115</v>
      </c>
      <c r="D156" s="3" t="s">
        <v>57</v>
      </c>
      <c r="E156" s="3" t="s">
        <v>16</v>
      </c>
      <c r="F156" s="3" t="s">
        <v>2116</v>
      </c>
      <c r="G156" s="3"/>
      <c r="H156" s="3"/>
    </row>
    <row r="157" spans="1:8" x14ac:dyDescent="0.35">
      <c r="A157" s="3" t="s">
        <v>2106</v>
      </c>
      <c r="B157" s="3" t="s">
        <v>20</v>
      </c>
      <c r="C157" s="3" t="s">
        <v>2115</v>
      </c>
      <c r="D157" s="3" t="s">
        <v>56</v>
      </c>
      <c r="E157" s="3" t="s">
        <v>16</v>
      </c>
      <c r="F157" s="3" t="s">
        <v>2116</v>
      </c>
      <c r="G157" s="3"/>
      <c r="H157" s="3"/>
    </row>
    <row r="158" spans="1:8" x14ac:dyDescent="0.35">
      <c r="A158" s="3" t="s">
        <v>2106</v>
      </c>
      <c r="B158" s="3" t="s">
        <v>20</v>
      </c>
      <c r="C158" s="3" t="s">
        <v>2115</v>
      </c>
      <c r="D158" s="3" t="s">
        <v>32</v>
      </c>
      <c r="E158" s="3" t="s">
        <v>16</v>
      </c>
      <c r="F158" s="3" t="s">
        <v>2116</v>
      </c>
      <c r="G158" s="3"/>
      <c r="H158" s="3"/>
    </row>
    <row r="159" spans="1:8" x14ac:dyDescent="0.35">
      <c r="A159" s="3" t="s">
        <v>2106</v>
      </c>
      <c r="B159" s="3" t="s">
        <v>20</v>
      </c>
      <c r="C159" s="3" t="s">
        <v>2115</v>
      </c>
      <c r="D159" s="3" t="s">
        <v>107</v>
      </c>
      <c r="E159" s="3" t="s">
        <v>16</v>
      </c>
      <c r="F159" s="3" t="s">
        <v>2116</v>
      </c>
      <c r="G159" s="3"/>
      <c r="H159" s="3"/>
    </row>
    <row r="160" spans="1:8" x14ac:dyDescent="0.35">
      <c r="A160" s="3" t="s">
        <v>2106</v>
      </c>
      <c r="B160" s="3" t="s">
        <v>39</v>
      </c>
      <c r="C160" s="3" t="s">
        <v>2117</v>
      </c>
      <c r="D160" s="3" t="s">
        <v>12</v>
      </c>
      <c r="E160" s="3"/>
      <c r="F160" s="3" t="s">
        <v>2395</v>
      </c>
      <c r="G160" s="3"/>
      <c r="H160" s="3"/>
    </row>
    <row r="161" spans="1:8" x14ac:dyDescent="0.35">
      <c r="A161" s="3" t="s">
        <v>2106</v>
      </c>
      <c r="B161" s="3" t="s">
        <v>39</v>
      </c>
      <c r="C161" s="3" t="s">
        <v>2117</v>
      </c>
      <c r="D161" s="3" t="s">
        <v>87</v>
      </c>
      <c r="E161" s="3"/>
      <c r="F161" s="3"/>
      <c r="G161" s="3"/>
      <c r="H161" s="3"/>
    </row>
    <row r="162" spans="1:8" x14ac:dyDescent="0.35">
      <c r="A162" s="3" t="s">
        <v>2106</v>
      </c>
      <c r="B162" s="3" t="s">
        <v>39</v>
      </c>
      <c r="C162" s="3" t="s">
        <v>2117</v>
      </c>
      <c r="D162" s="3" t="s">
        <v>56</v>
      </c>
      <c r="E162" s="3"/>
      <c r="F162" s="3"/>
      <c r="G162" s="3"/>
      <c r="H162" s="3"/>
    </row>
    <row r="163" spans="1:8" s="4" customFormat="1" x14ac:dyDescent="0.35">
      <c r="A163" s="3" t="s">
        <v>2106</v>
      </c>
      <c r="B163" s="3" t="s">
        <v>39</v>
      </c>
      <c r="C163" s="3" t="s">
        <v>2118</v>
      </c>
      <c r="D163" s="3" t="s">
        <v>27</v>
      </c>
      <c r="E163" s="3" t="s">
        <v>13</v>
      </c>
      <c r="F163" s="3" t="s">
        <v>2121</v>
      </c>
      <c r="G163" s="3"/>
      <c r="H163" s="3"/>
    </row>
    <row r="164" spans="1:8" x14ac:dyDescent="0.35">
      <c r="A164" s="3" t="s">
        <v>2106</v>
      </c>
      <c r="B164" s="3" t="s">
        <v>39</v>
      </c>
      <c r="C164" s="3" t="s">
        <v>2118</v>
      </c>
      <c r="D164" s="3" t="s">
        <v>87</v>
      </c>
      <c r="E164" s="3" t="s">
        <v>13</v>
      </c>
      <c r="F164" s="3" t="s">
        <v>2119</v>
      </c>
      <c r="G164" s="3"/>
      <c r="H164" s="3"/>
    </row>
    <row r="165" spans="1:8" x14ac:dyDescent="0.35">
      <c r="A165" s="3" t="s">
        <v>2106</v>
      </c>
      <c r="B165" s="3" t="s">
        <v>39</v>
      </c>
      <c r="C165" s="3" t="s">
        <v>2118</v>
      </c>
      <c r="D165" s="3" t="s">
        <v>98</v>
      </c>
      <c r="E165" s="3" t="s">
        <v>13</v>
      </c>
      <c r="F165" s="3" t="s">
        <v>2120</v>
      </c>
      <c r="G165" s="3"/>
      <c r="H165" s="3"/>
    </row>
    <row r="166" spans="1:8" x14ac:dyDescent="0.35">
      <c r="A166" s="3" t="s">
        <v>2106</v>
      </c>
      <c r="B166" s="3" t="s">
        <v>39</v>
      </c>
      <c r="C166" s="3" t="s">
        <v>2118</v>
      </c>
      <c r="D166" s="3" t="s">
        <v>15</v>
      </c>
      <c r="E166" s="3" t="s">
        <v>13</v>
      </c>
      <c r="F166" s="3" t="s">
        <v>136</v>
      </c>
      <c r="G166" s="3"/>
      <c r="H166" s="3"/>
    </row>
    <row r="167" spans="1:8" x14ac:dyDescent="0.35">
      <c r="A167" s="3" t="s">
        <v>2106</v>
      </c>
      <c r="B167" s="3" t="s">
        <v>45</v>
      </c>
      <c r="C167" s="3" t="s">
        <v>2122</v>
      </c>
      <c r="D167" s="3" t="s">
        <v>77</v>
      </c>
      <c r="E167" s="3"/>
      <c r="F167" s="3"/>
      <c r="G167" s="3"/>
      <c r="H167" s="3"/>
    </row>
    <row r="168" spans="1:8" x14ac:dyDescent="0.35">
      <c r="A168" s="3" t="s">
        <v>2106</v>
      </c>
      <c r="B168" s="3" t="s">
        <v>45</v>
      </c>
      <c r="C168" s="3" t="s">
        <v>2122</v>
      </c>
      <c r="D168" s="3" t="s">
        <v>28</v>
      </c>
      <c r="E168" s="3"/>
      <c r="F168" s="3"/>
      <c r="G168" s="3"/>
      <c r="H168" s="3"/>
    </row>
    <row r="169" spans="1:8" x14ac:dyDescent="0.35">
      <c r="A169" s="3" t="s">
        <v>2106</v>
      </c>
      <c r="B169" s="3" t="s">
        <v>45</v>
      </c>
      <c r="C169" s="3" t="s">
        <v>2122</v>
      </c>
      <c r="D169" s="3" t="s">
        <v>56</v>
      </c>
      <c r="E169" s="3"/>
      <c r="F169" s="3" t="s">
        <v>2481</v>
      </c>
      <c r="G169" s="3"/>
      <c r="H169" s="3"/>
    </row>
    <row r="170" spans="1:8" x14ac:dyDescent="0.35">
      <c r="A170" s="3" t="s">
        <v>2106</v>
      </c>
      <c r="B170" s="3" t="s">
        <v>45</v>
      </c>
      <c r="C170" s="3" t="s">
        <v>2122</v>
      </c>
      <c r="D170" s="3" t="s">
        <v>32</v>
      </c>
      <c r="E170" s="3"/>
      <c r="F170" s="3"/>
      <c r="G170" s="3"/>
      <c r="H170" s="3"/>
    </row>
    <row r="171" spans="1:8" x14ac:dyDescent="0.35">
      <c r="A171" s="3" t="s">
        <v>2106</v>
      </c>
      <c r="B171" s="3" t="s">
        <v>45</v>
      </c>
      <c r="C171" s="3" t="s">
        <v>2122</v>
      </c>
      <c r="D171" s="3" t="s">
        <v>24</v>
      </c>
      <c r="E171" s="3"/>
      <c r="F171" s="3"/>
      <c r="G171" s="3"/>
      <c r="H171" s="3"/>
    </row>
    <row r="172" spans="1:8" x14ac:dyDescent="0.35">
      <c r="A172" s="3" t="s">
        <v>2123</v>
      </c>
      <c r="B172" s="3" t="s">
        <v>20</v>
      </c>
      <c r="C172" s="3" t="s">
        <v>2818</v>
      </c>
      <c r="D172" s="3" t="s">
        <v>12</v>
      </c>
      <c r="E172" s="3" t="s">
        <v>16</v>
      </c>
      <c r="F172" s="3" t="s">
        <v>2819</v>
      </c>
      <c r="G172" s="3" t="s">
        <v>16</v>
      </c>
      <c r="H172" s="3" t="s">
        <v>816</v>
      </c>
    </row>
    <row r="173" spans="1:8" x14ac:dyDescent="0.35">
      <c r="A173" s="3" t="s">
        <v>2123</v>
      </c>
      <c r="B173" s="3" t="s">
        <v>20</v>
      </c>
      <c r="C173" s="3" t="s">
        <v>2818</v>
      </c>
      <c r="D173" s="3" t="s">
        <v>27</v>
      </c>
      <c r="E173" s="3" t="s">
        <v>16</v>
      </c>
      <c r="F173" s="3" t="s">
        <v>2820</v>
      </c>
      <c r="G173" s="3" t="s">
        <v>16</v>
      </c>
      <c r="H173" s="3" t="s">
        <v>816</v>
      </c>
    </row>
    <row r="174" spans="1:8" x14ac:dyDescent="0.35">
      <c r="A174" s="3" t="s">
        <v>2123</v>
      </c>
      <c r="B174" s="3" t="s">
        <v>20</v>
      </c>
      <c r="C174" s="3" t="s">
        <v>2818</v>
      </c>
      <c r="D174" s="3" t="s">
        <v>28</v>
      </c>
      <c r="E174" s="3" t="s">
        <v>16</v>
      </c>
      <c r="F174" s="3" t="s">
        <v>2821</v>
      </c>
      <c r="G174" s="3" t="s">
        <v>16</v>
      </c>
      <c r="H174" s="3" t="s">
        <v>816</v>
      </c>
    </row>
    <row r="175" spans="1:8" x14ac:dyDescent="0.35">
      <c r="A175" s="3" t="s">
        <v>2123</v>
      </c>
      <c r="B175" s="3" t="s">
        <v>20</v>
      </c>
      <c r="C175" s="3" t="s">
        <v>2818</v>
      </c>
      <c r="D175" s="3" t="s">
        <v>15</v>
      </c>
      <c r="E175" s="3" t="s">
        <v>16</v>
      </c>
      <c r="F175" s="3" t="s">
        <v>2822</v>
      </c>
      <c r="G175" s="3" t="s">
        <v>16</v>
      </c>
      <c r="H175" s="3" t="s">
        <v>816</v>
      </c>
    </row>
    <row r="176" spans="1:8" x14ac:dyDescent="0.35">
      <c r="A176" s="3" t="s">
        <v>2123</v>
      </c>
      <c r="B176" s="3" t="s">
        <v>20</v>
      </c>
      <c r="C176" s="3" t="s">
        <v>2124</v>
      </c>
      <c r="D176" s="3" t="s">
        <v>12</v>
      </c>
      <c r="E176" s="3"/>
      <c r="F176" s="3"/>
      <c r="G176" s="3" t="s">
        <v>16</v>
      </c>
      <c r="H176" s="3" t="s">
        <v>2063</v>
      </c>
    </row>
    <row r="177" spans="1:8" x14ac:dyDescent="0.35">
      <c r="A177" s="3" t="s">
        <v>2123</v>
      </c>
      <c r="B177" s="3" t="s">
        <v>20</v>
      </c>
      <c r="C177" s="3" t="s">
        <v>2124</v>
      </c>
      <c r="D177" s="3" t="s">
        <v>23</v>
      </c>
      <c r="E177" s="3"/>
      <c r="F177" s="3"/>
      <c r="G177" s="3" t="s">
        <v>16</v>
      </c>
      <c r="H177" s="3" t="s">
        <v>2063</v>
      </c>
    </row>
    <row r="178" spans="1:8" x14ac:dyDescent="0.35">
      <c r="A178" s="3" t="s">
        <v>2123</v>
      </c>
      <c r="B178" s="3" t="s">
        <v>20</v>
      </c>
      <c r="C178" s="3" t="s">
        <v>2124</v>
      </c>
      <c r="D178" s="3" t="s">
        <v>25</v>
      </c>
      <c r="E178" s="3"/>
      <c r="F178" s="3"/>
      <c r="G178" s="3" t="s">
        <v>16</v>
      </c>
      <c r="H178" s="3" t="s">
        <v>2063</v>
      </c>
    </row>
    <row r="179" spans="1:8" x14ac:dyDescent="0.35">
      <c r="A179" s="3" t="s">
        <v>2123</v>
      </c>
      <c r="B179" s="3" t="s">
        <v>20</v>
      </c>
      <c r="C179" s="3" t="s">
        <v>2124</v>
      </c>
      <c r="D179" s="3" t="s">
        <v>27</v>
      </c>
      <c r="E179" s="3"/>
      <c r="F179" s="3"/>
      <c r="G179" s="3" t="s">
        <v>16</v>
      </c>
      <c r="H179" s="3" t="s">
        <v>2063</v>
      </c>
    </row>
    <row r="180" spans="1:8" x14ac:dyDescent="0.35">
      <c r="A180" s="3" t="s">
        <v>2123</v>
      </c>
      <c r="B180" s="3" t="s">
        <v>20</v>
      </c>
      <c r="C180" s="3" t="s">
        <v>2124</v>
      </c>
      <c r="D180" s="3" t="s">
        <v>77</v>
      </c>
      <c r="E180" s="3" t="s">
        <v>16</v>
      </c>
      <c r="F180" s="3" t="s">
        <v>2125</v>
      </c>
      <c r="G180" s="3" t="s">
        <v>16</v>
      </c>
      <c r="H180" s="3" t="s">
        <v>2063</v>
      </c>
    </row>
    <row r="181" spans="1:8" x14ac:dyDescent="0.35">
      <c r="A181" s="3" t="s">
        <v>2123</v>
      </c>
      <c r="B181" s="3" t="s">
        <v>20</v>
      </c>
      <c r="C181" s="3" t="s">
        <v>2124</v>
      </c>
      <c r="D181" s="3" t="s">
        <v>28</v>
      </c>
      <c r="E181" s="3" t="s">
        <v>16</v>
      </c>
      <c r="F181" s="3" t="s">
        <v>2126</v>
      </c>
      <c r="G181" s="3" t="s">
        <v>16</v>
      </c>
      <c r="H181" s="3" t="s">
        <v>2063</v>
      </c>
    </row>
    <row r="182" spans="1:8" x14ac:dyDescent="0.35">
      <c r="A182" s="3" t="s">
        <v>2123</v>
      </c>
      <c r="B182" s="3" t="s">
        <v>20</v>
      </c>
      <c r="C182" s="3" t="s">
        <v>2124</v>
      </c>
      <c r="D182" s="3" t="s">
        <v>32</v>
      </c>
      <c r="E182" s="3" t="s">
        <v>16</v>
      </c>
      <c r="F182" s="3" t="s">
        <v>2127</v>
      </c>
      <c r="G182" s="3" t="s">
        <v>16</v>
      </c>
      <c r="H182" s="3" t="s">
        <v>2063</v>
      </c>
    </row>
    <row r="183" spans="1:8" x14ac:dyDescent="0.35">
      <c r="A183" s="3" t="s">
        <v>2123</v>
      </c>
      <c r="B183" s="3" t="s">
        <v>20</v>
      </c>
      <c r="C183" s="3" t="s">
        <v>2124</v>
      </c>
      <c r="D183" s="3" t="s">
        <v>24</v>
      </c>
      <c r="E183" s="3"/>
      <c r="F183" s="3"/>
      <c r="G183" s="3" t="s">
        <v>16</v>
      </c>
      <c r="H183" s="3" t="s">
        <v>2063</v>
      </c>
    </row>
    <row r="184" spans="1:8" x14ac:dyDescent="0.35">
      <c r="A184" s="3" t="s">
        <v>2123</v>
      </c>
      <c r="B184" s="3" t="s">
        <v>42</v>
      </c>
      <c r="C184" s="3" t="s">
        <v>2937</v>
      </c>
      <c r="D184" s="3" t="s">
        <v>12</v>
      </c>
      <c r="E184" s="3"/>
      <c r="F184" s="3"/>
      <c r="G184" s="3" t="s">
        <v>16</v>
      </c>
      <c r="H184" s="3" t="s">
        <v>409</v>
      </c>
    </row>
    <row r="185" spans="1:8" x14ac:dyDescent="0.35">
      <c r="A185" s="3" t="s">
        <v>2123</v>
      </c>
      <c r="B185" s="3" t="s">
        <v>42</v>
      </c>
      <c r="C185" s="3" t="s">
        <v>2937</v>
      </c>
      <c r="D185" s="3" t="s">
        <v>27</v>
      </c>
      <c r="E185" s="3"/>
      <c r="F185" s="3"/>
      <c r="G185" s="3" t="s">
        <v>16</v>
      </c>
      <c r="H185" s="3" t="s">
        <v>409</v>
      </c>
    </row>
    <row r="186" spans="1:8" x14ac:dyDescent="0.35">
      <c r="A186" s="3" t="s">
        <v>2123</v>
      </c>
      <c r="B186" s="3" t="s">
        <v>42</v>
      </c>
      <c r="C186" s="3" t="s">
        <v>2937</v>
      </c>
      <c r="D186" s="3" t="s">
        <v>24</v>
      </c>
      <c r="E186" s="3"/>
      <c r="F186" s="3"/>
      <c r="G186" s="3" t="s">
        <v>16</v>
      </c>
      <c r="H186" s="3" t="s">
        <v>409</v>
      </c>
    </row>
    <row r="187" spans="1:8" x14ac:dyDescent="0.35">
      <c r="A187" s="3" t="s">
        <v>2123</v>
      </c>
      <c r="B187" s="3" t="s">
        <v>42</v>
      </c>
      <c r="C187" s="3" t="s">
        <v>2937</v>
      </c>
      <c r="D187" s="3" t="s">
        <v>107</v>
      </c>
      <c r="E187" s="3" t="s">
        <v>16</v>
      </c>
      <c r="F187" s="3" t="s">
        <v>2938</v>
      </c>
      <c r="G187" s="3" t="s">
        <v>16</v>
      </c>
      <c r="H187" s="3" t="s">
        <v>409</v>
      </c>
    </row>
    <row r="188" spans="1:8" x14ac:dyDescent="0.35">
      <c r="A188" s="3" t="s">
        <v>2128</v>
      </c>
      <c r="B188" s="3" t="s">
        <v>42</v>
      </c>
      <c r="C188" s="3" t="s">
        <v>2935</v>
      </c>
      <c r="D188" s="3" t="s">
        <v>23</v>
      </c>
      <c r="E188" s="3"/>
      <c r="F188" s="3"/>
      <c r="G188" s="3" t="s">
        <v>16</v>
      </c>
      <c r="H188" s="3" t="s">
        <v>1736</v>
      </c>
    </row>
    <row r="189" spans="1:8" x14ac:dyDescent="0.35">
      <c r="A189" s="3" t="s">
        <v>2128</v>
      </c>
      <c r="B189" s="3" t="s">
        <v>42</v>
      </c>
      <c r="C189" s="3" t="s">
        <v>2935</v>
      </c>
      <c r="D189" s="3" t="s">
        <v>56</v>
      </c>
      <c r="E189" s="3" t="s">
        <v>16</v>
      </c>
      <c r="F189" s="3" t="s">
        <v>2936</v>
      </c>
      <c r="G189" s="3" t="s">
        <v>16</v>
      </c>
      <c r="H189" s="3" t="s">
        <v>1736</v>
      </c>
    </row>
    <row r="190" spans="1:8" x14ac:dyDescent="0.35">
      <c r="A190" s="3" t="s">
        <v>2128</v>
      </c>
      <c r="B190" s="3" t="s">
        <v>20</v>
      </c>
      <c r="C190" s="3" t="s">
        <v>2129</v>
      </c>
      <c r="D190" s="3" t="s">
        <v>56</v>
      </c>
      <c r="E190" s="3"/>
      <c r="F190" s="3"/>
      <c r="G190" s="3"/>
      <c r="H190" s="3"/>
    </row>
    <row r="191" spans="1:8" x14ac:dyDescent="0.35">
      <c r="A191" s="3" t="s">
        <v>2130</v>
      </c>
      <c r="B191" s="3" t="s">
        <v>42</v>
      </c>
      <c r="C191" s="3" t="s">
        <v>2131</v>
      </c>
      <c r="D191" s="3" t="s">
        <v>12</v>
      </c>
      <c r="E191" s="3"/>
      <c r="F191" s="3"/>
      <c r="G191" s="3"/>
      <c r="H191" s="3"/>
    </row>
    <row r="192" spans="1:8" x14ac:dyDescent="0.35">
      <c r="A192" s="3" t="s">
        <v>2130</v>
      </c>
      <c r="B192" s="3" t="s">
        <v>42</v>
      </c>
      <c r="C192" s="3" t="s">
        <v>2131</v>
      </c>
      <c r="D192" s="3" t="s">
        <v>44</v>
      </c>
      <c r="E192" s="3"/>
      <c r="F192" s="3"/>
      <c r="G192" s="3"/>
      <c r="H192" s="3"/>
    </row>
    <row r="193" spans="1:8" x14ac:dyDescent="0.35">
      <c r="A193" s="3" t="s">
        <v>2130</v>
      </c>
      <c r="B193" s="3" t="s">
        <v>42</v>
      </c>
      <c r="C193" s="3" t="s">
        <v>2131</v>
      </c>
      <c r="D193" s="3" t="s">
        <v>87</v>
      </c>
      <c r="E193" s="3" t="s">
        <v>16</v>
      </c>
      <c r="F193" s="3" t="s">
        <v>2132</v>
      </c>
      <c r="G193" s="3"/>
      <c r="H193" s="3"/>
    </row>
    <row r="194" spans="1:8" x14ac:dyDescent="0.35">
      <c r="A194" s="3" t="s">
        <v>2130</v>
      </c>
      <c r="B194" s="3" t="s">
        <v>42</v>
      </c>
      <c r="C194" s="3" t="s">
        <v>2131</v>
      </c>
      <c r="D194" s="3" t="s">
        <v>24</v>
      </c>
      <c r="E194" s="3"/>
      <c r="F194" s="3"/>
      <c r="G194" s="3"/>
      <c r="H194" s="3"/>
    </row>
    <row r="195" spans="1:8" x14ac:dyDescent="0.35">
      <c r="A195" s="3" t="s">
        <v>2130</v>
      </c>
      <c r="B195" s="3" t="s">
        <v>20</v>
      </c>
      <c r="C195" s="3" t="s">
        <v>2785</v>
      </c>
      <c r="D195" s="3" t="s">
        <v>12</v>
      </c>
      <c r="E195" s="3"/>
      <c r="F195" s="3"/>
      <c r="G195" s="3"/>
      <c r="H195" s="3"/>
    </row>
    <row r="196" spans="1:8" x14ac:dyDescent="0.35">
      <c r="A196" s="3" t="s">
        <v>2130</v>
      </c>
      <c r="B196" s="3" t="s">
        <v>20</v>
      </c>
      <c r="C196" s="3" t="s">
        <v>2785</v>
      </c>
      <c r="D196" s="3" t="s">
        <v>23</v>
      </c>
      <c r="E196" s="5"/>
      <c r="F196" s="3"/>
      <c r="G196" s="3"/>
      <c r="H196" s="3"/>
    </row>
    <row r="197" spans="1:8" x14ac:dyDescent="0.35">
      <c r="A197" s="3" t="s">
        <v>2130</v>
      </c>
      <c r="B197" s="3" t="s">
        <v>20</v>
      </c>
      <c r="C197" s="3" t="s">
        <v>2785</v>
      </c>
      <c r="D197" s="3" t="s">
        <v>28</v>
      </c>
      <c r="E197" s="5"/>
      <c r="F197" s="5"/>
      <c r="G197" s="3"/>
      <c r="H197" s="3"/>
    </row>
    <row r="198" spans="1:8" x14ac:dyDescent="0.35">
      <c r="A198" s="3" t="s">
        <v>2130</v>
      </c>
      <c r="B198" s="3" t="s">
        <v>20</v>
      </c>
      <c r="C198" s="3" t="s">
        <v>2785</v>
      </c>
      <c r="D198" s="3" t="s">
        <v>98</v>
      </c>
      <c r="E198" s="3"/>
      <c r="F198" s="3" t="s">
        <v>2660</v>
      </c>
      <c r="G198" s="3"/>
      <c r="H198" s="3"/>
    </row>
    <row r="199" spans="1:8" x14ac:dyDescent="0.35">
      <c r="A199" s="3" t="s">
        <v>2130</v>
      </c>
      <c r="B199" s="3" t="s">
        <v>20</v>
      </c>
      <c r="C199" s="3" t="s">
        <v>2946</v>
      </c>
      <c r="D199" s="3" t="s">
        <v>23</v>
      </c>
      <c r="E199" s="3"/>
      <c r="F199" s="3"/>
      <c r="G199" s="3"/>
      <c r="H199" s="3"/>
    </row>
    <row r="200" spans="1:8" x14ac:dyDescent="0.35">
      <c r="A200" s="3" t="s">
        <v>2130</v>
      </c>
      <c r="B200" s="3" t="s">
        <v>20</v>
      </c>
      <c r="C200" s="3" t="s">
        <v>2946</v>
      </c>
      <c r="D200" s="3" t="s">
        <v>27</v>
      </c>
      <c r="E200" s="3"/>
      <c r="F200" s="3"/>
      <c r="G200" s="3"/>
      <c r="H200" s="3"/>
    </row>
    <row r="201" spans="1:8" x14ac:dyDescent="0.35">
      <c r="A201" s="3" t="s">
        <v>2130</v>
      </c>
      <c r="B201" s="3" t="s">
        <v>20</v>
      </c>
      <c r="C201" s="3" t="s">
        <v>2946</v>
      </c>
      <c r="D201" s="3" t="s">
        <v>28</v>
      </c>
      <c r="E201" s="3"/>
      <c r="F201" s="3"/>
      <c r="G201" s="3"/>
      <c r="H201" s="3"/>
    </row>
    <row r="202" spans="1:8" x14ac:dyDescent="0.35">
      <c r="A202" s="3" t="s">
        <v>2130</v>
      </c>
      <c r="B202" s="3" t="s">
        <v>20</v>
      </c>
      <c r="C202" s="3" t="s">
        <v>2946</v>
      </c>
      <c r="D202" s="3" t="s">
        <v>98</v>
      </c>
      <c r="E202" s="3"/>
      <c r="F202" s="3"/>
      <c r="G202" s="3"/>
      <c r="H202" s="3"/>
    </row>
    <row r="203" spans="1:8" x14ac:dyDescent="0.35">
      <c r="A203" s="3" t="s">
        <v>2130</v>
      </c>
      <c r="B203" s="3" t="s">
        <v>20</v>
      </c>
      <c r="C203" s="3" t="s">
        <v>2946</v>
      </c>
      <c r="D203" s="3" t="s">
        <v>56</v>
      </c>
      <c r="E203" s="3"/>
      <c r="F203" s="3"/>
      <c r="G203" s="3"/>
      <c r="H203" s="3"/>
    </row>
    <row r="204" spans="1:8" x14ac:dyDescent="0.35">
      <c r="A204" s="3" t="s">
        <v>2130</v>
      </c>
      <c r="B204" s="3" t="s">
        <v>20</v>
      </c>
      <c r="C204" s="3" t="s">
        <v>2946</v>
      </c>
      <c r="D204" s="3" t="s">
        <v>32</v>
      </c>
      <c r="E204" s="3"/>
      <c r="F204" s="3"/>
      <c r="G204" s="3"/>
      <c r="H204" s="3"/>
    </row>
    <row r="205" spans="1:8" x14ac:dyDescent="0.35">
      <c r="A205" s="3" t="s">
        <v>2130</v>
      </c>
      <c r="B205" s="3" t="s">
        <v>20</v>
      </c>
      <c r="C205" s="3" t="s">
        <v>2946</v>
      </c>
      <c r="D205" s="3" t="s">
        <v>24</v>
      </c>
      <c r="E205" s="3"/>
      <c r="F205" s="3"/>
      <c r="G205" s="3"/>
      <c r="H205" s="3"/>
    </row>
    <row r="206" spans="1:8" x14ac:dyDescent="0.35">
      <c r="A206" s="3" t="s">
        <v>2133</v>
      </c>
      <c r="B206" s="3" t="s">
        <v>42</v>
      </c>
      <c r="C206" s="3" t="s">
        <v>2134</v>
      </c>
      <c r="D206" s="3" t="s">
        <v>12</v>
      </c>
      <c r="E206" s="3"/>
      <c r="F206" s="3"/>
      <c r="G206" s="3"/>
      <c r="H206" s="12"/>
    </row>
    <row r="207" spans="1:8" x14ac:dyDescent="0.35">
      <c r="A207" s="3" t="s">
        <v>2133</v>
      </c>
      <c r="B207" s="3" t="s">
        <v>42</v>
      </c>
      <c r="C207" s="3" t="s">
        <v>2134</v>
      </c>
      <c r="D207" s="3" t="s">
        <v>23</v>
      </c>
      <c r="E207" s="3" t="s">
        <v>13</v>
      </c>
      <c r="F207" s="3" t="s">
        <v>2135</v>
      </c>
      <c r="G207" s="3"/>
      <c r="H207" s="3"/>
    </row>
    <row r="208" spans="1:8" x14ac:dyDescent="0.35">
      <c r="A208" s="3" t="s">
        <v>2133</v>
      </c>
      <c r="B208" s="3" t="s">
        <v>42</v>
      </c>
      <c r="C208" s="3" t="s">
        <v>2134</v>
      </c>
      <c r="D208" s="3" t="s">
        <v>44</v>
      </c>
      <c r="E208" s="3"/>
      <c r="F208" s="3"/>
      <c r="G208" s="3"/>
      <c r="H208" s="3"/>
    </row>
    <row r="209" spans="1:8" x14ac:dyDescent="0.35">
      <c r="A209" s="3" t="s">
        <v>2133</v>
      </c>
      <c r="B209" s="3" t="s">
        <v>42</v>
      </c>
      <c r="C209" s="3" t="s">
        <v>2134</v>
      </c>
      <c r="D209" s="3" t="s">
        <v>28</v>
      </c>
      <c r="E209" s="3" t="s">
        <v>13</v>
      </c>
      <c r="F209" s="3" t="s">
        <v>2334</v>
      </c>
      <c r="G209" s="3"/>
      <c r="H209" s="3"/>
    </row>
    <row r="210" spans="1:8" x14ac:dyDescent="0.35">
      <c r="A210" s="3" t="s">
        <v>2133</v>
      </c>
      <c r="B210" s="3" t="s">
        <v>42</v>
      </c>
      <c r="C210" s="3" t="s">
        <v>2134</v>
      </c>
      <c r="D210" s="3" t="s">
        <v>15</v>
      </c>
      <c r="E210" s="3" t="s">
        <v>13</v>
      </c>
      <c r="F210" s="3" t="s">
        <v>2136</v>
      </c>
      <c r="G210" s="3"/>
      <c r="H210" s="3"/>
    </row>
    <row r="211" spans="1:8" x14ac:dyDescent="0.35">
      <c r="A211" s="3" t="s">
        <v>2133</v>
      </c>
      <c r="B211" s="3" t="s">
        <v>42</v>
      </c>
      <c r="C211" s="3" t="s">
        <v>2134</v>
      </c>
      <c r="D211" s="3" t="s">
        <v>32</v>
      </c>
      <c r="E211" s="3" t="s">
        <v>13</v>
      </c>
      <c r="F211" s="3" t="s">
        <v>2335</v>
      </c>
      <c r="G211" s="3"/>
      <c r="H211" s="3"/>
    </row>
    <row r="212" spans="1:8" x14ac:dyDescent="0.35">
      <c r="A212" s="3" t="s">
        <v>2133</v>
      </c>
      <c r="B212" s="3" t="s">
        <v>42</v>
      </c>
      <c r="C212" s="3" t="s">
        <v>2134</v>
      </c>
      <c r="D212" s="3" t="s">
        <v>82</v>
      </c>
      <c r="E212" s="3" t="s">
        <v>33</v>
      </c>
      <c r="F212" s="3" t="s">
        <v>2333</v>
      </c>
      <c r="G212" s="3"/>
      <c r="H212" s="3"/>
    </row>
    <row r="213" spans="1:8" x14ac:dyDescent="0.35">
      <c r="A213" s="3" t="s">
        <v>2133</v>
      </c>
      <c r="B213" s="3" t="s">
        <v>20</v>
      </c>
      <c r="C213" s="3" t="s">
        <v>2788</v>
      </c>
      <c r="D213" s="3" t="s">
        <v>23</v>
      </c>
      <c r="E213" s="3"/>
      <c r="F213" s="3"/>
      <c r="G213" s="3"/>
      <c r="H213" s="3"/>
    </row>
    <row r="214" spans="1:8" x14ac:dyDescent="0.35">
      <c r="A214" s="3" t="s">
        <v>2133</v>
      </c>
      <c r="B214" s="3" t="s">
        <v>20</v>
      </c>
      <c r="C214" s="3" t="s">
        <v>2788</v>
      </c>
      <c r="D214" s="3" t="s">
        <v>28</v>
      </c>
      <c r="E214" s="3"/>
      <c r="F214" s="3"/>
      <c r="G214" s="3"/>
      <c r="H214" s="3"/>
    </row>
    <row r="215" spans="1:8" x14ac:dyDescent="0.35">
      <c r="A215" s="3" t="s">
        <v>2133</v>
      </c>
      <c r="B215" s="3" t="s">
        <v>20</v>
      </c>
      <c r="C215" s="3" t="s">
        <v>2760</v>
      </c>
      <c r="D215" s="3" t="s">
        <v>12</v>
      </c>
      <c r="E215" s="3"/>
      <c r="F215" s="3"/>
      <c r="G215" s="3"/>
      <c r="H215" s="3"/>
    </row>
    <row r="216" spans="1:8" x14ac:dyDescent="0.35">
      <c r="A216" s="3" t="s">
        <v>2133</v>
      </c>
      <c r="B216" s="3" t="s">
        <v>20</v>
      </c>
      <c r="C216" s="3" t="s">
        <v>2760</v>
      </c>
      <c r="D216" s="3" t="s">
        <v>15</v>
      </c>
      <c r="E216" s="3"/>
      <c r="F216" s="3"/>
      <c r="G216" s="3"/>
      <c r="H216" s="3"/>
    </row>
    <row r="217" spans="1:8" x14ac:dyDescent="0.35">
      <c r="A217" s="3" t="s">
        <v>2133</v>
      </c>
      <c r="B217" s="3" t="s">
        <v>20</v>
      </c>
      <c r="C217" s="3" t="s">
        <v>2760</v>
      </c>
      <c r="D217" s="3" t="s">
        <v>107</v>
      </c>
      <c r="E217" s="3"/>
      <c r="F217" s="3"/>
      <c r="G217" s="3"/>
      <c r="H217" s="3"/>
    </row>
    <row r="218" spans="1:8" x14ac:dyDescent="0.35">
      <c r="A218" s="3" t="s">
        <v>2133</v>
      </c>
      <c r="B218" s="3" t="s">
        <v>20</v>
      </c>
      <c r="C218" s="3" t="s">
        <v>2138</v>
      </c>
      <c r="D218" s="3" t="s">
        <v>28</v>
      </c>
      <c r="E218" s="3"/>
      <c r="F218" s="3"/>
      <c r="G218" s="3"/>
      <c r="H218" s="3"/>
    </row>
    <row r="219" spans="1:8" x14ac:dyDescent="0.35">
      <c r="A219" s="3" t="s">
        <v>2133</v>
      </c>
      <c r="B219" s="3" t="s">
        <v>20</v>
      </c>
      <c r="C219" s="3" t="s">
        <v>2138</v>
      </c>
      <c r="D219" s="3" t="s">
        <v>134</v>
      </c>
      <c r="E219" s="3"/>
      <c r="F219" s="3" t="s">
        <v>2139</v>
      </c>
      <c r="G219" s="3"/>
      <c r="H219" s="3"/>
    </row>
    <row r="220" spans="1:8" x14ac:dyDescent="0.35">
      <c r="A220" s="3" t="s">
        <v>2133</v>
      </c>
      <c r="B220" s="3" t="s">
        <v>20</v>
      </c>
      <c r="C220" s="3" t="s">
        <v>2140</v>
      </c>
      <c r="D220" s="3" t="s">
        <v>12</v>
      </c>
      <c r="E220" s="3"/>
      <c r="F220" s="3"/>
      <c r="G220" s="3"/>
      <c r="H220" s="3"/>
    </row>
    <row r="221" spans="1:8" x14ac:dyDescent="0.35">
      <c r="A221" s="3" t="s">
        <v>2133</v>
      </c>
      <c r="B221" s="3" t="s">
        <v>20</v>
      </c>
      <c r="C221" s="3" t="s">
        <v>2140</v>
      </c>
      <c r="D221" s="3" t="s">
        <v>23</v>
      </c>
      <c r="E221" s="3"/>
      <c r="F221" s="3"/>
      <c r="G221" s="3"/>
      <c r="H221" s="3"/>
    </row>
    <row r="222" spans="1:8" x14ac:dyDescent="0.35">
      <c r="A222" s="3" t="s">
        <v>2133</v>
      </c>
      <c r="B222" s="3" t="s">
        <v>20</v>
      </c>
      <c r="C222" s="3" t="s">
        <v>2140</v>
      </c>
      <c r="D222" s="3" t="s">
        <v>77</v>
      </c>
      <c r="E222" s="3"/>
      <c r="F222" s="3"/>
      <c r="G222" s="3"/>
      <c r="H222" s="3"/>
    </row>
    <row r="223" spans="1:8" x14ac:dyDescent="0.35">
      <c r="A223" s="3" t="s">
        <v>2133</v>
      </c>
      <c r="B223" s="3" t="s">
        <v>20</v>
      </c>
      <c r="C223" s="3" t="s">
        <v>2140</v>
      </c>
      <c r="D223" s="3" t="s">
        <v>87</v>
      </c>
      <c r="E223" s="3"/>
      <c r="F223" s="3"/>
      <c r="G223" s="3"/>
      <c r="H223" s="3"/>
    </row>
    <row r="224" spans="1:8" x14ac:dyDescent="0.35">
      <c r="A224" s="3" t="s">
        <v>2133</v>
      </c>
      <c r="B224" s="3" t="s">
        <v>20</v>
      </c>
      <c r="C224" s="3" t="s">
        <v>2140</v>
      </c>
      <c r="D224" s="3" t="s">
        <v>31</v>
      </c>
      <c r="E224" s="3"/>
      <c r="F224" s="3"/>
      <c r="G224" s="3"/>
      <c r="H224" s="3"/>
    </row>
    <row r="225" spans="1:8" x14ac:dyDescent="0.35">
      <c r="A225" s="3" t="s">
        <v>2133</v>
      </c>
      <c r="B225" s="3" t="s">
        <v>20</v>
      </c>
      <c r="C225" s="3" t="s">
        <v>2140</v>
      </c>
      <c r="D225" s="3" t="s">
        <v>15</v>
      </c>
      <c r="E225" s="3" t="s">
        <v>13</v>
      </c>
      <c r="F225" s="3" t="s">
        <v>2141</v>
      </c>
      <c r="G225" s="3"/>
      <c r="H225" s="3"/>
    </row>
    <row r="226" spans="1:8" x14ac:dyDescent="0.35">
      <c r="A226" s="3" t="s">
        <v>2133</v>
      </c>
      <c r="B226" s="3" t="s">
        <v>20</v>
      </c>
      <c r="C226" s="3" t="s">
        <v>2140</v>
      </c>
      <c r="D226" s="3" t="s">
        <v>29</v>
      </c>
      <c r="E226" s="3"/>
      <c r="F226" s="3" t="s">
        <v>2315</v>
      </c>
      <c r="G226" s="3"/>
      <c r="H226" s="3"/>
    </row>
    <row r="227" spans="1:8" x14ac:dyDescent="0.35">
      <c r="A227" s="3" t="s">
        <v>2610</v>
      </c>
      <c r="B227" s="3" t="s">
        <v>42</v>
      </c>
      <c r="C227" s="3" t="s">
        <v>2611</v>
      </c>
      <c r="D227" s="3" t="s">
        <v>12</v>
      </c>
      <c r="E227" s="3"/>
      <c r="F227" s="3"/>
      <c r="G227" s="3"/>
      <c r="H227" s="3"/>
    </row>
    <row r="228" spans="1:8" x14ac:dyDescent="0.35">
      <c r="A228" s="3" t="s">
        <v>2610</v>
      </c>
      <c r="B228" s="3" t="s">
        <v>42</v>
      </c>
      <c r="C228" s="3" t="s">
        <v>2611</v>
      </c>
      <c r="D228" s="3" t="s">
        <v>27</v>
      </c>
      <c r="E228" s="3" t="s">
        <v>16</v>
      </c>
      <c r="F228" s="3" t="s">
        <v>2612</v>
      </c>
      <c r="G228" s="3"/>
      <c r="H228" s="3"/>
    </row>
    <row r="229" spans="1:8" x14ac:dyDescent="0.35">
      <c r="A229" s="3" t="s">
        <v>2610</v>
      </c>
      <c r="B229" s="3" t="s">
        <v>42</v>
      </c>
      <c r="C229" s="3" t="s">
        <v>2611</v>
      </c>
      <c r="D229" s="3" t="s">
        <v>87</v>
      </c>
      <c r="E229" s="3" t="s">
        <v>16</v>
      </c>
      <c r="F229" s="3" t="s">
        <v>2612</v>
      </c>
      <c r="G229" s="3"/>
      <c r="H229" s="3"/>
    </row>
    <row r="230" spans="1:8" x14ac:dyDescent="0.35">
      <c r="A230" s="3" t="s">
        <v>2610</v>
      </c>
      <c r="B230" s="3" t="s">
        <v>42</v>
      </c>
      <c r="C230" s="3" t="s">
        <v>2611</v>
      </c>
      <c r="D230" s="3" t="s">
        <v>98</v>
      </c>
      <c r="E230" s="3" t="s">
        <v>16</v>
      </c>
      <c r="F230" s="3" t="s">
        <v>2612</v>
      </c>
      <c r="G230" s="3"/>
      <c r="H230" s="3"/>
    </row>
    <row r="231" spans="1:8" x14ac:dyDescent="0.35">
      <c r="A231" s="3" t="s">
        <v>2610</v>
      </c>
      <c r="B231" s="3" t="s">
        <v>42</v>
      </c>
      <c r="C231" s="3" t="s">
        <v>2611</v>
      </c>
      <c r="D231" s="3" t="s">
        <v>24</v>
      </c>
      <c r="E231" s="3" t="s">
        <v>16</v>
      </c>
      <c r="F231" s="3" t="s">
        <v>2705</v>
      </c>
      <c r="G231" s="3"/>
      <c r="H231" s="3"/>
    </row>
    <row r="232" spans="1:8" x14ac:dyDescent="0.35">
      <c r="A232" s="3" t="s">
        <v>2610</v>
      </c>
      <c r="B232" s="3" t="s">
        <v>42</v>
      </c>
      <c r="C232" s="3" t="s">
        <v>2611</v>
      </c>
      <c r="D232" s="3" t="s">
        <v>107</v>
      </c>
      <c r="E232" s="3" t="s">
        <v>16</v>
      </c>
      <c r="F232" s="3" t="s">
        <v>2613</v>
      </c>
      <c r="G232" s="3"/>
      <c r="H232" s="3"/>
    </row>
    <row r="233" spans="1:8" x14ac:dyDescent="0.35">
      <c r="A233" s="3" t="s">
        <v>2735</v>
      </c>
      <c r="B233" s="3" t="s">
        <v>42</v>
      </c>
      <c r="C233" s="3" t="s">
        <v>2736</v>
      </c>
      <c r="D233" s="3" t="s">
        <v>15</v>
      </c>
      <c r="E233" s="3" t="s">
        <v>16</v>
      </c>
      <c r="F233" s="3" t="s">
        <v>2737</v>
      </c>
      <c r="G233" s="3" t="s">
        <v>16</v>
      </c>
      <c r="H233" s="3" t="s">
        <v>1736</v>
      </c>
    </row>
    <row r="234" spans="1:8" x14ac:dyDescent="0.35">
      <c r="A234" s="3" t="s">
        <v>2735</v>
      </c>
      <c r="B234" s="3" t="s">
        <v>42</v>
      </c>
      <c r="C234" s="3" t="s">
        <v>2736</v>
      </c>
      <c r="D234" s="3" t="s">
        <v>24</v>
      </c>
      <c r="E234" s="3"/>
      <c r="F234" s="3"/>
      <c r="G234" s="3" t="s">
        <v>16</v>
      </c>
      <c r="H234" s="3" t="s">
        <v>1736</v>
      </c>
    </row>
    <row r="235" spans="1:8" x14ac:dyDescent="0.35">
      <c r="A235" s="3" t="s">
        <v>2735</v>
      </c>
      <c r="B235" s="3" t="s">
        <v>42</v>
      </c>
      <c r="C235" s="3" t="s">
        <v>2736</v>
      </c>
      <c r="D235" s="3" t="s">
        <v>134</v>
      </c>
      <c r="E235" s="3"/>
      <c r="F235" s="3"/>
      <c r="G235" s="3" t="s">
        <v>16</v>
      </c>
      <c r="H235" s="3" t="s">
        <v>1736</v>
      </c>
    </row>
    <row r="236" spans="1:8" x14ac:dyDescent="0.35">
      <c r="A236" s="3" t="s">
        <v>2142</v>
      </c>
      <c r="B236" s="3" t="s">
        <v>42</v>
      </c>
      <c r="C236" s="3" t="s">
        <v>2143</v>
      </c>
      <c r="D236" s="3" t="s">
        <v>12</v>
      </c>
      <c r="E236" s="3"/>
      <c r="F236" s="3"/>
      <c r="G236" s="3"/>
      <c r="H236" s="3"/>
    </row>
    <row r="237" spans="1:8" x14ac:dyDescent="0.35">
      <c r="A237" s="3" t="s">
        <v>2142</v>
      </c>
      <c r="B237" s="3" t="s">
        <v>42</v>
      </c>
      <c r="C237" s="3" t="s">
        <v>2143</v>
      </c>
      <c r="D237" s="3" t="s">
        <v>23</v>
      </c>
      <c r="E237" s="3" t="s">
        <v>13</v>
      </c>
      <c r="F237" s="3" t="s">
        <v>2144</v>
      </c>
      <c r="G237" s="3"/>
      <c r="H237" s="3"/>
    </row>
    <row r="238" spans="1:8" x14ac:dyDescent="0.35">
      <c r="A238" s="3" t="s">
        <v>2142</v>
      </c>
      <c r="B238" s="3" t="s">
        <v>42</v>
      </c>
      <c r="C238" s="3" t="s">
        <v>2143</v>
      </c>
      <c r="D238" s="3" t="s">
        <v>87</v>
      </c>
      <c r="E238" s="3" t="s">
        <v>13</v>
      </c>
      <c r="F238" s="3" t="s">
        <v>2145</v>
      </c>
      <c r="G238" s="3"/>
      <c r="H238" s="3"/>
    </row>
    <row r="239" spans="1:8" x14ac:dyDescent="0.35">
      <c r="A239" s="3" t="s">
        <v>2142</v>
      </c>
      <c r="B239" s="3" t="s">
        <v>42</v>
      </c>
      <c r="C239" s="3" t="s">
        <v>2143</v>
      </c>
      <c r="D239" s="3" t="s">
        <v>15</v>
      </c>
      <c r="E239" s="3" t="s">
        <v>13</v>
      </c>
      <c r="F239" s="3" t="s">
        <v>2146</v>
      </c>
      <c r="G239" s="3"/>
      <c r="H239" s="3"/>
    </row>
    <row r="240" spans="1:8" x14ac:dyDescent="0.35">
      <c r="A240" s="3" t="s">
        <v>2142</v>
      </c>
      <c r="B240" s="3" t="s">
        <v>42</v>
      </c>
      <c r="C240" s="3" t="s">
        <v>2143</v>
      </c>
      <c r="D240" s="3" t="s">
        <v>107</v>
      </c>
      <c r="E240" s="3" t="s">
        <v>13</v>
      </c>
      <c r="F240" s="3" t="s">
        <v>2147</v>
      </c>
      <c r="G240" s="3"/>
      <c r="H240" s="3"/>
    </row>
    <row r="241" spans="1:8" x14ac:dyDescent="0.35">
      <c r="A241" s="3" t="s">
        <v>2142</v>
      </c>
      <c r="B241" s="3" t="s">
        <v>20</v>
      </c>
      <c r="C241" s="3" t="s">
        <v>2148</v>
      </c>
      <c r="D241" s="3" t="s">
        <v>12</v>
      </c>
      <c r="E241" s="3"/>
      <c r="F241" s="3"/>
      <c r="G241" s="3"/>
      <c r="H241" s="3"/>
    </row>
    <row r="242" spans="1:8" x14ac:dyDescent="0.35">
      <c r="A242" s="3" t="s">
        <v>2142</v>
      </c>
      <c r="B242" s="3" t="s">
        <v>20</v>
      </c>
      <c r="C242" s="3" t="s">
        <v>2148</v>
      </c>
      <c r="D242" s="3" t="s">
        <v>23</v>
      </c>
      <c r="E242" s="3"/>
      <c r="F242" s="3"/>
      <c r="G242" s="3"/>
      <c r="H242" s="3"/>
    </row>
    <row r="243" spans="1:8" x14ac:dyDescent="0.35">
      <c r="A243" s="3" t="s">
        <v>2142</v>
      </c>
      <c r="B243" s="3" t="s">
        <v>20</v>
      </c>
      <c r="C243" s="3" t="s">
        <v>2148</v>
      </c>
      <c r="D243" s="3" t="s">
        <v>87</v>
      </c>
      <c r="E243" s="3"/>
      <c r="F243" s="3"/>
      <c r="G243" s="3"/>
      <c r="H243" s="3"/>
    </row>
    <row r="244" spans="1:8" x14ac:dyDescent="0.35">
      <c r="A244" s="3" t="s">
        <v>2142</v>
      </c>
      <c r="B244" s="3" t="s">
        <v>20</v>
      </c>
      <c r="C244" s="3" t="s">
        <v>2148</v>
      </c>
      <c r="D244" s="3" t="s">
        <v>57</v>
      </c>
      <c r="E244" s="3"/>
      <c r="F244" s="3"/>
      <c r="G244" s="3"/>
      <c r="H244" s="3"/>
    </row>
    <row r="245" spans="1:8" x14ac:dyDescent="0.35">
      <c r="A245" s="3" t="s">
        <v>2142</v>
      </c>
      <c r="B245" s="3" t="s">
        <v>20</v>
      </c>
      <c r="C245" s="3" t="s">
        <v>2148</v>
      </c>
      <c r="D245" s="3" t="s">
        <v>56</v>
      </c>
      <c r="E245" s="3" t="s">
        <v>16</v>
      </c>
      <c r="F245" s="3" t="s">
        <v>2149</v>
      </c>
      <c r="G245" s="3"/>
      <c r="H245" s="3"/>
    </row>
    <row r="246" spans="1:8" x14ac:dyDescent="0.35">
      <c r="A246" s="3" t="s">
        <v>2142</v>
      </c>
      <c r="B246" s="3" t="s">
        <v>20</v>
      </c>
      <c r="C246" s="3" t="s">
        <v>2148</v>
      </c>
      <c r="D246" s="3" t="s">
        <v>24</v>
      </c>
      <c r="E246" s="3"/>
      <c r="F246" s="3" t="s">
        <v>2404</v>
      </c>
      <c r="G246" s="3"/>
      <c r="H246" s="3"/>
    </row>
    <row r="247" spans="1:8" x14ac:dyDescent="0.35">
      <c r="A247" s="3" t="s">
        <v>2739</v>
      </c>
      <c r="B247" s="3" t="s">
        <v>42</v>
      </c>
      <c r="C247" s="3" t="s">
        <v>2738</v>
      </c>
      <c r="D247" s="3" t="s">
        <v>27</v>
      </c>
      <c r="E247" s="3"/>
      <c r="F247" s="3"/>
      <c r="G247" s="3"/>
      <c r="H247" s="3"/>
    </row>
    <row r="248" spans="1:8" x14ac:dyDescent="0.35">
      <c r="A248" s="3" t="s">
        <v>2739</v>
      </c>
      <c r="B248" s="3" t="s">
        <v>42</v>
      </c>
      <c r="C248" s="3" t="s">
        <v>2738</v>
      </c>
      <c r="D248" s="3" t="s">
        <v>87</v>
      </c>
      <c r="E248" s="3"/>
      <c r="F248" s="3"/>
      <c r="G248" s="3"/>
      <c r="H248" s="3"/>
    </row>
    <row r="249" spans="1:8" x14ac:dyDescent="0.35">
      <c r="A249" s="3" t="s">
        <v>2739</v>
      </c>
      <c r="B249" s="3" t="s">
        <v>42</v>
      </c>
      <c r="C249" s="3" t="s">
        <v>2738</v>
      </c>
      <c r="D249" s="3" t="s">
        <v>24</v>
      </c>
      <c r="E249" s="3"/>
      <c r="F249" s="3"/>
      <c r="G249" s="3"/>
      <c r="H249" s="3"/>
    </row>
    <row r="250" spans="1:8" x14ac:dyDescent="0.35">
      <c r="A250" s="3" t="s">
        <v>2739</v>
      </c>
      <c r="B250" s="3" t="s">
        <v>42</v>
      </c>
      <c r="C250" s="3" t="s">
        <v>2738</v>
      </c>
      <c r="D250" s="3" t="s">
        <v>134</v>
      </c>
      <c r="E250" s="3" t="s">
        <v>16</v>
      </c>
      <c r="F250" s="3" t="s">
        <v>2740</v>
      </c>
      <c r="G250" s="3"/>
      <c r="H250" s="3"/>
    </row>
    <row r="251" spans="1:8" x14ac:dyDescent="0.35">
      <c r="A251" s="3" t="s">
        <v>2655</v>
      </c>
      <c r="B251" s="3" t="s">
        <v>42</v>
      </c>
      <c r="C251" s="3" t="s">
        <v>2656</v>
      </c>
      <c r="D251" s="3" t="s">
        <v>15</v>
      </c>
      <c r="E251" s="3" t="s">
        <v>16</v>
      </c>
      <c r="F251" s="3" t="s">
        <v>990</v>
      </c>
      <c r="G251" s="3" t="s">
        <v>16</v>
      </c>
      <c r="H251" s="3" t="s">
        <v>2657</v>
      </c>
    </row>
    <row r="252" spans="1:8" x14ac:dyDescent="0.35">
      <c r="A252" s="3" t="s">
        <v>2655</v>
      </c>
      <c r="B252" s="3" t="s">
        <v>42</v>
      </c>
      <c r="C252" s="3" t="s">
        <v>2656</v>
      </c>
      <c r="D252" s="3" t="s">
        <v>24</v>
      </c>
      <c r="E252" s="3"/>
      <c r="F252" s="3"/>
      <c r="G252" s="3"/>
      <c r="H252" s="3"/>
    </row>
    <row r="253" spans="1:8" x14ac:dyDescent="0.35">
      <c r="A253" s="3" t="s">
        <v>2150</v>
      </c>
      <c r="B253" s="3" t="s">
        <v>20</v>
      </c>
      <c r="C253" s="3" t="s">
        <v>2151</v>
      </c>
      <c r="D253" s="3" t="s">
        <v>12</v>
      </c>
      <c r="E253" s="3"/>
      <c r="F253" s="3"/>
      <c r="G253" s="3"/>
      <c r="H253" s="3"/>
    </row>
    <row r="254" spans="1:8" x14ac:dyDescent="0.35">
      <c r="A254" s="3" t="s">
        <v>2150</v>
      </c>
      <c r="B254" s="3" t="s">
        <v>20</v>
      </c>
      <c r="C254" s="3" t="s">
        <v>2151</v>
      </c>
      <c r="D254" s="3" t="s">
        <v>23</v>
      </c>
      <c r="E254" s="3" t="s">
        <v>13</v>
      </c>
      <c r="F254" s="3" t="s">
        <v>2152</v>
      </c>
      <c r="G254" s="3"/>
      <c r="H254" s="3"/>
    </row>
    <row r="255" spans="1:8" x14ac:dyDescent="0.35">
      <c r="A255" s="3" t="s">
        <v>2150</v>
      </c>
      <c r="B255" s="3" t="s">
        <v>20</v>
      </c>
      <c r="C255" s="3" t="s">
        <v>2151</v>
      </c>
      <c r="D255" s="3" t="s">
        <v>141</v>
      </c>
      <c r="E255" s="3" t="s">
        <v>13</v>
      </c>
      <c r="F255" s="3" t="s">
        <v>2153</v>
      </c>
      <c r="G255" s="3"/>
      <c r="H255" s="3"/>
    </row>
    <row r="256" spans="1:8" x14ac:dyDescent="0.35">
      <c r="A256" s="3" t="s">
        <v>2150</v>
      </c>
      <c r="B256" s="3" t="s">
        <v>20</v>
      </c>
      <c r="C256" s="3" t="s">
        <v>2151</v>
      </c>
      <c r="D256" s="3" t="s">
        <v>87</v>
      </c>
      <c r="E256" s="3" t="s">
        <v>13</v>
      </c>
      <c r="F256" s="3" t="s">
        <v>2153</v>
      </c>
      <c r="G256" s="3"/>
      <c r="H256" s="3"/>
    </row>
    <row r="257" spans="1:8" x14ac:dyDescent="0.35">
      <c r="A257" s="3" t="s">
        <v>2150</v>
      </c>
      <c r="B257" s="3" t="s">
        <v>20</v>
      </c>
      <c r="C257" s="3" t="s">
        <v>2786</v>
      </c>
      <c r="D257" s="3" t="s">
        <v>12</v>
      </c>
      <c r="E257" s="3"/>
      <c r="F257" s="3"/>
      <c r="G257" s="3"/>
      <c r="H257" s="3"/>
    </row>
    <row r="258" spans="1:8" x14ac:dyDescent="0.35">
      <c r="A258" s="3" t="s">
        <v>2150</v>
      </c>
      <c r="B258" s="3" t="s">
        <v>20</v>
      </c>
      <c r="C258" s="3" t="s">
        <v>2786</v>
      </c>
      <c r="D258" s="3" t="s">
        <v>23</v>
      </c>
      <c r="E258" s="3"/>
      <c r="F258" s="3"/>
      <c r="G258" s="3"/>
      <c r="H258" s="3"/>
    </row>
    <row r="259" spans="1:8" x14ac:dyDescent="0.35">
      <c r="A259" s="3" t="s">
        <v>2150</v>
      </c>
      <c r="B259" s="3" t="s">
        <v>20</v>
      </c>
      <c r="C259" s="3" t="s">
        <v>2786</v>
      </c>
      <c r="D259" s="3" t="s">
        <v>60</v>
      </c>
      <c r="E259" s="3" t="s">
        <v>13</v>
      </c>
      <c r="F259" s="3" t="s">
        <v>2155</v>
      </c>
      <c r="G259" s="3"/>
      <c r="H259" s="3"/>
    </row>
    <row r="260" spans="1:8" x14ac:dyDescent="0.35">
      <c r="A260" s="3" t="s">
        <v>2150</v>
      </c>
      <c r="B260" s="3" t="s">
        <v>20</v>
      </c>
      <c r="C260" s="3" t="s">
        <v>2786</v>
      </c>
      <c r="D260" s="3" t="s">
        <v>28</v>
      </c>
      <c r="E260" s="3"/>
      <c r="F260" s="3"/>
      <c r="G260" s="3"/>
      <c r="H260" s="3"/>
    </row>
    <row r="261" spans="1:8" x14ac:dyDescent="0.35">
      <c r="A261" s="3" t="s">
        <v>2150</v>
      </c>
      <c r="B261" s="3" t="s">
        <v>20</v>
      </c>
      <c r="C261" s="3" t="s">
        <v>2786</v>
      </c>
      <c r="D261" s="3" t="s">
        <v>56</v>
      </c>
      <c r="E261" s="3" t="s">
        <v>13</v>
      </c>
      <c r="F261" s="3" t="s">
        <v>2154</v>
      </c>
      <c r="G261" s="3"/>
      <c r="H261" s="3"/>
    </row>
    <row r="262" spans="1:8" x14ac:dyDescent="0.35">
      <c r="A262" s="3" t="s">
        <v>2150</v>
      </c>
      <c r="B262" s="3" t="s">
        <v>20</v>
      </c>
      <c r="C262" s="3" t="s">
        <v>2156</v>
      </c>
      <c r="D262" s="3" t="s">
        <v>36</v>
      </c>
      <c r="E262" s="3"/>
      <c r="F262" s="3"/>
      <c r="G262" s="3"/>
      <c r="H262" s="3"/>
    </row>
    <row r="263" spans="1:8" x14ac:dyDescent="0.35">
      <c r="A263" s="3" t="s">
        <v>2150</v>
      </c>
      <c r="B263" s="3" t="s">
        <v>20</v>
      </c>
      <c r="C263" s="3" t="s">
        <v>2156</v>
      </c>
      <c r="D263" s="3" t="s">
        <v>23</v>
      </c>
      <c r="E263" s="3"/>
      <c r="F263" s="3"/>
      <c r="G263" s="3"/>
      <c r="H263" s="3"/>
    </row>
    <row r="264" spans="1:8" x14ac:dyDescent="0.35">
      <c r="A264" s="3" t="s">
        <v>2150</v>
      </c>
      <c r="B264" s="3" t="s">
        <v>20</v>
      </c>
      <c r="C264" s="3" t="s">
        <v>2156</v>
      </c>
      <c r="D264" s="3" t="s">
        <v>25</v>
      </c>
      <c r="E264" s="3"/>
      <c r="F264" s="3"/>
      <c r="G264" s="3"/>
      <c r="H264" s="3"/>
    </row>
    <row r="265" spans="1:8" x14ac:dyDescent="0.35">
      <c r="A265" s="3" t="s">
        <v>2150</v>
      </c>
      <c r="B265" s="3" t="s">
        <v>20</v>
      </c>
      <c r="C265" s="3" t="s">
        <v>2156</v>
      </c>
      <c r="D265" s="3" t="s">
        <v>87</v>
      </c>
      <c r="E265" s="3"/>
      <c r="F265" s="3" t="s">
        <v>2397</v>
      </c>
      <c r="G265" s="3"/>
      <c r="H265" s="3"/>
    </row>
    <row r="266" spans="1:8" x14ac:dyDescent="0.35">
      <c r="A266" s="3" t="s">
        <v>2150</v>
      </c>
      <c r="B266" s="3" t="s">
        <v>20</v>
      </c>
      <c r="C266" s="3" t="s">
        <v>2156</v>
      </c>
      <c r="D266" s="3" t="s">
        <v>15</v>
      </c>
      <c r="E266" s="3" t="s">
        <v>16</v>
      </c>
      <c r="F266" s="3" t="s">
        <v>2157</v>
      </c>
      <c r="G266" s="3"/>
      <c r="H266" s="3"/>
    </row>
    <row r="267" spans="1:8" x14ac:dyDescent="0.35">
      <c r="A267" s="3" t="s">
        <v>2150</v>
      </c>
      <c r="B267" s="3" t="s">
        <v>20</v>
      </c>
      <c r="C267" s="3" t="s">
        <v>2156</v>
      </c>
      <c r="D267" s="3" t="s">
        <v>57</v>
      </c>
      <c r="E267" s="3"/>
      <c r="F267" s="3"/>
      <c r="G267" s="3"/>
      <c r="H267" s="3"/>
    </row>
    <row r="268" spans="1:8" x14ac:dyDescent="0.35">
      <c r="A268" s="3" t="s">
        <v>2150</v>
      </c>
      <c r="B268" s="3" t="s">
        <v>20</v>
      </c>
      <c r="C268" s="3" t="s">
        <v>2156</v>
      </c>
      <c r="D268" s="3" t="s">
        <v>56</v>
      </c>
      <c r="E268" s="3" t="s">
        <v>16</v>
      </c>
      <c r="F268" s="3" t="s">
        <v>2398</v>
      </c>
      <c r="G268" s="3"/>
      <c r="H268" s="3"/>
    </row>
    <row r="269" spans="1:8" x14ac:dyDescent="0.35">
      <c r="A269" s="3" t="s">
        <v>2150</v>
      </c>
      <c r="B269" s="3" t="s">
        <v>39</v>
      </c>
      <c r="C269" s="3" t="s">
        <v>2158</v>
      </c>
      <c r="D269" s="3" t="s">
        <v>12</v>
      </c>
      <c r="E269" s="3" t="s">
        <v>33</v>
      </c>
      <c r="F269" s="3" t="s">
        <v>2159</v>
      </c>
      <c r="G269" s="3"/>
      <c r="H269" s="3"/>
    </row>
    <row r="270" spans="1:8" x14ac:dyDescent="0.35">
      <c r="A270" s="3" t="s">
        <v>2150</v>
      </c>
      <c r="B270" s="3" t="s">
        <v>39</v>
      </c>
      <c r="C270" s="3" t="s">
        <v>2158</v>
      </c>
      <c r="D270" s="3" t="s">
        <v>60</v>
      </c>
      <c r="E270" s="3" t="s">
        <v>33</v>
      </c>
      <c r="F270" s="3" t="s">
        <v>2159</v>
      </c>
      <c r="G270" s="3"/>
      <c r="H270" s="3"/>
    </row>
    <row r="271" spans="1:8" x14ac:dyDescent="0.35">
      <c r="A271" s="3" t="s">
        <v>2150</v>
      </c>
      <c r="B271" s="3" t="s">
        <v>39</v>
      </c>
      <c r="C271" s="3" t="s">
        <v>2158</v>
      </c>
      <c r="D271" s="3" t="s">
        <v>141</v>
      </c>
      <c r="E271" s="3" t="s">
        <v>33</v>
      </c>
      <c r="F271" s="3" t="s">
        <v>2159</v>
      </c>
      <c r="G271" s="3"/>
      <c r="H271" s="3"/>
    </row>
    <row r="272" spans="1:8" x14ac:dyDescent="0.35">
      <c r="A272" s="3" t="s">
        <v>2150</v>
      </c>
      <c r="B272" s="3" t="s">
        <v>39</v>
      </c>
      <c r="C272" s="3" t="s">
        <v>2158</v>
      </c>
      <c r="D272" s="3" t="s">
        <v>15</v>
      </c>
      <c r="E272" s="3" t="s">
        <v>33</v>
      </c>
      <c r="F272" s="3" t="s">
        <v>2159</v>
      </c>
      <c r="G272" s="3"/>
      <c r="H272" s="3"/>
    </row>
    <row r="273" spans="1:8" x14ac:dyDescent="0.35">
      <c r="A273" s="3" t="s">
        <v>2150</v>
      </c>
      <c r="B273" s="3" t="s">
        <v>39</v>
      </c>
      <c r="C273" s="3" t="s">
        <v>2158</v>
      </c>
      <c r="D273" s="3" t="s">
        <v>134</v>
      </c>
      <c r="E273" s="3" t="s">
        <v>33</v>
      </c>
      <c r="F273" s="3" t="s">
        <v>2159</v>
      </c>
      <c r="G273" s="3"/>
      <c r="H273" s="3"/>
    </row>
    <row r="274" spans="1:8" x14ac:dyDescent="0.35">
      <c r="A274" s="3" t="s">
        <v>2150</v>
      </c>
      <c r="B274" s="3" t="s">
        <v>20</v>
      </c>
      <c r="C274" s="3" t="s">
        <v>2160</v>
      </c>
      <c r="D274" s="3" t="s">
        <v>12</v>
      </c>
      <c r="E274" s="3"/>
      <c r="F274" s="3"/>
      <c r="G274" s="3"/>
      <c r="H274" s="3"/>
    </row>
    <row r="275" spans="1:8" x14ac:dyDescent="0.35">
      <c r="A275" s="3" t="s">
        <v>2150</v>
      </c>
      <c r="B275" s="3" t="s">
        <v>20</v>
      </c>
      <c r="C275" s="3" t="s">
        <v>2160</v>
      </c>
      <c r="D275" s="3" t="s">
        <v>24</v>
      </c>
      <c r="E275" s="3"/>
      <c r="F275" s="3"/>
      <c r="G275" s="3"/>
      <c r="H275" s="3"/>
    </row>
    <row r="276" spans="1:8" x14ac:dyDescent="0.35">
      <c r="A276" s="3" t="s">
        <v>2150</v>
      </c>
      <c r="B276" s="3" t="s">
        <v>45</v>
      </c>
      <c r="C276" s="3" t="s">
        <v>2161</v>
      </c>
      <c r="D276" s="3" t="s">
        <v>77</v>
      </c>
      <c r="E276" s="3"/>
      <c r="F276" s="3"/>
      <c r="G276" s="3"/>
      <c r="H276" s="3"/>
    </row>
    <row r="277" spans="1:8" x14ac:dyDescent="0.35">
      <c r="A277" s="3" t="s">
        <v>2150</v>
      </c>
      <c r="B277" s="3" t="s">
        <v>45</v>
      </c>
      <c r="C277" s="3" t="s">
        <v>2161</v>
      </c>
      <c r="D277" s="3" t="s">
        <v>56</v>
      </c>
      <c r="E277" s="3" t="s">
        <v>13</v>
      </c>
      <c r="F277" s="3" t="s">
        <v>2162</v>
      </c>
      <c r="G277" s="3"/>
      <c r="H277" s="3"/>
    </row>
    <row r="278" spans="1:8" x14ac:dyDescent="0.35">
      <c r="A278" s="3" t="s">
        <v>2150</v>
      </c>
      <c r="B278" s="3" t="s">
        <v>45</v>
      </c>
      <c r="C278" s="3" t="s">
        <v>2161</v>
      </c>
      <c r="D278" s="3" t="s">
        <v>24</v>
      </c>
      <c r="E278" s="3"/>
      <c r="F278" s="3" t="s">
        <v>2429</v>
      </c>
      <c r="G278" s="3"/>
      <c r="H278" s="3"/>
    </row>
    <row r="279" spans="1:8" x14ac:dyDescent="0.35">
      <c r="A279" s="3" t="s">
        <v>2150</v>
      </c>
      <c r="B279" s="3" t="s">
        <v>20</v>
      </c>
      <c r="C279" s="3" t="s">
        <v>2163</v>
      </c>
      <c r="D279" s="3" t="s">
        <v>12</v>
      </c>
      <c r="E279" s="3"/>
      <c r="F279" s="3"/>
      <c r="G279" s="3"/>
      <c r="H279" s="3"/>
    </row>
    <row r="280" spans="1:8" x14ac:dyDescent="0.35">
      <c r="A280" s="3" t="s">
        <v>2150</v>
      </c>
      <c r="B280" s="3" t="s">
        <v>20</v>
      </c>
      <c r="C280" s="3" t="s">
        <v>2163</v>
      </c>
      <c r="D280" s="3" t="s">
        <v>23</v>
      </c>
      <c r="E280" s="3"/>
      <c r="F280" s="3"/>
      <c r="G280" s="3"/>
      <c r="H280" s="3"/>
    </row>
    <row r="281" spans="1:8" x14ac:dyDescent="0.35">
      <c r="A281" s="3" t="s">
        <v>2150</v>
      </c>
      <c r="B281" s="3" t="s">
        <v>20</v>
      </c>
      <c r="C281" s="3" t="s">
        <v>2163</v>
      </c>
      <c r="D281" s="3" t="s">
        <v>15</v>
      </c>
      <c r="E281" s="3"/>
      <c r="F281" s="3"/>
      <c r="G281" s="3"/>
      <c r="H281" s="3"/>
    </row>
    <row r="282" spans="1:8" x14ac:dyDescent="0.35">
      <c r="A282" s="3" t="s">
        <v>2150</v>
      </c>
      <c r="B282" s="3" t="s">
        <v>20</v>
      </c>
      <c r="C282" s="3" t="s">
        <v>2163</v>
      </c>
      <c r="D282" s="3" t="s">
        <v>57</v>
      </c>
      <c r="E282" s="3"/>
      <c r="F282" s="3"/>
      <c r="G282" s="3"/>
      <c r="H282" s="3"/>
    </row>
    <row r="283" spans="1:8" x14ac:dyDescent="0.35">
      <c r="A283" s="3" t="s">
        <v>2150</v>
      </c>
      <c r="B283" s="3" t="s">
        <v>20</v>
      </c>
      <c r="C283" s="3" t="s">
        <v>2163</v>
      </c>
      <c r="D283" s="3" t="s">
        <v>134</v>
      </c>
      <c r="E283" s="3" t="s">
        <v>13</v>
      </c>
      <c r="F283" s="3" t="s">
        <v>2164</v>
      </c>
      <c r="G283" s="3"/>
      <c r="H283" s="3"/>
    </row>
    <row r="284" spans="1:8" x14ac:dyDescent="0.35">
      <c r="A284" s="3" t="s">
        <v>2150</v>
      </c>
      <c r="B284" s="3" t="s">
        <v>39</v>
      </c>
      <c r="C284" s="3" t="s">
        <v>2759</v>
      </c>
      <c r="D284" s="3" t="s">
        <v>12</v>
      </c>
      <c r="E284" s="3"/>
      <c r="F284" s="3"/>
      <c r="G284" s="3"/>
      <c r="H284" s="3"/>
    </row>
    <row r="285" spans="1:8" x14ac:dyDescent="0.35">
      <c r="A285" s="3" t="s">
        <v>2150</v>
      </c>
      <c r="B285" s="3" t="s">
        <v>39</v>
      </c>
      <c r="C285" s="3" t="s">
        <v>2759</v>
      </c>
      <c r="D285" s="3" t="s">
        <v>25</v>
      </c>
      <c r="E285" s="3" t="s">
        <v>13</v>
      </c>
      <c r="F285" s="3" t="s">
        <v>2165</v>
      </c>
      <c r="G285" s="3"/>
      <c r="H285" s="3"/>
    </row>
    <row r="286" spans="1:8" x14ac:dyDescent="0.35">
      <c r="A286" s="3" t="s">
        <v>2150</v>
      </c>
      <c r="B286" s="3" t="s">
        <v>39</v>
      </c>
      <c r="C286" s="3" t="s">
        <v>2759</v>
      </c>
      <c r="D286" s="3" t="s">
        <v>15</v>
      </c>
      <c r="E286" s="3" t="s">
        <v>13</v>
      </c>
      <c r="F286" s="3" t="s">
        <v>2166</v>
      </c>
      <c r="G286" s="3"/>
      <c r="H286" s="3"/>
    </row>
    <row r="287" spans="1:8" x14ac:dyDescent="0.35">
      <c r="A287" s="3" t="s">
        <v>2150</v>
      </c>
      <c r="B287" s="3" t="s">
        <v>39</v>
      </c>
      <c r="C287" s="3" t="s">
        <v>2759</v>
      </c>
      <c r="D287" s="3" t="s">
        <v>57</v>
      </c>
      <c r="E287" s="3"/>
      <c r="F287" s="3"/>
      <c r="G287" s="3"/>
      <c r="H287" s="3"/>
    </row>
    <row r="288" spans="1:8" x14ac:dyDescent="0.35">
      <c r="A288" s="3" t="s">
        <v>2150</v>
      </c>
      <c r="B288" s="3" t="s">
        <v>39</v>
      </c>
      <c r="C288" s="3" t="s">
        <v>2759</v>
      </c>
      <c r="D288" s="3" t="s">
        <v>26</v>
      </c>
      <c r="E288" s="3" t="s">
        <v>13</v>
      </c>
      <c r="F288" s="3" t="s">
        <v>2165</v>
      </c>
      <c r="G288" s="3"/>
      <c r="H288" s="3"/>
    </row>
    <row r="289" spans="1:8" x14ac:dyDescent="0.35">
      <c r="A289" s="3" t="s">
        <v>2150</v>
      </c>
      <c r="B289" s="3" t="s">
        <v>20</v>
      </c>
      <c r="C289" s="3" t="s">
        <v>2167</v>
      </c>
      <c r="D289" s="3" t="s">
        <v>23</v>
      </c>
      <c r="E289" s="3"/>
      <c r="F289" s="3"/>
      <c r="G289" s="3"/>
      <c r="H289" s="3"/>
    </row>
    <row r="290" spans="1:8" x14ac:dyDescent="0.35">
      <c r="A290" s="3" t="s">
        <v>2150</v>
      </c>
      <c r="B290" s="3" t="s">
        <v>20</v>
      </c>
      <c r="C290" s="3" t="s">
        <v>2167</v>
      </c>
      <c r="D290" s="3" t="s">
        <v>26</v>
      </c>
      <c r="E290" s="3"/>
      <c r="F290" s="3" t="s">
        <v>2863</v>
      </c>
      <c r="G290" s="3"/>
      <c r="H290" s="3"/>
    </row>
    <row r="291" spans="1:8" x14ac:dyDescent="0.35">
      <c r="A291" s="3" t="s">
        <v>2150</v>
      </c>
      <c r="B291" s="3" t="s">
        <v>20</v>
      </c>
      <c r="C291" s="3" t="s">
        <v>2167</v>
      </c>
      <c r="D291" s="3" t="s">
        <v>28</v>
      </c>
      <c r="E291" s="3"/>
      <c r="F291" s="3"/>
      <c r="G291" s="3"/>
      <c r="H291" s="3"/>
    </row>
    <row r="292" spans="1:8" x14ac:dyDescent="0.35">
      <c r="A292" s="3" t="s">
        <v>2150</v>
      </c>
      <c r="B292" s="3" t="s">
        <v>20</v>
      </c>
      <c r="C292" s="3" t="s">
        <v>2167</v>
      </c>
      <c r="D292" s="3" t="s">
        <v>87</v>
      </c>
      <c r="E292" s="3"/>
      <c r="F292" s="3" t="s">
        <v>2397</v>
      </c>
      <c r="G292" s="3"/>
      <c r="H292" s="3"/>
    </row>
    <row r="293" spans="1:8" x14ac:dyDescent="0.35">
      <c r="A293" s="3" t="s">
        <v>2150</v>
      </c>
      <c r="B293" s="3" t="s">
        <v>20</v>
      </c>
      <c r="C293" s="3" t="s">
        <v>2167</v>
      </c>
      <c r="D293" s="3" t="s">
        <v>98</v>
      </c>
      <c r="E293" s="3"/>
      <c r="F293" s="3"/>
      <c r="G293" s="3"/>
      <c r="H293" s="3"/>
    </row>
    <row r="294" spans="1:8" x14ac:dyDescent="0.35">
      <c r="A294" s="3" t="s">
        <v>2150</v>
      </c>
      <c r="B294" s="3" t="s">
        <v>20</v>
      </c>
      <c r="C294" s="3" t="s">
        <v>2167</v>
      </c>
      <c r="D294" s="3" t="s">
        <v>56</v>
      </c>
      <c r="E294" s="3"/>
      <c r="F294" s="3"/>
      <c r="G294" s="3"/>
      <c r="H294" s="3"/>
    </row>
    <row r="295" spans="1:8" x14ac:dyDescent="0.35">
      <c r="A295" s="3" t="s">
        <v>2150</v>
      </c>
      <c r="B295" s="3" t="s">
        <v>20</v>
      </c>
      <c r="C295" s="3" t="s">
        <v>2167</v>
      </c>
      <c r="D295" s="3" t="s">
        <v>911</v>
      </c>
      <c r="E295" s="3"/>
      <c r="F295" s="3"/>
      <c r="G295" s="3"/>
      <c r="H295" s="3"/>
    </row>
    <row r="296" spans="1:8" x14ac:dyDescent="0.35">
      <c r="A296" s="3" t="s">
        <v>2150</v>
      </c>
      <c r="B296" s="3" t="s">
        <v>20</v>
      </c>
      <c r="C296" s="3" t="s">
        <v>2167</v>
      </c>
      <c r="D296" s="3" t="s">
        <v>24</v>
      </c>
      <c r="E296" s="3"/>
      <c r="F296" s="3"/>
      <c r="G296" s="3"/>
      <c r="H296" s="3"/>
    </row>
    <row r="297" spans="1:8" x14ac:dyDescent="0.35">
      <c r="A297" s="3" t="s">
        <v>2150</v>
      </c>
      <c r="B297" s="3" t="s">
        <v>10</v>
      </c>
      <c r="C297" s="3" t="s">
        <v>2168</v>
      </c>
      <c r="D297" s="3" t="s">
        <v>28</v>
      </c>
      <c r="E297" s="3"/>
      <c r="F297" s="3"/>
      <c r="G297" s="3"/>
      <c r="H297" s="3"/>
    </row>
    <row r="298" spans="1:8" x14ac:dyDescent="0.35">
      <c r="A298" s="3" t="s">
        <v>2150</v>
      </c>
      <c r="B298" s="3" t="s">
        <v>10</v>
      </c>
      <c r="C298" s="3" t="s">
        <v>2168</v>
      </c>
      <c r="D298" s="3" t="s">
        <v>24</v>
      </c>
      <c r="E298" s="3"/>
      <c r="F298" s="3"/>
      <c r="G298" s="3"/>
      <c r="H298" s="3"/>
    </row>
    <row r="299" spans="1:8" x14ac:dyDescent="0.35">
      <c r="A299" s="3" t="s">
        <v>2150</v>
      </c>
      <c r="B299" s="3" t="s">
        <v>42</v>
      </c>
      <c r="C299" s="3" t="s">
        <v>2169</v>
      </c>
      <c r="D299" s="3" t="s">
        <v>12</v>
      </c>
      <c r="E299" s="3"/>
      <c r="F299" s="3"/>
      <c r="G299" s="3"/>
      <c r="H299" s="3"/>
    </row>
    <row r="300" spans="1:8" x14ac:dyDescent="0.35">
      <c r="A300" s="3" t="s">
        <v>2150</v>
      </c>
      <c r="B300" s="3" t="s">
        <v>42</v>
      </c>
      <c r="C300" s="3" t="s">
        <v>2169</v>
      </c>
      <c r="D300" s="3" t="s">
        <v>23</v>
      </c>
      <c r="E300" s="3" t="s">
        <v>13</v>
      </c>
      <c r="F300" s="3" t="s">
        <v>2170</v>
      </c>
      <c r="G300" s="3"/>
      <c r="H300" s="3"/>
    </row>
    <row r="301" spans="1:8" x14ac:dyDescent="0.35">
      <c r="A301" s="3" t="s">
        <v>2150</v>
      </c>
      <c r="B301" s="3" t="s">
        <v>42</v>
      </c>
      <c r="C301" s="3" t="s">
        <v>2169</v>
      </c>
      <c r="D301" s="3" t="s">
        <v>60</v>
      </c>
      <c r="E301" s="3"/>
      <c r="F301" s="3"/>
      <c r="G301" s="3"/>
      <c r="H301" s="3"/>
    </row>
    <row r="302" spans="1:8" x14ac:dyDescent="0.35">
      <c r="A302" s="3" t="s">
        <v>2150</v>
      </c>
      <c r="B302" s="3" t="s">
        <v>42</v>
      </c>
      <c r="C302" s="3" t="s">
        <v>2169</v>
      </c>
      <c r="D302" s="3" t="s">
        <v>28</v>
      </c>
      <c r="E302" s="3" t="s">
        <v>13</v>
      </c>
      <c r="F302" s="3" t="s">
        <v>2171</v>
      </c>
      <c r="G302" s="3"/>
      <c r="H302" s="3"/>
    </row>
    <row r="303" spans="1:8" x14ac:dyDescent="0.35">
      <c r="A303" s="3" t="s">
        <v>2150</v>
      </c>
      <c r="B303" s="3" t="s">
        <v>42</v>
      </c>
      <c r="C303" s="3" t="s">
        <v>2169</v>
      </c>
      <c r="D303" s="3" t="s">
        <v>98</v>
      </c>
      <c r="E303" s="3"/>
      <c r="F303" s="3"/>
      <c r="G303" s="3"/>
      <c r="H303" s="3"/>
    </row>
    <row r="304" spans="1:8" x14ac:dyDescent="0.35">
      <c r="A304" s="3" t="s">
        <v>2150</v>
      </c>
      <c r="B304" s="3" t="s">
        <v>42</v>
      </c>
      <c r="C304" s="3" t="s">
        <v>2169</v>
      </c>
      <c r="D304" s="3" t="s">
        <v>15</v>
      </c>
      <c r="E304" s="3"/>
      <c r="F304" s="3"/>
      <c r="G304" s="3"/>
      <c r="H304" s="3"/>
    </row>
    <row r="305" spans="1:8" x14ac:dyDescent="0.35">
      <c r="A305" s="3" t="s">
        <v>2150</v>
      </c>
      <c r="B305" s="3" t="s">
        <v>42</v>
      </c>
      <c r="C305" s="3" t="s">
        <v>2169</v>
      </c>
      <c r="D305" s="3" t="s">
        <v>57</v>
      </c>
      <c r="E305" s="3"/>
      <c r="F305" s="3" t="s">
        <v>2311</v>
      </c>
      <c r="G305" s="3"/>
      <c r="H305" s="3"/>
    </row>
    <row r="306" spans="1:8" x14ac:dyDescent="0.35">
      <c r="A306" s="3" t="s">
        <v>2150</v>
      </c>
      <c r="B306" s="3" t="s">
        <v>42</v>
      </c>
      <c r="C306" s="3" t="s">
        <v>2169</v>
      </c>
      <c r="D306" s="3" t="s">
        <v>56</v>
      </c>
      <c r="E306" s="3"/>
      <c r="F306" s="3"/>
      <c r="G306" s="3"/>
      <c r="H306" s="3"/>
    </row>
    <row r="307" spans="1:8" x14ac:dyDescent="0.35">
      <c r="A307" s="3" t="s">
        <v>2150</v>
      </c>
      <c r="B307" s="3" t="s">
        <v>42</v>
      </c>
      <c r="C307" s="3" t="s">
        <v>2169</v>
      </c>
      <c r="D307" s="3" t="s">
        <v>107</v>
      </c>
      <c r="E307" s="3"/>
      <c r="F307" s="3"/>
      <c r="G307" s="3"/>
      <c r="H307" s="3"/>
    </row>
    <row r="308" spans="1:8" x14ac:dyDescent="0.35">
      <c r="A308" s="3" t="s">
        <v>2172</v>
      </c>
      <c r="B308" s="3" t="s">
        <v>42</v>
      </c>
      <c r="C308" s="3" t="s">
        <v>2173</v>
      </c>
      <c r="D308" s="3" t="s">
        <v>12</v>
      </c>
      <c r="E308" s="3"/>
      <c r="F308" s="3"/>
      <c r="G308" s="3"/>
      <c r="H308" s="3"/>
    </row>
    <row r="309" spans="1:8" x14ac:dyDescent="0.35">
      <c r="A309" s="3" t="s">
        <v>2172</v>
      </c>
      <c r="B309" s="3" t="s">
        <v>42</v>
      </c>
      <c r="C309" s="3" t="s">
        <v>2173</v>
      </c>
      <c r="D309" s="3" t="s">
        <v>27</v>
      </c>
      <c r="E309" s="3" t="s">
        <v>13</v>
      </c>
      <c r="F309" s="3" t="s">
        <v>2175</v>
      </c>
      <c r="G309" s="3"/>
      <c r="H309" s="3"/>
    </row>
    <row r="310" spans="1:8" x14ac:dyDescent="0.35">
      <c r="A310" s="3" t="s">
        <v>2172</v>
      </c>
      <c r="B310" s="3" t="s">
        <v>42</v>
      </c>
      <c r="C310" s="3" t="s">
        <v>2173</v>
      </c>
      <c r="D310" s="3" t="s">
        <v>44</v>
      </c>
      <c r="E310" s="3"/>
      <c r="F310" s="3"/>
      <c r="G310" s="3"/>
      <c r="H310" s="3"/>
    </row>
    <row r="311" spans="1:8" x14ac:dyDescent="0.35">
      <c r="A311" s="3" t="s">
        <v>2172</v>
      </c>
      <c r="B311" s="3" t="s">
        <v>42</v>
      </c>
      <c r="C311" s="3" t="s">
        <v>2173</v>
      </c>
      <c r="D311" s="3" t="s">
        <v>15</v>
      </c>
      <c r="E311" s="3" t="s">
        <v>13</v>
      </c>
      <c r="F311" s="3" t="s">
        <v>2174</v>
      </c>
      <c r="G311" s="3"/>
      <c r="H311" s="3"/>
    </row>
    <row r="312" spans="1:8" x14ac:dyDescent="0.35">
      <c r="A312" s="3" t="s">
        <v>2172</v>
      </c>
      <c r="B312" s="3" t="s">
        <v>42</v>
      </c>
      <c r="C312" s="3" t="s">
        <v>2173</v>
      </c>
      <c r="D312" s="3" t="s">
        <v>32</v>
      </c>
      <c r="E312" s="3" t="s">
        <v>13</v>
      </c>
      <c r="F312" s="3" t="s">
        <v>2176</v>
      </c>
      <c r="G312" s="3"/>
      <c r="H312" s="3"/>
    </row>
    <row r="313" spans="1:8" x14ac:dyDescent="0.35">
      <c r="A313" s="3" t="s">
        <v>2172</v>
      </c>
      <c r="B313" s="3" t="s">
        <v>39</v>
      </c>
      <c r="C313" s="3" t="s">
        <v>2177</v>
      </c>
      <c r="D313" s="3" t="s">
        <v>12</v>
      </c>
      <c r="E313" s="3"/>
      <c r="F313" s="3"/>
      <c r="G313" s="3"/>
      <c r="H313" s="3"/>
    </row>
    <row r="314" spans="1:8" x14ac:dyDescent="0.35">
      <c r="A314" s="3" t="s">
        <v>2172</v>
      </c>
      <c r="B314" s="3" t="s">
        <v>39</v>
      </c>
      <c r="C314" s="3" t="s">
        <v>2177</v>
      </c>
      <c r="D314" s="3" t="s">
        <v>27</v>
      </c>
      <c r="E314" s="3"/>
      <c r="F314" s="3"/>
      <c r="G314" s="3"/>
      <c r="H314" s="3"/>
    </row>
    <row r="315" spans="1:8" x14ac:dyDescent="0.35">
      <c r="A315" s="3" t="s">
        <v>2172</v>
      </c>
      <c r="B315" s="3" t="s">
        <v>39</v>
      </c>
      <c r="C315" s="3" t="s">
        <v>2177</v>
      </c>
      <c r="D315" s="3" t="s">
        <v>87</v>
      </c>
      <c r="E315" s="3"/>
      <c r="F315" s="3"/>
      <c r="G315" s="3"/>
      <c r="H315" s="3"/>
    </row>
    <row r="316" spans="1:8" x14ac:dyDescent="0.35">
      <c r="A316" s="3" t="s">
        <v>2172</v>
      </c>
      <c r="B316" s="3" t="s">
        <v>39</v>
      </c>
      <c r="C316" s="3" t="s">
        <v>2177</v>
      </c>
      <c r="D316" s="3" t="s">
        <v>56</v>
      </c>
      <c r="E316" s="3"/>
      <c r="F316" s="3"/>
      <c r="G316" s="3"/>
      <c r="H316" s="3"/>
    </row>
    <row r="317" spans="1:8" x14ac:dyDescent="0.35">
      <c r="A317" s="3" t="s">
        <v>2172</v>
      </c>
      <c r="B317" s="3" t="s">
        <v>45</v>
      </c>
      <c r="C317" s="3" t="s">
        <v>2178</v>
      </c>
      <c r="D317" s="3" t="s">
        <v>77</v>
      </c>
      <c r="E317" s="3"/>
      <c r="F317" s="3"/>
      <c r="G317" s="3"/>
      <c r="H317" s="3"/>
    </row>
    <row r="318" spans="1:8" x14ac:dyDescent="0.35">
      <c r="A318" s="3" t="s">
        <v>2172</v>
      </c>
      <c r="B318" s="3" t="s">
        <v>20</v>
      </c>
      <c r="C318" s="3" t="s">
        <v>2179</v>
      </c>
      <c r="D318" s="3" t="s">
        <v>12</v>
      </c>
      <c r="E318" s="3"/>
      <c r="F318" s="3"/>
      <c r="G318" s="3"/>
      <c r="H318" s="3"/>
    </row>
    <row r="319" spans="1:8" x14ac:dyDescent="0.35">
      <c r="A319" s="3" t="s">
        <v>2172</v>
      </c>
      <c r="B319" s="3" t="s">
        <v>20</v>
      </c>
      <c r="C319" s="3" t="s">
        <v>2179</v>
      </c>
      <c r="D319" s="3" t="s">
        <v>27</v>
      </c>
      <c r="E319" s="3"/>
      <c r="F319" s="3"/>
      <c r="G319" s="3"/>
      <c r="H319" s="3"/>
    </row>
    <row r="320" spans="1:8" x14ac:dyDescent="0.35">
      <c r="A320" s="3" t="s">
        <v>2172</v>
      </c>
      <c r="B320" s="3" t="s">
        <v>20</v>
      </c>
      <c r="C320" s="3" t="s">
        <v>2179</v>
      </c>
      <c r="D320" s="3" t="s">
        <v>15</v>
      </c>
      <c r="E320" s="3" t="s">
        <v>13</v>
      </c>
      <c r="F320" s="3" t="s">
        <v>2180</v>
      </c>
      <c r="G320" s="3"/>
      <c r="H320" s="3"/>
    </row>
    <row r="321" spans="1:8" x14ac:dyDescent="0.35">
      <c r="A321" s="3" t="s">
        <v>2172</v>
      </c>
      <c r="B321" s="3" t="s">
        <v>20</v>
      </c>
      <c r="C321" s="3" t="s">
        <v>2181</v>
      </c>
      <c r="D321" s="3" t="s">
        <v>15</v>
      </c>
      <c r="E321" s="3" t="s">
        <v>13</v>
      </c>
      <c r="F321" s="3" t="s">
        <v>2182</v>
      </c>
      <c r="G321" s="3"/>
      <c r="H321" s="3"/>
    </row>
    <row r="322" spans="1:8" x14ac:dyDescent="0.35">
      <c r="A322" s="3" t="s">
        <v>2172</v>
      </c>
      <c r="B322" s="3" t="s">
        <v>20</v>
      </c>
      <c r="C322" s="3" t="s">
        <v>2181</v>
      </c>
      <c r="D322" s="3" t="s">
        <v>57</v>
      </c>
      <c r="E322" s="3"/>
      <c r="F322" s="3"/>
      <c r="G322" s="3"/>
      <c r="H322" s="3"/>
    </row>
    <row r="323" spans="1:8" x14ac:dyDescent="0.35">
      <c r="A323" s="3" t="s">
        <v>2172</v>
      </c>
      <c r="B323" s="3" t="s">
        <v>20</v>
      </c>
      <c r="C323" s="3" t="s">
        <v>2181</v>
      </c>
      <c r="D323" s="3" t="s">
        <v>107</v>
      </c>
      <c r="E323" s="3" t="s">
        <v>13</v>
      </c>
      <c r="F323" s="3" t="s">
        <v>2183</v>
      </c>
      <c r="G323" s="3"/>
      <c r="H323" s="3"/>
    </row>
    <row r="324" spans="1:8" x14ac:dyDescent="0.35">
      <c r="A324" s="3" t="s">
        <v>2172</v>
      </c>
      <c r="B324" s="3" t="s">
        <v>20</v>
      </c>
      <c r="C324" s="3" t="s">
        <v>2184</v>
      </c>
      <c r="D324" s="3" t="s">
        <v>12</v>
      </c>
      <c r="E324" s="3"/>
      <c r="F324" s="3"/>
      <c r="G324" s="3"/>
      <c r="H324" s="3"/>
    </row>
    <row r="325" spans="1:8" x14ac:dyDescent="0.35">
      <c r="A325" s="3" t="s">
        <v>2172</v>
      </c>
      <c r="B325" s="3" t="s">
        <v>20</v>
      </c>
      <c r="C325" s="3" t="s">
        <v>2184</v>
      </c>
      <c r="D325" s="3" t="s">
        <v>32</v>
      </c>
      <c r="E325" s="3"/>
      <c r="F325" s="3"/>
      <c r="G325" s="3"/>
      <c r="H325" s="3"/>
    </row>
    <row r="326" spans="1:8" x14ac:dyDescent="0.35">
      <c r="A326" s="3" t="s">
        <v>2575</v>
      </c>
      <c r="B326" s="3" t="s">
        <v>42</v>
      </c>
      <c r="C326" s="3" t="s">
        <v>2576</v>
      </c>
      <c r="D326" s="3" t="s">
        <v>12</v>
      </c>
      <c r="E326" s="3"/>
      <c r="F326" s="3"/>
      <c r="G326" s="3" t="s">
        <v>16</v>
      </c>
      <c r="H326" s="3" t="s">
        <v>409</v>
      </c>
    </row>
    <row r="327" spans="1:8" x14ac:dyDescent="0.35">
      <c r="A327" s="3" t="s">
        <v>2575</v>
      </c>
      <c r="B327" s="3" t="s">
        <v>42</v>
      </c>
      <c r="C327" s="3" t="s">
        <v>2576</v>
      </c>
      <c r="D327" s="3" t="s">
        <v>23</v>
      </c>
      <c r="E327" s="3" t="s">
        <v>16</v>
      </c>
      <c r="F327" s="3" t="s">
        <v>2577</v>
      </c>
      <c r="G327" s="3" t="s">
        <v>16</v>
      </c>
      <c r="H327" s="3" t="s">
        <v>2063</v>
      </c>
    </row>
    <row r="328" spans="1:8" x14ac:dyDescent="0.35">
      <c r="A328" s="3" t="s">
        <v>2575</v>
      </c>
      <c r="B328" s="3" t="s">
        <v>42</v>
      </c>
      <c r="C328" s="3" t="s">
        <v>2576</v>
      </c>
      <c r="D328" s="3" t="s">
        <v>27</v>
      </c>
      <c r="E328" s="3"/>
      <c r="F328" s="3"/>
      <c r="G328" s="3" t="s">
        <v>16</v>
      </c>
      <c r="H328" s="3" t="s">
        <v>2063</v>
      </c>
    </row>
    <row r="329" spans="1:8" x14ac:dyDescent="0.35">
      <c r="A329" s="3" t="s">
        <v>2575</v>
      </c>
      <c r="B329" s="3" t="s">
        <v>20</v>
      </c>
      <c r="C329" s="3" t="s">
        <v>2941</v>
      </c>
      <c r="D329" s="3" t="s">
        <v>23</v>
      </c>
      <c r="E329" s="3" t="s">
        <v>16</v>
      </c>
      <c r="F329" s="3" t="s">
        <v>2942</v>
      </c>
      <c r="G329" s="3" t="s">
        <v>16</v>
      </c>
      <c r="H329" s="3" t="s">
        <v>409</v>
      </c>
    </row>
    <row r="330" spans="1:8" x14ac:dyDescent="0.35">
      <c r="A330" s="3" t="s">
        <v>2575</v>
      </c>
      <c r="B330" s="3" t="s">
        <v>20</v>
      </c>
      <c r="C330" s="3" t="s">
        <v>2941</v>
      </c>
      <c r="D330" s="3" t="s">
        <v>60</v>
      </c>
      <c r="E330" s="5"/>
      <c r="F330" s="5"/>
      <c r="G330" s="3" t="s">
        <v>16</v>
      </c>
      <c r="H330" s="3" t="s">
        <v>409</v>
      </c>
    </row>
    <row r="331" spans="1:8" x14ac:dyDescent="0.35">
      <c r="A331" s="3" t="s">
        <v>2575</v>
      </c>
      <c r="B331" s="3" t="s">
        <v>20</v>
      </c>
      <c r="C331" s="3" t="s">
        <v>2941</v>
      </c>
      <c r="D331" s="3" t="s">
        <v>77</v>
      </c>
      <c r="E331" s="3"/>
      <c r="F331" s="3" t="s">
        <v>2344</v>
      </c>
      <c r="G331" s="3" t="s">
        <v>16</v>
      </c>
      <c r="H331" s="3" t="s">
        <v>409</v>
      </c>
    </row>
    <row r="332" spans="1:8" x14ac:dyDescent="0.35">
      <c r="A332" s="3" t="s">
        <v>2575</v>
      </c>
      <c r="B332" s="3" t="s">
        <v>20</v>
      </c>
      <c r="C332" s="3" t="s">
        <v>2941</v>
      </c>
      <c r="D332" s="3" t="s">
        <v>56</v>
      </c>
      <c r="E332" s="3"/>
      <c r="F332" s="3"/>
      <c r="G332" s="3" t="s">
        <v>16</v>
      </c>
      <c r="H332" s="3" t="s">
        <v>409</v>
      </c>
    </row>
    <row r="333" spans="1:8" x14ac:dyDescent="0.35">
      <c r="A333" s="3" t="s">
        <v>2575</v>
      </c>
      <c r="B333" s="3" t="s">
        <v>20</v>
      </c>
      <c r="C333" s="3" t="s">
        <v>2941</v>
      </c>
      <c r="D333" s="3" t="s">
        <v>24</v>
      </c>
      <c r="E333" s="3"/>
      <c r="F333" s="3"/>
      <c r="G333" s="3" t="s">
        <v>16</v>
      </c>
      <c r="H333" s="3" t="s">
        <v>409</v>
      </c>
    </row>
    <row r="334" spans="1:8" x14ac:dyDescent="0.35">
      <c r="A334" s="3" t="s">
        <v>2185</v>
      </c>
      <c r="B334" s="3" t="s">
        <v>42</v>
      </c>
      <c r="C334" s="3" t="s">
        <v>2186</v>
      </c>
      <c r="D334" s="3" t="s">
        <v>12</v>
      </c>
      <c r="E334" s="3" t="s">
        <v>16</v>
      </c>
      <c r="F334" s="3" t="s">
        <v>2187</v>
      </c>
      <c r="G334" s="3"/>
      <c r="H334" s="3"/>
    </row>
    <row r="335" spans="1:8" x14ac:dyDescent="0.35">
      <c r="A335" s="3" t="s">
        <v>2185</v>
      </c>
      <c r="B335" s="3" t="s">
        <v>42</v>
      </c>
      <c r="C335" s="3" t="s">
        <v>2186</v>
      </c>
      <c r="D335" s="3" t="s">
        <v>27</v>
      </c>
      <c r="E335" s="3" t="s">
        <v>16</v>
      </c>
      <c r="F335" s="3" t="s">
        <v>2188</v>
      </c>
      <c r="G335" s="3"/>
      <c r="H335" s="3"/>
    </row>
    <row r="336" spans="1:8" x14ac:dyDescent="0.35">
      <c r="A336" s="3" t="s">
        <v>2185</v>
      </c>
      <c r="B336" s="3" t="s">
        <v>42</v>
      </c>
      <c r="C336" s="3" t="s">
        <v>2186</v>
      </c>
      <c r="D336" s="3" t="s">
        <v>44</v>
      </c>
      <c r="E336" s="3"/>
      <c r="F336" s="3"/>
      <c r="G336" s="3"/>
      <c r="H336" s="3"/>
    </row>
    <row r="337" spans="1:8" x14ac:dyDescent="0.35">
      <c r="A337" s="3" t="s">
        <v>2185</v>
      </c>
      <c r="B337" s="3" t="s">
        <v>42</v>
      </c>
      <c r="C337" s="3" t="s">
        <v>2186</v>
      </c>
      <c r="D337" s="3" t="s">
        <v>107</v>
      </c>
      <c r="E337" s="3" t="s">
        <v>16</v>
      </c>
      <c r="F337" s="3" t="s">
        <v>2189</v>
      </c>
      <c r="G337" s="3"/>
      <c r="H337" s="3"/>
    </row>
    <row r="338" spans="1:8" x14ac:dyDescent="0.35">
      <c r="A338" s="3" t="s">
        <v>2185</v>
      </c>
      <c r="B338" s="3" t="s">
        <v>20</v>
      </c>
      <c r="C338" s="3" t="s">
        <v>2190</v>
      </c>
      <c r="D338" s="3" t="s">
        <v>27</v>
      </c>
      <c r="E338" s="3"/>
      <c r="F338" s="3"/>
      <c r="G338" s="3"/>
      <c r="H338" s="3"/>
    </row>
    <row r="339" spans="1:8" x14ac:dyDescent="0.35">
      <c r="A339" s="3" t="s">
        <v>2185</v>
      </c>
      <c r="B339" s="3" t="s">
        <v>20</v>
      </c>
      <c r="C339" s="3" t="s">
        <v>2190</v>
      </c>
      <c r="D339" s="3" t="s">
        <v>28</v>
      </c>
      <c r="E339" s="3"/>
      <c r="F339" s="3" t="s">
        <v>2321</v>
      </c>
      <c r="G339" s="3"/>
      <c r="H339" s="3"/>
    </row>
    <row r="340" spans="1:8" x14ac:dyDescent="0.35">
      <c r="A340" s="3" t="s">
        <v>2185</v>
      </c>
      <c r="B340" s="3" t="s">
        <v>20</v>
      </c>
      <c r="C340" s="3" t="s">
        <v>2190</v>
      </c>
      <c r="D340" s="3" t="s">
        <v>87</v>
      </c>
      <c r="E340" s="3"/>
      <c r="F340" s="3"/>
      <c r="G340" s="3"/>
      <c r="H340" s="3"/>
    </row>
    <row r="341" spans="1:8" x14ac:dyDescent="0.35">
      <c r="A341" s="3" t="s">
        <v>2185</v>
      </c>
      <c r="B341" s="3" t="s">
        <v>20</v>
      </c>
      <c r="C341" s="3" t="s">
        <v>2190</v>
      </c>
      <c r="D341" s="3" t="s">
        <v>98</v>
      </c>
      <c r="E341" s="3"/>
      <c r="F341" s="3"/>
      <c r="G341" s="3"/>
      <c r="H341" s="3"/>
    </row>
    <row r="342" spans="1:8" x14ac:dyDescent="0.35">
      <c r="A342" s="3" t="s">
        <v>2185</v>
      </c>
      <c r="B342" s="3" t="s">
        <v>20</v>
      </c>
      <c r="C342" s="3" t="s">
        <v>2190</v>
      </c>
      <c r="D342" s="3" t="s">
        <v>56</v>
      </c>
      <c r="E342" s="3"/>
      <c r="F342" s="3"/>
      <c r="G342" s="3"/>
      <c r="H342" s="3"/>
    </row>
    <row r="343" spans="1:8" x14ac:dyDescent="0.35">
      <c r="A343" s="3" t="s">
        <v>2185</v>
      </c>
      <c r="B343" s="3" t="s">
        <v>20</v>
      </c>
      <c r="C343" s="3" t="s">
        <v>2190</v>
      </c>
      <c r="D343" s="3" t="s">
        <v>24</v>
      </c>
      <c r="E343" s="3"/>
      <c r="F343" s="3"/>
      <c r="G343" s="3"/>
      <c r="H343" s="3"/>
    </row>
    <row r="344" spans="1:8" x14ac:dyDescent="0.35">
      <c r="A344" s="3" t="s">
        <v>2185</v>
      </c>
      <c r="B344" s="3" t="s">
        <v>20</v>
      </c>
      <c r="C344" s="3" t="s">
        <v>2787</v>
      </c>
      <c r="D344" s="3" t="s">
        <v>12</v>
      </c>
      <c r="E344" s="3"/>
      <c r="F344" s="3"/>
      <c r="G344" s="3"/>
      <c r="H344" s="3"/>
    </row>
    <row r="345" spans="1:8" x14ac:dyDescent="0.35">
      <c r="A345" s="3" t="s">
        <v>2185</v>
      </c>
      <c r="B345" s="3" t="s">
        <v>20</v>
      </c>
      <c r="C345" s="3" t="s">
        <v>2787</v>
      </c>
      <c r="D345" s="3" t="s">
        <v>23</v>
      </c>
      <c r="E345" s="3"/>
      <c r="F345" s="3"/>
      <c r="G345" s="3"/>
      <c r="H345" s="3"/>
    </row>
    <row r="346" spans="1:8" x14ac:dyDescent="0.35">
      <c r="A346" s="3" t="s">
        <v>2185</v>
      </c>
      <c r="B346" s="3" t="s">
        <v>20</v>
      </c>
      <c r="C346" s="3" t="s">
        <v>2787</v>
      </c>
      <c r="D346" s="3" t="s">
        <v>27</v>
      </c>
      <c r="E346" s="3"/>
      <c r="F346" s="3"/>
      <c r="G346" s="3"/>
      <c r="H346" s="3"/>
    </row>
    <row r="347" spans="1:8" x14ac:dyDescent="0.35">
      <c r="A347" s="3" t="s">
        <v>2185</v>
      </c>
      <c r="B347" s="3" t="s">
        <v>20</v>
      </c>
      <c r="C347" s="3" t="s">
        <v>2787</v>
      </c>
      <c r="D347" s="3" t="s">
        <v>87</v>
      </c>
      <c r="E347" s="3"/>
      <c r="F347" s="3"/>
      <c r="G347" s="3"/>
      <c r="H347" s="3"/>
    </row>
    <row r="348" spans="1:8" x14ac:dyDescent="0.35">
      <c r="A348" s="3" t="s">
        <v>2185</v>
      </c>
      <c r="B348" s="3" t="s">
        <v>20</v>
      </c>
      <c r="C348" s="3" t="s">
        <v>2787</v>
      </c>
      <c r="D348" s="3" t="s">
        <v>24</v>
      </c>
      <c r="E348" s="3"/>
      <c r="F348" s="3"/>
      <c r="G348" s="3"/>
      <c r="H348" s="3"/>
    </row>
    <row r="349" spans="1:8" x14ac:dyDescent="0.35">
      <c r="A349" s="3" t="s">
        <v>2191</v>
      </c>
      <c r="B349" s="3" t="s">
        <v>42</v>
      </c>
      <c r="C349" s="3" t="s">
        <v>2192</v>
      </c>
      <c r="D349" s="3" t="s">
        <v>12</v>
      </c>
      <c r="E349" s="3"/>
      <c r="F349" s="3"/>
      <c r="G349" s="3"/>
      <c r="H349" s="3"/>
    </row>
    <row r="350" spans="1:8" x14ac:dyDescent="0.35">
      <c r="A350" s="3" t="s">
        <v>2191</v>
      </c>
      <c r="B350" s="3" t="s">
        <v>42</v>
      </c>
      <c r="C350" s="3" t="s">
        <v>2192</v>
      </c>
      <c r="D350" s="3" t="s">
        <v>23</v>
      </c>
      <c r="E350" s="3" t="s">
        <v>13</v>
      </c>
      <c r="F350" s="3" t="s">
        <v>2193</v>
      </c>
      <c r="G350" s="3"/>
      <c r="H350" s="3"/>
    </row>
    <row r="351" spans="1:8" x14ac:dyDescent="0.35">
      <c r="A351" s="3" t="s">
        <v>2191</v>
      </c>
      <c r="B351" s="3" t="s">
        <v>42</v>
      </c>
      <c r="C351" s="3" t="s">
        <v>2192</v>
      </c>
      <c r="D351" s="3" t="s">
        <v>15</v>
      </c>
      <c r="E351" s="3" t="s">
        <v>13</v>
      </c>
      <c r="F351" s="3" t="s">
        <v>2194</v>
      </c>
      <c r="G351" s="3"/>
      <c r="H351" s="3"/>
    </row>
    <row r="352" spans="1:8" x14ac:dyDescent="0.35">
      <c r="A352" s="3" t="s">
        <v>2191</v>
      </c>
      <c r="B352" s="3" t="s">
        <v>42</v>
      </c>
      <c r="C352" s="3" t="s">
        <v>2192</v>
      </c>
      <c r="D352" s="3" t="s">
        <v>56</v>
      </c>
      <c r="E352" s="3" t="s">
        <v>13</v>
      </c>
      <c r="F352" s="3" t="s">
        <v>2194</v>
      </c>
      <c r="G352" s="3"/>
      <c r="H352" s="3"/>
    </row>
    <row r="353" spans="1:8" x14ac:dyDescent="0.35">
      <c r="A353" s="3" t="s">
        <v>2191</v>
      </c>
      <c r="B353" s="3" t="s">
        <v>42</v>
      </c>
      <c r="C353" s="3" t="s">
        <v>2192</v>
      </c>
      <c r="D353" s="3" t="s">
        <v>24</v>
      </c>
      <c r="E353" s="3"/>
      <c r="F353" s="3"/>
      <c r="G353" s="3"/>
      <c r="H353" s="3"/>
    </row>
    <row r="354" spans="1:8" x14ac:dyDescent="0.35">
      <c r="A354" s="3" t="s">
        <v>2191</v>
      </c>
      <c r="B354" s="3" t="s">
        <v>20</v>
      </c>
      <c r="C354" s="3" t="s">
        <v>2195</v>
      </c>
      <c r="D354" s="3" t="s">
        <v>12</v>
      </c>
      <c r="E354" s="3"/>
      <c r="F354" s="3"/>
      <c r="G354" s="3"/>
      <c r="H354" s="3"/>
    </row>
    <row r="355" spans="1:8" x14ac:dyDescent="0.35">
      <c r="A355" s="3" t="s">
        <v>2191</v>
      </c>
      <c r="B355" s="3" t="s">
        <v>20</v>
      </c>
      <c r="C355" s="3" t="s">
        <v>2195</v>
      </c>
      <c r="D355" s="3" t="s">
        <v>23</v>
      </c>
      <c r="E355" s="3"/>
      <c r="F355" s="3"/>
      <c r="G355" s="3"/>
      <c r="H355" s="3"/>
    </row>
    <row r="356" spans="1:8" x14ac:dyDescent="0.35">
      <c r="A356" s="3" t="s">
        <v>2191</v>
      </c>
      <c r="B356" s="3" t="s">
        <v>20</v>
      </c>
      <c r="C356" s="3" t="s">
        <v>2195</v>
      </c>
      <c r="D356" s="3" t="s">
        <v>87</v>
      </c>
      <c r="E356" s="3"/>
      <c r="F356" s="3"/>
      <c r="G356" s="3"/>
      <c r="H356" s="3"/>
    </row>
    <row r="357" spans="1:8" x14ac:dyDescent="0.35">
      <c r="A357" s="3" t="s">
        <v>2191</v>
      </c>
      <c r="B357" s="3" t="s">
        <v>20</v>
      </c>
      <c r="C357" s="3" t="s">
        <v>2195</v>
      </c>
      <c r="D357" s="3" t="s">
        <v>29</v>
      </c>
      <c r="E357" s="3" t="s">
        <v>13</v>
      </c>
      <c r="F357" s="3" t="s">
        <v>2196</v>
      </c>
      <c r="G357" s="3"/>
      <c r="H357" s="3"/>
    </row>
    <row r="358" spans="1:8" x14ac:dyDescent="0.35">
      <c r="A358" s="3" t="s">
        <v>2197</v>
      </c>
      <c r="B358" s="3" t="s">
        <v>39</v>
      </c>
      <c r="C358" s="3" t="s">
        <v>2198</v>
      </c>
      <c r="D358" s="3" t="s">
        <v>12</v>
      </c>
      <c r="E358" s="3"/>
      <c r="F358" s="3"/>
      <c r="G358" s="3"/>
      <c r="H358" s="3"/>
    </row>
    <row r="359" spans="1:8" x14ac:dyDescent="0.35">
      <c r="A359" s="3" t="s">
        <v>2197</v>
      </c>
      <c r="B359" s="3" t="s">
        <v>39</v>
      </c>
      <c r="C359" s="3" t="s">
        <v>2198</v>
      </c>
      <c r="D359" s="3" t="s">
        <v>27</v>
      </c>
      <c r="E359" s="3"/>
      <c r="F359" s="3"/>
      <c r="G359" s="3"/>
      <c r="H359" s="3"/>
    </row>
    <row r="360" spans="1:8" x14ac:dyDescent="0.35">
      <c r="A360" s="3" t="s">
        <v>2197</v>
      </c>
      <c r="B360" s="3" t="s">
        <v>39</v>
      </c>
      <c r="C360" s="3" t="s">
        <v>2198</v>
      </c>
      <c r="D360" s="3" t="s">
        <v>56</v>
      </c>
      <c r="E360" s="3" t="s">
        <v>13</v>
      </c>
      <c r="F360" s="3" t="s">
        <v>2199</v>
      </c>
      <c r="G360" s="3"/>
      <c r="H360" s="3"/>
    </row>
    <row r="361" spans="1:8" x14ac:dyDescent="0.35">
      <c r="A361" s="3" t="s">
        <v>2197</v>
      </c>
      <c r="B361" s="3" t="s">
        <v>20</v>
      </c>
      <c r="C361" s="3" t="s">
        <v>2862</v>
      </c>
      <c r="D361" s="3" t="s">
        <v>12</v>
      </c>
      <c r="E361" s="3"/>
      <c r="F361" s="3"/>
      <c r="G361" s="3"/>
      <c r="H361" s="3"/>
    </row>
    <row r="362" spans="1:8" x14ac:dyDescent="0.35">
      <c r="A362" s="3" t="s">
        <v>2197</v>
      </c>
      <c r="B362" s="3" t="s">
        <v>20</v>
      </c>
      <c r="C362" s="3" t="s">
        <v>2862</v>
      </c>
      <c r="D362" s="3" t="s">
        <v>23</v>
      </c>
      <c r="E362" s="3"/>
      <c r="F362" s="3"/>
      <c r="G362" s="3"/>
      <c r="H362" s="3"/>
    </row>
    <row r="363" spans="1:8" x14ac:dyDescent="0.35">
      <c r="A363" s="3" t="s">
        <v>2197</v>
      </c>
      <c r="B363" s="3" t="s">
        <v>20</v>
      </c>
      <c r="C363" s="3" t="s">
        <v>2862</v>
      </c>
      <c r="D363" s="3" t="s">
        <v>27</v>
      </c>
      <c r="E363" s="3"/>
      <c r="F363" s="3"/>
      <c r="G363" s="3"/>
      <c r="H363" s="3"/>
    </row>
    <row r="364" spans="1:8" x14ac:dyDescent="0.35">
      <c r="A364" s="3" t="s">
        <v>2197</v>
      </c>
      <c r="B364" s="3" t="s">
        <v>20</v>
      </c>
      <c r="C364" s="3" t="s">
        <v>2862</v>
      </c>
      <c r="D364" s="3" t="s">
        <v>87</v>
      </c>
      <c r="E364" s="3"/>
      <c r="F364" s="3"/>
      <c r="G364" s="3"/>
      <c r="H364" s="3"/>
    </row>
    <row r="365" spans="1:8" x14ac:dyDescent="0.35">
      <c r="A365" s="3" t="s">
        <v>2197</v>
      </c>
      <c r="B365" s="3" t="s">
        <v>42</v>
      </c>
      <c r="C365" s="3" t="s">
        <v>2200</v>
      </c>
      <c r="D365" s="3" t="s">
        <v>12</v>
      </c>
      <c r="E365" s="3"/>
      <c r="F365" s="3"/>
      <c r="G365" s="3"/>
      <c r="H365" s="3"/>
    </row>
    <row r="366" spans="1:8" x14ac:dyDescent="0.35">
      <c r="A366" s="3" t="s">
        <v>2197</v>
      </c>
      <c r="B366" s="3" t="s">
        <v>42</v>
      </c>
      <c r="C366" s="3" t="s">
        <v>2200</v>
      </c>
      <c r="D366" s="3" t="s">
        <v>25</v>
      </c>
      <c r="E366" s="3" t="s">
        <v>33</v>
      </c>
      <c r="F366" s="3" t="s">
        <v>2137</v>
      </c>
      <c r="G366" s="3"/>
      <c r="H366" s="3"/>
    </row>
    <row r="367" spans="1:8" x14ac:dyDescent="0.35">
      <c r="A367" s="3" t="s">
        <v>2197</v>
      </c>
      <c r="B367" s="3" t="s">
        <v>42</v>
      </c>
      <c r="C367" s="3" t="s">
        <v>2200</v>
      </c>
      <c r="D367" s="3" t="s">
        <v>44</v>
      </c>
      <c r="E367" s="3"/>
      <c r="F367" s="3"/>
      <c r="G367" s="3"/>
      <c r="H367" s="3"/>
    </row>
    <row r="368" spans="1:8" x14ac:dyDescent="0.35">
      <c r="A368" s="3" t="s">
        <v>2197</v>
      </c>
      <c r="B368" s="3" t="s">
        <v>42</v>
      </c>
      <c r="C368" s="3" t="s">
        <v>2200</v>
      </c>
      <c r="D368" s="3" t="s">
        <v>87</v>
      </c>
      <c r="E368" s="3" t="s">
        <v>13</v>
      </c>
      <c r="F368" s="3" t="s">
        <v>2201</v>
      </c>
      <c r="G368" s="3"/>
      <c r="H368" s="3"/>
    </row>
    <row r="369" spans="1:8" x14ac:dyDescent="0.35">
      <c r="A369" s="3" t="s">
        <v>2197</v>
      </c>
      <c r="B369" s="3" t="s">
        <v>42</v>
      </c>
      <c r="C369" s="3" t="s">
        <v>2200</v>
      </c>
      <c r="D369" s="3" t="s">
        <v>15</v>
      </c>
      <c r="E369" s="3" t="s">
        <v>13</v>
      </c>
      <c r="F369" s="3" t="s">
        <v>2202</v>
      </c>
      <c r="G369" s="3"/>
      <c r="H369" s="3"/>
    </row>
    <row r="370" spans="1:8" x14ac:dyDescent="0.35">
      <c r="A370" s="3" t="s">
        <v>2197</v>
      </c>
      <c r="B370" s="3" t="s">
        <v>42</v>
      </c>
      <c r="C370" s="3" t="s">
        <v>2200</v>
      </c>
      <c r="D370" s="3" t="s">
        <v>32</v>
      </c>
      <c r="E370" s="3"/>
      <c r="F370" s="3"/>
      <c r="G370" s="3"/>
      <c r="H370" s="3"/>
    </row>
    <row r="371" spans="1:8" x14ac:dyDescent="0.35">
      <c r="A371" s="3" t="s">
        <v>2197</v>
      </c>
      <c r="B371" s="3" t="s">
        <v>42</v>
      </c>
      <c r="C371" s="3" t="s">
        <v>2200</v>
      </c>
      <c r="D371" s="3" t="s">
        <v>107</v>
      </c>
      <c r="E371" s="3" t="s">
        <v>13</v>
      </c>
      <c r="F371" s="3" t="s">
        <v>2203</v>
      </c>
      <c r="G371" s="3"/>
      <c r="H371" s="3"/>
    </row>
    <row r="372" spans="1:8" x14ac:dyDescent="0.35">
      <c r="A372" s="3" t="s">
        <v>2197</v>
      </c>
      <c r="B372" s="3" t="s">
        <v>20</v>
      </c>
      <c r="C372" s="3" t="s">
        <v>2204</v>
      </c>
      <c r="D372" s="3" t="s">
        <v>12</v>
      </c>
      <c r="E372" s="3"/>
      <c r="F372" s="3"/>
      <c r="G372" s="3"/>
      <c r="H372" s="3"/>
    </row>
    <row r="373" spans="1:8" x14ac:dyDescent="0.35">
      <c r="A373" s="3" t="s">
        <v>2197</v>
      </c>
      <c r="B373" s="3" t="s">
        <v>20</v>
      </c>
      <c r="C373" s="3" t="s">
        <v>2204</v>
      </c>
      <c r="D373" s="3" t="s">
        <v>27</v>
      </c>
      <c r="E373" s="3"/>
      <c r="F373" s="3"/>
      <c r="G373" s="3"/>
      <c r="H373" s="3"/>
    </row>
    <row r="374" spans="1:8" x14ac:dyDescent="0.35">
      <c r="A374" s="3" t="s">
        <v>2197</v>
      </c>
      <c r="B374" s="3" t="s">
        <v>20</v>
      </c>
      <c r="C374" s="3" t="s">
        <v>2204</v>
      </c>
      <c r="D374" s="3" t="s">
        <v>15</v>
      </c>
      <c r="E374" s="3"/>
      <c r="F374" s="3"/>
      <c r="G374" s="3"/>
      <c r="H374" s="3"/>
    </row>
    <row r="375" spans="1:8" x14ac:dyDescent="0.35">
      <c r="A375" s="3" t="s">
        <v>2197</v>
      </c>
      <c r="B375" s="3" t="s">
        <v>20</v>
      </c>
      <c r="C375" s="3" t="s">
        <v>2204</v>
      </c>
      <c r="D375" s="3" t="s">
        <v>32</v>
      </c>
      <c r="E375" s="3"/>
      <c r="F375" s="3"/>
      <c r="G375" s="3"/>
      <c r="H375" s="3"/>
    </row>
  </sheetData>
  <autoFilter ref="A1:H1" xr:uid="{00000000-0009-0000-0000-000007000000}"/>
  <pageMargins left="0.7" right="0.7" top="0.75" bottom="0.75" header="0.3" footer="0.3"/>
  <customProperties>
    <customPr name="Gu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0E327402B72774E9403C71A8ED17BFB" ma:contentTypeVersion="12" ma:contentTypeDescription="Create a new document." ma:contentTypeScope="" ma:versionID="47e73a7d5f6d0d3286445be14d34ca91">
  <xsd:schema xmlns:xsd="http://www.w3.org/2001/XMLSchema" xmlns:xs="http://www.w3.org/2001/XMLSchema" xmlns:p="http://schemas.microsoft.com/office/2006/metadata/properties" xmlns:ns3="9e34bb14-7a21-4113-9e0d-2d4de61385f3" xmlns:ns4="22e967c1-4156-4693-b9d3-5082fa271a9a" targetNamespace="http://schemas.microsoft.com/office/2006/metadata/properties" ma:root="true" ma:fieldsID="6d6221fe16612d1e8ce7f4d511f85bd4" ns3:_="" ns4:_="">
    <xsd:import namespace="9e34bb14-7a21-4113-9e0d-2d4de61385f3"/>
    <xsd:import namespace="22e967c1-4156-4693-b9d3-5082fa271a9a"/>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DateTaken" minOccurs="0"/>
                <xsd:element ref="ns4:MediaServiceAutoTags" minOccurs="0"/>
                <xsd:element ref="ns4:MediaServiceOCR"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34bb14-7a21-4113-9e0d-2d4de61385f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e967c1-4156-4693-b9d3-5082fa271a9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2E95485-717C-4CAE-89BB-4B68D621A1A4}">
  <ds:schemaRefs>
    <ds:schemaRef ds:uri="http://schemas.microsoft.com/sharepoint/v3/contenttype/forms"/>
  </ds:schemaRefs>
</ds:datastoreItem>
</file>

<file path=customXml/itemProps2.xml><?xml version="1.0" encoding="utf-8"?>
<ds:datastoreItem xmlns:ds="http://schemas.openxmlformats.org/officeDocument/2006/customXml" ds:itemID="{57570CEE-DB11-450C-A19A-136FF22E75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34bb14-7a21-4113-9e0d-2d4de61385f3"/>
    <ds:schemaRef ds:uri="22e967c1-4156-4693-b9d3-5082fa271a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F7BB051-4F95-4B25-B2E3-88709EC6DB99}">
  <ds:schemaRefs>
    <ds:schemaRef ds:uri="http://purl.org/dc/elements/1.1/"/>
    <ds:schemaRef ds:uri="http://schemas.microsoft.com/office/2006/metadata/properties"/>
    <ds:schemaRef ds:uri="http://schemas.microsoft.com/office/2006/documentManagement/types"/>
    <ds:schemaRef ds:uri="9e34bb14-7a21-4113-9e0d-2d4de61385f3"/>
    <ds:schemaRef ds:uri="http://schemas.openxmlformats.org/package/2006/metadata/core-properties"/>
    <ds:schemaRef ds:uri="22e967c1-4156-4693-b9d3-5082fa271a9a"/>
    <ds:schemaRef ds:uri="http://www.w3.org/XML/1998/namespace"/>
    <ds:schemaRef ds:uri="http://schemas.microsoft.com/office/infopath/2007/PartnerControl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What's New - Mar 2022</vt:lpstr>
      <vt:lpstr>All regions</vt:lpstr>
      <vt:lpstr>Europe</vt:lpstr>
      <vt:lpstr>Middle East</vt:lpstr>
      <vt:lpstr>North America</vt:lpstr>
      <vt:lpstr>Asia</vt:lpstr>
      <vt:lpstr>Latin America and Caribbean</vt:lpstr>
      <vt:lpstr>Australia and Oceania</vt:lpstr>
      <vt:lpstr>Africa</vt:lpstr>
      <vt:lpstr>International</vt:lpstr>
    </vt:vector>
  </TitlesOfParts>
  <Manager/>
  <Company>Thomson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Phil Oakes</dc:creator>
  <cp:keywords/>
  <dc:description/>
  <cp:lastModifiedBy>Neary, Bryan A. (TR Product)</cp:lastModifiedBy>
  <cp:revision/>
  <dcterms:created xsi:type="dcterms:W3CDTF">2018-01-29T11:40:11Z</dcterms:created>
  <dcterms:modified xsi:type="dcterms:W3CDTF">2022-03-31T20:32:56Z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0x01010090E327402B72774E9403C71A8ED17BFB</vt:lpwstr>
  </property>
  <property fmtid="{D5CDD505-2E9C-101B-9397-08002B2CF9AE}" pid="3" name="Offisync_ServerID">
    <vt:lpwstr>827ef9c6-9019-45bb-9c94-05eb52e667cd</vt:lpwstr>
  </property>
  <property fmtid="{D5CDD505-2E9C-101B-9397-08002B2CF9AE}" pid="4" name="Offisync_UniqueId">
    <vt:lpwstr>3081498</vt:lpwstr>
  </property>
  <property fmtid="{D5CDD505-2E9C-101B-9397-08002B2CF9AE}" pid="5" name="Offisync_UpdateToken">
    <vt:lpwstr>1</vt:lpwstr>
  </property>
  <property fmtid="{D5CDD505-2E9C-101B-9397-08002B2CF9AE}" pid="6" name="Jive_LatestUserAccountName">
    <vt:lpwstr>0134637</vt:lpwstr>
  </property>
  <property fmtid="{D5CDD505-2E9C-101B-9397-08002B2CF9AE}" pid="7" name="Offisync_ProviderInitializationData">
    <vt:lpwstr>https://thehub.thomsonreuters.com</vt:lpwstr>
  </property>
  <property fmtid="{D5CDD505-2E9C-101B-9397-08002B2CF9AE}" pid="8" name="Jive_VersionGuid">
    <vt:lpwstr>fdb093a7-707e-488d-be30-e3ce2b92c6f4</vt:lpwstr>
  </property>
  <property fmtid="{D5CDD505-2E9C-101B-9397-08002B2CF9AE}" pid="9" name="Jive_PrevVersionNumber">
    <vt:lpwstr/>
  </property>
  <property fmtid="{D5CDD505-2E9C-101B-9397-08002B2CF9AE}" pid="10" name="Jive_VersionGuid_v2.5">
    <vt:lpwstr/>
  </property>
  <property fmtid="{D5CDD505-2E9C-101B-9397-08002B2CF9AE}" pid="11" name="Jive_LatestFileFullName">
    <vt:lpwstr/>
  </property>
  <property fmtid="{D5CDD505-2E9C-101B-9397-08002B2CF9AE}" pid="12" name="Jive_ModifiedButNotPublished">
    <vt:lpwstr>True</vt:lpwstr>
  </property>
</Properties>
</file>